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enevogroup-my.sharepoint.com/personal/murat_ablai_enevogroup_ro/Documents/Desktop/"/>
    </mc:Choice>
  </mc:AlternateContent>
  <xr:revisionPtr revIDLastSave="2" documentId="13_ncr:1_{BD53AC78-7985-40AB-93C3-36F6DA3A781D}" xr6:coauthVersionLast="47" xr6:coauthVersionMax="47" xr10:uidLastSave="{EE16753E-E19F-4866-98E7-C93F635D8694}"/>
  <bookViews>
    <workbookView xWindow="28680" yWindow="-120" windowWidth="29040" windowHeight="15720" firstSheet="8" activeTab="15" xr2:uid="{4216D3BD-54B8-2947-9BEA-D82E8D102490}"/>
  </bookViews>
  <sheets>
    <sheet name="Date SPV" sheetId="1" r:id="rId1"/>
    <sheet name="Preturi si tarife" sheetId="4" r:id="rId2"/>
    <sheet name="Date masura OD" sheetId="5" r:id="rId3"/>
    <sheet name="Contorizare in SDI" sheetId="7" r:id="rId4"/>
    <sheet name="Date masura SDI" sheetId="8" r:id="rId5"/>
    <sheet name="Regularizare" sheetId="22" r:id="rId6"/>
    <sheet name="Inchidere contur" sheetId="10" r:id="rId7"/>
    <sheet name="Incrementare indexe" sheetId="13" r:id="rId8"/>
    <sheet name="verificare" sheetId="52" r:id="rId9"/>
    <sheet name="Calcul productie" sheetId="70" r:id="rId10"/>
    <sheet name="RNEW import" sheetId="18" r:id="rId11"/>
    <sheet name="accrual" sheetId="58" r:id="rId12"/>
    <sheet name="Energy Control" sheetId="59" r:id="rId13"/>
    <sheet name="Centralizator productie" sheetId="69" r:id="rId14"/>
    <sheet name="calcul rapoarte" sheetId="55" r:id="rId15"/>
    <sheet name="PV Auchan" sheetId="19" r:id="rId16"/>
    <sheet name="1.Ramnicu Valcea" sheetId="23" r:id="rId17"/>
    <sheet name="2. Braila" sheetId="25" r:id="rId18"/>
    <sheet name="3. Ploiesti" sheetId="26" r:id="rId19"/>
    <sheet name="4. Piatra Neamt" sheetId="27" r:id="rId20"/>
    <sheet name="5. Satu Mare" sheetId="28" r:id="rId21"/>
    <sheet name="6. Deva" sheetId="29" r:id="rId22"/>
    <sheet name="7. Galati" sheetId="30" r:id="rId23"/>
    <sheet name="8. Timisoara" sheetId="31" r:id="rId24"/>
    <sheet name="9. Tg Jiu" sheetId="32" r:id="rId25"/>
    <sheet name="10. Vulcan" sheetId="33" r:id="rId26"/>
    <sheet name="11. Festival" sheetId="34" r:id="rId27"/>
    <sheet name="12. Promenada Buc" sheetId="35" r:id="rId28"/>
    <sheet name="13. Tg Mures" sheetId="36" r:id="rId29"/>
    <sheet name="14. Constanta" sheetId="37" r:id="rId30"/>
    <sheet name="15. Aurora Buzau" sheetId="38" r:id="rId31"/>
    <sheet name="16. Craiova" sheetId="40" r:id="rId32"/>
    <sheet name="17. Mega Mall" sheetId="41" r:id="rId33"/>
    <sheet name="18. Severin" sheetId="43" r:id="rId34"/>
    <sheet name="19. Iris" sheetId="44" r:id="rId35"/>
    <sheet name="20. Sibiu NRE" sheetId="46" r:id="rId36"/>
    <sheet name="21. Sibiu Shopping" sheetId="47" r:id="rId37"/>
    <sheet name="22. Pitesti" sheetId="50" r:id="rId38"/>
    <sheet name="23. Nepi One Brasov" sheetId="62" r:id="rId39"/>
    <sheet name="28. Nepi Ten Alba Iulia" sheetId="64" r:id="rId40"/>
    <sheet name="29. Nepi Ten Alexandria" sheetId="63" r:id="rId41"/>
    <sheet name="27. Nepi Ten Sfantul Gheorghe" sheetId="65" r:id="rId42"/>
    <sheet name="26. Nepi Ten Sighisoara" sheetId="66" r:id="rId43"/>
    <sheet name="25. Nepi Ten Vaslui" sheetId="67" r:id="rId44"/>
    <sheet name="24. Nepi Ten Petrosani" sheetId="68" r:id="rId45"/>
  </sheets>
  <definedNames>
    <definedName name="_xlnm._FilterDatabase" localSheetId="9" hidden="1">'Calcul productie'!$K$1:$K$274</definedName>
    <definedName name="_xlnm._FilterDatabase" localSheetId="14" hidden="1">'calcul rapoarte'!$A$2:$U$989</definedName>
    <definedName name="_xlnm._FilterDatabase" localSheetId="13" hidden="1">'Centralizator productie'!$A$1:$Z$1</definedName>
    <definedName name="_xlnm._FilterDatabase" localSheetId="3" hidden="1">'Contorizare in SDI'!$A$3:$U$177</definedName>
    <definedName name="_xlnm._FilterDatabase" localSheetId="2" hidden="1">'Date masura OD'!$A$4:$BE$82</definedName>
    <definedName name="_xlnm._FilterDatabase" localSheetId="4" hidden="1">'Date masura SDI'!$A$1:$AJ$119</definedName>
    <definedName name="_xlnm._FilterDatabase" localSheetId="12" hidden="1">'Energy Control'!$A$3:$G$179</definedName>
    <definedName name="_xlnm._FilterDatabase" localSheetId="6" hidden="1">'Inchidere contur'!$H$1:$H$183</definedName>
    <definedName name="_xlnm._FilterDatabase" localSheetId="7" hidden="1">'Incrementare indexe'!$A$3:$U$170</definedName>
    <definedName name="_xlnm._FilterDatabase" localSheetId="1" hidden="1">'Preturi si tarife'!$A$3:$AC$39</definedName>
    <definedName name="_xlnm._FilterDatabase" localSheetId="5" hidden="1">Regularizare!$A$2:$CQ$183</definedName>
    <definedName name="_xlnm._FilterDatabase" localSheetId="10" hidden="1">'RNEW import'!$A$1:$AE$1045</definedName>
    <definedName name="_xlnm._FilterDatabase" localSheetId="8" hidden="1">verificare!$A$2:$CO$127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10" l="1"/>
  <c r="E125" i="8"/>
  <c r="E123" i="8"/>
  <c r="E124" i="8" l="1"/>
  <c r="E122" i="8"/>
  <c r="AB169" i="22"/>
  <c r="E127" i="8" l="1"/>
  <c r="C126" i="8"/>
  <c r="C124" i="8"/>
  <c r="C122" i="8"/>
  <c r="O74" i="5" l="1"/>
  <c r="BE74" i="5"/>
  <c r="BD74" i="5"/>
  <c r="AW74" i="5"/>
  <c r="AV74" i="5"/>
  <c r="AU74" i="5"/>
  <c r="AX74" i="5" s="1"/>
  <c r="BC74" i="5" s="1"/>
  <c r="R74" i="5"/>
  <c r="Q74" i="5"/>
  <c r="O73" i="5"/>
  <c r="BE73" i="5"/>
  <c r="BD73" i="5"/>
  <c r="AW73" i="5"/>
  <c r="AV73" i="5"/>
  <c r="AU73" i="5"/>
  <c r="AX73" i="5" s="1"/>
  <c r="BC73" i="5" s="1"/>
  <c r="R73" i="5"/>
  <c r="Q73" i="5"/>
  <c r="AG150" i="8" l="1"/>
  <c r="J159" i="50"/>
  <c r="J162" i="50" s="1"/>
  <c r="J157" i="50"/>
  <c r="J160" i="50" s="1"/>
  <c r="J163" i="50" s="1"/>
  <c r="J155" i="50"/>
  <c r="J158" i="50" s="1"/>
  <c r="J161" i="50" s="1"/>
  <c r="U95" i="50"/>
  <c r="J109" i="50"/>
  <c r="J112" i="50" s="1"/>
  <c r="J97" i="50"/>
  <c r="J95" i="50"/>
  <c r="J107" i="50"/>
  <c r="J110" i="50" s="1"/>
  <c r="J113" i="50" s="1"/>
  <c r="J105" i="50"/>
  <c r="U49" i="50"/>
  <c r="R49" i="50"/>
  <c r="J51" i="50"/>
  <c r="J49" i="50"/>
  <c r="I158" i="13"/>
  <c r="T253" i="70"/>
  <c r="I159" i="13"/>
  <c r="I157" i="13"/>
  <c r="H158" i="13"/>
  <c r="H159" i="13"/>
  <c r="A158" i="13"/>
  <c r="A159" i="13" s="1"/>
  <c r="A160" i="13" s="1"/>
  <c r="A161" i="13" s="1"/>
  <c r="A162" i="13" s="1"/>
  <c r="A163" i="13" s="1"/>
  <c r="A164" i="13" s="1"/>
  <c r="A165" i="13" s="1"/>
  <c r="A166" i="13" s="1"/>
  <c r="A167" i="13" s="1"/>
  <c r="O159" i="13" l="1"/>
  <c r="O158" i="13"/>
  <c r="AI155" i="50"/>
  <c r="AI158" i="50" s="1"/>
  <c r="AI105" i="50"/>
  <c r="AI108" i="50" s="1"/>
  <c r="AK108" i="50" s="1"/>
  <c r="R95" i="50"/>
  <c r="X95" i="50" s="1"/>
  <c r="AF95" i="50" s="1"/>
  <c r="J108" i="50"/>
  <c r="J111" i="50" s="1"/>
  <c r="X49" i="50"/>
  <c r="AF49" i="50" s="1"/>
  <c r="AI95" i="50" l="1"/>
  <c r="AK95" i="50" s="1"/>
  <c r="AI161" i="50"/>
  <c r="AK161" i="50" s="1"/>
  <c r="AK158" i="50"/>
  <c r="AI111" i="50"/>
  <c r="AK111" i="50" s="1"/>
  <c r="J127" i="8" l="1"/>
  <c r="K127" i="8"/>
  <c r="L127" i="8"/>
  <c r="M127" i="8"/>
  <c r="J126" i="8"/>
  <c r="K126" i="8"/>
  <c r="L126" i="8"/>
  <c r="M126" i="8"/>
  <c r="J125" i="8"/>
  <c r="K125" i="8"/>
  <c r="L125" i="8"/>
  <c r="M125" i="8"/>
  <c r="J124" i="8"/>
  <c r="K124" i="8"/>
  <c r="L124" i="8"/>
  <c r="M124" i="8"/>
  <c r="K122" i="8"/>
  <c r="K123" i="8"/>
  <c r="J122" i="8"/>
  <c r="J123" i="8"/>
  <c r="L123" i="8"/>
  <c r="M123" i="8"/>
  <c r="L122" i="8"/>
  <c r="M122" i="8"/>
  <c r="O68" i="5" l="1"/>
  <c r="BE50" i="5" l="1"/>
  <c r="BD50" i="5"/>
  <c r="AW50" i="5"/>
  <c r="AV50" i="5"/>
  <c r="AU50" i="5"/>
  <c r="AX50" i="5" s="1"/>
  <c r="BC50" i="5" s="1"/>
  <c r="R50" i="5"/>
  <c r="O50" i="5"/>
  <c r="BD63" i="5"/>
  <c r="AF53" i="19"/>
  <c r="I105" i="10" l="1"/>
  <c r="K120" i="8"/>
  <c r="J121" i="8"/>
  <c r="O5" i="5" l="1"/>
  <c r="Q5" i="5"/>
  <c r="R5" i="5"/>
  <c r="O6" i="5"/>
  <c r="Q6" i="5"/>
  <c r="R6" i="5"/>
  <c r="O7" i="5"/>
  <c r="Q7" i="5"/>
  <c r="R7" i="5"/>
  <c r="O8" i="5"/>
  <c r="Q8" i="5"/>
  <c r="R8" i="5"/>
  <c r="O9" i="5"/>
  <c r="Q9" i="5"/>
  <c r="R9" i="5"/>
  <c r="Q10" i="5"/>
  <c r="R10" i="5"/>
  <c r="O11" i="5"/>
  <c r="Q11" i="5"/>
  <c r="R11" i="5"/>
  <c r="O12" i="5"/>
  <c r="Q12" i="5"/>
  <c r="R12" i="5"/>
  <c r="R13" i="5"/>
  <c r="O14" i="5"/>
  <c r="Q14" i="5"/>
  <c r="R14" i="5"/>
  <c r="O15" i="5"/>
  <c r="Q15" i="5"/>
  <c r="R15" i="5"/>
  <c r="O16" i="5"/>
  <c r="Q16" i="5"/>
  <c r="R16" i="5"/>
  <c r="O17" i="5"/>
  <c r="Q17" i="5"/>
  <c r="R17" i="5"/>
  <c r="O18" i="5"/>
  <c r="Q18" i="5"/>
  <c r="R18" i="5"/>
  <c r="O19" i="5"/>
  <c r="Q19" i="5"/>
  <c r="R19" i="5"/>
  <c r="O20" i="5"/>
  <c r="Q20" i="5"/>
  <c r="R20" i="5"/>
  <c r="O21" i="5"/>
  <c r="Q21" i="5"/>
  <c r="R21" i="5"/>
  <c r="O22" i="5"/>
  <c r="Q22" i="5"/>
  <c r="R22" i="5"/>
  <c r="O23" i="5"/>
  <c r="Q23" i="5"/>
  <c r="R23" i="5"/>
  <c r="Q24" i="5"/>
  <c r="R24" i="5"/>
  <c r="O25" i="5"/>
  <c r="Q25" i="5"/>
  <c r="R25" i="5"/>
  <c r="M26" i="5"/>
  <c r="R26" i="5" s="1"/>
  <c r="O26" i="5"/>
  <c r="Q26" i="5"/>
  <c r="O27" i="5"/>
  <c r="Q27" i="5"/>
  <c r="R27" i="5"/>
  <c r="O28" i="5"/>
  <c r="Q28" i="5"/>
  <c r="R28" i="5"/>
  <c r="O29" i="5"/>
  <c r="Q29" i="5"/>
  <c r="R29" i="5"/>
  <c r="O30" i="5"/>
  <c r="Q30" i="5"/>
  <c r="R30" i="5"/>
  <c r="O31" i="5"/>
  <c r="Q31" i="5"/>
  <c r="R31" i="5"/>
  <c r="O32" i="5"/>
  <c r="Q32" i="5"/>
  <c r="R32" i="5"/>
  <c r="O33" i="5"/>
  <c r="Q33" i="5"/>
  <c r="R33" i="5"/>
  <c r="O34" i="5"/>
  <c r="Q34" i="5"/>
  <c r="R34" i="5"/>
  <c r="O35" i="5"/>
  <c r="Q35" i="5"/>
  <c r="R35" i="5"/>
  <c r="R36" i="5"/>
  <c r="R37" i="5"/>
  <c r="O38" i="5"/>
  <c r="Q38" i="5"/>
  <c r="R38" i="5"/>
  <c r="O39" i="5"/>
  <c r="Q39" i="5"/>
  <c r="R39" i="5"/>
  <c r="O40" i="5"/>
  <c r="Q40" i="5"/>
  <c r="R40" i="5"/>
  <c r="O41" i="5"/>
  <c r="Q41" i="5"/>
  <c r="R41" i="5"/>
  <c r="O42" i="5"/>
  <c r="Q42" i="5"/>
  <c r="R42" i="5"/>
  <c r="O43" i="5"/>
  <c r="Q43" i="5"/>
  <c r="R43" i="5"/>
  <c r="Q44" i="5"/>
  <c r="R44" i="5"/>
  <c r="O45" i="5"/>
  <c r="Q45" i="5"/>
  <c r="R45" i="5"/>
  <c r="O46" i="5"/>
  <c r="Q46" i="5"/>
  <c r="R46" i="5"/>
  <c r="O47" i="5"/>
  <c r="Q47" i="5"/>
  <c r="R47" i="5"/>
  <c r="O48" i="5"/>
  <c r="Q48" i="5"/>
  <c r="R48" i="5"/>
  <c r="O49" i="5"/>
  <c r="Q49" i="5"/>
  <c r="R49" i="5"/>
  <c r="O51" i="5"/>
  <c r="Q51" i="5"/>
  <c r="R51" i="5"/>
  <c r="O52" i="5"/>
  <c r="Q52" i="5"/>
  <c r="R52" i="5"/>
  <c r="O53" i="5"/>
  <c r="Q53" i="5"/>
  <c r="R53" i="5"/>
  <c r="O54" i="5"/>
  <c r="Q54" i="5"/>
  <c r="R54" i="5"/>
  <c r="O55" i="5"/>
  <c r="Q55" i="5"/>
  <c r="R55" i="5"/>
  <c r="O56" i="5"/>
  <c r="R56" i="5"/>
  <c r="O57" i="5"/>
  <c r="R57" i="5"/>
  <c r="O58" i="5"/>
  <c r="Q58" i="5"/>
  <c r="R58" i="5"/>
  <c r="O59" i="5"/>
  <c r="Q59" i="5"/>
  <c r="R59" i="5"/>
  <c r="O60" i="5"/>
  <c r="Q60" i="5"/>
  <c r="R60" i="5"/>
  <c r="O61" i="5"/>
  <c r="Q61" i="5"/>
  <c r="R61" i="5"/>
  <c r="O62" i="5"/>
  <c r="Q62" i="5"/>
  <c r="R62" i="5"/>
  <c r="O63" i="5"/>
  <c r="Q63" i="5"/>
  <c r="R63" i="5"/>
  <c r="O64" i="5"/>
  <c r="Q64" i="5"/>
  <c r="R64" i="5"/>
  <c r="O65" i="5"/>
  <c r="Q65" i="5"/>
  <c r="R65" i="5"/>
  <c r="O66" i="5"/>
  <c r="Q66" i="5"/>
  <c r="R66" i="5"/>
  <c r="O67" i="5"/>
  <c r="Q67" i="5"/>
  <c r="R67" i="5"/>
  <c r="Q68" i="5"/>
  <c r="R68" i="5"/>
  <c r="O69" i="5"/>
  <c r="Q69" i="5"/>
  <c r="R69" i="5"/>
  <c r="M5" i="4"/>
  <c r="CC32" i="52" l="1"/>
  <c r="CB32" i="52"/>
  <c r="CA32" i="52"/>
  <c r="BZ32" i="52"/>
  <c r="AV32" i="52"/>
  <c r="AU32" i="52"/>
  <c r="CC31" i="52"/>
  <c r="CB31" i="52"/>
  <c r="CA31" i="52"/>
  <c r="BZ31" i="52"/>
  <c r="AV31" i="52"/>
  <c r="AU31" i="52"/>
  <c r="CC30" i="52"/>
  <c r="CB30" i="52"/>
  <c r="CA30" i="52"/>
  <c r="BZ30" i="52"/>
  <c r="AV30" i="52"/>
  <c r="AU30" i="52"/>
  <c r="CC29" i="52"/>
  <c r="CB29" i="52"/>
  <c r="CA29" i="52"/>
  <c r="BZ29" i="52"/>
  <c r="AV29" i="52"/>
  <c r="AU29" i="52"/>
  <c r="CC28" i="52"/>
  <c r="CB28" i="52"/>
  <c r="CA28" i="52"/>
  <c r="BZ28" i="52"/>
  <c r="AV28" i="52"/>
  <c r="AU28" i="52"/>
  <c r="CC27" i="52"/>
  <c r="CB27" i="52"/>
  <c r="CA27" i="52"/>
  <c r="BZ27" i="52"/>
  <c r="AV27" i="52"/>
  <c r="AU27" i="52"/>
  <c r="CC26" i="52"/>
  <c r="CB26" i="52"/>
  <c r="CA26" i="52"/>
  <c r="BZ26" i="52"/>
  <c r="AV26" i="52"/>
  <c r="AU26" i="52"/>
  <c r="CC25" i="52"/>
  <c r="CB25" i="52"/>
  <c r="CA25" i="52"/>
  <c r="BZ25" i="52"/>
  <c r="AV25" i="52"/>
  <c r="AU25" i="52"/>
  <c r="AQ25" i="52"/>
  <c r="CC24" i="52"/>
  <c r="CC33" i="52" s="1"/>
  <c r="CB24" i="52"/>
  <c r="CB33" i="52" s="1"/>
  <c r="CA24" i="52"/>
  <c r="CA33" i="52" s="1"/>
  <c r="BZ24" i="52"/>
  <c r="AV24" i="52"/>
  <c r="AV33" i="52" s="1"/>
  <c r="AU24" i="52"/>
  <c r="AU33" i="52" s="1"/>
  <c r="AQ24" i="52"/>
  <c r="AF175" i="26"/>
  <c r="X175" i="26"/>
  <c r="U175" i="26"/>
  <c r="J179" i="26" l="1"/>
  <c r="J182" i="26" s="1"/>
  <c r="J177" i="26"/>
  <c r="J180" i="26" s="1"/>
  <c r="J183" i="26" s="1"/>
  <c r="J178" i="26"/>
  <c r="J181" i="26" s="1"/>
  <c r="J163" i="26"/>
  <c r="J166" i="26" s="1"/>
  <c r="J161" i="26"/>
  <c r="J164" i="26" s="1"/>
  <c r="J167" i="26" s="1"/>
  <c r="J159" i="26"/>
  <c r="J162" i="26" s="1"/>
  <c r="J165" i="26" s="1"/>
  <c r="J154" i="26"/>
  <c r="J157" i="26" s="1"/>
  <c r="J152" i="26"/>
  <c r="J155" i="26" s="1"/>
  <c r="J158" i="26" s="1"/>
  <c r="J150" i="26"/>
  <c r="J153" i="26" s="1"/>
  <c r="J156" i="26" s="1"/>
  <c r="J145" i="26"/>
  <c r="J148" i="26" s="1"/>
  <c r="AK144" i="26"/>
  <c r="AK147" i="26" s="1"/>
  <c r="AK150" i="26" s="1"/>
  <c r="AK153" i="26" s="1"/>
  <c r="AK156" i="26" s="1"/>
  <c r="AI144" i="26"/>
  <c r="AI147" i="26" s="1"/>
  <c r="AI150" i="26" s="1"/>
  <c r="AI153" i="26" s="1"/>
  <c r="AI156" i="26" s="1"/>
  <c r="J143" i="26"/>
  <c r="J146" i="26" s="1"/>
  <c r="J149" i="26" s="1"/>
  <c r="J141" i="26"/>
  <c r="J144" i="26" s="1"/>
  <c r="J147" i="26" s="1"/>
  <c r="AI159" i="26" l="1"/>
  <c r="AI162" i="26" s="1"/>
  <c r="AI165" i="26" s="1"/>
  <c r="AI175" i="26"/>
  <c r="AI178" i="26" s="1"/>
  <c r="W103" i="70"/>
  <c r="I261" i="69"/>
  <c r="I262" i="69" s="1"/>
  <c r="I260" i="69"/>
  <c r="AK175" i="26" l="1"/>
  <c r="AI181" i="26"/>
  <c r="AK181" i="26" s="1"/>
  <c r="AK178" i="26"/>
  <c r="I124" i="13" l="1"/>
  <c r="K121" i="8"/>
  <c r="P19" i="7" s="1"/>
  <c r="N19" i="10" s="1"/>
  <c r="M121" i="8"/>
  <c r="R19" i="7" s="1"/>
  <c r="P19" i="10" s="1"/>
  <c r="L121" i="8"/>
  <c r="AP20" i="10"/>
  <c r="AL20" i="10"/>
  <c r="AF20" i="10"/>
  <c r="AE20" i="10"/>
  <c r="AP19" i="10"/>
  <c r="AH19" i="10"/>
  <c r="AE19" i="10"/>
  <c r="AP18" i="10"/>
  <c r="AH18" i="10"/>
  <c r="AE18" i="10"/>
  <c r="AQ17" i="10"/>
  <c r="AP17" i="10"/>
  <c r="AH17" i="10"/>
  <c r="AE17" i="10"/>
  <c r="AN17" i="10" s="1"/>
  <c r="AQ9" i="10"/>
  <c r="AQ24" i="10"/>
  <c r="AP158" i="10"/>
  <c r="AP5" i="10"/>
  <c r="AP6" i="10"/>
  <c r="AP7" i="10"/>
  <c r="AP8" i="10"/>
  <c r="AP9" i="10"/>
  <c r="AP10" i="10"/>
  <c r="AP11" i="10"/>
  <c r="AP12" i="10"/>
  <c r="AP13" i="10"/>
  <c r="AP14" i="10"/>
  <c r="AP15" i="10"/>
  <c r="AP16" i="10"/>
  <c r="AP21" i="10"/>
  <c r="AP22" i="10"/>
  <c r="AP23" i="10"/>
  <c r="AP24" i="10"/>
  <c r="AP25" i="10"/>
  <c r="AP26" i="10"/>
  <c r="AP27" i="10"/>
  <c r="AQ27" i="10" s="1"/>
  <c r="AP28" i="10"/>
  <c r="AP29" i="10"/>
  <c r="AQ30" i="10" s="1"/>
  <c r="AP30" i="10"/>
  <c r="AP31" i="10"/>
  <c r="AP32" i="10"/>
  <c r="AP33" i="10"/>
  <c r="AP34" i="10"/>
  <c r="AP35" i="10"/>
  <c r="AP36" i="10"/>
  <c r="AP37" i="10"/>
  <c r="AP38" i="10"/>
  <c r="AP39" i="10"/>
  <c r="AQ39" i="10" s="1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Q66" i="10" s="1"/>
  <c r="AP66" i="10"/>
  <c r="AP67" i="10"/>
  <c r="AP68" i="10"/>
  <c r="AP69" i="10"/>
  <c r="AP70" i="10"/>
  <c r="AP71" i="10"/>
  <c r="AP72" i="10"/>
  <c r="AP73" i="10"/>
  <c r="AP74" i="10"/>
  <c r="AP75" i="10"/>
  <c r="AP76" i="10"/>
  <c r="AP77" i="10"/>
  <c r="AQ78" i="10" s="1"/>
  <c r="AP78" i="10"/>
  <c r="AP79" i="10"/>
  <c r="AP80" i="10"/>
  <c r="AP81" i="10"/>
  <c r="AP82" i="10"/>
  <c r="AP83" i="10"/>
  <c r="AP84" i="10"/>
  <c r="AP85" i="10"/>
  <c r="AP86" i="10"/>
  <c r="AP87" i="10"/>
  <c r="AP88" i="10"/>
  <c r="AP89" i="10"/>
  <c r="AP90" i="10"/>
  <c r="AP91" i="10"/>
  <c r="AP92" i="10"/>
  <c r="AP93" i="10"/>
  <c r="AP94" i="10"/>
  <c r="AP95" i="10"/>
  <c r="AP96" i="10"/>
  <c r="AQ96" i="10" s="1"/>
  <c r="AP97" i="10"/>
  <c r="AP98" i="10"/>
  <c r="AP99" i="10"/>
  <c r="AP100" i="10"/>
  <c r="AP101" i="10"/>
  <c r="AQ102" i="10" s="1"/>
  <c r="AP102" i="10"/>
  <c r="AP103" i="10"/>
  <c r="AP104" i="10"/>
  <c r="AP105" i="10"/>
  <c r="AP106" i="10"/>
  <c r="AP107" i="10"/>
  <c r="AP108" i="10"/>
  <c r="AQ108" i="10" s="1"/>
  <c r="AP109" i="10"/>
  <c r="AP110" i="10"/>
  <c r="AP111" i="10"/>
  <c r="AP112" i="10"/>
  <c r="AP113" i="10"/>
  <c r="AP114" i="10"/>
  <c r="AP115" i="10"/>
  <c r="AP116" i="10"/>
  <c r="AP117" i="10"/>
  <c r="AP118" i="10"/>
  <c r="AP119" i="10"/>
  <c r="AP120" i="10"/>
  <c r="AP121" i="10"/>
  <c r="AP122" i="10"/>
  <c r="AP123" i="10"/>
  <c r="AP124" i="10"/>
  <c r="AQ124" i="10" s="1"/>
  <c r="AP125" i="10"/>
  <c r="AP126" i="10"/>
  <c r="AP127" i="10"/>
  <c r="AP128" i="10"/>
  <c r="AP129" i="10"/>
  <c r="AP130" i="10"/>
  <c r="AP131" i="10"/>
  <c r="AP132" i="10"/>
  <c r="AP133" i="10"/>
  <c r="AP134" i="10"/>
  <c r="AP135" i="10"/>
  <c r="AP136" i="10"/>
  <c r="AP137" i="10"/>
  <c r="AP138" i="10"/>
  <c r="AP139" i="10"/>
  <c r="AP140" i="10"/>
  <c r="AP141" i="10"/>
  <c r="AP142" i="10"/>
  <c r="AP143" i="10"/>
  <c r="AP144" i="10"/>
  <c r="AP145" i="10"/>
  <c r="AP146" i="10"/>
  <c r="AP147" i="10"/>
  <c r="AQ147" i="10" s="1"/>
  <c r="AP148" i="10"/>
  <c r="AP149" i="10"/>
  <c r="AP150" i="10"/>
  <c r="AP151" i="10"/>
  <c r="AP152" i="10"/>
  <c r="AP153" i="10"/>
  <c r="AP154" i="10"/>
  <c r="AP155" i="10"/>
  <c r="AP156" i="10"/>
  <c r="AP157" i="10"/>
  <c r="H124" i="13"/>
  <c r="A5" i="13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68" i="13" s="1"/>
  <c r="T24" i="52"/>
  <c r="V24" i="52" s="1"/>
  <c r="D24" i="52"/>
  <c r="B24" i="52"/>
  <c r="AE64" i="10"/>
  <c r="AE65" i="10"/>
  <c r="AE66" i="10"/>
  <c r="AE67" i="10"/>
  <c r="AE68" i="10"/>
  <c r="AE69" i="10"/>
  <c r="AE70" i="10"/>
  <c r="AE71" i="10"/>
  <c r="AE72" i="10"/>
  <c r="AE73" i="10"/>
  <c r="AE74" i="10"/>
  <c r="AE75" i="10"/>
  <c r="AE76" i="10"/>
  <c r="AE77" i="10"/>
  <c r="AE78" i="10"/>
  <c r="AE79" i="10"/>
  <c r="AE80" i="10"/>
  <c r="AE81" i="10"/>
  <c r="AE82" i="10"/>
  <c r="AE83" i="10"/>
  <c r="AE84" i="10"/>
  <c r="AE85" i="10"/>
  <c r="AE86" i="10"/>
  <c r="AE87" i="10"/>
  <c r="AE88" i="10"/>
  <c r="AE89" i="10"/>
  <c r="AE90" i="10"/>
  <c r="AE91" i="10"/>
  <c r="AE92" i="10"/>
  <c r="AE93" i="10"/>
  <c r="AE94" i="10"/>
  <c r="AE95" i="10"/>
  <c r="AE96" i="10"/>
  <c r="AE97" i="10"/>
  <c r="AE98" i="10"/>
  <c r="AE99" i="10"/>
  <c r="AE100" i="10"/>
  <c r="AE101" i="10"/>
  <c r="AE102" i="10"/>
  <c r="AE103" i="10"/>
  <c r="AE104" i="10"/>
  <c r="AE105" i="10"/>
  <c r="AE106" i="10"/>
  <c r="AE107" i="10"/>
  <c r="AE108" i="10"/>
  <c r="AE109" i="10"/>
  <c r="AE110" i="10"/>
  <c r="AE111" i="10"/>
  <c r="AE112" i="10"/>
  <c r="AE113" i="10"/>
  <c r="AE114" i="10"/>
  <c r="AE115" i="10"/>
  <c r="AE116" i="10"/>
  <c r="AE117" i="10"/>
  <c r="AE118" i="10"/>
  <c r="AE119" i="10"/>
  <c r="AE120" i="10"/>
  <c r="AE121" i="10"/>
  <c r="AE122" i="10"/>
  <c r="AE123" i="10"/>
  <c r="AE124" i="10"/>
  <c r="AE125" i="10"/>
  <c r="AE126" i="10"/>
  <c r="AE127" i="10"/>
  <c r="AE128" i="10"/>
  <c r="AE129" i="10"/>
  <c r="AE130" i="10"/>
  <c r="AE131" i="10"/>
  <c r="AE132" i="10"/>
  <c r="AE133" i="10"/>
  <c r="AE134" i="10"/>
  <c r="AE135" i="10"/>
  <c r="AE136" i="10"/>
  <c r="AE137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E150" i="10"/>
  <c r="AE151" i="10"/>
  <c r="AE152" i="10"/>
  <c r="AE153" i="10"/>
  <c r="AE154" i="10"/>
  <c r="AE155" i="10"/>
  <c r="AE156" i="10"/>
  <c r="AE157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E38" i="10"/>
  <c r="AE39" i="10"/>
  <c r="AE40" i="10"/>
  <c r="AE41" i="10"/>
  <c r="AE42" i="10"/>
  <c r="AE43" i="10"/>
  <c r="AE44" i="10"/>
  <c r="AE45" i="10"/>
  <c r="AE46" i="10"/>
  <c r="AE47" i="10"/>
  <c r="AE48" i="10"/>
  <c r="AE49" i="10"/>
  <c r="AE50" i="10"/>
  <c r="AE51" i="10"/>
  <c r="AE52" i="10"/>
  <c r="AE53" i="10"/>
  <c r="AE54" i="10"/>
  <c r="AE55" i="10"/>
  <c r="AE56" i="10"/>
  <c r="AE57" i="10"/>
  <c r="AE58" i="10"/>
  <c r="AE59" i="10"/>
  <c r="AE60" i="10"/>
  <c r="AE61" i="10"/>
  <c r="M19" i="7"/>
  <c r="K19" i="10" s="1"/>
  <c r="L19" i="7"/>
  <c r="J19" i="10" s="1"/>
  <c r="Q19" i="7"/>
  <c r="O19" i="10" s="1"/>
  <c r="O19" i="7"/>
  <c r="T14" i="13"/>
  <c r="O14" i="13"/>
  <c r="AH5" i="10"/>
  <c r="AN5" i="10"/>
  <c r="AH6" i="10"/>
  <c r="AN6" i="10"/>
  <c r="AH7" i="10"/>
  <c r="AN7" i="10"/>
  <c r="AF8" i="10"/>
  <c r="AL8" i="10"/>
  <c r="AM8" i="10"/>
  <c r="AH9" i="10"/>
  <c r="AN9" i="10"/>
  <c r="AF159" i="10"/>
  <c r="AF161" i="10"/>
  <c r="AF163" i="10"/>
  <c r="AF165" i="10"/>
  <c r="AF167" i="10"/>
  <c r="AF65" i="10"/>
  <c r="AF71" i="10"/>
  <c r="AF77" i="10"/>
  <c r="AF82" i="10"/>
  <c r="AF89" i="10"/>
  <c r="AF92" i="10"/>
  <c r="AF95" i="10"/>
  <c r="AF98" i="10"/>
  <c r="AF101" i="10"/>
  <c r="AF105" i="10"/>
  <c r="AF107" i="10"/>
  <c r="AF113" i="10"/>
  <c r="AF118" i="10"/>
  <c r="AF123" i="10"/>
  <c r="AF125" i="10"/>
  <c r="AF127" i="10"/>
  <c r="AF130" i="10"/>
  <c r="AF133" i="10"/>
  <c r="AF135" i="10"/>
  <c r="AF138" i="10"/>
  <c r="AF141" i="10"/>
  <c r="AF143" i="10"/>
  <c r="AF145" i="10"/>
  <c r="AF148" i="10"/>
  <c r="AF150" i="10"/>
  <c r="AF154" i="10"/>
  <c r="AF10" i="10"/>
  <c r="AF13" i="10"/>
  <c r="AF15" i="10"/>
  <c r="AF23" i="10"/>
  <c r="AF26" i="10"/>
  <c r="AF29" i="10"/>
  <c r="AF32" i="10"/>
  <c r="AF35" i="10"/>
  <c r="AF38" i="10"/>
  <c r="AF41" i="10"/>
  <c r="AF44" i="10"/>
  <c r="AF49" i="10"/>
  <c r="AF50" i="10"/>
  <c r="AF56" i="10"/>
  <c r="AF59" i="10"/>
  <c r="AQ45" i="10"/>
  <c r="AQ57" i="10"/>
  <c r="AQ61" i="10"/>
  <c r="AQ86" i="10"/>
  <c r="AQ90" i="10"/>
  <c r="AQ129" i="10"/>
  <c r="AQ139" i="10"/>
  <c r="AQ152" i="10"/>
  <c r="AA5" i="10"/>
  <c r="AA6" i="10"/>
  <c r="AA7" i="10"/>
  <c r="AA8" i="10"/>
  <c r="AA10" i="10"/>
  <c r="AA12" i="10"/>
  <c r="AA13" i="10"/>
  <c r="AA15" i="10"/>
  <c r="AA16" i="10"/>
  <c r="AA18" i="10"/>
  <c r="AA20" i="10"/>
  <c r="AA22" i="10"/>
  <c r="AA23" i="10"/>
  <c r="AA25" i="10"/>
  <c r="AA26" i="10"/>
  <c r="AA28" i="10"/>
  <c r="AA29" i="10"/>
  <c r="AA31" i="10"/>
  <c r="AA32" i="10"/>
  <c r="AA34" i="10"/>
  <c r="AA35" i="10"/>
  <c r="AA37" i="10"/>
  <c r="AA38" i="10"/>
  <c r="AA40" i="10"/>
  <c r="AA41" i="10"/>
  <c r="AA43" i="10"/>
  <c r="AA44" i="10"/>
  <c r="AA46" i="10"/>
  <c r="AA47" i="10"/>
  <c r="AA48" i="10"/>
  <c r="AA49" i="10"/>
  <c r="AA50" i="10"/>
  <c r="AA52" i="10"/>
  <c r="AA53" i="10"/>
  <c r="AA54" i="10"/>
  <c r="AA55" i="10"/>
  <c r="AA56" i="10"/>
  <c r="AA58" i="10"/>
  <c r="AA59" i="10"/>
  <c r="AA60" i="10"/>
  <c r="AA62" i="10"/>
  <c r="AA63" i="10"/>
  <c r="AA64" i="10"/>
  <c r="AA65" i="10"/>
  <c r="AA67" i="10"/>
  <c r="AA68" i="10"/>
  <c r="AA69" i="10"/>
  <c r="AA70" i="10"/>
  <c r="AA71" i="10"/>
  <c r="AA73" i="10"/>
  <c r="AA74" i="10"/>
  <c r="AA75" i="10"/>
  <c r="AA76" i="10"/>
  <c r="AA77" i="10"/>
  <c r="AA79" i="10"/>
  <c r="AA80" i="10"/>
  <c r="AA81" i="10"/>
  <c r="AA82" i="10"/>
  <c r="AA83" i="10"/>
  <c r="AA84" i="10"/>
  <c r="AA85" i="10"/>
  <c r="AA87" i="10"/>
  <c r="AA88" i="10"/>
  <c r="AA89" i="10"/>
  <c r="AA91" i="10"/>
  <c r="AA92" i="10"/>
  <c r="AA94" i="10"/>
  <c r="AA95" i="10"/>
  <c r="AA97" i="10"/>
  <c r="AA98" i="10"/>
  <c r="AA100" i="10"/>
  <c r="AA101" i="10"/>
  <c r="AA103" i="10"/>
  <c r="AA104" i="10"/>
  <c r="AA105" i="10"/>
  <c r="AA107" i="10"/>
  <c r="AA109" i="10"/>
  <c r="AA110" i="10"/>
  <c r="AA111" i="10"/>
  <c r="AA112" i="10"/>
  <c r="AA113" i="10"/>
  <c r="AA115" i="10"/>
  <c r="AA116" i="10"/>
  <c r="AA117" i="10"/>
  <c r="AA118" i="10"/>
  <c r="AA120" i="10"/>
  <c r="AA121" i="10"/>
  <c r="AA122" i="10"/>
  <c r="AA123" i="10"/>
  <c r="AA128" i="10"/>
  <c r="AA130" i="10"/>
  <c r="AA133" i="10"/>
  <c r="AA135" i="10"/>
  <c r="AA137" i="10"/>
  <c r="AA138" i="10"/>
  <c r="AA140" i="10"/>
  <c r="AA141" i="10"/>
  <c r="AA143" i="10"/>
  <c r="AA145" i="10"/>
  <c r="AA146" i="10"/>
  <c r="AA148" i="10"/>
  <c r="AA150" i="10"/>
  <c r="AA151" i="10"/>
  <c r="AA153" i="10"/>
  <c r="AA154" i="10"/>
  <c r="AA156" i="10"/>
  <c r="AA157" i="10"/>
  <c r="AB5" i="10"/>
  <c r="AB6" i="10"/>
  <c r="AB7" i="10"/>
  <c r="AB8" i="10"/>
  <c r="AB10" i="10"/>
  <c r="AB12" i="10"/>
  <c r="AB13" i="10"/>
  <c r="AB15" i="10"/>
  <c r="AB16" i="10"/>
  <c r="AB18" i="10"/>
  <c r="AB20" i="10"/>
  <c r="AB22" i="10"/>
  <c r="AB23" i="10"/>
  <c r="AB25" i="10"/>
  <c r="AB26" i="10"/>
  <c r="AB28" i="10"/>
  <c r="AB29" i="10"/>
  <c r="AB31" i="10"/>
  <c r="AB32" i="10"/>
  <c r="AB34" i="10"/>
  <c r="AB35" i="10"/>
  <c r="AB37" i="10"/>
  <c r="AB38" i="10"/>
  <c r="AB40" i="10"/>
  <c r="AB41" i="10"/>
  <c r="AB43" i="10"/>
  <c r="AB44" i="10"/>
  <c r="AB46" i="10"/>
  <c r="AB47" i="10"/>
  <c r="AB48" i="10"/>
  <c r="AB49" i="10"/>
  <c r="AB50" i="10"/>
  <c r="AB52" i="10"/>
  <c r="AB53" i="10"/>
  <c r="AB54" i="10"/>
  <c r="AB55" i="10"/>
  <c r="AB56" i="10"/>
  <c r="AB58" i="10"/>
  <c r="AB59" i="10"/>
  <c r="AB60" i="10"/>
  <c r="AB62" i="10"/>
  <c r="AB63" i="10"/>
  <c r="AB64" i="10"/>
  <c r="AB65" i="10"/>
  <c r="AB67" i="10"/>
  <c r="AB68" i="10"/>
  <c r="AB69" i="10"/>
  <c r="AB70" i="10"/>
  <c r="AB71" i="10"/>
  <c r="AB73" i="10"/>
  <c r="AB74" i="10"/>
  <c r="AB75" i="10"/>
  <c r="AB76" i="10"/>
  <c r="AB77" i="10"/>
  <c r="AB79" i="10"/>
  <c r="AB80" i="10"/>
  <c r="AB81" i="10"/>
  <c r="AB82" i="10"/>
  <c r="AB83" i="10"/>
  <c r="AB84" i="10"/>
  <c r="AB85" i="10"/>
  <c r="AB87" i="10"/>
  <c r="AB88" i="10"/>
  <c r="AB89" i="10"/>
  <c r="AB91" i="10"/>
  <c r="AB92" i="10"/>
  <c r="AB94" i="10"/>
  <c r="AB95" i="10"/>
  <c r="AB97" i="10"/>
  <c r="AB98" i="10"/>
  <c r="AB100" i="10"/>
  <c r="AB101" i="10"/>
  <c r="AB103" i="10"/>
  <c r="AB104" i="10"/>
  <c r="AB105" i="10"/>
  <c r="AB107" i="10"/>
  <c r="AB109" i="10"/>
  <c r="AB110" i="10"/>
  <c r="AB111" i="10"/>
  <c r="AB112" i="10"/>
  <c r="AB113" i="10"/>
  <c r="AB115" i="10"/>
  <c r="AB116" i="10"/>
  <c r="AB117" i="10"/>
  <c r="AB118" i="10"/>
  <c r="AB120" i="10"/>
  <c r="AB121" i="10"/>
  <c r="AB122" i="10"/>
  <c r="AB123" i="10"/>
  <c r="AB128" i="10"/>
  <c r="AB130" i="10"/>
  <c r="AB133" i="10"/>
  <c r="AB135" i="10"/>
  <c r="AB137" i="10"/>
  <c r="AB138" i="10"/>
  <c r="AB140" i="10"/>
  <c r="AB141" i="10"/>
  <c r="AB143" i="10"/>
  <c r="AB145" i="10"/>
  <c r="AB146" i="10"/>
  <c r="AB148" i="10"/>
  <c r="AB150" i="10"/>
  <c r="AB151" i="10"/>
  <c r="AB153" i="10"/>
  <c r="AB154" i="10"/>
  <c r="AB156" i="10"/>
  <c r="AB157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62" i="10"/>
  <c r="AE63" i="10"/>
  <c r="AE158" i="10"/>
  <c r="A19" i="10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D19" i="10"/>
  <c r="AE18" i="70" s="1"/>
  <c r="AZ177" i="22"/>
  <c r="AZ178" i="22"/>
  <c r="AZ179" i="22"/>
  <c r="AZ180" i="22"/>
  <c r="AZ181" i="22"/>
  <c r="AZ182" i="22"/>
  <c r="AZ183" i="22"/>
  <c r="AY172" i="22"/>
  <c r="AY173" i="22"/>
  <c r="AY174" i="22"/>
  <c r="AY175" i="22"/>
  <c r="AY176" i="22"/>
  <c r="AY171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70" i="22"/>
  <c r="AY71" i="22"/>
  <c r="AY72" i="22"/>
  <c r="AY73" i="22"/>
  <c r="AY74" i="22"/>
  <c r="AY75" i="22"/>
  <c r="AY76" i="22"/>
  <c r="AY77" i="22"/>
  <c r="AY78" i="22"/>
  <c r="AY79" i="22"/>
  <c r="AY80" i="22"/>
  <c r="A80" i="22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BY26" i="22"/>
  <c r="BY30" i="22"/>
  <c r="BY31" i="22"/>
  <c r="BY32" i="22" s="1"/>
  <c r="BY33" i="22"/>
  <c r="BY34" i="22" s="1"/>
  <c r="BY35" i="22"/>
  <c r="BY36" i="22" s="1"/>
  <c r="BY37" i="22"/>
  <c r="BY38" i="22" s="1"/>
  <c r="BY39" i="22" s="1"/>
  <c r="BY40" i="22"/>
  <c r="BY41" i="22" s="1"/>
  <c r="BY44" i="22"/>
  <c r="BY45" i="22" s="1"/>
  <c r="BY46" i="22" s="1"/>
  <c r="BY47" i="22" s="1"/>
  <c r="BY48" i="22"/>
  <c r="BY49" i="22" s="1"/>
  <c r="BY50" i="22" s="1"/>
  <c r="BY52" i="22"/>
  <c r="BY53" i="22" s="1"/>
  <c r="BY55" i="22"/>
  <c r="BY56" i="22" s="1"/>
  <c r="BY57" i="22"/>
  <c r="BY58" i="22" s="1"/>
  <c r="BY59" i="22" s="1"/>
  <c r="BY60" i="22" s="1"/>
  <c r="BY61" i="22" s="1"/>
  <c r="BY62" i="22" s="1"/>
  <c r="BY63" i="22" s="1"/>
  <c r="BY64" i="22" s="1"/>
  <c r="BY65" i="22" s="1"/>
  <c r="BY66" i="22" s="1"/>
  <c r="BY67" i="22" s="1"/>
  <c r="BY68" i="22"/>
  <c r="BY5" i="22"/>
  <c r="BY6" i="22" s="1"/>
  <c r="BY7" i="22" s="1"/>
  <c r="BY10" i="22"/>
  <c r="BY11" i="22" s="1"/>
  <c r="BY12" i="22"/>
  <c r="BY13" i="22"/>
  <c r="BY14" i="22"/>
  <c r="BY15" i="22" s="1"/>
  <c r="BY16" i="22" s="1"/>
  <c r="BY17" i="22"/>
  <c r="BY18" i="22" s="1"/>
  <c r="BY19" i="22"/>
  <c r="BY20" i="22" s="1"/>
  <c r="BY21" i="22"/>
  <c r="BY23" i="22"/>
  <c r="BY24" i="22"/>
  <c r="BY25" i="22" s="1"/>
  <c r="BX184" i="22"/>
  <c r="BX5" i="22"/>
  <c r="BX6" i="22"/>
  <c r="BX7" i="22"/>
  <c r="BX8" i="22"/>
  <c r="BX9" i="22"/>
  <c r="BX10" i="22"/>
  <c r="BX11" i="22"/>
  <c r="BX12" i="22"/>
  <c r="BX13" i="22"/>
  <c r="BX14" i="22"/>
  <c r="BX15" i="22"/>
  <c r="BX16" i="22"/>
  <c r="BX17" i="22"/>
  <c r="BX18" i="22"/>
  <c r="BX19" i="22"/>
  <c r="BX20" i="22"/>
  <c r="BX21" i="22"/>
  <c r="BX22" i="22"/>
  <c r="BX23" i="22"/>
  <c r="BX24" i="22"/>
  <c r="BX25" i="22"/>
  <c r="BX26" i="22"/>
  <c r="BX27" i="22"/>
  <c r="BX28" i="22"/>
  <c r="BX29" i="22"/>
  <c r="BX30" i="22"/>
  <c r="BX31" i="22"/>
  <c r="BX32" i="22"/>
  <c r="BX33" i="22"/>
  <c r="BX34" i="22"/>
  <c r="BX35" i="22"/>
  <c r="BX36" i="22"/>
  <c r="BX37" i="22"/>
  <c r="BX38" i="22"/>
  <c r="BX39" i="22"/>
  <c r="BX40" i="22"/>
  <c r="BX41" i="22"/>
  <c r="BX42" i="22"/>
  <c r="BX43" i="22"/>
  <c r="BX44" i="22"/>
  <c r="BX45" i="22"/>
  <c r="BX46" i="22"/>
  <c r="BX47" i="22"/>
  <c r="BX48" i="22"/>
  <c r="BX49" i="22"/>
  <c r="BX50" i="22"/>
  <c r="BX51" i="22"/>
  <c r="BX52" i="22"/>
  <c r="BX53" i="22"/>
  <c r="BX54" i="22"/>
  <c r="BX55" i="22"/>
  <c r="BX56" i="22"/>
  <c r="BX57" i="22"/>
  <c r="BX58" i="22"/>
  <c r="BX59" i="22"/>
  <c r="BX60" i="22"/>
  <c r="BX61" i="22"/>
  <c r="BX62" i="22"/>
  <c r="BX63" i="22"/>
  <c r="BX64" i="22"/>
  <c r="BX65" i="22"/>
  <c r="BX66" i="22"/>
  <c r="BX67" i="22"/>
  <c r="BX68" i="22"/>
  <c r="BX69" i="22"/>
  <c r="BX70" i="22"/>
  <c r="BX71" i="22"/>
  <c r="BX72" i="22"/>
  <c r="BX73" i="22"/>
  <c r="BX74" i="22"/>
  <c r="BX75" i="22"/>
  <c r="BX76" i="22"/>
  <c r="BX77" i="22"/>
  <c r="BX78" i="22"/>
  <c r="BX79" i="22"/>
  <c r="BX80" i="22"/>
  <c r="BX81" i="22"/>
  <c r="BX82" i="22"/>
  <c r="BX83" i="22"/>
  <c r="BX84" i="22"/>
  <c r="BX85" i="22"/>
  <c r="BX86" i="22"/>
  <c r="BX87" i="22"/>
  <c r="BX88" i="22"/>
  <c r="BX89" i="22"/>
  <c r="BX90" i="22"/>
  <c r="BX91" i="22"/>
  <c r="BX92" i="22"/>
  <c r="BX93" i="22"/>
  <c r="BX94" i="22"/>
  <c r="BX95" i="22"/>
  <c r="BX96" i="22"/>
  <c r="BX97" i="22"/>
  <c r="BX98" i="22"/>
  <c r="BX99" i="22"/>
  <c r="BX100" i="22"/>
  <c r="BX101" i="22"/>
  <c r="BX102" i="22"/>
  <c r="BX103" i="22"/>
  <c r="BX104" i="22"/>
  <c r="BX105" i="22"/>
  <c r="BX106" i="22"/>
  <c r="BX107" i="22"/>
  <c r="BX108" i="22"/>
  <c r="BX109" i="22"/>
  <c r="BX110" i="22"/>
  <c r="BX111" i="22"/>
  <c r="BX112" i="22"/>
  <c r="BX113" i="22"/>
  <c r="BX114" i="22"/>
  <c r="BX115" i="22"/>
  <c r="BX116" i="22"/>
  <c r="BX117" i="22"/>
  <c r="BX118" i="22"/>
  <c r="BX119" i="22"/>
  <c r="BX120" i="22"/>
  <c r="BX121" i="22"/>
  <c r="BX122" i="22"/>
  <c r="BX123" i="22"/>
  <c r="BX124" i="22"/>
  <c r="BX125" i="22"/>
  <c r="BX126" i="22"/>
  <c r="BX127" i="22"/>
  <c r="BX128" i="22"/>
  <c r="BX129" i="22"/>
  <c r="BX130" i="22"/>
  <c r="BX131" i="22"/>
  <c r="BX132" i="22"/>
  <c r="BX133" i="22"/>
  <c r="BX134" i="22"/>
  <c r="BX135" i="22"/>
  <c r="BX136" i="22"/>
  <c r="BX137" i="22"/>
  <c r="BX138" i="22"/>
  <c r="BX139" i="22"/>
  <c r="BX140" i="22"/>
  <c r="BX141" i="22"/>
  <c r="BX142" i="22"/>
  <c r="BX143" i="22"/>
  <c r="BX144" i="22"/>
  <c r="BX145" i="22"/>
  <c r="BX146" i="22"/>
  <c r="BX147" i="22"/>
  <c r="BX148" i="22"/>
  <c r="BX149" i="22"/>
  <c r="BX150" i="22"/>
  <c r="BX151" i="22"/>
  <c r="BX152" i="22"/>
  <c r="BX153" i="22"/>
  <c r="BX154" i="22"/>
  <c r="BX155" i="22"/>
  <c r="BX156" i="22"/>
  <c r="BX157" i="22"/>
  <c r="BX158" i="22"/>
  <c r="BX159" i="22"/>
  <c r="BX160" i="22"/>
  <c r="BX161" i="22"/>
  <c r="BX162" i="22"/>
  <c r="BX163" i="22"/>
  <c r="BX164" i="22"/>
  <c r="BX165" i="22"/>
  <c r="BX166" i="22"/>
  <c r="BX167" i="22"/>
  <c r="BX168" i="22"/>
  <c r="BX169" i="22"/>
  <c r="BX170" i="22"/>
  <c r="BX171" i="22"/>
  <c r="BX172" i="22"/>
  <c r="BX173" i="22"/>
  <c r="BX174" i="22"/>
  <c r="BX175" i="22"/>
  <c r="BX176" i="22"/>
  <c r="BX177" i="22"/>
  <c r="BX178" i="22"/>
  <c r="BX179" i="22"/>
  <c r="BX180" i="22"/>
  <c r="BX181" i="22"/>
  <c r="BX182" i="22"/>
  <c r="BX183" i="22"/>
  <c r="AJ79" i="22"/>
  <c r="AF79" i="22"/>
  <c r="AE79" i="22"/>
  <c r="AD79" i="22"/>
  <c r="Z79" i="22"/>
  <c r="AA79" i="22" s="1"/>
  <c r="E79" i="22"/>
  <c r="A79" i="22"/>
  <c r="J120" i="8"/>
  <c r="J19" i="7" s="1"/>
  <c r="AF19" i="10" s="1"/>
  <c r="M120" i="8"/>
  <c r="L120" i="8"/>
  <c r="K19" i="7"/>
  <c r="I19" i="10" s="1"/>
  <c r="AO79" i="22" l="1"/>
  <c r="O124" i="13"/>
  <c r="AQ18" i="10"/>
  <c r="AQ19" i="10" s="1"/>
  <c r="AM20" i="10"/>
  <c r="AN18" i="10"/>
  <c r="AN19" i="10"/>
  <c r="AQ62" i="10"/>
  <c r="R19" i="10"/>
  <c r="S14" i="13" s="1"/>
  <c r="I24" i="52"/>
  <c r="U24" i="52"/>
  <c r="AA24" i="52"/>
  <c r="AG79" i="22"/>
  <c r="AK79" i="22"/>
  <c r="S24" i="52" l="1"/>
  <c r="N27" i="4" l="1"/>
  <c r="S260" i="69" l="1"/>
  <c r="T260" i="69"/>
  <c r="T261" i="69"/>
  <c r="T262" i="69" s="1"/>
  <c r="AR4" i="22"/>
  <c r="K32" i="4" l="1"/>
  <c r="AF62" i="19" l="1"/>
  <c r="J280" i="68"/>
  <c r="J278" i="68"/>
  <c r="J277" i="68"/>
  <c r="J275" i="68"/>
  <c r="J274" i="68"/>
  <c r="J272" i="68"/>
  <c r="J267" i="68"/>
  <c r="J270" i="68" s="1"/>
  <c r="J265" i="68"/>
  <c r="J268" i="68" s="1"/>
  <c r="J271" i="68" s="1"/>
  <c r="J263" i="68"/>
  <c r="J266" i="68" s="1"/>
  <c r="J269" i="68" s="1"/>
  <c r="J258" i="68"/>
  <c r="J261" i="68" s="1"/>
  <c r="AK257" i="68"/>
  <c r="AK260" i="68" s="1"/>
  <c r="AK263" i="68" s="1"/>
  <c r="AK266" i="68" s="1"/>
  <c r="AK269" i="68" s="1"/>
  <c r="AI257" i="68"/>
  <c r="AI260" i="68" s="1"/>
  <c r="AI263" i="68" s="1"/>
  <c r="AI266" i="68" s="1"/>
  <c r="AI269" i="68" s="1"/>
  <c r="J256" i="68"/>
  <c r="J259" i="68" s="1"/>
  <c r="J262" i="68" s="1"/>
  <c r="J254" i="68"/>
  <c r="J257" i="68" s="1"/>
  <c r="J260" i="68" s="1"/>
  <c r="J242" i="68"/>
  <c r="J240" i="68"/>
  <c r="J239" i="68"/>
  <c r="J237" i="68"/>
  <c r="J236" i="68"/>
  <c r="J234" i="68"/>
  <c r="J229" i="68"/>
  <c r="J232" i="68" s="1"/>
  <c r="J227" i="68"/>
  <c r="J230" i="68" s="1"/>
  <c r="J233" i="68" s="1"/>
  <c r="J225" i="68"/>
  <c r="J228" i="68" s="1"/>
  <c r="J231" i="68" s="1"/>
  <c r="J220" i="68"/>
  <c r="J223" i="68" s="1"/>
  <c r="AK219" i="68"/>
  <c r="AK222" i="68" s="1"/>
  <c r="AK225" i="68" s="1"/>
  <c r="AK228" i="68" s="1"/>
  <c r="AK231" i="68" s="1"/>
  <c r="AI219" i="68"/>
  <c r="AI222" i="68" s="1"/>
  <c r="AI225" i="68" s="1"/>
  <c r="AI228" i="68" s="1"/>
  <c r="AI231" i="68" s="1"/>
  <c r="J218" i="68"/>
  <c r="J221" i="68" s="1"/>
  <c r="J224" i="68" s="1"/>
  <c r="J216" i="68"/>
  <c r="J219" i="68" s="1"/>
  <c r="J222" i="68" s="1"/>
  <c r="J93" i="68"/>
  <c r="J96" i="68" s="1"/>
  <c r="J91" i="68"/>
  <c r="J94" i="68" s="1"/>
  <c r="J97" i="68" s="1"/>
  <c r="J89" i="68"/>
  <c r="J92" i="68" s="1"/>
  <c r="J95" i="68" s="1"/>
  <c r="J146" i="68"/>
  <c r="J149" i="68" s="1"/>
  <c r="J144" i="68"/>
  <c r="J147" i="68" s="1"/>
  <c r="J150" i="68" s="1"/>
  <c r="J142" i="68"/>
  <c r="J145" i="68" s="1"/>
  <c r="J148" i="68" s="1"/>
  <c r="J183" i="68"/>
  <c r="J186" i="68" s="1"/>
  <c r="J181" i="68"/>
  <c r="J184" i="68" s="1"/>
  <c r="J187" i="68" s="1"/>
  <c r="J179" i="68"/>
  <c r="J182" i="68" s="1"/>
  <c r="J185" i="68" s="1"/>
  <c r="J205" i="68"/>
  <c r="J203" i="68"/>
  <c r="J202" i="68"/>
  <c r="J200" i="68"/>
  <c r="J199" i="68"/>
  <c r="J197" i="68"/>
  <c r="J192" i="68"/>
  <c r="J195" i="68" s="1"/>
  <c r="J190" i="68"/>
  <c r="J193" i="68" s="1"/>
  <c r="J196" i="68" s="1"/>
  <c r="J188" i="68"/>
  <c r="J191" i="68" s="1"/>
  <c r="J194" i="68" s="1"/>
  <c r="AK182" i="68"/>
  <c r="AK185" i="68" s="1"/>
  <c r="AK188" i="68" s="1"/>
  <c r="AK191" i="68" s="1"/>
  <c r="AK194" i="68" s="1"/>
  <c r="AI182" i="68"/>
  <c r="AI185" i="68" s="1"/>
  <c r="AI188" i="68" s="1"/>
  <c r="AI191" i="68" s="1"/>
  <c r="AI194" i="68" s="1"/>
  <c r="J168" i="68"/>
  <c r="J166" i="68"/>
  <c r="J165" i="68"/>
  <c r="J163" i="68"/>
  <c r="J162" i="68"/>
  <c r="J160" i="68"/>
  <c r="J155" i="68"/>
  <c r="J158" i="68" s="1"/>
  <c r="J153" i="68"/>
  <c r="J156" i="68" s="1"/>
  <c r="J159" i="68" s="1"/>
  <c r="J151" i="68"/>
  <c r="J154" i="68" s="1"/>
  <c r="J157" i="68" s="1"/>
  <c r="AK145" i="68"/>
  <c r="AK148" i="68" s="1"/>
  <c r="AK151" i="68" s="1"/>
  <c r="AK154" i="68" s="1"/>
  <c r="AK157" i="68" s="1"/>
  <c r="AI145" i="68"/>
  <c r="AI148" i="68" s="1"/>
  <c r="AI151" i="68" s="1"/>
  <c r="AI154" i="68" s="1"/>
  <c r="AI157" i="68" s="1"/>
  <c r="J44" i="68"/>
  <c r="J47" i="68" s="1"/>
  <c r="J42" i="68"/>
  <c r="J45" i="68" s="1"/>
  <c r="J48" i="68" s="1"/>
  <c r="J40" i="68"/>
  <c r="J43" i="68" s="1"/>
  <c r="J46" i="68" s="1"/>
  <c r="J115" i="68"/>
  <c r="J113" i="68"/>
  <c r="J112" i="68"/>
  <c r="J110" i="68"/>
  <c r="J109" i="68"/>
  <c r="J107" i="68"/>
  <c r="J102" i="68"/>
  <c r="J105" i="68" s="1"/>
  <c r="J100" i="68"/>
  <c r="J103" i="68" s="1"/>
  <c r="J106" i="68" s="1"/>
  <c r="J98" i="68"/>
  <c r="J101" i="68" s="1"/>
  <c r="J104" i="68" s="1"/>
  <c r="AK92" i="68"/>
  <c r="AK95" i="68" s="1"/>
  <c r="AK98" i="68" s="1"/>
  <c r="AK101" i="68" s="1"/>
  <c r="AK104" i="68" s="1"/>
  <c r="AI92" i="68"/>
  <c r="AI95" i="68" s="1"/>
  <c r="AI98" i="68" s="1"/>
  <c r="AI101" i="68" s="1"/>
  <c r="AI104" i="68" s="1"/>
  <c r="AK43" i="68"/>
  <c r="AK46" i="68" s="1"/>
  <c r="AI43" i="68"/>
  <c r="AI46" i="68" s="1"/>
  <c r="AI272" i="68" l="1"/>
  <c r="AI275" i="68" s="1"/>
  <c r="AI278" i="68" s="1"/>
  <c r="AI197" i="68"/>
  <c r="AI200" i="68" s="1"/>
  <c r="AI203" i="68" s="1"/>
  <c r="AI234" i="68"/>
  <c r="AI237" i="68" s="1"/>
  <c r="AI240" i="68" s="1"/>
  <c r="AI160" i="68"/>
  <c r="AI163" i="68" s="1"/>
  <c r="AI166" i="68" s="1"/>
  <c r="AI107" i="68"/>
  <c r="AI110" i="68" s="1"/>
  <c r="AI113" i="68" s="1"/>
  <c r="E2" i="18" l="1"/>
  <c r="AU57" i="5" l="1"/>
  <c r="AV57" i="5"/>
  <c r="AW57" i="5"/>
  <c r="AW56" i="5"/>
  <c r="AV56" i="5"/>
  <c r="AU56" i="5"/>
  <c r="AF332" i="68" l="1"/>
  <c r="AJ332" i="68" s="1"/>
  <c r="O314" i="68"/>
  <c r="O315" i="68" s="1"/>
  <c r="O316" i="68" s="1"/>
  <c r="O317" i="68" s="1"/>
  <c r="O318" i="68" s="1"/>
  <c r="O319" i="68" s="1"/>
  <c r="O320" i="68" s="1"/>
  <c r="O321" i="68" s="1"/>
  <c r="O322" i="68" s="1"/>
  <c r="O323" i="68" s="1"/>
  <c r="O325" i="68" s="1"/>
  <c r="O326" i="68" s="1"/>
  <c r="O327" i="68" s="1"/>
  <c r="O328" i="68" s="1"/>
  <c r="O329" i="68" s="1"/>
  <c r="O330" i="68" s="1"/>
  <c r="L314" i="68"/>
  <c r="L315" i="68" s="1"/>
  <c r="L316" i="68" s="1"/>
  <c r="L317" i="68" s="1"/>
  <c r="L318" i="68" s="1"/>
  <c r="L319" i="68" s="1"/>
  <c r="L320" i="68" s="1"/>
  <c r="L321" i="68" s="1"/>
  <c r="L322" i="68" s="1"/>
  <c r="L323" i="68" s="1"/>
  <c r="L325" i="68" s="1"/>
  <c r="L326" i="68" s="1"/>
  <c r="L327" i="68" s="1"/>
  <c r="L328" i="68" s="1"/>
  <c r="L329" i="68" s="1"/>
  <c r="L330" i="68" s="1"/>
  <c r="A297" i="68"/>
  <c r="X297" i="68" s="1"/>
  <c r="X296" i="68"/>
  <c r="O296" i="68"/>
  <c r="O297" i="68" s="1"/>
  <c r="O298" i="68" s="1"/>
  <c r="O299" i="68" s="1"/>
  <c r="O300" i="68" s="1"/>
  <c r="O301" i="68" s="1"/>
  <c r="O302" i="68" s="1"/>
  <c r="O303" i="68" s="1"/>
  <c r="O304" i="68" s="1"/>
  <c r="O305" i="68" s="1"/>
  <c r="L296" i="68"/>
  <c r="L297" i="68" s="1"/>
  <c r="L298" i="68" s="1"/>
  <c r="L299" i="68" s="1"/>
  <c r="L300" i="68" s="1"/>
  <c r="L301" i="68" s="1"/>
  <c r="L302" i="68" s="1"/>
  <c r="L303" i="68" s="1"/>
  <c r="L304" i="68" s="1"/>
  <c r="L305" i="68" s="1"/>
  <c r="J66" i="68"/>
  <c r="J64" i="68"/>
  <c r="J63" i="68"/>
  <c r="J61" i="68"/>
  <c r="J60" i="68"/>
  <c r="J58" i="68"/>
  <c r="J53" i="68"/>
  <c r="J56" i="68" s="1"/>
  <c r="J51" i="68"/>
  <c r="J54" i="68" s="1"/>
  <c r="J57" i="68" s="1"/>
  <c r="J49" i="68"/>
  <c r="J52" i="68" s="1"/>
  <c r="J55" i="68" s="1"/>
  <c r="AK49" i="68"/>
  <c r="AK52" i="68" s="1"/>
  <c r="AK55" i="68" s="1"/>
  <c r="AI49" i="68"/>
  <c r="AI52" i="68" s="1"/>
  <c r="AI55" i="68" s="1"/>
  <c r="AF174" i="67"/>
  <c r="AJ174" i="67" s="1"/>
  <c r="O156" i="67"/>
  <c r="O157" i="67" s="1"/>
  <c r="O158" i="67" s="1"/>
  <c r="O159" i="67" s="1"/>
  <c r="O160" i="67" s="1"/>
  <c r="O161" i="67" s="1"/>
  <c r="O162" i="67" s="1"/>
  <c r="O163" i="67" s="1"/>
  <c r="O164" i="67" s="1"/>
  <c r="O165" i="67" s="1"/>
  <c r="O167" i="67" s="1"/>
  <c r="O168" i="67" s="1"/>
  <c r="O169" i="67" s="1"/>
  <c r="O170" i="67" s="1"/>
  <c r="O171" i="67" s="1"/>
  <c r="O172" i="67" s="1"/>
  <c r="L156" i="67"/>
  <c r="L157" i="67" s="1"/>
  <c r="L158" i="67" s="1"/>
  <c r="L159" i="67" s="1"/>
  <c r="L160" i="67" s="1"/>
  <c r="L161" i="67" s="1"/>
  <c r="L162" i="67" s="1"/>
  <c r="L163" i="67" s="1"/>
  <c r="L164" i="67" s="1"/>
  <c r="L165" i="67" s="1"/>
  <c r="L167" i="67" s="1"/>
  <c r="L168" i="67" s="1"/>
  <c r="L169" i="67" s="1"/>
  <c r="L170" i="67" s="1"/>
  <c r="L171" i="67" s="1"/>
  <c r="L172" i="67" s="1"/>
  <c r="A139" i="67"/>
  <c r="X138" i="67"/>
  <c r="O138" i="67"/>
  <c r="O139" i="67" s="1"/>
  <c r="O140" i="67" s="1"/>
  <c r="O141" i="67" s="1"/>
  <c r="O142" i="67" s="1"/>
  <c r="O143" i="67" s="1"/>
  <c r="O144" i="67" s="1"/>
  <c r="O145" i="67" s="1"/>
  <c r="O146" i="67" s="1"/>
  <c r="O147" i="67" s="1"/>
  <c r="L138" i="67"/>
  <c r="L139" i="67" s="1"/>
  <c r="L140" i="67" s="1"/>
  <c r="L141" i="67" s="1"/>
  <c r="L142" i="67" s="1"/>
  <c r="L143" i="67" s="1"/>
  <c r="L144" i="67" s="1"/>
  <c r="L145" i="67" s="1"/>
  <c r="L146" i="67" s="1"/>
  <c r="L147" i="67" s="1"/>
  <c r="O106" i="67"/>
  <c r="O103" i="67"/>
  <c r="J101" i="67"/>
  <c r="J104" i="67" s="1"/>
  <c r="J107" i="67" s="1"/>
  <c r="J99" i="67"/>
  <c r="J102" i="67" s="1"/>
  <c r="J105" i="67" s="1"/>
  <c r="J108" i="67" s="1"/>
  <c r="O97" i="67"/>
  <c r="J97" i="67"/>
  <c r="J100" i="67" s="1"/>
  <c r="J103" i="67" s="1"/>
  <c r="J106" i="67" s="1"/>
  <c r="O94" i="67"/>
  <c r="J92" i="67"/>
  <c r="J95" i="67" s="1"/>
  <c r="J90" i="67"/>
  <c r="J93" i="67" s="1"/>
  <c r="J96" i="67" s="1"/>
  <c r="J88" i="67"/>
  <c r="J91" i="67" s="1"/>
  <c r="J94" i="67" s="1"/>
  <c r="O85" i="67"/>
  <c r="O88" i="67" s="1"/>
  <c r="J83" i="67"/>
  <c r="J86" i="67" s="1"/>
  <c r="AK82" i="67"/>
  <c r="AK85" i="67" s="1"/>
  <c r="AK88" i="67" s="1"/>
  <c r="AK91" i="67" s="1"/>
  <c r="AK94" i="67" s="1"/>
  <c r="AI82" i="67"/>
  <c r="AI85" i="67" s="1"/>
  <c r="AI88" i="67" s="1"/>
  <c r="AI91" i="67" s="1"/>
  <c r="AI94" i="67" s="1"/>
  <c r="O82" i="67"/>
  <c r="J81" i="67"/>
  <c r="J84" i="67" s="1"/>
  <c r="J87" i="67" s="1"/>
  <c r="J79" i="67"/>
  <c r="J82" i="67" s="1"/>
  <c r="J85" i="67" s="1"/>
  <c r="O66" i="67"/>
  <c r="O63" i="67"/>
  <c r="J61" i="67"/>
  <c r="J64" i="67" s="1"/>
  <c r="J67" i="67" s="1"/>
  <c r="J59" i="67"/>
  <c r="J62" i="67" s="1"/>
  <c r="J65" i="67" s="1"/>
  <c r="J68" i="67" s="1"/>
  <c r="O57" i="67"/>
  <c r="J57" i="67"/>
  <c r="J60" i="67" s="1"/>
  <c r="J63" i="67" s="1"/>
  <c r="J66" i="67" s="1"/>
  <c r="O54" i="67"/>
  <c r="J52" i="67"/>
  <c r="J55" i="67" s="1"/>
  <c r="J50" i="67"/>
  <c r="J53" i="67" s="1"/>
  <c r="J56" i="67" s="1"/>
  <c r="J48" i="67"/>
  <c r="J51" i="67" s="1"/>
  <c r="J54" i="67" s="1"/>
  <c r="O45" i="67"/>
  <c r="O48" i="67" s="1"/>
  <c r="J43" i="67"/>
  <c r="J46" i="67" s="1"/>
  <c r="AK42" i="67"/>
  <c r="AK45" i="67" s="1"/>
  <c r="AK48" i="67" s="1"/>
  <c r="AK51" i="67" s="1"/>
  <c r="AK54" i="67" s="1"/>
  <c r="AI42" i="67"/>
  <c r="AI45" i="67" s="1"/>
  <c r="AI48" i="67" s="1"/>
  <c r="AI51" i="67" s="1"/>
  <c r="AI54" i="67" s="1"/>
  <c r="O42" i="67"/>
  <c r="J41" i="67"/>
  <c r="J44" i="67" s="1"/>
  <c r="J47" i="67" s="1"/>
  <c r="J39" i="67"/>
  <c r="J42" i="67" s="1"/>
  <c r="J45" i="67" s="1"/>
  <c r="AF126" i="66"/>
  <c r="AJ126" i="66" s="1"/>
  <c r="O108" i="66"/>
  <c r="O109" i="66" s="1"/>
  <c r="O110" i="66" s="1"/>
  <c r="O111" i="66" s="1"/>
  <c r="O112" i="66" s="1"/>
  <c r="O113" i="66" s="1"/>
  <c r="O114" i="66" s="1"/>
  <c r="O115" i="66" s="1"/>
  <c r="O116" i="66" s="1"/>
  <c r="O117" i="66" s="1"/>
  <c r="O119" i="66" s="1"/>
  <c r="O120" i="66" s="1"/>
  <c r="O121" i="66" s="1"/>
  <c r="O122" i="66" s="1"/>
  <c r="O123" i="66" s="1"/>
  <c r="O124" i="66" s="1"/>
  <c r="L108" i="66"/>
  <c r="L109" i="66" s="1"/>
  <c r="L110" i="66" s="1"/>
  <c r="L111" i="66" s="1"/>
  <c r="L112" i="66" s="1"/>
  <c r="L113" i="66" s="1"/>
  <c r="L114" i="66" s="1"/>
  <c r="L115" i="66" s="1"/>
  <c r="L116" i="66" s="1"/>
  <c r="L117" i="66" s="1"/>
  <c r="L119" i="66" s="1"/>
  <c r="L120" i="66" s="1"/>
  <c r="L121" i="66" s="1"/>
  <c r="L122" i="66" s="1"/>
  <c r="L123" i="66" s="1"/>
  <c r="L124" i="66" s="1"/>
  <c r="A91" i="66"/>
  <c r="X90" i="66"/>
  <c r="O90" i="66"/>
  <c r="O91" i="66" s="1"/>
  <c r="O92" i="66" s="1"/>
  <c r="O93" i="66" s="1"/>
  <c r="O94" i="66" s="1"/>
  <c r="O95" i="66" s="1"/>
  <c r="O96" i="66" s="1"/>
  <c r="O97" i="66" s="1"/>
  <c r="O98" i="66" s="1"/>
  <c r="O99" i="66" s="1"/>
  <c r="L90" i="66"/>
  <c r="L91" i="66" s="1"/>
  <c r="L92" i="66" s="1"/>
  <c r="L93" i="66" s="1"/>
  <c r="L94" i="66" s="1"/>
  <c r="L95" i="66" s="1"/>
  <c r="L96" i="66" s="1"/>
  <c r="L97" i="66" s="1"/>
  <c r="L98" i="66" s="1"/>
  <c r="L99" i="66" s="1"/>
  <c r="O67" i="66"/>
  <c r="O64" i="66"/>
  <c r="J62" i="66"/>
  <c r="J65" i="66" s="1"/>
  <c r="J68" i="66" s="1"/>
  <c r="J60" i="66"/>
  <c r="J63" i="66" s="1"/>
  <c r="J66" i="66" s="1"/>
  <c r="J69" i="66" s="1"/>
  <c r="O58" i="66"/>
  <c r="J58" i="66"/>
  <c r="J61" i="66" s="1"/>
  <c r="J64" i="66" s="1"/>
  <c r="J67" i="66" s="1"/>
  <c r="O55" i="66"/>
  <c r="J53" i="66"/>
  <c r="J56" i="66" s="1"/>
  <c r="J51" i="66"/>
  <c r="J54" i="66" s="1"/>
  <c r="J57" i="66" s="1"/>
  <c r="J49" i="66"/>
  <c r="J52" i="66" s="1"/>
  <c r="J55" i="66" s="1"/>
  <c r="O46" i="66"/>
  <c r="O49" i="66" s="1"/>
  <c r="J44" i="66"/>
  <c r="J47" i="66" s="1"/>
  <c r="AK43" i="66"/>
  <c r="AK46" i="66" s="1"/>
  <c r="AK49" i="66" s="1"/>
  <c r="AK52" i="66" s="1"/>
  <c r="AK55" i="66" s="1"/>
  <c r="AI43" i="66"/>
  <c r="AI46" i="66" s="1"/>
  <c r="AI49" i="66" s="1"/>
  <c r="AI52" i="66" s="1"/>
  <c r="AI55" i="66" s="1"/>
  <c r="O43" i="66"/>
  <c r="J42" i="66"/>
  <c r="J45" i="66" s="1"/>
  <c r="J48" i="66" s="1"/>
  <c r="J40" i="66"/>
  <c r="J43" i="66" s="1"/>
  <c r="J46" i="66" s="1"/>
  <c r="AF127" i="65"/>
  <c r="AJ127" i="65" s="1"/>
  <c r="O109" i="65"/>
  <c r="O110" i="65" s="1"/>
  <c r="O111" i="65" s="1"/>
  <c r="O112" i="65" s="1"/>
  <c r="O113" i="65" s="1"/>
  <c r="O114" i="65" s="1"/>
  <c r="O115" i="65" s="1"/>
  <c r="O116" i="65" s="1"/>
  <c r="O117" i="65" s="1"/>
  <c r="O118" i="65" s="1"/>
  <c r="O120" i="65" s="1"/>
  <c r="O121" i="65" s="1"/>
  <c r="O122" i="65" s="1"/>
  <c r="O123" i="65" s="1"/>
  <c r="O124" i="65" s="1"/>
  <c r="O125" i="65" s="1"/>
  <c r="L109" i="65"/>
  <c r="L110" i="65" s="1"/>
  <c r="L111" i="65" s="1"/>
  <c r="L112" i="65" s="1"/>
  <c r="L113" i="65" s="1"/>
  <c r="L114" i="65" s="1"/>
  <c r="L115" i="65" s="1"/>
  <c r="L116" i="65" s="1"/>
  <c r="L117" i="65" s="1"/>
  <c r="L118" i="65" s="1"/>
  <c r="L120" i="65" s="1"/>
  <c r="L121" i="65" s="1"/>
  <c r="L122" i="65" s="1"/>
  <c r="L123" i="65" s="1"/>
  <c r="L124" i="65" s="1"/>
  <c r="L125" i="65" s="1"/>
  <c r="A92" i="65"/>
  <c r="A93" i="65" s="1"/>
  <c r="X91" i="65"/>
  <c r="O91" i="65"/>
  <c r="O92" i="65" s="1"/>
  <c r="O93" i="65" s="1"/>
  <c r="O94" i="65" s="1"/>
  <c r="O95" i="65" s="1"/>
  <c r="O96" i="65" s="1"/>
  <c r="O97" i="65" s="1"/>
  <c r="O98" i="65" s="1"/>
  <c r="O99" i="65" s="1"/>
  <c r="O100" i="65" s="1"/>
  <c r="O101" i="65" s="1"/>
  <c r="L91" i="65"/>
  <c r="L92" i="65" s="1"/>
  <c r="L93" i="65" s="1"/>
  <c r="L94" i="65" s="1"/>
  <c r="L95" i="65" s="1"/>
  <c r="L96" i="65" s="1"/>
  <c r="L97" i="65" s="1"/>
  <c r="L98" i="65" s="1"/>
  <c r="L99" i="65" s="1"/>
  <c r="L100" i="65" s="1"/>
  <c r="O67" i="65"/>
  <c r="O64" i="65"/>
  <c r="J62" i="65"/>
  <c r="J65" i="65" s="1"/>
  <c r="J68" i="65" s="1"/>
  <c r="J60" i="65"/>
  <c r="J63" i="65" s="1"/>
  <c r="J66" i="65" s="1"/>
  <c r="J69" i="65" s="1"/>
  <c r="O58" i="65"/>
  <c r="J58" i="65"/>
  <c r="J61" i="65" s="1"/>
  <c r="J64" i="65" s="1"/>
  <c r="J67" i="65" s="1"/>
  <c r="O55" i="65"/>
  <c r="J53" i="65"/>
  <c r="J56" i="65" s="1"/>
  <c r="J51" i="65"/>
  <c r="J54" i="65" s="1"/>
  <c r="J57" i="65" s="1"/>
  <c r="J49" i="65"/>
  <c r="J52" i="65" s="1"/>
  <c r="J55" i="65" s="1"/>
  <c r="O46" i="65"/>
  <c r="O49" i="65" s="1"/>
  <c r="J44" i="65"/>
  <c r="J47" i="65" s="1"/>
  <c r="AK43" i="65"/>
  <c r="AK46" i="65" s="1"/>
  <c r="AK49" i="65" s="1"/>
  <c r="AK52" i="65" s="1"/>
  <c r="AK55" i="65" s="1"/>
  <c r="AI43" i="65"/>
  <c r="AI46" i="65" s="1"/>
  <c r="AI49" i="65" s="1"/>
  <c r="AI52" i="65" s="1"/>
  <c r="AI55" i="65" s="1"/>
  <c r="O43" i="65"/>
  <c r="J42" i="65"/>
  <c r="J45" i="65" s="1"/>
  <c r="J48" i="65" s="1"/>
  <c r="J40" i="65"/>
  <c r="J43" i="65" s="1"/>
  <c r="J46" i="65" s="1"/>
  <c r="A119" i="64"/>
  <c r="A120" i="64"/>
  <c r="A121" i="64" s="1"/>
  <c r="A122" i="64" s="1"/>
  <c r="A123" i="64" s="1"/>
  <c r="A124" i="64" s="1"/>
  <c r="A125" i="64" s="1"/>
  <c r="A126" i="64" s="1"/>
  <c r="A127" i="64" s="1"/>
  <c r="AK43" i="63"/>
  <c r="AK46" i="63" s="1"/>
  <c r="AK49" i="63" s="1"/>
  <c r="AK52" i="63" s="1"/>
  <c r="AK55" i="63" s="1"/>
  <c r="AI43" i="63"/>
  <c r="AI46" i="63" s="1"/>
  <c r="AI49" i="63" s="1"/>
  <c r="AI52" i="63" s="1"/>
  <c r="AI55" i="63" s="1"/>
  <c r="J62" i="63"/>
  <c r="J65" i="63" s="1"/>
  <c r="J68" i="63" s="1"/>
  <c r="J60" i="63"/>
  <c r="J63" i="63" s="1"/>
  <c r="J58" i="63"/>
  <c r="J61" i="63" s="1"/>
  <c r="J64" i="63" s="1"/>
  <c r="J67" i="63" s="1"/>
  <c r="J53" i="63"/>
  <c r="J56" i="63" s="1"/>
  <c r="J51" i="63"/>
  <c r="J54" i="63" s="1"/>
  <c r="J57" i="63" s="1"/>
  <c r="J49" i="63"/>
  <c r="J52" i="63" s="1"/>
  <c r="J55" i="63" s="1"/>
  <c r="J44" i="63"/>
  <c r="J47" i="63" s="1"/>
  <c r="J42" i="63"/>
  <c r="J45" i="63" s="1"/>
  <c r="J48" i="63" s="1"/>
  <c r="J40" i="63"/>
  <c r="J43" i="63" s="1"/>
  <c r="J46" i="63" s="1"/>
  <c r="O67" i="63"/>
  <c r="O64" i="63"/>
  <c r="O58" i="63"/>
  <c r="O55" i="63"/>
  <c r="AK43" i="64"/>
  <c r="AK46" i="64" s="1"/>
  <c r="AK49" i="64" s="1"/>
  <c r="AK52" i="64" s="1"/>
  <c r="AK55" i="64" s="1"/>
  <c r="AI43" i="64"/>
  <c r="AI46" i="64" s="1"/>
  <c r="AI49" i="64" s="1"/>
  <c r="AI52" i="64" s="1"/>
  <c r="AI55" i="64" s="1"/>
  <c r="J62" i="64"/>
  <c r="J65" i="64" s="1"/>
  <c r="J68" i="64" s="1"/>
  <c r="J60" i="64"/>
  <c r="J63" i="64" s="1"/>
  <c r="J58" i="64"/>
  <c r="J61" i="64" s="1"/>
  <c r="J64" i="64" s="1"/>
  <c r="J67" i="64" s="1"/>
  <c r="J53" i="64"/>
  <c r="J56" i="64" s="1"/>
  <c r="J51" i="64"/>
  <c r="J54" i="64" s="1"/>
  <c r="J49" i="64"/>
  <c r="J52" i="64" s="1"/>
  <c r="J55" i="64" s="1"/>
  <c r="J44" i="64"/>
  <c r="J47" i="64" s="1"/>
  <c r="J42" i="64"/>
  <c r="J45" i="64" s="1"/>
  <c r="J48" i="64" s="1"/>
  <c r="J40" i="64"/>
  <c r="J43" i="64" s="1"/>
  <c r="J46" i="64" s="1"/>
  <c r="A101" i="62"/>
  <c r="A102" i="62"/>
  <c r="A103" i="62" s="1"/>
  <c r="A104" i="62" s="1"/>
  <c r="A105" i="62" s="1"/>
  <c r="A106" i="62" s="1"/>
  <c r="A107" i="62" s="1"/>
  <c r="A108" i="62" s="1"/>
  <c r="A109" i="62" s="1"/>
  <c r="A110" i="62" s="1"/>
  <c r="A111" i="62" s="1"/>
  <c r="A112" i="62" s="1"/>
  <c r="A113" i="62" s="1"/>
  <c r="A114" i="62" s="1"/>
  <c r="A115" i="62" s="1"/>
  <c r="A116" i="62" s="1"/>
  <c r="A117" i="62" s="1"/>
  <c r="A118" i="62" s="1"/>
  <c r="A119" i="62" s="1"/>
  <c r="A120" i="62" s="1"/>
  <c r="A121" i="62" s="1"/>
  <c r="A122" i="62" s="1"/>
  <c r="A123" i="62" s="1"/>
  <c r="A124" i="62" s="1"/>
  <c r="A125" i="62" s="1"/>
  <c r="A126" i="62" s="1"/>
  <c r="A127" i="62" s="1"/>
  <c r="A128" i="62" s="1"/>
  <c r="A129" i="62" s="1"/>
  <c r="A130" i="62" s="1"/>
  <c r="A131" i="62" s="1"/>
  <c r="A132" i="62" s="1"/>
  <c r="A133" i="62" s="1"/>
  <c r="A134" i="62" s="1"/>
  <c r="A135" i="62" s="1"/>
  <c r="A298" i="68" l="1"/>
  <c r="A299" i="68" s="1"/>
  <c r="X299" i="68" s="1"/>
  <c r="L324" i="68"/>
  <c r="L331" i="68"/>
  <c r="O331" i="68"/>
  <c r="O324" i="68"/>
  <c r="L307" i="68"/>
  <c r="L308" i="68" s="1"/>
  <c r="L309" i="68" s="1"/>
  <c r="L310" i="68" s="1"/>
  <c r="L311" i="68" s="1"/>
  <c r="L312" i="68" s="1"/>
  <c r="L313" i="68" s="1"/>
  <c r="L306" i="68"/>
  <c r="O307" i="68"/>
  <c r="O308" i="68" s="1"/>
  <c r="O309" i="68" s="1"/>
  <c r="O310" i="68" s="1"/>
  <c r="O311" i="68" s="1"/>
  <c r="O312" i="68" s="1"/>
  <c r="O313" i="68" s="1"/>
  <c r="O306" i="68"/>
  <c r="A300" i="68"/>
  <c r="X298" i="68"/>
  <c r="AI58" i="68"/>
  <c r="L149" i="67"/>
  <c r="L150" i="67" s="1"/>
  <c r="L151" i="67" s="1"/>
  <c r="L152" i="67" s="1"/>
  <c r="L153" i="67" s="1"/>
  <c r="L154" i="67" s="1"/>
  <c r="L155" i="67" s="1"/>
  <c r="L148" i="67"/>
  <c r="O149" i="67"/>
  <c r="O150" i="67" s="1"/>
  <c r="O151" i="67" s="1"/>
  <c r="O152" i="67" s="1"/>
  <c r="O153" i="67" s="1"/>
  <c r="O154" i="67" s="1"/>
  <c r="O155" i="67" s="1"/>
  <c r="O148" i="67"/>
  <c r="O173" i="67"/>
  <c r="O166" i="67"/>
  <c r="L173" i="67"/>
  <c r="L166" i="67"/>
  <c r="A140" i="67"/>
  <c r="X139" i="67"/>
  <c r="AI97" i="67"/>
  <c r="AI100" i="67" s="1"/>
  <c r="AI57" i="67"/>
  <c r="L100" i="66"/>
  <c r="L101" i="66"/>
  <c r="L102" i="66" s="1"/>
  <c r="L103" i="66" s="1"/>
  <c r="L104" i="66" s="1"/>
  <c r="L105" i="66" s="1"/>
  <c r="L106" i="66" s="1"/>
  <c r="L107" i="66" s="1"/>
  <c r="O101" i="66"/>
  <c r="O102" i="66" s="1"/>
  <c r="O103" i="66" s="1"/>
  <c r="O104" i="66" s="1"/>
  <c r="O105" i="66" s="1"/>
  <c r="O106" i="66" s="1"/>
  <c r="O107" i="66" s="1"/>
  <c r="O100" i="66"/>
  <c r="O118" i="66"/>
  <c r="O125" i="66"/>
  <c r="L118" i="66"/>
  <c r="L125" i="66"/>
  <c r="X91" i="66"/>
  <c r="A92" i="66"/>
  <c r="AI58" i="66"/>
  <c r="L119" i="65"/>
  <c r="L126" i="65"/>
  <c r="O119" i="65"/>
  <c r="O126" i="65"/>
  <c r="L101" i="65"/>
  <c r="L102" i="65"/>
  <c r="L103" i="65" s="1"/>
  <c r="L104" i="65" s="1"/>
  <c r="L105" i="65" s="1"/>
  <c r="L106" i="65" s="1"/>
  <c r="L107" i="65" s="1"/>
  <c r="L108" i="65" s="1"/>
  <c r="X93" i="65"/>
  <c r="A94" i="65"/>
  <c r="O102" i="65"/>
  <c r="O103" i="65" s="1"/>
  <c r="O104" i="65" s="1"/>
  <c r="O105" i="65" s="1"/>
  <c r="O106" i="65" s="1"/>
  <c r="O107" i="65" s="1"/>
  <c r="O108" i="65" s="1"/>
  <c r="X92" i="65"/>
  <c r="AI58" i="65"/>
  <c r="AI64" i="65" s="1"/>
  <c r="AI67" i="65" s="1"/>
  <c r="AI58" i="63"/>
  <c r="J66" i="63"/>
  <c r="J69" i="63" s="1"/>
  <c r="AI58" i="64"/>
  <c r="J57" i="64"/>
  <c r="J66" i="64"/>
  <c r="J69" i="64" s="1"/>
  <c r="AI61" i="65" l="1"/>
  <c r="X300" i="68"/>
  <c r="A301" i="68"/>
  <c r="AI61" i="68"/>
  <c r="AI64" i="68" s="1"/>
  <c r="A141" i="67"/>
  <c r="X140" i="67"/>
  <c r="AI103" i="67"/>
  <c r="AI106" i="67" s="1"/>
  <c r="AI60" i="67"/>
  <c r="AI63" i="67"/>
  <c r="AI66" i="67" s="1"/>
  <c r="A93" i="66"/>
  <c r="X92" i="66"/>
  <c r="AI61" i="66"/>
  <c r="AI64" i="66"/>
  <c r="AI67" i="66" s="1"/>
  <c r="A95" i="65"/>
  <c r="X94" i="65"/>
  <c r="AI64" i="63"/>
  <c r="AI67" i="63" s="1"/>
  <c r="AI61" i="63"/>
  <c r="AI61" i="64"/>
  <c r="AI64" i="64"/>
  <c r="AI67" i="64" s="1"/>
  <c r="X301" i="68" l="1"/>
  <c r="A302" i="68"/>
  <c r="A142" i="67"/>
  <c r="X141" i="67"/>
  <c r="A94" i="66"/>
  <c r="X93" i="66"/>
  <c r="A96" i="65"/>
  <c r="X95" i="65"/>
  <c r="AK43" i="62"/>
  <c r="AK46" i="62" s="1"/>
  <c r="AK49" i="62" s="1"/>
  <c r="AK52" i="62" s="1"/>
  <c r="AK55" i="62" s="1"/>
  <c r="AI43" i="62"/>
  <c r="AI46" i="62" s="1"/>
  <c r="AI49" i="62" s="1"/>
  <c r="AI52" i="62" s="1"/>
  <c r="AI55" i="62" s="1"/>
  <c r="J62" i="62"/>
  <c r="J65" i="62" s="1"/>
  <c r="J68" i="62" s="1"/>
  <c r="J60" i="62"/>
  <c r="J63" i="62" s="1"/>
  <c r="J66" i="62" s="1"/>
  <c r="J69" i="62" s="1"/>
  <c r="J58" i="62"/>
  <c r="J61" i="62" s="1"/>
  <c r="J64" i="62" s="1"/>
  <c r="J67" i="62" s="1"/>
  <c r="J53" i="62"/>
  <c r="J56" i="62" s="1"/>
  <c r="J51" i="62"/>
  <c r="J54" i="62" s="1"/>
  <c r="J57" i="62" s="1"/>
  <c r="J49" i="62"/>
  <c r="J52" i="62" s="1"/>
  <c r="J55" i="62" s="1"/>
  <c r="J44" i="62"/>
  <c r="J47" i="62" s="1"/>
  <c r="J42" i="62"/>
  <c r="J45" i="62" s="1"/>
  <c r="J48" i="62" s="1"/>
  <c r="J40" i="62"/>
  <c r="J43" i="62" s="1"/>
  <c r="J46" i="62" s="1"/>
  <c r="A303" i="68" l="1"/>
  <c r="X302" i="68"/>
  <c r="X142" i="67"/>
  <c r="A143" i="67"/>
  <c r="A95" i="66"/>
  <c r="X94" i="66"/>
  <c r="X96" i="65"/>
  <c r="A97" i="65"/>
  <c r="AK165" i="47"/>
  <c r="AK168" i="47" s="1"/>
  <c r="AK171" i="47" s="1"/>
  <c r="AK174" i="47" s="1"/>
  <c r="AK177" i="47" s="1"/>
  <c r="AI165" i="47"/>
  <c r="AI168" i="47" s="1"/>
  <c r="AI171" i="47" s="1"/>
  <c r="AI174" i="47" s="1"/>
  <c r="AI177" i="47" s="1"/>
  <c r="AK110" i="47"/>
  <c r="AK113" i="47" s="1"/>
  <c r="AI110" i="47"/>
  <c r="AI113" i="47" s="1"/>
  <c r="AK43" i="47"/>
  <c r="AK46" i="47" s="1"/>
  <c r="AI43" i="47"/>
  <c r="AI46" i="47" s="1"/>
  <c r="AK253" i="46"/>
  <c r="AK256" i="46" s="1"/>
  <c r="AK259" i="46" s="1"/>
  <c r="AK262" i="46" s="1"/>
  <c r="AK265" i="46" s="1"/>
  <c r="AI253" i="46"/>
  <c r="AI256" i="46" s="1"/>
  <c r="AI259" i="46" s="1"/>
  <c r="AI262" i="46" s="1"/>
  <c r="AI265" i="46" s="1"/>
  <c r="AK206" i="46"/>
  <c r="AK209" i="46" s="1"/>
  <c r="AI206" i="46"/>
  <c r="AI209" i="46" s="1"/>
  <c r="AK165" i="46"/>
  <c r="AK168" i="46" s="1"/>
  <c r="AI165" i="46"/>
  <c r="AI168" i="46" s="1"/>
  <c r="AK107" i="46"/>
  <c r="AK110" i="46" s="1"/>
  <c r="AI107" i="46"/>
  <c r="AI110" i="46" s="1"/>
  <c r="AK44" i="46"/>
  <c r="AK47" i="46" s="1"/>
  <c r="AI44" i="46"/>
  <c r="AI47" i="46" s="1"/>
  <c r="AK281" i="44"/>
  <c r="AK284" i="44" s="1"/>
  <c r="AI281" i="44"/>
  <c r="AI284" i="44" s="1"/>
  <c r="AK247" i="44"/>
  <c r="AK250" i="44" s="1"/>
  <c r="AI247" i="44"/>
  <c r="AI250" i="44" s="1"/>
  <c r="AK204" i="44"/>
  <c r="AK207" i="44" s="1"/>
  <c r="AI204" i="44"/>
  <c r="AI207" i="44" s="1"/>
  <c r="AK147" i="44"/>
  <c r="AK150" i="44" s="1"/>
  <c r="AI147" i="44"/>
  <c r="AI150" i="44" s="1"/>
  <c r="AK92" i="44"/>
  <c r="AK95" i="44" s="1"/>
  <c r="AI92" i="44"/>
  <c r="AI95" i="44" s="1"/>
  <c r="AK43" i="44"/>
  <c r="AK46" i="44" s="1"/>
  <c r="AI43" i="44"/>
  <c r="AI46" i="44" s="1"/>
  <c r="J191" i="43"/>
  <c r="J194" i="43" s="1"/>
  <c r="J189" i="43"/>
  <c r="J192" i="43" s="1"/>
  <c r="J195" i="43" s="1"/>
  <c r="J187" i="43"/>
  <c r="J190" i="43" s="1"/>
  <c r="J193" i="43" s="1"/>
  <c r="AK163" i="43"/>
  <c r="AK166" i="43" s="1"/>
  <c r="AK169" i="43" s="1"/>
  <c r="AK172" i="43" s="1"/>
  <c r="AK175" i="43" s="1"/>
  <c r="AI163" i="43"/>
  <c r="AI166" i="43" s="1"/>
  <c r="AI169" i="43" s="1"/>
  <c r="AI172" i="43" s="1"/>
  <c r="AI175" i="43" s="1"/>
  <c r="AK103" i="43"/>
  <c r="AK106" i="43" s="1"/>
  <c r="AI103" i="43"/>
  <c r="AI106" i="43" s="1"/>
  <c r="AK43" i="43"/>
  <c r="AK46" i="43" s="1"/>
  <c r="AI43" i="43"/>
  <c r="AI46" i="43" s="1"/>
  <c r="A721" i="41"/>
  <c r="A722" i="41" s="1"/>
  <c r="A723" i="41" s="1"/>
  <c r="A724" i="41" s="1"/>
  <c r="A725" i="41" s="1"/>
  <c r="A726" i="41" s="1"/>
  <c r="A727" i="41" s="1"/>
  <c r="A728" i="41" s="1"/>
  <c r="A729" i="41" s="1"/>
  <c r="A730" i="41" s="1"/>
  <c r="A731" i="41" s="1"/>
  <c r="A732" i="41" s="1"/>
  <c r="A733" i="41" s="1"/>
  <c r="A734" i="41" s="1"/>
  <c r="A735" i="41" s="1"/>
  <c r="A736" i="41" s="1"/>
  <c r="A737" i="41" s="1"/>
  <c r="A738" i="41" s="1"/>
  <c r="A739" i="41" s="1"/>
  <c r="A740" i="41" s="1"/>
  <c r="A741" i="41" s="1"/>
  <c r="A742" i="41" s="1"/>
  <c r="A743" i="41" s="1"/>
  <c r="A744" i="41" s="1"/>
  <c r="A745" i="41" s="1"/>
  <c r="A746" i="41" s="1"/>
  <c r="A747" i="41" s="1"/>
  <c r="A748" i="41" s="1"/>
  <c r="A749" i="41" s="1"/>
  <c r="A750" i="41" s="1"/>
  <c r="A751" i="41" s="1"/>
  <c r="A752" i="41" s="1"/>
  <c r="A753" i="41" s="1"/>
  <c r="A754" i="41" s="1"/>
  <c r="A755" i="41" s="1"/>
  <c r="AK672" i="41"/>
  <c r="AK675" i="41" s="1"/>
  <c r="AI672" i="41"/>
  <c r="AI675" i="41" s="1"/>
  <c r="AK619" i="41"/>
  <c r="AK622" i="41" s="1"/>
  <c r="AI619" i="41"/>
  <c r="AI622" i="41" s="1"/>
  <c r="AK566" i="41"/>
  <c r="AK569" i="41" s="1"/>
  <c r="AI566" i="41"/>
  <c r="AI569" i="41" s="1"/>
  <c r="AK518" i="41"/>
  <c r="AK521" i="41" s="1"/>
  <c r="AI518" i="41"/>
  <c r="AI521" i="41" s="1"/>
  <c r="AK460" i="41"/>
  <c r="AK463" i="41" s="1"/>
  <c r="AI460" i="41"/>
  <c r="AI463" i="41" s="1"/>
  <c r="AK407" i="41"/>
  <c r="AK410" i="41" s="1"/>
  <c r="AI407" i="41"/>
  <c r="AI410" i="41" s="1"/>
  <c r="AK354" i="41"/>
  <c r="AK357" i="41" s="1"/>
  <c r="AI354" i="41"/>
  <c r="AI357" i="41" s="1"/>
  <c r="AK306" i="41"/>
  <c r="AK309" i="41" s="1"/>
  <c r="AI306" i="41"/>
  <c r="AI309" i="41" s="1"/>
  <c r="AK248" i="41"/>
  <c r="AK251" i="41" s="1"/>
  <c r="AI248" i="41"/>
  <c r="AI251" i="41" s="1"/>
  <c r="AK195" i="41"/>
  <c r="AK198" i="41" s="1"/>
  <c r="AI195" i="41"/>
  <c r="AI198" i="41" s="1"/>
  <c r="AK142" i="41"/>
  <c r="AK145" i="41" s="1"/>
  <c r="AI142" i="41"/>
  <c r="AI145" i="41" s="1"/>
  <c r="AK89" i="41"/>
  <c r="AK92" i="41" s="1"/>
  <c r="AI89" i="41"/>
  <c r="AI92" i="41" s="1"/>
  <c r="AK43" i="41"/>
  <c r="AK46" i="41" s="1"/>
  <c r="AI43" i="41"/>
  <c r="AI46" i="41" s="1"/>
  <c r="AK203" i="40"/>
  <c r="AK206" i="40" s="1"/>
  <c r="AI203" i="40"/>
  <c r="AI206" i="40" s="1"/>
  <c r="AK146" i="40"/>
  <c r="AK149" i="40" s="1"/>
  <c r="AI146" i="40"/>
  <c r="AI149" i="40" s="1"/>
  <c r="AK95" i="40"/>
  <c r="AK98" i="40" s="1"/>
  <c r="AI95" i="40"/>
  <c r="AI98" i="40" s="1"/>
  <c r="AK44" i="40"/>
  <c r="AK47" i="40" s="1"/>
  <c r="AI44" i="40"/>
  <c r="AI47" i="40" s="1"/>
  <c r="L242" i="38"/>
  <c r="L243" i="38" s="1"/>
  <c r="L244" i="38" s="1"/>
  <c r="L245" i="38" s="1"/>
  <c r="L246" i="38" s="1"/>
  <c r="L247" i="38" s="1"/>
  <c r="L248" i="38" s="1"/>
  <c r="L249" i="38" s="1"/>
  <c r="L250" i="38" s="1"/>
  <c r="L251" i="38" s="1"/>
  <c r="L252" i="38" s="1"/>
  <c r="O242" i="38"/>
  <c r="O243" i="38" s="1"/>
  <c r="O244" i="38" s="1"/>
  <c r="O245" i="38" s="1"/>
  <c r="O246" i="38" s="1"/>
  <c r="O247" i="38" s="1"/>
  <c r="O248" i="38" s="1"/>
  <c r="O249" i="38" s="1"/>
  <c r="O250" i="38" s="1"/>
  <c r="O251" i="38" s="1"/>
  <c r="O252" i="38" s="1"/>
  <c r="X242" i="38"/>
  <c r="A243" i="38"/>
  <c r="A244" i="38" s="1"/>
  <c r="L260" i="38"/>
  <c r="L261" i="38" s="1"/>
  <c r="L262" i="38" s="1"/>
  <c r="L263" i="38" s="1"/>
  <c r="L264" i="38" s="1"/>
  <c r="L265" i="38" s="1"/>
  <c r="L266" i="38" s="1"/>
  <c r="L267" i="38" s="1"/>
  <c r="L268" i="38" s="1"/>
  <c r="L269" i="38" s="1"/>
  <c r="L271" i="38" s="1"/>
  <c r="L272" i="38" s="1"/>
  <c r="L273" i="38" s="1"/>
  <c r="L274" i="38" s="1"/>
  <c r="L275" i="38" s="1"/>
  <c r="L276" i="38" s="1"/>
  <c r="L277" i="38" s="1"/>
  <c r="O260" i="38"/>
  <c r="O261" i="38" s="1"/>
  <c r="O262" i="38" s="1"/>
  <c r="O263" i="38" s="1"/>
  <c r="O264" i="38" s="1"/>
  <c r="O265" i="38" s="1"/>
  <c r="O266" i="38" s="1"/>
  <c r="O267" i="38" s="1"/>
  <c r="O268" i="38" s="1"/>
  <c r="O269" i="38" s="1"/>
  <c r="O271" i="38" s="1"/>
  <c r="O272" i="38" s="1"/>
  <c r="O273" i="38" s="1"/>
  <c r="O274" i="38" s="1"/>
  <c r="O275" i="38" s="1"/>
  <c r="O276" i="38" s="1"/>
  <c r="O277" i="38" s="1"/>
  <c r="AF278" i="38"/>
  <c r="AJ278" i="38" s="1"/>
  <c r="AK195" i="38"/>
  <c r="AK198" i="38" s="1"/>
  <c r="AI195" i="38"/>
  <c r="AI198" i="38" s="1"/>
  <c r="AK147" i="38"/>
  <c r="AK150" i="38" s="1"/>
  <c r="AI147" i="38"/>
  <c r="AI150" i="38" s="1"/>
  <c r="AK89" i="38"/>
  <c r="AK92" i="38" s="1"/>
  <c r="AI89" i="38"/>
  <c r="AI92" i="38" s="1"/>
  <c r="AK43" i="38"/>
  <c r="AK46" i="38" s="1"/>
  <c r="AI43" i="38"/>
  <c r="AI46" i="38" s="1"/>
  <c r="AF278" i="37"/>
  <c r="AJ278" i="37" s="1"/>
  <c r="O260" i="37"/>
  <c r="O261" i="37" s="1"/>
  <c r="O262" i="37" s="1"/>
  <c r="O263" i="37" s="1"/>
  <c r="O264" i="37" s="1"/>
  <c r="O265" i="37" s="1"/>
  <c r="O266" i="37" s="1"/>
  <c r="O267" i="37" s="1"/>
  <c r="O268" i="37" s="1"/>
  <c r="O269" i="37" s="1"/>
  <c r="O271" i="37" s="1"/>
  <c r="O272" i="37" s="1"/>
  <c r="L260" i="37"/>
  <c r="L261" i="37" s="1"/>
  <c r="L262" i="37" s="1"/>
  <c r="L263" i="37" s="1"/>
  <c r="L264" i="37" s="1"/>
  <c r="L265" i="37" s="1"/>
  <c r="L266" i="37" s="1"/>
  <c r="L267" i="37" s="1"/>
  <c r="L268" i="37" s="1"/>
  <c r="L269" i="37" s="1"/>
  <c r="L271" i="37" s="1"/>
  <c r="L272" i="37" s="1"/>
  <c r="A243" i="37"/>
  <c r="X242" i="37"/>
  <c r="O242" i="37"/>
  <c r="O243" i="37" s="1"/>
  <c r="O244" i="37" s="1"/>
  <c r="O245" i="37" s="1"/>
  <c r="O246" i="37" s="1"/>
  <c r="O247" i="37" s="1"/>
  <c r="O248" i="37" s="1"/>
  <c r="O249" i="37" s="1"/>
  <c r="O250" i="37" s="1"/>
  <c r="O251" i="37" s="1"/>
  <c r="O252" i="37" s="1"/>
  <c r="L242" i="37"/>
  <c r="L243" i="37" s="1"/>
  <c r="L244" i="37" s="1"/>
  <c r="L245" i="37" s="1"/>
  <c r="L246" i="37" s="1"/>
  <c r="L247" i="37" s="1"/>
  <c r="L248" i="37" s="1"/>
  <c r="L249" i="37" s="1"/>
  <c r="L250" i="37" s="1"/>
  <c r="L251" i="37" s="1"/>
  <c r="L252" i="37" s="1"/>
  <c r="AK195" i="37"/>
  <c r="AK198" i="37" s="1"/>
  <c r="AI195" i="37"/>
  <c r="AI198" i="37" s="1"/>
  <c r="AK147" i="37"/>
  <c r="AK150" i="37" s="1"/>
  <c r="AI147" i="37"/>
  <c r="AI150" i="37" s="1"/>
  <c r="AK89" i="37"/>
  <c r="AK92" i="37" s="1"/>
  <c r="AI89" i="37"/>
  <c r="AI92" i="37" s="1"/>
  <c r="AK43" i="37"/>
  <c r="AK46" i="37" s="1"/>
  <c r="AI43" i="37"/>
  <c r="AI46" i="37" s="1"/>
  <c r="AF227" i="36"/>
  <c r="AJ227" i="36" s="1"/>
  <c r="O209" i="36"/>
  <c r="O210" i="36" s="1"/>
  <c r="O211" i="36" s="1"/>
  <c r="O212" i="36" s="1"/>
  <c r="O213" i="36" s="1"/>
  <c r="O214" i="36" s="1"/>
  <c r="O215" i="36" s="1"/>
  <c r="O216" i="36" s="1"/>
  <c r="O217" i="36" s="1"/>
  <c r="O218" i="36" s="1"/>
  <c r="O220" i="36" s="1"/>
  <c r="O221" i="36" s="1"/>
  <c r="L209" i="36"/>
  <c r="L210" i="36" s="1"/>
  <c r="L211" i="36" s="1"/>
  <c r="L212" i="36" s="1"/>
  <c r="L213" i="36" s="1"/>
  <c r="L214" i="36" s="1"/>
  <c r="L215" i="36" s="1"/>
  <c r="L216" i="36" s="1"/>
  <c r="L217" i="36" s="1"/>
  <c r="L218" i="36" s="1"/>
  <c r="L220" i="36" s="1"/>
  <c r="L221" i="36" s="1"/>
  <c r="A192" i="36"/>
  <c r="X191" i="36"/>
  <c r="O191" i="36"/>
  <c r="O192" i="36" s="1"/>
  <c r="O193" i="36" s="1"/>
  <c r="O194" i="36" s="1"/>
  <c r="O195" i="36" s="1"/>
  <c r="O196" i="36" s="1"/>
  <c r="O197" i="36" s="1"/>
  <c r="O198" i="36" s="1"/>
  <c r="O199" i="36" s="1"/>
  <c r="O200" i="36" s="1"/>
  <c r="O201" i="36" s="1"/>
  <c r="L191" i="36"/>
  <c r="L192" i="36" s="1"/>
  <c r="L193" i="36" s="1"/>
  <c r="L194" i="36" s="1"/>
  <c r="L195" i="36" s="1"/>
  <c r="L196" i="36" s="1"/>
  <c r="L197" i="36" s="1"/>
  <c r="L198" i="36" s="1"/>
  <c r="L199" i="36" s="1"/>
  <c r="L200" i="36" s="1"/>
  <c r="L201" i="36" s="1"/>
  <c r="AK144" i="36"/>
  <c r="AK147" i="36" s="1"/>
  <c r="AI144" i="36"/>
  <c r="AI147" i="36" s="1"/>
  <c r="AK108" i="36"/>
  <c r="AK111" i="36" s="1"/>
  <c r="AI108" i="36"/>
  <c r="AI111" i="36" s="1"/>
  <c r="AK44" i="36"/>
  <c r="AK47" i="36" s="1"/>
  <c r="AI44" i="36"/>
  <c r="AI47" i="36" s="1"/>
  <c r="AK362" i="35"/>
  <c r="AK365" i="35" s="1"/>
  <c r="AK368" i="35" s="1"/>
  <c r="AK371" i="35" s="1"/>
  <c r="AK374" i="35" s="1"/>
  <c r="AI362" i="35"/>
  <c r="AI365" i="35" s="1"/>
  <c r="AI368" i="35" s="1"/>
  <c r="AI371" i="35" s="1"/>
  <c r="AI374" i="35" s="1"/>
  <c r="AK308" i="35"/>
  <c r="AK311" i="35" s="1"/>
  <c r="AK314" i="35" s="1"/>
  <c r="AK317" i="35" s="1"/>
  <c r="AK320" i="35" s="1"/>
  <c r="AI308" i="35"/>
  <c r="AI311" i="35" s="1"/>
  <c r="AI314" i="35" s="1"/>
  <c r="AI317" i="35" s="1"/>
  <c r="AI320" i="35" s="1"/>
  <c r="AK255" i="35"/>
  <c r="AK258" i="35" s="1"/>
  <c r="AK261" i="35" s="1"/>
  <c r="AK264" i="35" s="1"/>
  <c r="AK267" i="35" s="1"/>
  <c r="AI255" i="35"/>
  <c r="AI258" i="35" s="1"/>
  <c r="AI261" i="35" s="1"/>
  <c r="AI264" i="35" s="1"/>
  <c r="AI267" i="35" s="1"/>
  <c r="AK197" i="35"/>
  <c r="AK200" i="35" s="1"/>
  <c r="AI197" i="35"/>
  <c r="AI200" i="35" s="1"/>
  <c r="AK144" i="35"/>
  <c r="AK147" i="35" s="1"/>
  <c r="AI144" i="35"/>
  <c r="AI147" i="35" s="1"/>
  <c r="AK106" i="35"/>
  <c r="AK109" i="35" s="1"/>
  <c r="AI106" i="35"/>
  <c r="AI109" i="35" s="1"/>
  <c r="AK44" i="35"/>
  <c r="AK47" i="35" s="1"/>
  <c r="AI44" i="35"/>
  <c r="AI47" i="35" s="1"/>
  <c r="A564" i="34"/>
  <c r="A565" i="34" s="1"/>
  <c r="A566" i="34" s="1"/>
  <c r="A567" i="34" s="1"/>
  <c r="A568" i="34" s="1"/>
  <c r="A569" i="34" s="1"/>
  <c r="A570" i="34" s="1"/>
  <c r="A571" i="34" s="1"/>
  <c r="A572" i="34" s="1"/>
  <c r="A573" i="34" s="1"/>
  <c r="A574" i="34" s="1"/>
  <c r="A575" i="34" s="1"/>
  <c r="A576" i="34" s="1"/>
  <c r="A577" i="34" s="1"/>
  <c r="A578" i="34" s="1"/>
  <c r="A579" i="34" s="1"/>
  <c r="A580" i="34" s="1"/>
  <c r="A581" i="34" s="1"/>
  <c r="A582" i="34" s="1"/>
  <c r="A583" i="34" s="1"/>
  <c r="A584" i="34" s="1"/>
  <c r="A585" i="34" s="1"/>
  <c r="A586" i="34" s="1"/>
  <c r="A587" i="34" s="1"/>
  <c r="A588" i="34" s="1"/>
  <c r="A589" i="34" s="1"/>
  <c r="A590" i="34" s="1"/>
  <c r="L562" i="34"/>
  <c r="L563" i="34" s="1"/>
  <c r="L564" i="34" s="1"/>
  <c r="L565" i="34" s="1"/>
  <c r="L566" i="34" s="1"/>
  <c r="L567" i="34" s="1"/>
  <c r="L568" i="34" s="1"/>
  <c r="L569" i="34" s="1"/>
  <c r="L570" i="34" s="1"/>
  <c r="L571" i="34" s="1"/>
  <c r="O562" i="34"/>
  <c r="O563" i="34" s="1"/>
  <c r="O564" i="34" s="1"/>
  <c r="O565" i="34" s="1"/>
  <c r="O566" i="34" s="1"/>
  <c r="O567" i="34" s="1"/>
  <c r="O568" i="34" s="1"/>
  <c r="O569" i="34" s="1"/>
  <c r="O570" i="34" s="1"/>
  <c r="O571" i="34" s="1"/>
  <c r="X562" i="34"/>
  <c r="A563" i="34"/>
  <c r="X563" i="34"/>
  <c r="L580" i="34"/>
  <c r="L581" i="34" s="1"/>
  <c r="L582" i="34" s="1"/>
  <c r="L583" i="34" s="1"/>
  <c r="L584" i="34" s="1"/>
  <c r="L585" i="34" s="1"/>
  <c r="L586" i="34" s="1"/>
  <c r="L587" i="34" s="1"/>
  <c r="L588" i="34" s="1"/>
  <c r="L589" i="34" s="1"/>
  <c r="L591" i="34" s="1"/>
  <c r="L592" i="34" s="1"/>
  <c r="L593" i="34" s="1"/>
  <c r="L594" i="34" s="1"/>
  <c r="L595" i="34" s="1"/>
  <c r="L596" i="34" s="1"/>
  <c r="L597" i="34" s="1"/>
  <c r="O580" i="34"/>
  <c r="O581" i="34" s="1"/>
  <c r="O582" i="34" s="1"/>
  <c r="O583" i="34" s="1"/>
  <c r="O584" i="34" s="1"/>
  <c r="O585" i="34" s="1"/>
  <c r="O586" i="34" s="1"/>
  <c r="O587" i="34" s="1"/>
  <c r="O588" i="34" s="1"/>
  <c r="O589" i="34" s="1"/>
  <c r="O591" i="34" s="1"/>
  <c r="O592" i="34" s="1"/>
  <c r="O593" i="34" s="1"/>
  <c r="O594" i="34" s="1"/>
  <c r="O595" i="34" s="1"/>
  <c r="O596" i="34" s="1"/>
  <c r="O597" i="34" s="1"/>
  <c r="AF598" i="34"/>
  <c r="AJ598" i="34"/>
  <c r="AK524" i="34"/>
  <c r="AK527" i="34" s="1"/>
  <c r="AI524" i="34"/>
  <c r="AI527" i="34" s="1"/>
  <c r="AK515" i="34"/>
  <c r="AK518" i="34" s="1"/>
  <c r="AI515" i="34"/>
  <c r="AI518" i="34" s="1"/>
  <c r="AK471" i="34"/>
  <c r="AK474" i="34" s="1"/>
  <c r="AI471" i="34"/>
  <c r="AI474" i="34" s="1"/>
  <c r="AK462" i="34"/>
  <c r="AK465" i="34" s="1"/>
  <c r="AI462" i="34"/>
  <c r="AI465" i="34" s="1"/>
  <c r="AK418" i="34"/>
  <c r="AK421" i="34" s="1"/>
  <c r="AI418" i="34"/>
  <c r="AI421" i="34" s="1"/>
  <c r="AK409" i="34"/>
  <c r="AK412" i="34" s="1"/>
  <c r="AI409" i="34"/>
  <c r="AI412" i="34" s="1"/>
  <c r="AK365" i="34"/>
  <c r="AK368" i="34" s="1"/>
  <c r="AI365" i="34"/>
  <c r="AI368" i="34" s="1"/>
  <c r="AK356" i="34"/>
  <c r="AK359" i="34" s="1"/>
  <c r="AI356" i="34"/>
  <c r="AI359" i="34" s="1"/>
  <c r="AK307" i="34"/>
  <c r="AK310" i="34" s="1"/>
  <c r="AK313" i="34" s="1"/>
  <c r="AK316" i="34" s="1"/>
  <c r="AK319" i="34" s="1"/>
  <c r="AK322" i="34" s="1"/>
  <c r="AK325" i="34" s="1"/>
  <c r="AK328" i="34" s="1"/>
  <c r="AI307" i="34"/>
  <c r="AI310" i="34" s="1"/>
  <c r="AI313" i="34" s="1"/>
  <c r="AI316" i="34" s="1"/>
  <c r="AI319" i="34" s="1"/>
  <c r="AI322" i="34" s="1"/>
  <c r="AI325" i="34" s="1"/>
  <c r="AI328" i="34" s="1"/>
  <c r="A304" i="68" l="1"/>
  <c r="X303" i="68"/>
  <c r="A144" i="67"/>
  <c r="X143" i="67"/>
  <c r="X95" i="66"/>
  <c r="A96" i="66"/>
  <c r="X97" i="65"/>
  <c r="A98" i="65"/>
  <c r="L270" i="38"/>
  <c r="O270" i="38"/>
  <c r="A245" i="38"/>
  <c r="X244" i="38"/>
  <c r="X243" i="38"/>
  <c r="L590" i="34"/>
  <c r="L254" i="38"/>
  <c r="L255" i="38" s="1"/>
  <c r="L256" i="38" s="1"/>
  <c r="L257" i="38" s="1"/>
  <c r="L258" i="38" s="1"/>
  <c r="L259" i="38" s="1"/>
  <c r="L253" i="38"/>
  <c r="O254" i="38"/>
  <c r="O255" i="38" s="1"/>
  <c r="O256" i="38" s="1"/>
  <c r="O257" i="38" s="1"/>
  <c r="O258" i="38" s="1"/>
  <c r="O259" i="38" s="1"/>
  <c r="O253" i="38"/>
  <c r="L253" i="37"/>
  <c r="L254" i="37"/>
  <c r="L255" i="37" s="1"/>
  <c r="L256" i="37" s="1"/>
  <c r="L257" i="37" s="1"/>
  <c r="L258" i="37" s="1"/>
  <c r="L259" i="37" s="1"/>
  <c r="O253" i="37"/>
  <c r="O254" i="37"/>
  <c r="O255" i="37" s="1"/>
  <c r="O256" i="37" s="1"/>
  <c r="O257" i="37" s="1"/>
  <c r="O258" i="37" s="1"/>
  <c r="O259" i="37" s="1"/>
  <c r="L273" i="37"/>
  <c r="L274" i="37" s="1"/>
  <c r="L275" i="37" s="1"/>
  <c r="L276" i="37" s="1"/>
  <c r="L277" i="37" s="1"/>
  <c r="L270" i="37"/>
  <c r="O273" i="37"/>
  <c r="O274" i="37" s="1"/>
  <c r="O275" i="37" s="1"/>
  <c r="O276" i="37" s="1"/>
  <c r="O277" i="37" s="1"/>
  <c r="O270" i="37"/>
  <c r="A244" i="37"/>
  <c r="X243" i="37"/>
  <c r="O202" i="36"/>
  <c r="O203" i="36"/>
  <c r="O204" i="36" s="1"/>
  <c r="O205" i="36" s="1"/>
  <c r="O206" i="36" s="1"/>
  <c r="O207" i="36" s="1"/>
  <c r="O208" i="36" s="1"/>
  <c r="L222" i="36"/>
  <c r="L223" i="36" s="1"/>
  <c r="L224" i="36" s="1"/>
  <c r="L225" i="36" s="1"/>
  <c r="L226" i="36" s="1"/>
  <c r="L219" i="36"/>
  <c r="L202" i="36"/>
  <c r="L203" i="36"/>
  <c r="L204" i="36" s="1"/>
  <c r="L205" i="36" s="1"/>
  <c r="L206" i="36" s="1"/>
  <c r="L207" i="36" s="1"/>
  <c r="L208" i="36" s="1"/>
  <c r="O222" i="36"/>
  <c r="O223" i="36" s="1"/>
  <c r="O224" i="36" s="1"/>
  <c r="O225" i="36" s="1"/>
  <c r="O226" i="36" s="1"/>
  <c r="O219" i="36"/>
  <c r="A193" i="36"/>
  <c r="X192" i="36"/>
  <c r="R192" i="36" a="1"/>
  <c r="R192" i="36" s="1"/>
  <c r="A591" i="34"/>
  <c r="A592" i="34" s="1"/>
  <c r="A593" i="34" s="1"/>
  <c r="A594" i="34" s="1"/>
  <c r="A595" i="34" s="1"/>
  <c r="A596" i="34" s="1"/>
  <c r="A597" i="34" s="1"/>
  <c r="A598" i="34" s="1"/>
  <c r="A599" i="34" s="1"/>
  <c r="O590" i="34"/>
  <c r="L573" i="34"/>
  <c r="L574" i="34" s="1"/>
  <c r="L575" i="34" s="1"/>
  <c r="L576" i="34" s="1"/>
  <c r="L577" i="34" s="1"/>
  <c r="L578" i="34" s="1"/>
  <c r="L579" i="34" s="1"/>
  <c r="L572" i="34"/>
  <c r="O573" i="34"/>
  <c r="O574" i="34" s="1"/>
  <c r="O575" i="34" s="1"/>
  <c r="O576" i="34" s="1"/>
  <c r="O577" i="34" s="1"/>
  <c r="O578" i="34" s="1"/>
  <c r="O579" i="34" s="1"/>
  <c r="O572" i="34"/>
  <c r="X564" i="34"/>
  <c r="X304" i="68" l="1"/>
  <c r="A305" i="68"/>
  <c r="A145" i="67"/>
  <c r="X144" i="67"/>
  <c r="A97" i="66"/>
  <c r="X96" i="66"/>
  <c r="A99" i="65"/>
  <c r="X98" i="65"/>
  <c r="A246" i="38"/>
  <c r="X245" i="38"/>
  <c r="A245" i="37"/>
  <c r="X244" i="37"/>
  <c r="AB192" i="36"/>
  <c r="A194" i="36"/>
  <c r="X193" i="36"/>
  <c r="R193" i="36" a="1"/>
  <c r="R193" i="36" s="1"/>
  <c r="X565" i="34"/>
  <c r="X305" i="68" l="1"/>
  <c r="A306" i="68"/>
  <c r="X145" i="67"/>
  <c r="A146" i="67"/>
  <c r="A98" i="66"/>
  <c r="X97" i="66"/>
  <c r="X99" i="65"/>
  <c r="A100" i="65"/>
  <c r="A247" i="38"/>
  <c r="X246" i="38"/>
  <c r="A246" i="37"/>
  <c r="X245" i="37"/>
  <c r="AB193" i="36"/>
  <c r="A195" i="36"/>
  <c r="X194" i="36"/>
  <c r="AF192" i="36"/>
  <c r="X566" i="34"/>
  <c r="A307" i="68" l="1"/>
  <c r="X306" i="68"/>
  <c r="X146" i="67"/>
  <c r="A147" i="67"/>
  <c r="A99" i="66"/>
  <c r="X98" i="66"/>
  <c r="A101" i="65"/>
  <c r="X100" i="65"/>
  <c r="X247" i="38"/>
  <c r="A248" i="38"/>
  <c r="X246" i="37"/>
  <c r="A247" i="37"/>
  <c r="X195" i="36"/>
  <c r="A196" i="36"/>
  <c r="AJ192" i="36"/>
  <c r="AF193" i="36"/>
  <c r="X567" i="34"/>
  <c r="A308" i="68" l="1"/>
  <c r="X307" i="68"/>
  <c r="A148" i="67"/>
  <c r="X147" i="67"/>
  <c r="X99" i="66"/>
  <c r="A100" i="66"/>
  <c r="X101" i="65"/>
  <c r="A102" i="65"/>
  <c r="X248" i="38"/>
  <c r="A249" i="38"/>
  <c r="A248" i="37"/>
  <c r="X247" i="37"/>
  <c r="AJ193" i="36"/>
  <c r="A197" i="36"/>
  <c r="X196" i="36"/>
  <c r="X568" i="34"/>
  <c r="X308" i="68" l="1"/>
  <c r="A309" i="68"/>
  <c r="A149" i="67"/>
  <c r="X148" i="67"/>
  <c r="A101" i="66"/>
  <c r="X100" i="66"/>
  <c r="A103" i="65"/>
  <c r="X102" i="65"/>
  <c r="X249" i="38"/>
  <c r="A250" i="38"/>
  <c r="A249" i="37"/>
  <c r="X248" i="37"/>
  <c r="A198" i="36"/>
  <c r="X197" i="36"/>
  <c r="X569" i="34"/>
  <c r="X309" i="68" l="1"/>
  <c r="A310" i="68"/>
  <c r="A150" i="67"/>
  <c r="X149" i="67"/>
  <c r="A102" i="66"/>
  <c r="X101" i="66"/>
  <c r="X103" i="65"/>
  <c r="A104" i="65"/>
  <c r="X250" i="38"/>
  <c r="A251" i="38"/>
  <c r="A250" i="37"/>
  <c r="X249" i="37"/>
  <c r="A199" i="36"/>
  <c r="X198" i="36"/>
  <c r="X570" i="34"/>
  <c r="A311" i="68" l="1"/>
  <c r="X310" i="68"/>
  <c r="X150" i="67"/>
  <c r="A151" i="67"/>
  <c r="X102" i="66"/>
  <c r="A103" i="66"/>
  <c r="X104" i="65"/>
  <c r="A105" i="65"/>
  <c r="A252" i="38"/>
  <c r="X251" i="38"/>
  <c r="X250" i="37"/>
  <c r="A251" i="37"/>
  <c r="X199" i="36"/>
  <c r="A200" i="36"/>
  <c r="X572" i="34"/>
  <c r="X571" i="34"/>
  <c r="X311" i="68" l="1"/>
  <c r="A312" i="68"/>
  <c r="A152" i="67"/>
  <c r="X151" i="67"/>
  <c r="X103" i="66"/>
  <c r="A104" i="66"/>
  <c r="X105" i="65"/>
  <c r="A106" i="65"/>
  <c r="X252" i="38"/>
  <c r="A253" i="38"/>
  <c r="A252" i="37"/>
  <c r="X251" i="37"/>
  <c r="A201" i="36"/>
  <c r="X200" i="36"/>
  <c r="X573" i="34"/>
  <c r="X312" i="68" l="1"/>
  <c r="A313" i="68"/>
  <c r="X152" i="67"/>
  <c r="A153" i="67"/>
  <c r="A105" i="66"/>
  <c r="X104" i="66"/>
  <c r="A107" i="65"/>
  <c r="X106" i="65"/>
  <c r="X253" i="38"/>
  <c r="A254" i="38"/>
  <c r="A253" i="37"/>
  <c r="X252" i="37"/>
  <c r="X201" i="36"/>
  <c r="A202" i="36"/>
  <c r="X574" i="34"/>
  <c r="A314" i="68" l="1"/>
  <c r="A154" i="67"/>
  <c r="X153" i="67"/>
  <c r="A106" i="66"/>
  <c r="X105" i="66"/>
  <c r="A108" i="65"/>
  <c r="X107" i="65"/>
  <c r="X254" i="38"/>
  <c r="A255" i="38"/>
  <c r="A254" i="37"/>
  <c r="X253" i="37"/>
  <c r="A203" i="36"/>
  <c r="X202" i="36"/>
  <c r="X575" i="34"/>
  <c r="A315" i="68" l="1"/>
  <c r="X154" i="67"/>
  <c r="A155" i="67"/>
  <c r="X106" i="66"/>
  <c r="A107" i="66"/>
  <c r="A109" i="65"/>
  <c r="A256" i="38"/>
  <c r="X255" i="38"/>
  <c r="X254" i="37"/>
  <c r="A255" i="37"/>
  <c r="X203" i="36"/>
  <c r="A204" i="36"/>
  <c r="X576" i="34"/>
  <c r="A316" i="68" l="1"/>
  <c r="A156" i="67"/>
  <c r="A108" i="66"/>
  <c r="A110" i="65"/>
  <c r="X256" i="38"/>
  <c r="A257" i="38"/>
  <c r="A256" i="37"/>
  <c r="X255" i="37"/>
  <c r="A205" i="36"/>
  <c r="X204" i="36"/>
  <c r="X577" i="34"/>
  <c r="A317" i="68" l="1"/>
  <c r="A157" i="67"/>
  <c r="A109" i="66"/>
  <c r="A111" i="65"/>
  <c r="A258" i="38"/>
  <c r="X257" i="38"/>
  <c r="A257" i="37"/>
  <c r="X256" i="37"/>
  <c r="X205" i="36"/>
  <c r="A206" i="36"/>
  <c r="X578" i="34"/>
  <c r="A318" i="68" l="1"/>
  <c r="A158" i="67"/>
  <c r="A110" i="66"/>
  <c r="A112" i="65"/>
  <c r="A259" i="38"/>
  <c r="X258" i="38"/>
  <c r="A258" i="37"/>
  <c r="X257" i="37"/>
  <c r="A207" i="36"/>
  <c r="X206" i="36"/>
  <c r="A319" i="68" l="1"/>
  <c r="A159" i="67"/>
  <c r="A111" i="66"/>
  <c r="A113" i="65"/>
  <c r="A260" i="38"/>
  <c r="X258" i="37"/>
  <c r="A259" i="37"/>
  <c r="X207" i="36"/>
  <c r="A208" i="36"/>
  <c r="A320" i="68" l="1"/>
  <c r="A160" i="67"/>
  <c r="A112" i="66"/>
  <c r="A114" i="65"/>
  <c r="A261" i="38"/>
  <c r="A260" i="37"/>
  <c r="A209" i="36"/>
  <c r="A321" i="68" l="1"/>
  <c r="A161" i="67"/>
  <c r="A113" i="66"/>
  <c r="A115" i="65"/>
  <c r="A262" i="38"/>
  <c r="A261" i="37"/>
  <c r="A210" i="36"/>
  <c r="A322" i="68" l="1"/>
  <c r="A162" i="67"/>
  <c r="A114" i="66"/>
  <c r="A116" i="65"/>
  <c r="A263" i="38"/>
  <c r="A262" i="37"/>
  <c r="A211" i="36"/>
  <c r="A323" i="68" l="1"/>
  <c r="A163" i="67"/>
  <c r="A115" i="66"/>
  <c r="A117" i="65"/>
  <c r="A264" i="38"/>
  <c r="A263" i="37"/>
  <c r="A212" i="36"/>
  <c r="A324" i="68" l="1"/>
  <c r="A164" i="67"/>
  <c r="A116" i="66"/>
  <c r="A118" i="65"/>
  <c r="A265" i="38"/>
  <c r="A264" i="37"/>
  <c r="A213" i="36"/>
  <c r="A325" i="68" l="1"/>
  <c r="A165" i="67"/>
  <c r="A117" i="66"/>
  <c r="A119" i="65"/>
  <c r="A266" i="38"/>
  <c r="A265" i="37"/>
  <c r="A214" i="36"/>
  <c r="A326" i="68" l="1"/>
  <c r="A166" i="67"/>
  <c r="A118" i="66"/>
  <c r="A120" i="65"/>
  <c r="A267" i="38"/>
  <c r="A266" i="37"/>
  <c r="A215" i="36"/>
  <c r="A327" i="68" l="1"/>
  <c r="A167" i="67"/>
  <c r="A119" i="66"/>
  <c r="A121" i="65"/>
  <c r="A268" i="38"/>
  <c r="A267" i="37"/>
  <c r="A216" i="36"/>
  <c r="A328" i="68" l="1"/>
  <c r="A168" i="67"/>
  <c r="A120" i="66"/>
  <c r="A122" i="65"/>
  <c r="A269" i="38"/>
  <c r="A270" i="38" s="1"/>
  <c r="A268" i="37"/>
  <c r="A217" i="36"/>
  <c r="A329" i="68" l="1"/>
  <c r="A169" i="67"/>
  <c r="A121" i="66"/>
  <c r="A123" i="65"/>
  <c r="A271" i="38"/>
  <c r="A272" i="38" s="1"/>
  <c r="A273" i="38" s="1"/>
  <c r="A274" i="38" s="1"/>
  <c r="A275" i="38" s="1"/>
  <c r="A276" i="38" s="1"/>
  <c r="A277" i="38" s="1"/>
  <c r="A278" i="38" s="1"/>
  <c r="A269" i="37"/>
  <c r="A218" i="36"/>
  <c r="A330" i="68" l="1"/>
  <c r="A170" i="67"/>
  <c r="A122" i="66"/>
  <c r="A124" i="65"/>
  <c r="A270" i="37"/>
  <c r="A219" i="36"/>
  <c r="A331" i="68" l="1"/>
  <c r="A171" i="67"/>
  <c r="A123" i="66"/>
  <c r="A125" i="65"/>
  <c r="A271" i="37"/>
  <c r="A220" i="36"/>
  <c r="A332" i="68" l="1"/>
  <c r="A333" i="68" s="1"/>
  <c r="A172" i="67"/>
  <c r="A124" i="66"/>
  <c r="A126" i="65"/>
  <c r="A272" i="37"/>
  <c r="A221" i="36"/>
  <c r="A173" i="67" l="1"/>
  <c r="A125" i="66"/>
  <c r="A127" i="65"/>
  <c r="A128" i="65" s="1"/>
  <c r="A273" i="37"/>
  <c r="A222" i="36"/>
  <c r="A174" i="67" l="1"/>
  <c r="A175" i="67" s="1"/>
  <c r="A126" i="66"/>
  <c r="A127" i="66" s="1"/>
  <c r="A274" i="37"/>
  <c r="A223" i="36"/>
  <c r="A275" i="37" l="1"/>
  <c r="R223" i="36" a="1"/>
  <c r="R223" i="36" s="1"/>
  <c r="A224" i="36"/>
  <c r="A276" i="37" l="1"/>
  <c r="A225" i="36"/>
  <c r="R224" i="36" a="1"/>
  <c r="R224" i="36" s="1"/>
  <c r="A279" i="38" l="1"/>
  <c r="A277" i="37"/>
  <c r="A226" i="36"/>
  <c r="R225" i="36" a="1"/>
  <c r="R225" i="36" s="1"/>
  <c r="A278" i="37" l="1"/>
  <c r="A279" i="37" s="1"/>
  <c r="R226" i="36" a="1"/>
  <c r="R226" i="36" s="1"/>
  <c r="A227" i="36"/>
  <c r="A228" i="36" s="1"/>
  <c r="AK249" i="34" l="1"/>
  <c r="AK252" i="34" s="1"/>
  <c r="AI249" i="34"/>
  <c r="AI252" i="34" s="1"/>
  <c r="AK196" i="34"/>
  <c r="AK199" i="34" s="1"/>
  <c r="AI196" i="34"/>
  <c r="AI199" i="34" s="1"/>
  <c r="AK143" i="34"/>
  <c r="AK146" i="34" s="1"/>
  <c r="AI143" i="34"/>
  <c r="AI146" i="34" s="1"/>
  <c r="AK90" i="34"/>
  <c r="AK93" i="34" s="1"/>
  <c r="AI90" i="34"/>
  <c r="AI93" i="34" s="1"/>
  <c r="AK44" i="34"/>
  <c r="AK47" i="34" s="1"/>
  <c r="AI44" i="34"/>
  <c r="AI47" i="34" s="1"/>
  <c r="AF273" i="33"/>
  <c r="AJ273" i="33" s="1"/>
  <c r="O255" i="33"/>
  <c r="O256" i="33" s="1"/>
  <c r="O257" i="33" s="1"/>
  <c r="O258" i="33" s="1"/>
  <c r="O259" i="33" s="1"/>
  <c r="O260" i="33" s="1"/>
  <c r="O261" i="33" s="1"/>
  <c r="O262" i="33" s="1"/>
  <c r="O263" i="33" s="1"/>
  <c r="O264" i="33" s="1"/>
  <c r="L255" i="33"/>
  <c r="L256" i="33" s="1"/>
  <c r="L257" i="33" s="1"/>
  <c r="L258" i="33" s="1"/>
  <c r="L259" i="33" s="1"/>
  <c r="L260" i="33" s="1"/>
  <c r="L261" i="33" s="1"/>
  <c r="L262" i="33" s="1"/>
  <c r="L263" i="33" s="1"/>
  <c r="L264" i="33" s="1"/>
  <c r="A238" i="33"/>
  <c r="X237" i="33"/>
  <c r="O237" i="33"/>
  <c r="O238" i="33" s="1"/>
  <c r="O239" i="33" s="1"/>
  <c r="O240" i="33" s="1"/>
  <c r="O241" i="33" s="1"/>
  <c r="O242" i="33" s="1"/>
  <c r="O243" i="33" s="1"/>
  <c r="O244" i="33" s="1"/>
  <c r="O245" i="33" s="1"/>
  <c r="O246" i="33" s="1"/>
  <c r="L237" i="33"/>
  <c r="L238" i="33" s="1"/>
  <c r="L239" i="33" s="1"/>
  <c r="L240" i="33" s="1"/>
  <c r="L241" i="33" s="1"/>
  <c r="L242" i="33" s="1"/>
  <c r="L243" i="33" s="1"/>
  <c r="L244" i="33" s="1"/>
  <c r="L245" i="33" s="1"/>
  <c r="L246" i="33" s="1"/>
  <c r="AK193" i="33"/>
  <c r="AK196" i="33" s="1"/>
  <c r="AI193" i="33"/>
  <c r="AI196" i="33" s="1"/>
  <c r="AK140" i="33"/>
  <c r="AK143" i="33" s="1"/>
  <c r="AI140" i="33"/>
  <c r="AI143" i="33" s="1"/>
  <c r="AK44" i="33"/>
  <c r="AK47" i="33" s="1"/>
  <c r="AI44" i="33"/>
  <c r="AI47" i="33" s="1"/>
  <c r="AF226" i="32"/>
  <c r="AJ226" i="32" s="1"/>
  <c r="O208" i="32"/>
  <c r="O209" i="32" s="1"/>
  <c r="O210" i="32" s="1"/>
  <c r="O211" i="32" s="1"/>
  <c r="O212" i="32" s="1"/>
  <c r="O213" i="32" s="1"/>
  <c r="O214" i="32" s="1"/>
  <c r="O215" i="32" s="1"/>
  <c r="O216" i="32" s="1"/>
  <c r="O217" i="32" s="1"/>
  <c r="L208" i="32"/>
  <c r="L209" i="32" s="1"/>
  <c r="L210" i="32" s="1"/>
  <c r="L211" i="32" s="1"/>
  <c r="L212" i="32" s="1"/>
  <c r="L213" i="32" s="1"/>
  <c r="L214" i="32" s="1"/>
  <c r="L215" i="32" s="1"/>
  <c r="L216" i="32" s="1"/>
  <c r="L217" i="32" s="1"/>
  <c r="A191" i="32"/>
  <c r="X191" i="32" s="1"/>
  <c r="X190" i="32"/>
  <c r="O190" i="32"/>
  <c r="O191" i="32" s="1"/>
  <c r="O192" i="32" s="1"/>
  <c r="O193" i="32" s="1"/>
  <c r="O194" i="32" s="1"/>
  <c r="O195" i="32" s="1"/>
  <c r="O196" i="32" s="1"/>
  <c r="O197" i="32" s="1"/>
  <c r="O198" i="32" s="1"/>
  <c r="O199" i="32" s="1"/>
  <c r="L190" i="32"/>
  <c r="L191" i="32" s="1"/>
  <c r="L192" i="32" s="1"/>
  <c r="L193" i="32" s="1"/>
  <c r="L194" i="32" s="1"/>
  <c r="L195" i="32" s="1"/>
  <c r="L196" i="32" s="1"/>
  <c r="L197" i="32" s="1"/>
  <c r="L198" i="32" s="1"/>
  <c r="L199" i="32" s="1"/>
  <c r="AI151" i="32"/>
  <c r="AI154" i="32" s="1"/>
  <c r="AI157" i="32" s="1"/>
  <c r="AI160" i="32" s="1"/>
  <c r="AK148" i="32"/>
  <c r="AK151" i="32" s="1"/>
  <c r="AK154" i="32" s="1"/>
  <c r="AK157" i="32" s="1"/>
  <c r="AK160" i="32" s="1"/>
  <c r="AI148" i="32"/>
  <c r="AK90" i="32"/>
  <c r="AK93" i="32" s="1"/>
  <c r="AI90" i="32"/>
  <c r="AI93" i="32" s="1"/>
  <c r="AK44" i="32"/>
  <c r="AK47" i="32" s="1"/>
  <c r="AI44" i="32"/>
  <c r="AI47" i="32" s="1"/>
  <c r="AF598" i="31"/>
  <c r="AJ598" i="31" s="1"/>
  <c r="O580" i="31"/>
  <c r="O581" i="31" s="1"/>
  <c r="O582" i="31" s="1"/>
  <c r="O583" i="31" s="1"/>
  <c r="O584" i="31" s="1"/>
  <c r="O585" i="31" s="1"/>
  <c r="O586" i="31" s="1"/>
  <c r="O587" i="31" s="1"/>
  <c r="O588" i="31" s="1"/>
  <c r="O589" i="31" s="1"/>
  <c r="L580" i="31"/>
  <c r="L581" i="31" s="1"/>
  <c r="L582" i="31" s="1"/>
  <c r="L583" i="31" s="1"/>
  <c r="L584" i="31" s="1"/>
  <c r="L585" i="31" s="1"/>
  <c r="L586" i="31" s="1"/>
  <c r="L587" i="31" s="1"/>
  <c r="L588" i="31" s="1"/>
  <c r="L589" i="31" s="1"/>
  <c r="A563" i="31"/>
  <c r="A564" i="31" s="1"/>
  <c r="X564" i="31" s="1"/>
  <c r="X562" i="31"/>
  <c r="O562" i="31"/>
  <c r="O563" i="31" s="1"/>
  <c r="O564" i="31" s="1"/>
  <c r="O565" i="31" s="1"/>
  <c r="O566" i="31" s="1"/>
  <c r="O567" i="31" s="1"/>
  <c r="O568" i="31" s="1"/>
  <c r="O569" i="31" s="1"/>
  <c r="O570" i="31" s="1"/>
  <c r="O571" i="31" s="1"/>
  <c r="L562" i="31"/>
  <c r="L563" i="31" s="1"/>
  <c r="L564" i="31" s="1"/>
  <c r="L565" i="31" s="1"/>
  <c r="L566" i="31" s="1"/>
  <c r="L567" i="31" s="1"/>
  <c r="L568" i="31" s="1"/>
  <c r="L569" i="31" s="1"/>
  <c r="L570" i="31" s="1"/>
  <c r="L571" i="31" s="1"/>
  <c r="AK515" i="31"/>
  <c r="AK518" i="31" s="1"/>
  <c r="AI515" i="31"/>
  <c r="AI518" i="31" s="1"/>
  <c r="AK462" i="31"/>
  <c r="AK465" i="31" s="1"/>
  <c r="AI462" i="31"/>
  <c r="AI465" i="31" s="1"/>
  <c r="AK409" i="31"/>
  <c r="AK412" i="31" s="1"/>
  <c r="AI409" i="31"/>
  <c r="AI412" i="31" s="1"/>
  <c r="AK356" i="31"/>
  <c r="AK359" i="31" s="1"/>
  <c r="AI356" i="31"/>
  <c r="AI359" i="31" s="1"/>
  <c r="AK307" i="31"/>
  <c r="AK310" i="31" s="1"/>
  <c r="AI307" i="31"/>
  <c r="AI310" i="31" s="1"/>
  <c r="AK249" i="31"/>
  <c r="AK252" i="31" s="1"/>
  <c r="AI249" i="31"/>
  <c r="AI252" i="31" s="1"/>
  <c r="AK196" i="31"/>
  <c r="AK199" i="31" s="1"/>
  <c r="AI196" i="31"/>
  <c r="AI199" i="31" s="1"/>
  <c r="AK143" i="31"/>
  <c r="AK146" i="31" s="1"/>
  <c r="AI143" i="31"/>
  <c r="AI146" i="31" s="1"/>
  <c r="AK90" i="31"/>
  <c r="AK93" i="31" s="1"/>
  <c r="AI90" i="31"/>
  <c r="AI93" i="31" s="1"/>
  <c r="AK44" i="31"/>
  <c r="AK47" i="31" s="1"/>
  <c r="AI44" i="31"/>
  <c r="AI47" i="31" s="1"/>
  <c r="AF279" i="30"/>
  <c r="AJ279" i="30" s="1"/>
  <c r="O261" i="30"/>
  <c r="O262" i="30" s="1"/>
  <c r="O263" i="30" s="1"/>
  <c r="O264" i="30" s="1"/>
  <c r="O265" i="30" s="1"/>
  <c r="O266" i="30" s="1"/>
  <c r="O267" i="30" s="1"/>
  <c r="O268" i="30" s="1"/>
  <c r="O269" i="30" s="1"/>
  <c r="O270" i="30" s="1"/>
  <c r="L261" i="30"/>
  <c r="L262" i="30" s="1"/>
  <c r="L263" i="30" s="1"/>
  <c r="L264" i="30" s="1"/>
  <c r="L265" i="30" s="1"/>
  <c r="L266" i="30" s="1"/>
  <c r="L267" i="30" s="1"/>
  <c r="L268" i="30" s="1"/>
  <c r="L269" i="30" s="1"/>
  <c r="L270" i="30" s="1"/>
  <c r="A244" i="30"/>
  <c r="X243" i="30"/>
  <c r="O243" i="30"/>
  <c r="O244" i="30" s="1"/>
  <c r="O245" i="30" s="1"/>
  <c r="O246" i="30" s="1"/>
  <c r="O247" i="30" s="1"/>
  <c r="O248" i="30" s="1"/>
  <c r="O249" i="30" s="1"/>
  <c r="O250" i="30" s="1"/>
  <c r="O251" i="30" s="1"/>
  <c r="O252" i="30" s="1"/>
  <c r="L243" i="30"/>
  <c r="L244" i="30" s="1"/>
  <c r="L245" i="30" s="1"/>
  <c r="L246" i="30" s="1"/>
  <c r="L247" i="30" s="1"/>
  <c r="L248" i="30" s="1"/>
  <c r="L249" i="30" s="1"/>
  <c r="L250" i="30" s="1"/>
  <c r="L251" i="30" s="1"/>
  <c r="L252" i="30" s="1"/>
  <c r="AI199" i="30"/>
  <c r="AK196" i="30"/>
  <c r="AK199" i="30" s="1"/>
  <c r="AI196" i="30"/>
  <c r="AK148" i="30"/>
  <c r="AK151" i="30" s="1"/>
  <c r="AI148" i="30"/>
  <c r="AI151" i="30" s="1"/>
  <c r="AK90" i="30"/>
  <c r="AK93" i="30" s="1"/>
  <c r="AI90" i="30"/>
  <c r="AI93" i="30" s="1"/>
  <c r="AK45" i="30"/>
  <c r="AK48" i="30" s="1"/>
  <c r="AI45" i="30"/>
  <c r="AI48" i="30" s="1"/>
  <c r="AF373" i="29"/>
  <c r="AJ373" i="29" s="1"/>
  <c r="O355" i="29"/>
  <c r="O356" i="29" s="1"/>
  <c r="O357" i="29" s="1"/>
  <c r="O358" i="29" s="1"/>
  <c r="O359" i="29" s="1"/>
  <c r="O360" i="29" s="1"/>
  <c r="O361" i="29" s="1"/>
  <c r="O362" i="29" s="1"/>
  <c r="O363" i="29" s="1"/>
  <c r="O364" i="29" s="1"/>
  <c r="L355" i="29"/>
  <c r="L356" i="29" s="1"/>
  <c r="L357" i="29" s="1"/>
  <c r="L358" i="29" s="1"/>
  <c r="L359" i="29" s="1"/>
  <c r="L360" i="29" s="1"/>
  <c r="L361" i="29" s="1"/>
  <c r="L362" i="29" s="1"/>
  <c r="L363" i="29" s="1"/>
  <c r="L364" i="29" s="1"/>
  <c r="A338" i="29"/>
  <c r="X337" i="29"/>
  <c r="O337" i="29"/>
  <c r="O338" i="29" s="1"/>
  <c r="O339" i="29" s="1"/>
  <c r="O340" i="29" s="1"/>
  <c r="O341" i="29" s="1"/>
  <c r="O342" i="29" s="1"/>
  <c r="O343" i="29" s="1"/>
  <c r="O344" i="29" s="1"/>
  <c r="O345" i="29" s="1"/>
  <c r="O346" i="29" s="1"/>
  <c r="L337" i="29"/>
  <c r="L338" i="29" s="1"/>
  <c r="L339" i="29" s="1"/>
  <c r="L340" i="29" s="1"/>
  <c r="L341" i="29" s="1"/>
  <c r="L342" i="29" s="1"/>
  <c r="L343" i="29" s="1"/>
  <c r="L344" i="29" s="1"/>
  <c r="L345" i="29" s="1"/>
  <c r="L346" i="29" s="1"/>
  <c r="AK309" i="29"/>
  <c r="AK312" i="29" s="1"/>
  <c r="AI309" i="29"/>
  <c r="AI312" i="29" s="1"/>
  <c r="AK258" i="29"/>
  <c r="AK261" i="29" s="1"/>
  <c r="AI258" i="29"/>
  <c r="AI261" i="29" s="1"/>
  <c r="AK218" i="29"/>
  <c r="AK221" i="29" s="1"/>
  <c r="AI218" i="29"/>
  <c r="AI221" i="29" s="1"/>
  <c r="AK165" i="29"/>
  <c r="AK168" i="29" s="1"/>
  <c r="AI165" i="29"/>
  <c r="AI168" i="29" s="1"/>
  <c r="AK107" i="29"/>
  <c r="AK110" i="29" s="1"/>
  <c r="AI107" i="29"/>
  <c r="AI110" i="29" s="1"/>
  <c r="AK44" i="29"/>
  <c r="AK47" i="29" s="1"/>
  <c r="AI44" i="29"/>
  <c r="AI47" i="29" s="1"/>
  <c r="AF173" i="28"/>
  <c r="AJ173" i="28" s="1"/>
  <c r="O155" i="28"/>
  <c r="O156" i="28" s="1"/>
  <c r="O157" i="28" s="1"/>
  <c r="O158" i="28" s="1"/>
  <c r="O159" i="28" s="1"/>
  <c r="O160" i="28" s="1"/>
  <c r="O161" i="28" s="1"/>
  <c r="O162" i="28" s="1"/>
  <c r="O163" i="28" s="1"/>
  <c r="O164" i="28" s="1"/>
  <c r="L155" i="28"/>
  <c r="L156" i="28" s="1"/>
  <c r="L157" i="28" s="1"/>
  <c r="L158" i="28" s="1"/>
  <c r="L159" i="28" s="1"/>
  <c r="L160" i="28" s="1"/>
  <c r="L161" i="28" s="1"/>
  <c r="L162" i="28" s="1"/>
  <c r="L163" i="28" s="1"/>
  <c r="L164" i="28" s="1"/>
  <c r="A138" i="28"/>
  <c r="A139" i="28" s="1"/>
  <c r="X137" i="28"/>
  <c r="O137" i="28"/>
  <c r="O138" i="28" s="1"/>
  <c r="O139" i="28" s="1"/>
  <c r="O140" i="28" s="1"/>
  <c r="O141" i="28" s="1"/>
  <c r="O142" i="28" s="1"/>
  <c r="O143" i="28" s="1"/>
  <c r="O144" i="28" s="1"/>
  <c r="O145" i="28" s="1"/>
  <c r="O146" i="28" s="1"/>
  <c r="L137" i="28"/>
  <c r="L138" i="28" s="1"/>
  <c r="L139" i="28" s="1"/>
  <c r="L140" i="28" s="1"/>
  <c r="L141" i="28" s="1"/>
  <c r="L142" i="28" s="1"/>
  <c r="L143" i="28" s="1"/>
  <c r="L144" i="28" s="1"/>
  <c r="L145" i="28" s="1"/>
  <c r="L146" i="28" s="1"/>
  <c r="AK90" i="28"/>
  <c r="AK93" i="28" s="1"/>
  <c r="AI90" i="28"/>
  <c r="AI93" i="28" s="1"/>
  <c r="AK44" i="28"/>
  <c r="AK47" i="28" s="1"/>
  <c r="AI44" i="28"/>
  <c r="AI47" i="28" s="1"/>
  <c r="AF174" i="27"/>
  <c r="AJ174" i="27" s="1"/>
  <c r="O156" i="27"/>
  <c r="O157" i="27" s="1"/>
  <c r="O158" i="27" s="1"/>
  <c r="O159" i="27" s="1"/>
  <c r="O160" i="27" s="1"/>
  <c r="O161" i="27" s="1"/>
  <c r="O162" i="27" s="1"/>
  <c r="O163" i="27" s="1"/>
  <c r="O164" i="27" s="1"/>
  <c r="O165" i="27" s="1"/>
  <c r="L156" i="27"/>
  <c r="L157" i="27" s="1"/>
  <c r="L158" i="27" s="1"/>
  <c r="L159" i="27" s="1"/>
  <c r="L160" i="27" s="1"/>
  <c r="L161" i="27" s="1"/>
  <c r="L162" i="27" s="1"/>
  <c r="L163" i="27" s="1"/>
  <c r="L164" i="27" s="1"/>
  <c r="L165" i="27" s="1"/>
  <c r="A139" i="27"/>
  <c r="X138" i="27"/>
  <c r="O138" i="27"/>
  <c r="O139" i="27" s="1"/>
  <c r="O140" i="27" s="1"/>
  <c r="O141" i="27" s="1"/>
  <c r="O142" i="27" s="1"/>
  <c r="O143" i="27" s="1"/>
  <c r="O144" i="27" s="1"/>
  <c r="O145" i="27" s="1"/>
  <c r="O146" i="27" s="1"/>
  <c r="O147" i="27" s="1"/>
  <c r="L138" i="27"/>
  <c r="L139" i="27" s="1"/>
  <c r="L140" i="27" s="1"/>
  <c r="L141" i="27" s="1"/>
  <c r="L142" i="27" s="1"/>
  <c r="L143" i="27" s="1"/>
  <c r="L144" i="27" s="1"/>
  <c r="L145" i="27" s="1"/>
  <c r="L146" i="27" s="1"/>
  <c r="L147" i="27" s="1"/>
  <c r="AK90" i="27"/>
  <c r="AK93" i="27" s="1"/>
  <c r="AI90" i="27"/>
  <c r="AI93" i="27" s="1"/>
  <c r="AK44" i="27"/>
  <c r="AK47" i="27" s="1"/>
  <c r="AI44" i="27"/>
  <c r="AI47" i="27" s="1"/>
  <c r="AF278" i="26"/>
  <c r="AJ278" i="26" s="1"/>
  <c r="O260" i="26"/>
  <c r="O261" i="26" s="1"/>
  <c r="O262" i="26" s="1"/>
  <c r="O263" i="26" s="1"/>
  <c r="O264" i="26" s="1"/>
  <c r="O265" i="26" s="1"/>
  <c r="O266" i="26" s="1"/>
  <c r="O267" i="26" s="1"/>
  <c r="O268" i="26" s="1"/>
  <c r="O269" i="26" s="1"/>
  <c r="L260" i="26"/>
  <c r="L261" i="26" s="1"/>
  <c r="L262" i="26" s="1"/>
  <c r="L263" i="26" s="1"/>
  <c r="L264" i="26" s="1"/>
  <c r="L265" i="26" s="1"/>
  <c r="L266" i="26" s="1"/>
  <c r="L267" i="26" s="1"/>
  <c r="L268" i="26" s="1"/>
  <c r="L269" i="26" s="1"/>
  <c r="A243" i="26"/>
  <c r="A244" i="26" s="1"/>
  <c r="X242" i="26"/>
  <c r="O242" i="26"/>
  <c r="O243" i="26" s="1"/>
  <c r="O244" i="26" s="1"/>
  <c r="O245" i="26" s="1"/>
  <c r="O246" i="26" s="1"/>
  <c r="O247" i="26" s="1"/>
  <c r="O248" i="26" s="1"/>
  <c r="O249" i="26" s="1"/>
  <c r="O250" i="26" s="1"/>
  <c r="O251" i="26" s="1"/>
  <c r="L242" i="26"/>
  <c r="L243" i="26" s="1"/>
  <c r="L244" i="26" s="1"/>
  <c r="L245" i="26" s="1"/>
  <c r="L246" i="26" s="1"/>
  <c r="L247" i="26" s="1"/>
  <c r="L248" i="26" s="1"/>
  <c r="L249" i="26" s="1"/>
  <c r="L250" i="26" s="1"/>
  <c r="L251" i="26" s="1"/>
  <c r="AK195" i="26"/>
  <c r="AK198" i="26" s="1"/>
  <c r="AI195" i="26"/>
  <c r="AI198" i="26" s="1"/>
  <c r="AK91" i="26"/>
  <c r="AK94" i="26" s="1"/>
  <c r="AI91" i="26"/>
  <c r="AI94" i="26" s="1"/>
  <c r="AK43" i="26"/>
  <c r="AK46" i="26" s="1"/>
  <c r="AI43" i="26"/>
  <c r="AI46" i="26" s="1"/>
  <c r="AF329" i="25"/>
  <c r="AJ329" i="25" s="1"/>
  <c r="O311" i="25"/>
  <c r="O312" i="25" s="1"/>
  <c r="O313" i="25" s="1"/>
  <c r="O314" i="25" s="1"/>
  <c r="O315" i="25" s="1"/>
  <c r="O316" i="25" s="1"/>
  <c r="O317" i="25" s="1"/>
  <c r="O318" i="25" s="1"/>
  <c r="O319" i="25" s="1"/>
  <c r="O320" i="25" s="1"/>
  <c r="L311" i="25"/>
  <c r="L312" i="25" s="1"/>
  <c r="L313" i="25" s="1"/>
  <c r="L314" i="25" s="1"/>
  <c r="L315" i="25" s="1"/>
  <c r="L316" i="25" s="1"/>
  <c r="L317" i="25" s="1"/>
  <c r="L318" i="25" s="1"/>
  <c r="L319" i="25" s="1"/>
  <c r="L320" i="25" s="1"/>
  <c r="A294" i="25"/>
  <c r="A295" i="25" s="1"/>
  <c r="X293" i="25"/>
  <c r="O293" i="25"/>
  <c r="O294" i="25" s="1"/>
  <c r="O295" i="25" s="1"/>
  <c r="O296" i="25" s="1"/>
  <c r="O297" i="25" s="1"/>
  <c r="O298" i="25" s="1"/>
  <c r="O299" i="25" s="1"/>
  <c r="O300" i="25" s="1"/>
  <c r="O301" i="25" s="1"/>
  <c r="O302" i="25" s="1"/>
  <c r="L293" i="25"/>
  <c r="L294" i="25" s="1"/>
  <c r="L295" i="25" s="1"/>
  <c r="L296" i="25" s="1"/>
  <c r="L297" i="25" s="1"/>
  <c r="L298" i="25" s="1"/>
  <c r="L299" i="25" s="1"/>
  <c r="L300" i="25" s="1"/>
  <c r="L301" i="25" s="1"/>
  <c r="L302" i="25" s="1"/>
  <c r="J276" i="25"/>
  <c r="J279" i="25" s="1"/>
  <c r="J282" i="25" s="1"/>
  <c r="J274" i="25"/>
  <c r="J277" i="25" s="1"/>
  <c r="J280" i="25" s="1"/>
  <c r="J278" i="25"/>
  <c r="J281" i="25" s="1"/>
  <c r="AK203" i="25"/>
  <c r="AK206" i="25" s="1"/>
  <c r="AI203" i="25"/>
  <c r="AI206" i="25" s="1"/>
  <c r="AK148" i="25"/>
  <c r="AK151" i="25" s="1"/>
  <c r="AI148" i="25"/>
  <c r="AI151" i="25" s="1"/>
  <c r="AK94" i="25"/>
  <c r="AK97" i="25" s="1"/>
  <c r="AI94" i="25"/>
  <c r="AI97" i="25" s="1"/>
  <c r="AK43" i="25"/>
  <c r="AK46" i="25" s="1"/>
  <c r="AI43" i="25"/>
  <c r="AI46" i="25" s="1"/>
  <c r="A237" i="23"/>
  <c r="A238" i="23" s="1"/>
  <c r="A239" i="23" s="1"/>
  <c r="A240" i="23" s="1"/>
  <c r="A241" i="23" s="1"/>
  <c r="A242" i="23" s="1"/>
  <c r="A243" i="23" s="1"/>
  <c r="A244" i="23" s="1"/>
  <c r="A245" i="23" s="1"/>
  <c r="A246" i="23" s="1"/>
  <c r="AK192" i="23"/>
  <c r="AK195" i="23" s="1"/>
  <c r="AI192" i="23"/>
  <c r="AI195" i="23" s="1"/>
  <c r="AK142" i="23"/>
  <c r="AK145" i="23" s="1"/>
  <c r="AI142" i="23"/>
  <c r="AI145" i="23" s="1"/>
  <c r="AK106" i="23"/>
  <c r="AK109" i="23" s="1"/>
  <c r="AI106" i="23"/>
  <c r="AI109" i="23" s="1"/>
  <c r="A192" i="32" l="1"/>
  <c r="X295" i="25"/>
  <c r="A296" i="25"/>
  <c r="A297" i="25" s="1"/>
  <c r="X294" i="25"/>
  <c r="A245" i="26"/>
  <c r="X244" i="26"/>
  <c r="X243" i="26"/>
  <c r="L248" i="33"/>
  <c r="L249" i="33" s="1"/>
  <c r="L250" i="33" s="1"/>
  <c r="L251" i="33" s="1"/>
  <c r="L252" i="33" s="1"/>
  <c r="L253" i="33" s="1"/>
  <c r="L254" i="33" s="1"/>
  <c r="L247" i="33"/>
  <c r="O248" i="33"/>
  <c r="O249" i="33" s="1"/>
  <c r="O250" i="33" s="1"/>
  <c r="O251" i="33" s="1"/>
  <c r="O252" i="33" s="1"/>
  <c r="O253" i="33" s="1"/>
  <c r="O254" i="33" s="1"/>
  <c r="O247" i="33"/>
  <c r="L265" i="33"/>
  <c r="L266" i="33"/>
  <c r="L267" i="33" s="1"/>
  <c r="L268" i="33" s="1"/>
  <c r="L269" i="33" s="1"/>
  <c r="L270" i="33" s="1"/>
  <c r="L271" i="33" s="1"/>
  <c r="L272" i="33" s="1"/>
  <c r="O265" i="33"/>
  <c r="O266" i="33"/>
  <c r="O267" i="33" s="1"/>
  <c r="O268" i="33" s="1"/>
  <c r="O269" i="33" s="1"/>
  <c r="O270" i="33" s="1"/>
  <c r="O271" i="33" s="1"/>
  <c r="O272" i="33" s="1"/>
  <c r="A239" i="33"/>
  <c r="X238" i="33"/>
  <c r="L201" i="32"/>
  <c r="L202" i="32" s="1"/>
  <c r="L203" i="32" s="1"/>
  <c r="L204" i="32" s="1"/>
  <c r="L205" i="32" s="1"/>
  <c r="L206" i="32" s="1"/>
  <c r="L207" i="32" s="1"/>
  <c r="L200" i="32"/>
  <c r="O201" i="32"/>
  <c r="O202" i="32" s="1"/>
  <c r="O203" i="32" s="1"/>
  <c r="O204" i="32" s="1"/>
  <c r="O205" i="32" s="1"/>
  <c r="O206" i="32" s="1"/>
  <c r="O207" i="32" s="1"/>
  <c r="O200" i="32"/>
  <c r="L218" i="32"/>
  <c r="L219" i="32"/>
  <c r="L220" i="32" s="1"/>
  <c r="L221" i="32" s="1"/>
  <c r="L222" i="32" s="1"/>
  <c r="L223" i="32" s="1"/>
  <c r="L224" i="32" s="1"/>
  <c r="L225" i="32" s="1"/>
  <c r="O218" i="32"/>
  <c r="O219" i="32"/>
  <c r="O220" i="32" s="1"/>
  <c r="O221" i="32" s="1"/>
  <c r="O222" i="32" s="1"/>
  <c r="O223" i="32" s="1"/>
  <c r="O224" i="32" s="1"/>
  <c r="O225" i="32" s="1"/>
  <c r="L590" i="31"/>
  <c r="L591" i="31"/>
  <c r="L592" i="31" s="1"/>
  <c r="L593" i="31" s="1"/>
  <c r="L594" i="31" s="1"/>
  <c r="L595" i="31" s="1"/>
  <c r="L596" i="31" s="1"/>
  <c r="L597" i="31" s="1"/>
  <c r="O591" i="31"/>
  <c r="O592" i="31" s="1"/>
  <c r="O593" i="31" s="1"/>
  <c r="O594" i="31" s="1"/>
  <c r="O595" i="31" s="1"/>
  <c r="O596" i="31" s="1"/>
  <c r="O597" i="31" s="1"/>
  <c r="O590" i="31"/>
  <c r="L572" i="31"/>
  <c r="L573" i="31"/>
  <c r="L574" i="31" s="1"/>
  <c r="L575" i="31" s="1"/>
  <c r="L576" i="31" s="1"/>
  <c r="L577" i="31" s="1"/>
  <c r="L578" i="31" s="1"/>
  <c r="L579" i="31" s="1"/>
  <c r="O572" i="31"/>
  <c r="O573" i="31"/>
  <c r="O574" i="31" s="1"/>
  <c r="O575" i="31" s="1"/>
  <c r="O576" i="31" s="1"/>
  <c r="O577" i="31" s="1"/>
  <c r="O578" i="31" s="1"/>
  <c r="O579" i="31" s="1"/>
  <c r="A565" i="31"/>
  <c r="X563" i="31"/>
  <c r="L254" i="30"/>
  <c r="L255" i="30" s="1"/>
  <c r="L256" i="30" s="1"/>
  <c r="L257" i="30" s="1"/>
  <c r="L258" i="30" s="1"/>
  <c r="L259" i="30" s="1"/>
  <c r="L260" i="30" s="1"/>
  <c r="L253" i="30"/>
  <c r="O254" i="30"/>
  <c r="O255" i="30" s="1"/>
  <c r="O256" i="30" s="1"/>
  <c r="O257" i="30" s="1"/>
  <c r="O258" i="30" s="1"/>
  <c r="O259" i="30" s="1"/>
  <c r="O260" i="30" s="1"/>
  <c r="O253" i="30"/>
  <c r="A245" i="30"/>
  <c r="X244" i="30"/>
  <c r="L271" i="30"/>
  <c r="L272" i="30"/>
  <c r="L273" i="30" s="1"/>
  <c r="L274" i="30" s="1"/>
  <c r="L275" i="30" s="1"/>
  <c r="L276" i="30" s="1"/>
  <c r="L277" i="30" s="1"/>
  <c r="L278" i="30" s="1"/>
  <c r="O271" i="30"/>
  <c r="O272" i="30"/>
  <c r="O273" i="30" s="1"/>
  <c r="O274" i="30" s="1"/>
  <c r="O275" i="30" s="1"/>
  <c r="O276" i="30" s="1"/>
  <c r="O277" i="30" s="1"/>
  <c r="O278" i="30" s="1"/>
  <c r="L348" i="29"/>
  <c r="L349" i="29" s="1"/>
  <c r="L350" i="29" s="1"/>
  <c r="L351" i="29" s="1"/>
  <c r="L352" i="29" s="1"/>
  <c r="L353" i="29" s="1"/>
  <c r="L354" i="29" s="1"/>
  <c r="L347" i="29"/>
  <c r="O348" i="29"/>
  <c r="O349" i="29" s="1"/>
  <c r="O350" i="29" s="1"/>
  <c r="O351" i="29" s="1"/>
  <c r="O352" i="29" s="1"/>
  <c r="O353" i="29" s="1"/>
  <c r="O354" i="29" s="1"/>
  <c r="O347" i="29"/>
  <c r="L366" i="29"/>
  <c r="L367" i="29" s="1"/>
  <c r="L368" i="29" s="1"/>
  <c r="L369" i="29" s="1"/>
  <c r="L370" i="29" s="1"/>
  <c r="L371" i="29" s="1"/>
  <c r="L372" i="29" s="1"/>
  <c r="L365" i="29"/>
  <c r="O365" i="29"/>
  <c r="O366" i="29"/>
  <c r="O367" i="29" s="1"/>
  <c r="O368" i="29" s="1"/>
  <c r="O369" i="29" s="1"/>
  <c r="O370" i="29" s="1"/>
  <c r="O371" i="29" s="1"/>
  <c r="O372" i="29" s="1"/>
  <c r="A339" i="29"/>
  <c r="X338" i="29"/>
  <c r="L148" i="28"/>
  <c r="L149" i="28" s="1"/>
  <c r="L150" i="28" s="1"/>
  <c r="L151" i="28" s="1"/>
  <c r="L152" i="28" s="1"/>
  <c r="L153" i="28" s="1"/>
  <c r="L154" i="28" s="1"/>
  <c r="L147" i="28"/>
  <c r="O148" i="28"/>
  <c r="O149" i="28" s="1"/>
  <c r="O150" i="28" s="1"/>
  <c r="O151" i="28" s="1"/>
  <c r="O152" i="28" s="1"/>
  <c r="O153" i="28" s="1"/>
  <c r="O154" i="28" s="1"/>
  <c r="O147" i="28"/>
  <c r="L165" i="28"/>
  <c r="L166" i="28"/>
  <c r="L167" i="28" s="1"/>
  <c r="L168" i="28" s="1"/>
  <c r="L169" i="28" s="1"/>
  <c r="L170" i="28" s="1"/>
  <c r="L171" i="28" s="1"/>
  <c r="L172" i="28" s="1"/>
  <c r="O165" i="28"/>
  <c r="O166" i="28"/>
  <c r="O167" i="28" s="1"/>
  <c r="O168" i="28" s="1"/>
  <c r="O169" i="28" s="1"/>
  <c r="O170" i="28" s="1"/>
  <c r="O171" i="28" s="1"/>
  <c r="O172" i="28" s="1"/>
  <c r="X139" i="28"/>
  <c r="A140" i="28"/>
  <c r="X138" i="28"/>
  <c r="L149" i="27"/>
  <c r="L150" i="27" s="1"/>
  <c r="L151" i="27" s="1"/>
  <c r="L152" i="27" s="1"/>
  <c r="L153" i="27" s="1"/>
  <c r="L154" i="27" s="1"/>
  <c r="L155" i="27" s="1"/>
  <c r="L148" i="27"/>
  <c r="O149" i="27"/>
  <c r="O150" i="27" s="1"/>
  <c r="O151" i="27" s="1"/>
  <c r="O152" i="27" s="1"/>
  <c r="O153" i="27" s="1"/>
  <c r="O154" i="27" s="1"/>
  <c r="O155" i="27" s="1"/>
  <c r="O148" i="27"/>
  <c r="L167" i="27"/>
  <c r="L168" i="27" s="1"/>
  <c r="L169" i="27" s="1"/>
  <c r="L170" i="27" s="1"/>
  <c r="L171" i="27" s="1"/>
  <c r="L172" i="27" s="1"/>
  <c r="L173" i="27" s="1"/>
  <c r="L166" i="27"/>
  <c r="O167" i="27"/>
  <c r="O168" i="27" s="1"/>
  <c r="O169" i="27" s="1"/>
  <c r="O170" i="27" s="1"/>
  <c r="O171" i="27" s="1"/>
  <c r="O172" i="27" s="1"/>
  <c r="O173" i="27" s="1"/>
  <c r="O166" i="27"/>
  <c r="A140" i="27"/>
  <c r="X139" i="27"/>
  <c r="L253" i="26"/>
  <c r="L254" i="26" s="1"/>
  <c r="L255" i="26" s="1"/>
  <c r="L256" i="26" s="1"/>
  <c r="L257" i="26" s="1"/>
  <c r="L258" i="26" s="1"/>
  <c r="L259" i="26" s="1"/>
  <c r="L252" i="26"/>
  <c r="O253" i="26"/>
  <c r="O254" i="26" s="1"/>
  <c r="O255" i="26" s="1"/>
  <c r="O256" i="26" s="1"/>
  <c r="O257" i="26" s="1"/>
  <c r="O258" i="26" s="1"/>
  <c r="O259" i="26" s="1"/>
  <c r="O252" i="26"/>
  <c r="A246" i="26"/>
  <c r="X245" i="26"/>
  <c r="L270" i="26"/>
  <c r="L271" i="26"/>
  <c r="L272" i="26" s="1"/>
  <c r="L273" i="26" s="1"/>
  <c r="L274" i="26" s="1"/>
  <c r="L275" i="26" s="1"/>
  <c r="L276" i="26" s="1"/>
  <c r="L277" i="26" s="1"/>
  <c r="O270" i="26"/>
  <c r="O271" i="26"/>
  <c r="O272" i="26" s="1"/>
  <c r="O273" i="26" s="1"/>
  <c r="O274" i="26" s="1"/>
  <c r="O275" i="26" s="1"/>
  <c r="O276" i="26" s="1"/>
  <c r="O277" i="26" s="1"/>
  <c r="X297" i="25"/>
  <c r="A298" i="25"/>
  <c r="L321" i="25"/>
  <c r="L322" i="25"/>
  <c r="L323" i="25" s="1"/>
  <c r="L324" i="25" s="1"/>
  <c r="L325" i="25" s="1"/>
  <c r="L326" i="25" s="1"/>
  <c r="L327" i="25" s="1"/>
  <c r="L328" i="25" s="1"/>
  <c r="O321" i="25"/>
  <c r="O322" i="25"/>
  <c r="O323" i="25" s="1"/>
  <c r="O324" i="25" s="1"/>
  <c r="O325" i="25" s="1"/>
  <c r="O326" i="25" s="1"/>
  <c r="O327" i="25" s="1"/>
  <c r="O328" i="25" s="1"/>
  <c r="L304" i="25"/>
  <c r="L305" i="25" s="1"/>
  <c r="L306" i="25" s="1"/>
  <c r="L307" i="25" s="1"/>
  <c r="L308" i="25" s="1"/>
  <c r="L309" i="25" s="1"/>
  <c r="L310" i="25" s="1"/>
  <c r="L303" i="25"/>
  <c r="O303" i="25"/>
  <c r="O304" i="25"/>
  <c r="O305" i="25" s="1"/>
  <c r="O306" i="25" s="1"/>
  <c r="O307" i="25" s="1"/>
  <c r="O308" i="25" s="1"/>
  <c r="O309" i="25" s="1"/>
  <c r="O310" i="25" s="1"/>
  <c r="X296" i="25"/>
  <c r="X246" i="23"/>
  <c r="A247" i="23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193" i="32" l="1"/>
  <c r="X192" i="32"/>
  <c r="A264" i="23"/>
  <c r="A240" i="33"/>
  <c r="X239" i="33"/>
  <c r="A566" i="31"/>
  <c r="X565" i="31"/>
  <c r="A246" i="30"/>
  <c r="X245" i="30"/>
  <c r="A340" i="29"/>
  <c r="X339" i="29"/>
  <c r="A141" i="28"/>
  <c r="X140" i="28"/>
  <c r="X140" i="27"/>
  <c r="A141" i="27"/>
  <c r="X246" i="26"/>
  <c r="A247" i="26"/>
  <c r="X298" i="25"/>
  <c r="A299" i="25"/>
  <c r="X193" i="32" l="1"/>
  <c r="A194" i="32"/>
  <c r="A265" i="23"/>
  <c r="A266" i="23" s="1"/>
  <c r="A267" i="23" s="1"/>
  <c r="A268" i="23" s="1"/>
  <c r="A269" i="23" s="1"/>
  <c r="A270" i="23" s="1"/>
  <c r="A271" i="23" s="1"/>
  <c r="A272" i="23" s="1"/>
  <c r="A273" i="23" s="1"/>
  <c r="X240" i="33"/>
  <c r="A241" i="33"/>
  <c r="A567" i="31"/>
  <c r="X566" i="31"/>
  <c r="A247" i="30"/>
  <c r="X246" i="30"/>
  <c r="A341" i="29"/>
  <c r="X340" i="29"/>
  <c r="X141" i="28"/>
  <c r="A142" i="28"/>
  <c r="A142" i="27"/>
  <c r="X141" i="27"/>
  <c r="A248" i="26"/>
  <c r="X247" i="26"/>
  <c r="A300" i="25"/>
  <c r="X299" i="25"/>
  <c r="X194" i="32" l="1"/>
  <c r="A195" i="32"/>
  <c r="A242" i="33"/>
  <c r="X241" i="33"/>
  <c r="X567" i="31"/>
  <c r="A568" i="31"/>
  <c r="X247" i="30"/>
  <c r="A248" i="30"/>
  <c r="X341" i="29"/>
  <c r="A342" i="29"/>
  <c r="X142" i="28"/>
  <c r="A143" i="28"/>
  <c r="X142" i="27"/>
  <c r="A143" i="27"/>
  <c r="A249" i="26"/>
  <c r="X248" i="26"/>
  <c r="A301" i="25"/>
  <c r="X300" i="25"/>
  <c r="X195" i="32" l="1"/>
  <c r="A196" i="32"/>
  <c r="A243" i="33"/>
  <c r="X242" i="33"/>
  <c r="X568" i="31"/>
  <c r="A569" i="31"/>
  <c r="A249" i="30"/>
  <c r="X248" i="30"/>
  <c r="A343" i="29"/>
  <c r="X342" i="29"/>
  <c r="A144" i="28"/>
  <c r="X143" i="28"/>
  <c r="A144" i="27"/>
  <c r="X143" i="27"/>
  <c r="A250" i="26"/>
  <c r="X249" i="26"/>
  <c r="A302" i="25"/>
  <c r="X301" i="25"/>
  <c r="A197" i="32" l="1"/>
  <c r="X196" i="32"/>
  <c r="A244" i="33"/>
  <c r="X243" i="33"/>
  <c r="A570" i="31"/>
  <c r="X569" i="31"/>
  <c r="A250" i="30"/>
  <c r="X249" i="30"/>
  <c r="A344" i="29"/>
  <c r="X343" i="29"/>
  <c r="A145" i="28"/>
  <c r="X144" i="28"/>
  <c r="X144" i="27"/>
  <c r="A145" i="27"/>
  <c r="X250" i="26"/>
  <c r="A251" i="26"/>
  <c r="X302" i="25"/>
  <c r="A303" i="25"/>
  <c r="X197" i="32" l="1"/>
  <c r="A198" i="32"/>
  <c r="X244" i="33"/>
  <c r="A245" i="33"/>
  <c r="A571" i="31"/>
  <c r="X570" i="31"/>
  <c r="A251" i="30"/>
  <c r="X250" i="30"/>
  <c r="X344" i="29"/>
  <c r="A345" i="29"/>
  <c r="X145" i="28"/>
  <c r="A146" i="28"/>
  <c r="A146" i="27"/>
  <c r="X145" i="27"/>
  <c r="A252" i="26"/>
  <c r="X251" i="26"/>
  <c r="A304" i="25"/>
  <c r="X303" i="25"/>
  <c r="A199" i="32" l="1"/>
  <c r="X198" i="32"/>
  <c r="A246" i="33"/>
  <c r="X245" i="33"/>
  <c r="A572" i="31"/>
  <c r="X571" i="31"/>
  <c r="X251" i="30"/>
  <c r="A252" i="30"/>
  <c r="X345" i="29"/>
  <c r="A346" i="29"/>
  <c r="X146" i="28"/>
  <c r="A147" i="28"/>
  <c r="X146" i="27"/>
  <c r="A147" i="27"/>
  <c r="A253" i="26"/>
  <c r="X252" i="26"/>
  <c r="A305" i="25"/>
  <c r="X304" i="25"/>
  <c r="X199" i="32" l="1"/>
  <c r="A200" i="32"/>
  <c r="A247" i="33"/>
  <c r="X246" i="33"/>
  <c r="X572" i="31"/>
  <c r="A573" i="31"/>
  <c r="A253" i="30"/>
  <c r="X252" i="30"/>
  <c r="A347" i="29"/>
  <c r="X346" i="29"/>
  <c r="A148" i="28"/>
  <c r="X147" i="28"/>
  <c r="A148" i="27"/>
  <c r="X147" i="27"/>
  <c r="A254" i="26"/>
  <c r="X253" i="26"/>
  <c r="X305" i="25"/>
  <c r="A306" i="25"/>
  <c r="A201" i="32" l="1"/>
  <c r="X200" i="32"/>
  <c r="A248" i="33"/>
  <c r="X247" i="33"/>
  <c r="A574" i="31"/>
  <c r="X573" i="31"/>
  <c r="A254" i="30"/>
  <c r="X253" i="30"/>
  <c r="A348" i="29"/>
  <c r="X347" i="29"/>
  <c r="A149" i="28"/>
  <c r="X148" i="28"/>
  <c r="X148" i="27"/>
  <c r="A149" i="27"/>
  <c r="X254" i="26"/>
  <c r="A255" i="26"/>
  <c r="A307" i="25"/>
  <c r="X306" i="25"/>
  <c r="X201" i="32" l="1"/>
  <c r="A202" i="32"/>
  <c r="X248" i="33"/>
  <c r="A249" i="33"/>
  <c r="X574" i="31"/>
  <c r="A575" i="31"/>
  <c r="A255" i="30"/>
  <c r="X254" i="30"/>
  <c r="A349" i="29"/>
  <c r="X348" i="29"/>
  <c r="X149" i="28"/>
  <c r="A150" i="28"/>
  <c r="A150" i="27"/>
  <c r="X149" i="27"/>
  <c r="A256" i="26"/>
  <c r="X255" i="26"/>
  <c r="A308" i="25"/>
  <c r="X307" i="25"/>
  <c r="X202" i="32" l="1"/>
  <c r="A203" i="32"/>
  <c r="A250" i="33"/>
  <c r="X249" i="33"/>
  <c r="A576" i="31"/>
  <c r="X575" i="31"/>
  <c r="X255" i="30"/>
  <c r="A256" i="30"/>
  <c r="X349" i="29"/>
  <c r="A350" i="29"/>
  <c r="X150" i="28"/>
  <c r="A151" i="28"/>
  <c r="X150" i="27"/>
  <c r="A151" i="27"/>
  <c r="A257" i="26"/>
  <c r="X256" i="26"/>
  <c r="A309" i="25"/>
  <c r="X308" i="25"/>
  <c r="X203" i="32" l="1"/>
  <c r="A204" i="32"/>
  <c r="A251" i="33"/>
  <c r="X250" i="33"/>
  <c r="X576" i="31"/>
  <c r="A577" i="31"/>
  <c r="A257" i="30"/>
  <c r="X256" i="30"/>
  <c r="A351" i="29"/>
  <c r="X350" i="29"/>
  <c r="A152" i="28"/>
  <c r="X151" i="28"/>
  <c r="A152" i="27"/>
  <c r="X151" i="27"/>
  <c r="A258" i="26"/>
  <c r="X257" i="26"/>
  <c r="X309" i="25"/>
  <c r="A310" i="25"/>
  <c r="A205" i="32" l="1"/>
  <c r="X204" i="32"/>
  <c r="A252" i="33"/>
  <c r="X251" i="33"/>
  <c r="A578" i="31"/>
  <c r="X577" i="31"/>
  <c r="A258" i="30"/>
  <c r="X257" i="30"/>
  <c r="X351" i="29"/>
  <c r="A352" i="29"/>
  <c r="A153" i="28"/>
  <c r="X152" i="28"/>
  <c r="X152" i="27"/>
  <c r="A153" i="27"/>
  <c r="X258" i="26"/>
  <c r="A259" i="26"/>
  <c r="A311" i="25"/>
  <c r="X205" i="32" l="1"/>
  <c r="A206" i="32"/>
  <c r="X252" i="33"/>
  <c r="A253" i="33"/>
  <c r="A579" i="31"/>
  <c r="X578" i="31"/>
  <c r="A259" i="30"/>
  <c r="X258" i="30"/>
  <c r="A353" i="29"/>
  <c r="X352" i="29"/>
  <c r="X153" i="28"/>
  <c r="A154" i="28"/>
  <c r="A154" i="27"/>
  <c r="X153" i="27"/>
  <c r="A260" i="26"/>
  <c r="A312" i="25"/>
  <c r="X206" i="32" l="1"/>
  <c r="A207" i="32"/>
  <c r="A208" i="32" s="1"/>
  <c r="A209" i="32" s="1"/>
  <c r="A254" i="33"/>
  <c r="X253" i="33"/>
  <c r="A210" i="32"/>
  <c r="A580" i="31"/>
  <c r="X259" i="30"/>
  <c r="A260" i="30"/>
  <c r="X353" i="29"/>
  <c r="A354" i="29"/>
  <c r="A155" i="28"/>
  <c r="X154" i="27"/>
  <c r="A155" i="27"/>
  <c r="A261" i="26"/>
  <c r="A313" i="25"/>
  <c r="A255" i="33" l="1"/>
  <c r="A211" i="32"/>
  <c r="A581" i="31"/>
  <c r="A261" i="30"/>
  <c r="A355" i="29"/>
  <c r="A156" i="28"/>
  <c r="A156" i="27"/>
  <c r="A262" i="26"/>
  <c r="A314" i="25"/>
  <c r="A256" i="33" l="1"/>
  <c r="A212" i="32"/>
  <c r="A582" i="31"/>
  <c r="A262" i="30"/>
  <c r="A356" i="29"/>
  <c r="A157" i="28"/>
  <c r="A157" i="27"/>
  <c r="A263" i="26"/>
  <c r="A315" i="25"/>
  <c r="A257" i="33" l="1"/>
  <c r="A213" i="32"/>
  <c r="A583" i="31"/>
  <c r="A263" i="30"/>
  <c r="A357" i="29"/>
  <c r="A158" i="28"/>
  <c r="A158" i="27"/>
  <c r="A264" i="26"/>
  <c r="A316" i="25"/>
  <c r="A258" i="33" l="1"/>
  <c r="A214" i="32"/>
  <c r="A584" i="31"/>
  <c r="A264" i="30"/>
  <c r="A358" i="29"/>
  <c r="A159" i="28"/>
  <c r="A159" i="27"/>
  <c r="A265" i="26"/>
  <c r="A317" i="25"/>
  <c r="A259" i="33" l="1"/>
  <c r="A215" i="32"/>
  <c r="A585" i="31"/>
  <c r="A265" i="30"/>
  <c r="A359" i="29"/>
  <c r="A160" i="28"/>
  <c r="A160" i="27"/>
  <c r="A266" i="26"/>
  <c r="A318" i="25"/>
  <c r="A260" i="33" l="1"/>
  <c r="A216" i="32"/>
  <c r="A586" i="31"/>
  <c r="A266" i="30"/>
  <c r="A360" i="29"/>
  <c r="A161" i="28"/>
  <c r="A161" i="27"/>
  <c r="A267" i="26"/>
  <c r="A319" i="25"/>
  <c r="A261" i="33" l="1"/>
  <c r="A217" i="32"/>
  <c r="A587" i="31"/>
  <c r="A267" i="30"/>
  <c r="A361" i="29"/>
  <c r="A162" i="28"/>
  <c r="A162" i="27"/>
  <c r="A268" i="26"/>
  <c r="A320" i="25"/>
  <c r="A262" i="33" l="1"/>
  <c r="A218" i="32"/>
  <c r="A588" i="31"/>
  <c r="A268" i="30"/>
  <c r="A362" i="29"/>
  <c r="A163" i="28"/>
  <c r="A163" i="27"/>
  <c r="A269" i="26"/>
  <c r="A321" i="25"/>
  <c r="A263" i="33" l="1"/>
  <c r="A219" i="32"/>
  <c r="A589" i="31"/>
  <c r="A269" i="30"/>
  <c r="A363" i="29"/>
  <c r="A164" i="28"/>
  <c r="A164" i="27"/>
  <c r="A270" i="26"/>
  <c r="A322" i="25"/>
  <c r="A264" i="33" l="1"/>
  <c r="A220" i="32"/>
  <c r="A590" i="31"/>
  <c r="A270" i="30"/>
  <c r="A364" i="29"/>
  <c r="A165" i="28"/>
  <c r="A165" i="27"/>
  <c r="A271" i="26"/>
  <c r="A323" i="25"/>
  <c r="A265" i="33" l="1"/>
  <c r="A221" i="32"/>
  <c r="A591" i="31"/>
  <c r="A271" i="30"/>
  <c r="A365" i="29"/>
  <c r="A166" i="28"/>
  <c r="A166" i="27"/>
  <c r="A272" i="26"/>
  <c r="A324" i="25"/>
  <c r="A266" i="33" l="1"/>
  <c r="A222" i="32"/>
  <c r="A592" i="31"/>
  <c r="A272" i="30"/>
  <c r="A366" i="29"/>
  <c r="A167" i="28"/>
  <c r="A167" i="27"/>
  <c r="A273" i="26"/>
  <c r="A325" i="25"/>
  <c r="A267" i="33" l="1"/>
  <c r="A223" i="32"/>
  <c r="A593" i="31"/>
  <c r="A273" i="30"/>
  <c r="A367" i="29"/>
  <c r="A168" i="28"/>
  <c r="A168" i="27"/>
  <c r="A274" i="26"/>
  <c r="A326" i="25"/>
  <c r="A268" i="33" l="1"/>
  <c r="A224" i="32"/>
  <c r="A594" i="31"/>
  <c r="A274" i="30"/>
  <c r="A368" i="29"/>
  <c r="A169" i="28"/>
  <c r="A169" i="27"/>
  <c r="A275" i="26"/>
  <c r="A327" i="25"/>
  <c r="A269" i="33" l="1"/>
  <c r="A225" i="32"/>
  <c r="A595" i="31"/>
  <c r="A275" i="30"/>
  <c r="A369" i="29"/>
  <c r="A170" i="28"/>
  <c r="A170" i="27"/>
  <c r="A276" i="26"/>
  <c r="A328" i="25"/>
  <c r="A270" i="33" l="1"/>
  <c r="A226" i="32"/>
  <c r="A227" i="32" s="1"/>
  <c r="A596" i="31"/>
  <c r="A276" i="30"/>
  <c r="A370" i="29"/>
  <c r="A171" i="28"/>
  <c r="A171" i="27"/>
  <c r="A277" i="26"/>
  <c r="A329" i="25"/>
  <c r="A330" i="25" s="1"/>
  <c r="A271" i="33" l="1"/>
  <c r="A597" i="31"/>
  <c r="A277" i="30"/>
  <c r="A371" i="29"/>
  <c r="A172" i="28"/>
  <c r="A172" i="27"/>
  <c r="A278" i="26"/>
  <c r="A279" i="26" s="1"/>
  <c r="A272" i="33" l="1"/>
  <c r="A598" i="31"/>
  <c r="A599" i="31" s="1"/>
  <c r="A278" i="30"/>
  <c r="A372" i="29"/>
  <c r="A173" i="28"/>
  <c r="A174" i="28" s="1"/>
  <c r="A173" i="27"/>
  <c r="A273" i="33" l="1"/>
  <c r="A274" i="33" s="1"/>
  <c r="A279" i="30"/>
  <c r="A280" i="30" s="1"/>
  <c r="A373" i="29"/>
  <c r="A374" i="29" s="1"/>
  <c r="A174" i="27"/>
  <c r="A175" i="27" s="1"/>
  <c r="J261" i="69" l="1"/>
  <c r="J262" i="69" s="1"/>
  <c r="K261" i="69"/>
  <c r="K262" i="69" s="1"/>
  <c r="L261" i="69"/>
  <c r="L262" i="69" s="1"/>
  <c r="M261" i="69"/>
  <c r="M262" i="69" s="1"/>
  <c r="N261" i="69"/>
  <c r="N262" i="69" s="1"/>
  <c r="O261" i="69"/>
  <c r="O262" i="69" s="1"/>
  <c r="P261" i="69"/>
  <c r="P262" i="69" s="1"/>
  <c r="Q261" i="69"/>
  <c r="Q262" i="69" s="1"/>
  <c r="R261" i="69"/>
  <c r="R262" i="69" s="1"/>
  <c r="S261" i="69"/>
  <c r="S262" i="69" s="1"/>
  <c r="J260" i="69"/>
  <c r="K260" i="69"/>
  <c r="L260" i="69"/>
  <c r="M260" i="69"/>
  <c r="N260" i="69"/>
  <c r="O260" i="69"/>
  <c r="P260" i="69"/>
  <c r="Q260" i="69"/>
  <c r="R260" i="69"/>
  <c r="U255" i="69"/>
  <c r="V255" i="69" s="1"/>
  <c r="U254" i="69"/>
  <c r="U249" i="69"/>
  <c r="V249" i="69" s="1"/>
  <c r="U248" i="69"/>
  <c r="U243" i="69"/>
  <c r="V243" i="69" s="1"/>
  <c r="U242" i="69"/>
  <c r="U229" i="69"/>
  <c r="V229" i="69" s="1"/>
  <c r="U228" i="69"/>
  <c r="U219" i="69"/>
  <c r="V219" i="69" s="1"/>
  <c r="U218" i="69"/>
  <c r="U213" i="69"/>
  <c r="V213" i="69" s="1"/>
  <c r="U212" i="69"/>
  <c r="U207" i="69"/>
  <c r="V207" i="69" s="1"/>
  <c r="U206" i="69"/>
  <c r="U201" i="69"/>
  <c r="V201" i="69" s="1"/>
  <c r="U200" i="69"/>
  <c r="U195" i="69"/>
  <c r="V195" i="69" s="1"/>
  <c r="U194" i="69"/>
  <c r="U189" i="69"/>
  <c r="V189" i="69" s="1"/>
  <c r="U188" i="69"/>
  <c r="U179" i="69"/>
  <c r="V179" i="69" s="1"/>
  <c r="U178" i="69"/>
  <c r="U169" i="69"/>
  <c r="V169" i="69" s="1"/>
  <c r="U168" i="69"/>
  <c r="U163" i="69"/>
  <c r="V163" i="69" s="1"/>
  <c r="U162" i="69"/>
  <c r="U157" i="69"/>
  <c r="V157" i="69" s="1"/>
  <c r="U156" i="69"/>
  <c r="U151" i="69"/>
  <c r="V151" i="69" s="1"/>
  <c r="U150" i="69"/>
  <c r="U145" i="69"/>
  <c r="V145" i="69" s="1"/>
  <c r="U144" i="69"/>
  <c r="U135" i="69"/>
  <c r="V135" i="69" s="1"/>
  <c r="U134" i="69"/>
  <c r="U119" i="69"/>
  <c r="V119" i="69" s="1"/>
  <c r="U118" i="69"/>
  <c r="U111" i="69"/>
  <c r="V111" i="69" s="1"/>
  <c r="U110" i="69"/>
  <c r="U104" i="69"/>
  <c r="U105" i="69"/>
  <c r="V105" i="69" s="1"/>
  <c r="U95" i="69"/>
  <c r="V95" i="69" s="1"/>
  <c r="U94" i="69"/>
  <c r="U84" i="69"/>
  <c r="U85" i="69"/>
  <c r="V85" i="69" s="1"/>
  <c r="U77" i="69"/>
  <c r="V77" i="69" s="1"/>
  <c r="U76" i="69"/>
  <c r="U65" i="69"/>
  <c r="V65" i="69" s="1"/>
  <c r="U64" i="69"/>
  <c r="U59" i="69"/>
  <c r="V59" i="69" s="1"/>
  <c r="U58" i="69"/>
  <c r="U53" i="69"/>
  <c r="V53" i="69" s="1"/>
  <c r="U52" i="69"/>
  <c r="U47" i="69"/>
  <c r="V47" i="69" s="1"/>
  <c r="U46" i="69"/>
  <c r="U41" i="69"/>
  <c r="V41" i="69" s="1"/>
  <c r="U40" i="69"/>
  <c r="U35" i="69"/>
  <c r="V35" i="69" s="1"/>
  <c r="U34" i="69"/>
  <c r="U29" i="69"/>
  <c r="V29" i="69" s="1"/>
  <c r="U28" i="69"/>
  <c r="U23" i="69"/>
  <c r="V23" i="69" s="1"/>
  <c r="U22" i="69"/>
  <c r="U17" i="69"/>
  <c r="V17" i="69" s="1"/>
  <c r="U16" i="69"/>
  <c r="U9" i="69"/>
  <c r="V9" i="69" s="1"/>
  <c r="U8" i="69"/>
  <c r="U3" i="69"/>
  <c r="V3" i="69" s="1"/>
  <c r="U2" i="69"/>
  <c r="U260" i="69" l="1"/>
  <c r="U261" i="69"/>
  <c r="U262" i="69" s="1"/>
  <c r="W274" i="70" l="1"/>
  <c r="U274" i="70"/>
  <c r="T274" i="70"/>
  <c r="S274" i="70"/>
  <c r="O274" i="70"/>
  <c r="U273" i="70"/>
  <c r="T273" i="70"/>
  <c r="S273" i="70"/>
  <c r="O273" i="70"/>
  <c r="W272" i="70"/>
  <c r="U272" i="70"/>
  <c r="T272" i="70"/>
  <c r="S272" i="70"/>
  <c r="O272" i="70"/>
  <c r="U271" i="70"/>
  <c r="T271" i="70"/>
  <c r="S271" i="70"/>
  <c r="O271" i="70"/>
  <c r="W268" i="70"/>
  <c r="U268" i="70"/>
  <c r="T268" i="70"/>
  <c r="S268" i="70"/>
  <c r="O268" i="70"/>
  <c r="U267" i="70"/>
  <c r="T267" i="70"/>
  <c r="S267" i="70"/>
  <c r="O267" i="70"/>
  <c r="W266" i="70"/>
  <c r="U266" i="70"/>
  <c r="T266" i="70"/>
  <c r="S266" i="70"/>
  <c r="O266" i="70"/>
  <c r="U265" i="70"/>
  <c r="T265" i="70"/>
  <c r="S265" i="70"/>
  <c r="O265" i="70"/>
  <c r="T264" i="70"/>
  <c r="S264" i="70"/>
  <c r="O264" i="70"/>
  <c r="T263" i="70"/>
  <c r="S263" i="70"/>
  <c r="O263" i="70"/>
  <c r="W262" i="70"/>
  <c r="T262" i="70"/>
  <c r="S262" i="70"/>
  <c r="O262" i="70"/>
  <c r="T261" i="70"/>
  <c r="S261" i="70"/>
  <c r="O261" i="70"/>
  <c r="W260" i="70"/>
  <c r="T260" i="70"/>
  <c r="S260" i="70"/>
  <c r="O260" i="70"/>
  <c r="T259" i="70"/>
  <c r="S259" i="70"/>
  <c r="O259" i="70"/>
  <c r="U258" i="70"/>
  <c r="T258" i="70"/>
  <c r="S258" i="70"/>
  <c r="O258" i="70"/>
  <c r="U257" i="70"/>
  <c r="T257" i="70"/>
  <c r="S257" i="70"/>
  <c r="O257" i="70"/>
  <c r="W256" i="70"/>
  <c r="U256" i="70"/>
  <c r="T256" i="70"/>
  <c r="S256" i="70"/>
  <c r="O256" i="70"/>
  <c r="U255" i="70"/>
  <c r="T255" i="70"/>
  <c r="S255" i="70"/>
  <c r="O255" i="70"/>
  <c r="W254" i="70"/>
  <c r="U254" i="70"/>
  <c r="T254" i="70"/>
  <c r="S254" i="70"/>
  <c r="O254" i="70"/>
  <c r="U253" i="70"/>
  <c r="S253" i="70"/>
  <c r="O253" i="70"/>
  <c r="W252" i="70"/>
  <c r="U252" i="70"/>
  <c r="T252" i="70"/>
  <c r="S252" i="70"/>
  <c r="O252" i="70"/>
  <c r="U251" i="70"/>
  <c r="T251" i="70"/>
  <c r="S251" i="70"/>
  <c r="O251" i="70"/>
  <c r="W250" i="70"/>
  <c r="U250" i="70"/>
  <c r="T250" i="70"/>
  <c r="S250" i="70"/>
  <c r="O250" i="70"/>
  <c r="U249" i="70"/>
  <c r="T249" i="70"/>
  <c r="S249" i="70"/>
  <c r="O249" i="70"/>
  <c r="W248" i="70"/>
  <c r="U248" i="70"/>
  <c r="T248" i="70"/>
  <c r="S248" i="70"/>
  <c r="O248" i="70"/>
  <c r="U247" i="70"/>
  <c r="T247" i="70"/>
  <c r="S247" i="70"/>
  <c r="O247" i="70"/>
  <c r="W246" i="70"/>
  <c r="U246" i="70"/>
  <c r="T246" i="70"/>
  <c r="S246" i="70"/>
  <c r="O246" i="70"/>
  <c r="U245" i="70"/>
  <c r="T245" i="70"/>
  <c r="S245" i="70"/>
  <c r="O245" i="70"/>
  <c r="T244" i="70"/>
  <c r="S244" i="70"/>
  <c r="O244" i="70"/>
  <c r="T243" i="70"/>
  <c r="S243" i="70"/>
  <c r="O243" i="70"/>
  <c r="T234" i="70"/>
  <c r="T233" i="70"/>
  <c r="W242" i="70"/>
  <c r="U242" i="70"/>
  <c r="T242" i="70"/>
  <c r="S242" i="70"/>
  <c r="O242" i="70"/>
  <c r="U241" i="70"/>
  <c r="T241" i="70"/>
  <c r="S241" i="70"/>
  <c r="O241" i="70"/>
  <c r="W240" i="70"/>
  <c r="U240" i="70"/>
  <c r="T240" i="70"/>
  <c r="S240" i="70"/>
  <c r="O240" i="70"/>
  <c r="U239" i="70"/>
  <c r="T239" i="70"/>
  <c r="S239" i="70"/>
  <c r="O239" i="70"/>
  <c r="W238" i="70"/>
  <c r="U238" i="70"/>
  <c r="T238" i="70"/>
  <c r="S238" i="70"/>
  <c r="O238" i="70"/>
  <c r="U237" i="70"/>
  <c r="T237" i="70"/>
  <c r="S237" i="70"/>
  <c r="O237" i="70"/>
  <c r="W236" i="70"/>
  <c r="U236" i="70"/>
  <c r="T236" i="70"/>
  <c r="S236" i="70"/>
  <c r="O236" i="70"/>
  <c r="U235" i="70"/>
  <c r="T235" i="70"/>
  <c r="S235" i="70"/>
  <c r="O235" i="70"/>
  <c r="S234" i="70"/>
  <c r="O234" i="70"/>
  <c r="S233" i="70"/>
  <c r="O233" i="70"/>
  <c r="T222" i="70"/>
  <c r="T221" i="70"/>
  <c r="W232" i="70"/>
  <c r="U232" i="70"/>
  <c r="T232" i="70"/>
  <c r="S232" i="70"/>
  <c r="O232" i="70"/>
  <c r="U231" i="70"/>
  <c r="T231" i="70"/>
  <c r="S231" i="70"/>
  <c r="O231" i="70"/>
  <c r="W230" i="70"/>
  <c r="U230" i="70"/>
  <c r="T230" i="70"/>
  <c r="S230" i="70"/>
  <c r="O230" i="70"/>
  <c r="U229" i="70"/>
  <c r="T229" i="70"/>
  <c r="S229" i="70"/>
  <c r="O229" i="70"/>
  <c r="W226" i="70"/>
  <c r="U226" i="70"/>
  <c r="T226" i="70"/>
  <c r="S226" i="70"/>
  <c r="O226" i="70"/>
  <c r="U225" i="70"/>
  <c r="T225" i="70"/>
  <c r="S225" i="70"/>
  <c r="O225" i="70"/>
  <c r="W224" i="70"/>
  <c r="U224" i="70"/>
  <c r="T224" i="70"/>
  <c r="S224" i="70"/>
  <c r="O224" i="70"/>
  <c r="U223" i="70"/>
  <c r="T223" i="70"/>
  <c r="S223" i="70"/>
  <c r="O223" i="70"/>
  <c r="S222" i="70"/>
  <c r="O222" i="70"/>
  <c r="S221" i="70"/>
  <c r="O221" i="70"/>
  <c r="W220" i="70"/>
  <c r="T220" i="70"/>
  <c r="S220" i="70"/>
  <c r="O220" i="70"/>
  <c r="T219" i="70"/>
  <c r="S219" i="70"/>
  <c r="O219" i="70"/>
  <c r="W218" i="70"/>
  <c r="T218" i="70"/>
  <c r="S218" i="70"/>
  <c r="O218" i="70"/>
  <c r="U217" i="70"/>
  <c r="T217" i="70"/>
  <c r="S217" i="70"/>
  <c r="O217" i="70"/>
  <c r="T216" i="70"/>
  <c r="S216" i="70"/>
  <c r="O216" i="70"/>
  <c r="U216" i="70"/>
  <c r="U215" i="70"/>
  <c r="T215" i="70"/>
  <c r="S215" i="70"/>
  <c r="O215" i="70"/>
  <c r="T204" i="70"/>
  <c r="T203" i="70"/>
  <c r="W214" i="70"/>
  <c r="U214" i="70"/>
  <c r="T214" i="70"/>
  <c r="S214" i="70"/>
  <c r="O214" i="70"/>
  <c r="U213" i="70"/>
  <c r="T213" i="70"/>
  <c r="S213" i="70"/>
  <c r="O213" i="70"/>
  <c r="W212" i="70"/>
  <c r="U212" i="70"/>
  <c r="T212" i="70"/>
  <c r="S212" i="70"/>
  <c r="O212" i="70"/>
  <c r="U211" i="70"/>
  <c r="T211" i="70"/>
  <c r="S211" i="70"/>
  <c r="O211" i="70"/>
  <c r="W208" i="70"/>
  <c r="U208" i="70"/>
  <c r="T208" i="70"/>
  <c r="S208" i="70"/>
  <c r="O208" i="70"/>
  <c r="U207" i="70"/>
  <c r="T207" i="70"/>
  <c r="S207" i="70"/>
  <c r="O207" i="70"/>
  <c r="W206" i="70"/>
  <c r="U206" i="70"/>
  <c r="T206" i="70"/>
  <c r="S206" i="70"/>
  <c r="O206" i="70"/>
  <c r="U205" i="70"/>
  <c r="T205" i="70"/>
  <c r="S205" i="70"/>
  <c r="O205" i="70"/>
  <c r="S204" i="70"/>
  <c r="O204" i="70"/>
  <c r="S203" i="70"/>
  <c r="O203" i="70"/>
  <c r="W202" i="70"/>
  <c r="U202" i="70"/>
  <c r="T202" i="70"/>
  <c r="S202" i="70"/>
  <c r="O202" i="70"/>
  <c r="U201" i="70"/>
  <c r="T201" i="70"/>
  <c r="S201" i="70"/>
  <c r="O201" i="70"/>
  <c r="W200" i="70"/>
  <c r="U200" i="70"/>
  <c r="T200" i="70"/>
  <c r="S200" i="70"/>
  <c r="O200" i="70"/>
  <c r="U199" i="70"/>
  <c r="T199" i="70"/>
  <c r="S199" i="70"/>
  <c r="O199" i="70"/>
  <c r="W198" i="70"/>
  <c r="U198" i="70"/>
  <c r="T198" i="70"/>
  <c r="S198" i="70"/>
  <c r="O198" i="70"/>
  <c r="U197" i="70"/>
  <c r="T197" i="70"/>
  <c r="S197" i="70"/>
  <c r="O197" i="70"/>
  <c r="W196" i="70"/>
  <c r="U196" i="70"/>
  <c r="T196" i="70"/>
  <c r="S196" i="70"/>
  <c r="O196" i="70"/>
  <c r="W195" i="70"/>
  <c r="U195" i="70"/>
  <c r="T195" i="70"/>
  <c r="S195" i="70"/>
  <c r="O195" i="70"/>
  <c r="S194" i="70"/>
  <c r="O194" i="70"/>
  <c r="S193" i="70"/>
  <c r="O193" i="70"/>
  <c r="T184" i="70"/>
  <c r="T183" i="70"/>
  <c r="W192" i="70"/>
  <c r="U192" i="70"/>
  <c r="T192" i="70"/>
  <c r="S192" i="70"/>
  <c r="O192" i="70"/>
  <c r="U191" i="70"/>
  <c r="T191" i="70"/>
  <c r="S191" i="70"/>
  <c r="O191" i="70"/>
  <c r="W190" i="70"/>
  <c r="U190" i="70"/>
  <c r="T190" i="70"/>
  <c r="S190" i="70"/>
  <c r="O190" i="70"/>
  <c r="U189" i="70"/>
  <c r="T189" i="70"/>
  <c r="S189" i="70"/>
  <c r="O189" i="70"/>
  <c r="W188" i="70"/>
  <c r="U188" i="70"/>
  <c r="T188" i="70"/>
  <c r="S188" i="70"/>
  <c r="O188" i="70"/>
  <c r="U187" i="70"/>
  <c r="T187" i="70"/>
  <c r="S187" i="70"/>
  <c r="O187" i="70"/>
  <c r="W186" i="70"/>
  <c r="U186" i="70"/>
  <c r="T186" i="70"/>
  <c r="S186" i="70"/>
  <c r="O186" i="70"/>
  <c r="U185" i="70"/>
  <c r="T185" i="70"/>
  <c r="S185" i="70"/>
  <c r="O185" i="70"/>
  <c r="S184" i="70"/>
  <c r="O184" i="70"/>
  <c r="S183" i="70"/>
  <c r="O183" i="70"/>
  <c r="W182" i="70"/>
  <c r="U182" i="70"/>
  <c r="T182" i="70"/>
  <c r="S182" i="70"/>
  <c r="O182" i="70"/>
  <c r="U181" i="70"/>
  <c r="T181" i="70"/>
  <c r="S181" i="70"/>
  <c r="O181" i="70"/>
  <c r="W180" i="70"/>
  <c r="U180" i="70"/>
  <c r="T180" i="70"/>
  <c r="S180" i="70"/>
  <c r="O180" i="70"/>
  <c r="U179" i="70"/>
  <c r="T179" i="70"/>
  <c r="S179" i="70"/>
  <c r="O179" i="70"/>
  <c r="U178" i="70"/>
  <c r="T178" i="70"/>
  <c r="S178" i="70"/>
  <c r="O178" i="70"/>
  <c r="U177" i="70"/>
  <c r="T177" i="70"/>
  <c r="S177" i="70"/>
  <c r="O177" i="70"/>
  <c r="W176" i="70"/>
  <c r="U176" i="70"/>
  <c r="T176" i="70"/>
  <c r="S176" i="70"/>
  <c r="O176" i="70"/>
  <c r="U175" i="70"/>
  <c r="T175" i="70"/>
  <c r="S175" i="70"/>
  <c r="O175" i="70"/>
  <c r="W174" i="70"/>
  <c r="U174" i="70"/>
  <c r="T174" i="70"/>
  <c r="S174" i="70"/>
  <c r="O174" i="70"/>
  <c r="U173" i="70"/>
  <c r="T173" i="70"/>
  <c r="S173" i="70"/>
  <c r="O173" i="70"/>
  <c r="U172" i="70"/>
  <c r="T172" i="70"/>
  <c r="S172" i="70"/>
  <c r="O172" i="70"/>
  <c r="U171" i="70"/>
  <c r="T171" i="70"/>
  <c r="S171" i="70"/>
  <c r="O171" i="70"/>
  <c r="W170" i="70"/>
  <c r="T170" i="70"/>
  <c r="S170" i="70"/>
  <c r="O170" i="70"/>
  <c r="T169" i="70"/>
  <c r="S169" i="70"/>
  <c r="O169" i="70"/>
  <c r="W168" i="70"/>
  <c r="T168" i="70"/>
  <c r="S168" i="70"/>
  <c r="O168" i="70"/>
  <c r="T167" i="70"/>
  <c r="S167" i="70"/>
  <c r="O167" i="70"/>
  <c r="T166" i="70"/>
  <c r="S166" i="70"/>
  <c r="O166" i="70"/>
  <c r="U166" i="70"/>
  <c r="U165" i="70"/>
  <c r="T165" i="70"/>
  <c r="S165" i="70"/>
  <c r="O165" i="70"/>
  <c r="W164" i="70"/>
  <c r="U164" i="70"/>
  <c r="T164" i="70"/>
  <c r="S164" i="70"/>
  <c r="O164" i="70"/>
  <c r="U163" i="70"/>
  <c r="T163" i="70"/>
  <c r="S163" i="70"/>
  <c r="O163" i="70"/>
  <c r="W162" i="70"/>
  <c r="U162" i="70"/>
  <c r="T162" i="70"/>
  <c r="S162" i="70"/>
  <c r="O162" i="70"/>
  <c r="U161" i="70"/>
  <c r="T161" i="70"/>
  <c r="S161" i="70"/>
  <c r="O161" i="70"/>
  <c r="W160" i="70"/>
  <c r="U160" i="70"/>
  <c r="T160" i="70"/>
  <c r="S160" i="70"/>
  <c r="O160" i="70"/>
  <c r="U159" i="70"/>
  <c r="T159" i="70"/>
  <c r="S159" i="70"/>
  <c r="O159" i="70"/>
  <c r="W158" i="70"/>
  <c r="U158" i="70"/>
  <c r="T158" i="70"/>
  <c r="S158" i="70"/>
  <c r="O158" i="70"/>
  <c r="U157" i="70"/>
  <c r="T157" i="70"/>
  <c r="S157" i="70"/>
  <c r="O157" i="70"/>
  <c r="S156" i="70"/>
  <c r="O156" i="70"/>
  <c r="S155" i="70"/>
  <c r="O155" i="70"/>
  <c r="W154" i="70"/>
  <c r="U154" i="70"/>
  <c r="T154" i="70"/>
  <c r="S154" i="70"/>
  <c r="O154" i="70"/>
  <c r="U153" i="70"/>
  <c r="T153" i="70"/>
  <c r="S153" i="70"/>
  <c r="O153" i="70"/>
  <c r="W152" i="70"/>
  <c r="U152" i="70"/>
  <c r="T152" i="70"/>
  <c r="S152" i="70"/>
  <c r="O152" i="70"/>
  <c r="U151" i="70"/>
  <c r="T151" i="70"/>
  <c r="S151" i="70"/>
  <c r="O151" i="70"/>
  <c r="W150" i="70"/>
  <c r="U150" i="70"/>
  <c r="T150" i="70"/>
  <c r="S150" i="70"/>
  <c r="O150" i="70"/>
  <c r="U149" i="70"/>
  <c r="T149" i="70"/>
  <c r="S149" i="70"/>
  <c r="O149" i="70"/>
  <c r="W148" i="70"/>
  <c r="U148" i="70"/>
  <c r="T148" i="70"/>
  <c r="S148" i="70"/>
  <c r="O148" i="70"/>
  <c r="U147" i="70"/>
  <c r="T147" i="70"/>
  <c r="S147" i="70"/>
  <c r="O147" i="70"/>
  <c r="T146" i="70"/>
  <c r="S146" i="70"/>
  <c r="O146" i="70"/>
  <c r="T145" i="70"/>
  <c r="S145" i="70"/>
  <c r="O145" i="70"/>
  <c r="W134" i="70"/>
  <c r="W132" i="70"/>
  <c r="O139" i="70"/>
  <c r="S139" i="70"/>
  <c r="T139" i="70"/>
  <c r="U139" i="70"/>
  <c r="O140" i="70"/>
  <c r="S140" i="70"/>
  <c r="T140" i="70"/>
  <c r="U140" i="70"/>
  <c r="W140" i="70"/>
  <c r="O141" i="70"/>
  <c r="S141" i="70"/>
  <c r="T141" i="70"/>
  <c r="U141" i="70"/>
  <c r="O142" i="70"/>
  <c r="S142" i="70"/>
  <c r="T142" i="70"/>
  <c r="U142" i="70"/>
  <c r="W142" i="70"/>
  <c r="O143" i="70"/>
  <c r="S143" i="70"/>
  <c r="T143" i="70"/>
  <c r="U143" i="70"/>
  <c r="O144" i="70"/>
  <c r="S144" i="70"/>
  <c r="T144" i="70"/>
  <c r="U144" i="70"/>
  <c r="W144" i="70"/>
  <c r="W138" i="70"/>
  <c r="U138" i="70"/>
  <c r="T138" i="70"/>
  <c r="S138" i="70"/>
  <c r="O138" i="70"/>
  <c r="U137" i="70"/>
  <c r="T137" i="70"/>
  <c r="S137" i="70"/>
  <c r="O137" i="70"/>
  <c r="W136" i="70"/>
  <c r="U136" i="70"/>
  <c r="T136" i="70"/>
  <c r="S136" i="70"/>
  <c r="O136" i="70"/>
  <c r="U135" i="70"/>
  <c r="T135" i="70"/>
  <c r="S135" i="70"/>
  <c r="O135" i="70"/>
  <c r="U134" i="70"/>
  <c r="T134" i="70"/>
  <c r="S134" i="70"/>
  <c r="O134" i="70"/>
  <c r="U133" i="70"/>
  <c r="T133" i="70"/>
  <c r="S133" i="70"/>
  <c r="O133" i="70"/>
  <c r="U132" i="70"/>
  <c r="T132" i="70"/>
  <c r="S132" i="70"/>
  <c r="O132" i="70"/>
  <c r="U131" i="70"/>
  <c r="T131" i="70"/>
  <c r="S131" i="70"/>
  <c r="O131" i="70"/>
  <c r="T130" i="70"/>
  <c r="S130" i="70"/>
  <c r="O130" i="70"/>
  <c r="T129" i="70"/>
  <c r="S129" i="70"/>
  <c r="O129" i="70"/>
  <c r="W128" i="70"/>
  <c r="U128" i="70"/>
  <c r="T128" i="70"/>
  <c r="S128" i="70"/>
  <c r="O128" i="70"/>
  <c r="U127" i="70"/>
  <c r="T127" i="70"/>
  <c r="S127" i="70"/>
  <c r="O127" i="70"/>
  <c r="W126" i="70"/>
  <c r="U126" i="70"/>
  <c r="T126" i="70"/>
  <c r="S126" i="70"/>
  <c r="O126" i="70"/>
  <c r="U125" i="70"/>
  <c r="T125" i="70"/>
  <c r="S125" i="70"/>
  <c r="O125" i="70"/>
  <c r="W124" i="70"/>
  <c r="U124" i="70"/>
  <c r="T124" i="70"/>
  <c r="S124" i="70"/>
  <c r="O124" i="70"/>
  <c r="U123" i="70"/>
  <c r="T123" i="70"/>
  <c r="S123" i="70"/>
  <c r="O123" i="70"/>
  <c r="U122" i="70"/>
  <c r="T122" i="70"/>
  <c r="S122" i="70"/>
  <c r="O122" i="70"/>
  <c r="U121" i="70"/>
  <c r="T121" i="70"/>
  <c r="S121" i="70"/>
  <c r="O121" i="70"/>
  <c r="W120" i="70"/>
  <c r="U120" i="70"/>
  <c r="T120" i="70"/>
  <c r="S120" i="70"/>
  <c r="O120" i="70"/>
  <c r="U119" i="70"/>
  <c r="T119" i="70"/>
  <c r="S119" i="70"/>
  <c r="O119" i="70"/>
  <c r="W118" i="70"/>
  <c r="U118" i="70"/>
  <c r="T118" i="70"/>
  <c r="S118" i="70"/>
  <c r="O118" i="70"/>
  <c r="U117" i="70"/>
  <c r="T117" i="70"/>
  <c r="S117" i="70"/>
  <c r="O117" i="70"/>
  <c r="U116" i="70"/>
  <c r="T116" i="70"/>
  <c r="S116" i="70"/>
  <c r="O116" i="70"/>
  <c r="U115" i="70"/>
  <c r="T115" i="70"/>
  <c r="S115" i="70"/>
  <c r="O115" i="70"/>
  <c r="W114" i="70"/>
  <c r="U114" i="70"/>
  <c r="T114" i="70"/>
  <c r="S114" i="70"/>
  <c r="O114" i="70"/>
  <c r="U113" i="70"/>
  <c r="T113" i="70"/>
  <c r="S113" i="70"/>
  <c r="O113" i="70"/>
  <c r="W112" i="70"/>
  <c r="U112" i="70"/>
  <c r="T112" i="70"/>
  <c r="S112" i="70"/>
  <c r="O112" i="70"/>
  <c r="U111" i="70"/>
  <c r="T111" i="70"/>
  <c r="S111" i="70"/>
  <c r="O111" i="70"/>
  <c r="W110" i="70"/>
  <c r="U110" i="70"/>
  <c r="T110" i="70"/>
  <c r="S110" i="70"/>
  <c r="O110" i="70"/>
  <c r="U109" i="70"/>
  <c r="T109" i="70"/>
  <c r="S109" i="70"/>
  <c r="O109" i="70"/>
  <c r="W108" i="70"/>
  <c r="U108" i="70"/>
  <c r="T108" i="70"/>
  <c r="S108" i="70"/>
  <c r="O108" i="70"/>
  <c r="U107" i="70"/>
  <c r="T107" i="70"/>
  <c r="S107" i="70"/>
  <c r="O107" i="70"/>
  <c r="T106" i="70"/>
  <c r="S106" i="70"/>
  <c r="O106" i="70"/>
  <c r="T105" i="70"/>
  <c r="S105" i="70"/>
  <c r="O105" i="70"/>
  <c r="W104" i="70"/>
  <c r="T104" i="70"/>
  <c r="S104" i="70"/>
  <c r="O104" i="70"/>
  <c r="T103" i="70"/>
  <c r="S103" i="70"/>
  <c r="O103" i="70"/>
  <c r="W102" i="70"/>
  <c r="T102" i="70"/>
  <c r="S102" i="70"/>
  <c r="O102" i="70"/>
  <c r="T101" i="70"/>
  <c r="S101" i="70"/>
  <c r="O101" i="70"/>
  <c r="W100" i="70"/>
  <c r="T100" i="70"/>
  <c r="S100" i="70"/>
  <c r="O100" i="70"/>
  <c r="T99" i="70"/>
  <c r="S99" i="70"/>
  <c r="O99" i="70"/>
  <c r="W98" i="70"/>
  <c r="T98" i="70"/>
  <c r="S98" i="70"/>
  <c r="O98" i="70"/>
  <c r="T97" i="70"/>
  <c r="S97" i="70"/>
  <c r="O97" i="70"/>
  <c r="T96" i="70"/>
  <c r="S96" i="70"/>
  <c r="O96" i="70"/>
  <c r="T95" i="70"/>
  <c r="S95" i="70"/>
  <c r="O95" i="70"/>
  <c r="W94" i="70"/>
  <c r="U94" i="70"/>
  <c r="T94" i="70"/>
  <c r="S94" i="70"/>
  <c r="O94" i="70"/>
  <c r="U93" i="70"/>
  <c r="T93" i="70"/>
  <c r="S93" i="70"/>
  <c r="O93" i="70"/>
  <c r="W92" i="70"/>
  <c r="U92" i="70"/>
  <c r="T92" i="70"/>
  <c r="S92" i="70"/>
  <c r="O92" i="70"/>
  <c r="U91" i="70"/>
  <c r="T91" i="70"/>
  <c r="S91" i="70"/>
  <c r="O91" i="70"/>
  <c r="W90" i="70"/>
  <c r="U90" i="70"/>
  <c r="T90" i="70"/>
  <c r="S90" i="70"/>
  <c r="O90" i="70"/>
  <c r="U89" i="70"/>
  <c r="T89" i="70"/>
  <c r="S89" i="70"/>
  <c r="O89" i="70"/>
  <c r="U88" i="70"/>
  <c r="T88" i="70"/>
  <c r="S88" i="70"/>
  <c r="O88" i="70"/>
  <c r="U87" i="70"/>
  <c r="T87" i="70"/>
  <c r="S87" i="70"/>
  <c r="O87" i="70"/>
  <c r="W86" i="70"/>
  <c r="U86" i="70"/>
  <c r="T86" i="70"/>
  <c r="S86" i="70"/>
  <c r="O86" i="70"/>
  <c r="U85" i="70"/>
  <c r="T85" i="70"/>
  <c r="S85" i="70"/>
  <c r="O85" i="70"/>
  <c r="W84" i="70"/>
  <c r="U84" i="70"/>
  <c r="T84" i="70"/>
  <c r="S84" i="70"/>
  <c r="O84" i="70"/>
  <c r="U83" i="70"/>
  <c r="T83" i="70"/>
  <c r="S83" i="70"/>
  <c r="O83" i="70"/>
  <c r="W82" i="70"/>
  <c r="U82" i="70"/>
  <c r="T82" i="70"/>
  <c r="S82" i="70"/>
  <c r="O82" i="70"/>
  <c r="U81" i="70"/>
  <c r="T81" i="70"/>
  <c r="S81" i="70"/>
  <c r="O81" i="70"/>
  <c r="W80" i="70"/>
  <c r="U80" i="70"/>
  <c r="T80" i="70"/>
  <c r="S80" i="70"/>
  <c r="O80" i="70"/>
  <c r="U79" i="70"/>
  <c r="T79" i="70"/>
  <c r="S79" i="70"/>
  <c r="O79" i="70"/>
  <c r="W78" i="70"/>
  <c r="U78" i="70"/>
  <c r="T78" i="70"/>
  <c r="S78" i="70"/>
  <c r="O78" i="70"/>
  <c r="U77" i="70"/>
  <c r="T77" i="70"/>
  <c r="S77" i="70"/>
  <c r="O77" i="70"/>
  <c r="T76" i="70"/>
  <c r="S76" i="70"/>
  <c r="O76" i="70"/>
  <c r="T75" i="70"/>
  <c r="S75" i="70"/>
  <c r="O75" i="70"/>
  <c r="W74" i="70"/>
  <c r="U74" i="70"/>
  <c r="T74" i="70"/>
  <c r="S74" i="70"/>
  <c r="O74" i="70"/>
  <c r="U73" i="70"/>
  <c r="T73" i="70"/>
  <c r="S73" i="70"/>
  <c r="O73" i="70"/>
  <c r="W72" i="70"/>
  <c r="U72" i="70"/>
  <c r="T72" i="70"/>
  <c r="S72" i="70"/>
  <c r="O72" i="70"/>
  <c r="U71" i="70"/>
  <c r="T71" i="70"/>
  <c r="S71" i="70"/>
  <c r="O71" i="70"/>
  <c r="U70" i="70"/>
  <c r="T70" i="70"/>
  <c r="S70" i="70"/>
  <c r="O70" i="70"/>
  <c r="U69" i="70"/>
  <c r="T69" i="70"/>
  <c r="S69" i="70"/>
  <c r="O69" i="70"/>
  <c r="W68" i="70"/>
  <c r="U68" i="70"/>
  <c r="T68" i="70"/>
  <c r="S68" i="70"/>
  <c r="O68" i="70"/>
  <c r="U67" i="70"/>
  <c r="T67" i="70"/>
  <c r="S67" i="70"/>
  <c r="O67" i="70"/>
  <c r="W66" i="70"/>
  <c r="U66" i="70"/>
  <c r="T66" i="70"/>
  <c r="S66" i="70"/>
  <c r="O66" i="70"/>
  <c r="U65" i="70"/>
  <c r="T65" i="70"/>
  <c r="S65" i="70"/>
  <c r="O65" i="70"/>
  <c r="U64" i="70"/>
  <c r="T64" i="70"/>
  <c r="S64" i="70"/>
  <c r="O64" i="70"/>
  <c r="U63" i="70"/>
  <c r="T63" i="70"/>
  <c r="S63" i="70"/>
  <c r="O63" i="70"/>
  <c r="W62" i="70"/>
  <c r="T62" i="70"/>
  <c r="S62" i="70"/>
  <c r="O62" i="70"/>
  <c r="T61" i="70"/>
  <c r="S61" i="70"/>
  <c r="O61" i="70"/>
  <c r="W60" i="70"/>
  <c r="T60" i="70"/>
  <c r="S60" i="70"/>
  <c r="O60" i="70"/>
  <c r="T59" i="70"/>
  <c r="S59" i="70"/>
  <c r="O59" i="70"/>
  <c r="T58" i="70"/>
  <c r="S58" i="70"/>
  <c r="O58" i="70"/>
  <c r="U58" i="70"/>
  <c r="U57" i="70"/>
  <c r="T57" i="70"/>
  <c r="S57" i="70"/>
  <c r="O57" i="70"/>
  <c r="W56" i="70"/>
  <c r="U56" i="70"/>
  <c r="T56" i="70"/>
  <c r="S56" i="70"/>
  <c r="O56" i="70"/>
  <c r="U55" i="70"/>
  <c r="T55" i="70"/>
  <c r="S55" i="70"/>
  <c r="O55" i="70"/>
  <c r="W54" i="70"/>
  <c r="U54" i="70"/>
  <c r="T54" i="70"/>
  <c r="S54" i="70"/>
  <c r="O54" i="70"/>
  <c r="U53" i="70"/>
  <c r="T53" i="70"/>
  <c r="S53" i="70"/>
  <c r="O53" i="70"/>
  <c r="W52" i="70"/>
  <c r="U52" i="70"/>
  <c r="T52" i="70"/>
  <c r="S52" i="70"/>
  <c r="O52" i="70"/>
  <c r="U51" i="70"/>
  <c r="T51" i="70"/>
  <c r="S51" i="70"/>
  <c r="O51" i="70"/>
  <c r="U50" i="70"/>
  <c r="T50" i="70"/>
  <c r="S50" i="70"/>
  <c r="O50" i="70"/>
  <c r="U49" i="70"/>
  <c r="T49" i="70"/>
  <c r="S49" i="70"/>
  <c r="O49" i="70"/>
  <c r="W48" i="70"/>
  <c r="U48" i="70"/>
  <c r="T48" i="70"/>
  <c r="S48" i="70"/>
  <c r="O48" i="70"/>
  <c r="U47" i="70"/>
  <c r="T47" i="70"/>
  <c r="S47" i="70"/>
  <c r="O47" i="70"/>
  <c r="W46" i="70"/>
  <c r="U46" i="70"/>
  <c r="T46" i="70"/>
  <c r="S46" i="70"/>
  <c r="O46" i="70"/>
  <c r="U45" i="70"/>
  <c r="T45" i="70"/>
  <c r="S45" i="70"/>
  <c r="O45" i="70"/>
  <c r="W44" i="70"/>
  <c r="U44" i="70"/>
  <c r="T44" i="70"/>
  <c r="S44" i="70"/>
  <c r="O44" i="70"/>
  <c r="U43" i="70"/>
  <c r="T43" i="70"/>
  <c r="S43" i="70"/>
  <c r="O43" i="70"/>
  <c r="U42" i="70"/>
  <c r="T42" i="70"/>
  <c r="S42" i="70"/>
  <c r="O42" i="70"/>
  <c r="U41" i="70"/>
  <c r="T41" i="70"/>
  <c r="S41" i="70"/>
  <c r="O41" i="70"/>
  <c r="W40" i="70"/>
  <c r="U40" i="70"/>
  <c r="T40" i="70"/>
  <c r="S40" i="70"/>
  <c r="O40" i="70"/>
  <c r="U39" i="70"/>
  <c r="T39" i="70"/>
  <c r="S39" i="70"/>
  <c r="O39" i="70"/>
  <c r="W38" i="70"/>
  <c r="U38" i="70"/>
  <c r="T38" i="70"/>
  <c r="S38" i="70"/>
  <c r="O38" i="70"/>
  <c r="U37" i="70"/>
  <c r="T37" i="70"/>
  <c r="S37" i="70"/>
  <c r="O37" i="70"/>
  <c r="W36" i="70"/>
  <c r="U36" i="70"/>
  <c r="T36" i="70"/>
  <c r="S36" i="70"/>
  <c r="O36" i="70"/>
  <c r="U35" i="70"/>
  <c r="T35" i="70"/>
  <c r="S35" i="70"/>
  <c r="O35" i="70"/>
  <c r="U34" i="70"/>
  <c r="T34" i="70"/>
  <c r="S34" i="70"/>
  <c r="O34" i="70"/>
  <c r="U33" i="70"/>
  <c r="T33" i="70"/>
  <c r="S33" i="70"/>
  <c r="O33" i="70"/>
  <c r="W32" i="70"/>
  <c r="U32" i="70"/>
  <c r="T32" i="70"/>
  <c r="S32" i="70"/>
  <c r="O32" i="70"/>
  <c r="U31" i="70"/>
  <c r="T31" i="70"/>
  <c r="S31" i="70"/>
  <c r="O31" i="70"/>
  <c r="W30" i="70"/>
  <c r="U30" i="70"/>
  <c r="T30" i="70"/>
  <c r="S30" i="70"/>
  <c r="O30" i="70"/>
  <c r="U29" i="70"/>
  <c r="T29" i="70"/>
  <c r="S29" i="70"/>
  <c r="O29" i="70"/>
  <c r="W28" i="70"/>
  <c r="U28" i="70"/>
  <c r="T28" i="70"/>
  <c r="S28" i="70"/>
  <c r="O28" i="70"/>
  <c r="U27" i="70"/>
  <c r="T27" i="70"/>
  <c r="S27" i="70"/>
  <c r="O27" i="70"/>
  <c r="U26" i="70"/>
  <c r="T26" i="70"/>
  <c r="S26" i="70"/>
  <c r="O26" i="70"/>
  <c r="U25" i="70"/>
  <c r="T25" i="70"/>
  <c r="S25" i="70"/>
  <c r="O25" i="70"/>
  <c r="W24" i="70"/>
  <c r="W22" i="70"/>
  <c r="W20" i="70"/>
  <c r="S18" i="70"/>
  <c r="S19" i="70"/>
  <c r="S20" i="70"/>
  <c r="S21" i="70"/>
  <c r="S22" i="70"/>
  <c r="S23" i="70"/>
  <c r="S24" i="70"/>
  <c r="S17" i="70"/>
  <c r="O18" i="70"/>
  <c r="O19" i="70"/>
  <c r="O20" i="70"/>
  <c r="O21" i="70"/>
  <c r="O22" i="70"/>
  <c r="O23" i="70"/>
  <c r="O24" i="70"/>
  <c r="O17" i="70"/>
  <c r="U24" i="70"/>
  <c r="T24" i="70"/>
  <c r="U23" i="70"/>
  <c r="T23" i="70"/>
  <c r="U22" i="70"/>
  <c r="T22" i="70"/>
  <c r="U21" i="70"/>
  <c r="T21" i="70"/>
  <c r="U20" i="70"/>
  <c r="T20" i="70"/>
  <c r="U19" i="70"/>
  <c r="T19" i="70"/>
  <c r="U18" i="70"/>
  <c r="T18" i="70"/>
  <c r="U17" i="70"/>
  <c r="T17" i="70"/>
  <c r="W16" i="70"/>
  <c r="O14" i="70"/>
  <c r="S14" i="70"/>
  <c r="T14" i="70"/>
  <c r="U14" i="70"/>
  <c r="O15" i="70"/>
  <c r="S15" i="70"/>
  <c r="T15" i="70"/>
  <c r="U15" i="70"/>
  <c r="O16" i="70"/>
  <c r="S16" i="70"/>
  <c r="T16" i="70"/>
  <c r="U16" i="70"/>
  <c r="W14" i="70"/>
  <c r="T13" i="70"/>
  <c r="S13" i="70"/>
  <c r="O13" i="70"/>
  <c r="W12" i="70"/>
  <c r="T12" i="70"/>
  <c r="S12" i="70"/>
  <c r="O12" i="70"/>
  <c r="T11" i="70"/>
  <c r="S11" i="70"/>
  <c r="O11" i="70"/>
  <c r="T10" i="70"/>
  <c r="S10" i="70"/>
  <c r="O10" i="70"/>
  <c r="U10" i="70"/>
  <c r="U9" i="70"/>
  <c r="T9" i="70"/>
  <c r="S9" i="70"/>
  <c r="O9" i="70"/>
  <c r="W8" i="70"/>
  <c r="W6" i="70"/>
  <c r="U3" i="70"/>
  <c r="N4" i="70"/>
  <c r="U4" i="70" s="1"/>
  <c r="T4" i="70"/>
  <c r="T5" i="70"/>
  <c r="T6" i="70"/>
  <c r="T7" i="70"/>
  <c r="T8" i="70"/>
  <c r="T3" i="70"/>
  <c r="S4" i="70"/>
  <c r="S5" i="70"/>
  <c r="S6" i="70"/>
  <c r="S7" i="70"/>
  <c r="S8" i="70"/>
  <c r="S3" i="70"/>
  <c r="O4" i="70"/>
  <c r="O5" i="70"/>
  <c r="O6" i="70"/>
  <c r="O7" i="70"/>
  <c r="O8" i="70"/>
  <c r="O3" i="70"/>
  <c r="W159" i="70"/>
  <c r="W163" i="70"/>
  <c r="W201" i="70"/>
  <c r="W53" i="70"/>
  <c r="W45" i="70"/>
  <c r="W21" i="70"/>
  <c r="W37" i="70"/>
  <c r="W29" i="70"/>
  <c r="AC4" i="55"/>
  <c r="AC5" i="55"/>
  <c r="AC6" i="55"/>
  <c r="AC7" i="55"/>
  <c r="AC8" i="55"/>
  <c r="AC9" i="55"/>
  <c r="AC10" i="55"/>
  <c r="AC11" i="55"/>
  <c r="AC12" i="55"/>
  <c r="AC13" i="55"/>
  <c r="AC14" i="55"/>
  <c r="AC15" i="55"/>
  <c r="AC16" i="55"/>
  <c r="AC17" i="55"/>
  <c r="AC18" i="55"/>
  <c r="AC19" i="55"/>
  <c r="AC20" i="55"/>
  <c r="AC21" i="55"/>
  <c r="AC22" i="55"/>
  <c r="AC23" i="55"/>
  <c r="AC24" i="55"/>
  <c r="AC25" i="55"/>
  <c r="AC26" i="55"/>
  <c r="AC27" i="55"/>
  <c r="AC28" i="55"/>
  <c r="AC29" i="55"/>
  <c r="AC30" i="55"/>
  <c r="AC31" i="55"/>
  <c r="AC3" i="55"/>
  <c r="U260" i="70" l="1"/>
  <c r="U259" i="70"/>
  <c r="U218" i="70"/>
  <c r="U60" i="70"/>
  <c r="U59" i="70"/>
  <c r="N5" i="70"/>
  <c r="C4" i="55"/>
  <c r="B4" i="55"/>
  <c r="BD81" i="5"/>
  <c r="O170" i="7"/>
  <c r="P170" i="7"/>
  <c r="Q170" i="7"/>
  <c r="R170" i="7"/>
  <c r="O171" i="7"/>
  <c r="P171" i="7"/>
  <c r="Q171" i="7"/>
  <c r="R171" i="7"/>
  <c r="O172" i="7"/>
  <c r="P172" i="7"/>
  <c r="Q172" i="7"/>
  <c r="R172" i="7"/>
  <c r="O173" i="7"/>
  <c r="P173" i="7"/>
  <c r="Q173" i="7"/>
  <c r="R173" i="7"/>
  <c r="O174" i="7"/>
  <c r="P174" i="7"/>
  <c r="Q174" i="7"/>
  <c r="R174" i="7"/>
  <c r="O175" i="7"/>
  <c r="P175" i="7"/>
  <c r="Q175" i="7"/>
  <c r="R175" i="7"/>
  <c r="O176" i="7"/>
  <c r="P176" i="7"/>
  <c r="Q176" i="7"/>
  <c r="R176" i="7"/>
  <c r="O177" i="7"/>
  <c r="P177" i="7"/>
  <c r="Q177" i="7"/>
  <c r="R177" i="7"/>
  <c r="J171" i="7"/>
  <c r="AF170" i="10" s="1"/>
  <c r="U262" i="70" l="1"/>
  <c r="W261" i="70"/>
  <c r="U261" i="70"/>
  <c r="U220" i="70"/>
  <c r="U219" i="70"/>
  <c r="U167" i="70"/>
  <c r="U97" i="70"/>
  <c r="U62" i="70"/>
  <c r="W61" i="70"/>
  <c r="U61" i="70"/>
  <c r="U11" i="70"/>
  <c r="N6" i="70"/>
  <c r="U5" i="70"/>
  <c r="R5" i="52"/>
  <c r="R11" i="52"/>
  <c r="Q5" i="52"/>
  <c r="Q11" i="52"/>
  <c r="I5" i="52"/>
  <c r="I11" i="52"/>
  <c r="AH171" i="10"/>
  <c r="AH172" i="10"/>
  <c r="AH173" i="10"/>
  <c r="AH174" i="10"/>
  <c r="AH175" i="10"/>
  <c r="AH176" i="10"/>
  <c r="T160" i="7"/>
  <c r="T161" i="7"/>
  <c r="T162" i="7"/>
  <c r="T163" i="7"/>
  <c r="T164" i="7"/>
  <c r="T165" i="7"/>
  <c r="T166" i="7"/>
  <c r="T167" i="7"/>
  <c r="T168" i="7"/>
  <c r="T169" i="7"/>
  <c r="T170" i="7"/>
  <c r="T171" i="7"/>
  <c r="U172" i="7" s="1"/>
  <c r="T159" i="7"/>
  <c r="B128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5" i="52"/>
  <c r="AV18" i="52" s="1"/>
  <c r="R239" i="33" s="1" a="1"/>
  <c r="R239" i="33" s="1"/>
  <c r="AB239" i="33" s="1"/>
  <c r="AF239" i="33" s="1"/>
  <c r="AJ239" i="33" s="1"/>
  <c r="B4" i="52"/>
  <c r="AV6" i="52" s="1"/>
  <c r="R295" i="25" s="1" a="1"/>
  <c r="R295" i="25" s="1"/>
  <c r="AB295" i="25" s="1"/>
  <c r="AF295" i="25" s="1"/>
  <c r="AJ295" i="25" s="1"/>
  <c r="CA4" i="52" l="1"/>
  <c r="R370" i="29" s="1" a="1"/>
  <c r="R370" i="29" s="1"/>
  <c r="AV14" i="52"/>
  <c r="CC16" i="52"/>
  <c r="CC12" i="52"/>
  <c r="R597" i="31" s="1" a="1"/>
  <c r="R597" i="31" s="1"/>
  <c r="AU6" i="52"/>
  <c r="R294" i="25" s="1" a="1"/>
  <c r="R294" i="25" s="1"/>
  <c r="AB294" i="25" s="1"/>
  <c r="AF294" i="25" s="1"/>
  <c r="AJ294" i="25" s="1"/>
  <c r="U168" i="70"/>
  <c r="U98" i="70"/>
  <c r="U12" i="70"/>
  <c r="N7" i="70"/>
  <c r="U6" i="70"/>
  <c r="CB4" i="52"/>
  <c r="R371" i="29" s="1" a="1"/>
  <c r="R371" i="29" s="1"/>
  <c r="AU14" i="52"/>
  <c r="CB12" i="52"/>
  <c r="R596" i="31" s="1" a="1"/>
  <c r="R596" i="31" s="1"/>
  <c r="CA5" i="52"/>
  <c r="R275" i="37" s="1" a="1"/>
  <c r="R275" i="37" s="1"/>
  <c r="CA6" i="52"/>
  <c r="R326" i="25" s="1" a="1"/>
  <c r="R326" i="25" s="1"/>
  <c r="CA7" i="52"/>
  <c r="CA8" i="52"/>
  <c r="CA9" i="52"/>
  <c r="R276" i="30" s="1" a="1"/>
  <c r="R276" i="30" s="1"/>
  <c r="CA10" i="52"/>
  <c r="R275" i="38" s="1" a="1"/>
  <c r="R275" i="38" s="1"/>
  <c r="CA11" i="52"/>
  <c r="R170" i="28" s="1" a="1"/>
  <c r="R170" i="28" s="1"/>
  <c r="CA12" i="52"/>
  <c r="R595" i="31" s="1" a="1"/>
  <c r="R595" i="31" s="1"/>
  <c r="CA13" i="52"/>
  <c r="R275" i="26" s="1" a="1"/>
  <c r="R275" i="26" s="1"/>
  <c r="CA14" i="52"/>
  <c r="CA15" i="52"/>
  <c r="CA16" i="52"/>
  <c r="CA17" i="52"/>
  <c r="R223" i="32" s="1" a="1"/>
  <c r="R223" i="32" s="1"/>
  <c r="CA18" i="52"/>
  <c r="R270" i="33" s="1" a="1"/>
  <c r="R270" i="33" s="1"/>
  <c r="CA19" i="52"/>
  <c r="R171" i="27" s="1" a="1"/>
  <c r="R171" i="27" s="1"/>
  <c r="CA20" i="52"/>
  <c r="CA21" i="52"/>
  <c r="CA22" i="52"/>
  <c r="CA23" i="52"/>
  <c r="R595" i="34" s="1" a="1"/>
  <c r="R595" i="34" s="1"/>
  <c r="BZ8" i="52"/>
  <c r="BZ12" i="52"/>
  <c r="R594" i="31" s="1" a="1"/>
  <c r="R594" i="31" s="1"/>
  <c r="BZ16" i="52"/>
  <c r="BZ20" i="52"/>
  <c r="CC4" i="52"/>
  <c r="R372" i="29" s="1" a="1"/>
  <c r="R372" i="29" s="1"/>
  <c r="BZ7" i="52"/>
  <c r="BZ11" i="52"/>
  <c r="R169" i="28" s="1" a="1"/>
  <c r="R169" i="28" s="1"/>
  <c r="BZ15" i="52"/>
  <c r="BZ19" i="52"/>
  <c r="R170" i="27" s="1" a="1"/>
  <c r="R170" i="27" s="1"/>
  <c r="BZ23" i="52"/>
  <c r="R594" i="34" s="1" a="1"/>
  <c r="R594" i="34" s="1"/>
  <c r="BZ4" i="52"/>
  <c r="AU5" i="52"/>
  <c r="R243" i="37" s="1" a="1"/>
  <c r="R243" i="37" s="1"/>
  <c r="AB243" i="37" s="1"/>
  <c r="CB7" i="52"/>
  <c r="AU9" i="52"/>
  <c r="R244" i="30" s="1" a="1"/>
  <c r="R244" i="30" s="1"/>
  <c r="AB244" i="30" s="1"/>
  <c r="CB11" i="52"/>
  <c r="R171" i="28" s="1" a="1"/>
  <c r="R171" i="28" s="1"/>
  <c r="AU13" i="52"/>
  <c r="R243" i="26" s="1" a="1"/>
  <c r="R243" i="26" s="1"/>
  <c r="AB243" i="26" s="1"/>
  <c r="AF243" i="26" s="1"/>
  <c r="AJ243" i="26" s="1"/>
  <c r="CB15" i="52"/>
  <c r="AU17" i="52"/>
  <c r="R191" i="32" s="1" a="1"/>
  <c r="R191" i="32" s="1"/>
  <c r="AB191" i="32" s="1"/>
  <c r="AF191" i="32" s="1"/>
  <c r="AJ191" i="32" s="1"/>
  <c r="CB19" i="52"/>
  <c r="R172" i="27" s="1" a="1"/>
  <c r="R172" i="27" s="1"/>
  <c r="AU21" i="52"/>
  <c r="CB23" i="52"/>
  <c r="R596" i="34" s="1" a="1"/>
  <c r="R596" i="34" s="1"/>
  <c r="AV5" i="52"/>
  <c r="R244" i="37" s="1" a="1"/>
  <c r="R244" i="37" s="1"/>
  <c r="AB244" i="37" s="1"/>
  <c r="CC7" i="52"/>
  <c r="AV9" i="52"/>
  <c r="R245" i="30" s="1" a="1"/>
  <c r="R245" i="30" s="1"/>
  <c r="AB245" i="30" s="1"/>
  <c r="AF245" i="30" s="1"/>
  <c r="AJ245" i="30" s="1"/>
  <c r="CC11" i="52"/>
  <c r="R172" i="28" s="1" a="1"/>
  <c r="R172" i="28" s="1"/>
  <c r="AV13" i="52"/>
  <c r="R244" i="26" s="1" a="1"/>
  <c r="R244" i="26" s="1"/>
  <c r="AB244" i="26" s="1"/>
  <c r="AF244" i="26" s="1"/>
  <c r="AJ244" i="26" s="1"/>
  <c r="CC15" i="52"/>
  <c r="AV17" i="52"/>
  <c r="R192" i="32" s="1" a="1"/>
  <c r="R192" i="32" s="1"/>
  <c r="AB192" i="32" s="1"/>
  <c r="CC19" i="52"/>
  <c r="R173" i="27" s="1" a="1"/>
  <c r="R173" i="27" s="1"/>
  <c r="AV21" i="52"/>
  <c r="CC23" i="52"/>
  <c r="R597" i="34" s="1" a="1"/>
  <c r="R597" i="34" s="1"/>
  <c r="BZ6" i="52"/>
  <c r="R325" i="25" s="1" a="1"/>
  <c r="R325" i="25" s="1"/>
  <c r="BZ10" i="52"/>
  <c r="R274" i="38" s="1" a="1"/>
  <c r="R274" i="38" s="1"/>
  <c r="BZ14" i="52"/>
  <c r="BZ18" i="52"/>
  <c r="R269" i="33" s="1" a="1"/>
  <c r="R269" i="33" s="1"/>
  <c r="BZ22" i="52"/>
  <c r="CB6" i="52"/>
  <c r="R327" i="25" s="1" a="1"/>
  <c r="R327" i="25" s="1"/>
  <c r="AU8" i="52"/>
  <c r="CB10" i="52"/>
  <c r="R276" i="38" s="1" a="1"/>
  <c r="R276" i="38" s="1"/>
  <c r="AU12" i="52"/>
  <c r="R563" i="31" s="1" a="1"/>
  <c r="R563" i="31" s="1"/>
  <c r="AB563" i="31" s="1"/>
  <c r="AF563" i="31" s="1"/>
  <c r="AJ563" i="31" s="1"/>
  <c r="CB14" i="52"/>
  <c r="AU16" i="52"/>
  <c r="CB18" i="52"/>
  <c r="R271" i="33" s="1" a="1"/>
  <c r="R271" i="33" s="1"/>
  <c r="AU20" i="52"/>
  <c r="CB22" i="52"/>
  <c r="BZ5" i="52"/>
  <c r="R274" i="37" s="1" a="1"/>
  <c r="R274" i="37" s="1"/>
  <c r="BZ9" i="52"/>
  <c r="R275" i="30" s="1" a="1"/>
  <c r="R275" i="30" s="1"/>
  <c r="BZ13" i="52"/>
  <c r="R274" i="26" s="1" a="1"/>
  <c r="R274" i="26" s="1"/>
  <c r="BZ17" i="52"/>
  <c r="R222" i="32" s="1" a="1"/>
  <c r="R222" i="32" s="1"/>
  <c r="BZ21" i="52"/>
  <c r="AU4" i="52"/>
  <c r="R338" i="29" s="1" a="1"/>
  <c r="R338" i="29" s="1"/>
  <c r="AB338" i="29" s="1"/>
  <c r="AF338" i="29" s="1"/>
  <c r="AJ338" i="29" s="1"/>
  <c r="CC5" i="52"/>
  <c r="R277" i="37" s="1" a="1"/>
  <c r="R277" i="37" s="1"/>
  <c r="AV7" i="52"/>
  <c r="CC9" i="52"/>
  <c r="R278" i="30" s="1" a="1"/>
  <c r="R278" i="30" s="1"/>
  <c r="AV11" i="52"/>
  <c r="R139" i="28" s="1" a="1"/>
  <c r="R139" i="28" s="1"/>
  <c r="AB139" i="28" s="1"/>
  <c r="AF139" i="28" s="1"/>
  <c r="AJ139" i="28" s="1"/>
  <c r="CC13" i="52"/>
  <c r="R277" i="26" s="1" a="1"/>
  <c r="R277" i="26" s="1"/>
  <c r="AV15" i="52"/>
  <c r="CC17" i="52"/>
  <c r="R225" i="32" s="1" a="1"/>
  <c r="R225" i="32" s="1"/>
  <c r="AV19" i="52"/>
  <c r="R140" i="27" s="1" a="1"/>
  <c r="R140" i="27" s="1"/>
  <c r="AB140" i="27" s="1"/>
  <c r="AF140" i="27" s="1"/>
  <c r="AJ140" i="27" s="1"/>
  <c r="CC21" i="52"/>
  <c r="AV23" i="52"/>
  <c r="R564" i="34" s="1" a="1"/>
  <c r="R564" i="34" s="1"/>
  <c r="AB564" i="34" s="1"/>
  <c r="AF564" i="34" s="1"/>
  <c r="AJ564" i="34" s="1"/>
  <c r="AU15" i="52"/>
  <c r="CB13" i="52"/>
  <c r="R276" i="26" s="1" a="1"/>
  <c r="R276" i="26" s="1"/>
  <c r="AV4" i="52"/>
  <c r="R339" i="29" s="1" a="1"/>
  <c r="R339" i="29" s="1"/>
  <c r="AB339" i="29" s="1"/>
  <c r="AF339" i="29" s="1"/>
  <c r="AJ339" i="29" s="1"/>
  <c r="AV16" i="52"/>
  <c r="CC14" i="52"/>
  <c r="AU19" i="52"/>
  <c r="R139" i="27" s="1" a="1"/>
  <c r="R139" i="27" s="1"/>
  <c r="AB139" i="27" s="1"/>
  <c r="AF139" i="27" s="1"/>
  <c r="AJ139" i="27" s="1"/>
  <c r="CB17" i="52"/>
  <c r="R224" i="32" s="1" a="1"/>
  <c r="R224" i="32" s="1"/>
  <c r="AU7" i="52"/>
  <c r="CB5" i="52"/>
  <c r="R276" i="37" s="1" a="1"/>
  <c r="R276" i="37" s="1"/>
  <c r="AV20" i="52"/>
  <c r="CC18" i="52"/>
  <c r="R272" i="33" s="1" a="1"/>
  <c r="R272" i="33" s="1"/>
  <c r="AV8" i="52"/>
  <c r="CC6" i="52"/>
  <c r="R328" i="25" s="1" a="1"/>
  <c r="R328" i="25" s="1"/>
  <c r="AV22" i="52"/>
  <c r="CC20" i="52"/>
  <c r="AV10" i="52"/>
  <c r="R244" i="38" s="1" a="1"/>
  <c r="R244" i="38" s="1"/>
  <c r="AB244" i="38" s="1"/>
  <c r="AF244" i="38" s="1"/>
  <c r="AJ244" i="38" s="1"/>
  <c r="CC8" i="52"/>
  <c r="AU22" i="52"/>
  <c r="CB20" i="52"/>
  <c r="AU10" i="52"/>
  <c r="R243" i="38" s="1" a="1"/>
  <c r="R243" i="38" s="1"/>
  <c r="AB243" i="38" s="1"/>
  <c r="AF243" i="38" s="1"/>
  <c r="AJ243" i="38" s="1"/>
  <c r="CB8" i="52"/>
  <c r="AU18" i="52"/>
  <c r="R238" i="33" s="1" a="1"/>
  <c r="R238" i="33" s="1"/>
  <c r="AB238" i="33" s="1"/>
  <c r="AF238" i="33" s="1"/>
  <c r="AJ238" i="33" s="1"/>
  <c r="CB16" i="52"/>
  <c r="AU23" i="52"/>
  <c r="R563" i="34" s="1" a="1"/>
  <c r="R563" i="34" s="1"/>
  <c r="AB563" i="34" s="1"/>
  <c r="AF563" i="34" s="1"/>
  <c r="AJ563" i="34" s="1"/>
  <c r="CB21" i="52"/>
  <c r="AU11" i="52"/>
  <c r="R138" i="28" s="1" a="1"/>
  <c r="R138" i="28" s="1"/>
  <c r="AB138" i="28" s="1"/>
  <c r="AF138" i="28" s="1"/>
  <c r="AJ138" i="28" s="1"/>
  <c r="CB9" i="52"/>
  <c r="R277" i="30" s="1" a="1"/>
  <c r="R277" i="30" s="1"/>
  <c r="CC22" i="52"/>
  <c r="AV12" i="52"/>
  <c r="R564" i="31" s="1" a="1"/>
  <c r="R564" i="31" s="1"/>
  <c r="AB564" i="31" s="1"/>
  <c r="AF564" i="31" s="1"/>
  <c r="AJ564" i="31" s="1"/>
  <c r="CC10" i="52"/>
  <c r="R277" i="38" s="1" a="1"/>
  <c r="R277" i="38" s="1"/>
  <c r="R369" i="29" l="1" a="1"/>
  <c r="R369" i="29" s="1"/>
  <c r="BZ33" i="52"/>
  <c r="AF244" i="30"/>
  <c r="AJ244" i="30" s="1"/>
  <c r="AF244" i="37"/>
  <c r="AJ244" i="37" s="1"/>
  <c r="AF192" i="32"/>
  <c r="AJ192" i="32" s="1"/>
  <c r="AF243" i="37"/>
  <c r="AJ243" i="37" s="1"/>
  <c r="U170" i="70"/>
  <c r="U169" i="70"/>
  <c r="U99" i="70"/>
  <c r="U13" i="70"/>
  <c r="N8" i="70"/>
  <c r="U7" i="70"/>
  <c r="U100" i="70" l="1"/>
  <c r="U8" i="70"/>
  <c r="U101" i="70" l="1"/>
  <c r="BY4" i="22"/>
  <c r="BZ4" i="22"/>
  <c r="CA4" i="22"/>
  <c r="CB4" i="22"/>
  <c r="CC4" i="22"/>
  <c r="CD4" i="22"/>
  <c r="CE4" i="22"/>
  <c r="BZ5" i="22"/>
  <c r="BZ6" i="22" s="1"/>
  <c r="BZ7" i="22" s="1"/>
  <c r="BZ8" i="22" s="1"/>
  <c r="BZ9" i="22" s="1"/>
  <c r="CA5" i="22"/>
  <c r="CA6" i="22" s="1"/>
  <c r="CA7" i="22" s="1"/>
  <c r="CA8" i="22" s="1"/>
  <c r="CA9" i="22" s="1"/>
  <c r="CB5" i="22"/>
  <c r="CC5" i="22"/>
  <c r="CD5" i="22"/>
  <c r="CE5" i="22"/>
  <c r="CB6" i="22"/>
  <c r="CB7" i="22" s="1"/>
  <c r="CC6" i="22"/>
  <c r="CC7" i="22" s="1"/>
  <c r="CD6" i="22"/>
  <c r="CE6" i="22"/>
  <c r="CE7" i="22" s="1"/>
  <c r="CD7" i="22"/>
  <c r="BZ10" i="22"/>
  <c r="BZ11" i="22" s="1"/>
  <c r="CA10" i="22"/>
  <c r="CA11" i="22" s="1"/>
  <c r="CB10" i="22"/>
  <c r="CB11" i="22" s="1"/>
  <c r="CC10" i="22"/>
  <c r="CC11" i="22" s="1"/>
  <c r="CD10" i="22"/>
  <c r="CD11" i="22" s="1"/>
  <c r="CE10" i="22"/>
  <c r="CE11" i="22" s="1"/>
  <c r="BZ12" i="22"/>
  <c r="CA12" i="22"/>
  <c r="CB12" i="22"/>
  <c r="CC12" i="22"/>
  <c r="CD12" i="22"/>
  <c r="CE12" i="22"/>
  <c r="BZ13" i="22"/>
  <c r="CA13" i="22"/>
  <c r="CB13" i="22"/>
  <c r="CC13" i="22"/>
  <c r="CD13" i="22"/>
  <c r="CE13" i="22"/>
  <c r="BZ14" i="22"/>
  <c r="BZ15" i="22" s="1"/>
  <c r="BZ16" i="22" s="1"/>
  <c r="CA14" i="22"/>
  <c r="CA15" i="22" s="1"/>
  <c r="CA16" i="22" s="1"/>
  <c r="CB14" i="22"/>
  <c r="CB15" i="22" s="1"/>
  <c r="CB16" i="22" s="1"/>
  <c r="CC14" i="22"/>
  <c r="CC15" i="22" s="1"/>
  <c r="CC16" i="22" s="1"/>
  <c r="CD14" i="22"/>
  <c r="CD15" i="22" s="1"/>
  <c r="CD16" i="22" s="1"/>
  <c r="CE14" i="22"/>
  <c r="CE15" i="22" s="1"/>
  <c r="CE16" i="22" s="1"/>
  <c r="BZ17" i="22"/>
  <c r="BZ18" i="22" s="1"/>
  <c r="CA17" i="22"/>
  <c r="CA18" i="22" s="1"/>
  <c r="CB17" i="22"/>
  <c r="CB18" i="22" s="1"/>
  <c r="CC17" i="22"/>
  <c r="CC18" i="22" s="1"/>
  <c r="CD17" i="22"/>
  <c r="CD18" i="22" s="1"/>
  <c r="CE17" i="22"/>
  <c r="CE18" i="22" s="1"/>
  <c r="BZ19" i="22"/>
  <c r="BZ20" i="22" s="1"/>
  <c r="CA19" i="22"/>
  <c r="CA20" i="22" s="1"/>
  <c r="CB19" i="22"/>
  <c r="CB20" i="22" s="1"/>
  <c r="CC19" i="22"/>
  <c r="CC20" i="22" s="1"/>
  <c r="CD19" i="22"/>
  <c r="CD20" i="22" s="1"/>
  <c r="CE19" i="22"/>
  <c r="CE20" i="22" s="1"/>
  <c r="BZ21" i="22"/>
  <c r="BZ22" i="22" s="1"/>
  <c r="CA21" i="22"/>
  <c r="CA22" i="22" s="1"/>
  <c r="CB21" i="22"/>
  <c r="CC21" i="22"/>
  <c r="CD21" i="22"/>
  <c r="CE21" i="22"/>
  <c r="BZ23" i="22"/>
  <c r="CA23" i="22"/>
  <c r="CB23" i="22"/>
  <c r="CC23" i="22"/>
  <c r="CD23" i="22"/>
  <c r="CE23" i="22"/>
  <c r="BZ24" i="22"/>
  <c r="BZ25" i="22" s="1"/>
  <c r="CA24" i="22"/>
  <c r="CA25" i="22" s="1"/>
  <c r="CB24" i="22"/>
  <c r="CB25" i="22" s="1"/>
  <c r="CC24" i="22"/>
  <c r="CC25" i="22" s="1"/>
  <c r="CD24" i="22"/>
  <c r="CD25" i="22" s="1"/>
  <c r="CE24" i="22"/>
  <c r="CE25" i="22" s="1"/>
  <c r="BZ26" i="22"/>
  <c r="BZ27" i="22" s="1"/>
  <c r="BZ28" i="22" s="1"/>
  <c r="BZ29" i="22" s="1"/>
  <c r="CA26" i="22"/>
  <c r="CA27" i="22" s="1"/>
  <c r="CA28" i="22" s="1"/>
  <c r="CA29" i="22" s="1"/>
  <c r="CB26" i="22"/>
  <c r="CC26" i="22"/>
  <c r="CD26" i="22"/>
  <c r="CE26" i="22"/>
  <c r="BZ30" i="22"/>
  <c r="CA30" i="22"/>
  <c r="CB30" i="22"/>
  <c r="CC30" i="22"/>
  <c r="CD30" i="22"/>
  <c r="CE30" i="22"/>
  <c r="BZ31" i="22"/>
  <c r="BZ32" i="22" s="1"/>
  <c r="CA31" i="22"/>
  <c r="CA32" i="22" s="1"/>
  <c r="CB31" i="22"/>
  <c r="CB32" i="22" s="1"/>
  <c r="CC31" i="22"/>
  <c r="CC32" i="22" s="1"/>
  <c r="CD31" i="22"/>
  <c r="CD32" i="22" s="1"/>
  <c r="CE31" i="22"/>
  <c r="CE32" i="22" s="1"/>
  <c r="BZ33" i="22"/>
  <c r="BZ34" i="22" s="1"/>
  <c r="CA33" i="22"/>
  <c r="CA34" i="22" s="1"/>
  <c r="CB33" i="22"/>
  <c r="CB34" i="22" s="1"/>
  <c r="CC33" i="22"/>
  <c r="CC34" i="22" s="1"/>
  <c r="CD33" i="22"/>
  <c r="CD34" i="22" s="1"/>
  <c r="CE33" i="22"/>
  <c r="CE34" i="22" s="1"/>
  <c r="BZ35" i="22"/>
  <c r="BZ36" i="22" s="1"/>
  <c r="CA35" i="22"/>
  <c r="CA36" i="22" s="1"/>
  <c r="CB35" i="22"/>
  <c r="CB36" i="22" s="1"/>
  <c r="CC35" i="22"/>
  <c r="CC36" i="22" s="1"/>
  <c r="CD35" i="22"/>
  <c r="CD36" i="22" s="1"/>
  <c r="CE35" i="22"/>
  <c r="CE36" i="22" s="1"/>
  <c r="BZ37" i="22"/>
  <c r="BZ38" i="22" s="1"/>
  <c r="BZ39" i="22" s="1"/>
  <c r="CA37" i="22"/>
  <c r="CA38" i="22" s="1"/>
  <c r="CA39" i="22" s="1"/>
  <c r="CB37" i="22"/>
  <c r="CB38" i="22" s="1"/>
  <c r="CB39" i="22" s="1"/>
  <c r="CC37" i="22"/>
  <c r="CC38" i="22" s="1"/>
  <c r="CC39" i="22" s="1"/>
  <c r="CD37" i="22"/>
  <c r="CD38" i="22" s="1"/>
  <c r="CD39" i="22" s="1"/>
  <c r="CE37" i="22"/>
  <c r="CE38" i="22" s="1"/>
  <c r="CE39" i="22" s="1"/>
  <c r="BZ40" i="22"/>
  <c r="BZ41" i="22" s="1"/>
  <c r="BZ42" i="22" s="1"/>
  <c r="BZ43" i="22" s="1"/>
  <c r="CA40" i="22"/>
  <c r="CA41" i="22" s="1"/>
  <c r="CA42" i="22" s="1"/>
  <c r="CA43" i="22" s="1"/>
  <c r="CB40" i="22"/>
  <c r="CB41" i="22" s="1"/>
  <c r="CC40" i="22"/>
  <c r="CC41" i="22" s="1"/>
  <c r="CD40" i="22"/>
  <c r="CD41" i="22" s="1"/>
  <c r="CE40" i="22"/>
  <c r="CE41" i="22" s="1"/>
  <c r="BZ44" i="22"/>
  <c r="BZ45" i="22" s="1"/>
  <c r="BZ46" i="22" s="1"/>
  <c r="BZ47" i="22" s="1"/>
  <c r="CA44" i="22"/>
  <c r="CA45" i="22" s="1"/>
  <c r="CA46" i="22" s="1"/>
  <c r="CA47" i="22" s="1"/>
  <c r="CB44" i="22"/>
  <c r="CB45" i="22" s="1"/>
  <c r="CB46" i="22" s="1"/>
  <c r="CB47" i="22" s="1"/>
  <c r="CC44" i="22"/>
  <c r="CC45" i="22" s="1"/>
  <c r="CC46" i="22" s="1"/>
  <c r="CC47" i="22" s="1"/>
  <c r="CD44" i="22"/>
  <c r="CD45" i="22" s="1"/>
  <c r="CD46" i="22" s="1"/>
  <c r="CD47" i="22" s="1"/>
  <c r="CE44" i="22"/>
  <c r="CE45" i="22" s="1"/>
  <c r="CE46" i="22" s="1"/>
  <c r="CE47" i="22" s="1"/>
  <c r="BZ48" i="22"/>
  <c r="BZ49" i="22" s="1"/>
  <c r="BZ50" i="22" s="1"/>
  <c r="BZ51" i="22" s="1"/>
  <c r="CA48" i="22"/>
  <c r="CA49" i="22" s="1"/>
  <c r="CA50" i="22" s="1"/>
  <c r="CA51" i="22" s="1"/>
  <c r="CB48" i="22"/>
  <c r="CB49" i="22" s="1"/>
  <c r="CB50" i="22" s="1"/>
  <c r="CC48" i="22"/>
  <c r="CC49" i="22" s="1"/>
  <c r="CC50" i="22" s="1"/>
  <c r="CD48" i="22"/>
  <c r="CD49" i="22" s="1"/>
  <c r="CD50" i="22" s="1"/>
  <c r="CE48" i="22"/>
  <c r="CE49" i="22" s="1"/>
  <c r="CE50" i="22" s="1"/>
  <c r="BZ52" i="22"/>
  <c r="BZ53" i="22" s="1"/>
  <c r="BZ54" i="22" s="1"/>
  <c r="CA52" i="22"/>
  <c r="CA53" i="22" s="1"/>
  <c r="CA54" i="22" s="1"/>
  <c r="CB52" i="22"/>
  <c r="CB53" i="22" s="1"/>
  <c r="CC52" i="22"/>
  <c r="CC53" i="22" s="1"/>
  <c r="CD52" i="22"/>
  <c r="CD53" i="22" s="1"/>
  <c r="CE52" i="22"/>
  <c r="CE53" i="22" s="1"/>
  <c r="BZ55" i="22"/>
  <c r="BZ56" i="22" s="1"/>
  <c r="CA55" i="22"/>
  <c r="CA56" i="22" s="1"/>
  <c r="CB55" i="22"/>
  <c r="CB56" i="22" s="1"/>
  <c r="CC55" i="22"/>
  <c r="CC56" i="22" s="1"/>
  <c r="CD55" i="22"/>
  <c r="CD56" i="22" s="1"/>
  <c r="CE55" i="22"/>
  <c r="CE56" i="22" s="1"/>
  <c r="BZ57" i="22"/>
  <c r="BZ58" i="22" s="1"/>
  <c r="BZ59" i="22" s="1"/>
  <c r="BZ60" i="22" s="1"/>
  <c r="BZ61" i="22" s="1"/>
  <c r="BZ62" i="22" s="1"/>
  <c r="BZ63" i="22" s="1"/>
  <c r="BZ64" i="22" s="1"/>
  <c r="BZ65" i="22" s="1"/>
  <c r="BZ66" i="22" s="1"/>
  <c r="BZ67" i="22" s="1"/>
  <c r="CA57" i="22"/>
  <c r="CA58" i="22" s="1"/>
  <c r="CA59" i="22" s="1"/>
  <c r="CA60" i="22" s="1"/>
  <c r="CA61" i="22" s="1"/>
  <c r="CA62" i="22" s="1"/>
  <c r="CA63" i="22" s="1"/>
  <c r="CA64" i="22" s="1"/>
  <c r="CA65" i="22" s="1"/>
  <c r="CA66" i="22" s="1"/>
  <c r="CA67" i="22" s="1"/>
  <c r="CB57" i="22"/>
  <c r="CB58" i="22" s="1"/>
  <c r="CB59" i="22" s="1"/>
  <c r="CB60" i="22" s="1"/>
  <c r="CB61" i="22" s="1"/>
  <c r="CB62" i="22" s="1"/>
  <c r="CB63" i="22" s="1"/>
  <c r="CB64" i="22" s="1"/>
  <c r="CB65" i="22" s="1"/>
  <c r="CB66" i="22" s="1"/>
  <c r="CB67" i="22" s="1"/>
  <c r="CC57" i="22"/>
  <c r="CC58" i="22" s="1"/>
  <c r="CC59" i="22" s="1"/>
  <c r="CC60" i="22" s="1"/>
  <c r="CC61" i="22" s="1"/>
  <c r="CC62" i="22" s="1"/>
  <c r="CC63" i="22" s="1"/>
  <c r="CC64" i="22" s="1"/>
  <c r="CC65" i="22" s="1"/>
  <c r="CC66" i="22" s="1"/>
  <c r="CC67" i="22" s="1"/>
  <c r="CD57" i="22"/>
  <c r="CD58" i="22" s="1"/>
  <c r="CD59" i="22" s="1"/>
  <c r="CD60" i="22" s="1"/>
  <c r="CD61" i="22" s="1"/>
  <c r="CD62" i="22" s="1"/>
  <c r="CD63" i="22" s="1"/>
  <c r="CD64" i="22" s="1"/>
  <c r="CD65" i="22" s="1"/>
  <c r="CD66" i="22" s="1"/>
  <c r="CD67" i="22" s="1"/>
  <c r="CE57" i="22"/>
  <c r="CE58" i="22" s="1"/>
  <c r="CE59" i="22" s="1"/>
  <c r="CE60" i="22" s="1"/>
  <c r="CE61" i="22" s="1"/>
  <c r="CE62" i="22" s="1"/>
  <c r="CE63" i="22" s="1"/>
  <c r="CE64" i="22" s="1"/>
  <c r="CE65" i="22" s="1"/>
  <c r="CE66" i="22" s="1"/>
  <c r="CE67" i="22" s="1"/>
  <c r="BZ68" i="22"/>
  <c r="CA68" i="22"/>
  <c r="CB68" i="22"/>
  <c r="CC68" i="22"/>
  <c r="CD68" i="22"/>
  <c r="CE68" i="22"/>
  <c r="BZ69" i="22"/>
  <c r="BZ70" i="22" s="1"/>
  <c r="CA69" i="22"/>
  <c r="CA70" i="22" s="1"/>
  <c r="CM29" i="22"/>
  <c r="CN29" i="22"/>
  <c r="CO29" i="22"/>
  <c r="CL29" i="22"/>
  <c r="E183" i="22"/>
  <c r="E70" i="22"/>
  <c r="E71" i="22"/>
  <c r="E72" i="22"/>
  <c r="E73" i="22"/>
  <c r="E74" i="22"/>
  <c r="E75" i="22"/>
  <c r="E76" i="22"/>
  <c r="E77" i="22"/>
  <c r="E78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69" i="22"/>
  <c r="AU71" i="5"/>
  <c r="I187" i="22"/>
  <c r="J101" i="8"/>
  <c r="R71" i="5" s="1"/>
  <c r="K100" i="8"/>
  <c r="K101" i="8"/>
  <c r="AI555" i="8"/>
  <c r="AH555" i="8"/>
  <c r="AG555" i="8"/>
  <c r="AF555" i="8"/>
  <c r="AI550" i="8"/>
  <c r="AH550" i="8"/>
  <c r="AG550" i="8"/>
  <c r="AF550" i="8"/>
  <c r="AI545" i="8"/>
  <c r="AH545" i="8"/>
  <c r="AG545" i="8"/>
  <c r="AF545" i="8"/>
  <c r="AI540" i="8"/>
  <c r="AH540" i="8"/>
  <c r="AG540" i="8"/>
  <c r="AF540" i="8"/>
  <c r="AI535" i="8"/>
  <c r="AH535" i="8"/>
  <c r="AG535" i="8"/>
  <c r="AF535" i="8"/>
  <c r="AI530" i="8"/>
  <c r="AH530" i="8"/>
  <c r="AG530" i="8"/>
  <c r="AF530" i="8"/>
  <c r="AI525" i="8"/>
  <c r="AH525" i="8"/>
  <c r="AG525" i="8"/>
  <c r="AF525" i="8"/>
  <c r="AI520" i="8"/>
  <c r="AH520" i="8"/>
  <c r="AG520" i="8"/>
  <c r="AF520" i="8"/>
  <c r="AI515" i="8"/>
  <c r="AH515" i="8"/>
  <c r="AG515" i="8"/>
  <c r="AF515" i="8"/>
  <c r="AI510" i="8"/>
  <c r="AH510" i="8"/>
  <c r="AG510" i="8"/>
  <c r="AF510" i="8"/>
  <c r="AI505" i="8"/>
  <c r="AH505" i="8"/>
  <c r="AG505" i="8"/>
  <c r="AF505" i="8"/>
  <c r="AI500" i="8"/>
  <c r="AH500" i="8"/>
  <c r="AG500" i="8"/>
  <c r="AF500" i="8"/>
  <c r="AI495" i="8"/>
  <c r="AH495" i="8"/>
  <c r="AG495" i="8"/>
  <c r="AF495" i="8"/>
  <c r="AI490" i="8"/>
  <c r="AH490" i="8"/>
  <c r="AG490" i="8"/>
  <c r="AF490" i="8"/>
  <c r="AI485" i="8"/>
  <c r="AH485" i="8"/>
  <c r="AG485" i="8"/>
  <c r="AF485" i="8"/>
  <c r="AI480" i="8"/>
  <c r="AH480" i="8"/>
  <c r="AG480" i="8"/>
  <c r="AF480" i="8"/>
  <c r="AI475" i="8"/>
  <c r="AH475" i="8"/>
  <c r="AG475" i="8"/>
  <c r="AF475" i="8"/>
  <c r="AI470" i="8"/>
  <c r="AH470" i="8"/>
  <c r="AF470" i="8"/>
  <c r="AI465" i="8"/>
  <c r="AH465" i="8"/>
  <c r="AG465" i="8"/>
  <c r="AF465" i="8"/>
  <c r="AI460" i="8"/>
  <c r="AH460" i="8"/>
  <c r="AG460" i="8"/>
  <c r="AF460" i="8"/>
  <c r="AI455" i="8"/>
  <c r="AH455" i="8"/>
  <c r="AG455" i="8"/>
  <c r="AF455" i="8"/>
  <c r="AI450" i="8"/>
  <c r="AH450" i="8"/>
  <c r="AG450" i="8"/>
  <c r="AF450" i="8"/>
  <c r="AI445" i="8"/>
  <c r="AH445" i="8"/>
  <c r="AG445" i="8"/>
  <c r="AF445" i="8"/>
  <c r="AF440" i="8"/>
  <c r="AI435" i="8"/>
  <c r="AH435" i="8"/>
  <c r="AG435" i="8"/>
  <c r="AF435" i="8"/>
  <c r="AI430" i="8"/>
  <c r="AH430" i="8"/>
  <c r="AG430" i="8"/>
  <c r="AF430" i="8"/>
  <c r="AI425" i="8"/>
  <c r="AH425" i="8"/>
  <c r="AG425" i="8"/>
  <c r="AF425" i="8"/>
  <c r="AI420" i="8"/>
  <c r="AH420" i="8"/>
  <c r="AG420" i="8"/>
  <c r="AF420" i="8"/>
  <c r="AI415" i="8"/>
  <c r="AH415" i="8"/>
  <c r="AG415" i="8"/>
  <c r="AF415" i="8"/>
  <c r="AI410" i="8"/>
  <c r="AH410" i="8"/>
  <c r="AG410" i="8"/>
  <c r="AF410" i="8"/>
  <c r="AI405" i="8"/>
  <c r="AH405" i="8"/>
  <c r="AG405" i="8"/>
  <c r="AF405" i="8"/>
  <c r="AI400" i="8"/>
  <c r="AH400" i="8"/>
  <c r="AG400" i="8"/>
  <c r="AF400" i="8"/>
  <c r="AI395" i="8"/>
  <c r="AH395" i="8"/>
  <c r="AG395" i="8"/>
  <c r="AF395" i="8"/>
  <c r="AI390" i="8"/>
  <c r="AH390" i="8"/>
  <c r="AG390" i="8"/>
  <c r="AF390" i="8"/>
  <c r="AI385" i="8"/>
  <c r="AH385" i="8"/>
  <c r="AG385" i="8"/>
  <c r="AF385" i="8"/>
  <c r="AI380" i="8"/>
  <c r="AH380" i="8"/>
  <c r="AG380" i="8"/>
  <c r="AF380" i="8"/>
  <c r="AI375" i="8"/>
  <c r="AH375" i="8"/>
  <c r="AG375" i="8"/>
  <c r="AF375" i="8"/>
  <c r="AI370" i="8"/>
  <c r="AH370" i="8"/>
  <c r="AG370" i="8"/>
  <c r="AF370" i="8"/>
  <c r="AI365" i="8"/>
  <c r="AH365" i="8"/>
  <c r="AG365" i="8"/>
  <c r="AF365" i="8"/>
  <c r="AI360" i="8"/>
  <c r="AH360" i="8"/>
  <c r="AG360" i="8"/>
  <c r="AF360" i="8"/>
  <c r="AI355" i="8"/>
  <c r="AH355" i="8"/>
  <c r="AG355" i="8"/>
  <c r="AF355" i="8"/>
  <c r="AI350" i="8"/>
  <c r="AH350" i="8"/>
  <c r="AG350" i="8"/>
  <c r="AF350" i="8"/>
  <c r="AI345" i="8"/>
  <c r="AH345" i="8"/>
  <c r="AG345" i="8"/>
  <c r="AF345" i="8"/>
  <c r="AI340" i="8"/>
  <c r="AH340" i="8"/>
  <c r="AG340" i="8"/>
  <c r="AF340" i="8"/>
  <c r="AI335" i="8"/>
  <c r="AH335" i="8"/>
  <c r="AG335" i="8"/>
  <c r="AF335" i="8"/>
  <c r="AI330" i="8"/>
  <c r="AH330" i="8"/>
  <c r="AG330" i="8"/>
  <c r="AF330" i="8"/>
  <c r="AI325" i="8"/>
  <c r="AH325" i="8"/>
  <c r="AG325" i="8"/>
  <c r="AF325" i="8"/>
  <c r="AI320" i="8"/>
  <c r="AH320" i="8"/>
  <c r="AG320" i="8"/>
  <c r="AF320" i="8"/>
  <c r="AI315" i="8"/>
  <c r="AH315" i="8"/>
  <c r="AG315" i="8"/>
  <c r="AF315" i="8"/>
  <c r="AI310" i="8"/>
  <c r="AH310" i="8"/>
  <c r="AG310" i="8"/>
  <c r="AF310" i="8"/>
  <c r="AI305" i="8"/>
  <c r="AH305" i="8"/>
  <c r="AG305" i="8"/>
  <c r="AF305" i="8"/>
  <c r="AI300" i="8"/>
  <c r="AH300" i="8"/>
  <c r="AG300" i="8"/>
  <c r="AF300" i="8"/>
  <c r="AI295" i="8"/>
  <c r="AH295" i="8"/>
  <c r="AG295" i="8"/>
  <c r="AF295" i="8"/>
  <c r="AI290" i="8"/>
  <c r="AH290" i="8"/>
  <c r="AG290" i="8"/>
  <c r="AF290" i="8"/>
  <c r="AI285" i="8"/>
  <c r="AH285" i="8"/>
  <c r="AG285" i="8"/>
  <c r="AF285" i="8"/>
  <c r="AI280" i="8"/>
  <c r="AH280" i="8"/>
  <c r="AG280" i="8"/>
  <c r="AF280" i="8"/>
  <c r="AI275" i="8"/>
  <c r="AH275" i="8"/>
  <c r="AG275" i="8"/>
  <c r="AF275" i="8"/>
  <c r="AI270" i="8"/>
  <c r="AH270" i="8"/>
  <c r="AG270" i="8"/>
  <c r="AF270" i="8"/>
  <c r="AI265" i="8"/>
  <c r="AH265" i="8"/>
  <c r="AG265" i="8"/>
  <c r="AF265" i="8"/>
  <c r="AI260" i="8"/>
  <c r="AH260" i="8"/>
  <c r="AG260" i="8"/>
  <c r="AF260" i="8"/>
  <c r="AI255" i="8"/>
  <c r="AH255" i="8"/>
  <c r="AG255" i="8"/>
  <c r="AF255" i="8"/>
  <c r="AI250" i="8"/>
  <c r="AH250" i="8"/>
  <c r="AG250" i="8"/>
  <c r="AF250" i="8"/>
  <c r="AI245" i="8"/>
  <c r="AH245" i="8"/>
  <c r="AG245" i="8"/>
  <c r="AF245" i="8"/>
  <c r="AI240" i="8"/>
  <c r="AH240" i="8"/>
  <c r="AG240" i="8"/>
  <c r="AF240" i="8"/>
  <c r="AI235" i="8"/>
  <c r="AH235" i="8"/>
  <c r="AG235" i="8"/>
  <c r="AF235" i="8"/>
  <c r="AI230" i="8"/>
  <c r="AH230" i="8"/>
  <c r="AG230" i="8"/>
  <c r="AF230" i="8"/>
  <c r="AI225" i="8"/>
  <c r="AH225" i="8"/>
  <c r="AG225" i="8"/>
  <c r="AF225" i="8"/>
  <c r="AI220" i="8"/>
  <c r="AH220" i="8"/>
  <c r="AG220" i="8"/>
  <c r="AF220" i="8"/>
  <c r="AI215" i="8"/>
  <c r="AH215" i="8"/>
  <c r="AG215" i="8"/>
  <c r="AF215" i="8"/>
  <c r="AI210" i="8"/>
  <c r="AH210" i="8"/>
  <c r="AG210" i="8"/>
  <c r="AF210" i="8"/>
  <c r="AI205" i="8"/>
  <c r="AH205" i="8"/>
  <c r="AG205" i="8"/>
  <c r="AF205" i="8"/>
  <c r="AI200" i="8"/>
  <c r="AH200" i="8"/>
  <c r="AG200" i="8"/>
  <c r="AF200" i="8"/>
  <c r="AI195" i="8"/>
  <c r="AH195" i="8"/>
  <c r="AG195" i="8"/>
  <c r="AF195" i="8"/>
  <c r="AI190" i="8"/>
  <c r="AH190" i="8"/>
  <c r="AG190" i="8"/>
  <c r="AF190" i="8"/>
  <c r="AI185" i="8"/>
  <c r="AH185" i="8"/>
  <c r="AG185" i="8"/>
  <c r="AF185" i="8"/>
  <c r="AI180" i="8"/>
  <c r="AH180" i="8"/>
  <c r="AG180" i="8"/>
  <c r="AF180" i="8"/>
  <c r="AI175" i="8"/>
  <c r="AH175" i="8"/>
  <c r="AG175" i="8"/>
  <c r="AF175" i="8"/>
  <c r="AI170" i="8"/>
  <c r="AH170" i="8"/>
  <c r="AG170" i="8"/>
  <c r="AF170" i="8"/>
  <c r="AI165" i="8"/>
  <c r="AH165" i="8"/>
  <c r="AG165" i="8"/>
  <c r="AF165" i="8"/>
  <c r="AI160" i="8"/>
  <c r="AH160" i="8"/>
  <c r="AG160" i="8"/>
  <c r="AF160" i="8"/>
  <c r="AI155" i="8"/>
  <c r="AH155" i="8"/>
  <c r="AG155" i="8"/>
  <c r="AF155" i="8"/>
  <c r="AI150" i="8"/>
  <c r="AH150" i="8"/>
  <c r="AF150" i="8"/>
  <c r="AI145" i="8"/>
  <c r="AH145" i="8"/>
  <c r="AG145" i="8"/>
  <c r="AF145" i="8"/>
  <c r="AI140" i="8"/>
  <c r="AH140" i="8"/>
  <c r="AG140" i="8"/>
  <c r="AF140" i="8"/>
  <c r="AI135" i="8"/>
  <c r="AH135" i="8"/>
  <c r="AG135" i="8"/>
  <c r="AF135" i="8"/>
  <c r="AI130" i="8"/>
  <c r="AH130" i="8"/>
  <c r="AG130" i="8"/>
  <c r="AF130" i="8"/>
  <c r="AI125" i="8"/>
  <c r="AH125" i="8"/>
  <c r="AG125" i="8"/>
  <c r="AF125" i="8"/>
  <c r="AI120" i="8"/>
  <c r="AH120" i="8"/>
  <c r="AG120" i="8"/>
  <c r="AF120" i="8"/>
  <c r="AI115" i="8"/>
  <c r="AH115" i="8"/>
  <c r="AG115" i="8"/>
  <c r="AF115" i="8"/>
  <c r="AI110" i="8"/>
  <c r="AH110" i="8"/>
  <c r="AG110" i="8"/>
  <c r="AF110" i="8"/>
  <c r="AI105" i="8"/>
  <c r="AH105" i="8"/>
  <c r="AG105" i="8"/>
  <c r="AF105" i="8"/>
  <c r="AI100" i="8"/>
  <c r="AH100" i="8"/>
  <c r="AG100" i="8"/>
  <c r="AF100" i="8"/>
  <c r="AI95" i="8"/>
  <c r="AH95" i="8"/>
  <c r="AG95" i="8"/>
  <c r="AF95" i="8"/>
  <c r="AI90" i="8"/>
  <c r="AH90" i="8"/>
  <c r="AG90" i="8"/>
  <c r="AF90" i="8"/>
  <c r="AI85" i="8"/>
  <c r="AH85" i="8"/>
  <c r="AG85" i="8"/>
  <c r="AF85" i="8"/>
  <c r="AI80" i="8"/>
  <c r="AH80" i="8"/>
  <c r="AG80" i="8"/>
  <c r="AF80" i="8"/>
  <c r="AI75" i="8"/>
  <c r="AH75" i="8"/>
  <c r="AG75" i="8"/>
  <c r="AF75" i="8"/>
  <c r="AI70" i="8"/>
  <c r="AH70" i="8"/>
  <c r="AG70" i="8"/>
  <c r="AF70" i="8"/>
  <c r="AI65" i="8"/>
  <c r="AH65" i="8"/>
  <c r="AG65" i="8"/>
  <c r="AF65" i="8"/>
  <c r="AI60" i="8"/>
  <c r="AH60" i="8"/>
  <c r="AG60" i="8"/>
  <c r="AF60" i="8"/>
  <c r="AI55" i="8"/>
  <c r="AH55" i="8"/>
  <c r="AG55" i="8"/>
  <c r="AF55" i="8"/>
  <c r="AI50" i="8"/>
  <c r="AH50" i="8"/>
  <c r="AG50" i="8"/>
  <c r="AF50" i="8"/>
  <c r="AI45" i="8"/>
  <c r="AH45" i="8"/>
  <c r="AG45" i="8"/>
  <c r="AF45" i="8"/>
  <c r="AI40" i="8"/>
  <c r="AH40" i="8"/>
  <c r="AG40" i="8"/>
  <c r="AF40" i="8"/>
  <c r="AI35" i="8"/>
  <c r="AH35" i="8"/>
  <c r="AG35" i="8"/>
  <c r="AF35" i="8"/>
  <c r="AI30" i="8"/>
  <c r="AH30" i="8"/>
  <c r="AG30" i="8"/>
  <c r="AF30" i="8"/>
  <c r="AI25" i="8"/>
  <c r="AH25" i="8"/>
  <c r="AG25" i="8"/>
  <c r="AF25" i="8"/>
  <c r="AI20" i="8"/>
  <c r="AH20" i="8"/>
  <c r="AG20" i="8"/>
  <c r="AF20" i="8"/>
  <c r="AI15" i="8"/>
  <c r="AH15" i="8"/>
  <c r="AG15" i="8"/>
  <c r="AF15" i="8"/>
  <c r="AI10" i="8"/>
  <c r="AH10" i="8"/>
  <c r="AG10" i="8"/>
  <c r="AF10" i="8"/>
  <c r="AI5" i="8"/>
  <c r="AH5" i="8"/>
  <c r="AG5" i="8"/>
  <c r="AF5" i="8"/>
  <c r="AQ158" i="10"/>
  <c r="AQ160" i="10"/>
  <c r="AP4" i="10"/>
  <c r="AQ4" i="10" s="1"/>
  <c r="AQ5" i="10" s="1"/>
  <c r="AQ6" i="10" s="1"/>
  <c r="AQ7" i="10" s="1"/>
  <c r="D5" i="10"/>
  <c r="AE4" i="70" s="1"/>
  <c r="D6" i="10"/>
  <c r="AE5" i="70" s="1"/>
  <c r="D7" i="10"/>
  <c r="AE6" i="70" s="1"/>
  <c r="D8" i="10"/>
  <c r="AE7" i="70" s="1"/>
  <c r="D9" i="10"/>
  <c r="AE8" i="70" s="1"/>
  <c r="D10" i="10"/>
  <c r="AE9" i="70" s="1"/>
  <c r="D11" i="10"/>
  <c r="AE10" i="70" s="1"/>
  <c r="D12" i="10"/>
  <c r="AE11" i="70" s="1"/>
  <c r="D13" i="10"/>
  <c r="AE12" i="70" s="1"/>
  <c r="D14" i="10"/>
  <c r="AE13" i="70" s="1"/>
  <c r="D15" i="10"/>
  <c r="AE14" i="70" s="1"/>
  <c r="D16" i="10"/>
  <c r="AE15" i="70" s="1"/>
  <c r="D17" i="10"/>
  <c r="AE16" i="70" s="1"/>
  <c r="D18" i="10"/>
  <c r="AE17" i="70" s="1"/>
  <c r="D20" i="10"/>
  <c r="AE19" i="70" s="1"/>
  <c r="D21" i="10"/>
  <c r="AE20" i="70" s="1"/>
  <c r="D22" i="10"/>
  <c r="AE21" i="70" s="1"/>
  <c r="D23" i="10"/>
  <c r="AE22" i="70" s="1"/>
  <c r="D24" i="10"/>
  <c r="AE23" i="70" s="1"/>
  <c r="D25" i="10"/>
  <c r="AE24" i="70" s="1"/>
  <c r="D26" i="10"/>
  <c r="AE25" i="70" s="1"/>
  <c r="D27" i="10"/>
  <c r="AE26" i="70" s="1"/>
  <c r="D28" i="10"/>
  <c r="AE27" i="70" s="1"/>
  <c r="D29" i="10"/>
  <c r="AE28" i="70" s="1"/>
  <c r="D30" i="10"/>
  <c r="AE29" i="70" s="1"/>
  <c r="D31" i="10"/>
  <c r="AE30" i="70" s="1"/>
  <c r="D32" i="10"/>
  <c r="AE31" i="70" s="1"/>
  <c r="D33" i="10"/>
  <c r="AE32" i="70" s="1"/>
  <c r="D34" i="10"/>
  <c r="AE33" i="70" s="1"/>
  <c r="D35" i="10"/>
  <c r="AE34" i="70" s="1"/>
  <c r="D36" i="10"/>
  <c r="AE35" i="70" s="1"/>
  <c r="D37" i="10"/>
  <c r="AE36" i="70" s="1"/>
  <c r="D38" i="10"/>
  <c r="AE37" i="70" s="1"/>
  <c r="D39" i="10"/>
  <c r="AE38" i="70" s="1"/>
  <c r="D40" i="10"/>
  <c r="AE39" i="70" s="1"/>
  <c r="D41" i="10"/>
  <c r="AE40" i="70" s="1"/>
  <c r="D42" i="10"/>
  <c r="AE41" i="70" s="1"/>
  <c r="D43" i="10"/>
  <c r="AE42" i="70" s="1"/>
  <c r="D44" i="10"/>
  <c r="AE43" i="70" s="1"/>
  <c r="D45" i="10"/>
  <c r="AE44" i="70" s="1"/>
  <c r="D46" i="10"/>
  <c r="AE45" i="70" s="1"/>
  <c r="D47" i="10"/>
  <c r="AE46" i="70" s="1"/>
  <c r="D48" i="10"/>
  <c r="AE47" i="70" s="1"/>
  <c r="D49" i="10"/>
  <c r="AE48" i="70" s="1"/>
  <c r="D50" i="10"/>
  <c r="AE49" i="70" s="1"/>
  <c r="D51" i="10"/>
  <c r="AE50" i="70" s="1"/>
  <c r="D52" i="10"/>
  <c r="AE51" i="70" s="1"/>
  <c r="D53" i="10"/>
  <c r="AE52" i="70" s="1"/>
  <c r="D54" i="10"/>
  <c r="AE53" i="70" s="1"/>
  <c r="D55" i="10"/>
  <c r="AE54" i="70" s="1"/>
  <c r="D56" i="10"/>
  <c r="AE55" i="70" s="1"/>
  <c r="D57" i="10"/>
  <c r="AE56" i="70" s="1"/>
  <c r="D58" i="10"/>
  <c r="AE57" i="70" s="1"/>
  <c r="D59" i="10"/>
  <c r="AE58" i="70" s="1"/>
  <c r="D60" i="10"/>
  <c r="AE59" i="70" s="1"/>
  <c r="D66" i="10"/>
  <c r="AE65" i="70" s="1"/>
  <c r="D67" i="10"/>
  <c r="AE66" i="70" s="1"/>
  <c r="D68" i="10"/>
  <c r="AE67" i="70" s="1"/>
  <c r="D69" i="10"/>
  <c r="AE68" i="70" s="1"/>
  <c r="D70" i="10"/>
  <c r="AE69" i="70" s="1"/>
  <c r="D71" i="10"/>
  <c r="AE70" i="70" s="1"/>
  <c r="D72" i="10"/>
  <c r="AE71" i="70" s="1"/>
  <c r="D73" i="10"/>
  <c r="AE72" i="70" s="1"/>
  <c r="D74" i="10"/>
  <c r="AE73" i="70" s="1"/>
  <c r="D75" i="10"/>
  <c r="AE74" i="70" s="1"/>
  <c r="D76" i="10"/>
  <c r="AE75" i="70" s="1"/>
  <c r="D77" i="10"/>
  <c r="AE76" i="70" s="1"/>
  <c r="D78" i="10"/>
  <c r="AE77" i="70" s="1"/>
  <c r="D79" i="10"/>
  <c r="AE78" i="70" s="1"/>
  <c r="D80" i="10"/>
  <c r="AE79" i="70" s="1"/>
  <c r="D81" i="10"/>
  <c r="AE80" i="70" s="1"/>
  <c r="D82" i="10"/>
  <c r="AE81" i="70" s="1"/>
  <c r="D83" i="10"/>
  <c r="AE82" i="70" s="1"/>
  <c r="D84" i="10"/>
  <c r="AE83" i="70" s="1"/>
  <c r="D85" i="10"/>
  <c r="AE84" i="70" s="1"/>
  <c r="D86" i="10"/>
  <c r="AE85" i="70" s="1"/>
  <c r="D87" i="10"/>
  <c r="AE86" i="70" s="1"/>
  <c r="D88" i="10"/>
  <c r="AE87" i="70" s="1"/>
  <c r="D89" i="10"/>
  <c r="AE88" i="70" s="1"/>
  <c r="D90" i="10"/>
  <c r="AE89" i="70" s="1"/>
  <c r="D91" i="10"/>
  <c r="AE90" i="70" s="1"/>
  <c r="D92" i="10"/>
  <c r="AE91" i="70" s="1"/>
  <c r="D93" i="10"/>
  <c r="AE92" i="70" s="1"/>
  <c r="D94" i="10"/>
  <c r="AE93" i="70" s="1"/>
  <c r="D95" i="10"/>
  <c r="AE94" i="70" s="1"/>
  <c r="D96" i="10"/>
  <c r="AE95" i="70" s="1"/>
  <c r="D97" i="10"/>
  <c r="AE96" i="70" s="1"/>
  <c r="D98" i="10"/>
  <c r="AE97" i="70" s="1"/>
  <c r="D99" i="10"/>
  <c r="AE98" i="70" s="1"/>
  <c r="D100" i="10"/>
  <c r="AE99" i="70" s="1"/>
  <c r="D101" i="10"/>
  <c r="AE100" i="70" s="1"/>
  <c r="D106" i="10"/>
  <c r="AE105" i="70" s="1"/>
  <c r="D107" i="10"/>
  <c r="AE106" i="70" s="1"/>
  <c r="D108" i="10"/>
  <c r="AE107" i="70" s="1"/>
  <c r="D109" i="10"/>
  <c r="AE108" i="70" s="1"/>
  <c r="D110" i="10"/>
  <c r="AE109" i="70" s="1"/>
  <c r="D111" i="10"/>
  <c r="AE110" i="70" s="1"/>
  <c r="D112" i="10"/>
  <c r="AE111" i="70" s="1"/>
  <c r="D113" i="10"/>
  <c r="AE112" i="70" s="1"/>
  <c r="D114" i="10"/>
  <c r="AE113" i="70" s="1"/>
  <c r="D115" i="10"/>
  <c r="AE114" i="70" s="1"/>
  <c r="D116" i="10"/>
  <c r="AE115" i="70" s="1"/>
  <c r="D117" i="10"/>
  <c r="AE116" i="70" s="1"/>
  <c r="D118" i="10"/>
  <c r="AE117" i="70" s="1"/>
  <c r="D119" i="10"/>
  <c r="AE118" i="70" s="1"/>
  <c r="D120" i="10"/>
  <c r="AE119" i="70" s="1"/>
  <c r="D121" i="10"/>
  <c r="AE120" i="70" s="1"/>
  <c r="D122" i="10"/>
  <c r="AE121" i="70" s="1"/>
  <c r="D123" i="10"/>
  <c r="AE122" i="70" s="1"/>
  <c r="D124" i="10"/>
  <c r="AE123" i="70" s="1"/>
  <c r="D125" i="10"/>
  <c r="AE124" i="70" s="1"/>
  <c r="D126" i="10"/>
  <c r="AE125" i="70" s="1"/>
  <c r="D127" i="10"/>
  <c r="AE126" i="70" s="1"/>
  <c r="D128" i="10"/>
  <c r="AE127" i="70" s="1"/>
  <c r="D129" i="10"/>
  <c r="AE128" i="70" s="1"/>
  <c r="D130" i="10"/>
  <c r="AE129" i="70" s="1"/>
  <c r="D131" i="10"/>
  <c r="AE130" i="70" s="1"/>
  <c r="D132" i="10"/>
  <c r="AE131" i="70" s="1"/>
  <c r="D133" i="10"/>
  <c r="AE132" i="70" s="1"/>
  <c r="D134" i="10"/>
  <c r="AE133" i="70" s="1"/>
  <c r="D135" i="10"/>
  <c r="AE134" i="70" s="1"/>
  <c r="D136" i="10"/>
  <c r="AE135" i="70" s="1"/>
  <c r="D137" i="10"/>
  <c r="AE136" i="70" s="1"/>
  <c r="D138" i="10"/>
  <c r="AE137" i="70" s="1"/>
  <c r="D139" i="10"/>
  <c r="AE138" i="70" s="1"/>
  <c r="D140" i="10"/>
  <c r="AE139" i="70" s="1"/>
  <c r="D141" i="10"/>
  <c r="AE140" i="70" s="1"/>
  <c r="D142" i="10"/>
  <c r="AE141" i="70" s="1"/>
  <c r="D143" i="10"/>
  <c r="AE142" i="70" s="1"/>
  <c r="D144" i="10"/>
  <c r="AE143" i="70" s="1"/>
  <c r="D145" i="10"/>
  <c r="AE144" i="70" s="1"/>
  <c r="D146" i="10"/>
  <c r="AE145" i="70" s="1"/>
  <c r="D147" i="10"/>
  <c r="AE146" i="70" s="1"/>
  <c r="D148" i="10"/>
  <c r="AE147" i="70" s="1"/>
  <c r="D149" i="10"/>
  <c r="AE148" i="70" s="1"/>
  <c r="D150" i="10"/>
  <c r="AE149" i="70" s="1"/>
  <c r="D151" i="10"/>
  <c r="AE150" i="70" s="1"/>
  <c r="D152" i="10"/>
  <c r="AE151" i="70" s="1"/>
  <c r="D153" i="10"/>
  <c r="AE152" i="70" s="1"/>
  <c r="D154" i="10"/>
  <c r="AE153" i="70" s="1"/>
  <c r="D155" i="10"/>
  <c r="AE154" i="70" s="1"/>
  <c r="D156" i="10"/>
  <c r="AE155" i="70" s="1"/>
  <c r="D157" i="10"/>
  <c r="AE156" i="70" s="1"/>
  <c r="D168" i="10"/>
  <c r="AE167" i="70" s="1"/>
  <c r="D169" i="10"/>
  <c r="AE168" i="70" s="1"/>
  <c r="D170" i="10"/>
  <c r="AE169" i="70" s="1"/>
  <c r="D171" i="10"/>
  <c r="AE170" i="70" s="1"/>
  <c r="D172" i="10"/>
  <c r="AE171" i="70" s="1"/>
  <c r="D173" i="10"/>
  <c r="AE172" i="70" s="1"/>
  <c r="D174" i="10"/>
  <c r="AE173" i="70" s="1"/>
  <c r="D175" i="10"/>
  <c r="AE174" i="70" s="1"/>
  <c r="D176" i="10"/>
  <c r="AE175" i="70" s="1"/>
  <c r="D4" i="10"/>
  <c r="AE3" i="70" s="1"/>
  <c r="T176" i="10"/>
  <c r="P176" i="10"/>
  <c r="O176" i="10"/>
  <c r="N176" i="10"/>
  <c r="T175" i="10"/>
  <c r="P175" i="10"/>
  <c r="O175" i="10"/>
  <c r="N175" i="10"/>
  <c r="P174" i="10"/>
  <c r="O174" i="10"/>
  <c r="N174" i="10"/>
  <c r="P173" i="10"/>
  <c r="O173" i="10"/>
  <c r="N173" i="10"/>
  <c r="P172" i="10"/>
  <c r="O172" i="10"/>
  <c r="N172" i="10"/>
  <c r="P171" i="10"/>
  <c r="O171" i="10"/>
  <c r="N171" i="10"/>
  <c r="AM170" i="10"/>
  <c r="Q170" i="10"/>
  <c r="P170" i="10"/>
  <c r="O170" i="10"/>
  <c r="N170" i="10"/>
  <c r="AH169" i="10"/>
  <c r="P169" i="10"/>
  <c r="O169" i="10"/>
  <c r="N169" i="10"/>
  <c r="AH168" i="10"/>
  <c r="L168" i="10"/>
  <c r="Q167" i="10"/>
  <c r="P167" i="10"/>
  <c r="O167" i="10"/>
  <c r="N167" i="10"/>
  <c r="AH166" i="10"/>
  <c r="L166" i="10"/>
  <c r="Q165" i="10"/>
  <c r="P165" i="10"/>
  <c r="O165" i="10"/>
  <c r="N165" i="10"/>
  <c r="AH164" i="10"/>
  <c r="L164" i="10"/>
  <c r="Q163" i="10"/>
  <c r="P163" i="10"/>
  <c r="O163" i="10"/>
  <c r="N163" i="10"/>
  <c r="AH162" i="10"/>
  <c r="L162" i="10"/>
  <c r="Q161" i="10"/>
  <c r="P161" i="10"/>
  <c r="O161" i="10"/>
  <c r="N161" i="10"/>
  <c r="AH160" i="10"/>
  <c r="L160" i="10"/>
  <c r="Q159" i="10"/>
  <c r="P159" i="10"/>
  <c r="O159" i="10"/>
  <c r="N159" i="10"/>
  <c r="AH158" i="10"/>
  <c r="L158" i="10"/>
  <c r="Q157" i="10"/>
  <c r="P157" i="10"/>
  <c r="O157" i="10"/>
  <c r="N157" i="10"/>
  <c r="AH156" i="10"/>
  <c r="P156" i="10"/>
  <c r="O156" i="10"/>
  <c r="N156" i="10"/>
  <c r="AH155" i="10"/>
  <c r="AM154" i="10"/>
  <c r="Q154" i="10"/>
  <c r="P154" i="10"/>
  <c r="O154" i="10"/>
  <c r="N154" i="10"/>
  <c r="AH153" i="10"/>
  <c r="AQ153" i="10" s="1"/>
  <c r="AH152" i="10"/>
  <c r="AH151" i="10"/>
  <c r="P151" i="10"/>
  <c r="O151" i="10"/>
  <c r="N151" i="10"/>
  <c r="AM150" i="10"/>
  <c r="Q150" i="10"/>
  <c r="P150" i="10"/>
  <c r="O150" i="10"/>
  <c r="N150" i="10"/>
  <c r="AH149" i="10"/>
  <c r="Q148" i="10"/>
  <c r="P148" i="10"/>
  <c r="O148" i="10"/>
  <c r="N148" i="10"/>
  <c r="AH147" i="10"/>
  <c r="AH146" i="10"/>
  <c r="P146" i="10"/>
  <c r="O146" i="10"/>
  <c r="N146" i="10"/>
  <c r="Q145" i="10"/>
  <c r="P145" i="10"/>
  <c r="O145" i="10"/>
  <c r="N145" i="10"/>
  <c r="AH144" i="10"/>
  <c r="P144" i="10"/>
  <c r="O144" i="10"/>
  <c r="N144" i="10"/>
  <c r="AM143" i="10"/>
  <c r="Q143" i="10"/>
  <c r="P143" i="10"/>
  <c r="O143" i="10"/>
  <c r="N143" i="10"/>
  <c r="AH142" i="10"/>
  <c r="P142" i="10"/>
  <c r="O142" i="10"/>
  <c r="N142" i="10"/>
  <c r="Q141" i="10"/>
  <c r="P141" i="10"/>
  <c r="O141" i="10"/>
  <c r="N141" i="10"/>
  <c r="AH140" i="10"/>
  <c r="AQ140" i="10" s="1"/>
  <c r="AH139" i="10"/>
  <c r="AM138" i="10"/>
  <c r="Q138" i="10"/>
  <c r="P138" i="10"/>
  <c r="O138" i="10"/>
  <c r="N138" i="10"/>
  <c r="AH137" i="10"/>
  <c r="P137" i="10"/>
  <c r="O137" i="10"/>
  <c r="N137" i="10"/>
  <c r="AH136" i="10"/>
  <c r="P136" i="10"/>
  <c r="O136" i="10"/>
  <c r="N136" i="10"/>
  <c r="AM135" i="10"/>
  <c r="Q135" i="10"/>
  <c r="P135" i="10"/>
  <c r="O135" i="10"/>
  <c r="N135" i="10"/>
  <c r="AH134" i="10"/>
  <c r="P134" i="10"/>
  <c r="O134" i="10"/>
  <c r="N134" i="10"/>
  <c r="Q133" i="10"/>
  <c r="P133" i="10"/>
  <c r="O133" i="10"/>
  <c r="N133" i="10"/>
  <c r="AH132" i="10"/>
  <c r="AH131" i="10"/>
  <c r="Q130" i="10"/>
  <c r="P130" i="10"/>
  <c r="O130" i="10"/>
  <c r="N130" i="10"/>
  <c r="AH129" i="10"/>
  <c r="P129" i="10"/>
  <c r="O129" i="10"/>
  <c r="N129" i="10"/>
  <c r="AH128" i="10"/>
  <c r="P128" i="10"/>
  <c r="O128" i="10"/>
  <c r="N128" i="10"/>
  <c r="AM127" i="10"/>
  <c r="Q127" i="10"/>
  <c r="P127" i="10"/>
  <c r="O127" i="10"/>
  <c r="N127" i="10"/>
  <c r="AH126" i="10"/>
  <c r="Q125" i="10"/>
  <c r="P125" i="10"/>
  <c r="O125" i="10"/>
  <c r="N125" i="10"/>
  <c r="AH124" i="10"/>
  <c r="AM123" i="10"/>
  <c r="Q123" i="10"/>
  <c r="P123" i="10"/>
  <c r="O123" i="10"/>
  <c r="N123" i="10"/>
  <c r="AH122" i="10"/>
  <c r="P122" i="10"/>
  <c r="O122" i="10"/>
  <c r="N122" i="10"/>
  <c r="AH121" i="10"/>
  <c r="P121" i="10"/>
  <c r="O121" i="10"/>
  <c r="N121" i="10"/>
  <c r="AH120" i="10"/>
  <c r="P120" i="10"/>
  <c r="O120" i="10"/>
  <c r="N120" i="10"/>
  <c r="AH119" i="10"/>
  <c r="P119" i="10"/>
  <c r="O119" i="10"/>
  <c r="N119" i="10"/>
  <c r="AM118" i="10"/>
  <c r="Q118" i="10"/>
  <c r="P118" i="10"/>
  <c r="O118" i="10"/>
  <c r="N118" i="10"/>
  <c r="AH117" i="10"/>
  <c r="P117" i="10"/>
  <c r="O117" i="10"/>
  <c r="N117" i="10"/>
  <c r="AH116" i="10"/>
  <c r="P116" i="10"/>
  <c r="O116" i="10"/>
  <c r="N116" i="10"/>
  <c r="AH115" i="10"/>
  <c r="P115" i="10"/>
  <c r="O115" i="10"/>
  <c r="N115" i="10"/>
  <c r="AH114" i="10"/>
  <c r="P114" i="10"/>
  <c r="O114" i="10"/>
  <c r="N114" i="10"/>
  <c r="AM113" i="10"/>
  <c r="Q113" i="10"/>
  <c r="P113" i="10"/>
  <c r="O113" i="10"/>
  <c r="N113" i="10"/>
  <c r="AH112" i="10"/>
  <c r="P112" i="10"/>
  <c r="O112" i="10"/>
  <c r="N112" i="10"/>
  <c r="AH111" i="10"/>
  <c r="P111" i="10"/>
  <c r="O111" i="10"/>
  <c r="N111" i="10"/>
  <c r="AH110" i="10"/>
  <c r="P110" i="10"/>
  <c r="O110" i="10"/>
  <c r="N110" i="10"/>
  <c r="AH109" i="10"/>
  <c r="AQ109" i="10" s="1"/>
  <c r="AH108" i="10"/>
  <c r="P108" i="10"/>
  <c r="O108" i="10"/>
  <c r="N108" i="10"/>
  <c r="AM107" i="10"/>
  <c r="Q107" i="10"/>
  <c r="P107" i="10"/>
  <c r="O107" i="10"/>
  <c r="N107" i="10"/>
  <c r="AH106" i="10"/>
  <c r="Q105" i="10"/>
  <c r="P105" i="10"/>
  <c r="O105" i="10"/>
  <c r="N105" i="10"/>
  <c r="AH104" i="10"/>
  <c r="AH103" i="10"/>
  <c r="AQ103" i="10" s="1"/>
  <c r="AH102" i="10"/>
  <c r="Q101" i="10"/>
  <c r="P101" i="10"/>
  <c r="O101" i="10"/>
  <c r="N101" i="10"/>
  <c r="AH100" i="10"/>
  <c r="AH99" i="10"/>
  <c r="P99" i="10"/>
  <c r="O99" i="10"/>
  <c r="N99" i="10"/>
  <c r="AM98" i="10"/>
  <c r="Q98" i="10"/>
  <c r="P98" i="10"/>
  <c r="O98" i="10"/>
  <c r="N98" i="10"/>
  <c r="AH97" i="10"/>
  <c r="AQ97" i="10" s="1"/>
  <c r="AH96" i="10"/>
  <c r="P96" i="10"/>
  <c r="O96" i="10"/>
  <c r="N96" i="10"/>
  <c r="Q95" i="10"/>
  <c r="P95" i="10"/>
  <c r="O95" i="10"/>
  <c r="N95" i="10"/>
  <c r="AH94" i="10"/>
  <c r="P94" i="10"/>
  <c r="O94" i="10"/>
  <c r="N94" i="10"/>
  <c r="AH93" i="10"/>
  <c r="P93" i="10"/>
  <c r="O93" i="10"/>
  <c r="N93" i="10"/>
  <c r="AM92" i="10"/>
  <c r="Q92" i="10"/>
  <c r="P92" i="10"/>
  <c r="O92" i="10"/>
  <c r="N92" i="10"/>
  <c r="AH91" i="10"/>
  <c r="AQ91" i="10" s="1"/>
  <c r="AH90" i="10"/>
  <c r="P90" i="10"/>
  <c r="O90" i="10"/>
  <c r="N90" i="10"/>
  <c r="AM89" i="10"/>
  <c r="Q89" i="10"/>
  <c r="P89" i="10"/>
  <c r="O89" i="10"/>
  <c r="N89" i="10"/>
  <c r="AH88" i="10"/>
  <c r="P88" i="10"/>
  <c r="O88" i="10"/>
  <c r="N88" i="10"/>
  <c r="AH87" i="10"/>
  <c r="AQ87" i="10" s="1"/>
  <c r="P87" i="10"/>
  <c r="O87" i="10"/>
  <c r="N87" i="10"/>
  <c r="AH86" i="10"/>
  <c r="AH85" i="10"/>
  <c r="P85" i="10"/>
  <c r="O85" i="10"/>
  <c r="N85" i="10"/>
  <c r="AH84" i="10"/>
  <c r="P84" i="10"/>
  <c r="O84" i="10"/>
  <c r="N84" i="10"/>
  <c r="AH83" i="10"/>
  <c r="P83" i="10"/>
  <c r="O83" i="10"/>
  <c r="N83" i="10"/>
  <c r="AM82" i="10"/>
  <c r="Q82" i="10"/>
  <c r="P82" i="10"/>
  <c r="O82" i="10"/>
  <c r="N82" i="10"/>
  <c r="AH81" i="10"/>
  <c r="P81" i="10"/>
  <c r="O81" i="10"/>
  <c r="N81" i="10"/>
  <c r="AH80" i="10"/>
  <c r="P80" i="10"/>
  <c r="O80" i="10"/>
  <c r="N80" i="10"/>
  <c r="AH79" i="10"/>
  <c r="AQ79" i="10" s="1"/>
  <c r="P79" i="10"/>
  <c r="O79" i="10"/>
  <c r="N79" i="10"/>
  <c r="AH78" i="10"/>
  <c r="Q77" i="10"/>
  <c r="P77" i="10"/>
  <c r="O77" i="10"/>
  <c r="N77" i="10"/>
  <c r="AH76" i="10"/>
  <c r="P76" i="10"/>
  <c r="O76" i="10"/>
  <c r="N76" i="10"/>
  <c r="AH75" i="10"/>
  <c r="P75" i="10"/>
  <c r="O75" i="10"/>
  <c r="N75" i="10"/>
  <c r="AH74" i="10"/>
  <c r="P74" i="10"/>
  <c r="O74" i="10"/>
  <c r="N74" i="10"/>
  <c r="AH73" i="10"/>
  <c r="AH72" i="10"/>
  <c r="P72" i="10"/>
  <c r="O72" i="10"/>
  <c r="N72" i="10"/>
  <c r="Q71" i="10"/>
  <c r="P71" i="10"/>
  <c r="O71" i="10"/>
  <c r="N71" i="10"/>
  <c r="AH70" i="10"/>
  <c r="P70" i="10"/>
  <c r="O70" i="10"/>
  <c r="N70" i="10"/>
  <c r="AH69" i="10"/>
  <c r="P69" i="10"/>
  <c r="O69" i="10"/>
  <c r="N69" i="10"/>
  <c r="AH68" i="10"/>
  <c r="P68" i="10"/>
  <c r="O68" i="10"/>
  <c r="N68" i="10"/>
  <c r="AH67" i="10"/>
  <c r="AQ67" i="10" s="1"/>
  <c r="AH66" i="10"/>
  <c r="P66" i="10"/>
  <c r="O66" i="10"/>
  <c r="N66" i="10"/>
  <c r="Q65" i="10"/>
  <c r="P65" i="10"/>
  <c r="O65" i="10"/>
  <c r="N65" i="10"/>
  <c r="AH64" i="10"/>
  <c r="P64" i="10"/>
  <c r="O64" i="10"/>
  <c r="N64" i="10"/>
  <c r="AH63" i="10"/>
  <c r="AQ63" i="10" s="1"/>
  <c r="AH62" i="10"/>
  <c r="Q62" i="10"/>
  <c r="AH61" i="10"/>
  <c r="AH60" i="10"/>
  <c r="P60" i="10"/>
  <c r="O60" i="10"/>
  <c r="N60" i="10"/>
  <c r="AM59" i="10"/>
  <c r="Q59" i="10"/>
  <c r="P59" i="10"/>
  <c r="O59" i="10"/>
  <c r="N59" i="10"/>
  <c r="AH58" i="10"/>
  <c r="AQ58" i="10" s="1"/>
  <c r="AH57" i="10"/>
  <c r="P57" i="10"/>
  <c r="O57" i="10"/>
  <c r="N57" i="10"/>
  <c r="AM56" i="10"/>
  <c r="Q56" i="10"/>
  <c r="P56" i="10"/>
  <c r="O56" i="10"/>
  <c r="N56" i="10"/>
  <c r="AH55" i="10"/>
  <c r="P55" i="10"/>
  <c r="O55" i="10"/>
  <c r="N55" i="10"/>
  <c r="AH54" i="10"/>
  <c r="P54" i="10"/>
  <c r="O54" i="10"/>
  <c r="N54" i="10"/>
  <c r="AH53" i="10"/>
  <c r="AH52" i="10"/>
  <c r="P52" i="10"/>
  <c r="O52" i="10"/>
  <c r="N52" i="10"/>
  <c r="AH51" i="10"/>
  <c r="P51" i="10"/>
  <c r="O51" i="10"/>
  <c r="N51" i="10"/>
  <c r="Q50" i="10"/>
  <c r="P50" i="10"/>
  <c r="O50" i="10"/>
  <c r="N50" i="10"/>
  <c r="AH49" i="10"/>
  <c r="T49" i="10" s="1"/>
  <c r="Q49" i="10"/>
  <c r="P49" i="10"/>
  <c r="O49" i="10"/>
  <c r="N49" i="10"/>
  <c r="R49" i="10" s="1"/>
  <c r="AH48" i="10"/>
  <c r="P48" i="10"/>
  <c r="O48" i="10"/>
  <c r="N48" i="10"/>
  <c r="AH47" i="10"/>
  <c r="AH46" i="10"/>
  <c r="AQ46" i="10" s="1"/>
  <c r="P46" i="10"/>
  <c r="O46" i="10"/>
  <c r="N46" i="10"/>
  <c r="AH45" i="10"/>
  <c r="P45" i="10"/>
  <c r="O45" i="10"/>
  <c r="N45" i="10"/>
  <c r="AM44" i="10"/>
  <c r="Q44" i="10"/>
  <c r="P44" i="10"/>
  <c r="O44" i="10"/>
  <c r="N44" i="10"/>
  <c r="AH43" i="10"/>
  <c r="AH42" i="10"/>
  <c r="P42" i="10"/>
  <c r="O42" i="10"/>
  <c r="N42" i="10"/>
  <c r="AM41" i="10"/>
  <c r="Q41" i="10"/>
  <c r="P41" i="10"/>
  <c r="O41" i="10"/>
  <c r="N41" i="10"/>
  <c r="AH40" i="10"/>
  <c r="AQ40" i="10" s="1"/>
  <c r="AH39" i="10"/>
  <c r="P39" i="10"/>
  <c r="O39" i="10"/>
  <c r="N39" i="10"/>
  <c r="Q38" i="10"/>
  <c r="P38" i="10"/>
  <c r="O38" i="10"/>
  <c r="N38" i="10"/>
  <c r="AH37" i="10"/>
  <c r="P37" i="10"/>
  <c r="O37" i="10"/>
  <c r="N37" i="10"/>
  <c r="AH36" i="10"/>
  <c r="AM35" i="10"/>
  <c r="Q35" i="10"/>
  <c r="P35" i="10"/>
  <c r="O35" i="10"/>
  <c r="N35" i="10"/>
  <c r="AH34" i="10"/>
  <c r="P34" i="10"/>
  <c r="O34" i="10"/>
  <c r="N34" i="10"/>
  <c r="AH33" i="10"/>
  <c r="Q32" i="10"/>
  <c r="P32" i="10"/>
  <c r="O32" i="10"/>
  <c r="N32" i="10"/>
  <c r="AH31" i="10"/>
  <c r="AQ31" i="10" s="1"/>
  <c r="AH30" i="10"/>
  <c r="AM29" i="10"/>
  <c r="Q29" i="10"/>
  <c r="P29" i="10"/>
  <c r="O29" i="10"/>
  <c r="N29" i="10"/>
  <c r="AH28" i="10"/>
  <c r="AQ28" i="10" s="1"/>
  <c r="AH27" i="10"/>
  <c r="P27" i="10"/>
  <c r="O27" i="10"/>
  <c r="N27" i="10"/>
  <c r="AL26" i="10"/>
  <c r="AM26" i="10"/>
  <c r="Q26" i="10"/>
  <c r="P26" i="10"/>
  <c r="O26" i="10"/>
  <c r="N26" i="10"/>
  <c r="AH25" i="10"/>
  <c r="AQ25" i="10" s="1"/>
  <c r="AH24" i="10"/>
  <c r="P24" i="10"/>
  <c r="O24" i="10"/>
  <c r="N24" i="10"/>
  <c r="AM23" i="10"/>
  <c r="Q23" i="10"/>
  <c r="P23" i="10"/>
  <c r="O23" i="10"/>
  <c r="N23" i="10"/>
  <c r="AH22" i="10"/>
  <c r="P22" i="10"/>
  <c r="O22" i="10"/>
  <c r="N22" i="10"/>
  <c r="AH21" i="10"/>
  <c r="P21" i="10"/>
  <c r="O21" i="10"/>
  <c r="N21" i="10"/>
  <c r="Q20" i="10"/>
  <c r="P20" i="10"/>
  <c r="O20" i="10"/>
  <c r="N20" i="10"/>
  <c r="P17" i="10"/>
  <c r="O17" i="10"/>
  <c r="N17" i="10"/>
  <c r="AH16" i="10"/>
  <c r="P16" i="10"/>
  <c r="O16" i="10"/>
  <c r="N16" i="10"/>
  <c r="Q15" i="10"/>
  <c r="P15" i="10"/>
  <c r="O15" i="10"/>
  <c r="N15" i="10"/>
  <c r="AH14" i="10"/>
  <c r="P14" i="10"/>
  <c r="O14" i="10"/>
  <c r="N14" i="10"/>
  <c r="AM13" i="10"/>
  <c r="Q13" i="10"/>
  <c r="P13" i="10"/>
  <c r="O13" i="10"/>
  <c r="N13" i="10"/>
  <c r="AH12" i="10"/>
  <c r="AH11" i="10"/>
  <c r="Q10" i="10"/>
  <c r="P10" i="10"/>
  <c r="O10" i="10"/>
  <c r="N10" i="10"/>
  <c r="P9" i="10"/>
  <c r="O9" i="10"/>
  <c r="N9" i="10"/>
  <c r="Q8" i="10"/>
  <c r="P8" i="10"/>
  <c r="O8" i="10"/>
  <c r="N8" i="10"/>
  <c r="P7" i="10"/>
  <c r="O7" i="10"/>
  <c r="N7" i="10"/>
  <c r="P5" i="10"/>
  <c r="O5" i="10"/>
  <c r="N5" i="10"/>
  <c r="AN4" i="10"/>
  <c r="AH4" i="10"/>
  <c r="AE4" i="10"/>
  <c r="B1" i="10"/>
  <c r="AL13" i="10" s="1"/>
  <c r="AQ47" i="10" l="1"/>
  <c r="AQ48" i="10" s="1"/>
  <c r="AQ49" i="10" s="1"/>
  <c r="AQ104" i="10"/>
  <c r="AQ80" i="10"/>
  <c r="AQ81" i="10" s="1"/>
  <c r="AQ110" i="10"/>
  <c r="AQ111" i="10" s="1"/>
  <c r="AQ112" i="10" s="1"/>
  <c r="AQ64" i="10"/>
  <c r="AQ68" i="10"/>
  <c r="AQ69" i="10" s="1"/>
  <c r="AQ70" i="10" s="1"/>
  <c r="AQ88" i="10"/>
  <c r="AL23" i="10"/>
  <c r="AN11" i="10"/>
  <c r="D17" i="52"/>
  <c r="T26" i="52"/>
  <c r="D35" i="52"/>
  <c r="D104" i="52"/>
  <c r="D111" i="52"/>
  <c r="T118" i="52"/>
  <c r="BI28" i="52" s="1"/>
  <c r="T6" i="52"/>
  <c r="D13" i="52"/>
  <c r="T89" i="52"/>
  <c r="T55" i="52"/>
  <c r="D84" i="52"/>
  <c r="D70" i="52"/>
  <c r="D77" i="52"/>
  <c r="T85" i="52"/>
  <c r="T7" i="52"/>
  <c r="T8" i="52"/>
  <c r="T10" i="52"/>
  <c r="D74" i="52"/>
  <c r="D61" i="52"/>
  <c r="D109" i="52"/>
  <c r="D9" i="52"/>
  <c r="D28" i="52"/>
  <c r="D36" i="52"/>
  <c r="D44" i="52"/>
  <c r="D112" i="52"/>
  <c r="T119" i="52"/>
  <c r="BI29" i="52" s="1"/>
  <c r="D126" i="52"/>
  <c r="T48" i="52"/>
  <c r="T96" i="52"/>
  <c r="D12" i="52"/>
  <c r="T86" i="52"/>
  <c r="T92" i="52"/>
  <c r="T98" i="52"/>
  <c r="T9" i="52"/>
  <c r="D75" i="52"/>
  <c r="D117" i="52"/>
  <c r="D25" i="52"/>
  <c r="D59" i="52"/>
  <c r="D65" i="52"/>
  <c r="D72" i="52"/>
  <c r="D21" i="52"/>
  <c r="D30" i="52"/>
  <c r="T38" i="52"/>
  <c r="D107" i="52"/>
  <c r="T114" i="52"/>
  <c r="D121" i="52"/>
  <c r="T12" i="52"/>
  <c r="D7" i="52"/>
  <c r="D55" i="52"/>
  <c r="T95" i="52"/>
  <c r="T68" i="52"/>
  <c r="D66" i="52"/>
  <c r="D73" i="52"/>
  <c r="T80" i="52"/>
  <c r="D6" i="52"/>
  <c r="D53" i="52"/>
  <c r="T88" i="52"/>
  <c r="T100" i="52"/>
  <c r="T122" i="52"/>
  <c r="D47" i="52"/>
  <c r="D54" i="52"/>
  <c r="D95" i="52"/>
  <c r="D123" i="52"/>
  <c r="D8" i="52"/>
  <c r="D15" i="52"/>
  <c r="D102" i="52"/>
  <c r="D16" i="52"/>
  <c r="D42" i="52"/>
  <c r="D62" i="52"/>
  <c r="T75" i="52"/>
  <c r="D96" i="52"/>
  <c r="D10" i="52"/>
  <c r="T124" i="52"/>
  <c r="AL15" i="10"/>
  <c r="T98" i="8" a="1"/>
  <c r="T98" i="8" s="1"/>
  <c r="P100" i="8" a="1"/>
  <c r="P100" i="8" s="1"/>
  <c r="U98" i="8" a="1"/>
  <c r="U98" i="8" s="1"/>
  <c r="Q100" i="8" a="1"/>
  <c r="Q100" i="8" s="1"/>
  <c r="U101" i="8" a="1"/>
  <c r="U101" i="8" s="1"/>
  <c r="V98" i="8" a="1"/>
  <c r="V98" i="8" s="1"/>
  <c r="R100" i="8" a="1"/>
  <c r="R100" i="8" s="1"/>
  <c r="O99" i="8" a="1"/>
  <c r="O99" i="8" s="1"/>
  <c r="S100" i="8" a="1"/>
  <c r="S100" i="8" s="1"/>
  <c r="V101" i="8" a="1"/>
  <c r="V101" i="8" s="1"/>
  <c r="R99" i="8" a="1"/>
  <c r="R99" i="8" s="1"/>
  <c r="V100" i="8" a="1"/>
  <c r="V100" i="8" s="1"/>
  <c r="O98" i="8" a="1"/>
  <c r="O98" i="8" s="1"/>
  <c r="S99" i="8" a="1"/>
  <c r="S99" i="8" s="1"/>
  <c r="O101" i="8" a="1"/>
  <c r="O101" i="8" s="1"/>
  <c r="U100" i="8" a="1"/>
  <c r="U100" i="8" s="1"/>
  <c r="P98" i="8" a="1"/>
  <c r="P98" i="8" s="1"/>
  <c r="P101" i="8" a="1"/>
  <c r="P101" i="8" s="1"/>
  <c r="R98" i="8" a="1"/>
  <c r="R98" i="8" s="1"/>
  <c r="T101" i="8" a="1"/>
  <c r="T101" i="8" s="1"/>
  <c r="Q99" i="8" a="1"/>
  <c r="Q99" i="8" s="1"/>
  <c r="Q98" i="8" a="1"/>
  <c r="Q98" i="8" s="1"/>
  <c r="Q101" i="8" a="1"/>
  <c r="Q101" i="8" s="1"/>
  <c r="R101" i="8" a="1"/>
  <c r="R101" i="8" s="1"/>
  <c r="S101" i="8" a="1"/>
  <c r="S101" i="8" s="1"/>
  <c r="S98" i="8" a="1"/>
  <c r="S98" i="8" s="1"/>
  <c r="P99" i="8" a="1"/>
  <c r="P99" i="8" s="1"/>
  <c r="T99" i="8" a="1"/>
  <c r="T99" i="8" s="1"/>
  <c r="V99" i="8" a="1"/>
  <c r="V99" i="8" s="1"/>
  <c r="U99" i="8" a="1"/>
  <c r="U99" i="8" s="1"/>
  <c r="O100" i="8" a="1"/>
  <c r="O100" i="8" s="1"/>
  <c r="T100" i="8" a="1"/>
  <c r="T100" i="8" s="1"/>
  <c r="W127" i="70"/>
  <c r="W15" i="70"/>
  <c r="W93" i="70"/>
  <c r="U102" i="70"/>
  <c r="R72" i="5"/>
  <c r="AN21" i="10"/>
  <c r="AN24" i="10"/>
  <c r="AL16" i="10"/>
  <c r="AM16" i="10" s="1"/>
  <c r="AN27" i="10"/>
  <c r="AN14" i="10"/>
  <c r="C1" i="10"/>
  <c r="D1" i="10" s="1"/>
  <c r="E1" i="10" s="1"/>
  <c r="F1" i="10" s="1"/>
  <c r="G1" i="10" s="1"/>
  <c r="D43" i="52" s="1"/>
  <c r="AL167" i="10"/>
  <c r="AL159" i="10"/>
  <c r="AL138" i="10"/>
  <c r="AL130" i="10"/>
  <c r="AN162" i="10"/>
  <c r="AN155" i="10"/>
  <c r="AL151" i="10"/>
  <c r="AM151" i="10" s="1"/>
  <c r="AL150" i="10"/>
  <c r="AL143" i="10"/>
  <c r="AL165" i="10"/>
  <c r="AL135" i="10"/>
  <c r="AL128" i="10"/>
  <c r="AM128" i="10" s="1"/>
  <c r="AL127" i="10"/>
  <c r="AL113" i="10"/>
  <c r="AN160" i="10"/>
  <c r="AL163" i="10"/>
  <c r="AL148" i="10"/>
  <c r="AN166" i="10"/>
  <c r="AN158" i="10"/>
  <c r="AL154" i="10"/>
  <c r="AL161" i="10"/>
  <c r="AL170" i="10"/>
  <c r="AL157" i="10"/>
  <c r="AL146" i="10"/>
  <c r="AN144" i="10"/>
  <c r="AL141" i="10"/>
  <c r="AN131" i="10"/>
  <c r="AL105" i="10"/>
  <c r="AL98" i="10"/>
  <c r="AN152" i="10"/>
  <c r="AL145" i="10"/>
  <c r="AN117" i="10"/>
  <c r="AN122" i="10"/>
  <c r="AL107" i="10"/>
  <c r="AL133" i="10"/>
  <c r="AN137" i="10"/>
  <c r="AL118" i="10"/>
  <c r="AN91" i="10"/>
  <c r="AL101" i="10"/>
  <c r="AN103" i="10"/>
  <c r="AN116" i="10"/>
  <c r="AL77" i="10"/>
  <c r="AL125" i="10"/>
  <c r="AL123" i="10"/>
  <c r="AN61" i="10"/>
  <c r="AN97" i="10"/>
  <c r="AL92" i="10"/>
  <c r="AL82" i="10"/>
  <c r="AL65" i="10"/>
  <c r="AL60" i="10"/>
  <c r="AN78" i="10"/>
  <c r="AL29" i="10"/>
  <c r="AL89" i="10"/>
  <c r="AL95" i="10"/>
  <c r="AN70" i="10"/>
  <c r="AL84" i="10"/>
  <c r="AN114" i="10"/>
  <c r="AN93" i="10"/>
  <c r="AN80" i="10"/>
  <c r="AN47" i="10"/>
  <c r="AL85" i="10"/>
  <c r="AL62" i="10"/>
  <c r="T62" i="10" s="1"/>
  <c r="AN88" i="10"/>
  <c r="AN86" i="10"/>
  <c r="AN66" i="10"/>
  <c r="AN51" i="10"/>
  <c r="AL56" i="10"/>
  <c r="AN69" i="10"/>
  <c r="AL50" i="10"/>
  <c r="AN36" i="10"/>
  <c r="AL10" i="10"/>
  <c r="AN76" i="10"/>
  <c r="AL35" i="10"/>
  <c r="AN81" i="10"/>
  <c r="AN75" i="10"/>
  <c r="AN45" i="10"/>
  <c r="AN40" i="10"/>
  <c r="AL38" i="10"/>
  <c r="AN74" i="10"/>
  <c r="AN72" i="10"/>
  <c r="AL71" i="10"/>
  <c r="AN67" i="10"/>
  <c r="AN64" i="10"/>
  <c r="AL59" i="10"/>
  <c r="AN49" i="10"/>
  <c r="AL44" i="10"/>
  <c r="AL41" i="10"/>
  <c r="AL83" i="10"/>
  <c r="AM10" i="10"/>
  <c r="AN12" i="10"/>
  <c r="AM38" i="10"/>
  <c r="AN43" i="10"/>
  <c r="AN57" i="10"/>
  <c r="AN42" i="10"/>
  <c r="AN25" i="10"/>
  <c r="AM32" i="10"/>
  <c r="AN34" i="10"/>
  <c r="AN39" i="10"/>
  <c r="AN30" i="10"/>
  <c r="AM15" i="10"/>
  <c r="AL32" i="10"/>
  <c r="AN28" i="10"/>
  <c r="AN37" i="10"/>
  <c r="AM50" i="10"/>
  <c r="AN22" i="10"/>
  <c r="AN46" i="10"/>
  <c r="AN58" i="10"/>
  <c r="AN62" i="10"/>
  <c r="AM65" i="10"/>
  <c r="AN33" i="10"/>
  <c r="AN53" i="10"/>
  <c r="AN31" i="10"/>
  <c r="AN48" i="10"/>
  <c r="AN52" i="10"/>
  <c r="AN79" i="10"/>
  <c r="AN55" i="10"/>
  <c r="AN63" i="10"/>
  <c r="AN73" i="10"/>
  <c r="AN90" i="10"/>
  <c r="AN94" i="10"/>
  <c r="AN87" i="10"/>
  <c r="AM71" i="10"/>
  <c r="AN96" i="10"/>
  <c r="AN106" i="10"/>
  <c r="AN54" i="10"/>
  <c r="AN68" i="10"/>
  <c r="AM77" i="10"/>
  <c r="AN108" i="10"/>
  <c r="AN100" i="10"/>
  <c r="AN104" i="10"/>
  <c r="AN99" i="10"/>
  <c r="AM105" i="10"/>
  <c r="AN112" i="10"/>
  <c r="AN102" i="10"/>
  <c r="AN110" i="10"/>
  <c r="AM95" i="10"/>
  <c r="AN121" i="10"/>
  <c r="AN119" i="10"/>
  <c r="AN109" i="10"/>
  <c r="AN111" i="10"/>
  <c r="AN115" i="10"/>
  <c r="AM101" i="10"/>
  <c r="AM133" i="10"/>
  <c r="AM141" i="10"/>
  <c r="AM130" i="10"/>
  <c r="AN124" i="10"/>
  <c r="AN126" i="10"/>
  <c r="AN132" i="10"/>
  <c r="AN129" i="10"/>
  <c r="AN120" i="10"/>
  <c r="AM125" i="10"/>
  <c r="AN136" i="10"/>
  <c r="AN139" i="10"/>
  <c r="AN134" i="10"/>
  <c r="AM159" i="10"/>
  <c r="AN153" i="10"/>
  <c r="AN169" i="10"/>
  <c r="AM148" i="10"/>
  <c r="AN140" i="10"/>
  <c r="AM163" i="10"/>
  <c r="AN168" i="10"/>
  <c r="AN156" i="10"/>
  <c r="AM157" i="10"/>
  <c r="AN164" i="10"/>
  <c r="AM165" i="10"/>
  <c r="AN147" i="10"/>
  <c r="AM167" i="10"/>
  <c r="AN149" i="10"/>
  <c r="AN142" i="10"/>
  <c r="AM145" i="10"/>
  <c r="AM161" i="10"/>
  <c r="AA43" i="52" l="1"/>
  <c r="I43" i="52"/>
  <c r="I15" i="52"/>
  <c r="AA15" i="52"/>
  <c r="R6" i="52"/>
  <c r="Q6" i="52"/>
  <c r="T52" i="52"/>
  <c r="T40" i="52"/>
  <c r="T93" i="52"/>
  <c r="D127" i="52"/>
  <c r="D45" i="52"/>
  <c r="T116" i="52"/>
  <c r="BI26" i="52" s="1"/>
  <c r="D71" i="52"/>
  <c r="T33" i="52"/>
  <c r="D98" i="52"/>
  <c r="T90" i="52"/>
  <c r="U8" i="52"/>
  <c r="V8" i="52"/>
  <c r="T57" i="52"/>
  <c r="D89" i="52"/>
  <c r="D91" i="52"/>
  <c r="U75" i="52"/>
  <c r="V75" i="52"/>
  <c r="R8" i="52"/>
  <c r="Q8" i="52"/>
  <c r="D128" i="52"/>
  <c r="T45" i="52"/>
  <c r="R7" i="52"/>
  <c r="Q7" i="52"/>
  <c r="I7" i="52"/>
  <c r="T87" i="52"/>
  <c r="T120" i="52"/>
  <c r="D38" i="52"/>
  <c r="D67" i="52"/>
  <c r="T64" i="52"/>
  <c r="T123" i="52"/>
  <c r="D92" i="52"/>
  <c r="D34" i="52"/>
  <c r="U7" i="52"/>
  <c r="V7" i="52"/>
  <c r="T49" i="52"/>
  <c r="D32" i="52"/>
  <c r="D85" i="52"/>
  <c r="Q123" i="52"/>
  <c r="AJ123" i="52"/>
  <c r="AI123" i="52"/>
  <c r="R123" i="52"/>
  <c r="D122" i="52"/>
  <c r="D39" i="52"/>
  <c r="T108" i="52"/>
  <c r="D80" i="52"/>
  <c r="D114" i="52"/>
  <c r="D29" i="52"/>
  <c r="T94" i="52"/>
  <c r="T58" i="52"/>
  <c r="D83" i="52"/>
  <c r="D86" i="52"/>
  <c r="D124" i="52"/>
  <c r="T125" i="52"/>
  <c r="T43" i="52"/>
  <c r="D116" i="52"/>
  <c r="T76" i="52"/>
  <c r="I95" i="52"/>
  <c r="AA95" i="52"/>
  <c r="D115" i="52"/>
  <c r="T30" i="52"/>
  <c r="D81" i="52"/>
  <c r="T72" i="52"/>
  <c r="D106" i="52"/>
  <c r="D20" i="52"/>
  <c r="U9" i="52"/>
  <c r="V9" i="52"/>
  <c r="T50" i="52"/>
  <c r="D41" i="52"/>
  <c r="D78" i="52"/>
  <c r="D48" i="52"/>
  <c r="D119" i="52"/>
  <c r="T35" i="52"/>
  <c r="D40" i="52"/>
  <c r="T69" i="52"/>
  <c r="I62" i="52"/>
  <c r="AA62" i="52"/>
  <c r="AA42" i="52"/>
  <c r="I42" i="52"/>
  <c r="U100" i="52"/>
  <c r="V100" i="52"/>
  <c r="U80" i="52"/>
  <c r="V80" i="52"/>
  <c r="V68" i="52"/>
  <c r="U68" i="52"/>
  <c r="AA121" i="52"/>
  <c r="I121" i="52"/>
  <c r="U38" i="52"/>
  <c r="V38" i="52"/>
  <c r="AA72" i="52"/>
  <c r="I72" i="52"/>
  <c r="I25" i="52"/>
  <c r="AA25" i="52"/>
  <c r="U98" i="52"/>
  <c r="V98" i="52"/>
  <c r="R12" i="52"/>
  <c r="Q12" i="52"/>
  <c r="AI126" i="52"/>
  <c r="AJ126" i="52"/>
  <c r="Q126" i="52"/>
  <c r="R126" i="52"/>
  <c r="AA44" i="52"/>
  <c r="I44" i="52"/>
  <c r="I109" i="52"/>
  <c r="AA109" i="52"/>
  <c r="U85" i="52"/>
  <c r="V85" i="52"/>
  <c r="AA84" i="52"/>
  <c r="I84" i="52"/>
  <c r="U118" i="52"/>
  <c r="BJ28" i="52" s="1"/>
  <c r="V118" i="52"/>
  <c r="BK28" i="52" s="1"/>
  <c r="I35" i="52"/>
  <c r="AA35" i="52"/>
  <c r="AA16" i="52"/>
  <c r="I16" i="52"/>
  <c r="V88" i="52"/>
  <c r="U88" i="52"/>
  <c r="AA73" i="52"/>
  <c r="I73" i="52"/>
  <c r="V95" i="52"/>
  <c r="U95" i="52"/>
  <c r="U114" i="52"/>
  <c r="V114" i="52"/>
  <c r="AA30" i="52"/>
  <c r="I30" i="52"/>
  <c r="AA65" i="52"/>
  <c r="I65" i="52"/>
  <c r="AJ65" i="52"/>
  <c r="R65" i="52"/>
  <c r="I117" i="52"/>
  <c r="AX27" i="52" s="1"/>
  <c r="AA117" i="52"/>
  <c r="BP27" i="52" s="1"/>
  <c r="V92" i="52"/>
  <c r="U92" i="52"/>
  <c r="U96" i="52"/>
  <c r="V96" i="52"/>
  <c r="V119" i="52"/>
  <c r="BK29" i="52" s="1"/>
  <c r="U119" i="52"/>
  <c r="BJ29" i="52" s="1"/>
  <c r="AA36" i="52"/>
  <c r="I36" i="52"/>
  <c r="AA61" i="52"/>
  <c r="I61" i="52"/>
  <c r="I77" i="52"/>
  <c r="AA77" i="52"/>
  <c r="U55" i="52"/>
  <c r="V55" i="52"/>
  <c r="AA111" i="52"/>
  <c r="I111" i="52"/>
  <c r="V26" i="52"/>
  <c r="U26" i="52"/>
  <c r="V124" i="52"/>
  <c r="U124" i="52"/>
  <c r="AA102" i="52"/>
  <c r="I102" i="52"/>
  <c r="AA53" i="52"/>
  <c r="I53" i="52"/>
  <c r="I66" i="52"/>
  <c r="AA66" i="52"/>
  <c r="AA55" i="52"/>
  <c r="I55" i="52"/>
  <c r="AA107" i="52"/>
  <c r="I107" i="52"/>
  <c r="AA21" i="52"/>
  <c r="I21" i="52"/>
  <c r="I59" i="52"/>
  <c r="AA59" i="52"/>
  <c r="I75" i="52"/>
  <c r="AA75" i="52"/>
  <c r="V86" i="52"/>
  <c r="U86" i="52"/>
  <c r="V48" i="52"/>
  <c r="U48" i="52"/>
  <c r="AA112" i="52"/>
  <c r="I112" i="52"/>
  <c r="AA28" i="52"/>
  <c r="I28" i="52"/>
  <c r="I74" i="52"/>
  <c r="AA74" i="52"/>
  <c r="AA70" i="52"/>
  <c r="I70" i="52"/>
  <c r="U89" i="52"/>
  <c r="V89" i="52"/>
  <c r="AA104" i="52"/>
  <c r="I104" i="52"/>
  <c r="I17" i="52"/>
  <c r="AA17" i="52"/>
  <c r="S110" i="52"/>
  <c r="T61" i="52"/>
  <c r="D31" i="52"/>
  <c r="D60" i="52"/>
  <c r="D101" i="52"/>
  <c r="T99" i="52"/>
  <c r="T60" i="52"/>
  <c r="D51" i="52"/>
  <c r="D33" i="52"/>
  <c r="T78" i="52"/>
  <c r="D103" i="52"/>
  <c r="D105" i="52"/>
  <c r="T18" i="52"/>
  <c r="V10" i="52"/>
  <c r="U10" i="52"/>
  <c r="T63" i="52"/>
  <c r="T47" i="52"/>
  <c r="D97" i="52"/>
  <c r="D76" i="52"/>
  <c r="T62" i="52"/>
  <c r="T42" i="52"/>
  <c r="S45" i="52"/>
  <c r="I10" i="52"/>
  <c r="R10" i="52"/>
  <c r="Q10" i="52"/>
  <c r="T117" i="52"/>
  <c r="BI27" i="52" s="1"/>
  <c r="T74" i="52"/>
  <c r="D108" i="52"/>
  <c r="T21" i="52"/>
  <c r="D46" i="52"/>
  <c r="T65" i="52"/>
  <c r="D99" i="52"/>
  <c r="D118" i="52"/>
  <c r="T126" i="52"/>
  <c r="T44" i="52"/>
  <c r="D82" i="52"/>
  <c r="T70" i="52"/>
  <c r="R9" i="52"/>
  <c r="Q9" i="52"/>
  <c r="T111" i="52"/>
  <c r="D27" i="52"/>
  <c r="D14" i="52"/>
  <c r="I14" i="52" s="1"/>
  <c r="D63" i="52"/>
  <c r="I96" i="52"/>
  <c r="AA96" i="52"/>
  <c r="AA54" i="52"/>
  <c r="I54" i="52"/>
  <c r="D100" i="52"/>
  <c r="T84" i="52"/>
  <c r="D22" i="52"/>
  <c r="T59" i="52"/>
  <c r="D93" i="52"/>
  <c r="D69" i="52"/>
  <c r="D120" i="52"/>
  <c r="D37" i="52"/>
  <c r="D23" i="52"/>
  <c r="D64" i="52"/>
  <c r="T109" i="52"/>
  <c r="T104" i="52"/>
  <c r="D18" i="52"/>
  <c r="Q13" i="52"/>
  <c r="R13" i="52"/>
  <c r="D57" i="52"/>
  <c r="I47" i="52"/>
  <c r="AA47" i="52"/>
  <c r="D94" i="52"/>
  <c r="T16" i="52"/>
  <c r="U12" i="52"/>
  <c r="V12" i="52"/>
  <c r="D52" i="52"/>
  <c r="D87" i="52"/>
  <c r="D26" i="52"/>
  <c r="D113" i="52"/>
  <c r="T28" i="52"/>
  <c r="T128" i="52"/>
  <c r="BI32" i="52" s="1"/>
  <c r="D58" i="52"/>
  <c r="D68" i="52"/>
  <c r="T97" i="52"/>
  <c r="T103" i="52"/>
  <c r="U6" i="52"/>
  <c r="V6" i="52"/>
  <c r="D49" i="52"/>
  <c r="U122" i="52"/>
  <c r="V122" i="52"/>
  <c r="D88" i="52"/>
  <c r="D90" i="52"/>
  <c r="T127" i="52"/>
  <c r="E45" i="52"/>
  <c r="D79" i="52"/>
  <c r="D110" i="52"/>
  <c r="T105" i="52"/>
  <c r="D19" i="52"/>
  <c r="T66" i="52"/>
  <c r="D50" i="52"/>
  <c r="T23" i="52"/>
  <c r="T91" i="52"/>
  <c r="D56" i="52"/>
  <c r="D125" i="52"/>
  <c r="U104" i="70"/>
  <c r="U103" i="70"/>
  <c r="H156" i="10"/>
  <c r="T16" i="10"/>
  <c r="T151" i="10"/>
  <c r="T128" i="10"/>
  <c r="H1" i="10"/>
  <c r="I1" i="10" s="1"/>
  <c r="J1" i="10" s="1"/>
  <c r="J82" i="10" s="1"/>
  <c r="T13" i="13"/>
  <c r="T37" i="13"/>
  <c r="T53" i="13"/>
  <c r="T70" i="13"/>
  <c r="T85" i="13"/>
  <c r="T99" i="13"/>
  <c r="T114" i="13"/>
  <c r="T16" i="13"/>
  <c r="T38" i="13"/>
  <c r="T54" i="13"/>
  <c r="T74" i="13"/>
  <c r="T86" i="13"/>
  <c r="S100" i="13"/>
  <c r="T115" i="13"/>
  <c r="T18" i="13"/>
  <c r="T39" i="13"/>
  <c r="T55" i="13"/>
  <c r="T75" i="13"/>
  <c r="T87" i="13"/>
  <c r="T101" i="13"/>
  <c r="T116" i="13"/>
  <c r="T20" i="13"/>
  <c r="T40" i="13"/>
  <c r="T56" i="13"/>
  <c r="T76" i="13"/>
  <c r="T88" i="13"/>
  <c r="T104" i="13"/>
  <c r="T117" i="13"/>
  <c r="T23" i="13"/>
  <c r="T42" i="13"/>
  <c r="T58" i="13"/>
  <c r="T77" i="13"/>
  <c r="T89" i="13"/>
  <c r="T118" i="13"/>
  <c r="T25" i="13"/>
  <c r="T45" i="13"/>
  <c r="T59" i="13"/>
  <c r="T78" i="13"/>
  <c r="T90" i="13"/>
  <c r="T106" i="13"/>
  <c r="T4" i="13"/>
  <c r="T28" i="13"/>
  <c r="T47" i="13"/>
  <c r="T60" i="13"/>
  <c r="T79" i="13"/>
  <c r="T107" i="13"/>
  <c r="R35" i="13"/>
  <c r="T30" i="13"/>
  <c r="T48" i="13"/>
  <c r="T62" i="13"/>
  <c r="T80" i="13"/>
  <c r="T93" i="13"/>
  <c r="T108" i="13"/>
  <c r="N35" i="13"/>
  <c r="T32" i="13"/>
  <c r="T49" i="13"/>
  <c r="T64" i="13"/>
  <c r="T81" i="13"/>
  <c r="T94" i="13"/>
  <c r="T109" i="13"/>
  <c r="T6" i="13"/>
  <c r="T33" i="13"/>
  <c r="T50" i="13"/>
  <c r="T65" i="13"/>
  <c r="T82" i="13"/>
  <c r="T95" i="13"/>
  <c r="T110" i="13"/>
  <c r="T8" i="13"/>
  <c r="T34" i="13"/>
  <c r="T51" i="13"/>
  <c r="T66" i="13"/>
  <c r="T83" i="13"/>
  <c r="T112" i="13"/>
  <c r="T11" i="13"/>
  <c r="T35" i="13"/>
  <c r="T52" i="13"/>
  <c r="T68" i="13"/>
  <c r="T84" i="13"/>
  <c r="T98" i="13"/>
  <c r="T113" i="13"/>
  <c r="S35" i="13"/>
  <c r="T84" i="10"/>
  <c r="AM84" i="10"/>
  <c r="T85" i="10"/>
  <c r="AM85" i="10"/>
  <c r="AM146" i="10"/>
  <c r="T146" i="10"/>
  <c r="T83" i="10"/>
  <c r="AM83" i="10"/>
  <c r="AM60" i="10"/>
  <c r="T60" i="10"/>
  <c r="BI31" i="52" l="1"/>
  <c r="AJ122" i="52"/>
  <c r="AI122" i="52"/>
  <c r="R122" i="52"/>
  <c r="Q122" i="52"/>
  <c r="AA87" i="52"/>
  <c r="I87" i="52"/>
  <c r="U42" i="52"/>
  <c r="V42" i="52"/>
  <c r="V93" i="52"/>
  <c r="U93" i="52"/>
  <c r="I19" i="52"/>
  <c r="AA19" i="52"/>
  <c r="AA23" i="52"/>
  <c r="I23" i="52"/>
  <c r="I99" i="52"/>
  <c r="AA99" i="52"/>
  <c r="U62" i="52"/>
  <c r="V62" i="52"/>
  <c r="I33" i="52"/>
  <c r="AA33" i="52"/>
  <c r="V69" i="52"/>
  <c r="U69" i="52"/>
  <c r="V72" i="52"/>
  <c r="U72" i="52"/>
  <c r="I83" i="52"/>
  <c r="AA83" i="52"/>
  <c r="V120" i="52"/>
  <c r="U120" i="52"/>
  <c r="I89" i="52"/>
  <c r="AA89" i="52"/>
  <c r="V40" i="52"/>
  <c r="U40" i="52"/>
  <c r="AA18" i="52"/>
  <c r="I18" i="52"/>
  <c r="R127" i="52"/>
  <c r="Q127" i="52"/>
  <c r="AJ127" i="52"/>
  <c r="AI127" i="52"/>
  <c r="I86" i="52"/>
  <c r="AA86" i="52"/>
  <c r="V105" i="52"/>
  <c r="U105" i="52"/>
  <c r="U103" i="52"/>
  <c r="V103" i="52"/>
  <c r="U16" i="52"/>
  <c r="V16" i="52"/>
  <c r="I37" i="52"/>
  <c r="AA37" i="52"/>
  <c r="I63" i="52"/>
  <c r="AA63" i="52"/>
  <c r="V65" i="52"/>
  <c r="U65" i="52"/>
  <c r="I76" i="52"/>
  <c r="AX5" i="52" s="1"/>
  <c r="R246" i="37" s="1" a="1"/>
  <c r="R246" i="37" s="1"/>
  <c r="AB246" i="37" s="1"/>
  <c r="AF246" i="37" s="1"/>
  <c r="AJ246" i="37" s="1"/>
  <c r="AA76" i="52"/>
  <c r="BP5" i="52" s="1"/>
  <c r="R264" i="37" s="1" a="1"/>
  <c r="R264" i="37" s="1"/>
  <c r="AA51" i="52"/>
  <c r="I51" i="52"/>
  <c r="AA40" i="52"/>
  <c r="I40" i="52"/>
  <c r="AA81" i="52"/>
  <c r="I81" i="52"/>
  <c r="U58" i="52"/>
  <c r="V58" i="52"/>
  <c r="AA85" i="52"/>
  <c r="I85" i="52"/>
  <c r="U87" i="52"/>
  <c r="V87" i="52"/>
  <c r="U57" i="52"/>
  <c r="V57" i="52"/>
  <c r="V52" i="52"/>
  <c r="U52" i="52"/>
  <c r="U91" i="52"/>
  <c r="V91" i="52"/>
  <c r="U18" i="52"/>
  <c r="V18" i="52"/>
  <c r="U116" i="52"/>
  <c r="BJ26" i="52" s="1"/>
  <c r="V116" i="52"/>
  <c r="BK26" i="52" s="1"/>
  <c r="U109" i="52"/>
  <c r="V109" i="52"/>
  <c r="AA67" i="52"/>
  <c r="I67" i="52"/>
  <c r="I106" i="52"/>
  <c r="AA106" i="52"/>
  <c r="I38" i="52"/>
  <c r="AA38" i="52"/>
  <c r="I110" i="52"/>
  <c r="AA110" i="52"/>
  <c r="U97" i="52"/>
  <c r="V97" i="52"/>
  <c r="I94" i="52"/>
  <c r="AA94" i="52"/>
  <c r="I120" i="52"/>
  <c r="AX30" i="52" s="1"/>
  <c r="AA120" i="52"/>
  <c r="BP30" i="52" s="1"/>
  <c r="AX15" i="52"/>
  <c r="AA46" i="52"/>
  <c r="I46" i="52"/>
  <c r="I97" i="52"/>
  <c r="AA97" i="52"/>
  <c r="V60" i="52"/>
  <c r="U60" i="52"/>
  <c r="U35" i="52"/>
  <c r="V35" i="52"/>
  <c r="U30" i="52"/>
  <c r="V30" i="52"/>
  <c r="V94" i="52"/>
  <c r="U94" i="52"/>
  <c r="AA32" i="52"/>
  <c r="I32" i="52"/>
  <c r="I82" i="52"/>
  <c r="AA82" i="52"/>
  <c r="V123" i="52"/>
  <c r="U123" i="52"/>
  <c r="U104" i="52"/>
  <c r="V104" i="52"/>
  <c r="R45" i="52"/>
  <c r="I45" i="52"/>
  <c r="AA45" i="52"/>
  <c r="AJ45" i="52"/>
  <c r="I49" i="52"/>
  <c r="AA49" i="52"/>
  <c r="AA103" i="52"/>
  <c r="I103" i="52"/>
  <c r="I64" i="52"/>
  <c r="AA64" i="52"/>
  <c r="U78" i="52"/>
  <c r="V78" i="52"/>
  <c r="AA91" i="52"/>
  <c r="I91" i="52"/>
  <c r="AA79" i="52"/>
  <c r="I79" i="52"/>
  <c r="AA68" i="52"/>
  <c r="I68" i="52"/>
  <c r="I69" i="52"/>
  <c r="AA69" i="52"/>
  <c r="AA27" i="52"/>
  <c r="BP19" i="52" s="1"/>
  <c r="R160" i="27" s="1" a="1"/>
  <c r="R160" i="27" s="1"/>
  <c r="I27" i="52"/>
  <c r="AX19" i="52" s="1"/>
  <c r="R142" i="27" s="1" a="1"/>
  <c r="R142" i="27" s="1"/>
  <c r="AB142" i="27" s="1"/>
  <c r="AF142" i="27" s="1"/>
  <c r="AJ142" i="27" s="1"/>
  <c r="U21" i="52"/>
  <c r="V21" i="52"/>
  <c r="U47" i="52"/>
  <c r="V47" i="52"/>
  <c r="U99" i="52"/>
  <c r="BJ16" i="52" s="1"/>
  <c r="V99" i="52"/>
  <c r="BK16" i="52" s="1"/>
  <c r="AX18" i="52"/>
  <c r="R241" i="33" s="1" a="1"/>
  <c r="R241" i="33" s="1"/>
  <c r="AB241" i="33" s="1"/>
  <c r="AF241" i="33" s="1"/>
  <c r="AJ241" i="33" s="1"/>
  <c r="AA119" i="52"/>
  <c r="BP29" i="52" s="1"/>
  <c r="I119" i="52"/>
  <c r="AX29" i="52" s="1"/>
  <c r="I29" i="52"/>
  <c r="AX11" i="52" s="1"/>
  <c r="R141" i="28" s="1" a="1"/>
  <c r="R141" i="28" s="1"/>
  <c r="AB141" i="28" s="1"/>
  <c r="AF141" i="28" s="1"/>
  <c r="AJ141" i="28" s="1"/>
  <c r="AA29" i="52"/>
  <c r="BP11" i="52" s="1"/>
  <c r="R159" i="28" s="1" a="1"/>
  <c r="R159" i="28" s="1"/>
  <c r="V49" i="52"/>
  <c r="U49" i="52"/>
  <c r="U23" i="52"/>
  <c r="V23" i="52"/>
  <c r="V44" i="52"/>
  <c r="U44" i="52"/>
  <c r="Q124" i="52"/>
  <c r="AI124" i="52"/>
  <c r="R124" i="52"/>
  <c r="AJ124" i="52"/>
  <c r="H45" i="52"/>
  <c r="Q45" i="52" s="1"/>
  <c r="P45" i="52"/>
  <c r="I58" i="52"/>
  <c r="AA58" i="52"/>
  <c r="AA93" i="52"/>
  <c r="I93" i="52"/>
  <c r="U111" i="52"/>
  <c r="V111" i="52"/>
  <c r="AA108" i="52"/>
  <c r="I108" i="52"/>
  <c r="U63" i="52"/>
  <c r="V63" i="52"/>
  <c r="AA101" i="52"/>
  <c r="I101" i="52"/>
  <c r="BP18" i="52"/>
  <c r="R259" i="33" s="1" a="1"/>
  <c r="R259" i="33" s="1"/>
  <c r="BI7" i="52"/>
  <c r="AA48" i="52"/>
  <c r="I48" i="52"/>
  <c r="AA114" i="52"/>
  <c r="I114" i="52"/>
  <c r="U90" i="52"/>
  <c r="V90" i="52"/>
  <c r="I26" i="52"/>
  <c r="AA26" i="52"/>
  <c r="U43" i="52"/>
  <c r="V43" i="52"/>
  <c r="U64" i="52"/>
  <c r="V64" i="52"/>
  <c r="V126" i="52"/>
  <c r="U126" i="52"/>
  <c r="V127" i="52"/>
  <c r="U127" i="52"/>
  <c r="U128" i="52"/>
  <c r="BJ32" i="52" s="1"/>
  <c r="V128" i="52"/>
  <c r="BK32" i="52" s="1"/>
  <c r="I57" i="52"/>
  <c r="AA57" i="52"/>
  <c r="V59" i="52"/>
  <c r="U59" i="52"/>
  <c r="U74" i="52"/>
  <c r="V74" i="52"/>
  <c r="R60" i="52"/>
  <c r="AA60" i="52"/>
  <c r="AJ60" i="52"/>
  <c r="I60" i="52"/>
  <c r="I78" i="52"/>
  <c r="AA78" i="52"/>
  <c r="AA80" i="52"/>
  <c r="I80" i="52"/>
  <c r="U45" i="52"/>
  <c r="V45" i="52"/>
  <c r="I98" i="52"/>
  <c r="AX16" i="52" s="1"/>
  <c r="AA98" i="52"/>
  <c r="AA100" i="52"/>
  <c r="I100" i="52"/>
  <c r="U125" i="52"/>
  <c r="V125" i="52"/>
  <c r="AA52" i="52"/>
  <c r="I52" i="52"/>
  <c r="I20" i="52"/>
  <c r="AA20" i="52"/>
  <c r="U66" i="52"/>
  <c r="V66" i="52"/>
  <c r="Q125" i="52"/>
  <c r="AI125" i="52"/>
  <c r="R125" i="52"/>
  <c r="AJ125" i="52"/>
  <c r="AA90" i="52"/>
  <c r="I90" i="52"/>
  <c r="V28" i="52"/>
  <c r="U28" i="52"/>
  <c r="I22" i="52"/>
  <c r="AA22" i="52"/>
  <c r="V117" i="52"/>
  <c r="BK27" i="52" s="1"/>
  <c r="U117" i="52"/>
  <c r="BJ27" i="52" s="1"/>
  <c r="BI16" i="52"/>
  <c r="I31" i="52"/>
  <c r="AA31" i="52"/>
  <c r="AA41" i="52"/>
  <c r="I41" i="52"/>
  <c r="V76" i="52"/>
  <c r="U76" i="52"/>
  <c r="U108" i="52"/>
  <c r="V108" i="52"/>
  <c r="AA34" i="52"/>
  <c r="I34" i="52"/>
  <c r="AA128" i="52"/>
  <c r="BP32" i="52" s="1"/>
  <c r="I128" i="52"/>
  <c r="AX32" i="52" s="1"/>
  <c r="U33" i="52"/>
  <c r="V33" i="52"/>
  <c r="AA105" i="52"/>
  <c r="I105" i="52"/>
  <c r="I50" i="52"/>
  <c r="AJ50" i="52"/>
  <c r="R50" i="52"/>
  <c r="AA50" i="52"/>
  <c r="AA118" i="52"/>
  <c r="BP28" i="52" s="1"/>
  <c r="I118" i="52"/>
  <c r="AX28" i="52" s="1"/>
  <c r="AA56" i="52"/>
  <c r="I56" i="52"/>
  <c r="AA88" i="52"/>
  <c r="I88" i="52"/>
  <c r="I113" i="52"/>
  <c r="AA113" i="52"/>
  <c r="V84" i="52"/>
  <c r="U84" i="52"/>
  <c r="U70" i="52"/>
  <c r="V70" i="52"/>
  <c r="V61" i="52"/>
  <c r="U61" i="52"/>
  <c r="U50" i="52"/>
  <c r="V50" i="52"/>
  <c r="I116" i="52"/>
  <c r="AX26" i="52" s="1"/>
  <c r="AA116" i="52"/>
  <c r="BP26" i="52" s="1"/>
  <c r="AA39" i="52"/>
  <c r="I39" i="52"/>
  <c r="AA92" i="52"/>
  <c r="I92" i="52"/>
  <c r="AA71" i="52"/>
  <c r="I71" i="52"/>
  <c r="AX24" i="52" s="1"/>
  <c r="K1" i="10"/>
  <c r="BJ31" i="52" l="1"/>
  <c r="BK31" i="52"/>
  <c r="BF31" i="52"/>
  <c r="BX31" i="52"/>
  <c r="BG31" i="52"/>
  <c r="BY31" i="52"/>
  <c r="AX25" i="52"/>
  <c r="BP25" i="52"/>
  <c r="R195" i="36" a="1"/>
  <c r="R195" i="36" s="1"/>
  <c r="AB195" i="36" s="1"/>
  <c r="AF195" i="36" s="1"/>
  <c r="AJ195" i="36" s="1"/>
  <c r="BP24" i="52"/>
  <c r="R213" i="36" s="1" a="1"/>
  <c r="R213" i="36" s="1"/>
  <c r="AX14" i="52"/>
  <c r="BJ7" i="52"/>
  <c r="BK7" i="52"/>
  <c r="BP10" i="52"/>
  <c r="R264" i="38" s="1" a="1"/>
  <c r="R264" i="38" s="1"/>
  <c r="AX10" i="52"/>
  <c r="R246" i="38" s="1" a="1"/>
  <c r="R246" i="38" s="1"/>
  <c r="AB246" i="38" s="1"/>
  <c r="AF246" i="38" s="1"/>
  <c r="AJ246" i="38" s="1"/>
  <c r="BP14" i="52"/>
  <c r="BP12" i="52"/>
  <c r="R584" i="31" s="1" a="1"/>
  <c r="R584" i="31" s="1"/>
  <c r="N45" i="52"/>
  <c r="O45" i="52"/>
  <c r="K45" i="52"/>
  <c r="L45" i="52"/>
  <c r="J45" i="52"/>
  <c r="M45" i="52"/>
  <c r="AX12" i="52"/>
  <c r="R566" i="31" s="1" a="1"/>
  <c r="R566" i="31" s="1"/>
  <c r="AB566" i="31" s="1"/>
  <c r="AF566" i="31" s="1"/>
  <c r="AJ566" i="31" s="1"/>
  <c r="AX4" i="52"/>
  <c r="R341" i="29" s="1" a="1"/>
  <c r="R341" i="29" s="1"/>
  <c r="AB341" i="29" s="1"/>
  <c r="AF341" i="29" s="1"/>
  <c r="AJ341" i="29" s="1"/>
  <c r="AX7" i="52"/>
  <c r="AX20" i="52"/>
  <c r="BP4" i="52"/>
  <c r="R359" i="29" s="1" a="1"/>
  <c r="R359" i="29" s="1"/>
  <c r="BP20" i="52"/>
  <c r="AX23" i="52"/>
  <c r="R566" i="34" s="1" a="1"/>
  <c r="R566" i="34" s="1"/>
  <c r="AB566" i="34" s="1"/>
  <c r="AF566" i="34" s="1"/>
  <c r="AJ566" i="34" s="1"/>
  <c r="BP7" i="52"/>
  <c r="BP23" i="52"/>
  <c r="R584" i="34" s="1" a="1"/>
  <c r="R584" i="34" s="1"/>
  <c r="AX13" i="52"/>
  <c r="R246" i="26" s="1" a="1"/>
  <c r="R246" i="26" s="1"/>
  <c r="AB246" i="26" s="1"/>
  <c r="AF246" i="26" s="1"/>
  <c r="AJ246" i="26" s="1"/>
  <c r="BP13" i="52"/>
  <c r="R264" i="26" s="1" a="1"/>
  <c r="R264" i="26" s="1"/>
  <c r="BP9" i="52"/>
  <c r="R265" i="30" s="1" a="1"/>
  <c r="R265" i="30" s="1"/>
  <c r="AX9" i="52"/>
  <c r="R247" i="30" s="1" a="1"/>
  <c r="R247" i="30" s="1"/>
  <c r="AB247" i="30" s="1"/>
  <c r="AF247" i="30" s="1"/>
  <c r="AJ247" i="30" s="1"/>
  <c r="L1" i="10"/>
  <c r="M1" i="10" s="1"/>
  <c r="N1" i="10" s="1"/>
  <c r="O1" i="10" l="1"/>
  <c r="AQ172" i="10" l="1"/>
  <c r="AQ173" i="10" s="1"/>
  <c r="AQ174" i="10" s="1"/>
  <c r="AQ175" i="10" s="1"/>
  <c r="AQ176" i="10" s="1"/>
  <c r="P1" i="10"/>
  <c r="Q1" i="10" l="1"/>
  <c r="R1" i="10" s="1"/>
  <c r="S1" i="10" s="1"/>
  <c r="T1" i="10" s="1"/>
  <c r="U1" i="10" s="1"/>
  <c r="V1" i="10" s="1"/>
  <c r="W1" i="10" s="1"/>
  <c r="X1" i="10" s="1"/>
  <c r="Y1" i="10" s="1"/>
  <c r="BD77" i="5" l="1"/>
  <c r="BE77" i="5"/>
  <c r="BD78" i="5"/>
  <c r="BE78" i="5"/>
  <c r="BD79" i="5"/>
  <c r="BE79" i="5"/>
  <c r="BD80" i="5"/>
  <c r="BE80" i="5"/>
  <c r="BE81" i="5"/>
  <c r="BD82" i="5"/>
  <c r="BE82" i="5"/>
  <c r="BE76" i="5"/>
  <c r="BD76" i="5"/>
  <c r="BE72" i="5"/>
  <c r="BD72" i="5"/>
  <c r="BE71" i="5"/>
  <c r="BD71" i="5"/>
  <c r="BD6" i="5"/>
  <c r="BE6" i="5"/>
  <c r="BD7" i="5"/>
  <c r="BE7" i="5"/>
  <c r="BD8" i="5"/>
  <c r="BE8" i="5"/>
  <c r="BD9" i="5"/>
  <c r="BE9" i="5"/>
  <c r="BD10" i="5"/>
  <c r="BE10" i="5"/>
  <c r="BD11" i="5"/>
  <c r="BE11" i="5"/>
  <c r="BD12" i="5"/>
  <c r="BE12" i="5"/>
  <c r="BD13" i="5"/>
  <c r="BE13" i="5"/>
  <c r="BD14" i="5"/>
  <c r="BE14" i="5"/>
  <c r="BD15" i="5"/>
  <c r="BE15" i="5"/>
  <c r="BD16" i="5"/>
  <c r="BE16" i="5"/>
  <c r="BD17" i="5"/>
  <c r="BE17" i="5"/>
  <c r="BD18" i="5"/>
  <c r="BE18" i="5"/>
  <c r="BD19" i="5"/>
  <c r="BE19" i="5"/>
  <c r="BD20" i="5"/>
  <c r="BE20" i="5"/>
  <c r="BD21" i="5"/>
  <c r="BE21" i="5"/>
  <c r="BD22" i="5"/>
  <c r="BE22" i="5"/>
  <c r="BD23" i="5"/>
  <c r="BE23" i="5"/>
  <c r="BD24" i="5"/>
  <c r="BE24" i="5"/>
  <c r="BD25" i="5"/>
  <c r="BE25" i="5"/>
  <c r="BD26" i="5"/>
  <c r="BE26" i="5"/>
  <c r="BD27" i="5"/>
  <c r="BE27" i="5"/>
  <c r="BD28" i="5"/>
  <c r="BE28" i="5"/>
  <c r="BD29" i="5"/>
  <c r="BE29" i="5"/>
  <c r="BD30" i="5"/>
  <c r="BE30" i="5"/>
  <c r="BD31" i="5"/>
  <c r="BE31" i="5"/>
  <c r="BD32" i="5"/>
  <c r="BE32" i="5"/>
  <c r="BD33" i="5"/>
  <c r="BE33" i="5"/>
  <c r="BD34" i="5"/>
  <c r="BE34" i="5"/>
  <c r="BD35" i="5"/>
  <c r="BE35" i="5"/>
  <c r="BD36" i="5"/>
  <c r="BE36" i="5"/>
  <c r="BD37" i="5"/>
  <c r="BE37" i="5"/>
  <c r="BD38" i="5"/>
  <c r="BE38" i="5"/>
  <c r="BD39" i="5"/>
  <c r="BE39" i="5"/>
  <c r="BD40" i="5"/>
  <c r="BE40" i="5"/>
  <c r="BD41" i="5"/>
  <c r="BE41" i="5"/>
  <c r="BD42" i="5"/>
  <c r="BE42" i="5"/>
  <c r="BD43" i="5"/>
  <c r="BE43" i="5"/>
  <c r="BD44" i="5"/>
  <c r="BE44" i="5"/>
  <c r="BD45" i="5"/>
  <c r="BE45" i="5"/>
  <c r="BD46" i="5"/>
  <c r="BE46" i="5"/>
  <c r="BD47" i="5"/>
  <c r="BE47" i="5"/>
  <c r="BD48" i="5"/>
  <c r="BE48" i="5"/>
  <c r="BD49" i="5"/>
  <c r="BE49" i="5"/>
  <c r="BD51" i="5"/>
  <c r="BE51" i="5"/>
  <c r="BD52" i="5"/>
  <c r="BE52" i="5"/>
  <c r="BD53" i="5"/>
  <c r="BE53" i="5"/>
  <c r="BD54" i="5"/>
  <c r="BE54" i="5"/>
  <c r="BD55" i="5"/>
  <c r="BE55" i="5"/>
  <c r="BD56" i="5"/>
  <c r="BE56" i="5"/>
  <c r="BD57" i="5"/>
  <c r="BE57" i="5"/>
  <c r="BD58" i="5"/>
  <c r="BE58" i="5"/>
  <c r="BD59" i="5"/>
  <c r="BE59" i="5"/>
  <c r="BD60" i="5"/>
  <c r="BE60" i="5"/>
  <c r="BD61" i="5"/>
  <c r="BE61" i="5"/>
  <c r="BD62" i="5"/>
  <c r="BE62" i="5"/>
  <c r="BE63" i="5"/>
  <c r="BD64" i="5"/>
  <c r="BE64" i="5"/>
  <c r="BD65" i="5"/>
  <c r="BE65" i="5"/>
  <c r="BD66" i="5"/>
  <c r="BE66" i="5"/>
  <c r="BD67" i="5"/>
  <c r="BE67" i="5"/>
  <c r="BD68" i="5"/>
  <c r="BE68" i="5"/>
  <c r="BD69" i="5"/>
  <c r="BE69" i="5"/>
  <c r="BE5" i="5"/>
  <c r="BD5" i="5"/>
  <c r="AX77" i="5"/>
  <c r="AX76" i="5"/>
  <c r="AX82" i="5"/>
  <c r="AX81" i="5"/>
  <c r="AX80" i="5"/>
  <c r="AX79" i="5"/>
  <c r="AX78" i="5"/>
  <c r="C155" i="10"/>
  <c r="D104" i="10" l="1"/>
  <c r="AE103" i="70" s="1"/>
  <c r="W143" i="70" s="1"/>
  <c r="D105" i="10"/>
  <c r="AE104" i="70" s="1"/>
  <c r="D102" i="10"/>
  <c r="D103" i="10"/>
  <c r="AE102" i="70" s="1"/>
  <c r="D61" i="10"/>
  <c r="D62" i="10"/>
  <c r="AE61" i="70" s="1"/>
  <c r="D63" i="10"/>
  <c r="AE62" i="70" s="1"/>
  <c r="W85" i="70" s="1"/>
  <c r="D64" i="10"/>
  <c r="AE63" i="70" s="1"/>
  <c r="D65" i="10"/>
  <c r="AE64" i="70" s="1"/>
  <c r="CG14" i="52"/>
  <c r="X155" i="10"/>
  <c r="C156" i="10"/>
  <c r="C157" i="10" s="1"/>
  <c r="CA183" i="22"/>
  <c r="BZ183" i="22"/>
  <c r="AJ183" i="22"/>
  <c r="AK183" i="22" s="1"/>
  <c r="AF183" i="22"/>
  <c r="AG183" i="22" s="1"/>
  <c r="AE183" i="22"/>
  <c r="AD183" i="22"/>
  <c r="Z183" i="22"/>
  <c r="AJ182" i="22"/>
  <c r="AF182" i="22"/>
  <c r="AE182" i="22"/>
  <c r="AD182" i="22"/>
  <c r="Z182" i="22"/>
  <c r="AJ181" i="22"/>
  <c r="AF181" i="22"/>
  <c r="AE181" i="22"/>
  <c r="AD181" i="22"/>
  <c r="Z181" i="22"/>
  <c r="AJ180" i="22"/>
  <c r="AF180" i="22"/>
  <c r="AE180" i="22"/>
  <c r="AD180" i="22"/>
  <c r="Z180" i="22"/>
  <c r="AJ179" i="22"/>
  <c r="AF179" i="22"/>
  <c r="AE179" i="22"/>
  <c r="AD179" i="22"/>
  <c r="Z179" i="22"/>
  <c r="AJ178" i="22"/>
  <c r="AF178" i="22"/>
  <c r="AE178" i="22"/>
  <c r="AD178" i="22"/>
  <c r="Z178" i="22"/>
  <c r="AJ177" i="22"/>
  <c r="AF177" i="22"/>
  <c r="AE177" i="22"/>
  <c r="AD177" i="22"/>
  <c r="Z177" i="22"/>
  <c r="AJ176" i="22"/>
  <c r="AK176" i="22" s="1"/>
  <c r="AF176" i="22"/>
  <c r="AG176" i="22" s="1"/>
  <c r="AE176" i="22"/>
  <c r="AD176" i="22"/>
  <c r="Z176" i="22"/>
  <c r="AA176" i="22" s="1"/>
  <c r="AJ175" i="22"/>
  <c r="AK175" i="22" s="1"/>
  <c r="AF175" i="22"/>
  <c r="AG175" i="22" s="1"/>
  <c r="AE175" i="22"/>
  <c r="AD175" i="22"/>
  <c r="Z175" i="22"/>
  <c r="AJ174" i="22"/>
  <c r="AK174" i="22" s="1"/>
  <c r="AF174" i="22"/>
  <c r="AG174" i="22" s="1"/>
  <c r="AE174" i="22"/>
  <c r="AD174" i="22"/>
  <c r="Z174" i="22"/>
  <c r="AA174" i="22" s="1"/>
  <c r="AJ173" i="22"/>
  <c r="AK173" i="22" s="1"/>
  <c r="AF173" i="22"/>
  <c r="AG173" i="22" s="1"/>
  <c r="AE173" i="22"/>
  <c r="AD173" i="22"/>
  <c r="Z173" i="22"/>
  <c r="AA173" i="22" s="1"/>
  <c r="CA172" i="22"/>
  <c r="CA173" i="22" s="1"/>
  <c r="CA174" i="22" s="1"/>
  <c r="CA171" i="22" s="1"/>
  <c r="CA175" i="22" s="1"/>
  <c r="CA176" i="22" s="1"/>
  <c r="CA177" i="22" s="1"/>
  <c r="CA178" i="22" s="1"/>
  <c r="CA179" i="22" s="1"/>
  <c r="CA180" i="22" s="1"/>
  <c r="CA181" i="22" s="1"/>
  <c r="CA182" i="22" s="1"/>
  <c r="BZ172" i="22"/>
  <c r="BZ173" i="22" s="1"/>
  <c r="BZ174" i="22" s="1"/>
  <c r="BZ171" i="22" s="1"/>
  <c r="BZ175" i="22" s="1"/>
  <c r="BZ176" i="22" s="1"/>
  <c r="BZ177" i="22" s="1"/>
  <c r="BZ178" i="22" s="1"/>
  <c r="BZ179" i="22" s="1"/>
  <c r="BZ180" i="22" s="1"/>
  <c r="BZ181" i="22" s="1"/>
  <c r="BZ182" i="22" s="1"/>
  <c r="AJ172" i="22"/>
  <c r="AK172" i="22" s="1"/>
  <c r="AF172" i="22"/>
  <c r="AG172" i="22" s="1"/>
  <c r="AE172" i="22"/>
  <c r="AD172" i="22"/>
  <c r="Z172" i="22"/>
  <c r="AA172" i="22" s="1"/>
  <c r="AJ171" i="22"/>
  <c r="AK171" i="22" s="1"/>
  <c r="AF171" i="22"/>
  <c r="AG171" i="22" s="1"/>
  <c r="AE171" i="22"/>
  <c r="AD171" i="22"/>
  <c r="Z171" i="22"/>
  <c r="AA171" i="22" s="1"/>
  <c r="AX170" i="22"/>
  <c r="BV170" i="22" s="1"/>
  <c r="AW170" i="22"/>
  <c r="BU170" i="22" s="1"/>
  <c r="AV170" i="22"/>
  <c r="BT170" i="22" s="1"/>
  <c r="AU170" i="22"/>
  <c r="BS170" i="22" s="1"/>
  <c r="AT170" i="22"/>
  <c r="AN170" i="22" s="1"/>
  <c r="AJ170" i="22"/>
  <c r="AK170" i="22" s="1"/>
  <c r="AF170" i="22"/>
  <c r="AG170" i="22" s="1"/>
  <c r="AE170" i="22"/>
  <c r="AD170" i="22"/>
  <c r="Z170" i="22"/>
  <c r="AX169" i="22"/>
  <c r="BV169" i="22" s="1"/>
  <c r="AW169" i="22"/>
  <c r="BU169" i="22" s="1"/>
  <c r="AV169" i="22"/>
  <c r="BT169" i="22" s="1"/>
  <c r="AU169" i="22"/>
  <c r="BS169" i="22" s="1"/>
  <c r="AT169" i="22"/>
  <c r="BP169" i="22" s="1"/>
  <c r="AN169" i="22"/>
  <c r="AJ169" i="22"/>
  <c r="AK169" i="22" s="1"/>
  <c r="AF169" i="22"/>
  <c r="AG169" i="22" s="1"/>
  <c r="AE169" i="22"/>
  <c r="AD169" i="22"/>
  <c r="Z169" i="22"/>
  <c r="AA169" i="22" s="1"/>
  <c r="AJ168" i="22"/>
  <c r="AK168" i="22" s="1"/>
  <c r="AF168" i="22"/>
  <c r="AG168" i="22" s="1"/>
  <c r="AE168" i="22"/>
  <c r="AD168" i="22"/>
  <c r="Z168" i="22"/>
  <c r="AA168" i="22" s="1"/>
  <c r="CA167" i="22"/>
  <c r="CA168" i="22" s="1"/>
  <c r="CA169" i="22" s="1"/>
  <c r="CA170" i="22" s="1"/>
  <c r="BZ167" i="22"/>
  <c r="BZ168" i="22" s="1"/>
  <c r="BZ169" i="22" s="1"/>
  <c r="BZ170" i="22" s="1"/>
  <c r="AJ167" i="22"/>
  <c r="AK167" i="22" s="1"/>
  <c r="AF167" i="22"/>
  <c r="AE167" i="22"/>
  <c r="AD167" i="22"/>
  <c r="Z167" i="22"/>
  <c r="AA167" i="22" s="1"/>
  <c r="AJ166" i="22"/>
  <c r="AK166" i="22" s="1"/>
  <c r="AF166" i="22"/>
  <c r="AG166" i="22" s="1"/>
  <c r="AE166" i="22"/>
  <c r="AD166" i="22"/>
  <c r="Z166" i="22"/>
  <c r="AA166" i="22" s="1"/>
  <c r="CA165" i="22"/>
  <c r="CA166" i="22" s="1"/>
  <c r="BZ165" i="22"/>
  <c r="BZ166" i="22" s="1"/>
  <c r="AJ165" i="22"/>
  <c r="AK165" i="22" s="1"/>
  <c r="AF165" i="22"/>
  <c r="AG165" i="22" s="1"/>
  <c r="AE165" i="22"/>
  <c r="AD165" i="22"/>
  <c r="Z165" i="22"/>
  <c r="AA165" i="22" s="1"/>
  <c r="AJ164" i="22"/>
  <c r="AK164" i="22" s="1"/>
  <c r="AF164" i="22"/>
  <c r="AG164" i="22" s="1"/>
  <c r="AE164" i="22"/>
  <c r="AD164" i="22"/>
  <c r="Z164" i="22"/>
  <c r="AA164" i="22" s="1"/>
  <c r="AJ163" i="22"/>
  <c r="AK163" i="22" s="1"/>
  <c r="AF163" i="22"/>
  <c r="AG163" i="22" s="1"/>
  <c r="AE163" i="22"/>
  <c r="AD163" i="22"/>
  <c r="Z163" i="22"/>
  <c r="AA163" i="22" s="1"/>
  <c r="AJ162" i="22"/>
  <c r="AF162" i="22"/>
  <c r="AG162" i="22" s="1"/>
  <c r="AE162" i="22"/>
  <c r="AD162" i="22"/>
  <c r="Z162" i="22"/>
  <c r="CA161" i="22"/>
  <c r="CA162" i="22" s="1"/>
  <c r="CA163" i="22" s="1"/>
  <c r="CA164" i="22" s="1"/>
  <c r="BZ161" i="22"/>
  <c r="BZ162" i="22" s="1"/>
  <c r="BZ163" i="22" s="1"/>
  <c r="BZ164" i="22" s="1"/>
  <c r="AJ161" i="22"/>
  <c r="AK161" i="22" s="1"/>
  <c r="AF161" i="22"/>
  <c r="AG161" i="22" s="1"/>
  <c r="AE161" i="22"/>
  <c r="AD161" i="22"/>
  <c r="Z161" i="22"/>
  <c r="AJ160" i="22"/>
  <c r="AK160" i="22" s="1"/>
  <c r="AF160" i="22"/>
  <c r="AG160" i="22" s="1"/>
  <c r="AE160" i="22"/>
  <c r="AD160" i="22"/>
  <c r="Z160" i="22"/>
  <c r="AJ159" i="22"/>
  <c r="AK159" i="22" s="1"/>
  <c r="AF159" i="22"/>
  <c r="AG159" i="22" s="1"/>
  <c r="AE159" i="22"/>
  <c r="AD159" i="22"/>
  <c r="Z159" i="22"/>
  <c r="AA159" i="22" s="1"/>
  <c r="AJ158" i="22"/>
  <c r="AK158" i="22" s="1"/>
  <c r="AF158" i="22"/>
  <c r="AG158" i="22" s="1"/>
  <c r="AE158" i="22"/>
  <c r="AD158" i="22"/>
  <c r="Z158" i="22"/>
  <c r="AA158" i="22" s="1"/>
  <c r="AJ157" i="22"/>
  <c r="AK157" i="22" s="1"/>
  <c r="AF157" i="22"/>
  <c r="AG157" i="22" s="1"/>
  <c r="AE157" i="22"/>
  <c r="AD157" i="22"/>
  <c r="Z157" i="22"/>
  <c r="AA157" i="22" s="1"/>
  <c r="AJ156" i="22"/>
  <c r="AK156" i="22" s="1"/>
  <c r="AF156" i="22"/>
  <c r="AG156" i="22" s="1"/>
  <c r="AE156" i="22"/>
  <c r="AD156" i="22"/>
  <c r="Z156" i="22"/>
  <c r="CA155" i="22"/>
  <c r="CA156" i="22" s="1"/>
  <c r="CA158" i="22" s="1"/>
  <c r="CA159" i="22" s="1"/>
  <c r="CA160" i="22" s="1"/>
  <c r="BZ155" i="22"/>
  <c r="BZ156" i="22" s="1"/>
  <c r="BZ158" i="22" s="1"/>
  <c r="BZ159" i="22" s="1"/>
  <c r="BZ160" i="22" s="1"/>
  <c r="AJ155" i="22"/>
  <c r="AF155" i="22"/>
  <c r="AG155" i="22" s="1"/>
  <c r="AE155" i="22"/>
  <c r="AD155" i="22"/>
  <c r="Z155" i="22"/>
  <c r="AJ154" i="22"/>
  <c r="AK154" i="22" s="1"/>
  <c r="AF154" i="22"/>
  <c r="AG154" i="22" s="1"/>
  <c r="AE154" i="22"/>
  <c r="AD154" i="22"/>
  <c r="Z154" i="22"/>
  <c r="AA154" i="22" s="1"/>
  <c r="CA153" i="22"/>
  <c r="CA154" i="22" s="1"/>
  <c r="BZ153" i="22"/>
  <c r="BZ154" i="22" s="1"/>
  <c r="AJ153" i="22"/>
  <c r="AK153" i="22" s="1"/>
  <c r="AF153" i="22"/>
  <c r="AG153" i="22" s="1"/>
  <c r="AE153" i="22"/>
  <c r="AD153" i="22"/>
  <c r="Z153" i="22"/>
  <c r="AA153" i="22" s="1"/>
  <c r="AJ152" i="22"/>
  <c r="AK152" i="22" s="1"/>
  <c r="AF152" i="22"/>
  <c r="AG152" i="22" s="1"/>
  <c r="AE152" i="22"/>
  <c r="AD152" i="22"/>
  <c r="Z152" i="22"/>
  <c r="AA152" i="22" s="1"/>
  <c r="AJ151" i="22"/>
  <c r="AK151" i="22" s="1"/>
  <c r="AF151" i="22"/>
  <c r="AG151" i="22" s="1"/>
  <c r="AE151" i="22"/>
  <c r="AD151" i="22"/>
  <c r="Z151" i="22"/>
  <c r="AA151" i="22" s="1"/>
  <c r="AJ150" i="22"/>
  <c r="AK150" i="22" s="1"/>
  <c r="AF150" i="22"/>
  <c r="AG150" i="22" s="1"/>
  <c r="AE150" i="22"/>
  <c r="AD150" i="22"/>
  <c r="Z150" i="22"/>
  <c r="AA150" i="22" s="1"/>
  <c r="AJ149" i="22"/>
  <c r="AK149" i="22" s="1"/>
  <c r="AF149" i="22"/>
  <c r="AG149" i="22" s="1"/>
  <c r="AE149" i="22"/>
  <c r="AD149" i="22"/>
  <c r="Z149" i="22"/>
  <c r="AA149" i="22" s="1"/>
  <c r="AZ149" i="22"/>
  <c r="AJ148" i="22"/>
  <c r="AK148" i="22" s="1"/>
  <c r="AF148" i="22"/>
  <c r="AG148" i="22" s="1"/>
  <c r="AE148" i="22"/>
  <c r="AD148" i="22"/>
  <c r="Z148" i="22"/>
  <c r="AA148" i="22" s="1"/>
  <c r="AJ147" i="22"/>
  <c r="AK147" i="22" s="1"/>
  <c r="AF147" i="22"/>
  <c r="AG147" i="22" s="1"/>
  <c r="AE147" i="22"/>
  <c r="AD147" i="22"/>
  <c r="Z147" i="22"/>
  <c r="AA147" i="22" s="1"/>
  <c r="AJ146" i="22"/>
  <c r="AK146" i="22" s="1"/>
  <c r="AF146" i="22"/>
  <c r="AE146" i="22"/>
  <c r="AD146" i="22"/>
  <c r="AO146" i="22" s="1"/>
  <c r="Z146" i="22"/>
  <c r="AA146" i="22" s="1"/>
  <c r="AJ145" i="22"/>
  <c r="AK145" i="22" s="1"/>
  <c r="AF145" i="22"/>
  <c r="AE145" i="22"/>
  <c r="AD145" i="22"/>
  <c r="Z145" i="22"/>
  <c r="AA145" i="22" s="1"/>
  <c r="AJ144" i="22"/>
  <c r="AK144" i="22" s="1"/>
  <c r="AF144" i="22"/>
  <c r="AG144" i="22" s="1"/>
  <c r="AE144" i="22"/>
  <c r="AD144" i="22"/>
  <c r="Z144" i="22"/>
  <c r="AA144" i="22" s="1"/>
  <c r="AJ143" i="22"/>
  <c r="AK143" i="22" s="1"/>
  <c r="AF143" i="22"/>
  <c r="AE143" i="22"/>
  <c r="AD143" i="22"/>
  <c r="Z143" i="22"/>
  <c r="AA143" i="22" s="1"/>
  <c r="AJ142" i="22"/>
  <c r="AK142" i="22" s="1"/>
  <c r="AF142" i="22"/>
  <c r="AG142" i="22" s="1"/>
  <c r="AE142" i="22"/>
  <c r="AD142" i="22"/>
  <c r="Z142" i="22"/>
  <c r="AA142" i="22" s="1"/>
  <c r="AJ141" i="22"/>
  <c r="AK141" i="22" s="1"/>
  <c r="AF141" i="22"/>
  <c r="AG141" i="22" s="1"/>
  <c r="AE141" i="22"/>
  <c r="AD141" i="22"/>
  <c r="Z141" i="22"/>
  <c r="AA141" i="22" s="1"/>
  <c r="CA140" i="22"/>
  <c r="CA141" i="22" s="1"/>
  <c r="CA142" i="22" s="1"/>
  <c r="CA143" i="22" s="1"/>
  <c r="CA144" i="22" s="1"/>
  <c r="CA145" i="22" s="1"/>
  <c r="CA146" i="22" s="1"/>
  <c r="CA147" i="22" s="1"/>
  <c r="CA148" i="22" s="1"/>
  <c r="CA149" i="22" s="1"/>
  <c r="CA150" i="22" s="1"/>
  <c r="CA151" i="22" s="1"/>
  <c r="CA152" i="22" s="1"/>
  <c r="BZ140" i="22"/>
  <c r="BZ141" i="22" s="1"/>
  <c r="BZ142" i="22" s="1"/>
  <c r="BZ143" i="22" s="1"/>
  <c r="BZ144" i="22" s="1"/>
  <c r="BZ145" i="22" s="1"/>
  <c r="BZ146" i="22" s="1"/>
  <c r="BZ147" i="22" s="1"/>
  <c r="BZ148" i="22" s="1"/>
  <c r="BZ149" i="22" s="1"/>
  <c r="BZ150" i="22" s="1"/>
  <c r="BZ151" i="22" s="1"/>
  <c r="BZ152" i="22" s="1"/>
  <c r="AJ140" i="22"/>
  <c r="AK140" i="22" s="1"/>
  <c r="AF140" i="22"/>
  <c r="AG140" i="22" s="1"/>
  <c r="AE140" i="22"/>
  <c r="AD140" i="22"/>
  <c r="Z140" i="22"/>
  <c r="AA140" i="22" s="1"/>
  <c r="AJ139" i="22"/>
  <c r="AK139" i="22" s="1"/>
  <c r="AF139" i="22"/>
  <c r="AE139" i="22"/>
  <c r="AD139" i="22"/>
  <c r="Z139" i="22"/>
  <c r="AJ138" i="22"/>
  <c r="AK138" i="22" s="1"/>
  <c r="AF138" i="22"/>
  <c r="AG138" i="22" s="1"/>
  <c r="AE138" i="22"/>
  <c r="AD138" i="22"/>
  <c r="Z138" i="22"/>
  <c r="AA138" i="22" s="1"/>
  <c r="AJ137" i="22"/>
  <c r="AK137" i="22" s="1"/>
  <c r="AF137" i="22"/>
  <c r="AE137" i="22"/>
  <c r="AD137" i="22"/>
  <c r="Z137" i="22"/>
  <c r="AA137" i="22" s="1"/>
  <c r="CA136" i="22"/>
  <c r="CA137" i="22" s="1"/>
  <c r="CA138" i="22" s="1"/>
  <c r="CA139" i="22" s="1"/>
  <c r="BZ136" i="22"/>
  <c r="BZ137" i="22" s="1"/>
  <c r="BZ138" i="22" s="1"/>
  <c r="BZ139" i="22" s="1"/>
  <c r="AJ136" i="22"/>
  <c r="AK136" i="22" s="1"/>
  <c r="AF136" i="22"/>
  <c r="AG136" i="22" s="1"/>
  <c r="AE136" i="22"/>
  <c r="AD136" i="22"/>
  <c r="Z136" i="22"/>
  <c r="AA136" i="22" s="1"/>
  <c r="AJ135" i="22"/>
  <c r="AK135" i="22" s="1"/>
  <c r="AF135" i="22"/>
  <c r="AG135" i="22" s="1"/>
  <c r="AE135" i="22"/>
  <c r="AD135" i="22"/>
  <c r="Z135" i="22"/>
  <c r="AJ134" i="22"/>
  <c r="AF134" i="22"/>
  <c r="AE134" i="22"/>
  <c r="AD134" i="22"/>
  <c r="Z134" i="22"/>
  <c r="AA134" i="22" s="1"/>
  <c r="AJ133" i="22"/>
  <c r="AK133" i="22" s="1"/>
  <c r="AF133" i="22"/>
  <c r="AG133" i="22" s="1"/>
  <c r="AE133" i="22"/>
  <c r="AD133" i="22"/>
  <c r="Z133" i="22"/>
  <c r="AA133" i="22" s="1"/>
  <c r="CA132" i="22"/>
  <c r="CA133" i="22" s="1"/>
  <c r="CA134" i="22" s="1"/>
  <c r="CA135" i="22" s="1"/>
  <c r="BZ132" i="22"/>
  <c r="BZ133" i="22" s="1"/>
  <c r="BZ134" i="22" s="1"/>
  <c r="BZ135" i="22" s="1"/>
  <c r="AZ132" i="22"/>
  <c r="AJ132" i="22"/>
  <c r="AF132" i="22"/>
  <c r="AG132" i="22" s="1"/>
  <c r="AE132" i="22"/>
  <c r="AD132" i="22"/>
  <c r="Z132" i="22"/>
  <c r="AA132" i="22" s="1"/>
  <c r="AJ131" i="22"/>
  <c r="AK131" i="22" s="1"/>
  <c r="AF131" i="22"/>
  <c r="AG131" i="22" s="1"/>
  <c r="AE131" i="22"/>
  <c r="AD131" i="22"/>
  <c r="Z131" i="22"/>
  <c r="AJ130" i="22"/>
  <c r="AK130" i="22" s="1"/>
  <c r="AF130" i="22"/>
  <c r="AE130" i="22"/>
  <c r="AD130" i="22"/>
  <c r="Z130" i="22"/>
  <c r="AA130" i="22" s="1"/>
  <c r="AJ129" i="22"/>
  <c r="AK129" i="22" s="1"/>
  <c r="AF129" i="22"/>
  <c r="AG129" i="22" s="1"/>
  <c r="AE129" i="22"/>
  <c r="AD129" i="22"/>
  <c r="Z129" i="22"/>
  <c r="AA129" i="22" s="1"/>
  <c r="CA128" i="22"/>
  <c r="CA129" i="22" s="1"/>
  <c r="CA130" i="22" s="1"/>
  <c r="CA131" i="22" s="1"/>
  <c r="BZ128" i="22"/>
  <c r="BZ129" i="22" s="1"/>
  <c r="BZ130" i="22" s="1"/>
  <c r="BZ131" i="22" s="1"/>
  <c r="AJ128" i="22"/>
  <c r="AK128" i="22" s="1"/>
  <c r="AF128" i="22"/>
  <c r="AG128" i="22" s="1"/>
  <c r="AE128" i="22"/>
  <c r="AD128" i="22"/>
  <c r="Z128" i="22"/>
  <c r="AA128" i="22" s="1"/>
  <c r="AJ127" i="22"/>
  <c r="AK127" i="22" s="1"/>
  <c r="AF127" i="22"/>
  <c r="AE127" i="22"/>
  <c r="AD127" i="22"/>
  <c r="Z127" i="22"/>
  <c r="AA127" i="22" s="1"/>
  <c r="AJ126" i="22"/>
  <c r="AK126" i="22" s="1"/>
  <c r="AF126" i="22"/>
  <c r="AG126" i="22" s="1"/>
  <c r="AE126" i="22"/>
  <c r="AD126" i="22"/>
  <c r="Z126" i="22"/>
  <c r="AA126" i="22" s="1"/>
  <c r="CA125" i="22"/>
  <c r="CA126" i="22" s="1"/>
  <c r="CA127" i="22" s="1"/>
  <c r="BZ125" i="22"/>
  <c r="BZ126" i="22" s="1"/>
  <c r="BZ127" i="22" s="1"/>
  <c r="AJ125" i="22"/>
  <c r="AK125" i="22" s="1"/>
  <c r="AF125" i="22"/>
  <c r="AE125" i="22"/>
  <c r="AD125" i="22"/>
  <c r="Z125" i="22"/>
  <c r="AA125" i="22" s="1"/>
  <c r="AJ124" i="22"/>
  <c r="AF124" i="22"/>
  <c r="AG124" i="22" s="1"/>
  <c r="AE124" i="22"/>
  <c r="AD124" i="22"/>
  <c r="Z124" i="22"/>
  <c r="AA124" i="22" s="1"/>
  <c r="AJ123" i="22"/>
  <c r="AF123" i="22"/>
  <c r="AE123" i="22"/>
  <c r="AD123" i="22"/>
  <c r="Z123" i="22"/>
  <c r="AA123" i="22" s="1"/>
  <c r="AJ122" i="22"/>
  <c r="AK122" i="22" s="1"/>
  <c r="AF122" i="22"/>
  <c r="AG122" i="22" s="1"/>
  <c r="AE122" i="22"/>
  <c r="AD122" i="22"/>
  <c r="Z122" i="22"/>
  <c r="AA122" i="22" s="1"/>
  <c r="CA121" i="22"/>
  <c r="CA122" i="22" s="1"/>
  <c r="CA123" i="22" s="1"/>
  <c r="CA124" i="22" s="1"/>
  <c r="BZ121" i="22"/>
  <c r="BZ122" i="22" s="1"/>
  <c r="BZ123" i="22" s="1"/>
  <c r="BZ124" i="22" s="1"/>
  <c r="AJ121" i="22"/>
  <c r="AK121" i="22" s="1"/>
  <c r="AF121" i="22"/>
  <c r="AG121" i="22" s="1"/>
  <c r="AE121" i="22"/>
  <c r="AD121" i="22"/>
  <c r="Z121" i="22"/>
  <c r="AA121" i="22" s="1"/>
  <c r="AJ120" i="22"/>
  <c r="AK120" i="22" s="1"/>
  <c r="AF120" i="22"/>
  <c r="AG120" i="22" s="1"/>
  <c r="AE120" i="22"/>
  <c r="AD120" i="22"/>
  <c r="Z120" i="22"/>
  <c r="AA120" i="22" s="1"/>
  <c r="AJ119" i="22"/>
  <c r="AK119" i="22" s="1"/>
  <c r="AF119" i="22"/>
  <c r="AG119" i="22" s="1"/>
  <c r="AE119" i="22"/>
  <c r="AD119" i="22"/>
  <c r="Z119" i="22"/>
  <c r="AA119" i="22" s="1"/>
  <c r="AJ118" i="22"/>
  <c r="AF118" i="22"/>
  <c r="AG118" i="22" s="1"/>
  <c r="AE118" i="22"/>
  <c r="AD118" i="22"/>
  <c r="Z118" i="22"/>
  <c r="AA118" i="22" s="1"/>
  <c r="AJ117" i="22"/>
  <c r="AK117" i="22" s="1"/>
  <c r="AF117" i="22"/>
  <c r="AG117" i="22" s="1"/>
  <c r="AE117" i="22"/>
  <c r="AD117" i="22"/>
  <c r="Z117" i="22"/>
  <c r="AA117" i="22" s="1"/>
  <c r="AJ116" i="22"/>
  <c r="AF116" i="22"/>
  <c r="AE116" i="22"/>
  <c r="AD116" i="22"/>
  <c r="Z116" i="22"/>
  <c r="AJ115" i="22"/>
  <c r="AK115" i="22" s="1"/>
  <c r="AF115" i="22"/>
  <c r="AE115" i="22"/>
  <c r="AD115" i="22"/>
  <c r="Z115" i="22"/>
  <c r="AJ114" i="22"/>
  <c r="AK114" i="22" s="1"/>
  <c r="AF114" i="22"/>
  <c r="AG114" i="22" s="1"/>
  <c r="AE114" i="22"/>
  <c r="AD114" i="22"/>
  <c r="Z114" i="22"/>
  <c r="AA114" i="22" s="1"/>
  <c r="AJ113" i="22"/>
  <c r="AK113" i="22" s="1"/>
  <c r="AF113" i="22"/>
  <c r="AG113" i="22" s="1"/>
  <c r="AE113" i="22"/>
  <c r="AD113" i="22"/>
  <c r="Z113" i="22"/>
  <c r="AA113" i="22" s="1"/>
  <c r="AJ112" i="22"/>
  <c r="AK112" i="22" s="1"/>
  <c r="AF112" i="22"/>
  <c r="AE112" i="22"/>
  <c r="AD112" i="22"/>
  <c r="Z112" i="22"/>
  <c r="AA112" i="22" s="1"/>
  <c r="CA111" i="22"/>
  <c r="CA112" i="22" s="1"/>
  <c r="CA113" i="22" s="1"/>
  <c r="CA114" i="22" s="1"/>
  <c r="CA115" i="22" s="1"/>
  <c r="CA116" i="22" s="1"/>
  <c r="CA117" i="22" s="1"/>
  <c r="CA118" i="22" s="1"/>
  <c r="CA119" i="22" s="1"/>
  <c r="CA120" i="22" s="1"/>
  <c r="BZ111" i="22"/>
  <c r="BZ112" i="22" s="1"/>
  <c r="BZ113" i="22" s="1"/>
  <c r="BZ114" i="22" s="1"/>
  <c r="BZ115" i="22" s="1"/>
  <c r="BZ116" i="22" s="1"/>
  <c r="BZ117" i="22" s="1"/>
  <c r="BZ118" i="22" s="1"/>
  <c r="BZ119" i="22" s="1"/>
  <c r="BZ120" i="22" s="1"/>
  <c r="AJ111" i="22"/>
  <c r="AK111" i="22" s="1"/>
  <c r="AF111" i="22"/>
  <c r="AE111" i="22"/>
  <c r="AD111" i="22"/>
  <c r="Z111" i="22"/>
  <c r="AJ110" i="22"/>
  <c r="AK110" i="22" s="1"/>
  <c r="AF110" i="22"/>
  <c r="AG110" i="22" s="1"/>
  <c r="AE110" i="22"/>
  <c r="AD110" i="22"/>
  <c r="Z110" i="22"/>
  <c r="AA110" i="22" s="1"/>
  <c r="AJ109" i="22"/>
  <c r="AF109" i="22"/>
  <c r="AE109" i="22"/>
  <c r="AD109" i="22"/>
  <c r="Z109" i="22"/>
  <c r="AA109" i="22" s="1"/>
  <c r="CA108" i="22"/>
  <c r="CA109" i="22" s="1"/>
  <c r="CA110" i="22" s="1"/>
  <c r="BZ108" i="22"/>
  <c r="BZ109" i="22" s="1"/>
  <c r="BZ110" i="22" s="1"/>
  <c r="AJ108" i="22"/>
  <c r="AK108" i="22" s="1"/>
  <c r="AF108" i="22"/>
  <c r="AG108" i="22" s="1"/>
  <c r="AE108" i="22"/>
  <c r="AD108" i="22"/>
  <c r="Z108" i="22"/>
  <c r="AA108" i="22" s="1"/>
  <c r="AJ107" i="22"/>
  <c r="AK107" i="22" s="1"/>
  <c r="AF107" i="22"/>
  <c r="AG107" i="22" s="1"/>
  <c r="AE107" i="22"/>
  <c r="AD107" i="22"/>
  <c r="Z107" i="22"/>
  <c r="CA106" i="22"/>
  <c r="CA107" i="22" s="1"/>
  <c r="BZ106" i="22"/>
  <c r="BZ107" i="22" s="1"/>
  <c r="AJ106" i="22"/>
  <c r="AK106" i="22" s="1"/>
  <c r="AF106" i="22"/>
  <c r="AG106" i="22" s="1"/>
  <c r="AE106" i="22"/>
  <c r="AD106" i="22"/>
  <c r="Z106" i="22"/>
  <c r="AA106" i="22" s="1"/>
  <c r="AJ105" i="22"/>
  <c r="AK105" i="22" s="1"/>
  <c r="AF105" i="22"/>
  <c r="AG105" i="22" s="1"/>
  <c r="AE105" i="22"/>
  <c r="AD105" i="22"/>
  <c r="Z105" i="22"/>
  <c r="AJ104" i="22"/>
  <c r="AK104" i="22" s="1"/>
  <c r="AF104" i="22"/>
  <c r="AG104" i="22" s="1"/>
  <c r="AE104" i="22"/>
  <c r="AD104" i="22"/>
  <c r="Z104" i="22"/>
  <c r="AA104" i="22" s="1"/>
  <c r="AJ103" i="22"/>
  <c r="AK103" i="22" s="1"/>
  <c r="AF103" i="22"/>
  <c r="AG103" i="22" s="1"/>
  <c r="AE103" i="22"/>
  <c r="AD103" i="22"/>
  <c r="Z103" i="22"/>
  <c r="AA103" i="22" s="1"/>
  <c r="AJ102" i="22"/>
  <c r="AK102" i="22" s="1"/>
  <c r="AF102" i="22"/>
  <c r="AG102" i="22" s="1"/>
  <c r="AE102" i="22"/>
  <c r="AD102" i="22"/>
  <c r="Z102" i="22"/>
  <c r="AA102" i="22" s="1"/>
  <c r="AJ101" i="22"/>
  <c r="AK101" i="22" s="1"/>
  <c r="AF101" i="22"/>
  <c r="AG101" i="22" s="1"/>
  <c r="AE101" i="22"/>
  <c r="AD101" i="22"/>
  <c r="Z101" i="22"/>
  <c r="AA101" i="22" s="1"/>
  <c r="AJ100" i="22"/>
  <c r="AK100" i="22" s="1"/>
  <c r="AF100" i="22"/>
  <c r="AG100" i="22" s="1"/>
  <c r="AE100" i="22"/>
  <c r="AD100" i="22"/>
  <c r="Z100" i="22"/>
  <c r="AA100" i="22" s="1"/>
  <c r="AJ99" i="22"/>
  <c r="AK99" i="22" s="1"/>
  <c r="AF99" i="22"/>
  <c r="AG99" i="22" s="1"/>
  <c r="AE99" i="22"/>
  <c r="AD99" i="22"/>
  <c r="Z99" i="22"/>
  <c r="AJ98" i="22"/>
  <c r="AK98" i="22" s="1"/>
  <c r="AF98" i="22"/>
  <c r="AG98" i="22" s="1"/>
  <c r="AE98" i="22"/>
  <c r="AD98" i="22"/>
  <c r="Z98" i="22"/>
  <c r="AA98" i="22" s="1"/>
  <c r="AJ97" i="22"/>
  <c r="AK97" i="22" s="1"/>
  <c r="AF97" i="22"/>
  <c r="AG97" i="22" s="1"/>
  <c r="AE97" i="22"/>
  <c r="AD97" i="22"/>
  <c r="Z97" i="22"/>
  <c r="CA96" i="22"/>
  <c r="CA97" i="22" s="1"/>
  <c r="CA98" i="22" s="1"/>
  <c r="CA99" i="22" s="1"/>
  <c r="CA100" i="22" s="1"/>
  <c r="CA101" i="22" s="1"/>
  <c r="CA102" i="22" s="1"/>
  <c r="CA103" i="22" s="1"/>
  <c r="CA104" i="22" s="1"/>
  <c r="CA105" i="22" s="1"/>
  <c r="BZ96" i="22"/>
  <c r="BZ97" i="22" s="1"/>
  <c r="BZ98" i="22" s="1"/>
  <c r="BZ99" i="22" s="1"/>
  <c r="BZ100" i="22" s="1"/>
  <c r="BZ101" i="22" s="1"/>
  <c r="BZ102" i="22" s="1"/>
  <c r="BZ103" i="22" s="1"/>
  <c r="BZ104" i="22" s="1"/>
  <c r="BZ105" i="22" s="1"/>
  <c r="AJ96" i="22"/>
  <c r="AK96" i="22" s="1"/>
  <c r="AF96" i="22"/>
  <c r="AG96" i="22" s="1"/>
  <c r="AE96" i="22"/>
  <c r="AD96" i="22"/>
  <c r="Z96" i="22"/>
  <c r="AA96" i="22" s="1"/>
  <c r="AJ95" i="22"/>
  <c r="AK95" i="22" s="1"/>
  <c r="AF95" i="22"/>
  <c r="AE95" i="22"/>
  <c r="AD95" i="22"/>
  <c r="Z95" i="22"/>
  <c r="AA95" i="22" s="1"/>
  <c r="AJ94" i="22"/>
  <c r="AK94" i="22" s="1"/>
  <c r="AF94" i="22"/>
  <c r="AG94" i="22" s="1"/>
  <c r="AE94" i="22"/>
  <c r="AD94" i="22"/>
  <c r="Z94" i="22"/>
  <c r="AA94" i="22" s="1"/>
  <c r="AJ93" i="22"/>
  <c r="AF93" i="22"/>
  <c r="AG93" i="22" s="1"/>
  <c r="AE93" i="22"/>
  <c r="AD93" i="22"/>
  <c r="Z93" i="22"/>
  <c r="AA93" i="22" s="1"/>
  <c r="CA92" i="22"/>
  <c r="CA93" i="22" s="1"/>
  <c r="CA94" i="22" s="1"/>
  <c r="CA95" i="22" s="1"/>
  <c r="BZ92" i="22"/>
  <c r="BZ93" i="22" s="1"/>
  <c r="BZ94" i="22" s="1"/>
  <c r="BZ95" i="22" s="1"/>
  <c r="AJ92" i="22"/>
  <c r="AK92" i="22" s="1"/>
  <c r="AF92" i="22"/>
  <c r="AG92" i="22" s="1"/>
  <c r="AE92" i="22"/>
  <c r="AD92" i="22"/>
  <c r="Z92" i="22"/>
  <c r="AA92" i="22" s="1"/>
  <c r="AJ91" i="22"/>
  <c r="AK91" i="22" s="1"/>
  <c r="AF91" i="22"/>
  <c r="AG91" i="22" s="1"/>
  <c r="AE91" i="22"/>
  <c r="AD91" i="22"/>
  <c r="Z91" i="22"/>
  <c r="AJ90" i="22"/>
  <c r="AK90" i="22" s="1"/>
  <c r="AF90" i="22"/>
  <c r="AG90" i="22" s="1"/>
  <c r="AE90" i="22"/>
  <c r="AD90" i="22"/>
  <c r="Z90" i="22"/>
  <c r="AA90" i="22" s="1"/>
  <c r="AJ89" i="22"/>
  <c r="AK89" i="22" s="1"/>
  <c r="AF89" i="22"/>
  <c r="AG89" i="22" s="1"/>
  <c r="AE89" i="22"/>
  <c r="AD89" i="22"/>
  <c r="Z89" i="22"/>
  <c r="AJ88" i="22"/>
  <c r="AK88" i="22" s="1"/>
  <c r="AF88" i="22"/>
  <c r="AE88" i="22"/>
  <c r="AD88" i="22"/>
  <c r="Z88" i="22"/>
  <c r="AA88" i="22" s="1"/>
  <c r="AJ87" i="22"/>
  <c r="AF87" i="22"/>
  <c r="AG87" i="22" s="1"/>
  <c r="AE87" i="22"/>
  <c r="AD87" i="22"/>
  <c r="Z87" i="22"/>
  <c r="AA87" i="22" s="1"/>
  <c r="CA86" i="22"/>
  <c r="CA87" i="22" s="1"/>
  <c r="CA88" i="22" s="1"/>
  <c r="CA89" i="22" s="1"/>
  <c r="CA90" i="22" s="1"/>
  <c r="CA91" i="22" s="1"/>
  <c r="BZ86" i="22"/>
  <c r="BZ87" i="22" s="1"/>
  <c r="BZ88" i="22" s="1"/>
  <c r="BZ89" i="22" s="1"/>
  <c r="BZ90" i="22" s="1"/>
  <c r="BZ91" i="22" s="1"/>
  <c r="AJ86" i="22"/>
  <c r="AK86" i="22" s="1"/>
  <c r="AF86" i="22"/>
  <c r="AG86" i="22" s="1"/>
  <c r="AE86" i="22"/>
  <c r="AD86" i="22"/>
  <c r="Z86" i="22"/>
  <c r="AA86" i="22" s="1"/>
  <c r="AJ85" i="22"/>
  <c r="AK85" i="22" s="1"/>
  <c r="AF85" i="22"/>
  <c r="AG85" i="22" s="1"/>
  <c r="AE85" i="22"/>
  <c r="AD85" i="22"/>
  <c r="Z85" i="22"/>
  <c r="AA85" i="22" s="1"/>
  <c r="CA84" i="22"/>
  <c r="CA85" i="22" s="1"/>
  <c r="BZ84" i="22"/>
  <c r="BZ85" i="22" s="1"/>
  <c r="AJ84" i="22"/>
  <c r="AK84" i="22" s="1"/>
  <c r="AF84" i="22"/>
  <c r="AG84" i="22" s="1"/>
  <c r="AE84" i="22"/>
  <c r="AD84" i="22"/>
  <c r="Z84" i="22"/>
  <c r="AA84" i="22" s="1"/>
  <c r="AJ83" i="22"/>
  <c r="AK83" i="22" s="1"/>
  <c r="AF83" i="22"/>
  <c r="AG83" i="22" s="1"/>
  <c r="AE83" i="22"/>
  <c r="AD83" i="22"/>
  <c r="Z83" i="22"/>
  <c r="AA83" i="22" s="1"/>
  <c r="CA82" i="22"/>
  <c r="CA83" i="22" s="1"/>
  <c r="BZ82" i="22"/>
  <c r="BZ83" i="22" s="1"/>
  <c r="AJ82" i="22"/>
  <c r="AK82" i="22" s="1"/>
  <c r="AF82" i="22"/>
  <c r="AG82" i="22" s="1"/>
  <c r="AE82" i="22"/>
  <c r="AD82" i="22"/>
  <c r="Z82" i="22"/>
  <c r="AA82" i="22" s="1"/>
  <c r="AJ81" i="22"/>
  <c r="AF81" i="22"/>
  <c r="AE81" i="22"/>
  <c r="AD81" i="22"/>
  <c r="Z81" i="22"/>
  <c r="AA81" i="22" s="1"/>
  <c r="AJ80" i="22"/>
  <c r="AK80" i="22" s="1"/>
  <c r="AF80" i="22"/>
  <c r="AG80" i="22" s="1"/>
  <c r="AE80" i="22"/>
  <c r="AD80" i="22"/>
  <c r="Z80" i="22"/>
  <c r="AJ78" i="22"/>
  <c r="AK78" i="22" s="1"/>
  <c r="AF78" i="22"/>
  <c r="AE78" i="22"/>
  <c r="AD78" i="22"/>
  <c r="Z78" i="22"/>
  <c r="AA78" i="22" s="1"/>
  <c r="CA77" i="22"/>
  <c r="CA78" i="22" s="1"/>
  <c r="CA80" i="22" s="1"/>
  <c r="CA81" i="22" s="1"/>
  <c r="BZ77" i="22"/>
  <c r="BZ78" i="22" s="1"/>
  <c r="BZ80" i="22" s="1"/>
  <c r="BZ81" i="22" s="1"/>
  <c r="AJ77" i="22"/>
  <c r="AF77" i="22"/>
  <c r="AG77" i="22" s="1"/>
  <c r="AE77" i="22"/>
  <c r="AD77" i="22"/>
  <c r="Z77" i="22"/>
  <c r="AA77" i="22" s="1"/>
  <c r="AJ76" i="22"/>
  <c r="AK76" i="22" s="1"/>
  <c r="AF76" i="22"/>
  <c r="AG76" i="22" s="1"/>
  <c r="AE76" i="22"/>
  <c r="AD76" i="22"/>
  <c r="Z76" i="22"/>
  <c r="AA76" i="22" s="1"/>
  <c r="AJ75" i="22"/>
  <c r="AK75" i="22" s="1"/>
  <c r="AF75" i="22"/>
  <c r="AG75" i="22" s="1"/>
  <c r="AE75" i="22"/>
  <c r="AD75" i="22"/>
  <c r="Z75" i="22"/>
  <c r="AA75" i="22" s="1"/>
  <c r="AJ74" i="22"/>
  <c r="AK74" i="22" s="1"/>
  <c r="AF74" i="22"/>
  <c r="AE74" i="22"/>
  <c r="AO74" i="22" s="1"/>
  <c r="AD74" i="22"/>
  <c r="Z74" i="22"/>
  <c r="AA74" i="22" s="1"/>
  <c r="CA73" i="22"/>
  <c r="CA74" i="22" s="1"/>
  <c r="CA75" i="22" s="1"/>
  <c r="CA76" i="22" s="1"/>
  <c r="BZ73" i="22"/>
  <c r="BZ74" i="22" s="1"/>
  <c r="BZ75" i="22" s="1"/>
  <c r="BZ76" i="22" s="1"/>
  <c r="AJ73" i="22"/>
  <c r="AK73" i="22" s="1"/>
  <c r="AF73" i="22"/>
  <c r="AG73" i="22" s="1"/>
  <c r="AE73" i="22"/>
  <c r="AD73" i="22"/>
  <c r="Z73" i="22"/>
  <c r="AA73" i="22" s="1"/>
  <c r="AJ72" i="22"/>
  <c r="AF72" i="22"/>
  <c r="AE72" i="22"/>
  <c r="AD72" i="22"/>
  <c r="Z72" i="22"/>
  <c r="AA72" i="22" s="1"/>
  <c r="AJ71" i="22"/>
  <c r="AK71" i="22" s="1"/>
  <c r="AF71" i="22"/>
  <c r="AG71" i="22" s="1"/>
  <c r="AE71" i="22"/>
  <c r="AD71" i="22"/>
  <c r="Z71" i="22"/>
  <c r="AA71" i="22" s="1"/>
  <c r="AJ70" i="22"/>
  <c r="AK70" i="22" s="1"/>
  <c r="AF70" i="22"/>
  <c r="AG70" i="22" s="1"/>
  <c r="AE70" i="22"/>
  <c r="AD70" i="22"/>
  <c r="Z70" i="22"/>
  <c r="AA70" i="22" s="1"/>
  <c r="CA71" i="22"/>
  <c r="CA72" i="22" s="1"/>
  <c r="BZ71" i="22"/>
  <c r="BZ72" i="22" s="1"/>
  <c r="AY69" i="22"/>
  <c r="AJ69" i="22"/>
  <c r="AK69" i="22" s="1"/>
  <c r="AF69" i="22"/>
  <c r="AG69" i="22" s="1"/>
  <c r="AE69" i="22"/>
  <c r="AD69" i="22"/>
  <c r="Z69" i="22"/>
  <c r="AA69" i="22" s="1"/>
  <c r="CG25" i="22"/>
  <c r="CG24" i="22"/>
  <c r="CG23" i="22"/>
  <c r="CG22" i="22"/>
  <c r="CG21" i="22"/>
  <c r="CG20" i="22"/>
  <c r="CG19" i="22"/>
  <c r="CG18" i="22"/>
  <c r="CG17" i="22"/>
  <c r="CG16" i="22"/>
  <c r="AR16" i="22"/>
  <c r="CG15" i="22"/>
  <c r="AR15" i="22"/>
  <c r="CG14" i="22"/>
  <c r="AR14" i="22"/>
  <c r="CG13" i="22"/>
  <c r="AR13" i="22"/>
  <c r="CG12" i="22"/>
  <c r="CG11" i="22"/>
  <c r="AR11" i="22"/>
  <c r="AS11" i="22" s="1"/>
  <c r="CG10" i="22"/>
  <c r="AR10" i="22"/>
  <c r="CG9" i="22"/>
  <c r="AR9" i="22"/>
  <c r="AS9" i="22" s="1"/>
  <c r="CG8" i="22"/>
  <c r="AR8" i="22"/>
  <c r="AS8" i="22" s="1"/>
  <c r="CG7" i="22"/>
  <c r="AR7" i="22"/>
  <c r="CG6" i="22"/>
  <c r="AR6" i="22"/>
  <c r="CG5" i="22"/>
  <c r="A5" i="22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CG4" i="22"/>
  <c r="BX4" i="22"/>
  <c r="C3" i="22"/>
  <c r="D3" i="22" s="1"/>
  <c r="E3" i="22" s="1"/>
  <c r="AR46" i="22"/>
  <c r="CI1" i="22"/>
  <c r="CJ1" i="22" s="1"/>
  <c r="CK1" i="22" s="1"/>
  <c r="CL1" i="22" s="1"/>
  <c r="CM1" i="22" s="1"/>
  <c r="CN1" i="22" s="1"/>
  <c r="CO1" i="22" s="1"/>
  <c r="BY1" i="22"/>
  <c r="BZ1" i="22" s="1"/>
  <c r="CA1" i="22" s="1"/>
  <c r="CB1" i="22" s="1"/>
  <c r="CC1" i="22" s="1"/>
  <c r="CD1" i="22" s="1"/>
  <c r="CE1" i="22" s="1"/>
  <c r="BP1" i="22"/>
  <c r="BQ1" i="22" s="1"/>
  <c r="BR1" i="22" s="1"/>
  <c r="BS1" i="22" s="1"/>
  <c r="BT1" i="22" s="1"/>
  <c r="BU1" i="22" s="1"/>
  <c r="BV1" i="22" s="1"/>
  <c r="B1" i="22"/>
  <c r="AA170" i="22" l="1"/>
  <c r="AB170" i="22"/>
  <c r="AO77" i="22"/>
  <c r="AE60" i="70"/>
  <c r="E185" i="10"/>
  <c r="AE101" i="70"/>
  <c r="E184" i="10"/>
  <c r="AO119" i="22"/>
  <c r="AO131" i="22"/>
  <c r="AO124" i="22"/>
  <c r="AO163" i="22"/>
  <c r="AZ133" i="22"/>
  <c r="AZ108" i="22"/>
  <c r="AZ109" i="22" s="1"/>
  <c r="AZ110" i="22" s="1"/>
  <c r="AO113" i="22"/>
  <c r="AZ166" i="22"/>
  <c r="AO173" i="22"/>
  <c r="AO178" i="22"/>
  <c r="AO78" i="22"/>
  <c r="AO84" i="22"/>
  <c r="AO171" i="22"/>
  <c r="AZ174" i="22"/>
  <c r="CI27" i="22"/>
  <c r="CM27" i="22"/>
  <c r="CL27" i="22"/>
  <c r="CN27" i="22"/>
  <c r="CO27" i="22"/>
  <c r="AO99" i="22"/>
  <c r="C1" i="22"/>
  <c r="D1" i="22" s="1"/>
  <c r="Y114" i="52"/>
  <c r="W114" i="52"/>
  <c r="X114" i="52"/>
  <c r="AZ136" i="22"/>
  <c r="AZ137" i="22" s="1"/>
  <c r="AZ138" i="22" s="1"/>
  <c r="AO158" i="22"/>
  <c r="AZ125" i="22"/>
  <c r="AZ126" i="22" s="1"/>
  <c r="AZ127" i="22" s="1"/>
  <c r="AO95" i="22"/>
  <c r="AO140" i="22"/>
  <c r="AK181" i="22"/>
  <c r="AO183" i="22"/>
  <c r="AO126" i="22"/>
  <c r="AO172" i="22"/>
  <c r="AO136" i="22"/>
  <c r="AO125" i="22"/>
  <c r="AO109" i="22"/>
  <c r="AO169" i="22"/>
  <c r="AO111" i="22"/>
  <c r="AK180" i="22"/>
  <c r="AO71" i="22"/>
  <c r="AO143" i="22"/>
  <c r="AO137" i="22"/>
  <c r="AG116" i="22"/>
  <c r="R316" i="34" s="1"/>
  <c r="AO142" i="22"/>
  <c r="AO145" i="22"/>
  <c r="AO181" i="22"/>
  <c r="AO108" i="22"/>
  <c r="AO134" i="22"/>
  <c r="AK116" i="22"/>
  <c r="R319" i="34" s="1"/>
  <c r="AO69" i="22"/>
  <c r="AO72" i="22"/>
  <c r="AK178" i="22"/>
  <c r="AO83" i="22"/>
  <c r="AA116" i="22"/>
  <c r="R313" i="34" s="1"/>
  <c r="AO151" i="22"/>
  <c r="AO73" i="22"/>
  <c r="AO128" i="22"/>
  <c r="AO157" i="22"/>
  <c r="AO117" i="22"/>
  <c r="AO182" i="22"/>
  <c r="AG177" i="22"/>
  <c r="AG179" i="22"/>
  <c r="AG181" i="22"/>
  <c r="AA181" i="22"/>
  <c r="AA180" i="22"/>
  <c r="AA182" i="22"/>
  <c r="AA179" i="22"/>
  <c r="AA177" i="22"/>
  <c r="T174" i="10"/>
  <c r="T173" i="10"/>
  <c r="T172" i="10"/>
  <c r="CJ11" i="22"/>
  <c r="AZ90" i="22"/>
  <c r="AZ91" i="22" s="1"/>
  <c r="AO81" i="22"/>
  <c r="AO98" i="22"/>
  <c r="AO107" i="22"/>
  <c r="AO141" i="22"/>
  <c r="AO154" i="22"/>
  <c r="AZ158" i="22"/>
  <c r="AO88" i="22"/>
  <c r="AO91" i="22"/>
  <c r="AO97" i="22"/>
  <c r="AO106" i="22"/>
  <c r="AO130" i="22"/>
  <c r="AO94" i="22"/>
  <c r="AO149" i="22"/>
  <c r="AQ169" i="22"/>
  <c r="AL169" i="22" s="1"/>
  <c r="AO76" i="22"/>
  <c r="AO80" i="22"/>
  <c r="AO96" i="22"/>
  <c r="AO105" i="22"/>
  <c r="AO116" i="22"/>
  <c r="AO133" i="22"/>
  <c r="AO167" i="22"/>
  <c r="AO82" i="22"/>
  <c r="AO87" i="22"/>
  <c r="AO162" i="22"/>
  <c r="AR21" i="22"/>
  <c r="AO70" i="22"/>
  <c r="AO93" i="22"/>
  <c r="AO115" i="22"/>
  <c r="AO135" i="22"/>
  <c r="AO148" i="22"/>
  <c r="AZ156" i="22"/>
  <c r="AZ157" i="22" s="1"/>
  <c r="AO168" i="22"/>
  <c r="AO170" i="22"/>
  <c r="AZ76" i="22"/>
  <c r="AO86" i="22"/>
  <c r="AO92" i="22"/>
  <c r="AZ116" i="22"/>
  <c r="AZ117" i="22" s="1"/>
  <c r="AZ118" i="22" s="1"/>
  <c r="AZ119" i="22" s="1"/>
  <c r="AZ120" i="22" s="1"/>
  <c r="AO89" i="22"/>
  <c r="AO100" i="22"/>
  <c r="AO104" i="22"/>
  <c r="AO120" i="22"/>
  <c r="AO144" i="22"/>
  <c r="AO152" i="22"/>
  <c r="AO175" i="22"/>
  <c r="AO179" i="22"/>
  <c r="CJ4" i="22"/>
  <c r="CK4" i="22"/>
  <c r="AZ150" i="22"/>
  <c r="AZ151" i="22" s="1"/>
  <c r="AZ152" i="22" s="1"/>
  <c r="AP169" i="22"/>
  <c r="AO174" i="22"/>
  <c r="AZ84" i="22"/>
  <c r="AZ85" i="22" s="1"/>
  <c r="AO103" i="22"/>
  <c r="AO114" i="22"/>
  <c r="AO129" i="22"/>
  <c r="AO147" i="22"/>
  <c r="AO161" i="22"/>
  <c r="AO102" i="22"/>
  <c r="AO156" i="22"/>
  <c r="F104" i="13"/>
  <c r="AO75" i="22"/>
  <c r="AO118" i="22"/>
  <c r="AO123" i="22"/>
  <c r="AO155" i="22"/>
  <c r="AO160" i="22"/>
  <c r="AO166" i="22"/>
  <c r="AZ169" i="22"/>
  <c r="AZ170" i="22" s="1"/>
  <c r="AO177" i="22"/>
  <c r="AO112" i="22"/>
  <c r="AO132" i="22"/>
  <c r="AO139" i="22"/>
  <c r="AO165" i="22"/>
  <c r="AP170" i="22"/>
  <c r="AH170" i="22" s="1"/>
  <c r="J105" i="13" s="1"/>
  <c r="AO101" i="22"/>
  <c r="AO122" i="22"/>
  <c r="AO176" i="22"/>
  <c r="AO180" i="22"/>
  <c r="AO121" i="22"/>
  <c r="AO127" i="22"/>
  <c r="AO153" i="22"/>
  <c r="AO159" i="22"/>
  <c r="AO164" i="22"/>
  <c r="AO85" i="22"/>
  <c r="AU72" i="5"/>
  <c r="CK11" i="22"/>
  <c r="CK29" i="22"/>
  <c r="CJ12" i="22"/>
  <c r="CJ29" i="22"/>
  <c r="CK20" i="22"/>
  <c r="CJ20" i="22"/>
  <c r="CK19" i="22"/>
  <c r="CK25" i="22"/>
  <c r="CJ19" i="22"/>
  <c r="CK18" i="22"/>
  <c r="CK7" i="22"/>
  <c r="CK6" i="22"/>
  <c r="CJ25" i="22"/>
  <c r="CK24" i="22"/>
  <c r="CJ18" i="22"/>
  <c r="CK17" i="22"/>
  <c r="CK10" i="22"/>
  <c r="CJ7" i="22"/>
  <c r="CK16" i="22"/>
  <c r="CK27" i="22"/>
  <c r="CJ24" i="22"/>
  <c r="CK23" i="22"/>
  <c r="CJ17" i="22"/>
  <c r="CJ10" i="22"/>
  <c r="CK9" i="22"/>
  <c r="CJ6" i="22"/>
  <c r="CJ27" i="22"/>
  <c r="CJ23" i="22"/>
  <c r="CK22" i="22"/>
  <c r="CJ9" i="22"/>
  <c r="CJ22" i="22"/>
  <c r="CK21" i="22"/>
  <c r="CJ16" i="22"/>
  <c r="CJ21" i="22"/>
  <c r="CK15" i="22"/>
  <c r="CK5" i="22"/>
  <c r="CJ5" i="22"/>
  <c r="CJ15" i="22"/>
  <c r="CK14" i="22"/>
  <c r="CK8" i="22"/>
  <c r="CK26" i="22"/>
  <c r="CJ14" i="22"/>
  <c r="CK13" i="22"/>
  <c r="CJ8" i="22"/>
  <c r="CJ26" i="22"/>
  <c r="CJ13" i="22"/>
  <c r="CK12" i="22"/>
  <c r="AR17" i="22"/>
  <c r="AR23" i="22"/>
  <c r="AR37" i="22"/>
  <c r="AR45" i="22"/>
  <c r="AR66" i="22"/>
  <c r="AS66" i="22" s="1"/>
  <c r="AR24" i="22"/>
  <c r="AR28" i="22"/>
  <c r="AS28" i="22" s="1"/>
  <c r="AR40" i="22"/>
  <c r="AR50" i="22"/>
  <c r="AR18" i="22"/>
  <c r="AR25" i="22"/>
  <c r="AS25" i="22" s="1"/>
  <c r="AR35" i="22"/>
  <c r="AR43" i="22"/>
  <c r="AS43" i="22" s="1"/>
  <c r="AR19" i="22"/>
  <c r="AR26" i="22"/>
  <c r="AR48" i="22"/>
  <c r="AR20" i="22"/>
  <c r="AS20" i="22" s="1"/>
  <c r="AR33" i="22"/>
  <c r="AR42" i="22"/>
  <c r="AS42" i="22" s="1"/>
  <c r="AR38" i="22"/>
  <c r="AR39" i="22"/>
  <c r="AR65" i="22"/>
  <c r="AS65" i="22" s="1"/>
  <c r="AR67" i="22"/>
  <c r="AS67" i="22" s="1"/>
  <c r="AR62" i="22"/>
  <c r="AS62" i="22" s="1"/>
  <c r="AR53" i="22"/>
  <c r="AR64" i="22"/>
  <c r="AS64" i="22" s="1"/>
  <c r="AR57" i="22"/>
  <c r="AR68" i="22"/>
  <c r="AR61" i="22"/>
  <c r="AR63" i="22"/>
  <c r="AS63" i="22" s="1"/>
  <c r="AR58" i="22"/>
  <c r="AR56" i="22"/>
  <c r="AR5" i="22"/>
  <c r="AR12" i="22"/>
  <c r="AR29" i="22"/>
  <c r="AS29" i="22" s="1"/>
  <c r="AR30" i="22"/>
  <c r="AR31" i="22"/>
  <c r="AR41" i="22"/>
  <c r="AR36" i="22"/>
  <c r="AR44" i="22"/>
  <c r="AR51" i="22"/>
  <c r="AS51" i="22" s="1"/>
  <c r="AR27" i="22"/>
  <c r="AS27" i="22" s="1"/>
  <c r="AR49" i="22"/>
  <c r="AR34" i="22"/>
  <c r="AR59" i="22"/>
  <c r="AR60" i="22"/>
  <c r="AR47" i="22"/>
  <c r="AR22" i="22"/>
  <c r="AS22" i="22" s="1"/>
  <c r="AR32" i="22"/>
  <c r="AR52" i="22"/>
  <c r="AK72" i="22"/>
  <c r="AK81" i="22"/>
  <c r="AA89" i="22"/>
  <c r="AA91" i="22"/>
  <c r="AZ73" i="22"/>
  <c r="AZ77" i="22"/>
  <c r="AZ78" i="22" s="1"/>
  <c r="AZ79" i="22" s="1"/>
  <c r="AA97" i="22"/>
  <c r="AG74" i="22"/>
  <c r="AZ74" i="22"/>
  <c r="AZ75" i="22" s="1"/>
  <c r="AK77" i="22"/>
  <c r="AA80" i="22"/>
  <c r="AZ94" i="22"/>
  <c r="AZ95" i="22" s="1"/>
  <c r="AZ86" i="22"/>
  <c r="AZ87" i="22" s="1"/>
  <c r="AK87" i="22"/>
  <c r="AZ96" i="22"/>
  <c r="AZ97" i="22" s="1"/>
  <c r="AZ98" i="22" s="1"/>
  <c r="AZ99" i="22" s="1"/>
  <c r="AZ100" i="22" s="1"/>
  <c r="AG78" i="22"/>
  <c r="AZ88" i="22"/>
  <c r="AZ89" i="22" s="1"/>
  <c r="AO90" i="22"/>
  <c r="AK93" i="22"/>
  <c r="AZ82" i="22"/>
  <c r="AZ83" i="22" s="1"/>
  <c r="AG95" i="22"/>
  <c r="AZ92" i="22"/>
  <c r="AZ93" i="22" s="1"/>
  <c r="AZ69" i="22"/>
  <c r="AZ70" i="22" s="1"/>
  <c r="AZ71" i="22" s="1"/>
  <c r="AZ72" i="22" s="1"/>
  <c r="AG72" i="22"/>
  <c r="AG81" i="22"/>
  <c r="AG88" i="22"/>
  <c r="AZ106" i="22"/>
  <c r="AZ107" i="22" s="1"/>
  <c r="AG109" i="22"/>
  <c r="AA111" i="22"/>
  <c r="AK109" i="22"/>
  <c r="AZ111" i="22"/>
  <c r="AZ112" i="22" s="1"/>
  <c r="AZ113" i="22" s="1"/>
  <c r="AZ114" i="22" s="1"/>
  <c r="AZ115" i="22" s="1"/>
  <c r="AA105" i="22"/>
  <c r="AG111" i="22"/>
  <c r="AO110" i="22"/>
  <c r="AG115" i="22"/>
  <c r="AA99" i="22"/>
  <c r="AZ101" i="22"/>
  <c r="AZ102" i="22" s="1"/>
  <c r="AZ103" i="22" s="1"/>
  <c r="AZ104" i="22" s="1"/>
  <c r="AZ105" i="22" s="1"/>
  <c r="AA107" i="22"/>
  <c r="AG112" i="22"/>
  <c r="AA115" i="22"/>
  <c r="AK123" i="22"/>
  <c r="AK118" i="22"/>
  <c r="AK124" i="22"/>
  <c r="AZ128" i="22"/>
  <c r="AZ129" i="22" s="1"/>
  <c r="AG134" i="22"/>
  <c r="AZ134" i="22"/>
  <c r="AZ135" i="22" s="1"/>
  <c r="AK134" i="22"/>
  <c r="AO138" i="22"/>
  <c r="AZ139" i="22"/>
  <c r="AZ140" i="22"/>
  <c r="AZ141" i="22" s="1"/>
  <c r="AZ142" i="22" s="1"/>
  <c r="AZ143" i="22" s="1"/>
  <c r="AZ144" i="22" s="1"/>
  <c r="AG137" i="22"/>
  <c r="AA139" i="22"/>
  <c r="AG123" i="22"/>
  <c r="AG125" i="22"/>
  <c r="AG130" i="22"/>
  <c r="AA131" i="22"/>
  <c r="AK132" i="22"/>
  <c r="AZ121" i="22"/>
  <c r="AZ122" i="22" s="1"/>
  <c r="AZ123" i="22" s="1"/>
  <c r="AZ124" i="22" s="1"/>
  <c r="AG127" i="22"/>
  <c r="AZ130" i="22"/>
  <c r="AZ131" i="22" s="1"/>
  <c r="AA135" i="22"/>
  <c r="AG145" i="22"/>
  <c r="AG143" i="22"/>
  <c r="AA155" i="22"/>
  <c r="AZ153" i="22"/>
  <c r="AG139" i="22"/>
  <c r="AZ145" i="22"/>
  <c r="AZ146" i="22" s="1"/>
  <c r="AZ147" i="22" s="1"/>
  <c r="AZ148" i="22" s="1"/>
  <c r="AG146" i="22"/>
  <c r="AZ154" i="22"/>
  <c r="AO150" i="22"/>
  <c r="AK155" i="22"/>
  <c r="AA161" i="22"/>
  <c r="BP170" i="22"/>
  <c r="AZ155" i="22"/>
  <c r="AA156" i="22"/>
  <c r="AK162" i="22"/>
  <c r="AZ164" i="22"/>
  <c r="AZ175" i="22"/>
  <c r="AZ176" i="22" s="1"/>
  <c r="AZ171" i="22"/>
  <c r="AZ172" i="22" s="1"/>
  <c r="AH169" i="22"/>
  <c r="J104" i="13" s="1"/>
  <c r="AA175" i="22"/>
  <c r="AZ159" i="22"/>
  <c r="AZ160" i="22" s="1"/>
  <c r="AA160" i="22"/>
  <c r="AZ161" i="22"/>
  <c r="AZ162" i="22" s="1"/>
  <c r="AA162" i="22"/>
  <c r="AZ163" i="22"/>
  <c r="AG167" i="22"/>
  <c r="AZ165" i="22"/>
  <c r="AZ167" i="22"/>
  <c r="AZ168" i="22" s="1"/>
  <c r="F105" i="13"/>
  <c r="AQ170" i="22"/>
  <c r="AL170" i="22" s="1"/>
  <c r="AZ173" i="22"/>
  <c r="AG178" i="22"/>
  <c r="AA183" i="22"/>
  <c r="AK177" i="22"/>
  <c r="AG180" i="22"/>
  <c r="AK179" i="22"/>
  <c r="AG182" i="22"/>
  <c r="AA178" i="22"/>
  <c r="AK182" i="22"/>
  <c r="AZ80" i="22" l="1"/>
  <c r="AZ81" i="22" s="1"/>
  <c r="Z114" i="52"/>
  <c r="AI114" i="52"/>
  <c r="AJ114" i="52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X1" i="22" s="1"/>
  <c r="Y1" i="22" s="1"/>
  <c r="Z1" i="22" s="1"/>
  <c r="AA1" i="22" s="1"/>
  <c r="AB1" i="22" s="1"/>
  <c r="AC1" i="22" s="1"/>
  <c r="AD1" i="22" s="1"/>
  <c r="AE1" i="22" s="1"/>
  <c r="AF1" i="22" s="1"/>
  <c r="AG1" i="22" s="1"/>
  <c r="AH1" i="22" s="1"/>
  <c r="AI1" i="22" s="1"/>
  <c r="AJ1" i="22" s="1"/>
  <c r="AK1" i="22" s="1"/>
  <c r="AL1" i="22" s="1"/>
  <c r="AM1" i="22" s="1"/>
  <c r="AN1" i="22" s="1"/>
  <c r="AO1" i="22" s="1"/>
  <c r="AP1" i="22" s="1"/>
  <c r="AQ1" i="22" s="1"/>
  <c r="AR1" i="22" s="1"/>
  <c r="AS1" i="22" s="1"/>
  <c r="AT1" i="22" s="1"/>
  <c r="AU1" i="22" s="1"/>
  <c r="AV1" i="22" s="1"/>
  <c r="AW1" i="22" s="1"/>
  <c r="AX1" i="22" s="1"/>
  <c r="AY1" i="22" s="1"/>
  <c r="AZ1" i="22" s="1"/>
  <c r="BA1" i="22" s="1"/>
  <c r="BB1" i="22" s="1"/>
  <c r="BC1" i="22" s="1"/>
  <c r="BD1" i="22" s="1"/>
  <c r="BE1" i="22" s="1"/>
  <c r="BF1" i="22" s="1"/>
  <c r="BG1" i="22" s="1"/>
  <c r="BH1" i="22" s="1"/>
  <c r="BI1" i="22" s="1"/>
  <c r="BJ1" i="22" s="1"/>
  <c r="AA468" i="34"/>
  <c r="AF468" i="34" s="1"/>
  <c r="U462" i="34"/>
  <c r="U421" i="34"/>
  <c r="R430" i="34" s="1"/>
  <c r="AA412" i="34"/>
  <c r="AF412" i="34" s="1"/>
  <c r="U406" i="34"/>
  <c r="R462" i="34"/>
  <c r="R421" i="34"/>
  <c r="X412" i="34"/>
  <c r="AA304" i="34"/>
  <c r="AF304" i="34" s="1"/>
  <c r="AA353" i="34"/>
  <c r="AF353" i="34" s="1"/>
  <c r="U512" i="34"/>
  <c r="U409" i="34"/>
  <c r="R512" i="34"/>
  <c r="X415" i="34"/>
  <c r="U471" i="34"/>
  <c r="R480" i="34" s="1"/>
  <c r="U415" i="34"/>
  <c r="R424" i="34" s="1"/>
  <c r="R415" i="34"/>
  <c r="X468" i="34"/>
  <c r="R406" i="34"/>
  <c r="X409" i="34"/>
  <c r="X353" i="34"/>
  <c r="U353" i="34"/>
  <c r="X421" i="34"/>
  <c r="AA474" i="34"/>
  <c r="AF474" i="34" s="1"/>
  <c r="U468" i="34"/>
  <c r="R477" i="34" s="1"/>
  <c r="AA459" i="34"/>
  <c r="AF459" i="34" s="1"/>
  <c r="U412" i="34"/>
  <c r="X304" i="34"/>
  <c r="U304" i="34"/>
  <c r="R304" i="34"/>
  <c r="X512" i="34"/>
  <c r="AA415" i="34"/>
  <c r="AF415" i="34" s="1"/>
  <c r="X474" i="34"/>
  <c r="R468" i="34"/>
  <c r="X459" i="34"/>
  <c r="R412" i="34"/>
  <c r="R353" i="34"/>
  <c r="X462" i="34"/>
  <c r="U474" i="34"/>
  <c r="R483" i="34" s="1"/>
  <c r="AA465" i="34"/>
  <c r="AF465" i="34" s="1"/>
  <c r="U459" i="34"/>
  <c r="AA418" i="34"/>
  <c r="AF418" i="34" s="1"/>
  <c r="R465" i="34"/>
  <c r="X471" i="34"/>
  <c r="AA462" i="34"/>
  <c r="AF462" i="34" s="1"/>
  <c r="R474" i="34"/>
  <c r="X465" i="34"/>
  <c r="R459" i="34"/>
  <c r="X418" i="34"/>
  <c r="AA512" i="34"/>
  <c r="AF512" i="34" s="1"/>
  <c r="U465" i="34"/>
  <c r="U418" i="34"/>
  <c r="R427" i="34" s="1"/>
  <c r="AA409" i="34"/>
  <c r="AF409" i="34" s="1"/>
  <c r="R418" i="34"/>
  <c r="AA471" i="34"/>
  <c r="AF471" i="34" s="1"/>
  <c r="R409" i="34"/>
  <c r="AA421" i="34"/>
  <c r="AF421" i="34" s="1"/>
  <c r="AA406" i="34"/>
  <c r="AF406" i="34" s="1"/>
  <c r="R471" i="34"/>
  <c r="X406" i="34"/>
  <c r="X87" i="34"/>
  <c r="R87" i="34"/>
  <c r="AA193" i="34"/>
  <c r="AF193" i="34" s="1"/>
  <c r="AA246" i="34"/>
  <c r="AF246" i="34" s="1"/>
  <c r="AA140" i="34"/>
  <c r="AF140" i="34" s="1"/>
  <c r="AA41" i="34"/>
  <c r="AF41" i="34" s="1"/>
  <c r="X246" i="34"/>
  <c r="X140" i="34"/>
  <c r="X41" i="34"/>
  <c r="U246" i="34"/>
  <c r="U140" i="34"/>
  <c r="U41" i="34"/>
  <c r="X193" i="34"/>
  <c r="R246" i="34"/>
  <c r="R140" i="34"/>
  <c r="R41" i="34"/>
  <c r="AA87" i="34"/>
  <c r="AF87" i="34" s="1"/>
  <c r="U87" i="34"/>
  <c r="R193" i="34"/>
  <c r="U193" i="34"/>
  <c r="CJ28" i="22"/>
  <c r="CJ30" i="22" s="1"/>
  <c r="CK28" i="22"/>
  <c r="CK38" i="22" s="1"/>
  <c r="CK39" i="22" s="1"/>
  <c r="CK30" i="22"/>
  <c r="AG114" i="52" l="1"/>
  <c r="AB114" i="52"/>
  <c r="AC114" i="52"/>
  <c r="AD114" i="52"/>
  <c r="AF114" i="52"/>
  <c r="AE114" i="52"/>
  <c r="AH114" i="52"/>
  <c r="AM171" i="10"/>
  <c r="AM172" i="10" s="1"/>
  <c r="AM173" i="10" s="1"/>
  <c r="AM174" i="10" s="1"/>
  <c r="AM175" i="10" s="1"/>
  <c r="AM176" i="10" s="1"/>
  <c r="T171" i="10"/>
  <c r="CJ38" i="22"/>
  <c r="CJ39" i="22" s="1"/>
  <c r="AU18" i="5" l="1"/>
  <c r="AU19" i="5"/>
  <c r="O5" i="8" l="1" a="1"/>
  <c r="O5" i="8" s="1"/>
  <c r="P102" i="7"/>
  <c r="P106" i="7"/>
  <c r="P65" i="7"/>
  <c r="BC75" i="5"/>
  <c r="AU46" i="5"/>
  <c r="AV46" i="5"/>
  <c r="AW46" i="5"/>
  <c r="AU47" i="5"/>
  <c r="AV47" i="5"/>
  <c r="AW47" i="5"/>
  <c r="AU48" i="5"/>
  <c r="AV48" i="5"/>
  <c r="AW48" i="5"/>
  <c r="AU49" i="5"/>
  <c r="AV49" i="5"/>
  <c r="AW49" i="5"/>
  <c r="AU51" i="5"/>
  <c r="AV51" i="5"/>
  <c r="AW51" i="5"/>
  <c r="AU52" i="5"/>
  <c r="AV52" i="5"/>
  <c r="AW52" i="5"/>
  <c r="AU53" i="5"/>
  <c r="AV53" i="5"/>
  <c r="AW53" i="5"/>
  <c r="AU54" i="5"/>
  <c r="AV54" i="5"/>
  <c r="AW54" i="5"/>
  <c r="AU55" i="5"/>
  <c r="AV55" i="5"/>
  <c r="AW55" i="5"/>
  <c r="AU58" i="5"/>
  <c r="AV58" i="5"/>
  <c r="AW58" i="5"/>
  <c r="AU59" i="5"/>
  <c r="AV59" i="5"/>
  <c r="AW59" i="5"/>
  <c r="AU60" i="5"/>
  <c r="AV60" i="5"/>
  <c r="AW60" i="5"/>
  <c r="AU61" i="5"/>
  <c r="AV61" i="5"/>
  <c r="AW61" i="5"/>
  <c r="AU62" i="5"/>
  <c r="AV62" i="5"/>
  <c r="AW62" i="5"/>
  <c r="AU63" i="5"/>
  <c r="AV63" i="5"/>
  <c r="AW63" i="5"/>
  <c r="AU64" i="5"/>
  <c r="AV64" i="5"/>
  <c r="AW64" i="5"/>
  <c r="AU65" i="5"/>
  <c r="AV65" i="5"/>
  <c r="AW65" i="5"/>
  <c r="AU66" i="5"/>
  <c r="AV66" i="5"/>
  <c r="AW66" i="5"/>
  <c r="AU67" i="5"/>
  <c r="AX67" i="5" s="1"/>
  <c r="BC67" i="5" s="1"/>
  <c r="AV67" i="5"/>
  <c r="AW67" i="5"/>
  <c r="AU68" i="5"/>
  <c r="AV68" i="5"/>
  <c r="AW68" i="5"/>
  <c r="AU69" i="5"/>
  <c r="AV69" i="5"/>
  <c r="AW69" i="5"/>
  <c r="AW45" i="5"/>
  <c r="AV45" i="5"/>
  <c r="AU45" i="5"/>
  <c r="AV44" i="5"/>
  <c r="AW44" i="5"/>
  <c r="AU12" i="5"/>
  <c r="AV12" i="5"/>
  <c r="AW12" i="5"/>
  <c r="AU13" i="5"/>
  <c r="AV13" i="5"/>
  <c r="AW13" i="5"/>
  <c r="AU14" i="5"/>
  <c r="AV14" i="5"/>
  <c r="AW14" i="5"/>
  <c r="AU15" i="5"/>
  <c r="AV15" i="5"/>
  <c r="AW15" i="5"/>
  <c r="AU16" i="5"/>
  <c r="AV16" i="5"/>
  <c r="AW16" i="5"/>
  <c r="AU17" i="5"/>
  <c r="AV17" i="5"/>
  <c r="AW17" i="5"/>
  <c r="AV18" i="5"/>
  <c r="AW18" i="5"/>
  <c r="AV19" i="5"/>
  <c r="AW19" i="5"/>
  <c r="AU20" i="5"/>
  <c r="AV20" i="5"/>
  <c r="AW20" i="5"/>
  <c r="AU21" i="5"/>
  <c r="AV21" i="5"/>
  <c r="AW21" i="5"/>
  <c r="AU22" i="5"/>
  <c r="AV22" i="5"/>
  <c r="AW22" i="5"/>
  <c r="AU23" i="5"/>
  <c r="AV23" i="5"/>
  <c r="AW23" i="5"/>
  <c r="AU24" i="5"/>
  <c r="AV24" i="5"/>
  <c r="AW24" i="5"/>
  <c r="AU25" i="5"/>
  <c r="AV25" i="5"/>
  <c r="AW25" i="5"/>
  <c r="AU26" i="5"/>
  <c r="AV26" i="5"/>
  <c r="AW26" i="5"/>
  <c r="AU27" i="5"/>
  <c r="AV27" i="5"/>
  <c r="AW27" i="5"/>
  <c r="AU28" i="5"/>
  <c r="AV28" i="5"/>
  <c r="AW28" i="5"/>
  <c r="AU29" i="5"/>
  <c r="AV29" i="5"/>
  <c r="AW29" i="5"/>
  <c r="AU30" i="5"/>
  <c r="AV30" i="5"/>
  <c r="AW30" i="5"/>
  <c r="AU31" i="5"/>
  <c r="AV31" i="5"/>
  <c r="AW31" i="5"/>
  <c r="AU32" i="5"/>
  <c r="AV32" i="5"/>
  <c r="AW32" i="5"/>
  <c r="AU33" i="5"/>
  <c r="AV33" i="5"/>
  <c r="AW33" i="5"/>
  <c r="AU34" i="5"/>
  <c r="AV34" i="5"/>
  <c r="AW34" i="5"/>
  <c r="AU35" i="5"/>
  <c r="AV35" i="5"/>
  <c r="AW35" i="5"/>
  <c r="AU36" i="5"/>
  <c r="AV36" i="5"/>
  <c r="AW36" i="5"/>
  <c r="AU37" i="5"/>
  <c r="AV37" i="5"/>
  <c r="AW37" i="5"/>
  <c r="AU38" i="5"/>
  <c r="AV38" i="5"/>
  <c r="AW38" i="5"/>
  <c r="AU39" i="5"/>
  <c r="AV39" i="5"/>
  <c r="AW39" i="5"/>
  <c r="AU40" i="5"/>
  <c r="AV40" i="5"/>
  <c r="AW40" i="5"/>
  <c r="AU41" i="5"/>
  <c r="AV41" i="5"/>
  <c r="AW41" i="5"/>
  <c r="AU42" i="5"/>
  <c r="AV42" i="5"/>
  <c r="AW42" i="5"/>
  <c r="AU43" i="5"/>
  <c r="AV43" i="5"/>
  <c r="AW43" i="5"/>
  <c r="AW11" i="5"/>
  <c r="AV11" i="5"/>
  <c r="AU11" i="5"/>
  <c r="AV10" i="5"/>
  <c r="AW10" i="5"/>
  <c r="AU6" i="5"/>
  <c r="AV6" i="5"/>
  <c r="AW6" i="5"/>
  <c r="AU7" i="5"/>
  <c r="AV7" i="5"/>
  <c r="AW7" i="5"/>
  <c r="AU8" i="5"/>
  <c r="AV8" i="5"/>
  <c r="AW8" i="5"/>
  <c r="AU9" i="5"/>
  <c r="AV9" i="5"/>
  <c r="AW9" i="5"/>
  <c r="AF89" i="5"/>
  <c r="J91" i="5"/>
  <c r="J93" i="5"/>
  <c r="J95" i="5"/>
  <c r="J97" i="5"/>
  <c r="J99" i="5"/>
  <c r="J101" i="5"/>
  <c r="J102" i="5"/>
  <c r="BC70" i="5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X10" i="5"/>
  <c r="AX44" i="5"/>
  <c r="A36" i="5" l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BC44" i="5"/>
  <c r="BC10" i="5"/>
  <c r="AA245" i="68" l="1"/>
  <c r="AI249" i="68" s="1"/>
  <c r="A254" i="68" s="1"/>
  <c r="AA207" i="68"/>
  <c r="AI211" i="68" s="1"/>
  <c r="A216" i="68" s="1"/>
  <c r="AA170" i="68"/>
  <c r="AI174" i="68" s="1"/>
  <c r="A179" i="68" s="1"/>
  <c r="AA133" i="68"/>
  <c r="AI137" i="68" s="1"/>
  <c r="A142" i="68" s="1"/>
  <c r="AA80" i="68"/>
  <c r="AI84" i="68" s="1"/>
  <c r="A89" i="68" s="1"/>
  <c r="AA31" i="68"/>
  <c r="AI35" i="68" s="1"/>
  <c r="A40" i="68" s="1"/>
  <c r="A293" i="68"/>
  <c r="H29" i="68"/>
  <c r="N15" i="68"/>
  <c r="G15" i="68"/>
  <c r="AA12" i="68"/>
  <c r="AA11" i="68"/>
  <c r="AA10" i="68"/>
  <c r="G10" i="68"/>
  <c r="AA9" i="68"/>
  <c r="AA8" i="68"/>
  <c r="G8" i="68"/>
  <c r="AA7" i="68"/>
  <c r="G7" i="68"/>
  <c r="AA6" i="68"/>
  <c r="G6" i="68"/>
  <c r="AA5" i="68"/>
  <c r="G5" i="68"/>
  <c r="AA4" i="68"/>
  <c r="G4" i="68"/>
  <c r="AA71" i="67"/>
  <c r="AI74" i="67" s="1"/>
  <c r="A79" i="67" s="1"/>
  <c r="A135" i="67"/>
  <c r="J121" i="67"/>
  <c r="J124" i="67" s="1"/>
  <c r="J119" i="67"/>
  <c r="J122" i="67" s="1"/>
  <c r="J125" i="67" s="1"/>
  <c r="J117" i="67"/>
  <c r="J120" i="67" s="1"/>
  <c r="J123" i="67" s="1"/>
  <c r="AA31" i="67"/>
  <c r="AI34" i="67" s="1"/>
  <c r="H29" i="67"/>
  <c r="N15" i="67"/>
  <c r="G15" i="67"/>
  <c r="AA12" i="67"/>
  <c r="AA11" i="67"/>
  <c r="AA10" i="67"/>
  <c r="G10" i="67"/>
  <c r="AA9" i="67"/>
  <c r="AA8" i="67"/>
  <c r="G8" i="67"/>
  <c r="AA7" i="67"/>
  <c r="G7" i="67"/>
  <c r="AA6" i="67"/>
  <c r="G6" i="67"/>
  <c r="AA5" i="67"/>
  <c r="G5" i="67"/>
  <c r="AA4" i="67"/>
  <c r="G4" i="67"/>
  <c r="A87" i="66"/>
  <c r="J81" i="66"/>
  <c r="J84" i="66" s="1"/>
  <c r="J79" i="66"/>
  <c r="J82" i="66" s="1"/>
  <c r="J85" i="66" s="1"/>
  <c r="J77" i="66"/>
  <c r="J80" i="66" s="1"/>
  <c r="J83" i="66" s="1"/>
  <c r="AA31" i="66"/>
  <c r="AI35" i="66" s="1"/>
  <c r="A40" i="66" s="1"/>
  <c r="H29" i="66"/>
  <c r="N15" i="66"/>
  <c r="G15" i="66"/>
  <c r="AA12" i="66"/>
  <c r="AA11" i="66"/>
  <c r="AA10" i="66"/>
  <c r="G10" i="66"/>
  <c r="AA9" i="66"/>
  <c r="AA8" i="66"/>
  <c r="G8" i="66"/>
  <c r="AA7" i="66"/>
  <c r="G7" i="66"/>
  <c r="AA6" i="66"/>
  <c r="G6" i="66"/>
  <c r="AA5" i="66"/>
  <c r="G5" i="66"/>
  <c r="AA4" i="66"/>
  <c r="G4" i="66"/>
  <c r="A151" i="68" l="1"/>
  <c r="A148" i="68"/>
  <c r="A145" i="68"/>
  <c r="A154" i="68"/>
  <c r="A157" i="68"/>
  <c r="A160" i="68"/>
  <c r="R142" i="68"/>
  <c r="AA142" i="68"/>
  <c r="AF142" i="68" s="1"/>
  <c r="X142" i="68"/>
  <c r="U142" i="68"/>
  <c r="A182" i="68"/>
  <c r="A188" i="68"/>
  <c r="A185" i="68"/>
  <c r="A191" i="68"/>
  <c r="A194" i="68"/>
  <c r="A197" i="68"/>
  <c r="AA179" i="68"/>
  <c r="AF179" i="68" s="1"/>
  <c r="R179" i="68"/>
  <c r="U179" i="68"/>
  <c r="X179" i="68"/>
  <c r="A228" i="68"/>
  <c r="A222" i="68"/>
  <c r="A225" i="68"/>
  <c r="A231" i="68"/>
  <c r="A234" i="68"/>
  <c r="A219" i="68"/>
  <c r="X216" i="68"/>
  <c r="R216" i="68"/>
  <c r="U216" i="68"/>
  <c r="AA216" i="68"/>
  <c r="AF216" i="68" s="1"/>
  <c r="A263" i="68"/>
  <c r="A266" i="68"/>
  <c r="A269" i="68"/>
  <c r="A272" i="68"/>
  <c r="A257" i="68"/>
  <c r="A260" i="68"/>
  <c r="AA254" i="68"/>
  <c r="AF254" i="68" s="1"/>
  <c r="U254" i="68"/>
  <c r="R254" i="68"/>
  <c r="X254" i="68"/>
  <c r="R40" i="68"/>
  <c r="AA40" i="68"/>
  <c r="AF40" i="68" s="1"/>
  <c r="X40" i="68"/>
  <c r="U40" i="68"/>
  <c r="A43" i="68"/>
  <c r="A46" i="68"/>
  <c r="A49" i="68"/>
  <c r="A52" i="68"/>
  <c r="O43" i="68" s="1"/>
  <c r="A55" i="68"/>
  <c r="O46" i="68" s="1"/>
  <c r="A58" i="68"/>
  <c r="AA89" i="68"/>
  <c r="AF89" i="68" s="1"/>
  <c r="U89" i="68"/>
  <c r="A95" i="68"/>
  <c r="A101" i="68"/>
  <c r="A98" i="68"/>
  <c r="X89" i="68"/>
  <c r="A107" i="68"/>
  <c r="R89" i="68"/>
  <c r="A92" i="68"/>
  <c r="A104" i="68"/>
  <c r="R79" i="67"/>
  <c r="U79" i="67"/>
  <c r="AA79" i="67"/>
  <c r="AF79" i="67" s="1"/>
  <c r="X79" i="67"/>
  <c r="A82" i="67"/>
  <c r="AI112" i="67"/>
  <c r="A39" i="67"/>
  <c r="A43" i="66"/>
  <c r="R40" i="66"/>
  <c r="U40" i="66"/>
  <c r="X40" i="66"/>
  <c r="AA40" i="66"/>
  <c r="AF40" i="66" s="1"/>
  <c r="AI117" i="67"/>
  <c r="AI120" i="67" s="1"/>
  <c r="AI72" i="66"/>
  <c r="AI77" i="66"/>
  <c r="AI80" i="66" s="1"/>
  <c r="U260" i="68" l="1"/>
  <c r="X260" i="68"/>
  <c r="R260" i="68"/>
  <c r="AA260" i="68"/>
  <c r="AF260" i="68" s="1"/>
  <c r="O222" i="68"/>
  <c r="R231" i="68"/>
  <c r="O231" i="68"/>
  <c r="R188" i="68"/>
  <c r="O179" i="68"/>
  <c r="O188" i="68"/>
  <c r="X257" i="68"/>
  <c r="R257" i="68"/>
  <c r="AA257" i="68"/>
  <c r="AF257" i="68" s="1"/>
  <c r="U257" i="68"/>
  <c r="R225" i="68"/>
  <c r="O216" i="68"/>
  <c r="O225" i="68"/>
  <c r="X182" i="68"/>
  <c r="AA182" i="68"/>
  <c r="AF182" i="68" s="1"/>
  <c r="R182" i="68"/>
  <c r="U182" i="68"/>
  <c r="A275" i="68"/>
  <c r="O272" i="68"/>
  <c r="U222" i="68"/>
  <c r="X222" i="68"/>
  <c r="R222" i="68"/>
  <c r="AA222" i="68"/>
  <c r="AF222" i="68" s="1"/>
  <c r="O269" i="68"/>
  <c r="R269" i="68"/>
  <c r="O260" i="68"/>
  <c r="O228" i="68"/>
  <c r="O219" i="68"/>
  <c r="R228" i="68"/>
  <c r="O257" i="68"/>
  <c r="O266" i="68"/>
  <c r="R266" i="68"/>
  <c r="O254" i="68"/>
  <c r="O263" i="68"/>
  <c r="R263" i="68"/>
  <c r="R157" i="68"/>
  <c r="O148" i="68"/>
  <c r="O157" i="68"/>
  <c r="A163" i="68"/>
  <c r="O160" i="68"/>
  <c r="A200" i="68"/>
  <c r="O197" i="68"/>
  <c r="R154" i="68"/>
  <c r="O145" i="68"/>
  <c r="O154" i="68"/>
  <c r="O185" i="68"/>
  <c r="O194" i="68"/>
  <c r="R194" i="68"/>
  <c r="R145" i="68"/>
  <c r="AA145" i="68"/>
  <c r="AF145" i="68" s="1"/>
  <c r="U145" i="68"/>
  <c r="X145" i="68"/>
  <c r="U219" i="68"/>
  <c r="X219" i="68"/>
  <c r="R219" i="68"/>
  <c r="AA219" i="68"/>
  <c r="AF219" i="68" s="1"/>
  <c r="R191" i="68"/>
  <c r="O191" i="68"/>
  <c r="O182" i="68"/>
  <c r="X148" i="68"/>
  <c r="U148" i="68"/>
  <c r="R148" i="68"/>
  <c r="AA148" i="68"/>
  <c r="AF148" i="68" s="1"/>
  <c r="A237" i="68"/>
  <c r="O234" i="68"/>
  <c r="R185" i="68"/>
  <c r="X185" i="68"/>
  <c r="U185" i="68"/>
  <c r="AA185" i="68"/>
  <c r="AF185" i="68" s="1"/>
  <c r="R151" i="68"/>
  <c r="O142" i="68"/>
  <c r="O151" i="68"/>
  <c r="O95" i="68"/>
  <c r="R104" i="68"/>
  <c r="O104" i="68"/>
  <c r="U92" i="68"/>
  <c r="R92" i="68"/>
  <c r="AA92" i="68"/>
  <c r="AF92" i="68" s="1"/>
  <c r="X92" i="68"/>
  <c r="O40" i="68"/>
  <c r="O49" i="68"/>
  <c r="R49" i="68"/>
  <c r="AA46" i="68"/>
  <c r="AF46" i="68" s="1"/>
  <c r="X46" i="68"/>
  <c r="U46" i="68"/>
  <c r="R46" i="68"/>
  <c r="O107" i="68"/>
  <c r="A110" i="68"/>
  <c r="R43" i="68"/>
  <c r="AA43" i="68"/>
  <c r="AF43" i="68" s="1"/>
  <c r="X43" i="68"/>
  <c r="U43" i="68"/>
  <c r="R98" i="68"/>
  <c r="O98" i="68"/>
  <c r="O89" i="68"/>
  <c r="R101" i="68"/>
  <c r="O92" i="68"/>
  <c r="O101" i="68"/>
  <c r="R95" i="68"/>
  <c r="X95" i="68"/>
  <c r="U95" i="68"/>
  <c r="AA95" i="68"/>
  <c r="AF95" i="68" s="1"/>
  <c r="AA82" i="67"/>
  <c r="AF82" i="67" s="1"/>
  <c r="R82" i="67"/>
  <c r="X82" i="67"/>
  <c r="A85" i="67"/>
  <c r="U82" i="67"/>
  <c r="A42" i="67"/>
  <c r="U39" i="67"/>
  <c r="R39" i="67"/>
  <c r="X39" i="67"/>
  <c r="AA39" i="67"/>
  <c r="AF39" i="67" s="1"/>
  <c r="R43" i="66"/>
  <c r="A46" i="66"/>
  <c r="AA43" i="66"/>
  <c r="AF43" i="66" s="1"/>
  <c r="U43" i="66"/>
  <c r="X43" i="66"/>
  <c r="AI123" i="67"/>
  <c r="AK123" i="67" s="1"/>
  <c r="AK120" i="67"/>
  <c r="AI83" i="66"/>
  <c r="AK83" i="66" s="1"/>
  <c r="AK80" i="66"/>
  <c r="A278" i="68" l="1"/>
  <c r="O278" i="68" s="1"/>
  <c r="O275" i="68"/>
  <c r="A203" i="68"/>
  <c r="O203" i="68" s="1"/>
  <c r="O200" i="68"/>
  <c r="A240" i="68"/>
  <c r="O240" i="68" s="1"/>
  <c r="O237" i="68"/>
  <c r="A166" i="68"/>
  <c r="O166" i="68" s="1"/>
  <c r="O163" i="68"/>
  <c r="A113" i="68"/>
  <c r="O110" i="68"/>
  <c r="R85" i="67"/>
  <c r="AA85" i="67"/>
  <c r="AF85" i="67" s="1"/>
  <c r="A88" i="67"/>
  <c r="X85" i="67"/>
  <c r="U85" i="67"/>
  <c r="AA42" i="67"/>
  <c r="AF42" i="67" s="1"/>
  <c r="A45" i="67"/>
  <c r="R42" i="67"/>
  <c r="U42" i="67"/>
  <c r="X42" i="67"/>
  <c r="R46" i="66"/>
  <c r="A49" i="66"/>
  <c r="AA46" i="66"/>
  <c r="AF46" i="66" s="1"/>
  <c r="X46" i="66"/>
  <c r="U46" i="66"/>
  <c r="O113" i="68" l="1"/>
  <c r="O52" i="68"/>
  <c r="R88" i="67"/>
  <c r="A91" i="67"/>
  <c r="AA45" i="67"/>
  <c r="AF45" i="67" s="1"/>
  <c r="U45" i="67"/>
  <c r="X45" i="67"/>
  <c r="A48" i="67"/>
  <c r="R45" i="67"/>
  <c r="R49" i="66"/>
  <c r="A52" i="66"/>
  <c r="O55" i="68" l="1"/>
  <c r="R52" i="68"/>
  <c r="R91" i="67"/>
  <c r="A94" i="67"/>
  <c r="A51" i="67"/>
  <c r="R48" i="67"/>
  <c r="R52" i="66"/>
  <c r="A55" i="66"/>
  <c r="R55" i="68" l="1"/>
  <c r="A97" i="67"/>
  <c r="R94" i="67"/>
  <c r="A54" i="67"/>
  <c r="R51" i="67"/>
  <c r="R55" i="66"/>
  <c r="A58" i="66"/>
  <c r="A61" i="68" l="1"/>
  <c r="O58" i="68"/>
  <c r="A100" i="67"/>
  <c r="A57" i="67"/>
  <c r="R54" i="67"/>
  <c r="A61" i="66"/>
  <c r="A64" i="68" l="1"/>
  <c r="O64" i="68" s="1"/>
  <c r="O61" i="68"/>
  <c r="A103" i="67"/>
  <c r="A60" i="67"/>
  <c r="A64" i="66"/>
  <c r="A106" i="67" l="1"/>
  <c r="A63" i="67"/>
  <c r="A67" i="66"/>
  <c r="A66" i="67" l="1"/>
  <c r="A88" i="65" l="1"/>
  <c r="J81" i="65"/>
  <c r="J84" i="65" s="1"/>
  <c r="J79" i="65"/>
  <c r="J82" i="65" s="1"/>
  <c r="J85" i="65" s="1"/>
  <c r="J77" i="65"/>
  <c r="J80" i="65" s="1"/>
  <c r="J83" i="65" s="1"/>
  <c r="AA31" i="65"/>
  <c r="AI35" i="65" s="1"/>
  <c r="H29" i="65"/>
  <c r="N15" i="65"/>
  <c r="G15" i="65"/>
  <c r="AA12" i="65"/>
  <c r="AA11" i="65"/>
  <c r="AA10" i="65"/>
  <c r="G10" i="65"/>
  <c r="AA9" i="65"/>
  <c r="AA8" i="65"/>
  <c r="G8" i="65"/>
  <c r="AA7" i="65"/>
  <c r="G7" i="65"/>
  <c r="AA6" i="65"/>
  <c r="G6" i="65"/>
  <c r="AA5" i="65"/>
  <c r="G5" i="65"/>
  <c r="AA4" i="65"/>
  <c r="G4" i="65"/>
  <c r="AF127" i="64"/>
  <c r="AJ127" i="64" s="1"/>
  <c r="O109" i="64"/>
  <c r="O110" i="64" s="1"/>
  <c r="O111" i="64" s="1"/>
  <c r="O112" i="64" s="1"/>
  <c r="O113" i="64" s="1"/>
  <c r="O114" i="64" s="1"/>
  <c r="O115" i="64" s="1"/>
  <c r="O116" i="64" s="1"/>
  <c r="O117" i="64" s="1"/>
  <c r="O118" i="64" s="1"/>
  <c r="O120" i="64" s="1"/>
  <c r="O121" i="64" s="1"/>
  <c r="O122" i="64" s="1"/>
  <c r="O123" i="64" s="1"/>
  <c r="O124" i="64" s="1"/>
  <c r="O125" i="64" s="1"/>
  <c r="L109" i="64"/>
  <c r="L110" i="64" s="1"/>
  <c r="L111" i="64" s="1"/>
  <c r="L112" i="64" s="1"/>
  <c r="L113" i="64" s="1"/>
  <c r="L114" i="64" s="1"/>
  <c r="L115" i="64" s="1"/>
  <c r="L116" i="64" s="1"/>
  <c r="L117" i="64" s="1"/>
  <c r="L118" i="64" s="1"/>
  <c r="L120" i="64" s="1"/>
  <c r="L121" i="64" s="1"/>
  <c r="L122" i="64" s="1"/>
  <c r="L123" i="64" s="1"/>
  <c r="L124" i="64" s="1"/>
  <c r="L125" i="64" s="1"/>
  <c r="A92" i="64"/>
  <c r="A93" i="64" s="1"/>
  <c r="A94" i="64" s="1"/>
  <c r="A95" i="64" s="1"/>
  <c r="A96" i="64" s="1"/>
  <c r="A97" i="64" s="1"/>
  <c r="A98" i="64" s="1"/>
  <c r="A99" i="64" s="1"/>
  <c r="A100" i="64" s="1"/>
  <c r="A101" i="64" s="1"/>
  <c r="A102" i="64" s="1"/>
  <c r="A103" i="64" s="1"/>
  <c r="A104" i="64" s="1"/>
  <c r="A105" i="64" s="1"/>
  <c r="A106" i="64" s="1"/>
  <c r="A107" i="64" s="1"/>
  <c r="A108" i="64" s="1"/>
  <c r="A109" i="64" s="1"/>
  <c r="A110" i="64" s="1"/>
  <c r="A111" i="64" s="1"/>
  <c r="A112" i="64" s="1"/>
  <c r="A113" i="64" s="1"/>
  <c r="A114" i="64" s="1"/>
  <c r="A115" i="64" s="1"/>
  <c r="A116" i="64" s="1"/>
  <c r="A117" i="64" s="1"/>
  <c r="A118" i="64" s="1"/>
  <c r="X91" i="64"/>
  <c r="O91" i="64"/>
  <c r="O92" i="64" s="1"/>
  <c r="O93" i="64" s="1"/>
  <c r="O94" i="64" s="1"/>
  <c r="O95" i="64" s="1"/>
  <c r="O96" i="64" s="1"/>
  <c r="O97" i="64" s="1"/>
  <c r="O98" i="64" s="1"/>
  <c r="O99" i="64" s="1"/>
  <c r="O100" i="64" s="1"/>
  <c r="L91" i="64"/>
  <c r="L92" i="64" s="1"/>
  <c r="L93" i="64" s="1"/>
  <c r="L94" i="64" s="1"/>
  <c r="L95" i="64" s="1"/>
  <c r="L96" i="64" s="1"/>
  <c r="L97" i="64" s="1"/>
  <c r="L98" i="64" s="1"/>
  <c r="L99" i="64" s="1"/>
  <c r="L100" i="64" s="1"/>
  <c r="A88" i="64"/>
  <c r="J81" i="64"/>
  <c r="J84" i="64" s="1"/>
  <c r="J79" i="64"/>
  <c r="J82" i="64" s="1"/>
  <c r="J85" i="64" s="1"/>
  <c r="J77" i="64"/>
  <c r="J80" i="64" s="1"/>
  <c r="J83" i="64" s="1"/>
  <c r="O46" i="64"/>
  <c r="O49" i="64" s="1"/>
  <c r="O55" i="64" s="1"/>
  <c r="O58" i="64" s="1"/>
  <c r="O64" i="64" s="1"/>
  <c r="O67" i="64" s="1"/>
  <c r="O43" i="64"/>
  <c r="AA31" i="64"/>
  <c r="H29" i="64"/>
  <c r="N15" i="64"/>
  <c r="G15" i="64"/>
  <c r="AA12" i="64"/>
  <c r="AA11" i="64"/>
  <c r="AA10" i="64"/>
  <c r="G10" i="64"/>
  <c r="AA9" i="64"/>
  <c r="AA8" i="64"/>
  <c r="G8" i="64"/>
  <c r="AA7" i="64"/>
  <c r="G7" i="64"/>
  <c r="AA6" i="64"/>
  <c r="G6" i="64"/>
  <c r="AA5" i="64"/>
  <c r="G5" i="64"/>
  <c r="AA4" i="64"/>
  <c r="G4" i="64"/>
  <c r="AI72" i="65" l="1"/>
  <c r="A40" i="65"/>
  <c r="L126" i="64"/>
  <c r="L119" i="64"/>
  <c r="O126" i="64"/>
  <c r="O119" i="64"/>
  <c r="X92" i="64"/>
  <c r="L102" i="64"/>
  <c r="L103" i="64" s="1"/>
  <c r="L104" i="64" s="1"/>
  <c r="L105" i="64" s="1"/>
  <c r="L106" i="64" s="1"/>
  <c r="L107" i="64" s="1"/>
  <c r="L108" i="64" s="1"/>
  <c r="L101" i="64"/>
  <c r="O102" i="64"/>
  <c r="O103" i="64" s="1"/>
  <c r="O104" i="64" s="1"/>
  <c r="O105" i="64" s="1"/>
  <c r="O106" i="64" s="1"/>
  <c r="O107" i="64" s="1"/>
  <c r="O108" i="64" s="1"/>
  <c r="O101" i="64"/>
  <c r="AI77" i="65"/>
  <c r="AI80" i="65" s="1"/>
  <c r="AI35" i="64"/>
  <c r="AI77" i="64"/>
  <c r="AI80" i="64" s="1"/>
  <c r="A43" i="65" l="1"/>
  <c r="R40" i="65"/>
  <c r="U40" i="65"/>
  <c r="X40" i="65"/>
  <c r="AA40" i="65"/>
  <c r="AF40" i="65" s="1"/>
  <c r="AI72" i="64"/>
  <c r="A67" i="64"/>
  <c r="A64" i="64"/>
  <c r="A61" i="64"/>
  <c r="A58" i="64"/>
  <c r="A55" i="64"/>
  <c r="A52" i="64"/>
  <c r="AI83" i="65"/>
  <c r="AK83" i="65" s="1"/>
  <c r="AK80" i="65"/>
  <c r="X93" i="64"/>
  <c r="AI83" i="64"/>
  <c r="AK83" i="64" s="1"/>
  <c r="AK80" i="64"/>
  <c r="A46" i="65" l="1"/>
  <c r="R43" i="65"/>
  <c r="AA43" i="65"/>
  <c r="AF43" i="65" s="1"/>
  <c r="X43" i="65"/>
  <c r="U43" i="65"/>
  <c r="R55" i="64"/>
  <c r="R52" i="64"/>
  <c r="X94" i="64"/>
  <c r="A49" i="65" l="1"/>
  <c r="R46" i="65"/>
  <c r="U46" i="65"/>
  <c r="AA46" i="65"/>
  <c r="AF46" i="65" s="1"/>
  <c r="X46" i="65"/>
  <c r="X95" i="64"/>
  <c r="R49" i="65" l="1"/>
  <c r="A52" i="65"/>
  <c r="X96" i="64"/>
  <c r="A55" i="65" l="1"/>
  <c r="R52" i="65"/>
  <c r="X97" i="64"/>
  <c r="A58" i="65" l="1"/>
  <c r="R55" i="65"/>
  <c r="X98" i="64"/>
  <c r="A61" i="65" l="1"/>
  <c r="X99" i="64"/>
  <c r="A64" i="65" l="1"/>
  <c r="X101" i="64"/>
  <c r="X100" i="64"/>
  <c r="A67" i="65" l="1"/>
  <c r="X102" i="64"/>
  <c r="X103" i="64" l="1"/>
  <c r="X104" i="64" l="1"/>
  <c r="X105" i="64" l="1"/>
  <c r="AF129" i="63" l="1"/>
  <c r="AJ129" i="63" s="1"/>
  <c r="O111" i="63"/>
  <c r="O112" i="63" s="1"/>
  <c r="O113" i="63" s="1"/>
  <c r="O114" i="63" s="1"/>
  <c r="O115" i="63" s="1"/>
  <c r="O116" i="63" s="1"/>
  <c r="O117" i="63" s="1"/>
  <c r="O118" i="63" s="1"/>
  <c r="O119" i="63" s="1"/>
  <c r="O120" i="63" s="1"/>
  <c r="O122" i="63" s="1"/>
  <c r="O123" i="63" s="1"/>
  <c r="O124" i="63" s="1"/>
  <c r="O125" i="63" s="1"/>
  <c r="O126" i="63" s="1"/>
  <c r="O127" i="63" s="1"/>
  <c r="L111" i="63"/>
  <c r="L112" i="63" s="1"/>
  <c r="L113" i="63" s="1"/>
  <c r="L114" i="63" s="1"/>
  <c r="L115" i="63" s="1"/>
  <c r="L116" i="63" s="1"/>
  <c r="L117" i="63" s="1"/>
  <c r="L118" i="63" s="1"/>
  <c r="L119" i="63" s="1"/>
  <c r="L120" i="63" s="1"/>
  <c r="L122" i="63" s="1"/>
  <c r="L123" i="63" s="1"/>
  <c r="L124" i="63" s="1"/>
  <c r="L125" i="63" s="1"/>
  <c r="L126" i="63" s="1"/>
  <c r="L127" i="63" s="1"/>
  <c r="A94" i="63"/>
  <c r="X93" i="63"/>
  <c r="O93" i="63"/>
  <c r="O94" i="63" s="1"/>
  <c r="O95" i="63" s="1"/>
  <c r="O96" i="63" s="1"/>
  <c r="O97" i="63" s="1"/>
  <c r="O98" i="63" s="1"/>
  <c r="O99" i="63" s="1"/>
  <c r="O100" i="63" s="1"/>
  <c r="O101" i="63" s="1"/>
  <c r="O102" i="63" s="1"/>
  <c r="L93" i="63"/>
  <c r="L94" i="63" s="1"/>
  <c r="L95" i="63" s="1"/>
  <c r="L96" i="63" s="1"/>
  <c r="L97" i="63" s="1"/>
  <c r="L98" i="63" s="1"/>
  <c r="L99" i="63" s="1"/>
  <c r="L100" i="63" s="1"/>
  <c r="L101" i="63" s="1"/>
  <c r="L102" i="63" s="1"/>
  <c r="A90" i="63"/>
  <c r="J81" i="63"/>
  <c r="J84" i="63" s="1"/>
  <c r="J79" i="63"/>
  <c r="J82" i="63" s="1"/>
  <c r="J85" i="63" s="1"/>
  <c r="J77" i="63"/>
  <c r="J80" i="63" s="1"/>
  <c r="J83" i="63" s="1"/>
  <c r="O46" i="63"/>
  <c r="O49" i="63" s="1"/>
  <c r="O43" i="63"/>
  <c r="AA31" i="63"/>
  <c r="H29" i="63"/>
  <c r="N15" i="63"/>
  <c r="G15" i="63"/>
  <c r="AA12" i="63"/>
  <c r="AA11" i="63"/>
  <c r="AA10" i="63"/>
  <c r="G10" i="63"/>
  <c r="AA9" i="63"/>
  <c r="AA8" i="63"/>
  <c r="G8" i="63"/>
  <c r="AA7" i="63"/>
  <c r="G7" i="63"/>
  <c r="AA6" i="63"/>
  <c r="G6" i="63"/>
  <c r="AA5" i="63"/>
  <c r="G5" i="63"/>
  <c r="AA4" i="63"/>
  <c r="G4" i="63"/>
  <c r="O61" i="62"/>
  <c r="AF135" i="62"/>
  <c r="AJ135" i="62" s="1"/>
  <c r="O117" i="62"/>
  <c r="O118" i="62" s="1"/>
  <c r="O119" i="62" s="1"/>
  <c r="O120" i="62" s="1"/>
  <c r="O121" i="62" s="1"/>
  <c r="O122" i="62" s="1"/>
  <c r="O123" i="62" s="1"/>
  <c r="O124" i="62" s="1"/>
  <c r="O125" i="62" s="1"/>
  <c r="O126" i="62" s="1"/>
  <c r="O128" i="62" s="1"/>
  <c r="O129" i="62" s="1"/>
  <c r="O130" i="62" s="1"/>
  <c r="O131" i="62" s="1"/>
  <c r="O132" i="62" s="1"/>
  <c r="L117" i="62"/>
  <c r="L118" i="62" s="1"/>
  <c r="L119" i="62" s="1"/>
  <c r="L120" i="62" s="1"/>
  <c r="L121" i="62" s="1"/>
  <c r="L122" i="62" s="1"/>
  <c r="L123" i="62" s="1"/>
  <c r="L124" i="62" s="1"/>
  <c r="L125" i="62" s="1"/>
  <c r="L126" i="62" s="1"/>
  <c r="L128" i="62" s="1"/>
  <c r="L129" i="62" s="1"/>
  <c r="L130" i="62" s="1"/>
  <c r="L131" i="62" s="1"/>
  <c r="L132" i="62" s="1"/>
  <c r="A100" i="62"/>
  <c r="X99" i="62"/>
  <c r="O99" i="62"/>
  <c r="O100" i="62" s="1"/>
  <c r="O101" i="62" s="1"/>
  <c r="O102" i="62" s="1"/>
  <c r="O103" i="62" s="1"/>
  <c r="O104" i="62" s="1"/>
  <c r="O105" i="62" s="1"/>
  <c r="O106" i="62" s="1"/>
  <c r="O107" i="62" s="1"/>
  <c r="O108" i="62" s="1"/>
  <c r="L99" i="62"/>
  <c r="L100" i="62" s="1"/>
  <c r="L101" i="62" s="1"/>
  <c r="L102" i="62" s="1"/>
  <c r="L103" i="62" s="1"/>
  <c r="L104" i="62" s="1"/>
  <c r="L105" i="62" s="1"/>
  <c r="L106" i="62" s="1"/>
  <c r="L107" i="62" s="1"/>
  <c r="L108" i="62" s="1"/>
  <c r="A96" i="62"/>
  <c r="J88" i="62"/>
  <c r="J91" i="62" s="1"/>
  <c r="J86" i="62"/>
  <c r="J89" i="62" s="1"/>
  <c r="J92" i="62" s="1"/>
  <c r="J84" i="62"/>
  <c r="J87" i="62" s="1"/>
  <c r="J90" i="62" s="1"/>
  <c r="O64" i="62"/>
  <c r="O67" i="62" s="1"/>
  <c r="AA31" i="62"/>
  <c r="AI35" i="62" s="1"/>
  <c r="H29" i="62"/>
  <c r="N15" i="62"/>
  <c r="G15" i="62"/>
  <c r="AA12" i="62"/>
  <c r="AA11" i="62"/>
  <c r="AA10" i="62"/>
  <c r="G10" i="62"/>
  <c r="AA9" i="62"/>
  <c r="AA8" i="62"/>
  <c r="G8" i="62"/>
  <c r="AA7" i="62"/>
  <c r="G7" i="62"/>
  <c r="AA6" i="62"/>
  <c r="G6" i="62"/>
  <c r="AA5" i="62"/>
  <c r="G5" i="62"/>
  <c r="AA4" i="62"/>
  <c r="G4" i="62"/>
  <c r="X94" i="63" l="1"/>
  <c r="A95" i="63"/>
  <c r="A96" i="63" s="1"/>
  <c r="A97" i="63" s="1"/>
  <c r="A98" i="63" s="1"/>
  <c r="A99" i="63" s="1"/>
  <c r="A100" i="63" s="1"/>
  <c r="A101" i="63" s="1"/>
  <c r="A102" i="63" s="1"/>
  <c r="A103" i="63" s="1"/>
  <c r="A104" i="63" s="1"/>
  <c r="A105" i="63" s="1"/>
  <c r="A106" i="63" s="1"/>
  <c r="A107" i="63" s="1"/>
  <c r="A108" i="63" s="1"/>
  <c r="A109" i="63" s="1"/>
  <c r="A110" i="63" s="1"/>
  <c r="A111" i="63" s="1"/>
  <c r="A112" i="63" s="1"/>
  <c r="A113" i="63" s="1"/>
  <c r="A114" i="63" s="1"/>
  <c r="A115" i="63" s="1"/>
  <c r="A116" i="63" s="1"/>
  <c r="A117" i="63" s="1"/>
  <c r="A118" i="63" s="1"/>
  <c r="A119" i="63" s="1"/>
  <c r="A120" i="63" s="1"/>
  <c r="A121" i="63" s="1"/>
  <c r="A122" i="63" s="1"/>
  <c r="A123" i="63" s="1"/>
  <c r="A124" i="63" s="1"/>
  <c r="A125" i="63" s="1"/>
  <c r="A126" i="63" s="1"/>
  <c r="A127" i="63" s="1"/>
  <c r="A128" i="63" s="1"/>
  <c r="A129" i="63" s="1"/>
  <c r="L128" i="63"/>
  <c r="L121" i="63"/>
  <c r="O128" i="63"/>
  <c r="O121" i="63"/>
  <c r="L104" i="63"/>
  <c r="L105" i="63" s="1"/>
  <c r="L106" i="63" s="1"/>
  <c r="L107" i="63" s="1"/>
  <c r="L108" i="63" s="1"/>
  <c r="L109" i="63" s="1"/>
  <c r="L110" i="63" s="1"/>
  <c r="L103" i="63"/>
  <c r="O104" i="63"/>
  <c r="O105" i="63" s="1"/>
  <c r="O106" i="63" s="1"/>
  <c r="O107" i="63" s="1"/>
  <c r="O108" i="63" s="1"/>
  <c r="O109" i="63" s="1"/>
  <c r="O110" i="63" s="1"/>
  <c r="O103" i="63"/>
  <c r="L133" i="62"/>
  <c r="L134" i="62" s="1"/>
  <c r="L127" i="62"/>
  <c r="O133" i="62"/>
  <c r="O134" i="62" s="1"/>
  <c r="O127" i="62"/>
  <c r="L110" i="62"/>
  <c r="L111" i="62" s="1"/>
  <c r="L112" i="62" s="1"/>
  <c r="L113" i="62" s="1"/>
  <c r="L114" i="62" s="1"/>
  <c r="L115" i="62" s="1"/>
  <c r="L116" i="62" s="1"/>
  <c r="L109" i="62"/>
  <c r="O110" i="62"/>
  <c r="O111" i="62" s="1"/>
  <c r="O112" i="62" s="1"/>
  <c r="O113" i="62" s="1"/>
  <c r="O114" i="62" s="1"/>
  <c r="O115" i="62" s="1"/>
  <c r="O116" i="62" s="1"/>
  <c r="O109" i="62"/>
  <c r="A55" i="62"/>
  <c r="A52" i="62"/>
  <c r="A49" i="62"/>
  <c r="A46" i="62"/>
  <c r="A43" i="62"/>
  <c r="A40" i="62"/>
  <c r="AI77" i="63"/>
  <c r="AI80" i="63" s="1"/>
  <c r="AI83" i="63" s="1"/>
  <c r="AK83" i="63" s="1"/>
  <c r="AI35" i="63"/>
  <c r="AI79" i="62"/>
  <c r="AI58" i="62"/>
  <c r="X100" i="62"/>
  <c r="AI84" i="62"/>
  <c r="AI87" i="62" s="1"/>
  <c r="C163" i="13"/>
  <c r="C164" i="13"/>
  <c r="C165" i="13"/>
  <c r="C166" i="13"/>
  <c r="C162" i="13"/>
  <c r="O111" i="13"/>
  <c r="O112" i="13"/>
  <c r="O113" i="13"/>
  <c r="O114" i="13"/>
  <c r="O115" i="13"/>
  <c r="O116" i="13"/>
  <c r="O117" i="13"/>
  <c r="O118" i="13"/>
  <c r="O107" i="13"/>
  <c r="O108" i="13"/>
  <c r="O109" i="13"/>
  <c r="O110" i="13"/>
  <c r="O106" i="13"/>
  <c r="AA40" i="62" l="1"/>
  <c r="AF40" i="62" s="1"/>
  <c r="X40" i="62"/>
  <c r="R40" i="62"/>
  <c r="U40" i="62"/>
  <c r="AA43" i="62"/>
  <c r="AF43" i="62" s="1"/>
  <c r="U43" i="62"/>
  <c r="R43" i="62"/>
  <c r="X43" i="62"/>
  <c r="U46" i="62"/>
  <c r="R46" i="62"/>
  <c r="AA46" i="62"/>
  <c r="AF46" i="62" s="1"/>
  <c r="X46" i="62"/>
  <c r="R49" i="62"/>
  <c r="R52" i="62"/>
  <c r="R55" i="62"/>
  <c r="AK80" i="63"/>
  <c r="AI64" i="62"/>
  <c r="AI67" i="62" s="1"/>
  <c r="AI61" i="62"/>
  <c r="X95" i="63"/>
  <c r="AI72" i="63"/>
  <c r="AI90" i="62"/>
  <c r="AK90" i="62" s="1"/>
  <c r="AK87" i="62"/>
  <c r="X101" i="62"/>
  <c r="X96" i="63" l="1"/>
  <c r="X102" i="62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X97" i="63" l="1"/>
  <c r="X103" i="62"/>
  <c r="X98" i="63" l="1"/>
  <c r="X104" i="62"/>
  <c r="X99" i="63" l="1"/>
  <c r="X105" i="62"/>
  <c r="D166" i="7"/>
  <c r="D164" i="7"/>
  <c r="D162" i="7"/>
  <c r="D168" i="7"/>
  <c r="D160" i="7"/>
  <c r="X100" i="63" l="1"/>
  <c r="X106" i="62"/>
  <c r="AX69" i="5"/>
  <c r="BC69" i="5" s="1"/>
  <c r="AX59" i="5"/>
  <c r="BC59" i="5" s="1"/>
  <c r="AX58" i="5"/>
  <c r="BC58" i="5" s="1"/>
  <c r="X101" i="63" l="1"/>
  <c r="X107" i="62"/>
  <c r="AX68" i="5"/>
  <c r="BC68" i="5" s="1"/>
  <c r="AX65" i="5"/>
  <c r="BC65" i="5" s="1"/>
  <c r="AX66" i="5"/>
  <c r="BC66" i="5" s="1"/>
  <c r="AX62" i="5"/>
  <c r="BC62" i="5" s="1"/>
  <c r="AX63" i="5"/>
  <c r="BC63" i="5" s="1"/>
  <c r="AX64" i="5"/>
  <c r="BC64" i="5" s="1"/>
  <c r="AX61" i="5"/>
  <c r="BC61" i="5" s="1"/>
  <c r="X103" i="63" l="1"/>
  <c r="X109" i="62"/>
  <c r="A128" i="64"/>
  <c r="X102" i="63"/>
  <c r="X108" i="62"/>
  <c r="X104" i="63" l="1"/>
  <c r="X110" i="62"/>
  <c r="AX12" i="5"/>
  <c r="BC12" i="5" s="1"/>
  <c r="AX11" i="5"/>
  <c r="BC11" i="5" s="1"/>
  <c r="X105" i="63" l="1"/>
  <c r="X111" i="62"/>
  <c r="X107" i="64" l="1"/>
  <c r="X106" i="64"/>
  <c r="X106" i="63"/>
  <c r="X112" i="62"/>
  <c r="X14" i="19"/>
  <c r="X107" i="63" l="1"/>
  <c r="X113" i="62"/>
  <c r="X108" i="63" l="1"/>
  <c r="X114" i="62"/>
  <c r="R84" i="7"/>
  <c r="R85" i="7"/>
  <c r="R86" i="7"/>
  <c r="Q84" i="7"/>
  <c r="Q85" i="7"/>
  <c r="Q86" i="7"/>
  <c r="P84" i="7"/>
  <c r="P85" i="7"/>
  <c r="P86" i="7"/>
  <c r="O85" i="7"/>
  <c r="O86" i="7"/>
  <c r="O84" i="7"/>
  <c r="X109" i="63" l="1"/>
  <c r="X115" i="62"/>
  <c r="AX19" i="5"/>
  <c r="BC19" i="5" s="1"/>
  <c r="J183" i="44" l="1"/>
  <c r="J186" i="44" s="1"/>
  <c r="J181" i="44"/>
  <c r="J184" i="44" s="1"/>
  <c r="J187" i="44" s="1"/>
  <c r="J179" i="44"/>
  <c r="J182" i="44" s="1"/>
  <c r="J185" i="44" s="1"/>
  <c r="J127" i="44"/>
  <c r="J130" i="44" s="1"/>
  <c r="J125" i="44"/>
  <c r="J128" i="44" s="1"/>
  <c r="J131" i="44" s="1"/>
  <c r="J123" i="44"/>
  <c r="J126" i="44" s="1"/>
  <c r="J129" i="44" s="1"/>
  <c r="J166" i="44"/>
  <c r="J169" i="44" s="1"/>
  <c r="J164" i="44"/>
  <c r="J162" i="44"/>
  <c r="J165" i="44" s="1"/>
  <c r="J168" i="44" s="1"/>
  <c r="J157" i="44"/>
  <c r="J160" i="44" s="1"/>
  <c r="J155" i="44"/>
  <c r="J158" i="44" s="1"/>
  <c r="J161" i="44" s="1"/>
  <c r="J153" i="44"/>
  <c r="J156" i="44" s="1"/>
  <c r="J159" i="44" s="1"/>
  <c r="J148" i="44"/>
  <c r="J151" i="44" s="1"/>
  <c r="AK153" i="44"/>
  <c r="AK156" i="44" s="1"/>
  <c r="AK159" i="44" s="1"/>
  <c r="AI153" i="44"/>
  <c r="AI156" i="44" s="1"/>
  <c r="AI159" i="44" s="1"/>
  <c r="J146" i="44"/>
  <c r="J149" i="44" s="1"/>
  <c r="J152" i="44" s="1"/>
  <c r="J144" i="44"/>
  <c r="J147" i="44" s="1"/>
  <c r="J150" i="44" s="1"/>
  <c r="AA135" i="44"/>
  <c r="AI139" i="44" s="1"/>
  <c r="AI174" i="44" s="1"/>
  <c r="O93" i="13"/>
  <c r="AI179" i="44" l="1"/>
  <c r="AI182" i="44" s="1"/>
  <c r="AI123" i="44"/>
  <c r="AI126" i="44" s="1"/>
  <c r="AI162" i="44"/>
  <c r="AI165" i="44" s="1"/>
  <c r="AI168" i="44" s="1"/>
  <c r="J167" i="44"/>
  <c r="J170" i="44" s="1"/>
  <c r="AI185" i="44" l="1"/>
  <c r="AK185" i="44" s="1"/>
  <c r="AK182" i="44"/>
  <c r="AK126" i="44"/>
  <c r="AI129" i="44"/>
  <c r="AK129" i="44" s="1"/>
  <c r="J239" i="40" l="1"/>
  <c r="J242" i="40" s="1"/>
  <c r="J237" i="40"/>
  <c r="J235" i="40"/>
  <c r="J238" i="40" s="1"/>
  <c r="J241" i="40" s="1"/>
  <c r="AI235" i="40" l="1"/>
  <c r="AI238" i="40" s="1"/>
  <c r="AI241" i="40" s="1"/>
  <c r="AK241" i="40" s="1"/>
  <c r="J240" i="40"/>
  <c r="J243" i="40" s="1"/>
  <c r="AK238" i="40" l="1"/>
  <c r="AX48" i="5" l="1"/>
  <c r="BC48" i="5" s="1"/>
  <c r="A130" i="63" l="1"/>
  <c r="A136" i="62"/>
  <c r="AG81" i="19"/>
  <c r="AF65" i="19"/>
  <c r="X98" i="8" l="1"/>
  <c r="X99" i="8"/>
  <c r="X100" i="8"/>
  <c r="X101" i="8"/>
  <c r="AX24" i="5" l="1"/>
  <c r="BC24" i="5" s="1"/>
  <c r="P157" i="7" l="1"/>
  <c r="Y98" i="8"/>
  <c r="Z98" i="8"/>
  <c r="AA98" i="8"/>
  <c r="Y99" i="8"/>
  <c r="Z99" i="8"/>
  <c r="AA99" i="8"/>
  <c r="Y100" i="8"/>
  <c r="Z100" i="8"/>
  <c r="AA100" i="8"/>
  <c r="Y101" i="8"/>
  <c r="Z101" i="8"/>
  <c r="AA101" i="8"/>
  <c r="D167" i="7"/>
  <c r="D159" i="7"/>
  <c r="D165" i="7"/>
  <c r="D163" i="7"/>
  <c r="J158" i="7"/>
  <c r="D161" i="7"/>
  <c r="T4" i="7" l="1"/>
  <c r="J63" i="50" l="1"/>
  <c r="J66" i="50" s="1"/>
  <c r="J61" i="50"/>
  <c r="J59" i="50"/>
  <c r="J62" i="50" s="1"/>
  <c r="J65" i="50" s="1"/>
  <c r="AF216" i="50"/>
  <c r="AJ216" i="50" s="1"/>
  <c r="O198" i="50"/>
  <c r="O199" i="50" s="1"/>
  <c r="O200" i="50" s="1"/>
  <c r="O201" i="50" s="1"/>
  <c r="O202" i="50" s="1"/>
  <c r="O203" i="50" s="1"/>
  <c r="O204" i="50" s="1"/>
  <c r="O205" i="50" s="1"/>
  <c r="O206" i="50" s="1"/>
  <c r="O207" i="50" s="1"/>
  <c r="O209" i="50" s="1"/>
  <c r="O210" i="50" s="1"/>
  <c r="O211" i="50" s="1"/>
  <c r="O212" i="50" s="1"/>
  <c r="O213" i="50" s="1"/>
  <c r="L198" i="50"/>
  <c r="L199" i="50" s="1"/>
  <c r="L200" i="50" s="1"/>
  <c r="L201" i="50" s="1"/>
  <c r="L202" i="50" s="1"/>
  <c r="L203" i="50" s="1"/>
  <c r="L204" i="50" s="1"/>
  <c r="L205" i="50" s="1"/>
  <c r="L206" i="50" s="1"/>
  <c r="L207" i="50" s="1"/>
  <c r="L209" i="50" s="1"/>
  <c r="L210" i="50" s="1"/>
  <c r="L211" i="50" s="1"/>
  <c r="L212" i="50" s="1"/>
  <c r="L213" i="50" s="1"/>
  <c r="A181" i="50"/>
  <c r="A182" i="50" s="1"/>
  <c r="A183" i="50" s="1"/>
  <c r="A184" i="50" s="1"/>
  <c r="A185" i="50" s="1"/>
  <c r="A186" i="50" s="1"/>
  <c r="A187" i="50" s="1"/>
  <c r="A188" i="50" s="1"/>
  <c r="A189" i="50" s="1"/>
  <c r="A190" i="50" s="1"/>
  <c r="O180" i="50"/>
  <c r="O181" i="50" s="1"/>
  <c r="O182" i="50" s="1"/>
  <c r="O183" i="50" s="1"/>
  <c r="O184" i="50" s="1"/>
  <c r="O185" i="50" s="1"/>
  <c r="O186" i="50" s="1"/>
  <c r="O187" i="50" s="1"/>
  <c r="O188" i="50" s="1"/>
  <c r="O189" i="50" s="1"/>
  <c r="L180" i="50"/>
  <c r="L181" i="50" s="1"/>
  <c r="L182" i="50" s="1"/>
  <c r="L183" i="50" s="1"/>
  <c r="L184" i="50" s="1"/>
  <c r="L185" i="50" s="1"/>
  <c r="L186" i="50" s="1"/>
  <c r="L187" i="50" s="1"/>
  <c r="L188" i="50" s="1"/>
  <c r="L189" i="50" s="1"/>
  <c r="AF231" i="47"/>
  <c r="AJ231" i="47" s="1"/>
  <c r="O213" i="47"/>
  <c r="O214" i="47" s="1"/>
  <c r="O215" i="47" s="1"/>
  <c r="O216" i="47" s="1"/>
  <c r="O217" i="47" s="1"/>
  <c r="O218" i="47" s="1"/>
  <c r="O219" i="47" s="1"/>
  <c r="O220" i="47" s="1"/>
  <c r="O221" i="47" s="1"/>
  <c r="O222" i="47" s="1"/>
  <c r="O224" i="47" s="1"/>
  <c r="O225" i="47" s="1"/>
  <c r="O226" i="47" s="1"/>
  <c r="O227" i="47" s="1"/>
  <c r="O228" i="47" s="1"/>
  <c r="L213" i="47"/>
  <c r="L214" i="47" s="1"/>
  <c r="L215" i="47" s="1"/>
  <c r="L216" i="47" s="1"/>
  <c r="L217" i="47" s="1"/>
  <c r="L218" i="47" s="1"/>
  <c r="L219" i="47" s="1"/>
  <c r="L220" i="47" s="1"/>
  <c r="L221" i="47" s="1"/>
  <c r="L222" i="47" s="1"/>
  <c r="L224" i="47" s="1"/>
  <c r="L225" i="47" s="1"/>
  <c r="L226" i="47" s="1"/>
  <c r="L227" i="47" s="1"/>
  <c r="L228" i="47" s="1"/>
  <c r="A196" i="47"/>
  <c r="A197" i="47" s="1"/>
  <c r="A198" i="47" s="1"/>
  <c r="A199" i="47" s="1"/>
  <c r="A200" i="47" s="1"/>
  <c r="A201" i="47" s="1"/>
  <c r="A202" i="47" s="1"/>
  <c r="A203" i="47" s="1"/>
  <c r="A204" i="47" s="1"/>
  <c r="A205" i="47" s="1"/>
  <c r="O195" i="47"/>
  <c r="O196" i="47" s="1"/>
  <c r="O197" i="47" s="1"/>
  <c r="O198" i="47" s="1"/>
  <c r="O199" i="47" s="1"/>
  <c r="O200" i="47" s="1"/>
  <c r="O201" i="47" s="1"/>
  <c r="O202" i="47" s="1"/>
  <c r="O203" i="47" s="1"/>
  <c r="O204" i="47" s="1"/>
  <c r="L195" i="47"/>
  <c r="L196" i="47" s="1"/>
  <c r="L197" i="47" s="1"/>
  <c r="L198" i="47" s="1"/>
  <c r="L199" i="47" s="1"/>
  <c r="L200" i="47" s="1"/>
  <c r="L201" i="47" s="1"/>
  <c r="L202" i="47" s="1"/>
  <c r="L203" i="47" s="1"/>
  <c r="L204" i="47" s="1"/>
  <c r="AF331" i="46"/>
  <c r="AJ331" i="46" s="1"/>
  <c r="O313" i="46"/>
  <c r="O314" i="46" s="1"/>
  <c r="O315" i="46" s="1"/>
  <c r="O316" i="46" s="1"/>
  <c r="O317" i="46" s="1"/>
  <c r="O318" i="46" s="1"/>
  <c r="O319" i="46" s="1"/>
  <c r="O320" i="46" s="1"/>
  <c r="O321" i="46" s="1"/>
  <c r="O322" i="46" s="1"/>
  <c r="O324" i="46" s="1"/>
  <c r="O325" i="46" s="1"/>
  <c r="O326" i="46" s="1"/>
  <c r="O327" i="46" s="1"/>
  <c r="O328" i="46" s="1"/>
  <c r="L313" i="46"/>
  <c r="L314" i="46" s="1"/>
  <c r="L315" i="46" s="1"/>
  <c r="L316" i="46" s="1"/>
  <c r="L317" i="46" s="1"/>
  <c r="L318" i="46" s="1"/>
  <c r="L319" i="46" s="1"/>
  <c r="L320" i="46" s="1"/>
  <c r="L321" i="46" s="1"/>
  <c r="L322" i="46" s="1"/>
  <c r="L324" i="46" s="1"/>
  <c r="L325" i="46" s="1"/>
  <c r="L326" i="46" s="1"/>
  <c r="L327" i="46" s="1"/>
  <c r="L328" i="46" s="1"/>
  <c r="A296" i="46"/>
  <c r="A297" i="46" s="1"/>
  <c r="A298" i="46" s="1"/>
  <c r="A299" i="46" s="1"/>
  <c r="A300" i="46" s="1"/>
  <c r="A301" i="46" s="1"/>
  <c r="A302" i="46" s="1"/>
  <c r="A303" i="46" s="1"/>
  <c r="A304" i="46" s="1"/>
  <c r="A305" i="46" s="1"/>
  <c r="A306" i="46" s="1"/>
  <c r="A307" i="46" s="1"/>
  <c r="A308" i="46" s="1"/>
  <c r="A309" i="46" s="1"/>
  <c r="A310" i="46" s="1"/>
  <c r="A311" i="46" s="1"/>
  <c r="A312" i="46" s="1"/>
  <c r="A313" i="46" s="1"/>
  <c r="A314" i="46" s="1"/>
  <c r="A315" i="46" s="1"/>
  <c r="A316" i="46" s="1"/>
  <c r="A317" i="46" s="1"/>
  <c r="A318" i="46" s="1"/>
  <c r="A319" i="46" s="1"/>
  <c r="A320" i="46" s="1"/>
  <c r="A321" i="46" s="1"/>
  <c r="A322" i="46" s="1"/>
  <c r="A323" i="46" s="1"/>
  <c r="O295" i="46"/>
  <c r="O296" i="46" s="1"/>
  <c r="O297" i="46" s="1"/>
  <c r="O298" i="46" s="1"/>
  <c r="O299" i="46" s="1"/>
  <c r="O300" i="46" s="1"/>
  <c r="O301" i="46" s="1"/>
  <c r="O302" i="46" s="1"/>
  <c r="O303" i="46" s="1"/>
  <c r="O304" i="46" s="1"/>
  <c r="L295" i="46"/>
  <c r="L296" i="46" s="1"/>
  <c r="L297" i="46" s="1"/>
  <c r="L298" i="46" s="1"/>
  <c r="L299" i="46" s="1"/>
  <c r="L300" i="46" s="1"/>
  <c r="L301" i="46" s="1"/>
  <c r="L302" i="46" s="1"/>
  <c r="L303" i="46" s="1"/>
  <c r="L304" i="46" s="1"/>
  <c r="AF347" i="44"/>
  <c r="AJ347" i="44" s="1"/>
  <c r="O329" i="44"/>
  <c r="O330" i="44" s="1"/>
  <c r="O331" i="44" s="1"/>
  <c r="O332" i="44" s="1"/>
  <c r="O333" i="44" s="1"/>
  <c r="O334" i="44" s="1"/>
  <c r="O335" i="44" s="1"/>
  <c r="O336" i="44" s="1"/>
  <c r="O337" i="44" s="1"/>
  <c r="O338" i="44" s="1"/>
  <c r="O340" i="44" s="1"/>
  <c r="O341" i="44" s="1"/>
  <c r="O342" i="44" s="1"/>
  <c r="O343" i="44" s="1"/>
  <c r="O344" i="44" s="1"/>
  <c r="L329" i="44"/>
  <c r="L330" i="44" s="1"/>
  <c r="L331" i="44" s="1"/>
  <c r="L332" i="44" s="1"/>
  <c r="L333" i="44" s="1"/>
  <c r="L334" i="44" s="1"/>
  <c r="L335" i="44" s="1"/>
  <c r="L336" i="44" s="1"/>
  <c r="L337" i="44" s="1"/>
  <c r="L338" i="44" s="1"/>
  <c r="L340" i="44" s="1"/>
  <c r="L341" i="44" s="1"/>
  <c r="L342" i="44" s="1"/>
  <c r="L343" i="44" s="1"/>
  <c r="L344" i="44" s="1"/>
  <c r="A312" i="44"/>
  <c r="A313" i="44" s="1"/>
  <c r="A314" i="44" s="1"/>
  <c r="A315" i="44" s="1"/>
  <c r="A316" i="44" s="1"/>
  <c r="A317" i="44" s="1"/>
  <c r="A318" i="44" s="1"/>
  <c r="A319" i="44" s="1"/>
  <c r="A320" i="44" s="1"/>
  <c r="A321" i="44" s="1"/>
  <c r="A322" i="44" s="1"/>
  <c r="A323" i="44" s="1"/>
  <c r="A324" i="44" s="1"/>
  <c r="A325" i="44" s="1"/>
  <c r="A326" i="44" s="1"/>
  <c r="A327" i="44" s="1"/>
  <c r="A328" i="44" s="1"/>
  <c r="A329" i="44" s="1"/>
  <c r="A330" i="44" s="1"/>
  <c r="A331" i="44" s="1"/>
  <c r="A332" i="44" s="1"/>
  <c r="A333" i="44" s="1"/>
  <c r="A334" i="44" s="1"/>
  <c r="A335" i="44" s="1"/>
  <c r="A336" i="44" s="1"/>
  <c r="A337" i="44" s="1"/>
  <c r="A338" i="44" s="1"/>
  <c r="A339" i="44" s="1"/>
  <c r="A340" i="44" s="1"/>
  <c r="A341" i="44" s="1"/>
  <c r="A342" i="44" s="1"/>
  <c r="A343" i="44" s="1"/>
  <c r="A344" i="44" s="1"/>
  <c r="A345" i="44" s="1"/>
  <c r="A346" i="44" s="1"/>
  <c r="A347" i="44" s="1"/>
  <c r="O311" i="44"/>
  <c r="O312" i="44" s="1"/>
  <c r="O313" i="44" s="1"/>
  <c r="O314" i="44" s="1"/>
  <c r="O315" i="44" s="1"/>
  <c r="O316" i="44" s="1"/>
  <c r="O317" i="44" s="1"/>
  <c r="O318" i="44" s="1"/>
  <c r="O319" i="44" s="1"/>
  <c r="O320" i="44" s="1"/>
  <c r="L311" i="44"/>
  <c r="L312" i="44" s="1"/>
  <c r="L313" i="44" s="1"/>
  <c r="L314" i="44" s="1"/>
  <c r="L315" i="44" s="1"/>
  <c r="L316" i="44" s="1"/>
  <c r="L317" i="44" s="1"/>
  <c r="L318" i="44" s="1"/>
  <c r="L319" i="44" s="1"/>
  <c r="L320" i="44" s="1"/>
  <c r="AF755" i="41"/>
  <c r="AJ755" i="41" s="1"/>
  <c r="O737" i="41"/>
  <c r="O738" i="41" s="1"/>
  <c r="O739" i="41" s="1"/>
  <c r="O740" i="41" s="1"/>
  <c r="O741" i="41" s="1"/>
  <c r="O742" i="41" s="1"/>
  <c r="O743" i="41" s="1"/>
  <c r="O744" i="41" s="1"/>
  <c r="O745" i="41" s="1"/>
  <c r="O746" i="41" s="1"/>
  <c r="O748" i="41" s="1"/>
  <c r="O749" i="41" s="1"/>
  <c r="O750" i="41" s="1"/>
  <c r="O751" i="41" s="1"/>
  <c r="O752" i="41" s="1"/>
  <c r="L737" i="41"/>
  <c r="L738" i="41" s="1"/>
  <c r="L739" i="41" s="1"/>
  <c r="L740" i="41" s="1"/>
  <c r="L741" i="41" s="1"/>
  <c r="L742" i="41" s="1"/>
  <c r="L743" i="41" s="1"/>
  <c r="L744" i="41" s="1"/>
  <c r="L745" i="41" s="1"/>
  <c r="L746" i="41" s="1"/>
  <c r="L748" i="41" s="1"/>
  <c r="L749" i="41" s="1"/>
  <c r="L750" i="41" s="1"/>
  <c r="L751" i="41" s="1"/>
  <c r="L752" i="41" s="1"/>
  <c r="A720" i="41"/>
  <c r="O719" i="41"/>
  <c r="O720" i="41" s="1"/>
  <c r="O721" i="41" s="1"/>
  <c r="O722" i="41" s="1"/>
  <c r="O723" i="41" s="1"/>
  <c r="O724" i="41" s="1"/>
  <c r="O725" i="41" s="1"/>
  <c r="O726" i="41" s="1"/>
  <c r="O727" i="41" s="1"/>
  <c r="O728" i="41" s="1"/>
  <c r="L719" i="41"/>
  <c r="L720" i="41" s="1"/>
  <c r="L721" i="41" s="1"/>
  <c r="L722" i="41" s="1"/>
  <c r="L723" i="41" s="1"/>
  <c r="L724" i="41" s="1"/>
  <c r="L725" i="41" s="1"/>
  <c r="L726" i="41" s="1"/>
  <c r="L727" i="41" s="1"/>
  <c r="L728" i="41" s="1"/>
  <c r="AF236" i="43"/>
  <c r="AJ236" i="43" s="1"/>
  <c r="O218" i="43"/>
  <c r="O219" i="43" s="1"/>
  <c r="O220" i="43" s="1"/>
  <c r="O221" i="43" s="1"/>
  <c r="O222" i="43" s="1"/>
  <c r="O223" i="43" s="1"/>
  <c r="O224" i="43" s="1"/>
  <c r="O225" i="43" s="1"/>
  <c r="O226" i="43" s="1"/>
  <c r="O227" i="43" s="1"/>
  <c r="O229" i="43" s="1"/>
  <c r="O230" i="43" s="1"/>
  <c r="O231" i="43" s="1"/>
  <c r="O232" i="43" s="1"/>
  <c r="O233" i="43" s="1"/>
  <c r="L218" i="43"/>
  <c r="L219" i="43" s="1"/>
  <c r="L220" i="43" s="1"/>
  <c r="L221" i="43" s="1"/>
  <c r="L222" i="43" s="1"/>
  <c r="L223" i="43" s="1"/>
  <c r="L224" i="43" s="1"/>
  <c r="L225" i="43" s="1"/>
  <c r="L226" i="43" s="1"/>
  <c r="L227" i="43" s="1"/>
  <c r="L229" i="43" s="1"/>
  <c r="L230" i="43" s="1"/>
  <c r="L231" i="43" s="1"/>
  <c r="L232" i="43" s="1"/>
  <c r="L233" i="43" s="1"/>
  <c r="A201" i="43"/>
  <c r="A202" i="43" s="1"/>
  <c r="A203" i="43" s="1"/>
  <c r="A204" i="43" s="1"/>
  <c r="A205" i="43" s="1"/>
  <c r="A206" i="43" s="1"/>
  <c r="A207" i="43" s="1"/>
  <c r="A208" i="43" s="1"/>
  <c r="A209" i="43" s="1"/>
  <c r="A210" i="43" s="1"/>
  <c r="O200" i="43"/>
  <c r="O201" i="43" s="1"/>
  <c r="O202" i="43" s="1"/>
  <c r="O203" i="43" s="1"/>
  <c r="O204" i="43" s="1"/>
  <c r="O205" i="43" s="1"/>
  <c r="O206" i="43" s="1"/>
  <c r="O207" i="43" s="1"/>
  <c r="O208" i="43" s="1"/>
  <c r="O209" i="43" s="1"/>
  <c r="L200" i="43"/>
  <c r="L201" i="43" s="1"/>
  <c r="L202" i="43" s="1"/>
  <c r="L203" i="43" s="1"/>
  <c r="L204" i="43" s="1"/>
  <c r="L205" i="43" s="1"/>
  <c r="L206" i="43" s="1"/>
  <c r="L207" i="43" s="1"/>
  <c r="L208" i="43" s="1"/>
  <c r="L209" i="43" s="1"/>
  <c r="AF284" i="40"/>
  <c r="AJ284" i="40" s="1"/>
  <c r="O266" i="40"/>
  <c r="O267" i="40" s="1"/>
  <c r="O268" i="40" s="1"/>
  <c r="O269" i="40" s="1"/>
  <c r="O270" i="40" s="1"/>
  <c r="O271" i="40" s="1"/>
  <c r="O272" i="40" s="1"/>
  <c r="O273" i="40" s="1"/>
  <c r="O274" i="40" s="1"/>
  <c r="O275" i="40" s="1"/>
  <c r="O277" i="40" s="1"/>
  <c r="O278" i="40" s="1"/>
  <c r="O279" i="40" s="1"/>
  <c r="L266" i="40"/>
  <c r="L267" i="40" s="1"/>
  <c r="L268" i="40" s="1"/>
  <c r="L269" i="40" s="1"/>
  <c r="L270" i="40" s="1"/>
  <c r="L271" i="40" s="1"/>
  <c r="L272" i="40" s="1"/>
  <c r="L273" i="40" s="1"/>
  <c r="L274" i="40" s="1"/>
  <c r="L275" i="40" s="1"/>
  <c r="L277" i="40" s="1"/>
  <c r="L278" i="40" s="1"/>
  <c r="L279" i="40" s="1"/>
  <c r="A249" i="40"/>
  <c r="A250" i="40" s="1"/>
  <c r="A251" i="40" s="1"/>
  <c r="A252" i="40" s="1"/>
  <c r="A253" i="40" s="1"/>
  <c r="A254" i="40" s="1"/>
  <c r="A255" i="40" s="1"/>
  <c r="A256" i="40" s="1"/>
  <c r="A257" i="40" s="1"/>
  <c r="A258" i="40" s="1"/>
  <c r="A259" i="40" s="1"/>
  <c r="A260" i="40" s="1"/>
  <c r="A261" i="40" s="1"/>
  <c r="A262" i="40" s="1"/>
  <c r="A263" i="40" s="1"/>
  <c r="A264" i="40" s="1"/>
  <c r="A265" i="40" s="1"/>
  <c r="A266" i="40" s="1"/>
  <c r="A267" i="40" s="1"/>
  <c r="A268" i="40" s="1"/>
  <c r="A269" i="40" s="1"/>
  <c r="A270" i="40" s="1"/>
  <c r="A271" i="40" s="1"/>
  <c r="A272" i="40" s="1"/>
  <c r="A273" i="40" s="1"/>
  <c r="A274" i="40" s="1"/>
  <c r="A275" i="40" s="1"/>
  <c r="A276" i="40" s="1"/>
  <c r="A277" i="40" s="1"/>
  <c r="A278" i="40" s="1"/>
  <c r="A279" i="40" s="1"/>
  <c r="A280" i="40" s="1"/>
  <c r="A281" i="40" s="1"/>
  <c r="A282" i="40" s="1"/>
  <c r="A283" i="40" s="1"/>
  <c r="A284" i="40" s="1"/>
  <c r="O248" i="40"/>
  <c r="O249" i="40" s="1"/>
  <c r="O250" i="40" s="1"/>
  <c r="O251" i="40" s="1"/>
  <c r="O252" i="40" s="1"/>
  <c r="O253" i="40" s="1"/>
  <c r="O254" i="40" s="1"/>
  <c r="O255" i="40" s="1"/>
  <c r="O256" i="40" s="1"/>
  <c r="O257" i="40" s="1"/>
  <c r="L248" i="40"/>
  <c r="L249" i="40" s="1"/>
  <c r="L250" i="40" s="1"/>
  <c r="L251" i="40" s="1"/>
  <c r="L252" i="40" s="1"/>
  <c r="L253" i="40" s="1"/>
  <c r="L254" i="40" s="1"/>
  <c r="L255" i="40" s="1"/>
  <c r="L256" i="40" s="1"/>
  <c r="L257" i="40" s="1"/>
  <c r="AF438" i="35"/>
  <c r="AJ438" i="35" s="1"/>
  <c r="O420" i="35"/>
  <c r="O421" i="35" s="1"/>
  <c r="O422" i="35" s="1"/>
  <c r="O423" i="35" s="1"/>
  <c r="O424" i="35" s="1"/>
  <c r="O425" i="35" s="1"/>
  <c r="O426" i="35" s="1"/>
  <c r="O427" i="35" s="1"/>
  <c r="O428" i="35" s="1"/>
  <c r="O429" i="35" s="1"/>
  <c r="O431" i="35" s="1"/>
  <c r="O432" i="35" s="1"/>
  <c r="L420" i="35"/>
  <c r="L421" i="35" s="1"/>
  <c r="L422" i="35" s="1"/>
  <c r="L423" i="35" s="1"/>
  <c r="L424" i="35" s="1"/>
  <c r="L425" i="35" s="1"/>
  <c r="L426" i="35" s="1"/>
  <c r="L427" i="35" s="1"/>
  <c r="L428" i="35" s="1"/>
  <c r="L429" i="35" s="1"/>
  <c r="L431" i="35" s="1"/>
  <c r="L432" i="35" s="1"/>
  <c r="A403" i="35"/>
  <c r="A404" i="35" s="1"/>
  <c r="A405" i="35" s="1"/>
  <c r="A406" i="35" s="1"/>
  <c r="A407" i="35" s="1"/>
  <c r="A408" i="35" s="1"/>
  <c r="A409" i="35" s="1"/>
  <c r="A410" i="35" s="1"/>
  <c r="A411" i="35" s="1"/>
  <c r="A412" i="35" s="1"/>
  <c r="A413" i="35" s="1"/>
  <c r="A414" i="35" s="1"/>
  <c r="A415" i="35" s="1"/>
  <c r="A416" i="35" s="1"/>
  <c r="A417" i="35" s="1"/>
  <c r="A418" i="35" s="1"/>
  <c r="A419" i="35" s="1"/>
  <c r="A420" i="35" s="1"/>
  <c r="A421" i="35" s="1"/>
  <c r="A422" i="35" s="1"/>
  <c r="A423" i="35" s="1"/>
  <c r="A424" i="35" s="1"/>
  <c r="A425" i="35" s="1"/>
  <c r="A426" i="35" s="1"/>
  <c r="A427" i="35" s="1"/>
  <c r="A428" i="35" s="1"/>
  <c r="A429" i="35" s="1"/>
  <c r="A430" i="35" s="1"/>
  <c r="A431" i="35" s="1"/>
  <c r="A432" i="35" s="1"/>
  <c r="A433" i="35" s="1"/>
  <c r="A434" i="35" s="1"/>
  <c r="A435" i="35" s="1"/>
  <c r="A436" i="35" s="1"/>
  <c r="A437" i="35" s="1"/>
  <c r="A438" i="35" s="1"/>
  <c r="O402" i="35"/>
  <c r="O403" i="35" s="1"/>
  <c r="O404" i="35" s="1"/>
  <c r="O405" i="35" s="1"/>
  <c r="O406" i="35" s="1"/>
  <c r="O407" i="35" s="1"/>
  <c r="O408" i="35" s="1"/>
  <c r="O409" i="35" s="1"/>
  <c r="O410" i="35" s="1"/>
  <c r="O411" i="35" s="1"/>
  <c r="O412" i="35" s="1"/>
  <c r="L402" i="35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O254" i="23"/>
  <c r="L254" i="23"/>
  <c r="L255" i="23" s="1"/>
  <c r="L256" i="23" s="1"/>
  <c r="L257" i="23" s="1"/>
  <c r="L258" i="23" s="1"/>
  <c r="L259" i="23" s="1"/>
  <c r="L260" i="23" s="1"/>
  <c r="L261" i="23" s="1"/>
  <c r="L262" i="23" s="1"/>
  <c r="L263" i="23" s="1"/>
  <c r="O236" i="23"/>
  <c r="O237" i="23" s="1"/>
  <c r="O238" i="23" s="1"/>
  <c r="O239" i="23" s="1"/>
  <c r="O240" i="23" s="1"/>
  <c r="O241" i="23" s="1"/>
  <c r="O242" i="23" s="1"/>
  <c r="O243" i="23" s="1"/>
  <c r="O244" i="23" s="1"/>
  <c r="O245" i="23" s="1"/>
  <c r="L236" i="23"/>
  <c r="L237" i="23" s="1"/>
  <c r="L238" i="23" s="1"/>
  <c r="L239" i="23" s="1"/>
  <c r="L240" i="23" s="1"/>
  <c r="L241" i="23" s="1"/>
  <c r="L242" i="23" s="1"/>
  <c r="L243" i="23" s="1"/>
  <c r="L244" i="23" s="1"/>
  <c r="L245" i="23" s="1"/>
  <c r="AU1" i="52"/>
  <c r="AV1" i="52" s="1"/>
  <c r="AW1" i="52" s="1"/>
  <c r="AX1" i="52" s="1"/>
  <c r="AY1" i="52" s="1"/>
  <c r="AZ1" i="52" s="1"/>
  <c r="BA1" i="52" s="1"/>
  <c r="BB1" i="52" s="1"/>
  <c r="BC1" i="52" s="1"/>
  <c r="BD1" i="52" s="1"/>
  <c r="BE1" i="52" s="1"/>
  <c r="AQ23" i="52"/>
  <c r="AQ22" i="52"/>
  <c r="AQ21" i="52"/>
  <c r="AQ20" i="52"/>
  <c r="AQ19" i="52"/>
  <c r="AQ18" i="52"/>
  <c r="AQ17" i="52"/>
  <c r="AQ16" i="52"/>
  <c r="AQ15" i="52"/>
  <c r="AQ14" i="52"/>
  <c r="AQ13" i="52"/>
  <c r="AQ12" i="52"/>
  <c r="AQ11" i="52"/>
  <c r="AQ10" i="52"/>
  <c r="AQ9" i="52"/>
  <c r="AQ8" i="52"/>
  <c r="AQ7" i="52"/>
  <c r="AQ6" i="52"/>
  <c r="AQ5" i="52"/>
  <c r="AQ4" i="52"/>
  <c r="C1" i="52"/>
  <c r="X190" i="50" l="1"/>
  <c r="A191" i="50"/>
  <c r="A192" i="50" s="1"/>
  <c r="A193" i="50" s="1"/>
  <c r="A194" i="50" s="1"/>
  <c r="A195" i="50" s="1"/>
  <c r="A196" i="50" s="1"/>
  <c r="A197" i="50" s="1"/>
  <c r="A198" i="50" s="1"/>
  <c r="A199" i="50" s="1"/>
  <c r="A200" i="50" s="1"/>
  <c r="A201" i="50" s="1"/>
  <c r="A202" i="50" s="1"/>
  <c r="A203" i="50" s="1"/>
  <c r="A204" i="50" s="1"/>
  <c r="A205" i="50" s="1"/>
  <c r="A206" i="50" s="1"/>
  <c r="A207" i="50" s="1"/>
  <c r="A208" i="50" s="1"/>
  <c r="A209" i="50" s="1"/>
  <c r="A210" i="50" s="1"/>
  <c r="A211" i="50" s="1"/>
  <c r="A212" i="50" s="1"/>
  <c r="A213" i="50" s="1"/>
  <c r="A214" i="50" s="1"/>
  <c r="A215" i="50" s="1"/>
  <c r="A216" i="50" s="1"/>
  <c r="A206" i="47"/>
  <c r="A207" i="47" s="1"/>
  <c r="A208" i="47" s="1"/>
  <c r="A209" i="47" s="1"/>
  <c r="A210" i="47" s="1"/>
  <c r="A211" i="47" s="1"/>
  <c r="A212" i="47" s="1"/>
  <c r="A213" i="47" s="1"/>
  <c r="A214" i="47" s="1"/>
  <c r="A215" i="47" s="1"/>
  <c r="A216" i="47" s="1"/>
  <c r="A217" i="47" s="1"/>
  <c r="A218" i="47" s="1"/>
  <c r="A219" i="47" s="1"/>
  <c r="A220" i="47" s="1"/>
  <c r="A221" i="47" s="1"/>
  <c r="A222" i="47" s="1"/>
  <c r="A223" i="47" s="1"/>
  <c r="X205" i="47"/>
  <c r="A324" i="46"/>
  <c r="A325" i="46" s="1"/>
  <c r="A326" i="46" s="1"/>
  <c r="A327" i="46" s="1"/>
  <c r="A328" i="46" s="1"/>
  <c r="A329" i="46" s="1"/>
  <c r="A330" i="46" s="1"/>
  <c r="A331" i="46" s="1"/>
  <c r="L214" i="50"/>
  <c r="L215" i="50" s="1"/>
  <c r="L208" i="50"/>
  <c r="O214" i="50"/>
  <c r="O215" i="50" s="1"/>
  <c r="O208" i="50"/>
  <c r="O191" i="50"/>
  <c r="O192" i="50" s="1"/>
  <c r="O193" i="50" s="1"/>
  <c r="O194" i="50" s="1"/>
  <c r="O195" i="50" s="1"/>
  <c r="O196" i="50" s="1"/>
  <c r="O197" i="50" s="1"/>
  <c r="O190" i="50"/>
  <c r="L191" i="50"/>
  <c r="L192" i="50" s="1"/>
  <c r="L193" i="50" s="1"/>
  <c r="L194" i="50" s="1"/>
  <c r="L195" i="50" s="1"/>
  <c r="L196" i="50" s="1"/>
  <c r="L197" i="50" s="1"/>
  <c r="L190" i="50"/>
  <c r="O229" i="47"/>
  <c r="O230" i="47" s="1"/>
  <c r="O223" i="47"/>
  <c r="L229" i="47"/>
  <c r="L230" i="47" s="1"/>
  <c r="L223" i="47"/>
  <c r="L206" i="47"/>
  <c r="L207" i="47" s="1"/>
  <c r="L208" i="47" s="1"/>
  <c r="L209" i="47" s="1"/>
  <c r="L210" i="47" s="1"/>
  <c r="L211" i="47" s="1"/>
  <c r="L212" i="47" s="1"/>
  <c r="L205" i="47"/>
  <c r="O206" i="47"/>
  <c r="O207" i="47" s="1"/>
  <c r="O208" i="47" s="1"/>
  <c r="O209" i="47" s="1"/>
  <c r="O210" i="47" s="1"/>
  <c r="O211" i="47" s="1"/>
  <c r="O212" i="47" s="1"/>
  <c r="O205" i="47"/>
  <c r="X305" i="46"/>
  <c r="L329" i="46"/>
  <c r="L330" i="46" s="1"/>
  <c r="L323" i="46"/>
  <c r="O329" i="46"/>
  <c r="O330" i="46" s="1"/>
  <c r="O323" i="46"/>
  <c r="O306" i="46"/>
  <c r="O307" i="46" s="1"/>
  <c r="O308" i="46" s="1"/>
  <c r="O309" i="46" s="1"/>
  <c r="O310" i="46" s="1"/>
  <c r="O311" i="46" s="1"/>
  <c r="O312" i="46" s="1"/>
  <c r="O305" i="46"/>
  <c r="L306" i="46"/>
  <c r="L307" i="46" s="1"/>
  <c r="L308" i="46" s="1"/>
  <c r="L309" i="46" s="1"/>
  <c r="L310" i="46" s="1"/>
  <c r="L311" i="46" s="1"/>
  <c r="L312" i="46" s="1"/>
  <c r="L305" i="46"/>
  <c r="O345" i="44"/>
  <c r="O346" i="44" s="1"/>
  <c r="O339" i="44"/>
  <c r="L345" i="44"/>
  <c r="L346" i="44" s="1"/>
  <c r="L339" i="44"/>
  <c r="L322" i="44"/>
  <c r="L323" i="44" s="1"/>
  <c r="L324" i="44" s="1"/>
  <c r="L325" i="44" s="1"/>
  <c r="L326" i="44" s="1"/>
  <c r="L327" i="44" s="1"/>
  <c r="L328" i="44" s="1"/>
  <c r="L321" i="44"/>
  <c r="O322" i="44"/>
  <c r="O323" i="44" s="1"/>
  <c r="O324" i="44" s="1"/>
  <c r="O325" i="44" s="1"/>
  <c r="O326" i="44" s="1"/>
  <c r="O327" i="44" s="1"/>
  <c r="O328" i="44" s="1"/>
  <c r="O321" i="44"/>
  <c r="O234" i="43"/>
  <c r="O235" i="43" s="1"/>
  <c r="O228" i="43"/>
  <c r="L234" i="43"/>
  <c r="L235" i="43" s="1"/>
  <c r="L228" i="43"/>
  <c r="L211" i="43"/>
  <c r="L212" i="43" s="1"/>
  <c r="L213" i="43" s="1"/>
  <c r="L214" i="43" s="1"/>
  <c r="L215" i="43" s="1"/>
  <c r="L216" i="43" s="1"/>
  <c r="L217" i="43" s="1"/>
  <c r="L210" i="43"/>
  <c r="O211" i="43"/>
  <c r="O212" i="43" s="1"/>
  <c r="O213" i="43" s="1"/>
  <c r="O214" i="43" s="1"/>
  <c r="O215" i="43" s="1"/>
  <c r="O216" i="43" s="1"/>
  <c r="O217" i="43" s="1"/>
  <c r="O210" i="43"/>
  <c r="X210" i="43"/>
  <c r="A211" i="43"/>
  <c r="A212" i="43" s="1"/>
  <c r="A213" i="43" s="1"/>
  <c r="A214" i="43" s="1"/>
  <c r="A215" i="43" s="1"/>
  <c r="A216" i="43" s="1"/>
  <c r="A217" i="43" s="1"/>
  <c r="A218" i="43" s="1"/>
  <c r="A219" i="43" s="1"/>
  <c r="A220" i="43" s="1"/>
  <c r="A221" i="43" s="1"/>
  <c r="A222" i="43" s="1"/>
  <c r="A223" i="43" s="1"/>
  <c r="A224" i="43" s="1"/>
  <c r="A225" i="43" s="1"/>
  <c r="A226" i="43" s="1"/>
  <c r="A227" i="43" s="1"/>
  <c r="A228" i="43" s="1"/>
  <c r="A229" i="43" s="1"/>
  <c r="A230" i="43" s="1"/>
  <c r="A231" i="43" s="1"/>
  <c r="A232" i="43" s="1"/>
  <c r="A233" i="43" s="1"/>
  <c r="A234" i="43" s="1"/>
  <c r="A235" i="43" s="1"/>
  <c r="A236" i="43" s="1"/>
  <c r="O753" i="41"/>
  <c r="O754" i="41" s="1"/>
  <c r="O747" i="41"/>
  <c r="L753" i="41"/>
  <c r="L754" i="41" s="1"/>
  <c r="L747" i="41"/>
  <c r="X258" i="40"/>
  <c r="O730" i="41"/>
  <c r="O731" i="41" s="1"/>
  <c r="O732" i="41" s="1"/>
  <c r="O733" i="41" s="1"/>
  <c r="O734" i="41" s="1"/>
  <c r="O735" i="41" s="1"/>
  <c r="O736" i="41" s="1"/>
  <c r="O729" i="41"/>
  <c r="L730" i="41"/>
  <c r="L731" i="41" s="1"/>
  <c r="L732" i="41" s="1"/>
  <c r="L733" i="41" s="1"/>
  <c r="L734" i="41" s="1"/>
  <c r="L735" i="41" s="1"/>
  <c r="L736" i="41" s="1"/>
  <c r="L729" i="41"/>
  <c r="L280" i="40"/>
  <c r="L281" i="40" s="1"/>
  <c r="L282" i="40" s="1"/>
  <c r="L283" i="40" s="1"/>
  <c r="L276" i="40"/>
  <c r="O280" i="40"/>
  <c r="O281" i="40" s="1"/>
  <c r="O282" i="40" s="1"/>
  <c r="O283" i="40" s="1"/>
  <c r="O276" i="40"/>
  <c r="O259" i="40"/>
  <c r="O260" i="40" s="1"/>
  <c r="O261" i="40" s="1"/>
  <c r="O262" i="40" s="1"/>
  <c r="O263" i="40" s="1"/>
  <c r="O264" i="40" s="1"/>
  <c r="O265" i="40" s="1"/>
  <c r="O258" i="40"/>
  <c r="L259" i="40"/>
  <c r="L260" i="40" s="1"/>
  <c r="L261" i="40" s="1"/>
  <c r="L262" i="40" s="1"/>
  <c r="L263" i="40" s="1"/>
  <c r="L264" i="40" s="1"/>
  <c r="L265" i="40" s="1"/>
  <c r="L258" i="40"/>
  <c r="L265" i="23"/>
  <c r="L266" i="23" s="1"/>
  <c r="L267" i="23" s="1"/>
  <c r="L268" i="23" s="1"/>
  <c r="L269" i="23" s="1"/>
  <c r="L270" i="23" s="1"/>
  <c r="L271" i="23" s="1"/>
  <c r="L264" i="23"/>
  <c r="L433" i="35"/>
  <c r="L434" i="35" s="1"/>
  <c r="L435" i="35" s="1"/>
  <c r="L436" i="35" s="1"/>
  <c r="L437" i="35" s="1"/>
  <c r="L430" i="35"/>
  <c r="O433" i="35"/>
  <c r="O434" i="35" s="1"/>
  <c r="O435" i="35" s="1"/>
  <c r="O436" i="35" s="1"/>
  <c r="O437" i="35" s="1"/>
  <c r="O430" i="35"/>
  <c r="L414" i="35"/>
  <c r="L415" i="35" s="1"/>
  <c r="L416" i="35" s="1"/>
  <c r="L417" i="35" s="1"/>
  <c r="L418" i="35" s="1"/>
  <c r="L419" i="35" s="1"/>
  <c r="L413" i="35"/>
  <c r="O414" i="35"/>
  <c r="O415" i="35" s="1"/>
  <c r="O416" i="35" s="1"/>
  <c r="O417" i="35" s="1"/>
  <c r="O418" i="35" s="1"/>
  <c r="O419" i="35" s="1"/>
  <c r="O413" i="35"/>
  <c r="O247" i="23"/>
  <c r="O248" i="23" s="1"/>
  <c r="O249" i="23" s="1"/>
  <c r="O250" i="23" s="1"/>
  <c r="O251" i="23" s="1"/>
  <c r="O252" i="23" s="1"/>
  <c r="O253" i="23" s="1"/>
  <c r="O246" i="23"/>
  <c r="L247" i="23"/>
  <c r="L248" i="23" s="1"/>
  <c r="L249" i="23" s="1"/>
  <c r="L250" i="23" s="1"/>
  <c r="L251" i="23" s="1"/>
  <c r="L252" i="23" s="1"/>
  <c r="L253" i="23" s="1"/>
  <c r="L246" i="23"/>
  <c r="R91" i="66" a="1"/>
  <c r="R91" i="66" s="1"/>
  <c r="AB91" i="66" s="1"/>
  <c r="AF91" i="66" s="1"/>
  <c r="AJ91" i="66" s="1"/>
  <c r="R92" i="66" a="1"/>
  <c r="R92" i="66" s="1"/>
  <c r="AB92" i="66" s="1"/>
  <c r="AF92" i="66" s="1"/>
  <c r="AJ92" i="66" s="1"/>
  <c r="R123" i="66" a="1"/>
  <c r="R123" i="66" s="1"/>
  <c r="R171" i="67" a="1"/>
  <c r="R171" i="67" s="1"/>
  <c r="R329" i="68" a="1"/>
  <c r="R329" i="68" s="1"/>
  <c r="R93" i="65" a="1"/>
  <c r="R93" i="65" s="1"/>
  <c r="AB93" i="65" s="1"/>
  <c r="AF93" i="65" s="1"/>
  <c r="AJ93" i="65" s="1"/>
  <c r="R170" i="67" a="1"/>
  <c r="R170" i="67" s="1"/>
  <c r="R134" i="62" a="1"/>
  <c r="R134" i="62" s="1"/>
  <c r="R127" i="63" a="1"/>
  <c r="R127" i="63" s="1"/>
  <c r="R297" i="68" a="1"/>
  <c r="R297" i="68" s="1"/>
  <c r="AB297" i="68" s="1"/>
  <c r="AF297" i="68" s="1"/>
  <c r="AJ297" i="68" s="1"/>
  <c r="R128" i="63" a="1"/>
  <c r="R128" i="63" s="1"/>
  <c r="R298" i="68" a="1"/>
  <c r="R298" i="68" s="1"/>
  <c r="AB298" i="68" s="1"/>
  <c r="AF298" i="68" s="1"/>
  <c r="AJ298" i="68" s="1"/>
  <c r="R122" i="66" a="1"/>
  <c r="R122" i="66" s="1"/>
  <c r="R126" i="65" a="1"/>
  <c r="R126" i="65" s="1"/>
  <c r="R124" i="66" a="1"/>
  <c r="R124" i="66" s="1"/>
  <c r="R133" i="62" a="1"/>
  <c r="R133" i="62" s="1"/>
  <c r="R125" i="65" a="1"/>
  <c r="R125" i="65" s="1"/>
  <c r="R125" i="66" a="1"/>
  <c r="R125" i="66" s="1"/>
  <c r="R140" i="67" a="1"/>
  <c r="R140" i="67" s="1"/>
  <c r="AB140" i="67" s="1"/>
  <c r="R328" i="68" a="1"/>
  <c r="R328" i="68" s="1"/>
  <c r="R330" i="68" a="1"/>
  <c r="R330" i="68" s="1"/>
  <c r="R95" i="63" a="1"/>
  <c r="R95" i="63" s="1"/>
  <c r="AB95" i="63" s="1"/>
  <c r="AF95" i="63" s="1"/>
  <c r="AJ95" i="63" s="1"/>
  <c r="R331" i="68" a="1"/>
  <c r="R331" i="68" s="1"/>
  <c r="R107" i="66" a="1"/>
  <c r="R107" i="66" s="1"/>
  <c r="R100" i="62" a="1"/>
  <c r="R100" i="62" s="1"/>
  <c r="AB100" i="62" s="1"/>
  <c r="AF100" i="62" s="1"/>
  <c r="AJ100" i="62" s="1"/>
  <c r="R101" i="62" a="1"/>
  <c r="R101" i="62" s="1"/>
  <c r="AB101" i="62" s="1"/>
  <c r="R92" i="65" a="1"/>
  <c r="R92" i="65" s="1"/>
  <c r="AB92" i="65" s="1"/>
  <c r="AF92" i="65" s="1"/>
  <c r="AJ92" i="65" s="1"/>
  <c r="R172" i="67" a="1"/>
  <c r="R172" i="67" s="1"/>
  <c r="R173" i="67" a="1"/>
  <c r="R173" i="67" s="1"/>
  <c r="R124" i="65" a="1"/>
  <c r="R124" i="65" s="1"/>
  <c r="BF1" i="52"/>
  <c r="BG1" i="52" s="1"/>
  <c r="BH1" i="52" s="1"/>
  <c r="BI1" i="52" s="1"/>
  <c r="BJ1" i="52" s="1"/>
  <c r="BK1" i="52" s="1"/>
  <c r="BL1" i="52" s="1"/>
  <c r="BM1" i="52" s="1"/>
  <c r="BN1" i="52" s="1"/>
  <c r="BO1" i="52" s="1"/>
  <c r="BP1" i="52" s="1"/>
  <c r="BQ1" i="52" s="1"/>
  <c r="BR1" i="52" s="1"/>
  <c r="BS1" i="52" s="1"/>
  <c r="BT1" i="52" s="1"/>
  <c r="BU1" i="52" s="1"/>
  <c r="BV1" i="52" s="1"/>
  <c r="BW1" i="52" s="1"/>
  <c r="BX1" i="52" s="1"/>
  <c r="BY1" i="52" s="1"/>
  <c r="BZ1" i="52" s="1"/>
  <c r="CA1" i="52" s="1"/>
  <c r="CB1" i="52" s="1"/>
  <c r="CC1" i="52" s="1"/>
  <c r="D1" i="52"/>
  <c r="E1" i="52" s="1"/>
  <c r="F1" i="52" s="1"/>
  <c r="G1" i="52" s="1"/>
  <c r="H1" i="52" s="1"/>
  <c r="I1" i="52" s="1"/>
  <c r="J1" i="52" s="1"/>
  <c r="K1" i="52" s="1"/>
  <c r="L1" i="52" s="1"/>
  <c r="M1" i="52" s="1"/>
  <c r="N1" i="52" s="1"/>
  <c r="R93" i="64" a="1"/>
  <c r="R93" i="64" s="1"/>
  <c r="AB93" i="64" s="1"/>
  <c r="AF93" i="64" s="1"/>
  <c r="AJ93" i="64" s="1"/>
  <c r="R92" i="64" a="1"/>
  <c r="R92" i="64" s="1"/>
  <c r="AB92" i="64" s="1"/>
  <c r="AF92" i="64" s="1"/>
  <c r="AJ92" i="64" s="1"/>
  <c r="AI59" i="50"/>
  <c r="J64" i="50"/>
  <c r="J67" i="50" s="1"/>
  <c r="AI62" i="50" l="1"/>
  <c r="AI65" i="50" s="1"/>
  <c r="AK65" i="50" s="1"/>
  <c r="AI49" i="50"/>
  <c r="AK49" i="50" s="1"/>
  <c r="R94" i="66" a="1"/>
  <c r="R94" i="66" s="1"/>
  <c r="AB94" i="66" s="1"/>
  <c r="AF94" i="66" s="1"/>
  <c r="AJ94" i="66" s="1"/>
  <c r="R105" i="66" a="1"/>
  <c r="R105" i="66" s="1"/>
  <c r="AB105" i="66" s="1"/>
  <c r="AF105" i="66" s="1"/>
  <c r="AJ105" i="66" s="1"/>
  <c r="R113" i="65" a="1"/>
  <c r="R113" i="65" s="1"/>
  <c r="R107" i="65" a="1"/>
  <c r="R107" i="65" s="1"/>
  <c r="AB107" i="65" s="1"/>
  <c r="AF107" i="65" s="1"/>
  <c r="AJ107" i="65" s="1"/>
  <c r="R142" i="67" a="1"/>
  <c r="R142" i="67" s="1"/>
  <c r="AB142" i="67" s="1"/>
  <c r="AF142" i="67" s="1"/>
  <c r="AJ142" i="67" s="1"/>
  <c r="R106" i="65" a="1"/>
  <c r="R106" i="65" s="1"/>
  <c r="AB106" i="65" s="1"/>
  <c r="AF106" i="65" s="1"/>
  <c r="AJ106" i="65" s="1"/>
  <c r="R95" i="65" a="1"/>
  <c r="R95" i="65" s="1"/>
  <c r="AB95" i="65" s="1"/>
  <c r="AF95" i="65" s="1"/>
  <c r="AJ95" i="65" s="1"/>
  <c r="R112" i="66" a="1"/>
  <c r="R112" i="66" s="1"/>
  <c r="R97" i="63" a="1"/>
  <c r="R97" i="63" s="1"/>
  <c r="AB97" i="63" s="1"/>
  <c r="AF97" i="63" s="1"/>
  <c r="AJ97" i="63" s="1"/>
  <c r="R94" i="63" a="1"/>
  <c r="R94" i="63" s="1"/>
  <c r="AB94" i="63" s="1"/>
  <c r="AF94" i="63" s="1"/>
  <c r="AJ94" i="63" s="1"/>
  <c r="R139" i="67" a="1"/>
  <c r="R139" i="67" s="1"/>
  <c r="AB139" i="67" s="1"/>
  <c r="AF139" i="67" s="1"/>
  <c r="AJ139" i="67" s="1"/>
  <c r="R125" i="64" a="1"/>
  <c r="R125" i="64" s="1"/>
  <c r="R123" i="65" a="1"/>
  <c r="R123" i="65" s="1"/>
  <c r="R106" i="66" a="1"/>
  <c r="R106" i="66" s="1"/>
  <c r="AB106" i="66" s="1"/>
  <c r="AF106" i="66" s="1"/>
  <c r="AJ106" i="66" s="1"/>
  <c r="R108" i="65" a="1"/>
  <c r="R108" i="65" s="1"/>
  <c r="AF140" i="67"/>
  <c r="AJ140" i="67" s="1"/>
  <c r="R160" i="67" a="1"/>
  <c r="R160" i="67" s="1"/>
  <c r="A224" i="47"/>
  <c r="A225" i="47" s="1"/>
  <c r="A226" i="47" s="1"/>
  <c r="A227" i="47" s="1"/>
  <c r="A228" i="47" s="1"/>
  <c r="A229" i="47" s="1"/>
  <c r="A230" i="47" s="1"/>
  <c r="A231" i="47" s="1"/>
  <c r="R126" i="64" a="1"/>
  <c r="R126" i="64" s="1"/>
  <c r="O1" i="52"/>
  <c r="P1" i="52" s="1"/>
  <c r="Q1" i="52" s="1"/>
  <c r="R1" i="52" s="1"/>
  <c r="S1" i="52" s="1"/>
  <c r="T1" i="52" s="1"/>
  <c r="U1" i="52" s="1"/>
  <c r="V1" i="52" s="1"/>
  <c r="W1" i="52" s="1"/>
  <c r="X1" i="52" s="1"/>
  <c r="Y1" i="52" s="1"/>
  <c r="Z1" i="52" s="1"/>
  <c r="AA1" i="52" s="1"/>
  <c r="AB1" i="52" s="1"/>
  <c r="AC1" i="52" s="1"/>
  <c r="AD1" i="52" s="1"/>
  <c r="AE1" i="52" s="1"/>
  <c r="AF1" i="52" s="1"/>
  <c r="AF101" i="62"/>
  <c r="AJ101" i="62" s="1"/>
  <c r="R250" i="40" a="1"/>
  <c r="R250" i="40" s="1"/>
  <c r="R403" i="35" a="1"/>
  <c r="R403" i="35" s="1"/>
  <c r="R201" i="43" a="1"/>
  <c r="R201" i="43" s="1"/>
  <c r="R312" i="44" a="1"/>
  <c r="R312" i="44" s="1"/>
  <c r="R181" i="50" a="1"/>
  <c r="R181" i="50" s="1"/>
  <c r="R202" i="43" a="1"/>
  <c r="R202" i="43" s="1"/>
  <c r="R721" i="41" a="1"/>
  <c r="R721" i="41" s="1"/>
  <c r="R249" i="40" a="1"/>
  <c r="R249" i="40" s="1"/>
  <c r="R297" i="46" a="1"/>
  <c r="R297" i="46" s="1"/>
  <c r="R196" i="47" a="1"/>
  <c r="R196" i="47" s="1"/>
  <c r="R720" i="41" a="1"/>
  <c r="R720" i="41" s="1"/>
  <c r="R313" i="44" a="1"/>
  <c r="R313" i="44" s="1"/>
  <c r="R296" i="46" a="1"/>
  <c r="R296" i="46" s="1"/>
  <c r="AK62" i="50"/>
  <c r="R197" i="47" a="1"/>
  <c r="R197" i="47" s="1"/>
  <c r="R404" i="35" a="1"/>
  <c r="R404" i="35" s="1"/>
  <c r="R182" i="50" a="1"/>
  <c r="R182" i="50" s="1"/>
  <c r="AG1" i="52" l="1"/>
  <c r="AH1" i="52" s="1"/>
  <c r="AI1" i="52" s="1"/>
  <c r="AJ1" i="52" s="1"/>
  <c r="AK1" i="52" s="1"/>
  <c r="AL1" i="52" s="1"/>
  <c r="AM1" i="52" s="1"/>
  <c r="AN1" i="52" s="1"/>
  <c r="X729" i="41" l="1"/>
  <c r="X321" i="44" l="1"/>
  <c r="X413" i="35" l="1"/>
  <c r="A177" i="50" l="1"/>
  <c r="J143" i="50"/>
  <c r="J146" i="50" s="1"/>
  <c r="J141" i="50"/>
  <c r="J144" i="50" s="1"/>
  <c r="J147" i="50" s="1"/>
  <c r="J139" i="50"/>
  <c r="J142" i="50" s="1"/>
  <c r="J145" i="50" s="1"/>
  <c r="AA130" i="50"/>
  <c r="AI134" i="50" s="1"/>
  <c r="AI150" i="50" s="1"/>
  <c r="J90" i="50"/>
  <c r="J93" i="50" s="1"/>
  <c r="J88" i="50"/>
  <c r="J91" i="50" s="1"/>
  <c r="J94" i="50" s="1"/>
  <c r="J86" i="50"/>
  <c r="J89" i="50" s="1"/>
  <c r="J92" i="50" s="1"/>
  <c r="J44" i="50"/>
  <c r="J47" i="50" s="1"/>
  <c r="J42" i="50"/>
  <c r="J45" i="50" s="1"/>
  <c r="J48" i="50" s="1"/>
  <c r="J40" i="50"/>
  <c r="J43" i="50" s="1"/>
  <c r="J46" i="50" s="1"/>
  <c r="AA31" i="50"/>
  <c r="AI81" i="50" s="1"/>
  <c r="AI100" i="50" s="1"/>
  <c r="N15" i="50"/>
  <c r="G15" i="50"/>
  <c r="G10" i="50"/>
  <c r="G8" i="50"/>
  <c r="G7" i="50"/>
  <c r="G6" i="50"/>
  <c r="G5" i="50"/>
  <c r="G4" i="50"/>
  <c r="U155" i="50" l="1"/>
  <c r="R155" i="50"/>
  <c r="A155" i="50"/>
  <c r="A158" i="50" s="1"/>
  <c r="A161" i="50" s="1"/>
  <c r="O155" i="50"/>
  <c r="O158" i="50" s="1"/>
  <c r="O161" i="50" s="1"/>
  <c r="A105" i="50"/>
  <c r="A108" i="50" s="1"/>
  <c r="A111" i="50" s="1"/>
  <c r="O105" i="50"/>
  <c r="O108" i="50" s="1"/>
  <c r="O111" i="50" s="1"/>
  <c r="R105" i="50"/>
  <c r="U105" i="50"/>
  <c r="AI40" i="50"/>
  <c r="AI43" i="50" s="1"/>
  <c r="AI46" i="50" s="1"/>
  <c r="AI139" i="50"/>
  <c r="AI142" i="50" s="1"/>
  <c r="AI145" i="50" s="1"/>
  <c r="AI35" i="50"/>
  <c r="AI54" i="50" s="1"/>
  <c r="O142" i="50"/>
  <c r="O145" i="50" s="1"/>
  <c r="O89" i="50"/>
  <c r="O92" i="50" s="1"/>
  <c r="AI86" i="50"/>
  <c r="AI89" i="50" s="1"/>
  <c r="AI92" i="50" s="1"/>
  <c r="X105" i="50" l="1"/>
  <c r="X155" i="50"/>
  <c r="AF155" i="50"/>
  <c r="AK155" i="50" s="1"/>
  <c r="AF105" i="50"/>
  <c r="AK105" i="50" s="1"/>
  <c r="O43" i="50"/>
  <c r="O46" i="50" s="1"/>
  <c r="AX56" i="5" l="1"/>
  <c r="BC56" i="5" s="1"/>
  <c r="J232" i="30"/>
  <c r="J235" i="30" s="1"/>
  <c r="J230" i="30"/>
  <c r="J233" i="30" s="1"/>
  <c r="J236" i="30" s="1"/>
  <c r="J228" i="30"/>
  <c r="J231" i="30" s="1"/>
  <c r="J234" i="30" s="1"/>
  <c r="J146" i="47"/>
  <c r="J149" i="47" s="1"/>
  <c r="J144" i="47"/>
  <c r="J147" i="47" s="1"/>
  <c r="J150" i="47" s="1"/>
  <c r="J142" i="47"/>
  <c r="J145" i="47" s="1"/>
  <c r="J148" i="47" s="1"/>
  <c r="A192" i="47"/>
  <c r="J184" i="47"/>
  <c r="J187" i="47" s="1"/>
  <c r="J182" i="47"/>
  <c r="J180" i="47"/>
  <c r="J183" i="47" s="1"/>
  <c r="J186" i="47" s="1"/>
  <c r="J175" i="47"/>
  <c r="J178" i="47" s="1"/>
  <c r="J173" i="47"/>
  <c r="J176" i="47" s="1"/>
  <c r="J179" i="47" s="1"/>
  <c r="J171" i="47"/>
  <c r="J174" i="47" s="1"/>
  <c r="J177" i="47" s="1"/>
  <c r="J166" i="47"/>
  <c r="J169" i="47" s="1"/>
  <c r="J164" i="47"/>
  <c r="J167" i="47" s="1"/>
  <c r="J170" i="47" s="1"/>
  <c r="J162" i="47"/>
  <c r="J165" i="47" s="1"/>
  <c r="J168" i="47" s="1"/>
  <c r="AA154" i="47"/>
  <c r="AI157" i="47" s="1"/>
  <c r="J129" i="47"/>
  <c r="J132" i="47" s="1"/>
  <c r="J127" i="47"/>
  <c r="J130" i="47" s="1"/>
  <c r="J133" i="47" s="1"/>
  <c r="J125" i="47"/>
  <c r="J128" i="47" s="1"/>
  <c r="J131" i="47" s="1"/>
  <c r="J120" i="47"/>
  <c r="J123" i="47" s="1"/>
  <c r="J118" i="47"/>
  <c r="J121" i="47" s="1"/>
  <c r="J124" i="47" s="1"/>
  <c r="J116" i="47"/>
  <c r="J119" i="47" s="1"/>
  <c r="J122" i="47" s="1"/>
  <c r="J111" i="47"/>
  <c r="J114" i="47" s="1"/>
  <c r="AK116" i="47"/>
  <c r="AK119" i="47" s="1"/>
  <c r="AK122" i="47" s="1"/>
  <c r="AI116" i="47"/>
  <c r="AI119" i="47" s="1"/>
  <c r="AI122" i="47" s="1"/>
  <c r="J109" i="47"/>
  <c r="J112" i="47" s="1"/>
  <c r="J115" i="47" s="1"/>
  <c r="J107" i="47"/>
  <c r="J110" i="47" s="1"/>
  <c r="J113" i="47" s="1"/>
  <c r="AA98" i="47"/>
  <c r="AI102" i="47" s="1"/>
  <c r="AI137" i="47" s="1"/>
  <c r="J90" i="47"/>
  <c r="J93" i="47" s="1"/>
  <c r="J88" i="47"/>
  <c r="J91" i="47" s="1"/>
  <c r="J94" i="47" s="1"/>
  <c r="J86" i="47"/>
  <c r="J89" i="47" s="1"/>
  <c r="J92" i="47" s="1"/>
  <c r="J62" i="47"/>
  <c r="J65" i="47" s="1"/>
  <c r="J60" i="47"/>
  <c r="J58" i="47"/>
  <c r="J61" i="47" s="1"/>
  <c r="J64" i="47" s="1"/>
  <c r="J53" i="47"/>
  <c r="J56" i="47" s="1"/>
  <c r="J51" i="47"/>
  <c r="J54" i="47" s="1"/>
  <c r="J57" i="47" s="1"/>
  <c r="J49" i="47"/>
  <c r="J52" i="47" s="1"/>
  <c r="J55" i="47" s="1"/>
  <c r="J44" i="47"/>
  <c r="J47" i="47" s="1"/>
  <c r="AK49" i="47"/>
  <c r="AK52" i="47" s="1"/>
  <c r="AK55" i="47" s="1"/>
  <c r="AI49" i="47"/>
  <c r="AI52" i="47" s="1"/>
  <c r="AI55" i="47" s="1"/>
  <c r="J42" i="47"/>
  <c r="J45" i="47" s="1"/>
  <c r="J48" i="47" s="1"/>
  <c r="J40" i="47"/>
  <c r="J43" i="47" s="1"/>
  <c r="J46" i="47" s="1"/>
  <c r="AA31" i="47"/>
  <c r="AI35" i="47" s="1"/>
  <c r="N14" i="47"/>
  <c r="G14" i="47"/>
  <c r="G10" i="47"/>
  <c r="G8" i="47"/>
  <c r="G7" i="47"/>
  <c r="G6" i="47"/>
  <c r="G5" i="47"/>
  <c r="G4" i="47"/>
  <c r="J144" i="46"/>
  <c r="J147" i="46" s="1"/>
  <c r="J142" i="46"/>
  <c r="J145" i="46" s="1"/>
  <c r="J148" i="46" s="1"/>
  <c r="J140" i="46"/>
  <c r="J143" i="46" s="1"/>
  <c r="J146" i="46" s="1"/>
  <c r="J126" i="46"/>
  <c r="J129" i="46" s="1"/>
  <c r="J124" i="46"/>
  <c r="J127" i="46" s="1"/>
  <c r="J130" i="46" s="1"/>
  <c r="J122" i="46"/>
  <c r="J125" i="46" s="1"/>
  <c r="J128" i="46" s="1"/>
  <c r="J117" i="46"/>
  <c r="J120" i="46" s="1"/>
  <c r="J115" i="46"/>
  <c r="J118" i="46" s="1"/>
  <c r="J121" i="46" s="1"/>
  <c r="J113" i="46"/>
  <c r="J116" i="46" s="1"/>
  <c r="J119" i="46" s="1"/>
  <c r="J108" i="46"/>
  <c r="J111" i="46" s="1"/>
  <c r="AK113" i="46"/>
  <c r="AK116" i="46" s="1"/>
  <c r="AK119" i="46" s="1"/>
  <c r="AI113" i="46"/>
  <c r="AI116" i="46" s="1"/>
  <c r="AI119" i="46" s="1"/>
  <c r="J106" i="46"/>
  <c r="J109" i="46" s="1"/>
  <c r="J112" i="46" s="1"/>
  <c r="J104" i="46"/>
  <c r="J107" i="46" s="1"/>
  <c r="J110" i="46" s="1"/>
  <c r="J91" i="46"/>
  <c r="J94" i="46" s="1"/>
  <c r="J89" i="46"/>
  <c r="J92" i="46" s="1"/>
  <c r="J95" i="46" s="1"/>
  <c r="J87" i="46"/>
  <c r="J90" i="46" s="1"/>
  <c r="J93" i="46" s="1"/>
  <c r="A292" i="46"/>
  <c r="J272" i="46"/>
  <c r="J275" i="46" s="1"/>
  <c r="J270" i="46"/>
  <c r="J268" i="46"/>
  <c r="J271" i="46" s="1"/>
  <c r="J274" i="46" s="1"/>
  <c r="J263" i="46"/>
  <c r="J266" i="46" s="1"/>
  <c r="J261" i="46"/>
  <c r="J264" i="46" s="1"/>
  <c r="J267" i="46" s="1"/>
  <c r="J259" i="46"/>
  <c r="J262" i="46" s="1"/>
  <c r="J265" i="46" s="1"/>
  <c r="J254" i="46"/>
  <c r="J257" i="46" s="1"/>
  <c r="J252" i="46"/>
  <c r="J255" i="46" s="1"/>
  <c r="J258" i="46" s="1"/>
  <c r="J250" i="46"/>
  <c r="J253" i="46" s="1"/>
  <c r="J256" i="46" s="1"/>
  <c r="AA241" i="46"/>
  <c r="AI245" i="46" s="1"/>
  <c r="J225" i="46"/>
  <c r="J228" i="46" s="1"/>
  <c r="J223" i="46"/>
  <c r="J226" i="46" s="1"/>
  <c r="J229" i="46" s="1"/>
  <c r="J221" i="46"/>
  <c r="J224" i="46" s="1"/>
  <c r="J227" i="46" s="1"/>
  <c r="J216" i="46"/>
  <c r="J219" i="46" s="1"/>
  <c r="J214" i="46"/>
  <c r="J217" i="46" s="1"/>
  <c r="J220" i="46" s="1"/>
  <c r="J212" i="46"/>
  <c r="J215" i="46" s="1"/>
  <c r="J218" i="46" s="1"/>
  <c r="J207" i="46"/>
  <c r="J210" i="46" s="1"/>
  <c r="AK212" i="46"/>
  <c r="AK215" i="46" s="1"/>
  <c r="AK218" i="46" s="1"/>
  <c r="AI212" i="46"/>
  <c r="AI215" i="46" s="1"/>
  <c r="AI218" i="46" s="1"/>
  <c r="J205" i="46"/>
  <c r="J208" i="46" s="1"/>
  <c r="J211" i="46" s="1"/>
  <c r="J203" i="46"/>
  <c r="J206" i="46" s="1"/>
  <c r="J209" i="46" s="1"/>
  <c r="AA194" i="46"/>
  <c r="J184" i="46"/>
  <c r="J187" i="46" s="1"/>
  <c r="J182" i="46"/>
  <c r="J185" i="46" s="1"/>
  <c r="J188" i="46" s="1"/>
  <c r="J180" i="46"/>
  <c r="J183" i="46" s="1"/>
  <c r="J186" i="46" s="1"/>
  <c r="J175" i="46"/>
  <c r="J178" i="46" s="1"/>
  <c r="J173" i="46"/>
  <c r="J176" i="46" s="1"/>
  <c r="J179" i="46" s="1"/>
  <c r="J171" i="46"/>
  <c r="J174" i="46" s="1"/>
  <c r="J177" i="46" s="1"/>
  <c r="J166" i="46"/>
  <c r="J169" i="46" s="1"/>
  <c r="AK171" i="46"/>
  <c r="AK174" i="46" s="1"/>
  <c r="AK177" i="46" s="1"/>
  <c r="AI171" i="46"/>
  <c r="AI174" i="46" s="1"/>
  <c r="AI177" i="46" s="1"/>
  <c r="J164" i="46"/>
  <c r="J167" i="46" s="1"/>
  <c r="J170" i="46" s="1"/>
  <c r="J162" i="46"/>
  <c r="J165" i="46" s="1"/>
  <c r="J168" i="46" s="1"/>
  <c r="AA153" i="46"/>
  <c r="AI157" i="46" s="1"/>
  <c r="J63" i="46"/>
  <c r="J66" i="46" s="1"/>
  <c r="J61" i="46"/>
  <c r="J64" i="46" s="1"/>
  <c r="J67" i="46" s="1"/>
  <c r="J59" i="46"/>
  <c r="J62" i="46" s="1"/>
  <c r="J65" i="46" s="1"/>
  <c r="J54" i="46"/>
  <c r="J57" i="46" s="1"/>
  <c r="J52" i="46"/>
  <c r="J55" i="46" s="1"/>
  <c r="J58" i="46" s="1"/>
  <c r="J50" i="46"/>
  <c r="J53" i="46" s="1"/>
  <c r="J56" i="46" s="1"/>
  <c r="J45" i="46"/>
  <c r="J48" i="46" s="1"/>
  <c r="AK50" i="46"/>
  <c r="AK53" i="46" s="1"/>
  <c r="AK56" i="46" s="1"/>
  <c r="AI50" i="46"/>
  <c r="AI53" i="46" s="1"/>
  <c r="AI56" i="46" s="1"/>
  <c r="J43" i="46"/>
  <c r="J46" i="46" s="1"/>
  <c r="J49" i="46" s="1"/>
  <c r="J41" i="46"/>
  <c r="AA32" i="46"/>
  <c r="N15" i="46"/>
  <c r="G15" i="46"/>
  <c r="G10" i="46"/>
  <c r="G8" i="46"/>
  <c r="G7" i="46"/>
  <c r="G6" i="46"/>
  <c r="G5" i="46"/>
  <c r="G4" i="46"/>
  <c r="J300" i="44"/>
  <c r="J303" i="44" s="1"/>
  <c r="J298" i="44"/>
  <c r="J296" i="44"/>
  <c r="J299" i="44" s="1"/>
  <c r="J302" i="44" s="1"/>
  <c r="J291" i="44"/>
  <c r="J294" i="44" s="1"/>
  <c r="J289" i="44"/>
  <c r="J292" i="44" s="1"/>
  <c r="J295" i="44" s="1"/>
  <c r="J287" i="44"/>
  <c r="J290" i="44" s="1"/>
  <c r="J293" i="44" s="1"/>
  <c r="J282" i="44"/>
  <c r="J285" i="44" s="1"/>
  <c r="AK287" i="44"/>
  <c r="AK290" i="44" s="1"/>
  <c r="AK293" i="44" s="1"/>
  <c r="AI287" i="44"/>
  <c r="AI290" i="44" s="1"/>
  <c r="AI293" i="44" s="1"/>
  <c r="J280" i="44"/>
  <c r="J283" i="44" s="1"/>
  <c r="J286" i="44" s="1"/>
  <c r="J278" i="44"/>
  <c r="J281" i="44" s="1"/>
  <c r="J284" i="44" s="1"/>
  <c r="AA234" i="44"/>
  <c r="AI239" i="44" s="1"/>
  <c r="J266" i="44"/>
  <c r="J269" i="44" s="1"/>
  <c r="J264" i="44"/>
  <c r="J262" i="44"/>
  <c r="J265" i="44" s="1"/>
  <c r="J268" i="44" s="1"/>
  <c r="J257" i="44"/>
  <c r="J260" i="44" s="1"/>
  <c r="J255" i="44"/>
  <c r="J258" i="44" s="1"/>
  <c r="J261" i="44" s="1"/>
  <c r="J253" i="44"/>
  <c r="J256" i="44" s="1"/>
  <c r="J259" i="44" s="1"/>
  <c r="J248" i="44"/>
  <c r="J251" i="44" s="1"/>
  <c r="AK253" i="44"/>
  <c r="AK256" i="44" s="1"/>
  <c r="AK259" i="44" s="1"/>
  <c r="AI253" i="44"/>
  <c r="AI256" i="44" s="1"/>
  <c r="AI259" i="44" s="1"/>
  <c r="J246" i="44"/>
  <c r="J249" i="44" s="1"/>
  <c r="J252" i="44" s="1"/>
  <c r="J244" i="44"/>
  <c r="J247" i="44" s="1"/>
  <c r="J250" i="44" s="1"/>
  <c r="A308" i="44"/>
  <c r="J223" i="44"/>
  <c r="J226" i="44" s="1"/>
  <c r="J221" i="44"/>
  <c r="J224" i="44" s="1"/>
  <c r="J227" i="44" s="1"/>
  <c r="J219" i="44"/>
  <c r="J222" i="44" s="1"/>
  <c r="J225" i="44" s="1"/>
  <c r="J214" i="44"/>
  <c r="J217" i="44" s="1"/>
  <c r="J212" i="44"/>
  <c r="J215" i="44" s="1"/>
  <c r="J218" i="44" s="1"/>
  <c r="J210" i="44"/>
  <c r="J213" i="44" s="1"/>
  <c r="J216" i="44" s="1"/>
  <c r="J205" i="44"/>
  <c r="J208" i="44" s="1"/>
  <c r="AK210" i="44"/>
  <c r="AK213" i="44" s="1"/>
  <c r="AK216" i="44" s="1"/>
  <c r="AI210" i="44"/>
  <c r="AI213" i="44" s="1"/>
  <c r="AI216" i="44" s="1"/>
  <c r="J203" i="44"/>
  <c r="J206" i="44" s="1"/>
  <c r="J209" i="44" s="1"/>
  <c r="J201" i="44"/>
  <c r="J204" i="44" s="1"/>
  <c r="J207" i="44" s="1"/>
  <c r="AA192" i="44"/>
  <c r="AI196" i="44" s="1"/>
  <c r="J111" i="44"/>
  <c r="J114" i="44" s="1"/>
  <c r="J109" i="44"/>
  <c r="J112" i="44" s="1"/>
  <c r="J115" i="44" s="1"/>
  <c r="J107" i="44"/>
  <c r="J110" i="44" s="1"/>
  <c r="J113" i="44" s="1"/>
  <c r="J102" i="44"/>
  <c r="J105" i="44" s="1"/>
  <c r="J100" i="44"/>
  <c r="J103" i="44" s="1"/>
  <c r="J106" i="44" s="1"/>
  <c r="J98" i="44"/>
  <c r="J101" i="44" s="1"/>
  <c r="J104" i="44" s="1"/>
  <c r="J93" i="44"/>
  <c r="J96" i="44" s="1"/>
  <c r="AK98" i="44"/>
  <c r="AK101" i="44" s="1"/>
  <c r="AK104" i="44" s="1"/>
  <c r="AI98" i="44"/>
  <c r="AI101" i="44" s="1"/>
  <c r="AI104" i="44" s="1"/>
  <c r="J91" i="44"/>
  <c r="J94" i="44" s="1"/>
  <c r="J97" i="44" s="1"/>
  <c r="J89" i="44"/>
  <c r="J92" i="44" s="1"/>
  <c r="J95" i="44" s="1"/>
  <c r="AA81" i="44"/>
  <c r="AI84" i="44" s="1"/>
  <c r="AI118" i="44" s="1"/>
  <c r="J62" i="44"/>
  <c r="J65" i="44" s="1"/>
  <c r="J60" i="44"/>
  <c r="J63" i="44" s="1"/>
  <c r="J66" i="44" s="1"/>
  <c r="J58" i="44"/>
  <c r="J61" i="44" s="1"/>
  <c r="J64" i="44" s="1"/>
  <c r="J53" i="44"/>
  <c r="J56" i="44" s="1"/>
  <c r="J51" i="44"/>
  <c r="J54" i="44" s="1"/>
  <c r="J57" i="44" s="1"/>
  <c r="J49" i="44"/>
  <c r="J52" i="44" s="1"/>
  <c r="J55" i="44" s="1"/>
  <c r="J44" i="44"/>
  <c r="J47" i="44" s="1"/>
  <c r="AK49" i="44"/>
  <c r="AK52" i="44" s="1"/>
  <c r="AK55" i="44" s="1"/>
  <c r="AI49" i="44"/>
  <c r="AI52" i="44" s="1"/>
  <c r="AI55" i="44" s="1"/>
  <c r="J42" i="44"/>
  <c r="J40" i="44"/>
  <c r="AA31" i="44"/>
  <c r="N14" i="44"/>
  <c r="G14" i="44"/>
  <c r="G10" i="44"/>
  <c r="G8" i="44"/>
  <c r="G7" i="44"/>
  <c r="G6" i="44"/>
  <c r="G5" i="44"/>
  <c r="G4" i="44"/>
  <c r="AA152" i="43"/>
  <c r="AI155" i="43" s="1"/>
  <c r="J182" i="43"/>
  <c r="J185" i="43" s="1"/>
  <c r="J180" i="43"/>
  <c r="J178" i="43"/>
  <c r="J181" i="43" s="1"/>
  <c r="J184" i="43" s="1"/>
  <c r="J173" i="43"/>
  <c r="J176" i="43" s="1"/>
  <c r="J171" i="43"/>
  <c r="J174" i="43" s="1"/>
  <c r="J177" i="43" s="1"/>
  <c r="J169" i="43"/>
  <c r="J172" i="43" s="1"/>
  <c r="J175" i="43" s="1"/>
  <c r="J164" i="43"/>
  <c r="J167" i="43" s="1"/>
  <c r="J162" i="43"/>
  <c r="J165" i="43" s="1"/>
  <c r="J168" i="43" s="1"/>
  <c r="J160" i="43"/>
  <c r="J163" i="43" s="1"/>
  <c r="J166" i="43" s="1"/>
  <c r="J144" i="43"/>
  <c r="J147" i="43" s="1"/>
  <c r="J142" i="43"/>
  <c r="J140" i="43"/>
  <c r="J143" i="43" s="1"/>
  <c r="J146" i="43" s="1"/>
  <c r="A197" i="43"/>
  <c r="J122" i="43"/>
  <c r="J125" i="43" s="1"/>
  <c r="J120" i="43"/>
  <c r="J123" i="43" s="1"/>
  <c r="J126" i="43" s="1"/>
  <c r="J118" i="43"/>
  <c r="J113" i="43"/>
  <c r="J116" i="43" s="1"/>
  <c r="J111" i="43"/>
  <c r="J114" i="43" s="1"/>
  <c r="J117" i="43" s="1"/>
  <c r="J109" i="43"/>
  <c r="J112" i="43" s="1"/>
  <c r="J115" i="43" s="1"/>
  <c r="J104" i="43"/>
  <c r="J107" i="43" s="1"/>
  <c r="AK109" i="43"/>
  <c r="AK112" i="43" s="1"/>
  <c r="AK115" i="43" s="1"/>
  <c r="AI109" i="43"/>
  <c r="AI112" i="43" s="1"/>
  <c r="AI115" i="43" s="1"/>
  <c r="J102" i="43"/>
  <c r="J105" i="43" s="1"/>
  <c r="J108" i="43" s="1"/>
  <c r="J100" i="43"/>
  <c r="J103" i="43" s="1"/>
  <c r="J106" i="43" s="1"/>
  <c r="AA91" i="43"/>
  <c r="AI95" i="43" s="1"/>
  <c r="AI135" i="43" s="1"/>
  <c r="J80" i="43"/>
  <c r="J83" i="43" s="1"/>
  <c r="J78" i="43"/>
  <c r="J81" i="43" s="1"/>
  <c r="J84" i="43" s="1"/>
  <c r="J76" i="43"/>
  <c r="J79" i="43" s="1"/>
  <c r="J82" i="43" s="1"/>
  <c r="J62" i="43"/>
  <c r="J65" i="43" s="1"/>
  <c r="J60" i="43"/>
  <c r="J63" i="43" s="1"/>
  <c r="J66" i="43" s="1"/>
  <c r="J58" i="43"/>
  <c r="J61" i="43" s="1"/>
  <c r="J64" i="43" s="1"/>
  <c r="J53" i="43"/>
  <c r="J56" i="43" s="1"/>
  <c r="J51" i="43"/>
  <c r="J54" i="43" s="1"/>
  <c r="J57" i="43" s="1"/>
  <c r="J49" i="43"/>
  <c r="J52" i="43" s="1"/>
  <c r="J55" i="43" s="1"/>
  <c r="J44" i="43"/>
  <c r="J47" i="43" s="1"/>
  <c r="AK49" i="43"/>
  <c r="AK52" i="43" s="1"/>
  <c r="AK55" i="43" s="1"/>
  <c r="AI49" i="43"/>
  <c r="AI52" i="43" s="1"/>
  <c r="AI55" i="43" s="1"/>
  <c r="J42" i="43"/>
  <c r="J45" i="43" s="1"/>
  <c r="J48" i="43" s="1"/>
  <c r="J40" i="43"/>
  <c r="J43" i="43" s="1"/>
  <c r="J46" i="43" s="1"/>
  <c r="AA31" i="43"/>
  <c r="AI35" i="43" s="1"/>
  <c r="N14" i="43"/>
  <c r="G14" i="43"/>
  <c r="G10" i="43"/>
  <c r="G8" i="43"/>
  <c r="G7" i="43"/>
  <c r="G6" i="43"/>
  <c r="G5" i="43"/>
  <c r="G4" i="43"/>
  <c r="AA506" i="41"/>
  <c r="AI664" i="41" s="1"/>
  <c r="J691" i="41"/>
  <c r="J694" i="41" s="1"/>
  <c r="J689" i="41"/>
  <c r="J687" i="41"/>
  <c r="J690" i="41" s="1"/>
  <c r="J693" i="41" s="1"/>
  <c r="J682" i="41"/>
  <c r="J685" i="41" s="1"/>
  <c r="J680" i="41"/>
  <c r="J683" i="41" s="1"/>
  <c r="J686" i="41" s="1"/>
  <c r="J678" i="41"/>
  <c r="J681" i="41" s="1"/>
  <c r="J684" i="41" s="1"/>
  <c r="J673" i="41"/>
  <c r="J676" i="41" s="1"/>
  <c r="AK678" i="41"/>
  <c r="AK681" i="41" s="1"/>
  <c r="AK684" i="41" s="1"/>
  <c r="AI678" i="41"/>
  <c r="AI681" i="41" s="1"/>
  <c r="AI684" i="41" s="1"/>
  <c r="J671" i="41"/>
  <c r="J674" i="41" s="1"/>
  <c r="J677" i="41" s="1"/>
  <c r="J669" i="41"/>
  <c r="J672" i="41" s="1"/>
  <c r="J675" i="41" s="1"/>
  <c r="J638" i="41"/>
  <c r="J641" i="41" s="1"/>
  <c r="J636" i="41"/>
  <c r="J639" i="41" s="1"/>
  <c r="J642" i="41" s="1"/>
  <c r="J634" i="41"/>
  <c r="J637" i="41" s="1"/>
  <c r="J640" i="41" s="1"/>
  <c r="J629" i="41"/>
  <c r="J632" i="41" s="1"/>
  <c r="J627" i="41"/>
  <c r="J630" i="41" s="1"/>
  <c r="J633" i="41" s="1"/>
  <c r="J625" i="41"/>
  <c r="J628" i="41" s="1"/>
  <c r="J631" i="41" s="1"/>
  <c r="J620" i="41"/>
  <c r="J623" i="41" s="1"/>
  <c r="AK625" i="41"/>
  <c r="AK628" i="41" s="1"/>
  <c r="AK631" i="41" s="1"/>
  <c r="AI625" i="41"/>
  <c r="AI628" i="41" s="1"/>
  <c r="AI631" i="41" s="1"/>
  <c r="J618" i="41"/>
  <c r="J621" i="41" s="1"/>
  <c r="J624" i="41" s="1"/>
  <c r="J616" i="41"/>
  <c r="J619" i="41" s="1"/>
  <c r="J622" i="41" s="1"/>
  <c r="J585" i="41"/>
  <c r="J588" i="41" s="1"/>
  <c r="J583" i="41"/>
  <c r="J586" i="41" s="1"/>
  <c r="J589" i="41" s="1"/>
  <c r="J581" i="41"/>
  <c r="J584" i="41" s="1"/>
  <c r="J587" i="41" s="1"/>
  <c r="J576" i="41"/>
  <c r="J579" i="41" s="1"/>
  <c r="J574" i="41"/>
  <c r="J577" i="41" s="1"/>
  <c r="J580" i="41" s="1"/>
  <c r="J572" i="41"/>
  <c r="J575" i="41" s="1"/>
  <c r="J578" i="41" s="1"/>
  <c r="J567" i="41"/>
  <c r="J570" i="41" s="1"/>
  <c r="AK572" i="41"/>
  <c r="AK575" i="41" s="1"/>
  <c r="AK578" i="41" s="1"/>
  <c r="AI572" i="41"/>
  <c r="AI575" i="41" s="1"/>
  <c r="AI578" i="41" s="1"/>
  <c r="J565" i="41"/>
  <c r="J568" i="41" s="1"/>
  <c r="J571" i="41" s="1"/>
  <c r="J563" i="41"/>
  <c r="J566" i="41" s="1"/>
  <c r="J569" i="41" s="1"/>
  <c r="J537" i="41"/>
  <c r="J540" i="41" s="1"/>
  <c r="J535" i="41"/>
  <c r="J533" i="41"/>
  <c r="J536" i="41" s="1"/>
  <c r="J539" i="41" s="1"/>
  <c r="J528" i="41"/>
  <c r="J531" i="41" s="1"/>
  <c r="J526" i="41"/>
  <c r="J529" i="41" s="1"/>
  <c r="J532" i="41" s="1"/>
  <c r="J524" i="41"/>
  <c r="J527" i="41" s="1"/>
  <c r="J530" i="41" s="1"/>
  <c r="J519" i="41"/>
  <c r="J522" i="41" s="1"/>
  <c r="AK524" i="41"/>
  <c r="AK527" i="41" s="1"/>
  <c r="AK530" i="41" s="1"/>
  <c r="AI524" i="41"/>
  <c r="AI527" i="41" s="1"/>
  <c r="AI530" i="41" s="1"/>
  <c r="J517" i="41"/>
  <c r="J520" i="41" s="1"/>
  <c r="J523" i="41" s="1"/>
  <c r="J515" i="41"/>
  <c r="J518" i="41" s="1"/>
  <c r="J521" i="41" s="1"/>
  <c r="J479" i="41"/>
  <c r="J482" i="41" s="1"/>
  <c r="J477" i="41"/>
  <c r="J475" i="41"/>
  <c r="J478" i="41" s="1"/>
  <c r="J481" i="41" s="1"/>
  <c r="J470" i="41"/>
  <c r="J473" i="41" s="1"/>
  <c r="J468" i="41"/>
  <c r="J471" i="41" s="1"/>
  <c r="J474" i="41" s="1"/>
  <c r="J466" i="41"/>
  <c r="J469" i="41" s="1"/>
  <c r="J472" i="41" s="1"/>
  <c r="J461" i="41"/>
  <c r="J464" i="41" s="1"/>
  <c r="AK466" i="41"/>
  <c r="AK469" i="41" s="1"/>
  <c r="AK472" i="41" s="1"/>
  <c r="AI466" i="41"/>
  <c r="AI469" i="41" s="1"/>
  <c r="AI472" i="41" s="1"/>
  <c r="J459" i="41"/>
  <c r="J462" i="41" s="1"/>
  <c r="J465" i="41" s="1"/>
  <c r="J457" i="41"/>
  <c r="J460" i="41" s="1"/>
  <c r="J463" i="41" s="1"/>
  <c r="J426" i="41"/>
  <c r="J429" i="41" s="1"/>
  <c r="J424" i="41"/>
  <c r="J422" i="41"/>
  <c r="J425" i="41" s="1"/>
  <c r="J428" i="41" s="1"/>
  <c r="J417" i="41"/>
  <c r="J420" i="41" s="1"/>
  <c r="J415" i="41"/>
  <c r="J418" i="41" s="1"/>
  <c r="J421" i="41" s="1"/>
  <c r="J413" i="41"/>
  <c r="J416" i="41" s="1"/>
  <c r="J419" i="41" s="1"/>
  <c r="J408" i="41"/>
  <c r="J411" i="41" s="1"/>
  <c r="AK413" i="41"/>
  <c r="AK416" i="41" s="1"/>
  <c r="AK419" i="41" s="1"/>
  <c r="AI413" i="41"/>
  <c r="AI416" i="41" s="1"/>
  <c r="AI419" i="41" s="1"/>
  <c r="J406" i="41"/>
  <c r="J409" i="41" s="1"/>
  <c r="J412" i="41" s="1"/>
  <c r="J404" i="41"/>
  <c r="J407" i="41" s="1"/>
  <c r="J410" i="41" s="1"/>
  <c r="J373" i="41"/>
  <c r="J376" i="41" s="1"/>
  <c r="J371" i="41"/>
  <c r="J369" i="41"/>
  <c r="J372" i="41" s="1"/>
  <c r="J375" i="41" s="1"/>
  <c r="J364" i="41"/>
  <c r="J367" i="41" s="1"/>
  <c r="J362" i="41"/>
  <c r="J365" i="41" s="1"/>
  <c r="J368" i="41" s="1"/>
  <c r="J360" i="41"/>
  <c r="J363" i="41" s="1"/>
  <c r="J366" i="41" s="1"/>
  <c r="J355" i="41"/>
  <c r="J358" i="41" s="1"/>
  <c r="AK360" i="41"/>
  <c r="AK363" i="41" s="1"/>
  <c r="AK366" i="41" s="1"/>
  <c r="AI360" i="41"/>
  <c r="AI363" i="41" s="1"/>
  <c r="AI366" i="41" s="1"/>
  <c r="J353" i="41"/>
  <c r="J356" i="41" s="1"/>
  <c r="J359" i="41" s="1"/>
  <c r="J351" i="41"/>
  <c r="J354" i="41" s="1"/>
  <c r="J357" i="41" s="1"/>
  <c r="J267" i="41"/>
  <c r="J270" i="41" s="1"/>
  <c r="J265" i="41"/>
  <c r="J263" i="41"/>
  <c r="J266" i="41" s="1"/>
  <c r="J269" i="41" s="1"/>
  <c r="J258" i="41"/>
  <c r="J261" i="41" s="1"/>
  <c r="J256" i="41"/>
  <c r="J259" i="41" s="1"/>
  <c r="J262" i="41" s="1"/>
  <c r="J254" i="41"/>
  <c r="J257" i="41" s="1"/>
  <c r="J260" i="41" s="1"/>
  <c r="J249" i="41"/>
  <c r="J252" i="41" s="1"/>
  <c r="AK254" i="41"/>
  <c r="AK257" i="41" s="1"/>
  <c r="AK260" i="41" s="1"/>
  <c r="AI254" i="41"/>
  <c r="AI257" i="41" s="1"/>
  <c r="AI260" i="41" s="1"/>
  <c r="J247" i="41"/>
  <c r="J250" i="41" s="1"/>
  <c r="J253" i="41" s="1"/>
  <c r="J245" i="41"/>
  <c r="J248" i="41" s="1"/>
  <c r="J251" i="41" s="1"/>
  <c r="J214" i="41"/>
  <c r="J217" i="41" s="1"/>
  <c r="J212" i="41"/>
  <c r="J210" i="41"/>
  <c r="J213" i="41" s="1"/>
  <c r="J216" i="41" s="1"/>
  <c r="J205" i="41"/>
  <c r="J208" i="41" s="1"/>
  <c r="J203" i="41"/>
  <c r="J206" i="41" s="1"/>
  <c r="J209" i="41" s="1"/>
  <c r="J201" i="41"/>
  <c r="J204" i="41" s="1"/>
  <c r="J207" i="41" s="1"/>
  <c r="J196" i="41"/>
  <c r="J199" i="41" s="1"/>
  <c r="AK201" i="41"/>
  <c r="AK204" i="41" s="1"/>
  <c r="AK207" i="41" s="1"/>
  <c r="AI201" i="41"/>
  <c r="AI204" i="41" s="1"/>
  <c r="AI207" i="41" s="1"/>
  <c r="J194" i="41"/>
  <c r="J197" i="41" s="1"/>
  <c r="J200" i="41" s="1"/>
  <c r="J192" i="41"/>
  <c r="J195" i="41" s="1"/>
  <c r="J198" i="41" s="1"/>
  <c r="A716" i="41"/>
  <c r="J325" i="41"/>
  <c r="J328" i="41" s="1"/>
  <c r="J323" i="41"/>
  <c r="J326" i="41" s="1"/>
  <c r="J329" i="41" s="1"/>
  <c r="J321" i="41"/>
  <c r="J324" i="41" s="1"/>
  <c r="J327" i="41" s="1"/>
  <c r="J316" i="41"/>
  <c r="J319" i="41" s="1"/>
  <c r="J314" i="41"/>
  <c r="J317" i="41" s="1"/>
  <c r="J320" i="41" s="1"/>
  <c r="J312" i="41"/>
  <c r="J315" i="41" s="1"/>
  <c r="J318" i="41" s="1"/>
  <c r="J307" i="41"/>
  <c r="J310" i="41" s="1"/>
  <c r="AK312" i="41"/>
  <c r="AK315" i="41" s="1"/>
  <c r="AK318" i="41" s="1"/>
  <c r="AI312" i="41"/>
  <c r="AI315" i="41" s="1"/>
  <c r="AI318" i="41" s="1"/>
  <c r="J305" i="41"/>
  <c r="J308" i="41" s="1"/>
  <c r="J311" i="41" s="1"/>
  <c r="J303" i="41"/>
  <c r="J306" i="41" s="1"/>
  <c r="J309" i="41" s="1"/>
  <c r="AA294" i="41"/>
  <c r="AI452" i="41" s="1"/>
  <c r="J161" i="41"/>
  <c r="J164" i="41" s="1"/>
  <c r="J159" i="41"/>
  <c r="J157" i="41"/>
  <c r="J160" i="41" s="1"/>
  <c r="J163" i="41" s="1"/>
  <c r="J152" i="41"/>
  <c r="J155" i="41" s="1"/>
  <c r="J150" i="41"/>
  <c r="J153" i="41" s="1"/>
  <c r="J156" i="41" s="1"/>
  <c r="J148" i="41"/>
  <c r="J151" i="41" s="1"/>
  <c r="J154" i="41" s="1"/>
  <c r="J143" i="41"/>
  <c r="J146" i="41" s="1"/>
  <c r="AK148" i="41"/>
  <c r="AK151" i="41" s="1"/>
  <c r="AK154" i="41" s="1"/>
  <c r="AI148" i="41"/>
  <c r="AI151" i="41" s="1"/>
  <c r="AI154" i="41" s="1"/>
  <c r="J141" i="41"/>
  <c r="J144" i="41" s="1"/>
  <c r="J147" i="41" s="1"/>
  <c r="J139" i="41"/>
  <c r="J142" i="41" s="1"/>
  <c r="J145" i="41" s="1"/>
  <c r="J125" i="41"/>
  <c r="J128" i="41" s="1"/>
  <c r="J123" i="41"/>
  <c r="J121" i="41"/>
  <c r="J124" i="41" s="1"/>
  <c r="J127" i="41" s="1"/>
  <c r="J108" i="41"/>
  <c r="J111" i="41" s="1"/>
  <c r="J106" i="41"/>
  <c r="J104" i="41"/>
  <c r="J107" i="41" s="1"/>
  <c r="J110" i="41" s="1"/>
  <c r="J99" i="41"/>
  <c r="J102" i="41" s="1"/>
  <c r="J97" i="41"/>
  <c r="J100" i="41" s="1"/>
  <c r="J103" i="41" s="1"/>
  <c r="J95" i="41"/>
  <c r="J98" i="41" s="1"/>
  <c r="J101" i="41" s="1"/>
  <c r="J90" i="41"/>
  <c r="J93" i="41" s="1"/>
  <c r="AK95" i="41"/>
  <c r="AK98" i="41" s="1"/>
  <c r="AK101" i="41" s="1"/>
  <c r="AI95" i="41"/>
  <c r="AI98" i="41" s="1"/>
  <c r="AI101" i="41" s="1"/>
  <c r="J88" i="41"/>
  <c r="J91" i="41" s="1"/>
  <c r="J94" i="41" s="1"/>
  <c r="J86" i="41"/>
  <c r="J89" i="41" s="1"/>
  <c r="J92" i="41" s="1"/>
  <c r="J62" i="41"/>
  <c r="J65" i="41" s="1"/>
  <c r="J60" i="41"/>
  <c r="J58" i="41"/>
  <c r="J61" i="41" s="1"/>
  <c r="J64" i="41" s="1"/>
  <c r="J53" i="41"/>
  <c r="J56" i="41" s="1"/>
  <c r="J51" i="41"/>
  <c r="J54" i="41" s="1"/>
  <c r="J57" i="41" s="1"/>
  <c r="J49" i="41"/>
  <c r="J52" i="41" s="1"/>
  <c r="J55" i="41" s="1"/>
  <c r="J44" i="41"/>
  <c r="J47" i="41" s="1"/>
  <c r="AK49" i="41"/>
  <c r="AK52" i="41" s="1"/>
  <c r="AK55" i="41" s="1"/>
  <c r="AI49" i="41"/>
  <c r="AI52" i="41" s="1"/>
  <c r="AI55" i="41" s="1"/>
  <c r="J42" i="41"/>
  <c r="J45" i="41" s="1"/>
  <c r="J48" i="41" s="1"/>
  <c r="J40" i="41"/>
  <c r="AA31" i="41"/>
  <c r="AI35" i="41" s="1"/>
  <c r="N14" i="41"/>
  <c r="G14" i="41"/>
  <c r="G10" i="41"/>
  <c r="G8" i="41"/>
  <c r="G7" i="41"/>
  <c r="G6" i="41"/>
  <c r="G5" i="41"/>
  <c r="G4" i="41"/>
  <c r="AA192" i="40"/>
  <c r="AI195" i="40" s="1"/>
  <c r="AI230" i="40" s="1"/>
  <c r="AA32" i="40"/>
  <c r="J183" i="40"/>
  <c r="J186" i="40" s="1"/>
  <c r="J181" i="40"/>
  <c r="J179" i="40"/>
  <c r="J182" i="40" s="1"/>
  <c r="J185" i="40" s="1"/>
  <c r="J80" i="40"/>
  <c r="J83" i="40" s="1"/>
  <c r="J78" i="40"/>
  <c r="J81" i="40" s="1"/>
  <c r="J84" i="40" s="1"/>
  <c r="J76" i="40"/>
  <c r="J79" i="40" s="1"/>
  <c r="J82" i="40" s="1"/>
  <c r="A245" i="40"/>
  <c r="J222" i="40"/>
  <c r="J225" i="40" s="1"/>
  <c r="J220" i="40"/>
  <c r="J223" i="40" s="1"/>
  <c r="J226" i="40" s="1"/>
  <c r="J218" i="40"/>
  <c r="J221" i="40" s="1"/>
  <c r="J224" i="40" s="1"/>
  <c r="J213" i="40"/>
  <c r="J216" i="40" s="1"/>
  <c r="J211" i="40"/>
  <c r="J214" i="40" s="1"/>
  <c r="J217" i="40" s="1"/>
  <c r="J209" i="40"/>
  <c r="J212" i="40" s="1"/>
  <c r="J215" i="40" s="1"/>
  <c r="J204" i="40"/>
  <c r="J207" i="40" s="1"/>
  <c r="AK209" i="40"/>
  <c r="AK212" i="40" s="1"/>
  <c r="AK215" i="40" s="1"/>
  <c r="AI209" i="40"/>
  <c r="AI212" i="40" s="1"/>
  <c r="AI215" i="40" s="1"/>
  <c r="J202" i="40"/>
  <c r="J205" i="40" s="1"/>
  <c r="J208" i="40" s="1"/>
  <c r="J200" i="40"/>
  <c r="J203" i="40" s="1"/>
  <c r="J206" i="40" s="1"/>
  <c r="J165" i="40"/>
  <c r="J168" i="40" s="1"/>
  <c r="J163" i="40"/>
  <c r="J161" i="40"/>
  <c r="J164" i="40" s="1"/>
  <c r="J167" i="40" s="1"/>
  <c r="J156" i="40"/>
  <c r="J159" i="40" s="1"/>
  <c r="J154" i="40"/>
  <c r="J157" i="40" s="1"/>
  <c r="J160" i="40" s="1"/>
  <c r="J152" i="40"/>
  <c r="J155" i="40" s="1"/>
  <c r="J158" i="40" s="1"/>
  <c r="J147" i="40"/>
  <c r="J150" i="40" s="1"/>
  <c r="AK152" i="40"/>
  <c r="AK155" i="40" s="1"/>
  <c r="AK158" i="40" s="1"/>
  <c r="AI152" i="40"/>
  <c r="AI155" i="40" s="1"/>
  <c r="AI158" i="40" s="1"/>
  <c r="J145" i="40"/>
  <c r="J148" i="40" s="1"/>
  <c r="J151" i="40" s="1"/>
  <c r="J143" i="40"/>
  <c r="J146" i="40" s="1"/>
  <c r="J149" i="40" s="1"/>
  <c r="J130" i="40"/>
  <c r="J133" i="40" s="1"/>
  <c r="J128" i="40"/>
  <c r="J126" i="40"/>
  <c r="J129" i="40" s="1"/>
  <c r="J132" i="40" s="1"/>
  <c r="J114" i="40"/>
  <c r="J117" i="40" s="1"/>
  <c r="J112" i="40"/>
  <c r="J110" i="40"/>
  <c r="J113" i="40" s="1"/>
  <c r="J116" i="40" s="1"/>
  <c r="J105" i="40"/>
  <c r="J108" i="40" s="1"/>
  <c r="J103" i="40"/>
  <c r="J106" i="40" s="1"/>
  <c r="J109" i="40" s="1"/>
  <c r="J101" i="40"/>
  <c r="J104" i="40" s="1"/>
  <c r="J107" i="40" s="1"/>
  <c r="J96" i="40"/>
  <c r="J99" i="40" s="1"/>
  <c r="AK101" i="40"/>
  <c r="AK104" i="40" s="1"/>
  <c r="AK107" i="40" s="1"/>
  <c r="AI101" i="40"/>
  <c r="AI104" i="40" s="1"/>
  <c r="AI107" i="40" s="1"/>
  <c r="J94" i="40"/>
  <c r="J97" i="40" s="1"/>
  <c r="J100" i="40" s="1"/>
  <c r="J92" i="40"/>
  <c r="J95" i="40" s="1"/>
  <c r="J98" i="40" s="1"/>
  <c r="J63" i="40"/>
  <c r="J66" i="40" s="1"/>
  <c r="J61" i="40"/>
  <c r="J64" i="40" s="1"/>
  <c r="J67" i="40" s="1"/>
  <c r="J59" i="40"/>
  <c r="J62" i="40" s="1"/>
  <c r="J65" i="40" s="1"/>
  <c r="J54" i="40"/>
  <c r="J57" i="40" s="1"/>
  <c r="J52" i="40"/>
  <c r="J55" i="40" s="1"/>
  <c r="J58" i="40" s="1"/>
  <c r="J50" i="40"/>
  <c r="J53" i="40" s="1"/>
  <c r="J56" i="40" s="1"/>
  <c r="J45" i="40"/>
  <c r="J48" i="40" s="1"/>
  <c r="AK50" i="40"/>
  <c r="AK53" i="40" s="1"/>
  <c r="AK56" i="40" s="1"/>
  <c r="AI50" i="40"/>
  <c r="AI53" i="40" s="1"/>
  <c r="AI56" i="40" s="1"/>
  <c r="J43" i="40"/>
  <c r="J46" i="40" s="1"/>
  <c r="J49" i="40" s="1"/>
  <c r="J41" i="40"/>
  <c r="J44" i="40" s="1"/>
  <c r="J47" i="40" s="1"/>
  <c r="N14" i="40"/>
  <c r="G14" i="40"/>
  <c r="G10" i="40"/>
  <c r="G8" i="40"/>
  <c r="G7" i="40"/>
  <c r="G6" i="40"/>
  <c r="G5" i="40"/>
  <c r="G4" i="40"/>
  <c r="J230" i="38"/>
  <c r="J233" i="38" s="1"/>
  <c r="J228" i="38"/>
  <c r="J231" i="38" s="1"/>
  <c r="J234" i="38" s="1"/>
  <c r="J226" i="38"/>
  <c r="J229" i="38" s="1"/>
  <c r="J232" i="38" s="1"/>
  <c r="A239" i="38"/>
  <c r="J214" i="38"/>
  <c r="J217" i="38" s="1"/>
  <c r="J212" i="38"/>
  <c r="J210" i="38"/>
  <c r="J213" i="38" s="1"/>
  <c r="J216" i="38" s="1"/>
  <c r="J205" i="38"/>
  <c r="J208" i="38" s="1"/>
  <c r="J203" i="38"/>
  <c r="J206" i="38" s="1"/>
  <c r="J209" i="38" s="1"/>
  <c r="J201" i="38"/>
  <c r="J204" i="38" s="1"/>
  <c r="J207" i="38" s="1"/>
  <c r="J196" i="38"/>
  <c r="J199" i="38" s="1"/>
  <c r="AK201" i="38"/>
  <c r="AK204" i="38" s="1"/>
  <c r="AK207" i="38" s="1"/>
  <c r="AI201" i="38"/>
  <c r="AI204" i="38" s="1"/>
  <c r="AI207" i="38" s="1"/>
  <c r="J194" i="38"/>
  <c r="J197" i="38" s="1"/>
  <c r="J200" i="38" s="1"/>
  <c r="J192" i="38"/>
  <c r="J195" i="38" s="1"/>
  <c r="J198" i="38" s="1"/>
  <c r="J166" i="38"/>
  <c r="J169" i="38" s="1"/>
  <c r="J164" i="38"/>
  <c r="J167" i="38" s="1"/>
  <c r="J170" i="38" s="1"/>
  <c r="J162" i="38"/>
  <c r="J165" i="38" s="1"/>
  <c r="J168" i="38" s="1"/>
  <c r="J157" i="38"/>
  <c r="J160" i="38" s="1"/>
  <c r="J155" i="38"/>
  <c r="J158" i="38" s="1"/>
  <c r="J161" i="38" s="1"/>
  <c r="J153" i="38"/>
  <c r="J156" i="38" s="1"/>
  <c r="J159" i="38" s="1"/>
  <c r="J148" i="38"/>
  <c r="J151" i="38" s="1"/>
  <c r="AK153" i="38"/>
  <c r="AK156" i="38" s="1"/>
  <c r="AK159" i="38" s="1"/>
  <c r="AI153" i="38"/>
  <c r="AI156" i="38" s="1"/>
  <c r="AI159" i="38" s="1"/>
  <c r="J146" i="38"/>
  <c r="J149" i="38" s="1"/>
  <c r="J152" i="38" s="1"/>
  <c r="J144" i="38"/>
  <c r="J147" i="38" s="1"/>
  <c r="J150" i="38" s="1"/>
  <c r="AA135" i="38"/>
  <c r="AI139" i="38" s="1"/>
  <c r="J125" i="38"/>
  <c r="J128" i="38" s="1"/>
  <c r="J123" i="38"/>
  <c r="J126" i="38" s="1"/>
  <c r="J129" i="38" s="1"/>
  <c r="J121" i="38"/>
  <c r="J124" i="38" s="1"/>
  <c r="J127" i="38" s="1"/>
  <c r="J108" i="38"/>
  <c r="J111" i="38" s="1"/>
  <c r="J106" i="38"/>
  <c r="J109" i="38" s="1"/>
  <c r="J112" i="38" s="1"/>
  <c r="J104" i="38"/>
  <c r="J99" i="38"/>
  <c r="J102" i="38" s="1"/>
  <c r="J97" i="38"/>
  <c r="J100" i="38" s="1"/>
  <c r="J103" i="38" s="1"/>
  <c r="J95" i="38"/>
  <c r="J98" i="38" s="1"/>
  <c r="J101" i="38" s="1"/>
  <c r="J90" i="38"/>
  <c r="J93" i="38" s="1"/>
  <c r="AK95" i="38"/>
  <c r="AK98" i="38" s="1"/>
  <c r="AK101" i="38" s="1"/>
  <c r="AI95" i="38"/>
  <c r="AI98" i="38" s="1"/>
  <c r="AI101" i="38" s="1"/>
  <c r="J88" i="38"/>
  <c r="J91" i="38" s="1"/>
  <c r="J94" i="38" s="1"/>
  <c r="J86" i="38"/>
  <c r="J89" i="38" s="1"/>
  <c r="J92" i="38" s="1"/>
  <c r="J62" i="38"/>
  <c r="J65" i="38" s="1"/>
  <c r="J60" i="38"/>
  <c r="J63" i="38" s="1"/>
  <c r="J66" i="38" s="1"/>
  <c r="J58" i="38"/>
  <c r="J61" i="38" s="1"/>
  <c r="J64" i="38" s="1"/>
  <c r="J53" i="38"/>
  <c r="J56" i="38" s="1"/>
  <c r="J51" i="38"/>
  <c r="J54" i="38" s="1"/>
  <c r="J57" i="38" s="1"/>
  <c r="J49" i="38"/>
  <c r="J52" i="38" s="1"/>
  <c r="J55" i="38" s="1"/>
  <c r="J44" i="38"/>
  <c r="J47" i="38" s="1"/>
  <c r="AK49" i="38"/>
  <c r="AK52" i="38" s="1"/>
  <c r="AK55" i="38" s="1"/>
  <c r="AI49" i="38"/>
  <c r="AI52" i="38" s="1"/>
  <c r="AI55" i="38" s="1"/>
  <c r="J42" i="38"/>
  <c r="J40" i="38"/>
  <c r="AA31" i="38"/>
  <c r="AI81" i="38" s="1"/>
  <c r="N15" i="38"/>
  <c r="G15" i="38"/>
  <c r="G10" i="38"/>
  <c r="G8" i="38"/>
  <c r="G7" i="38"/>
  <c r="G6" i="38"/>
  <c r="G5" i="38"/>
  <c r="G4" i="38"/>
  <c r="A239" i="37"/>
  <c r="J214" i="37"/>
  <c r="J217" i="37" s="1"/>
  <c r="J212" i="37"/>
  <c r="J215" i="37" s="1"/>
  <c r="J218" i="37" s="1"/>
  <c r="J210" i="37"/>
  <c r="J213" i="37" s="1"/>
  <c r="J216" i="37" s="1"/>
  <c r="J205" i="37"/>
  <c r="J208" i="37" s="1"/>
  <c r="J203" i="37"/>
  <c r="J206" i="37" s="1"/>
  <c r="J209" i="37" s="1"/>
  <c r="J201" i="37"/>
  <c r="J204" i="37" s="1"/>
  <c r="J207" i="37" s="1"/>
  <c r="J196" i="37"/>
  <c r="J199" i="37" s="1"/>
  <c r="AK201" i="37"/>
  <c r="AK204" i="37" s="1"/>
  <c r="AK207" i="37" s="1"/>
  <c r="AI201" i="37"/>
  <c r="AI204" i="37" s="1"/>
  <c r="AI207" i="37" s="1"/>
  <c r="J194" i="37"/>
  <c r="J197" i="37" s="1"/>
  <c r="J200" i="37" s="1"/>
  <c r="J192" i="37"/>
  <c r="J195" i="37" s="1"/>
  <c r="J198" i="37" s="1"/>
  <c r="J166" i="37"/>
  <c r="J169" i="37" s="1"/>
  <c r="J164" i="37"/>
  <c r="J162" i="37"/>
  <c r="J165" i="37" s="1"/>
  <c r="J168" i="37" s="1"/>
  <c r="J157" i="37"/>
  <c r="J160" i="37" s="1"/>
  <c r="J155" i="37"/>
  <c r="J158" i="37" s="1"/>
  <c r="J161" i="37" s="1"/>
  <c r="J153" i="37"/>
  <c r="J156" i="37" s="1"/>
  <c r="J159" i="37" s="1"/>
  <c r="J148" i="37"/>
  <c r="J151" i="37" s="1"/>
  <c r="AK153" i="37"/>
  <c r="AK156" i="37" s="1"/>
  <c r="AK159" i="37" s="1"/>
  <c r="AI153" i="37"/>
  <c r="AI156" i="37" s="1"/>
  <c r="AI159" i="37" s="1"/>
  <c r="J146" i="37"/>
  <c r="J149" i="37" s="1"/>
  <c r="J152" i="37" s="1"/>
  <c r="J144" i="37"/>
  <c r="J147" i="37" s="1"/>
  <c r="J150" i="37" s="1"/>
  <c r="AA135" i="37"/>
  <c r="AI139" i="37" s="1"/>
  <c r="J125" i="37"/>
  <c r="J128" i="37" s="1"/>
  <c r="J123" i="37"/>
  <c r="J126" i="37" s="1"/>
  <c r="J129" i="37" s="1"/>
  <c r="J121" i="37"/>
  <c r="J124" i="37" s="1"/>
  <c r="J127" i="37" s="1"/>
  <c r="J108" i="37"/>
  <c r="J111" i="37" s="1"/>
  <c r="J106" i="37"/>
  <c r="J104" i="37"/>
  <c r="J107" i="37" s="1"/>
  <c r="J110" i="37" s="1"/>
  <c r="J99" i="37"/>
  <c r="J102" i="37" s="1"/>
  <c r="J97" i="37"/>
  <c r="J100" i="37" s="1"/>
  <c r="J103" i="37" s="1"/>
  <c r="J95" i="37"/>
  <c r="J98" i="37" s="1"/>
  <c r="J101" i="37" s="1"/>
  <c r="J90" i="37"/>
  <c r="J93" i="37" s="1"/>
  <c r="AK95" i="37"/>
  <c r="AK98" i="37" s="1"/>
  <c r="AK101" i="37" s="1"/>
  <c r="AI95" i="37"/>
  <c r="AI98" i="37" s="1"/>
  <c r="AI101" i="37" s="1"/>
  <c r="J88" i="37"/>
  <c r="J91" i="37" s="1"/>
  <c r="J94" i="37" s="1"/>
  <c r="J86" i="37"/>
  <c r="J89" i="37" s="1"/>
  <c r="J92" i="37" s="1"/>
  <c r="J62" i="37"/>
  <c r="J65" i="37" s="1"/>
  <c r="J60" i="37"/>
  <c r="J63" i="37" s="1"/>
  <c r="J66" i="37" s="1"/>
  <c r="J58" i="37"/>
  <c r="J61" i="37" s="1"/>
  <c r="J64" i="37" s="1"/>
  <c r="J53" i="37"/>
  <c r="J56" i="37" s="1"/>
  <c r="J51" i="37"/>
  <c r="J54" i="37" s="1"/>
  <c r="J57" i="37" s="1"/>
  <c r="J49" i="37"/>
  <c r="J52" i="37" s="1"/>
  <c r="J55" i="37" s="1"/>
  <c r="J44" i="37"/>
  <c r="J47" i="37" s="1"/>
  <c r="AK49" i="37"/>
  <c r="AK52" i="37" s="1"/>
  <c r="AK55" i="37" s="1"/>
  <c r="AI49" i="37"/>
  <c r="AI52" i="37" s="1"/>
  <c r="AI55" i="37" s="1"/>
  <c r="J42" i="37"/>
  <c r="J40" i="37"/>
  <c r="AA31" i="37"/>
  <c r="AI81" i="37" s="1"/>
  <c r="N14" i="37"/>
  <c r="G14" i="37"/>
  <c r="G10" i="37"/>
  <c r="G8" i="37"/>
  <c r="G7" i="37"/>
  <c r="G6" i="37"/>
  <c r="G5" i="37"/>
  <c r="G4" i="37"/>
  <c r="J91" i="36"/>
  <c r="J94" i="36" s="1"/>
  <c r="J89" i="36"/>
  <c r="J87" i="36"/>
  <c r="J90" i="36" s="1"/>
  <c r="J93" i="36" s="1"/>
  <c r="A188" i="36"/>
  <c r="J163" i="36"/>
  <c r="J166" i="36" s="1"/>
  <c r="J161" i="36"/>
  <c r="J159" i="36"/>
  <c r="J162" i="36" s="1"/>
  <c r="J165" i="36" s="1"/>
  <c r="J154" i="36"/>
  <c r="J157" i="36" s="1"/>
  <c r="J152" i="36"/>
  <c r="J155" i="36" s="1"/>
  <c r="J158" i="36" s="1"/>
  <c r="J150" i="36"/>
  <c r="J153" i="36" s="1"/>
  <c r="J156" i="36" s="1"/>
  <c r="J145" i="36"/>
  <c r="J148" i="36" s="1"/>
  <c r="AK150" i="36"/>
  <c r="AK153" i="36" s="1"/>
  <c r="AK156" i="36" s="1"/>
  <c r="AI150" i="36"/>
  <c r="AI153" i="36" s="1"/>
  <c r="AI156" i="36" s="1"/>
  <c r="J143" i="36"/>
  <c r="J146" i="36" s="1"/>
  <c r="J149" i="36" s="1"/>
  <c r="J141" i="36"/>
  <c r="J144" i="36" s="1"/>
  <c r="J147" i="36" s="1"/>
  <c r="J127" i="36"/>
  <c r="J130" i="36" s="1"/>
  <c r="J125" i="36"/>
  <c r="J128" i="36" s="1"/>
  <c r="J131" i="36" s="1"/>
  <c r="J123" i="36"/>
  <c r="J126" i="36" s="1"/>
  <c r="J129" i="36" s="1"/>
  <c r="J118" i="36"/>
  <c r="J121" i="36" s="1"/>
  <c r="J116" i="36"/>
  <c r="J119" i="36" s="1"/>
  <c r="J122" i="36" s="1"/>
  <c r="J114" i="36"/>
  <c r="J117" i="36" s="1"/>
  <c r="J120" i="36" s="1"/>
  <c r="J109" i="36"/>
  <c r="J112" i="36" s="1"/>
  <c r="AK114" i="36"/>
  <c r="AK117" i="36" s="1"/>
  <c r="AK120" i="36" s="1"/>
  <c r="AI114" i="36"/>
  <c r="AI117" i="36" s="1"/>
  <c r="AI120" i="36" s="1"/>
  <c r="J107" i="36"/>
  <c r="J110" i="36" s="1"/>
  <c r="J113" i="36" s="1"/>
  <c r="J105" i="36"/>
  <c r="J108" i="36" s="1"/>
  <c r="J111" i="36" s="1"/>
  <c r="J63" i="36"/>
  <c r="J66" i="36" s="1"/>
  <c r="J61" i="36"/>
  <c r="J64" i="36" s="1"/>
  <c r="J67" i="36" s="1"/>
  <c r="J59" i="36"/>
  <c r="J62" i="36" s="1"/>
  <c r="J65" i="36" s="1"/>
  <c r="J54" i="36"/>
  <c r="J57" i="36" s="1"/>
  <c r="J52" i="36"/>
  <c r="J55" i="36" s="1"/>
  <c r="J58" i="36" s="1"/>
  <c r="J50" i="36"/>
  <c r="J53" i="36" s="1"/>
  <c r="J56" i="36" s="1"/>
  <c r="J45" i="36"/>
  <c r="J48" i="36" s="1"/>
  <c r="AK50" i="36"/>
  <c r="AK53" i="36" s="1"/>
  <c r="AK56" i="36" s="1"/>
  <c r="AI50" i="36"/>
  <c r="AI53" i="36" s="1"/>
  <c r="AI56" i="36" s="1"/>
  <c r="J43" i="36"/>
  <c r="J41" i="36"/>
  <c r="AA32" i="36"/>
  <c r="AI100" i="36" s="1"/>
  <c r="N14" i="36"/>
  <c r="G14" i="36"/>
  <c r="G10" i="36"/>
  <c r="G8" i="36"/>
  <c r="G7" i="36"/>
  <c r="G6" i="36"/>
  <c r="G5" i="36"/>
  <c r="G4" i="36"/>
  <c r="AA350" i="35"/>
  <c r="AI354" i="35" s="1"/>
  <c r="J381" i="35"/>
  <c r="J384" i="35" s="1"/>
  <c r="J379" i="35"/>
  <c r="J377" i="35"/>
  <c r="J380" i="35" s="1"/>
  <c r="J383" i="35" s="1"/>
  <c r="J372" i="35"/>
  <c r="J375" i="35" s="1"/>
  <c r="J370" i="35"/>
  <c r="J373" i="35" s="1"/>
  <c r="J376" i="35" s="1"/>
  <c r="J368" i="35"/>
  <c r="J371" i="35" s="1"/>
  <c r="J374" i="35" s="1"/>
  <c r="J363" i="35"/>
  <c r="J366" i="35" s="1"/>
  <c r="J361" i="35"/>
  <c r="J364" i="35" s="1"/>
  <c r="J367" i="35" s="1"/>
  <c r="J359" i="35"/>
  <c r="J362" i="35" s="1"/>
  <c r="J365" i="35" s="1"/>
  <c r="AA296" i="35"/>
  <c r="AI300" i="35" s="1"/>
  <c r="AA243" i="35"/>
  <c r="AI247" i="35" s="1"/>
  <c r="J274" i="35"/>
  <c r="J277" i="35" s="1"/>
  <c r="J272" i="35"/>
  <c r="J270" i="35"/>
  <c r="J273" i="35" s="1"/>
  <c r="J276" i="35" s="1"/>
  <c r="J265" i="35"/>
  <c r="J268" i="35" s="1"/>
  <c r="J263" i="35"/>
  <c r="J266" i="35" s="1"/>
  <c r="J269" i="35" s="1"/>
  <c r="J261" i="35"/>
  <c r="J264" i="35" s="1"/>
  <c r="J267" i="35" s="1"/>
  <c r="J256" i="35"/>
  <c r="J259" i="35" s="1"/>
  <c r="J254" i="35"/>
  <c r="J257" i="35" s="1"/>
  <c r="J260" i="35" s="1"/>
  <c r="J252" i="35"/>
  <c r="J255" i="35" s="1"/>
  <c r="J258" i="35" s="1"/>
  <c r="J91" i="35"/>
  <c r="J94" i="35" s="1"/>
  <c r="J89" i="35"/>
  <c r="J92" i="35" s="1"/>
  <c r="J95" i="35" s="1"/>
  <c r="J87" i="35"/>
  <c r="J90" i="35" s="1"/>
  <c r="J93" i="35" s="1"/>
  <c r="A399" i="35"/>
  <c r="J327" i="35"/>
  <c r="J330" i="35" s="1"/>
  <c r="J325" i="35"/>
  <c r="J323" i="35"/>
  <c r="J326" i="35" s="1"/>
  <c r="J329" i="35" s="1"/>
  <c r="J318" i="35"/>
  <c r="J321" i="35" s="1"/>
  <c r="J316" i="35"/>
  <c r="J319" i="35" s="1"/>
  <c r="J322" i="35" s="1"/>
  <c r="J314" i="35"/>
  <c r="J317" i="35" s="1"/>
  <c r="J320" i="35" s="1"/>
  <c r="J309" i="35"/>
  <c r="J312" i="35" s="1"/>
  <c r="J307" i="35"/>
  <c r="J310" i="35" s="1"/>
  <c r="J313" i="35" s="1"/>
  <c r="J305" i="35"/>
  <c r="J308" i="35" s="1"/>
  <c r="J311" i="35" s="1"/>
  <c r="J216" i="35"/>
  <c r="J219" i="35" s="1"/>
  <c r="J214" i="35"/>
  <c r="J212" i="35"/>
  <c r="J215" i="35" s="1"/>
  <c r="J218" i="35" s="1"/>
  <c r="J207" i="35"/>
  <c r="J210" i="35" s="1"/>
  <c r="J205" i="35"/>
  <c r="J208" i="35" s="1"/>
  <c r="J211" i="35" s="1"/>
  <c r="J203" i="35"/>
  <c r="J206" i="35" s="1"/>
  <c r="J209" i="35" s="1"/>
  <c r="J198" i="35"/>
  <c r="J201" i="35" s="1"/>
  <c r="AK203" i="35"/>
  <c r="AK206" i="35" s="1"/>
  <c r="AK209" i="35" s="1"/>
  <c r="AI203" i="35"/>
  <c r="AI206" i="35" s="1"/>
  <c r="AI209" i="35" s="1"/>
  <c r="J196" i="35"/>
  <c r="J199" i="35" s="1"/>
  <c r="J202" i="35" s="1"/>
  <c r="J194" i="35"/>
  <c r="J197" i="35" s="1"/>
  <c r="J200" i="35" s="1"/>
  <c r="J163" i="35"/>
  <c r="J166" i="35" s="1"/>
  <c r="J161" i="35"/>
  <c r="J164" i="35" s="1"/>
  <c r="J167" i="35" s="1"/>
  <c r="J159" i="35"/>
  <c r="J162" i="35" s="1"/>
  <c r="J165" i="35" s="1"/>
  <c r="J154" i="35"/>
  <c r="J157" i="35" s="1"/>
  <c r="J152" i="35"/>
  <c r="J155" i="35" s="1"/>
  <c r="J158" i="35" s="1"/>
  <c r="J150" i="35"/>
  <c r="J153" i="35" s="1"/>
  <c r="J156" i="35" s="1"/>
  <c r="J145" i="35"/>
  <c r="J148" i="35" s="1"/>
  <c r="AK150" i="35"/>
  <c r="AK153" i="35" s="1"/>
  <c r="AK156" i="35" s="1"/>
  <c r="AI150" i="35"/>
  <c r="AI153" i="35" s="1"/>
  <c r="AI156" i="35" s="1"/>
  <c r="J143" i="35"/>
  <c r="J146" i="35" s="1"/>
  <c r="J149" i="35" s="1"/>
  <c r="J141" i="35"/>
  <c r="J144" i="35" s="1"/>
  <c r="J147" i="35" s="1"/>
  <c r="J125" i="35"/>
  <c r="J128" i="35" s="1"/>
  <c r="J123" i="35"/>
  <c r="J126" i="35" s="1"/>
  <c r="J129" i="35" s="1"/>
  <c r="J121" i="35"/>
  <c r="J124" i="35" s="1"/>
  <c r="J127" i="35" s="1"/>
  <c r="J116" i="35"/>
  <c r="J119" i="35" s="1"/>
  <c r="J114" i="35"/>
  <c r="J117" i="35" s="1"/>
  <c r="J120" i="35" s="1"/>
  <c r="J112" i="35"/>
  <c r="J115" i="35" s="1"/>
  <c r="J118" i="35" s="1"/>
  <c r="J107" i="35"/>
  <c r="J110" i="35" s="1"/>
  <c r="AK112" i="35"/>
  <c r="AK115" i="35" s="1"/>
  <c r="AK118" i="35" s="1"/>
  <c r="AI112" i="35"/>
  <c r="AI115" i="35" s="1"/>
  <c r="AI118" i="35" s="1"/>
  <c r="J105" i="35"/>
  <c r="J108" i="35" s="1"/>
  <c r="J111" i="35" s="1"/>
  <c r="J103" i="35"/>
  <c r="J106" i="35" s="1"/>
  <c r="J109" i="35" s="1"/>
  <c r="J63" i="35"/>
  <c r="J66" i="35" s="1"/>
  <c r="J61" i="35"/>
  <c r="J64" i="35" s="1"/>
  <c r="J67" i="35" s="1"/>
  <c r="J59" i="35"/>
  <c r="J54" i="35"/>
  <c r="J57" i="35" s="1"/>
  <c r="J52" i="35"/>
  <c r="J55" i="35" s="1"/>
  <c r="J58" i="35" s="1"/>
  <c r="J50" i="35"/>
  <c r="J53" i="35" s="1"/>
  <c r="J56" i="35" s="1"/>
  <c r="J45" i="35"/>
  <c r="J48" i="35" s="1"/>
  <c r="AK50" i="35"/>
  <c r="AK53" i="35" s="1"/>
  <c r="AK56" i="35" s="1"/>
  <c r="AI50" i="35"/>
  <c r="AI53" i="35" s="1"/>
  <c r="AI56" i="35" s="1"/>
  <c r="J43" i="35"/>
  <c r="J41" i="35"/>
  <c r="J44" i="35" s="1"/>
  <c r="J47" i="35" s="1"/>
  <c r="AA32" i="35"/>
  <c r="N14" i="35"/>
  <c r="G14" i="35"/>
  <c r="G10" i="35"/>
  <c r="G8" i="35"/>
  <c r="G7" i="35"/>
  <c r="G6" i="35"/>
  <c r="G5" i="35"/>
  <c r="G4" i="35"/>
  <c r="J126" i="34"/>
  <c r="J129" i="34" s="1"/>
  <c r="J124" i="34"/>
  <c r="J122" i="34"/>
  <c r="J125" i="34" s="1"/>
  <c r="J128" i="34" s="1"/>
  <c r="A559" i="34"/>
  <c r="J534" i="34"/>
  <c r="J537" i="34" s="1"/>
  <c r="J532" i="34"/>
  <c r="J530" i="34"/>
  <c r="J533" i="34" s="1"/>
  <c r="J536" i="34" s="1"/>
  <c r="J525" i="34"/>
  <c r="J528" i="34" s="1"/>
  <c r="J523" i="34"/>
  <c r="J526" i="34" s="1"/>
  <c r="J529" i="34" s="1"/>
  <c r="J521" i="34"/>
  <c r="J524" i="34" s="1"/>
  <c r="J527" i="34" s="1"/>
  <c r="J516" i="34"/>
  <c r="J519" i="34" s="1"/>
  <c r="J514" i="34"/>
  <c r="J517" i="34" s="1"/>
  <c r="J520" i="34" s="1"/>
  <c r="J512" i="34"/>
  <c r="J515" i="34" s="1"/>
  <c r="J518" i="34" s="1"/>
  <c r="J481" i="34"/>
  <c r="J484" i="34" s="1"/>
  <c r="J479" i="34"/>
  <c r="J477" i="34"/>
  <c r="J480" i="34" s="1"/>
  <c r="J483" i="34" s="1"/>
  <c r="J472" i="34"/>
  <c r="J475" i="34" s="1"/>
  <c r="J470" i="34"/>
  <c r="J473" i="34" s="1"/>
  <c r="J476" i="34" s="1"/>
  <c r="J468" i="34"/>
  <c r="J471" i="34" s="1"/>
  <c r="J474" i="34" s="1"/>
  <c r="J463" i="34"/>
  <c r="J466" i="34" s="1"/>
  <c r="J461" i="34"/>
  <c r="J464" i="34" s="1"/>
  <c r="J467" i="34" s="1"/>
  <c r="J459" i="34"/>
  <c r="J462" i="34" s="1"/>
  <c r="J465" i="34" s="1"/>
  <c r="J428" i="34"/>
  <c r="J431" i="34" s="1"/>
  <c r="J426" i="34"/>
  <c r="J424" i="34"/>
  <c r="J427" i="34" s="1"/>
  <c r="J430" i="34" s="1"/>
  <c r="J419" i="34"/>
  <c r="J422" i="34" s="1"/>
  <c r="J417" i="34"/>
  <c r="J420" i="34" s="1"/>
  <c r="J423" i="34" s="1"/>
  <c r="J415" i="34"/>
  <c r="J418" i="34" s="1"/>
  <c r="J421" i="34" s="1"/>
  <c r="J410" i="34"/>
  <c r="J413" i="34" s="1"/>
  <c r="J408" i="34"/>
  <c r="J411" i="34" s="1"/>
  <c r="J414" i="34" s="1"/>
  <c r="J406" i="34"/>
  <c r="J409" i="34" s="1"/>
  <c r="J412" i="34" s="1"/>
  <c r="J375" i="34"/>
  <c r="J378" i="34" s="1"/>
  <c r="J373" i="34"/>
  <c r="J371" i="34"/>
  <c r="J374" i="34" s="1"/>
  <c r="J377" i="34" s="1"/>
  <c r="J366" i="34"/>
  <c r="J369" i="34" s="1"/>
  <c r="J364" i="34"/>
  <c r="J367" i="34" s="1"/>
  <c r="J370" i="34" s="1"/>
  <c r="J362" i="34"/>
  <c r="J365" i="34" s="1"/>
  <c r="J368" i="34" s="1"/>
  <c r="J357" i="34"/>
  <c r="J360" i="34" s="1"/>
  <c r="J355" i="34"/>
  <c r="J358" i="34" s="1"/>
  <c r="J361" i="34" s="1"/>
  <c r="J353" i="34"/>
  <c r="J356" i="34" s="1"/>
  <c r="J359" i="34" s="1"/>
  <c r="J326" i="34"/>
  <c r="J329" i="34" s="1"/>
  <c r="J324" i="34"/>
  <c r="J322" i="34"/>
  <c r="J325" i="34" s="1"/>
  <c r="J328" i="34" s="1"/>
  <c r="J317" i="34"/>
  <c r="J320" i="34" s="1"/>
  <c r="J315" i="34"/>
  <c r="J318" i="34" s="1"/>
  <c r="J321" i="34" s="1"/>
  <c r="J313" i="34"/>
  <c r="J316" i="34" s="1"/>
  <c r="J319" i="34" s="1"/>
  <c r="J308" i="34"/>
  <c r="J311" i="34" s="1"/>
  <c r="J306" i="34"/>
  <c r="J309" i="34" s="1"/>
  <c r="J312" i="34" s="1"/>
  <c r="J304" i="34"/>
  <c r="J307" i="34" s="1"/>
  <c r="J310" i="34" s="1"/>
  <c r="AA295" i="34"/>
  <c r="J268" i="34"/>
  <c r="J271" i="34" s="1"/>
  <c r="J266" i="34"/>
  <c r="J264" i="34"/>
  <c r="J267" i="34" s="1"/>
  <c r="J270" i="34" s="1"/>
  <c r="J259" i="34"/>
  <c r="J262" i="34" s="1"/>
  <c r="J257" i="34"/>
  <c r="J260" i="34" s="1"/>
  <c r="J263" i="34" s="1"/>
  <c r="J255" i="34"/>
  <c r="J258" i="34" s="1"/>
  <c r="J261" i="34" s="1"/>
  <c r="J250" i="34"/>
  <c r="J253" i="34" s="1"/>
  <c r="AK255" i="34"/>
  <c r="AK258" i="34" s="1"/>
  <c r="AK261" i="34" s="1"/>
  <c r="AI255" i="34"/>
  <c r="AI258" i="34" s="1"/>
  <c r="AI261" i="34" s="1"/>
  <c r="J248" i="34"/>
  <c r="J251" i="34" s="1"/>
  <c r="J254" i="34" s="1"/>
  <c r="J246" i="34"/>
  <c r="J249" i="34" s="1"/>
  <c r="J252" i="34" s="1"/>
  <c r="J215" i="34"/>
  <c r="J218" i="34" s="1"/>
  <c r="J213" i="34"/>
  <c r="J216" i="34" s="1"/>
  <c r="J219" i="34" s="1"/>
  <c r="J211" i="34"/>
  <c r="J214" i="34" s="1"/>
  <c r="J217" i="34" s="1"/>
  <c r="J206" i="34"/>
  <c r="J209" i="34" s="1"/>
  <c r="J204" i="34"/>
  <c r="J207" i="34" s="1"/>
  <c r="J210" i="34" s="1"/>
  <c r="J202" i="34"/>
  <c r="J205" i="34" s="1"/>
  <c r="J208" i="34" s="1"/>
  <c r="J197" i="34"/>
  <c r="J200" i="34" s="1"/>
  <c r="AK202" i="34"/>
  <c r="AK205" i="34" s="1"/>
  <c r="AK208" i="34" s="1"/>
  <c r="AI202" i="34"/>
  <c r="AI205" i="34" s="1"/>
  <c r="AI208" i="34" s="1"/>
  <c r="J195" i="34"/>
  <c r="J198" i="34" s="1"/>
  <c r="J201" i="34" s="1"/>
  <c r="J193" i="34"/>
  <c r="J196" i="34" s="1"/>
  <c r="J199" i="34" s="1"/>
  <c r="J162" i="34"/>
  <c r="J165" i="34" s="1"/>
  <c r="J160" i="34"/>
  <c r="J163" i="34" s="1"/>
  <c r="J166" i="34" s="1"/>
  <c r="J158" i="34"/>
  <c r="J153" i="34"/>
  <c r="J156" i="34" s="1"/>
  <c r="J151" i="34"/>
  <c r="J154" i="34" s="1"/>
  <c r="J157" i="34" s="1"/>
  <c r="J149" i="34"/>
  <c r="J152" i="34" s="1"/>
  <c r="J155" i="34" s="1"/>
  <c r="J144" i="34"/>
  <c r="J147" i="34" s="1"/>
  <c r="AK149" i="34"/>
  <c r="AK152" i="34" s="1"/>
  <c r="AK155" i="34" s="1"/>
  <c r="AI149" i="34"/>
  <c r="AI152" i="34" s="1"/>
  <c r="AI155" i="34" s="1"/>
  <c r="J142" i="34"/>
  <c r="J145" i="34" s="1"/>
  <c r="J148" i="34" s="1"/>
  <c r="J140" i="34"/>
  <c r="J143" i="34" s="1"/>
  <c r="J146" i="34" s="1"/>
  <c r="J109" i="34"/>
  <c r="J112" i="34" s="1"/>
  <c r="J107" i="34"/>
  <c r="J110" i="34" s="1"/>
  <c r="J113" i="34" s="1"/>
  <c r="J105" i="34"/>
  <c r="J108" i="34" s="1"/>
  <c r="J111" i="34" s="1"/>
  <c r="J100" i="34"/>
  <c r="J103" i="34" s="1"/>
  <c r="J98" i="34"/>
  <c r="J101" i="34" s="1"/>
  <c r="J104" i="34" s="1"/>
  <c r="J96" i="34"/>
  <c r="J99" i="34" s="1"/>
  <c r="J102" i="34" s="1"/>
  <c r="J91" i="34"/>
  <c r="J94" i="34" s="1"/>
  <c r="AK96" i="34"/>
  <c r="AK99" i="34" s="1"/>
  <c r="AK102" i="34" s="1"/>
  <c r="AI96" i="34"/>
  <c r="AI99" i="34" s="1"/>
  <c r="AI102" i="34" s="1"/>
  <c r="J89" i="34"/>
  <c r="J92" i="34" s="1"/>
  <c r="J95" i="34" s="1"/>
  <c r="J87" i="34"/>
  <c r="J90" i="34" s="1"/>
  <c r="J93" i="34" s="1"/>
  <c r="J63" i="34"/>
  <c r="J66" i="34" s="1"/>
  <c r="J61" i="34"/>
  <c r="J64" i="34" s="1"/>
  <c r="J67" i="34" s="1"/>
  <c r="J59" i="34"/>
  <c r="J54" i="34"/>
  <c r="J57" i="34" s="1"/>
  <c r="J52" i="34"/>
  <c r="J55" i="34" s="1"/>
  <c r="J58" i="34" s="1"/>
  <c r="J50" i="34"/>
  <c r="J53" i="34" s="1"/>
  <c r="J56" i="34" s="1"/>
  <c r="J45" i="34"/>
  <c r="J48" i="34" s="1"/>
  <c r="AK50" i="34"/>
  <c r="AK53" i="34" s="1"/>
  <c r="AK56" i="34" s="1"/>
  <c r="AI50" i="34"/>
  <c r="AI53" i="34" s="1"/>
  <c r="AI56" i="34" s="1"/>
  <c r="J43" i="34"/>
  <c r="J41" i="34"/>
  <c r="AA32" i="34"/>
  <c r="N14" i="34"/>
  <c r="G14" i="34"/>
  <c r="G10" i="34"/>
  <c r="G8" i="34"/>
  <c r="G7" i="34"/>
  <c r="G6" i="34"/>
  <c r="G5" i="34"/>
  <c r="G4" i="34"/>
  <c r="J108" i="33"/>
  <c r="J111" i="33" s="1"/>
  <c r="J106" i="33"/>
  <c r="J109" i="33" s="1"/>
  <c r="J112" i="33" s="1"/>
  <c r="J104" i="33"/>
  <c r="J107" i="33" s="1"/>
  <c r="J110" i="33" s="1"/>
  <c r="A234" i="33"/>
  <c r="J212" i="33"/>
  <c r="J215" i="33" s="1"/>
  <c r="J210" i="33"/>
  <c r="J213" i="33" s="1"/>
  <c r="J216" i="33" s="1"/>
  <c r="J208" i="33"/>
  <c r="J211" i="33" s="1"/>
  <c r="J214" i="33" s="1"/>
  <c r="J203" i="33"/>
  <c r="J206" i="33" s="1"/>
  <c r="J201" i="33"/>
  <c r="J204" i="33" s="1"/>
  <c r="J207" i="33" s="1"/>
  <c r="J199" i="33"/>
  <c r="J202" i="33" s="1"/>
  <c r="J205" i="33" s="1"/>
  <c r="J194" i="33"/>
  <c r="J197" i="33" s="1"/>
  <c r="AK199" i="33"/>
  <c r="AK202" i="33" s="1"/>
  <c r="AK205" i="33" s="1"/>
  <c r="AI199" i="33"/>
  <c r="AI202" i="33" s="1"/>
  <c r="AI205" i="33" s="1"/>
  <c r="J192" i="33"/>
  <c r="J195" i="33" s="1"/>
  <c r="J198" i="33" s="1"/>
  <c r="J190" i="33"/>
  <c r="J193" i="33" s="1"/>
  <c r="J196" i="33" s="1"/>
  <c r="J176" i="33"/>
  <c r="J179" i="33" s="1"/>
  <c r="J174" i="33"/>
  <c r="J177" i="33" s="1"/>
  <c r="J180" i="33" s="1"/>
  <c r="J172" i="33"/>
  <c r="J175" i="33" s="1"/>
  <c r="J178" i="33" s="1"/>
  <c r="J159" i="33"/>
  <c r="J162" i="33" s="1"/>
  <c r="J157" i="33"/>
  <c r="J160" i="33" s="1"/>
  <c r="J163" i="33" s="1"/>
  <c r="J155" i="33"/>
  <c r="J158" i="33" s="1"/>
  <c r="J161" i="33" s="1"/>
  <c r="J150" i="33"/>
  <c r="J153" i="33" s="1"/>
  <c r="J148" i="33"/>
  <c r="J151" i="33" s="1"/>
  <c r="J154" i="33" s="1"/>
  <c r="J146" i="33"/>
  <c r="J149" i="33" s="1"/>
  <c r="J152" i="33" s="1"/>
  <c r="J141" i="33"/>
  <c r="J144" i="33" s="1"/>
  <c r="AK146" i="33"/>
  <c r="AK149" i="33" s="1"/>
  <c r="AK152" i="33" s="1"/>
  <c r="AI146" i="33"/>
  <c r="AI149" i="33" s="1"/>
  <c r="AI152" i="33" s="1"/>
  <c r="J139" i="33"/>
  <c r="J142" i="33" s="1"/>
  <c r="J145" i="33" s="1"/>
  <c r="J137" i="33"/>
  <c r="J140" i="33" s="1"/>
  <c r="J143" i="33" s="1"/>
  <c r="J91" i="33"/>
  <c r="J94" i="33" s="1"/>
  <c r="J89" i="33"/>
  <c r="J87" i="33"/>
  <c r="J90" i="33" s="1"/>
  <c r="J93" i="33" s="1"/>
  <c r="J63" i="33"/>
  <c r="J66" i="33" s="1"/>
  <c r="J61" i="33"/>
  <c r="J59" i="33"/>
  <c r="J62" i="33" s="1"/>
  <c r="J65" i="33" s="1"/>
  <c r="J54" i="33"/>
  <c r="J57" i="33" s="1"/>
  <c r="J52" i="33"/>
  <c r="J55" i="33" s="1"/>
  <c r="J58" i="33" s="1"/>
  <c r="J50" i="33"/>
  <c r="J53" i="33" s="1"/>
  <c r="J56" i="33" s="1"/>
  <c r="J45" i="33"/>
  <c r="J48" i="33" s="1"/>
  <c r="AK50" i="33"/>
  <c r="AK53" i="33" s="1"/>
  <c r="AK56" i="33" s="1"/>
  <c r="AI50" i="33"/>
  <c r="AI53" i="33" s="1"/>
  <c r="AI56" i="33" s="1"/>
  <c r="J43" i="33"/>
  <c r="J46" i="33" s="1"/>
  <c r="J49" i="33" s="1"/>
  <c r="J41" i="33"/>
  <c r="J44" i="33" s="1"/>
  <c r="J47" i="33" s="1"/>
  <c r="AA32" i="33"/>
  <c r="AI132" i="33" s="1"/>
  <c r="N15" i="33"/>
  <c r="G15" i="33"/>
  <c r="G10" i="33"/>
  <c r="G8" i="33"/>
  <c r="G7" i="33"/>
  <c r="G6" i="33"/>
  <c r="G5" i="33"/>
  <c r="G4" i="33"/>
  <c r="AA136" i="32"/>
  <c r="AI140" i="32" s="1"/>
  <c r="J167" i="32"/>
  <c r="J170" i="32" s="1"/>
  <c r="J165" i="32"/>
  <c r="J163" i="32"/>
  <c r="J166" i="32" s="1"/>
  <c r="J169" i="32" s="1"/>
  <c r="J158" i="32"/>
  <c r="J161" i="32" s="1"/>
  <c r="J156" i="32"/>
  <c r="J159" i="32" s="1"/>
  <c r="J162" i="32" s="1"/>
  <c r="J154" i="32"/>
  <c r="J157" i="32" s="1"/>
  <c r="J160" i="32" s="1"/>
  <c r="J149" i="32"/>
  <c r="J152" i="32" s="1"/>
  <c r="J147" i="32"/>
  <c r="J150" i="32" s="1"/>
  <c r="J153" i="32" s="1"/>
  <c r="J145" i="32"/>
  <c r="J148" i="32" s="1"/>
  <c r="J151" i="32" s="1"/>
  <c r="A187" i="32"/>
  <c r="J126" i="32"/>
  <c r="J129" i="32" s="1"/>
  <c r="J124" i="32"/>
  <c r="J127" i="32" s="1"/>
  <c r="J130" i="32" s="1"/>
  <c r="J122" i="32"/>
  <c r="J109" i="32"/>
  <c r="J112" i="32" s="1"/>
  <c r="J107" i="32"/>
  <c r="J110" i="32" s="1"/>
  <c r="J113" i="32" s="1"/>
  <c r="J105" i="32"/>
  <c r="J108" i="32" s="1"/>
  <c r="J111" i="32" s="1"/>
  <c r="J100" i="32"/>
  <c r="J103" i="32" s="1"/>
  <c r="J98" i="32"/>
  <c r="J101" i="32" s="1"/>
  <c r="J104" i="32" s="1"/>
  <c r="J96" i="32"/>
  <c r="J99" i="32" s="1"/>
  <c r="J102" i="32" s="1"/>
  <c r="J91" i="32"/>
  <c r="J94" i="32" s="1"/>
  <c r="AK96" i="32"/>
  <c r="AK99" i="32" s="1"/>
  <c r="AK102" i="32" s="1"/>
  <c r="AI96" i="32"/>
  <c r="AI99" i="32" s="1"/>
  <c r="AI102" i="32" s="1"/>
  <c r="J89" i="32"/>
  <c r="J92" i="32" s="1"/>
  <c r="J95" i="32" s="1"/>
  <c r="J87" i="32"/>
  <c r="J90" i="32" s="1"/>
  <c r="J93" i="32" s="1"/>
  <c r="J63" i="32"/>
  <c r="J66" i="32" s="1"/>
  <c r="J61" i="32"/>
  <c r="J64" i="32" s="1"/>
  <c r="J67" i="32" s="1"/>
  <c r="J59" i="32"/>
  <c r="J62" i="32" s="1"/>
  <c r="J65" i="32" s="1"/>
  <c r="J54" i="32"/>
  <c r="J57" i="32" s="1"/>
  <c r="J52" i="32"/>
  <c r="J55" i="32" s="1"/>
  <c r="J58" i="32" s="1"/>
  <c r="J50" i="32"/>
  <c r="J53" i="32" s="1"/>
  <c r="J56" i="32" s="1"/>
  <c r="J45" i="32"/>
  <c r="J48" i="32" s="1"/>
  <c r="AK50" i="32"/>
  <c r="AK53" i="32" s="1"/>
  <c r="AK56" i="32" s="1"/>
  <c r="AI50" i="32"/>
  <c r="AI53" i="32" s="1"/>
  <c r="AI56" i="32" s="1"/>
  <c r="J43" i="32"/>
  <c r="J46" i="32" s="1"/>
  <c r="J49" i="32" s="1"/>
  <c r="J41" i="32"/>
  <c r="J44" i="32" s="1"/>
  <c r="J47" i="32" s="1"/>
  <c r="AA32" i="32"/>
  <c r="AI36" i="32" s="1"/>
  <c r="N15" i="32"/>
  <c r="G15" i="32"/>
  <c r="G10" i="32"/>
  <c r="G8" i="32"/>
  <c r="G7" i="32"/>
  <c r="G6" i="32"/>
  <c r="G5" i="32"/>
  <c r="G4" i="32"/>
  <c r="AA295" i="31"/>
  <c r="AI348" i="31" s="1"/>
  <c r="J534" i="31"/>
  <c r="J537" i="31" s="1"/>
  <c r="J532" i="31"/>
  <c r="J530" i="31"/>
  <c r="J533" i="31" s="1"/>
  <c r="J536" i="31" s="1"/>
  <c r="J525" i="31"/>
  <c r="J528" i="31" s="1"/>
  <c r="J523" i="31"/>
  <c r="J526" i="31" s="1"/>
  <c r="J529" i="31" s="1"/>
  <c r="J521" i="31"/>
  <c r="J524" i="31" s="1"/>
  <c r="J527" i="31" s="1"/>
  <c r="J516" i="31"/>
  <c r="J519" i="31" s="1"/>
  <c r="AK521" i="31"/>
  <c r="AK524" i="31" s="1"/>
  <c r="AK527" i="31" s="1"/>
  <c r="AI521" i="31"/>
  <c r="AI524" i="31" s="1"/>
  <c r="AI527" i="31" s="1"/>
  <c r="J514" i="31"/>
  <c r="J517" i="31" s="1"/>
  <c r="J520" i="31" s="1"/>
  <c r="J512" i="31"/>
  <c r="J515" i="31" s="1"/>
  <c r="J518" i="31" s="1"/>
  <c r="J481" i="31"/>
  <c r="J484" i="31" s="1"/>
  <c r="J479" i="31"/>
  <c r="J482" i="31" s="1"/>
  <c r="J485" i="31" s="1"/>
  <c r="J477" i="31"/>
  <c r="J480" i="31" s="1"/>
  <c r="J483" i="31" s="1"/>
  <c r="J472" i="31"/>
  <c r="J475" i="31" s="1"/>
  <c r="J470" i="31"/>
  <c r="J473" i="31" s="1"/>
  <c r="J476" i="31" s="1"/>
  <c r="J468" i="31"/>
  <c r="J471" i="31" s="1"/>
  <c r="J474" i="31" s="1"/>
  <c r="J463" i="31"/>
  <c r="J466" i="31" s="1"/>
  <c r="AK468" i="31"/>
  <c r="AK471" i="31" s="1"/>
  <c r="AK474" i="31" s="1"/>
  <c r="AI468" i="31"/>
  <c r="AI471" i="31" s="1"/>
  <c r="AI474" i="31" s="1"/>
  <c r="J461" i="31"/>
  <c r="J464" i="31" s="1"/>
  <c r="J467" i="31" s="1"/>
  <c r="J459" i="31"/>
  <c r="J462" i="31" s="1"/>
  <c r="J465" i="31" s="1"/>
  <c r="J445" i="31"/>
  <c r="J448" i="31" s="1"/>
  <c r="J443" i="31"/>
  <c r="J446" i="31" s="1"/>
  <c r="J449" i="31" s="1"/>
  <c r="J441" i="31"/>
  <c r="J444" i="31" s="1"/>
  <c r="J447" i="31" s="1"/>
  <c r="J428" i="31"/>
  <c r="J431" i="31" s="1"/>
  <c r="J426" i="31"/>
  <c r="J424" i="31"/>
  <c r="J427" i="31" s="1"/>
  <c r="J430" i="31" s="1"/>
  <c r="J419" i="31"/>
  <c r="J422" i="31" s="1"/>
  <c r="J417" i="31"/>
  <c r="J420" i="31" s="1"/>
  <c r="J423" i="31" s="1"/>
  <c r="J415" i="31"/>
  <c r="J418" i="31" s="1"/>
  <c r="J421" i="31" s="1"/>
  <c r="J410" i="31"/>
  <c r="J413" i="31" s="1"/>
  <c r="AK415" i="31"/>
  <c r="AK418" i="31" s="1"/>
  <c r="AK421" i="31" s="1"/>
  <c r="AI415" i="31"/>
  <c r="AI418" i="31" s="1"/>
  <c r="AI421" i="31" s="1"/>
  <c r="J408" i="31"/>
  <c r="J411" i="31" s="1"/>
  <c r="J414" i="31" s="1"/>
  <c r="J406" i="31"/>
  <c r="J409" i="31" s="1"/>
  <c r="J412" i="31" s="1"/>
  <c r="J375" i="31"/>
  <c r="J378" i="31" s="1"/>
  <c r="J373" i="31"/>
  <c r="J376" i="31" s="1"/>
  <c r="J379" i="31" s="1"/>
  <c r="J371" i="31"/>
  <c r="J366" i="31"/>
  <c r="J369" i="31" s="1"/>
  <c r="J364" i="31"/>
  <c r="J367" i="31" s="1"/>
  <c r="J370" i="31" s="1"/>
  <c r="J362" i="31"/>
  <c r="J365" i="31" s="1"/>
  <c r="J368" i="31" s="1"/>
  <c r="J357" i="31"/>
  <c r="J360" i="31" s="1"/>
  <c r="AK362" i="31"/>
  <c r="AK365" i="31" s="1"/>
  <c r="AK368" i="31" s="1"/>
  <c r="AI362" i="31"/>
  <c r="AI365" i="31" s="1"/>
  <c r="AI368" i="31" s="1"/>
  <c r="J355" i="31"/>
  <c r="J358" i="31" s="1"/>
  <c r="J361" i="31" s="1"/>
  <c r="J353" i="31"/>
  <c r="J356" i="31" s="1"/>
  <c r="J359" i="31" s="1"/>
  <c r="J326" i="31"/>
  <c r="J329" i="31" s="1"/>
  <c r="J324" i="31"/>
  <c r="J327" i="31" s="1"/>
  <c r="J330" i="31" s="1"/>
  <c r="J322" i="31"/>
  <c r="J325" i="31" s="1"/>
  <c r="J328" i="31" s="1"/>
  <c r="J317" i="31"/>
  <c r="J320" i="31" s="1"/>
  <c r="J315" i="31"/>
  <c r="J318" i="31" s="1"/>
  <c r="J321" i="31" s="1"/>
  <c r="J313" i="31"/>
  <c r="J316" i="31" s="1"/>
  <c r="J319" i="31" s="1"/>
  <c r="J308" i="31"/>
  <c r="J311" i="31" s="1"/>
  <c r="AK313" i="31"/>
  <c r="AK316" i="31" s="1"/>
  <c r="AK319" i="31" s="1"/>
  <c r="AI313" i="31"/>
  <c r="AI316" i="31" s="1"/>
  <c r="AI319" i="31" s="1"/>
  <c r="J306" i="31"/>
  <c r="J309" i="31" s="1"/>
  <c r="J312" i="31" s="1"/>
  <c r="J304" i="31"/>
  <c r="J307" i="31" s="1"/>
  <c r="J310" i="31" s="1"/>
  <c r="AA32" i="31"/>
  <c r="AI188" i="31" s="1"/>
  <c r="J268" i="31"/>
  <c r="J271" i="31" s="1"/>
  <c r="J266" i="31"/>
  <c r="J264" i="31"/>
  <c r="J267" i="31" s="1"/>
  <c r="J270" i="31" s="1"/>
  <c r="J259" i="31"/>
  <c r="J262" i="31" s="1"/>
  <c r="J257" i="31"/>
  <c r="J260" i="31" s="1"/>
  <c r="J263" i="31" s="1"/>
  <c r="J255" i="31"/>
  <c r="J258" i="31" s="1"/>
  <c r="J261" i="31" s="1"/>
  <c r="J250" i="31"/>
  <c r="J253" i="31" s="1"/>
  <c r="AK255" i="31"/>
  <c r="AK258" i="31" s="1"/>
  <c r="AK261" i="31" s="1"/>
  <c r="AI255" i="31"/>
  <c r="AI258" i="31" s="1"/>
  <c r="AI261" i="31" s="1"/>
  <c r="J248" i="31"/>
  <c r="J251" i="31" s="1"/>
  <c r="J254" i="31" s="1"/>
  <c r="J246" i="31"/>
  <c r="J249" i="31" s="1"/>
  <c r="J252" i="31" s="1"/>
  <c r="J179" i="31"/>
  <c r="J182" i="31" s="1"/>
  <c r="J177" i="31"/>
  <c r="J180" i="31" s="1"/>
  <c r="J183" i="31" s="1"/>
  <c r="J175" i="31"/>
  <c r="J178" i="31" s="1"/>
  <c r="J181" i="31" s="1"/>
  <c r="J162" i="31"/>
  <c r="J165" i="31" s="1"/>
  <c r="J160" i="31"/>
  <c r="J163" i="31" s="1"/>
  <c r="J166" i="31" s="1"/>
  <c r="J158" i="31"/>
  <c r="J161" i="31" s="1"/>
  <c r="J164" i="31" s="1"/>
  <c r="J153" i="31"/>
  <c r="J156" i="31" s="1"/>
  <c r="J151" i="31"/>
  <c r="J154" i="31" s="1"/>
  <c r="J157" i="31" s="1"/>
  <c r="J149" i="31"/>
  <c r="J152" i="31" s="1"/>
  <c r="J155" i="31" s="1"/>
  <c r="J144" i="31"/>
  <c r="J147" i="31" s="1"/>
  <c r="AK149" i="31"/>
  <c r="AK152" i="31" s="1"/>
  <c r="AK155" i="31" s="1"/>
  <c r="AI149" i="31"/>
  <c r="AI152" i="31" s="1"/>
  <c r="AI155" i="31" s="1"/>
  <c r="J142" i="31"/>
  <c r="J145" i="31" s="1"/>
  <c r="J148" i="31" s="1"/>
  <c r="J140" i="31"/>
  <c r="J143" i="31" s="1"/>
  <c r="J146" i="31" s="1"/>
  <c r="A559" i="31"/>
  <c r="J215" i="31"/>
  <c r="J218" i="31" s="1"/>
  <c r="J213" i="31"/>
  <c r="J216" i="31" s="1"/>
  <c r="J219" i="31" s="1"/>
  <c r="J211" i="31"/>
  <c r="J206" i="31"/>
  <c r="J209" i="31" s="1"/>
  <c r="J204" i="31"/>
  <c r="J207" i="31" s="1"/>
  <c r="J210" i="31" s="1"/>
  <c r="J202" i="31"/>
  <c r="J205" i="31" s="1"/>
  <c r="J208" i="31" s="1"/>
  <c r="J197" i="31"/>
  <c r="J200" i="31" s="1"/>
  <c r="AK202" i="31"/>
  <c r="AK205" i="31" s="1"/>
  <c r="AK208" i="31" s="1"/>
  <c r="AI202" i="31"/>
  <c r="AI205" i="31" s="1"/>
  <c r="AI208" i="31" s="1"/>
  <c r="J195" i="31"/>
  <c r="J198" i="31" s="1"/>
  <c r="J201" i="31" s="1"/>
  <c r="J193" i="31"/>
  <c r="J196" i="31" s="1"/>
  <c r="J199" i="31" s="1"/>
  <c r="J109" i="31"/>
  <c r="J112" i="31" s="1"/>
  <c r="J107" i="31"/>
  <c r="J105" i="31"/>
  <c r="J108" i="31" s="1"/>
  <c r="J111" i="31" s="1"/>
  <c r="J100" i="31"/>
  <c r="J103" i="31" s="1"/>
  <c r="J98" i="31"/>
  <c r="J101" i="31" s="1"/>
  <c r="J104" i="31" s="1"/>
  <c r="J96" i="31"/>
  <c r="J99" i="31" s="1"/>
  <c r="J102" i="31" s="1"/>
  <c r="J91" i="31"/>
  <c r="J94" i="31" s="1"/>
  <c r="AK96" i="31"/>
  <c r="AK99" i="31" s="1"/>
  <c r="AK102" i="31" s="1"/>
  <c r="AI96" i="31"/>
  <c r="AI99" i="31" s="1"/>
  <c r="AI102" i="31" s="1"/>
  <c r="J89" i="31"/>
  <c r="J92" i="31" s="1"/>
  <c r="J95" i="31" s="1"/>
  <c r="J87" i="31"/>
  <c r="J90" i="31" s="1"/>
  <c r="J93" i="31" s="1"/>
  <c r="J63" i="31"/>
  <c r="J66" i="31" s="1"/>
  <c r="J61" i="31"/>
  <c r="J64" i="31" s="1"/>
  <c r="J67" i="31" s="1"/>
  <c r="J59" i="31"/>
  <c r="J62" i="31" s="1"/>
  <c r="J65" i="31" s="1"/>
  <c r="J54" i="31"/>
  <c r="J57" i="31" s="1"/>
  <c r="J52" i="31"/>
  <c r="J55" i="31" s="1"/>
  <c r="J58" i="31" s="1"/>
  <c r="J50" i="31"/>
  <c r="J53" i="31" s="1"/>
  <c r="J56" i="31" s="1"/>
  <c r="J45" i="31"/>
  <c r="J48" i="31" s="1"/>
  <c r="AK50" i="31"/>
  <c r="AK53" i="31" s="1"/>
  <c r="AK56" i="31" s="1"/>
  <c r="AI50" i="31"/>
  <c r="AI53" i="31" s="1"/>
  <c r="AI56" i="31" s="1"/>
  <c r="J43" i="31"/>
  <c r="J41" i="31"/>
  <c r="J44" i="31" s="1"/>
  <c r="J47" i="31" s="1"/>
  <c r="N15" i="31"/>
  <c r="G15" i="31"/>
  <c r="G10" i="31"/>
  <c r="G8" i="31"/>
  <c r="G7" i="31"/>
  <c r="G6" i="31"/>
  <c r="G5" i="31"/>
  <c r="G4" i="31"/>
  <c r="A240" i="30"/>
  <c r="J215" i="30"/>
  <c r="J218" i="30" s="1"/>
  <c r="J213" i="30"/>
  <c r="J216" i="30" s="1"/>
  <c r="J219" i="30" s="1"/>
  <c r="J211" i="30"/>
  <c r="J214" i="30" s="1"/>
  <c r="J217" i="30" s="1"/>
  <c r="J206" i="30"/>
  <c r="J209" i="30" s="1"/>
  <c r="J204" i="30"/>
  <c r="J207" i="30" s="1"/>
  <c r="J210" i="30" s="1"/>
  <c r="J202" i="30"/>
  <c r="J205" i="30" s="1"/>
  <c r="J208" i="30" s="1"/>
  <c r="J197" i="30"/>
  <c r="J200" i="30" s="1"/>
  <c r="AK202" i="30"/>
  <c r="AK205" i="30" s="1"/>
  <c r="AK208" i="30" s="1"/>
  <c r="AI202" i="30"/>
  <c r="AI205" i="30" s="1"/>
  <c r="AI208" i="30" s="1"/>
  <c r="J195" i="30"/>
  <c r="J198" i="30" s="1"/>
  <c r="J201" i="30" s="1"/>
  <c r="J193" i="30"/>
  <c r="J196" i="30" s="1"/>
  <c r="J199" i="30" s="1"/>
  <c r="J167" i="30"/>
  <c r="J170" i="30" s="1"/>
  <c r="J165" i="30"/>
  <c r="J168" i="30" s="1"/>
  <c r="J171" i="30" s="1"/>
  <c r="J163" i="30"/>
  <c r="J158" i="30"/>
  <c r="J161" i="30" s="1"/>
  <c r="J156" i="30"/>
  <c r="J159" i="30" s="1"/>
  <c r="J162" i="30" s="1"/>
  <c r="J154" i="30"/>
  <c r="J157" i="30" s="1"/>
  <c r="J160" i="30" s="1"/>
  <c r="J149" i="30"/>
  <c r="J152" i="30" s="1"/>
  <c r="AK154" i="30"/>
  <c r="AK157" i="30" s="1"/>
  <c r="AK160" i="30" s="1"/>
  <c r="AI154" i="30"/>
  <c r="AI157" i="30" s="1"/>
  <c r="AI160" i="30" s="1"/>
  <c r="J147" i="30"/>
  <c r="J150" i="30" s="1"/>
  <c r="J153" i="30" s="1"/>
  <c r="J145" i="30"/>
  <c r="J148" i="30" s="1"/>
  <c r="J151" i="30" s="1"/>
  <c r="AA136" i="30"/>
  <c r="AI140" i="30" s="1"/>
  <c r="J126" i="30"/>
  <c r="J129" i="30" s="1"/>
  <c r="J124" i="30"/>
  <c r="J127" i="30" s="1"/>
  <c r="J130" i="30" s="1"/>
  <c r="J122" i="30"/>
  <c r="J109" i="30"/>
  <c r="J112" i="30" s="1"/>
  <c r="J107" i="30"/>
  <c r="J110" i="30" s="1"/>
  <c r="J113" i="30" s="1"/>
  <c r="J105" i="30"/>
  <c r="J108" i="30" s="1"/>
  <c r="J111" i="30" s="1"/>
  <c r="J100" i="30"/>
  <c r="J103" i="30" s="1"/>
  <c r="J98" i="30"/>
  <c r="J101" i="30" s="1"/>
  <c r="J104" i="30" s="1"/>
  <c r="J96" i="30"/>
  <c r="J99" i="30" s="1"/>
  <c r="J102" i="30" s="1"/>
  <c r="J91" i="30"/>
  <c r="J94" i="30" s="1"/>
  <c r="AK96" i="30"/>
  <c r="AK99" i="30" s="1"/>
  <c r="AK102" i="30" s="1"/>
  <c r="AI96" i="30"/>
  <c r="AI99" i="30" s="1"/>
  <c r="AI102" i="30" s="1"/>
  <c r="J89" i="30"/>
  <c r="J92" i="30" s="1"/>
  <c r="J95" i="30" s="1"/>
  <c r="J87" i="30"/>
  <c r="J90" i="30" s="1"/>
  <c r="J93" i="30" s="1"/>
  <c r="J64" i="30"/>
  <c r="J67" i="30" s="1"/>
  <c r="J62" i="30"/>
  <c r="J65" i="30" s="1"/>
  <c r="J68" i="30" s="1"/>
  <c r="J60" i="30"/>
  <c r="J63" i="30" s="1"/>
  <c r="J66" i="30" s="1"/>
  <c r="J55" i="30"/>
  <c r="J58" i="30" s="1"/>
  <c r="J53" i="30"/>
  <c r="J56" i="30" s="1"/>
  <c r="J59" i="30" s="1"/>
  <c r="J51" i="30"/>
  <c r="J54" i="30" s="1"/>
  <c r="J57" i="30" s="1"/>
  <c r="J46" i="30"/>
  <c r="J49" i="30" s="1"/>
  <c r="AK51" i="30"/>
  <c r="AK54" i="30" s="1"/>
  <c r="AK57" i="30" s="1"/>
  <c r="AI51" i="30"/>
  <c r="AI54" i="30" s="1"/>
  <c r="AI57" i="30" s="1"/>
  <c r="J44" i="30"/>
  <c r="J47" i="30" s="1"/>
  <c r="J50" i="30" s="1"/>
  <c r="J42" i="30"/>
  <c r="J45" i="30" s="1"/>
  <c r="J48" i="30" s="1"/>
  <c r="AA33" i="30"/>
  <c r="AI82" i="30" s="1"/>
  <c r="AI117" i="30" s="1"/>
  <c r="N15" i="30"/>
  <c r="G15" i="30"/>
  <c r="G10" i="30"/>
  <c r="G8" i="30"/>
  <c r="G7" i="30"/>
  <c r="G6" i="30"/>
  <c r="G5" i="30"/>
  <c r="G4" i="30"/>
  <c r="AA246" i="29"/>
  <c r="AI250" i="29" s="1"/>
  <c r="J328" i="29"/>
  <c r="J331" i="29" s="1"/>
  <c r="J326" i="29"/>
  <c r="J324" i="29"/>
  <c r="J327" i="29" s="1"/>
  <c r="J330" i="29" s="1"/>
  <c r="J319" i="29"/>
  <c r="J322" i="29" s="1"/>
  <c r="J317" i="29"/>
  <c r="J320" i="29" s="1"/>
  <c r="J323" i="29" s="1"/>
  <c r="J315" i="29"/>
  <c r="J318" i="29" s="1"/>
  <c r="J321" i="29" s="1"/>
  <c r="J310" i="29"/>
  <c r="J313" i="29" s="1"/>
  <c r="AK315" i="29"/>
  <c r="AK318" i="29" s="1"/>
  <c r="AK321" i="29" s="1"/>
  <c r="AI315" i="29"/>
  <c r="AI318" i="29" s="1"/>
  <c r="AI321" i="29" s="1"/>
  <c r="J308" i="29"/>
  <c r="J311" i="29" s="1"/>
  <c r="J314" i="29" s="1"/>
  <c r="J306" i="29"/>
  <c r="J309" i="29" s="1"/>
  <c r="J312" i="29" s="1"/>
  <c r="J294" i="29"/>
  <c r="J297" i="29" s="1"/>
  <c r="J292" i="29"/>
  <c r="J295" i="29" s="1"/>
  <c r="J298" i="29" s="1"/>
  <c r="J290" i="29"/>
  <c r="J293" i="29" s="1"/>
  <c r="J296" i="29" s="1"/>
  <c r="J277" i="29"/>
  <c r="J280" i="29" s="1"/>
  <c r="J275" i="29"/>
  <c r="J278" i="29" s="1"/>
  <c r="J281" i="29" s="1"/>
  <c r="J273" i="29"/>
  <c r="J276" i="29" s="1"/>
  <c r="J279" i="29" s="1"/>
  <c r="J268" i="29"/>
  <c r="J271" i="29" s="1"/>
  <c r="J266" i="29"/>
  <c r="J269" i="29" s="1"/>
  <c r="J272" i="29" s="1"/>
  <c r="J264" i="29"/>
  <c r="J267" i="29" s="1"/>
  <c r="J270" i="29" s="1"/>
  <c r="J259" i="29"/>
  <c r="J262" i="29" s="1"/>
  <c r="AK264" i="29"/>
  <c r="AK267" i="29" s="1"/>
  <c r="AK270" i="29" s="1"/>
  <c r="AI264" i="29"/>
  <c r="AI267" i="29" s="1"/>
  <c r="AI270" i="29" s="1"/>
  <c r="J257" i="29"/>
  <c r="J260" i="29" s="1"/>
  <c r="J263" i="29" s="1"/>
  <c r="J255" i="29"/>
  <c r="J258" i="29" s="1"/>
  <c r="J261" i="29" s="1"/>
  <c r="J237" i="29"/>
  <c r="J240" i="29" s="1"/>
  <c r="J235" i="29"/>
  <c r="J233" i="29"/>
  <c r="J236" i="29" s="1"/>
  <c r="J239" i="29" s="1"/>
  <c r="J228" i="29"/>
  <c r="J231" i="29" s="1"/>
  <c r="J226" i="29"/>
  <c r="J229" i="29" s="1"/>
  <c r="J232" i="29" s="1"/>
  <c r="J224" i="29"/>
  <c r="J227" i="29" s="1"/>
  <c r="J230" i="29" s="1"/>
  <c r="J219" i="29"/>
  <c r="J222" i="29" s="1"/>
  <c r="AK224" i="29"/>
  <c r="AK227" i="29" s="1"/>
  <c r="AK230" i="29" s="1"/>
  <c r="AI224" i="29"/>
  <c r="AI227" i="29" s="1"/>
  <c r="AI230" i="29" s="1"/>
  <c r="J217" i="29"/>
  <c r="J220" i="29" s="1"/>
  <c r="J223" i="29" s="1"/>
  <c r="J215" i="29"/>
  <c r="J218" i="29" s="1"/>
  <c r="J221" i="29" s="1"/>
  <c r="AA153" i="29"/>
  <c r="AA32" i="29"/>
  <c r="AI36" i="29" s="1"/>
  <c r="AI82" i="29" s="1"/>
  <c r="J201" i="29"/>
  <c r="J204" i="29" s="1"/>
  <c r="J199" i="29"/>
  <c r="J202" i="29" s="1"/>
  <c r="J205" i="29" s="1"/>
  <c r="J197" i="29"/>
  <c r="J200" i="29" s="1"/>
  <c r="J203" i="29" s="1"/>
  <c r="J184" i="29"/>
  <c r="J187" i="29" s="1"/>
  <c r="J182" i="29"/>
  <c r="J185" i="29" s="1"/>
  <c r="J188" i="29" s="1"/>
  <c r="J180" i="29"/>
  <c r="J175" i="29"/>
  <c r="J178" i="29" s="1"/>
  <c r="J173" i="29"/>
  <c r="J176" i="29" s="1"/>
  <c r="J179" i="29" s="1"/>
  <c r="J171" i="29"/>
  <c r="J174" i="29" s="1"/>
  <c r="J177" i="29" s="1"/>
  <c r="J166" i="29"/>
  <c r="J169" i="29" s="1"/>
  <c r="AK171" i="29"/>
  <c r="AK174" i="29" s="1"/>
  <c r="AK177" i="29" s="1"/>
  <c r="AI171" i="29"/>
  <c r="AI174" i="29" s="1"/>
  <c r="AI177" i="29" s="1"/>
  <c r="J164" i="29"/>
  <c r="J167" i="29" s="1"/>
  <c r="J170" i="29" s="1"/>
  <c r="J162" i="29"/>
  <c r="J165" i="29" s="1"/>
  <c r="J168" i="29" s="1"/>
  <c r="J91" i="29"/>
  <c r="J94" i="29" s="1"/>
  <c r="J89" i="29"/>
  <c r="J92" i="29" s="1"/>
  <c r="J95" i="29" s="1"/>
  <c r="J87" i="29"/>
  <c r="J90" i="29" s="1"/>
  <c r="J93" i="29" s="1"/>
  <c r="A334" i="29"/>
  <c r="J144" i="29"/>
  <c r="J147" i="29" s="1"/>
  <c r="J142" i="29"/>
  <c r="J145" i="29" s="1"/>
  <c r="J148" i="29" s="1"/>
  <c r="J140" i="29"/>
  <c r="J126" i="29"/>
  <c r="J129" i="29" s="1"/>
  <c r="J124" i="29"/>
  <c r="J122" i="29"/>
  <c r="J125" i="29" s="1"/>
  <c r="J128" i="29" s="1"/>
  <c r="J117" i="29"/>
  <c r="J120" i="29" s="1"/>
  <c r="J115" i="29"/>
  <c r="J118" i="29" s="1"/>
  <c r="J121" i="29" s="1"/>
  <c r="J113" i="29"/>
  <c r="J116" i="29" s="1"/>
  <c r="J119" i="29" s="1"/>
  <c r="J108" i="29"/>
  <c r="J111" i="29" s="1"/>
  <c r="AK113" i="29"/>
  <c r="AK116" i="29" s="1"/>
  <c r="AK119" i="29" s="1"/>
  <c r="AI113" i="29"/>
  <c r="AI116" i="29" s="1"/>
  <c r="AI119" i="29" s="1"/>
  <c r="J106" i="29"/>
  <c r="J109" i="29" s="1"/>
  <c r="J112" i="29" s="1"/>
  <c r="J104" i="29"/>
  <c r="J107" i="29" s="1"/>
  <c r="J110" i="29" s="1"/>
  <c r="J63" i="29"/>
  <c r="J66" i="29" s="1"/>
  <c r="J61" i="29"/>
  <c r="J59" i="29"/>
  <c r="J62" i="29" s="1"/>
  <c r="J65" i="29" s="1"/>
  <c r="J54" i="29"/>
  <c r="J57" i="29" s="1"/>
  <c r="J52" i="29"/>
  <c r="J55" i="29" s="1"/>
  <c r="J58" i="29" s="1"/>
  <c r="J50" i="29"/>
  <c r="J53" i="29" s="1"/>
  <c r="J56" i="29" s="1"/>
  <c r="J45" i="29"/>
  <c r="J48" i="29" s="1"/>
  <c r="AK50" i="29"/>
  <c r="AK53" i="29" s="1"/>
  <c r="AK56" i="29" s="1"/>
  <c r="AI50" i="29"/>
  <c r="AI53" i="29" s="1"/>
  <c r="AI56" i="29" s="1"/>
  <c r="J43" i="29"/>
  <c r="J46" i="29" s="1"/>
  <c r="J49" i="29" s="1"/>
  <c r="J41" i="29"/>
  <c r="N15" i="29"/>
  <c r="G15" i="29"/>
  <c r="G10" i="29"/>
  <c r="G8" i="29"/>
  <c r="G7" i="29"/>
  <c r="G6" i="29"/>
  <c r="G5" i="29"/>
  <c r="G4" i="29"/>
  <c r="A134" i="28"/>
  <c r="J126" i="28"/>
  <c r="J129" i="28" s="1"/>
  <c r="J124" i="28"/>
  <c r="J127" i="28" s="1"/>
  <c r="J130" i="28" s="1"/>
  <c r="J122" i="28"/>
  <c r="J109" i="28"/>
  <c r="J112" i="28" s="1"/>
  <c r="J107" i="28"/>
  <c r="J105" i="28"/>
  <c r="J108" i="28" s="1"/>
  <c r="J111" i="28" s="1"/>
  <c r="J100" i="28"/>
  <c r="J103" i="28" s="1"/>
  <c r="J98" i="28"/>
  <c r="J101" i="28" s="1"/>
  <c r="J104" i="28" s="1"/>
  <c r="J96" i="28"/>
  <c r="J99" i="28" s="1"/>
  <c r="J102" i="28" s="1"/>
  <c r="J91" i="28"/>
  <c r="J94" i="28" s="1"/>
  <c r="AK96" i="28"/>
  <c r="AK99" i="28" s="1"/>
  <c r="AK102" i="28" s="1"/>
  <c r="AI96" i="28"/>
  <c r="AI99" i="28" s="1"/>
  <c r="AI102" i="28" s="1"/>
  <c r="J89" i="28"/>
  <c r="J92" i="28" s="1"/>
  <c r="J95" i="28" s="1"/>
  <c r="J87" i="28"/>
  <c r="J90" i="28" s="1"/>
  <c r="J93" i="28" s="1"/>
  <c r="J63" i="28"/>
  <c r="J66" i="28" s="1"/>
  <c r="J61" i="28"/>
  <c r="J64" i="28" s="1"/>
  <c r="J67" i="28" s="1"/>
  <c r="J59" i="28"/>
  <c r="J62" i="28" s="1"/>
  <c r="J65" i="28" s="1"/>
  <c r="J54" i="28"/>
  <c r="J57" i="28" s="1"/>
  <c r="J52" i="28"/>
  <c r="J55" i="28" s="1"/>
  <c r="J58" i="28" s="1"/>
  <c r="J50" i="28"/>
  <c r="J53" i="28" s="1"/>
  <c r="J56" i="28" s="1"/>
  <c r="J45" i="28"/>
  <c r="J48" i="28" s="1"/>
  <c r="AK50" i="28"/>
  <c r="AK53" i="28" s="1"/>
  <c r="AK56" i="28" s="1"/>
  <c r="AI50" i="28"/>
  <c r="AI53" i="28" s="1"/>
  <c r="AI56" i="28" s="1"/>
  <c r="J43" i="28"/>
  <c r="J46" i="28" s="1"/>
  <c r="J49" i="28" s="1"/>
  <c r="J41" i="28"/>
  <c r="J44" i="28" s="1"/>
  <c r="J47" i="28" s="1"/>
  <c r="AA32" i="28"/>
  <c r="AI36" i="28" s="1"/>
  <c r="N15" i="28"/>
  <c r="G15" i="28"/>
  <c r="G10" i="28"/>
  <c r="G8" i="28"/>
  <c r="G7" i="28"/>
  <c r="G6" i="28"/>
  <c r="G5" i="28"/>
  <c r="G4" i="28"/>
  <c r="A135" i="27"/>
  <c r="J126" i="27"/>
  <c r="J129" i="27" s="1"/>
  <c r="J124" i="27"/>
  <c r="J127" i="27" s="1"/>
  <c r="J130" i="27" s="1"/>
  <c r="J122" i="27"/>
  <c r="J125" i="27" s="1"/>
  <c r="J128" i="27" s="1"/>
  <c r="J109" i="27"/>
  <c r="J112" i="27" s="1"/>
  <c r="J107" i="27"/>
  <c r="J105" i="27"/>
  <c r="J108" i="27" s="1"/>
  <c r="J111" i="27" s="1"/>
  <c r="J100" i="27"/>
  <c r="J103" i="27" s="1"/>
  <c r="J98" i="27"/>
  <c r="J101" i="27" s="1"/>
  <c r="J104" i="27" s="1"/>
  <c r="J96" i="27"/>
  <c r="J99" i="27" s="1"/>
  <c r="J102" i="27" s="1"/>
  <c r="J91" i="27"/>
  <c r="J94" i="27" s="1"/>
  <c r="AK96" i="27"/>
  <c r="AK99" i="27" s="1"/>
  <c r="AK102" i="27" s="1"/>
  <c r="AI96" i="27"/>
  <c r="AI99" i="27" s="1"/>
  <c r="AI102" i="27" s="1"/>
  <c r="J89" i="27"/>
  <c r="J92" i="27" s="1"/>
  <c r="J95" i="27" s="1"/>
  <c r="J87" i="27"/>
  <c r="J90" i="27" s="1"/>
  <c r="J93" i="27" s="1"/>
  <c r="J63" i="27"/>
  <c r="J66" i="27" s="1"/>
  <c r="J61" i="27"/>
  <c r="J64" i="27" s="1"/>
  <c r="J67" i="27" s="1"/>
  <c r="J59" i="27"/>
  <c r="J54" i="27"/>
  <c r="J57" i="27" s="1"/>
  <c r="J52" i="27"/>
  <c r="J55" i="27" s="1"/>
  <c r="J58" i="27" s="1"/>
  <c r="J50" i="27"/>
  <c r="J53" i="27" s="1"/>
  <c r="J56" i="27" s="1"/>
  <c r="J45" i="27"/>
  <c r="J48" i="27" s="1"/>
  <c r="AK50" i="27"/>
  <c r="AK53" i="27" s="1"/>
  <c r="AK56" i="27" s="1"/>
  <c r="AI50" i="27"/>
  <c r="AI53" i="27" s="1"/>
  <c r="AI56" i="27" s="1"/>
  <c r="J43" i="27"/>
  <c r="J46" i="27" s="1"/>
  <c r="J49" i="27" s="1"/>
  <c r="J41" i="27"/>
  <c r="AA32" i="27"/>
  <c r="AI82" i="27" s="1"/>
  <c r="N15" i="27"/>
  <c r="G15" i="27"/>
  <c r="G10" i="27"/>
  <c r="G8" i="27"/>
  <c r="G7" i="27"/>
  <c r="G6" i="27"/>
  <c r="G5" i="27"/>
  <c r="G4" i="27"/>
  <c r="A239" i="26"/>
  <c r="J214" i="26"/>
  <c r="J217" i="26" s="1"/>
  <c r="J212" i="26"/>
  <c r="J215" i="26" s="1"/>
  <c r="J218" i="26" s="1"/>
  <c r="J210" i="26"/>
  <c r="J213" i="26" s="1"/>
  <c r="J216" i="26" s="1"/>
  <c r="J205" i="26"/>
  <c r="J208" i="26" s="1"/>
  <c r="J203" i="26"/>
  <c r="J206" i="26" s="1"/>
  <c r="J209" i="26" s="1"/>
  <c r="J201" i="26"/>
  <c r="J204" i="26" s="1"/>
  <c r="J207" i="26" s="1"/>
  <c r="J196" i="26"/>
  <c r="J199" i="26" s="1"/>
  <c r="AK201" i="26"/>
  <c r="AK204" i="26" s="1"/>
  <c r="AK207" i="26" s="1"/>
  <c r="AI201" i="26"/>
  <c r="AI204" i="26" s="1"/>
  <c r="AI207" i="26" s="1"/>
  <c r="J194" i="26"/>
  <c r="J197" i="26" s="1"/>
  <c r="J200" i="26" s="1"/>
  <c r="J192" i="26"/>
  <c r="J195" i="26" s="1"/>
  <c r="J198" i="26" s="1"/>
  <c r="J127" i="26"/>
  <c r="J130" i="26" s="1"/>
  <c r="J125" i="26"/>
  <c r="J128" i="26" s="1"/>
  <c r="J131" i="26" s="1"/>
  <c r="J123" i="26"/>
  <c r="J126" i="26" s="1"/>
  <c r="J129" i="26" s="1"/>
  <c r="J110" i="26"/>
  <c r="J113" i="26" s="1"/>
  <c r="J108" i="26"/>
  <c r="J111" i="26" s="1"/>
  <c r="J114" i="26" s="1"/>
  <c r="J106" i="26"/>
  <c r="J109" i="26" s="1"/>
  <c r="J112" i="26" s="1"/>
  <c r="J101" i="26"/>
  <c r="J104" i="26" s="1"/>
  <c r="J99" i="26"/>
  <c r="J102" i="26" s="1"/>
  <c r="J105" i="26" s="1"/>
  <c r="J97" i="26"/>
  <c r="J100" i="26" s="1"/>
  <c r="J103" i="26" s="1"/>
  <c r="J92" i="26"/>
  <c r="J95" i="26" s="1"/>
  <c r="AK97" i="26"/>
  <c r="AK100" i="26" s="1"/>
  <c r="AK103" i="26" s="1"/>
  <c r="AI97" i="26"/>
  <c r="AI100" i="26" s="1"/>
  <c r="AI103" i="26" s="1"/>
  <c r="J90" i="26"/>
  <c r="J93" i="26" s="1"/>
  <c r="J96" i="26" s="1"/>
  <c r="J88" i="26"/>
  <c r="J91" i="26" s="1"/>
  <c r="J94" i="26" s="1"/>
  <c r="J62" i="26"/>
  <c r="J65" i="26" s="1"/>
  <c r="J60" i="26"/>
  <c r="J63" i="26" s="1"/>
  <c r="J66" i="26" s="1"/>
  <c r="J58" i="26"/>
  <c r="J61" i="26" s="1"/>
  <c r="J64" i="26" s="1"/>
  <c r="J53" i="26"/>
  <c r="J56" i="26" s="1"/>
  <c r="J51" i="26"/>
  <c r="J54" i="26" s="1"/>
  <c r="J57" i="26" s="1"/>
  <c r="J49" i="26"/>
  <c r="J52" i="26" s="1"/>
  <c r="J55" i="26" s="1"/>
  <c r="J44" i="26"/>
  <c r="J47" i="26" s="1"/>
  <c r="AK49" i="26"/>
  <c r="AK52" i="26" s="1"/>
  <c r="AK55" i="26" s="1"/>
  <c r="AI49" i="26"/>
  <c r="AI52" i="26" s="1"/>
  <c r="AI55" i="26" s="1"/>
  <c r="J42" i="26"/>
  <c r="J45" i="26" s="1"/>
  <c r="J48" i="26" s="1"/>
  <c r="J40" i="26"/>
  <c r="J43" i="26" s="1"/>
  <c r="J46" i="26" s="1"/>
  <c r="AA31" i="26"/>
  <c r="N15" i="26"/>
  <c r="G15" i="26"/>
  <c r="G10" i="26"/>
  <c r="G8" i="26"/>
  <c r="G7" i="26"/>
  <c r="G6" i="26"/>
  <c r="G5" i="26"/>
  <c r="G4" i="26"/>
  <c r="A290" i="25"/>
  <c r="J269" i="25"/>
  <c r="J272" i="25" s="1"/>
  <c r="J267" i="25"/>
  <c r="J270" i="25" s="1"/>
  <c r="J273" i="25" s="1"/>
  <c r="J265" i="25"/>
  <c r="J268" i="25" s="1"/>
  <c r="J271" i="25" s="1"/>
  <c r="J260" i="25"/>
  <c r="J263" i="25" s="1"/>
  <c r="J258" i="25"/>
  <c r="J261" i="25" s="1"/>
  <c r="J264" i="25" s="1"/>
  <c r="J256" i="25"/>
  <c r="J259" i="25" s="1"/>
  <c r="J262" i="25" s="1"/>
  <c r="J251" i="25"/>
  <c r="J254" i="25" s="1"/>
  <c r="AK250" i="25"/>
  <c r="AK253" i="25" s="1"/>
  <c r="AK256" i="25" s="1"/>
  <c r="AK259" i="25" s="1"/>
  <c r="AK262" i="25" s="1"/>
  <c r="AI250" i="25"/>
  <c r="AI253" i="25" s="1"/>
  <c r="AI256" i="25" s="1"/>
  <c r="AI259" i="25" s="1"/>
  <c r="AI262" i="25" s="1"/>
  <c r="J249" i="25"/>
  <c r="J252" i="25" s="1"/>
  <c r="J255" i="25" s="1"/>
  <c r="J247" i="25"/>
  <c r="J250" i="25" s="1"/>
  <c r="J253" i="25" s="1"/>
  <c r="AA239" i="25"/>
  <c r="AI242" i="25" s="1"/>
  <c r="J222" i="25"/>
  <c r="J225" i="25" s="1"/>
  <c r="J220" i="25"/>
  <c r="J223" i="25" s="1"/>
  <c r="J226" i="25" s="1"/>
  <c r="J218" i="25"/>
  <c r="J221" i="25" s="1"/>
  <c r="J224" i="25" s="1"/>
  <c r="J213" i="25"/>
  <c r="J216" i="25" s="1"/>
  <c r="J211" i="25"/>
  <c r="J214" i="25" s="1"/>
  <c r="J217" i="25" s="1"/>
  <c r="J209" i="25"/>
  <c r="J212" i="25" s="1"/>
  <c r="J215" i="25" s="1"/>
  <c r="J204" i="25"/>
  <c r="J207" i="25" s="1"/>
  <c r="AK209" i="25"/>
  <c r="AK212" i="25" s="1"/>
  <c r="AK215" i="25" s="1"/>
  <c r="AI209" i="25"/>
  <c r="AI212" i="25" s="1"/>
  <c r="AI215" i="25" s="1"/>
  <c r="J202" i="25"/>
  <c r="J205" i="25" s="1"/>
  <c r="J208" i="25" s="1"/>
  <c r="J200" i="25"/>
  <c r="J203" i="25" s="1"/>
  <c r="J206" i="25" s="1"/>
  <c r="AA192" i="25"/>
  <c r="AI195" i="25" s="1"/>
  <c r="J184" i="25"/>
  <c r="J187" i="25" s="1"/>
  <c r="J182" i="25"/>
  <c r="J180" i="25"/>
  <c r="J183" i="25" s="1"/>
  <c r="J186" i="25" s="1"/>
  <c r="J167" i="25"/>
  <c r="J170" i="25" s="1"/>
  <c r="J165" i="25"/>
  <c r="J168" i="25" s="1"/>
  <c r="J171" i="25" s="1"/>
  <c r="J163" i="25"/>
  <c r="J158" i="25"/>
  <c r="J161" i="25" s="1"/>
  <c r="J156" i="25"/>
  <c r="J159" i="25" s="1"/>
  <c r="J162" i="25" s="1"/>
  <c r="J154" i="25"/>
  <c r="J157" i="25" s="1"/>
  <c r="J160" i="25" s="1"/>
  <c r="J149" i="25"/>
  <c r="J152" i="25" s="1"/>
  <c r="AK154" i="25"/>
  <c r="AK157" i="25" s="1"/>
  <c r="AK160" i="25" s="1"/>
  <c r="AI154" i="25"/>
  <c r="AI157" i="25" s="1"/>
  <c r="AI160" i="25" s="1"/>
  <c r="J147" i="25"/>
  <c r="J150" i="25" s="1"/>
  <c r="J153" i="25" s="1"/>
  <c r="J145" i="25"/>
  <c r="J148" i="25" s="1"/>
  <c r="J151" i="25" s="1"/>
  <c r="J131" i="25"/>
  <c r="J134" i="25" s="1"/>
  <c r="J129" i="25"/>
  <c r="J127" i="25"/>
  <c r="J130" i="25" s="1"/>
  <c r="J133" i="25" s="1"/>
  <c r="J113" i="25"/>
  <c r="J116" i="25" s="1"/>
  <c r="J111" i="25"/>
  <c r="J114" i="25" s="1"/>
  <c r="J117" i="25" s="1"/>
  <c r="J109" i="25"/>
  <c r="J112" i="25" s="1"/>
  <c r="J115" i="25" s="1"/>
  <c r="J104" i="25"/>
  <c r="J107" i="25" s="1"/>
  <c r="J102" i="25"/>
  <c r="J105" i="25" s="1"/>
  <c r="J108" i="25" s="1"/>
  <c r="J100" i="25"/>
  <c r="J103" i="25" s="1"/>
  <c r="J106" i="25" s="1"/>
  <c r="J95" i="25"/>
  <c r="J98" i="25" s="1"/>
  <c r="AK100" i="25"/>
  <c r="AK103" i="25" s="1"/>
  <c r="AK106" i="25" s="1"/>
  <c r="AI100" i="25"/>
  <c r="AI103" i="25" s="1"/>
  <c r="AI106" i="25" s="1"/>
  <c r="J93" i="25"/>
  <c r="J96" i="25" s="1"/>
  <c r="J99" i="25" s="1"/>
  <c r="J91" i="25"/>
  <c r="J94" i="25" s="1"/>
  <c r="J97" i="25" s="1"/>
  <c r="AA82" i="25"/>
  <c r="AI86" i="25" s="1"/>
  <c r="J62" i="25"/>
  <c r="J65" i="25" s="1"/>
  <c r="J60" i="25"/>
  <c r="J63" i="25" s="1"/>
  <c r="J66" i="25" s="1"/>
  <c r="J58" i="25"/>
  <c r="J53" i="25"/>
  <c r="J56" i="25" s="1"/>
  <c r="J51" i="25"/>
  <c r="J54" i="25" s="1"/>
  <c r="J57" i="25" s="1"/>
  <c r="J49" i="25"/>
  <c r="J52" i="25" s="1"/>
  <c r="J55" i="25" s="1"/>
  <c r="J44" i="25"/>
  <c r="J47" i="25" s="1"/>
  <c r="AK49" i="25"/>
  <c r="AK52" i="25" s="1"/>
  <c r="AK55" i="25" s="1"/>
  <c r="AI49" i="25"/>
  <c r="AI52" i="25" s="1"/>
  <c r="AI55" i="25" s="1"/>
  <c r="J42" i="25"/>
  <c r="J40" i="25"/>
  <c r="J43" i="25" s="1"/>
  <c r="J46" i="25" s="1"/>
  <c r="AA31" i="25"/>
  <c r="AI35" i="25" s="1"/>
  <c r="N15" i="25"/>
  <c r="G15" i="25"/>
  <c r="G10" i="25"/>
  <c r="G8" i="25"/>
  <c r="G7" i="25"/>
  <c r="G6" i="25"/>
  <c r="G5" i="25"/>
  <c r="G4" i="25"/>
  <c r="G15" i="23"/>
  <c r="AI35" i="26" l="1"/>
  <c r="AI187" i="26"/>
  <c r="AI136" i="26"/>
  <c r="AI83" i="26"/>
  <c r="J185" i="47"/>
  <c r="J188" i="47" s="1"/>
  <c r="AI180" i="47"/>
  <c r="AI183" i="47" s="1"/>
  <c r="AI186" i="47" s="1"/>
  <c r="J273" i="46"/>
  <c r="J276" i="46" s="1"/>
  <c r="AI268" i="46"/>
  <c r="AI271" i="46" s="1"/>
  <c r="AI274" i="46" s="1"/>
  <c r="J183" i="43"/>
  <c r="J186" i="43" s="1"/>
  <c r="AI178" i="43"/>
  <c r="AI530" i="34"/>
  <c r="AI533" i="34" s="1"/>
  <c r="AI536" i="34" s="1"/>
  <c r="AI163" i="32"/>
  <c r="AI270" i="35"/>
  <c r="AI273" i="35" s="1"/>
  <c r="AI276" i="35" s="1"/>
  <c r="AI377" i="35"/>
  <c r="AI380" i="35" s="1"/>
  <c r="AI383" i="35" s="1"/>
  <c r="AI323" i="35"/>
  <c r="AI424" i="34"/>
  <c r="AI477" i="34"/>
  <c r="AI35" i="37"/>
  <c r="AI454" i="31"/>
  <c r="AI104" i="38"/>
  <c r="AI107" i="38" s="1"/>
  <c r="AI110" i="38" s="1"/>
  <c r="AI122" i="28"/>
  <c r="AI125" i="28" s="1"/>
  <c r="AI128" i="28" s="1"/>
  <c r="AK128" i="28" s="1"/>
  <c r="AI180" i="29"/>
  <c r="AI183" i="29" s="1"/>
  <c r="AI186" i="29" s="1"/>
  <c r="AI163" i="30"/>
  <c r="AI166" i="30" s="1"/>
  <c r="AI169" i="30" s="1"/>
  <c r="AI122" i="30"/>
  <c r="AI125" i="30" s="1"/>
  <c r="AI128" i="30" s="1"/>
  <c r="AK128" i="30" s="1"/>
  <c r="J535" i="34"/>
  <c r="J538" i="34" s="1"/>
  <c r="AI105" i="34"/>
  <c r="AI108" i="34" s="1"/>
  <c r="AI111" i="34" s="1"/>
  <c r="J125" i="30"/>
  <c r="J128" i="30" s="1"/>
  <c r="AI59" i="34"/>
  <c r="AI62" i="34" s="1"/>
  <c r="AI65" i="34" s="1"/>
  <c r="AI109" i="25"/>
  <c r="AI112" i="25" s="1"/>
  <c r="AI115" i="25" s="1"/>
  <c r="AI59" i="46"/>
  <c r="AI62" i="46" s="1"/>
  <c r="AI65" i="46" s="1"/>
  <c r="AI122" i="27"/>
  <c r="AI125" i="27" s="1"/>
  <c r="AK125" i="27" s="1"/>
  <c r="AI221" i="46"/>
  <c r="AI224" i="46" s="1"/>
  <c r="AI227" i="46" s="1"/>
  <c r="AI264" i="34"/>
  <c r="AI267" i="34" s="1"/>
  <c r="AI270" i="34" s="1"/>
  <c r="AI162" i="37"/>
  <c r="AI165" i="37" s="1"/>
  <c r="AI168" i="37" s="1"/>
  <c r="J43" i="44"/>
  <c r="J46" i="44" s="1"/>
  <c r="AI211" i="30"/>
  <c r="AI214" i="30" s="1"/>
  <c r="AI217" i="30" s="1"/>
  <c r="AI122" i="34"/>
  <c r="AI125" i="34" s="1"/>
  <c r="AK125" i="34" s="1"/>
  <c r="AI530" i="31"/>
  <c r="AI533" i="31" s="1"/>
  <c r="AI536" i="31" s="1"/>
  <c r="J269" i="34"/>
  <c r="J272" i="34" s="1"/>
  <c r="AI210" i="38"/>
  <c r="AI213" i="38" s="1"/>
  <c r="AI216" i="38" s="1"/>
  <c r="J44" i="34"/>
  <c r="J47" i="34" s="1"/>
  <c r="AI163" i="25"/>
  <c r="AI166" i="25" s="1"/>
  <c r="AI169" i="25" s="1"/>
  <c r="AI59" i="28"/>
  <c r="AI62" i="28" s="1"/>
  <c r="AI65" i="28" s="1"/>
  <c r="J166" i="30"/>
  <c r="J169" i="30" s="1"/>
  <c r="AI58" i="37"/>
  <c r="AI61" i="37" s="1"/>
  <c r="AI64" i="37" s="1"/>
  <c r="AI211" i="34"/>
  <c r="AI214" i="34" s="1"/>
  <c r="AI217" i="34" s="1"/>
  <c r="J429" i="34"/>
  <c r="J432" i="34" s="1"/>
  <c r="AI210" i="37"/>
  <c r="AI213" i="37" s="1"/>
  <c r="AI216" i="37" s="1"/>
  <c r="AI265" i="25"/>
  <c r="AI268" i="25" s="1"/>
  <c r="AI271" i="25" s="1"/>
  <c r="AI274" i="25" s="1"/>
  <c r="AI105" i="30"/>
  <c r="AI108" i="30" s="1"/>
  <c r="AI111" i="30" s="1"/>
  <c r="J167" i="37"/>
  <c r="J170" i="37" s="1"/>
  <c r="AI58" i="25"/>
  <c r="AI61" i="25" s="1"/>
  <c r="AI64" i="25" s="1"/>
  <c r="J62" i="34"/>
  <c r="J65" i="34" s="1"/>
  <c r="J45" i="37"/>
  <c r="J48" i="37" s="1"/>
  <c r="AI228" i="30"/>
  <c r="AI231" i="30" s="1"/>
  <c r="AI58" i="47"/>
  <c r="AI61" i="47" s="1"/>
  <c r="AI64" i="47" s="1"/>
  <c r="AI125" i="47"/>
  <c r="AI128" i="47" s="1"/>
  <c r="AI131" i="47" s="1"/>
  <c r="J63" i="47"/>
  <c r="J66" i="47" s="1"/>
  <c r="AI86" i="47"/>
  <c r="AI89" i="47" s="1"/>
  <c r="AK89" i="47" s="1"/>
  <c r="AI142" i="47"/>
  <c r="AI145" i="47" s="1"/>
  <c r="AK145" i="47" s="1"/>
  <c r="AI81" i="47"/>
  <c r="AI140" i="46"/>
  <c r="AI143" i="46" s="1"/>
  <c r="AI180" i="46"/>
  <c r="AI183" i="46" s="1"/>
  <c r="AI186" i="46" s="1"/>
  <c r="AI99" i="46"/>
  <c r="AI122" i="46"/>
  <c r="AI125" i="46" s="1"/>
  <c r="AI128" i="46" s="1"/>
  <c r="AI87" i="46"/>
  <c r="AI90" i="46" s="1"/>
  <c r="AI198" i="46"/>
  <c r="AI36" i="46"/>
  <c r="AI82" i="46" s="1"/>
  <c r="J44" i="46"/>
  <c r="J47" i="46" s="1"/>
  <c r="AI262" i="44"/>
  <c r="AI265" i="44" s="1"/>
  <c r="AI268" i="44" s="1"/>
  <c r="AI296" i="44"/>
  <c r="AI299" i="44" s="1"/>
  <c r="AI302" i="44" s="1"/>
  <c r="J301" i="44"/>
  <c r="J304" i="44" s="1"/>
  <c r="AI273" i="44"/>
  <c r="J267" i="44"/>
  <c r="J270" i="44" s="1"/>
  <c r="AI35" i="44"/>
  <c r="AI107" i="44"/>
  <c r="AI110" i="44" s="1"/>
  <c r="AI113" i="44" s="1"/>
  <c r="AI219" i="44"/>
  <c r="AI222" i="44" s="1"/>
  <c r="AI225" i="44" s="1"/>
  <c r="J45" i="44"/>
  <c r="J48" i="44" s="1"/>
  <c r="AI58" i="44"/>
  <c r="AI61" i="44" s="1"/>
  <c r="AI64" i="44" s="1"/>
  <c r="AI118" i="43"/>
  <c r="AI121" i="43" s="1"/>
  <c r="AI124" i="43" s="1"/>
  <c r="AI140" i="43"/>
  <c r="AI143" i="43" s="1"/>
  <c r="J145" i="43"/>
  <c r="J148" i="43" s="1"/>
  <c r="J121" i="43"/>
  <c r="J124" i="43" s="1"/>
  <c r="AI76" i="43"/>
  <c r="AI79" i="43" s="1"/>
  <c r="AK79" i="43" s="1"/>
  <c r="AI71" i="43"/>
  <c r="AI58" i="43"/>
  <c r="AI61" i="43" s="1"/>
  <c r="AI64" i="43" s="1"/>
  <c r="AI581" i="41"/>
  <c r="AI584" i="41" s="1"/>
  <c r="AI587" i="41" s="1"/>
  <c r="AI687" i="41"/>
  <c r="AI690" i="41" s="1"/>
  <c r="AI693" i="41" s="1"/>
  <c r="AI510" i="41"/>
  <c r="AI475" i="41"/>
  <c r="AI478" i="41" s="1"/>
  <c r="AI481" i="41" s="1"/>
  <c r="AI558" i="41"/>
  <c r="AI533" i="41"/>
  <c r="AI536" i="41" s="1"/>
  <c r="AI539" i="41" s="1"/>
  <c r="AI611" i="41"/>
  <c r="AI634" i="41"/>
  <c r="AI637" i="41" s="1"/>
  <c r="AI640" i="41" s="1"/>
  <c r="J538" i="41"/>
  <c r="J541" i="41" s="1"/>
  <c r="J692" i="41"/>
  <c r="J695" i="41" s="1"/>
  <c r="AI422" i="41"/>
  <c r="AI425" i="41" s="1"/>
  <c r="AI428" i="41" s="1"/>
  <c r="AI369" i="41"/>
  <c r="AI372" i="41" s="1"/>
  <c r="AI375" i="41" s="1"/>
  <c r="AI298" i="41"/>
  <c r="AI346" i="41"/>
  <c r="AI399" i="41"/>
  <c r="J480" i="41"/>
  <c r="J483" i="41" s="1"/>
  <c r="J427" i="41"/>
  <c r="J430" i="41" s="1"/>
  <c r="J374" i="41"/>
  <c r="J377" i="41" s="1"/>
  <c r="AI263" i="41"/>
  <c r="AI266" i="41" s="1"/>
  <c r="AI269" i="41" s="1"/>
  <c r="AI210" i="41"/>
  <c r="AI213" i="41" s="1"/>
  <c r="AI216" i="41" s="1"/>
  <c r="AI187" i="41"/>
  <c r="AI134" i="41"/>
  <c r="AI240" i="41"/>
  <c r="J268" i="41"/>
  <c r="J271" i="41" s="1"/>
  <c r="J215" i="41"/>
  <c r="J218" i="41" s="1"/>
  <c r="AI321" i="41"/>
  <c r="AI324" i="41" s="1"/>
  <c r="AI327" i="41" s="1"/>
  <c r="AI104" i="41"/>
  <c r="AI107" i="41" s="1"/>
  <c r="AI110" i="41" s="1"/>
  <c r="J109" i="41"/>
  <c r="J112" i="41" s="1"/>
  <c r="AI58" i="41"/>
  <c r="AI61" i="41" s="1"/>
  <c r="AI64" i="41" s="1"/>
  <c r="AI157" i="41"/>
  <c r="AI160" i="41" s="1"/>
  <c r="AI163" i="41" s="1"/>
  <c r="J162" i="41"/>
  <c r="J165" i="41" s="1"/>
  <c r="J63" i="41"/>
  <c r="J66" i="41" s="1"/>
  <c r="AI121" i="41"/>
  <c r="AI124" i="41" s="1"/>
  <c r="J43" i="41"/>
  <c r="J46" i="41" s="1"/>
  <c r="AI81" i="41"/>
  <c r="J126" i="41"/>
  <c r="J129" i="41" s="1"/>
  <c r="AI87" i="40"/>
  <c r="AI121" i="40" s="1"/>
  <c r="AI59" i="40"/>
  <c r="AI62" i="40" s="1"/>
  <c r="AI65" i="40" s="1"/>
  <c r="AI138" i="40"/>
  <c r="AI174" i="40" s="1"/>
  <c r="AI179" i="40"/>
  <c r="AI182" i="40" s="1"/>
  <c r="AI185" i="40" s="1"/>
  <c r="AK185" i="40" s="1"/>
  <c r="J184" i="40"/>
  <c r="J187" i="40" s="1"/>
  <c r="AI126" i="40"/>
  <c r="AI129" i="40" s="1"/>
  <c r="AI132" i="40" s="1"/>
  <c r="AK132" i="40" s="1"/>
  <c r="AI161" i="40"/>
  <c r="AI164" i="40" s="1"/>
  <c r="AI167" i="40" s="1"/>
  <c r="J166" i="40"/>
  <c r="J169" i="40" s="1"/>
  <c r="AI36" i="40"/>
  <c r="AI71" i="40" s="1"/>
  <c r="AI76" i="40"/>
  <c r="AI79" i="40" s="1"/>
  <c r="J115" i="40"/>
  <c r="J118" i="40" s="1"/>
  <c r="AI110" i="40"/>
  <c r="AI113" i="40" s="1"/>
  <c r="AI116" i="40" s="1"/>
  <c r="J131" i="40"/>
  <c r="J134" i="40" s="1"/>
  <c r="AI218" i="40"/>
  <c r="AI221" i="40" s="1"/>
  <c r="AI224" i="40" s="1"/>
  <c r="J107" i="38"/>
  <c r="J110" i="38" s="1"/>
  <c r="J215" i="38"/>
  <c r="J218" i="38" s="1"/>
  <c r="J45" i="38"/>
  <c r="J48" i="38" s="1"/>
  <c r="AI187" i="38"/>
  <c r="AI221" i="38" s="1"/>
  <c r="AI162" i="38"/>
  <c r="AI165" i="38" s="1"/>
  <c r="AI168" i="38" s="1"/>
  <c r="AI35" i="38"/>
  <c r="J43" i="38"/>
  <c r="J46" i="38" s="1"/>
  <c r="AI226" i="38"/>
  <c r="AI229" i="38" s="1"/>
  <c r="AI116" i="38"/>
  <c r="AI58" i="38"/>
  <c r="AI61" i="38" s="1"/>
  <c r="AI64" i="38" s="1"/>
  <c r="AI121" i="38"/>
  <c r="AI124" i="38" s="1"/>
  <c r="AI187" i="37"/>
  <c r="AI116" i="37"/>
  <c r="J43" i="37"/>
  <c r="J46" i="37" s="1"/>
  <c r="J109" i="37"/>
  <c r="J112" i="37" s="1"/>
  <c r="AI104" i="37"/>
  <c r="AI107" i="37" s="1"/>
  <c r="AI110" i="37" s="1"/>
  <c r="AI121" i="37"/>
  <c r="AI124" i="37" s="1"/>
  <c r="J44" i="36"/>
  <c r="J47" i="36" s="1"/>
  <c r="J46" i="36"/>
  <c r="J49" i="36" s="1"/>
  <c r="AI123" i="36"/>
  <c r="AI126" i="36" s="1"/>
  <c r="AI129" i="36" s="1"/>
  <c r="AI87" i="36"/>
  <c r="AI90" i="36" s="1"/>
  <c r="AK90" i="36" s="1"/>
  <c r="J92" i="36"/>
  <c r="J95" i="36" s="1"/>
  <c r="J164" i="36"/>
  <c r="J167" i="36" s="1"/>
  <c r="AI159" i="36"/>
  <c r="AI162" i="36" s="1"/>
  <c r="AI165" i="36" s="1"/>
  <c r="AI136" i="36"/>
  <c r="AI36" i="36"/>
  <c r="AI82" i="36" s="1"/>
  <c r="AI59" i="36"/>
  <c r="AI62" i="36" s="1"/>
  <c r="AI65" i="36" s="1"/>
  <c r="AI87" i="35"/>
  <c r="AI90" i="35" s="1"/>
  <c r="AI93" i="35" s="1"/>
  <c r="AK93" i="35" s="1"/>
  <c r="AI36" i="35"/>
  <c r="AI82" i="35" s="1"/>
  <c r="AI98" i="35"/>
  <c r="AI212" i="35"/>
  <c r="AI215" i="35" s="1"/>
  <c r="AI218" i="35" s="1"/>
  <c r="J46" i="35"/>
  <c r="J49" i="35" s="1"/>
  <c r="AI59" i="35"/>
  <c r="AI62" i="35" s="1"/>
  <c r="AI65" i="35" s="1"/>
  <c r="J382" i="35"/>
  <c r="J385" i="35" s="1"/>
  <c r="J275" i="35"/>
  <c r="J278" i="35" s="1"/>
  <c r="AI121" i="35"/>
  <c r="AI124" i="35" s="1"/>
  <c r="AI127" i="35" s="1"/>
  <c r="J328" i="35"/>
  <c r="J331" i="35" s="1"/>
  <c r="J217" i="35"/>
  <c r="J220" i="35" s="1"/>
  <c r="J62" i="35"/>
  <c r="J65" i="35" s="1"/>
  <c r="AI136" i="35"/>
  <c r="AI189" i="35"/>
  <c r="AI159" i="35"/>
  <c r="AI162" i="35" s="1"/>
  <c r="AI165" i="35" s="1"/>
  <c r="J127" i="34"/>
  <c r="J130" i="34" s="1"/>
  <c r="AI241" i="34"/>
  <c r="AI82" i="34"/>
  <c r="AI117" i="34" s="1"/>
  <c r="AI188" i="34"/>
  <c r="AI135" i="34"/>
  <c r="AI454" i="34"/>
  <c r="AI348" i="34"/>
  <c r="AI299" i="34"/>
  <c r="AI401" i="34"/>
  <c r="AI507" i="34"/>
  <c r="AI36" i="34"/>
  <c r="AI158" i="34"/>
  <c r="AI161" i="34" s="1"/>
  <c r="AI164" i="34" s="1"/>
  <c r="J161" i="34"/>
  <c r="J164" i="34" s="1"/>
  <c r="J327" i="34"/>
  <c r="J330" i="34" s="1"/>
  <c r="J376" i="34"/>
  <c r="J379" i="34" s="1"/>
  <c r="AI371" i="34"/>
  <c r="AI374" i="34" s="1"/>
  <c r="AI377" i="34" s="1"/>
  <c r="J46" i="34"/>
  <c r="J49" i="34" s="1"/>
  <c r="J482" i="34"/>
  <c r="J485" i="34" s="1"/>
  <c r="AI185" i="33"/>
  <c r="AI87" i="33"/>
  <c r="AI90" i="33" s="1"/>
  <c r="J92" i="33"/>
  <c r="J95" i="33" s="1"/>
  <c r="AI104" i="33"/>
  <c r="AI107" i="33" s="1"/>
  <c r="AI110" i="33" s="1"/>
  <c r="AK110" i="33" s="1"/>
  <c r="AI59" i="33"/>
  <c r="AI62" i="33" s="1"/>
  <c r="AI65" i="33" s="1"/>
  <c r="AI155" i="33"/>
  <c r="AI158" i="33" s="1"/>
  <c r="AI161" i="33" s="1"/>
  <c r="AI36" i="33"/>
  <c r="AI167" i="33"/>
  <c r="J64" i="33"/>
  <c r="J67" i="33" s="1"/>
  <c r="AI172" i="33"/>
  <c r="AI175" i="33" s="1"/>
  <c r="AI208" i="33"/>
  <c r="AI211" i="33" s="1"/>
  <c r="AI214" i="33" s="1"/>
  <c r="J168" i="32"/>
  <c r="J171" i="32" s="1"/>
  <c r="AI82" i="32"/>
  <c r="AI117" i="32" s="1"/>
  <c r="AI59" i="32"/>
  <c r="AI62" i="32" s="1"/>
  <c r="AI65" i="32" s="1"/>
  <c r="AI122" i="32"/>
  <c r="AI125" i="32" s="1"/>
  <c r="J125" i="32"/>
  <c r="J128" i="32" s="1"/>
  <c r="AI105" i="32"/>
  <c r="AI108" i="32" s="1"/>
  <c r="AI111" i="32" s="1"/>
  <c r="AI424" i="31"/>
  <c r="AI427" i="31" s="1"/>
  <c r="AI430" i="31" s="1"/>
  <c r="J429" i="31"/>
  <c r="J432" i="31" s="1"/>
  <c r="AI477" i="31"/>
  <c r="AI480" i="31" s="1"/>
  <c r="AI483" i="31" s="1"/>
  <c r="AI322" i="31"/>
  <c r="AI325" i="31" s="1"/>
  <c r="AI328" i="31" s="1"/>
  <c r="AI371" i="31"/>
  <c r="AI374" i="31" s="1"/>
  <c r="AI377" i="31" s="1"/>
  <c r="AI441" i="31"/>
  <c r="AI444" i="31" s="1"/>
  <c r="AK444" i="31" s="1"/>
  <c r="J374" i="31"/>
  <c r="J377" i="31" s="1"/>
  <c r="AI507" i="31"/>
  <c r="AI299" i="31"/>
  <c r="AI401" i="31"/>
  <c r="J535" i="31"/>
  <c r="J538" i="31" s="1"/>
  <c r="AI264" i="31"/>
  <c r="AI267" i="31" s="1"/>
  <c r="AI270" i="31" s="1"/>
  <c r="AI241" i="31"/>
  <c r="J269" i="31"/>
  <c r="J272" i="31" s="1"/>
  <c r="AI36" i="31"/>
  <c r="AI105" i="31"/>
  <c r="AI108" i="31" s="1"/>
  <c r="AI111" i="31" s="1"/>
  <c r="AI82" i="31"/>
  <c r="AI135" i="31"/>
  <c r="AI175" i="31"/>
  <c r="AI178" i="31" s="1"/>
  <c r="AI158" i="31"/>
  <c r="AI161" i="31" s="1"/>
  <c r="AI164" i="31" s="1"/>
  <c r="AI59" i="31"/>
  <c r="AI62" i="31" s="1"/>
  <c r="AI65" i="31" s="1"/>
  <c r="J110" i="31"/>
  <c r="J113" i="31" s="1"/>
  <c r="J214" i="31"/>
  <c r="J217" i="31" s="1"/>
  <c r="AI211" i="31"/>
  <c r="AI214" i="31" s="1"/>
  <c r="AI217" i="31" s="1"/>
  <c r="J46" i="31"/>
  <c r="J49" i="31" s="1"/>
  <c r="AI37" i="30"/>
  <c r="AI188" i="30"/>
  <c r="AI223" i="30" s="1"/>
  <c r="AI60" i="30"/>
  <c r="AI63" i="30" s="1"/>
  <c r="AI66" i="30" s="1"/>
  <c r="AI210" i="29"/>
  <c r="AI157" i="29"/>
  <c r="AI192" i="29" s="1"/>
  <c r="AI233" i="29"/>
  <c r="AI236" i="29" s="1"/>
  <c r="AI239" i="29" s="1"/>
  <c r="J183" i="29"/>
  <c r="J186" i="29" s="1"/>
  <c r="AI290" i="29"/>
  <c r="AI293" i="29" s="1"/>
  <c r="AK293" i="29" s="1"/>
  <c r="AI324" i="29"/>
  <c r="AI327" i="29" s="1"/>
  <c r="AI330" i="29" s="1"/>
  <c r="J238" i="29"/>
  <c r="J241" i="29" s="1"/>
  <c r="AI285" i="29"/>
  <c r="AI301" i="29"/>
  <c r="J329" i="29"/>
  <c r="J332" i="29" s="1"/>
  <c r="AI273" i="29"/>
  <c r="AI276" i="29" s="1"/>
  <c r="AI279" i="29" s="1"/>
  <c r="AI197" i="29"/>
  <c r="AI200" i="29" s="1"/>
  <c r="AI140" i="29"/>
  <c r="AI143" i="29" s="1"/>
  <c r="AI146" i="29" s="1"/>
  <c r="AK146" i="29" s="1"/>
  <c r="J143" i="29"/>
  <c r="J146" i="29" s="1"/>
  <c r="AI87" i="29"/>
  <c r="AI90" i="29" s="1"/>
  <c r="J127" i="29"/>
  <c r="J130" i="29" s="1"/>
  <c r="AI122" i="29"/>
  <c r="AI125" i="29" s="1"/>
  <c r="AI128" i="29" s="1"/>
  <c r="J44" i="29"/>
  <c r="J47" i="29" s="1"/>
  <c r="J64" i="29"/>
  <c r="J67" i="29" s="1"/>
  <c r="AI59" i="29"/>
  <c r="AI62" i="29" s="1"/>
  <c r="AI65" i="29" s="1"/>
  <c r="AI99" i="29"/>
  <c r="AI82" i="28"/>
  <c r="J110" i="28"/>
  <c r="J113" i="28" s="1"/>
  <c r="AI105" i="28"/>
  <c r="AI108" i="28" s="1"/>
  <c r="AI111" i="28" s="1"/>
  <c r="J125" i="28"/>
  <c r="J128" i="28" s="1"/>
  <c r="J44" i="27"/>
  <c r="J47" i="27" s="1"/>
  <c r="AI105" i="27"/>
  <c r="AI108" i="27" s="1"/>
  <c r="AI111" i="27" s="1"/>
  <c r="AI36" i="27"/>
  <c r="AI117" i="27"/>
  <c r="J62" i="27"/>
  <c r="J65" i="27" s="1"/>
  <c r="AI59" i="27"/>
  <c r="AI62" i="27" s="1"/>
  <c r="AI65" i="27" s="1"/>
  <c r="J110" i="27"/>
  <c r="J113" i="27" s="1"/>
  <c r="AI106" i="26"/>
  <c r="AI109" i="26" s="1"/>
  <c r="AI112" i="26" s="1"/>
  <c r="AI58" i="26"/>
  <c r="AI61" i="26" s="1"/>
  <c r="AI64" i="26" s="1"/>
  <c r="AI118" i="26"/>
  <c r="AI210" i="26"/>
  <c r="AI213" i="26" s="1"/>
  <c r="AI216" i="26" s="1"/>
  <c r="AI123" i="26"/>
  <c r="AI126" i="26" s="1"/>
  <c r="J166" i="25"/>
  <c r="J169" i="25" s="1"/>
  <c r="J61" i="25"/>
  <c r="J64" i="25" s="1"/>
  <c r="J45" i="25"/>
  <c r="J48" i="25" s="1"/>
  <c r="AI218" i="25"/>
  <c r="AI221" i="25" s="1"/>
  <c r="AI224" i="25" s="1"/>
  <c r="AI180" i="25"/>
  <c r="AI183" i="25" s="1"/>
  <c r="J185" i="25"/>
  <c r="J188" i="25" s="1"/>
  <c r="AI122" i="25"/>
  <c r="AI140" i="25"/>
  <c r="J132" i="25"/>
  <c r="J135" i="25" s="1"/>
  <c r="AI127" i="25"/>
  <c r="AI130" i="25" s="1"/>
  <c r="J98" i="8"/>
  <c r="J99" i="8"/>
  <c r="J100" i="8"/>
  <c r="K98" i="8"/>
  <c r="L98" i="8"/>
  <c r="M98" i="8"/>
  <c r="K99" i="8"/>
  <c r="L99" i="8"/>
  <c r="M99" i="8"/>
  <c r="L100" i="8"/>
  <c r="M100" i="8"/>
  <c r="L101" i="8"/>
  <c r="M101" i="8"/>
  <c r="V5" i="8" a="1"/>
  <c r="V5" i="8" s="1"/>
  <c r="I5" i="8" s="1"/>
  <c r="U5" i="8" a="1"/>
  <c r="U5" i="8" s="1"/>
  <c r="T5" i="8" a="1"/>
  <c r="T5" i="8" s="1"/>
  <c r="G5" i="8" s="1"/>
  <c r="S5" i="8" a="1"/>
  <c r="S5" i="8" s="1"/>
  <c r="F5" i="8" s="1"/>
  <c r="R5" i="8" a="1"/>
  <c r="R5" i="8" s="1"/>
  <c r="E5" i="8" s="1"/>
  <c r="Q5" i="8" a="1"/>
  <c r="Q5" i="8" s="1"/>
  <c r="D5" i="8" s="1"/>
  <c r="P5" i="8" a="1"/>
  <c r="P5" i="8" s="1"/>
  <c r="C5" i="8" s="1"/>
  <c r="X5" i="8" s="1"/>
  <c r="B5" i="8"/>
  <c r="AJ2" i="8"/>
  <c r="AJ3" i="8" s="1"/>
  <c r="AJ4" i="8" s="1"/>
  <c r="AJ5" i="8" s="1"/>
  <c r="AJ6" i="8" s="1"/>
  <c r="AF272" i="23"/>
  <c r="AJ272" i="23" s="1"/>
  <c r="J211" i="23"/>
  <c r="J214" i="23" s="1"/>
  <c r="J209" i="23"/>
  <c r="J212" i="23" s="1"/>
  <c r="J215" i="23" s="1"/>
  <c r="J207" i="23"/>
  <c r="J202" i="23"/>
  <c r="J205" i="23" s="1"/>
  <c r="J200" i="23"/>
  <c r="J203" i="23" s="1"/>
  <c r="J206" i="23" s="1"/>
  <c r="J198" i="23"/>
  <c r="J201" i="23" s="1"/>
  <c r="J204" i="23" s="1"/>
  <c r="J193" i="23"/>
  <c r="J196" i="23" s="1"/>
  <c r="AK198" i="23"/>
  <c r="AK201" i="23" s="1"/>
  <c r="AK204" i="23" s="1"/>
  <c r="AI198" i="23"/>
  <c r="AI201" i="23" s="1"/>
  <c r="AI204" i="23" s="1"/>
  <c r="J191" i="23"/>
  <c r="J194" i="23" s="1"/>
  <c r="J197" i="23" s="1"/>
  <c r="J189" i="23"/>
  <c r="J192" i="23" s="1"/>
  <c r="J195" i="23" s="1"/>
  <c r="J177" i="23"/>
  <c r="J180" i="23" s="1"/>
  <c r="J175" i="23"/>
  <c r="J178" i="23" s="1"/>
  <c r="J181" i="23" s="1"/>
  <c r="J173" i="23"/>
  <c r="J176" i="23" s="1"/>
  <c r="J179" i="23" s="1"/>
  <c r="J161" i="23"/>
  <c r="J164" i="23" s="1"/>
  <c r="J159" i="23"/>
  <c r="J162" i="23" s="1"/>
  <c r="J165" i="23" s="1"/>
  <c r="J157" i="23"/>
  <c r="J160" i="23" s="1"/>
  <c r="J163" i="23" s="1"/>
  <c r="J152" i="23"/>
  <c r="J155" i="23" s="1"/>
  <c r="J150" i="23"/>
  <c r="J153" i="23" s="1"/>
  <c r="J156" i="23" s="1"/>
  <c r="J148" i="23"/>
  <c r="J151" i="23" s="1"/>
  <c r="J154" i="23" s="1"/>
  <c r="J143" i="23"/>
  <c r="J146" i="23" s="1"/>
  <c r="AK148" i="23"/>
  <c r="AK151" i="23" s="1"/>
  <c r="AK154" i="23" s="1"/>
  <c r="AI148" i="23"/>
  <c r="AI151" i="23" s="1"/>
  <c r="AI154" i="23" s="1"/>
  <c r="J141" i="23"/>
  <c r="J144" i="23" s="1"/>
  <c r="J147" i="23" s="1"/>
  <c r="J139" i="23"/>
  <c r="J142" i="23" s="1"/>
  <c r="J145" i="23" s="1"/>
  <c r="J125" i="23"/>
  <c r="J128" i="23" s="1"/>
  <c r="J123" i="23"/>
  <c r="J126" i="23" s="1"/>
  <c r="J129" i="23" s="1"/>
  <c r="J121" i="23"/>
  <c r="J116" i="23"/>
  <c r="J119" i="23" s="1"/>
  <c r="J114" i="23"/>
  <c r="J117" i="23" s="1"/>
  <c r="J120" i="23" s="1"/>
  <c r="J112" i="23"/>
  <c r="J115" i="23" s="1"/>
  <c r="J118" i="23" s="1"/>
  <c r="J107" i="23"/>
  <c r="J110" i="23" s="1"/>
  <c r="AK112" i="23"/>
  <c r="AK115" i="23" s="1"/>
  <c r="AK118" i="23" s="1"/>
  <c r="AI112" i="23"/>
  <c r="AI115" i="23" s="1"/>
  <c r="AI118" i="23" s="1"/>
  <c r="J105" i="23"/>
  <c r="J108" i="23" s="1"/>
  <c r="J111" i="23" s="1"/>
  <c r="J103" i="23"/>
  <c r="J106" i="23" s="1"/>
  <c r="J109" i="23" s="1"/>
  <c r="J89" i="23"/>
  <c r="J92" i="23" s="1"/>
  <c r="J95" i="23" s="1"/>
  <c r="J87" i="23"/>
  <c r="J90" i="23" s="1"/>
  <c r="J93" i="23" s="1"/>
  <c r="J59" i="23"/>
  <c r="J62" i="23" s="1"/>
  <c r="J65" i="23" s="1"/>
  <c r="J91" i="23"/>
  <c r="J94" i="23" s="1"/>
  <c r="AK44" i="23"/>
  <c r="AK47" i="23" s="1"/>
  <c r="AK50" i="23" s="1"/>
  <c r="AK53" i="23" s="1"/>
  <c r="AK56" i="23" s="1"/>
  <c r="AI44" i="23"/>
  <c r="AI47" i="23" s="1"/>
  <c r="AI50" i="23" s="1"/>
  <c r="AI53" i="23" s="1"/>
  <c r="AI56" i="23" s="1"/>
  <c r="J54" i="23"/>
  <c r="J57" i="23" s="1"/>
  <c r="J52" i="23"/>
  <c r="J50" i="23"/>
  <c r="J53" i="23" s="1"/>
  <c r="J56" i="23" s="1"/>
  <c r="J63" i="23"/>
  <c r="J66" i="23" s="1"/>
  <c r="J61" i="23"/>
  <c r="J43" i="23"/>
  <c r="J46" i="23" s="1"/>
  <c r="J49" i="23" s="1"/>
  <c r="J41" i="23"/>
  <c r="J44" i="23" s="1"/>
  <c r="J47" i="23" s="1"/>
  <c r="A233" i="23"/>
  <c r="J45" i="23"/>
  <c r="J48" i="23" s="1"/>
  <c r="AA32" i="23"/>
  <c r="AI184" i="23" s="1"/>
  <c r="N15" i="23"/>
  <c r="G10" i="23"/>
  <c r="G8" i="23"/>
  <c r="G7" i="23"/>
  <c r="G6" i="23"/>
  <c r="G5" i="23"/>
  <c r="G4" i="23"/>
  <c r="AW5" i="5"/>
  <c r="AV5" i="5"/>
  <c r="AU5" i="5"/>
  <c r="AX6" i="5"/>
  <c r="AX7" i="5"/>
  <c r="BC7" i="5" s="1"/>
  <c r="AX8" i="5"/>
  <c r="BC8" i="5" s="1"/>
  <c r="AX9" i="5"/>
  <c r="BC9" i="5" s="1"/>
  <c r="AX13" i="5"/>
  <c r="BC13" i="5" s="1"/>
  <c r="AX14" i="5"/>
  <c r="BC14" i="5" s="1"/>
  <c r="AX16" i="5"/>
  <c r="BC16" i="5" s="1"/>
  <c r="AX20" i="5"/>
  <c r="BC20" i="5" s="1"/>
  <c r="AX25" i="5"/>
  <c r="BC25" i="5" s="1"/>
  <c r="AX27" i="5"/>
  <c r="BC27" i="5" s="1"/>
  <c r="AX34" i="5"/>
  <c r="BC34" i="5" s="1"/>
  <c r="AX35" i="5"/>
  <c r="BC35" i="5" s="1"/>
  <c r="AX38" i="5"/>
  <c r="BC38" i="5" s="1"/>
  <c r="AX39" i="5"/>
  <c r="BC39" i="5" s="1"/>
  <c r="AX40" i="5"/>
  <c r="BC40" i="5" s="1"/>
  <c r="AX45" i="5"/>
  <c r="BC45" i="5" s="1"/>
  <c r="AX46" i="5"/>
  <c r="BC46" i="5" s="1"/>
  <c r="AX57" i="5"/>
  <c r="BC57" i="5" s="1"/>
  <c r="AI170" i="26" l="1"/>
  <c r="M136" i="26"/>
  <c r="M137" i="26" s="1"/>
  <c r="A141" i="26"/>
  <c r="M135" i="26"/>
  <c r="S107" i="8" a="1"/>
  <c r="S107" i="8" s="1"/>
  <c r="V107" i="8" a="1"/>
  <c r="V107" i="8" s="1"/>
  <c r="I107" i="8" s="1"/>
  <c r="Q107" i="8" a="1"/>
  <c r="Q107" i="8" s="1"/>
  <c r="O107" i="8" a="1"/>
  <c r="O107" i="8" s="1"/>
  <c r="P107" i="8" a="1"/>
  <c r="P107" i="8" s="1"/>
  <c r="C107" i="8" s="1"/>
  <c r="U107" i="8" a="1"/>
  <c r="U107" i="8" s="1"/>
  <c r="R107" i="8" a="1"/>
  <c r="R107" i="8" s="1"/>
  <c r="E107" i="8" s="1"/>
  <c r="T107" i="8" a="1"/>
  <c r="T107" i="8" s="1"/>
  <c r="G107" i="8" s="1"/>
  <c r="AI181" i="43"/>
  <c r="AI184" i="43" s="1"/>
  <c r="AI166" i="32"/>
  <c r="AI326" i="35"/>
  <c r="AI329" i="35" s="1"/>
  <c r="AI480" i="34"/>
  <c r="AI427" i="34"/>
  <c r="AI277" i="25"/>
  <c r="R237" i="23" a="1"/>
  <c r="R237" i="23" s="1"/>
  <c r="AJ7" i="8"/>
  <c r="AJ8" i="8" s="1"/>
  <c r="AJ9" i="8" s="1"/>
  <c r="AJ10" i="8" s="1"/>
  <c r="AJ11" i="8" s="1"/>
  <c r="AX26" i="5"/>
  <c r="BC26" i="5" s="1"/>
  <c r="AX49" i="5"/>
  <c r="BC49" i="5" s="1"/>
  <c r="AX22" i="5"/>
  <c r="BC22" i="5" s="1"/>
  <c r="AX51" i="5"/>
  <c r="BC51" i="5" s="1"/>
  <c r="AX37" i="5"/>
  <c r="BC37" i="5" s="1"/>
  <c r="AX21" i="5"/>
  <c r="BC21" i="5" s="1"/>
  <c r="AX28" i="5"/>
  <c r="BC28" i="5" s="1"/>
  <c r="AX36" i="5"/>
  <c r="BC36" i="5" s="1"/>
  <c r="AX32" i="5"/>
  <c r="BC32" i="5" s="1"/>
  <c r="AX52" i="5"/>
  <c r="BC52" i="5" s="1"/>
  <c r="AX47" i="5"/>
  <c r="BC47" i="5" s="1"/>
  <c r="AX55" i="5"/>
  <c r="BC55" i="5" s="1"/>
  <c r="AX43" i="5"/>
  <c r="BC43" i="5" s="1"/>
  <c r="AX31" i="5"/>
  <c r="BC31" i="5" s="1"/>
  <c r="AX54" i="5"/>
  <c r="BC54" i="5" s="1"/>
  <c r="AX42" i="5"/>
  <c r="BC42" i="5" s="1"/>
  <c r="AX30" i="5"/>
  <c r="BC30" i="5" s="1"/>
  <c r="AX23" i="5"/>
  <c r="BC23" i="5" s="1"/>
  <c r="AX53" i="5"/>
  <c r="BC53" i="5" s="1"/>
  <c r="AX41" i="5"/>
  <c r="BC41" i="5" s="1"/>
  <c r="AX29" i="5"/>
  <c r="BC29" i="5" s="1"/>
  <c r="AX5" i="5"/>
  <c r="J5" i="8"/>
  <c r="K5" i="8"/>
  <c r="Z5" i="8"/>
  <c r="L5" i="8"/>
  <c r="AA5" i="8"/>
  <c r="BC6" i="5"/>
  <c r="AI93" i="36"/>
  <c r="AK93" i="36" s="1"/>
  <c r="AK125" i="28"/>
  <c r="AK129" i="40"/>
  <c r="AI148" i="47"/>
  <c r="AK148" i="47" s="1"/>
  <c r="AK125" i="30"/>
  <c r="AK90" i="35"/>
  <c r="AI128" i="27"/>
  <c r="AK128" i="27" s="1"/>
  <c r="AI128" i="34"/>
  <c r="AK128" i="34" s="1"/>
  <c r="AK90" i="33"/>
  <c r="AI93" i="33"/>
  <c r="AK93" i="33" s="1"/>
  <c r="AI146" i="46"/>
  <c r="AK146" i="46" s="1"/>
  <c r="AK143" i="46"/>
  <c r="AK143" i="29"/>
  <c r="AK143" i="43"/>
  <c r="AI146" i="43"/>
  <c r="AK146" i="43" s="1"/>
  <c r="AI234" i="30"/>
  <c r="AK234" i="30" s="1"/>
  <c r="AK231" i="30"/>
  <c r="AI92" i="47"/>
  <c r="AK92" i="47" s="1"/>
  <c r="AI135" i="46"/>
  <c r="AI93" i="46"/>
  <c r="AK93" i="46" s="1"/>
  <c r="AK90" i="46"/>
  <c r="AI82" i="43"/>
  <c r="AK82" i="43" s="1"/>
  <c r="AK124" i="41"/>
  <c r="AI127" i="41"/>
  <c r="AK127" i="41" s="1"/>
  <c r="AI116" i="41"/>
  <c r="AK182" i="40"/>
  <c r="AI82" i="40"/>
  <c r="AK82" i="40" s="1"/>
  <c r="AK79" i="40"/>
  <c r="AI232" i="38"/>
  <c r="AK232" i="38" s="1"/>
  <c r="AK229" i="38"/>
  <c r="AK124" i="38"/>
  <c r="AI127" i="38"/>
  <c r="AK127" i="38" s="1"/>
  <c r="AK124" i="37"/>
  <c r="AI127" i="37"/>
  <c r="AK127" i="37" s="1"/>
  <c r="AK107" i="33"/>
  <c r="AI99" i="33"/>
  <c r="AI82" i="33"/>
  <c r="AK175" i="33"/>
  <c r="AI178" i="33"/>
  <c r="AK178" i="33" s="1"/>
  <c r="AI128" i="32"/>
  <c r="AK128" i="32" s="1"/>
  <c r="AK125" i="32"/>
  <c r="AI447" i="31"/>
  <c r="AK447" i="31" s="1"/>
  <c r="AI436" i="31"/>
  <c r="AI170" i="31"/>
  <c r="AI181" i="31"/>
  <c r="AK181" i="31" s="1"/>
  <c r="AK178" i="31"/>
  <c r="AI296" i="29"/>
  <c r="AK296" i="29" s="1"/>
  <c r="AI203" i="29"/>
  <c r="AK203" i="29" s="1"/>
  <c r="AK200" i="29"/>
  <c r="AI93" i="29"/>
  <c r="AK93" i="29" s="1"/>
  <c r="AK90" i="29"/>
  <c r="AI135" i="29"/>
  <c r="AI117" i="28"/>
  <c r="AI129" i="26"/>
  <c r="AK129" i="26" s="1"/>
  <c r="AK126" i="26"/>
  <c r="AI175" i="25"/>
  <c r="AI133" i="25"/>
  <c r="AK133" i="25" s="1"/>
  <c r="AK130" i="25"/>
  <c r="AI186" i="25"/>
  <c r="AK186" i="25" s="1"/>
  <c r="AK183" i="25"/>
  <c r="H5" i="8"/>
  <c r="M5" i="8" s="1"/>
  <c r="Y5" i="8"/>
  <c r="O255" i="23"/>
  <c r="O256" i="23" s="1"/>
  <c r="O257" i="23" s="1"/>
  <c r="O258" i="23" s="1"/>
  <c r="O259" i="23" s="1"/>
  <c r="O260" i="23" s="1"/>
  <c r="O261" i="23" s="1"/>
  <c r="O262" i="23" s="1"/>
  <c r="O263" i="23" s="1"/>
  <c r="AI134" i="23"/>
  <c r="AI168" i="23" s="1"/>
  <c r="AI207" i="23"/>
  <c r="AI210" i="23" s="1"/>
  <c r="AI213" i="23" s="1"/>
  <c r="J210" i="23"/>
  <c r="J213" i="23" s="1"/>
  <c r="AI36" i="23"/>
  <c r="AI82" i="23" s="1"/>
  <c r="AI121" i="23"/>
  <c r="AI124" i="23" s="1"/>
  <c r="AI127" i="23" s="1"/>
  <c r="AI173" i="23"/>
  <c r="AI176" i="23" s="1"/>
  <c r="AI157" i="23"/>
  <c r="AI160" i="23" s="1"/>
  <c r="AI163" i="23" s="1"/>
  <c r="J124" i="23"/>
  <c r="J127" i="23" s="1"/>
  <c r="AI98" i="23"/>
  <c r="AI87" i="23"/>
  <c r="AI90" i="23" s="1"/>
  <c r="AI93" i="23" s="1"/>
  <c r="AK93" i="23" s="1"/>
  <c r="AI59" i="23"/>
  <c r="AI62" i="23" s="1"/>
  <c r="AI65" i="23" s="1"/>
  <c r="J64" i="23"/>
  <c r="J67" i="23" s="1"/>
  <c r="J55" i="23"/>
  <c r="J58" i="23" s="1"/>
  <c r="X141" i="26" l="1"/>
  <c r="R141" i="26"/>
  <c r="A144" i="26"/>
  <c r="AA141" i="26"/>
  <c r="AF141" i="26" s="1"/>
  <c r="U141" i="26"/>
  <c r="P106" i="8" a="1"/>
  <c r="P106" i="8" s="1"/>
  <c r="C106" i="8" s="1"/>
  <c r="O106" i="8" a="1"/>
  <c r="O106" i="8" s="1"/>
  <c r="T106" i="8" a="1"/>
  <c r="T106" i="8" s="1"/>
  <c r="G106" i="8" s="1"/>
  <c r="R106" i="8" a="1"/>
  <c r="R106" i="8" s="1"/>
  <c r="E106" i="8" s="1"/>
  <c r="Q106" i="8" a="1"/>
  <c r="Q106" i="8" s="1"/>
  <c r="S106" i="8" a="1"/>
  <c r="S106" i="8" s="1"/>
  <c r="U106" i="8" a="1"/>
  <c r="U106" i="8" s="1"/>
  <c r="V106" i="8" a="1"/>
  <c r="V106" i="8" s="1"/>
  <c r="I106" i="8" s="1"/>
  <c r="AI187" i="43"/>
  <c r="O265" i="23"/>
  <c r="O266" i="23" s="1"/>
  <c r="O267" i="23" s="1"/>
  <c r="O268" i="23" s="1"/>
  <c r="O269" i="23" s="1"/>
  <c r="O270" i="23" s="1"/>
  <c r="O271" i="23" s="1"/>
  <c r="O264" i="23"/>
  <c r="AI169" i="32"/>
  <c r="AI430" i="34"/>
  <c r="AI483" i="34"/>
  <c r="AI280" i="25"/>
  <c r="BC5" i="5"/>
  <c r="R238" i="23" a="1"/>
  <c r="R238" i="23" s="1"/>
  <c r="H107" i="8"/>
  <c r="M107" i="8" s="1"/>
  <c r="AA107" i="8"/>
  <c r="B107" i="8"/>
  <c r="J107" i="8" s="1"/>
  <c r="X107" i="8"/>
  <c r="F107" i="8"/>
  <c r="L107" i="8" s="1"/>
  <c r="Z107" i="8"/>
  <c r="D107" i="8"/>
  <c r="K107" i="8" s="1"/>
  <c r="BF82" i="5" s="1"/>
  <c r="Y107" i="8"/>
  <c r="AJ12" i="8"/>
  <c r="AJ13" i="8" s="1"/>
  <c r="AJ14" i="8" s="1"/>
  <c r="AJ15" i="8" s="1"/>
  <c r="AJ16" i="8" s="1"/>
  <c r="AU98" i="5"/>
  <c r="AU99" i="5" s="1"/>
  <c r="A249" i="34"/>
  <c r="A196" i="34"/>
  <c r="A515" i="34"/>
  <c r="A143" i="34"/>
  <c r="A44" i="34"/>
  <c r="A90" i="34"/>
  <c r="A356" i="34"/>
  <c r="AK90" i="23"/>
  <c r="AI179" i="23"/>
  <c r="AK179" i="23" s="1"/>
  <c r="AK176" i="23"/>
  <c r="X144" i="26" l="1"/>
  <c r="U144" i="26"/>
  <c r="R144" i="26"/>
  <c r="A147" i="26"/>
  <c r="AA144" i="26"/>
  <c r="AF144" i="26" s="1"/>
  <c r="O6" i="8" a="1"/>
  <c r="O6" i="8" s="1"/>
  <c r="P6" i="8" a="1"/>
  <c r="P6" i="8" s="1"/>
  <c r="C6" i="8" s="1"/>
  <c r="T6" i="8" a="1"/>
  <c r="T6" i="8" s="1"/>
  <c r="G6" i="8" s="1"/>
  <c r="R6" i="8" a="1"/>
  <c r="R6" i="8" s="1"/>
  <c r="E6" i="8" s="1"/>
  <c r="Q6" i="8" a="1"/>
  <c r="Q6" i="8" s="1"/>
  <c r="V6" i="8" a="1"/>
  <c r="V6" i="8" s="1"/>
  <c r="I6" i="8" s="1"/>
  <c r="S6" i="8" a="1"/>
  <c r="S6" i="8" s="1"/>
  <c r="U6" i="8" a="1"/>
  <c r="U6" i="8" s="1"/>
  <c r="D159" i="10"/>
  <c r="AE158" i="70" s="1"/>
  <c r="D158" i="10"/>
  <c r="AE157" i="70" s="1"/>
  <c r="AI190" i="43"/>
  <c r="X515" i="34"/>
  <c r="R515" i="34"/>
  <c r="AA515" i="34"/>
  <c r="AF515" i="34" s="1"/>
  <c r="U515" i="34"/>
  <c r="R196" i="34"/>
  <c r="AA196" i="34"/>
  <c r="AF196" i="34" s="1"/>
  <c r="X196" i="34"/>
  <c r="U196" i="34"/>
  <c r="AA249" i="34"/>
  <c r="AF249" i="34" s="1"/>
  <c r="X249" i="34"/>
  <c r="U249" i="34"/>
  <c r="R249" i="34"/>
  <c r="U356" i="34"/>
  <c r="AA356" i="34"/>
  <c r="AF356" i="34" s="1"/>
  <c r="X356" i="34"/>
  <c r="R356" i="34"/>
  <c r="U90" i="34"/>
  <c r="R90" i="34"/>
  <c r="AA90" i="34"/>
  <c r="AF90" i="34" s="1"/>
  <c r="X90" i="34"/>
  <c r="AA44" i="34"/>
  <c r="AF44" i="34" s="1"/>
  <c r="X44" i="34"/>
  <c r="U44" i="34"/>
  <c r="R44" i="34"/>
  <c r="R143" i="34"/>
  <c r="X143" i="34"/>
  <c r="U143" i="34"/>
  <c r="AA143" i="34"/>
  <c r="AF143" i="34" s="1"/>
  <c r="AA307" i="34"/>
  <c r="AF307" i="34" s="1"/>
  <c r="X307" i="34"/>
  <c r="U307" i="34"/>
  <c r="R307" i="34"/>
  <c r="B106" i="8"/>
  <c r="J106" i="8" s="1"/>
  <c r="X106" i="8"/>
  <c r="AJ17" i="8"/>
  <c r="AJ18" i="8" s="1"/>
  <c r="AJ19" i="8" s="1"/>
  <c r="AJ20" i="8" s="1"/>
  <c r="AJ21" i="8" s="1"/>
  <c r="D106" i="8"/>
  <c r="K106" i="8" s="1"/>
  <c r="BF81" i="5" s="1"/>
  <c r="Y106" i="8"/>
  <c r="Z106" i="8"/>
  <c r="F106" i="8"/>
  <c r="L106" i="8" s="1"/>
  <c r="H106" i="8"/>
  <c r="M106" i="8" s="1"/>
  <c r="AA106" i="8"/>
  <c r="A47" i="34"/>
  <c r="A518" i="34"/>
  <c r="A199" i="34"/>
  <c r="A146" i="34"/>
  <c r="A252" i="34"/>
  <c r="A93" i="34"/>
  <c r="A359" i="34"/>
  <c r="X147" i="26" l="1"/>
  <c r="U147" i="26"/>
  <c r="R147" i="26"/>
  <c r="A150" i="26"/>
  <c r="AA147" i="26"/>
  <c r="AF147" i="26" s="1"/>
  <c r="P105" i="8" a="1"/>
  <c r="P105" i="8" s="1"/>
  <c r="C105" i="8" s="1"/>
  <c r="V105" i="8" a="1"/>
  <c r="V105" i="8" s="1"/>
  <c r="I105" i="8" s="1"/>
  <c r="Q105" i="8" a="1"/>
  <c r="Q105" i="8" s="1"/>
  <c r="O105" i="8" a="1"/>
  <c r="O105" i="8" s="1"/>
  <c r="U105" i="8" a="1"/>
  <c r="U105" i="8" s="1"/>
  <c r="R105" i="8" a="1"/>
  <c r="R105" i="8" s="1"/>
  <c r="E105" i="8" s="1"/>
  <c r="T105" i="8" a="1"/>
  <c r="T105" i="8" s="1"/>
  <c r="G105" i="8" s="1"/>
  <c r="S105" i="8" a="1"/>
  <c r="S105" i="8" s="1"/>
  <c r="D164" i="10"/>
  <c r="D165" i="10"/>
  <c r="AE164" i="70" s="1"/>
  <c r="W55" i="70"/>
  <c r="E190" i="10"/>
  <c r="AI193" i="43"/>
  <c r="AA518" i="34"/>
  <c r="AF518" i="34" s="1"/>
  <c r="X518" i="34"/>
  <c r="U518" i="34"/>
  <c r="R518" i="34"/>
  <c r="R47" i="34"/>
  <c r="AA47" i="34"/>
  <c r="AF47" i="34" s="1"/>
  <c r="X47" i="34"/>
  <c r="U47" i="34"/>
  <c r="AA146" i="34"/>
  <c r="AF146" i="34" s="1"/>
  <c r="X146" i="34"/>
  <c r="U146" i="34"/>
  <c r="R146" i="34"/>
  <c r="AA199" i="34"/>
  <c r="AF199" i="34" s="1"/>
  <c r="X199" i="34"/>
  <c r="U199" i="34"/>
  <c r="R199" i="34"/>
  <c r="AA359" i="34"/>
  <c r="AF359" i="34" s="1"/>
  <c r="X359" i="34"/>
  <c r="U359" i="34"/>
  <c r="R359" i="34"/>
  <c r="AA93" i="34"/>
  <c r="AF93" i="34" s="1"/>
  <c r="X93" i="34"/>
  <c r="U93" i="34"/>
  <c r="R93" i="34"/>
  <c r="R252" i="34"/>
  <c r="X252" i="34"/>
  <c r="U252" i="34"/>
  <c r="AA252" i="34"/>
  <c r="AF252" i="34" s="1"/>
  <c r="AA310" i="34"/>
  <c r="AF310" i="34" s="1"/>
  <c r="X310" i="34"/>
  <c r="U310" i="34"/>
  <c r="R310" i="34"/>
  <c r="AA6" i="8"/>
  <c r="H6" i="8"/>
  <c r="M6" i="8" s="1"/>
  <c r="D6" i="8"/>
  <c r="K6" i="8" s="1"/>
  <c r="Y6" i="8"/>
  <c r="B6" i="8"/>
  <c r="J6" i="8" s="1"/>
  <c r="X6" i="8"/>
  <c r="F6" i="8"/>
  <c r="L6" i="8" s="1"/>
  <c r="Z6" i="8"/>
  <c r="AJ22" i="8"/>
  <c r="AJ23" i="8" s="1"/>
  <c r="AJ24" i="8" s="1"/>
  <c r="AJ25" i="8" s="1"/>
  <c r="AJ26" i="8" s="1"/>
  <c r="A362" i="34"/>
  <c r="A149" i="34"/>
  <c r="A521" i="34"/>
  <c r="A255" i="34"/>
  <c r="A202" i="34"/>
  <c r="A96" i="34"/>
  <c r="A50" i="34"/>
  <c r="R150" i="26" l="1"/>
  <c r="A153" i="26"/>
  <c r="AE163" i="70"/>
  <c r="W39" i="70" s="1"/>
  <c r="R7" i="8" a="1"/>
  <c r="R7" i="8" s="1"/>
  <c r="E7" i="8" s="1"/>
  <c r="S7" i="8" a="1"/>
  <c r="S7" i="8" s="1"/>
  <c r="T7" i="8" a="1"/>
  <c r="T7" i="8" s="1"/>
  <c r="G7" i="8" s="1"/>
  <c r="V7" i="8" a="1"/>
  <c r="V7" i="8" s="1"/>
  <c r="I7" i="8" s="1"/>
  <c r="U7" i="8" a="1"/>
  <c r="U7" i="8" s="1"/>
  <c r="O7" i="8" a="1"/>
  <c r="O7" i="8" s="1"/>
  <c r="Q7" i="8" a="1"/>
  <c r="Q7" i="8" s="1"/>
  <c r="P7" i="8" a="1"/>
  <c r="P7" i="8" s="1"/>
  <c r="C7" i="8" s="1"/>
  <c r="U61" i="66"/>
  <c r="E189" i="10"/>
  <c r="R362" i="34"/>
  <c r="U362" i="34"/>
  <c r="AA362" i="34"/>
  <c r="AF362" i="34" s="1"/>
  <c r="X362" i="34"/>
  <c r="AA521" i="34"/>
  <c r="AF521" i="34" s="1"/>
  <c r="U521" i="34"/>
  <c r="R530" i="34" s="1"/>
  <c r="X521" i="34"/>
  <c r="R521" i="34"/>
  <c r="B105" i="8"/>
  <c r="J105" i="8" s="1"/>
  <c r="X105" i="8"/>
  <c r="D105" i="8"/>
  <c r="X61" i="66" s="1"/>
  <c r="Y105" i="8"/>
  <c r="F105" i="8"/>
  <c r="L105" i="8" s="1"/>
  <c r="Z105" i="8"/>
  <c r="AJ27" i="8"/>
  <c r="AJ28" i="8" s="1"/>
  <c r="AJ29" i="8" s="1"/>
  <c r="AJ30" i="8" s="1"/>
  <c r="AJ31" i="8" s="1"/>
  <c r="H105" i="8"/>
  <c r="M105" i="8" s="1"/>
  <c r="AA105" i="8"/>
  <c r="A365" i="34"/>
  <c r="A524" i="34"/>
  <c r="A99" i="34"/>
  <c r="A205" i="34"/>
  <c r="A258" i="34"/>
  <c r="A152" i="34"/>
  <c r="A53" i="34"/>
  <c r="R153" i="26" l="1"/>
  <c r="A156" i="26"/>
  <c r="T8" i="8" a="1"/>
  <c r="T8" i="8" s="1"/>
  <c r="G8" i="8" s="1"/>
  <c r="V8" i="8" a="1"/>
  <c r="V8" i="8" s="1"/>
  <c r="I8" i="8" s="1"/>
  <c r="O8" i="8" a="1"/>
  <c r="O8" i="8" s="1"/>
  <c r="R8" i="8" a="1"/>
  <c r="R8" i="8" s="1"/>
  <c r="E8" i="8" s="1"/>
  <c r="S8" i="8" a="1"/>
  <c r="S8" i="8" s="1"/>
  <c r="Q8" i="8" a="1"/>
  <c r="Q8" i="8" s="1"/>
  <c r="U8" i="8" a="1"/>
  <c r="U8" i="8" s="1"/>
  <c r="P8" i="8" a="1"/>
  <c r="P8" i="8" s="1"/>
  <c r="C8" i="8" s="1"/>
  <c r="K105" i="8"/>
  <c r="BF80" i="5" s="1"/>
  <c r="R61" i="66"/>
  <c r="AA524" i="34"/>
  <c r="AF524" i="34" s="1"/>
  <c r="X524" i="34"/>
  <c r="U524" i="34"/>
  <c r="R533" i="34" s="1"/>
  <c r="R524" i="34"/>
  <c r="AA365" i="34"/>
  <c r="AF365" i="34" s="1"/>
  <c r="R365" i="34"/>
  <c r="X365" i="34"/>
  <c r="U365" i="34"/>
  <c r="Y7" i="8"/>
  <c r="D7" i="8"/>
  <c r="K7" i="8" s="1"/>
  <c r="AJ32" i="8"/>
  <c r="AJ33" i="8" s="1"/>
  <c r="AJ34" i="8" s="1"/>
  <c r="AJ35" i="8" s="1"/>
  <c r="AJ36" i="8" s="1"/>
  <c r="F7" i="8"/>
  <c r="L7" i="8" s="1"/>
  <c r="Z7" i="8"/>
  <c r="B7" i="8"/>
  <c r="J7" i="8" s="1"/>
  <c r="X7" i="8"/>
  <c r="H7" i="8"/>
  <c r="M7" i="8" s="1"/>
  <c r="AA7" i="8"/>
  <c r="A261" i="34"/>
  <c r="A368" i="34"/>
  <c r="A102" i="34"/>
  <c r="A56" i="34"/>
  <c r="A155" i="34"/>
  <c r="A208" i="34"/>
  <c r="A527" i="34"/>
  <c r="R156" i="26" l="1"/>
  <c r="A159" i="26"/>
  <c r="A162" i="26" s="1"/>
  <c r="O108" i="8" a="1"/>
  <c r="O108" i="8" s="1"/>
  <c r="T108" i="8" a="1"/>
  <c r="T108" i="8" s="1"/>
  <c r="G108" i="8" s="1"/>
  <c r="Q108" i="8" a="1"/>
  <c r="Q108" i="8" s="1"/>
  <c r="U108" i="8" a="1"/>
  <c r="U108" i="8" s="1"/>
  <c r="P108" i="8" a="1"/>
  <c r="P108" i="8" s="1"/>
  <c r="C108" i="8" s="1"/>
  <c r="S108" i="8" a="1"/>
  <c r="S108" i="8" s="1"/>
  <c r="V108" i="8" a="1"/>
  <c r="V108" i="8" s="1"/>
  <c r="I108" i="8" s="1"/>
  <c r="R108" i="8" a="1"/>
  <c r="R108" i="8" s="1"/>
  <c r="E108" i="8" s="1"/>
  <c r="D162" i="10"/>
  <c r="AE161" i="70" s="1"/>
  <c r="D163" i="10"/>
  <c r="AE162" i="70" s="1"/>
  <c r="X368" i="34"/>
  <c r="U368" i="34"/>
  <c r="R368" i="34"/>
  <c r="AA368" i="34"/>
  <c r="AF368" i="34" s="1"/>
  <c r="U527" i="34"/>
  <c r="R536" i="34" s="1"/>
  <c r="X527" i="34"/>
  <c r="R527" i="34"/>
  <c r="AA527" i="34"/>
  <c r="AF527" i="34" s="1"/>
  <c r="H8" i="8"/>
  <c r="M8" i="8" s="1"/>
  <c r="AA8" i="8"/>
  <c r="F8" i="8"/>
  <c r="L8" i="8" s="1"/>
  <c r="Z8" i="8"/>
  <c r="X8" i="8"/>
  <c r="B8" i="8"/>
  <c r="J8" i="8" s="1"/>
  <c r="D8" i="8"/>
  <c r="K8" i="8" s="1"/>
  <c r="Y8" i="8"/>
  <c r="AJ37" i="8"/>
  <c r="AJ38" i="8" s="1"/>
  <c r="AJ39" i="8" s="1"/>
  <c r="AJ40" i="8" s="1"/>
  <c r="AJ41" i="8" s="1"/>
  <c r="A158" i="34"/>
  <c r="A59" i="34"/>
  <c r="A264" i="34"/>
  <c r="A211" i="34"/>
  <c r="A530" i="34"/>
  <c r="A371" i="34"/>
  <c r="A105" i="34"/>
  <c r="O71" i="7"/>
  <c r="P71" i="7"/>
  <c r="Q71" i="7"/>
  <c r="R71" i="7"/>
  <c r="O72" i="7"/>
  <c r="P72" i="7"/>
  <c r="Q72" i="7"/>
  <c r="R72" i="7"/>
  <c r="O73" i="7"/>
  <c r="P73" i="7"/>
  <c r="Q73" i="7"/>
  <c r="R73" i="7"/>
  <c r="O75" i="7"/>
  <c r="P75" i="7"/>
  <c r="Q75" i="7"/>
  <c r="R75" i="7"/>
  <c r="O76" i="7"/>
  <c r="P76" i="7"/>
  <c r="Q76" i="7"/>
  <c r="R76" i="7"/>
  <c r="O77" i="7"/>
  <c r="P77" i="7"/>
  <c r="Q77" i="7"/>
  <c r="R77" i="7"/>
  <c r="O78" i="7"/>
  <c r="P78" i="7"/>
  <c r="Q78" i="7"/>
  <c r="R78" i="7"/>
  <c r="A165" i="26" l="1"/>
  <c r="O9" i="8" a="1"/>
  <c r="O9" i="8" s="1"/>
  <c r="R9" i="8" a="1"/>
  <c r="R9" i="8" s="1"/>
  <c r="E9" i="8" s="1"/>
  <c r="S9" i="8" a="1"/>
  <c r="S9" i="8" s="1"/>
  <c r="P9" i="8" a="1"/>
  <c r="P9" i="8" s="1"/>
  <c r="C9" i="8" s="1"/>
  <c r="T9" i="8" a="1"/>
  <c r="T9" i="8" s="1"/>
  <c r="G9" i="8" s="1"/>
  <c r="Q9" i="8" a="1"/>
  <c r="Q9" i="8" s="1"/>
  <c r="V9" i="8" a="1"/>
  <c r="V9" i="8" s="1"/>
  <c r="I9" i="8" s="1"/>
  <c r="U9" i="8" a="1"/>
  <c r="U9" i="8" s="1"/>
  <c r="U61" i="64"/>
  <c r="W23" i="70"/>
  <c r="E188" i="10"/>
  <c r="AJ42" i="8"/>
  <c r="AJ43" i="8" s="1"/>
  <c r="AJ44" i="8" s="1"/>
  <c r="AJ45" i="8" s="1"/>
  <c r="AJ46" i="8" s="1"/>
  <c r="H108" i="8"/>
  <c r="M108" i="8" s="1"/>
  <c r="AA108" i="8"/>
  <c r="D108" i="8"/>
  <c r="X61" i="64" s="1"/>
  <c r="Y108" i="8"/>
  <c r="F108" i="8"/>
  <c r="L108" i="8" s="1"/>
  <c r="Z108" i="8"/>
  <c r="X108" i="8"/>
  <c r="B108" i="8"/>
  <c r="J108" i="8" s="1"/>
  <c r="A108" i="34"/>
  <c r="A374" i="34"/>
  <c r="A62" i="34"/>
  <c r="A161" i="34"/>
  <c r="A533" i="34"/>
  <c r="A214" i="34"/>
  <c r="A267" i="34"/>
  <c r="R10" i="8" l="1" a="1"/>
  <c r="R10" i="8" s="1"/>
  <c r="E10" i="8" s="1"/>
  <c r="S10" i="8" a="1"/>
  <c r="S10" i="8" s="1"/>
  <c r="V10" i="8" a="1"/>
  <c r="V10" i="8" s="1"/>
  <c r="I10" i="8" s="1"/>
  <c r="T10" i="8" a="1"/>
  <c r="T10" i="8" s="1"/>
  <c r="G10" i="8" s="1"/>
  <c r="U10" i="8" a="1"/>
  <c r="U10" i="8" s="1"/>
  <c r="O10" i="8" a="1"/>
  <c r="O10" i="8" s="1"/>
  <c r="P10" i="8" a="1"/>
  <c r="P10" i="8" s="1"/>
  <c r="C10" i="8" s="1"/>
  <c r="Q10" i="8" a="1"/>
  <c r="Q10" i="8" s="1"/>
  <c r="K108" i="8"/>
  <c r="BF78" i="5" s="1"/>
  <c r="R61" i="64"/>
  <c r="K105" i="13"/>
  <c r="L105" i="13"/>
  <c r="M105" i="13" s="1"/>
  <c r="K104" i="13"/>
  <c r="L104" i="13"/>
  <c r="M104" i="13" s="1"/>
  <c r="AJ47" i="8"/>
  <c r="AJ48" i="8" s="1"/>
  <c r="AJ49" i="8" s="1"/>
  <c r="AJ50" i="8" s="1"/>
  <c r="AJ51" i="8" s="1"/>
  <c r="F9" i="8"/>
  <c r="L9" i="8" s="1"/>
  <c r="Z9" i="8"/>
  <c r="X9" i="8"/>
  <c r="B9" i="8"/>
  <c r="J9" i="8" s="1"/>
  <c r="H9" i="8"/>
  <c r="M9" i="8" s="1"/>
  <c r="AA9" i="8"/>
  <c r="D9" i="8"/>
  <c r="K9" i="8" s="1"/>
  <c r="Y9" i="8"/>
  <c r="A65" i="34"/>
  <c r="A377" i="34"/>
  <c r="A536" i="34"/>
  <c r="A164" i="34"/>
  <c r="A217" i="34"/>
  <c r="A270" i="34"/>
  <c r="A111" i="34"/>
  <c r="V11" i="8" l="1" a="1"/>
  <c r="V11" i="8" s="1"/>
  <c r="I11" i="8" s="1"/>
  <c r="R11" i="8" a="1"/>
  <c r="R11" i="8" s="1"/>
  <c r="E11" i="8" s="1"/>
  <c r="P11" i="8" a="1"/>
  <c r="P11" i="8" s="1"/>
  <c r="C11" i="8" s="1"/>
  <c r="S11" i="8" a="1"/>
  <c r="S11" i="8" s="1"/>
  <c r="T11" i="8" a="1"/>
  <c r="T11" i="8" s="1"/>
  <c r="G11" i="8" s="1"/>
  <c r="U11" i="8" a="1"/>
  <c r="U11" i="8" s="1"/>
  <c r="Q11" i="8" a="1"/>
  <c r="Q11" i="8" s="1"/>
  <c r="O11" i="8" a="1"/>
  <c r="O11" i="8" s="1"/>
  <c r="D166" i="10"/>
  <c r="AE165" i="70" s="1"/>
  <c r="D167" i="10"/>
  <c r="AE166" i="70" s="1"/>
  <c r="H10" i="8"/>
  <c r="M10" i="8" s="1"/>
  <c r="AA10" i="8"/>
  <c r="D10" i="8"/>
  <c r="K10" i="8" s="1"/>
  <c r="Y10" i="8"/>
  <c r="AJ52" i="8"/>
  <c r="AJ53" i="8" s="1"/>
  <c r="AJ54" i="8" s="1"/>
  <c r="AJ55" i="8" s="1"/>
  <c r="AJ56" i="8" s="1"/>
  <c r="F10" i="8"/>
  <c r="L10" i="8" s="1"/>
  <c r="Z10" i="8"/>
  <c r="B10" i="8"/>
  <c r="J10" i="8" s="1"/>
  <c r="X10" i="8"/>
  <c r="Q12" i="8" l="1" a="1"/>
  <c r="Q12" i="8" s="1"/>
  <c r="U12" i="8" a="1"/>
  <c r="U12" i="8" s="1"/>
  <c r="O12" i="8" a="1"/>
  <c r="O12" i="8" s="1"/>
  <c r="S12" i="8" a="1"/>
  <c r="S12" i="8" s="1"/>
  <c r="P12" i="8" a="1"/>
  <c r="P12" i="8" s="1"/>
  <c r="C12" i="8" s="1"/>
  <c r="R12" i="8" a="1"/>
  <c r="R12" i="8" s="1"/>
  <c r="E12" i="8" s="1"/>
  <c r="T12" i="8" a="1"/>
  <c r="T12" i="8" s="1"/>
  <c r="G12" i="8" s="1"/>
  <c r="V12" i="8" a="1"/>
  <c r="V12" i="8" s="1"/>
  <c r="I12" i="8" s="1"/>
  <c r="W31" i="70"/>
  <c r="E186" i="10"/>
  <c r="R53" i="34"/>
  <c r="R202" i="34"/>
  <c r="R152" i="34"/>
  <c r="R258" i="34"/>
  <c r="R205" i="34"/>
  <c r="R255" i="34"/>
  <c r="R99" i="34"/>
  <c r="R50" i="34"/>
  <c r="R155" i="34"/>
  <c r="R149" i="34"/>
  <c r="R96" i="34"/>
  <c r="R208" i="34"/>
  <c r="R261" i="34"/>
  <c r="R102" i="34"/>
  <c r="R56" i="34"/>
  <c r="B11" i="8"/>
  <c r="J11" i="8" s="1"/>
  <c r="X11" i="8"/>
  <c r="H11" i="8"/>
  <c r="M11" i="8" s="1"/>
  <c r="AA11" i="8"/>
  <c r="Y11" i="8"/>
  <c r="D11" i="8"/>
  <c r="K11" i="8" s="1"/>
  <c r="AJ57" i="8"/>
  <c r="AJ58" i="8" s="1"/>
  <c r="AJ59" i="8" s="1"/>
  <c r="AJ60" i="8" s="1"/>
  <c r="AJ61" i="8" s="1"/>
  <c r="F11" i="8"/>
  <c r="L11" i="8" s="1"/>
  <c r="Z11" i="8"/>
  <c r="R13" i="8" l="1" a="1"/>
  <c r="R13" i="8" s="1"/>
  <c r="E13" i="8" s="1"/>
  <c r="I142" i="13" s="1"/>
  <c r="U13" i="8" a="1"/>
  <c r="U13" i="8" s="1"/>
  <c r="S13" i="8" a="1"/>
  <c r="S13" i="8" s="1"/>
  <c r="P13" i="8" a="1"/>
  <c r="P13" i="8" s="1"/>
  <c r="C13" i="8" s="1"/>
  <c r="T13" i="8" a="1"/>
  <c r="T13" i="8" s="1"/>
  <c r="G13" i="8" s="1"/>
  <c r="V13" i="8" a="1"/>
  <c r="V13" i="8" s="1"/>
  <c r="I13" i="8" s="1"/>
  <c r="O13" i="8" a="1"/>
  <c r="O13" i="8" s="1"/>
  <c r="Q13" i="8" a="1"/>
  <c r="Q13" i="8" s="1"/>
  <c r="AJ62" i="8"/>
  <c r="AJ63" i="8" s="1"/>
  <c r="AJ64" i="8" s="1"/>
  <c r="AJ65" i="8" s="1"/>
  <c r="AJ66" i="8" s="1"/>
  <c r="D12" i="8"/>
  <c r="K12" i="8" s="1"/>
  <c r="Y12" i="8"/>
  <c r="H12" i="8"/>
  <c r="M12" i="8" s="1"/>
  <c r="AA12" i="8"/>
  <c r="F12" i="8"/>
  <c r="L12" i="8" s="1"/>
  <c r="Z12" i="8"/>
  <c r="B12" i="8"/>
  <c r="J12" i="8" s="1"/>
  <c r="X12" i="8"/>
  <c r="X34" i="19"/>
  <c r="X31" i="19"/>
  <c r="X28" i="19"/>
  <c r="X17" i="19"/>
  <c r="X11" i="19"/>
  <c r="H24" i="19"/>
  <c r="H22" i="19"/>
  <c r="H21" i="19"/>
  <c r="H7" i="19"/>
  <c r="L32" i="19"/>
  <c r="L35" i="19" s="1"/>
  <c r="L30" i="19"/>
  <c r="L33" i="19" s="1"/>
  <c r="L36" i="19" s="1"/>
  <c r="T31" i="19"/>
  <c r="T34" i="19" s="1"/>
  <c r="L28" i="19"/>
  <c r="L31" i="19" s="1"/>
  <c r="L34" i="19" s="1"/>
  <c r="AA24" i="19"/>
  <c r="AA23" i="19"/>
  <c r="AA6" i="19"/>
  <c r="AA7" i="19"/>
  <c r="A72" i="19"/>
  <c r="A73" i="19" s="1"/>
  <c r="A74" i="19" s="1"/>
  <c r="A75" i="19" s="1"/>
  <c r="A76" i="19" s="1"/>
  <c r="A77" i="19" s="1"/>
  <c r="AG83" i="19"/>
  <c r="L15" i="19"/>
  <c r="L18" i="19" s="1"/>
  <c r="L13" i="19"/>
  <c r="T14" i="19"/>
  <c r="T17" i="19" s="1"/>
  <c r="L11" i="19"/>
  <c r="AA5" i="19"/>
  <c r="L14" i="19" l="1"/>
  <c r="L17" i="19" s="1"/>
  <c r="J53" i="19"/>
  <c r="L16" i="19"/>
  <c r="L19" i="19" s="1"/>
  <c r="J55" i="19"/>
  <c r="U109" i="8" a="1"/>
  <c r="U109" i="8" s="1"/>
  <c r="P109" i="8" a="1"/>
  <c r="P109" i="8" s="1"/>
  <c r="R109" i="8" a="1"/>
  <c r="R109" i="8" s="1"/>
  <c r="O109" i="8" a="1"/>
  <c r="O109" i="8" s="1"/>
  <c r="V109" i="8" a="1"/>
  <c r="V109" i="8" s="1"/>
  <c r="T109" i="8" a="1"/>
  <c r="T109" i="8" s="1"/>
  <c r="Q109" i="8" a="1"/>
  <c r="Q109" i="8" s="1"/>
  <c r="S109" i="8" a="1"/>
  <c r="S109" i="8" s="1"/>
  <c r="AH17" i="19"/>
  <c r="D13" i="8"/>
  <c r="H142" i="13" s="1"/>
  <c r="Y13" i="8"/>
  <c r="B13" i="8"/>
  <c r="J13" i="8" s="1"/>
  <c r="X13" i="8"/>
  <c r="AJ67" i="8"/>
  <c r="AJ68" i="8" s="1"/>
  <c r="AJ69" i="8" s="1"/>
  <c r="AJ70" i="8" s="1"/>
  <c r="AJ71" i="8" s="1"/>
  <c r="H13" i="8"/>
  <c r="M13" i="8" s="1"/>
  <c r="AA13" i="8"/>
  <c r="Z13" i="8"/>
  <c r="F13" i="8"/>
  <c r="L13" i="8" s="1"/>
  <c r="R753" i="41" a="1"/>
  <c r="R753" i="41" s="1"/>
  <c r="AH34" i="19"/>
  <c r="AH31" i="19"/>
  <c r="AH14" i="19"/>
  <c r="E56" i="5"/>
  <c r="J67" i="19" l="1"/>
  <c r="J58" i="19"/>
  <c r="J64" i="19"/>
  <c r="J61" i="19"/>
  <c r="AI53" i="19"/>
  <c r="AK53" i="19" s="1"/>
  <c r="J65" i="19"/>
  <c r="J62" i="19"/>
  <c r="J59" i="19"/>
  <c r="J56" i="19"/>
  <c r="V14" i="8" a="1"/>
  <c r="V14" i="8" s="1"/>
  <c r="I14" i="8" s="1"/>
  <c r="T14" i="8" a="1"/>
  <c r="T14" i="8" s="1"/>
  <c r="G14" i="8" s="1"/>
  <c r="O14" i="8" a="1"/>
  <c r="O14" i="8" s="1"/>
  <c r="P14" i="8" a="1"/>
  <c r="P14" i="8" s="1"/>
  <c r="C14" i="8" s="1"/>
  <c r="R14" i="8" a="1"/>
  <c r="R14" i="8" s="1"/>
  <c r="E14" i="8" s="1"/>
  <c r="S14" i="8" a="1"/>
  <c r="S14" i="8" s="1"/>
  <c r="Q14" i="8" a="1"/>
  <c r="Q14" i="8" s="1"/>
  <c r="U14" i="8" a="1"/>
  <c r="U14" i="8" s="1"/>
  <c r="K13" i="8"/>
  <c r="O142" i="13" s="1"/>
  <c r="AJ72" i="8"/>
  <c r="AJ73" i="8" s="1"/>
  <c r="AJ74" i="8" s="1"/>
  <c r="AJ75" i="8" s="1"/>
  <c r="AJ76" i="8" s="1"/>
  <c r="A756" i="41"/>
  <c r="R754" i="41" a="1"/>
  <c r="R754" i="41" s="1"/>
  <c r="R234" i="43" a="1"/>
  <c r="R234" i="43" s="1"/>
  <c r="AI59" i="19" l="1"/>
  <c r="AI62" i="19"/>
  <c r="AK62" i="19" s="1"/>
  <c r="AI56" i="19"/>
  <c r="AI65" i="19"/>
  <c r="AK65" i="19" s="1"/>
  <c r="T15" i="8" a="1"/>
  <c r="T15" i="8" s="1"/>
  <c r="G15" i="8" s="1"/>
  <c r="U15" i="8" a="1"/>
  <c r="U15" i="8" s="1"/>
  <c r="S15" i="8" a="1"/>
  <c r="S15" i="8" s="1"/>
  <c r="P15" i="8" a="1"/>
  <c r="P15" i="8" s="1"/>
  <c r="C15" i="8" s="1"/>
  <c r="R15" i="8" a="1"/>
  <c r="R15" i="8" s="1"/>
  <c r="E15" i="8" s="1"/>
  <c r="O15" i="8" a="1"/>
  <c r="O15" i="8" s="1"/>
  <c r="Q15" i="8" a="1"/>
  <c r="Q15" i="8" s="1"/>
  <c r="V15" i="8" a="1"/>
  <c r="V15" i="8" s="1"/>
  <c r="I15" i="8" s="1"/>
  <c r="Y14" i="8"/>
  <c r="D14" i="8"/>
  <c r="K14" i="8" s="1"/>
  <c r="X14" i="8"/>
  <c r="B14" i="8"/>
  <c r="J14" i="8" s="1"/>
  <c r="AJ77" i="8"/>
  <c r="AJ78" i="8" s="1"/>
  <c r="AJ79" i="8" s="1"/>
  <c r="AJ80" i="8" s="1"/>
  <c r="AJ81" i="8" s="1"/>
  <c r="F14" i="8"/>
  <c r="L14" i="8" s="1"/>
  <c r="Z14" i="8"/>
  <c r="H14" i="8"/>
  <c r="M14" i="8" s="1"/>
  <c r="AA14" i="8"/>
  <c r="R329" i="46" a="1"/>
  <c r="R329" i="46" s="1"/>
  <c r="R345" i="44" a="1"/>
  <c r="R345" i="44" s="1"/>
  <c r="R235" i="43" a="1"/>
  <c r="R235" i="43" s="1"/>
  <c r="A237" i="43"/>
  <c r="R282" i="40" a="1"/>
  <c r="R282" i="40" s="1"/>
  <c r="T16" i="8" l="1" a="1"/>
  <c r="T16" i="8" s="1"/>
  <c r="G16" i="8" s="1"/>
  <c r="R16" i="8" a="1"/>
  <c r="R16" i="8" s="1"/>
  <c r="E16" i="8" s="1"/>
  <c r="O16" i="8" a="1"/>
  <c r="O16" i="8" s="1"/>
  <c r="P16" i="8" a="1"/>
  <c r="P16" i="8" s="1"/>
  <c r="C16" i="8" s="1"/>
  <c r="V16" i="8" a="1"/>
  <c r="V16" i="8" s="1"/>
  <c r="I16" i="8" s="1"/>
  <c r="S16" i="8" a="1"/>
  <c r="S16" i="8" s="1"/>
  <c r="F16" i="8" s="1"/>
  <c r="U16" i="8" a="1"/>
  <c r="U16" i="8" s="1"/>
  <c r="Q16" i="8" a="1"/>
  <c r="Q16" i="8" s="1"/>
  <c r="AJ82" i="8"/>
  <c r="AJ83" i="8" s="1"/>
  <c r="AJ84" i="8" s="1"/>
  <c r="AJ85" i="8" s="1"/>
  <c r="AJ86" i="8" s="1"/>
  <c r="H15" i="8"/>
  <c r="M15" i="8" s="1"/>
  <c r="AA15" i="8"/>
  <c r="D15" i="8"/>
  <c r="K15" i="8" s="1"/>
  <c r="Y15" i="8"/>
  <c r="F15" i="8"/>
  <c r="L15" i="8" s="1"/>
  <c r="Z15" i="8"/>
  <c r="B15" i="8"/>
  <c r="J15" i="8" s="1"/>
  <c r="X15" i="8"/>
  <c r="R330" i="46" a="1"/>
  <c r="R330" i="46" s="1"/>
  <c r="A332" i="46"/>
  <c r="R346" i="44" a="1"/>
  <c r="R346" i="44" s="1"/>
  <c r="A348" i="44"/>
  <c r="R283" i="40" a="1"/>
  <c r="R283" i="40" s="1"/>
  <c r="A285" i="40"/>
  <c r="R436" i="35" a="1"/>
  <c r="R436" i="35" s="1"/>
  <c r="Q3" i="18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95" i="18" s="1"/>
  <c r="Q96" i="18" s="1"/>
  <c r="Q97" i="18" s="1"/>
  <c r="Q98" i="18" s="1"/>
  <c r="Q99" i="18" s="1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Q119" i="18" s="1"/>
  <c r="Q120" i="18" s="1"/>
  <c r="Q121" i="18" s="1"/>
  <c r="Q122" i="18" s="1"/>
  <c r="Q123" i="18" s="1"/>
  <c r="Q124" i="18" s="1"/>
  <c r="Q125" i="18" s="1"/>
  <c r="Q126" i="18" s="1"/>
  <c r="Q127" i="18" s="1"/>
  <c r="Q128" i="18" s="1"/>
  <c r="Q129" i="18" s="1"/>
  <c r="Q130" i="18" s="1"/>
  <c r="Q131" i="18" s="1"/>
  <c r="Q132" i="18" s="1"/>
  <c r="Q133" i="18" s="1"/>
  <c r="Q134" i="18" s="1"/>
  <c r="Q135" i="18" s="1"/>
  <c r="Q136" i="18" s="1"/>
  <c r="Q137" i="18" s="1"/>
  <c r="Q138" i="18" s="1"/>
  <c r="Q139" i="18" s="1"/>
  <c r="Q140" i="18" s="1"/>
  <c r="Q141" i="18" s="1"/>
  <c r="Q142" i="18" s="1"/>
  <c r="Q143" i="18" s="1"/>
  <c r="Q144" i="18" s="1"/>
  <c r="Q145" i="18" s="1"/>
  <c r="Q146" i="18" s="1"/>
  <c r="Q147" i="18" s="1"/>
  <c r="Q148" i="18" s="1"/>
  <c r="Q149" i="18" s="1"/>
  <c r="Q150" i="18" s="1"/>
  <c r="Q151" i="18" s="1"/>
  <c r="Q152" i="18" s="1"/>
  <c r="Q153" i="18" s="1"/>
  <c r="Q154" i="18" s="1"/>
  <c r="Q155" i="18" s="1"/>
  <c r="Q156" i="18" s="1"/>
  <c r="Q157" i="18" s="1"/>
  <c r="Q158" i="18" s="1"/>
  <c r="Q159" i="18" s="1"/>
  <c r="Q160" i="18" s="1"/>
  <c r="Q161" i="18" s="1"/>
  <c r="Q162" i="18" s="1"/>
  <c r="Q163" i="18" s="1"/>
  <c r="Q164" i="18" s="1"/>
  <c r="Q165" i="18" s="1"/>
  <c r="Q166" i="18" s="1"/>
  <c r="Q167" i="18" s="1"/>
  <c r="Q168" i="18" s="1"/>
  <c r="Q169" i="18" s="1"/>
  <c r="Q170" i="18" s="1"/>
  <c r="Q171" i="18" s="1"/>
  <c r="Q172" i="18" s="1"/>
  <c r="Q173" i="18" s="1"/>
  <c r="Q174" i="18" s="1"/>
  <c r="Q175" i="18" s="1"/>
  <c r="Q176" i="18" s="1"/>
  <c r="Q177" i="18" s="1"/>
  <c r="Q178" i="18" s="1"/>
  <c r="Q179" i="18" s="1"/>
  <c r="Q180" i="18" s="1"/>
  <c r="Q181" i="18" s="1"/>
  <c r="Q182" i="18" s="1"/>
  <c r="Q183" i="18" s="1"/>
  <c r="Q184" i="18" s="1"/>
  <c r="Q185" i="18" s="1"/>
  <c r="Q186" i="18" s="1"/>
  <c r="Q187" i="18" s="1"/>
  <c r="Q188" i="18" s="1"/>
  <c r="Q189" i="18" s="1"/>
  <c r="Q190" i="18" s="1"/>
  <c r="Q191" i="18" s="1"/>
  <c r="Q192" i="18" s="1"/>
  <c r="Q193" i="18" s="1"/>
  <c r="Q194" i="18" s="1"/>
  <c r="Q195" i="18" s="1"/>
  <c r="Q196" i="18" s="1"/>
  <c r="Q197" i="18" s="1"/>
  <c r="Q198" i="18" s="1"/>
  <c r="Q199" i="18" s="1"/>
  <c r="Q200" i="18" s="1"/>
  <c r="Q201" i="18" s="1"/>
  <c r="Q202" i="18" s="1"/>
  <c r="Q203" i="18" s="1"/>
  <c r="Q204" i="18" s="1"/>
  <c r="Q205" i="18" s="1"/>
  <c r="Q206" i="18" s="1"/>
  <c r="Q207" i="18" s="1"/>
  <c r="Q208" i="18" s="1"/>
  <c r="Q209" i="18" s="1"/>
  <c r="Q210" i="18" s="1"/>
  <c r="Q211" i="18" s="1"/>
  <c r="Q212" i="18" s="1"/>
  <c r="Q213" i="18" s="1"/>
  <c r="Q214" i="18" s="1"/>
  <c r="Q215" i="18" s="1"/>
  <c r="Q216" i="18" s="1"/>
  <c r="Q217" i="18" s="1"/>
  <c r="Q218" i="18" s="1"/>
  <c r="Q219" i="18" s="1"/>
  <c r="Q220" i="18" s="1"/>
  <c r="Q221" i="18" s="1"/>
  <c r="Q222" i="18" s="1"/>
  <c r="Q223" i="18" s="1"/>
  <c r="Q224" i="18" s="1"/>
  <c r="Q225" i="18" s="1"/>
  <c r="Q226" i="18" s="1"/>
  <c r="Q227" i="18" s="1"/>
  <c r="Q228" i="18" s="1"/>
  <c r="Q229" i="18" s="1"/>
  <c r="Q230" i="18" s="1"/>
  <c r="Q231" i="18" s="1"/>
  <c r="Q232" i="18" s="1"/>
  <c r="Q233" i="18" s="1"/>
  <c r="Q234" i="18" s="1"/>
  <c r="Q235" i="18" s="1"/>
  <c r="Q236" i="18" s="1"/>
  <c r="Q237" i="18" s="1"/>
  <c r="Q238" i="18" s="1"/>
  <c r="Q239" i="18" s="1"/>
  <c r="Q240" i="18" s="1"/>
  <c r="Q241" i="18" s="1"/>
  <c r="Q242" i="18" s="1"/>
  <c r="Q243" i="18" s="1"/>
  <c r="Q244" i="18" s="1"/>
  <c r="Q245" i="18" s="1"/>
  <c r="Q246" i="18" s="1"/>
  <c r="Q247" i="18" s="1"/>
  <c r="Q248" i="18" s="1"/>
  <c r="Q249" i="18" s="1"/>
  <c r="Q250" i="18" s="1"/>
  <c r="Q251" i="18" s="1"/>
  <c r="Q252" i="18" s="1"/>
  <c r="Q253" i="18" s="1"/>
  <c r="Q254" i="18" s="1"/>
  <c r="Q255" i="18" s="1"/>
  <c r="Q256" i="18" s="1"/>
  <c r="Q257" i="18" s="1"/>
  <c r="Q258" i="18" s="1"/>
  <c r="Q259" i="18" s="1"/>
  <c r="Q260" i="18" s="1"/>
  <c r="Q261" i="18" s="1"/>
  <c r="Q262" i="18" s="1"/>
  <c r="Q263" i="18" s="1"/>
  <c r="Q264" i="18" s="1"/>
  <c r="Q265" i="18" s="1"/>
  <c r="Q266" i="18" s="1"/>
  <c r="Q267" i="18" s="1"/>
  <c r="Q268" i="18" s="1"/>
  <c r="Q269" i="18" s="1"/>
  <c r="Q270" i="18" s="1"/>
  <c r="Q271" i="18" s="1"/>
  <c r="Q272" i="18" s="1"/>
  <c r="Q273" i="18" s="1"/>
  <c r="Q274" i="18" s="1"/>
  <c r="Q275" i="18" s="1"/>
  <c r="Q276" i="18" s="1"/>
  <c r="Q277" i="18" s="1"/>
  <c r="Q278" i="18" s="1"/>
  <c r="Q279" i="18" s="1"/>
  <c r="Q280" i="18" s="1"/>
  <c r="Q281" i="18" s="1"/>
  <c r="Q282" i="18" s="1"/>
  <c r="Q283" i="18" s="1"/>
  <c r="Q284" i="18" s="1"/>
  <c r="Q285" i="18" s="1"/>
  <c r="Q286" i="18" s="1"/>
  <c r="Q287" i="18" s="1"/>
  <c r="Q288" i="18" s="1"/>
  <c r="Q289" i="18" s="1"/>
  <c r="Q290" i="18" s="1"/>
  <c r="Q291" i="18" s="1"/>
  <c r="Q292" i="18" s="1"/>
  <c r="Q293" i="18" s="1"/>
  <c r="Q294" i="18" s="1"/>
  <c r="Q295" i="18" s="1"/>
  <c r="Q296" i="18" s="1"/>
  <c r="Q297" i="18" s="1"/>
  <c r="Q298" i="18" s="1"/>
  <c r="Q299" i="18" s="1"/>
  <c r="Q300" i="18" s="1"/>
  <c r="Q301" i="18" s="1"/>
  <c r="Q302" i="18" s="1"/>
  <c r="Q303" i="18" s="1"/>
  <c r="Q304" i="18" s="1"/>
  <c r="Q305" i="18" s="1"/>
  <c r="Q306" i="18" s="1"/>
  <c r="Q307" i="18" s="1"/>
  <c r="Q308" i="18" s="1"/>
  <c r="Q309" i="18" s="1"/>
  <c r="Q310" i="18" s="1"/>
  <c r="Q311" i="18" s="1"/>
  <c r="Q312" i="18" s="1"/>
  <c r="Q313" i="18" s="1"/>
  <c r="Q314" i="18" s="1"/>
  <c r="Q315" i="18" s="1"/>
  <c r="Q316" i="18" s="1"/>
  <c r="Q317" i="18" s="1"/>
  <c r="Q318" i="18" s="1"/>
  <c r="Q319" i="18" s="1"/>
  <c r="Q320" i="18" s="1"/>
  <c r="Q321" i="18" s="1"/>
  <c r="Q322" i="18" s="1"/>
  <c r="Q323" i="18" s="1"/>
  <c r="Q324" i="18" s="1"/>
  <c r="Q325" i="18" s="1"/>
  <c r="Q326" i="18" s="1"/>
  <c r="Q327" i="18" s="1"/>
  <c r="Q328" i="18" s="1"/>
  <c r="Q329" i="18" s="1"/>
  <c r="Q330" i="18" s="1"/>
  <c r="Q331" i="18" s="1"/>
  <c r="Q332" i="18" s="1"/>
  <c r="Q333" i="18" s="1"/>
  <c r="Q334" i="18" s="1"/>
  <c r="Q335" i="18" s="1"/>
  <c r="Q336" i="18" s="1"/>
  <c r="Q337" i="18" s="1"/>
  <c r="Q338" i="18" s="1"/>
  <c r="Q339" i="18" s="1"/>
  <c r="Q340" i="18" s="1"/>
  <c r="Q341" i="18" s="1"/>
  <c r="Q342" i="18" s="1"/>
  <c r="Q343" i="18" s="1"/>
  <c r="Q344" i="18" s="1"/>
  <c r="Q345" i="18" s="1"/>
  <c r="Q346" i="18" s="1"/>
  <c r="Q347" i="18" s="1"/>
  <c r="Q348" i="18" s="1"/>
  <c r="Q349" i="18" s="1"/>
  <c r="Q350" i="18" s="1"/>
  <c r="Q351" i="18" s="1"/>
  <c r="Q352" i="18" s="1"/>
  <c r="Q353" i="18" s="1"/>
  <c r="Q354" i="18" s="1"/>
  <c r="Q355" i="18" s="1"/>
  <c r="Q356" i="18" s="1"/>
  <c r="Q357" i="18" s="1"/>
  <c r="Q358" i="18" s="1"/>
  <c r="Q359" i="18" s="1"/>
  <c r="Q360" i="18" s="1"/>
  <c r="Q361" i="18" s="1"/>
  <c r="Q362" i="18" s="1"/>
  <c r="Q363" i="18" s="1"/>
  <c r="Q364" i="18" s="1"/>
  <c r="Q365" i="18" s="1"/>
  <c r="Q366" i="18" s="1"/>
  <c r="Q367" i="18" s="1"/>
  <c r="Q368" i="18" s="1"/>
  <c r="Q369" i="18" s="1"/>
  <c r="Q370" i="18" s="1"/>
  <c r="Q371" i="18" s="1"/>
  <c r="Q372" i="18" s="1"/>
  <c r="Q373" i="18" s="1"/>
  <c r="Q374" i="18" s="1"/>
  <c r="Q375" i="18" s="1"/>
  <c r="Q376" i="18" s="1"/>
  <c r="Q377" i="18" s="1"/>
  <c r="Q378" i="18" s="1"/>
  <c r="Q379" i="18" s="1"/>
  <c r="Q380" i="18" s="1"/>
  <c r="Q381" i="18" s="1"/>
  <c r="Q382" i="18" s="1"/>
  <c r="Q383" i="18" s="1"/>
  <c r="Q384" i="18" s="1"/>
  <c r="Q385" i="18" s="1"/>
  <c r="Q386" i="18" s="1"/>
  <c r="Q387" i="18" s="1"/>
  <c r="Q388" i="18" s="1"/>
  <c r="Q389" i="18" s="1"/>
  <c r="Q390" i="18" s="1"/>
  <c r="Q391" i="18" s="1"/>
  <c r="Q392" i="18" s="1"/>
  <c r="Q393" i="18" s="1"/>
  <c r="Q394" i="18" s="1"/>
  <c r="Q395" i="18" s="1"/>
  <c r="Q396" i="18" s="1"/>
  <c r="Q397" i="18" s="1"/>
  <c r="Q398" i="18" s="1"/>
  <c r="Q399" i="18" s="1"/>
  <c r="Q400" i="18" s="1"/>
  <c r="Q401" i="18" s="1"/>
  <c r="Q402" i="18" s="1"/>
  <c r="Q403" i="18" s="1"/>
  <c r="Q404" i="18" s="1"/>
  <c r="Q405" i="18" s="1"/>
  <c r="Q406" i="18" s="1"/>
  <c r="Q407" i="18" s="1"/>
  <c r="Q408" i="18" s="1"/>
  <c r="Q409" i="18" s="1"/>
  <c r="Q410" i="18" s="1"/>
  <c r="Q411" i="18" s="1"/>
  <c r="Q412" i="18" s="1"/>
  <c r="Q413" i="18" s="1"/>
  <c r="Q414" i="18" s="1"/>
  <c r="Q415" i="18" s="1"/>
  <c r="Q416" i="18" s="1"/>
  <c r="Q417" i="18" s="1"/>
  <c r="Q418" i="18" s="1"/>
  <c r="Q419" i="18" s="1"/>
  <c r="Q420" i="18" s="1"/>
  <c r="Q421" i="18" s="1"/>
  <c r="Q422" i="18" s="1"/>
  <c r="Q423" i="18" s="1"/>
  <c r="Q424" i="18" s="1"/>
  <c r="Q425" i="18" s="1"/>
  <c r="Q426" i="18" s="1"/>
  <c r="Q427" i="18" s="1"/>
  <c r="Q428" i="18" s="1"/>
  <c r="Q429" i="18" s="1"/>
  <c r="Q430" i="18" s="1"/>
  <c r="Q431" i="18" s="1"/>
  <c r="Q432" i="18" s="1"/>
  <c r="Q433" i="18" s="1"/>
  <c r="Q434" i="18" s="1"/>
  <c r="Q435" i="18" s="1"/>
  <c r="Q436" i="18" s="1"/>
  <c r="Q437" i="18" s="1"/>
  <c r="Q438" i="18" s="1"/>
  <c r="Q439" i="18" s="1"/>
  <c r="Q440" i="18" s="1"/>
  <c r="Q441" i="18" s="1"/>
  <c r="Q442" i="18" s="1"/>
  <c r="Q443" i="18" s="1"/>
  <c r="Q444" i="18" s="1"/>
  <c r="Q445" i="18" s="1"/>
  <c r="Q446" i="18" s="1"/>
  <c r="Q447" i="18" s="1"/>
  <c r="Q448" i="18" s="1"/>
  <c r="Q449" i="18" s="1"/>
  <c r="Q450" i="18" s="1"/>
  <c r="Q451" i="18" s="1"/>
  <c r="Q452" i="18" s="1"/>
  <c r="Q453" i="18" s="1"/>
  <c r="Q454" i="18" s="1"/>
  <c r="Q455" i="18" s="1"/>
  <c r="Q456" i="18" s="1"/>
  <c r="Q457" i="18" s="1"/>
  <c r="Q458" i="18" s="1"/>
  <c r="Q459" i="18" s="1"/>
  <c r="Q460" i="18" s="1"/>
  <c r="Q461" i="18" s="1"/>
  <c r="Q462" i="18" s="1"/>
  <c r="Q463" i="18" s="1"/>
  <c r="Q464" i="18" s="1"/>
  <c r="Q465" i="18" s="1"/>
  <c r="Q466" i="18" s="1"/>
  <c r="Q467" i="18" s="1"/>
  <c r="Q468" i="18" s="1"/>
  <c r="Q469" i="18" s="1"/>
  <c r="Q470" i="18" s="1"/>
  <c r="Q471" i="18" s="1"/>
  <c r="Q472" i="18" s="1"/>
  <c r="Q473" i="18" s="1"/>
  <c r="Q474" i="18" s="1"/>
  <c r="Q475" i="18" s="1"/>
  <c r="Q476" i="18" s="1"/>
  <c r="Q477" i="18" s="1"/>
  <c r="Q478" i="18" s="1"/>
  <c r="Q479" i="18" s="1"/>
  <c r="Q480" i="18" s="1"/>
  <c r="Q481" i="18" s="1"/>
  <c r="Q482" i="18" s="1"/>
  <c r="Q483" i="18" s="1"/>
  <c r="Q484" i="18" s="1"/>
  <c r="Q485" i="18" s="1"/>
  <c r="Q486" i="18" s="1"/>
  <c r="Q487" i="18" s="1"/>
  <c r="Q488" i="18" s="1"/>
  <c r="Q489" i="18" s="1"/>
  <c r="Q490" i="18" s="1"/>
  <c r="Q491" i="18" s="1"/>
  <c r="Q492" i="18" s="1"/>
  <c r="Q493" i="18" s="1"/>
  <c r="Q494" i="18" s="1"/>
  <c r="Q495" i="18" s="1"/>
  <c r="Q496" i="18" s="1"/>
  <c r="Q497" i="18" s="1"/>
  <c r="Q498" i="18" s="1"/>
  <c r="Q499" i="18" s="1"/>
  <c r="Q500" i="18" s="1"/>
  <c r="Q501" i="18" s="1"/>
  <c r="Q502" i="18" s="1"/>
  <c r="Q503" i="18" s="1"/>
  <c r="Q504" i="18" s="1"/>
  <c r="Q505" i="18" s="1"/>
  <c r="Q506" i="18" s="1"/>
  <c r="Q507" i="18" s="1"/>
  <c r="Q508" i="18" s="1"/>
  <c r="Q509" i="18" s="1"/>
  <c r="Q510" i="18" s="1"/>
  <c r="Q511" i="18" s="1"/>
  <c r="Q512" i="18" s="1"/>
  <c r="Q513" i="18" s="1"/>
  <c r="Q514" i="18" s="1"/>
  <c r="Q515" i="18" s="1"/>
  <c r="Q516" i="18" s="1"/>
  <c r="Q517" i="18" s="1"/>
  <c r="Q518" i="18" s="1"/>
  <c r="Q519" i="18" s="1"/>
  <c r="Q520" i="18" s="1"/>
  <c r="Q521" i="18" s="1"/>
  <c r="Q522" i="18" s="1"/>
  <c r="Q523" i="18" s="1"/>
  <c r="Q524" i="18" s="1"/>
  <c r="Q525" i="18" s="1"/>
  <c r="Q526" i="18" s="1"/>
  <c r="Q527" i="18" s="1"/>
  <c r="Q528" i="18" s="1"/>
  <c r="Q529" i="18" s="1"/>
  <c r="Q530" i="18" s="1"/>
  <c r="Q531" i="18" s="1"/>
  <c r="Q532" i="18" s="1"/>
  <c r="Q533" i="18" s="1"/>
  <c r="Q534" i="18" s="1"/>
  <c r="Q535" i="18" s="1"/>
  <c r="Q536" i="18" s="1"/>
  <c r="Q537" i="18" s="1"/>
  <c r="Q538" i="18" s="1"/>
  <c r="Q539" i="18" s="1"/>
  <c r="Q540" i="18" s="1"/>
  <c r="Q541" i="18" s="1"/>
  <c r="Q542" i="18" s="1"/>
  <c r="Q543" i="18" s="1"/>
  <c r="Q544" i="18" s="1"/>
  <c r="Q545" i="18" s="1"/>
  <c r="Q546" i="18" s="1"/>
  <c r="Q547" i="18" s="1"/>
  <c r="Q548" i="18" s="1"/>
  <c r="Q549" i="18" s="1"/>
  <c r="Q550" i="18" s="1"/>
  <c r="Q551" i="18" s="1"/>
  <c r="Q552" i="18" s="1"/>
  <c r="Q553" i="18" s="1"/>
  <c r="Q554" i="18" s="1"/>
  <c r="Q555" i="18" s="1"/>
  <c r="Q556" i="18" s="1"/>
  <c r="Q557" i="18" s="1"/>
  <c r="Q558" i="18" s="1"/>
  <c r="Q559" i="18" s="1"/>
  <c r="Q560" i="18" s="1"/>
  <c r="Q561" i="18" s="1"/>
  <c r="Q562" i="18" s="1"/>
  <c r="Q563" i="18" s="1"/>
  <c r="Q564" i="18" s="1"/>
  <c r="Q565" i="18" s="1"/>
  <c r="Q566" i="18" s="1"/>
  <c r="Q567" i="18" s="1"/>
  <c r="Q568" i="18" s="1"/>
  <c r="Q569" i="18" s="1"/>
  <c r="Q570" i="18" s="1"/>
  <c r="Q571" i="18" s="1"/>
  <c r="Q572" i="18" s="1"/>
  <c r="Q573" i="18" s="1"/>
  <c r="Q574" i="18" s="1"/>
  <c r="Q575" i="18" s="1"/>
  <c r="Q576" i="18" s="1"/>
  <c r="Q577" i="18" s="1"/>
  <c r="Q578" i="18" s="1"/>
  <c r="Q579" i="18" s="1"/>
  <c r="Q580" i="18" s="1"/>
  <c r="Q581" i="18" s="1"/>
  <c r="Q582" i="18" s="1"/>
  <c r="Q583" i="18" s="1"/>
  <c r="Q584" i="18" s="1"/>
  <c r="Q585" i="18" s="1"/>
  <c r="Q586" i="18" s="1"/>
  <c r="Q587" i="18" s="1"/>
  <c r="Q588" i="18" s="1"/>
  <c r="Q589" i="18" s="1"/>
  <c r="Q590" i="18" s="1"/>
  <c r="Q591" i="18" s="1"/>
  <c r="Q592" i="18" s="1"/>
  <c r="Q593" i="18" s="1"/>
  <c r="Q594" i="18" s="1"/>
  <c r="Q595" i="18" s="1"/>
  <c r="Q596" i="18" s="1"/>
  <c r="Q597" i="18" s="1"/>
  <c r="Q598" i="18" s="1"/>
  <c r="Q599" i="18" s="1"/>
  <c r="Q600" i="18" s="1"/>
  <c r="Q601" i="18" s="1"/>
  <c r="Q602" i="18" s="1"/>
  <c r="Q603" i="18" s="1"/>
  <c r="Q604" i="18" s="1"/>
  <c r="Q605" i="18" s="1"/>
  <c r="Q606" i="18" s="1"/>
  <c r="Q607" i="18" s="1"/>
  <c r="Q608" i="18" s="1"/>
  <c r="Q609" i="18" s="1"/>
  <c r="Q610" i="18" s="1"/>
  <c r="Q611" i="18" s="1"/>
  <c r="Q612" i="18" s="1"/>
  <c r="Q613" i="18" s="1"/>
  <c r="Q614" i="18" s="1"/>
  <c r="Q615" i="18" s="1"/>
  <c r="Q616" i="18" s="1"/>
  <c r="Q617" i="18" s="1"/>
  <c r="Q618" i="18" s="1"/>
  <c r="Q619" i="18" s="1"/>
  <c r="Q620" i="18" s="1"/>
  <c r="Q621" i="18" s="1"/>
  <c r="Q622" i="18" s="1"/>
  <c r="Q623" i="18" s="1"/>
  <c r="Q624" i="18" s="1"/>
  <c r="Q625" i="18" s="1"/>
  <c r="Q626" i="18" s="1"/>
  <c r="Q627" i="18" s="1"/>
  <c r="Q628" i="18" s="1"/>
  <c r="Q629" i="18" s="1"/>
  <c r="Q630" i="18" s="1"/>
  <c r="Q631" i="18" s="1"/>
  <c r="Q632" i="18" s="1"/>
  <c r="Q633" i="18" s="1"/>
  <c r="Q634" i="18" s="1"/>
  <c r="Q635" i="18" s="1"/>
  <c r="Q636" i="18" s="1"/>
  <c r="Q637" i="18" s="1"/>
  <c r="Q638" i="18" s="1"/>
  <c r="Q639" i="18" s="1"/>
  <c r="Q640" i="18" s="1"/>
  <c r="Q641" i="18" s="1"/>
  <c r="Q642" i="18" s="1"/>
  <c r="Q643" i="18" s="1"/>
  <c r="Q644" i="18" s="1"/>
  <c r="Q645" i="18" s="1"/>
  <c r="Q646" i="18" s="1"/>
  <c r="Q647" i="18" s="1"/>
  <c r="Q648" i="18" s="1"/>
  <c r="Q649" i="18" s="1"/>
  <c r="Q650" i="18" s="1"/>
  <c r="Q651" i="18" s="1"/>
  <c r="Q652" i="18" s="1"/>
  <c r="Q653" i="18" s="1"/>
  <c r="Q654" i="18" s="1"/>
  <c r="Q655" i="18" s="1"/>
  <c r="Q656" i="18" s="1"/>
  <c r="Q657" i="18" s="1"/>
  <c r="Q658" i="18" s="1"/>
  <c r="Q659" i="18" s="1"/>
  <c r="Q660" i="18" s="1"/>
  <c r="Q661" i="18" s="1"/>
  <c r="Q662" i="18" s="1"/>
  <c r="Q663" i="18" s="1"/>
  <c r="Q664" i="18" s="1"/>
  <c r="Q665" i="18" s="1"/>
  <c r="Q666" i="18" s="1"/>
  <c r="Q667" i="18" s="1"/>
  <c r="Q668" i="18" s="1"/>
  <c r="Q669" i="18" s="1"/>
  <c r="Q670" i="18" s="1"/>
  <c r="Q671" i="18" s="1"/>
  <c r="Q672" i="18" s="1"/>
  <c r="Q673" i="18" s="1"/>
  <c r="Q674" i="18" s="1"/>
  <c r="Q675" i="18" s="1"/>
  <c r="Q676" i="18" s="1"/>
  <c r="Q677" i="18" s="1"/>
  <c r="Q678" i="18" s="1"/>
  <c r="Q679" i="18" s="1"/>
  <c r="Q680" i="18" s="1"/>
  <c r="Q681" i="18" s="1"/>
  <c r="Q682" i="18" s="1"/>
  <c r="Q683" i="18" s="1"/>
  <c r="Q684" i="18" s="1"/>
  <c r="Q685" i="18" s="1"/>
  <c r="Q686" i="18" s="1"/>
  <c r="Q687" i="18" s="1"/>
  <c r="Q688" i="18" s="1"/>
  <c r="Q689" i="18" s="1"/>
  <c r="Q690" i="18" s="1"/>
  <c r="Q691" i="18" s="1"/>
  <c r="Q692" i="18" s="1"/>
  <c r="Q693" i="18" s="1"/>
  <c r="Q694" i="18" s="1"/>
  <c r="Q695" i="18" s="1"/>
  <c r="Q696" i="18" s="1"/>
  <c r="Q697" i="18" s="1"/>
  <c r="Q698" i="18" s="1"/>
  <c r="Q699" i="18" s="1"/>
  <c r="Q700" i="18" s="1"/>
  <c r="Q701" i="18" s="1"/>
  <c r="Q702" i="18" s="1"/>
  <c r="Q703" i="18" s="1"/>
  <c r="Q704" i="18" s="1"/>
  <c r="Q705" i="18" s="1"/>
  <c r="Q706" i="18" s="1"/>
  <c r="Q707" i="18" s="1"/>
  <c r="Q708" i="18" s="1"/>
  <c r="Q709" i="18" s="1"/>
  <c r="Q710" i="18" s="1"/>
  <c r="Q711" i="18" s="1"/>
  <c r="Q712" i="18" s="1"/>
  <c r="Q713" i="18" s="1"/>
  <c r="Q714" i="18" s="1"/>
  <c r="Q715" i="18" s="1"/>
  <c r="Q716" i="18" s="1"/>
  <c r="Q717" i="18" s="1"/>
  <c r="Q718" i="18" s="1"/>
  <c r="Q719" i="18" s="1"/>
  <c r="Q720" i="18" s="1"/>
  <c r="Q721" i="18" s="1"/>
  <c r="Q722" i="18" s="1"/>
  <c r="Q723" i="18" s="1"/>
  <c r="Q724" i="18" s="1"/>
  <c r="Q725" i="18" s="1"/>
  <c r="Q726" i="18" s="1"/>
  <c r="Q727" i="18" s="1"/>
  <c r="Q728" i="18" s="1"/>
  <c r="Q729" i="18" s="1"/>
  <c r="Q730" i="18" s="1"/>
  <c r="Q731" i="18" s="1"/>
  <c r="Q732" i="18" s="1"/>
  <c r="Q733" i="18" s="1"/>
  <c r="Q734" i="18" s="1"/>
  <c r="Q735" i="18" s="1"/>
  <c r="Q736" i="18" s="1"/>
  <c r="Q737" i="18" s="1"/>
  <c r="Q738" i="18" s="1"/>
  <c r="Q739" i="18" s="1"/>
  <c r="Q740" i="18" s="1"/>
  <c r="Q741" i="18" s="1"/>
  <c r="Q742" i="18" s="1"/>
  <c r="Q743" i="18" s="1"/>
  <c r="Q744" i="18" s="1"/>
  <c r="Q745" i="18" s="1"/>
  <c r="Q746" i="18" s="1"/>
  <c r="Q747" i="18" s="1"/>
  <c r="Q748" i="18" s="1"/>
  <c r="Q749" i="18" s="1"/>
  <c r="Q750" i="18" s="1"/>
  <c r="Q751" i="18" s="1"/>
  <c r="Q752" i="18" s="1"/>
  <c r="Q753" i="18" s="1"/>
  <c r="Q754" i="18" s="1"/>
  <c r="Q755" i="18" s="1"/>
  <c r="Q756" i="18" s="1"/>
  <c r="Q757" i="18" s="1"/>
  <c r="Q758" i="18" s="1"/>
  <c r="Q759" i="18" s="1"/>
  <c r="Q760" i="18" s="1"/>
  <c r="Q761" i="18" s="1"/>
  <c r="Q762" i="18" s="1"/>
  <c r="Q763" i="18" s="1"/>
  <c r="Q764" i="18" s="1"/>
  <c r="Q765" i="18" s="1"/>
  <c r="Q766" i="18" s="1"/>
  <c r="Q767" i="18" s="1"/>
  <c r="Q768" i="18" s="1"/>
  <c r="Q769" i="18" s="1"/>
  <c r="Q770" i="18" s="1"/>
  <c r="Q771" i="18" s="1"/>
  <c r="Q772" i="18" s="1"/>
  <c r="Q773" i="18" s="1"/>
  <c r="Q774" i="18" s="1"/>
  <c r="Q775" i="18" s="1"/>
  <c r="Q776" i="18" s="1"/>
  <c r="Q777" i="18" s="1"/>
  <c r="Q778" i="18" s="1"/>
  <c r="Q779" i="18" s="1"/>
  <c r="Q780" i="18" s="1"/>
  <c r="Q781" i="18" s="1"/>
  <c r="Q782" i="18" s="1"/>
  <c r="Q783" i="18" s="1"/>
  <c r="Q784" i="18" s="1"/>
  <c r="Q785" i="18" s="1"/>
  <c r="Q786" i="18" s="1"/>
  <c r="Q787" i="18" s="1"/>
  <c r="Q788" i="18" s="1"/>
  <c r="Q789" i="18" s="1"/>
  <c r="Q790" i="18" s="1"/>
  <c r="Q791" i="18" s="1"/>
  <c r="Q792" i="18" s="1"/>
  <c r="Q793" i="18" s="1"/>
  <c r="Q794" i="18" s="1"/>
  <c r="Q795" i="18" s="1"/>
  <c r="Q796" i="18" s="1"/>
  <c r="Q797" i="18" s="1"/>
  <c r="Q798" i="18" s="1"/>
  <c r="Q799" i="18" s="1"/>
  <c r="Q800" i="18" s="1"/>
  <c r="Q801" i="18" s="1"/>
  <c r="Q802" i="18" s="1"/>
  <c r="Q803" i="18" s="1"/>
  <c r="Q804" i="18" s="1"/>
  <c r="Q805" i="18" s="1"/>
  <c r="Q806" i="18" s="1"/>
  <c r="Q807" i="18" s="1"/>
  <c r="Q808" i="18" s="1"/>
  <c r="Q809" i="18" s="1"/>
  <c r="Q810" i="18" s="1"/>
  <c r="Q811" i="18" s="1"/>
  <c r="Q812" i="18" s="1"/>
  <c r="Q813" i="18" s="1"/>
  <c r="Q814" i="18" s="1"/>
  <c r="Q815" i="18" s="1"/>
  <c r="Q816" i="18" s="1"/>
  <c r="Q817" i="18" s="1"/>
  <c r="Q818" i="18" s="1"/>
  <c r="Q819" i="18" s="1"/>
  <c r="Q820" i="18" s="1"/>
  <c r="Q821" i="18" s="1"/>
  <c r="Q822" i="18" s="1"/>
  <c r="Q823" i="18" s="1"/>
  <c r="Q824" i="18" s="1"/>
  <c r="Q825" i="18" s="1"/>
  <c r="Q826" i="18" s="1"/>
  <c r="Q827" i="18" s="1"/>
  <c r="Q828" i="18" s="1"/>
  <c r="Q829" i="18" s="1"/>
  <c r="Q830" i="18" s="1"/>
  <c r="Q831" i="18" s="1"/>
  <c r="Q832" i="18" s="1"/>
  <c r="Q833" i="18" s="1"/>
  <c r="Q834" i="18" s="1"/>
  <c r="Q835" i="18" s="1"/>
  <c r="Q836" i="18" s="1"/>
  <c r="Q837" i="18" s="1"/>
  <c r="Q838" i="18" s="1"/>
  <c r="Q839" i="18" s="1"/>
  <c r="Q840" i="18" s="1"/>
  <c r="Q841" i="18" s="1"/>
  <c r="Q842" i="18" s="1"/>
  <c r="Q843" i="18" s="1"/>
  <c r="Q844" i="18" s="1"/>
  <c r="Q845" i="18" s="1"/>
  <c r="Q846" i="18" s="1"/>
  <c r="Q847" i="18" s="1"/>
  <c r="Q848" i="18" s="1"/>
  <c r="Q849" i="18" s="1"/>
  <c r="Q850" i="18" s="1"/>
  <c r="Q851" i="18" s="1"/>
  <c r="Q852" i="18" s="1"/>
  <c r="Q853" i="18" s="1"/>
  <c r="Q854" i="18" s="1"/>
  <c r="Q855" i="18" s="1"/>
  <c r="Q856" i="18" s="1"/>
  <c r="Q857" i="18" s="1"/>
  <c r="Q858" i="18" s="1"/>
  <c r="Q859" i="18" s="1"/>
  <c r="Q860" i="18" s="1"/>
  <c r="Q861" i="18" s="1"/>
  <c r="Q862" i="18" s="1"/>
  <c r="Q863" i="18" s="1"/>
  <c r="Q864" i="18" s="1"/>
  <c r="Q865" i="18" s="1"/>
  <c r="Q866" i="18" s="1"/>
  <c r="Q867" i="18" s="1"/>
  <c r="Q868" i="18" s="1"/>
  <c r="Q869" i="18" s="1"/>
  <c r="Q870" i="18" s="1"/>
  <c r="Q871" i="18" s="1"/>
  <c r="Q872" i="18" s="1"/>
  <c r="Q873" i="18" s="1"/>
  <c r="Q874" i="18" s="1"/>
  <c r="Q875" i="18" s="1"/>
  <c r="Q876" i="18" s="1"/>
  <c r="Q877" i="18" s="1"/>
  <c r="Q878" i="18" s="1"/>
  <c r="Q879" i="18" s="1"/>
  <c r="Q880" i="18" s="1"/>
  <c r="Q881" i="18" s="1"/>
  <c r="Q882" i="18" s="1"/>
  <c r="Q883" i="18" s="1"/>
  <c r="Q884" i="18" s="1"/>
  <c r="Q885" i="18" s="1"/>
  <c r="Q886" i="18" s="1"/>
  <c r="Q887" i="18" s="1"/>
  <c r="Q888" i="18" s="1"/>
  <c r="Q889" i="18" s="1"/>
  <c r="Q890" i="18" s="1"/>
  <c r="Q891" i="18" s="1"/>
  <c r="Q892" i="18" s="1"/>
  <c r="Q893" i="18" s="1"/>
  <c r="Q894" i="18" s="1"/>
  <c r="Q895" i="18" s="1"/>
  <c r="Q896" i="18" s="1"/>
  <c r="Q897" i="18" s="1"/>
  <c r="Q898" i="18" s="1"/>
  <c r="Q899" i="18" s="1"/>
  <c r="Q900" i="18" s="1"/>
  <c r="Q901" i="18" s="1"/>
  <c r="Q902" i="18" s="1"/>
  <c r="Q903" i="18" s="1"/>
  <c r="Q904" i="18" s="1"/>
  <c r="Q905" i="18" s="1"/>
  <c r="Q906" i="18" s="1"/>
  <c r="Q907" i="18" s="1"/>
  <c r="Q908" i="18" s="1"/>
  <c r="Q909" i="18" s="1"/>
  <c r="Q910" i="18" s="1"/>
  <c r="Q911" i="18" s="1"/>
  <c r="Q912" i="18" s="1"/>
  <c r="Q913" i="18" s="1"/>
  <c r="Q914" i="18" s="1"/>
  <c r="Q915" i="18" s="1"/>
  <c r="Q916" i="18" s="1"/>
  <c r="Q917" i="18" s="1"/>
  <c r="Q918" i="18" s="1"/>
  <c r="Q919" i="18" s="1"/>
  <c r="Q920" i="18" s="1"/>
  <c r="Q921" i="18" s="1"/>
  <c r="Q922" i="18" s="1"/>
  <c r="Q923" i="18" s="1"/>
  <c r="Q924" i="18" s="1"/>
  <c r="Q925" i="18" s="1"/>
  <c r="Q926" i="18" s="1"/>
  <c r="Q927" i="18" s="1"/>
  <c r="Q928" i="18" s="1"/>
  <c r="Q929" i="18" s="1"/>
  <c r="Q930" i="18" s="1"/>
  <c r="Q931" i="18" s="1"/>
  <c r="Q932" i="18" s="1"/>
  <c r="Q933" i="18" s="1"/>
  <c r="Q934" i="18" s="1"/>
  <c r="Q935" i="18" s="1"/>
  <c r="Q936" i="18" s="1"/>
  <c r="Q937" i="18" s="1"/>
  <c r="Q938" i="18" s="1"/>
  <c r="Q939" i="18" s="1"/>
  <c r="Q940" i="18" s="1"/>
  <c r="Q941" i="18" s="1"/>
  <c r="Q942" i="18" s="1"/>
  <c r="Q943" i="18" s="1"/>
  <c r="Q944" i="18" s="1"/>
  <c r="Q945" i="18" s="1"/>
  <c r="Q946" i="18" s="1"/>
  <c r="Q947" i="18" s="1"/>
  <c r="Q948" i="18" s="1"/>
  <c r="Q949" i="18" s="1"/>
  <c r="Q950" i="18" s="1"/>
  <c r="Q951" i="18" s="1"/>
  <c r="Q952" i="18" s="1"/>
  <c r="Q953" i="18" s="1"/>
  <c r="Q954" i="18" s="1"/>
  <c r="Q955" i="18" s="1"/>
  <c r="Q956" i="18" s="1"/>
  <c r="Q957" i="18" s="1"/>
  <c r="Q958" i="18" s="1"/>
  <c r="Q959" i="18" s="1"/>
  <c r="Q960" i="18" s="1"/>
  <c r="Q961" i="18" s="1"/>
  <c r="Q962" i="18" s="1"/>
  <c r="Q963" i="18" s="1"/>
  <c r="Q964" i="18" s="1"/>
  <c r="Q965" i="18" s="1"/>
  <c r="Q966" i="18" s="1"/>
  <c r="Q967" i="18" s="1"/>
  <c r="Q968" i="18" s="1"/>
  <c r="Q969" i="18" s="1"/>
  <c r="Q970" i="18" s="1"/>
  <c r="Q971" i="18" s="1"/>
  <c r="Q972" i="18" s="1"/>
  <c r="Q973" i="18" s="1"/>
  <c r="Q974" i="18" s="1"/>
  <c r="Q975" i="18" s="1"/>
  <c r="Q976" i="18" s="1"/>
  <c r="Q977" i="18" s="1"/>
  <c r="Q978" i="18" s="1"/>
  <c r="Q979" i="18" s="1"/>
  <c r="Q980" i="18" s="1"/>
  <c r="Q981" i="18" s="1"/>
  <c r="Q982" i="18" s="1"/>
  <c r="Q983" i="18" s="1"/>
  <c r="Q984" i="18" s="1"/>
  <c r="Q985" i="18" s="1"/>
  <c r="Q986" i="18" s="1"/>
  <c r="Q987" i="18" s="1"/>
  <c r="Q988" i="18" s="1"/>
  <c r="Q989" i="18" s="1"/>
  <c r="Q990" i="18" s="1"/>
  <c r="Q991" i="18" s="1"/>
  <c r="Q992" i="18" s="1"/>
  <c r="Q993" i="18" s="1"/>
  <c r="Q994" i="18" s="1"/>
  <c r="Q995" i="18" s="1"/>
  <c r="Q996" i="18" s="1"/>
  <c r="Q997" i="18" s="1"/>
  <c r="Q998" i="18" s="1"/>
  <c r="Q999" i="18" s="1"/>
  <c r="Q1000" i="18" s="1"/>
  <c r="Q1001" i="18" s="1"/>
  <c r="Q1002" i="18" s="1"/>
  <c r="Q1003" i="18" s="1"/>
  <c r="Q1004" i="18" s="1"/>
  <c r="Q1005" i="18" s="1"/>
  <c r="Q1006" i="18" s="1"/>
  <c r="Q1007" i="18" s="1"/>
  <c r="Q1008" i="18" s="1"/>
  <c r="Q1009" i="18" s="1"/>
  <c r="Q1010" i="18" s="1"/>
  <c r="Q1011" i="18" s="1"/>
  <c r="Q1012" i="18" s="1"/>
  <c r="Q1013" i="18" s="1"/>
  <c r="Q1014" i="18" s="1"/>
  <c r="Q1015" i="18" s="1"/>
  <c r="Q1016" i="18" s="1"/>
  <c r="Q1017" i="18" s="1"/>
  <c r="Q1018" i="18" s="1"/>
  <c r="Q1019" i="18" s="1"/>
  <c r="Q1020" i="18" s="1"/>
  <c r="Q1021" i="18" s="1"/>
  <c r="Q1022" i="18" s="1"/>
  <c r="Q1023" i="18" s="1"/>
  <c r="Q1024" i="18" s="1"/>
  <c r="Q1025" i="18" s="1"/>
  <c r="Q1026" i="18" s="1"/>
  <c r="Q1027" i="18" s="1"/>
  <c r="Q1028" i="18" s="1"/>
  <c r="Q1029" i="18" s="1"/>
  <c r="Q1030" i="18" s="1"/>
  <c r="Q1031" i="18" s="1"/>
  <c r="Q1032" i="18" s="1"/>
  <c r="Q1033" i="18" s="1"/>
  <c r="Q1034" i="18" s="1"/>
  <c r="Q1035" i="18" s="1"/>
  <c r="Q1036" i="18" s="1"/>
  <c r="Q1037" i="18" s="1"/>
  <c r="Q1038" i="18" s="1"/>
  <c r="Q1039" i="18" s="1"/>
  <c r="Q1040" i="18" s="1"/>
  <c r="Q1041" i="18" s="1"/>
  <c r="Q1042" i="18" s="1"/>
  <c r="Q1043" i="18" s="1"/>
  <c r="Q1044" i="18" s="1"/>
  <c r="Q1045" i="18" s="1"/>
  <c r="AD3" i="18"/>
  <c r="AD4" i="18" s="1"/>
  <c r="AD5" i="18" s="1"/>
  <c r="AD6" i="18" s="1"/>
  <c r="AD7" i="18" s="1"/>
  <c r="AD8" i="18" s="1"/>
  <c r="AD9" i="18" s="1"/>
  <c r="AD10" i="18" s="1"/>
  <c r="AD11" i="18" s="1"/>
  <c r="AD12" i="18" s="1"/>
  <c r="AD13" i="18" s="1"/>
  <c r="AD14" i="18" s="1"/>
  <c r="AD15" i="18" s="1"/>
  <c r="AD16" i="18" s="1"/>
  <c r="AD17" i="18" s="1"/>
  <c r="AD18" i="18" s="1"/>
  <c r="AD19" i="18" s="1"/>
  <c r="AD20" i="18" s="1"/>
  <c r="AD21" i="18" s="1"/>
  <c r="AD22" i="18" s="1"/>
  <c r="AD23" i="18" s="1"/>
  <c r="AD24" i="18" s="1"/>
  <c r="AD25" i="18" s="1"/>
  <c r="AD26" i="18" s="1"/>
  <c r="AD27" i="18" s="1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D47" i="18" s="1"/>
  <c r="AD48" i="18" s="1"/>
  <c r="AD49" i="18" s="1"/>
  <c r="AD50" i="18" s="1"/>
  <c r="AD51" i="18" s="1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71" i="18" s="1"/>
  <c r="AD72" i="18" s="1"/>
  <c r="AD73" i="18" s="1"/>
  <c r="AD74" i="18" s="1"/>
  <c r="AD75" i="18" s="1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AD95" i="18" s="1"/>
  <c r="AD96" i="18" s="1"/>
  <c r="AD97" i="18" s="1"/>
  <c r="AD98" i="18" s="1"/>
  <c r="AD99" i="18" s="1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19" i="18" s="1"/>
  <c r="AD120" i="18" s="1"/>
  <c r="AD121" i="18" s="1"/>
  <c r="AD122" i="18" s="1"/>
  <c r="AD123" i="18" s="1"/>
  <c r="AD124" i="18" s="1"/>
  <c r="AD125" i="18" s="1"/>
  <c r="AD126" i="18" s="1"/>
  <c r="AD127" i="18" s="1"/>
  <c r="AD128" i="18" s="1"/>
  <c r="AD129" i="18" s="1"/>
  <c r="AD130" i="18" s="1"/>
  <c r="AD131" i="18" s="1"/>
  <c r="AD132" i="18" s="1"/>
  <c r="AD133" i="18" s="1"/>
  <c r="AD134" i="18" s="1"/>
  <c r="AD135" i="18" s="1"/>
  <c r="AD136" i="18" s="1"/>
  <c r="AD137" i="18" s="1"/>
  <c r="AD138" i="18" s="1"/>
  <c r="AD139" i="18" s="1"/>
  <c r="AD140" i="18" s="1"/>
  <c r="AD141" i="18" s="1"/>
  <c r="AD142" i="18" s="1"/>
  <c r="AD143" i="18" s="1"/>
  <c r="AD144" i="18" s="1"/>
  <c r="AD145" i="18" s="1"/>
  <c r="AD146" i="18" s="1"/>
  <c r="AD147" i="18" s="1"/>
  <c r="AD148" i="18" s="1"/>
  <c r="AD149" i="18" s="1"/>
  <c r="AD150" i="18" s="1"/>
  <c r="AD151" i="18" s="1"/>
  <c r="AD152" i="18" s="1"/>
  <c r="AD153" i="18" s="1"/>
  <c r="AD154" i="18" s="1"/>
  <c r="AD155" i="18" s="1"/>
  <c r="AD156" i="18" s="1"/>
  <c r="AD157" i="18" s="1"/>
  <c r="AD158" i="18" s="1"/>
  <c r="AD159" i="18" s="1"/>
  <c r="AD160" i="18" s="1"/>
  <c r="AD161" i="18" s="1"/>
  <c r="AD162" i="18" s="1"/>
  <c r="AD163" i="18" s="1"/>
  <c r="AD164" i="18" s="1"/>
  <c r="AD165" i="18" s="1"/>
  <c r="AD166" i="18" s="1"/>
  <c r="AD167" i="18" s="1"/>
  <c r="AD168" i="18" s="1"/>
  <c r="AD169" i="18" s="1"/>
  <c r="AD170" i="18" s="1"/>
  <c r="AD171" i="18" s="1"/>
  <c r="AD172" i="18" s="1"/>
  <c r="AD173" i="18" s="1"/>
  <c r="AD174" i="18" s="1"/>
  <c r="AD175" i="18" s="1"/>
  <c r="AD176" i="18" s="1"/>
  <c r="AD177" i="18" s="1"/>
  <c r="AD178" i="18" s="1"/>
  <c r="AD179" i="18" s="1"/>
  <c r="AD180" i="18" s="1"/>
  <c r="AD181" i="18" s="1"/>
  <c r="AD182" i="18" s="1"/>
  <c r="AD183" i="18" s="1"/>
  <c r="AD184" i="18" s="1"/>
  <c r="AD185" i="18" s="1"/>
  <c r="AD186" i="18" s="1"/>
  <c r="AD187" i="18" s="1"/>
  <c r="AD188" i="18" s="1"/>
  <c r="AD189" i="18" s="1"/>
  <c r="AD190" i="18" s="1"/>
  <c r="AD191" i="18" s="1"/>
  <c r="AD192" i="18" s="1"/>
  <c r="AD193" i="18" s="1"/>
  <c r="AD194" i="18" s="1"/>
  <c r="AD195" i="18" s="1"/>
  <c r="AD196" i="18" s="1"/>
  <c r="AD197" i="18" s="1"/>
  <c r="AD198" i="18" s="1"/>
  <c r="AD199" i="18" s="1"/>
  <c r="AD200" i="18" s="1"/>
  <c r="AD201" i="18" s="1"/>
  <c r="AD202" i="18" s="1"/>
  <c r="AD203" i="18" s="1"/>
  <c r="AD204" i="18" s="1"/>
  <c r="AD205" i="18" s="1"/>
  <c r="AD206" i="18" s="1"/>
  <c r="AD207" i="18" s="1"/>
  <c r="AD208" i="18" s="1"/>
  <c r="AD209" i="18" s="1"/>
  <c r="AD210" i="18" s="1"/>
  <c r="AD211" i="18" s="1"/>
  <c r="AD212" i="18" s="1"/>
  <c r="AD213" i="18" s="1"/>
  <c r="AD214" i="18" s="1"/>
  <c r="AD215" i="18" s="1"/>
  <c r="AD216" i="18" s="1"/>
  <c r="AD217" i="18" s="1"/>
  <c r="AD218" i="18" s="1"/>
  <c r="AD219" i="18" s="1"/>
  <c r="AD220" i="18" s="1"/>
  <c r="AD221" i="18" s="1"/>
  <c r="AD222" i="18" s="1"/>
  <c r="AD223" i="18" s="1"/>
  <c r="AD224" i="18" s="1"/>
  <c r="AD225" i="18" s="1"/>
  <c r="AD226" i="18" s="1"/>
  <c r="AD227" i="18" s="1"/>
  <c r="AD228" i="18" s="1"/>
  <c r="AD229" i="18" s="1"/>
  <c r="AD230" i="18" s="1"/>
  <c r="AD231" i="18" s="1"/>
  <c r="AD232" i="18" s="1"/>
  <c r="AD233" i="18" s="1"/>
  <c r="AD234" i="18" s="1"/>
  <c r="AD235" i="18" s="1"/>
  <c r="AD236" i="18" s="1"/>
  <c r="AD237" i="18" s="1"/>
  <c r="AD238" i="18" s="1"/>
  <c r="AD239" i="18" s="1"/>
  <c r="AD240" i="18" s="1"/>
  <c r="AD241" i="18" s="1"/>
  <c r="AD242" i="18" s="1"/>
  <c r="AD243" i="18" s="1"/>
  <c r="AD244" i="18" s="1"/>
  <c r="AD245" i="18" s="1"/>
  <c r="AD246" i="18" s="1"/>
  <c r="AD247" i="18" s="1"/>
  <c r="AD248" i="18" s="1"/>
  <c r="AD249" i="18" s="1"/>
  <c r="AD250" i="18" s="1"/>
  <c r="AD251" i="18" s="1"/>
  <c r="AD252" i="18" s="1"/>
  <c r="AD253" i="18" s="1"/>
  <c r="AD254" i="18" s="1"/>
  <c r="AD255" i="18" s="1"/>
  <c r="AD256" i="18" s="1"/>
  <c r="AD257" i="18" s="1"/>
  <c r="AD258" i="18" s="1"/>
  <c r="AD259" i="18" s="1"/>
  <c r="AD260" i="18" s="1"/>
  <c r="AD261" i="18" s="1"/>
  <c r="AD262" i="18" s="1"/>
  <c r="AD263" i="18" s="1"/>
  <c r="AD264" i="18" s="1"/>
  <c r="AD265" i="18" s="1"/>
  <c r="AD266" i="18" s="1"/>
  <c r="AD267" i="18" s="1"/>
  <c r="AD268" i="18" s="1"/>
  <c r="AD269" i="18" s="1"/>
  <c r="AD270" i="18" s="1"/>
  <c r="AD271" i="18" s="1"/>
  <c r="AD272" i="18" s="1"/>
  <c r="AD273" i="18" s="1"/>
  <c r="AD274" i="18" s="1"/>
  <c r="AD275" i="18" s="1"/>
  <c r="AD276" i="18" s="1"/>
  <c r="AD277" i="18" s="1"/>
  <c r="AD278" i="18" s="1"/>
  <c r="AD279" i="18" s="1"/>
  <c r="AD280" i="18" s="1"/>
  <c r="AD281" i="18" s="1"/>
  <c r="AD282" i="18" s="1"/>
  <c r="AD283" i="18" s="1"/>
  <c r="AD284" i="18" s="1"/>
  <c r="AD285" i="18" s="1"/>
  <c r="AD286" i="18" s="1"/>
  <c r="AD287" i="18" s="1"/>
  <c r="AD288" i="18" s="1"/>
  <c r="AD289" i="18" s="1"/>
  <c r="AD290" i="18" s="1"/>
  <c r="AD291" i="18" s="1"/>
  <c r="AD292" i="18" s="1"/>
  <c r="AD293" i="18" s="1"/>
  <c r="AD294" i="18" s="1"/>
  <c r="AD295" i="18" s="1"/>
  <c r="AD296" i="18" s="1"/>
  <c r="AD297" i="18" s="1"/>
  <c r="AD298" i="18" s="1"/>
  <c r="AD299" i="18" s="1"/>
  <c r="AD300" i="18" s="1"/>
  <c r="AD301" i="18" s="1"/>
  <c r="AD302" i="18" s="1"/>
  <c r="AD303" i="18" s="1"/>
  <c r="AD304" i="18" s="1"/>
  <c r="AD305" i="18" s="1"/>
  <c r="AD306" i="18" s="1"/>
  <c r="AD307" i="18" s="1"/>
  <c r="AD308" i="18" s="1"/>
  <c r="AD309" i="18" s="1"/>
  <c r="AD310" i="18" s="1"/>
  <c r="AD311" i="18" s="1"/>
  <c r="AD312" i="18" s="1"/>
  <c r="AD313" i="18" s="1"/>
  <c r="AD314" i="18" s="1"/>
  <c r="AD315" i="18" s="1"/>
  <c r="AD316" i="18" s="1"/>
  <c r="AD317" i="18" s="1"/>
  <c r="AD318" i="18" s="1"/>
  <c r="AD319" i="18" s="1"/>
  <c r="AD320" i="18" s="1"/>
  <c r="AD321" i="18" s="1"/>
  <c r="AD322" i="18" s="1"/>
  <c r="AD323" i="18" s="1"/>
  <c r="AD324" i="18" s="1"/>
  <c r="AD325" i="18" s="1"/>
  <c r="AD326" i="18" s="1"/>
  <c r="AD327" i="18" s="1"/>
  <c r="AD328" i="18" s="1"/>
  <c r="AD329" i="18" s="1"/>
  <c r="AD330" i="18" s="1"/>
  <c r="AD331" i="18" s="1"/>
  <c r="AD332" i="18" s="1"/>
  <c r="AD333" i="18" s="1"/>
  <c r="AD334" i="18" s="1"/>
  <c r="AD335" i="18" s="1"/>
  <c r="AD336" i="18" s="1"/>
  <c r="AD337" i="18" s="1"/>
  <c r="AD338" i="18" s="1"/>
  <c r="AD339" i="18" s="1"/>
  <c r="AD340" i="18" s="1"/>
  <c r="AD341" i="18" s="1"/>
  <c r="AD342" i="18" s="1"/>
  <c r="AD343" i="18" s="1"/>
  <c r="AD344" i="18" s="1"/>
  <c r="AD345" i="18" s="1"/>
  <c r="AD346" i="18" s="1"/>
  <c r="AD347" i="18" s="1"/>
  <c r="AD348" i="18" s="1"/>
  <c r="AD349" i="18" s="1"/>
  <c r="AD350" i="18" s="1"/>
  <c r="AD351" i="18" s="1"/>
  <c r="AD352" i="18" s="1"/>
  <c r="AD353" i="18" s="1"/>
  <c r="AD354" i="18" s="1"/>
  <c r="AD355" i="18" s="1"/>
  <c r="AD356" i="18" s="1"/>
  <c r="AD357" i="18" s="1"/>
  <c r="AD358" i="18" s="1"/>
  <c r="AD359" i="18" s="1"/>
  <c r="AD360" i="18" s="1"/>
  <c r="AD361" i="18" s="1"/>
  <c r="AD362" i="18" s="1"/>
  <c r="AD363" i="18" s="1"/>
  <c r="AD364" i="18" s="1"/>
  <c r="AD365" i="18" s="1"/>
  <c r="AD366" i="18" s="1"/>
  <c r="AD367" i="18" s="1"/>
  <c r="AD368" i="18" s="1"/>
  <c r="AD369" i="18" s="1"/>
  <c r="AD370" i="18" s="1"/>
  <c r="AD371" i="18" s="1"/>
  <c r="AD372" i="18" s="1"/>
  <c r="AD373" i="18" s="1"/>
  <c r="AD374" i="18" s="1"/>
  <c r="AD375" i="18" s="1"/>
  <c r="AD376" i="18" s="1"/>
  <c r="AD377" i="18" s="1"/>
  <c r="AD378" i="18" s="1"/>
  <c r="AD379" i="18" s="1"/>
  <c r="AD380" i="18" s="1"/>
  <c r="AD381" i="18" s="1"/>
  <c r="AD382" i="18" s="1"/>
  <c r="AD383" i="18" s="1"/>
  <c r="AD384" i="18" s="1"/>
  <c r="AD385" i="18" s="1"/>
  <c r="AD386" i="18" s="1"/>
  <c r="AD387" i="18" s="1"/>
  <c r="AD388" i="18" s="1"/>
  <c r="AD389" i="18" s="1"/>
  <c r="AD390" i="18" s="1"/>
  <c r="AD391" i="18" s="1"/>
  <c r="AD392" i="18" s="1"/>
  <c r="AD393" i="18" s="1"/>
  <c r="AD394" i="18" s="1"/>
  <c r="AD395" i="18" s="1"/>
  <c r="AD396" i="18" s="1"/>
  <c r="AD397" i="18" s="1"/>
  <c r="AD398" i="18" s="1"/>
  <c r="AD399" i="18" s="1"/>
  <c r="AD400" i="18" s="1"/>
  <c r="AD401" i="18" s="1"/>
  <c r="AD402" i="18" s="1"/>
  <c r="AD403" i="18" s="1"/>
  <c r="AD404" i="18" s="1"/>
  <c r="AD405" i="18" s="1"/>
  <c r="AD406" i="18" s="1"/>
  <c r="AD407" i="18" s="1"/>
  <c r="AD408" i="18" s="1"/>
  <c r="AD409" i="18" s="1"/>
  <c r="AD410" i="18" s="1"/>
  <c r="AD411" i="18" s="1"/>
  <c r="AD412" i="18" s="1"/>
  <c r="AD413" i="18" s="1"/>
  <c r="AD414" i="18" s="1"/>
  <c r="AD415" i="18" s="1"/>
  <c r="AD416" i="18" s="1"/>
  <c r="AD417" i="18" s="1"/>
  <c r="AD418" i="18" s="1"/>
  <c r="AD419" i="18" s="1"/>
  <c r="AD420" i="18" s="1"/>
  <c r="AD421" i="18" s="1"/>
  <c r="AD422" i="18" s="1"/>
  <c r="AD423" i="18" s="1"/>
  <c r="AD424" i="18" s="1"/>
  <c r="AD425" i="18" s="1"/>
  <c r="AD426" i="18" s="1"/>
  <c r="AD427" i="18" s="1"/>
  <c r="AD428" i="18" s="1"/>
  <c r="AD429" i="18" s="1"/>
  <c r="AD430" i="18" s="1"/>
  <c r="AD431" i="18" s="1"/>
  <c r="AD432" i="18" s="1"/>
  <c r="AD433" i="18" s="1"/>
  <c r="AD434" i="18" s="1"/>
  <c r="AD435" i="18" s="1"/>
  <c r="AD436" i="18" s="1"/>
  <c r="AD437" i="18" s="1"/>
  <c r="AD438" i="18" s="1"/>
  <c r="AD439" i="18" s="1"/>
  <c r="AD440" i="18" s="1"/>
  <c r="AD441" i="18" s="1"/>
  <c r="AD442" i="18" s="1"/>
  <c r="AD443" i="18" s="1"/>
  <c r="AD444" i="18" s="1"/>
  <c r="AD445" i="18" s="1"/>
  <c r="AD446" i="18" s="1"/>
  <c r="AD447" i="18" s="1"/>
  <c r="AD448" i="18" s="1"/>
  <c r="AD449" i="18" s="1"/>
  <c r="AD450" i="18" s="1"/>
  <c r="AD451" i="18" s="1"/>
  <c r="AD452" i="18" s="1"/>
  <c r="AD453" i="18" s="1"/>
  <c r="AD454" i="18" s="1"/>
  <c r="AD455" i="18" s="1"/>
  <c r="AD456" i="18" s="1"/>
  <c r="AD457" i="18" s="1"/>
  <c r="AD458" i="18" s="1"/>
  <c r="AD459" i="18" s="1"/>
  <c r="AD460" i="18" s="1"/>
  <c r="AD461" i="18" s="1"/>
  <c r="AD462" i="18" s="1"/>
  <c r="AD463" i="18" s="1"/>
  <c r="AD464" i="18" s="1"/>
  <c r="AD465" i="18" s="1"/>
  <c r="AD466" i="18" s="1"/>
  <c r="AD467" i="18" s="1"/>
  <c r="AD468" i="18" s="1"/>
  <c r="AD469" i="18" s="1"/>
  <c r="AD470" i="18" s="1"/>
  <c r="AD471" i="18" s="1"/>
  <c r="AD472" i="18" s="1"/>
  <c r="AD473" i="18" s="1"/>
  <c r="AD474" i="18" s="1"/>
  <c r="AD475" i="18" s="1"/>
  <c r="AD476" i="18" s="1"/>
  <c r="AD477" i="18" s="1"/>
  <c r="AD478" i="18" s="1"/>
  <c r="AD479" i="18" s="1"/>
  <c r="AD480" i="18" s="1"/>
  <c r="AD481" i="18" s="1"/>
  <c r="AD482" i="18" s="1"/>
  <c r="AD483" i="18" s="1"/>
  <c r="AD484" i="18" s="1"/>
  <c r="AD485" i="18" s="1"/>
  <c r="AD486" i="18" s="1"/>
  <c r="AD487" i="18" s="1"/>
  <c r="AD488" i="18" s="1"/>
  <c r="AD489" i="18" s="1"/>
  <c r="AD490" i="18" s="1"/>
  <c r="AD491" i="18" s="1"/>
  <c r="AD492" i="18" s="1"/>
  <c r="AD493" i="18" s="1"/>
  <c r="AD494" i="18" s="1"/>
  <c r="AD495" i="18" s="1"/>
  <c r="AD496" i="18" s="1"/>
  <c r="AD497" i="18" s="1"/>
  <c r="AD498" i="18" s="1"/>
  <c r="AD499" i="18" s="1"/>
  <c r="AD500" i="18" s="1"/>
  <c r="AD501" i="18" s="1"/>
  <c r="AD502" i="18" s="1"/>
  <c r="AD503" i="18" s="1"/>
  <c r="AD504" i="18" s="1"/>
  <c r="AD505" i="18" s="1"/>
  <c r="AD506" i="18" s="1"/>
  <c r="AD507" i="18" s="1"/>
  <c r="AD508" i="18" s="1"/>
  <c r="AD509" i="18" s="1"/>
  <c r="AD510" i="18" s="1"/>
  <c r="AD511" i="18" s="1"/>
  <c r="AD512" i="18" s="1"/>
  <c r="AD513" i="18" s="1"/>
  <c r="AD514" i="18" s="1"/>
  <c r="AD515" i="18" s="1"/>
  <c r="AD516" i="18" s="1"/>
  <c r="AD517" i="18" s="1"/>
  <c r="AD518" i="18" s="1"/>
  <c r="AD519" i="18" s="1"/>
  <c r="AD520" i="18" s="1"/>
  <c r="AD521" i="18" s="1"/>
  <c r="AD522" i="18" s="1"/>
  <c r="AD523" i="18" s="1"/>
  <c r="AD524" i="18" s="1"/>
  <c r="AD525" i="18" s="1"/>
  <c r="AD526" i="18" s="1"/>
  <c r="AD527" i="18" s="1"/>
  <c r="AD528" i="18" s="1"/>
  <c r="AD529" i="18" s="1"/>
  <c r="AD530" i="18" s="1"/>
  <c r="AD531" i="18" s="1"/>
  <c r="AD532" i="18" s="1"/>
  <c r="AD533" i="18" s="1"/>
  <c r="AD534" i="18" s="1"/>
  <c r="AD535" i="18" s="1"/>
  <c r="AD536" i="18" s="1"/>
  <c r="AD537" i="18" s="1"/>
  <c r="AD538" i="18" s="1"/>
  <c r="AD539" i="18" s="1"/>
  <c r="AD540" i="18" s="1"/>
  <c r="AD541" i="18" s="1"/>
  <c r="AD542" i="18" s="1"/>
  <c r="AD543" i="18" s="1"/>
  <c r="AD544" i="18" s="1"/>
  <c r="AD545" i="18" s="1"/>
  <c r="AD546" i="18" s="1"/>
  <c r="AD547" i="18" s="1"/>
  <c r="AD548" i="18" s="1"/>
  <c r="AD549" i="18" s="1"/>
  <c r="AD550" i="18" s="1"/>
  <c r="AD551" i="18" s="1"/>
  <c r="AD552" i="18" s="1"/>
  <c r="AD553" i="18" s="1"/>
  <c r="AD554" i="18" s="1"/>
  <c r="AD555" i="18" s="1"/>
  <c r="AD556" i="18" s="1"/>
  <c r="AD557" i="18" s="1"/>
  <c r="AD558" i="18" s="1"/>
  <c r="AD559" i="18" s="1"/>
  <c r="AD560" i="18" s="1"/>
  <c r="AD561" i="18" s="1"/>
  <c r="AD562" i="18" s="1"/>
  <c r="AD563" i="18" s="1"/>
  <c r="AD564" i="18" s="1"/>
  <c r="AD565" i="18" s="1"/>
  <c r="AD566" i="18" s="1"/>
  <c r="AD567" i="18" s="1"/>
  <c r="AD568" i="18" s="1"/>
  <c r="AD569" i="18" s="1"/>
  <c r="AD570" i="18" s="1"/>
  <c r="AD571" i="18" s="1"/>
  <c r="AD572" i="18" s="1"/>
  <c r="AD573" i="18" s="1"/>
  <c r="AD574" i="18" s="1"/>
  <c r="AD575" i="18" s="1"/>
  <c r="AD576" i="18" s="1"/>
  <c r="AD577" i="18" s="1"/>
  <c r="AD578" i="18" s="1"/>
  <c r="AD579" i="18" s="1"/>
  <c r="AD580" i="18" s="1"/>
  <c r="AD581" i="18" s="1"/>
  <c r="AD582" i="18" s="1"/>
  <c r="AD583" i="18" s="1"/>
  <c r="AD584" i="18" s="1"/>
  <c r="AD585" i="18" s="1"/>
  <c r="AD586" i="18" s="1"/>
  <c r="AD587" i="18" s="1"/>
  <c r="AD588" i="18" s="1"/>
  <c r="AD589" i="18" s="1"/>
  <c r="AD590" i="18" s="1"/>
  <c r="AD591" i="18" s="1"/>
  <c r="AD592" i="18" s="1"/>
  <c r="AD593" i="18" s="1"/>
  <c r="AD594" i="18" s="1"/>
  <c r="AD595" i="18" s="1"/>
  <c r="AD596" i="18" s="1"/>
  <c r="AD597" i="18" s="1"/>
  <c r="AD598" i="18" s="1"/>
  <c r="AD599" i="18" s="1"/>
  <c r="AD600" i="18" s="1"/>
  <c r="AD601" i="18" s="1"/>
  <c r="AD602" i="18" s="1"/>
  <c r="AD603" i="18" s="1"/>
  <c r="AD604" i="18" s="1"/>
  <c r="AD605" i="18" s="1"/>
  <c r="AD606" i="18" s="1"/>
  <c r="AD607" i="18" s="1"/>
  <c r="AD608" i="18" s="1"/>
  <c r="AD609" i="18" s="1"/>
  <c r="AD610" i="18" s="1"/>
  <c r="AD611" i="18" s="1"/>
  <c r="AD612" i="18" s="1"/>
  <c r="AD613" i="18" s="1"/>
  <c r="AD614" i="18" s="1"/>
  <c r="AD615" i="18" s="1"/>
  <c r="AD616" i="18" s="1"/>
  <c r="AD617" i="18" s="1"/>
  <c r="AD618" i="18" s="1"/>
  <c r="AD619" i="18" s="1"/>
  <c r="AD620" i="18" s="1"/>
  <c r="AD621" i="18" s="1"/>
  <c r="AD622" i="18" s="1"/>
  <c r="AD623" i="18" s="1"/>
  <c r="AD624" i="18" s="1"/>
  <c r="AD625" i="18" s="1"/>
  <c r="AD626" i="18" s="1"/>
  <c r="AD627" i="18" s="1"/>
  <c r="AD628" i="18" s="1"/>
  <c r="AD629" i="18" s="1"/>
  <c r="AD630" i="18" s="1"/>
  <c r="AD631" i="18" s="1"/>
  <c r="AD632" i="18" s="1"/>
  <c r="AD633" i="18" s="1"/>
  <c r="AD634" i="18" s="1"/>
  <c r="AD635" i="18" s="1"/>
  <c r="AD636" i="18" s="1"/>
  <c r="AD637" i="18" s="1"/>
  <c r="AD638" i="18" s="1"/>
  <c r="AD639" i="18" s="1"/>
  <c r="AD640" i="18" s="1"/>
  <c r="AD641" i="18" s="1"/>
  <c r="AD642" i="18" s="1"/>
  <c r="AD643" i="18" s="1"/>
  <c r="AD644" i="18" s="1"/>
  <c r="AD645" i="18" s="1"/>
  <c r="AD646" i="18" s="1"/>
  <c r="AD647" i="18" s="1"/>
  <c r="AD648" i="18" s="1"/>
  <c r="AD649" i="18" s="1"/>
  <c r="AD650" i="18" s="1"/>
  <c r="AD651" i="18" s="1"/>
  <c r="AD652" i="18" s="1"/>
  <c r="AD653" i="18" s="1"/>
  <c r="AD654" i="18" s="1"/>
  <c r="AD655" i="18" s="1"/>
  <c r="AD656" i="18" s="1"/>
  <c r="AD657" i="18" s="1"/>
  <c r="AD658" i="18" s="1"/>
  <c r="AD659" i="18" s="1"/>
  <c r="AD660" i="18" s="1"/>
  <c r="AD661" i="18" s="1"/>
  <c r="AD662" i="18" s="1"/>
  <c r="AD663" i="18" s="1"/>
  <c r="AD664" i="18" s="1"/>
  <c r="AD665" i="18" s="1"/>
  <c r="AD666" i="18" s="1"/>
  <c r="AD667" i="18" s="1"/>
  <c r="AD668" i="18" s="1"/>
  <c r="AD669" i="18" s="1"/>
  <c r="AD670" i="18" s="1"/>
  <c r="AD671" i="18" s="1"/>
  <c r="AD672" i="18" s="1"/>
  <c r="AD673" i="18" s="1"/>
  <c r="AD674" i="18" s="1"/>
  <c r="AD675" i="18" s="1"/>
  <c r="AD676" i="18" s="1"/>
  <c r="AD677" i="18" s="1"/>
  <c r="AD678" i="18" s="1"/>
  <c r="AD679" i="18" s="1"/>
  <c r="AD680" i="18" s="1"/>
  <c r="AD681" i="18" s="1"/>
  <c r="AD682" i="18" s="1"/>
  <c r="AD683" i="18" s="1"/>
  <c r="AD684" i="18" s="1"/>
  <c r="AD685" i="18" s="1"/>
  <c r="AD686" i="18" s="1"/>
  <c r="AD687" i="18" s="1"/>
  <c r="AD688" i="18" s="1"/>
  <c r="AD689" i="18" s="1"/>
  <c r="AD690" i="18" s="1"/>
  <c r="AD691" i="18" s="1"/>
  <c r="AD692" i="18" s="1"/>
  <c r="AD693" i="18" s="1"/>
  <c r="AD694" i="18" s="1"/>
  <c r="AD695" i="18" s="1"/>
  <c r="AD696" i="18" s="1"/>
  <c r="AD697" i="18" s="1"/>
  <c r="AD698" i="18" s="1"/>
  <c r="AD699" i="18" s="1"/>
  <c r="AD700" i="18" s="1"/>
  <c r="AD701" i="18" s="1"/>
  <c r="AD702" i="18" s="1"/>
  <c r="AD703" i="18" s="1"/>
  <c r="AD704" i="18" s="1"/>
  <c r="AD705" i="18" s="1"/>
  <c r="AD706" i="18" s="1"/>
  <c r="AD707" i="18" s="1"/>
  <c r="AD708" i="18" s="1"/>
  <c r="AD709" i="18" s="1"/>
  <c r="AD710" i="18" s="1"/>
  <c r="AD711" i="18" s="1"/>
  <c r="AD712" i="18" s="1"/>
  <c r="AD713" i="18" s="1"/>
  <c r="AD714" i="18" s="1"/>
  <c r="AD715" i="18" s="1"/>
  <c r="AD716" i="18" s="1"/>
  <c r="AD717" i="18" s="1"/>
  <c r="AD718" i="18" s="1"/>
  <c r="AD719" i="18" s="1"/>
  <c r="AD720" i="18" s="1"/>
  <c r="AD721" i="18" s="1"/>
  <c r="AD722" i="18" s="1"/>
  <c r="AD723" i="18" s="1"/>
  <c r="AD724" i="18" s="1"/>
  <c r="AD725" i="18" s="1"/>
  <c r="AD726" i="18" s="1"/>
  <c r="AD727" i="18" s="1"/>
  <c r="AD728" i="18" s="1"/>
  <c r="AD729" i="18" s="1"/>
  <c r="AD730" i="18" s="1"/>
  <c r="AD731" i="18" s="1"/>
  <c r="AD732" i="18" s="1"/>
  <c r="AD733" i="18" s="1"/>
  <c r="AD734" i="18" s="1"/>
  <c r="AD735" i="18" s="1"/>
  <c r="AD736" i="18" s="1"/>
  <c r="AD737" i="18" s="1"/>
  <c r="AD738" i="18" s="1"/>
  <c r="AD739" i="18" s="1"/>
  <c r="AD740" i="18" s="1"/>
  <c r="AD741" i="18" s="1"/>
  <c r="AD742" i="18" s="1"/>
  <c r="AD743" i="18" s="1"/>
  <c r="AD744" i="18" s="1"/>
  <c r="AD745" i="18" s="1"/>
  <c r="AD746" i="18" s="1"/>
  <c r="AD747" i="18" s="1"/>
  <c r="AD748" i="18" s="1"/>
  <c r="AD749" i="18" s="1"/>
  <c r="AD750" i="18" s="1"/>
  <c r="AD751" i="18" s="1"/>
  <c r="AD752" i="18" s="1"/>
  <c r="AD753" i="18" s="1"/>
  <c r="AD754" i="18" s="1"/>
  <c r="AD755" i="18" s="1"/>
  <c r="AD756" i="18" s="1"/>
  <c r="AD757" i="18" s="1"/>
  <c r="AD758" i="18" s="1"/>
  <c r="AD759" i="18" s="1"/>
  <c r="AD760" i="18" s="1"/>
  <c r="AD761" i="18" s="1"/>
  <c r="AD762" i="18" s="1"/>
  <c r="AD763" i="18" s="1"/>
  <c r="AD764" i="18" s="1"/>
  <c r="AD765" i="18" s="1"/>
  <c r="AD766" i="18" s="1"/>
  <c r="AD767" i="18" s="1"/>
  <c r="AD768" i="18" s="1"/>
  <c r="AD769" i="18" s="1"/>
  <c r="AD770" i="18" s="1"/>
  <c r="AD771" i="18" s="1"/>
  <c r="AD772" i="18" s="1"/>
  <c r="AD773" i="18" s="1"/>
  <c r="AD774" i="18" s="1"/>
  <c r="AD775" i="18" s="1"/>
  <c r="AD776" i="18" s="1"/>
  <c r="AD777" i="18" s="1"/>
  <c r="AD778" i="18" s="1"/>
  <c r="AD779" i="18" s="1"/>
  <c r="AD780" i="18" s="1"/>
  <c r="AD781" i="18" s="1"/>
  <c r="AD782" i="18" s="1"/>
  <c r="AD783" i="18" s="1"/>
  <c r="AD784" i="18" s="1"/>
  <c r="AD785" i="18" s="1"/>
  <c r="AD786" i="18" s="1"/>
  <c r="AD787" i="18" s="1"/>
  <c r="AD788" i="18" s="1"/>
  <c r="AD789" i="18" s="1"/>
  <c r="AD790" i="18" s="1"/>
  <c r="AD791" i="18" s="1"/>
  <c r="AD792" i="18" s="1"/>
  <c r="AD793" i="18" s="1"/>
  <c r="AD794" i="18" s="1"/>
  <c r="AD795" i="18" s="1"/>
  <c r="AD796" i="18" s="1"/>
  <c r="AD797" i="18" s="1"/>
  <c r="AD798" i="18" s="1"/>
  <c r="AD799" i="18" s="1"/>
  <c r="AD800" i="18" s="1"/>
  <c r="AD801" i="18" s="1"/>
  <c r="AD802" i="18" s="1"/>
  <c r="AD803" i="18" s="1"/>
  <c r="AD804" i="18" s="1"/>
  <c r="AD805" i="18" s="1"/>
  <c r="AD806" i="18" s="1"/>
  <c r="AD807" i="18" s="1"/>
  <c r="AD808" i="18" s="1"/>
  <c r="AD809" i="18" s="1"/>
  <c r="AD810" i="18" s="1"/>
  <c r="AD811" i="18" s="1"/>
  <c r="AD812" i="18" s="1"/>
  <c r="AD813" i="18" s="1"/>
  <c r="AD814" i="18" s="1"/>
  <c r="AD815" i="18" s="1"/>
  <c r="AD816" i="18" s="1"/>
  <c r="AD817" i="18" s="1"/>
  <c r="AD818" i="18" s="1"/>
  <c r="AD819" i="18" s="1"/>
  <c r="AD820" i="18" s="1"/>
  <c r="AD821" i="18" s="1"/>
  <c r="AD822" i="18" s="1"/>
  <c r="AD823" i="18" s="1"/>
  <c r="AD824" i="18" s="1"/>
  <c r="AD825" i="18" s="1"/>
  <c r="AD826" i="18" s="1"/>
  <c r="AD827" i="18" s="1"/>
  <c r="AD828" i="18" s="1"/>
  <c r="AD829" i="18" s="1"/>
  <c r="AD830" i="18" s="1"/>
  <c r="AD831" i="18" s="1"/>
  <c r="AD832" i="18" s="1"/>
  <c r="AD833" i="18" s="1"/>
  <c r="AD834" i="18" s="1"/>
  <c r="AD835" i="18" s="1"/>
  <c r="AD836" i="18" s="1"/>
  <c r="AD837" i="18" s="1"/>
  <c r="AD838" i="18" s="1"/>
  <c r="AD839" i="18" s="1"/>
  <c r="AD840" i="18" s="1"/>
  <c r="AD841" i="18" s="1"/>
  <c r="AD842" i="18" s="1"/>
  <c r="AD843" i="18" s="1"/>
  <c r="AD844" i="18" s="1"/>
  <c r="AD845" i="18" s="1"/>
  <c r="AD846" i="18" s="1"/>
  <c r="AD847" i="18" s="1"/>
  <c r="AD848" i="18" s="1"/>
  <c r="AD849" i="18" s="1"/>
  <c r="AD850" i="18" s="1"/>
  <c r="AD851" i="18" s="1"/>
  <c r="AD852" i="18" s="1"/>
  <c r="AD853" i="18" s="1"/>
  <c r="AD854" i="18" s="1"/>
  <c r="AD855" i="18" s="1"/>
  <c r="AD856" i="18" s="1"/>
  <c r="AD857" i="18" s="1"/>
  <c r="AD858" i="18" s="1"/>
  <c r="AD859" i="18" s="1"/>
  <c r="AD860" i="18" s="1"/>
  <c r="AD861" i="18" s="1"/>
  <c r="AD862" i="18" s="1"/>
  <c r="AD863" i="18" s="1"/>
  <c r="AD864" i="18" s="1"/>
  <c r="AD865" i="18" s="1"/>
  <c r="AD866" i="18" s="1"/>
  <c r="AD867" i="18" s="1"/>
  <c r="AD868" i="18" s="1"/>
  <c r="AD869" i="18" s="1"/>
  <c r="AD870" i="18" s="1"/>
  <c r="AD871" i="18" s="1"/>
  <c r="AD872" i="18" s="1"/>
  <c r="AD873" i="18" s="1"/>
  <c r="AD874" i="18" s="1"/>
  <c r="AD875" i="18" s="1"/>
  <c r="AD876" i="18" s="1"/>
  <c r="AD877" i="18" s="1"/>
  <c r="AD878" i="18" s="1"/>
  <c r="AD879" i="18" s="1"/>
  <c r="AD880" i="18" s="1"/>
  <c r="AD881" i="18" s="1"/>
  <c r="AD882" i="18" s="1"/>
  <c r="AD883" i="18" s="1"/>
  <c r="AD884" i="18" s="1"/>
  <c r="AD885" i="18" s="1"/>
  <c r="AD886" i="18" s="1"/>
  <c r="AD887" i="18" s="1"/>
  <c r="AD888" i="18" s="1"/>
  <c r="AD889" i="18" s="1"/>
  <c r="AD890" i="18" s="1"/>
  <c r="AD891" i="18" s="1"/>
  <c r="AD892" i="18" s="1"/>
  <c r="AD893" i="18" s="1"/>
  <c r="AD894" i="18" s="1"/>
  <c r="AD895" i="18" s="1"/>
  <c r="AD896" i="18" s="1"/>
  <c r="AD897" i="18" s="1"/>
  <c r="AD898" i="18" s="1"/>
  <c r="AD899" i="18" s="1"/>
  <c r="AD900" i="18" s="1"/>
  <c r="AD901" i="18" s="1"/>
  <c r="AD902" i="18" s="1"/>
  <c r="AD903" i="18" s="1"/>
  <c r="AD904" i="18" s="1"/>
  <c r="AD905" i="18" s="1"/>
  <c r="AD906" i="18" s="1"/>
  <c r="AD907" i="18" s="1"/>
  <c r="AD908" i="18" s="1"/>
  <c r="AD909" i="18" s="1"/>
  <c r="AD910" i="18" s="1"/>
  <c r="AD911" i="18" s="1"/>
  <c r="AD912" i="18" s="1"/>
  <c r="AD913" i="18" s="1"/>
  <c r="AD914" i="18" s="1"/>
  <c r="AD915" i="18" s="1"/>
  <c r="AD916" i="18" s="1"/>
  <c r="AD917" i="18" s="1"/>
  <c r="AD918" i="18" s="1"/>
  <c r="AD919" i="18" s="1"/>
  <c r="AD920" i="18" s="1"/>
  <c r="AD921" i="18" s="1"/>
  <c r="AD922" i="18" s="1"/>
  <c r="AD923" i="18" s="1"/>
  <c r="AD924" i="18" s="1"/>
  <c r="AD925" i="18" s="1"/>
  <c r="AD926" i="18" s="1"/>
  <c r="AD927" i="18" s="1"/>
  <c r="AD928" i="18" s="1"/>
  <c r="AD929" i="18" s="1"/>
  <c r="AD930" i="18" s="1"/>
  <c r="AD931" i="18" s="1"/>
  <c r="AD932" i="18" s="1"/>
  <c r="AD933" i="18" s="1"/>
  <c r="AD934" i="18" s="1"/>
  <c r="AD935" i="18" s="1"/>
  <c r="AD936" i="18" s="1"/>
  <c r="AD937" i="18" s="1"/>
  <c r="AD938" i="18" s="1"/>
  <c r="AD939" i="18" s="1"/>
  <c r="AD940" i="18" s="1"/>
  <c r="AD941" i="18" s="1"/>
  <c r="AD942" i="18" s="1"/>
  <c r="AD943" i="18" s="1"/>
  <c r="AD944" i="18" s="1"/>
  <c r="AD945" i="18" s="1"/>
  <c r="AD946" i="18" s="1"/>
  <c r="AD947" i="18" s="1"/>
  <c r="AD948" i="18" s="1"/>
  <c r="AD949" i="18" s="1"/>
  <c r="AD950" i="18" s="1"/>
  <c r="AD951" i="18" s="1"/>
  <c r="AD952" i="18" s="1"/>
  <c r="AD953" i="18" s="1"/>
  <c r="AD954" i="18" s="1"/>
  <c r="AD955" i="18" s="1"/>
  <c r="AD956" i="18" s="1"/>
  <c r="AD957" i="18" s="1"/>
  <c r="AD958" i="18" s="1"/>
  <c r="AD959" i="18" s="1"/>
  <c r="AD960" i="18" s="1"/>
  <c r="AD961" i="18" s="1"/>
  <c r="AD962" i="18" s="1"/>
  <c r="AD963" i="18" s="1"/>
  <c r="AD964" i="18" s="1"/>
  <c r="AD965" i="18" s="1"/>
  <c r="AD966" i="18" s="1"/>
  <c r="AD967" i="18" s="1"/>
  <c r="AD968" i="18" s="1"/>
  <c r="AD969" i="18" s="1"/>
  <c r="AD970" i="18" s="1"/>
  <c r="AD971" i="18" s="1"/>
  <c r="AD972" i="18" s="1"/>
  <c r="AD973" i="18" s="1"/>
  <c r="AD974" i="18" s="1"/>
  <c r="AD975" i="18" s="1"/>
  <c r="AD976" i="18" s="1"/>
  <c r="AD977" i="18" s="1"/>
  <c r="AD978" i="18" s="1"/>
  <c r="AD979" i="18" s="1"/>
  <c r="AD980" i="18" s="1"/>
  <c r="AD981" i="18" s="1"/>
  <c r="AD982" i="18" s="1"/>
  <c r="AD983" i="18" s="1"/>
  <c r="AD984" i="18" s="1"/>
  <c r="AD985" i="18" s="1"/>
  <c r="AD986" i="18" s="1"/>
  <c r="AD987" i="18" s="1"/>
  <c r="AD988" i="18" s="1"/>
  <c r="AD989" i="18" s="1"/>
  <c r="AD990" i="18" s="1"/>
  <c r="AD991" i="18" s="1"/>
  <c r="AD992" i="18" s="1"/>
  <c r="AD993" i="18" s="1"/>
  <c r="AD994" i="18" s="1"/>
  <c r="AD995" i="18" s="1"/>
  <c r="AD996" i="18" s="1"/>
  <c r="AD997" i="18" s="1"/>
  <c r="AD998" i="18" s="1"/>
  <c r="AD999" i="18" s="1"/>
  <c r="AD1000" i="18" s="1"/>
  <c r="AD1001" i="18" s="1"/>
  <c r="AD1002" i="18" s="1"/>
  <c r="AD1003" i="18" s="1"/>
  <c r="AD1004" i="18" s="1"/>
  <c r="AD1005" i="18" s="1"/>
  <c r="AD1006" i="18" s="1"/>
  <c r="AD1007" i="18" s="1"/>
  <c r="AD1008" i="18" s="1"/>
  <c r="AD1009" i="18" s="1"/>
  <c r="AD1010" i="18" s="1"/>
  <c r="AD1011" i="18" s="1"/>
  <c r="AD1012" i="18" s="1"/>
  <c r="AD1013" i="18" s="1"/>
  <c r="AD1014" i="18" s="1"/>
  <c r="AD1015" i="18" s="1"/>
  <c r="AD1016" i="18" s="1"/>
  <c r="AD1017" i="18" s="1"/>
  <c r="AD1018" i="18" s="1"/>
  <c r="AD1019" i="18" s="1"/>
  <c r="AD1020" i="18" s="1"/>
  <c r="AD1021" i="18" s="1"/>
  <c r="AD1022" i="18" s="1"/>
  <c r="AD1023" i="18" s="1"/>
  <c r="AD1024" i="18" s="1"/>
  <c r="AD1025" i="18" s="1"/>
  <c r="AD1026" i="18" s="1"/>
  <c r="AD1027" i="18" s="1"/>
  <c r="AD1028" i="18" s="1"/>
  <c r="AD1029" i="18" s="1"/>
  <c r="AD1030" i="18" s="1"/>
  <c r="AD1031" i="18" s="1"/>
  <c r="AD1032" i="18" s="1"/>
  <c r="AD1033" i="18" s="1"/>
  <c r="AD1034" i="18" s="1"/>
  <c r="AD1035" i="18" s="1"/>
  <c r="AD1036" i="18" s="1"/>
  <c r="AD1037" i="18" s="1"/>
  <c r="AD1038" i="18" s="1"/>
  <c r="AD1039" i="18" s="1"/>
  <c r="AD1040" i="18" s="1"/>
  <c r="AD1041" i="18" s="1"/>
  <c r="AD1042" i="18" s="1"/>
  <c r="AD1043" i="18" s="1"/>
  <c r="AD1044" i="18" s="1"/>
  <c r="AD1045" i="18" s="1"/>
  <c r="AC3" i="18"/>
  <c r="AC4" i="18" s="1"/>
  <c r="AC5" i="18" s="1"/>
  <c r="AC6" i="18" s="1"/>
  <c r="AC7" i="18" s="1"/>
  <c r="AC8" i="18" s="1"/>
  <c r="AC9" i="18" s="1"/>
  <c r="AC10" i="18" s="1"/>
  <c r="AC11" i="18" s="1"/>
  <c r="AC12" i="18" s="1"/>
  <c r="AC13" i="18" s="1"/>
  <c r="AC14" i="18" s="1"/>
  <c r="AC15" i="18" s="1"/>
  <c r="AC16" i="18" s="1"/>
  <c r="AC17" i="18" s="1"/>
  <c r="AC18" i="18" s="1"/>
  <c r="AC19" i="18" s="1"/>
  <c r="AC20" i="18" s="1"/>
  <c r="AC21" i="18" s="1"/>
  <c r="AC22" i="18" s="1"/>
  <c r="AC23" i="18" s="1"/>
  <c r="AC24" i="18" s="1"/>
  <c r="AC25" i="18" s="1"/>
  <c r="AC26" i="18" s="1"/>
  <c r="AC27" i="18" s="1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47" i="18" s="1"/>
  <c r="AC48" i="18" s="1"/>
  <c r="AC49" i="18" s="1"/>
  <c r="AC50" i="18" s="1"/>
  <c r="AC51" i="18" s="1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71" i="18" s="1"/>
  <c r="AC72" i="18" s="1"/>
  <c r="AC73" i="18" s="1"/>
  <c r="AC74" i="18" s="1"/>
  <c r="AC75" i="18" s="1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95" i="18" s="1"/>
  <c r="AC96" i="18" s="1"/>
  <c r="AC97" i="18" s="1"/>
  <c r="AC98" i="18" s="1"/>
  <c r="AC99" i="18" s="1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AC119" i="18" s="1"/>
  <c r="AC120" i="18" s="1"/>
  <c r="AC121" i="18" s="1"/>
  <c r="AC122" i="18" s="1"/>
  <c r="AC123" i="18" s="1"/>
  <c r="AC124" i="18" s="1"/>
  <c r="AC125" i="18" s="1"/>
  <c r="AC126" i="18" s="1"/>
  <c r="AC127" i="18" s="1"/>
  <c r="AC128" i="18" s="1"/>
  <c r="AC129" i="18" s="1"/>
  <c r="AC130" i="18" s="1"/>
  <c r="AC131" i="18" s="1"/>
  <c r="AC132" i="18" s="1"/>
  <c r="AC133" i="18" s="1"/>
  <c r="AC134" i="18" s="1"/>
  <c r="AC135" i="18" s="1"/>
  <c r="AC136" i="18" s="1"/>
  <c r="AC137" i="18" s="1"/>
  <c r="AC138" i="18" s="1"/>
  <c r="AC139" i="18" s="1"/>
  <c r="AC140" i="18" s="1"/>
  <c r="AC141" i="18" s="1"/>
  <c r="AC142" i="18" s="1"/>
  <c r="AC143" i="18" s="1"/>
  <c r="AC144" i="18" s="1"/>
  <c r="AC145" i="18" s="1"/>
  <c r="AC146" i="18" s="1"/>
  <c r="AC147" i="18" s="1"/>
  <c r="AC148" i="18" s="1"/>
  <c r="AC149" i="18" s="1"/>
  <c r="AC150" i="18" s="1"/>
  <c r="AC151" i="18" s="1"/>
  <c r="AC152" i="18" s="1"/>
  <c r="AC153" i="18" s="1"/>
  <c r="AC154" i="18" s="1"/>
  <c r="AC155" i="18" s="1"/>
  <c r="AC156" i="18" s="1"/>
  <c r="AC157" i="18" s="1"/>
  <c r="AC158" i="18" s="1"/>
  <c r="AC159" i="18" s="1"/>
  <c r="AC160" i="18" s="1"/>
  <c r="AC161" i="18" s="1"/>
  <c r="AC162" i="18" s="1"/>
  <c r="AC163" i="18" s="1"/>
  <c r="AC164" i="18" s="1"/>
  <c r="AC165" i="18" s="1"/>
  <c r="AC166" i="18" s="1"/>
  <c r="AC167" i="18" s="1"/>
  <c r="AC168" i="18" s="1"/>
  <c r="AC169" i="18" s="1"/>
  <c r="AC170" i="18" s="1"/>
  <c r="AC171" i="18" s="1"/>
  <c r="AC172" i="18" s="1"/>
  <c r="AC173" i="18" s="1"/>
  <c r="AC174" i="18" s="1"/>
  <c r="AC175" i="18" s="1"/>
  <c r="AC176" i="18" s="1"/>
  <c r="AC177" i="18" s="1"/>
  <c r="AC178" i="18" s="1"/>
  <c r="AC179" i="18" s="1"/>
  <c r="AC180" i="18" s="1"/>
  <c r="AC181" i="18" s="1"/>
  <c r="AC182" i="18" s="1"/>
  <c r="AC183" i="18" s="1"/>
  <c r="AC184" i="18" s="1"/>
  <c r="AC185" i="18" s="1"/>
  <c r="AC186" i="18" s="1"/>
  <c r="AC187" i="18" s="1"/>
  <c r="AC188" i="18" s="1"/>
  <c r="AC189" i="18" s="1"/>
  <c r="AC190" i="18" s="1"/>
  <c r="AC191" i="18" s="1"/>
  <c r="AC192" i="18" s="1"/>
  <c r="AC193" i="18" s="1"/>
  <c r="AC194" i="18" s="1"/>
  <c r="AC195" i="18" s="1"/>
  <c r="AC196" i="18" s="1"/>
  <c r="AC197" i="18" s="1"/>
  <c r="AC198" i="18" s="1"/>
  <c r="AC199" i="18" s="1"/>
  <c r="AC200" i="18" s="1"/>
  <c r="AC201" i="18" s="1"/>
  <c r="AC202" i="18" s="1"/>
  <c r="AC203" i="18" s="1"/>
  <c r="AC204" i="18" s="1"/>
  <c r="AC205" i="18" s="1"/>
  <c r="AC206" i="18" s="1"/>
  <c r="AC207" i="18" s="1"/>
  <c r="AC208" i="18" s="1"/>
  <c r="AC209" i="18" s="1"/>
  <c r="AC210" i="18" s="1"/>
  <c r="AC211" i="18" s="1"/>
  <c r="AC212" i="18" s="1"/>
  <c r="AC213" i="18" s="1"/>
  <c r="AC214" i="18" s="1"/>
  <c r="AC215" i="18" s="1"/>
  <c r="AC216" i="18" s="1"/>
  <c r="AC217" i="18" s="1"/>
  <c r="AC218" i="18" s="1"/>
  <c r="AC219" i="18" s="1"/>
  <c r="AC220" i="18" s="1"/>
  <c r="AC221" i="18" s="1"/>
  <c r="AC222" i="18" s="1"/>
  <c r="AC223" i="18" s="1"/>
  <c r="AC224" i="18" s="1"/>
  <c r="AC225" i="18" s="1"/>
  <c r="AC226" i="18" s="1"/>
  <c r="AC227" i="18" s="1"/>
  <c r="AC228" i="18" s="1"/>
  <c r="AC229" i="18" s="1"/>
  <c r="AC230" i="18" s="1"/>
  <c r="AC231" i="18" s="1"/>
  <c r="AC232" i="18" s="1"/>
  <c r="AC233" i="18" s="1"/>
  <c r="AC234" i="18" s="1"/>
  <c r="AC235" i="18" s="1"/>
  <c r="AC236" i="18" s="1"/>
  <c r="AC237" i="18" s="1"/>
  <c r="AC238" i="18" s="1"/>
  <c r="AC239" i="18" s="1"/>
  <c r="AC240" i="18" s="1"/>
  <c r="AC241" i="18" s="1"/>
  <c r="AC242" i="18" s="1"/>
  <c r="AC243" i="18" s="1"/>
  <c r="AC244" i="18" s="1"/>
  <c r="AC245" i="18" s="1"/>
  <c r="AC246" i="18" s="1"/>
  <c r="AC247" i="18" s="1"/>
  <c r="AC248" i="18" s="1"/>
  <c r="AC249" i="18" s="1"/>
  <c r="AC250" i="18" s="1"/>
  <c r="AC251" i="18" s="1"/>
  <c r="AC252" i="18" s="1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C267" i="18" s="1"/>
  <c r="AC268" i="18" s="1"/>
  <c r="AC269" i="18" s="1"/>
  <c r="AC270" i="18" s="1"/>
  <c r="AC271" i="18" s="1"/>
  <c r="AC272" i="18" s="1"/>
  <c r="AC273" i="18" s="1"/>
  <c r="AC274" i="18" s="1"/>
  <c r="AC275" i="18" s="1"/>
  <c r="AC276" i="18" s="1"/>
  <c r="AC277" i="18" s="1"/>
  <c r="AC278" i="18" s="1"/>
  <c r="AC279" i="18" s="1"/>
  <c r="AC280" i="18" s="1"/>
  <c r="AC281" i="18" s="1"/>
  <c r="AC282" i="18" s="1"/>
  <c r="AC283" i="18" s="1"/>
  <c r="AC284" i="18" s="1"/>
  <c r="AC285" i="18" s="1"/>
  <c r="AC286" i="18" s="1"/>
  <c r="AC287" i="18" s="1"/>
  <c r="AC288" i="18" s="1"/>
  <c r="AC289" i="18" s="1"/>
  <c r="AC290" i="18" s="1"/>
  <c r="AC291" i="18" s="1"/>
  <c r="AC292" i="18" s="1"/>
  <c r="AC293" i="18" s="1"/>
  <c r="AC294" i="18" s="1"/>
  <c r="AC295" i="18" s="1"/>
  <c r="AC296" i="18" s="1"/>
  <c r="AC297" i="18" s="1"/>
  <c r="AC298" i="18" s="1"/>
  <c r="AC299" i="18" s="1"/>
  <c r="AC300" i="18" s="1"/>
  <c r="AC301" i="18" s="1"/>
  <c r="AC302" i="18" s="1"/>
  <c r="AC303" i="18" s="1"/>
  <c r="AC304" i="18" s="1"/>
  <c r="AC305" i="18" s="1"/>
  <c r="AC306" i="18" s="1"/>
  <c r="AC307" i="18" s="1"/>
  <c r="AC308" i="18" s="1"/>
  <c r="AC309" i="18" s="1"/>
  <c r="AC310" i="18" s="1"/>
  <c r="AC311" i="18" s="1"/>
  <c r="AC312" i="18" s="1"/>
  <c r="AC313" i="18" s="1"/>
  <c r="AC314" i="18" s="1"/>
  <c r="AC315" i="18" s="1"/>
  <c r="AC316" i="18" s="1"/>
  <c r="AC317" i="18" s="1"/>
  <c r="AC318" i="18" s="1"/>
  <c r="AC319" i="18" s="1"/>
  <c r="AC320" i="18" s="1"/>
  <c r="AC321" i="18" s="1"/>
  <c r="AC322" i="18" s="1"/>
  <c r="AC323" i="18" s="1"/>
  <c r="AC324" i="18" s="1"/>
  <c r="AC325" i="18" s="1"/>
  <c r="AC326" i="18" s="1"/>
  <c r="AC327" i="18" s="1"/>
  <c r="AC328" i="18" s="1"/>
  <c r="AC329" i="18" s="1"/>
  <c r="AC330" i="18" s="1"/>
  <c r="AC331" i="18" s="1"/>
  <c r="AC332" i="18" s="1"/>
  <c r="AC333" i="18" s="1"/>
  <c r="AC334" i="18" s="1"/>
  <c r="AC335" i="18" s="1"/>
  <c r="AC336" i="18" s="1"/>
  <c r="AC337" i="18" s="1"/>
  <c r="AC338" i="18" s="1"/>
  <c r="AC339" i="18" s="1"/>
  <c r="AC340" i="18" s="1"/>
  <c r="AC341" i="18" s="1"/>
  <c r="AC342" i="18" s="1"/>
  <c r="AC343" i="18" s="1"/>
  <c r="AC344" i="18" s="1"/>
  <c r="AC345" i="18" s="1"/>
  <c r="AC346" i="18" s="1"/>
  <c r="AC347" i="18" s="1"/>
  <c r="AC348" i="18" s="1"/>
  <c r="AC349" i="18" s="1"/>
  <c r="AC350" i="18" s="1"/>
  <c r="AC351" i="18" s="1"/>
  <c r="AC352" i="18" s="1"/>
  <c r="AC353" i="18" s="1"/>
  <c r="AC354" i="18" s="1"/>
  <c r="AC355" i="18" s="1"/>
  <c r="AC356" i="18" s="1"/>
  <c r="AC357" i="18" s="1"/>
  <c r="AC358" i="18" s="1"/>
  <c r="AC359" i="18" s="1"/>
  <c r="AC360" i="18" s="1"/>
  <c r="AC361" i="18" s="1"/>
  <c r="AC362" i="18" s="1"/>
  <c r="AC363" i="18" s="1"/>
  <c r="AC364" i="18" s="1"/>
  <c r="AC365" i="18" s="1"/>
  <c r="AC366" i="18" s="1"/>
  <c r="AC367" i="18" s="1"/>
  <c r="AC368" i="18" s="1"/>
  <c r="AC369" i="18" s="1"/>
  <c r="AC370" i="18" s="1"/>
  <c r="AC371" i="18" s="1"/>
  <c r="AC372" i="18" s="1"/>
  <c r="AC373" i="18" s="1"/>
  <c r="AC374" i="18" s="1"/>
  <c r="AC375" i="18" s="1"/>
  <c r="AC376" i="18" s="1"/>
  <c r="AC377" i="18" s="1"/>
  <c r="AC378" i="18" s="1"/>
  <c r="AC379" i="18" s="1"/>
  <c r="AC380" i="18" s="1"/>
  <c r="AC381" i="18" s="1"/>
  <c r="AC382" i="18" s="1"/>
  <c r="AC383" i="18" s="1"/>
  <c r="AC384" i="18" s="1"/>
  <c r="AC385" i="18" s="1"/>
  <c r="AC386" i="18" s="1"/>
  <c r="AC387" i="18" s="1"/>
  <c r="AC388" i="18" s="1"/>
  <c r="AC389" i="18" s="1"/>
  <c r="AC390" i="18" s="1"/>
  <c r="AC391" i="18" s="1"/>
  <c r="AC392" i="18" s="1"/>
  <c r="AC393" i="18" s="1"/>
  <c r="AC394" i="18" s="1"/>
  <c r="AC395" i="18" s="1"/>
  <c r="AC396" i="18" s="1"/>
  <c r="AC397" i="18" s="1"/>
  <c r="AC398" i="18" s="1"/>
  <c r="AC399" i="18" s="1"/>
  <c r="AC400" i="18" s="1"/>
  <c r="AC401" i="18" s="1"/>
  <c r="AC402" i="18" s="1"/>
  <c r="AC403" i="18" s="1"/>
  <c r="AC404" i="18" s="1"/>
  <c r="AC405" i="18" s="1"/>
  <c r="AC406" i="18" s="1"/>
  <c r="AC407" i="18" s="1"/>
  <c r="AC408" i="18" s="1"/>
  <c r="AC409" i="18" s="1"/>
  <c r="AC410" i="18" s="1"/>
  <c r="AC411" i="18" s="1"/>
  <c r="AC412" i="18" s="1"/>
  <c r="AC413" i="18" s="1"/>
  <c r="AC414" i="18" s="1"/>
  <c r="AC415" i="18" s="1"/>
  <c r="AC416" i="18" s="1"/>
  <c r="AC417" i="18" s="1"/>
  <c r="AC418" i="18" s="1"/>
  <c r="AC419" i="18" s="1"/>
  <c r="AC420" i="18" s="1"/>
  <c r="AC421" i="18" s="1"/>
  <c r="AC422" i="18" s="1"/>
  <c r="AC423" i="18" s="1"/>
  <c r="AC424" i="18" s="1"/>
  <c r="AC425" i="18" s="1"/>
  <c r="AC426" i="18" s="1"/>
  <c r="AC427" i="18" s="1"/>
  <c r="AC428" i="18" s="1"/>
  <c r="AC429" i="18" s="1"/>
  <c r="AC430" i="18" s="1"/>
  <c r="AC431" i="18" s="1"/>
  <c r="AC432" i="18" s="1"/>
  <c r="AC433" i="18" s="1"/>
  <c r="AC434" i="18" s="1"/>
  <c r="AC435" i="18" s="1"/>
  <c r="AC436" i="18" s="1"/>
  <c r="AC437" i="18" s="1"/>
  <c r="AC438" i="18" s="1"/>
  <c r="AC439" i="18" s="1"/>
  <c r="AC440" i="18" s="1"/>
  <c r="AC441" i="18" s="1"/>
  <c r="AC442" i="18" s="1"/>
  <c r="AC443" i="18" s="1"/>
  <c r="AC444" i="18" s="1"/>
  <c r="AC445" i="18" s="1"/>
  <c r="AC446" i="18" s="1"/>
  <c r="AC447" i="18" s="1"/>
  <c r="AC448" i="18" s="1"/>
  <c r="AC449" i="18" s="1"/>
  <c r="AC450" i="18" s="1"/>
  <c r="AC451" i="18" s="1"/>
  <c r="AC452" i="18" s="1"/>
  <c r="AC453" i="18" s="1"/>
  <c r="AC454" i="18" s="1"/>
  <c r="AC455" i="18" s="1"/>
  <c r="AC456" i="18" s="1"/>
  <c r="AC457" i="18" s="1"/>
  <c r="AC458" i="18" s="1"/>
  <c r="AC459" i="18" s="1"/>
  <c r="AC460" i="18" s="1"/>
  <c r="AC461" i="18" s="1"/>
  <c r="AC462" i="18" s="1"/>
  <c r="AC463" i="18" s="1"/>
  <c r="AC464" i="18" s="1"/>
  <c r="AC465" i="18" s="1"/>
  <c r="AC466" i="18" s="1"/>
  <c r="AC467" i="18" s="1"/>
  <c r="AC468" i="18" s="1"/>
  <c r="AC469" i="18" s="1"/>
  <c r="AC470" i="18" s="1"/>
  <c r="AC471" i="18" s="1"/>
  <c r="AC472" i="18" s="1"/>
  <c r="AC473" i="18" s="1"/>
  <c r="AC474" i="18" s="1"/>
  <c r="AC475" i="18" s="1"/>
  <c r="AC476" i="18" s="1"/>
  <c r="AC477" i="18" s="1"/>
  <c r="AC478" i="18" s="1"/>
  <c r="AC479" i="18" s="1"/>
  <c r="AC480" i="18" s="1"/>
  <c r="AC481" i="18" s="1"/>
  <c r="AC482" i="18" s="1"/>
  <c r="AC483" i="18" s="1"/>
  <c r="AC484" i="18" s="1"/>
  <c r="AC485" i="18" s="1"/>
  <c r="AC486" i="18" s="1"/>
  <c r="AC487" i="18" s="1"/>
  <c r="AC488" i="18" s="1"/>
  <c r="AC489" i="18" s="1"/>
  <c r="AC490" i="18" s="1"/>
  <c r="AC491" i="18" s="1"/>
  <c r="AC492" i="18" s="1"/>
  <c r="AC493" i="18" s="1"/>
  <c r="AC494" i="18" s="1"/>
  <c r="AC495" i="18" s="1"/>
  <c r="AC496" i="18" s="1"/>
  <c r="AC497" i="18" s="1"/>
  <c r="AC498" i="18" s="1"/>
  <c r="AC499" i="18" s="1"/>
  <c r="AC500" i="18" s="1"/>
  <c r="AC501" i="18" s="1"/>
  <c r="AC502" i="18" s="1"/>
  <c r="AC503" i="18" s="1"/>
  <c r="AC504" i="18" s="1"/>
  <c r="AC505" i="18" s="1"/>
  <c r="AC506" i="18" s="1"/>
  <c r="AC507" i="18" s="1"/>
  <c r="AC508" i="18" s="1"/>
  <c r="AC509" i="18" s="1"/>
  <c r="AC510" i="18" s="1"/>
  <c r="AC511" i="18" s="1"/>
  <c r="AC512" i="18" s="1"/>
  <c r="AC513" i="18" s="1"/>
  <c r="AC514" i="18" s="1"/>
  <c r="AC515" i="18" s="1"/>
  <c r="AC516" i="18" s="1"/>
  <c r="AC517" i="18" s="1"/>
  <c r="AC518" i="18" s="1"/>
  <c r="AC519" i="18" s="1"/>
  <c r="AC520" i="18" s="1"/>
  <c r="AC521" i="18" s="1"/>
  <c r="AC522" i="18" s="1"/>
  <c r="AC523" i="18" s="1"/>
  <c r="AC524" i="18" s="1"/>
  <c r="AC525" i="18" s="1"/>
  <c r="AC526" i="18" s="1"/>
  <c r="AC527" i="18" s="1"/>
  <c r="AC528" i="18" s="1"/>
  <c r="AC529" i="18" s="1"/>
  <c r="AC530" i="18" s="1"/>
  <c r="AC531" i="18" s="1"/>
  <c r="AC532" i="18" s="1"/>
  <c r="AC533" i="18" s="1"/>
  <c r="AC534" i="18" s="1"/>
  <c r="AC535" i="18" s="1"/>
  <c r="AC536" i="18" s="1"/>
  <c r="AC537" i="18" s="1"/>
  <c r="AC538" i="18" s="1"/>
  <c r="AC539" i="18" s="1"/>
  <c r="AC540" i="18" s="1"/>
  <c r="AC541" i="18" s="1"/>
  <c r="AC542" i="18" s="1"/>
  <c r="AC543" i="18" s="1"/>
  <c r="AC544" i="18" s="1"/>
  <c r="AC545" i="18" s="1"/>
  <c r="AC546" i="18" s="1"/>
  <c r="AC547" i="18" s="1"/>
  <c r="AC548" i="18" s="1"/>
  <c r="AC549" i="18" s="1"/>
  <c r="AC550" i="18" s="1"/>
  <c r="AC551" i="18" s="1"/>
  <c r="AC552" i="18" s="1"/>
  <c r="AC553" i="18" s="1"/>
  <c r="AC554" i="18" s="1"/>
  <c r="AC555" i="18" s="1"/>
  <c r="AC556" i="18" s="1"/>
  <c r="AC557" i="18" s="1"/>
  <c r="AC558" i="18" s="1"/>
  <c r="AC559" i="18" s="1"/>
  <c r="AC560" i="18" s="1"/>
  <c r="AC561" i="18" s="1"/>
  <c r="AC562" i="18" s="1"/>
  <c r="AC563" i="18" s="1"/>
  <c r="AC564" i="18" s="1"/>
  <c r="AC565" i="18" s="1"/>
  <c r="AC566" i="18" s="1"/>
  <c r="AC567" i="18" s="1"/>
  <c r="AC568" i="18" s="1"/>
  <c r="AC569" i="18" s="1"/>
  <c r="AC570" i="18" s="1"/>
  <c r="AC571" i="18" s="1"/>
  <c r="AC572" i="18" s="1"/>
  <c r="AC573" i="18" s="1"/>
  <c r="AC574" i="18" s="1"/>
  <c r="AC575" i="18" s="1"/>
  <c r="AC576" i="18" s="1"/>
  <c r="AC577" i="18" s="1"/>
  <c r="AC578" i="18" s="1"/>
  <c r="AC579" i="18" s="1"/>
  <c r="AC580" i="18" s="1"/>
  <c r="AC581" i="18" s="1"/>
  <c r="AC582" i="18" s="1"/>
  <c r="AC583" i="18" s="1"/>
  <c r="AC584" i="18" s="1"/>
  <c r="AC585" i="18" s="1"/>
  <c r="AC586" i="18" s="1"/>
  <c r="AC587" i="18" s="1"/>
  <c r="AC588" i="18" s="1"/>
  <c r="AC589" i="18" s="1"/>
  <c r="AC590" i="18" s="1"/>
  <c r="AC591" i="18" s="1"/>
  <c r="AC592" i="18" s="1"/>
  <c r="AC593" i="18" s="1"/>
  <c r="AC594" i="18" s="1"/>
  <c r="AC595" i="18" s="1"/>
  <c r="AC596" i="18" s="1"/>
  <c r="AC597" i="18" s="1"/>
  <c r="AC598" i="18" s="1"/>
  <c r="AC599" i="18" s="1"/>
  <c r="AC600" i="18" s="1"/>
  <c r="AC601" i="18" s="1"/>
  <c r="AC602" i="18" s="1"/>
  <c r="AC603" i="18" s="1"/>
  <c r="AC604" i="18" s="1"/>
  <c r="AC605" i="18" s="1"/>
  <c r="AC606" i="18" s="1"/>
  <c r="AC607" i="18" s="1"/>
  <c r="AC608" i="18" s="1"/>
  <c r="AC609" i="18" s="1"/>
  <c r="AC610" i="18" s="1"/>
  <c r="AC611" i="18" s="1"/>
  <c r="AC612" i="18" s="1"/>
  <c r="AC613" i="18" s="1"/>
  <c r="AC614" i="18" s="1"/>
  <c r="AC615" i="18" s="1"/>
  <c r="AC616" i="18" s="1"/>
  <c r="AC617" i="18" s="1"/>
  <c r="AC618" i="18" s="1"/>
  <c r="AC619" i="18" s="1"/>
  <c r="AC620" i="18" s="1"/>
  <c r="AC621" i="18" s="1"/>
  <c r="AC622" i="18" s="1"/>
  <c r="AC623" i="18" s="1"/>
  <c r="AC624" i="18" s="1"/>
  <c r="AC625" i="18" s="1"/>
  <c r="AC626" i="18" s="1"/>
  <c r="AC627" i="18" s="1"/>
  <c r="AC628" i="18" s="1"/>
  <c r="AC629" i="18" s="1"/>
  <c r="AC630" i="18" s="1"/>
  <c r="AC631" i="18" s="1"/>
  <c r="AC632" i="18" s="1"/>
  <c r="AC633" i="18" s="1"/>
  <c r="AC634" i="18" s="1"/>
  <c r="AC635" i="18" s="1"/>
  <c r="AC636" i="18" s="1"/>
  <c r="AC637" i="18" s="1"/>
  <c r="AC638" i="18" s="1"/>
  <c r="AC639" i="18" s="1"/>
  <c r="AC640" i="18" s="1"/>
  <c r="AC641" i="18" s="1"/>
  <c r="AC642" i="18" s="1"/>
  <c r="AC643" i="18" s="1"/>
  <c r="AC644" i="18" s="1"/>
  <c r="AC645" i="18" s="1"/>
  <c r="AC646" i="18" s="1"/>
  <c r="AC647" i="18" s="1"/>
  <c r="AC648" i="18" s="1"/>
  <c r="AC649" i="18" s="1"/>
  <c r="AC650" i="18" s="1"/>
  <c r="AC651" i="18" s="1"/>
  <c r="AC652" i="18" s="1"/>
  <c r="AC653" i="18" s="1"/>
  <c r="AC654" i="18" s="1"/>
  <c r="AC655" i="18" s="1"/>
  <c r="AC656" i="18" s="1"/>
  <c r="AC657" i="18" s="1"/>
  <c r="AC658" i="18" s="1"/>
  <c r="AC659" i="18" s="1"/>
  <c r="AC660" i="18" s="1"/>
  <c r="AC661" i="18" s="1"/>
  <c r="AC662" i="18" s="1"/>
  <c r="AC663" i="18" s="1"/>
  <c r="AC664" i="18" s="1"/>
  <c r="AC665" i="18" s="1"/>
  <c r="AC666" i="18" s="1"/>
  <c r="AC667" i="18" s="1"/>
  <c r="AC668" i="18" s="1"/>
  <c r="AC669" i="18" s="1"/>
  <c r="AC670" i="18" s="1"/>
  <c r="AC671" i="18" s="1"/>
  <c r="AC672" i="18" s="1"/>
  <c r="AC673" i="18" s="1"/>
  <c r="AC674" i="18" s="1"/>
  <c r="AC675" i="18" s="1"/>
  <c r="AC676" i="18" s="1"/>
  <c r="AC677" i="18" s="1"/>
  <c r="AC678" i="18" s="1"/>
  <c r="AC679" i="18" s="1"/>
  <c r="AC680" i="18" s="1"/>
  <c r="AC681" i="18" s="1"/>
  <c r="AC682" i="18" s="1"/>
  <c r="AC683" i="18" s="1"/>
  <c r="AC684" i="18" s="1"/>
  <c r="AC685" i="18" s="1"/>
  <c r="AC686" i="18" s="1"/>
  <c r="AC687" i="18" s="1"/>
  <c r="AC688" i="18" s="1"/>
  <c r="AC689" i="18" s="1"/>
  <c r="AC690" i="18" s="1"/>
  <c r="AC691" i="18" s="1"/>
  <c r="AC692" i="18" s="1"/>
  <c r="AC693" i="18" s="1"/>
  <c r="AC694" i="18" s="1"/>
  <c r="AC695" i="18" s="1"/>
  <c r="AC696" i="18" s="1"/>
  <c r="AC697" i="18" s="1"/>
  <c r="AC698" i="18" s="1"/>
  <c r="AC699" i="18" s="1"/>
  <c r="AC700" i="18" s="1"/>
  <c r="AC701" i="18" s="1"/>
  <c r="AC702" i="18" s="1"/>
  <c r="AC703" i="18" s="1"/>
  <c r="AC704" i="18" s="1"/>
  <c r="AC705" i="18" s="1"/>
  <c r="AC706" i="18" s="1"/>
  <c r="AC707" i="18" s="1"/>
  <c r="AC708" i="18" s="1"/>
  <c r="AC709" i="18" s="1"/>
  <c r="AC710" i="18" s="1"/>
  <c r="AC711" i="18" s="1"/>
  <c r="AC712" i="18" s="1"/>
  <c r="AC713" i="18" s="1"/>
  <c r="AC714" i="18" s="1"/>
  <c r="AC715" i="18" s="1"/>
  <c r="AC716" i="18" s="1"/>
  <c r="AC717" i="18" s="1"/>
  <c r="AC718" i="18" s="1"/>
  <c r="AC719" i="18" s="1"/>
  <c r="AC720" i="18" s="1"/>
  <c r="AC721" i="18" s="1"/>
  <c r="AC722" i="18" s="1"/>
  <c r="AC723" i="18" s="1"/>
  <c r="AC724" i="18" s="1"/>
  <c r="AC725" i="18" s="1"/>
  <c r="AC726" i="18" s="1"/>
  <c r="AC727" i="18" s="1"/>
  <c r="AC728" i="18" s="1"/>
  <c r="AC729" i="18" s="1"/>
  <c r="AC730" i="18" s="1"/>
  <c r="AC731" i="18" s="1"/>
  <c r="AC732" i="18" s="1"/>
  <c r="AC733" i="18" s="1"/>
  <c r="AC734" i="18" s="1"/>
  <c r="AC735" i="18" s="1"/>
  <c r="AC736" i="18" s="1"/>
  <c r="AC737" i="18" s="1"/>
  <c r="AC738" i="18" s="1"/>
  <c r="AC739" i="18" s="1"/>
  <c r="AC740" i="18" s="1"/>
  <c r="AC741" i="18" s="1"/>
  <c r="AC742" i="18" s="1"/>
  <c r="AC743" i="18" s="1"/>
  <c r="AC744" i="18" s="1"/>
  <c r="AC745" i="18" s="1"/>
  <c r="AC746" i="18" s="1"/>
  <c r="AC747" i="18" s="1"/>
  <c r="AC748" i="18" s="1"/>
  <c r="AC749" i="18" s="1"/>
  <c r="AC750" i="18" s="1"/>
  <c r="AC751" i="18" s="1"/>
  <c r="AC752" i="18" s="1"/>
  <c r="AC753" i="18" s="1"/>
  <c r="AC754" i="18" s="1"/>
  <c r="AC755" i="18" s="1"/>
  <c r="AC756" i="18" s="1"/>
  <c r="AC757" i="18" s="1"/>
  <c r="AC758" i="18" s="1"/>
  <c r="AC759" i="18" s="1"/>
  <c r="AC760" i="18" s="1"/>
  <c r="AC761" i="18" s="1"/>
  <c r="AC762" i="18" s="1"/>
  <c r="AC763" i="18" s="1"/>
  <c r="AC764" i="18" s="1"/>
  <c r="AC765" i="18" s="1"/>
  <c r="AC766" i="18" s="1"/>
  <c r="AC767" i="18" s="1"/>
  <c r="AC768" i="18" s="1"/>
  <c r="AC769" i="18" s="1"/>
  <c r="AC770" i="18" s="1"/>
  <c r="AC771" i="18" s="1"/>
  <c r="AC772" i="18" s="1"/>
  <c r="AC773" i="18" s="1"/>
  <c r="AC774" i="18" s="1"/>
  <c r="AC775" i="18" s="1"/>
  <c r="AC776" i="18" s="1"/>
  <c r="AC777" i="18" s="1"/>
  <c r="AC778" i="18" s="1"/>
  <c r="AC779" i="18" s="1"/>
  <c r="AC780" i="18" s="1"/>
  <c r="AC781" i="18" s="1"/>
  <c r="AC782" i="18" s="1"/>
  <c r="AC783" i="18" s="1"/>
  <c r="AC784" i="18" s="1"/>
  <c r="AC785" i="18" s="1"/>
  <c r="AC786" i="18" s="1"/>
  <c r="AC787" i="18" s="1"/>
  <c r="AC788" i="18" s="1"/>
  <c r="AC789" i="18" s="1"/>
  <c r="AC790" i="18" s="1"/>
  <c r="AC791" i="18" s="1"/>
  <c r="AC792" i="18" s="1"/>
  <c r="AC793" i="18" s="1"/>
  <c r="AC794" i="18" s="1"/>
  <c r="AC795" i="18" s="1"/>
  <c r="AC796" i="18" s="1"/>
  <c r="AC797" i="18" s="1"/>
  <c r="AC798" i="18" s="1"/>
  <c r="AC799" i="18" s="1"/>
  <c r="AC800" i="18" s="1"/>
  <c r="AC801" i="18" s="1"/>
  <c r="AC802" i="18" s="1"/>
  <c r="AC803" i="18" s="1"/>
  <c r="AC804" i="18" s="1"/>
  <c r="AC805" i="18" s="1"/>
  <c r="AC806" i="18" s="1"/>
  <c r="AC807" i="18" s="1"/>
  <c r="AC808" i="18" s="1"/>
  <c r="AC809" i="18" s="1"/>
  <c r="AC810" i="18" s="1"/>
  <c r="AC811" i="18" s="1"/>
  <c r="AC812" i="18" s="1"/>
  <c r="AC813" i="18" s="1"/>
  <c r="AC814" i="18" s="1"/>
  <c r="AC815" i="18" s="1"/>
  <c r="AC816" i="18" s="1"/>
  <c r="AC817" i="18" s="1"/>
  <c r="AC818" i="18" s="1"/>
  <c r="AC819" i="18" s="1"/>
  <c r="AC820" i="18" s="1"/>
  <c r="AC821" i="18" s="1"/>
  <c r="AC822" i="18" s="1"/>
  <c r="AC823" i="18" s="1"/>
  <c r="AC824" i="18" s="1"/>
  <c r="AC825" i="18" s="1"/>
  <c r="AC826" i="18" s="1"/>
  <c r="AC827" i="18" s="1"/>
  <c r="AC828" i="18" s="1"/>
  <c r="AC829" i="18" s="1"/>
  <c r="AC830" i="18" s="1"/>
  <c r="AC831" i="18" s="1"/>
  <c r="AC832" i="18" s="1"/>
  <c r="AC833" i="18" s="1"/>
  <c r="AC834" i="18" s="1"/>
  <c r="AC835" i="18" s="1"/>
  <c r="AC836" i="18" s="1"/>
  <c r="AC837" i="18" s="1"/>
  <c r="AC838" i="18" s="1"/>
  <c r="AC839" i="18" s="1"/>
  <c r="AC840" i="18" s="1"/>
  <c r="AC841" i="18" s="1"/>
  <c r="AC842" i="18" s="1"/>
  <c r="AC843" i="18" s="1"/>
  <c r="AC844" i="18" s="1"/>
  <c r="AC845" i="18" s="1"/>
  <c r="AC846" i="18" s="1"/>
  <c r="AC847" i="18" s="1"/>
  <c r="AC848" i="18" s="1"/>
  <c r="AC849" i="18" s="1"/>
  <c r="AC850" i="18" s="1"/>
  <c r="AC851" i="18" s="1"/>
  <c r="AC852" i="18" s="1"/>
  <c r="AC853" i="18" s="1"/>
  <c r="AC854" i="18" s="1"/>
  <c r="AC855" i="18" s="1"/>
  <c r="AC856" i="18" s="1"/>
  <c r="AC857" i="18" s="1"/>
  <c r="AC858" i="18" s="1"/>
  <c r="AC859" i="18" s="1"/>
  <c r="AC860" i="18" s="1"/>
  <c r="AC861" i="18" s="1"/>
  <c r="AC862" i="18" s="1"/>
  <c r="AC863" i="18" s="1"/>
  <c r="AC864" i="18" s="1"/>
  <c r="AC865" i="18" s="1"/>
  <c r="AC866" i="18" s="1"/>
  <c r="AC867" i="18" s="1"/>
  <c r="AC868" i="18" s="1"/>
  <c r="AC869" i="18" s="1"/>
  <c r="AC870" i="18" s="1"/>
  <c r="AC871" i="18" s="1"/>
  <c r="AC872" i="18" s="1"/>
  <c r="AC873" i="18" s="1"/>
  <c r="AC874" i="18" s="1"/>
  <c r="AC875" i="18" s="1"/>
  <c r="AC876" i="18" s="1"/>
  <c r="AC877" i="18" s="1"/>
  <c r="AC878" i="18" s="1"/>
  <c r="AC879" i="18" s="1"/>
  <c r="AC880" i="18" s="1"/>
  <c r="AC881" i="18" s="1"/>
  <c r="AC882" i="18" s="1"/>
  <c r="AC883" i="18" s="1"/>
  <c r="AC884" i="18" s="1"/>
  <c r="AC885" i="18" s="1"/>
  <c r="AC886" i="18" s="1"/>
  <c r="AC887" i="18" s="1"/>
  <c r="AC888" i="18" s="1"/>
  <c r="AC889" i="18" s="1"/>
  <c r="AC890" i="18" s="1"/>
  <c r="AC891" i="18" s="1"/>
  <c r="AC892" i="18" s="1"/>
  <c r="AC893" i="18" s="1"/>
  <c r="AC894" i="18" s="1"/>
  <c r="AC895" i="18" s="1"/>
  <c r="AC896" i="18" s="1"/>
  <c r="AC897" i="18" s="1"/>
  <c r="AC898" i="18" s="1"/>
  <c r="AC899" i="18" s="1"/>
  <c r="AC900" i="18" s="1"/>
  <c r="AC901" i="18" s="1"/>
  <c r="AC902" i="18" s="1"/>
  <c r="AC903" i="18" s="1"/>
  <c r="AC904" i="18" s="1"/>
  <c r="AC905" i="18" s="1"/>
  <c r="AC906" i="18" s="1"/>
  <c r="AC907" i="18" s="1"/>
  <c r="AC908" i="18" s="1"/>
  <c r="AC909" i="18" s="1"/>
  <c r="AC910" i="18" s="1"/>
  <c r="AC911" i="18" s="1"/>
  <c r="AC912" i="18" s="1"/>
  <c r="AC913" i="18" s="1"/>
  <c r="AC914" i="18" s="1"/>
  <c r="AC915" i="18" s="1"/>
  <c r="AC916" i="18" s="1"/>
  <c r="AC917" i="18" s="1"/>
  <c r="AC918" i="18" s="1"/>
  <c r="AC919" i="18" s="1"/>
  <c r="AC920" i="18" s="1"/>
  <c r="AC921" i="18" s="1"/>
  <c r="AC922" i="18" s="1"/>
  <c r="AC923" i="18" s="1"/>
  <c r="AC924" i="18" s="1"/>
  <c r="AC925" i="18" s="1"/>
  <c r="AC926" i="18" s="1"/>
  <c r="AC927" i="18" s="1"/>
  <c r="AC928" i="18" s="1"/>
  <c r="AC929" i="18" s="1"/>
  <c r="AC930" i="18" s="1"/>
  <c r="AC931" i="18" s="1"/>
  <c r="AC932" i="18" s="1"/>
  <c r="AC933" i="18" s="1"/>
  <c r="AC934" i="18" s="1"/>
  <c r="AC935" i="18" s="1"/>
  <c r="AC936" i="18" s="1"/>
  <c r="AC937" i="18" s="1"/>
  <c r="AC938" i="18" s="1"/>
  <c r="AC939" i="18" s="1"/>
  <c r="AC940" i="18" s="1"/>
  <c r="AC941" i="18" s="1"/>
  <c r="AC942" i="18" s="1"/>
  <c r="AC943" i="18" s="1"/>
  <c r="AC944" i="18" s="1"/>
  <c r="AC945" i="18" s="1"/>
  <c r="AC946" i="18" s="1"/>
  <c r="AC947" i="18" s="1"/>
  <c r="AC948" i="18" s="1"/>
  <c r="AC949" i="18" s="1"/>
  <c r="AC950" i="18" s="1"/>
  <c r="AC951" i="18" s="1"/>
  <c r="AC952" i="18" s="1"/>
  <c r="AC953" i="18" s="1"/>
  <c r="AC954" i="18" s="1"/>
  <c r="AC955" i="18" s="1"/>
  <c r="AC956" i="18" s="1"/>
  <c r="AC957" i="18" s="1"/>
  <c r="AC958" i="18" s="1"/>
  <c r="AC959" i="18" s="1"/>
  <c r="AC960" i="18" s="1"/>
  <c r="AC961" i="18" s="1"/>
  <c r="AC962" i="18" s="1"/>
  <c r="AC963" i="18" s="1"/>
  <c r="AC964" i="18" s="1"/>
  <c r="AC965" i="18" s="1"/>
  <c r="AC966" i="18" s="1"/>
  <c r="AC967" i="18" s="1"/>
  <c r="AC968" i="18" s="1"/>
  <c r="AC969" i="18" s="1"/>
  <c r="AC970" i="18" s="1"/>
  <c r="AC971" i="18" s="1"/>
  <c r="AC972" i="18" s="1"/>
  <c r="AC973" i="18" s="1"/>
  <c r="AC974" i="18" s="1"/>
  <c r="AC975" i="18" s="1"/>
  <c r="AC976" i="18" s="1"/>
  <c r="AC977" i="18" s="1"/>
  <c r="AC978" i="18" s="1"/>
  <c r="AC979" i="18" s="1"/>
  <c r="AC980" i="18" s="1"/>
  <c r="AC981" i="18" s="1"/>
  <c r="AC982" i="18" s="1"/>
  <c r="AC983" i="18" s="1"/>
  <c r="AC984" i="18" s="1"/>
  <c r="AC985" i="18" s="1"/>
  <c r="AC986" i="18" s="1"/>
  <c r="AC987" i="18" s="1"/>
  <c r="AC988" i="18" s="1"/>
  <c r="AC989" i="18" s="1"/>
  <c r="AC990" i="18" s="1"/>
  <c r="AC991" i="18" s="1"/>
  <c r="AC992" i="18" s="1"/>
  <c r="AC993" i="18" s="1"/>
  <c r="AC994" i="18" s="1"/>
  <c r="AC995" i="18" s="1"/>
  <c r="AC996" i="18" s="1"/>
  <c r="AC997" i="18" s="1"/>
  <c r="AC998" i="18" s="1"/>
  <c r="AC999" i="18" s="1"/>
  <c r="AC1000" i="18" s="1"/>
  <c r="AC1001" i="18" s="1"/>
  <c r="AC1002" i="18" s="1"/>
  <c r="AC1003" i="18" s="1"/>
  <c r="AC1004" i="18" s="1"/>
  <c r="AC1005" i="18" s="1"/>
  <c r="AC1006" i="18" s="1"/>
  <c r="AC1007" i="18" s="1"/>
  <c r="AC1008" i="18" s="1"/>
  <c r="AC1009" i="18" s="1"/>
  <c r="AC1010" i="18" s="1"/>
  <c r="AC1011" i="18" s="1"/>
  <c r="AC1012" i="18" s="1"/>
  <c r="AC1013" i="18" s="1"/>
  <c r="AC1014" i="18" s="1"/>
  <c r="AC1015" i="18" s="1"/>
  <c r="AC1016" i="18" s="1"/>
  <c r="AC1017" i="18" s="1"/>
  <c r="AC1018" i="18" s="1"/>
  <c r="AC1019" i="18" s="1"/>
  <c r="AC1020" i="18" s="1"/>
  <c r="AC1021" i="18" s="1"/>
  <c r="AC1022" i="18" s="1"/>
  <c r="AC1023" i="18" s="1"/>
  <c r="AC1024" i="18" s="1"/>
  <c r="AC1025" i="18" s="1"/>
  <c r="AC1026" i="18" s="1"/>
  <c r="AC1027" i="18" s="1"/>
  <c r="AC1028" i="18" s="1"/>
  <c r="AC1029" i="18" s="1"/>
  <c r="AC1030" i="18" s="1"/>
  <c r="AC1031" i="18" s="1"/>
  <c r="AC1032" i="18" s="1"/>
  <c r="AC1033" i="18" s="1"/>
  <c r="AC1034" i="18" s="1"/>
  <c r="AC1035" i="18" s="1"/>
  <c r="AC1036" i="18" s="1"/>
  <c r="AC1037" i="18" s="1"/>
  <c r="AC1038" i="18" s="1"/>
  <c r="AC1039" i="18" s="1"/>
  <c r="AC1040" i="18" s="1"/>
  <c r="AC1041" i="18" s="1"/>
  <c r="AC1042" i="18" s="1"/>
  <c r="AC1043" i="18" s="1"/>
  <c r="AC1044" i="18" s="1"/>
  <c r="AC1045" i="18" s="1"/>
  <c r="X3" i="18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95" i="18" s="1"/>
  <c r="X96" i="18" s="1"/>
  <c r="X97" i="18" s="1"/>
  <c r="X98" i="18" s="1"/>
  <c r="X99" i="18" s="1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19" i="18" s="1"/>
  <c r="X120" i="18" s="1"/>
  <c r="X121" i="18" s="1"/>
  <c r="X122" i="18" s="1"/>
  <c r="X123" i="18" s="1"/>
  <c r="X124" i="18" s="1"/>
  <c r="X125" i="18" s="1"/>
  <c r="X126" i="18" s="1"/>
  <c r="X127" i="18" s="1"/>
  <c r="X128" i="18" s="1"/>
  <c r="X129" i="18" s="1"/>
  <c r="X130" i="18" s="1"/>
  <c r="X131" i="18" s="1"/>
  <c r="X132" i="18" s="1"/>
  <c r="X133" i="18" s="1"/>
  <c r="X134" i="18" s="1"/>
  <c r="X135" i="18" s="1"/>
  <c r="X136" i="18" s="1"/>
  <c r="X137" i="18" s="1"/>
  <c r="X138" i="18" s="1"/>
  <c r="X139" i="18" s="1"/>
  <c r="X140" i="18" s="1"/>
  <c r="X141" i="18" s="1"/>
  <c r="X142" i="18" s="1"/>
  <c r="X143" i="18" s="1"/>
  <c r="X144" i="18" s="1"/>
  <c r="X145" i="18" s="1"/>
  <c r="X146" i="18" s="1"/>
  <c r="X147" i="18" s="1"/>
  <c r="X148" i="18" s="1"/>
  <c r="X149" i="18" s="1"/>
  <c r="X150" i="18" s="1"/>
  <c r="X151" i="18" s="1"/>
  <c r="X152" i="18" s="1"/>
  <c r="X153" i="18" s="1"/>
  <c r="X154" i="18" s="1"/>
  <c r="X155" i="18" s="1"/>
  <c r="X156" i="18" s="1"/>
  <c r="X157" i="18" s="1"/>
  <c r="X158" i="18" s="1"/>
  <c r="X159" i="18" s="1"/>
  <c r="X160" i="18" s="1"/>
  <c r="X161" i="18" s="1"/>
  <c r="X162" i="18" s="1"/>
  <c r="X163" i="18" s="1"/>
  <c r="X164" i="18" s="1"/>
  <c r="X165" i="18" s="1"/>
  <c r="X166" i="18" s="1"/>
  <c r="X167" i="18" s="1"/>
  <c r="X168" i="18" s="1"/>
  <c r="X169" i="18" s="1"/>
  <c r="X170" i="18" s="1"/>
  <c r="X171" i="18" s="1"/>
  <c r="X172" i="18" s="1"/>
  <c r="X173" i="18" s="1"/>
  <c r="X174" i="18" s="1"/>
  <c r="X175" i="18" s="1"/>
  <c r="X176" i="18" s="1"/>
  <c r="X177" i="18" s="1"/>
  <c r="X178" i="18" s="1"/>
  <c r="X179" i="18" s="1"/>
  <c r="X180" i="18" s="1"/>
  <c r="X181" i="18" s="1"/>
  <c r="X182" i="18" s="1"/>
  <c r="X183" i="18" s="1"/>
  <c r="X184" i="18" s="1"/>
  <c r="X185" i="18" s="1"/>
  <c r="X186" i="18" s="1"/>
  <c r="X187" i="18" s="1"/>
  <c r="X188" i="18" s="1"/>
  <c r="X189" i="18" s="1"/>
  <c r="X190" i="18" s="1"/>
  <c r="X191" i="18" s="1"/>
  <c r="X192" i="18" s="1"/>
  <c r="X193" i="18" s="1"/>
  <c r="X194" i="18" s="1"/>
  <c r="X195" i="18" s="1"/>
  <c r="X196" i="18" s="1"/>
  <c r="X197" i="18" s="1"/>
  <c r="X198" i="18" s="1"/>
  <c r="X199" i="18" s="1"/>
  <c r="X200" i="18" s="1"/>
  <c r="X201" i="18" s="1"/>
  <c r="X202" i="18" s="1"/>
  <c r="X203" i="18" s="1"/>
  <c r="X204" i="18" s="1"/>
  <c r="X205" i="18" s="1"/>
  <c r="X206" i="18" s="1"/>
  <c r="X207" i="18" s="1"/>
  <c r="X208" i="18" s="1"/>
  <c r="X209" i="18" s="1"/>
  <c r="X210" i="18" s="1"/>
  <c r="X211" i="18" s="1"/>
  <c r="X212" i="18" s="1"/>
  <c r="X213" i="18" s="1"/>
  <c r="X214" i="18" s="1"/>
  <c r="X215" i="18" s="1"/>
  <c r="X216" i="18" s="1"/>
  <c r="X217" i="18" s="1"/>
  <c r="X218" i="18" s="1"/>
  <c r="X219" i="18" s="1"/>
  <c r="X220" i="18" s="1"/>
  <c r="X221" i="18" s="1"/>
  <c r="X222" i="18" s="1"/>
  <c r="X223" i="18" s="1"/>
  <c r="X224" i="18" s="1"/>
  <c r="X225" i="18" s="1"/>
  <c r="X226" i="18" s="1"/>
  <c r="X227" i="18" s="1"/>
  <c r="X228" i="18" s="1"/>
  <c r="X229" i="18" s="1"/>
  <c r="X230" i="18" s="1"/>
  <c r="X231" i="18" s="1"/>
  <c r="X232" i="18" s="1"/>
  <c r="X233" i="18" s="1"/>
  <c r="X234" i="18" s="1"/>
  <c r="X235" i="18" s="1"/>
  <c r="X236" i="18" s="1"/>
  <c r="X237" i="18" s="1"/>
  <c r="X238" i="18" s="1"/>
  <c r="X239" i="18" s="1"/>
  <c r="X240" i="18" s="1"/>
  <c r="X241" i="18" s="1"/>
  <c r="X242" i="18" s="1"/>
  <c r="X243" i="18" s="1"/>
  <c r="X244" i="18" s="1"/>
  <c r="X245" i="18" s="1"/>
  <c r="X246" i="18" s="1"/>
  <c r="X247" i="18" s="1"/>
  <c r="X248" i="18" s="1"/>
  <c r="X249" i="18" s="1"/>
  <c r="X250" i="18" s="1"/>
  <c r="X251" i="18" s="1"/>
  <c r="X252" i="18" s="1"/>
  <c r="X253" i="18" s="1"/>
  <c r="X254" i="18" s="1"/>
  <c r="X255" i="18" s="1"/>
  <c r="X256" i="18" s="1"/>
  <c r="X257" i="18" s="1"/>
  <c r="X258" i="18" s="1"/>
  <c r="X259" i="18" s="1"/>
  <c r="X260" i="18" s="1"/>
  <c r="X261" i="18" s="1"/>
  <c r="X262" i="18" s="1"/>
  <c r="X263" i="18" s="1"/>
  <c r="X264" i="18" s="1"/>
  <c r="X265" i="18" s="1"/>
  <c r="X266" i="18" s="1"/>
  <c r="X267" i="18" s="1"/>
  <c r="X268" i="18" s="1"/>
  <c r="X269" i="18" s="1"/>
  <c r="X270" i="18" s="1"/>
  <c r="X271" i="18" s="1"/>
  <c r="X272" i="18" s="1"/>
  <c r="X273" i="18" s="1"/>
  <c r="X274" i="18" s="1"/>
  <c r="X275" i="18" s="1"/>
  <c r="X276" i="18" s="1"/>
  <c r="X277" i="18" s="1"/>
  <c r="X278" i="18" s="1"/>
  <c r="X279" i="18" s="1"/>
  <c r="X280" i="18" s="1"/>
  <c r="X281" i="18" s="1"/>
  <c r="X282" i="18" s="1"/>
  <c r="X283" i="18" s="1"/>
  <c r="X284" i="18" s="1"/>
  <c r="X285" i="18" s="1"/>
  <c r="X286" i="18" s="1"/>
  <c r="X287" i="18" s="1"/>
  <c r="X288" i="18" s="1"/>
  <c r="X289" i="18" s="1"/>
  <c r="X290" i="18" s="1"/>
  <c r="X291" i="18" s="1"/>
  <c r="X292" i="18" s="1"/>
  <c r="X293" i="18" s="1"/>
  <c r="X294" i="18" s="1"/>
  <c r="X295" i="18" s="1"/>
  <c r="X296" i="18" s="1"/>
  <c r="X297" i="18" s="1"/>
  <c r="X298" i="18" s="1"/>
  <c r="X299" i="18" s="1"/>
  <c r="X300" i="18" s="1"/>
  <c r="X301" i="18" s="1"/>
  <c r="X302" i="18" s="1"/>
  <c r="X303" i="18" s="1"/>
  <c r="X304" i="18" s="1"/>
  <c r="X305" i="18" s="1"/>
  <c r="X306" i="18" s="1"/>
  <c r="X307" i="18" s="1"/>
  <c r="X308" i="18" s="1"/>
  <c r="X309" i="18" s="1"/>
  <c r="X310" i="18" s="1"/>
  <c r="X311" i="18" s="1"/>
  <c r="X312" i="18" s="1"/>
  <c r="X313" i="18" s="1"/>
  <c r="X314" i="18" s="1"/>
  <c r="X315" i="18" s="1"/>
  <c r="X316" i="18" s="1"/>
  <c r="X317" i="18" s="1"/>
  <c r="X318" i="18" s="1"/>
  <c r="X319" i="18" s="1"/>
  <c r="X320" i="18" s="1"/>
  <c r="X321" i="18" s="1"/>
  <c r="X322" i="18" s="1"/>
  <c r="X323" i="18" s="1"/>
  <c r="X324" i="18" s="1"/>
  <c r="X325" i="18" s="1"/>
  <c r="X326" i="18" s="1"/>
  <c r="X327" i="18" s="1"/>
  <c r="X328" i="18" s="1"/>
  <c r="X329" i="18" s="1"/>
  <c r="X330" i="18" s="1"/>
  <c r="X331" i="18" s="1"/>
  <c r="X332" i="18" s="1"/>
  <c r="X333" i="18" s="1"/>
  <c r="X334" i="18" s="1"/>
  <c r="X335" i="18" s="1"/>
  <c r="X336" i="18" s="1"/>
  <c r="X337" i="18" s="1"/>
  <c r="X338" i="18" s="1"/>
  <c r="X339" i="18" s="1"/>
  <c r="X340" i="18" s="1"/>
  <c r="X341" i="18" s="1"/>
  <c r="X342" i="18" s="1"/>
  <c r="X343" i="18" s="1"/>
  <c r="X344" i="18" s="1"/>
  <c r="X345" i="18" s="1"/>
  <c r="X346" i="18" s="1"/>
  <c r="X347" i="18" s="1"/>
  <c r="X348" i="18" s="1"/>
  <c r="X349" i="18" s="1"/>
  <c r="X350" i="18" s="1"/>
  <c r="X351" i="18" s="1"/>
  <c r="X352" i="18" s="1"/>
  <c r="X353" i="18" s="1"/>
  <c r="X354" i="18" s="1"/>
  <c r="X355" i="18" s="1"/>
  <c r="X356" i="18" s="1"/>
  <c r="X357" i="18" s="1"/>
  <c r="X358" i="18" s="1"/>
  <c r="X359" i="18" s="1"/>
  <c r="X360" i="18" s="1"/>
  <c r="X361" i="18" s="1"/>
  <c r="X362" i="18" s="1"/>
  <c r="X363" i="18" s="1"/>
  <c r="X364" i="18" s="1"/>
  <c r="X365" i="18" s="1"/>
  <c r="X366" i="18" s="1"/>
  <c r="X367" i="18" s="1"/>
  <c r="X368" i="18" s="1"/>
  <c r="X369" i="18" s="1"/>
  <c r="X370" i="18" s="1"/>
  <c r="X371" i="18" s="1"/>
  <c r="X372" i="18" s="1"/>
  <c r="X373" i="18" s="1"/>
  <c r="X374" i="18" s="1"/>
  <c r="X375" i="18" s="1"/>
  <c r="X376" i="18" s="1"/>
  <c r="X377" i="18" s="1"/>
  <c r="X378" i="18" s="1"/>
  <c r="X379" i="18" s="1"/>
  <c r="X380" i="18" s="1"/>
  <c r="X381" i="18" s="1"/>
  <c r="X382" i="18" s="1"/>
  <c r="X383" i="18" s="1"/>
  <c r="X384" i="18" s="1"/>
  <c r="X385" i="18" s="1"/>
  <c r="X386" i="18" s="1"/>
  <c r="X387" i="18" s="1"/>
  <c r="X388" i="18" s="1"/>
  <c r="X389" i="18" s="1"/>
  <c r="X390" i="18" s="1"/>
  <c r="X391" i="18" s="1"/>
  <c r="X392" i="18" s="1"/>
  <c r="X393" i="18" s="1"/>
  <c r="X394" i="18" s="1"/>
  <c r="X395" i="18" s="1"/>
  <c r="X396" i="18" s="1"/>
  <c r="X397" i="18" s="1"/>
  <c r="X398" i="18" s="1"/>
  <c r="X399" i="18" s="1"/>
  <c r="X400" i="18" s="1"/>
  <c r="X401" i="18" s="1"/>
  <c r="X402" i="18" s="1"/>
  <c r="X403" i="18" s="1"/>
  <c r="X404" i="18" s="1"/>
  <c r="X405" i="18" s="1"/>
  <c r="X406" i="18" s="1"/>
  <c r="X407" i="18" s="1"/>
  <c r="X408" i="18" s="1"/>
  <c r="X409" i="18" s="1"/>
  <c r="X410" i="18" s="1"/>
  <c r="X411" i="18" s="1"/>
  <c r="X412" i="18" s="1"/>
  <c r="X413" i="18" s="1"/>
  <c r="X414" i="18" s="1"/>
  <c r="X415" i="18" s="1"/>
  <c r="X416" i="18" s="1"/>
  <c r="X417" i="18" s="1"/>
  <c r="X418" i="18" s="1"/>
  <c r="X419" i="18" s="1"/>
  <c r="X420" i="18" s="1"/>
  <c r="X421" i="18" s="1"/>
  <c r="X422" i="18" s="1"/>
  <c r="X423" i="18" s="1"/>
  <c r="X424" i="18" s="1"/>
  <c r="X425" i="18" s="1"/>
  <c r="X426" i="18" s="1"/>
  <c r="X427" i="18" s="1"/>
  <c r="X428" i="18" s="1"/>
  <c r="X429" i="18" s="1"/>
  <c r="X430" i="18" s="1"/>
  <c r="X431" i="18" s="1"/>
  <c r="X432" i="18" s="1"/>
  <c r="X433" i="18" s="1"/>
  <c r="X434" i="18" s="1"/>
  <c r="X435" i="18" s="1"/>
  <c r="X436" i="18" s="1"/>
  <c r="X437" i="18" s="1"/>
  <c r="X438" i="18" s="1"/>
  <c r="X439" i="18" s="1"/>
  <c r="X440" i="18" s="1"/>
  <c r="X441" i="18" s="1"/>
  <c r="X442" i="18" s="1"/>
  <c r="X443" i="18" s="1"/>
  <c r="X444" i="18" s="1"/>
  <c r="X445" i="18" s="1"/>
  <c r="X446" i="18" s="1"/>
  <c r="X447" i="18" s="1"/>
  <c r="X448" i="18" s="1"/>
  <c r="X449" i="18" s="1"/>
  <c r="X450" i="18" s="1"/>
  <c r="X451" i="18" s="1"/>
  <c r="X452" i="18" s="1"/>
  <c r="X453" i="18" s="1"/>
  <c r="X454" i="18" s="1"/>
  <c r="X455" i="18" s="1"/>
  <c r="X456" i="18" s="1"/>
  <c r="X457" i="18" s="1"/>
  <c r="X458" i="18" s="1"/>
  <c r="X459" i="18" s="1"/>
  <c r="X460" i="18" s="1"/>
  <c r="X461" i="18" s="1"/>
  <c r="X462" i="18" s="1"/>
  <c r="X463" i="18" s="1"/>
  <c r="X464" i="18" s="1"/>
  <c r="X465" i="18" s="1"/>
  <c r="X466" i="18" s="1"/>
  <c r="X467" i="18" s="1"/>
  <c r="X468" i="18" s="1"/>
  <c r="X469" i="18" s="1"/>
  <c r="X470" i="18" s="1"/>
  <c r="X471" i="18" s="1"/>
  <c r="X472" i="18" s="1"/>
  <c r="X473" i="18" s="1"/>
  <c r="X474" i="18" s="1"/>
  <c r="X475" i="18" s="1"/>
  <c r="X476" i="18" s="1"/>
  <c r="X477" i="18" s="1"/>
  <c r="X478" i="18" s="1"/>
  <c r="X479" i="18" s="1"/>
  <c r="X480" i="18" s="1"/>
  <c r="X481" i="18" s="1"/>
  <c r="X482" i="18" s="1"/>
  <c r="X483" i="18" s="1"/>
  <c r="X484" i="18" s="1"/>
  <c r="X485" i="18" s="1"/>
  <c r="X486" i="18" s="1"/>
  <c r="X487" i="18" s="1"/>
  <c r="X488" i="18" s="1"/>
  <c r="X489" i="18" s="1"/>
  <c r="X490" i="18" s="1"/>
  <c r="X491" i="18" s="1"/>
  <c r="X492" i="18" s="1"/>
  <c r="X493" i="18" s="1"/>
  <c r="X494" i="18" s="1"/>
  <c r="X495" i="18" s="1"/>
  <c r="X496" i="18" s="1"/>
  <c r="X497" i="18" s="1"/>
  <c r="X498" i="18" s="1"/>
  <c r="X499" i="18" s="1"/>
  <c r="X500" i="18" s="1"/>
  <c r="X501" i="18" s="1"/>
  <c r="X502" i="18" s="1"/>
  <c r="X503" i="18" s="1"/>
  <c r="X504" i="18" s="1"/>
  <c r="X505" i="18" s="1"/>
  <c r="X506" i="18" s="1"/>
  <c r="X507" i="18" s="1"/>
  <c r="X508" i="18" s="1"/>
  <c r="X509" i="18" s="1"/>
  <c r="X510" i="18" s="1"/>
  <c r="X511" i="18" s="1"/>
  <c r="X512" i="18" s="1"/>
  <c r="X513" i="18" s="1"/>
  <c r="X514" i="18" s="1"/>
  <c r="X515" i="18" s="1"/>
  <c r="X516" i="18" s="1"/>
  <c r="X517" i="18" s="1"/>
  <c r="X518" i="18" s="1"/>
  <c r="X519" i="18" s="1"/>
  <c r="X520" i="18" s="1"/>
  <c r="X521" i="18" s="1"/>
  <c r="X522" i="18" s="1"/>
  <c r="X523" i="18" s="1"/>
  <c r="X524" i="18" s="1"/>
  <c r="X525" i="18" s="1"/>
  <c r="X526" i="18" s="1"/>
  <c r="X527" i="18" s="1"/>
  <c r="X528" i="18" s="1"/>
  <c r="X529" i="18" s="1"/>
  <c r="X530" i="18" s="1"/>
  <c r="X531" i="18" s="1"/>
  <c r="X532" i="18" s="1"/>
  <c r="X533" i="18" s="1"/>
  <c r="X534" i="18" s="1"/>
  <c r="X535" i="18" s="1"/>
  <c r="X536" i="18" s="1"/>
  <c r="X537" i="18" s="1"/>
  <c r="X538" i="18" s="1"/>
  <c r="X539" i="18" s="1"/>
  <c r="X540" i="18" s="1"/>
  <c r="X541" i="18" s="1"/>
  <c r="X542" i="18" s="1"/>
  <c r="X543" i="18" s="1"/>
  <c r="X544" i="18" s="1"/>
  <c r="X545" i="18" s="1"/>
  <c r="X546" i="18" s="1"/>
  <c r="X547" i="18" s="1"/>
  <c r="X548" i="18" s="1"/>
  <c r="X549" i="18" s="1"/>
  <c r="X550" i="18" s="1"/>
  <c r="X551" i="18" s="1"/>
  <c r="X552" i="18" s="1"/>
  <c r="X553" i="18" s="1"/>
  <c r="X554" i="18" s="1"/>
  <c r="X555" i="18" s="1"/>
  <c r="X556" i="18" s="1"/>
  <c r="X557" i="18" s="1"/>
  <c r="X558" i="18" s="1"/>
  <c r="X559" i="18" s="1"/>
  <c r="X560" i="18" s="1"/>
  <c r="X561" i="18" s="1"/>
  <c r="X562" i="18" s="1"/>
  <c r="X563" i="18" s="1"/>
  <c r="X564" i="18" s="1"/>
  <c r="X565" i="18" s="1"/>
  <c r="X566" i="18" s="1"/>
  <c r="X567" i="18" s="1"/>
  <c r="X568" i="18" s="1"/>
  <c r="X569" i="18" s="1"/>
  <c r="X570" i="18" s="1"/>
  <c r="X571" i="18" s="1"/>
  <c r="X572" i="18" s="1"/>
  <c r="X573" i="18" s="1"/>
  <c r="X574" i="18" s="1"/>
  <c r="X575" i="18" s="1"/>
  <c r="X576" i="18" s="1"/>
  <c r="X577" i="18" s="1"/>
  <c r="X578" i="18" s="1"/>
  <c r="X579" i="18" s="1"/>
  <c r="X580" i="18" s="1"/>
  <c r="X581" i="18" s="1"/>
  <c r="X582" i="18" s="1"/>
  <c r="X583" i="18" s="1"/>
  <c r="X584" i="18" s="1"/>
  <c r="X585" i="18" s="1"/>
  <c r="X586" i="18" s="1"/>
  <c r="X587" i="18" s="1"/>
  <c r="X588" i="18" s="1"/>
  <c r="X589" i="18" s="1"/>
  <c r="X590" i="18" s="1"/>
  <c r="X591" i="18" s="1"/>
  <c r="X592" i="18" s="1"/>
  <c r="X593" i="18" s="1"/>
  <c r="X594" i="18" s="1"/>
  <c r="X595" i="18" s="1"/>
  <c r="X596" i="18" s="1"/>
  <c r="X597" i="18" s="1"/>
  <c r="X598" i="18" s="1"/>
  <c r="X599" i="18" s="1"/>
  <c r="X600" i="18" s="1"/>
  <c r="X601" i="18" s="1"/>
  <c r="X602" i="18" s="1"/>
  <c r="X603" i="18" s="1"/>
  <c r="X604" i="18" s="1"/>
  <c r="X605" i="18" s="1"/>
  <c r="X606" i="18" s="1"/>
  <c r="X607" i="18" s="1"/>
  <c r="X608" i="18" s="1"/>
  <c r="X609" i="18" s="1"/>
  <c r="X610" i="18" s="1"/>
  <c r="X611" i="18" s="1"/>
  <c r="X612" i="18" s="1"/>
  <c r="X613" i="18" s="1"/>
  <c r="X614" i="18" s="1"/>
  <c r="X615" i="18" s="1"/>
  <c r="X616" i="18" s="1"/>
  <c r="X617" i="18" s="1"/>
  <c r="X618" i="18" s="1"/>
  <c r="X619" i="18" s="1"/>
  <c r="X620" i="18" s="1"/>
  <c r="X621" i="18" s="1"/>
  <c r="X622" i="18" s="1"/>
  <c r="X623" i="18" s="1"/>
  <c r="X624" i="18" s="1"/>
  <c r="X625" i="18" s="1"/>
  <c r="X626" i="18" s="1"/>
  <c r="X627" i="18" s="1"/>
  <c r="X628" i="18" s="1"/>
  <c r="X629" i="18" s="1"/>
  <c r="X630" i="18" s="1"/>
  <c r="X631" i="18" s="1"/>
  <c r="X632" i="18" s="1"/>
  <c r="X633" i="18" s="1"/>
  <c r="X634" i="18" s="1"/>
  <c r="X635" i="18" s="1"/>
  <c r="X636" i="18" s="1"/>
  <c r="X637" i="18" s="1"/>
  <c r="X638" i="18" s="1"/>
  <c r="X639" i="18" s="1"/>
  <c r="X640" i="18" s="1"/>
  <c r="X641" i="18" s="1"/>
  <c r="X642" i="18" s="1"/>
  <c r="X643" i="18" s="1"/>
  <c r="X644" i="18" s="1"/>
  <c r="X645" i="18" s="1"/>
  <c r="X646" i="18" s="1"/>
  <c r="X647" i="18" s="1"/>
  <c r="X648" i="18" s="1"/>
  <c r="X649" i="18" s="1"/>
  <c r="X650" i="18" s="1"/>
  <c r="X651" i="18" s="1"/>
  <c r="X652" i="18" s="1"/>
  <c r="X653" i="18" s="1"/>
  <c r="X654" i="18" s="1"/>
  <c r="X655" i="18" s="1"/>
  <c r="X656" i="18" s="1"/>
  <c r="X657" i="18" s="1"/>
  <c r="X658" i="18" s="1"/>
  <c r="X659" i="18" s="1"/>
  <c r="X660" i="18" s="1"/>
  <c r="X661" i="18" s="1"/>
  <c r="X662" i="18" s="1"/>
  <c r="X663" i="18" s="1"/>
  <c r="X664" i="18" s="1"/>
  <c r="X665" i="18" s="1"/>
  <c r="X666" i="18" s="1"/>
  <c r="X667" i="18" s="1"/>
  <c r="X668" i="18" s="1"/>
  <c r="X669" i="18" s="1"/>
  <c r="X670" i="18" s="1"/>
  <c r="X671" i="18" s="1"/>
  <c r="X672" i="18" s="1"/>
  <c r="X673" i="18" s="1"/>
  <c r="X674" i="18" s="1"/>
  <c r="X675" i="18" s="1"/>
  <c r="X676" i="18" s="1"/>
  <c r="X677" i="18" s="1"/>
  <c r="X678" i="18" s="1"/>
  <c r="X679" i="18" s="1"/>
  <c r="X680" i="18" s="1"/>
  <c r="X681" i="18" s="1"/>
  <c r="X682" i="18" s="1"/>
  <c r="X683" i="18" s="1"/>
  <c r="X684" i="18" s="1"/>
  <c r="X685" i="18" s="1"/>
  <c r="X686" i="18" s="1"/>
  <c r="X687" i="18" s="1"/>
  <c r="X688" i="18" s="1"/>
  <c r="X689" i="18" s="1"/>
  <c r="X690" i="18" s="1"/>
  <c r="X691" i="18" s="1"/>
  <c r="X692" i="18" s="1"/>
  <c r="X693" i="18" s="1"/>
  <c r="X694" i="18" s="1"/>
  <c r="X695" i="18" s="1"/>
  <c r="X696" i="18" s="1"/>
  <c r="X697" i="18" s="1"/>
  <c r="X698" i="18" s="1"/>
  <c r="X699" i="18" s="1"/>
  <c r="X700" i="18" s="1"/>
  <c r="X701" i="18" s="1"/>
  <c r="X702" i="18" s="1"/>
  <c r="X703" i="18" s="1"/>
  <c r="X704" i="18" s="1"/>
  <c r="X705" i="18" s="1"/>
  <c r="X706" i="18" s="1"/>
  <c r="X707" i="18" s="1"/>
  <c r="X708" i="18" s="1"/>
  <c r="X709" i="18" s="1"/>
  <c r="X710" i="18" s="1"/>
  <c r="X711" i="18" s="1"/>
  <c r="X712" i="18" s="1"/>
  <c r="X713" i="18" s="1"/>
  <c r="X714" i="18" s="1"/>
  <c r="X715" i="18" s="1"/>
  <c r="X716" i="18" s="1"/>
  <c r="X717" i="18" s="1"/>
  <c r="X718" i="18" s="1"/>
  <c r="X719" i="18" s="1"/>
  <c r="X720" i="18" s="1"/>
  <c r="X721" i="18" s="1"/>
  <c r="X722" i="18" s="1"/>
  <c r="X723" i="18" s="1"/>
  <c r="X724" i="18" s="1"/>
  <c r="X725" i="18" s="1"/>
  <c r="X726" i="18" s="1"/>
  <c r="X727" i="18" s="1"/>
  <c r="X728" i="18" s="1"/>
  <c r="X729" i="18" s="1"/>
  <c r="X730" i="18" s="1"/>
  <c r="X731" i="18" s="1"/>
  <c r="X732" i="18" s="1"/>
  <c r="X733" i="18" s="1"/>
  <c r="X734" i="18" s="1"/>
  <c r="X735" i="18" s="1"/>
  <c r="X736" i="18" s="1"/>
  <c r="X737" i="18" s="1"/>
  <c r="X738" i="18" s="1"/>
  <c r="X739" i="18" s="1"/>
  <c r="X740" i="18" s="1"/>
  <c r="X741" i="18" s="1"/>
  <c r="X742" i="18" s="1"/>
  <c r="X743" i="18" s="1"/>
  <c r="X744" i="18" s="1"/>
  <c r="X745" i="18" s="1"/>
  <c r="X746" i="18" s="1"/>
  <c r="X747" i="18" s="1"/>
  <c r="X748" i="18" s="1"/>
  <c r="X749" i="18" s="1"/>
  <c r="X750" i="18" s="1"/>
  <c r="X751" i="18" s="1"/>
  <c r="X752" i="18" s="1"/>
  <c r="X753" i="18" s="1"/>
  <c r="X754" i="18" s="1"/>
  <c r="X755" i="18" s="1"/>
  <c r="X756" i="18" s="1"/>
  <c r="X757" i="18" s="1"/>
  <c r="X758" i="18" s="1"/>
  <c r="X759" i="18" s="1"/>
  <c r="X760" i="18" s="1"/>
  <c r="X761" i="18" s="1"/>
  <c r="X762" i="18" s="1"/>
  <c r="X763" i="18" s="1"/>
  <c r="X764" i="18" s="1"/>
  <c r="X765" i="18" s="1"/>
  <c r="X766" i="18" s="1"/>
  <c r="X767" i="18" s="1"/>
  <c r="X768" i="18" s="1"/>
  <c r="X769" i="18" s="1"/>
  <c r="X770" i="18" s="1"/>
  <c r="X771" i="18" s="1"/>
  <c r="X772" i="18" s="1"/>
  <c r="X773" i="18" s="1"/>
  <c r="X774" i="18" s="1"/>
  <c r="X775" i="18" s="1"/>
  <c r="X776" i="18" s="1"/>
  <c r="X777" i="18" s="1"/>
  <c r="X778" i="18" s="1"/>
  <c r="X779" i="18" s="1"/>
  <c r="X780" i="18" s="1"/>
  <c r="X781" i="18" s="1"/>
  <c r="X782" i="18" s="1"/>
  <c r="X783" i="18" s="1"/>
  <c r="X784" i="18" s="1"/>
  <c r="X785" i="18" s="1"/>
  <c r="X786" i="18" s="1"/>
  <c r="X787" i="18" s="1"/>
  <c r="X788" i="18" s="1"/>
  <c r="X789" i="18" s="1"/>
  <c r="X790" i="18" s="1"/>
  <c r="X791" i="18" s="1"/>
  <c r="X792" i="18" s="1"/>
  <c r="X793" i="18" s="1"/>
  <c r="X794" i="18" s="1"/>
  <c r="X795" i="18" s="1"/>
  <c r="X796" i="18" s="1"/>
  <c r="X797" i="18" s="1"/>
  <c r="X798" i="18" s="1"/>
  <c r="X799" i="18" s="1"/>
  <c r="X800" i="18" s="1"/>
  <c r="X801" i="18" s="1"/>
  <c r="X802" i="18" s="1"/>
  <c r="X803" i="18" s="1"/>
  <c r="X804" i="18" s="1"/>
  <c r="X805" i="18" s="1"/>
  <c r="X806" i="18" s="1"/>
  <c r="X807" i="18" s="1"/>
  <c r="X808" i="18" s="1"/>
  <c r="X809" i="18" s="1"/>
  <c r="X810" i="18" s="1"/>
  <c r="X811" i="18" s="1"/>
  <c r="X812" i="18" s="1"/>
  <c r="X813" i="18" s="1"/>
  <c r="X814" i="18" s="1"/>
  <c r="X815" i="18" s="1"/>
  <c r="X816" i="18" s="1"/>
  <c r="X817" i="18" s="1"/>
  <c r="X818" i="18" s="1"/>
  <c r="X819" i="18" s="1"/>
  <c r="X820" i="18" s="1"/>
  <c r="X821" i="18" s="1"/>
  <c r="X822" i="18" s="1"/>
  <c r="X823" i="18" s="1"/>
  <c r="X824" i="18" s="1"/>
  <c r="X825" i="18" s="1"/>
  <c r="X826" i="18" s="1"/>
  <c r="X827" i="18" s="1"/>
  <c r="X828" i="18" s="1"/>
  <c r="X829" i="18" s="1"/>
  <c r="X830" i="18" s="1"/>
  <c r="X831" i="18" s="1"/>
  <c r="X832" i="18" s="1"/>
  <c r="X833" i="18" s="1"/>
  <c r="X834" i="18" s="1"/>
  <c r="X835" i="18" s="1"/>
  <c r="X836" i="18" s="1"/>
  <c r="X837" i="18" s="1"/>
  <c r="X838" i="18" s="1"/>
  <c r="X839" i="18" s="1"/>
  <c r="X840" i="18" s="1"/>
  <c r="X841" i="18" s="1"/>
  <c r="X842" i="18" s="1"/>
  <c r="X843" i="18" s="1"/>
  <c r="X844" i="18" s="1"/>
  <c r="X845" i="18" s="1"/>
  <c r="X846" i="18" s="1"/>
  <c r="X847" i="18" s="1"/>
  <c r="X848" i="18" s="1"/>
  <c r="X849" i="18" s="1"/>
  <c r="X850" i="18" s="1"/>
  <c r="X851" i="18" s="1"/>
  <c r="X852" i="18" s="1"/>
  <c r="X853" i="18" s="1"/>
  <c r="X854" i="18" s="1"/>
  <c r="X855" i="18" s="1"/>
  <c r="X856" i="18" s="1"/>
  <c r="X857" i="18" s="1"/>
  <c r="X858" i="18" s="1"/>
  <c r="X859" i="18" s="1"/>
  <c r="X860" i="18" s="1"/>
  <c r="X861" i="18" s="1"/>
  <c r="X862" i="18" s="1"/>
  <c r="X863" i="18" s="1"/>
  <c r="X864" i="18" s="1"/>
  <c r="X865" i="18" s="1"/>
  <c r="X866" i="18" s="1"/>
  <c r="X867" i="18" s="1"/>
  <c r="X868" i="18" s="1"/>
  <c r="X869" i="18" s="1"/>
  <c r="X870" i="18" s="1"/>
  <c r="X871" i="18" s="1"/>
  <c r="X872" i="18" s="1"/>
  <c r="X873" i="18" s="1"/>
  <c r="X874" i="18" s="1"/>
  <c r="X875" i="18" s="1"/>
  <c r="X876" i="18" s="1"/>
  <c r="X877" i="18" s="1"/>
  <c r="X878" i="18" s="1"/>
  <c r="X879" i="18" s="1"/>
  <c r="X880" i="18" s="1"/>
  <c r="X881" i="18" s="1"/>
  <c r="X882" i="18" s="1"/>
  <c r="X883" i="18" s="1"/>
  <c r="X884" i="18" s="1"/>
  <c r="X885" i="18" s="1"/>
  <c r="X886" i="18" s="1"/>
  <c r="X887" i="18" s="1"/>
  <c r="X888" i="18" s="1"/>
  <c r="X889" i="18" s="1"/>
  <c r="X890" i="18" s="1"/>
  <c r="X891" i="18" s="1"/>
  <c r="X892" i="18" s="1"/>
  <c r="X893" i="18" s="1"/>
  <c r="X894" i="18" s="1"/>
  <c r="X895" i="18" s="1"/>
  <c r="X896" i="18" s="1"/>
  <c r="X897" i="18" s="1"/>
  <c r="X898" i="18" s="1"/>
  <c r="X899" i="18" s="1"/>
  <c r="X900" i="18" s="1"/>
  <c r="X901" i="18" s="1"/>
  <c r="X902" i="18" s="1"/>
  <c r="X903" i="18" s="1"/>
  <c r="X904" i="18" s="1"/>
  <c r="X905" i="18" s="1"/>
  <c r="X906" i="18" s="1"/>
  <c r="X907" i="18" s="1"/>
  <c r="X908" i="18" s="1"/>
  <c r="X909" i="18" s="1"/>
  <c r="X910" i="18" s="1"/>
  <c r="X911" i="18" s="1"/>
  <c r="X912" i="18" s="1"/>
  <c r="X913" i="18" s="1"/>
  <c r="X914" i="18" s="1"/>
  <c r="X915" i="18" s="1"/>
  <c r="X916" i="18" s="1"/>
  <c r="X917" i="18" s="1"/>
  <c r="X918" i="18" s="1"/>
  <c r="X919" i="18" s="1"/>
  <c r="X920" i="18" s="1"/>
  <c r="X921" i="18" s="1"/>
  <c r="X922" i="18" s="1"/>
  <c r="X923" i="18" s="1"/>
  <c r="X924" i="18" s="1"/>
  <c r="X925" i="18" s="1"/>
  <c r="X926" i="18" s="1"/>
  <c r="X927" i="18" s="1"/>
  <c r="X928" i="18" s="1"/>
  <c r="X929" i="18" s="1"/>
  <c r="X930" i="18" s="1"/>
  <c r="X931" i="18" s="1"/>
  <c r="X932" i="18" s="1"/>
  <c r="X933" i="18" s="1"/>
  <c r="X934" i="18" s="1"/>
  <c r="X935" i="18" s="1"/>
  <c r="X936" i="18" s="1"/>
  <c r="X937" i="18" s="1"/>
  <c r="X938" i="18" s="1"/>
  <c r="X939" i="18" s="1"/>
  <c r="X940" i="18" s="1"/>
  <c r="X941" i="18" s="1"/>
  <c r="X942" i="18" s="1"/>
  <c r="X943" i="18" s="1"/>
  <c r="X944" i="18" s="1"/>
  <c r="X945" i="18" s="1"/>
  <c r="X946" i="18" s="1"/>
  <c r="X947" i="18" s="1"/>
  <c r="X948" i="18" s="1"/>
  <c r="X949" i="18" s="1"/>
  <c r="X950" i="18" s="1"/>
  <c r="X951" i="18" s="1"/>
  <c r="X952" i="18" s="1"/>
  <c r="X953" i="18" s="1"/>
  <c r="X954" i="18" s="1"/>
  <c r="X955" i="18" s="1"/>
  <c r="X956" i="18" s="1"/>
  <c r="X957" i="18" s="1"/>
  <c r="X958" i="18" s="1"/>
  <c r="X959" i="18" s="1"/>
  <c r="X960" i="18" s="1"/>
  <c r="X961" i="18" s="1"/>
  <c r="X962" i="18" s="1"/>
  <c r="X963" i="18" s="1"/>
  <c r="X964" i="18" s="1"/>
  <c r="X965" i="18" s="1"/>
  <c r="X966" i="18" s="1"/>
  <c r="X967" i="18" s="1"/>
  <c r="X968" i="18" s="1"/>
  <c r="X969" i="18" s="1"/>
  <c r="X970" i="18" s="1"/>
  <c r="X971" i="18" s="1"/>
  <c r="X972" i="18" s="1"/>
  <c r="X973" i="18" s="1"/>
  <c r="X974" i="18" s="1"/>
  <c r="X975" i="18" s="1"/>
  <c r="X976" i="18" s="1"/>
  <c r="X977" i="18" s="1"/>
  <c r="X978" i="18" s="1"/>
  <c r="X979" i="18" s="1"/>
  <c r="X980" i="18" s="1"/>
  <c r="X981" i="18" s="1"/>
  <c r="X982" i="18" s="1"/>
  <c r="X983" i="18" s="1"/>
  <c r="X984" i="18" s="1"/>
  <c r="X985" i="18" s="1"/>
  <c r="X986" i="18" s="1"/>
  <c r="X987" i="18" s="1"/>
  <c r="X988" i="18" s="1"/>
  <c r="X989" i="18" s="1"/>
  <c r="X990" i="18" s="1"/>
  <c r="X991" i="18" s="1"/>
  <c r="X992" i="18" s="1"/>
  <c r="X993" i="18" s="1"/>
  <c r="X994" i="18" s="1"/>
  <c r="X995" i="18" s="1"/>
  <c r="X996" i="18" s="1"/>
  <c r="X997" i="18" s="1"/>
  <c r="X998" i="18" s="1"/>
  <c r="X999" i="18" s="1"/>
  <c r="X1000" i="18" s="1"/>
  <c r="X1001" i="18" s="1"/>
  <c r="X1002" i="18" s="1"/>
  <c r="X1003" i="18" s="1"/>
  <c r="X1004" i="18" s="1"/>
  <c r="X1005" i="18" s="1"/>
  <c r="X1006" i="18" s="1"/>
  <c r="X1007" i="18" s="1"/>
  <c r="X1008" i="18" s="1"/>
  <c r="X1009" i="18" s="1"/>
  <c r="X1010" i="18" s="1"/>
  <c r="X1011" i="18" s="1"/>
  <c r="X1012" i="18" s="1"/>
  <c r="X1013" i="18" s="1"/>
  <c r="X1014" i="18" s="1"/>
  <c r="X1015" i="18" s="1"/>
  <c r="X1016" i="18" s="1"/>
  <c r="X1017" i="18" s="1"/>
  <c r="X1018" i="18" s="1"/>
  <c r="X1019" i="18" s="1"/>
  <c r="X1020" i="18" s="1"/>
  <c r="X1021" i="18" s="1"/>
  <c r="X1022" i="18" s="1"/>
  <c r="X1023" i="18" s="1"/>
  <c r="X1024" i="18" s="1"/>
  <c r="X1025" i="18" s="1"/>
  <c r="X1026" i="18" s="1"/>
  <c r="X1027" i="18" s="1"/>
  <c r="X1028" i="18" s="1"/>
  <c r="X1029" i="18" s="1"/>
  <c r="X1030" i="18" s="1"/>
  <c r="X1031" i="18" s="1"/>
  <c r="X1032" i="18" s="1"/>
  <c r="X1033" i="18" s="1"/>
  <c r="X1034" i="18" s="1"/>
  <c r="X1035" i="18" s="1"/>
  <c r="X1036" i="18" s="1"/>
  <c r="X1037" i="18" s="1"/>
  <c r="X1038" i="18" s="1"/>
  <c r="X1039" i="18" s="1"/>
  <c r="X1040" i="18" s="1"/>
  <c r="X1041" i="18" s="1"/>
  <c r="X1042" i="18" s="1"/>
  <c r="X1043" i="18" s="1"/>
  <c r="X1044" i="18" s="1"/>
  <c r="X1045" i="18" s="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V95" i="18" s="1"/>
  <c r="V96" i="18" s="1"/>
  <c r="V97" i="18" s="1"/>
  <c r="V98" i="18" s="1"/>
  <c r="V99" i="18" s="1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19" i="18" s="1"/>
  <c r="V120" i="18" s="1"/>
  <c r="V121" i="18" s="1"/>
  <c r="V122" i="18" s="1"/>
  <c r="V123" i="18" s="1"/>
  <c r="V124" i="18" s="1"/>
  <c r="V125" i="18" s="1"/>
  <c r="V126" i="18" s="1"/>
  <c r="V127" i="18" s="1"/>
  <c r="V128" i="18" s="1"/>
  <c r="V129" i="18" s="1"/>
  <c r="V130" i="18" s="1"/>
  <c r="V131" i="18" s="1"/>
  <c r="V132" i="18" s="1"/>
  <c r="V133" i="18" s="1"/>
  <c r="V134" i="18" s="1"/>
  <c r="V135" i="18" s="1"/>
  <c r="V136" i="18" s="1"/>
  <c r="V137" i="18" s="1"/>
  <c r="V138" i="18" s="1"/>
  <c r="V139" i="18" s="1"/>
  <c r="V140" i="18" s="1"/>
  <c r="V141" i="18" s="1"/>
  <c r="V142" i="18" s="1"/>
  <c r="V143" i="18" s="1"/>
  <c r="V144" i="18" s="1"/>
  <c r="V145" i="18" s="1"/>
  <c r="V146" i="18" s="1"/>
  <c r="V147" i="18" s="1"/>
  <c r="V148" i="18" s="1"/>
  <c r="V149" i="18" s="1"/>
  <c r="V150" i="18" s="1"/>
  <c r="V151" i="18" s="1"/>
  <c r="V152" i="18" s="1"/>
  <c r="V153" i="18" s="1"/>
  <c r="V154" i="18" s="1"/>
  <c r="V155" i="18" s="1"/>
  <c r="V156" i="18" s="1"/>
  <c r="V157" i="18" s="1"/>
  <c r="V158" i="18" s="1"/>
  <c r="V159" i="18" s="1"/>
  <c r="V160" i="18" s="1"/>
  <c r="V161" i="18" s="1"/>
  <c r="V162" i="18" s="1"/>
  <c r="V163" i="18" s="1"/>
  <c r="V164" i="18" s="1"/>
  <c r="V165" i="18" s="1"/>
  <c r="V166" i="18" s="1"/>
  <c r="V167" i="18" s="1"/>
  <c r="V168" i="18" s="1"/>
  <c r="V169" i="18" s="1"/>
  <c r="V170" i="18" s="1"/>
  <c r="V171" i="18" s="1"/>
  <c r="V172" i="18" s="1"/>
  <c r="V173" i="18" s="1"/>
  <c r="V174" i="18" s="1"/>
  <c r="V175" i="18" s="1"/>
  <c r="V176" i="18" s="1"/>
  <c r="V177" i="18" s="1"/>
  <c r="V178" i="18" s="1"/>
  <c r="V179" i="18" s="1"/>
  <c r="V180" i="18" s="1"/>
  <c r="V181" i="18" s="1"/>
  <c r="V182" i="18" s="1"/>
  <c r="V183" i="18" s="1"/>
  <c r="V184" i="18" s="1"/>
  <c r="V185" i="18" s="1"/>
  <c r="V186" i="18" s="1"/>
  <c r="V187" i="18" s="1"/>
  <c r="V188" i="18" s="1"/>
  <c r="V189" i="18" s="1"/>
  <c r="V190" i="18" s="1"/>
  <c r="V191" i="18" s="1"/>
  <c r="V192" i="18" s="1"/>
  <c r="V193" i="18" s="1"/>
  <c r="V194" i="18" s="1"/>
  <c r="V195" i="18" s="1"/>
  <c r="V196" i="18" s="1"/>
  <c r="V197" i="18" s="1"/>
  <c r="V198" i="18" s="1"/>
  <c r="V199" i="18" s="1"/>
  <c r="V200" i="18" s="1"/>
  <c r="V201" i="18" s="1"/>
  <c r="V202" i="18" s="1"/>
  <c r="V203" i="18" s="1"/>
  <c r="V204" i="18" s="1"/>
  <c r="V205" i="18" s="1"/>
  <c r="V206" i="18" s="1"/>
  <c r="V207" i="18" s="1"/>
  <c r="V208" i="18" s="1"/>
  <c r="V209" i="18" s="1"/>
  <c r="V210" i="18" s="1"/>
  <c r="V211" i="18" s="1"/>
  <c r="V212" i="18" s="1"/>
  <c r="V213" i="18" s="1"/>
  <c r="V214" i="18" s="1"/>
  <c r="V215" i="18" s="1"/>
  <c r="V216" i="18" s="1"/>
  <c r="V217" i="18" s="1"/>
  <c r="V218" i="18" s="1"/>
  <c r="V219" i="18" s="1"/>
  <c r="V220" i="18" s="1"/>
  <c r="V221" i="18" s="1"/>
  <c r="V222" i="18" s="1"/>
  <c r="V223" i="18" s="1"/>
  <c r="V224" i="18" s="1"/>
  <c r="V225" i="18" s="1"/>
  <c r="V226" i="18" s="1"/>
  <c r="V227" i="18" s="1"/>
  <c r="V228" i="18" s="1"/>
  <c r="V229" i="18" s="1"/>
  <c r="V230" i="18" s="1"/>
  <c r="V231" i="18" s="1"/>
  <c r="V232" i="18" s="1"/>
  <c r="V233" i="18" s="1"/>
  <c r="V234" i="18" s="1"/>
  <c r="V235" i="18" s="1"/>
  <c r="V236" i="18" s="1"/>
  <c r="V237" i="18" s="1"/>
  <c r="V238" i="18" s="1"/>
  <c r="V239" i="18" s="1"/>
  <c r="V240" i="18" s="1"/>
  <c r="V241" i="18" s="1"/>
  <c r="V242" i="18" s="1"/>
  <c r="V243" i="18" s="1"/>
  <c r="V244" i="18" s="1"/>
  <c r="V245" i="18" s="1"/>
  <c r="V246" i="18" s="1"/>
  <c r="V247" i="18" s="1"/>
  <c r="V248" i="18" s="1"/>
  <c r="V249" i="18" s="1"/>
  <c r="V250" i="18" s="1"/>
  <c r="V251" i="18" s="1"/>
  <c r="V252" i="18" s="1"/>
  <c r="V253" i="18" s="1"/>
  <c r="V254" i="18" s="1"/>
  <c r="V255" i="18" s="1"/>
  <c r="V256" i="18" s="1"/>
  <c r="V257" i="18" s="1"/>
  <c r="V258" i="18" s="1"/>
  <c r="V259" i="18" s="1"/>
  <c r="V260" i="18" s="1"/>
  <c r="V261" i="18" s="1"/>
  <c r="V262" i="18" s="1"/>
  <c r="V263" i="18" s="1"/>
  <c r="V264" i="18" s="1"/>
  <c r="V265" i="18" s="1"/>
  <c r="V266" i="18" s="1"/>
  <c r="V267" i="18" s="1"/>
  <c r="V268" i="18" s="1"/>
  <c r="V269" i="18" s="1"/>
  <c r="V270" i="18" s="1"/>
  <c r="V271" i="18" s="1"/>
  <c r="V272" i="18" s="1"/>
  <c r="V273" i="18" s="1"/>
  <c r="V274" i="18" s="1"/>
  <c r="V275" i="18" s="1"/>
  <c r="V276" i="18" s="1"/>
  <c r="V277" i="18" s="1"/>
  <c r="V278" i="18" s="1"/>
  <c r="V279" i="18" s="1"/>
  <c r="V280" i="18" s="1"/>
  <c r="V281" i="18" s="1"/>
  <c r="V282" i="18" s="1"/>
  <c r="V283" i="18" s="1"/>
  <c r="V284" i="18" s="1"/>
  <c r="V285" i="18" s="1"/>
  <c r="V286" i="18" s="1"/>
  <c r="V287" i="18" s="1"/>
  <c r="V288" i="18" s="1"/>
  <c r="V289" i="18" s="1"/>
  <c r="V290" i="18" s="1"/>
  <c r="V291" i="18" s="1"/>
  <c r="V292" i="18" s="1"/>
  <c r="V293" i="18" s="1"/>
  <c r="V294" i="18" s="1"/>
  <c r="V295" i="18" s="1"/>
  <c r="V296" i="18" s="1"/>
  <c r="V297" i="18" s="1"/>
  <c r="V298" i="18" s="1"/>
  <c r="V299" i="18" s="1"/>
  <c r="V300" i="18" s="1"/>
  <c r="V301" i="18" s="1"/>
  <c r="V302" i="18" s="1"/>
  <c r="V303" i="18" s="1"/>
  <c r="V304" i="18" s="1"/>
  <c r="V305" i="18" s="1"/>
  <c r="V306" i="18" s="1"/>
  <c r="V307" i="18" s="1"/>
  <c r="V308" i="18" s="1"/>
  <c r="V309" i="18" s="1"/>
  <c r="V310" i="18" s="1"/>
  <c r="V311" i="18" s="1"/>
  <c r="V312" i="18" s="1"/>
  <c r="V313" i="18" s="1"/>
  <c r="V314" i="18" s="1"/>
  <c r="V315" i="18" s="1"/>
  <c r="V316" i="18" s="1"/>
  <c r="V317" i="18" s="1"/>
  <c r="V318" i="18" s="1"/>
  <c r="V319" i="18" s="1"/>
  <c r="V320" i="18" s="1"/>
  <c r="V321" i="18" s="1"/>
  <c r="V322" i="18" s="1"/>
  <c r="V323" i="18" s="1"/>
  <c r="V324" i="18" s="1"/>
  <c r="V325" i="18" s="1"/>
  <c r="V326" i="18" s="1"/>
  <c r="V327" i="18" s="1"/>
  <c r="V328" i="18" s="1"/>
  <c r="V329" i="18" s="1"/>
  <c r="V330" i="18" s="1"/>
  <c r="V331" i="18" s="1"/>
  <c r="V332" i="18" s="1"/>
  <c r="V333" i="18" s="1"/>
  <c r="V334" i="18" s="1"/>
  <c r="V335" i="18" s="1"/>
  <c r="V336" i="18" s="1"/>
  <c r="V337" i="18" s="1"/>
  <c r="V338" i="18" s="1"/>
  <c r="V339" i="18" s="1"/>
  <c r="V340" i="18" s="1"/>
  <c r="V341" i="18" s="1"/>
  <c r="V342" i="18" s="1"/>
  <c r="V343" i="18" s="1"/>
  <c r="V344" i="18" s="1"/>
  <c r="V345" i="18" s="1"/>
  <c r="V346" i="18" s="1"/>
  <c r="V347" i="18" s="1"/>
  <c r="V348" i="18" s="1"/>
  <c r="V349" i="18" s="1"/>
  <c r="V350" i="18" s="1"/>
  <c r="V351" i="18" s="1"/>
  <c r="V352" i="18" s="1"/>
  <c r="V353" i="18" s="1"/>
  <c r="V354" i="18" s="1"/>
  <c r="V355" i="18" s="1"/>
  <c r="V356" i="18" s="1"/>
  <c r="V357" i="18" s="1"/>
  <c r="V358" i="18" s="1"/>
  <c r="V359" i="18" s="1"/>
  <c r="V360" i="18" s="1"/>
  <c r="V361" i="18" s="1"/>
  <c r="V362" i="18" s="1"/>
  <c r="V363" i="18" s="1"/>
  <c r="V364" i="18" s="1"/>
  <c r="V365" i="18" s="1"/>
  <c r="V366" i="18" s="1"/>
  <c r="V367" i="18" s="1"/>
  <c r="V368" i="18" s="1"/>
  <c r="V369" i="18" s="1"/>
  <c r="V370" i="18" s="1"/>
  <c r="V371" i="18" s="1"/>
  <c r="V372" i="18" s="1"/>
  <c r="V373" i="18" s="1"/>
  <c r="V374" i="18" s="1"/>
  <c r="V375" i="18" s="1"/>
  <c r="V376" i="18" s="1"/>
  <c r="V377" i="18" s="1"/>
  <c r="V378" i="18" s="1"/>
  <c r="V379" i="18" s="1"/>
  <c r="V380" i="18" s="1"/>
  <c r="V381" i="18" s="1"/>
  <c r="V382" i="18" s="1"/>
  <c r="V383" i="18" s="1"/>
  <c r="V384" i="18" s="1"/>
  <c r="V385" i="18" s="1"/>
  <c r="V386" i="18" s="1"/>
  <c r="V387" i="18" s="1"/>
  <c r="V388" i="18" s="1"/>
  <c r="V389" i="18" s="1"/>
  <c r="V390" i="18" s="1"/>
  <c r="V391" i="18" s="1"/>
  <c r="V392" i="18" s="1"/>
  <c r="V393" i="18" s="1"/>
  <c r="V394" i="18" s="1"/>
  <c r="V395" i="18" s="1"/>
  <c r="V396" i="18" s="1"/>
  <c r="V397" i="18" s="1"/>
  <c r="V398" i="18" s="1"/>
  <c r="V399" i="18" s="1"/>
  <c r="V400" i="18" s="1"/>
  <c r="V401" i="18" s="1"/>
  <c r="V402" i="18" s="1"/>
  <c r="V403" i="18" s="1"/>
  <c r="V404" i="18" s="1"/>
  <c r="V405" i="18" s="1"/>
  <c r="V406" i="18" s="1"/>
  <c r="V407" i="18" s="1"/>
  <c r="V408" i="18" s="1"/>
  <c r="V409" i="18" s="1"/>
  <c r="V410" i="18" s="1"/>
  <c r="V411" i="18" s="1"/>
  <c r="V412" i="18" s="1"/>
  <c r="V413" i="18" s="1"/>
  <c r="V414" i="18" s="1"/>
  <c r="V415" i="18" s="1"/>
  <c r="V416" i="18" s="1"/>
  <c r="V417" i="18" s="1"/>
  <c r="V418" i="18" s="1"/>
  <c r="V419" i="18" s="1"/>
  <c r="V420" i="18" s="1"/>
  <c r="V421" i="18" s="1"/>
  <c r="V422" i="18" s="1"/>
  <c r="V423" i="18" s="1"/>
  <c r="V424" i="18" s="1"/>
  <c r="V425" i="18" s="1"/>
  <c r="V426" i="18" s="1"/>
  <c r="V427" i="18" s="1"/>
  <c r="V428" i="18" s="1"/>
  <c r="V429" i="18" s="1"/>
  <c r="V430" i="18" s="1"/>
  <c r="V431" i="18" s="1"/>
  <c r="V432" i="18" s="1"/>
  <c r="V433" i="18" s="1"/>
  <c r="V434" i="18" s="1"/>
  <c r="V435" i="18" s="1"/>
  <c r="V436" i="18" s="1"/>
  <c r="V437" i="18" s="1"/>
  <c r="V438" i="18" s="1"/>
  <c r="V439" i="18" s="1"/>
  <c r="V440" i="18" s="1"/>
  <c r="V441" i="18" s="1"/>
  <c r="V442" i="18" s="1"/>
  <c r="V443" i="18" s="1"/>
  <c r="V444" i="18" s="1"/>
  <c r="V445" i="18" s="1"/>
  <c r="V446" i="18" s="1"/>
  <c r="V447" i="18" s="1"/>
  <c r="V448" i="18" s="1"/>
  <c r="V449" i="18" s="1"/>
  <c r="V450" i="18" s="1"/>
  <c r="V451" i="18" s="1"/>
  <c r="V452" i="18" s="1"/>
  <c r="V453" i="18" s="1"/>
  <c r="V454" i="18" s="1"/>
  <c r="V455" i="18" s="1"/>
  <c r="V456" i="18" s="1"/>
  <c r="V457" i="18" s="1"/>
  <c r="V458" i="18" s="1"/>
  <c r="V459" i="18" s="1"/>
  <c r="V460" i="18" s="1"/>
  <c r="V461" i="18" s="1"/>
  <c r="V462" i="18" s="1"/>
  <c r="V463" i="18" s="1"/>
  <c r="V464" i="18" s="1"/>
  <c r="V465" i="18" s="1"/>
  <c r="V466" i="18" s="1"/>
  <c r="V467" i="18" s="1"/>
  <c r="V468" i="18" s="1"/>
  <c r="V469" i="18" s="1"/>
  <c r="V470" i="18" s="1"/>
  <c r="V471" i="18" s="1"/>
  <c r="V472" i="18" s="1"/>
  <c r="V473" i="18" s="1"/>
  <c r="V474" i="18" s="1"/>
  <c r="V475" i="18" s="1"/>
  <c r="V476" i="18" s="1"/>
  <c r="V477" i="18" s="1"/>
  <c r="V478" i="18" s="1"/>
  <c r="V479" i="18" s="1"/>
  <c r="V480" i="18" s="1"/>
  <c r="V481" i="18" s="1"/>
  <c r="V482" i="18" s="1"/>
  <c r="V483" i="18" s="1"/>
  <c r="V484" i="18" s="1"/>
  <c r="V485" i="18" s="1"/>
  <c r="V486" i="18" s="1"/>
  <c r="V487" i="18" s="1"/>
  <c r="V488" i="18" s="1"/>
  <c r="V489" i="18" s="1"/>
  <c r="V490" i="18" s="1"/>
  <c r="V491" i="18" s="1"/>
  <c r="V492" i="18" s="1"/>
  <c r="V493" i="18" s="1"/>
  <c r="V494" i="18" s="1"/>
  <c r="V495" i="18" s="1"/>
  <c r="V496" i="18" s="1"/>
  <c r="V497" i="18" s="1"/>
  <c r="V498" i="18" s="1"/>
  <c r="V499" i="18" s="1"/>
  <c r="V500" i="18" s="1"/>
  <c r="V501" i="18" s="1"/>
  <c r="V502" i="18" s="1"/>
  <c r="V503" i="18" s="1"/>
  <c r="V504" i="18" s="1"/>
  <c r="V505" i="18" s="1"/>
  <c r="V506" i="18" s="1"/>
  <c r="V507" i="18" s="1"/>
  <c r="V508" i="18" s="1"/>
  <c r="V509" i="18" s="1"/>
  <c r="V510" i="18" s="1"/>
  <c r="V511" i="18" s="1"/>
  <c r="V512" i="18" s="1"/>
  <c r="V513" i="18" s="1"/>
  <c r="V514" i="18" s="1"/>
  <c r="V515" i="18" s="1"/>
  <c r="V516" i="18" s="1"/>
  <c r="V517" i="18" s="1"/>
  <c r="V518" i="18" s="1"/>
  <c r="V519" i="18" s="1"/>
  <c r="V520" i="18" s="1"/>
  <c r="V521" i="18" s="1"/>
  <c r="V522" i="18" s="1"/>
  <c r="V523" i="18" s="1"/>
  <c r="V524" i="18" s="1"/>
  <c r="V525" i="18" s="1"/>
  <c r="V526" i="18" s="1"/>
  <c r="V527" i="18" s="1"/>
  <c r="V528" i="18" s="1"/>
  <c r="V529" i="18" s="1"/>
  <c r="V530" i="18" s="1"/>
  <c r="V531" i="18" s="1"/>
  <c r="V532" i="18" s="1"/>
  <c r="V533" i="18" s="1"/>
  <c r="V534" i="18" s="1"/>
  <c r="V535" i="18" s="1"/>
  <c r="V536" i="18" s="1"/>
  <c r="V537" i="18" s="1"/>
  <c r="V538" i="18" s="1"/>
  <c r="V539" i="18" s="1"/>
  <c r="V540" i="18" s="1"/>
  <c r="V541" i="18" s="1"/>
  <c r="V542" i="18" s="1"/>
  <c r="V543" i="18" s="1"/>
  <c r="V544" i="18" s="1"/>
  <c r="V545" i="18" s="1"/>
  <c r="V546" i="18" s="1"/>
  <c r="V547" i="18" s="1"/>
  <c r="V548" i="18" s="1"/>
  <c r="V549" i="18" s="1"/>
  <c r="V550" i="18" s="1"/>
  <c r="V551" i="18" s="1"/>
  <c r="V552" i="18" s="1"/>
  <c r="V553" i="18" s="1"/>
  <c r="V554" i="18" s="1"/>
  <c r="V555" i="18" s="1"/>
  <c r="V556" i="18" s="1"/>
  <c r="V557" i="18" s="1"/>
  <c r="V558" i="18" s="1"/>
  <c r="V559" i="18" s="1"/>
  <c r="V560" i="18" s="1"/>
  <c r="V561" i="18" s="1"/>
  <c r="V562" i="18" s="1"/>
  <c r="V563" i="18" s="1"/>
  <c r="V564" i="18" s="1"/>
  <c r="V565" i="18" s="1"/>
  <c r="V566" i="18" s="1"/>
  <c r="V567" i="18" s="1"/>
  <c r="V568" i="18" s="1"/>
  <c r="V569" i="18" s="1"/>
  <c r="V570" i="18" s="1"/>
  <c r="V571" i="18" s="1"/>
  <c r="V572" i="18" s="1"/>
  <c r="V573" i="18" s="1"/>
  <c r="V574" i="18" s="1"/>
  <c r="V575" i="18" s="1"/>
  <c r="V576" i="18" s="1"/>
  <c r="V577" i="18" s="1"/>
  <c r="V578" i="18" s="1"/>
  <c r="V579" i="18" s="1"/>
  <c r="V580" i="18" s="1"/>
  <c r="V581" i="18" s="1"/>
  <c r="V582" i="18" s="1"/>
  <c r="V583" i="18" s="1"/>
  <c r="V584" i="18" s="1"/>
  <c r="V585" i="18" s="1"/>
  <c r="V586" i="18" s="1"/>
  <c r="V587" i="18" s="1"/>
  <c r="V588" i="18" s="1"/>
  <c r="V589" i="18" s="1"/>
  <c r="V590" i="18" s="1"/>
  <c r="V591" i="18" s="1"/>
  <c r="V592" i="18" s="1"/>
  <c r="V593" i="18" s="1"/>
  <c r="V594" i="18" s="1"/>
  <c r="V595" i="18" s="1"/>
  <c r="V596" i="18" s="1"/>
  <c r="V597" i="18" s="1"/>
  <c r="V598" i="18" s="1"/>
  <c r="V599" i="18" s="1"/>
  <c r="V600" i="18" s="1"/>
  <c r="V601" i="18" s="1"/>
  <c r="V602" i="18" s="1"/>
  <c r="V603" i="18" s="1"/>
  <c r="V604" i="18" s="1"/>
  <c r="V605" i="18" s="1"/>
  <c r="V606" i="18" s="1"/>
  <c r="V607" i="18" s="1"/>
  <c r="V608" i="18" s="1"/>
  <c r="V609" i="18" s="1"/>
  <c r="V610" i="18" s="1"/>
  <c r="V611" i="18" s="1"/>
  <c r="V612" i="18" s="1"/>
  <c r="V613" i="18" s="1"/>
  <c r="V614" i="18" s="1"/>
  <c r="V615" i="18" s="1"/>
  <c r="V616" i="18" s="1"/>
  <c r="V617" i="18" s="1"/>
  <c r="V618" i="18" s="1"/>
  <c r="V619" i="18" s="1"/>
  <c r="V620" i="18" s="1"/>
  <c r="V621" i="18" s="1"/>
  <c r="V622" i="18" s="1"/>
  <c r="V623" i="18" s="1"/>
  <c r="V624" i="18" s="1"/>
  <c r="V625" i="18" s="1"/>
  <c r="V626" i="18" s="1"/>
  <c r="V627" i="18" s="1"/>
  <c r="V628" i="18" s="1"/>
  <c r="V629" i="18" s="1"/>
  <c r="V630" i="18" s="1"/>
  <c r="V631" i="18" s="1"/>
  <c r="V632" i="18" s="1"/>
  <c r="V633" i="18" s="1"/>
  <c r="V634" i="18" s="1"/>
  <c r="V635" i="18" s="1"/>
  <c r="V636" i="18" s="1"/>
  <c r="V637" i="18" s="1"/>
  <c r="V638" i="18" s="1"/>
  <c r="V639" i="18" s="1"/>
  <c r="V640" i="18" s="1"/>
  <c r="V641" i="18" s="1"/>
  <c r="V642" i="18" s="1"/>
  <c r="V643" i="18" s="1"/>
  <c r="V644" i="18" s="1"/>
  <c r="V645" i="18" s="1"/>
  <c r="V646" i="18" s="1"/>
  <c r="V647" i="18" s="1"/>
  <c r="V648" i="18" s="1"/>
  <c r="V649" i="18" s="1"/>
  <c r="V650" i="18" s="1"/>
  <c r="V651" i="18" s="1"/>
  <c r="V652" i="18" s="1"/>
  <c r="V653" i="18" s="1"/>
  <c r="V654" i="18" s="1"/>
  <c r="V655" i="18" s="1"/>
  <c r="V656" i="18" s="1"/>
  <c r="V657" i="18" s="1"/>
  <c r="V658" i="18" s="1"/>
  <c r="V659" i="18" s="1"/>
  <c r="V660" i="18" s="1"/>
  <c r="V661" i="18" s="1"/>
  <c r="V662" i="18" s="1"/>
  <c r="V663" i="18" s="1"/>
  <c r="V664" i="18" s="1"/>
  <c r="V665" i="18" s="1"/>
  <c r="V666" i="18" s="1"/>
  <c r="V667" i="18" s="1"/>
  <c r="V668" i="18" s="1"/>
  <c r="V669" i="18" s="1"/>
  <c r="V670" i="18" s="1"/>
  <c r="V671" i="18" s="1"/>
  <c r="V672" i="18" s="1"/>
  <c r="V673" i="18" s="1"/>
  <c r="V674" i="18" s="1"/>
  <c r="V675" i="18" s="1"/>
  <c r="V676" i="18" s="1"/>
  <c r="V677" i="18" s="1"/>
  <c r="V678" i="18" s="1"/>
  <c r="V679" i="18" s="1"/>
  <c r="V680" i="18" s="1"/>
  <c r="V681" i="18" s="1"/>
  <c r="V682" i="18" s="1"/>
  <c r="V683" i="18" s="1"/>
  <c r="V684" i="18" s="1"/>
  <c r="V685" i="18" s="1"/>
  <c r="V686" i="18" s="1"/>
  <c r="V687" i="18" s="1"/>
  <c r="V688" i="18" s="1"/>
  <c r="V689" i="18" s="1"/>
  <c r="V690" i="18" s="1"/>
  <c r="V691" i="18" s="1"/>
  <c r="V692" i="18" s="1"/>
  <c r="V693" i="18" s="1"/>
  <c r="V694" i="18" s="1"/>
  <c r="V695" i="18" s="1"/>
  <c r="V696" i="18" s="1"/>
  <c r="V697" i="18" s="1"/>
  <c r="V698" i="18" s="1"/>
  <c r="V699" i="18" s="1"/>
  <c r="V700" i="18" s="1"/>
  <c r="V701" i="18" s="1"/>
  <c r="V702" i="18" s="1"/>
  <c r="V703" i="18" s="1"/>
  <c r="V704" i="18" s="1"/>
  <c r="V705" i="18" s="1"/>
  <c r="V706" i="18" s="1"/>
  <c r="V707" i="18" s="1"/>
  <c r="V708" i="18" s="1"/>
  <c r="V709" i="18" s="1"/>
  <c r="V710" i="18" s="1"/>
  <c r="V711" i="18" s="1"/>
  <c r="V712" i="18" s="1"/>
  <c r="V713" i="18" s="1"/>
  <c r="V714" i="18" s="1"/>
  <c r="V715" i="18" s="1"/>
  <c r="V716" i="18" s="1"/>
  <c r="V717" i="18" s="1"/>
  <c r="V718" i="18" s="1"/>
  <c r="V719" i="18" s="1"/>
  <c r="V720" i="18" s="1"/>
  <c r="V721" i="18" s="1"/>
  <c r="V722" i="18" s="1"/>
  <c r="V723" i="18" s="1"/>
  <c r="V724" i="18" s="1"/>
  <c r="V725" i="18" s="1"/>
  <c r="V726" i="18" s="1"/>
  <c r="V727" i="18" s="1"/>
  <c r="V728" i="18" s="1"/>
  <c r="V729" i="18" s="1"/>
  <c r="V730" i="18" s="1"/>
  <c r="V731" i="18" s="1"/>
  <c r="V732" i="18" s="1"/>
  <c r="V733" i="18" s="1"/>
  <c r="V734" i="18" s="1"/>
  <c r="V735" i="18" s="1"/>
  <c r="V736" i="18" s="1"/>
  <c r="V737" i="18" s="1"/>
  <c r="V738" i="18" s="1"/>
  <c r="V739" i="18" s="1"/>
  <c r="V740" i="18" s="1"/>
  <c r="V741" i="18" s="1"/>
  <c r="V742" i="18" s="1"/>
  <c r="V743" i="18" s="1"/>
  <c r="V744" i="18" s="1"/>
  <c r="V745" i="18" s="1"/>
  <c r="V746" i="18" s="1"/>
  <c r="V747" i="18" s="1"/>
  <c r="V748" i="18" s="1"/>
  <c r="V749" i="18" s="1"/>
  <c r="V750" i="18" s="1"/>
  <c r="V751" i="18" s="1"/>
  <c r="V752" i="18" s="1"/>
  <c r="V753" i="18" s="1"/>
  <c r="V754" i="18" s="1"/>
  <c r="V755" i="18" s="1"/>
  <c r="V756" i="18" s="1"/>
  <c r="V757" i="18" s="1"/>
  <c r="V758" i="18" s="1"/>
  <c r="V759" i="18" s="1"/>
  <c r="V760" i="18" s="1"/>
  <c r="V761" i="18" s="1"/>
  <c r="V762" i="18" s="1"/>
  <c r="V763" i="18" s="1"/>
  <c r="V764" i="18" s="1"/>
  <c r="V765" i="18" s="1"/>
  <c r="V766" i="18" s="1"/>
  <c r="V767" i="18" s="1"/>
  <c r="V768" i="18" s="1"/>
  <c r="V769" i="18" s="1"/>
  <c r="V770" i="18" s="1"/>
  <c r="V771" i="18" s="1"/>
  <c r="V772" i="18" s="1"/>
  <c r="V773" i="18" s="1"/>
  <c r="V774" i="18" s="1"/>
  <c r="V775" i="18" s="1"/>
  <c r="V776" i="18" s="1"/>
  <c r="V777" i="18" s="1"/>
  <c r="V778" i="18" s="1"/>
  <c r="V779" i="18" s="1"/>
  <c r="V780" i="18" s="1"/>
  <c r="V781" i="18" s="1"/>
  <c r="V782" i="18" s="1"/>
  <c r="V783" i="18" s="1"/>
  <c r="V784" i="18" s="1"/>
  <c r="V785" i="18" s="1"/>
  <c r="V786" i="18" s="1"/>
  <c r="V787" i="18" s="1"/>
  <c r="V788" i="18" s="1"/>
  <c r="V789" i="18" s="1"/>
  <c r="V790" i="18" s="1"/>
  <c r="V791" i="18" s="1"/>
  <c r="V792" i="18" s="1"/>
  <c r="V793" i="18" s="1"/>
  <c r="V794" i="18" s="1"/>
  <c r="V795" i="18" s="1"/>
  <c r="V796" i="18" s="1"/>
  <c r="V797" i="18" s="1"/>
  <c r="V798" i="18" s="1"/>
  <c r="V799" i="18" s="1"/>
  <c r="V800" i="18" s="1"/>
  <c r="V801" i="18" s="1"/>
  <c r="V802" i="18" s="1"/>
  <c r="V803" i="18" s="1"/>
  <c r="V804" i="18" s="1"/>
  <c r="V805" i="18" s="1"/>
  <c r="V806" i="18" s="1"/>
  <c r="V807" i="18" s="1"/>
  <c r="V808" i="18" s="1"/>
  <c r="V809" i="18" s="1"/>
  <c r="V810" i="18" s="1"/>
  <c r="V811" i="18" s="1"/>
  <c r="V812" i="18" s="1"/>
  <c r="V813" i="18" s="1"/>
  <c r="V814" i="18" s="1"/>
  <c r="V815" i="18" s="1"/>
  <c r="V816" i="18" s="1"/>
  <c r="V817" i="18" s="1"/>
  <c r="V818" i="18" s="1"/>
  <c r="V819" i="18" s="1"/>
  <c r="V820" i="18" s="1"/>
  <c r="V821" i="18" s="1"/>
  <c r="V822" i="18" s="1"/>
  <c r="V823" i="18" s="1"/>
  <c r="V824" i="18" s="1"/>
  <c r="V825" i="18" s="1"/>
  <c r="V826" i="18" s="1"/>
  <c r="V827" i="18" s="1"/>
  <c r="V828" i="18" s="1"/>
  <c r="V829" i="18" s="1"/>
  <c r="V830" i="18" s="1"/>
  <c r="V831" i="18" s="1"/>
  <c r="V832" i="18" s="1"/>
  <c r="V833" i="18" s="1"/>
  <c r="V834" i="18" s="1"/>
  <c r="V835" i="18" s="1"/>
  <c r="V836" i="18" s="1"/>
  <c r="V837" i="18" s="1"/>
  <c r="V838" i="18" s="1"/>
  <c r="V839" i="18" s="1"/>
  <c r="V840" i="18" s="1"/>
  <c r="V841" i="18" s="1"/>
  <c r="V842" i="18" s="1"/>
  <c r="V843" i="18" s="1"/>
  <c r="V844" i="18" s="1"/>
  <c r="V845" i="18" s="1"/>
  <c r="V846" i="18" s="1"/>
  <c r="V847" i="18" s="1"/>
  <c r="V848" i="18" s="1"/>
  <c r="V849" i="18" s="1"/>
  <c r="V850" i="18" s="1"/>
  <c r="V851" i="18" s="1"/>
  <c r="V852" i="18" s="1"/>
  <c r="V853" i="18" s="1"/>
  <c r="V854" i="18" s="1"/>
  <c r="V855" i="18" s="1"/>
  <c r="V856" i="18" s="1"/>
  <c r="V857" i="18" s="1"/>
  <c r="V858" i="18" s="1"/>
  <c r="V859" i="18" s="1"/>
  <c r="V860" i="18" s="1"/>
  <c r="V861" i="18" s="1"/>
  <c r="V862" i="18" s="1"/>
  <c r="V863" i="18" s="1"/>
  <c r="V864" i="18" s="1"/>
  <c r="V865" i="18" s="1"/>
  <c r="V866" i="18" s="1"/>
  <c r="V867" i="18" s="1"/>
  <c r="V868" i="18" s="1"/>
  <c r="V869" i="18" s="1"/>
  <c r="V870" i="18" s="1"/>
  <c r="V871" i="18" s="1"/>
  <c r="V872" i="18" s="1"/>
  <c r="V873" i="18" s="1"/>
  <c r="V874" i="18" s="1"/>
  <c r="V875" i="18" s="1"/>
  <c r="V876" i="18" s="1"/>
  <c r="V877" i="18" s="1"/>
  <c r="V878" i="18" s="1"/>
  <c r="V879" i="18" s="1"/>
  <c r="V880" i="18" s="1"/>
  <c r="V881" i="18" s="1"/>
  <c r="V882" i="18" s="1"/>
  <c r="V883" i="18" s="1"/>
  <c r="V884" i="18" s="1"/>
  <c r="V885" i="18" s="1"/>
  <c r="V886" i="18" s="1"/>
  <c r="V887" i="18" s="1"/>
  <c r="V888" i="18" s="1"/>
  <c r="V889" i="18" s="1"/>
  <c r="V890" i="18" s="1"/>
  <c r="V891" i="18" s="1"/>
  <c r="V892" i="18" s="1"/>
  <c r="V893" i="18" s="1"/>
  <c r="V894" i="18" s="1"/>
  <c r="V895" i="18" s="1"/>
  <c r="V896" i="18" s="1"/>
  <c r="V897" i="18" s="1"/>
  <c r="V898" i="18" s="1"/>
  <c r="V899" i="18" s="1"/>
  <c r="V900" i="18" s="1"/>
  <c r="V901" i="18" s="1"/>
  <c r="V902" i="18" s="1"/>
  <c r="V903" i="18" s="1"/>
  <c r="V904" i="18" s="1"/>
  <c r="V905" i="18" s="1"/>
  <c r="V906" i="18" s="1"/>
  <c r="V907" i="18" s="1"/>
  <c r="V908" i="18" s="1"/>
  <c r="V909" i="18" s="1"/>
  <c r="V910" i="18" s="1"/>
  <c r="V911" i="18" s="1"/>
  <c r="V912" i="18" s="1"/>
  <c r="V913" i="18" s="1"/>
  <c r="V914" i="18" s="1"/>
  <c r="V915" i="18" s="1"/>
  <c r="V916" i="18" s="1"/>
  <c r="V917" i="18" s="1"/>
  <c r="V918" i="18" s="1"/>
  <c r="V919" i="18" s="1"/>
  <c r="V920" i="18" s="1"/>
  <c r="V921" i="18" s="1"/>
  <c r="V922" i="18" s="1"/>
  <c r="V923" i="18" s="1"/>
  <c r="V924" i="18" s="1"/>
  <c r="V925" i="18" s="1"/>
  <c r="V926" i="18" s="1"/>
  <c r="V927" i="18" s="1"/>
  <c r="V928" i="18" s="1"/>
  <c r="V929" i="18" s="1"/>
  <c r="V930" i="18" s="1"/>
  <c r="V931" i="18" s="1"/>
  <c r="V932" i="18" s="1"/>
  <c r="V933" i="18" s="1"/>
  <c r="V934" i="18" s="1"/>
  <c r="V935" i="18" s="1"/>
  <c r="V936" i="18" s="1"/>
  <c r="V937" i="18" s="1"/>
  <c r="V938" i="18" s="1"/>
  <c r="V939" i="18" s="1"/>
  <c r="V940" i="18" s="1"/>
  <c r="V941" i="18" s="1"/>
  <c r="V942" i="18" s="1"/>
  <c r="V943" i="18" s="1"/>
  <c r="V944" i="18" s="1"/>
  <c r="V945" i="18" s="1"/>
  <c r="V946" i="18" s="1"/>
  <c r="V947" i="18" s="1"/>
  <c r="V948" i="18" s="1"/>
  <c r="V949" i="18" s="1"/>
  <c r="V950" i="18" s="1"/>
  <c r="V951" i="18" s="1"/>
  <c r="V952" i="18" s="1"/>
  <c r="V953" i="18" s="1"/>
  <c r="V954" i="18" s="1"/>
  <c r="V955" i="18" s="1"/>
  <c r="V956" i="18" s="1"/>
  <c r="V957" i="18" s="1"/>
  <c r="V958" i="18" s="1"/>
  <c r="V959" i="18" s="1"/>
  <c r="V960" i="18" s="1"/>
  <c r="V961" i="18" s="1"/>
  <c r="V962" i="18" s="1"/>
  <c r="V963" i="18" s="1"/>
  <c r="V964" i="18" s="1"/>
  <c r="V965" i="18" s="1"/>
  <c r="V966" i="18" s="1"/>
  <c r="V967" i="18" s="1"/>
  <c r="V968" i="18" s="1"/>
  <c r="V969" i="18" s="1"/>
  <c r="V970" i="18" s="1"/>
  <c r="V971" i="18" s="1"/>
  <c r="V972" i="18" s="1"/>
  <c r="V973" i="18" s="1"/>
  <c r="V974" i="18" s="1"/>
  <c r="V975" i="18" s="1"/>
  <c r="V976" i="18" s="1"/>
  <c r="V977" i="18" s="1"/>
  <c r="V978" i="18" s="1"/>
  <c r="V979" i="18" s="1"/>
  <c r="V980" i="18" s="1"/>
  <c r="V981" i="18" s="1"/>
  <c r="V982" i="18" s="1"/>
  <c r="V983" i="18" s="1"/>
  <c r="V984" i="18" s="1"/>
  <c r="V985" i="18" s="1"/>
  <c r="V986" i="18" s="1"/>
  <c r="V987" i="18" s="1"/>
  <c r="V988" i="18" s="1"/>
  <c r="V989" i="18" s="1"/>
  <c r="V990" i="18" s="1"/>
  <c r="V991" i="18" s="1"/>
  <c r="V992" i="18" s="1"/>
  <c r="V993" i="18" s="1"/>
  <c r="V994" i="18" s="1"/>
  <c r="V995" i="18" s="1"/>
  <c r="V996" i="18" s="1"/>
  <c r="V997" i="18" s="1"/>
  <c r="V998" i="18" s="1"/>
  <c r="V999" i="18" s="1"/>
  <c r="V1000" i="18" s="1"/>
  <c r="V1001" i="18" s="1"/>
  <c r="V1002" i="18" s="1"/>
  <c r="V1003" i="18" s="1"/>
  <c r="V1004" i="18" s="1"/>
  <c r="V1005" i="18" s="1"/>
  <c r="V1006" i="18" s="1"/>
  <c r="V1007" i="18" s="1"/>
  <c r="V1008" i="18" s="1"/>
  <c r="V1009" i="18" s="1"/>
  <c r="V1010" i="18" s="1"/>
  <c r="V1011" i="18" s="1"/>
  <c r="V1012" i="18" s="1"/>
  <c r="V1013" i="18" s="1"/>
  <c r="V1014" i="18" s="1"/>
  <c r="V1015" i="18" s="1"/>
  <c r="V1016" i="18" s="1"/>
  <c r="V1017" i="18" s="1"/>
  <c r="V1018" i="18" s="1"/>
  <c r="V1019" i="18" s="1"/>
  <c r="V1020" i="18" s="1"/>
  <c r="V1021" i="18" s="1"/>
  <c r="V1022" i="18" s="1"/>
  <c r="V1023" i="18" s="1"/>
  <c r="V1024" i="18" s="1"/>
  <c r="V1025" i="18" s="1"/>
  <c r="V1026" i="18" s="1"/>
  <c r="V1027" i="18" s="1"/>
  <c r="V1028" i="18" s="1"/>
  <c r="V1029" i="18" s="1"/>
  <c r="V1030" i="18" s="1"/>
  <c r="V1031" i="18" s="1"/>
  <c r="V1032" i="18" s="1"/>
  <c r="V1033" i="18" s="1"/>
  <c r="V1034" i="18" s="1"/>
  <c r="V1035" i="18" s="1"/>
  <c r="V1036" i="18" s="1"/>
  <c r="V1037" i="18" s="1"/>
  <c r="V1038" i="18" s="1"/>
  <c r="V1039" i="18" s="1"/>
  <c r="V1040" i="18" s="1"/>
  <c r="V1041" i="18" s="1"/>
  <c r="V1042" i="18" s="1"/>
  <c r="V1043" i="18" s="1"/>
  <c r="V1044" i="18" s="1"/>
  <c r="V1045" i="18" s="1"/>
  <c r="T3" i="18"/>
  <c r="T4" i="18" s="1"/>
  <c r="T5" i="18" s="1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19" i="18" s="1"/>
  <c r="T120" i="18" s="1"/>
  <c r="T121" i="18" s="1"/>
  <c r="T122" i="18" s="1"/>
  <c r="T123" i="18" s="1"/>
  <c r="T124" i="18" s="1"/>
  <c r="T125" i="18" s="1"/>
  <c r="T126" i="18" s="1"/>
  <c r="T127" i="18" s="1"/>
  <c r="T128" i="18" s="1"/>
  <c r="T129" i="18" s="1"/>
  <c r="T130" i="18" s="1"/>
  <c r="T131" i="18" s="1"/>
  <c r="T132" i="18" s="1"/>
  <c r="T133" i="18" s="1"/>
  <c r="T134" i="18" s="1"/>
  <c r="T135" i="18" s="1"/>
  <c r="T136" i="18" s="1"/>
  <c r="T137" i="18" s="1"/>
  <c r="T138" i="18" s="1"/>
  <c r="T139" i="18" s="1"/>
  <c r="T140" i="18" s="1"/>
  <c r="T141" i="18" s="1"/>
  <c r="T142" i="18" s="1"/>
  <c r="T143" i="18" s="1"/>
  <c r="T144" i="18" s="1"/>
  <c r="T145" i="18" s="1"/>
  <c r="T146" i="18" s="1"/>
  <c r="T147" i="18" s="1"/>
  <c r="T148" i="18" s="1"/>
  <c r="T149" i="18" s="1"/>
  <c r="T150" i="18" s="1"/>
  <c r="T151" i="18" s="1"/>
  <c r="T152" i="18" s="1"/>
  <c r="T153" i="18" s="1"/>
  <c r="T154" i="18" s="1"/>
  <c r="T155" i="18" s="1"/>
  <c r="T156" i="18" s="1"/>
  <c r="T157" i="18" s="1"/>
  <c r="T158" i="18" s="1"/>
  <c r="T159" i="18" s="1"/>
  <c r="T160" i="18" s="1"/>
  <c r="T161" i="18" s="1"/>
  <c r="T162" i="18" s="1"/>
  <c r="T163" i="18" s="1"/>
  <c r="T164" i="18" s="1"/>
  <c r="T165" i="18" s="1"/>
  <c r="T166" i="18" s="1"/>
  <c r="T167" i="18" s="1"/>
  <c r="T168" i="18" s="1"/>
  <c r="T169" i="18" s="1"/>
  <c r="T170" i="18" s="1"/>
  <c r="T171" i="18" s="1"/>
  <c r="T172" i="18" s="1"/>
  <c r="T173" i="18" s="1"/>
  <c r="T174" i="18" s="1"/>
  <c r="T175" i="18" s="1"/>
  <c r="T176" i="18" s="1"/>
  <c r="T177" i="18" s="1"/>
  <c r="T178" i="18" s="1"/>
  <c r="T179" i="18" s="1"/>
  <c r="T180" i="18" s="1"/>
  <c r="T181" i="18" s="1"/>
  <c r="T182" i="18" s="1"/>
  <c r="T183" i="18" s="1"/>
  <c r="T184" i="18" s="1"/>
  <c r="T185" i="18" s="1"/>
  <c r="T186" i="18" s="1"/>
  <c r="T187" i="18" s="1"/>
  <c r="T188" i="18" s="1"/>
  <c r="T189" i="18" s="1"/>
  <c r="T190" i="18" s="1"/>
  <c r="T191" i="18" s="1"/>
  <c r="T192" i="18" s="1"/>
  <c r="T193" i="18" s="1"/>
  <c r="T194" i="18" s="1"/>
  <c r="T195" i="18" s="1"/>
  <c r="T196" i="18" s="1"/>
  <c r="T197" i="18" s="1"/>
  <c r="T198" i="18" s="1"/>
  <c r="T199" i="18" s="1"/>
  <c r="T200" i="18" s="1"/>
  <c r="T201" i="18" s="1"/>
  <c r="T202" i="18" s="1"/>
  <c r="T203" i="18" s="1"/>
  <c r="T204" i="18" s="1"/>
  <c r="T205" i="18" s="1"/>
  <c r="T206" i="18" s="1"/>
  <c r="T207" i="18" s="1"/>
  <c r="T208" i="18" s="1"/>
  <c r="T209" i="18" s="1"/>
  <c r="T210" i="18" s="1"/>
  <c r="T211" i="18" s="1"/>
  <c r="T212" i="18" s="1"/>
  <c r="T213" i="18" s="1"/>
  <c r="T214" i="18" s="1"/>
  <c r="T215" i="18" s="1"/>
  <c r="T216" i="18" s="1"/>
  <c r="T217" i="18" s="1"/>
  <c r="T218" i="18" s="1"/>
  <c r="T219" i="18" s="1"/>
  <c r="T220" i="18" s="1"/>
  <c r="T221" i="18" s="1"/>
  <c r="T222" i="18" s="1"/>
  <c r="T223" i="18" s="1"/>
  <c r="T224" i="18" s="1"/>
  <c r="T225" i="18" s="1"/>
  <c r="T226" i="18" s="1"/>
  <c r="T227" i="18" s="1"/>
  <c r="T228" i="18" s="1"/>
  <c r="T229" i="18" s="1"/>
  <c r="T230" i="18" s="1"/>
  <c r="T231" i="18" s="1"/>
  <c r="T232" i="18" s="1"/>
  <c r="T233" i="18" s="1"/>
  <c r="T234" i="18" s="1"/>
  <c r="T235" i="18" s="1"/>
  <c r="T236" i="18" s="1"/>
  <c r="T237" i="18" s="1"/>
  <c r="T238" i="18" s="1"/>
  <c r="T239" i="18" s="1"/>
  <c r="T240" i="18" s="1"/>
  <c r="T241" i="18" s="1"/>
  <c r="T242" i="18" s="1"/>
  <c r="T243" i="18" s="1"/>
  <c r="T244" i="18" s="1"/>
  <c r="T245" i="18" s="1"/>
  <c r="T246" i="18" s="1"/>
  <c r="T247" i="18" s="1"/>
  <c r="T248" i="18" s="1"/>
  <c r="T249" i="18" s="1"/>
  <c r="T250" i="18" s="1"/>
  <c r="T251" i="18" s="1"/>
  <c r="T252" i="18" s="1"/>
  <c r="T253" i="18" s="1"/>
  <c r="T254" i="18" s="1"/>
  <c r="T255" i="18" s="1"/>
  <c r="T256" i="18" s="1"/>
  <c r="T257" i="18" s="1"/>
  <c r="T258" i="18" s="1"/>
  <c r="T259" i="18" s="1"/>
  <c r="T260" i="18" s="1"/>
  <c r="T261" i="18" s="1"/>
  <c r="T262" i="18" s="1"/>
  <c r="T263" i="18" s="1"/>
  <c r="T264" i="18" s="1"/>
  <c r="T265" i="18" s="1"/>
  <c r="T266" i="18" s="1"/>
  <c r="T267" i="18" s="1"/>
  <c r="T268" i="18" s="1"/>
  <c r="T269" i="18" s="1"/>
  <c r="T270" i="18" s="1"/>
  <c r="T271" i="18" s="1"/>
  <c r="T272" i="18" s="1"/>
  <c r="T273" i="18" s="1"/>
  <c r="T274" i="18" s="1"/>
  <c r="T275" i="18" s="1"/>
  <c r="T276" i="18" s="1"/>
  <c r="T277" i="18" s="1"/>
  <c r="T278" i="18" s="1"/>
  <c r="T279" i="18" s="1"/>
  <c r="T280" i="18" s="1"/>
  <c r="T281" i="18" s="1"/>
  <c r="T282" i="18" s="1"/>
  <c r="T283" i="18" s="1"/>
  <c r="T284" i="18" s="1"/>
  <c r="T285" i="18" s="1"/>
  <c r="T286" i="18" s="1"/>
  <c r="T287" i="18" s="1"/>
  <c r="T288" i="18" s="1"/>
  <c r="T289" i="18" s="1"/>
  <c r="T290" i="18" s="1"/>
  <c r="T291" i="18" s="1"/>
  <c r="T292" i="18" s="1"/>
  <c r="T293" i="18" s="1"/>
  <c r="T294" i="18" s="1"/>
  <c r="T295" i="18" s="1"/>
  <c r="T296" i="18" s="1"/>
  <c r="T297" i="18" s="1"/>
  <c r="T298" i="18" s="1"/>
  <c r="T299" i="18" s="1"/>
  <c r="T300" i="18" s="1"/>
  <c r="T301" i="18" s="1"/>
  <c r="T302" i="18" s="1"/>
  <c r="T303" i="18" s="1"/>
  <c r="T304" i="18" s="1"/>
  <c r="T305" i="18" s="1"/>
  <c r="T306" i="18" s="1"/>
  <c r="T307" i="18" s="1"/>
  <c r="T308" i="18" s="1"/>
  <c r="T309" i="18" s="1"/>
  <c r="T310" i="18" s="1"/>
  <c r="T311" i="18" s="1"/>
  <c r="T312" i="18" s="1"/>
  <c r="T313" i="18" s="1"/>
  <c r="T314" i="18" s="1"/>
  <c r="T315" i="18" s="1"/>
  <c r="T316" i="18" s="1"/>
  <c r="T317" i="18" s="1"/>
  <c r="T318" i="18" s="1"/>
  <c r="T319" i="18" s="1"/>
  <c r="T320" i="18" s="1"/>
  <c r="T321" i="18" s="1"/>
  <c r="T322" i="18" s="1"/>
  <c r="T323" i="18" s="1"/>
  <c r="T324" i="18" s="1"/>
  <c r="T325" i="18" s="1"/>
  <c r="T326" i="18" s="1"/>
  <c r="T327" i="18" s="1"/>
  <c r="T328" i="18" s="1"/>
  <c r="T329" i="18" s="1"/>
  <c r="T330" i="18" s="1"/>
  <c r="T331" i="18" s="1"/>
  <c r="T332" i="18" s="1"/>
  <c r="T333" i="18" s="1"/>
  <c r="T334" i="18" s="1"/>
  <c r="T335" i="18" s="1"/>
  <c r="T336" i="18" s="1"/>
  <c r="T337" i="18" s="1"/>
  <c r="T338" i="18" s="1"/>
  <c r="T339" i="18" s="1"/>
  <c r="T340" i="18" s="1"/>
  <c r="T341" i="18" s="1"/>
  <c r="T342" i="18" s="1"/>
  <c r="T343" i="18" s="1"/>
  <c r="T344" i="18" s="1"/>
  <c r="T345" i="18" s="1"/>
  <c r="T346" i="18" s="1"/>
  <c r="T347" i="18" s="1"/>
  <c r="T348" i="18" s="1"/>
  <c r="T349" i="18" s="1"/>
  <c r="T350" i="18" s="1"/>
  <c r="T351" i="18" s="1"/>
  <c r="T352" i="18" s="1"/>
  <c r="T353" i="18" s="1"/>
  <c r="T354" i="18" s="1"/>
  <c r="T355" i="18" s="1"/>
  <c r="T356" i="18" s="1"/>
  <c r="T357" i="18" s="1"/>
  <c r="T358" i="18" s="1"/>
  <c r="T359" i="18" s="1"/>
  <c r="T360" i="18" s="1"/>
  <c r="T361" i="18" s="1"/>
  <c r="T362" i="18" s="1"/>
  <c r="T363" i="18" s="1"/>
  <c r="T364" i="18" s="1"/>
  <c r="T365" i="18" s="1"/>
  <c r="T366" i="18" s="1"/>
  <c r="T367" i="18" s="1"/>
  <c r="T368" i="18" s="1"/>
  <c r="T369" i="18" s="1"/>
  <c r="T370" i="18" s="1"/>
  <c r="T371" i="18" s="1"/>
  <c r="T372" i="18" s="1"/>
  <c r="T373" i="18" s="1"/>
  <c r="T374" i="18" s="1"/>
  <c r="T375" i="18" s="1"/>
  <c r="T376" i="18" s="1"/>
  <c r="T377" i="18" s="1"/>
  <c r="T378" i="18" s="1"/>
  <c r="T379" i="18" s="1"/>
  <c r="T380" i="18" s="1"/>
  <c r="T381" i="18" s="1"/>
  <c r="T382" i="18" s="1"/>
  <c r="T383" i="18" s="1"/>
  <c r="T384" i="18" s="1"/>
  <c r="T385" i="18" s="1"/>
  <c r="T386" i="18" s="1"/>
  <c r="T387" i="18" s="1"/>
  <c r="T388" i="18" s="1"/>
  <c r="T389" i="18" s="1"/>
  <c r="T390" i="18" s="1"/>
  <c r="T391" i="18" s="1"/>
  <c r="T392" i="18" s="1"/>
  <c r="T393" i="18" s="1"/>
  <c r="T394" i="18" s="1"/>
  <c r="T395" i="18" s="1"/>
  <c r="T396" i="18" s="1"/>
  <c r="T397" i="18" s="1"/>
  <c r="T398" i="18" s="1"/>
  <c r="T399" i="18" s="1"/>
  <c r="T400" i="18" s="1"/>
  <c r="T401" i="18" s="1"/>
  <c r="T402" i="18" s="1"/>
  <c r="T403" i="18" s="1"/>
  <c r="T404" i="18" s="1"/>
  <c r="T405" i="18" s="1"/>
  <c r="T406" i="18" s="1"/>
  <c r="T407" i="18" s="1"/>
  <c r="T408" i="18" s="1"/>
  <c r="T409" i="18" s="1"/>
  <c r="T410" i="18" s="1"/>
  <c r="T411" i="18" s="1"/>
  <c r="T412" i="18" s="1"/>
  <c r="T413" i="18" s="1"/>
  <c r="T414" i="18" s="1"/>
  <c r="T415" i="18" s="1"/>
  <c r="T416" i="18" s="1"/>
  <c r="T417" i="18" s="1"/>
  <c r="T418" i="18" s="1"/>
  <c r="T419" i="18" s="1"/>
  <c r="T420" i="18" s="1"/>
  <c r="T421" i="18" s="1"/>
  <c r="T422" i="18" s="1"/>
  <c r="T423" i="18" s="1"/>
  <c r="T424" i="18" s="1"/>
  <c r="T425" i="18" s="1"/>
  <c r="T426" i="18" s="1"/>
  <c r="T427" i="18" s="1"/>
  <c r="T428" i="18" s="1"/>
  <c r="T429" i="18" s="1"/>
  <c r="T430" i="18" s="1"/>
  <c r="T431" i="18" s="1"/>
  <c r="T432" i="18" s="1"/>
  <c r="T433" i="18" s="1"/>
  <c r="T434" i="18" s="1"/>
  <c r="T435" i="18" s="1"/>
  <c r="T436" i="18" s="1"/>
  <c r="T437" i="18" s="1"/>
  <c r="T438" i="18" s="1"/>
  <c r="T439" i="18" s="1"/>
  <c r="T440" i="18" s="1"/>
  <c r="T441" i="18" s="1"/>
  <c r="T442" i="18" s="1"/>
  <c r="T443" i="18" s="1"/>
  <c r="T444" i="18" s="1"/>
  <c r="T445" i="18" s="1"/>
  <c r="T446" i="18" s="1"/>
  <c r="T447" i="18" s="1"/>
  <c r="T448" i="18" s="1"/>
  <c r="T449" i="18" s="1"/>
  <c r="T450" i="18" s="1"/>
  <c r="T451" i="18" s="1"/>
  <c r="T452" i="18" s="1"/>
  <c r="T453" i="18" s="1"/>
  <c r="T454" i="18" s="1"/>
  <c r="T455" i="18" s="1"/>
  <c r="T456" i="18" s="1"/>
  <c r="T457" i="18" s="1"/>
  <c r="T458" i="18" s="1"/>
  <c r="T459" i="18" s="1"/>
  <c r="T460" i="18" s="1"/>
  <c r="T461" i="18" s="1"/>
  <c r="T462" i="18" s="1"/>
  <c r="T463" i="18" s="1"/>
  <c r="T464" i="18" s="1"/>
  <c r="T465" i="18" s="1"/>
  <c r="T466" i="18" s="1"/>
  <c r="T467" i="18" s="1"/>
  <c r="T468" i="18" s="1"/>
  <c r="T469" i="18" s="1"/>
  <c r="T470" i="18" s="1"/>
  <c r="T471" i="18" s="1"/>
  <c r="T472" i="18" s="1"/>
  <c r="T473" i="18" s="1"/>
  <c r="T474" i="18" s="1"/>
  <c r="T475" i="18" s="1"/>
  <c r="T476" i="18" s="1"/>
  <c r="T477" i="18" s="1"/>
  <c r="T478" i="18" s="1"/>
  <c r="T479" i="18" s="1"/>
  <c r="T480" i="18" s="1"/>
  <c r="T481" i="18" s="1"/>
  <c r="T482" i="18" s="1"/>
  <c r="T483" i="18" s="1"/>
  <c r="T484" i="18" s="1"/>
  <c r="T485" i="18" s="1"/>
  <c r="T486" i="18" s="1"/>
  <c r="T487" i="18" s="1"/>
  <c r="T488" i="18" s="1"/>
  <c r="T489" i="18" s="1"/>
  <c r="T490" i="18" s="1"/>
  <c r="T491" i="18" s="1"/>
  <c r="T492" i="18" s="1"/>
  <c r="T493" i="18" s="1"/>
  <c r="T494" i="18" s="1"/>
  <c r="T495" i="18" s="1"/>
  <c r="T496" i="18" s="1"/>
  <c r="T497" i="18" s="1"/>
  <c r="T498" i="18" s="1"/>
  <c r="T499" i="18" s="1"/>
  <c r="T500" i="18" s="1"/>
  <c r="T501" i="18" s="1"/>
  <c r="T502" i="18" s="1"/>
  <c r="T503" i="18" s="1"/>
  <c r="T504" i="18" s="1"/>
  <c r="T505" i="18" s="1"/>
  <c r="T506" i="18" s="1"/>
  <c r="T507" i="18" s="1"/>
  <c r="T508" i="18" s="1"/>
  <c r="T509" i="18" s="1"/>
  <c r="T510" i="18" s="1"/>
  <c r="T511" i="18" s="1"/>
  <c r="T512" i="18" s="1"/>
  <c r="T513" i="18" s="1"/>
  <c r="T514" i="18" s="1"/>
  <c r="T515" i="18" s="1"/>
  <c r="T516" i="18" s="1"/>
  <c r="T517" i="18" s="1"/>
  <c r="T518" i="18" s="1"/>
  <c r="T519" i="18" s="1"/>
  <c r="T520" i="18" s="1"/>
  <c r="T521" i="18" s="1"/>
  <c r="T522" i="18" s="1"/>
  <c r="T523" i="18" s="1"/>
  <c r="T524" i="18" s="1"/>
  <c r="T525" i="18" s="1"/>
  <c r="T526" i="18" s="1"/>
  <c r="T527" i="18" s="1"/>
  <c r="T528" i="18" s="1"/>
  <c r="T529" i="18" s="1"/>
  <c r="T530" i="18" s="1"/>
  <c r="T531" i="18" s="1"/>
  <c r="T532" i="18" s="1"/>
  <c r="T533" i="18" s="1"/>
  <c r="T534" i="18" s="1"/>
  <c r="T535" i="18" s="1"/>
  <c r="T536" i="18" s="1"/>
  <c r="T537" i="18" s="1"/>
  <c r="T538" i="18" s="1"/>
  <c r="T539" i="18" s="1"/>
  <c r="T540" i="18" s="1"/>
  <c r="T541" i="18" s="1"/>
  <c r="T542" i="18" s="1"/>
  <c r="T543" i="18" s="1"/>
  <c r="T544" i="18" s="1"/>
  <c r="T545" i="18" s="1"/>
  <c r="T546" i="18" s="1"/>
  <c r="T547" i="18" s="1"/>
  <c r="T548" i="18" s="1"/>
  <c r="T549" i="18" s="1"/>
  <c r="T550" i="18" s="1"/>
  <c r="T551" i="18" s="1"/>
  <c r="T552" i="18" s="1"/>
  <c r="T553" i="18" s="1"/>
  <c r="T554" i="18" s="1"/>
  <c r="T555" i="18" s="1"/>
  <c r="T556" i="18" s="1"/>
  <c r="T557" i="18" s="1"/>
  <c r="T558" i="18" s="1"/>
  <c r="T559" i="18" s="1"/>
  <c r="T560" i="18" s="1"/>
  <c r="T561" i="18" s="1"/>
  <c r="T562" i="18" s="1"/>
  <c r="T563" i="18" s="1"/>
  <c r="T564" i="18" s="1"/>
  <c r="T565" i="18" s="1"/>
  <c r="T566" i="18" s="1"/>
  <c r="T567" i="18" s="1"/>
  <c r="T568" i="18" s="1"/>
  <c r="T569" i="18" s="1"/>
  <c r="T570" i="18" s="1"/>
  <c r="T571" i="18" s="1"/>
  <c r="T572" i="18" s="1"/>
  <c r="T573" i="18" s="1"/>
  <c r="T574" i="18" s="1"/>
  <c r="T575" i="18" s="1"/>
  <c r="T576" i="18" s="1"/>
  <c r="T577" i="18" s="1"/>
  <c r="T578" i="18" s="1"/>
  <c r="T579" i="18" s="1"/>
  <c r="T580" i="18" s="1"/>
  <c r="T581" i="18" s="1"/>
  <c r="T582" i="18" s="1"/>
  <c r="T583" i="18" s="1"/>
  <c r="T584" i="18" s="1"/>
  <c r="T585" i="18" s="1"/>
  <c r="T586" i="18" s="1"/>
  <c r="T587" i="18" s="1"/>
  <c r="T588" i="18" s="1"/>
  <c r="T589" i="18" s="1"/>
  <c r="T590" i="18" s="1"/>
  <c r="T591" i="18" s="1"/>
  <c r="T592" i="18" s="1"/>
  <c r="T593" i="18" s="1"/>
  <c r="T594" i="18" s="1"/>
  <c r="T595" i="18" s="1"/>
  <c r="T596" i="18" s="1"/>
  <c r="T597" i="18" s="1"/>
  <c r="T598" i="18" s="1"/>
  <c r="T599" i="18" s="1"/>
  <c r="T600" i="18" s="1"/>
  <c r="T601" i="18" s="1"/>
  <c r="T602" i="18" s="1"/>
  <c r="T603" i="18" s="1"/>
  <c r="T604" i="18" s="1"/>
  <c r="T605" i="18" s="1"/>
  <c r="T606" i="18" s="1"/>
  <c r="T607" i="18" s="1"/>
  <c r="T608" i="18" s="1"/>
  <c r="T609" i="18" s="1"/>
  <c r="T610" i="18" s="1"/>
  <c r="T611" i="18" s="1"/>
  <c r="T612" i="18" s="1"/>
  <c r="T613" i="18" s="1"/>
  <c r="T614" i="18" s="1"/>
  <c r="T615" i="18" s="1"/>
  <c r="T616" i="18" s="1"/>
  <c r="T617" i="18" s="1"/>
  <c r="T618" i="18" s="1"/>
  <c r="T619" i="18" s="1"/>
  <c r="T620" i="18" s="1"/>
  <c r="T621" i="18" s="1"/>
  <c r="T622" i="18" s="1"/>
  <c r="T623" i="18" s="1"/>
  <c r="T624" i="18" s="1"/>
  <c r="T625" i="18" s="1"/>
  <c r="T626" i="18" s="1"/>
  <c r="T627" i="18" s="1"/>
  <c r="T628" i="18" s="1"/>
  <c r="T629" i="18" s="1"/>
  <c r="T630" i="18" s="1"/>
  <c r="T631" i="18" s="1"/>
  <c r="T632" i="18" s="1"/>
  <c r="T633" i="18" s="1"/>
  <c r="T634" i="18" s="1"/>
  <c r="T635" i="18" s="1"/>
  <c r="T636" i="18" s="1"/>
  <c r="T637" i="18" s="1"/>
  <c r="T638" i="18" s="1"/>
  <c r="T639" i="18" s="1"/>
  <c r="T640" i="18" s="1"/>
  <c r="T641" i="18" s="1"/>
  <c r="T642" i="18" s="1"/>
  <c r="T643" i="18" s="1"/>
  <c r="T644" i="18" s="1"/>
  <c r="T645" i="18" s="1"/>
  <c r="T646" i="18" s="1"/>
  <c r="T647" i="18" s="1"/>
  <c r="T648" i="18" s="1"/>
  <c r="T649" i="18" s="1"/>
  <c r="T650" i="18" s="1"/>
  <c r="T651" i="18" s="1"/>
  <c r="T652" i="18" s="1"/>
  <c r="T653" i="18" s="1"/>
  <c r="T654" i="18" s="1"/>
  <c r="T655" i="18" s="1"/>
  <c r="T656" i="18" s="1"/>
  <c r="T657" i="18" s="1"/>
  <c r="T658" i="18" s="1"/>
  <c r="T659" i="18" s="1"/>
  <c r="T660" i="18" s="1"/>
  <c r="T661" i="18" s="1"/>
  <c r="T662" i="18" s="1"/>
  <c r="T663" i="18" s="1"/>
  <c r="T664" i="18" s="1"/>
  <c r="T665" i="18" s="1"/>
  <c r="T666" i="18" s="1"/>
  <c r="T667" i="18" s="1"/>
  <c r="T668" i="18" s="1"/>
  <c r="T669" i="18" s="1"/>
  <c r="T670" i="18" s="1"/>
  <c r="T671" i="18" s="1"/>
  <c r="T672" i="18" s="1"/>
  <c r="T673" i="18" s="1"/>
  <c r="T674" i="18" s="1"/>
  <c r="T675" i="18" s="1"/>
  <c r="T676" i="18" s="1"/>
  <c r="T677" i="18" s="1"/>
  <c r="T678" i="18" s="1"/>
  <c r="T679" i="18" s="1"/>
  <c r="T680" i="18" s="1"/>
  <c r="T681" i="18" s="1"/>
  <c r="T682" i="18" s="1"/>
  <c r="T683" i="18" s="1"/>
  <c r="T684" i="18" s="1"/>
  <c r="T685" i="18" s="1"/>
  <c r="T686" i="18" s="1"/>
  <c r="T687" i="18" s="1"/>
  <c r="T688" i="18" s="1"/>
  <c r="T689" i="18" s="1"/>
  <c r="T690" i="18" s="1"/>
  <c r="T691" i="18" s="1"/>
  <c r="T692" i="18" s="1"/>
  <c r="T693" i="18" s="1"/>
  <c r="T694" i="18" s="1"/>
  <c r="T695" i="18" s="1"/>
  <c r="T696" i="18" s="1"/>
  <c r="T697" i="18" s="1"/>
  <c r="T698" i="18" s="1"/>
  <c r="T699" i="18" s="1"/>
  <c r="T700" i="18" s="1"/>
  <c r="T701" i="18" s="1"/>
  <c r="T702" i="18" s="1"/>
  <c r="T703" i="18" s="1"/>
  <c r="T704" i="18" s="1"/>
  <c r="T705" i="18" s="1"/>
  <c r="T706" i="18" s="1"/>
  <c r="T707" i="18" s="1"/>
  <c r="T708" i="18" s="1"/>
  <c r="T709" i="18" s="1"/>
  <c r="T710" i="18" s="1"/>
  <c r="T711" i="18" s="1"/>
  <c r="T712" i="18" s="1"/>
  <c r="T713" i="18" s="1"/>
  <c r="T714" i="18" s="1"/>
  <c r="T715" i="18" s="1"/>
  <c r="T716" i="18" s="1"/>
  <c r="T717" i="18" s="1"/>
  <c r="T718" i="18" s="1"/>
  <c r="T719" i="18" s="1"/>
  <c r="T720" i="18" s="1"/>
  <c r="T721" i="18" s="1"/>
  <c r="T722" i="18" s="1"/>
  <c r="T723" i="18" s="1"/>
  <c r="T724" i="18" s="1"/>
  <c r="T725" i="18" s="1"/>
  <c r="T726" i="18" s="1"/>
  <c r="T727" i="18" s="1"/>
  <c r="T728" i="18" s="1"/>
  <c r="T729" i="18" s="1"/>
  <c r="T730" i="18" s="1"/>
  <c r="T731" i="18" s="1"/>
  <c r="T732" i="18" s="1"/>
  <c r="T733" i="18" s="1"/>
  <c r="T734" i="18" s="1"/>
  <c r="T735" i="18" s="1"/>
  <c r="T736" i="18" s="1"/>
  <c r="T737" i="18" s="1"/>
  <c r="T738" i="18" s="1"/>
  <c r="T739" i="18" s="1"/>
  <c r="T740" i="18" s="1"/>
  <c r="T741" i="18" s="1"/>
  <c r="T742" i="18" s="1"/>
  <c r="T743" i="18" s="1"/>
  <c r="T744" i="18" s="1"/>
  <c r="T745" i="18" s="1"/>
  <c r="T746" i="18" s="1"/>
  <c r="T747" i="18" s="1"/>
  <c r="T748" i="18" s="1"/>
  <c r="T749" i="18" s="1"/>
  <c r="T750" i="18" s="1"/>
  <c r="T751" i="18" s="1"/>
  <c r="T752" i="18" s="1"/>
  <c r="T753" i="18" s="1"/>
  <c r="T754" i="18" s="1"/>
  <c r="T755" i="18" s="1"/>
  <c r="T756" i="18" s="1"/>
  <c r="T757" i="18" s="1"/>
  <c r="T758" i="18" s="1"/>
  <c r="T759" i="18" s="1"/>
  <c r="T760" i="18" s="1"/>
  <c r="T761" i="18" s="1"/>
  <c r="T762" i="18" s="1"/>
  <c r="T763" i="18" s="1"/>
  <c r="T764" i="18" s="1"/>
  <c r="T765" i="18" s="1"/>
  <c r="T766" i="18" s="1"/>
  <c r="T767" i="18" s="1"/>
  <c r="T768" i="18" s="1"/>
  <c r="T769" i="18" s="1"/>
  <c r="T770" i="18" s="1"/>
  <c r="T771" i="18" s="1"/>
  <c r="T772" i="18" s="1"/>
  <c r="T773" i="18" s="1"/>
  <c r="T774" i="18" s="1"/>
  <c r="T775" i="18" s="1"/>
  <c r="T776" i="18" s="1"/>
  <c r="T777" i="18" s="1"/>
  <c r="T778" i="18" s="1"/>
  <c r="T779" i="18" s="1"/>
  <c r="T780" i="18" s="1"/>
  <c r="T781" i="18" s="1"/>
  <c r="T782" i="18" s="1"/>
  <c r="T783" i="18" s="1"/>
  <c r="T784" i="18" s="1"/>
  <c r="T785" i="18" s="1"/>
  <c r="T786" i="18" s="1"/>
  <c r="T787" i="18" s="1"/>
  <c r="T788" i="18" s="1"/>
  <c r="T789" i="18" s="1"/>
  <c r="T790" i="18" s="1"/>
  <c r="T791" i="18" s="1"/>
  <c r="T792" i="18" s="1"/>
  <c r="T793" i="18" s="1"/>
  <c r="T794" i="18" s="1"/>
  <c r="T795" i="18" s="1"/>
  <c r="T796" i="18" s="1"/>
  <c r="T797" i="18" s="1"/>
  <c r="T798" i="18" s="1"/>
  <c r="T799" i="18" s="1"/>
  <c r="T800" i="18" s="1"/>
  <c r="T801" i="18" s="1"/>
  <c r="T802" i="18" s="1"/>
  <c r="T803" i="18" s="1"/>
  <c r="T804" i="18" s="1"/>
  <c r="T805" i="18" s="1"/>
  <c r="T806" i="18" s="1"/>
  <c r="T807" i="18" s="1"/>
  <c r="T808" i="18" s="1"/>
  <c r="T809" i="18" s="1"/>
  <c r="T810" i="18" s="1"/>
  <c r="T811" i="18" s="1"/>
  <c r="T812" i="18" s="1"/>
  <c r="T813" i="18" s="1"/>
  <c r="T814" i="18" s="1"/>
  <c r="T815" i="18" s="1"/>
  <c r="T816" i="18" s="1"/>
  <c r="T817" i="18" s="1"/>
  <c r="T818" i="18" s="1"/>
  <c r="T819" i="18" s="1"/>
  <c r="T820" i="18" s="1"/>
  <c r="T821" i="18" s="1"/>
  <c r="T822" i="18" s="1"/>
  <c r="T823" i="18" s="1"/>
  <c r="T824" i="18" s="1"/>
  <c r="T825" i="18" s="1"/>
  <c r="T826" i="18" s="1"/>
  <c r="T827" i="18" s="1"/>
  <c r="T828" i="18" s="1"/>
  <c r="T829" i="18" s="1"/>
  <c r="T830" i="18" s="1"/>
  <c r="T831" i="18" s="1"/>
  <c r="T832" i="18" s="1"/>
  <c r="T833" i="18" s="1"/>
  <c r="T834" i="18" s="1"/>
  <c r="T835" i="18" s="1"/>
  <c r="T836" i="18" s="1"/>
  <c r="T837" i="18" s="1"/>
  <c r="T838" i="18" s="1"/>
  <c r="T839" i="18" s="1"/>
  <c r="T840" i="18" s="1"/>
  <c r="T841" i="18" s="1"/>
  <c r="T842" i="18" s="1"/>
  <c r="T843" i="18" s="1"/>
  <c r="T844" i="18" s="1"/>
  <c r="T845" i="18" s="1"/>
  <c r="T846" i="18" s="1"/>
  <c r="T847" i="18" s="1"/>
  <c r="T848" i="18" s="1"/>
  <c r="T849" i="18" s="1"/>
  <c r="T850" i="18" s="1"/>
  <c r="T851" i="18" s="1"/>
  <c r="T852" i="18" s="1"/>
  <c r="T853" i="18" s="1"/>
  <c r="T854" i="18" s="1"/>
  <c r="T855" i="18" s="1"/>
  <c r="T856" i="18" s="1"/>
  <c r="T857" i="18" s="1"/>
  <c r="T858" i="18" s="1"/>
  <c r="T859" i="18" s="1"/>
  <c r="T860" i="18" s="1"/>
  <c r="T861" i="18" s="1"/>
  <c r="T862" i="18" s="1"/>
  <c r="T863" i="18" s="1"/>
  <c r="T864" i="18" s="1"/>
  <c r="T865" i="18" s="1"/>
  <c r="T866" i="18" s="1"/>
  <c r="T867" i="18" s="1"/>
  <c r="T868" i="18" s="1"/>
  <c r="T869" i="18" s="1"/>
  <c r="T870" i="18" s="1"/>
  <c r="T871" i="18" s="1"/>
  <c r="T872" i="18" s="1"/>
  <c r="T873" i="18" s="1"/>
  <c r="T874" i="18" s="1"/>
  <c r="T875" i="18" s="1"/>
  <c r="T876" i="18" s="1"/>
  <c r="T877" i="18" s="1"/>
  <c r="T878" i="18" s="1"/>
  <c r="T879" i="18" s="1"/>
  <c r="T880" i="18" s="1"/>
  <c r="T881" i="18" s="1"/>
  <c r="T882" i="18" s="1"/>
  <c r="T883" i="18" s="1"/>
  <c r="T884" i="18" s="1"/>
  <c r="T885" i="18" s="1"/>
  <c r="T886" i="18" s="1"/>
  <c r="T887" i="18" s="1"/>
  <c r="T888" i="18" s="1"/>
  <c r="T889" i="18" s="1"/>
  <c r="T890" i="18" s="1"/>
  <c r="T891" i="18" s="1"/>
  <c r="T892" i="18" s="1"/>
  <c r="T893" i="18" s="1"/>
  <c r="T894" i="18" s="1"/>
  <c r="T895" i="18" s="1"/>
  <c r="T896" i="18" s="1"/>
  <c r="T897" i="18" s="1"/>
  <c r="T898" i="18" s="1"/>
  <c r="T899" i="18" s="1"/>
  <c r="T900" i="18" s="1"/>
  <c r="T901" i="18" s="1"/>
  <c r="T902" i="18" s="1"/>
  <c r="T903" i="18" s="1"/>
  <c r="T904" i="18" s="1"/>
  <c r="T905" i="18" s="1"/>
  <c r="T906" i="18" s="1"/>
  <c r="T907" i="18" s="1"/>
  <c r="T908" i="18" s="1"/>
  <c r="T909" i="18" s="1"/>
  <c r="T910" i="18" s="1"/>
  <c r="T911" i="18" s="1"/>
  <c r="T912" i="18" s="1"/>
  <c r="T913" i="18" s="1"/>
  <c r="T914" i="18" s="1"/>
  <c r="T915" i="18" s="1"/>
  <c r="T916" i="18" s="1"/>
  <c r="T917" i="18" s="1"/>
  <c r="T918" i="18" s="1"/>
  <c r="T919" i="18" s="1"/>
  <c r="T920" i="18" s="1"/>
  <c r="T921" i="18" s="1"/>
  <c r="T922" i="18" s="1"/>
  <c r="T923" i="18" s="1"/>
  <c r="T924" i="18" s="1"/>
  <c r="T925" i="18" s="1"/>
  <c r="T926" i="18" s="1"/>
  <c r="T927" i="18" s="1"/>
  <c r="T928" i="18" s="1"/>
  <c r="T929" i="18" s="1"/>
  <c r="T930" i="18" s="1"/>
  <c r="T931" i="18" s="1"/>
  <c r="T932" i="18" s="1"/>
  <c r="T933" i="18" s="1"/>
  <c r="T934" i="18" s="1"/>
  <c r="T935" i="18" s="1"/>
  <c r="T936" i="18" s="1"/>
  <c r="T937" i="18" s="1"/>
  <c r="T938" i="18" s="1"/>
  <c r="T939" i="18" s="1"/>
  <c r="T940" i="18" s="1"/>
  <c r="T941" i="18" s="1"/>
  <c r="T942" i="18" s="1"/>
  <c r="T943" i="18" s="1"/>
  <c r="T944" i="18" s="1"/>
  <c r="T945" i="18" s="1"/>
  <c r="T946" i="18" s="1"/>
  <c r="T947" i="18" s="1"/>
  <c r="T948" i="18" s="1"/>
  <c r="T949" i="18" s="1"/>
  <c r="T950" i="18" s="1"/>
  <c r="T951" i="18" s="1"/>
  <c r="T952" i="18" s="1"/>
  <c r="T953" i="18" s="1"/>
  <c r="T954" i="18" s="1"/>
  <c r="T955" i="18" s="1"/>
  <c r="T956" i="18" s="1"/>
  <c r="T957" i="18" s="1"/>
  <c r="T958" i="18" s="1"/>
  <c r="T959" i="18" s="1"/>
  <c r="T960" i="18" s="1"/>
  <c r="T961" i="18" s="1"/>
  <c r="T962" i="18" s="1"/>
  <c r="T963" i="18" s="1"/>
  <c r="T964" i="18" s="1"/>
  <c r="T965" i="18" s="1"/>
  <c r="T966" i="18" s="1"/>
  <c r="T967" i="18" s="1"/>
  <c r="T968" i="18" s="1"/>
  <c r="T969" i="18" s="1"/>
  <c r="T970" i="18" s="1"/>
  <c r="T971" i="18" s="1"/>
  <c r="T972" i="18" s="1"/>
  <c r="T973" i="18" s="1"/>
  <c r="T974" i="18" s="1"/>
  <c r="T975" i="18" s="1"/>
  <c r="T976" i="18" s="1"/>
  <c r="T977" i="18" s="1"/>
  <c r="T978" i="18" s="1"/>
  <c r="T979" i="18" s="1"/>
  <c r="T980" i="18" s="1"/>
  <c r="T981" i="18" s="1"/>
  <c r="T982" i="18" s="1"/>
  <c r="T983" i="18" s="1"/>
  <c r="T984" i="18" s="1"/>
  <c r="T985" i="18" s="1"/>
  <c r="T986" i="18" s="1"/>
  <c r="T987" i="18" s="1"/>
  <c r="T988" i="18" s="1"/>
  <c r="T989" i="18" s="1"/>
  <c r="T990" i="18" s="1"/>
  <c r="T991" i="18" s="1"/>
  <c r="T992" i="18" s="1"/>
  <c r="T993" i="18" s="1"/>
  <c r="T994" i="18" s="1"/>
  <c r="T995" i="18" s="1"/>
  <c r="T996" i="18" s="1"/>
  <c r="T997" i="18" s="1"/>
  <c r="T998" i="18" s="1"/>
  <c r="T999" i="18" s="1"/>
  <c r="T1000" i="18" s="1"/>
  <c r="T1001" i="18" s="1"/>
  <c r="T1002" i="18" s="1"/>
  <c r="T1003" i="18" s="1"/>
  <c r="T1004" i="18" s="1"/>
  <c r="T1005" i="18" s="1"/>
  <c r="T1006" i="18" s="1"/>
  <c r="T1007" i="18" s="1"/>
  <c r="T1008" i="18" s="1"/>
  <c r="T1009" i="18" s="1"/>
  <c r="T1010" i="18" s="1"/>
  <c r="T1011" i="18" s="1"/>
  <c r="T1012" i="18" s="1"/>
  <c r="T1013" i="18" s="1"/>
  <c r="T1014" i="18" s="1"/>
  <c r="T1015" i="18" s="1"/>
  <c r="T1016" i="18" s="1"/>
  <c r="T1017" i="18" s="1"/>
  <c r="T1018" i="18" s="1"/>
  <c r="T1019" i="18" s="1"/>
  <c r="T1020" i="18" s="1"/>
  <c r="T1021" i="18" s="1"/>
  <c r="T1022" i="18" s="1"/>
  <c r="T1023" i="18" s="1"/>
  <c r="T1024" i="18" s="1"/>
  <c r="T1025" i="18" s="1"/>
  <c r="T1026" i="18" s="1"/>
  <c r="T1027" i="18" s="1"/>
  <c r="T1028" i="18" s="1"/>
  <c r="T1029" i="18" s="1"/>
  <c r="T1030" i="18" s="1"/>
  <c r="T1031" i="18" s="1"/>
  <c r="T1032" i="18" s="1"/>
  <c r="T1033" i="18" s="1"/>
  <c r="T1034" i="18" s="1"/>
  <c r="T1035" i="18" s="1"/>
  <c r="T1036" i="18" s="1"/>
  <c r="T1037" i="18" s="1"/>
  <c r="T1038" i="18" s="1"/>
  <c r="T1039" i="18" s="1"/>
  <c r="T1040" i="18" s="1"/>
  <c r="T1041" i="18" s="1"/>
  <c r="T1042" i="18" s="1"/>
  <c r="T1043" i="18" s="1"/>
  <c r="T1044" i="18" s="1"/>
  <c r="T1045" i="18" s="1"/>
  <c r="B2" i="18"/>
  <c r="K23" i="4"/>
  <c r="K24" i="4"/>
  <c r="K25" i="4"/>
  <c r="K26" i="4"/>
  <c r="K27" i="4"/>
  <c r="K28" i="4"/>
  <c r="K29" i="4"/>
  <c r="K30" i="4"/>
  <c r="K31" i="4"/>
  <c r="K33" i="4"/>
  <c r="K34" i="4"/>
  <c r="K35" i="4"/>
  <c r="K36" i="4"/>
  <c r="K37" i="4"/>
  <c r="K38" i="4"/>
  <c r="K39" i="4"/>
  <c r="K22" i="4"/>
  <c r="M2" i="18" l="1"/>
  <c r="L2" i="18"/>
  <c r="O2" i="18"/>
  <c r="A4" i="55"/>
  <c r="O17" i="8" a="1"/>
  <c r="O17" i="8" s="1"/>
  <c r="V17" i="8" a="1"/>
  <c r="V17" i="8" s="1"/>
  <c r="I17" i="8" s="1"/>
  <c r="Q17" i="8" a="1"/>
  <c r="Q17" i="8" s="1"/>
  <c r="T17" i="8" a="1"/>
  <c r="T17" i="8" s="1"/>
  <c r="G17" i="8" s="1"/>
  <c r="R17" i="8" a="1"/>
  <c r="R17" i="8" s="1"/>
  <c r="E17" i="8" s="1"/>
  <c r="P17" i="8" a="1"/>
  <c r="P17" i="8" s="1"/>
  <c r="C17" i="8" s="1"/>
  <c r="S17" i="8" a="1"/>
  <c r="S17" i="8" s="1"/>
  <c r="F17" i="8" s="1"/>
  <c r="U17" i="8" a="1"/>
  <c r="U17" i="8" s="1"/>
  <c r="A3" i="18"/>
  <c r="D3" i="18" s="1"/>
  <c r="B5" i="55" s="1"/>
  <c r="L16" i="8"/>
  <c r="Z16" i="8"/>
  <c r="Y16" i="8"/>
  <c r="D16" i="8"/>
  <c r="K16" i="8" s="1"/>
  <c r="B16" i="8"/>
  <c r="J16" i="8" s="1"/>
  <c r="X16" i="8"/>
  <c r="H16" i="8"/>
  <c r="M16" i="8" s="1"/>
  <c r="AA16" i="8"/>
  <c r="AJ87" i="8"/>
  <c r="AJ88" i="8" s="1"/>
  <c r="AJ89" i="8" s="1"/>
  <c r="AJ90" i="8" s="1"/>
  <c r="AJ91" i="8" s="1"/>
  <c r="R229" i="47" a="1"/>
  <c r="R229" i="47" s="1"/>
  <c r="R214" i="50" a="1"/>
  <c r="R214" i="50" s="1"/>
  <c r="R437" i="35" a="1"/>
  <c r="R437" i="35" s="1"/>
  <c r="A439" i="35"/>
  <c r="C2" i="18"/>
  <c r="K2" i="18" s="1"/>
  <c r="D4" i="55" s="1"/>
  <c r="P4" i="55" l="1"/>
  <c r="J4" i="55"/>
  <c r="O4" i="55"/>
  <c r="F4" i="55"/>
  <c r="R18" i="8" a="1"/>
  <c r="R18" i="8" s="1"/>
  <c r="E18" i="8" s="1"/>
  <c r="I150" i="13" s="1"/>
  <c r="P18" i="8" a="1"/>
  <c r="P18" i="8" s="1"/>
  <c r="C18" i="8" s="1"/>
  <c r="U18" i="8" a="1"/>
  <c r="U18" i="8" s="1"/>
  <c r="S18" i="8" a="1"/>
  <c r="S18" i="8" s="1"/>
  <c r="T18" i="8" a="1"/>
  <c r="T18" i="8" s="1"/>
  <c r="G18" i="8" s="1"/>
  <c r="O18" i="8" a="1"/>
  <c r="O18" i="8" s="1"/>
  <c r="Q18" i="8" a="1"/>
  <c r="Q18" i="8" s="1"/>
  <c r="V18" i="8" a="1"/>
  <c r="V18" i="8" s="1"/>
  <c r="I18" i="8" s="1"/>
  <c r="Z17" i="8"/>
  <c r="L17" i="8"/>
  <c r="B17" i="8"/>
  <c r="J17" i="8" s="1"/>
  <c r="X17" i="8"/>
  <c r="D17" i="8"/>
  <c r="K17" i="8" s="1"/>
  <c r="Y17" i="8"/>
  <c r="AJ92" i="8"/>
  <c r="AJ93" i="8" s="1"/>
  <c r="AJ94" i="8" s="1"/>
  <c r="AJ95" i="8" s="1"/>
  <c r="AJ96" i="8" s="1"/>
  <c r="H17" i="8"/>
  <c r="M17" i="8" s="1"/>
  <c r="AA17" i="8"/>
  <c r="R230" i="47" a="1"/>
  <c r="R230" i="47" s="1"/>
  <c r="A232" i="47"/>
  <c r="R215" i="50" a="1"/>
  <c r="R215" i="50" s="1"/>
  <c r="A217" i="50"/>
  <c r="R2" i="18"/>
  <c r="B3" i="18"/>
  <c r="A4" i="18" l="1"/>
  <c r="D4" i="18" s="1"/>
  <c r="B6" i="55" s="1"/>
  <c r="A5" i="55"/>
  <c r="M3" i="18"/>
  <c r="L3" i="18"/>
  <c r="S19" i="8" a="1"/>
  <c r="S19" i="8" s="1"/>
  <c r="T19" i="8" a="1"/>
  <c r="T19" i="8" s="1"/>
  <c r="G19" i="8" s="1"/>
  <c r="R19" i="8" a="1"/>
  <c r="R19" i="8" s="1"/>
  <c r="E19" i="8" s="1"/>
  <c r="Q19" i="8" a="1"/>
  <c r="Q19" i="8" s="1"/>
  <c r="V19" i="8" a="1"/>
  <c r="V19" i="8" s="1"/>
  <c r="I19" i="8" s="1"/>
  <c r="O19" i="8" a="1"/>
  <c r="O19" i="8" s="1"/>
  <c r="U19" i="8" a="1"/>
  <c r="U19" i="8" s="1"/>
  <c r="P19" i="8" a="1"/>
  <c r="P19" i="8" s="1"/>
  <c r="C19" i="8" s="1"/>
  <c r="D18" i="8"/>
  <c r="H150" i="13" s="1"/>
  <c r="Y18" i="8"/>
  <c r="Z18" i="8"/>
  <c r="F18" i="8"/>
  <c r="L18" i="8" s="1"/>
  <c r="AJ97" i="8"/>
  <c r="AJ98" i="8" s="1"/>
  <c r="AJ99" i="8" s="1"/>
  <c r="AJ100" i="8" s="1"/>
  <c r="AJ101" i="8" s="1"/>
  <c r="H18" i="8"/>
  <c r="M18" i="8" s="1"/>
  <c r="AA18" i="8"/>
  <c r="B18" i="8"/>
  <c r="J18" i="8" s="1"/>
  <c r="X18" i="8"/>
  <c r="C3" i="18"/>
  <c r="P5" i="55" l="1"/>
  <c r="J5" i="55"/>
  <c r="V20" i="8" a="1"/>
  <c r="V20" i="8" s="1"/>
  <c r="I20" i="8" s="1"/>
  <c r="Q20" i="8" a="1"/>
  <c r="Q20" i="8" s="1"/>
  <c r="O20" i="8" a="1"/>
  <c r="O20" i="8" s="1"/>
  <c r="U20" i="8" a="1"/>
  <c r="U20" i="8" s="1"/>
  <c r="P20" i="8" a="1"/>
  <c r="P20" i="8" s="1"/>
  <c r="C20" i="8" s="1"/>
  <c r="S20" i="8" a="1"/>
  <c r="S20" i="8" s="1"/>
  <c r="R20" i="8" a="1"/>
  <c r="R20" i="8" s="1"/>
  <c r="E20" i="8" s="1"/>
  <c r="I135" i="13" s="1"/>
  <c r="T20" i="8" a="1"/>
  <c r="T20" i="8" s="1"/>
  <c r="G20" i="8" s="1"/>
  <c r="I139" i="13"/>
  <c r="I140" i="13"/>
  <c r="K18" i="8"/>
  <c r="O150" i="13" s="1"/>
  <c r="AJ102" i="8"/>
  <c r="AJ103" i="8" s="1"/>
  <c r="AJ104" i="8" s="1"/>
  <c r="AJ105" i="8" s="1"/>
  <c r="AJ106" i="8" s="1"/>
  <c r="F19" i="8"/>
  <c r="L19" i="8" s="1"/>
  <c r="Z19" i="8"/>
  <c r="B19" i="8"/>
  <c r="J19" i="8" s="1"/>
  <c r="X19" i="8"/>
  <c r="H19" i="8"/>
  <c r="M19" i="8" s="1"/>
  <c r="AA19" i="8"/>
  <c r="D19" i="8"/>
  <c r="Y19" i="8"/>
  <c r="B4" i="18"/>
  <c r="K3" i="18"/>
  <c r="A6" i="55" l="1"/>
  <c r="M4" i="18"/>
  <c r="L5" i="55"/>
  <c r="N5" i="55"/>
  <c r="M5" i="55"/>
  <c r="K5" i="55"/>
  <c r="L4" i="18"/>
  <c r="X216" i="32"/>
  <c r="X265" i="33"/>
  <c r="X430" i="35"/>
  <c r="X339" i="44"/>
  <c r="X747" i="41"/>
  <c r="X208" i="50"/>
  <c r="X264" i="23"/>
  <c r="X218" i="32"/>
  <c r="X121" i="63"/>
  <c r="X276" i="40"/>
  <c r="X228" i="43"/>
  <c r="X161" i="67"/>
  <c r="X161" i="27"/>
  <c r="X590" i="34"/>
  <c r="X119" i="65"/>
  <c r="X118" i="66"/>
  <c r="X219" i="36"/>
  <c r="X119" i="64"/>
  <c r="X127" i="62"/>
  <c r="X323" i="46"/>
  <c r="X223" i="47"/>
  <c r="X114" i="65"/>
  <c r="X113" i="66"/>
  <c r="X585" i="34"/>
  <c r="X214" i="36"/>
  <c r="X270" i="37"/>
  <c r="X165" i="28"/>
  <c r="X160" i="28"/>
  <c r="X324" i="68"/>
  <c r="X590" i="31"/>
  <c r="X365" i="29"/>
  <c r="X265" i="37"/>
  <c r="X260" i="33"/>
  <c r="X213" i="32"/>
  <c r="X270" i="38"/>
  <c r="X321" i="25"/>
  <c r="X270" i="26"/>
  <c r="X271" i="30"/>
  <c r="X319" i="68"/>
  <c r="X585" i="31"/>
  <c r="X360" i="29"/>
  <c r="X117" i="65"/>
  <c r="X116" i="66"/>
  <c r="X588" i="34"/>
  <c r="X217" i="36"/>
  <c r="X163" i="28"/>
  <c r="X265" i="38"/>
  <c r="X316" i="25"/>
  <c r="X265" i="26"/>
  <c r="X266" i="30"/>
  <c r="X164" i="67"/>
  <c r="X164" i="27"/>
  <c r="X268" i="38"/>
  <c r="X319" i="25"/>
  <c r="X268" i="26"/>
  <c r="X269" i="30"/>
  <c r="X166" i="67"/>
  <c r="X166" i="27"/>
  <c r="X322" i="68"/>
  <c r="X588" i="31"/>
  <c r="X363" i="29"/>
  <c r="X268" i="37"/>
  <c r="X263" i="33"/>
  <c r="Q21" i="8" a="1"/>
  <c r="Q21" i="8" s="1"/>
  <c r="U21" i="8" a="1"/>
  <c r="U21" i="8" s="1"/>
  <c r="O21" i="8" a="1"/>
  <c r="O21" i="8" s="1"/>
  <c r="P21" i="8" a="1"/>
  <c r="P21" i="8" s="1"/>
  <c r="C21" i="8" s="1"/>
  <c r="V21" i="8" a="1"/>
  <c r="V21" i="8" s="1"/>
  <c r="I21" i="8" s="1"/>
  <c r="S21" i="8" a="1"/>
  <c r="S21" i="8" s="1"/>
  <c r="R21" i="8" a="1"/>
  <c r="R21" i="8" s="1"/>
  <c r="E21" i="8" s="1"/>
  <c r="T21" i="8" a="1"/>
  <c r="T21" i="8" s="1"/>
  <c r="G21" i="8" s="1"/>
  <c r="X258" i="33"/>
  <c r="X266" i="38"/>
  <c r="X317" i="25"/>
  <c r="X266" i="26"/>
  <c r="X267" i="30"/>
  <c r="X327" i="68"/>
  <c r="X593" i="31"/>
  <c r="X368" i="29"/>
  <c r="X318" i="68"/>
  <c r="X584" i="31"/>
  <c r="AB584" i="31" s="1"/>
  <c r="AF584" i="31" s="1"/>
  <c r="AJ584" i="31" s="1"/>
  <c r="X359" i="29"/>
  <c r="AB359" i="29" s="1"/>
  <c r="AF359" i="29" s="1"/>
  <c r="AJ359" i="29" s="1"/>
  <c r="X273" i="37"/>
  <c r="X116" i="65"/>
  <c r="X115" i="66"/>
  <c r="X587" i="34"/>
  <c r="X216" i="36"/>
  <c r="X112" i="65"/>
  <c r="X111" i="66"/>
  <c r="X583" i="34"/>
  <c r="X212" i="36"/>
  <c r="X268" i="33"/>
  <c r="X167" i="28"/>
  <c r="X264" i="33"/>
  <c r="X162" i="28"/>
  <c r="X259" i="33"/>
  <c r="AB259" i="33" s="1"/>
  <c r="AF259" i="33" s="1"/>
  <c r="AJ259" i="33" s="1"/>
  <c r="X158" i="28"/>
  <c r="X161" i="28"/>
  <c r="X272" i="38"/>
  <c r="X323" i="25"/>
  <c r="X272" i="26"/>
  <c r="X273" i="30"/>
  <c r="R3" i="18"/>
  <c r="D5" i="55"/>
  <c r="X166" i="28"/>
  <c r="X215" i="32"/>
  <c r="X323" i="68"/>
  <c r="X589" i="31"/>
  <c r="X364" i="29"/>
  <c r="X113" i="65"/>
  <c r="AB113" i="65" s="1"/>
  <c r="AF113" i="65" s="1"/>
  <c r="AJ113" i="65" s="1"/>
  <c r="X112" i="66"/>
  <c r="AB112" i="66" s="1"/>
  <c r="AF112" i="66" s="1"/>
  <c r="AJ112" i="66" s="1"/>
  <c r="X584" i="34"/>
  <c r="AB584" i="34" s="1"/>
  <c r="AF584" i="34" s="1"/>
  <c r="AJ584" i="34" s="1"/>
  <c r="X213" i="36"/>
  <c r="AB213" i="36" s="1"/>
  <c r="AF213" i="36" s="1"/>
  <c r="AJ213" i="36" s="1"/>
  <c r="X220" i="32"/>
  <c r="X278" i="40"/>
  <c r="X159" i="67"/>
  <c r="X159" i="27"/>
  <c r="X212" i="32"/>
  <c r="X267" i="33"/>
  <c r="X168" i="67"/>
  <c r="X168" i="27"/>
  <c r="X121" i="65"/>
  <c r="X120" i="66"/>
  <c r="X592" i="34"/>
  <c r="X221" i="36"/>
  <c r="X221" i="32"/>
  <c r="X279" i="40"/>
  <c r="X267" i="38"/>
  <c r="X318" i="25"/>
  <c r="X267" i="26"/>
  <c r="X268" i="30"/>
  <c r="X160" i="67"/>
  <c r="AB160" i="67" s="1"/>
  <c r="AF160" i="67" s="1"/>
  <c r="AJ160" i="67" s="1"/>
  <c r="X160" i="27"/>
  <c r="AB160" i="27" s="1"/>
  <c r="AF160" i="27" s="1"/>
  <c r="AJ160" i="27" s="1"/>
  <c r="X266" i="37"/>
  <c r="X164" i="28"/>
  <c r="X264" i="38"/>
  <c r="AB264" i="38" s="1"/>
  <c r="AF264" i="38" s="1"/>
  <c r="AJ264" i="38" s="1"/>
  <c r="X315" i="25"/>
  <c r="X264" i="26"/>
  <c r="AB264" i="26" s="1"/>
  <c r="AF264" i="26" s="1"/>
  <c r="AJ264" i="26" s="1"/>
  <c r="X265" i="30"/>
  <c r="AB265" i="30" s="1"/>
  <c r="AF265" i="30" s="1"/>
  <c r="AJ265" i="30" s="1"/>
  <c r="X271" i="38"/>
  <c r="X322" i="25"/>
  <c r="X271" i="26"/>
  <c r="X272" i="30"/>
  <c r="X264" i="37"/>
  <c r="AB264" i="37" s="1"/>
  <c r="AF264" i="37" s="1"/>
  <c r="AJ264" i="37" s="1"/>
  <c r="X122" i="63"/>
  <c r="X217" i="32"/>
  <c r="X120" i="63"/>
  <c r="X169" i="67"/>
  <c r="X169" i="27"/>
  <c r="X320" i="68"/>
  <c r="X586" i="31"/>
  <c r="X361" i="29"/>
  <c r="X271" i="37"/>
  <c r="X261" i="33"/>
  <c r="X317" i="68"/>
  <c r="X583" i="31"/>
  <c r="X358" i="29"/>
  <c r="X262" i="33"/>
  <c r="X115" i="63"/>
  <c r="X211" i="32"/>
  <c r="X163" i="67"/>
  <c r="X163" i="27"/>
  <c r="X269" i="37"/>
  <c r="X263" i="38"/>
  <c r="X314" i="25"/>
  <c r="X263" i="26"/>
  <c r="X264" i="30"/>
  <c r="X325" i="68"/>
  <c r="X591" i="31"/>
  <c r="X366" i="29"/>
  <c r="X165" i="67"/>
  <c r="X165" i="27"/>
  <c r="X122" i="65"/>
  <c r="X121" i="66"/>
  <c r="X593" i="34"/>
  <c r="X222" i="36"/>
  <c r="X118" i="65"/>
  <c r="X117" i="66"/>
  <c r="X589" i="34"/>
  <c r="X218" i="36"/>
  <c r="X118" i="64"/>
  <c r="X126" i="62"/>
  <c r="X168" i="28"/>
  <c r="X266" i="33"/>
  <c r="X159" i="28"/>
  <c r="AB159" i="28" s="1"/>
  <c r="AF159" i="28" s="1"/>
  <c r="AJ159" i="28" s="1"/>
  <c r="X273" i="38"/>
  <c r="X324" i="25"/>
  <c r="X273" i="26"/>
  <c r="X274" i="30"/>
  <c r="X123" i="63"/>
  <c r="X219" i="32"/>
  <c r="X269" i="38"/>
  <c r="X320" i="25"/>
  <c r="X269" i="26"/>
  <c r="X270" i="30"/>
  <c r="X118" i="63"/>
  <c r="X214" i="32"/>
  <c r="X117" i="63"/>
  <c r="X326" i="68"/>
  <c r="X592" i="31"/>
  <c r="X367" i="29"/>
  <c r="X167" i="67"/>
  <c r="X167" i="27"/>
  <c r="X321" i="68"/>
  <c r="X587" i="31"/>
  <c r="X362" i="29"/>
  <c r="X162" i="67"/>
  <c r="X162" i="27"/>
  <c r="X272" i="37"/>
  <c r="X120" i="65"/>
  <c r="X119" i="66"/>
  <c r="X591" i="34"/>
  <c r="X220" i="36"/>
  <c r="X267" i="37"/>
  <c r="X115" i="65"/>
  <c r="X114" i="66"/>
  <c r="X586" i="34"/>
  <c r="X215" i="36"/>
  <c r="X115" i="64"/>
  <c r="X123" i="62"/>
  <c r="X263" i="37"/>
  <c r="K19" i="8"/>
  <c r="H139" i="13"/>
  <c r="H140" i="13"/>
  <c r="A5" i="18"/>
  <c r="D5" i="18" s="1"/>
  <c r="B7" i="55" s="1"/>
  <c r="X124" i="63"/>
  <c r="X116" i="63"/>
  <c r="X114" i="64"/>
  <c r="X122" i="62"/>
  <c r="X121" i="64"/>
  <c r="X129" i="62"/>
  <c r="X116" i="64"/>
  <c r="X124" i="62"/>
  <c r="X120" i="64"/>
  <c r="X128" i="62"/>
  <c r="X117" i="64"/>
  <c r="X125" i="62"/>
  <c r="X113" i="64"/>
  <c r="X121" i="62"/>
  <c r="X119" i="63"/>
  <c r="X122" i="64"/>
  <c r="X130" i="62"/>
  <c r="C4" i="18"/>
  <c r="K4" i="18" s="1"/>
  <c r="D20" i="8"/>
  <c r="H135" i="13" s="1"/>
  <c r="Y20" i="8"/>
  <c r="AJ107" i="8"/>
  <c r="AJ108" i="8" s="1"/>
  <c r="AJ109" i="8" s="1"/>
  <c r="AJ110" i="8" s="1"/>
  <c r="AJ111" i="8" s="1"/>
  <c r="B20" i="8"/>
  <c r="J20" i="8" s="1"/>
  <c r="X20" i="8"/>
  <c r="H20" i="8"/>
  <c r="M20" i="8" s="1"/>
  <c r="AA20" i="8"/>
  <c r="F20" i="8"/>
  <c r="L20" i="8" s="1"/>
  <c r="Z20" i="8"/>
  <c r="P6" i="55" l="1"/>
  <c r="J6" i="55"/>
  <c r="O139" i="13"/>
  <c r="O22" i="8" a="1"/>
  <c r="O22" i="8" s="1"/>
  <c r="Q22" i="8" a="1"/>
  <c r="Q22" i="8" s="1"/>
  <c r="S22" i="8" a="1"/>
  <c r="S22" i="8" s="1"/>
  <c r="T22" i="8" a="1"/>
  <c r="T22" i="8" s="1"/>
  <c r="G22" i="8" s="1"/>
  <c r="R22" i="8" a="1"/>
  <c r="R22" i="8" s="1"/>
  <c r="E22" i="8" s="1"/>
  <c r="I141" i="13" s="1"/>
  <c r="P22" i="8" a="1"/>
  <c r="P22" i="8" s="1"/>
  <c r="C22" i="8" s="1"/>
  <c r="U22" i="8" a="1"/>
  <c r="U22" i="8" s="1"/>
  <c r="V22" i="8" a="1"/>
  <c r="V22" i="8" s="1"/>
  <c r="I22" i="8" s="1"/>
  <c r="O140" i="13"/>
  <c r="R4" i="18"/>
  <c r="D6" i="55"/>
  <c r="B5" i="18"/>
  <c r="C5" i="18" s="1"/>
  <c r="K20" i="8"/>
  <c r="O135" i="13" s="1"/>
  <c r="D21" i="8"/>
  <c r="K21" i="8" s="1"/>
  <c r="Y21" i="8"/>
  <c r="X21" i="8"/>
  <c r="B21" i="8"/>
  <c r="J21" i="8" s="1"/>
  <c r="AA21" i="8"/>
  <c r="H21" i="8"/>
  <c r="M21" i="8" s="1"/>
  <c r="Z21" i="8"/>
  <c r="F21" i="8"/>
  <c r="L21" i="8" s="1"/>
  <c r="AJ112" i="8"/>
  <c r="AJ113" i="8" s="1"/>
  <c r="AJ114" i="8" s="1"/>
  <c r="AJ115" i="8" s="1"/>
  <c r="AJ116" i="8" s="1"/>
  <c r="A6" i="18" l="1"/>
  <c r="D6" i="18" s="1"/>
  <c r="B8" i="55" s="1"/>
  <c r="A7" i="55"/>
  <c r="M5" i="18"/>
  <c r="N6" i="55"/>
  <c r="L6" i="55"/>
  <c r="M6" i="55"/>
  <c r="K6" i="55"/>
  <c r="L5" i="18"/>
  <c r="P110" i="8" a="1"/>
  <c r="P110" i="8" s="1"/>
  <c r="Q110" i="8" a="1"/>
  <c r="Q110" i="8" s="1"/>
  <c r="U110" i="8" a="1"/>
  <c r="U110" i="8" s="1"/>
  <c r="V110" i="8" a="1"/>
  <c r="V110" i="8" s="1"/>
  <c r="R110" i="8" a="1"/>
  <c r="R110" i="8" s="1"/>
  <c r="O110" i="8" a="1"/>
  <c r="O110" i="8" s="1"/>
  <c r="S110" i="8" a="1"/>
  <c r="S110" i="8" s="1"/>
  <c r="T110" i="8" a="1"/>
  <c r="T110" i="8" s="1"/>
  <c r="H22" i="8"/>
  <c r="M22" i="8" s="1"/>
  <c r="AA22" i="8"/>
  <c r="Y22" i="8"/>
  <c r="D22" i="8"/>
  <c r="H141" i="13" s="1"/>
  <c r="AJ117" i="8"/>
  <c r="AJ118" i="8" s="1"/>
  <c r="AJ119" i="8" s="1"/>
  <c r="AJ120" i="8" s="1"/>
  <c r="AJ121" i="8" s="1"/>
  <c r="Z22" i="8"/>
  <c r="F22" i="8"/>
  <c r="L22" i="8" s="1"/>
  <c r="B22" i="8"/>
  <c r="J22" i="8" s="1"/>
  <c r="X22" i="8"/>
  <c r="K5" i="18"/>
  <c r="B6" i="18"/>
  <c r="L6" i="18" l="1"/>
  <c r="A8" i="55"/>
  <c r="M6" i="18"/>
  <c r="P7" i="55"/>
  <c r="J7" i="55"/>
  <c r="V113" i="8" a="1"/>
  <c r="V113" i="8" s="1"/>
  <c r="S113" i="8" a="1"/>
  <c r="S113" i="8" s="1"/>
  <c r="P113" i="8" a="1"/>
  <c r="P113" i="8" s="1"/>
  <c r="Q113" i="8" a="1"/>
  <c r="Q113" i="8" s="1"/>
  <c r="R113" i="8" a="1"/>
  <c r="R113" i="8" s="1"/>
  <c r="O113" i="8" a="1"/>
  <c r="O113" i="8" s="1"/>
  <c r="T113" i="8" a="1"/>
  <c r="T113" i="8" s="1"/>
  <c r="U113" i="8" a="1"/>
  <c r="U113" i="8" s="1"/>
  <c r="R5" i="18"/>
  <c r="D7" i="55"/>
  <c r="A7" i="18"/>
  <c r="D7" i="18" s="1"/>
  <c r="B9" i="55" s="1"/>
  <c r="K22" i="8"/>
  <c r="O141" i="13" s="1"/>
  <c r="AJ122" i="8"/>
  <c r="AJ123" i="8" s="1"/>
  <c r="AJ124" i="8" s="1"/>
  <c r="AJ125" i="8" s="1"/>
  <c r="AJ126" i="8" s="1"/>
  <c r="C6" i="18"/>
  <c r="N7" i="55" l="1"/>
  <c r="L7" i="55"/>
  <c r="M7" i="55"/>
  <c r="K7" i="55"/>
  <c r="R7" i="55"/>
  <c r="T7" i="55"/>
  <c r="U7" i="55"/>
  <c r="S7" i="55"/>
  <c r="Q7" i="55"/>
  <c r="P8" i="55"/>
  <c r="J8" i="55"/>
  <c r="U23" i="8" a="1"/>
  <c r="U23" i="8" s="1"/>
  <c r="V23" i="8" a="1"/>
  <c r="V23" i="8" s="1"/>
  <c r="I23" i="8" s="1"/>
  <c r="Q23" i="8" a="1"/>
  <c r="Q23" i="8" s="1"/>
  <c r="O23" i="8" a="1"/>
  <c r="O23" i="8" s="1"/>
  <c r="T23" i="8" a="1"/>
  <c r="T23" i="8" s="1"/>
  <c r="G23" i="8" s="1"/>
  <c r="P23" i="8" a="1"/>
  <c r="P23" i="8" s="1"/>
  <c r="C23" i="8" s="1"/>
  <c r="S23" i="8" a="1"/>
  <c r="S23" i="8" s="1"/>
  <c r="R23" i="8" a="1"/>
  <c r="R23" i="8" s="1"/>
  <c r="E23" i="8" s="1"/>
  <c r="AJ127" i="8"/>
  <c r="AJ128" i="8" s="1"/>
  <c r="AJ129" i="8" s="1"/>
  <c r="AJ130" i="8" s="1"/>
  <c r="AJ131" i="8" s="1"/>
  <c r="K6" i="18"/>
  <c r="B7" i="18"/>
  <c r="A9" i="55" l="1"/>
  <c r="M7" i="18"/>
  <c r="N8" i="55"/>
  <c r="K8" i="55"/>
  <c r="M8" i="55"/>
  <c r="L8" i="55"/>
  <c r="R8" i="55"/>
  <c r="S8" i="55"/>
  <c r="T8" i="55"/>
  <c r="U8" i="55"/>
  <c r="Q8" i="55"/>
  <c r="L7" i="18"/>
  <c r="O24" i="8" a="1"/>
  <c r="O24" i="8" s="1"/>
  <c r="P24" i="8" a="1"/>
  <c r="P24" i="8" s="1"/>
  <c r="C24" i="8" s="1"/>
  <c r="T24" i="8" a="1"/>
  <c r="T24" i="8" s="1"/>
  <c r="G24" i="8" s="1"/>
  <c r="Q24" i="8" a="1"/>
  <c r="Q24" i="8" s="1"/>
  <c r="U24" i="8" a="1"/>
  <c r="U24" i="8" s="1"/>
  <c r="S24" i="8" a="1"/>
  <c r="S24" i="8" s="1"/>
  <c r="V24" i="8" a="1"/>
  <c r="V24" i="8" s="1"/>
  <c r="I24" i="8" s="1"/>
  <c r="R24" i="8" a="1"/>
  <c r="R24" i="8" s="1"/>
  <c r="E24" i="8" s="1"/>
  <c r="R6" i="18"/>
  <c r="D8" i="55"/>
  <c r="A8" i="18"/>
  <c r="D8" i="18" s="1"/>
  <c r="B10" i="55" s="1"/>
  <c r="AJ132" i="8"/>
  <c r="AJ133" i="8" s="1"/>
  <c r="AJ134" i="8" s="1"/>
  <c r="AJ135" i="8" s="1"/>
  <c r="AJ136" i="8" s="1"/>
  <c r="D23" i="8"/>
  <c r="K23" i="8" s="1"/>
  <c r="Y23" i="8"/>
  <c r="F23" i="8"/>
  <c r="L23" i="8" s="1"/>
  <c r="Z23" i="8"/>
  <c r="X23" i="8"/>
  <c r="B23" i="8"/>
  <c r="J23" i="8" s="1"/>
  <c r="H23" i="8"/>
  <c r="M23" i="8" s="1"/>
  <c r="AA23" i="8"/>
  <c r="C7" i="18"/>
  <c r="P9" i="55" l="1"/>
  <c r="J9" i="55"/>
  <c r="U104" i="8" a="1"/>
  <c r="U104" i="8" s="1"/>
  <c r="P104" i="8" a="1"/>
  <c r="P104" i="8" s="1"/>
  <c r="C104" i="8" s="1"/>
  <c r="S104" i="8" a="1"/>
  <c r="S104" i="8" s="1"/>
  <c r="T104" i="8" a="1"/>
  <c r="T104" i="8" s="1"/>
  <c r="G104" i="8" s="1"/>
  <c r="O104" i="8" a="1"/>
  <c r="O104" i="8" s="1"/>
  <c r="R104" i="8" a="1"/>
  <c r="R104" i="8" s="1"/>
  <c r="E104" i="8" s="1"/>
  <c r="V104" i="8" a="1"/>
  <c r="V104" i="8" s="1"/>
  <c r="I104" i="8" s="1"/>
  <c r="Q104" i="8" a="1"/>
  <c r="Q104" i="8" s="1"/>
  <c r="D24" i="8"/>
  <c r="K24" i="8" s="1"/>
  <c r="Y24" i="8"/>
  <c r="H24" i="8"/>
  <c r="M24" i="8" s="1"/>
  <c r="AA24" i="8"/>
  <c r="Z24" i="8"/>
  <c r="F24" i="8"/>
  <c r="L24" i="8" s="1"/>
  <c r="AJ137" i="8"/>
  <c r="AJ138" i="8" s="1"/>
  <c r="AJ139" i="8" s="1"/>
  <c r="AJ140" i="8" s="1"/>
  <c r="AJ141" i="8" s="1"/>
  <c r="X24" i="8"/>
  <c r="B24" i="8"/>
  <c r="J24" i="8" s="1"/>
  <c r="K7" i="18"/>
  <c r="B8" i="18"/>
  <c r="N9" i="55" l="1"/>
  <c r="L9" i="55"/>
  <c r="M9" i="55"/>
  <c r="K9" i="55"/>
  <c r="A10" i="55"/>
  <c r="M8" i="18"/>
  <c r="R9" i="55"/>
  <c r="S9" i="55"/>
  <c r="T9" i="55"/>
  <c r="U9" i="55"/>
  <c r="Q9" i="55"/>
  <c r="L8" i="18"/>
  <c r="S112" i="8" a="1"/>
  <c r="S112" i="8" s="1"/>
  <c r="Q112" i="8" a="1"/>
  <c r="Q112" i="8" s="1"/>
  <c r="P112" i="8" a="1"/>
  <c r="P112" i="8" s="1"/>
  <c r="C112" i="8" s="1"/>
  <c r="T112" i="8" a="1"/>
  <c r="T112" i="8" s="1"/>
  <c r="G112" i="8" s="1"/>
  <c r="U112" i="8" a="1"/>
  <c r="U112" i="8" s="1"/>
  <c r="V112" i="8" a="1"/>
  <c r="V112" i="8" s="1"/>
  <c r="I112" i="8" s="1"/>
  <c r="R112" i="8" a="1"/>
  <c r="R112" i="8" s="1"/>
  <c r="E112" i="8" s="1"/>
  <c r="O112" i="8" a="1"/>
  <c r="O112" i="8" s="1"/>
  <c r="U61" i="65"/>
  <c r="R7" i="18"/>
  <c r="D9" i="55"/>
  <c r="A9" i="18"/>
  <c r="D9" i="18" s="1"/>
  <c r="B11" i="55" s="1"/>
  <c r="B104" i="8"/>
  <c r="J104" i="8" s="1"/>
  <c r="X104" i="8"/>
  <c r="D104" i="8"/>
  <c r="Y104" i="8"/>
  <c r="H104" i="8"/>
  <c r="M104" i="8" s="1"/>
  <c r="AA104" i="8"/>
  <c r="F104" i="8"/>
  <c r="L104" i="8" s="1"/>
  <c r="Z104" i="8"/>
  <c r="AJ142" i="8"/>
  <c r="AJ143" i="8" s="1"/>
  <c r="AJ144" i="8" s="1"/>
  <c r="AJ145" i="8" s="1"/>
  <c r="AJ146" i="8" s="1"/>
  <c r="C8" i="18"/>
  <c r="N1" i="13"/>
  <c r="O1" i="13" s="1"/>
  <c r="P1" i="13" s="1"/>
  <c r="Q1" i="13" s="1"/>
  <c r="R1" i="13" s="1"/>
  <c r="S1" i="13" s="1"/>
  <c r="T1" i="13" s="1"/>
  <c r="P10" i="55" l="1"/>
  <c r="J10" i="55"/>
  <c r="I167" i="13"/>
  <c r="B112" i="8"/>
  <c r="J112" i="8" s="1"/>
  <c r="X112" i="8"/>
  <c r="H112" i="8"/>
  <c r="M112" i="8" s="1"/>
  <c r="AA112" i="8"/>
  <c r="R25" i="8" a="1"/>
  <c r="R25" i="8" s="1"/>
  <c r="E25" i="8" s="1"/>
  <c r="S25" i="8" a="1"/>
  <c r="S25" i="8" s="1"/>
  <c r="T25" i="8" a="1"/>
  <c r="T25" i="8" s="1"/>
  <c r="G25" i="8" s="1"/>
  <c r="O25" i="8" a="1"/>
  <c r="O25" i="8" s="1"/>
  <c r="V25" i="8" a="1"/>
  <c r="V25" i="8" s="1"/>
  <c r="I25" i="8" s="1"/>
  <c r="Q25" i="8" a="1"/>
  <c r="Q25" i="8" s="1"/>
  <c r="P25" i="8" a="1"/>
  <c r="P25" i="8" s="1"/>
  <c r="C25" i="8" s="1"/>
  <c r="U25" i="8" a="1"/>
  <c r="U25" i="8" s="1"/>
  <c r="D112" i="8"/>
  <c r="H167" i="13" s="1"/>
  <c r="Y112" i="8"/>
  <c r="F112" i="8"/>
  <c r="L112" i="8" s="1"/>
  <c r="Z112" i="8"/>
  <c r="K104" i="8"/>
  <c r="BF79" i="5" s="1"/>
  <c r="R61" i="65"/>
  <c r="X61" i="65"/>
  <c r="AJ147" i="8"/>
  <c r="AJ148" i="8" s="1"/>
  <c r="AJ149" i="8" s="1"/>
  <c r="AJ150" i="8" s="1"/>
  <c r="AJ151" i="8" s="1"/>
  <c r="K8" i="18"/>
  <c r="B9" i="18"/>
  <c r="B1" i="13"/>
  <c r="O141" i="26" l="1"/>
  <c r="O144" i="26" s="1"/>
  <c r="O147" i="26" s="1"/>
  <c r="O150" i="26" s="1"/>
  <c r="O153" i="26" s="1"/>
  <c r="O156" i="26" s="1"/>
  <c r="O159" i="26" s="1"/>
  <c r="O162" i="26" s="1"/>
  <c r="O165" i="26" s="1"/>
  <c r="O175" i="26"/>
  <c r="O178" i="26" s="1"/>
  <c r="O181" i="26" s="1"/>
  <c r="A175" i="26"/>
  <c r="A178" i="26" s="1"/>
  <c r="A181" i="26" s="1"/>
  <c r="R175" i="26"/>
  <c r="A11" i="55"/>
  <c r="M9" i="18"/>
  <c r="L9" i="18"/>
  <c r="L10" i="55"/>
  <c r="K10" i="55"/>
  <c r="N10" i="55"/>
  <c r="M10" i="55"/>
  <c r="R10" i="55"/>
  <c r="T10" i="55"/>
  <c r="S10" i="55"/>
  <c r="U10" i="55"/>
  <c r="Q10" i="55"/>
  <c r="V26" i="8" a="1"/>
  <c r="V26" i="8" s="1"/>
  <c r="I26" i="8" s="1"/>
  <c r="O26" i="8" a="1"/>
  <c r="O26" i="8" s="1"/>
  <c r="R26" i="8" a="1"/>
  <c r="R26" i="8" s="1"/>
  <c r="E26" i="8" s="1"/>
  <c r="T26" i="8" a="1"/>
  <c r="T26" i="8" s="1"/>
  <c r="G26" i="8" s="1"/>
  <c r="Q26" i="8" a="1"/>
  <c r="Q26" i="8" s="1"/>
  <c r="S26" i="8" a="1"/>
  <c r="S26" i="8" s="1"/>
  <c r="P26" i="8" a="1"/>
  <c r="P26" i="8" s="1"/>
  <c r="C26" i="8" s="1"/>
  <c r="U26" i="8" a="1"/>
  <c r="U26" i="8" s="1"/>
  <c r="K112" i="8"/>
  <c r="O167" i="13" s="1"/>
  <c r="D160" i="10"/>
  <c r="AE159" i="70" s="1"/>
  <c r="D161" i="10"/>
  <c r="AE160" i="70" s="1"/>
  <c r="R8" i="18"/>
  <c r="D10" i="55"/>
  <c r="A10" i="18"/>
  <c r="D10" i="18" s="1"/>
  <c r="B12" i="55" s="1"/>
  <c r="O117" i="67"/>
  <c r="O120" i="67" s="1"/>
  <c r="O123" i="67" s="1"/>
  <c r="A117" i="67"/>
  <c r="A120" i="67" s="1"/>
  <c r="A123" i="67" s="1"/>
  <c r="A77" i="66"/>
  <c r="A80" i="66" s="1"/>
  <c r="A83" i="66" s="1"/>
  <c r="O77" i="66"/>
  <c r="O80" i="66" s="1"/>
  <c r="O83" i="66" s="1"/>
  <c r="A77" i="65"/>
  <c r="A80" i="65" s="1"/>
  <c r="A83" i="65" s="1"/>
  <c r="O77" i="65"/>
  <c r="O80" i="65" s="1"/>
  <c r="O83" i="65" s="1"/>
  <c r="A77" i="64"/>
  <c r="A80" i="64" s="1"/>
  <c r="A83" i="64" s="1"/>
  <c r="O77" i="64"/>
  <c r="O80" i="64" s="1"/>
  <c r="O83" i="64" s="1"/>
  <c r="A77" i="63"/>
  <c r="A80" i="63" s="1"/>
  <c r="A83" i="63" s="1"/>
  <c r="A84" i="62"/>
  <c r="A87" i="62" s="1"/>
  <c r="A90" i="62" s="1"/>
  <c r="O77" i="63"/>
  <c r="O80" i="63" s="1"/>
  <c r="O83" i="63" s="1"/>
  <c r="R84" i="62"/>
  <c r="O84" i="62"/>
  <c r="O87" i="62" s="1"/>
  <c r="O90" i="62" s="1"/>
  <c r="U84" i="62"/>
  <c r="A179" i="44"/>
  <c r="A182" i="44" s="1"/>
  <c r="A185" i="44" s="1"/>
  <c r="O144" i="44"/>
  <c r="O147" i="44" s="1"/>
  <c r="O150" i="44" s="1"/>
  <c r="O153" i="44" s="1"/>
  <c r="O156" i="44" s="1"/>
  <c r="O159" i="44" s="1"/>
  <c r="O162" i="44" s="1"/>
  <c r="O165" i="44" s="1"/>
  <c r="O168" i="44" s="1"/>
  <c r="O179" i="44"/>
  <c r="O182" i="44" s="1"/>
  <c r="O185" i="44" s="1"/>
  <c r="A123" i="44"/>
  <c r="A126" i="44" s="1"/>
  <c r="A129" i="44" s="1"/>
  <c r="O123" i="44"/>
  <c r="O126" i="44" s="1"/>
  <c r="O129" i="44" s="1"/>
  <c r="A235" i="40"/>
  <c r="A238" i="40" s="1"/>
  <c r="A241" i="40" s="1"/>
  <c r="O235" i="40"/>
  <c r="O238" i="40" s="1"/>
  <c r="O241" i="40" s="1"/>
  <c r="A59" i="50"/>
  <c r="A62" i="50" s="1"/>
  <c r="A65" i="50" s="1"/>
  <c r="O59" i="50"/>
  <c r="B25" i="8"/>
  <c r="J25" i="8" s="1"/>
  <c r="X25" i="8"/>
  <c r="D25" i="8"/>
  <c r="K25" i="8" s="1"/>
  <c r="Y25" i="8"/>
  <c r="AJ152" i="8"/>
  <c r="AJ153" i="8" s="1"/>
  <c r="AJ154" i="8" s="1"/>
  <c r="AJ155" i="8" s="1"/>
  <c r="AJ156" i="8" s="1"/>
  <c r="H25" i="8"/>
  <c r="M25" i="8" s="1"/>
  <c r="AA25" i="8"/>
  <c r="F25" i="8"/>
  <c r="L25" i="8" s="1"/>
  <c r="Z25" i="8"/>
  <c r="O228" i="30"/>
  <c r="O231" i="30" s="1"/>
  <c r="O234" i="30" s="1"/>
  <c r="O40" i="37"/>
  <c r="O43" i="37" s="1"/>
  <c r="O46" i="37" s="1"/>
  <c r="O49" i="37" s="1"/>
  <c r="O52" i="37" s="1"/>
  <c r="O55" i="37" s="1"/>
  <c r="O58" i="37" s="1"/>
  <c r="O61" i="37" s="1"/>
  <c r="O64" i="37" s="1"/>
  <c r="A122" i="34"/>
  <c r="A125" i="34" s="1"/>
  <c r="A128" i="34" s="1"/>
  <c r="A228" i="30"/>
  <c r="A231" i="30" s="1"/>
  <c r="A234" i="30" s="1"/>
  <c r="O122" i="34"/>
  <c r="O125" i="34" s="1"/>
  <c r="O128" i="34" s="1"/>
  <c r="O91" i="25"/>
  <c r="O94" i="25" s="1"/>
  <c r="O97" i="25" s="1"/>
  <c r="O100" i="25" s="1"/>
  <c r="O103" i="25" s="1"/>
  <c r="O106" i="25" s="1"/>
  <c r="O109" i="25" s="1"/>
  <c r="O112" i="25" s="1"/>
  <c r="O115" i="25" s="1"/>
  <c r="O669" i="41"/>
  <c r="O672" i="41" s="1"/>
  <c r="O675" i="41" s="1"/>
  <c r="O678" i="41" s="1"/>
  <c r="O681" i="41" s="1"/>
  <c r="O684" i="41" s="1"/>
  <c r="O687" i="41" s="1"/>
  <c r="O690" i="41" s="1"/>
  <c r="O693" i="41" s="1"/>
  <c r="O86" i="38"/>
  <c r="O89" i="38" s="1"/>
  <c r="O92" i="38" s="1"/>
  <c r="O95" i="38" s="1"/>
  <c r="O98" i="38" s="1"/>
  <c r="O101" i="38" s="1"/>
  <c r="O104" i="38" s="1"/>
  <c r="O107" i="38" s="1"/>
  <c r="O110" i="38" s="1"/>
  <c r="O200" i="25"/>
  <c r="O203" i="25" s="1"/>
  <c r="O206" i="25" s="1"/>
  <c r="O209" i="25" s="1"/>
  <c r="O212" i="25" s="1"/>
  <c r="O215" i="25" s="1"/>
  <c r="O218" i="25" s="1"/>
  <c r="O221" i="25" s="1"/>
  <c r="O224" i="25" s="1"/>
  <c r="O255" i="29"/>
  <c r="O258" i="29" s="1"/>
  <c r="O261" i="29" s="1"/>
  <c r="O264" i="29" s="1"/>
  <c r="O267" i="29" s="1"/>
  <c r="O270" i="29" s="1"/>
  <c r="O273" i="29" s="1"/>
  <c r="O276" i="29" s="1"/>
  <c r="O279" i="29" s="1"/>
  <c r="O145" i="30"/>
  <c r="O148" i="30" s="1"/>
  <c r="O151" i="30" s="1"/>
  <c r="O154" i="30" s="1"/>
  <c r="O157" i="30" s="1"/>
  <c r="O160" i="30" s="1"/>
  <c r="O163" i="30" s="1"/>
  <c r="O166" i="30" s="1"/>
  <c r="O169" i="30" s="1"/>
  <c r="O192" i="26"/>
  <c r="O195" i="26" s="1"/>
  <c r="O198" i="26" s="1"/>
  <c r="O201" i="26" s="1"/>
  <c r="O204" i="26" s="1"/>
  <c r="O207" i="26" s="1"/>
  <c r="O210" i="26" s="1"/>
  <c r="O213" i="26" s="1"/>
  <c r="O216" i="26" s="1"/>
  <c r="O40" i="26"/>
  <c r="O43" i="26" s="1"/>
  <c r="O46" i="26" s="1"/>
  <c r="O49" i="26" s="1"/>
  <c r="O52" i="26" s="1"/>
  <c r="O55" i="26" s="1"/>
  <c r="O58" i="26" s="1"/>
  <c r="O61" i="26" s="1"/>
  <c r="O64" i="26" s="1"/>
  <c r="O89" i="44"/>
  <c r="O92" i="44" s="1"/>
  <c r="O95" i="44" s="1"/>
  <c r="O98" i="44" s="1"/>
  <c r="O101" i="44" s="1"/>
  <c r="O104" i="44" s="1"/>
  <c r="O107" i="44" s="1"/>
  <c r="O110" i="44" s="1"/>
  <c r="O113" i="44" s="1"/>
  <c r="O162" i="46"/>
  <c r="O165" i="46" s="1"/>
  <c r="O168" i="46" s="1"/>
  <c r="O171" i="46" s="1"/>
  <c r="O174" i="46" s="1"/>
  <c r="O177" i="46" s="1"/>
  <c r="O180" i="46" s="1"/>
  <c r="O183" i="46" s="1"/>
  <c r="O186" i="46" s="1"/>
  <c r="O100" i="43"/>
  <c r="O103" i="43" s="1"/>
  <c r="O106" i="43" s="1"/>
  <c r="O109" i="43" s="1"/>
  <c r="O112" i="43" s="1"/>
  <c r="O115" i="43" s="1"/>
  <c r="O118" i="43" s="1"/>
  <c r="O121" i="43" s="1"/>
  <c r="O124" i="43" s="1"/>
  <c r="O87" i="29"/>
  <c r="O90" i="29" s="1"/>
  <c r="O93" i="29" s="1"/>
  <c r="O87" i="28"/>
  <c r="O90" i="28" s="1"/>
  <c r="O93" i="28" s="1"/>
  <c r="O96" i="28" s="1"/>
  <c r="O99" i="28" s="1"/>
  <c r="O102" i="28" s="1"/>
  <c r="O105" i="28" s="1"/>
  <c r="O108" i="28" s="1"/>
  <c r="O111" i="28" s="1"/>
  <c r="O87" i="27"/>
  <c r="O90" i="27" s="1"/>
  <c r="O93" i="27" s="1"/>
  <c r="O96" i="27" s="1"/>
  <c r="O99" i="27" s="1"/>
  <c r="O102" i="27" s="1"/>
  <c r="O105" i="27" s="1"/>
  <c r="O108" i="27" s="1"/>
  <c r="O111" i="27" s="1"/>
  <c r="O142" i="47"/>
  <c r="O145" i="47" s="1"/>
  <c r="O148" i="47" s="1"/>
  <c r="O107" i="47"/>
  <c r="O110" i="47" s="1"/>
  <c r="O113" i="47" s="1"/>
  <c r="O116" i="47" s="1"/>
  <c r="O119" i="47" s="1"/>
  <c r="O122" i="47" s="1"/>
  <c r="O125" i="47" s="1"/>
  <c r="O128" i="47" s="1"/>
  <c r="O131" i="47" s="1"/>
  <c r="O193" i="31"/>
  <c r="O196" i="31" s="1"/>
  <c r="O199" i="31" s="1"/>
  <c r="O202" i="31" s="1"/>
  <c r="O205" i="31" s="1"/>
  <c r="O208" i="31" s="1"/>
  <c r="O211" i="31" s="1"/>
  <c r="O214" i="31" s="1"/>
  <c r="O217" i="31" s="1"/>
  <c r="O122" i="30"/>
  <c r="O125" i="30" s="1"/>
  <c r="O128" i="30" s="1"/>
  <c r="O87" i="30"/>
  <c r="O90" i="30" s="1"/>
  <c r="O93" i="30" s="1"/>
  <c r="O96" i="30" s="1"/>
  <c r="O99" i="30" s="1"/>
  <c r="O102" i="30" s="1"/>
  <c r="O105" i="30" s="1"/>
  <c r="O108" i="30" s="1"/>
  <c r="O111" i="30" s="1"/>
  <c r="O215" i="29"/>
  <c r="O218" i="29" s="1"/>
  <c r="O221" i="29" s="1"/>
  <c r="O224" i="29" s="1"/>
  <c r="O227" i="29" s="1"/>
  <c r="O230" i="29" s="1"/>
  <c r="O233" i="29" s="1"/>
  <c r="O236" i="29" s="1"/>
  <c r="O239" i="29" s="1"/>
  <c r="O137" i="33"/>
  <c r="O140" i="33" s="1"/>
  <c r="O143" i="33" s="1"/>
  <c r="O146" i="33" s="1"/>
  <c r="O149" i="33" s="1"/>
  <c r="O152" i="33" s="1"/>
  <c r="O155" i="33" s="1"/>
  <c r="O158" i="33" s="1"/>
  <c r="O161" i="33" s="1"/>
  <c r="O244" i="44"/>
  <c r="O247" i="44" s="1"/>
  <c r="O250" i="44" s="1"/>
  <c r="O253" i="44" s="1"/>
  <c r="O256" i="44" s="1"/>
  <c r="O259" i="44" s="1"/>
  <c r="O262" i="44" s="1"/>
  <c r="O265" i="44" s="1"/>
  <c r="O268" i="44" s="1"/>
  <c r="A140" i="43"/>
  <c r="A143" i="43" s="1"/>
  <c r="A146" i="43" s="1"/>
  <c r="O457" i="41"/>
  <c r="O460" i="41" s="1"/>
  <c r="O463" i="41" s="1"/>
  <c r="O466" i="41" s="1"/>
  <c r="O469" i="41" s="1"/>
  <c r="O472" i="41" s="1"/>
  <c r="O475" i="41" s="1"/>
  <c r="O478" i="41" s="1"/>
  <c r="O481" i="41" s="1"/>
  <c r="O144" i="38"/>
  <c r="O147" i="38" s="1"/>
  <c r="O150" i="38" s="1"/>
  <c r="O153" i="38" s="1"/>
  <c r="O156" i="38" s="1"/>
  <c r="O159" i="38" s="1"/>
  <c r="O162" i="38" s="1"/>
  <c r="O165" i="38" s="1"/>
  <c r="O168" i="38" s="1"/>
  <c r="O41" i="27"/>
  <c r="O44" i="27" s="1"/>
  <c r="O47" i="27" s="1"/>
  <c r="O50" i="27" s="1"/>
  <c r="O53" i="27" s="1"/>
  <c r="O56" i="27" s="1"/>
  <c r="O59" i="27" s="1"/>
  <c r="O62" i="27" s="1"/>
  <c r="O65" i="27" s="1"/>
  <c r="A142" i="47"/>
  <c r="A145" i="47" s="1"/>
  <c r="A148" i="47" s="1"/>
  <c r="O40" i="43"/>
  <c r="O43" i="43" s="1"/>
  <c r="O46" i="43" s="1"/>
  <c r="O49" i="43" s="1"/>
  <c r="O52" i="43" s="1"/>
  <c r="O55" i="43" s="1"/>
  <c r="O58" i="43" s="1"/>
  <c r="O61" i="43" s="1"/>
  <c r="O64" i="43" s="1"/>
  <c r="O459" i="31"/>
  <c r="O462" i="31" s="1"/>
  <c r="O465" i="31" s="1"/>
  <c r="O468" i="31" s="1"/>
  <c r="O471" i="31" s="1"/>
  <c r="O474" i="31" s="1"/>
  <c r="O477" i="31" s="1"/>
  <c r="O480" i="31" s="1"/>
  <c r="O483" i="31" s="1"/>
  <c r="O92" i="40"/>
  <c r="O95" i="40" s="1"/>
  <c r="O98" i="40" s="1"/>
  <c r="O101" i="40" s="1"/>
  <c r="O104" i="40" s="1"/>
  <c r="O107" i="40" s="1"/>
  <c r="O110" i="40" s="1"/>
  <c r="O113" i="40" s="1"/>
  <c r="O116" i="40" s="1"/>
  <c r="A87" i="29"/>
  <c r="A90" i="29" s="1"/>
  <c r="A93" i="29" s="1"/>
  <c r="O201" i="44"/>
  <c r="O204" i="44" s="1"/>
  <c r="O207" i="44" s="1"/>
  <c r="O210" i="44" s="1"/>
  <c r="O213" i="44" s="1"/>
  <c r="O216" i="44" s="1"/>
  <c r="O219" i="44" s="1"/>
  <c r="O222" i="44" s="1"/>
  <c r="O225" i="44" s="1"/>
  <c r="O40" i="41"/>
  <c r="O43" i="41" s="1"/>
  <c r="O46" i="41" s="1"/>
  <c r="O49" i="41" s="1"/>
  <c r="O52" i="41" s="1"/>
  <c r="O55" i="41" s="1"/>
  <c r="O58" i="41" s="1"/>
  <c r="O61" i="41" s="1"/>
  <c r="O64" i="41" s="1"/>
  <c r="O103" i="35"/>
  <c r="O106" i="35" s="1"/>
  <c r="O109" i="35" s="1"/>
  <c r="O112" i="35" s="1"/>
  <c r="O115" i="35" s="1"/>
  <c r="O118" i="35" s="1"/>
  <c r="O121" i="35" s="1"/>
  <c r="O124" i="35" s="1"/>
  <c r="O127" i="35" s="1"/>
  <c r="A122" i="30"/>
  <c r="A125" i="30" s="1"/>
  <c r="A128" i="30" s="1"/>
  <c r="O41" i="29"/>
  <c r="O44" i="29" s="1"/>
  <c r="O47" i="29" s="1"/>
  <c r="O50" i="29" s="1"/>
  <c r="O53" i="29" s="1"/>
  <c r="O56" i="29" s="1"/>
  <c r="O59" i="29" s="1"/>
  <c r="O62" i="29" s="1"/>
  <c r="O65" i="29" s="1"/>
  <c r="O41" i="28"/>
  <c r="O44" i="28" s="1"/>
  <c r="O47" i="28" s="1"/>
  <c r="O50" i="28" s="1"/>
  <c r="O53" i="28" s="1"/>
  <c r="O56" i="28" s="1"/>
  <c r="O59" i="28" s="1"/>
  <c r="O62" i="28" s="1"/>
  <c r="O65" i="28" s="1"/>
  <c r="O40" i="47"/>
  <c r="O43" i="47" s="1"/>
  <c r="O46" i="47" s="1"/>
  <c r="O49" i="47" s="1"/>
  <c r="O52" i="47" s="1"/>
  <c r="O55" i="47" s="1"/>
  <c r="O58" i="47" s="1"/>
  <c r="O61" i="47" s="1"/>
  <c r="O64" i="47" s="1"/>
  <c r="O192" i="37"/>
  <c r="O195" i="37" s="1"/>
  <c r="O198" i="37" s="1"/>
  <c r="O201" i="37" s="1"/>
  <c r="O204" i="37" s="1"/>
  <c r="O207" i="37" s="1"/>
  <c r="O210" i="37" s="1"/>
  <c r="O213" i="37" s="1"/>
  <c r="O216" i="37" s="1"/>
  <c r="O41" i="32"/>
  <c r="O44" i="32" s="1"/>
  <c r="O47" i="32" s="1"/>
  <c r="O50" i="32" s="1"/>
  <c r="O53" i="32" s="1"/>
  <c r="O56" i="32" s="1"/>
  <c r="O59" i="32" s="1"/>
  <c r="O62" i="32" s="1"/>
  <c r="O65" i="32" s="1"/>
  <c r="O353" i="31"/>
  <c r="O356" i="31" s="1"/>
  <c r="O359" i="31" s="1"/>
  <c r="O362" i="31" s="1"/>
  <c r="O365" i="31" s="1"/>
  <c r="O368" i="31" s="1"/>
  <c r="O371" i="31" s="1"/>
  <c r="O374" i="31" s="1"/>
  <c r="O377" i="31" s="1"/>
  <c r="O162" i="29"/>
  <c r="O165" i="29" s="1"/>
  <c r="O168" i="29" s="1"/>
  <c r="O171" i="29" s="1"/>
  <c r="O174" i="29" s="1"/>
  <c r="O177" i="29" s="1"/>
  <c r="O180" i="29" s="1"/>
  <c r="O183" i="29" s="1"/>
  <c r="O186" i="29" s="1"/>
  <c r="O40" i="25"/>
  <c r="O43" i="25" s="1"/>
  <c r="O46" i="25" s="1"/>
  <c r="O49" i="25" s="1"/>
  <c r="O52" i="25" s="1"/>
  <c r="O55" i="25" s="1"/>
  <c r="O58" i="25" s="1"/>
  <c r="O61" i="25" s="1"/>
  <c r="O64" i="25" s="1"/>
  <c r="O86" i="37"/>
  <c r="O89" i="37" s="1"/>
  <c r="O92" i="37" s="1"/>
  <c r="O95" i="37" s="1"/>
  <c r="O98" i="37" s="1"/>
  <c r="O101" i="37" s="1"/>
  <c r="O104" i="37" s="1"/>
  <c r="O107" i="37" s="1"/>
  <c r="O110" i="37" s="1"/>
  <c r="O140" i="43"/>
  <c r="O143" i="43" s="1"/>
  <c r="O146" i="43" s="1"/>
  <c r="O303" i="41"/>
  <c r="O306" i="41" s="1"/>
  <c r="O309" i="41" s="1"/>
  <c r="O312" i="41" s="1"/>
  <c r="O315" i="41" s="1"/>
  <c r="O318" i="41" s="1"/>
  <c r="O321" i="41" s="1"/>
  <c r="O324" i="41" s="1"/>
  <c r="O327" i="41" s="1"/>
  <c r="O105" i="36"/>
  <c r="O108" i="36" s="1"/>
  <c r="O111" i="36" s="1"/>
  <c r="O114" i="36" s="1"/>
  <c r="O117" i="36" s="1"/>
  <c r="O120" i="36" s="1"/>
  <c r="O123" i="36" s="1"/>
  <c r="O126" i="36" s="1"/>
  <c r="O129" i="36" s="1"/>
  <c r="O104" i="46"/>
  <c r="O107" i="46" s="1"/>
  <c r="O110" i="46" s="1"/>
  <c r="O113" i="46" s="1"/>
  <c r="O116" i="46" s="1"/>
  <c r="O119" i="46" s="1"/>
  <c r="O122" i="46" s="1"/>
  <c r="O125" i="46" s="1"/>
  <c r="O128" i="46" s="1"/>
  <c r="O193" i="30"/>
  <c r="O196" i="30" s="1"/>
  <c r="O199" i="30" s="1"/>
  <c r="O202" i="30" s="1"/>
  <c r="O205" i="30" s="1"/>
  <c r="O208" i="30" s="1"/>
  <c r="O211" i="30" s="1"/>
  <c r="O214" i="30" s="1"/>
  <c r="O217" i="30" s="1"/>
  <c r="O144" i="37"/>
  <c r="O147" i="37" s="1"/>
  <c r="O150" i="37" s="1"/>
  <c r="O153" i="37" s="1"/>
  <c r="O156" i="37" s="1"/>
  <c r="O159" i="37" s="1"/>
  <c r="O162" i="37" s="1"/>
  <c r="O165" i="37" s="1"/>
  <c r="O168" i="37" s="1"/>
  <c r="O192" i="41"/>
  <c r="O195" i="41" s="1"/>
  <c r="O198" i="41" s="1"/>
  <c r="O201" i="41" s="1"/>
  <c r="O204" i="41" s="1"/>
  <c r="O207" i="41" s="1"/>
  <c r="O210" i="41" s="1"/>
  <c r="O213" i="41" s="1"/>
  <c r="O216" i="41" s="1"/>
  <c r="O87" i="31"/>
  <c r="O90" i="31" s="1"/>
  <c r="O93" i="31" s="1"/>
  <c r="O96" i="31" s="1"/>
  <c r="O99" i="31" s="1"/>
  <c r="O102" i="31" s="1"/>
  <c r="O105" i="31" s="1"/>
  <c r="O108" i="31" s="1"/>
  <c r="O111" i="31" s="1"/>
  <c r="O41" i="40"/>
  <c r="O44" i="40" s="1"/>
  <c r="O47" i="40" s="1"/>
  <c r="O50" i="40" s="1"/>
  <c r="O53" i="40" s="1"/>
  <c r="O56" i="40" s="1"/>
  <c r="O59" i="40" s="1"/>
  <c r="O62" i="40" s="1"/>
  <c r="O65" i="40" s="1"/>
  <c r="A87" i="36"/>
  <c r="A90" i="36" s="1"/>
  <c r="A93" i="36" s="1"/>
  <c r="O512" i="34"/>
  <c r="O515" i="34" s="1"/>
  <c r="O518" i="34" s="1"/>
  <c r="O521" i="34" s="1"/>
  <c r="O524" i="34" s="1"/>
  <c r="O527" i="34" s="1"/>
  <c r="O530" i="34" s="1"/>
  <c r="O533" i="34" s="1"/>
  <c r="O536" i="34" s="1"/>
  <c r="O87" i="34"/>
  <c r="O90" i="34" s="1"/>
  <c r="O93" i="34" s="1"/>
  <c r="O96" i="34" s="1"/>
  <c r="O99" i="34" s="1"/>
  <c r="O102" i="34" s="1"/>
  <c r="O105" i="34" s="1"/>
  <c r="O108" i="34" s="1"/>
  <c r="O111" i="34" s="1"/>
  <c r="A122" i="32"/>
  <c r="A125" i="32" s="1"/>
  <c r="A128" i="32" s="1"/>
  <c r="O197" i="29"/>
  <c r="O200" i="29" s="1"/>
  <c r="O203" i="29" s="1"/>
  <c r="O88" i="26"/>
  <c r="O91" i="26" s="1"/>
  <c r="O94" i="26" s="1"/>
  <c r="O97" i="26" s="1"/>
  <c r="O100" i="26" s="1"/>
  <c r="O103" i="26" s="1"/>
  <c r="O106" i="26" s="1"/>
  <c r="O109" i="26" s="1"/>
  <c r="O112" i="26" s="1"/>
  <c r="O193" i="34"/>
  <c r="O196" i="34" s="1"/>
  <c r="O199" i="34" s="1"/>
  <c r="O202" i="34" s="1"/>
  <c r="O205" i="34" s="1"/>
  <c r="O208" i="34" s="1"/>
  <c r="O211" i="34" s="1"/>
  <c r="O214" i="34" s="1"/>
  <c r="O217" i="34" s="1"/>
  <c r="O123" i="26"/>
  <c r="O126" i="26" s="1"/>
  <c r="O129" i="26" s="1"/>
  <c r="O122" i="32"/>
  <c r="O125" i="32" s="1"/>
  <c r="O128" i="32" s="1"/>
  <c r="O41" i="46"/>
  <c r="O44" i="46" s="1"/>
  <c r="O47" i="46" s="1"/>
  <c r="O50" i="46" s="1"/>
  <c r="O53" i="46" s="1"/>
  <c r="O56" i="46" s="1"/>
  <c r="O59" i="46" s="1"/>
  <c r="O62" i="46" s="1"/>
  <c r="O65" i="46" s="1"/>
  <c r="A76" i="40"/>
  <c r="A79" i="40" s="1"/>
  <c r="A82" i="40" s="1"/>
  <c r="A87" i="35"/>
  <c r="A90" i="35" s="1"/>
  <c r="A93" i="35" s="1"/>
  <c r="O459" i="34"/>
  <c r="O462" i="34" s="1"/>
  <c r="O465" i="34" s="1"/>
  <c r="O468" i="34" s="1"/>
  <c r="O471" i="34" s="1"/>
  <c r="O474" i="34" s="1"/>
  <c r="O477" i="34" s="1"/>
  <c r="O480" i="34" s="1"/>
  <c r="O483" i="34" s="1"/>
  <c r="O41" i="34"/>
  <c r="O44" i="34" s="1"/>
  <c r="O47" i="34" s="1"/>
  <c r="O50" i="34" s="1"/>
  <c r="O53" i="34" s="1"/>
  <c r="O56" i="34" s="1"/>
  <c r="O59" i="34" s="1"/>
  <c r="O62" i="34" s="1"/>
  <c r="O65" i="34" s="1"/>
  <c r="R122" i="32"/>
  <c r="O304" i="31"/>
  <c r="O307" i="31" s="1"/>
  <c r="O310" i="31" s="1"/>
  <c r="O313" i="31" s="1"/>
  <c r="O316" i="31" s="1"/>
  <c r="O319" i="31" s="1"/>
  <c r="O322" i="31" s="1"/>
  <c r="O325" i="31" s="1"/>
  <c r="O328" i="31" s="1"/>
  <c r="O290" i="29"/>
  <c r="O293" i="29" s="1"/>
  <c r="O296" i="29" s="1"/>
  <c r="A197" i="29"/>
  <c r="A200" i="29" s="1"/>
  <c r="A203" i="29" s="1"/>
  <c r="O246" i="31"/>
  <c r="O249" i="31" s="1"/>
  <c r="O252" i="31" s="1"/>
  <c r="O255" i="31" s="1"/>
  <c r="O258" i="31" s="1"/>
  <c r="O261" i="31" s="1"/>
  <c r="O264" i="31" s="1"/>
  <c r="O267" i="31" s="1"/>
  <c r="O270" i="31" s="1"/>
  <c r="A121" i="37"/>
  <c r="A124" i="37" s="1"/>
  <c r="A127" i="37" s="1"/>
  <c r="A123" i="26"/>
  <c r="A126" i="26" s="1"/>
  <c r="A129" i="26" s="1"/>
  <c r="O353" i="34"/>
  <c r="O356" i="34" s="1"/>
  <c r="O359" i="34" s="1"/>
  <c r="O362" i="34" s="1"/>
  <c r="O365" i="34" s="1"/>
  <c r="O368" i="34" s="1"/>
  <c r="O371" i="34" s="1"/>
  <c r="O374" i="34" s="1"/>
  <c r="O377" i="34" s="1"/>
  <c r="O40" i="38"/>
  <c r="O43" i="38" s="1"/>
  <c r="O46" i="38" s="1"/>
  <c r="O49" i="38" s="1"/>
  <c r="O52" i="38" s="1"/>
  <c r="O55" i="38" s="1"/>
  <c r="O58" i="38" s="1"/>
  <c r="O61" i="38" s="1"/>
  <c r="O64" i="38" s="1"/>
  <c r="O139" i="41"/>
  <c r="O142" i="41" s="1"/>
  <c r="O145" i="41" s="1"/>
  <c r="O148" i="41" s="1"/>
  <c r="O151" i="41" s="1"/>
  <c r="O154" i="41" s="1"/>
  <c r="O157" i="41" s="1"/>
  <c r="O160" i="41" s="1"/>
  <c r="O163" i="41" s="1"/>
  <c r="O200" i="40"/>
  <c r="O203" i="40" s="1"/>
  <c r="O206" i="40" s="1"/>
  <c r="O209" i="40" s="1"/>
  <c r="O212" i="40" s="1"/>
  <c r="O215" i="40" s="1"/>
  <c r="O218" i="40" s="1"/>
  <c r="O221" i="40" s="1"/>
  <c r="O224" i="40" s="1"/>
  <c r="O226" i="38"/>
  <c r="O229" i="38" s="1"/>
  <c r="O232" i="38" s="1"/>
  <c r="R87" i="35"/>
  <c r="O194" i="35"/>
  <c r="O197" i="35" s="1"/>
  <c r="O200" i="35" s="1"/>
  <c r="O203" i="35" s="1"/>
  <c r="O206" i="35" s="1"/>
  <c r="O209" i="35" s="1"/>
  <c r="O212" i="35" s="1"/>
  <c r="O215" i="35" s="1"/>
  <c r="O218" i="35" s="1"/>
  <c r="O190" i="33"/>
  <c r="O193" i="33" s="1"/>
  <c r="O196" i="33" s="1"/>
  <c r="O199" i="33" s="1"/>
  <c r="O202" i="33" s="1"/>
  <c r="O205" i="33" s="1"/>
  <c r="O208" i="33" s="1"/>
  <c r="O211" i="33" s="1"/>
  <c r="O214" i="33" s="1"/>
  <c r="A290" i="29"/>
  <c r="A293" i="29" s="1"/>
  <c r="A296" i="29" s="1"/>
  <c r="R87" i="36"/>
  <c r="O563" i="41"/>
  <c r="O566" i="41" s="1"/>
  <c r="O569" i="41" s="1"/>
  <c r="O572" i="41" s="1"/>
  <c r="O575" i="41" s="1"/>
  <c r="O578" i="41" s="1"/>
  <c r="O581" i="41" s="1"/>
  <c r="O584" i="41" s="1"/>
  <c r="O587" i="41" s="1"/>
  <c r="O203" i="46"/>
  <c r="O206" i="46" s="1"/>
  <c r="O209" i="46" s="1"/>
  <c r="O212" i="46" s="1"/>
  <c r="O215" i="46" s="1"/>
  <c r="O218" i="46" s="1"/>
  <c r="O221" i="46" s="1"/>
  <c r="O224" i="46" s="1"/>
  <c r="O227" i="46" s="1"/>
  <c r="O179" i="40"/>
  <c r="O182" i="40" s="1"/>
  <c r="O185" i="40" s="1"/>
  <c r="A226" i="38"/>
  <c r="A229" i="38" s="1"/>
  <c r="A232" i="38" s="1"/>
  <c r="O41" i="36"/>
  <c r="O44" i="36" s="1"/>
  <c r="O47" i="36" s="1"/>
  <c r="O50" i="36" s="1"/>
  <c r="O53" i="36" s="1"/>
  <c r="O56" i="36" s="1"/>
  <c r="O59" i="36" s="1"/>
  <c r="O62" i="36" s="1"/>
  <c r="O65" i="36" s="1"/>
  <c r="O87" i="35"/>
  <c r="O90" i="35" s="1"/>
  <c r="O93" i="35" s="1"/>
  <c r="O140" i="34"/>
  <c r="O143" i="34" s="1"/>
  <c r="O146" i="34" s="1"/>
  <c r="O149" i="34" s="1"/>
  <c r="O152" i="34" s="1"/>
  <c r="O155" i="34" s="1"/>
  <c r="O158" i="34" s="1"/>
  <c r="O161" i="34" s="1"/>
  <c r="O164" i="34" s="1"/>
  <c r="O172" i="33"/>
  <c r="O175" i="33" s="1"/>
  <c r="O178" i="33" s="1"/>
  <c r="O189" i="23"/>
  <c r="O192" i="23" s="1"/>
  <c r="O195" i="23" s="1"/>
  <c r="O198" i="23" s="1"/>
  <c r="O201" i="23" s="1"/>
  <c r="O204" i="23" s="1"/>
  <c r="O207" i="23" s="1"/>
  <c r="O210" i="23" s="1"/>
  <c r="O213" i="23" s="1"/>
  <c r="O127" i="25"/>
  <c r="O130" i="25" s="1"/>
  <c r="O133" i="25" s="1"/>
  <c r="O515" i="41"/>
  <c r="O518" i="41" s="1"/>
  <c r="O521" i="41" s="1"/>
  <c r="O524" i="41" s="1"/>
  <c r="O527" i="41" s="1"/>
  <c r="O530" i="41" s="1"/>
  <c r="O533" i="41" s="1"/>
  <c r="O536" i="41" s="1"/>
  <c r="O539" i="41" s="1"/>
  <c r="A87" i="46"/>
  <c r="A90" i="46" s="1"/>
  <c r="A93" i="46" s="1"/>
  <c r="O76" i="43"/>
  <c r="O79" i="43" s="1"/>
  <c r="O82" i="43" s="1"/>
  <c r="O121" i="38"/>
  <c r="O124" i="38" s="1"/>
  <c r="O127" i="38" s="1"/>
  <c r="O86" i="47"/>
  <c r="O89" i="47" s="1"/>
  <c r="O92" i="47" s="1"/>
  <c r="O86" i="41"/>
  <c r="O89" i="41" s="1"/>
  <c r="O92" i="41" s="1"/>
  <c r="O95" i="41" s="1"/>
  <c r="O98" i="41" s="1"/>
  <c r="O101" i="41" s="1"/>
  <c r="O104" i="41" s="1"/>
  <c r="O107" i="41" s="1"/>
  <c r="O110" i="41" s="1"/>
  <c r="O245" i="41"/>
  <c r="O248" i="41" s="1"/>
  <c r="O251" i="41" s="1"/>
  <c r="O254" i="41" s="1"/>
  <c r="O257" i="41" s="1"/>
  <c r="O260" i="41" s="1"/>
  <c r="O263" i="41" s="1"/>
  <c r="O266" i="41" s="1"/>
  <c r="O269" i="41" s="1"/>
  <c r="O141" i="36"/>
  <c r="O144" i="36" s="1"/>
  <c r="O147" i="36" s="1"/>
  <c r="O150" i="36" s="1"/>
  <c r="O153" i="36" s="1"/>
  <c r="O156" i="36" s="1"/>
  <c r="O159" i="36" s="1"/>
  <c r="O162" i="36" s="1"/>
  <c r="O165" i="36" s="1"/>
  <c r="O306" i="29"/>
  <c r="O309" i="29" s="1"/>
  <c r="O312" i="29" s="1"/>
  <c r="O315" i="29" s="1"/>
  <c r="O318" i="29" s="1"/>
  <c r="O321" i="29" s="1"/>
  <c r="O324" i="29" s="1"/>
  <c r="O327" i="29" s="1"/>
  <c r="O330" i="29" s="1"/>
  <c r="O404" i="41"/>
  <c r="O407" i="41" s="1"/>
  <c r="O410" i="41" s="1"/>
  <c r="O413" i="41" s="1"/>
  <c r="O416" i="41" s="1"/>
  <c r="O419" i="41" s="1"/>
  <c r="O422" i="41" s="1"/>
  <c r="O425" i="41" s="1"/>
  <c r="O428" i="41" s="1"/>
  <c r="O192" i="38"/>
  <c r="O195" i="38" s="1"/>
  <c r="O198" i="38" s="1"/>
  <c r="O201" i="38" s="1"/>
  <c r="O204" i="38" s="1"/>
  <c r="O207" i="38" s="1"/>
  <c r="O210" i="38" s="1"/>
  <c r="O213" i="38" s="1"/>
  <c r="O216" i="38" s="1"/>
  <c r="O40" i="44"/>
  <c r="O43" i="44" s="1"/>
  <c r="O46" i="44" s="1"/>
  <c r="O49" i="44" s="1"/>
  <c r="O52" i="44" s="1"/>
  <c r="O55" i="44" s="1"/>
  <c r="O58" i="44" s="1"/>
  <c r="O61" i="44" s="1"/>
  <c r="O64" i="44" s="1"/>
  <c r="O351" i="41"/>
  <c r="O354" i="41" s="1"/>
  <c r="O357" i="41" s="1"/>
  <c r="O360" i="41" s="1"/>
  <c r="O363" i="41" s="1"/>
  <c r="O366" i="41" s="1"/>
  <c r="O369" i="41" s="1"/>
  <c r="O372" i="41" s="1"/>
  <c r="O375" i="41" s="1"/>
  <c r="O143" i="40"/>
  <c r="O146" i="40" s="1"/>
  <c r="O149" i="40" s="1"/>
  <c r="O152" i="40" s="1"/>
  <c r="O155" i="40" s="1"/>
  <c r="O158" i="40" s="1"/>
  <c r="O161" i="40" s="1"/>
  <c r="O164" i="40" s="1"/>
  <c r="O167" i="40" s="1"/>
  <c r="A179" i="40"/>
  <c r="A182" i="40" s="1"/>
  <c r="A185" i="40" s="1"/>
  <c r="A172" i="33"/>
  <c r="A175" i="33" s="1"/>
  <c r="A178" i="33" s="1"/>
  <c r="O512" i="31"/>
  <c r="O515" i="31" s="1"/>
  <c r="O518" i="31" s="1"/>
  <c r="O521" i="31" s="1"/>
  <c r="O524" i="31" s="1"/>
  <c r="O527" i="31" s="1"/>
  <c r="O530" i="31" s="1"/>
  <c r="O533" i="31" s="1"/>
  <c r="O536" i="31" s="1"/>
  <c r="O406" i="31"/>
  <c r="O409" i="31" s="1"/>
  <c r="O412" i="31" s="1"/>
  <c r="O415" i="31" s="1"/>
  <c r="O418" i="31" s="1"/>
  <c r="O421" i="31" s="1"/>
  <c r="O424" i="31" s="1"/>
  <c r="O427" i="31" s="1"/>
  <c r="O430" i="31" s="1"/>
  <c r="O122" i="27"/>
  <c r="O125" i="27" s="1"/>
  <c r="O128" i="27" s="1"/>
  <c r="O41" i="33"/>
  <c r="O44" i="33" s="1"/>
  <c r="O47" i="33" s="1"/>
  <c r="O50" i="33" s="1"/>
  <c r="O53" i="33" s="1"/>
  <c r="O56" i="33" s="1"/>
  <c r="O59" i="33" s="1"/>
  <c r="O62" i="33" s="1"/>
  <c r="O65" i="33" s="1"/>
  <c r="O278" i="44"/>
  <c r="O281" i="44" s="1"/>
  <c r="O284" i="44" s="1"/>
  <c r="O287" i="44" s="1"/>
  <c r="O290" i="44" s="1"/>
  <c r="O293" i="44" s="1"/>
  <c r="O296" i="44" s="1"/>
  <c r="O299" i="44" s="1"/>
  <c r="O302" i="44" s="1"/>
  <c r="O616" i="41"/>
  <c r="O619" i="41" s="1"/>
  <c r="O622" i="41" s="1"/>
  <c r="O625" i="41" s="1"/>
  <c r="O628" i="41" s="1"/>
  <c r="O631" i="41" s="1"/>
  <c r="O634" i="41" s="1"/>
  <c r="O637" i="41" s="1"/>
  <c r="O640" i="41" s="1"/>
  <c r="O126" i="40"/>
  <c r="O129" i="40" s="1"/>
  <c r="O132" i="40" s="1"/>
  <c r="O406" i="34"/>
  <c r="O409" i="34" s="1"/>
  <c r="O412" i="34" s="1"/>
  <c r="O415" i="34" s="1"/>
  <c r="O418" i="34" s="1"/>
  <c r="O421" i="34" s="1"/>
  <c r="O424" i="34" s="1"/>
  <c r="O427" i="34" s="1"/>
  <c r="O430" i="34" s="1"/>
  <c r="O246" i="34"/>
  <c r="O249" i="34" s="1"/>
  <c r="O252" i="34" s="1"/>
  <c r="O255" i="34" s="1"/>
  <c r="O258" i="34" s="1"/>
  <c r="O261" i="34" s="1"/>
  <c r="O264" i="34" s="1"/>
  <c r="O267" i="34" s="1"/>
  <c r="O270" i="34" s="1"/>
  <c r="A127" i="25"/>
  <c r="A130" i="25" s="1"/>
  <c r="A133" i="25" s="1"/>
  <c r="O41" i="35"/>
  <c r="O44" i="35" s="1"/>
  <c r="O47" i="35" s="1"/>
  <c r="O50" i="35" s="1"/>
  <c r="O53" i="35" s="1"/>
  <c r="O56" i="35" s="1"/>
  <c r="O59" i="35" s="1"/>
  <c r="O62" i="35" s="1"/>
  <c r="O65" i="35" s="1"/>
  <c r="O87" i="46"/>
  <c r="O90" i="46" s="1"/>
  <c r="O93" i="46" s="1"/>
  <c r="A126" i="40"/>
  <c r="A129" i="40" s="1"/>
  <c r="A132" i="40" s="1"/>
  <c r="O121" i="37"/>
  <c r="O124" i="37" s="1"/>
  <c r="O127" i="37" s="1"/>
  <c r="O304" i="34"/>
  <c r="O307" i="34" s="1"/>
  <c r="O310" i="34" s="1"/>
  <c r="O313" i="34" s="1"/>
  <c r="O316" i="34" s="1"/>
  <c r="O319" i="34" s="1"/>
  <c r="O322" i="34" s="1"/>
  <c r="O325" i="34" s="1"/>
  <c r="O328" i="34" s="1"/>
  <c r="O41" i="31"/>
  <c r="O44" i="31" s="1"/>
  <c r="O47" i="31" s="1"/>
  <c r="O50" i="31" s="1"/>
  <c r="O53" i="31" s="1"/>
  <c r="O56" i="31" s="1"/>
  <c r="O59" i="31" s="1"/>
  <c r="O62" i="31" s="1"/>
  <c r="O65" i="31" s="1"/>
  <c r="O141" i="35"/>
  <c r="O144" i="35" s="1"/>
  <c r="O147" i="35" s="1"/>
  <c r="O150" i="35" s="1"/>
  <c r="O153" i="35" s="1"/>
  <c r="O156" i="35" s="1"/>
  <c r="O159" i="35" s="1"/>
  <c r="O162" i="35" s="1"/>
  <c r="O165" i="35" s="1"/>
  <c r="O42" i="30"/>
  <c r="O45" i="30" s="1"/>
  <c r="O48" i="30" s="1"/>
  <c r="O51" i="30" s="1"/>
  <c r="O54" i="30" s="1"/>
  <c r="O57" i="30" s="1"/>
  <c r="O60" i="30" s="1"/>
  <c r="O63" i="30" s="1"/>
  <c r="O66" i="30" s="1"/>
  <c r="A76" i="43"/>
  <c r="A79" i="43" s="1"/>
  <c r="A82" i="43" s="1"/>
  <c r="O140" i="31"/>
  <c r="O143" i="31" s="1"/>
  <c r="O146" i="31" s="1"/>
  <c r="O149" i="31" s="1"/>
  <c r="O152" i="31" s="1"/>
  <c r="O155" i="31" s="1"/>
  <c r="O158" i="31" s="1"/>
  <c r="O161" i="31" s="1"/>
  <c r="O164" i="31" s="1"/>
  <c r="A121" i="38"/>
  <c r="A124" i="38" s="1"/>
  <c r="A127" i="38" s="1"/>
  <c r="A122" i="27"/>
  <c r="A125" i="27" s="1"/>
  <c r="A128" i="27" s="1"/>
  <c r="A86" i="47"/>
  <c r="A89" i="47" s="1"/>
  <c r="A92" i="47" s="1"/>
  <c r="R122" i="34"/>
  <c r="O145" i="25"/>
  <c r="O148" i="25" s="1"/>
  <c r="O151" i="25" s="1"/>
  <c r="O154" i="25" s="1"/>
  <c r="O157" i="25" s="1"/>
  <c r="O160" i="25" s="1"/>
  <c r="O163" i="25" s="1"/>
  <c r="O166" i="25" s="1"/>
  <c r="O169" i="25" s="1"/>
  <c r="O76" i="40"/>
  <c r="O79" i="40" s="1"/>
  <c r="O82" i="40" s="1"/>
  <c r="O87" i="36"/>
  <c r="O90" i="36" s="1"/>
  <c r="O93" i="36" s="1"/>
  <c r="O87" i="32"/>
  <c r="O90" i="32" s="1"/>
  <c r="O93" i="32" s="1"/>
  <c r="O96" i="32" s="1"/>
  <c r="O99" i="32" s="1"/>
  <c r="O102" i="32" s="1"/>
  <c r="O105" i="32" s="1"/>
  <c r="O108" i="32" s="1"/>
  <c r="O111" i="32" s="1"/>
  <c r="O104" i="29"/>
  <c r="O107" i="29" s="1"/>
  <c r="O110" i="29" s="1"/>
  <c r="O113" i="29" s="1"/>
  <c r="O116" i="29" s="1"/>
  <c r="O119" i="29" s="1"/>
  <c r="O122" i="29" s="1"/>
  <c r="O125" i="29" s="1"/>
  <c r="O128" i="29" s="1"/>
  <c r="O140" i="29"/>
  <c r="O143" i="29" s="1"/>
  <c r="O146" i="29" s="1"/>
  <c r="A122" i="28"/>
  <c r="A125" i="28" s="1"/>
  <c r="A128" i="28" s="1"/>
  <c r="O87" i="23"/>
  <c r="O90" i="23" s="1"/>
  <c r="O93" i="23" s="1"/>
  <c r="A140" i="29"/>
  <c r="A143" i="29" s="1"/>
  <c r="A146" i="29" s="1"/>
  <c r="O41" i="23"/>
  <c r="O44" i="23" s="1"/>
  <c r="O47" i="23" s="1"/>
  <c r="O50" i="23" s="1"/>
  <c r="O53" i="23" s="1"/>
  <c r="O56" i="23" s="1"/>
  <c r="O59" i="23" s="1"/>
  <c r="O62" i="23" s="1"/>
  <c r="O65" i="23" s="1"/>
  <c r="O180" i="25"/>
  <c r="O183" i="25" s="1"/>
  <c r="O186" i="25" s="1"/>
  <c r="O140" i="46"/>
  <c r="O143" i="46" s="1"/>
  <c r="O146" i="46" s="1"/>
  <c r="A87" i="23"/>
  <c r="A90" i="23" s="1"/>
  <c r="A93" i="23" s="1"/>
  <c r="O122" i="28"/>
  <c r="O125" i="28" s="1"/>
  <c r="O128" i="28" s="1"/>
  <c r="A180" i="25"/>
  <c r="A183" i="25" s="1"/>
  <c r="A186" i="25" s="1"/>
  <c r="A87" i="33"/>
  <c r="A90" i="33" s="1"/>
  <c r="A93" i="33" s="1"/>
  <c r="A441" i="31"/>
  <c r="A444" i="31" s="1"/>
  <c r="A447" i="31" s="1"/>
  <c r="A173" i="23"/>
  <c r="A176" i="23" s="1"/>
  <c r="A179" i="23" s="1"/>
  <c r="O121" i="41"/>
  <c r="O124" i="41" s="1"/>
  <c r="O127" i="41" s="1"/>
  <c r="O175" i="31"/>
  <c r="O178" i="31" s="1"/>
  <c r="O181" i="31" s="1"/>
  <c r="A121" i="41"/>
  <c r="A124" i="41" s="1"/>
  <c r="A127" i="41" s="1"/>
  <c r="A175" i="31"/>
  <c r="A178" i="31" s="1"/>
  <c r="A181" i="31" s="1"/>
  <c r="A140" i="46"/>
  <c r="A143" i="46" s="1"/>
  <c r="A146" i="46" s="1"/>
  <c r="R121" i="41"/>
  <c r="O87" i="33"/>
  <c r="O90" i="33" s="1"/>
  <c r="O93" i="33" s="1"/>
  <c r="O173" i="23"/>
  <c r="O176" i="23" s="1"/>
  <c r="O179" i="23" s="1"/>
  <c r="O103" i="23"/>
  <c r="O106" i="23" s="1"/>
  <c r="O109" i="23" s="1"/>
  <c r="O112" i="23" s="1"/>
  <c r="O115" i="23" s="1"/>
  <c r="O118" i="23" s="1"/>
  <c r="O121" i="23" s="1"/>
  <c r="O124" i="23" s="1"/>
  <c r="O127" i="23" s="1"/>
  <c r="O441" i="31"/>
  <c r="O444" i="31" s="1"/>
  <c r="O447" i="31" s="1"/>
  <c r="O139" i="23"/>
  <c r="O142" i="23" s="1"/>
  <c r="O145" i="23" s="1"/>
  <c r="O148" i="23" s="1"/>
  <c r="O151" i="23" s="1"/>
  <c r="O154" i="23" s="1"/>
  <c r="O157" i="23" s="1"/>
  <c r="O160" i="23" s="1"/>
  <c r="O163" i="23" s="1"/>
  <c r="A104" i="33"/>
  <c r="A107" i="33" s="1"/>
  <c r="A110" i="33" s="1"/>
  <c r="O104" i="33"/>
  <c r="O107" i="33" s="1"/>
  <c r="O110" i="33" s="1"/>
  <c r="AF87" i="36"/>
  <c r="AK87" i="36" s="1"/>
  <c r="X87" i="36"/>
  <c r="U87" i="36"/>
  <c r="U121" i="41"/>
  <c r="AF121" i="41"/>
  <c r="AK121" i="41" s="1"/>
  <c r="X121" i="41"/>
  <c r="AF122" i="32"/>
  <c r="AK122" i="32" s="1"/>
  <c r="U122" i="34"/>
  <c r="X122" i="34"/>
  <c r="U122" i="32"/>
  <c r="AF122" i="34"/>
  <c r="AK122" i="34" s="1"/>
  <c r="X122" i="32"/>
  <c r="U87" i="35"/>
  <c r="AF87" i="35"/>
  <c r="AK87" i="35" s="1"/>
  <c r="X87" i="35"/>
  <c r="R270" i="23" a="1"/>
  <c r="R270" i="23" s="1"/>
  <c r="Y81" i="19"/>
  <c r="C9" i="18"/>
  <c r="C1" i="13"/>
  <c r="D1" i="13" s="1"/>
  <c r="O62" i="50" l="1"/>
  <c r="O65" i="50" s="1"/>
  <c r="AF162" i="26"/>
  <c r="AK162" i="26" s="1"/>
  <c r="X162" i="26"/>
  <c r="AF275" i="68"/>
  <c r="AK275" i="68" s="1"/>
  <c r="X275" i="68"/>
  <c r="AF237" i="68"/>
  <c r="AK237" i="68" s="1"/>
  <c r="X163" i="68"/>
  <c r="X200" i="68"/>
  <c r="X237" i="68"/>
  <c r="AF163" i="68"/>
  <c r="AK163" i="68" s="1"/>
  <c r="AF200" i="68"/>
  <c r="AK200" i="68" s="1"/>
  <c r="AF110" i="68"/>
  <c r="AK110" i="68" s="1"/>
  <c r="X110" i="68"/>
  <c r="AF100" i="67"/>
  <c r="AK100" i="67" s="1"/>
  <c r="AF61" i="66"/>
  <c r="AK61" i="66" s="1"/>
  <c r="AF103" i="67"/>
  <c r="AK103" i="67" s="1"/>
  <c r="X103" i="67"/>
  <c r="AF60" i="67"/>
  <c r="AK60" i="67" s="1"/>
  <c r="AF64" i="66"/>
  <c r="AK64" i="66" s="1"/>
  <c r="X64" i="66"/>
  <c r="X63" i="67"/>
  <c r="AF63" i="67"/>
  <c r="AK63" i="67" s="1"/>
  <c r="AF61" i="64"/>
  <c r="AK61" i="64" s="1"/>
  <c r="X64" i="64"/>
  <c r="AF64" i="64"/>
  <c r="AK64" i="64" s="1"/>
  <c r="AF61" i="65"/>
  <c r="AK61" i="65" s="1"/>
  <c r="AF64" i="65"/>
  <c r="AK64" i="65" s="1"/>
  <c r="X64" i="65"/>
  <c r="AF61" i="68"/>
  <c r="AK61" i="68" s="1"/>
  <c r="X61" i="68"/>
  <c r="P11" i="55"/>
  <c r="J11" i="55"/>
  <c r="O27" i="8" a="1"/>
  <c r="O27" i="8" s="1"/>
  <c r="R27" i="8" a="1"/>
  <c r="R27" i="8" s="1"/>
  <c r="E27" i="8" s="1"/>
  <c r="S27" i="8" a="1"/>
  <c r="S27" i="8" s="1"/>
  <c r="P27" i="8" a="1"/>
  <c r="P27" i="8" s="1"/>
  <c r="C27" i="8" s="1"/>
  <c r="Q27" i="8" a="1"/>
  <c r="Q27" i="8" s="1"/>
  <c r="V27" i="8" a="1"/>
  <c r="V27" i="8" s="1"/>
  <c r="I27" i="8" s="1"/>
  <c r="U27" i="8" a="1"/>
  <c r="U27" i="8" s="1"/>
  <c r="T27" i="8" a="1"/>
  <c r="T27" i="8" s="1"/>
  <c r="G27" i="8" s="1"/>
  <c r="W47" i="70"/>
  <c r="E187" i="10"/>
  <c r="X84" i="62"/>
  <c r="AF84" i="62"/>
  <c r="AK84" i="62" s="1"/>
  <c r="B26" i="8"/>
  <c r="J26" i="8" s="1"/>
  <c r="X26" i="8"/>
  <c r="H26" i="8"/>
  <c r="M26" i="8" s="1"/>
  <c r="AA26" i="8"/>
  <c r="D26" i="8"/>
  <c r="K26" i="8" s="1"/>
  <c r="Y26" i="8"/>
  <c r="F26" i="8"/>
  <c r="L26" i="8" s="1"/>
  <c r="Z26" i="8"/>
  <c r="AJ157" i="8"/>
  <c r="AJ158" i="8" s="1"/>
  <c r="AJ159" i="8" s="1"/>
  <c r="AJ160" i="8" s="1"/>
  <c r="AJ161" i="8" s="1"/>
  <c r="E1" i="13"/>
  <c r="K9" i="18"/>
  <c r="R271" i="23" a="1"/>
  <c r="R271" i="23" s="1"/>
  <c r="B10" i="18"/>
  <c r="A12" i="55" l="1"/>
  <c r="M10" i="18"/>
  <c r="R11" i="55"/>
  <c r="S11" i="55"/>
  <c r="T11" i="55"/>
  <c r="U11" i="55"/>
  <c r="Q11" i="55"/>
  <c r="K11" i="55"/>
  <c r="M11" i="55"/>
  <c r="L11" i="55"/>
  <c r="N11" i="55"/>
  <c r="L10" i="18"/>
  <c r="T111" i="8" a="1"/>
  <c r="T111" i="8" s="1"/>
  <c r="G111" i="8" s="1"/>
  <c r="R111" i="8" a="1"/>
  <c r="R111" i="8" s="1"/>
  <c r="E111" i="8" s="1"/>
  <c r="V111" i="8" a="1"/>
  <c r="V111" i="8" s="1"/>
  <c r="I111" i="8" s="1"/>
  <c r="S111" i="8" a="1"/>
  <c r="S111" i="8" s="1"/>
  <c r="P111" i="8" a="1"/>
  <c r="P111" i="8" s="1"/>
  <c r="C111" i="8" s="1"/>
  <c r="Q111" i="8" a="1"/>
  <c r="Q111" i="8" s="1"/>
  <c r="U111" i="8" a="1"/>
  <c r="U111" i="8" s="1"/>
  <c r="O111" i="8" a="1"/>
  <c r="O111" i="8" s="1"/>
  <c r="R9" i="18"/>
  <c r="D11" i="55"/>
  <c r="A11" i="18"/>
  <c r="D11" i="18" s="1"/>
  <c r="B13" i="55" s="1"/>
  <c r="AJ162" i="8"/>
  <c r="AJ163" i="8" s="1"/>
  <c r="AJ164" i="8" s="1"/>
  <c r="AJ165" i="8" s="1"/>
  <c r="AJ166" i="8" s="1"/>
  <c r="I113" i="8"/>
  <c r="H113" i="8"/>
  <c r="G113" i="8"/>
  <c r="C113" i="8"/>
  <c r="F113" i="8"/>
  <c r="E113" i="8"/>
  <c r="I162" i="13" s="1"/>
  <c r="D113" i="8"/>
  <c r="H162" i="13" s="1"/>
  <c r="B113" i="8"/>
  <c r="X27" i="8"/>
  <c r="B27" i="8"/>
  <c r="J27" i="8" s="1"/>
  <c r="F27" i="8"/>
  <c r="L27" i="8" s="1"/>
  <c r="Z27" i="8"/>
  <c r="D27" i="8"/>
  <c r="K27" i="8" s="1"/>
  <c r="Y27" i="8"/>
  <c r="H27" i="8"/>
  <c r="M27" i="8" s="1"/>
  <c r="AA27" i="8"/>
  <c r="C10" i="18"/>
  <c r="P12" i="55" l="1"/>
  <c r="J12" i="55"/>
  <c r="B111" i="8"/>
  <c r="J111" i="8" s="1"/>
  <c r="X111" i="8"/>
  <c r="H111" i="8"/>
  <c r="M111" i="8" s="1"/>
  <c r="AA111" i="8"/>
  <c r="D111" i="8"/>
  <c r="H165" i="13" s="1"/>
  <c r="Y111" i="8"/>
  <c r="R28" i="8" a="1"/>
  <c r="R28" i="8" s="1"/>
  <c r="E28" i="8" s="1"/>
  <c r="S28" i="8" a="1"/>
  <c r="S28" i="8" s="1"/>
  <c r="O28" i="8" a="1"/>
  <c r="O28" i="8" s="1"/>
  <c r="V28" i="8" a="1"/>
  <c r="V28" i="8" s="1"/>
  <c r="I28" i="8" s="1"/>
  <c r="T28" i="8" a="1"/>
  <c r="T28" i="8" s="1"/>
  <c r="G28" i="8" s="1"/>
  <c r="U28" i="8" a="1"/>
  <c r="U28" i="8" s="1"/>
  <c r="Q28" i="8" a="1"/>
  <c r="Q28" i="8" s="1"/>
  <c r="P28" i="8" a="1"/>
  <c r="P28" i="8" s="1"/>
  <c r="C28" i="8" s="1"/>
  <c r="F111" i="8"/>
  <c r="L111" i="8" s="1"/>
  <c r="Z111" i="8"/>
  <c r="I165" i="13"/>
  <c r="U77" i="63" s="1"/>
  <c r="L113" i="8"/>
  <c r="K113" i="8"/>
  <c r="O162" i="13" s="1"/>
  <c r="J113" i="8"/>
  <c r="M113" i="8"/>
  <c r="R77" i="64"/>
  <c r="Z113" i="8"/>
  <c r="X113" i="8"/>
  <c r="AJ167" i="8"/>
  <c r="AJ168" i="8" s="1"/>
  <c r="AJ169" i="8" s="1"/>
  <c r="AJ170" i="8" s="1"/>
  <c r="AJ171" i="8" s="1"/>
  <c r="Y113" i="8"/>
  <c r="AA113" i="8"/>
  <c r="K10" i="18"/>
  <c r="B11" i="18"/>
  <c r="M12" i="55" l="1"/>
  <c r="N12" i="55"/>
  <c r="L12" i="55"/>
  <c r="K12" i="55"/>
  <c r="R12" i="55"/>
  <c r="S12" i="55"/>
  <c r="U12" i="55"/>
  <c r="T12" i="55"/>
  <c r="Q12" i="55"/>
  <c r="A13" i="55"/>
  <c r="M11" i="18"/>
  <c r="L11" i="18"/>
  <c r="K111" i="8"/>
  <c r="O165" i="13" s="1"/>
  <c r="V29" i="8" a="1"/>
  <c r="V29" i="8" s="1"/>
  <c r="I29" i="8" s="1"/>
  <c r="U29" i="8" a="1"/>
  <c r="U29" i="8" s="1"/>
  <c r="S29" i="8" a="1"/>
  <c r="S29" i="8" s="1"/>
  <c r="O29" i="8" a="1"/>
  <c r="O29" i="8" s="1"/>
  <c r="Q29" i="8" a="1"/>
  <c r="Q29" i="8" s="1"/>
  <c r="R29" i="8" a="1"/>
  <c r="R29" i="8" s="1"/>
  <c r="E29" i="8" s="1"/>
  <c r="I126" i="13" s="1"/>
  <c r="T29" i="8" a="1"/>
  <c r="T29" i="8" s="1"/>
  <c r="G29" i="8" s="1"/>
  <c r="P29" i="8" a="1"/>
  <c r="P29" i="8" s="1"/>
  <c r="C29" i="8" s="1"/>
  <c r="R10" i="18"/>
  <c r="D12" i="55"/>
  <c r="I133" i="13"/>
  <c r="I134" i="13"/>
  <c r="A12" i="18"/>
  <c r="D12" i="18" s="1"/>
  <c r="B14" i="55" s="1"/>
  <c r="D28" i="8"/>
  <c r="Y28" i="8"/>
  <c r="Z28" i="8"/>
  <c r="F28" i="8"/>
  <c r="L28" i="8" s="1"/>
  <c r="H28" i="8"/>
  <c r="M28" i="8" s="1"/>
  <c r="AA28" i="8"/>
  <c r="B28" i="8"/>
  <c r="J28" i="8" s="1"/>
  <c r="X28" i="8"/>
  <c r="AJ172" i="8"/>
  <c r="AJ173" i="8" s="1"/>
  <c r="AJ174" i="8" s="1"/>
  <c r="AJ175" i="8" s="1"/>
  <c r="AJ176" i="8" s="1"/>
  <c r="C11" i="18"/>
  <c r="A5" i="10"/>
  <c r="R157" i="7"/>
  <c r="Q157" i="7"/>
  <c r="O157" i="7"/>
  <c r="R156" i="7"/>
  <c r="P155" i="10" s="1"/>
  <c r="Q156" i="7"/>
  <c r="O155" i="10" s="1"/>
  <c r="P156" i="7"/>
  <c r="N155" i="10" s="1"/>
  <c r="O156" i="7"/>
  <c r="R155" i="7"/>
  <c r="Q155" i="7"/>
  <c r="P155" i="7"/>
  <c r="O155" i="7"/>
  <c r="R154" i="7"/>
  <c r="P153" i="10" s="1"/>
  <c r="Q154" i="7"/>
  <c r="O153" i="10" s="1"/>
  <c r="O154" i="7"/>
  <c r="R151" i="7"/>
  <c r="Q151" i="7"/>
  <c r="P151" i="7"/>
  <c r="O151" i="7"/>
  <c r="R149" i="7"/>
  <c r="Q149" i="7"/>
  <c r="P149" i="7"/>
  <c r="O149" i="7"/>
  <c r="R146" i="7"/>
  <c r="Q146" i="7"/>
  <c r="P146" i="7"/>
  <c r="O146" i="7"/>
  <c r="R145" i="7"/>
  <c r="Q145" i="7"/>
  <c r="P145" i="7"/>
  <c r="O145" i="7"/>
  <c r="R144" i="7"/>
  <c r="Q144" i="7"/>
  <c r="P144" i="7"/>
  <c r="O144" i="7"/>
  <c r="R143" i="7"/>
  <c r="Q143" i="7"/>
  <c r="P143" i="7"/>
  <c r="O143" i="7"/>
  <c r="R142" i="7"/>
  <c r="Q142" i="7"/>
  <c r="P142" i="7"/>
  <c r="O142" i="7"/>
  <c r="R139" i="7"/>
  <c r="Q139" i="7"/>
  <c r="P139" i="7"/>
  <c r="O139" i="7"/>
  <c r="R138" i="7"/>
  <c r="Q138" i="7"/>
  <c r="P138" i="7"/>
  <c r="O138" i="7"/>
  <c r="R137" i="7"/>
  <c r="Q137" i="7"/>
  <c r="P137" i="7"/>
  <c r="O137" i="7"/>
  <c r="R136" i="7"/>
  <c r="Q136" i="7"/>
  <c r="P136" i="7"/>
  <c r="O136" i="7"/>
  <c r="R135" i="7"/>
  <c r="Q135" i="7"/>
  <c r="P135" i="7"/>
  <c r="O135" i="7"/>
  <c r="R134" i="7"/>
  <c r="Q134" i="7"/>
  <c r="P134" i="7"/>
  <c r="O134" i="7"/>
  <c r="R131" i="7"/>
  <c r="Q131" i="7"/>
  <c r="P131" i="7"/>
  <c r="O131" i="7"/>
  <c r="R130" i="7"/>
  <c r="Q130" i="7"/>
  <c r="P130" i="7"/>
  <c r="U130" i="7" s="1"/>
  <c r="O130" i="7"/>
  <c r="R128" i="7"/>
  <c r="Q128" i="7"/>
  <c r="P128" i="7"/>
  <c r="O128" i="7"/>
  <c r="R126" i="7"/>
  <c r="Q126" i="7"/>
  <c r="P126" i="7"/>
  <c r="O126" i="7"/>
  <c r="R124" i="7"/>
  <c r="Q124" i="7"/>
  <c r="P124" i="7"/>
  <c r="O124" i="7"/>
  <c r="R123" i="7"/>
  <c r="Q123" i="7"/>
  <c r="P123" i="7"/>
  <c r="O123" i="7"/>
  <c r="R122" i="7"/>
  <c r="Q122" i="7"/>
  <c r="P122" i="7"/>
  <c r="O122" i="7"/>
  <c r="R121" i="7"/>
  <c r="Q121" i="7"/>
  <c r="P121" i="7"/>
  <c r="O121" i="7"/>
  <c r="R120" i="7"/>
  <c r="Q120" i="7"/>
  <c r="P120" i="7"/>
  <c r="O120" i="7"/>
  <c r="R119" i="7"/>
  <c r="Q119" i="7"/>
  <c r="P119" i="7"/>
  <c r="O119" i="7"/>
  <c r="R118" i="7"/>
  <c r="Q118" i="7"/>
  <c r="P118" i="7"/>
  <c r="O118" i="7"/>
  <c r="R117" i="7"/>
  <c r="Q117" i="7"/>
  <c r="P117" i="7"/>
  <c r="O117" i="7"/>
  <c r="R116" i="7"/>
  <c r="Q116" i="7"/>
  <c r="P116" i="7"/>
  <c r="O116" i="7"/>
  <c r="R115" i="7"/>
  <c r="Q115" i="7"/>
  <c r="P115" i="7"/>
  <c r="O115" i="7"/>
  <c r="R114" i="7"/>
  <c r="Q114" i="7"/>
  <c r="P114" i="7"/>
  <c r="O114" i="7"/>
  <c r="R113" i="7"/>
  <c r="Q113" i="7"/>
  <c r="P113" i="7"/>
  <c r="O113" i="7"/>
  <c r="R112" i="7"/>
  <c r="Q112" i="7"/>
  <c r="P112" i="7"/>
  <c r="O112" i="7"/>
  <c r="R111" i="7"/>
  <c r="Q111" i="7"/>
  <c r="P111" i="7"/>
  <c r="O111" i="7"/>
  <c r="R109" i="7"/>
  <c r="Q109" i="7"/>
  <c r="P109" i="7"/>
  <c r="U109" i="7" s="1"/>
  <c r="O109" i="7"/>
  <c r="R108" i="7"/>
  <c r="Q108" i="7"/>
  <c r="P108" i="7"/>
  <c r="O108" i="7"/>
  <c r="R106" i="7"/>
  <c r="Q106" i="7"/>
  <c r="O106" i="7"/>
  <c r="R102" i="7"/>
  <c r="Q102" i="7"/>
  <c r="O102" i="7"/>
  <c r="R100" i="7"/>
  <c r="Q100" i="7"/>
  <c r="P100" i="7"/>
  <c r="O100" i="7"/>
  <c r="R99" i="7"/>
  <c r="Q99" i="7"/>
  <c r="P99" i="7"/>
  <c r="O99" i="7"/>
  <c r="R97" i="7"/>
  <c r="Q97" i="7"/>
  <c r="P97" i="7"/>
  <c r="U97" i="7" s="1"/>
  <c r="O97" i="7"/>
  <c r="R96" i="7"/>
  <c r="Q96" i="7"/>
  <c r="P96" i="7"/>
  <c r="O96" i="7"/>
  <c r="R94" i="7"/>
  <c r="Q94" i="7"/>
  <c r="P94" i="7"/>
  <c r="O94" i="7"/>
  <c r="R93" i="7"/>
  <c r="Q93" i="7"/>
  <c r="P93" i="7"/>
  <c r="O93" i="7"/>
  <c r="R91" i="7"/>
  <c r="Q91" i="7"/>
  <c r="P91" i="7"/>
  <c r="U91" i="7" s="1"/>
  <c r="O91" i="7"/>
  <c r="R90" i="7"/>
  <c r="Q90" i="7"/>
  <c r="P90" i="7"/>
  <c r="O90" i="7"/>
  <c r="R89" i="7"/>
  <c r="Q89" i="7"/>
  <c r="P89" i="7"/>
  <c r="O89" i="7"/>
  <c r="R88" i="7"/>
  <c r="Q88" i="7"/>
  <c r="P88" i="7"/>
  <c r="O88" i="7"/>
  <c r="R83" i="7"/>
  <c r="Q83" i="7"/>
  <c r="P83" i="7"/>
  <c r="O83" i="7"/>
  <c r="R82" i="7"/>
  <c r="Q82" i="7"/>
  <c r="P82" i="7"/>
  <c r="O82" i="7"/>
  <c r="R81" i="7"/>
  <c r="Q81" i="7"/>
  <c r="P81" i="7"/>
  <c r="O81" i="7"/>
  <c r="R80" i="7"/>
  <c r="Q80" i="7"/>
  <c r="P80" i="7"/>
  <c r="O80" i="7"/>
  <c r="R70" i="7"/>
  <c r="Q70" i="7"/>
  <c r="P70" i="7"/>
  <c r="O70" i="7"/>
  <c r="R69" i="7"/>
  <c r="Q69" i="7"/>
  <c r="P69" i="7"/>
  <c r="O69" i="7"/>
  <c r="R67" i="7"/>
  <c r="Q67" i="7"/>
  <c r="P67" i="7"/>
  <c r="U67" i="7" s="1"/>
  <c r="O67" i="7"/>
  <c r="R66" i="7"/>
  <c r="Q66" i="7"/>
  <c r="P66" i="7"/>
  <c r="O66" i="7"/>
  <c r="R65" i="7"/>
  <c r="Q65" i="7"/>
  <c r="O65" i="7"/>
  <c r="R60" i="7"/>
  <c r="Q60" i="7"/>
  <c r="P60" i="7"/>
  <c r="O60" i="7"/>
  <c r="R58" i="7"/>
  <c r="Q58" i="7"/>
  <c r="P58" i="7"/>
  <c r="U58" i="7" s="1"/>
  <c r="O58" i="7"/>
  <c r="R57" i="7"/>
  <c r="Q57" i="7"/>
  <c r="P57" i="7"/>
  <c r="O57" i="7"/>
  <c r="R56" i="7"/>
  <c r="Q56" i="7"/>
  <c r="P56" i="7"/>
  <c r="O56" i="7"/>
  <c r="R55" i="7"/>
  <c r="Q55" i="7"/>
  <c r="P55" i="7"/>
  <c r="O55" i="7"/>
  <c r="R53" i="7"/>
  <c r="Q53" i="7"/>
  <c r="P53" i="7"/>
  <c r="O53" i="7"/>
  <c r="R52" i="7"/>
  <c r="Q52" i="7"/>
  <c r="P52" i="7"/>
  <c r="O52" i="7"/>
  <c r="R51" i="7"/>
  <c r="Q51" i="7"/>
  <c r="P51" i="7"/>
  <c r="O51" i="7"/>
  <c r="R50" i="7"/>
  <c r="Q50" i="7"/>
  <c r="P50" i="7"/>
  <c r="O50" i="7"/>
  <c r="R49" i="7"/>
  <c r="Q49" i="7"/>
  <c r="P49" i="7"/>
  <c r="O49" i="7"/>
  <c r="R47" i="7"/>
  <c r="Q47" i="7"/>
  <c r="P47" i="7"/>
  <c r="O47" i="7"/>
  <c r="R46" i="7"/>
  <c r="Q46" i="7"/>
  <c r="P46" i="7"/>
  <c r="U46" i="7" s="1"/>
  <c r="O46" i="7"/>
  <c r="R45" i="7"/>
  <c r="Q45" i="7"/>
  <c r="P45" i="7"/>
  <c r="O45" i="7"/>
  <c r="R43" i="7"/>
  <c r="Q43" i="7"/>
  <c r="P43" i="7"/>
  <c r="O43" i="7"/>
  <c r="R42" i="7"/>
  <c r="Q42" i="7"/>
  <c r="P42" i="7"/>
  <c r="O42" i="7"/>
  <c r="R40" i="7"/>
  <c r="Q40" i="7"/>
  <c r="P40" i="7"/>
  <c r="U40" i="7" s="1"/>
  <c r="O40" i="7"/>
  <c r="R39" i="7"/>
  <c r="Q39" i="7"/>
  <c r="P39" i="7"/>
  <c r="O39" i="7"/>
  <c r="R38" i="7"/>
  <c r="Q38" i="7"/>
  <c r="P38" i="7"/>
  <c r="O38" i="7"/>
  <c r="R36" i="7"/>
  <c r="Q36" i="7"/>
  <c r="P36" i="7"/>
  <c r="O36" i="7"/>
  <c r="R35" i="7"/>
  <c r="Q35" i="7"/>
  <c r="P35" i="7"/>
  <c r="O35" i="7"/>
  <c r="R33" i="7"/>
  <c r="Q33" i="7"/>
  <c r="P33" i="7"/>
  <c r="O33" i="7"/>
  <c r="R30" i="7"/>
  <c r="Q30" i="7"/>
  <c r="P30" i="7"/>
  <c r="O30" i="7"/>
  <c r="R28" i="7"/>
  <c r="Q28" i="7"/>
  <c r="P28" i="7"/>
  <c r="U28" i="7" s="1"/>
  <c r="O28" i="7"/>
  <c r="R27" i="7"/>
  <c r="Q27" i="7"/>
  <c r="P27" i="7"/>
  <c r="O27" i="7"/>
  <c r="R25" i="7"/>
  <c r="Q25" i="7"/>
  <c r="P25" i="7"/>
  <c r="U25" i="7" s="1"/>
  <c r="O25" i="7"/>
  <c r="R24" i="7"/>
  <c r="Q24" i="7"/>
  <c r="P24" i="7"/>
  <c r="O24" i="7"/>
  <c r="R22" i="7"/>
  <c r="Q22" i="7"/>
  <c r="P22" i="7"/>
  <c r="O22" i="7"/>
  <c r="R21" i="7"/>
  <c r="Q21" i="7"/>
  <c r="P21" i="7"/>
  <c r="O21" i="7"/>
  <c r="R20" i="7"/>
  <c r="Q20" i="7"/>
  <c r="P20" i="7"/>
  <c r="O20" i="7"/>
  <c r="R17" i="7"/>
  <c r="Q17" i="7"/>
  <c r="P17" i="7"/>
  <c r="U17" i="7" s="1"/>
  <c r="O17" i="7"/>
  <c r="R15" i="7"/>
  <c r="Q15" i="7"/>
  <c r="P15" i="7"/>
  <c r="O15" i="7"/>
  <c r="R14" i="7"/>
  <c r="Q14" i="7"/>
  <c r="P14" i="7"/>
  <c r="O14" i="7"/>
  <c r="R13" i="7"/>
  <c r="Q13" i="7"/>
  <c r="P13" i="7"/>
  <c r="O13" i="7"/>
  <c r="R10" i="7"/>
  <c r="Q10" i="7"/>
  <c r="P10" i="7"/>
  <c r="O10" i="7"/>
  <c r="R9" i="7"/>
  <c r="Q9" i="7"/>
  <c r="P9" i="7"/>
  <c r="U9" i="7" s="1"/>
  <c r="O9" i="7"/>
  <c r="R8" i="7"/>
  <c r="Q8" i="7"/>
  <c r="P8" i="7"/>
  <c r="O8" i="7"/>
  <c r="R7" i="7"/>
  <c r="Q7" i="7"/>
  <c r="P7" i="7"/>
  <c r="O7" i="7"/>
  <c r="R5" i="7"/>
  <c r="Q5" i="7"/>
  <c r="P5" i="7"/>
  <c r="O5" i="7"/>
  <c r="R152" i="7"/>
  <c r="Q152" i="7"/>
  <c r="P152" i="7"/>
  <c r="O152" i="7"/>
  <c r="R147" i="7"/>
  <c r="Q147" i="7"/>
  <c r="P147" i="7"/>
  <c r="O147" i="7"/>
  <c r="R129" i="7"/>
  <c r="Q129" i="7"/>
  <c r="P129" i="7"/>
  <c r="O129" i="7"/>
  <c r="R61" i="7"/>
  <c r="Q61" i="7"/>
  <c r="P61" i="7"/>
  <c r="O61" i="7"/>
  <c r="R16" i="7"/>
  <c r="Q16" i="7"/>
  <c r="P16" i="7"/>
  <c r="O16" i="7"/>
  <c r="B1" i="5"/>
  <c r="B1" i="7"/>
  <c r="A5" i="7"/>
  <c r="P13" i="55" l="1"/>
  <c r="J13" i="55"/>
  <c r="Q30" i="8" a="1"/>
  <c r="Q30" i="8" s="1"/>
  <c r="U30" i="8" a="1"/>
  <c r="U30" i="8" s="1"/>
  <c r="O30" i="8" a="1"/>
  <c r="O30" i="8" s="1"/>
  <c r="T30" i="8" a="1"/>
  <c r="T30" i="8" s="1"/>
  <c r="G30" i="8" s="1"/>
  <c r="V30" i="8" a="1"/>
  <c r="V30" i="8" s="1"/>
  <c r="I30" i="8" s="1"/>
  <c r="P30" i="8" a="1"/>
  <c r="P30" i="8" s="1"/>
  <c r="C30" i="8" s="1"/>
  <c r="S30" i="8" a="1"/>
  <c r="S30" i="8" s="1"/>
  <c r="R30" i="8" a="1"/>
  <c r="R30" i="8" s="1"/>
  <c r="E30" i="8" s="1"/>
  <c r="I125" i="13" s="1"/>
  <c r="CG27" i="52"/>
  <c r="CG10" i="52"/>
  <c r="CG25" i="52"/>
  <c r="CG21" i="52"/>
  <c r="CG12" i="52"/>
  <c r="CG6" i="52"/>
  <c r="CG28" i="52"/>
  <c r="CG9" i="52"/>
  <c r="CG30" i="52"/>
  <c r="CG19" i="52"/>
  <c r="CG22" i="52"/>
  <c r="CG16" i="52"/>
  <c r="CG31" i="52"/>
  <c r="CG18" i="52"/>
  <c r="CG29" i="52"/>
  <c r="CG26" i="52"/>
  <c r="CG11" i="52"/>
  <c r="CG13" i="52"/>
  <c r="CG17" i="52"/>
  <c r="CG8" i="52"/>
  <c r="CG32" i="52"/>
  <c r="CG4" i="52"/>
  <c r="CG7" i="52"/>
  <c r="CG5" i="52"/>
  <c r="CG23" i="52"/>
  <c r="CG20" i="52"/>
  <c r="CG15" i="52"/>
  <c r="C1" i="7"/>
  <c r="D1" i="7" s="1"/>
  <c r="E1" i="7" s="1"/>
  <c r="BG100" i="22"/>
  <c r="AW100" i="22" s="1"/>
  <c r="BE100" i="22"/>
  <c r="AV100" i="22" s="1"/>
  <c r="BI100" i="22"/>
  <c r="AX100" i="22" s="1"/>
  <c r="BV100" i="22" s="1"/>
  <c r="BC100" i="22"/>
  <c r="AU100" i="22" s="1"/>
  <c r="BA100" i="22"/>
  <c r="AT100" i="22" s="1"/>
  <c r="BA167" i="22"/>
  <c r="K28" i="8"/>
  <c r="H133" i="13"/>
  <c r="H134" i="13"/>
  <c r="R441" i="31" s="1"/>
  <c r="U77" i="64"/>
  <c r="AF77" i="64"/>
  <c r="AK77" i="64" s="1"/>
  <c r="X77" i="64"/>
  <c r="R77" i="63"/>
  <c r="X77" i="63"/>
  <c r="AF77" i="63"/>
  <c r="AK77" i="63" s="1"/>
  <c r="M139" i="25"/>
  <c r="M34" i="66"/>
  <c r="M173" i="68"/>
  <c r="M34" i="68"/>
  <c r="M33" i="67"/>
  <c r="M210" i="68"/>
  <c r="M248" i="68"/>
  <c r="M136" i="68"/>
  <c r="M73" i="67"/>
  <c r="M83" i="68"/>
  <c r="M34" i="65"/>
  <c r="A40" i="64"/>
  <c r="M34" i="64"/>
  <c r="M34" i="62"/>
  <c r="A58" i="62"/>
  <c r="A40" i="63"/>
  <c r="M34" i="63"/>
  <c r="C1" i="5"/>
  <c r="D1" i="5" s="1"/>
  <c r="E1" i="5" s="1"/>
  <c r="H31" i="67"/>
  <c r="H31" i="66"/>
  <c r="H71" i="67"/>
  <c r="H31" i="65"/>
  <c r="H31" i="64"/>
  <c r="H31" i="62"/>
  <c r="H31" i="63"/>
  <c r="U47" i="7"/>
  <c r="U131" i="7"/>
  <c r="U10" i="7"/>
  <c r="D4" i="52"/>
  <c r="M138" i="44"/>
  <c r="A144" i="44"/>
  <c r="T4" i="52"/>
  <c r="U175" i="31"/>
  <c r="X29" i="8"/>
  <c r="B29" i="8"/>
  <c r="J29" i="8" s="1"/>
  <c r="AJ177" i="8"/>
  <c r="AJ178" i="8" s="1"/>
  <c r="AJ179" i="8" s="1"/>
  <c r="AJ180" i="8" s="1"/>
  <c r="AJ181" i="8" s="1"/>
  <c r="H29" i="8"/>
  <c r="M29" i="8" s="1"/>
  <c r="AA29" i="8"/>
  <c r="D29" i="8"/>
  <c r="Y29" i="8"/>
  <c r="U441" i="31"/>
  <c r="F29" i="8"/>
  <c r="L29" i="8" s="1"/>
  <c r="Z29" i="8"/>
  <c r="F1" i="7"/>
  <c r="A139" i="50"/>
  <c r="R139" i="50" s="1"/>
  <c r="M80" i="50"/>
  <c r="A86" i="50"/>
  <c r="M133" i="50"/>
  <c r="A40" i="50"/>
  <c r="M34" i="50"/>
  <c r="A40" i="37"/>
  <c r="A91" i="25"/>
  <c r="A201" i="44"/>
  <c r="A143" i="40"/>
  <c r="A86" i="37"/>
  <c r="A252" i="35"/>
  <c r="M35" i="35"/>
  <c r="A145" i="32"/>
  <c r="M81" i="30"/>
  <c r="M35" i="28"/>
  <c r="A40" i="26"/>
  <c r="M197" i="46"/>
  <c r="A40" i="44"/>
  <c r="M137" i="40"/>
  <c r="M138" i="38"/>
  <c r="M246" i="35"/>
  <c r="A87" i="30"/>
  <c r="A87" i="28"/>
  <c r="A192" i="26"/>
  <c r="A303" i="41"/>
  <c r="M186" i="26"/>
  <c r="A359" i="35"/>
  <c r="A41" i="27"/>
  <c r="M139" i="32"/>
  <c r="M34" i="41"/>
  <c r="A200" i="40"/>
  <c r="M80" i="38"/>
  <c r="M138" i="37"/>
  <c r="M398" i="41"/>
  <c r="A145" i="30"/>
  <c r="A100" i="43"/>
  <c r="A40" i="41"/>
  <c r="A144" i="37"/>
  <c r="A41" i="35"/>
  <c r="A353" i="31"/>
  <c r="A193" i="31"/>
  <c r="M209" i="29"/>
  <c r="M156" i="29"/>
  <c r="M187" i="31"/>
  <c r="M83" i="44"/>
  <c r="M94" i="43"/>
  <c r="A144" i="38"/>
  <c r="M131" i="33"/>
  <c r="A215" i="29"/>
  <c r="M34" i="26"/>
  <c r="A200" i="25"/>
  <c r="M34" i="47"/>
  <c r="M156" i="46"/>
  <c r="A89" i="44"/>
  <c r="M34" i="43"/>
  <c r="M451" i="41"/>
  <c r="A192" i="38"/>
  <c r="M99" i="36"/>
  <c r="M97" i="35"/>
  <c r="A41" i="32"/>
  <c r="M453" i="31"/>
  <c r="A87" i="27"/>
  <c r="A107" i="47"/>
  <c r="M244" i="46"/>
  <c r="M154" i="43"/>
  <c r="A563" i="41"/>
  <c r="M86" i="40"/>
  <c r="A137" i="33"/>
  <c r="A40" i="25"/>
  <c r="M101" i="47"/>
  <c r="A250" i="46"/>
  <c r="M663" i="41"/>
  <c r="A404" i="41"/>
  <c r="M85" i="25"/>
  <c r="A244" i="44"/>
  <c r="M557" i="41"/>
  <c r="A457" i="41"/>
  <c r="M297" i="41"/>
  <c r="A105" i="36"/>
  <c r="M35" i="32"/>
  <c r="A459" i="31"/>
  <c r="M36" i="30"/>
  <c r="A162" i="29"/>
  <c r="A41" i="29"/>
  <c r="M81" i="27"/>
  <c r="M194" i="25"/>
  <c r="A40" i="47"/>
  <c r="M238" i="44"/>
  <c r="A160" i="43"/>
  <c r="A40" i="43"/>
  <c r="A92" i="40"/>
  <c r="A86" i="38"/>
  <c r="A192" i="37"/>
  <c r="M347" i="31"/>
  <c r="M139" i="30"/>
  <c r="M35" i="29"/>
  <c r="A247" i="25"/>
  <c r="A193" i="30"/>
  <c r="A162" i="47"/>
  <c r="A669" i="41"/>
  <c r="M34" i="37"/>
  <c r="M353" i="35"/>
  <c r="A42" i="30"/>
  <c r="A255" i="29"/>
  <c r="M241" i="25"/>
  <c r="M156" i="47"/>
  <c r="A162" i="46"/>
  <c r="M195" i="44"/>
  <c r="M80" i="37"/>
  <c r="M249" i="29"/>
  <c r="A41" i="28"/>
  <c r="M34" i="25"/>
  <c r="M186" i="37"/>
  <c r="A203" i="46"/>
  <c r="M272" i="44"/>
  <c r="A141" i="36"/>
  <c r="M135" i="35"/>
  <c r="A190" i="33"/>
  <c r="M400" i="31"/>
  <c r="A41" i="31"/>
  <c r="A88" i="26"/>
  <c r="M187" i="34"/>
  <c r="M133" i="41"/>
  <c r="M81" i="31"/>
  <c r="M184" i="33"/>
  <c r="M135" i="36"/>
  <c r="M506" i="34"/>
  <c r="A406" i="31"/>
  <c r="A87" i="31"/>
  <c r="M81" i="28"/>
  <c r="M35" i="27"/>
  <c r="M82" i="26"/>
  <c r="M239" i="41"/>
  <c r="A41" i="40"/>
  <c r="A304" i="31"/>
  <c r="M187" i="30"/>
  <c r="A616" i="41"/>
  <c r="A40" i="38"/>
  <c r="A305" i="35"/>
  <c r="M400" i="34"/>
  <c r="A246" i="31"/>
  <c r="M134" i="31"/>
  <c r="A103" i="35"/>
  <c r="A104" i="46"/>
  <c r="M186" i="41"/>
  <c r="A86" i="41"/>
  <c r="A512" i="31"/>
  <c r="M194" i="40"/>
  <c r="M35" i="31"/>
  <c r="M509" i="41"/>
  <c r="A139" i="41"/>
  <c r="M35" i="40"/>
  <c r="M34" i="38"/>
  <c r="M299" i="35"/>
  <c r="M298" i="34"/>
  <c r="M35" i="33"/>
  <c r="M81" i="32"/>
  <c r="M35" i="46"/>
  <c r="M35" i="34"/>
  <c r="M610" i="41"/>
  <c r="A515" i="41"/>
  <c r="A192" i="41"/>
  <c r="M186" i="38"/>
  <c r="M347" i="34"/>
  <c r="A41" i="33"/>
  <c r="M506" i="31"/>
  <c r="A145" i="25"/>
  <c r="M453" i="34"/>
  <c r="A194" i="35"/>
  <c r="M300" i="29"/>
  <c r="M183" i="23"/>
  <c r="M34" i="44"/>
  <c r="M345" i="41"/>
  <c r="A245" i="41"/>
  <c r="M80" i="41"/>
  <c r="M134" i="34"/>
  <c r="A87" i="32"/>
  <c r="M98" i="46"/>
  <c r="A351" i="41"/>
  <c r="M81" i="34"/>
  <c r="M298" i="31"/>
  <c r="A306" i="29"/>
  <c r="A41" i="36"/>
  <c r="M188" i="35"/>
  <c r="M240" i="34"/>
  <c r="M240" i="31"/>
  <c r="A104" i="29"/>
  <c r="A41" i="46"/>
  <c r="A278" i="44"/>
  <c r="M35" i="36"/>
  <c r="A141" i="35"/>
  <c r="A140" i="31"/>
  <c r="M98" i="29"/>
  <c r="A189" i="23"/>
  <c r="A103" i="23"/>
  <c r="M97" i="23"/>
  <c r="M35" i="23"/>
  <c r="A139" i="23"/>
  <c r="A41" i="23"/>
  <c r="M133" i="23"/>
  <c r="K11" i="18"/>
  <c r="B12" i="18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6" i="10"/>
  <c r="Q95" i="7"/>
  <c r="R95" i="7"/>
  <c r="I1" i="5"/>
  <c r="J1" i="5" s="1"/>
  <c r="K1" i="5" s="1"/>
  <c r="L1" i="5" s="1"/>
  <c r="M1" i="5" s="1"/>
  <c r="N1" i="5" s="1"/>
  <c r="O1" i="5" s="1"/>
  <c r="P1" i="5" s="1"/>
  <c r="Q1" i="5" s="1"/>
  <c r="R1" i="5" s="1"/>
  <c r="S1" i="5" s="1"/>
  <c r="A14" i="55" l="1"/>
  <c r="M12" i="18"/>
  <c r="L12" i="18"/>
  <c r="N13" i="55"/>
  <c r="L13" i="55"/>
  <c r="M13" i="55"/>
  <c r="K13" i="55"/>
  <c r="R13" i="55"/>
  <c r="T13" i="55"/>
  <c r="S13" i="55"/>
  <c r="U13" i="55"/>
  <c r="Q13" i="55"/>
  <c r="R31" i="8" a="1"/>
  <c r="R31" i="8" s="1"/>
  <c r="E31" i="8" s="1"/>
  <c r="I120" i="13" s="1"/>
  <c r="U31" i="8" a="1"/>
  <c r="U31" i="8" s="1"/>
  <c r="S31" i="8" a="1"/>
  <c r="S31" i="8" s="1"/>
  <c r="V31" i="8" a="1"/>
  <c r="V31" i="8" s="1"/>
  <c r="I31" i="8" s="1"/>
  <c r="Q31" i="8" a="1"/>
  <c r="Q31" i="8" s="1"/>
  <c r="P31" i="8" a="1"/>
  <c r="P31" i="8" s="1"/>
  <c r="C31" i="8" s="1"/>
  <c r="T31" i="8" a="1"/>
  <c r="T31" i="8" s="1"/>
  <c r="G31" i="8" s="1"/>
  <c r="O31" i="8" a="1"/>
  <c r="O31" i="8" s="1"/>
  <c r="R11" i="18"/>
  <c r="D13" i="55"/>
  <c r="M16" i="7"/>
  <c r="K16" i="10" s="1"/>
  <c r="J176" i="7"/>
  <c r="AF175" i="10" s="1"/>
  <c r="J174" i="7"/>
  <c r="AF173" i="10" s="1"/>
  <c r="J177" i="7"/>
  <c r="AF176" i="10" s="1"/>
  <c r="J173" i="7"/>
  <c r="AF172" i="10" s="1"/>
  <c r="J175" i="7"/>
  <c r="AF174" i="10" s="1"/>
  <c r="J172" i="7"/>
  <c r="AA105" i="36"/>
  <c r="AF105" i="36" s="1"/>
  <c r="X105" i="36"/>
  <c r="U105" i="36"/>
  <c r="R105" i="36"/>
  <c r="X304" i="31"/>
  <c r="U304" i="31"/>
  <c r="R304" i="31"/>
  <c r="AA304" i="31"/>
  <c r="AF304" i="31" s="1"/>
  <c r="U41" i="28"/>
  <c r="R41" i="28"/>
  <c r="AA41" i="28"/>
  <c r="AF41" i="28" s="1"/>
  <c r="X41" i="28"/>
  <c r="X140" i="31"/>
  <c r="AA140" i="31"/>
  <c r="AF140" i="31" s="1"/>
  <c r="R140" i="31"/>
  <c r="U140" i="31"/>
  <c r="AA193" i="30"/>
  <c r="AF193" i="30" s="1"/>
  <c r="X193" i="30"/>
  <c r="U193" i="30"/>
  <c r="R193" i="30"/>
  <c r="AA87" i="27"/>
  <c r="AF87" i="27" s="1"/>
  <c r="X87" i="27"/>
  <c r="U87" i="27"/>
  <c r="R87" i="27"/>
  <c r="U144" i="37"/>
  <c r="R144" i="37"/>
  <c r="AA144" i="37"/>
  <c r="AF144" i="37" s="1"/>
  <c r="X144" i="37"/>
  <c r="AA88" i="26"/>
  <c r="AF88" i="26" s="1"/>
  <c r="X88" i="26"/>
  <c r="U88" i="26"/>
  <c r="R88" i="26"/>
  <c r="AA215" i="29"/>
  <c r="AF215" i="29" s="1"/>
  <c r="X215" i="29"/>
  <c r="R215" i="29"/>
  <c r="U215" i="29"/>
  <c r="AA40" i="37"/>
  <c r="AF40" i="37" s="1"/>
  <c r="X40" i="37"/>
  <c r="U40" i="37"/>
  <c r="R40" i="37"/>
  <c r="R306" i="29"/>
  <c r="AA306" i="29"/>
  <c r="AF306" i="29" s="1"/>
  <c r="X306" i="29"/>
  <c r="U306" i="29"/>
  <c r="U41" i="27"/>
  <c r="R41" i="27"/>
  <c r="X41" i="27"/>
  <c r="AA41" i="27"/>
  <c r="AF41" i="27" s="1"/>
  <c r="AA41" i="31"/>
  <c r="AF41" i="31" s="1"/>
  <c r="X41" i="31"/>
  <c r="U41" i="31"/>
  <c r="R41" i="31"/>
  <c r="R41" i="29"/>
  <c r="AA41" i="29"/>
  <c r="AF41" i="29" s="1"/>
  <c r="U41" i="29"/>
  <c r="X41" i="29"/>
  <c r="AA41" i="32"/>
  <c r="AF41" i="32" s="1"/>
  <c r="R41" i="32"/>
  <c r="X41" i="32"/>
  <c r="U41" i="32"/>
  <c r="U192" i="26"/>
  <c r="R192" i="26"/>
  <c r="X192" i="26"/>
  <c r="AA192" i="26"/>
  <c r="AF192" i="26" s="1"/>
  <c r="R353" i="31"/>
  <c r="U353" i="31"/>
  <c r="AA353" i="31"/>
  <c r="AF353" i="31" s="1"/>
  <c r="X353" i="31"/>
  <c r="AA87" i="32"/>
  <c r="AF87" i="32" s="1"/>
  <c r="X87" i="32"/>
  <c r="U87" i="32"/>
  <c r="R87" i="32"/>
  <c r="AA246" i="31"/>
  <c r="AF246" i="31" s="1"/>
  <c r="X246" i="31"/>
  <c r="U246" i="31"/>
  <c r="R246" i="31"/>
  <c r="X162" i="29"/>
  <c r="U162" i="29"/>
  <c r="AA162" i="29"/>
  <c r="AF162" i="29" s="1"/>
  <c r="R162" i="29"/>
  <c r="AA145" i="30"/>
  <c r="AF145" i="30" s="1"/>
  <c r="X145" i="30"/>
  <c r="U145" i="30"/>
  <c r="R145" i="30"/>
  <c r="AA87" i="28"/>
  <c r="AF87" i="28" s="1"/>
  <c r="X87" i="28"/>
  <c r="U87" i="28"/>
  <c r="R87" i="28"/>
  <c r="U40" i="26"/>
  <c r="R40" i="26"/>
  <c r="AA40" i="26"/>
  <c r="AF40" i="26" s="1"/>
  <c r="X40" i="26"/>
  <c r="X87" i="30"/>
  <c r="R87" i="30"/>
  <c r="AA87" i="30"/>
  <c r="AF87" i="30" s="1"/>
  <c r="U87" i="30"/>
  <c r="AA86" i="37"/>
  <c r="AF86" i="37" s="1"/>
  <c r="X86" i="37"/>
  <c r="U86" i="37"/>
  <c r="R86" i="37"/>
  <c r="U41" i="36"/>
  <c r="AA41" i="36"/>
  <c r="AF41" i="36" s="1"/>
  <c r="X41" i="36"/>
  <c r="R41" i="36"/>
  <c r="AA41" i="33"/>
  <c r="AF41" i="33" s="1"/>
  <c r="X41" i="33"/>
  <c r="U41" i="33"/>
  <c r="R41" i="33"/>
  <c r="AA104" i="29"/>
  <c r="AF104" i="29" s="1"/>
  <c r="X104" i="29"/>
  <c r="U104" i="29"/>
  <c r="R104" i="29"/>
  <c r="AA192" i="37"/>
  <c r="AF192" i="37" s="1"/>
  <c r="X192" i="37"/>
  <c r="R192" i="37"/>
  <c r="U192" i="37"/>
  <c r="R459" i="31"/>
  <c r="U459" i="31"/>
  <c r="X459" i="31"/>
  <c r="AA459" i="31"/>
  <c r="AF459" i="31" s="1"/>
  <c r="AA42" i="30"/>
  <c r="AF42" i="30" s="1"/>
  <c r="X42" i="30"/>
  <c r="U42" i="30"/>
  <c r="R42" i="30"/>
  <c r="AA512" i="31"/>
  <c r="AF512" i="31" s="1"/>
  <c r="X512" i="31"/>
  <c r="U512" i="31"/>
  <c r="R512" i="31"/>
  <c r="AA193" i="31"/>
  <c r="AF193" i="31" s="1"/>
  <c r="U193" i="31"/>
  <c r="X193" i="31"/>
  <c r="R193" i="31"/>
  <c r="R87" i="31"/>
  <c r="AA87" i="31"/>
  <c r="AF87" i="31" s="1"/>
  <c r="X87" i="31"/>
  <c r="U87" i="31"/>
  <c r="U190" i="33"/>
  <c r="AA190" i="33"/>
  <c r="AF190" i="33" s="1"/>
  <c r="R190" i="33"/>
  <c r="X190" i="33"/>
  <c r="X406" i="31"/>
  <c r="AA406" i="31"/>
  <c r="AF406" i="31" s="1"/>
  <c r="U406" i="31"/>
  <c r="R406" i="31"/>
  <c r="X141" i="36"/>
  <c r="U141" i="36"/>
  <c r="R141" i="36"/>
  <c r="AA141" i="36"/>
  <c r="AF141" i="36" s="1"/>
  <c r="AA255" i="29"/>
  <c r="AF255" i="29" s="1"/>
  <c r="X255" i="29"/>
  <c r="U255" i="29"/>
  <c r="R255" i="29"/>
  <c r="AA137" i="33"/>
  <c r="AF137" i="33" s="1"/>
  <c r="U137" i="33"/>
  <c r="X137" i="33"/>
  <c r="R137" i="33"/>
  <c r="AA40" i="63"/>
  <c r="AF40" i="63" s="1"/>
  <c r="X40" i="63"/>
  <c r="U40" i="63"/>
  <c r="R40" i="63"/>
  <c r="U40" i="64"/>
  <c r="X40" i="64"/>
  <c r="R40" i="64"/>
  <c r="AA40" i="64"/>
  <c r="AF40" i="64" s="1"/>
  <c r="AA107" i="47"/>
  <c r="AF107" i="47" s="1"/>
  <c r="X107" i="47"/>
  <c r="U107" i="47"/>
  <c r="R107" i="47"/>
  <c r="AA40" i="47"/>
  <c r="AF40" i="47" s="1"/>
  <c r="X40" i="47"/>
  <c r="U40" i="47"/>
  <c r="R40" i="47"/>
  <c r="U104" i="46"/>
  <c r="AA104" i="46"/>
  <c r="AF104" i="46" s="1"/>
  <c r="X104" i="46"/>
  <c r="R104" i="46"/>
  <c r="X203" i="46"/>
  <c r="AA203" i="46"/>
  <c r="AF203" i="46" s="1"/>
  <c r="U203" i="46"/>
  <c r="R203" i="46"/>
  <c r="AA162" i="46"/>
  <c r="AF162" i="46" s="1"/>
  <c r="U162" i="46"/>
  <c r="R162" i="46"/>
  <c r="X162" i="46"/>
  <c r="X41" i="46"/>
  <c r="U41" i="46"/>
  <c r="R41" i="46"/>
  <c r="AA41" i="46"/>
  <c r="AF41" i="46" s="1"/>
  <c r="AA40" i="44"/>
  <c r="AF40" i="44" s="1"/>
  <c r="X40" i="44"/>
  <c r="U40" i="44"/>
  <c r="R40" i="44"/>
  <c r="AA89" i="44"/>
  <c r="AF89" i="44" s="1"/>
  <c r="R89" i="44"/>
  <c r="X89" i="44"/>
  <c r="U89" i="44"/>
  <c r="U244" i="44"/>
  <c r="R244" i="44"/>
  <c r="X244" i="44"/>
  <c r="AA244" i="44"/>
  <c r="AF244" i="44" s="1"/>
  <c r="AA201" i="44"/>
  <c r="AF201" i="44" s="1"/>
  <c r="X201" i="44"/>
  <c r="U201" i="44"/>
  <c r="R201" i="44"/>
  <c r="AA144" i="44"/>
  <c r="AF144" i="44" s="1"/>
  <c r="X144" i="44"/>
  <c r="U144" i="44"/>
  <c r="R144" i="44"/>
  <c r="R278" i="44"/>
  <c r="U278" i="44"/>
  <c r="AA278" i="44"/>
  <c r="AF278" i="44" s="1"/>
  <c r="X278" i="44"/>
  <c r="X40" i="43"/>
  <c r="AA40" i="43"/>
  <c r="AF40" i="43" s="1"/>
  <c r="R40" i="43"/>
  <c r="U40" i="43"/>
  <c r="AA100" i="43"/>
  <c r="AF100" i="43" s="1"/>
  <c r="R100" i="43"/>
  <c r="X100" i="43"/>
  <c r="U100" i="43"/>
  <c r="X139" i="41"/>
  <c r="AA139" i="41"/>
  <c r="AF139" i="41" s="1"/>
  <c r="U139" i="41"/>
  <c r="R139" i="41"/>
  <c r="AA86" i="41"/>
  <c r="AF86" i="41" s="1"/>
  <c r="X86" i="41"/>
  <c r="U86" i="41"/>
  <c r="R86" i="41"/>
  <c r="R669" i="41"/>
  <c r="X669" i="41"/>
  <c r="AA669" i="41"/>
  <c r="AF669" i="41" s="1"/>
  <c r="U669" i="41"/>
  <c r="AA515" i="41"/>
  <c r="AF515" i="41" s="1"/>
  <c r="X515" i="41"/>
  <c r="U515" i="41"/>
  <c r="R515" i="41"/>
  <c r="X563" i="41"/>
  <c r="AA563" i="41"/>
  <c r="AF563" i="41" s="1"/>
  <c r="U563" i="41"/>
  <c r="R563" i="41"/>
  <c r="R192" i="41"/>
  <c r="AA192" i="41"/>
  <c r="AF192" i="41" s="1"/>
  <c r="X192" i="41"/>
  <c r="U192" i="41"/>
  <c r="U404" i="41"/>
  <c r="AA404" i="41"/>
  <c r="AF404" i="41" s="1"/>
  <c r="X404" i="41"/>
  <c r="R404" i="41"/>
  <c r="AA40" i="41"/>
  <c r="AF40" i="41" s="1"/>
  <c r="R40" i="41"/>
  <c r="X40" i="41"/>
  <c r="U40" i="41"/>
  <c r="X303" i="41"/>
  <c r="AA303" i="41"/>
  <c r="AF303" i="41" s="1"/>
  <c r="U303" i="41"/>
  <c r="R303" i="41"/>
  <c r="X616" i="41"/>
  <c r="R616" i="41"/>
  <c r="U616" i="41"/>
  <c r="AA616" i="41"/>
  <c r="AF616" i="41" s="1"/>
  <c r="U457" i="41"/>
  <c r="AA457" i="41"/>
  <c r="AF457" i="41" s="1"/>
  <c r="X457" i="41"/>
  <c r="R457" i="41"/>
  <c r="X245" i="41"/>
  <c r="AA245" i="41"/>
  <c r="AF245" i="41" s="1"/>
  <c r="U245" i="41"/>
  <c r="R245" i="41"/>
  <c r="R351" i="41"/>
  <c r="AA351" i="41"/>
  <c r="AF351" i="41" s="1"/>
  <c r="X351" i="41"/>
  <c r="U351" i="41"/>
  <c r="U41" i="40"/>
  <c r="AA41" i="40"/>
  <c r="AF41" i="40" s="1"/>
  <c r="X41" i="40"/>
  <c r="R41" i="40"/>
  <c r="AA200" i="40"/>
  <c r="AF200" i="40" s="1"/>
  <c r="X200" i="40"/>
  <c r="U200" i="40"/>
  <c r="R200" i="40"/>
  <c r="X92" i="40"/>
  <c r="AA92" i="40"/>
  <c r="AF92" i="40" s="1"/>
  <c r="U92" i="40"/>
  <c r="R92" i="40"/>
  <c r="U143" i="40"/>
  <c r="R143" i="40"/>
  <c r="AA143" i="40"/>
  <c r="AF143" i="40" s="1"/>
  <c r="X143" i="40"/>
  <c r="AA86" i="38"/>
  <c r="AF86" i="38" s="1"/>
  <c r="U86" i="38"/>
  <c r="X86" i="38"/>
  <c r="R86" i="38"/>
  <c r="AA40" i="38"/>
  <c r="AF40" i="38" s="1"/>
  <c r="X40" i="38"/>
  <c r="U40" i="38"/>
  <c r="R40" i="38"/>
  <c r="U192" i="38"/>
  <c r="R192" i="38"/>
  <c r="AA192" i="38"/>
  <c r="AF192" i="38" s="1"/>
  <c r="X192" i="38"/>
  <c r="AA144" i="38"/>
  <c r="AF144" i="38" s="1"/>
  <c r="X144" i="38"/>
  <c r="U144" i="38"/>
  <c r="R144" i="38"/>
  <c r="X194" i="35"/>
  <c r="U194" i="35"/>
  <c r="R194" i="35"/>
  <c r="AA194" i="35"/>
  <c r="AF194" i="35" s="1"/>
  <c r="AA41" i="35"/>
  <c r="AF41" i="35" s="1"/>
  <c r="X41" i="35"/>
  <c r="R41" i="35"/>
  <c r="U41" i="35"/>
  <c r="AA141" i="35"/>
  <c r="AF141" i="35" s="1"/>
  <c r="X141" i="35"/>
  <c r="U141" i="35"/>
  <c r="R141" i="35"/>
  <c r="U103" i="35"/>
  <c r="AA103" i="35"/>
  <c r="AF103" i="35" s="1"/>
  <c r="X103" i="35"/>
  <c r="R103" i="35"/>
  <c r="R91" i="25"/>
  <c r="X91" i="25"/>
  <c r="AA91" i="25"/>
  <c r="AF91" i="25" s="1"/>
  <c r="U91" i="25"/>
  <c r="AA200" i="25"/>
  <c r="AF200" i="25" s="1"/>
  <c r="X200" i="25"/>
  <c r="U200" i="25"/>
  <c r="R200" i="25"/>
  <c r="R40" i="25"/>
  <c r="AA40" i="25"/>
  <c r="AF40" i="25" s="1"/>
  <c r="X40" i="25"/>
  <c r="U40" i="25"/>
  <c r="AA145" i="25"/>
  <c r="AF145" i="25" s="1"/>
  <c r="R145" i="25"/>
  <c r="X145" i="25"/>
  <c r="U145" i="25"/>
  <c r="U189" i="23"/>
  <c r="X189" i="23"/>
  <c r="R189" i="23"/>
  <c r="AA189" i="23"/>
  <c r="AF189" i="23" s="1"/>
  <c r="AA139" i="23"/>
  <c r="AF139" i="23" s="1"/>
  <c r="X139" i="23"/>
  <c r="U139" i="23"/>
  <c r="R139" i="23"/>
  <c r="U103" i="23"/>
  <c r="R103" i="23"/>
  <c r="AA103" i="23"/>
  <c r="AF103" i="23" s="1"/>
  <c r="X103" i="23"/>
  <c r="R41" i="23"/>
  <c r="X41" i="23"/>
  <c r="U41" i="23"/>
  <c r="O133" i="13"/>
  <c r="I4" i="52"/>
  <c r="AX6" i="52" s="1"/>
  <c r="R4" i="52"/>
  <c r="Q4" i="52"/>
  <c r="A171" i="7"/>
  <c r="A172" i="7" s="1"/>
  <c r="A173" i="7" s="1"/>
  <c r="A174" i="7" s="1"/>
  <c r="A175" i="7" s="1"/>
  <c r="A176" i="7" s="1"/>
  <c r="A177" i="7" s="1"/>
  <c r="G1" i="7"/>
  <c r="H1" i="7" s="1"/>
  <c r="I1" i="7" s="1"/>
  <c r="J1" i="7" s="1"/>
  <c r="J157" i="7" s="1"/>
  <c r="AF156" i="10" s="1"/>
  <c r="N73" i="10"/>
  <c r="O73" i="10"/>
  <c r="P73" i="10"/>
  <c r="BB167" i="22"/>
  <c r="AT167" i="22"/>
  <c r="BP100" i="22"/>
  <c r="AN100" i="22"/>
  <c r="AB100" i="22" s="1"/>
  <c r="F35" i="13" s="1"/>
  <c r="G35" i="13" s="1"/>
  <c r="W45" i="52"/>
  <c r="X45" i="52"/>
  <c r="BS100" i="22"/>
  <c r="AP100" i="22"/>
  <c r="AH100" i="22" s="1"/>
  <c r="J35" i="13" s="1"/>
  <c r="BT100" i="22"/>
  <c r="Y45" i="52"/>
  <c r="AQ100" i="22"/>
  <c r="AL100" i="22" s="1"/>
  <c r="BU100" i="22"/>
  <c r="I170" i="10"/>
  <c r="R170" i="10" s="1"/>
  <c r="I159" i="10"/>
  <c r="R159" i="10" s="1"/>
  <c r="I157" i="10"/>
  <c r="R157" i="10" s="1"/>
  <c r="I146" i="10"/>
  <c r="R146" i="10" s="1"/>
  <c r="R125" i="10"/>
  <c r="I123" i="10"/>
  <c r="R123" i="10" s="1"/>
  <c r="I120" i="10"/>
  <c r="R120" i="10" s="1"/>
  <c r="I117" i="10"/>
  <c r="R117" i="10" s="1"/>
  <c r="I111" i="10"/>
  <c r="R111" i="10" s="1"/>
  <c r="I95" i="10"/>
  <c r="R95" i="10" s="1"/>
  <c r="I92" i="10"/>
  <c r="R92" i="10" s="1"/>
  <c r="I77" i="10"/>
  <c r="R77" i="10" s="1"/>
  <c r="I74" i="10"/>
  <c r="R74" i="10" s="1"/>
  <c r="I51" i="10"/>
  <c r="R51" i="10" s="1"/>
  <c r="I29" i="10"/>
  <c r="R29" i="10" s="1"/>
  <c r="I161" i="10"/>
  <c r="R161" i="10" s="1"/>
  <c r="I150" i="10"/>
  <c r="R150" i="10" s="1"/>
  <c r="I148" i="10"/>
  <c r="R148" i="10" s="1"/>
  <c r="I143" i="10"/>
  <c r="R143" i="10" s="1"/>
  <c r="I133" i="10"/>
  <c r="R133" i="10" s="1"/>
  <c r="I69" i="10"/>
  <c r="R69" i="10" s="1"/>
  <c r="I56" i="10"/>
  <c r="R56" i="10" s="1"/>
  <c r="I35" i="10"/>
  <c r="R35" i="10" s="1"/>
  <c r="I9" i="10"/>
  <c r="I8" i="10"/>
  <c r="R8" i="10" s="1"/>
  <c r="I73" i="10"/>
  <c r="I70" i="10"/>
  <c r="R70" i="10" s="1"/>
  <c r="I59" i="10"/>
  <c r="R59" i="10" s="1"/>
  <c r="I54" i="10"/>
  <c r="R54" i="10" s="1"/>
  <c r="I21" i="10"/>
  <c r="R21" i="10" s="1"/>
  <c r="I163" i="10"/>
  <c r="R163" i="10" s="1"/>
  <c r="I127" i="10"/>
  <c r="R127" i="10" s="1"/>
  <c r="R105" i="10"/>
  <c r="I93" i="10"/>
  <c r="R93" i="10" s="1"/>
  <c r="I13" i="10"/>
  <c r="R13" i="10" s="1"/>
  <c r="I10" i="10"/>
  <c r="R10" i="10" s="1"/>
  <c r="I136" i="10"/>
  <c r="R136" i="10" s="1"/>
  <c r="I101" i="10"/>
  <c r="R101" i="10" s="1"/>
  <c r="I175" i="10"/>
  <c r="R175" i="10" s="1"/>
  <c r="I173" i="10"/>
  <c r="R173" i="10" s="1"/>
  <c r="I171" i="10"/>
  <c r="R171" i="10" s="1"/>
  <c r="I165" i="10"/>
  <c r="R165" i="10" s="1"/>
  <c r="I144" i="10"/>
  <c r="R144" i="10" s="1"/>
  <c r="I134" i="10"/>
  <c r="R134" i="10" s="1"/>
  <c r="I130" i="10"/>
  <c r="R130" i="10" s="1"/>
  <c r="I107" i="10"/>
  <c r="R107" i="10" s="1"/>
  <c r="I88" i="10"/>
  <c r="R88" i="10" s="1"/>
  <c r="I82" i="10"/>
  <c r="R82" i="10" s="1"/>
  <c r="I65" i="10"/>
  <c r="R65" i="10" s="1"/>
  <c r="I23" i="10"/>
  <c r="R23" i="10" s="1"/>
  <c r="I20" i="10"/>
  <c r="R20" i="10" s="1"/>
  <c r="I14" i="10"/>
  <c r="I167" i="10"/>
  <c r="R167" i="10" s="1"/>
  <c r="I151" i="10"/>
  <c r="R151" i="10" s="1"/>
  <c r="I141" i="10"/>
  <c r="R141" i="10" s="1"/>
  <c r="I137" i="10"/>
  <c r="R137" i="10" s="1"/>
  <c r="I121" i="10"/>
  <c r="R121" i="10" s="1"/>
  <c r="I118" i="10"/>
  <c r="R118" i="10" s="1"/>
  <c r="I115" i="10"/>
  <c r="R115" i="10" s="1"/>
  <c r="I112" i="10"/>
  <c r="R112" i="10" s="1"/>
  <c r="I83" i="10"/>
  <c r="R83" i="10" s="1"/>
  <c r="I75" i="10"/>
  <c r="R75" i="10" s="1"/>
  <c r="I44" i="10"/>
  <c r="R44" i="10" s="1"/>
  <c r="I154" i="10"/>
  <c r="R154" i="10" s="1"/>
  <c r="I114" i="10"/>
  <c r="R114" i="10" s="1"/>
  <c r="I85" i="10"/>
  <c r="R85" i="10" s="1"/>
  <c r="I53" i="10"/>
  <c r="I50" i="10"/>
  <c r="R50" i="10" s="1"/>
  <c r="I98" i="10"/>
  <c r="R98" i="10" s="1"/>
  <c r="I89" i="10"/>
  <c r="R89" i="10" s="1"/>
  <c r="I84" i="10"/>
  <c r="R84" i="10" s="1"/>
  <c r="I26" i="10"/>
  <c r="R26" i="10" s="1"/>
  <c r="I16" i="10"/>
  <c r="R16" i="10" s="1"/>
  <c r="I128" i="10"/>
  <c r="R128" i="10" s="1"/>
  <c r="I119" i="10"/>
  <c r="R119" i="10" s="1"/>
  <c r="I60" i="10"/>
  <c r="R60" i="10" s="1"/>
  <c r="I52" i="10"/>
  <c r="R52" i="10" s="1"/>
  <c r="I38" i="10"/>
  <c r="R38" i="10" s="1"/>
  <c r="I142" i="10"/>
  <c r="R142" i="10" s="1"/>
  <c r="I87" i="10"/>
  <c r="R87" i="10" s="1"/>
  <c r="I138" i="10"/>
  <c r="R138" i="10" s="1"/>
  <c r="I122" i="10"/>
  <c r="R122" i="10" s="1"/>
  <c r="I116" i="10"/>
  <c r="R116" i="10" s="1"/>
  <c r="I113" i="10"/>
  <c r="R113" i="10" s="1"/>
  <c r="I110" i="10"/>
  <c r="R110" i="10" s="1"/>
  <c r="I94" i="10"/>
  <c r="R94" i="10" s="1"/>
  <c r="I76" i="10"/>
  <c r="R76" i="10" s="1"/>
  <c r="I32" i="10"/>
  <c r="R32" i="10" s="1"/>
  <c r="I176" i="10"/>
  <c r="R176" i="10" s="1"/>
  <c r="I174" i="10"/>
  <c r="R174" i="10" s="1"/>
  <c r="I172" i="10"/>
  <c r="R172" i="10" s="1"/>
  <c r="I145" i="10"/>
  <c r="R145" i="10" s="1"/>
  <c r="I135" i="10"/>
  <c r="R135" i="10" s="1"/>
  <c r="I129" i="10"/>
  <c r="R129" i="10" s="1"/>
  <c r="I71" i="10"/>
  <c r="R71" i="10" s="1"/>
  <c r="I55" i="10"/>
  <c r="R55" i="10" s="1"/>
  <c r="I15" i="10"/>
  <c r="R15" i="10" s="1"/>
  <c r="I22" i="10"/>
  <c r="I72" i="10"/>
  <c r="R72" i="10" s="1"/>
  <c r="I41" i="10"/>
  <c r="R41" i="10" s="1"/>
  <c r="J161" i="10"/>
  <c r="J93" i="10"/>
  <c r="J157" i="10"/>
  <c r="J174" i="10"/>
  <c r="J54" i="10"/>
  <c r="J123" i="10"/>
  <c r="J44" i="10"/>
  <c r="J137" i="10"/>
  <c r="J125" i="10"/>
  <c r="J9" i="10"/>
  <c r="J73" i="10"/>
  <c r="J150" i="10"/>
  <c r="J88" i="10"/>
  <c r="J133" i="10"/>
  <c r="J89" i="10"/>
  <c r="J112" i="10"/>
  <c r="J76" i="10"/>
  <c r="J116" i="10"/>
  <c r="J92" i="10"/>
  <c r="J154" i="10"/>
  <c r="J71" i="10"/>
  <c r="J115" i="10"/>
  <c r="J127" i="10"/>
  <c r="J10" i="10"/>
  <c r="J144" i="10"/>
  <c r="J23" i="10"/>
  <c r="J113" i="10"/>
  <c r="J69" i="10"/>
  <c r="J105" i="10"/>
  <c r="J35" i="10"/>
  <c r="J26" i="10"/>
  <c r="J118" i="10"/>
  <c r="J51" i="10"/>
  <c r="J41" i="10"/>
  <c r="J101" i="10"/>
  <c r="J87" i="10"/>
  <c r="J159" i="10"/>
  <c r="J77" i="10"/>
  <c r="J173" i="10"/>
  <c r="J50" i="10"/>
  <c r="J138" i="10"/>
  <c r="J65" i="10"/>
  <c r="J121" i="10"/>
  <c r="J107" i="10"/>
  <c r="J117" i="10"/>
  <c r="J70" i="10"/>
  <c r="J142" i="10"/>
  <c r="J13" i="10"/>
  <c r="J120" i="10"/>
  <c r="J49" i="10"/>
  <c r="J143" i="10"/>
  <c r="J53" i="10"/>
  <c r="J122" i="10"/>
  <c r="J22" i="10"/>
  <c r="J74" i="10"/>
  <c r="J163" i="10"/>
  <c r="J134" i="10"/>
  <c r="J165" i="10"/>
  <c r="J56" i="10"/>
  <c r="J170" i="10"/>
  <c r="J38" i="10"/>
  <c r="J148" i="10"/>
  <c r="J55" i="10"/>
  <c r="J94" i="10"/>
  <c r="J29" i="10"/>
  <c r="J145" i="10"/>
  <c r="J52" i="10"/>
  <c r="J119" i="10"/>
  <c r="J171" i="10"/>
  <c r="J111" i="10"/>
  <c r="J21" i="10"/>
  <c r="J110" i="10"/>
  <c r="J130" i="10"/>
  <c r="J15" i="10"/>
  <c r="J135" i="10"/>
  <c r="J175" i="10"/>
  <c r="J95" i="10"/>
  <c r="J172" i="10"/>
  <c r="J114" i="10"/>
  <c r="J75" i="10"/>
  <c r="J136" i="10"/>
  <c r="J176" i="10"/>
  <c r="J14" i="10"/>
  <c r="J72" i="10"/>
  <c r="J20" i="10"/>
  <c r="J129" i="10"/>
  <c r="J8" i="10"/>
  <c r="J32" i="10"/>
  <c r="J167" i="10"/>
  <c r="J59" i="10"/>
  <c r="J141" i="10"/>
  <c r="J98" i="10"/>
  <c r="K170" i="10"/>
  <c r="K77" i="10"/>
  <c r="K174" i="10"/>
  <c r="K161" i="10"/>
  <c r="K22" i="10"/>
  <c r="K120" i="10"/>
  <c r="K71" i="10"/>
  <c r="K133" i="10"/>
  <c r="K92" i="10"/>
  <c r="K44" i="10"/>
  <c r="K125" i="10"/>
  <c r="K70" i="10"/>
  <c r="K167" i="10"/>
  <c r="K113" i="10"/>
  <c r="K123" i="10"/>
  <c r="K173" i="10"/>
  <c r="K38" i="10"/>
  <c r="K87" i="10"/>
  <c r="K65" i="10"/>
  <c r="K51" i="10"/>
  <c r="K118" i="10"/>
  <c r="K82" i="10"/>
  <c r="K59" i="10"/>
  <c r="K135" i="10"/>
  <c r="K76" i="10"/>
  <c r="K137" i="10"/>
  <c r="K13" i="10"/>
  <c r="K163" i="10"/>
  <c r="K21" i="10"/>
  <c r="K50" i="10"/>
  <c r="K26" i="10"/>
  <c r="K55" i="10"/>
  <c r="K175" i="10"/>
  <c r="K148" i="10"/>
  <c r="K171" i="10"/>
  <c r="K141" i="10"/>
  <c r="K8" i="10"/>
  <c r="K154" i="10"/>
  <c r="K15" i="10"/>
  <c r="K35" i="10"/>
  <c r="K144" i="10"/>
  <c r="K111" i="10"/>
  <c r="K119" i="10"/>
  <c r="K95" i="10"/>
  <c r="K165" i="10"/>
  <c r="K136" i="10"/>
  <c r="K110" i="10"/>
  <c r="K138" i="10"/>
  <c r="K74" i="10"/>
  <c r="K52" i="10"/>
  <c r="K172" i="10"/>
  <c r="K29" i="10"/>
  <c r="K157" i="10"/>
  <c r="K122" i="10"/>
  <c r="K115" i="10"/>
  <c r="K176" i="10"/>
  <c r="K93" i="10"/>
  <c r="K116" i="10"/>
  <c r="K114" i="10"/>
  <c r="K9" i="10"/>
  <c r="K112" i="10"/>
  <c r="K73" i="10"/>
  <c r="K121" i="10"/>
  <c r="K127" i="10"/>
  <c r="K41" i="10"/>
  <c r="K69" i="10"/>
  <c r="K129" i="10"/>
  <c r="K14" i="10"/>
  <c r="K75" i="10"/>
  <c r="K10" i="10"/>
  <c r="K101" i="10"/>
  <c r="K142" i="10"/>
  <c r="K53" i="10"/>
  <c r="K20" i="10"/>
  <c r="K89" i="10"/>
  <c r="K159" i="10"/>
  <c r="K56" i="10"/>
  <c r="K72" i="10"/>
  <c r="K88" i="10"/>
  <c r="K134" i="10"/>
  <c r="K145" i="10"/>
  <c r="K32" i="10"/>
  <c r="K117" i="10"/>
  <c r="K54" i="10"/>
  <c r="K49" i="10"/>
  <c r="K150" i="10"/>
  <c r="K94" i="10"/>
  <c r="K143" i="10"/>
  <c r="K98" i="10"/>
  <c r="K23" i="10"/>
  <c r="K105" i="10"/>
  <c r="K107" i="10"/>
  <c r="K130" i="10"/>
  <c r="O134" i="13"/>
  <c r="R175" i="31"/>
  <c r="H126" i="13"/>
  <c r="A13" i="18"/>
  <c r="D13" i="18" s="1"/>
  <c r="B15" i="55" s="1"/>
  <c r="M84" i="7"/>
  <c r="K83" i="10" s="1"/>
  <c r="L147" i="7"/>
  <c r="J146" i="10" s="1"/>
  <c r="M152" i="7"/>
  <c r="K151" i="10" s="1"/>
  <c r="L84" i="7"/>
  <c r="J83" i="10" s="1"/>
  <c r="M61" i="7"/>
  <c r="K60" i="10" s="1"/>
  <c r="M85" i="7"/>
  <c r="K84" i="10" s="1"/>
  <c r="L152" i="7"/>
  <c r="J151" i="10" s="1"/>
  <c r="M86" i="7"/>
  <c r="K85" i="10" s="1"/>
  <c r="M129" i="7"/>
  <c r="K128" i="10" s="1"/>
  <c r="M147" i="7"/>
  <c r="K146" i="10" s="1"/>
  <c r="T1" i="5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46" i="64"/>
  <c r="A43" i="64"/>
  <c r="J165" i="7"/>
  <c r="AF164" i="10" s="1"/>
  <c r="A43" i="63"/>
  <c r="A61" i="62"/>
  <c r="A64" i="62"/>
  <c r="F1" i="5"/>
  <c r="G1" i="5" s="1"/>
  <c r="H207" i="68"/>
  <c r="H80" i="68"/>
  <c r="H170" i="68"/>
  <c r="H133" i="68"/>
  <c r="H245" i="68"/>
  <c r="H31" i="68"/>
  <c r="A147" i="44"/>
  <c r="L129" i="7"/>
  <c r="J128" i="10" s="1"/>
  <c r="L61" i="7"/>
  <c r="J60" i="10" s="1"/>
  <c r="L85" i="7"/>
  <c r="J84" i="10" s="1"/>
  <c r="L16" i="7"/>
  <c r="J16" i="10" s="1"/>
  <c r="L86" i="7"/>
  <c r="J85" i="10" s="1"/>
  <c r="AJ8" i="52"/>
  <c r="AI8" i="52"/>
  <c r="U4" i="52"/>
  <c r="V4" i="52"/>
  <c r="AI9" i="52"/>
  <c r="AJ9" i="52"/>
  <c r="AA4" i="52"/>
  <c r="J159" i="7"/>
  <c r="AF158" i="10" s="1"/>
  <c r="AG158" i="10" s="1"/>
  <c r="AG159" i="10" s="1"/>
  <c r="J163" i="7"/>
  <c r="AF162" i="10" s="1"/>
  <c r="J167" i="7"/>
  <c r="AF166" i="10" s="1"/>
  <c r="O167" i="7"/>
  <c r="J161" i="7"/>
  <c r="O159" i="7"/>
  <c r="O165" i="7"/>
  <c r="AF441" i="31"/>
  <c r="AK441" i="31" s="1"/>
  <c r="X175" i="31"/>
  <c r="AF175" i="31"/>
  <c r="AK175" i="31" s="1"/>
  <c r="F30" i="8"/>
  <c r="L30" i="8" s="1"/>
  <c r="Z30" i="8"/>
  <c r="D30" i="8"/>
  <c r="H125" i="13" s="1"/>
  <c r="Y30" i="8"/>
  <c r="K29" i="8"/>
  <c r="U122" i="28"/>
  <c r="AJ182" i="8"/>
  <c r="AJ183" i="8" s="1"/>
  <c r="AJ184" i="8" s="1"/>
  <c r="AJ185" i="8" s="1"/>
  <c r="AJ186" i="8" s="1"/>
  <c r="H30" i="8"/>
  <c r="M30" i="8" s="1"/>
  <c r="AA30" i="8"/>
  <c r="X30" i="8"/>
  <c r="B30" i="8"/>
  <c r="J30" i="8" s="1"/>
  <c r="O26" i="7" s="1"/>
  <c r="X441" i="31"/>
  <c r="A107" i="46"/>
  <c r="A196" i="30"/>
  <c r="A90" i="27"/>
  <c r="A147" i="37"/>
  <c r="A144" i="35"/>
  <c r="A354" i="41"/>
  <c r="A148" i="25"/>
  <c r="A106" i="35"/>
  <c r="A91" i="26"/>
  <c r="A250" i="25"/>
  <c r="A407" i="41"/>
  <c r="A218" i="29"/>
  <c r="A43" i="41"/>
  <c r="A306" i="41"/>
  <c r="A148" i="32"/>
  <c r="A44" i="29"/>
  <c r="A90" i="30"/>
  <c r="AA41" i="23"/>
  <c r="AF41" i="23" s="1"/>
  <c r="A44" i="23"/>
  <c r="A107" i="29"/>
  <c r="A142" i="41"/>
  <c r="A308" i="35"/>
  <c r="A409" i="31"/>
  <c r="A195" i="37"/>
  <c r="A462" i="31"/>
  <c r="A43" i="25"/>
  <c r="A195" i="38"/>
  <c r="A146" i="40"/>
  <c r="A143" i="31"/>
  <c r="A89" i="50"/>
  <c r="A90" i="32"/>
  <c r="A253" i="46"/>
  <c r="A148" i="30"/>
  <c r="A44" i="46"/>
  <c r="A193" i="33"/>
  <c r="A89" i="37"/>
  <c r="A142" i="23"/>
  <c r="A248" i="41"/>
  <c r="A195" i="41"/>
  <c r="A43" i="38"/>
  <c r="A144" i="36"/>
  <c r="A258" i="29"/>
  <c r="A89" i="38"/>
  <c r="A140" i="33"/>
  <c r="A204" i="44"/>
  <c r="A518" i="41"/>
  <c r="A619" i="41"/>
  <c r="A45" i="30"/>
  <c r="A95" i="40"/>
  <c r="A108" i="36"/>
  <c r="A203" i="40"/>
  <c r="A94" i="25"/>
  <c r="A103" i="43"/>
  <c r="A165" i="46"/>
  <c r="A206" i="46"/>
  <c r="A43" i="43"/>
  <c r="A566" i="41"/>
  <c r="A92" i="44"/>
  <c r="A43" i="44"/>
  <c r="A43" i="37"/>
  <c r="A44" i="32"/>
  <c r="A281" i="44"/>
  <c r="A147" i="38"/>
  <c r="J69" i="7"/>
  <c r="AF68" i="10" s="1"/>
  <c r="J67" i="7"/>
  <c r="AF66" i="10" s="1"/>
  <c r="J68" i="7"/>
  <c r="AF67" i="10" s="1"/>
  <c r="O68" i="7"/>
  <c r="A106" i="23"/>
  <c r="A44" i="36"/>
  <c r="A515" i="31"/>
  <c r="A307" i="31"/>
  <c r="A163" i="43"/>
  <c r="A460" i="41"/>
  <c r="A196" i="31"/>
  <c r="A195" i="26"/>
  <c r="A44" i="33"/>
  <c r="A255" i="35"/>
  <c r="A192" i="23"/>
  <c r="A309" i="29"/>
  <c r="A89" i="41"/>
  <c r="A44" i="40"/>
  <c r="A672" i="41"/>
  <c r="A356" i="31"/>
  <c r="A44" i="27"/>
  <c r="A43" i="26"/>
  <c r="A44" i="31"/>
  <c r="A249" i="31"/>
  <c r="A165" i="29"/>
  <c r="A90" i="28"/>
  <c r="A90" i="31"/>
  <c r="A142" i="50"/>
  <c r="A197" i="35"/>
  <c r="A44" i="28"/>
  <c r="A165" i="47"/>
  <c r="A43" i="47"/>
  <c r="A247" i="44"/>
  <c r="A110" i="47"/>
  <c r="A203" i="25"/>
  <c r="A44" i="35"/>
  <c r="A362" i="35"/>
  <c r="A43" i="50"/>
  <c r="C12" i="18"/>
  <c r="J64" i="7"/>
  <c r="AF63" i="10" s="1"/>
  <c r="J31" i="7"/>
  <c r="AF30" i="10" s="1"/>
  <c r="AG30" i="10" s="1"/>
  <c r="J109" i="7"/>
  <c r="AF108" i="10" s="1"/>
  <c r="J110" i="7"/>
  <c r="AF109" i="10" s="1"/>
  <c r="J62" i="7"/>
  <c r="AF61" i="10" s="1"/>
  <c r="AG61" i="10" s="1"/>
  <c r="J35" i="7"/>
  <c r="AF34" i="10" s="1"/>
  <c r="J80" i="7"/>
  <c r="AF79" i="10" s="1"/>
  <c r="J82" i="7"/>
  <c r="AF81" i="10" s="1"/>
  <c r="J81" i="7"/>
  <c r="AF80" i="10" s="1"/>
  <c r="O59" i="7"/>
  <c r="J59" i="7"/>
  <c r="AF58" i="10" s="1"/>
  <c r="J58" i="7"/>
  <c r="AF57" i="10" s="1"/>
  <c r="AG57" i="10" s="1"/>
  <c r="J154" i="7"/>
  <c r="AF153" i="10" s="1"/>
  <c r="J156" i="7"/>
  <c r="AF155" i="10" s="1"/>
  <c r="O87" i="7"/>
  <c r="O29" i="7"/>
  <c r="J153" i="7"/>
  <c r="AF152" i="10" s="1"/>
  <c r="J65" i="7"/>
  <c r="AF64" i="10" s="1"/>
  <c r="O110" i="7"/>
  <c r="O48" i="7"/>
  <c r="O79" i="7"/>
  <c r="J32" i="7"/>
  <c r="AF31" i="10" s="1"/>
  <c r="J79" i="7"/>
  <c r="AF78" i="10" s="1"/>
  <c r="J87" i="7"/>
  <c r="AF86" i="10" s="1"/>
  <c r="A7" i="10"/>
  <c r="K1" i="7"/>
  <c r="R297" i="25" l="1" a="1"/>
  <c r="R297" i="25" s="1"/>
  <c r="AB297" i="25" s="1"/>
  <c r="AF297" i="25" s="1"/>
  <c r="AJ297" i="25" s="1"/>
  <c r="AG58" i="10"/>
  <c r="AG59" i="10" s="1"/>
  <c r="AG31" i="10"/>
  <c r="AG32" i="10" s="1"/>
  <c r="AF160" i="10"/>
  <c r="AG160" i="10" s="1"/>
  <c r="AG161" i="10" s="1"/>
  <c r="AF171" i="10"/>
  <c r="AG171" i="10" s="1"/>
  <c r="AG172" i="10" s="1"/>
  <c r="AG173" i="10" s="1"/>
  <c r="AG174" i="10" s="1"/>
  <c r="AG175" i="10" s="1"/>
  <c r="AG176" i="10" s="1"/>
  <c r="H152" i="10"/>
  <c r="H153" i="10"/>
  <c r="H155" i="10"/>
  <c r="H157" i="10" s="1"/>
  <c r="P14" i="55"/>
  <c r="J14" i="55"/>
  <c r="S32" i="8" a="1"/>
  <c r="S32" i="8" s="1"/>
  <c r="V32" i="8" a="1"/>
  <c r="V32" i="8" s="1"/>
  <c r="I32" i="8" s="1"/>
  <c r="P32" i="8" a="1"/>
  <c r="P32" i="8" s="1"/>
  <c r="C32" i="8" s="1"/>
  <c r="U32" i="8" a="1"/>
  <c r="U32" i="8" s="1"/>
  <c r="Q32" i="8" a="1"/>
  <c r="Q32" i="8" s="1"/>
  <c r="O32" i="8" a="1"/>
  <c r="O32" i="8" s="1"/>
  <c r="R32" i="8" a="1"/>
  <c r="R32" i="8" s="1"/>
  <c r="E32" i="8" s="1"/>
  <c r="T32" i="8" a="1"/>
  <c r="T32" i="8" s="1"/>
  <c r="G32" i="8" s="1"/>
  <c r="AF190" i="43"/>
  <c r="AK190" i="43" s="1"/>
  <c r="AF193" i="43"/>
  <c r="AK193" i="43" s="1"/>
  <c r="AF166" i="32"/>
  <c r="AK166" i="32" s="1"/>
  <c r="X151" i="32"/>
  <c r="R145" i="32"/>
  <c r="AF280" i="25"/>
  <c r="AK280" i="25" s="1"/>
  <c r="AF277" i="25"/>
  <c r="AK277" i="25" s="1"/>
  <c r="X169" i="32"/>
  <c r="X166" i="32"/>
  <c r="U151" i="32"/>
  <c r="O145" i="32"/>
  <c r="O148" i="32" s="1"/>
  <c r="O151" i="32" s="1"/>
  <c r="O154" i="32" s="1"/>
  <c r="O157" i="32" s="1"/>
  <c r="O160" i="32" s="1"/>
  <c r="O163" i="32" s="1"/>
  <c r="O166" i="32" s="1"/>
  <c r="O169" i="32" s="1"/>
  <c r="AA148" i="32"/>
  <c r="AF148" i="32" s="1"/>
  <c r="AF169" i="32"/>
  <c r="AK169" i="32" s="1"/>
  <c r="U163" i="32"/>
  <c r="R151" i="32"/>
  <c r="AA145" i="32"/>
  <c r="AF145" i="32" s="1"/>
  <c r="AA151" i="32"/>
  <c r="AF151" i="32" s="1"/>
  <c r="U160" i="32"/>
  <c r="R169" i="32" s="1"/>
  <c r="U145" i="32"/>
  <c r="R160" i="32"/>
  <c r="U157" i="32"/>
  <c r="R166" i="32" s="1"/>
  <c r="R157" i="32"/>
  <c r="X148" i="32"/>
  <c r="R154" i="32"/>
  <c r="U169" i="32"/>
  <c r="U154" i="32"/>
  <c r="R163" i="32" s="1"/>
  <c r="U148" i="32"/>
  <c r="R148" i="32"/>
  <c r="X145" i="32"/>
  <c r="AU4" i="22"/>
  <c r="C126" i="10"/>
  <c r="C134" i="10"/>
  <c r="AF134" i="10" s="1"/>
  <c r="C11" i="10"/>
  <c r="AF163" i="32"/>
  <c r="AK163" i="32" s="1"/>
  <c r="C173" i="10"/>
  <c r="C66" i="10"/>
  <c r="C39" i="10"/>
  <c r="C27" i="10"/>
  <c r="C136" i="10"/>
  <c r="AF136" i="10" s="1"/>
  <c r="C175" i="10"/>
  <c r="C86" i="10"/>
  <c r="C102" i="10"/>
  <c r="C129" i="10"/>
  <c r="AF129" i="10" s="1"/>
  <c r="C151" i="10"/>
  <c r="H151" i="10" s="1"/>
  <c r="Q151" i="10" s="1"/>
  <c r="C128" i="10"/>
  <c r="H128" i="10" s="1"/>
  <c r="Q128" i="10" s="1"/>
  <c r="E10" i="52" s="1"/>
  <c r="C158" i="10"/>
  <c r="C84" i="10"/>
  <c r="H84" i="10" s="1"/>
  <c r="Q84" i="10" s="1"/>
  <c r="E8" i="52" s="1"/>
  <c r="C85" i="10"/>
  <c r="H85" i="10" s="1"/>
  <c r="Q85" i="10" s="1"/>
  <c r="E9" i="52" s="1"/>
  <c r="C176" i="10"/>
  <c r="C152" i="10"/>
  <c r="C166" i="10"/>
  <c r="C96" i="10"/>
  <c r="C78" i="10"/>
  <c r="X163" i="32"/>
  <c r="C114" i="10"/>
  <c r="AF114" i="10" s="1"/>
  <c r="C119" i="10"/>
  <c r="AF119" i="10" s="1"/>
  <c r="C147" i="10"/>
  <c r="C45" i="10"/>
  <c r="C9" i="10"/>
  <c r="AF9" i="10" s="1"/>
  <c r="AG9" i="10" s="1"/>
  <c r="AG10" i="10" s="1"/>
  <c r="C160" i="10"/>
  <c r="C168" i="10"/>
  <c r="C72" i="10"/>
  <c r="AF72" i="10" s="1"/>
  <c r="C51" i="10"/>
  <c r="AF51" i="10" s="1"/>
  <c r="AG51" i="10" s="1"/>
  <c r="C174" i="10"/>
  <c r="C139" i="10"/>
  <c r="C162" i="10"/>
  <c r="C14" i="10"/>
  <c r="AF14" i="10" s="1"/>
  <c r="AG14" i="10" s="1"/>
  <c r="AG15" i="10" s="1"/>
  <c r="C83" i="10"/>
  <c r="H83" i="10" s="1"/>
  <c r="Q83" i="10" s="1"/>
  <c r="E7" i="52" s="1"/>
  <c r="C164" i="10"/>
  <c r="C33" i="10"/>
  <c r="C16" i="10"/>
  <c r="H16" i="10" s="1"/>
  <c r="Q16" i="10" s="1"/>
  <c r="C124" i="10"/>
  <c r="C99" i="10"/>
  <c r="C90" i="10"/>
  <c r="C60" i="10"/>
  <c r="H60" i="10" s="1"/>
  <c r="Q60" i="10" s="1"/>
  <c r="C36" i="10"/>
  <c r="C61" i="10"/>
  <c r="C106" i="10"/>
  <c r="C30" i="10"/>
  <c r="C21" i="10"/>
  <c r="AF21" i="10" s="1"/>
  <c r="AG21" i="10" s="1"/>
  <c r="C93" i="10"/>
  <c r="AF93" i="10" s="1"/>
  <c r="C17" i="10"/>
  <c r="C57" i="10"/>
  <c r="C171" i="10"/>
  <c r="C24" i="10"/>
  <c r="C146" i="10"/>
  <c r="H146" i="10" s="1"/>
  <c r="Q146" i="10" s="1"/>
  <c r="C172" i="10"/>
  <c r="C108" i="10"/>
  <c r="C142" i="10"/>
  <c r="AF142" i="10" s="1"/>
  <c r="C131" i="10"/>
  <c r="C42" i="10"/>
  <c r="C149" i="10"/>
  <c r="C144" i="10"/>
  <c r="AF144" i="10" s="1"/>
  <c r="AF187" i="43"/>
  <c r="AK187" i="43" s="1"/>
  <c r="X157" i="32"/>
  <c r="AA160" i="32"/>
  <c r="AF160" i="32" s="1"/>
  <c r="X160" i="32"/>
  <c r="X154" i="32"/>
  <c r="AF274" i="25"/>
  <c r="AK274" i="25" s="1"/>
  <c r="AA157" i="32"/>
  <c r="AF157" i="32" s="1"/>
  <c r="AA154" i="32"/>
  <c r="AF154" i="32" s="1"/>
  <c r="C4" i="10"/>
  <c r="X177" i="47"/>
  <c r="U168" i="47"/>
  <c r="X186" i="47"/>
  <c r="X256" i="46"/>
  <c r="AA259" i="46"/>
  <c r="AF259" i="46" s="1"/>
  <c r="R163" i="43"/>
  <c r="AA172" i="43"/>
  <c r="AF172" i="43" s="1"/>
  <c r="R172" i="43"/>
  <c r="U270" i="35"/>
  <c r="X267" i="35"/>
  <c r="X305" i="35"/>
  <c r="U320" i="35"/>
  <c r="R329" i="35" s="1"/>
  <c r="X314" i="35"/>
  <c r="AA374" i="35"/>
  <c r="AF374" i="35" s="1"/>
  <c r="AA365" i="35"/>
  <c r="AF365" i="35" s="1"/>
  <c r="O359" i="35"/>
  <c r="O362" i="35" s="1"/>
  <c r="O365" i="35" s="1"/>
  <c r="O368" i="35" s="1"/>
  <c r="O371" i="35" s="1"/>
  <c r="O374" i="35" s="1"/>
  <c r="O377" i="35" s="1"/>
  <c r="O380" i="35" s="1"/>
  <c r="O383" i="35" s="1"/>
  <c r="X247" i="25"/>
  <c r="O247" i="25"/>
  <c r="O250" i="25" s="1"/>
  <c r="O253" i="25" s="1"/>
  <c r="O256" i="25" s="1"/>
  <c r="O259" i="25" s="1"/>
  <c r="O262" i="25" s="1"/>
  <c r="O265" i="25" s="1"/>
  <c r="O268" i="25" s="1"/>
  <c r="O271" i="25" s="1"/>
  <c r="X262" i="25"/>
  <c r="U362" i="35"/>
  <c r="U166" i="43"/>
  <c r="O252" i="35"/>
  <c r="O255" i="35" s="1"/>
  <c r="O258" i="35" s="1"/>
  <c r="O261" i="35" s="1"/>
  <c r="O264" i="35" s="1"/>
  <c r="O267" i="35" s="1"/>
  <c r="O270" i="35" s="1"/>
  <c r="O273" i="35" s="1"/>
  <c r="O276" i="35" s="1"/>
  <c r="AF380" i="35"/>
  <c r="AK380" i="35" s="1"/>
  <c r="U250" i="25"/>
  <c r="R320" i="35"/>
  <c r="U329" i="35"/>
  <c r="R314" i="35"/>
  <c r="R374" i="35"/>
  <c r="R259" i="25"/>
  <c r="X271" i="25"/>
  <c r="X162" i="47"/>
  <c r="O162" i="47"/>
  <c r="O165" i="47" s="1"/>
  <c r="O168" i="47" s="1"/>
  <c r="O171" i="47" s="1"/>
  <c r="O174" i="47" s="1"/>
  <c r="O177" i="47" s="1"/>
  <c r="O180" i="47" s="1"/>
  <c r="O183" i="47" s="1"/>
  <c r="O186" i="47" s="1"/>
  <c r="U180" i="47"/>
  <c r="U265" i="46"/>
  <c r="R274" i="46" s="1"/>
  <c r="R250" i="46"/>
  <c r="X259" i="46"/>
  <c r="U163" i="43"/>
  <c r="AA166" i="43"/>
  <c r="AF166" i="43" s="1"/>
  <c r="R166" i="43"/>
  <c r="R264" i="35"/>
  <c r="X261" i="35"/>
  <c r="R255" i="35"/>
  <c r="X323" i="35"/>
  <c r="U317" i="35"/>
  <c r="R326" i="35" s="1"/>
  <c r="AA308" i="35"/>
  <c r="AF308" i="35" s="1"/>
  <c r="R362" i="35"/>
  <c r="X359" i="35"/>
  <c r="AF377" i="35"/>
  <c r="AK377" i="35" s="1"/>
  <c r="X268" i="25"/>
  <c r="X265" i="25"/>
  <c r="X259" i="25"/>
  <c r="R165" i="47"/>
  <c r="X180" i="47"/>
  <c r="AA258" i="35"/>
  <c r="AF258" i="35" s="1"/>
  <c r="AF271" i="25"/>
  <c r="AF184" i="43"/>
  <c r="AK184" i="43" s="1"/>
  <c r="U177" i="47"/>
  <c r="R186" i="47" s="1"/>
  <c r="X174" i="47"/>
  <c r="X171" i="47"/>
  <c r="AA250" i="46"/>
  <c r="AF250" i="46" s="1"/>
  <c r="U256" i="46"/>
  <c r="AA253" i="46"/>
  <c r="AF253" i="46" s="1"/>
  <c r="X184" i="43"/>
  <c r="U160" i="43"/>
  <c r="AA175" i="43"/>
  <c r="AF175" i="43" s="1"/>
  <c r="R258" i="35"/>
  <c r="AA255" i="35"/>
  <c r="AF255" i="35" s="1"/>
  <c r="X273" i="35"/>
  <c r="X329" i="35"/>
  <c r="U311" i="35"/>
  <c r="AF329" i="35"/>
  <c r="AK329" i="35" s="1"/>
  <c r="U359" i="35"/>
  <c r="AA371" i="35"/>
  <c r="AF371" i="35" s="1"/>
  <c r="X377" i="35"/>
  <c r="U256" i="25"/>
  <c r="AA250" i="25"/>
  <c r="AF250" i="25" s="1"/>
  <c r="AA259" i="25"/>
  <c r="AA265" i="46"/>
  <c r="AF265" i="46" s="1"/>
  <c r="X265" i="46"/>
  <c r="U323" i="35"/>
  <c r="X183" i="47"/>
  <c r="AF268" i="25"/>
  <c r="AF268" i="46"/>
  <c r="AK268" i="46" s="1"/>
  <c r="AA168" i="47"/>
  <c r="AF168" i="47" s="1"/>
  <c r="R168" i="47"/>
  <c r="X165" i="47"/>
  <c r="U262" i="46"/>
  <c r="R271" i="46" s="1"/>
  <c r="O250" i="46"/>
  <c r="O253" i="46" s="1"/>
  <c r="O256" i="46" s="1"/>
  <c r="O259" i="46" s="1"/>
  <c r="O262" i="46" s="1"/>
  <c r="O265" i="46" s="1"/>
  <c r="O268" i="46" s="1"/>
  <c r="O271" i="46" s="1"/>
  <c r="O274" i="46" s="1"/>
  <c r="AF274" i="46"/>
  <c r="AK274" i="46" s="1"/>
  <c r="U175" i="43"/>
  <c r="R184" i="43" s="1"/>
  <c r="U178" i="43"/>
  <c r="U169" i="43"/>
  <c r="R178" i="43" s="1"/>
  <c r="AF273" i="35"/>
  <c r="AK273" i="35" s="1"/>
  <c r="R261" i="35"/>
  <c r="X264" i="35"/>
  <c r="X326" i="35"/>
  <c r="O305" i="35"/>
  <c r="O308" i="35" s="1"/>
  <c r="O311" i="35" s="1"/>
  <c r="O314" i="35" s="1"/>
  <c r="O317" i="35" s="1"/>
  <c r="O320" i="35" s="1"/>
  <c r="O323" i="35" s="1"/>
  <c r="O326" i="35" s="1"/>
  <c r="O329" i="35" s="1"/>
  <c r="U314" i="35"/>
  <c r="R323" i="35" s="1"/>
  <c r="X362" i="35"/>
  <c r="AA368" i="35"/>
  <c r="AF368" i="35" s="1"/>
  <c r="U377" i="35"/>
  <c r="U247" i="25"/>
  <c r="R253" i="25"/>
  <c r="AA262" i="25"/>
  <c r="U186" i="47"/>
  <c r="U250" i="46"/>
  <c r="AA247" i="25"/>
  <c r="AF247" i="25" s="1"/>
  <c r="AA171" i="47"/>
  <c r="AF171" i="47" s="1"/>
  <c r="U276" i="35"/>
  <c r="U162" i="47"/>
  <c r="AA162" i="47"/>
  <c r="AF162" i="47" s="1"/>
  <c r="R171" i="47"/>
  <c r="R265" i="46"/>
  <c r="R262" i="46"/>
  <c r="U259" i="46"/>
  <c r="R268" i="46" s="1"/>
  <c r="AA160" i="43"/>
  <c r="AF160" i="43" s="1"/>
  <c r="X181" i="43"/>
  <c r="X178" i="43"/>
  <c r="X258" i="35"/>
  <c r="AA264" i="35"/>
  <c r="AF264" i="35" s="1"/>
  <c r="U264" i="35"/>
  <c r="R273" i="35" s="1"/>
  <c r="AA317" i="35"/>
  <c r="AF317" i="35" s="1"/>
  <c r="AA320" i="35"/>
  <c r="AF320" i="35" s="1"/>
  <c r="X308" i="35"/>
  <c r="U383" i="35"/>
  <c r="X371" i="35"/>
  <c r="X256" i="25"/>
  <c r="U259" i="25"/>
  <c r="U253" i="46"/>
  <c r="R256" i="25"/>
  <c r="U274" i="46"/>
  <c r="U252" i="35"/>
  <c r="R169" i="43"/>
  <c r="X262" i="46"/>
  <c r="AF183" i="47"/>
  <c r="AK183" i="47" s="1"/>
  <c r="U174" i="47"/>
  <c r="R183" i="47" s="1"/>
  <c r="AF186" i="47"/>
  <c r="AK186" i="47" s="1"/>
  <c r="X250" i="46"/>
  <c r="R256" i="46"/>
  <c r="X253" i="46"/>
  <c r="U184" i="43"/>
  <c r="X172" i="43"/>
  <c r="AA169" i="43"/>
  <c r="AF169" i="43" s="1"/>
  <c r="AF270" i="35"/>
  <c r="AK270" i="35" s="1"/>
  <c r="AF276" i="35"/>
  <c r="AK276" i="35" s="1"/>
  <c r="U267" i="35"/>
  <c r="R276" i="35" s="1"/>
  <c r="AA311" i="35"/>
  <c r="AF311" i="35" s="1"/>
  <c r="AF323" i="35"/>
  <c r="AK323" i="35" s="1"/>
  <c r="U308" i="35"/>
  <c r="X374" i="35"/>
  <c r="U365" i="35"/>
  <c r="U262" i="25"/>
  <c r="U265" i="25"/>
  <c r="AA256" i="46"/>
  <c r="AF256" i="46" s="1"/>
  <c r="U253" i="25"/>
  <c r="X169" i="43"/>
  <c r="U368" i="35"/>
  <c r="R377" i="35" s="1"/>
  <c r="R253" i="46"/>
  <c r="AA165" i="47"/>
  <c r="AF165" i="47" s="1"/>
  <c r="R365" i="35"/>
  <c r="R177" i="47"/>
  <c r="AF180" i="47"/>
  <c r="AK180" i="47" s="1"/>
  <c r="U171" i="47"/>
  <c r="R180" i="47" s="1"/>
  <c r="AF271" i="46"/>
  <c r="AK271" i="46" s="1"/>
  <c r="X268" i="46"/>
  <c r="X274" i="46"/>
  <c r="R175" i="43"/>
  <c r="X166" i="43"/>
  <c r="X163" i="43"/>
  <c r="X276" i="35"/>
  <c r="U261" i="35"/>
  <c r="R270" i="35" s="1"/>
  <c r="AA252" i="35"/>
  <c r="AF252" i="35" s="1"/>
  <c r="U305" i="35"/>
  <c r="R317" i="35"/>
  <c r="AA305" i="35"/>
  <c r="AF305" i="35" s="1"/>
  <c r="X365" i="35"/>
  <c r="R359" i="35"/>
  <c r="R250" i="25"/>
  <c r="X253" i="25"/>
  <c r="X168" i="47"/>
  <c r="R174" i="47"/>
  <c r="U165" i="47"/>
  <c r="AA262" i="46"/>
  <c r="AF262" i="46" s="1"/>
  <c r="U268" i="46"/>
  <c r="R259" i="46"/>
  <c r="X160" i="43"/>
  <c r="R160" i="43"/>
  <c r="U255" i="35"/>
  <c r="X255" i="35"/>
  <c r="R267" i="35"/>
  <c r="X320" i="35"/>
  <c r="R311" i="35"/>
  <c r="AF383" i="35"/>
  <c r="AK383" i="35" s="1"/>
  <c r="U374" i="35"/>
  <c r="R383" i="35" s="1"/>
  <c r="R371" i="35"/>
  <c r="U271" i="25"/>
  <c r="X250" i="25"/>
  <c r="AA256" i="25"/>
  <c r="R162" i="47"/>
  <c r="AF178" i="43"/>
  <c r="AK178" i="43" s="1"/>
  <c r="AA163" i="43"/>
  <c r="AF163" i="43" s="1"/>
  <c r="R252" i="35"/>
  <c r="AA267" i="35"/>
  <c r="AF267" i="35" s="1"/>
  <c r="X252" i="35"/>
  <c r="X317" i="35"/>
  <c r="R308" i="35"/>
  <c r="R368" i="35"/>
  <c r="AA359" i="35"/>
  <c r="AF359" i="35" s="1"/>
  <c r="X368" i="35"/>
  <c r="R262" i="25"/>
  <c r="AA177" i="47"/>
  <c r="AF177" i="47" s="1"/>
  <c r="U172" i="43"/>
  <c r="R181" i="43" s="1"/>
  <c r="X270" i="35"/>
  <c r="X311" i="35"/>
  <c r="X380" i="35"/>
  <c r="R247" i="25"/>
  <c r="X271" i="46"/>
  <c r="AA261" i="35"/>
  <c r="AF261" i="35" s="1"/>
  <c r="AF326" i="35"/>
  <c r="AK326" i="35" s="1"/>
  <c r="R305" i="35"/>
  <c r="AA314" i="35"/>
  <c r="AF314" i="35" s="1"/>
  <c r="AA362" i="35"/>
  <c r="AF362" i="35" s="1"/>
  <c r="U371" i="35"/>
  <c r="R380" i="35" s="1"/>
  <c r="AF265" i="25"/>
  <c r="AA174" i="47"/>
  <c r="AF174" i="47" s="1"/>
  <c r="X175" i="43"/>
  <c r="AF181" i="43"/>
  <c r="AK181" i="43" s="1"/>
  <c r="O160" i="43"/>
  <c r="O163" i="43" s="1"/>
  <c r="O166" i="43" s="1"/>
  <c r="O169" i="43" s="1"/>
  <c r="O172" i="43" s="1"/>
  <c r="O175" i="43" s="1"/>
  <c r="O178" i="43" s="1"/>
  <c r="O181" i="43" s="1"/>
  <c r="O184" i="43" s="1"/>
  <c r="U258" i="35"/>
  <c r="X383" i="35"/>
  <c r="AA253" i="25"/>
  <c r="U183" i="47"/>
  <c r="U380" i="35"/>
  <c r="U271" i="46"/>
  <c r="U326" i="35"/>
  <c r="U273" i="35"/>
  <c r="U166" i="32"/>
  <c r="U181" i="43"/>
  <c r="U268" i="25"/>
  <c r="X44" i="29"/>
  <c r="U44" i="29"/>
  <c r="AA44" i="29"/>
  <c r="AF44" i="29" s="1"/>
  <c r="R44" i="29"/>
  <c r="X195" i="26"/>
  <c r="AA195" i="26"/>
  <c r="AF195" i="26" s="1"/>
  <c r="U195" i="26"/>
  <c r="R195" i="26"/>
  <c r="AA147" i="37"/>
  <c r="AF147" i="37" s="1"/>
  <c r="R147" i="37"/>
  <c r="U147" i="37"/>
  <c r="X147" i="37"/>
  <c r="R90" i="27"/>
  <c r="AA90" i="27"/>
  <c r="AF90" i="27" s="1"/>
  <c r="X90" i="27"/>
  <c r="U90" i="27"/>
  <c r="X44" i="27"/>
  <c r="U44" i="27"/>
  <c r="AA44" i="27"/>
  <c r="AF44" i="27" s="1"/>
  <c r="R44" i="27"/>
  <c r="U43" i="37"/>
  <c r="R43" i="37"/>
  <c r="AA43" i="37"/>
  <c r="AF43" i="37" s="1"/>
  <c r="X43" i="37"/>
  <c r="U195" i="37"/>
  <c r="R195" i="37"/>
  <c r="AA195" i="37"/>
  <c r="AF195" i="37" s="1"/>
  <c r="X195" i="37"/>
  <c r="X356" i="31"/>
  <c r="AA356" i="31"/>
  <c r="AF356" i="31" s="1"/>
  <c r="U356" i="31"/>
  <c r="R356" i="31"/>
  <c r="X307" i="31"/>
  <c r="AA307" i="31"/>
  <c r="AF307" i="31" s="1"/>
  <c r="U307" i="31"/>
  <c r="R307" i="31"/>
  <c r="AA193" i="33"/>
  <c r="AF193" i="33" s="1"/>
  <c r="X193" i="33"/>
  <c r="U193" i="33"/>
  <c r="R193" i="33"/>
  <c r="AA409" i="31"/>
  <c r="AF409" i="31" s="1"/>
  <c r="X409" i="31"/>
  <c r="U409" i="31"/>
  <c r="R409" i="31"/>
  <c r="R44" i="33"/>
  <c r="AA44" i="33"/>
  <c r="AF44" i="33" s="1"/>
  <c r="X44" i="33"/>
  <c r="U44" i="33"/>
  <c r="U89" i="37"/>
  <c r="R89" i="37"/>
  <c r="AA89" i="37"/>
  <c r="AF89" i="37" s="1"/>
  <c r="X89" i="37"/>
  <c r="X515" i="31"/>
  <c r="U515" i="31"/>
  <c r="R515" i="31"/>
  <c r="AA515" i="31"/>
  <c r="AF515" i="31" s="1"/>
  <c r="AA165" i="29"/>
  <c r="AF165" i="29" s="1"/>
  <c r="X165" i="29"/>
  <c r="U165" i="29"/>
  <c r="R165" i="29"/>
  <c r="R45" i="30"/>
  <c r="AA45" i="30"/>
  <c r="AF45" i="30" s="1"/>
  <c r="X45" i="30"/>
  <c r="U45" i="30"/>
  <c r="X148" i="30"/>
  <c r="U148" i="30"/>
  <c r="R148" i="30"/>
  <c r="AA148" i="30"/>
  <c r="AF148" i="30" s="1"/>
  <c r="U249" i="31"/>
  <c r="R249" i="31"/>
  <c r="AA249" i="31"/>
  <c r="AF249" i="31" s="1"/>
  <c r="X249" i="31"/>
  <c r="R196" i="30"/>
  <c r="AA196" i="30"/>
  <c r="AF196" i="30" s="1"/>
  <c r="X196" i="30"/>
  <c r="U196" i="30"/>
  <c r="AA44" i="28"/>
  <c r="AF44" i="28" s="1"/>
  <c r="U44" i="28"/>
  <c r="X44" i="28"/>
  <c r="R44" i="28"/>
  <c r="R108" i="36"/>
  <c r="X108" i="36"/>
  <c r="AA108" i="36"/>
  <c r="AF108" i="36" s="1"/>
  <c r="U108" i="36"/>
  <c r="X44" i="32"/>
  <c r="U44" i="32"/>
  <c r="R44" i="32"/>
  <c r="AA44" i="32"/>
  <c r="AF44" i="32" s="1"/>
  <c r="AA44" i="36"/>
  <c r="AF44" i="36" s="1"/>
  <c r="X44" i="36"/>
  <c r="U44" i="36"/>
  <c r="R44" i="36"/>
  <c r="AA107" i="29"/>
  <c r="AF107" i="29" s="1"/>
  <c r="X107" i="29"/>
  <c r="R107" i="29"/>
  <c r="U107" i="29"/>
  <c r="R90" i="32"/>
  <c r="AA90" i="32"/>
  <c r="AF90" i="32" s="1"/>
  <c r="X90" i="32"/>
  <c r="U90" i="32"/>
  <c r="AA44" i="31"/>
  <c r="AF44" i="31" s="1"/>
  <c r="U44" i="31"/>
  <c r="X44" i="31"/>
  <c r="R44" i="31"/>
  <c r="AA43" i="26"/>
  <c r="AF43" i="26" s="1"/>
  <c r="X43" i="26"/>
  <c r="U43" i="26"/>
  <c r="R43" i="26"/>
  <c r="AA462" i="31"/>
  <c r="AF462" i="31" s="1"/>
  <c r="X462" i="31"/>
  <c r="U462" i="31"/>
  <c r="R462" i="31"/>
  <c r="X218" i="29"/>
  <c r="U218" i="29"/>
  <c r="R218" i="29"/>
  <c r="AA218" i="29"/>
  <c r="AF218" i="29" s="1"/>
  <c r="X90" i="31"/>
  <c r="AA90" i="31"/>
  <c r="AF90" i="31" s="1"/>
  <c r="U90" i="31"/>
  <c r="R90" i="31"/>
  <c r="AA196" i="31"/>
  <c r="AF196" i="31" s="1"/>
  <c r="X196" i="31"/>
  <c r="U196" i="31"/>
  <c r="R196" i="31"/>
  <c r="AA140" i="33"/>
  <c r="AF140" i="33" s="1"/>
  <c r="X140" i="33"/>
  <c r="U140" i="33"/>
  <c r="R140" i="33"/>
  <c r="X91" i="26"/>
  <c r="U91" i="26"/>
  <c r="R91" i="26"/>
  <c r="AA91" i="26"/>
  <c r="AF91" i="26" s="1"/>
  <c r="AA309" i="29"/>
  <c r="AF309" i="29" s="1"/>
  <c r="X309" i="29"/>
  <c r="U309" i="29"/>
  <c r="R309" i="29"/>
  <c r="AA258" i="29"/>
  <c r="AF258" i="29" s="1"/>
  <c r="R258" i="29"/>
  <c r="X258" i="29"/>
  <c r="U258" i="29"/>
  <c r="AA90" i="28"/>
  <c r="AF90" i="28" s="1"/>
  <c r="U90" i="28"/>
  <c r="X90" i="28"/>
  <c r="R90" i="28"/>
  <c r="X144" i="36"/>
  <c r="AA144" i="36"/>
  <c r="AF144" i="36" s="1"/>
  <c r="U144" i="36"/>
  <c r="R144" i="36"/>
  <c r="AA143" i="31"/>
  <c r="AF143" i="31" s="1"/>
  <c r="X143" i="31"/>
  <c r="U143" i="31"/>
  <c r="R143" i="31"/>
  <c r="AA90" i="30"/>
  <c r="AF90" i="30" s="1"/>
  <c r="X90" i="30"/>
  <c r="U90" i="30"/>
  <c r="R90" i="30"/>
  <c r="X43" i="63"/>
  <c r="AA43" i="63"/>
  <c r="AF43" i="63" s="1"/>
  <c r="A46" i="63"/>
  <c r="U43" i="63"/>
  <c r="R43" i="63"/>
  <c r="AA46" i="64"/>
  <c r="AF46" i="64" s="1"/>
  <c r="X46" i="64"/>
  <c r="U46" i="64"/>
  <c r="R46" i="64"/>
  <c r="AA43" i="64"/>
  <c r="AF43" i="64" s="1"/>
  <c r="X43" i="64"/>
  <c r="U43" i="64"/>
  <c r="R43" i="64"/>
  <c r="U110" i="47"/>
  <c r="R110" i="47"/>
  <c r="AA110" i="47"/>
  <c r="AF110" i="47" s="1"/>
  <c r="X110" i="47"/>
  <c r="AA43" i="47"/>
  <c r="AF43" i="47" s="1"/>
  <c r="X43" i="47"/>
  <c r="U43" i="47"/>
  <c r="R43" i="47"/>
  <c r="X44" i="46"/>
  <c r="AA44" i="46"/>
  <c r="AF44" i="46" s="1"/>
  <c r="U44" i="46"/>
  <c r="R44" i="46"/>
  <c r="X206" i="46"/>
  <c r="U206" i="46"/>
  <c r="R206" i="46"/>
  <c r="AA206" i="46"/>
  <c r="AF206" i="46" s="1"/>
  <c r="AA165" i="46"/>
  <c r="AF165" i="46" s="1"/>
  <c r="X165" i="46"/>
  <c r="U165" i="46"/>
  <c r="R165" i="46"/>
  <c r="AA107" i="46"/>
  <c r="AF107" i="46" s="1"/>
  <c r="X107" i="46"/>
  <c r="U107" i="46"/>
  <c r="R107" i="46"/>
  <c r="AA43" i="44"/>
  <c r="AF43" i="44" s="1"/>
  <c r="X43" i="44"/>
  <c r="U43" i="44"/>
  <c r="R43" i="44"/>
  <c r="AA92" i="44"/>
  <c r="AF92" i="44" s="1"/>
  <c r="X92" i="44"/>
  <c r="U92" i="44"/>
  <c r="R92" i="44"/>
  <c r="AA247" i="44"/>
  <c r="AF247" i="44" s="1"/>
  <c r="R247" i="44"/>
  <c r="X247" i="44"/>
  <c r="U247" i="44"/>
  <c r="R281" i="44"/>
  <c r="AA281" i="44"/>
  <c r="AF281" i="44" s="1"/>
  <c r="X281" i="44"/>
  <c r="U281" i="44"/>
  <c r="R204" i="44"/>
  <c r="U204" i="44"/>
  <c r="X204" i="44"/>
  <c r="AA204" i="44"/>
  <c r="AF204" i="44" s="1"/>
  <c r="AA147" i="44"/>
  <c r="AF147" i="44" s="1"/>
  <c r="X147" i="44"/>
  <c r="U147" i="44"/>
  <c r="R147" i="44"/>
  <c r="AA103" i="43"/>
  <c r="AF103" i="43" s="1"/>
  <c r="X103" i="43"/>
  <c r="U103" i="43"/>
  <c r="R103" i="43"/>
  <c r="AA43" i="43"/>
  <c r="AF43" i="43" s="1"/>
  <c r="X43" i="43"/>
  <c r="U43" i="43"/>
  <c r="R43" i="43"/>
  <c r="R672" i="41"/>
  <c r="U672" i="41"/>
  <c r="AA672" i="41"/>
  <c r="AF672" i="41" s="1"/>
  <c r="X672" i="41"/>
  <c r="R89" i="41"/>
  <c r="X89" i="41"/>
  <c r="U89" i="41"/>
  <c r="AA89" i="41"/>
  <c r="AF89" i="41" s="1"/>
  <c r="U306" i="41"/>
  <c r="R306" i="41"/>
  <c r="AA306" i="41"/>
  <c r="AF306" i="41" s="1"/>
  <c r="X306" i="41"/>
  <c r="R566" i="41"/>
  <c r="X566" i="41"/>
  <c r="AA566" i="41"/>
  <c r="AF566" i="41" s="1"/>
  <c r="U566" i="41"/>
  <c r="X43" i="41"/>
  <c r="R43" i="41"/>
  <c r="U43" i="41"/>
  <c r="AA43" i="41"/>
  <c r="AF43" i="41" s="1"/>
  <c r="U619" i="41"/>
  <c r="AA619" i="41"/>
  <c r="AF619" i="41" s="1"/>
  <c r="R619" i="41"/>
  <c r="X619" i="41"/>
  <c r="AA195" i="41"/>
  <c r="AF195" i="41" s="1"/>
  <c r="X195" i="41"/>
  <c r="U195" i="41"/>
  <c r="R195" i="41"/>
  <c r="R407" i="41"/>
  <c r="AA407" i="41"/>
  <c r="AF407" i="41" s="1"/>
  <c r="X407" i="41"/>
  <c r="U407" i="41"/>
  <c r="X518" i="41"/>
  <c r="R518" i="41"/>
  <c r="U518" i="41"/>
  <c r="AA518" i="41"/>
  <c r="AF518" i="41" s="1"/>
  <c r="AA248" i="41"/>
  <c r="AF248" i="41" s="1"/>
  <c r="U248" i="41"/>
  <c r="X248" i="41"/>
  <c r="R248" i="41"/>
  <c r="X460" i="41"/>
  <c r="AA460" i="41"/>
  <c r="AF460" i="41" s="1"/>
  <c r="U460" i="41"/>
  <c r="R460" i="41"/>
  <c r="AA142" i="41"/>
  <c r="AF142" i="41" s="1"/>
  <c r="X142" i="41"/>
  <c r="U142" i="41"/>
  <c r="R142" i="41"/>
  <c r="U354" i="41"/>
  <c r="R354" i="41"/>
  <c r="AA354" i="41"/>
  <c r="AF354" i="41" s="1"/>
  <c r="X354" i="41"/>
  <c r="X44" i="40"/>
  <c r="U44" i="40"/>
  <c r="R44" i="40"/>
  <c r="AA44" i="40"/>
  <c r="AF44" i="40" s="1"/>
  <c r="AA203" i="40"/>
  <c r="AF203" i="40" s="1"/>
  <c r="X203" i="40"/>
  <c r="U203" i="40"/>
  <c r="R203" i="40"/>
  <c r="R95" i="40"/>
  <c r="AA95" i="40"/>
  <c r="AF95" i="40" s="1"/>
  <c r="X95" i="40"/>
  <c r="U95" i="40"/>
  <c r="AA146" i="40"/>
  <c r="AF146" i="40" s="1"/>
  <c r="X146" i="40"/>
  <c r="U146" i="40"/>
  <c r="R146" i="40"/>
  <c r="X147" i="38"/>
  <c r="R147" i="38"/>
  <c r="U147" i="38"/>
  <c r="AA147" i="38"/>
  <c r="AF147" i="38" s="1"/>
  <c r="U89" i="38"/>
  <c r="AA89" i="38"/>
  <c r="AF89" i="38" s="1"/>
  <c r="R89" i="38"/>
  <c r="X89" i="38"/>
  <c r="AA195" i="38"/>
  <c r="AF195" i="38" s="1"/>
  <c r="X195" i="38"/>
  <c r="U195" i="38"/>
  <c r="R195" i="38"/>
  <c r="AA43" i="38"/>
  <c r="AF43" i="38" s="1"/>
  <c r="X43" i="38"/>
  <c r="U43" i="38"/>
  <c r="R43" i="38"/>
  <c r="X106" i="35"/>
  <c r="U106" i="35"/>
  <c r="AA106" i="35"/>
  <c r="AF106" i="35" s="1"/>
  <c r="R106" i="35"/>
  <c r="AA44" i="35"/>
  <c r="AF44" i="35" s="1"/>
  <c r="X44" i="35"/>
  <c r="U44" i="35"/>
  <c r="R44" i="35"/>
  <c r="U197" i="35"/>
  <c r="R197" i="35"/>
  <c r="AA197" i="35"/>
  <c r="AF197" i="35" s="1"/>
  <c r="X197" i="35"/>
  <c r="R144" i="35"/>
  <c r="X144" i="35"/>
  <c r="AA144" i="35"/>
  <c r="AF144" i="35" s="1"/>
  <c r="U144" i="35"/>
  <c r="X203" i="25"/>
  <c r="U203" i="25"/>
  <c r="R203" i="25"/>
  <c r="AA203" i="25"/>
  <c r="AF203" i="25" s="1"/>
  <c r="AA148" i="25"/>
  <c r="AF148" i="25" s="1"/>
  <c r="X148" i="25"/>
  <c r="U148" i="25"/>
  <c r="R148" i="25"/>
  <c r="R43" i="25"/>
  <c r="AA43" i="25"/>
  <c r="AF43" i="25" s="1"/>
  <c r="X43" i="25"/>
  <c r="U43" i="25"/>
  <c r="AA94" i="25"/>
  <c r="AF94" i="25" s="1"/>
  <c r="X94" i="25"/>
  <c r="U94" i="25"/>
  <c r="R94" i="25"/>
  <c r="AN16" i="10"/>
  <c r="AN151" i="10"/>
  <c r="X106" i="23"/>
  <c r="AA106" i="23"/>
  <c r="AF106" i="23" s="1"/>
  <c r="U106" i="23"/>
  <c r="R106" i="23"/>
  <c r="U44" i="23"/>
  <c r="R44" i="23"/>
  <c r="X44" i="23"/>
  <c r="X192" i="23"/>
  <c r="AA192" i="23"/>
  <c r="AF192" i="23" s="1"/>
  <c r="U192" i="23"/>
  <c r="R192" i="23"/>
  <c r="AA142" i="23"/>
  <c r="AF142" i="23" s="1"/>
  <c r="U142" i="23"/>
  <c r="R142" i="23"/>
  <c r="X142" i="23"/>
  <c r="O126" i="13"/>
  <c r="X122" i="28"/>
  <c r="AN171" i="10"/>
  <c r="AN176" i="10"/>
  <c r="AN173" i="10"/>
  <c r="AN174" i="10"/>
  <c r="AN172" i="10"/>
  <c r="AN175" i="10"/>
  <c r="S82" i="13"/>
  <c r="S92" i="52"/>
  <c r="S114" i="13"/>
  <c r="S124" i="52"/>
  <c r="S37" i="13"/>
  <c r="S47" i="52"/>
  <c r="S116" i="13"/>
  <c r="S126" i="52"/>
  <c r="Z45" i="52"/>
  <c r="AG45" i="52" s="1"/>
  <c r="AI45" i="52"/>
  <c r="S87" i="13"/>
  <c r="S97" i="52"/>
  <c r="S6" i="52"/>
  <c r="AN60" i="10"/>
  <c r="S51" i="10"/>
  <c r="R53" i="10"/>
  <c r="S79" i="13"/>
  <c r="S89" i="52"/>
  <c r="S25" i="52"/>
  <c r="S15" i="13"/>
  <c r="S49" i="13"/>
  <c r="S59" i="52"/>
  <c r="S36" i="13"/>
  <c r="S46" i="52"/>
  <c r="AN146" i="10"/>
  <c r="S12" i="52"/>
  <c r="S113" i="13"/>
  <c r="S123" i="52"/>
  <c r="S8" i="52"/>
  <c r="AN84" i="10"/>
  <c r="S9" i="52"/>
  <c r="AN85" i="10"/>
  <c r="S91" i="52"/>
  <c r="S81" i="13"/>
  <c r="S53" i="13"/>
  <c r="S63" i="52"/>
  <c r="S61" i="52"/>
  <c r="S51" i="13"/>
  <c r="S115" i="13"/>
  <c r="S125" i="52"/>
  <c r="S94" i="52"/>
  <c r="S84" i="13"/>
  <c r="AN123" i="10"/>
  <c r="S80" i="13"/>
  <c r="S90" i="52"/>
  <c r="AN118" i="10"/>
  <c r="S104" i="52"/>
  <c r="S94" i="13"/>
  <c r="AN138" i="10"/>
  <c r="S49" i="52"/>
  <c r="S39" i="13"/>
  <c r="W112" i="52"/>
  <c r="BP167" i="22"/>
  <c r="BY167" i="22" s="1"/>
  <c r="AN167" i="22"/>
  <c r="BA168" i="22"/>
  <c r="AT168" i="22" s="1"/>
  <c r="S10" i="52"/>
  <c r="AN128" i="10"/>
  <c r="S21" i="10"/>
  <c r="R22" i="10"/>
  <c r="S117" i="13"/>
  <c r="S127" i="52"/>
  <c r="S96" i="52"/>
  <c r="S86" i="13"/>
  <c r="S62" i="13"/>
  <c r="S72" i="52"/>
  <c r="S50" i="52"/>
  <c r="S40" i="13"/>
  <c r="S61" i="13"/>
  <c r="S71" i="52"/>
  <c r="S105" i="52"/>
  <c r="S95" i="13"/>
  <c r="S50" i="13"/>
  <c r="S60" i="52"/>
  <c r="S78" i="13"/>
  <c r="S88" i="52"/>
  <c r="S55" i="13"/>
  <c r="S65" i="52"/>
  <c r="S93" i="13"/>
  <c r="S103" i="52"/>
  <c r="AN135" i="10"/>
  <c r="S65" i="13"/>
  <c r="S75" i="52"/>
  <c r="AN95" i="10"/>
  <c r="R73" i="10"/>
  <c r="S76" i="52"/>
  <c r="S66" i="13"/>
  <c r="S54" i="13"/>
  <c r="S64" i="52"/>
  <c r="S109" i="52"/>
  <c r="AN145" i="10"/>
  <c r="S99" i="13"/>
  <c r="S93" i="52"/>
  <c r="S83" i="13"/>
  <c r="S87" i="52"/>
  <c r="S77" i="13"/>
  <c r="S108" i="52"/>
  <c r="AN143" i="10"/>
  <c r="S98" i="13"/>
  <c r="R9" i="10"/>
  <c r="S85" i="13"/>
  <c r="S95" i="52"/>
  <c r="S90" i="13"/>
  <c r="S100" i="52"/>
  <c r="AN130" i="10"/>
  <c r="S7" i="52"/>
  <c r="AN83" i="10"/>
  <c r="R14" i="10"/>
  <c r="S112" i="13"/>
  <c r="S122" i="52"/>
  <c r="AG86" i="10"/>
  <c r="AG152" i="10"/>
  <c r="AG62" i="10"/>
  <c r="AG63" i="10" s="1"/>
  <c r="AG64" i="10" s="1"/>
  <c r="AG65" i="10" s="1"/>
  <c r="AG108" i="10"/>
  <c r="AG109" i="10" s="1"/>
  <c r="AG155" i="10"/>
  <c r="AG156" i="10" s="1"/>
  <c r="AG157" i="10" s="1"/>
  <c r="AG66" i="10"/>
  <c r="AG67" i="10" s="1"/>
  <c r="AG68" i="10" s="1"/>
  <c r="AG78" i="10"/>
  <c r="AG79" i="10" s="1"/>
  <c r="AG80" i="10" s="1"/>
  <c r="AG81" i="10" s="1"/>
  <c r="AG82" i="10" s="1"/>
  <c r="AF122" i="28"/>
  <c r="AK122" i="28" s="1"/>
  <c r="AG166" i="10"/>
  <c r="AG167" i="10" s="1"/>
  <c r="AG162" i="10"/>
  <c r="AG163" i="10" s="1"/>
  <c r="AG164" i="10"/>
  <c r="AG165" i="10" s="1"/>
  <c r="R122" i="28"/>
  <c r="AW63" i="22"/>
  <c r="AX61" i="22"/>
  <c r="AX58" i="22"/>
  <c r="BI172" i="22" s="1"/>
  <c r="AX172" i="22" s="1"/>
  <c r="BV172" i="22" s="1"/>
  <c r="CE172" i="22" s="1"/>
  <c r="AX57" i="22"/>
  <c r="BI171" i="22" s="1"/>
  <c r="AX171" i="22" s="1"/>
  <c r="BV171" i="22" s="1"/>
  <c r="AN56" i="22"/>
  <c r="AN55" i="22"/>
  <c r="AU51" i="22"/>
  <c r="AN47" i="22"/>
  <c r="AN43" i="22"/>
  <c r="AU39" i="22"/>
  <c r="AN37" i="22"/>
  <c r="AX34" i="22"/>
  <c r="AX32" i="22"/>
  <c r="AN29" i="22"/>
  <c r="AW25" i="22"/>
  <c r="AW22" i="22"/>
  <c r="BU22" i="22" s="1"/>
  <c r="CD22" i="22" s="1"/>
  <c r="AU19" i="22"/>
  <c r="AU17" i="22"/>
  <c r="AN15" i="22"/>
  <c r="AV14" i="22"/>
  <c r="AN10" i="22"/>
  <c r="AV4" i="22"/>
  <c r="AV60" i="22"/>
  <c r="BE174" i="22" s="1"/>
  <c r="AV174" i="22" s="1"/>
  <c r="AU65" i="22"/>
  <c r="BC180" i="22" s="1"/>
  <c r="AV63" i="22"/>
  <c r="BE178" i="22" s="1"/>
  <c r="AW61" i="22"/>
  <c r="AW58" i="22"/>
  <c r="BG172" i="22" s="1"/>
  <c r="AW172" i="22" s="1"/>
  <c r="AW57" i="22"/>
  <c r="BG171" i="22" s="1"/>
  <c r="AW171" i="22" s="1"/>
  <c r="AN51" i="22"/>
  <c r="AX49" i="22"/>
  <c r="BI163" i="22" s="1"/>
  <c r="AX45" i="22"/>
  <c r="AN39" i="22"/>
  <c r="AW34" i="22"/>
  <c r="AX33" i="22"/>
  <c r="AW32" i="22"/>
  <c r="AX31" i="22"/>
  <c r="AV25" i="22"/>
  <c r="AX24" i="22"/>
  <c r="AV22" i="22"/>
  <c r="BT22" i="22" s="1"/>
  <c r="CC22" i="22" s="1"/>
  <c r="AN21" i="22"/>
  <c r="AN19" i="22"/>
  <c r="AU14" i="22"/>
  <c r="AX7" i="22"/>
  <c r="BI76" i="22" s="1"/>
  <c r="AN63" i="22"/>
  <c r="AT63" i="22" s="1"/>
  <c r="AU62" i="22"/>
  <c r="BC177" i="22" s="1"/>
  <c r="AW56" i="22"/>
  <c r="AW55" i="22"/>
  <c r="AX51" i="22"/>
  <c r="BV51" i="22" s="1"/>
  <c r="CE51" i="22" s="1"/>
  <c r="AW47" i="22"/>
  <c r="AW43" i="22"/>
  <c r="BU43" i="22" s="1"/>
  <c r="AN42" i="22"/>
  <c r="AX39" i="22"/>
  <c r="AV38" i="22"/>
  <c r="AW37" i="22"/>
  <c r="AW29" i="22"/>
  <c r="BU29" i="22" s="1"/>
  <c r="AU28" i="22"/>
  <c r="BS28" i="22" s="1"/>
  <c r="AW21" i="22"/>
  <c r="AV20" i="22"/>
  <c r="AX19" i="22"/>
  <c r="AU18" i="22"/>
  <c r="AX17" i="22"/>
  <c r="AU16" i="22"/>
  <c r="AU15" i="22"/>
  <c r="AU12" i="22"/>
  <c r="AN11" i="22"/>
  <c r="AT11" i="22" s="1"/>
  <c r="AV10" i="22"/>
  <c r="AN9" i="22"/>
  <c r="AN8" i="22"/>
  <c r="AN5" i="22"/>
  <c r="AX68" i="22"/>
  <c r="AN65" i="22"/>
  <c r="AT65" i="22" s="1"/>
  <c r="AU63" i="22"/>
  <c r="BC178" i="22" s="1"/>
  <c r="AV61" i="22"/>
  <c r="AV58" i="22"/>
  <c r="BE172" i="22" s="1"/>
  <c r="AV172" i="22" s="1"/>
  <c r="AV57" i="22"/>
  <c r="BE171" i="22" s="1"/>
  <c r="AV171" i="22" s="1"/>
  <c r="AX54" i="22"/>
  <c r="BV54" i="22" s="1"/>
  <c r="CE54" i="22" s="1"/>
  <c r="AX53" i="22"/>
  <c r="AW49" i="22"/>
  <c r="BG163" i="22" s="1"/>
  <c r="AX48" i="22"/>
  <c r="AW45" i="22"/>
  <c r="AX44" i="22"/>
  <c r="BI155" i="22" s="1"/>
  <c r="AX41" i="22"/>
  <c r="AX36" i="22"/>
  <c r="BI139" i="22" s="1"/>
  <c r="AV34" i="22"/>
  <c r="AW33" i="22"/>
  <c r="BG132" i="22" s="1"/>
  <c r="AV32" i="22"/>
  <c r="AW31" i="22"/>
  <c r="AX30" i="22"/>
  <c r="AX27" i="22"/>
  <c r="BV27" i="22" s="1"/>
  <c r="CE27" i="22" s="1"/>
  <c r="AX26" i="22"/>
  <c r="AU25" i="22"/>
  <c r="AW24" i="22"/>
  <c r="AU22" i="22"/>
  <c r="AW7" i="22"/>
  <c r="BG76" i="22" s="1"/>
  <c r="AX6" i="22"/>
  <c r="AX66" i="22"/>
  <c r="AU61" i="22"/>
  <c r="AU58" i="22"/>
  <c r="BC172" i="22" s="1"/>
  <c r="AU172" i="22" s="1"/>
  <c r="AU57" i="22"/>
  <c r="BC171" i="22" s="1"/>
  <c r="AU171" i="22" s="1"/>
  <c r="AW54" i="22"/>
  <c r="BU54" i="22" s="1"/>
  <c r="CD54" i="22" s="1"/>
  <c r="AW53" i="22"/>
  <c r="AX52" i="22"/>
  <c r="BI165" i="22" s="1"/>
  <c r="AV49" i="22"/>
  <c r="BE163" i="22" s="1"/>
  <c r="AW48" i="22"/>
  <c r="AV45" i="22"/>
  <c r="BE156" i="22" s="1"/>
  <c r="AW44" i="22"/>
  <c r="BG155" i="22" s="1"/>
  <c r="AW41" i="22"/>
  <c r="AX40" i="22"/>
  <c r="BI153" i="22" s="1"/>
  <c r="AW36" i="22"/>
  <c r="BG139" i="22" s="1"/>
  <c r="AX35" i="22"/>
  <c r="AU34" i="22"/>
  <c r="AV33" i="22"/>
  <c r="AU32" i="22"/>
  <c r="AV31" i="22"/>
  <c r="AW30" i="22"/>
  <c r="AW27" i="22"/>
  <c r="BU27" i="22" s="1"/>
  <c r="CD27" i="22" s="1"/>
  <c r="AW26" i="22"/>
  <c r="AN25" i="22"/>
  <c r="AT25" i="22" s="1"/>
  <c r="AV24" i="22"/>
  <c r="AX23" i="22"/>
  <c r="AN22" i="22"/>
  <c r="AX13" i="22"/>
  <c r="AX11" i="22"/>
  <c r="AX9" i="22"/>
  <c r="BV9" i="22" s="1"/>
  <c r="AV7" i="22"/>
  <c r="BE76" i="22" s="1"/>
  <c r="AW6" i="22"/>
  <c r="AN4" i="22"/>
  <c r="AW67" i="22"/>
  <c r="AW68" i="22"/>
  <c r="AV68" i="22"/>
  <c r="AW66" i="22"/>
  <c r="AX64" i="22"/>
  <c r="AN61" i="22"/>
  <c r="AX59" i="22"/>
  <c r="BI173" i="22" s="1"/>
  <c r="AX173" i="22" s="1"/>
  <c r="BV173" i="22" s="1"/>
  <c r="AN58" i="22"/>
  <c r="AN57" i="22"/>
  <c r="AV54" i="22"/>
  <c r="AV53" i="22"/>
  <c r="AW52" i="22"/>
  <c r="BG165" i="22" s="1"/>
  <c r="AX50" i="22"/>
  <c r="AU49" i="22"/>
  <c r="BC163" i="22" s="1"/>
  <c r="AV48" i="22"/>
  <c r="AX46" i="22"/>
  <c r="BI158" i="22" s="1"/>
  <c r="AU45" i="22"/>
  <c r="BC156" i="22" s="1"/>
  <c r="AV44" i="22"/>
  <c r="BE155" i="22" s="1"/>
  <c r="AV41" i="22"/>
  <c r="AW40" i="22"/>
  <c r="BG153" i="22" s="1"/>
  <c r="AV36" i="22"/>
  <c r="BE139" i="22" s="1"/>
  <c r="AW35" i="22"/>
  <c r="AN34" i="22"/>
  <c r="AU33" i="22"/>
  <c r="AU31" i="22"/>
  <c r="AV30" i="22"/>
  <c r="AV27" i="22"/>
  <c r="BT27" i="22" s="1"/>
  <c r="CC27" i="22" s="1"/>
  <c r="AV26" i="22"/>
  <c r="AU24" i="22"/>
  <c r="AW23" i="22"/>
  <c r="AW13" i="22"/>
  <c r="AW11" i="22"/>
  <c r="AW9" i="22"/>
  <c r="BU9" i="22" s="1"/>
  <c r="AX8" i="22"/>
  <c r="BV8" i="22" s="1"/>
  <c r="CE8" i="22" s="1"/>
  <c r="AU7" i="22"/>
  <c r="BC76" i="22" s="1"/>
  <c r="AV6" i="22"/>
  <c r="AU68" i="22"/>
  <c r="AV66" i="22"/>
  <c r="BE181" i="22" s="1"/>
  <c r="AW64" i="22"/>
  <c r="AW59" i="22"/>
  <c r="BG173" i="22" s="1"/>
  <c r="AW173" i="22" s="1"/>
  <c r="AU54" i="22"/>
  <c r="AU53" i="22"/>
  <c r="AV52" i="22"/>
  <c r="BE165" i="22" s="1"/>
  <c r="AW50" i="22"/>
  <c r="AN49" i="22"/>
  <c r="AU48" i="22"/>
  <c r="AW46" i="22"/>
  <c r="BG158" i="22" s="1"/>
  <c r="AN45" i="22"/>
  <c r="AU44" i="22"/>
  <c r="BC155" i="22" s="1"/>
  <c r="AX42" i="22"/>
  <c r="BV42" i="22" s="1"/>
  <c r="CE42" i="22" s="1"/>
  <c r="AU41" i="22"/>
  <c r="AV40" i="22"/>
  <c r="BE153" i="22" s="1"/>
  <c r="AU36" i="22"/>
  <c r="BC139" i="22" s="1"/>
  <c r="AV35" i="22"/>
  <c r="AN33" i="22"/>
  <c r="AN31" i="22"/>
  <c r="AU30" i="22"/>
  <c r="AU27" i="22"/>
  <c r="BS27" i="22" s="1"/>
  <c r="CB27" i="22" s="1"/>
  <c r="AU26" i="22"/>
  <c r="AN24" i="22"/>
  <c r="AV23" i="22"/>
  <c r="AV13" i="22"/>
  <c r="AV11" i="22"/>
  <c r="AV9" i="22"/>
  <c r="BT9" i="22" s="1"/>
  <c r="AW8" i="22"/>
  <c r="BU8" i="22" s="1"/>
  <c r="CD8" i="22" s="1"/>
  <c r="AU6" i="22"/>
  <c r="AX5" i="22"/>
  <c r="BI73" i="22" s="1"/>
  <c r="AN53" i="22"/>
  <c r="AU13" i="22"/>
  <c r="AX12" i="22"/>
  <c r="AU11" i="22"/>
  <c r="AU9" i="22"/>
  <c r="BS9" i="22" s="1"/>
  <c r="AV8" i="22"/>
  <c r="BT8" i="22" s="1"/>
  <c r="CC8" i="22" s="1"/>
  <c r="AN7" i="22"/>
  <c r="AW5" i="22"/>
  <c r="BG73" i="22" s="1"/>
  <c r="AN40" i="22"/>
  <c r="AN68" i="22"/>
  <c r="AU66" i="22"/>
  <c r="BC181" i="22" s="1"/>
  <c r="AV64" i="22"/>
  <c r="BE179" i="22" s="1"/>
  <c r="AX62" i="22"/>
  <c r="AV59" i="22"/>
  <c r="BE173" i="22" s="1"/>
  <c r="AV173" i="22" s="1"/>
  <c r="AN54" i="22"/>
  <c r="BP54" i="22" s="1"/>
  <c r="BY54" i="22" s="1"/>
  <c r="AU52" i="22"/>
  <c r="BC165" i="22" s="1"/>
  <c r="AV50" i="22"/>
  <c r="AN48" i="22"/>
  <c r="AV46" i="22"/>
  <c r="BE158" i="22" s="1"/>
  <c r="AN44" i="22"/>
  <c r="AW42" i="22"/>
  <c r="BU42" i="22" s="1"/>
  <c r="CD42" i="22" s="1"/>
  <c r="AN41" i="22"/>
  <c r="AU40" i="22"/>
  <c r="BC153" i="22" s="1"/>
  <c r="AN36" i="22"/>
  <c r="AU35" i="22"/>
  <c r="AN30" i="22"/>
  <c r="AX28" i="22"/>
  <c r="BV28" i="22" s="1"/>
  <c r="AN27" i="22"/>
  <c r="AN26" i="22"/>
  <c r="AU23" i="22"/>
  <c r="AX18" i="22"/>
  <c r="AX16" i="22"/>
  <c r="BI90" i="22" s="1"/>
  <c r="AX15" i="22"/>
  <c r="AN66" i="22"/>
  <c r="AT66" i="22" s="1"/>
  <c r="AU64" i="22"/>
  <c r="BC179" i="22" s="1"/>
  <c r="AW62" i="22"/>
  <c r="AX60" i="22"/>
  <c r="BI174" i="22" s="1"/>
  <c r="AX174" i="22" s="1"/>
  <c r="BV174" i="22" s="1"/>
  <c r="AU59" i="22"/>
  <c r="BC173" i="22" s="1"/>
  <c r="AU173" i="22" s="1"/>
  <c r="AN52" i="22"/>
  <c r="AU50" i="22"/>
  <c r="AU46" i="22"/>
  <c r="BC158" i="22" s="1"/>
  <c r="AV42" i="22"/>
  <c r="AX38" i="22"/>
  <c r="AN35" i="22"/>
  <c r="AW28" i="22"/>
  <c r="BU28" i="22" s="1"/>
  <c r="AN23" i="22"/>
  <c r="AX20" i="22"/>
  <c r="AW18" i="22"/>
  <c r="AW16" i="22"/>
  <c r="AW15" i="22"/>
  <c r="AW12" i="22"/>
  <c r="AX10" i="22"/>
  <c r="AU8" i="22"/>
  <c r="BS8" i="22" s="1"/>
  <c r="CB8" i="22" s="1"/>
  <c r="AN6" i="22"/>
  <c r="AV5" i="22"/>
  <c r="BE73" i="22" s="1"/>
  <c r="AX67" i="22"/>
  <c r="AN64" i="22"/>
  <c r="AT64" i="22" s="1"/>
  <c r="AV62" i="22"/>
  <c r="BE177" i="22" s="1"/>
  <c r="AW60" i="22"/>
  <c r="BG174" i="22" s="1"/>
  <c r="AW174" i="22" s="1"/>
  <c r="BU174" i="22" s="1"/>
  <c r="AX56" i="22"/>
  <c r="AX55" i="22"/>
  <c r="AN50" i="22"/>
  <c r="AX47" i="22"/>
  <c r="AN46" i="22"/>
  <c r="AX43" i="22"/>
  <c r="BV43" i="22" s="1"/>
  <c r="AU42" i="22"/>
  <c r="AW38" i="22"/>
  <c r="AX37" i="22"/>
  <c r="AX29" i="22"/>
  <c r="BV29" i="22" s="1"/>
  <c r="AV28" i="22"/>
  <c r="BT28" i="22" s="1"/>
  <c r="AX21" i="22"/>
  <c r="AW20" i="22"/>
  <c r="AV18" i="22"/>
  <c r="AV16" i="22"/>
  <c r="BE90" i="22" s="1"/>
  <c r="AV15" i="22"/>
  <c r="AN13" i="22"/>
  <c r="AV12" i="22"/>
  <c r="AW10" i="22"/>
  <c r="AU5" i="22"/>
  <c r="AV67" i="22"/>
  <c r="BE182" i="22" s="1"/>
  <c r="AX65" i="22"/>
  <c r="AN62" i="22"/>
  <c r="AT62" i="22" s="1"/>
  <c r="AU60" i="22"/>
  <c r="BC174" i="22" s="1"/>
  <c r="AU174" i="22" s="1"/>
  <c r="AV56" i="22"/>
  <c r="AV55" i="22"/>
  <c r="AW51" i="22"/>
  <c r="BU51" i="22" s="1"/>
  <c r="CD51" i="22" s="1"/>
  <c r="AV47" i="22"/>
  <c r="AV43" i="22"/>
  <c r="AW39" i="22"/>
  <c r="AU38" i="22"/>
  <c r="AV37" i="22"/>
  <c r="AV29" i="22"/>
  <c r="AN28" i="22"/>
  <c r="AV21" i="22"/>
  <c r="AU20" i="22"/>
  <c r="AW19" i="22"/>
  <c r="AN18" i="22"/>
  <c r="AW17" i="22"/>
  <c r="AX14" i="22"/>
  <c r="AN12" i="22"/>
  <c r="AU10" i="22"/>
  <c r="AX4" i="22"/>
  <c r="AU67" i="22"/>
  <c r="BC182" i="22" s="1"/>
  <c r="AV65" i="22"/>
  <c r="BE180" i="22" s="1"/>
  <c r="AW65" i="22"/>
  <c r="AX63" i="22"/>
  <c r="AN60" i="22"/>
  <c r="AU56" i="22"/>
  <c r="AU55" i="22"/>
  <c r="AV51" i="22"/>
  <c r="AU47" i="22"/>
  <c r="AU43" i="22"/>
  <c r="AV39" i="22"/>
  <c r="AN38" i="22"/>
  <c r="AU37" i="22"/>
  <c r="AU29" i="22"/>
  <c r="AX25" i="22"/>
  <c r="AX22" i="22"/>
  <c r="BV22" i="22" s="1"/>
  <c r="CE22" i="22" s="1"/>
  <c r="AU21" i="22"/>
  <c r="AN20" i="22"/>
  <c r="AT20" i="22" s="1"/>
  <c r="AV19" i="22"/>
  <c r="AV17" i="22"/>
  <c r="AW14" i="22"/>
  <c r="AW4" i="22"/>
  <c r="AN67" i="22"/>
  <c r="AT67" i="22" s="1"/>
  <c r="R122" i="27"/>
  <c r="A67" i="62"/>
  <c r="AF64" i="62"/>
  <c r="AK64" i="62" s="1"/>
  <c r="X64" i="62"/>
  <c r="A49" i="64"/>
  <c r="U61" i="62"/>
  <c r="R61" i="62"/>
  <c r="X61" i="62"/>
  <c r="AF61" i="62"/>
  <c r="AK61" i="62" s="1"/>
  <c r="H135" i="44"/>
  <c r="P79" i="7"/>
  <c r="A150" i="44"/>
  <c r="AA10" i="52"/>
  <c r="K159" i="7"/>
  <c r="I158" i="10" s="1"/>
  <c r="K165" i="7"/>
  <c r="I164" i="10" s="1"/>
  <c r="K163" i="7"/>
  <c r="I162" i="10" s="1"/>
  <c r="K167" i="7"/>
  <c r="I166" i="10" s="1"/>
  <c r="P167" i="7"/>
  <c r="N166" i="10" s="1"/>
  <c r="K161" i="7"/>
  <c r="I160" i="10" s="1"/>
  <c r="P159" i="7"/>
  <c r="N158" i="10" s="1"/>
  <c r="P165" i="7"/>
  <c r="N164" i="10" s="1"/>
  <c r="K30" i="8"/>
  <c r="O125" i="13" s="1"/>
  <c r="U122" i="27"/>
  <c r="AJ187" i="8"/>
  <c r="AJ188" i="8" s="1"/>
  <c r="AJ189" i="8" s="1"/>
  <c r="AJ190" i="8" s="1"/>
  <c r="AJ191" i="8" s="1"/>
  <c r="Z31" i="8"/>
  <c r="F31" i="8"/>
  <c r="L31" i="8" s="1"/>
  <c r="D31" i="8"/>
  <c r="H120" i="13" s="1"/>
  <c r="Y31" i="8"/>
  <c r="H31" i="8"/>
  <c r="M31" i="8" s="1"/>
  <c r="AA31" i="8"/>
  <c r="B31" i="8"/>
  <c r="J31" i="8" s="1"/>
  <c r="O6" i="7" s="1"/>
  <c r="X31" i="8"/>
  <c r="A359" i="31"/>
  <c r="A47" i="33"/>
  <c r="A111" i="36"/>
  <c r="A147" i="36"/>
  <c r="A145" i="41"/>
  <c r="A410" i="41"/>
  <c r="A168" i="29"/>
  <c r="A199" i="31"/>
  <c r="A284" i="44"/>
  <c r="A92" i="37"/>
  <c r="A47" i="46"/>
  <c r="A198" i="37"/>
  <c r="A113" i="47"/>
  <c r="A252" i="31"/>
  <c r="A46" i="26"/>
  <c r="A310" i="31"/>
  <c r="A149" i="40"/>
  <c r="A151" i="32"/>
  <c r="A109" i="35"/>
  <c r="A168" i="47"/>
  <c r="A675" i="41"/>
  <c r="A463" i="41"/>
  <c r="A518" i="31"/>
  <c r="A207" i="44"/>
  <c r="A92" i="38"/>
  <c r="A93" i="32"/>
  <c r="A110" i="29"/>
  <c r="A93" i="30"/>
  <c r="A253" i="25"/>
  <c r="A151" i="25"/>
  <c r="A147" i="35"/>
  <c r="A46" i="47"/>
  <c r="A47" i="40"/>
  <c r="A195" i="23"/>
  <c r="A97" i="25"/>
  <c r="A48" i="30"/>
  <c r="A251" i="41"/>
  <c r="A46" i="41"/>
  <c r="A200" i="35"/>
  <c r="A46" i="44"/>
  <c r="A168" i="46"/>
  <c r="A151" i="30"/>
  <c r="A150" i="37"/>
  <c r="A47" i="35"/>
  <c r="A93" i="28"/>
  <c r="A92" i="41"/>
  <c r="A198" i="26"/>
  <c r="A109" i="23"/>
  <c r="A47" i="32"/>
  <c r="A95" i="44"/>
  <c r="A46" i="43"/>
  <c r="A622" i="41"/>
  <c r="A46" i="38"/>
  <c r="A196" i="33"/>
  <c r="A412" i="31"/>
  <c r="A206" i="25"/>
  <c r="A47" i="27"/>
  <c r="A206" i="40"/>
  <c r="A261" i="29"/>
  <c r="A92" i="50"/>
  <c r="A465" i="31"/>
  <c r="A94" i="26"/>
  <c r="A46" i="50"/>
  <c r="A250" i="44"/>
  <c r="A221" i="29"/>
  <c r="A93" i="27"/>
  <c r="A258" i="35"/>
  <c r="A166" i="43"/>
  <c r="A150" i="38"/>
  <c r="A98" i="40"/>
  <c r="A521" i="41"/>
  <c r="A198" i="41"/>
  <c r="A256" i="46"/>
  <c r="A309" i="41"/>
  <c r="A110" i="46"/>
  <c r="A365" i="35"/>
  <c r="A145" i="50"/>
  <c r="R142" i="50"/>
  <c r="U142" i="50"/>
  <c r="A312" i="29"/>
  <c r="A143" i="33"/>
  <c r="A145" i="23"/>
  <c r="A146" i="31"/>
  <c r="A198" i="38"/>
  <c r="K69" i="7"/>
  <c r="I68" i="10" s="1"/>
  <c r="R68" i="10" s="1"/>
  <c r="K68" i="7"/>
  <c r="I67" i="10" s="1"/>
  <c r="S66" i="10" s="1"/>
  <c r="K67" i="7"/>
  <c r="I66" i="10" s="1"/>
  <c r="R66" i="10" s="1"/>
  <c r="P68" i="7"/>
  <c r="A47" i="28"/>
  <c r="A93" i="31"/>
  <c r="A47" i="31"/>
  <c r="A47" i="36"/>
  <c r="A46" i="37"/>
  <c r="A569" i="41"/>
  <c r="A209" i="46"/>
  <c r="A106" i="43"/>
  <c r="A46" i="25"/>
  <c r="A311" i="35"/>
  <c r="AA44" i="23"/>
  <c r="AF44" i="23" s="1"/>
  <c r="A47" i="23"/>
  <c r="A47" i="29"/>
  <c r="A357" i="41"/>
  <c r="A199" i="30"/>
  <c r="H31" i="50"/>
  <c r="H130" i="50"/>
  <c r="H295" i="31"/>
  <c r="H32" i="28"/>
  <c r="H31" i="25"/>
  <c r="H153" i="29"/>
  <c r="H135" i="38"/>
  <c r="H296" i="35"/>
  <c r="H192" i="25"/>
  <c r="H98" i="47"/>
  <c r="H32" i="36"/>
  <c r="H32" i="46"/>
  <c r="H243" i="35"/>
  <c r="H136" i="32"/>
  <c r="H91" i="43"/>
  <c r="H32" i="32"/>
  <c r="H506" i="41"/>
  <c r="H32" i="35"/>
  <c r="H31" i="44"/>
  <c r="H194" i="46"/>
  <c r="H31" i="43"/>
  <c r="H295" i="34"/>
  <c r="H31" i="26"/>
  <c r="H154" i="47"/>
  <c r="H153" i="46"/>
  <c r="H31" i="47"/>
  <c r="H239" i="25"/>
  <c r="H234" i="44"/>
  <c r="H192" i="40"/>
  <c r="H350" i="35"/>
  <c r="H32" i="31"/>
  <c r="H241" i="46"/>
  <c r="H81" i="44"/>
  <c r="H192" i="44"/>
  <c r="H32" i="34"/>
  <c r="H31" i="38"/>
  <c r="H31" i="37"/>
  <c r="H32" i="27"/>
  <c r="H82" i="25"/>
  <c r="H32" i="40"/>
  <c r="H152" i="43"/>
  <c r="H31" i="41"/>
  <c r="H294" i="41"/>
  <c r="H32" i="23"/>
  <c r="K12" i="18"/>
  <c r="AN1" i="5"/>
  <c r="AO1" i="5" s="1"/>
  <c r="AP1" i="5" s="1"/>
  <c r="AQ1" i="5" s="1"/>
  <c r="AR1" i="5" s="1"/>
  <c r="AS1" i="5" s="1"/>
  <c r="AT1" i="5" s="1"/>
  <c r="AU1" i="5" s="1"/>
  <c r="B13" i="18"/>
  <c r="P110" i="7"/>
  <c r="K64" i="7"/>
  <c r="I63" i="10" s="1"/>
  <c r="P87" i="7"/>
  <c r="K58" i="7"/>
  <c r="I57" i="10" s="1"/>
  <c r="R57" i="10" s="1"/>
  <c r="K156" i="7"/>
  <c r="I155" i="10" s="1"/>
  <c r="K154" i="7"/>
  <c r="K80" i="7"/>
  <c r="I79" i="10" s="1"/>
  <c r="R79" i="10" s="1"/>
  <c r="P29" i="7"/>
  <c r="K65" i="7"/>
  <c r="I64" i="10" s="1"/>
  <c r="R64" i="10" s="1"/>
  <c r="P59" i="7"/>
  <c r="K157" i="7"/>
  <c r="I156" i="10" s="1"/>
  <c r="R156" i="10" s="1"/>
  <c r="K109" i="7"/>
  <c r="I108" i="10" s="1"/>
  <c r="K79" i="7"/>
  <c r="I78" i="10" s="1"/>
  <c r="S79" i="10" s="1"/>
  <c r="W67" i="70" s="1"/>
  <c r="K82" i="7"/>
  <c r="I81" i="10" s="1"/>
  <c r="R81" i="10" s="1"/>
  <c r="K62" i="7"/>
  <c r="I61" i="10" s="1"/>
  <c r="K31" i="7"/>
  <c r="I30" i="10" s="1"/>
  <c r="S31" i="10" s="1"/>
  <c r="W191" i="70" s="1"/>
  <c r="K153" i="7"/>
  <c r="K110" i="7"/>
  <c r="I109" i="10" s="1"/>
  <c r="P48" i="7"/>
  <c r="K81" i="7"/>
  <c r="I80" i="10" s="1"/>
  <c r="R80" i="10" s="1"/>
  <c r="K87" i="7"/>
  <c r="I86" i="10" s="1"/>
  <c r="S87" i="10" s="1"/>
  <c r="W13" i="70" s="1"/>
  <c r="K32" i="7"/>
  <c r="I31" i="10" s="1"/>
  <c r="S30" i="10" s="1"/>
  <c r="K35" i="7"/>
  <c r="I34" i="10" s="1"/>
  <c r="R34" i="10" s="1"/>
  <c r="K59" i="7"/>
  <c r="I58" i="10" s="1"/>
  <c r="S57" i="10" s="1"/>
  <c r="A8" i="10"/>
  <c r="L1" i="7"/>
  <c r="B1" i="1"/>
  <c r="F102" i="13" l="1"/>
  <c r="R40" i="50" s="1"/>
  <c r="AB167" i="22"/>
  <c r="I152" i="10"/>
  <c r="S153" i="10" s="1"/>
  <c r="P153" i="7"/>
  <c r="U153" i="7" s="1"/>
  <c r="I153" i="10"/>
  <c r="S152" i="10" s="1"/>
  <c r="W247" i="70" s="1"/>
  <c r="P154" i="7"/>
  <c r="BI177" i="22"/>
  <c r="AX177" i="22" s="1"/>
  <c r="BV177" i="22" s="1"/>
  <c r="BI181" i="22"/>
  <c r="AX181" i="22" s="1"/>
  <c r="BV181" i="22" s="1"/>
  <c r="BI180" i="22"/>
  <c r="AX180" i="22" s="1"/>
  <c r="BV180" i="22" s="1"/>
  <c r="BI183" i="22"/>
  <c r="AX183" i="22" s="1"/>
  <c r="BV183" i="22" s="1"/>
  <c r="CE183" i="22" s="1"/>
  <c r="BI178" i="22"/>
  <c r="AX178" i="22" s="1"/>
  <c r="BV178" i="22" s="1"/>
  <c r="BI179" i="22"/>
  <c r="AX179" i="22" s="1"/>
  <c r="BV179" i="22" s="1"/>
  <c r="BI182" i="22"/>
  <c r="AX182" i="22" s="1"/>
  <c r="BV182" i="22" s="1"/>
  <c r="BE183" i="22"/>
  <c r="AV183" i="22" s="1"/>
  <c r="BC183" i="22"/>
  <c r="AU183" i="22" s="1"/>
  <c r="BG177" i="22"/>
  <c r="AW177" i="22" s="1"/>
  <c r="BG178" i="22"/>
  <c r="AW178" i="22" s="1"/>
  <c r="BG180" i="22"/>
  <c r="AW180" i="22" s="1"/>
  <c r="BG181" i="22"/>
  <c r="AW181" i="22" s="1"/>
  <c r="BG179" i="22"/>
  <c r="AW179" i="22" s="1"/>
  <c r="BG183" i="22"/>
  <c r="AW183" i="22" s="1"/>
  <c r="BG182" i="22"/>
  <c r="AW182" i="22" s="1"/>
  <c r="BH31" i="52"/>
  <c r="W122" i="52"/>
  <c r="Z122" i="52" s="1"/>
  <c r="BA177" i="22"/>
  <c r="W126" i="52"/>
  <c r="Z126" i="52" s="1"/>
  <c r="AG126" i="52" s="1"/>
  <c r="BA181" i="22"/>
  <c r="W124" i="52"/>
  <c r="Z124" i="52" s="1"/>
  <c r="AG124" i="52" s="1"/>
  <c r="BA179" i="22"/>
  <c r="W125" i="52"/>
  <c r="Z125" i="52" s="1"/>
  <c r="AG125" i="52" s="1"/>
  <c r="BA180" i="22"/>
  <c r="W123" i="52"/>
  <c r="Z123" i="52" s="1"/>
  <c r="AG123" i="52" s="1"/>
  <c r="BA178" i="22"/>
  <c r="W127" i="52"/>
  <c r="Z127" i="52" s="1"/>
  <c r="AG127" i="52" s="1"/>
  <c r="BA182" i="22"/>
  <c r="AG153" i="10"/>
  <c r="AG154" i="10" s="1"/>
  <c r="AL155" i="10"/>
  <c r="AH157" i="10"/>
  <c r="T157" i="10" s="1"/>
  <c r="H154" i="10"/>
  <c r="A15" i="55"/>
  <c r="M13" i="18"/>
  <c r="N14" i="55"/>
  <c r="M14" i="55"/>
  <c r="L14" i="55"/>
  <c r="K14" i="55"/>
  <c r="R14" i="55"/>
  <c r="T14" i="55"/>
  <c r="U14" i="55"/>
  <c r="S14" i="55"/>
  <c r="Q14" i="55"/>
  <c r="L13" i="18"/>
  <c r="CB9" i="22"/>
  <c r="AA52" i="66"/>
  <c r="AF52" i="66" s="1"/>
  <c r="T33" i="8" a="1"/>
  <c r="T33" i="8" s="1"/>
  <c r="G33" i="8" s="1"/>
  <c r="R33" i="8" a="1"/>
  <c r="R33" i="8" s="1"/>
  <c r="E33" i="8" s="1"/>
  <c r="Q33" i="8" a="1"/>
  <c r="Q33" i="8" s="1"/>
  <c r="P33" i="8" a="1"/>
  <c r="P33" i="8" s="1"/>
  <c r="C33" i="8" s="1"/>
  <c r="V33" i="8" a="1"/>
  <c r="V33" i="8" s="1"/>
  <c r="I33" i="8" s="1"/>
  <c r="O33" i="8" a="1"/>
  <c r="O33" i="8" s="1"/>
  <c r="U33" i="8" a="1"/>
  <c r="U33" i="8" s="1"/>
  <c r="S33" i="8" a="1"/>
  <c r="S33" i="8" s="1"/>
  <c r="R12" i="18"/>
  <c r="D14" i="55"/>
  <c r="AA52" i="64"/>
  <c r="AF52" i="64" s="1"/>
  <c r="AA52" i="65"/>
  <c r="AF52" i="65" s="1"/>
  <c r="CE9" i="22"/>
  <c r="H171" i="10"/>
  <c r="X171" i="10"/>
  <c r="C18" i="10"/>
  <c r="X17" i="10"/>
  <c r="X93" i="10"/>
  <c r="C94" i="10"/>
  <c r="AF94" i="10" s="1"/>
  <c r="AG93" i="10"/>
  <c r="C150" i="10"/>
  <c r="H150" i="10" s="1"/>
  <c r="AH150" i="10" s="1"/>
  <c r="X149" i="10"/>
  <c r="X21" i="10"/>
  <c r="C22" i="10"/>
  <c r="AF22" i="10" s="1"/>
  <c r="AG22" i="10" s="1"/>
  <c r="AG23" i="10" s="1"/>
  <c r="C120" i="10"/>
  <c r="AF120" i="10" s="1"/>
  <c r="X119" i="10"/>
  <c r="AG119" i="10"/>
  <c r="X134" i="10"/>
  <c r="C135" i="10"/>
  <c r="H135" i="10" s="1"/>
  <c r="AH135" i="10" s="1"/>
  <c r="AG134" i="10"/>
  <c r="AG135" i="10" s="1"/>
  <c r="X42" i="10"/>
  <c r="C43" i="10"/>
  <c r="C44" i="10" s="1"/>
  <c r="H44" i="10" s="1"/>
  <c r="AH44" i="10" s="1"/>
  <c r="C31" i="10"/>
  <c r="C32" i="10" s="1"/>
  <c r="H32" i="10" s="1"/>
  <c r="AH32" i="10" s="1"/>
  <c r="X30" i="10"/>
  <c r="X14" i="10"/>
  <c r="C15" i="10"/>
  <c r="H15" i="10" s="1"/>
  <c r="AH15" i="10" s="1"/>
  <c r="C115" i="10"/>
  <c r="AF115" i="10" s="1"/>
  <c r="X114" i="10"/>
  <c r="AG114" i="10"/>
  <c r="X129" i="10"/>
  <c r="C130" i="10"/>
  <c r="H130" i="10" s="1"/>
  <c r="AH130" i="10" s="1"/>
  <c r="AG129" i="10"/>
  <c r="AG130" i="10" s="1"/>
  <c r="C127" i="10"/>
  <c r="H127" i="10" s="1"/>
  <c r="AH127" i="10" s="1"/>
  <c r="X126" i="10"/>
  <c r="C67" i="10"/>
  <c r="C68" i="10" s="1"/>
  <c r="C69" i="10" s="1"/>
  <c r="AF69" i="10" s="1"/>
  <c r="X66" i="10"/>
  <c r="H173" i="10"/>
  <c r="AI173" i="10"/>
  <c r="AK173" i="10" s="1"/>
  <c r="X11" i="10"/>
  <c r="C12" i="10"/>
  <c r="C13" i="10" s="1"/>
  <c r="H13" i="10" s="1"/>
  <c r="AH13" i="10" s="1"/>
  <c r="X4" i="10"/>
  <c r="C5" i="10"/>
  <c r="C6" i="10" s="1"/>
  <c r="C7" i="10" s="1"/>
  <c r="C8" i="10" s="1"/>
  <c r="H8" i="10" s="1"/>
  <c r="AH8" i="10" s="1"/>
  <c r="AQ8" i="10" s="1"/>
  <c r="C132" i="10"/>
  <c r="C133" i="10" s="1"/>
  <c r="H133" i="10" s="1"/>
  <c r="AH133" i="10" s="1"/>
  <c r="T133" i="10" s="1"/>
  <c r="X131" i="10"/>
  <c r="C107" i="10"/>
  <c r="H107" i="10" s="1"/>
  <c r="AH107" i="10" s="1"/>
  <c r="X106" i="10"/>
  <c r="X162" i="10"/>
  <c r="C163" i="10"/>
  <c r="H163" i="10" s="1"/>
  <c r="AH163" i="10" s="1"/>
  <c r="AI162" i="10" s="1"/>
  <c r="AJ162" i="10" s="1"/>
  <c r="AJ163" i="10" s="1"/>
  <c r="X102" i="10"/>
  <c r="C103" i="10"/>
  <c r="C104" i="10" s="1"/>
  <c r="C105" i="10" s="1"/>
  <c r="H105" i="10" s="1"/>
  <c r="AH105" i="10" s="1"/>
  <c r="AQ105" i="10" s="1"/>
  <c r="AQ106" i="10" s="1"/>
  <c r="X124" i="10"/>
  <c r="C125" i="10"/>
  <c r="H125" i="10" s="1"/>
  <c r="AH125" i="10" s="1"/>
  <c r="AQ125" i="10" s="1"/>
  <c r="AQ126" i="10" s="1"/>
  <c r="X45" i="10"/>
  <c r="C46" i="10"/>
  <c r="C47" i="10" s="1"/>
  <c r="C48" i="10" s="1"/>
  <c r="C49" i="10" s="1"/>
  <c r="C50" i="10" s="1"/>
  <c r="H50" i="10" s="1"/>
  <c r="AH50" i="10" s="1"/>
  <c r="X147" i="10"/>
  <c r="C148" i="10"/>
  <c r="H148" i="10" s="1"/>
  <c r="AH148" i="10" s="1"/>
  <c r="AQ148" i="10" s="1"/>
  <c r="AQ149" i="10" s="1"/>
  <c r="X142" i="10"/>
  <c r="C143" i="10"/>
  <c r="H143" i="10" s="1"/>
  <c r="AH143" i="10" s="1"/>
  <c r="AG142" i="10"/>
  <c r="AG143" i="10" s="1"/>
  <c r="X61" i="10"/>
  <c r="C62" i="10"/>
  <c r="C63" i="10" s="1"/>
  <c r="C64" i="10" s="1"/>
  <c r="C65" i="10" s="1"/>
  <c r="H65" i="10" s="1"/>
  <c r="AH65" i="10" s="1"/>
  <c r="AI61" i="10" s="1"/>
  <c r="C140" i="10"/>
  <c r="C141" i="10" s="1"/>
  <c r="H141" i="10" s="1"/>
  <c r="AH141" i="10" s="1"/>
  <c r="AQ141" i="10" s="1"/>
  <c r="AQ142" i="10" s="1"/>
  <c r="X139" i="10"/>
  <c r="C79" i="10"/>
  <c r="C80" i="10" s="1"/>
  <c r="C81" i="10" s="1"/>
  <c r="C82" i="10" s="1"/>
  <c r="H82" i="10" s="1"/>
  <c r="AH82" i="10" s="1"/>
  <c r="X78" i="10"/>
  <c r="C87" i="10"/>
  <c r="AF87" i="10" s="1"/>
  <c r="X86" i="10"/>
  <c r="C161" i="10"/>
  <c r="H161" i="10" s="1"/>
  <c r="AH161" i="10" s="1"/>
  <c r="X160" i="10"/>
  <c r="C34" i="10"/>
  <c r="C35" i="10" s="1"/>
  <c r="H35" i="10" s="1"/>
  <c r="AH35" i="10" s="1"/>
  <c r="X33" i="10"/>
  <c r="C165" i="10"/>
  <c r="H165" i="10" s="1"/>
  <c r="AH165" i="10" s="1"/>
  <c r="AI164" i="10" s="1"/>
  <c r="AJ164" i="10" s="1"/>
  <c r="AJ165" i="10" s="1"/>
  <c r="X164" i="10"/>
  <c r="C109" i="10"/>
  <c r="C110" i="10" s="1"/>
  <c r="AF110" i="10" s="1"/>
  <c r="X108" i="10"/>
  <c r="C37" i="10"/>
  <c r="C38" i="10" s="1"/>
  <c r="H38" i="10" s="1"/>
  <c r="AH38" i="10" s="1"/>
  <c r="X36" i="10"/>
  <c r="H174" i="10"/>
  <c r="AI174" i="10"/>
  <c r="AK174" i="10" s="1"/>
  <c r="X96" i="10"/>
  <c r="C97" i="10"/>
  <c r="C98" i="10" s="1"/>
  <c r="H98" i="10" s="1"/>
  <c r="AH98" i="10" s="1"/>
  <c r="AQ98" i="10" s="1"/>
  <c r="AQ99" i="10" s="1"/>
  <c r="AQ100" i="10" s="1"/>
  <c r="H175" i="10"/>
  <c r="AI175" i="10"/>
  <c r="AK175" i="10" s="1"/>
  <c r="C10" i="10"/>
  <c r="H10" i="10" s="1"/>
  <c r="AH10" i="10" s="1"/>
  <c r="AQ10" i="10" s="1"/>
  <c r="AQ11" i="10" s="1"/>
  <c r="AQ12" i="10" s="1"/>
  <c r="X9" i="10"/>
  <c r="C159" i="10"/>
  <c r="H159" i="10" s="1"/>
  <c r="AH159" i="10" s="1"/>
  <c r="AK158" i="10" s="1"/>
  <c r="H158" i="10" s="1"/>
  <c r="V158" i="10" s="1"/>
  <c r="X158" i="10"/>
  <c r="AI171" i="10"/>
  <c r="AK171" i="10" s="1"/>
  <c r="H172" i="10"/>
  <c r="AI172" i="10"/>
  <c r="AK172" i="10" s="1"/>
  <c r="H51" i="10"/>
  <c r="C52" i="10"/>
  <c r="AF52" i="10" s="1"/>
  <c r="AG52" i="10" s="1"/>
  <c r="X51" i="10"/>
  <c r="C167" i="10"/>
  <c r="H167" i="10" s="1"/>
  <c r="AH167" i="10" s="1"/>
  <c r="X166" i="10"/>
  <c r="C137" i="10"/>
  <c r="AF137" i="10" s="1"/>
  <c r="X136" i="10"/>
  <c r="AG136" i="10"/>
  <c r="C58" i="10"/>
  <c r="C59" i="10" s="1"/>
  <c r="H59" i="10" s="1"/>
  <c r="AH59" i="10" s="1"/>
  <c r="X57" i="10"/>
  <c r="C91" i="10"/>
  <c r="C92" i="10" s="1"/>
  <c r="H92" i="10" s="1"/>
  <c r="AH92" i="10" s="1"/>
  <c r="AQ92" i="10" s="1"/>
  <c r="AQ93" i="10" s="1"/>
  <c r="AQ94" i="10" s="1"/>
  <c r="X90" i="10"/>
  <c r="X72" i="10"/>
  <c r="C73" i="10"/>
  <c r="AF73" i="10" s="1"/>
  <c r="H72" i="10"/>
  <c r="AG72" i="10"/>
  <c r="C153" i="10"/>
  <c r="C154" i="10" s="1"/>
  <c r="X152" i="10"/>
  <c r="C28" i="10"/>
  <c r="C29" i="10" s="1"/>
  <c r="H29" i="10" s="1"/>
  <c r="AH29" i="10" s="1"/>
  <c r="X27" i="10"/>
  <c r="X144" i="10"/>
  <c r="C145" i="10"/>
  <c r="H145" i="10" s="1"/>
  <c r="AH145" i="10" s="1"/>
  <c r="AK144" i="10" s="1"/>
  <c r="H144" i="10" s="1"/>
  <c r="AG144" i="10"/>
  <c r="AG145" i="10" s="1"/>
  <c r="X24" i="10"/>
  <c r="C25" i="10"/>
  <c r="C26" i="10" s="1"/>
  <c r="H26" i="10" s="1"/>
  <c r="AH26" i="10" s="1"/>
  <c r="X99" i="10"/>
  <c r="C100" i="10"/>
  <c r="C101" i="10" s="1"/>
  <c r="H101" i="10" s="1"/>
  <c r="AH101" i="10" s="1"/>
  <c r="T101" i="10" s="1"/>
  <c r="X168" i="10"/>
  <c r="C169" i="10"/>
  <c r="C170" i="10" s="1"/>
  <c r="H170" i="10" s="1"/>
  <c r="AH170" i="10" s="1"/>
  <c r="H176" i="10"/>
  <c r="AI176" i="10"/>
  <c r="AK176" i="10" s="1"/>
  <c r="C40" i="10"/>
  <c r="C41" i="10" s="1"/>
  <c r="H41" i="10" s="1"/>
  <c r="AH41" i="10" s="1"/>
  <c r="X39" i="10"/>
  <c r="Y127" i="52"/>
  <c r="Y124" i="52"/>
  <c r="BU171" i="22"/>
  <c r="AA55" i="64"/>
  <c r="AF55" i="64" s="1"/>
  <c r="BU172" i="22"/>
  <c r="CD172" i="22" s="1"/>
  <c r="AA55" i="65"/>
  <c r="AF55" i="65" s="1"/>
  <c r="BU173" i="22"/>
  <c r="AA55" i="66"/>
  <c r="AF55" i="66" s="1"/>
  <c r="X93" i="30"/>
  <c r="AA93" i="30"/>
  <c r="AF93" i="30" s="1"/>
  <c r="R93" i="30"/>
  <c r="U93" i="30"/>
  <c r="R48" i="30"/>
  <c r="AA48" i="30"/>
  <c r="AF48" i="30" s="1"/>
  <c r="X48" i="30"/>
  <c r="U48" i="30"/>
  <c r="R146" i="31"/>
  <c r="U146" i="31"/>
  <c r="AA146" i="31"/>
  <c r="AF146" i="31" s="1"/>
  <c r="X146" i="31"/>
  <c r="X94" i="26"/>
  <c r="AA94" i="26"/>
  <c r="AF94" i="26" s="1"/>
  <c r="U94" i="26"/>
  <c r="R94" i="26"/>
  <c r="R110" i="29"/>
  <c r="AA110" i="29"/>
  <c r="AF110" i="29" s="1"/>
  <c r="X110" i="29"/>
  <c r="U110" i="29"/>
  <c r="AA465" i="31"/>
  <c r="AF465" i="31" s="1"/>
  <c r="X465" i="31"/>
  <c r="U465" i="31"/>
  <c r="R465" i="31"/>
  <c r="AA46" i="26"/>
  <c r="AF46" i="26" s="1"/>
  <c r="X46" i="26"/>
  <c r="R46" i="26"/>
  <c r="U46" i="26"/>
  <c r="AA252" i="31"/>
  <c r="AF252" i="31" s="1"/>
  <c r="X252" i="31"/>
  <c r="U252" i="31"/>
  <c r="R252" i="31"/>
  <c r="R47" i="33"/>
  <c r="AA47" i="33"/>
  <c r="AF47" i="33" s="1"/>
  <c r="U47" i="33"/>
  <c r="X47" i="33"/>
  <c r="U198" i="37"/>
  <c r="X198" i="37"/>
  <c r="R198" i="37"/>
  <c r="AA198" i="37"/>
  <c r="AF198" i="37" s="1"/>
  <c r="U46" i="37"/>
  <c r="R46" i="37"/>
  <c r="AA46" i="37"/>
  <c r="AF46" i="37" s="1"/>
  <c r="X46" i="37"/>
  <c r="AA143" i="33"/>
  <c r="AF143" i="33" s="1"/>
  <c r="U143" i="33"/>
  <c r="X143" i="33"/>
  <c r="R143" i="33"/>
  <c r="AA47" i="27"/>
  <c r="AF47" i="27" s="1"/>
  <c r="X47" i="27"/>
  <c r="U47" i="27"/>
  <c r="R47" i="27"/>
  <c r="U93" i="28"/>
  <c r="R93" i="28"/>
  <c r="AA93" i="28"/>
  <c r="AF93" i="28" s="1"/>
  <c r="X93" i="28"/>
  <c r="AA147" i="36"/>
  <c r="AF147" i="36" s="1"/>
  <c r="X147" i="36"/>
  <c r="U147" i="36"/>
  <c r="R147" i="36"/>
  <c r="R47" i="32"/>
  <c r="X47" i="32"/>
  <c r="AA47" i="32"/>
  <c r="AF47" i="32" s="1"/>
  <c r="U47" i="32"/>
  <c r="AA93" i="32"/>
  <c r="AF93" i="32" s="1"/>
  <c r="X93" i="32"/>
  <c r="U93" i="32"/>
  <c r="R93" i="32"/>
  <c r="AA261" i="29"/>
  <c r="AF261" i="29" s="1"/>
  <c r="X261" i="29"/>
  <c r="U261" i="29"/>
  <c r="R261" i="29"/>
  <c r="AA198" i="26"/>
  <c r="AF198" i="26" s="1"/>
  <c r="X198" i="26"/>
  <c r="U198" i="26"/>
  <c r="R198" i="26"/>
  <c r="X359" i="31"/>
  <c r="U359" i="31"/>
  <c r="R359" i="31"/>
  <c r="AA359" i="31"/>
  <c r="AF359" i="31" s="1"/>
  <c r="R518" i="31"/>
  <c r="AA518" i="31"/>
  <c r="AF518" i="31" s="1"/>
  <c r="X518" i="31"/>
  <c r="U518" i="31"/>
  <c r="AA47" i="36"/>
  <c r="AF47" i="36" s="1"/>
  <c r="X47" i="36"/>
  <c r="U47" i="36"/>
  <c r="R47" i="36"/>
  <c r="U312" i="29"/>
  <c r="R312" i="29"/>
  <c r="X312" i="29"/>
  <c r="AA312" i="29"/>
  <c r="AF312" i="29" s="1"/>
  <c r="AA92" i="37"/>
  <c r="AF92" i="37" s="1"/>
  <c r="X92" i="37"/>
  <c r="U92" i="37"/>
  <c r="R92" i="37"/>
  <c r="AA310" i="31"/>
  <c r="AF310" i="31" s="1"/>
  <c r="X310" i="31"/>
  <c r="U310" i="31"/>
  <c r="R310" i="31"/>
  <c r="R111" i="36"/>
  <c r="AA111" i="36"/>
  <c r="AF111" i="36" s="1"/>
  <c r="X111" i="36"/>
  <c r="U111" i="36"/>
  <c r="AA47" i="31"/>
  <c r="AF47" i="31" s="1"/>
  <c r="X47" i="31"/>
  <c r="U47" i="31"/>
  <c r="R47" i="31"/>
  <c r="AA199" i="30"/>
  <c r="AF199" i="30" s="1"/>
  <c r="X199" i="30"/>
  <c r="U199" i="30"/>
  <c r="R199" i="30"/>
  <c r="R412" i="31"/>
  <c r="AA412" i="31"/>
  <c r="AF412" i="31" s="1"/>
  <c r="X412" i="31"/>
  <c r="U412" i="31"/>
  <c r="AA150" i="37"/>
  <c r="AF150" i="37" s="1"/>
  <c r="X150" i="37"/>
  <c r="U150" i="37"/>
  <c r="R150" i="37"/>
  <c r="X93" i="31"/>
  <c r="U93" i="31"/>
  <c r="R93" i="31"/>
  <c r="AA93" i="31"/>
  <c r="AF93" i="31" s="1"/>
  <c r="R93" i="27"/>
  <c r="AA93" i="27"/>
  <c r="AF93" i="27" s="1"/>
  <c r="X93" i="27"/>
  <c r="U93" i="27"/>
  <c r="AA196" i="33"/>
  <c r="AF196" i="33" s="1"/>
  <c r="U196" i="33"/>
  <c r="X196" i="33"/>
  <c r="R196" i="33"/>
  <c r="X151" i="30"/>
  <c r="U151" i="30"/>
  <c r="AA151" i="30"/>
  <c r="AF151" i="30" s="1"/>
  <c r="R151" i="30"/>
  <c r="AA199" i="31"/>
  <c r="AF199" i="31" s="1"/>
  <c r="X199" i="31"/>
  <c r="U199" i="31"/>
  <c r="R199" i="31"/>
  <c r="X47" i="29"/>
  <c r="U47" i="29"/>
  <c r="R47" i="29"/>
  <c r="AA47" i="29"/>
  <c r="AF47" i="29" s="1"/>
  <c r="AA47" i="28"/>
  <c r="AF47" i="28" s="1"/>
  <c r="X47" i="28"/>
  <c r="U47" i="28"/>
  <c r="R47" i="28"/>
  <c r="X221" i="29"/>
  <c r="U221" i="29"/>
  <c r="R221" i="29"/>
  <c r="AA221" i="29"/>
  <c r="AF221" i="29" s="1"/>
  <c r="AA168" i="29"/>
  <c r="AF168" i="29" s="1"/>
  <c r="X168" i="29"/>
  <c r="U168" i="29"/>
  <c r="R168" i="29"/>
  <c r="A49" i="63"/>
  <c r="AA46" i="63"/>
  <c r="AF46" i="63" s="1"/>
  <c r="X46" i="63"/>
  <c r="U46" i="63"/>
  <c r="R46" i="63"/>
  <c r="R49" i="64"/>
  <c r="AA113" i="47"/>
  <c r="AF113" i="47" s="1"/>
  <c r="X113" i="47"/>
  <c r="U113" i="47"/>
  <c r="R113" i="47"/>
  <c r="AA46" i="47"/>
  <c r="AF46" i="47" s="1"/>
  <c r="X46" i="47"/>
  <c r="U46" i="47"/>
  <c r="R46" i="47"/>
  <c r="AA209" i="46"/>
  <c r="AF209" i="46" s="1"/>
  <c r="U209" i="46"/>
  <c r="X209" i="46"/>
  <c r="R209" i="46"/>
  <c r="U110" i="46"/>
  <c r="R110" i="46"/>
  <c r="AA110" i="46"/>
  <c r="AF110" i="46" s="1"/>
  <c r="X110" i="46"/>
  <c r="U47" i="46"/>
  <c r="AA47" i="46"/>
  <c r="AF47" i="46" s="1"/>
  <c r="X47" i="46"/>
  <c r="R47" i="46"/>
  <c r="U168" i="46"/>
  <c r="R168" i="46"/>
  <c r="AA168" i="46"/>
  <c r="AF168" i="46" s="1"/>
  <c r="X168" i="46"/>
  <c r="AA250" i="44"/>
  <c r="AF250" i="44" s="1"/>
  <c r="X250" i="44"/>
  <c r="U250" i="44"/>
  <c r="R250" i="44"/>
  <c r="AA207" i="44"/>
  <c r="AF207" i="44" s="1"/>
  <c r="X207" i="44"/>
  <c r="R207" i="44"/>
  <c r="U207" i="44"/>
  <c r="R284" i="44"/>
  <c r="AA284" i="44"/>
  <c r="AF284" i="44" s="1"/>
  <c r="X284" i="44"/>
  <c r="U284" i="44"/>
  <c r="U95" i="44"/>
  <c r="X95" i="44"/>
  <c r="R95" i="44"/>
  <c r="AA95" i="44"/>
  <c r="AF95" i="44" s="1"/>
  <c r="R150" i="44"/>
  <c r="AA150" i="44"/>
  <c r="AF150" i="44" s="1"/>
  <c r="X150" i="44"/>
  <c r="U150" i="44"/>
  <c r="U46" i="44"/>
  <c r="R46" i="44"/>
  <c r="AA46" i="44"/>
  <c r="AF46" i="44" s="1"/>
  <c r="X46" i="44"/>
  <c r="Y117" i="52"/>
  <c r="BN27" i="52" s="1"/>
  <c r="X46" i="43"/>
  <c r="U46" i="43"/>
  <c r="R46" i="43"/>
  <c r="AA46" i="43"/>
  <c r="AF46" i="43" s="1"/>
  <c r="R106" i="43"/>
  <c r="AA106" i="43"/>
  <c r="AF106" i="43" s="1"/>
  <c r="X106" i="43"/>
  <c r="U106" i="43"/>
  <c r="X357" i="41"/>
  <c r="R357" i="41"/>
  <c r="U357" i="41"/>
  <c r="AA357" i="41"/>
  <c r="AF357" i="41" s="1"/>
  <c r="AA569" i="41"/>
  <c r="AF569" i="41" s="1"/>
  <c r="X569" i="41"/>
  <c r="U569" i="41"/>
  <c r="R569" i="41"/>
  <c r="AA309" i="41"/>
  <c r="AF309" i="41" s="1"/>
  <c r="X309" i="41"/>
  <c r="U309" i="41"/>
  <c r="R309" i="41"/>
  <c r="R92" i="41"/>
  <c r="AA92" i="41"/>
  <c r="AF92" i="41" s="1"/>
  <c r="X92" i="41"/>
  <c r="U92" i="41"/>
  <c r="R410" i="41"/>
  <c r="U410" i="41"/>
  <c r="AA410" i="41"/>
  <c r="AF410" i="41" s="1"/>
  <c r="X410" i="41"/>
  <c r="AA145" i="41"/>
  <c r="AF145" i="41" s="1"/>
  <c r="X145" i="41"/>
  <c r="U145" i="41"/>
  <c r="R145" i="41"/>
  <c r="R46" i="41"/>
  <c r="U46" i="41"/>
  <c r="AA46" i="41"/>
  <c r="AF46" i="41" s="1"/>
  <c r="X46" i="41"/>
  <c r="X622" i="41"/>
  <c r="AA622" i="41"/>
  <c r="AF622" i="41" s="1"/>
  <c r="U622" i="41"/>
  <c r="R622" i="41"/>
  <c r="X251" i="41"/>
  <c r="U251" i="41"/>
  <c r="R251" i="41"/>
  <c r="AA251" i="41"/>
  <c r="AF251" i="41" s="1"/>
  <c r="U463" i="41"/>
  <c r="R463" i="41"/>
  <c r="AA463" i="41"/>
  <c r="AF463" i="41" s="1"/>
  <c r="X463" i="41"/>
  <c r="AA521" i="41"/>
  <c r="AF521" i="41" s="1"/>
  <c r="X521" i="41"/>
  <c r="U521" i="41"/>
  <c r="R521" i="41"/>
  <c r="U198" i="41"/>
  <c r="R198" i="41"/>
  <c r="X198" i="41"/>
  <c r="AA198" i="41"/>
  <c r="AF198" i="41" s="1"/>
  <c r="U675" i="41"/>
  <c r="R675" i="41"/>
  <c r="AA675" i="41"/>
  <c r="AF675" i="41" s="1"/>
  <c r="X675" i="41"/>
  <c r="U206" i="40"/>
  <c r="R206" i="40"/>
  <c r="AA206" i="40"/>
  <c r="AF206" i="40" s="1"/>
  <c r="X206" i="40"/>
  <c r="AA149" i="40"/>
  <c r="AF149" i="40" s="1"/>
  <c r="X149" i="40"/>
  <c r="U149" i="40"/>
  <c r="R149" i="40"/>
  <c r="AA98" i="40"/>
  <c r="AF98" i="40" s="1"/>
  <c r="X98" i="40"/>
  <c r="U98" i="40"/>
  <c r="R98" i="40"/>
  <c r="AA47" i="40"/>
  <c r="AF47" i="40" s="1"/>
  <c r="X47" i="40"/>
  <c r="U47" i="40"/>
  <c r="R47" i="40"/>
  <c r="R46" i="38"/>
  <c r="AA46" i="38"/>
  <c r="AF46" i="38" s="1"/>
  <c r="X46" i="38"/>
  <c r="U46" i="38"/>
  <c r="AA150" i="38"/>
  <c r="AF150" i="38" s="1"/>
  <c r="U150" i="38"/>
  <c r="X150" i="38"/>
  <c r="R150" i="38"/>
  <c r="AA92" i="38"/>
  <c r="AF92" i="38" s="1"/>
  <c r="X92" i="38"/>
  <c r="U92" i="38"/>
  <c r="R92" i="38"/>
  <c r="X198" i="38"/>
  <c r="U198" i="38"/>
  <c r="R198" i="38"/>
  <c r="AA198" i="38"/>
  <c r="AF198" i="38" s="1"/>
  <c r="R109" i="35"/>
  <c r="AA109" i="35"/>
  <c r="AF109" i="35" s="1"/>
  <c r="X109" i="35"/>
  <c r="U109" i="35"/>
  <c r="AA200" i="35"/>
  <c r="AF200" i="35" s="1"/>
  <c r="X200" i="35"/>
  <c r="U200" i="35"/>
  <c r="R200" i="35"/>
  <c r="U147" i="35"/>
  <c r="AA147" i="35"/>
  <c r="AF147" i="35" s="1"/>
  <c r="X147" i="35"/>
  <c r="R147" i="35"/>
  <c r="U47" i="35"/>
  <c r="X47" i="35"/>
  <c r="R47" i="35"/>
  <c r="AA47" i="35"/>
  <c r="AF47" i="35" s="1"/>
  <c r="X151" i="25"/>
  <c r="R151" i="25"/>
  <c r="U151" i="25"/>
  <c r="AA151" i="25"/>
  <c r="AF151" i="25" s="1"/>
  <c r="R97" i="25"/>
  <c r="AA97" i="25"/>
  <c r="AF97" i="25" s="1"/>
  <c r="U97" i="25"/>
  <c r="X97" i="25"/>
  <c r="AA206" i="25"/>
  <c r="AF206" i="25" s="1"/>
  <c r="R206" i="25"/>
  <c r="X206" i="25"/>
  <c r="U206" i="25"/>
  <c r="X46" i="25"/>
  <c r="U46" i="25"/>
  <c r="R46" i="25"/>
  <c r="AA46" i="25"/>
  <c r="AF46" i="25" s="1"/>
  <c r="X124" i="52"/>
  <c r="X126" i="52"/>
  <c r="CC28" i="22"/>
  <c r="Y122" i="52"/>
  <c r="CD9" i="22"/>
  <c r="AN56" i="10"/>
  <c r="T51" i="52"/>
  <c r="BI17" i="52" s="1"/>
  <c r="R205" i="32" s="1" a="1"/>
  <c r="R205" i="32" s="1"/>
  <c r="AB205" i="32" s="1"/>
  <c r="AF205" i="32" s="1"/>
  <c r="AJ205" i="32" s="1"/>
  <c r="W73" i="70"/>
  <c r="S51" i="52"/>
  <c r="S56" i="52"/>
  <c r="T31" i="52"/>
  <c r="V31" i="52" s="1"/>
  <c r="W187" i="70"/>
  <c r="T56" i="52"/>
  <c r="BI23" i="52" s="1"/>
  <c r="R577" i="34" s="1" a="1"/>
  <c r="R577" i="34" s="1"/>
  <c r="AB577" i="34" s="1"/>
  <c r="AF577" i="34" s="1"/>
  <c r="AJ577" i="34" s="1"/>
  <c r="W7" i="70"/>
  <c r="AA145" i="23"/>
  <c r="AF145" i="23" s="1"/>
  <c r="X145" i="23"/>
  <c r="U145" i="23"/>
  <c r="R145" i="23"/>
  <c r="U109" i="23"/>
  <c r="X109" i="23"/>
  <c r="R109" i="23"/>
  <c r="AA109" i="23"/>
  <c r="AF109" i="23" s="1"/>
  <c r="X47" i="23"/>
  <c r="U47" i="23"/>
  <c r="R47" i="23"/>
  <c r="AA195" i="23"/>
  <c r="AF195" i="23" s="1"/>
  <c r="X195" i="23"/>
  <c r="U195" i="23"/>
  <c r="R195" i="23"/>
  <c r="R158" i="10"/>
  <c r="W51" i="70" s="1"/>
  <c r="S61" i="10"/>
  <c r="Y123" i="52"/>
  <c r="Y125" i="52"/>
  <c r="X127" i="52"/>
  <c r="X125" i="52"/>
  <c r="CC9" i="22"/>
  <c r="CD28" i="22"/>
  <c r="CD29" i="22" s="1"/>
  <c r="X13" i="52"/>
  <c r="BS54" i="22"/>
  <c r="CB54" i="22" s="1"/>
  <c r="X123" i="52"/>
  <c r="CD43" i="22"/>
  <c r="X9" i="52"/>
  <c r="BS29" i="22"/>
  <c r="BL7" i="22"/>
  <c r="BC73" i="22"/>
  <c r="AU73" i="22" s="1"/>
  <c r="BL5" i="22"/>
  <c r="CE43" i="22"/>
  <c r="Y126" i="52"/>
  <c r="X5" i="52"/>
  <c r="BS22" i="22"/>
  <c r="CB22" i="22" s="1"/>
  <c r="X122" i="52"/>
  <c r="BL11" i="22"/>
  <c r="X10" i="52"/>
  <c r="BS42" i="22"/>
  <c r="CB42" i="22" s="1"/>
  <c r="Y10" i="52"/>
  <c r="BT42" i="22"/>
  <c r="CC42" i="22" s="1"/>
  <c r="Y9" i="52"/>
  <c r="BT29" i="22"/>
  <c r="X12" i="52"/>
  <c r="BS51" i="22"/>
  <c r="CB51" i="22" s="1"/>
  <c r="BL9" i="22"/>
  <c r="BS43" i="22"/>
  <c r="X11" i="52"/>
  <c r="BT43" i="22"/>
  <c r="Y11" i="52"/>
  <c r="CB28" i="22"/>
  <c r="BT54" i="22"/>
  <c r="CC54" i="22" s="1"/>
  <c r="Y13" i="52"/>
  <c r="CE28" i="22"/>
  <c r="CE29" i="22" s="1"/>
  <c r="BT51" i="22"/>
  <c r="CC51" i="22" s="1"/>
  <c r="Y12" i="52"/>
  <c r="AN77" i="10"/>
  <c r="BS172" i="22"/>
  <c r="CB172" i="22" s="1"/>
  <c r="X117" i="52"/>
  <c r="BM27" i="52" s="1"/>
  <c r="BS174" i="22"/>
  <c r="X119" i="52"/>
  <c r="BM29" i="52" s="1"/>
  <c r="AS23" i="22"/>
  <c r="AT23" i="22" s="1"/>
  <c r="AS41" i="22"/>
  <c r="AT41" i="22" s="1"/>
  <c r="BA154" i="22" s="1"/>
  <c r="BT174" i="22"/>
  <c r="Y119" i="52"/>
  <c r="BN29" i="52" s="1"/>
  <c r="AS37" i="22"/>
  <c r="AT37" i="22" s="1"/>
  <c r="AS40" i="22"/>
  <c r="AT40" i="22" s="1"/>
  <c r="BA153" i="22" s="1"/>
  <c r="AS35" i="22"/>
  <c r="AT35" i="22" s="1"/>
  <c r="AS5" i="22"/>
  <c r="AT43" i="22"/>
  <c r="W11" i="52" s="1"/>
  <c r="BP43" i="22"/>
  <c r="AS44" i="22"/>
  <c r="AT44" i="22" s="1"/>
  <c r="BA155" i="22" s="1"/>
  <c r="AS38" i="22"/>
  <c r="AT38" i="22" s="1"/>
  <c r="AS48" i="22"/>
  <c r="AT48" i="22" s="1"/>
  <c r="BA161" i="22" s="1"/>
  <c r="BP8" i="22"/>
  <c r="BY8" i="22" s="1"/>
  <c r="AT8" i="22"/>
  <c r="W4" i="52" s="1"/>
  <c r="AS39" i="22"/>
  <c r="AT39" i="22" s="1"/>
  <c r="AS47" i="22"/>
  <c r="AT47" i="22" s="1"/>
  <c r="BA159" i="22" s="1"/>
  <c r="AS26" i="22"/>
  <c r="AT26" i="22" s="1"/>
  <c r="AS24" i="22"/>
  <c r="AT24" i="22" s="1"/>
  <c r="AS45" i="22"/>
  <c r="AT45" i="22" s="1"/>
  <c r="BA156" i="22" s="1"/>
  <c r="AS4" i="22"/>
  <c r="BP9" i="22"/>
  <c r="AT9" i="22"/>
  <c r="W5" i="52" s="1"/>
  <c r="AS15" i="22"/>
  <c r="AT15" i="22" s="1"/>
  <c r="BA88" i="22" s="1"/>
  <c r="BP28" i="22"/>
  <c r="AT28" i="22"/>
  <c r="W8" i="52" s="1"/>
  <c r="Z8" i="52" s="1"/>
  <c r="AG8" i="52" s="1"/>
  <c r="AS34" i="22"/>
  <c r="AT34" i="22" s="1"/>
  <c r="BA134" i="22" s="1"/>
  <c r="AS12" i="22"/>
  <c r="AT12" i="22" s="1"/>
  <c r="BA82" i="22" s="1"/>
  <c r="AS52" i="22"/>
  <c r="AT52" i="22" s="1"/>
  <c r="AS19" i="22"/>
  <c r="AT19" i="22" s="1"/>
  <c r="AT51" i="22"/>
  <c r="W12" i="52" s="1"/>
  <c r="BP51" i="22"/>
  <c r="BY51" i="22" s="1"/>
  <c r="AS13" i="22"/>
  <c r="AT13" i="22" s="1"/>
  <c r="BA84" i="22" s="1"/>
  <c r="AS30" i="22"/>
  <c r="AT30" i="22" s="1"/>
  <c r="BT173" i="22"/>
  <c r="Y118" i="52"/>
  <c r="BN28" i="52" s="1"/>
  <c r="AS50" i="22"/>
  <c r="AT50" i="22" s="1"/>
  <c r="BA164" i="22" s="1"/>
  <c r="BS173" i="22"/>
  <c r="X118" i="52"/>
  <c r="BM28" i="52" s="1"/>
  <c r="AS49" i="22"/>
  <c r="AT49" i="22" s="1"/>
  <c r="AS18" i="22"/>
  <c r="AT18" i="22" s="1"/>
  <c r="BA94" i="22" s="1"/>
  <c r="AS53" i="22"/>
  <c r="AT53" i="22" s="1"/>
  <c r="BA166" i="22" s="1"/>
  <c r="BS171" i="22"/>
  <c r="X116" i="52"/>
  <c r="BM26" i="52" s="1"/>
  <c r="Y116" i="52"/>
  <c r="BN26" i="52" s="1"/>
  <c r="BP42" i="22"/>
  <c r="BY42" i="22" s="1"/>
  <c r="AT42" i="22"/>
  <c r="W10" i="52" s="1"/>
  <c r="AT29" i="22"/>
  <c r="W9" i="52" s="1"/>
  <c r="BP29" i="22"/>
  <c r="AT27" i="22"/>
  <c r="W7" i="52" s="1"/>
  <c r="BP27" i="22"/>
  <c r="BY27" i="22" s="1"/>
  <c r="AS36" i="22"/>
  <c r="AT36" i="22" s="1"/>
  <c r="BA139" i="22" s="1"/>
  <c r="AS33" i="22"/>
  <c r="AT33" i="22" s="1"/>
  <c r="BA132" i="22" s="1"/>
  <c r="BP22" i="22"/>
  <c r="BY22" i="22" s="1"/>
  <c r="AT22" i="22"/>
  <c r="W6" i="52" s="1"/>
  <c r="BB168" i="22"/>
  <c r="Z112" i="52"/>
  <c r="AI112" i="52"/>
  <c r="AJ112" i="52"/>
  <c r="S59" i="13"/>
  <c r="S69" i="52"/>
  <c r="T57" i="13"/>
  <c r="T67" i="52"/>
  <c r="BI8" i="52" s="1"/>
  <c r="S48" i="13"/>
  <c r="S58" i="52"/>
  <c r="S52" i="13"/>
  <c r="S62" i="52"/>
  <c r="S11" i="13"/>
  <c r="S21" i="52"/>
  <c r="AN15" i="10"/>
  <c r="S16" i="13"/>
  <c r="S26" i="52"/>
  <c r="AN23" i="10"/>
  <c r="S24" i="13"/>
  <c r="S34" i="52"/>
  <c r="S105" i="13"/>
  <c r="S58" i="13"/>
  <c r="S68" i="52"/>
  <c r="T61" i="13"/>
  <c r="T71" i="52"/>
  <c r="S45" i="13"/>
  <c r="S55" i="52"/>
  <c r="T25" i="52"/>
  <c r="T15" i="13"/>
  <c r="S57" i="13"/>
  <c r="S67" i="52"/>
  <c r="W113" i="52"/>
  <c r="BL14" i="52" s="1"/>
  <c r="BP168" i="22"/>
  <c r="AN168" i="22"/>
  <c r="AH45" i="52"/>
  <c r="AC45" i="52"/>
  <c r="AD45" i="52"/>
  <c r="AF45" i="52"/>
  <c r="AE45" i="52"/>
  <c r="AB45" i="52"/>
  <c r="T22" i="13"/>
  <c r="T32" i="52"/>
  <c r="S38" i="13"/>
  <c r="S48" i="52"/>
  <c r="S18" i="52"/>
  <c r="AN10" i="10"/>
  <c r="S8" i="13"/>
  <c r="T46" i="52"/>
  <c r="T36" i="13"/>
  <c r="R108" i="10"/>
  <c r="CE173" i="22"/>
  <c r="CE174" i="22" s="1"/>
  <c r="CE171" i="22" s="1"/>
  <c r="BT171" i="22"/>
  <c r="BT172" i="22"/>
  <c r="CC172" i="22" s="1"/>
  <c r="W13" i="52"/>
  <c r="U110" i="7"/>
  <c r="U111" i="7" s="1"/>
  <c r="U112" i="7" s="1"/>
  <c r="U113" i="7" s="1"/>
  <c r="U114" i="7" s="1"/>
  <c r="U115" i="7" s="1"/>
  <c r="U116" i="7" s="1"/>
  <c r="U117" i="7" s="1"/>
  <c r="U118" i="7" s="1"/>
  <c r="U119" i="7" s="1"/>
  <c r="U120" i="7" s="1"/>
  <c r="U121" i="7" s="1"/>
  <c r="U122" i="7" s="1"/>
  <c r="U123" i="7" s="1"/>
  <c r="U124" i="7" s="1"/>
  <c r="CE7" i="52" s="1"/>
  <c r="N109" i="10"/>
  <c r="T14" i="52"/>
  <c r="T21" i="13"/>
  <c r="T46" i="13"/>
  <c r="T41" i="13"/>
  <c r="U59" i="7"/>
  <c r="U60" i="7" s="1"/>
  <c r="U61" i="7" s="1"/>
  <c r="CE17" i="52" s="1"/>
  <c r="N58" i="10"/>
  <c r="U29" i="7"/>
  <c r="U30" i="7" s="1"/>
  <c r="CE11" i="52" s="1"/>
  <c r="N28" i="10"/>
  <c r="U48" i="7"/>
  <c r="U49" i="7" s="1"/>
  <c r="U50" i="7" s="1"/>
  <c r="U51" i="7" s="1"/>
  <c r="U52" i="7" s="1"/>
  <c r="U53" i="7" s="1"/>
  <c r="U54" i="7" s="1"/>
  <c r="U55" i="7" s="1"/>
  <c r="U56" i="7" s="1"/>
  <c r="U57" i="7" s="1"/>
  <c r="CE12" i="52" s="1"/>
  <c r="N47" i="10"/>
  <c r="R164" i="10"/>
  <c r="W35" i="70" s="1"/>
  <c r="S156" i="10"/>
  <c r="W255" i="70" s="1"/>
  <c r="R155" i="10"/>
  <c r="R166" i="10"/>
  <c r="U87" i="7"/>
  <c r="U88" i="7" s="1"/>
  <c r="U89" i="7" s="1"/>
  <c r="U90" i="7" s="1"/>
  <c r="N86" i="10"/>
  <c r="U68" i="7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CE23" i="52" s="1"/>
  <c r="N67" i="10"/>
  <c r="U79" i="7"/>
  <c r="U80" i="7" s="1"/>
  <c r="U81" i="7" s="1"/>
  <c r="U82" i="7" s="1"/>
  <c r="U83" i="7" s="1"/>
  <c r="U84" i="7" s="1"/>
  <c r="U85" i="7" s="1"/>
  <c r="U86" i="7" s="1"/>
  <c r="CE8" i="52" s="1"/>
  <c r="N78" i="10"/>
  <c r="R78" i="10" s="1"/>
  <c r="S41" i="13"/>
  <c r="S46" i="13"/>
  <c r="A14" i="18"/>
  <c r="D14" i="18" s="1"/>
  <c r="B16" i="55" s="1"/>
  <c r="X122" i="27"/>
  <c r="AF122" i="27"/>
  <c r="AK122" i="27" s="1"/>
  <c r="Y8" i="52"/>
  <c r="Y5" i="52"/>
  <c r="Y4" i="52"/>
  <c r="Y6" i="52"/>
  <c r="X8" i="52"/>
  <c r="X6" i="52"/>
  <c r="X4" i="52"/>
  <c r="Y7" i="52"/>
  <c r="AQ174" i="22"/>
  <c r="AL174" i="22" s="1"/>
  <c r="L109" i="13" s="1"/>
  <c r="X7" i="52"/>
  <c r="BE167" i="22"/>
  <c r="BG82" i="22"/>
  <c r="BC109" i="22"/>
  <c r="AU109" i="22" s="1"/>
  <c r="BC108" i="22"/>
  <c r="BC110" i="22"/>
  <c r="AU110" i="22" s="1"/>
  <c r="BC80" i="22"/>
  <c r="BC81" i="22"/>
  <c r="AU81" i="22" s="1"/>
  <c r="BE109" i="22"/>
  <c r="AV109" i="22" s="1"/>
  <c r="BE108" i="22"/>
  <c r="BE110" i="22"/>
  <c r="AV110" i="22" s="1"/>
  <c r="AU155" i="22"/>
  <c r="BD155" i="22"/>
  <c r="BG110" i="22"/>
  <c r="AW110" i="22" s="1"/>
  <c r="BG109" i="22"/>
  <c r="AW109" i="22" s="1"/>
  <c r="BG108" i="22"/>
  <c r="BE154" i="22"/>
  <c r="AW139" i="22"/>
  <c r="BH139" i="22"/>
  <c r="BC175" i="22"/>
  <c r="AW132" i="22"/>
  <c r="BH132" i="22"/>
  <c r="BE175" i="22"/>
  <c r="BC82" i="22"/>
  <c r="BI149" i="22"/>
  <c r="BI150" i="22"/>
  <c r="AX150" i="22" s="1"/>
  <c r="BV150" i="22" s="1"/>
  <c r="BI151" i="22"/>
  <c r="AX151" i="22" s="1"/>
  <c r="BV151" i="22" s="1"/>
  <c r="AX163" i="22"/>
  <c r="BV163" i="22" s="1"/>
  <c r="BJ163" i="22"/>
  <c r="BE86" i="22"/>
  <c r="BI117" i="22"/>
  <c r="AX117" i="22" s="1"/>
  <c r="BV117" i="22" s="1"/>
  <c r="BI118" i="22"/>
  <c r="AX118" i="22" s="1"/>
  <c r="BV118" i="22" s="1"/>
  <c r="BI116" i="22"/>
  <c r="BI119" i="22"/>
  <c r="AX119" i="22" s="1"/>
  <c r="BV119" i="22" s="1"/>
  <c r="BG98" i="22"/>
  <c r="AW98" i="22" s="1"/>
  <c r="BG97" i="22"/>
  <c r="AW97" i="22" s="1"/>
  <c r="BG99" i="22"/>
  <c r="AW99" i="22" s="1"/>
  <c r="BG96" i="22"/>
  <c r="BI141" i="22"/>
  <c r="AX141" i="22" s="1"/>
  <c r="BV141" i="22" s="1"/>
  <c r="BI140" i="22"/>
  <c r="BI142" i="22"/>
  <c r="AX142" i="22" s="1"/>
  <c r="BV142" i="22" s="1"/>
  <c r="BI143" i="22"/>
  <c r="AX143" i="22" s="1"/>
  <c r="BV143" i="22" s="1"/>
  <c r="BG88" i="22"/>
  <c r="BE164" i="22"/>
  <c r="BI82" i="22"/>
  <c r="BC111" i="22"/>
  <c r="BC113" i="22"/>
  <c r="AU113" i="22" s="1"/>
  <c r="BC112" i="22"/>
  <c r="AU112" i="22" s="1"/>
  <c r="BC114" i="22"/>
  <c r="AU114" i="22" s="1"/>
  <c r="AV155" i="22"/>
  <c r="BF155" i="22"/>
  <c r="AS61" i="22"/>
  <c r="AT61" i="22" s="1"/>
  <c r="BA175" i="22" s="1"/>
  <c r="BI110" i="22"/>
  <c r="AX110" i="22" s="1"/>
  <c r="BV110" i="22" s="1"/>
  <c r="BI109" i="22"/>
  <c r="AX109" i="22" s="1"/>
  <c r="BV109" i="22" s="1"/>
  <c r="BI108" i="22"/>
  <c r="AX153" i="22"/>
  <c r="BV153" i="22" s="1"/>
  <c r="CE153" i="22" s="1"/>
  <c r="BJ153" i="22"/>
  <c r="BE134" i="22"/>
  <c r="AU178" i="22"/>
  <c r="BC88" i="22"/>
  <c r="AV177" i="22"/>
  <c r="BT177" i="22" s="1"/>
  <c r="AP173" i="22"/>
  <c r="BC102" i="22"/>
  <c r="AU102" i="22" s="1"/>
  <c r="BC101" i="22"/>
  <c r="BC104" i="22"/>
  <c r="AU104" i="22" s="1"/>
  <c r="BC103" i="22"/>
  <c r="AU103" i="22" s="1"/>
  <c r="AP174" i="22"/>
  <c r="AH174" i="22" s="1"/>
  <c r="BG78" i="22"/>
  <c r="AW78" i="22" s="1"/>
  <c r="BG77" i="22"/>
  <c r="BG145" i="22"/>
  <c r="BG147" i="22"/>
  <c r="AW147" i="22" s="1"/>
  <c r="BG146" i="22"/>
  <c r="AW146" i="22" s="1"/>
  <c r="BG90" i="22"/>
  <c r="AU165" i="22"/>
  <c r="BD165" i="22"/>
  <c r="BC84" i="22"/>
  <c r="BC121" i="22"/>
  <c r="BC122" i="22"/>
  <c r="AU122" i="22" s="1"/>
  <c r="BC123" i="22"/>
  <c r="AU123" i="22" s="1"/>
  <c r="AW158" i="22"/>
  <c r="BH158" i="22"/>
  <c r="BE122" i="22"/>
  <c r="AV122" i="22" s="1"/>
  <c r="BE123" i="22"/>
  <c r="AV123" i="22" s="1"/>
  <c r="BE121" i="22"/>
  <c r="AU156" i="22"/>
  <c r="BD156" i="22"/>
  <c r="BE114" i="22"/>
  <c r="AV114" i="22" s="1"/>
  <c r="BE113" i="22"/>
  <c r="AV113" i="22" s="1"/>
  <c r="BE112" i="22"/>
  <c r="AV112" i="22" s="1"/>
  <c r="BE111" i="22"/>
  <c r="BG154" i="22"/>
  <c r="BI74" i="22"/>
  <c r="AX139" i="22"/>
  <c r="BV139" i="22" s="1"/>
  <c r="BJ139" i="22"/>
  <c r="BC90" i="22"/>
  <c r="AS21" i="22"/>
  <c r="AT21" i="22" s="1"/>
  <c r="AQ171" i="22"/>
  <c r="BC92" i="22"/>
  <c r="BG94" i="22"/>
  <c r="BC161" i="22"/>
  <c r="AX158" i="22"/>
  <c r="BV158" i="22" s="1"/>
  <c r="BJ158" i="22"/>
  <c r="BA119" i="22"/>
  <c r="AT119" i="22" s="1"/>
  <c r="BA117" i="22"/>
  <c r="AT117" i="22" s="1"/>
  <c r="BA118" i="22"/>
  <c r="AT118" i="22" s="1"/>
  <c r="BA116" i="22"/>
  <c r="AW155" i="22"/>
  <c r="BH155" i="22"/>
  <c r="AW76" i="22"/>
  <c r="BH76" i="22"/>
  <c r="BI154" i="22"/>
  <c r="BI92" i="22"/>
  <c r="BG159" i="22"/>
  <c r="BC98" i="22"/>
  <c r="AU98" i="22" s="1"/>
  <c r="BC99" i="22"/>
  <c r="AU99" i="22" s="1"/>
  <c r="BC96" i="22"/>
  <c r="BC97" i="22"/>
  <c r="AU97" i="22" s="1"/>
  <c r="AS56" i="22"/>
  <c r="AT56" i="22" s="1"/>
  <c r="BC125" i="22"/>
  <c r="BC126" i="22"/>
  <c r="AU126" i="22" s="1"/>
  <c r="BE125" i="22"/>
  <c r="BE126" i="22"/>
  <c r="AV126" i="22" s="1"/>
  <c r="BE161" i="22"/>
  <c r="BG123" i="22"/>
  <c r="AW123" i="22" s="1"/>
  <c r="BG122" i="22"/>
  <c r="AW122" i="22" s="1"/>
  <c r="BG121" i="22"/>
  <c r="AV156" i="22"/>
  <c r="BF156" i="22"/>
  <c r="AX155" i="22"/>
  <c r="BV155" i="22" s="1"/>
  <c r="CE155" i="22" s="1"/>
  <c r="BJ155" i="22"/>
  <c r="BC94" i="22"/>
  <c r="BI113" i="22"/>
  <c r="AX113" i="22" s="1"/>
  <c r="BV113" i="22" s="1"/>
  <c r="BI114" i="22"/>
  <c r="AX114" i="22" s="1"/>
  <c r="BV114" i="22" s="1"/>
  <c r="BI111" i="22"/>
  <c r="BI112" i="22"/>
  <c r="AX112" i="22" s="1"/>
  <c r="BV112" i="22" s="1"/>
  <c r="BG175" i="22"/>
  <c r="AX73" i="22"/>
  <c r="BV73" i="22" s="1"/>
  <c r="CE73" i="22" s="1"/>
  <c r="BJ73" i="22"/>
  <c r="BG71" i="22"/>
  <c r="AW71" i="22" s="1"/>
  <c r="BG69" i="22"/>
  <c r="BG70" i="22"/>
  <c r="AW70" i="22" s="1"/>
  <c r="BE151" i="22"/>
  <c r="AV151" i="22" s="1"/>
  <c r="BE149" i="22"/>
  <c r="BE150" i="22"/>
  <c r="AV150" i="22" s="1"/>
  <c r="AV182" i="22"/>
  <c r="BT182" i="22" s="1"/>
  <c r="BE88" i="22"/>
  <c r="AS46" i="22"/>
  <c r="BC137" i="22"/>
  <c r="AU137" i="22" s="1"/>
  <c r="BC136" i="22"/>
  <c r="BC74" i="22"/>
  <c r="AS31" i="22"/>
  <c r="AT31" i="22" s="1"/>
  <c r="BG164" i="22"/>
  <c r="BC128" i="22"/>
  <c r="AU163" i="22"/>
  <c r="BD163" i="22"/>
  <c r="BG161" i="22"/>
  <c r="BG114" i="22"/>
  <c r="AW114" i="22" s="1"/>
  <c r="BG113" i="22"/>
  <c r="AW113" i="22" s="1"/>
  <c r="BG112" i="22"/>
  <c r="AW112" i="22" s="1"/>
  <c r="BG111" i="22"/>
  <c r="BG156" i="22"/>
  <c r="BI98" i="22"/>
  <c r="AX98" i="22" s="1"/>
  <c r="BV98" i="22" s="1"/>
  <c r="BI96" i="22"/>
  <c r="BI97" i="22"/>
  <c r="AX97" i="22" s="1"/>
  <c r="BV97" i="22" s="1"/>
  <c r="BI99" i="22"/>
  <c r="AX99" i="22" s="1"/>
  <c r="BV99" i="22" s="1"/>
  <c r="BG167" i="22"/>
  <c r="BE118" i="22"/>
  <c r="AV118" i="22" s="1"/>
  <c r="BE116" i="22"/>
  <c r="BE117" i="22"/>
  <c r="AV117" i="22" s="1"/>
  <c r="BE119" i="22"/>
  <c r="AV119" i="22" s="1"/>
  <c r="AV178" i="22"/>
  <c r="BT178" i="22" s="1"/>
  <c r="BG119" i="22"/>
  <c r="AW119" i="22" s="1"/>
  <c r="BG117" i="22"/>
  <c r="AW117" i="22" s="1"/>
  <c r="BG116" i="22"/>
  <c r="BG118" i="22"/>
  <c r="AW118" i="22" s="1"/>
  <c r="AQ172" i="22"/>
  <c r="BI102" i="22"/>
  <c r="AX102" i="22" s="1"/>
  <c r="BV102" i="22" s="1"/>
  <c r="BI101" i="22"/>
  <c r="BI104" i="22"/>
  <c r="AX104" i="22" s="1"/>
  <c r="BV104" i="22" s="1"/>
  <c r="BI103" i="22"/>
  <c r="AX103" i="22" s="1"/>
  <c r="BV103" i="22" s="1"/>
  <c r="AU179" i="22"/>
  <c r="AU182" i="22"/>
  <c r="AV90" i="22"/>
  <c r="BF90" i="22"/>
  <c r="BI159" i="22"/>
  <c r="AV179" i="22"/>
  <c r="BT179" i="22" s="1"/>
  <c r="AV165" i="22"/>
  <c r="BF165" i="22"/>
  <c r="BE74" i="22"/>
  <c r="BI164" i="22"/>
  <c r="BG126" i="22"/>
  <c r="AW126" i="22" s="1"/>
  <c r="BG125" i="22"/>
  <c r="AV163" i="22"/>
  <c r="BF163" i="22"/>
  <c r="BC118" i="22"/>
  <c r="AU118" i="22" s="1"/>
  <c r="BC117" i="22"/>
  <c r="AU117" i="22" s="1"/>
  <c r="BC116" i="22"/>
  <c r="BC119" i="22"/>
  <c r="AU119" i="22" s="1"/>
  <c r="BI161" i="22"/>
  <c r="BE101" i="22"/>
  <c r="BE104" i="22"/>
  <c r="AV104" i="22" s="1"/>
  <c r="BE103" i="22"/>
  <c r="AV103" i="22" s="1"/>
  <c r="BE102" i="22"/>
  <c r="AV102" i="22" s="1"/>
  <c r="BI128" i="22"/>
  <c r="AU180" i="22"/>
  <c r="BI175" i="22"/>
  <c r="BC143" i="22"/>
  <c r="AU143" i="22" s="1"/>
  <c r="BC142" i="22"/>
  <c r="AU142" i="22" s="1"/>
  <c r="BC141" i="22"/>
  <c r="AU141" i="22" s="1"/>
  <c r="BC140" i="22"/>
  <c r="AU153" i="22"/>
  <c r="BD153" i="22"/>
  <c r="AU181" i="22"/>
  <c r="BE136" i="22"/>
  <c r="BE137" i="22"/>
  <c r="AV137" i="22" s="1"/>
  <c r="BC166" i="22"/>
  <c r="AU76" i="22"/>
  <c r="BD76" i="22"/>
  <c r="BC132" i="22"/>
  <c r="AW165" i="22"/>
  <c r="BH165" i="22"/>
  <c r="BG74" i="22"/>
  <c r="BE128" i="22"/>
  <c r="AX165" i="22"/>
  <c r="BV165" i="22" s="1"/>
  <c r="CE165" i="22" s="1"/>
  <c r="BJ165" i="22"/>
  <c r="BI123" i="22"/>
  <c r="AX123" i="22" s="1"/>
  <c r="BV123" i="22" s="1"/>
  <c r="BI121" i="22"/>
  <c r="BI122" i="22"/>
  <c r="AX122" i="22" s="1"/>
  <c r="BV122" i="22" s="1"/>
  <c r="AW163" i="22"/>
  <c r="BH163" i="22"/>
  <c r="BG106" i="22"/>
  <c r="AU177" i="22"/>
  <c r="BG130" i="22"/>
  <c r="BI130" i="22"/>
  <c r="BE106" i="22"/>
  <c r="BE92" i="22"/>
  <c r="BC78" i="22"/>
  <c r="AU78" i="22" s="1"/>
  <c r="BC77" i="22"/>
  <c r="BG149" i="22"/>
  <c r="BG150" i="22"/>
  <c r="AW150" i="22" s="1"/>
  <c r="BG151" i="22"/>
  <c r="AW151" i="22" s="1"/>
  <c r="BE94" i="22"/>
  <c r="BI167" i="22"/>
  <c r="AV73" i="22"/>
  <c r="BF73" i="22"/>
  <c r="BI146" i="22"/>
  <c r="AX146" i="22" s="1"/>
  <c r="BV146" i="22" s="1"/>
  <c r="BI147" i="22"/>
  <c r="AX147" i="22" s="1"/>
  <c r="BV147" i="22" s="1"/>
  <c r="BI145" i="22"/>
  <c r="AS68" i="22"/>
  <c r="AW73" i="22"/>
  <c r="BH73" i="22"/>
  <c r="BE80" i="22"/>
  <c r="BE81" i="22"/>
  <c r="AV81" i="22" s="1"/>
  <c r="AU139" i="22"/>
  <c r="BD139" i="22"/>
  <c r="BE166" i="22"/>
  <c r="AV76" i="22"/>
  <c r="BF76" i="22"/>
  <c r="BC130" i="22"/>
  <c r="BG166" i="22"/>
  <c r="BI166" i="22"/>
  <c r="BI132" i="22"/>
  <c r="BI134" i="22"/>
  <c r="BG86" i="22"/>
  <c r="BE141" i="22"/>
  <c r="AV141" i="22" s="1"/>
  <c r="BE140" i="22"/>
  <c r="BE143" i="22"/>
  <c r="AV143" i="22" s="1"/>
  <c r="BE142" i="22"/>
  <c r="AV142" i="22" s="1"/>
  <c r="BC159" i="22"/>
  <c r="BI69" i="22"/>
  <c r="BI71" i="22"/>
  <c r="AX71" i="22" s="1"/>
  <c r="BV71" i="22" s="1"/>
  <c r="BI70" i="22"/>
  <c r="AX70" i="22" s="1"/>
  <c r="BV70" i="22" s="1"/>
  <c r="BC146" i="22"/>
  <c r="AU146" i="22" s="1"/>
  <c r="BC147" i="22"/>
  <c r="AU147" i="22" s="1"/>
  <c r="BC145" i="22"/>
  <c r="BE96" i="22"/>
  <c r="BE98" i="22"/>
  <c r="AV98" i="22" s="1"/>
  <c r="BE99" i="22"/>
  <c r="AV99" i="22" s="1"/>
  <c r="BE97" i="22"/>
  <c r="AV97" i="22" s="1"/>
  <c r="BC167" i="22"/>
  <c r="BG103" i="22"/>
  <c r="AW103" i="22" s="1"/>
  <c r="BG104" i="22"/>
  <c r="AW104" i="22" s="1"/>
  <c r="BG102" i="22"/>
  <c r="AW102" i="22" s="1"/>
  <c r="BG101" i="22"/>
  <c r="AS6" i="22"/>
  <c r="AT6" i="22" s="1"/>
  <c r="BI88" i="22"/>
  <c r="AS7" i="22"/>
  <c r="BE84" i="22"/>
  <c r="AV153" i="22"/>
  <c r="BF153" i="22"/>
  <c r="AQ173" i="22"/>
  <c r="BG137" i="22"/>
  <c r="AW137" i="22" s="1"/>
  <c r="BG136" i="22"/>
  <c r="BE132" i="22"/>
  <c r="BI126" i="22"/>
  <c r="AX126" i="22" s="1"/>
  <c r="BV126" i="22" s="1"/>
  <c r="BI125" i="22"/>
  <c r="BC71" i="22"/>
  <c r="AU71" i="22" s="1"/>
  <c r="BC70" i="22"/>
  <c r="AU70" i="22" s="1"/>
  <c r="BC69" i="22"/>
  <c r="BG134" i="22"/>
  <c r="BE82" i="22"/>
  <c r="BA103" i="22"/>
  <c r="AT103" i="22" s="1"/>
  <c r="BA101" i="22"/>
  <c r="BA104" i="22"/>
  <c r="AT104" i="22" s="1"/>
  <c r="BA102" i="22"/>
  <c r="AT102" i="22" s="1"/>
  <c r="BI86" i="22"/>
  <c r="BI106" i="22"/>
  <c r="AU158" i="22"/>
  <c r="BD158" i="22"/>
  <c r="AX90" i="22"/>
  <c r="BV90" i="22" s="1"/>
  <c r="BJ90" i="22"/>
  <c r="BC154" i="22"/>
  <c r="BG80" i="22"/>
  <c r="BG81" i="22"/>
  <c r="AW81" i="22" s="1"/>
  <c r="AV139" i="22"/>
  <c r="BF139" i="22"/>
  <c r="AS57" i="22"/>
  <c r="BI81" i="22"/>
  <c r="AX81" i="22" s="1"/>
  <c r="BV81" i="22" s="1"/>
  <c r="BI80" i="22"/>
  <c r="BC134" i="22"/>
  <c r="AP171" i="22"/>
  <c r="BG128" i="22"/>
  <c r="BE78" i="22"/>
  <c r="AV78" i="22" s="1"/>
  <c r="BE77" i="22"/>
  <c r="BG140" i="22"/>
  <c r="BG141" i="22"/>
  <c r="AW141" i="22" s="1"/>
  <c r="BG142" i="22"/>
  <c r="AW142" i="22" s="1"/>
  <c r="BG143" i="22"/>
  <c r="AW143" i="22" s="1"/>
  <c r="AX76" i="22"/>
  <c r="BV76" i="22" s="1"/>
  <c r="BJ76" i="22"/>
  <c r="BE71" i="22"/>
  <c r="AV71" i="22" s="1"/>
  <c r="BE70" i="22"/>
  <c r="AV70" i="22" s="1"/>
  <c r="BE69" i="22"/>
  <c r="BC151" i="22"/>
  <c r="AU151" i="22" s="1"/>
  <c r="BC150" i="22"/>
  <c r="AU150" i="22" s="1"/>
  <c r="BC149" i="22"/>
  <c r="AV180" i="22"/>
  <c r="BT180" i="22" s="1"/>
  <c r="BE159" i="22"/>
  <c r="BC106" i="22"/>
  <c r="AS60" i="22"/>
  <c r="BG92" i="22"/>
  <c r="BI78" i="22"/>
  <c r="AX78" i="22" s="1"/>
  <c r="BV78" i="22" s="1"/>
  <c r="BI77" i="22"/>
  <c r="BC164" i="22"/>
  <c r="BI94" i="22"/>
  <c r="AV158" i="22"/>
  <c r="BF158" i="22"/>
  <c r="AV181" i="22"/>
  <c r="BT181" i="22" s="1"/>
  <c r="BG84" i="22"/>
  <c r="AW153" i="22"/>
  <c r="BH153" i="22"/>
  <c r="AS58" i="22"/>
  <c r="BI84" i="22"/>
  <c r="BI136" i="22"/>
  <c r="BI137" i="22"/>
  <c r="AX137" i="22" s="1"/>
  <c r="BV137" i="22" s="1"/>
  <c r="AP172" i="22"/>
  <c r="BE130" i="22"/>
  <c r="BA81" i="22"/>
  <c r="AT81" i="22" s="1"/>
  <c r="BA80" i="22"/>
  <c r="BE147" i="22"/>
  <c r="AV147" i="22" s="1"/>
  <c r="BE145" i="22"/>
  <c r="BE146" i="22"/>
  <c r="AV146" i="22" s="1"/>
  <c r="BC86" i="22"/>
  <c r="BI156" i="22"/>
  <c r="AS10" i="22"/>
  <c r="AT10" i="22" s="1"/>
  <c r="AF173" i="23"/>
  <c r="AK173" i="23" s="1"/>
  <c r="U159" i="7"/>
  <c r="U160" i="7" s="1"/>
  <c r="Q5" i="13"/>
  <c r="Q6" i="13" s="1"/>
  <c r="Q7" i="13" s="1"/>
  <c r="Q8" i="13" s="1"/>
  <c r="Q9" i="13" s="1"/>
  <c r="Q10" i="13" s="1"/>
  <c r="Q11" i="13" s="1"/>
  <c r="Q12" i="13" s="1"/>
  <c r="Q13" i="13" s="1"/>
  <c r="H133" i="44"/>
  <c r="X180" i="50"/>
  <c r="X295" i="46"/>
  <c r="X236" i="23"/>
  <c r="X719" i="41"/>
  <c r="X248" i="40"/>
  <c r="X311" i="44"/>
  <c r="X402" i="35"/>
  <c r="X195" i="47"/>
  <c r="X200" i="43"/>
  <c r="X313" i="44"/>
  <c r="AB313" i="44" s="1"/>
  <c r="AF313" i="44" s="1"/>
  <c r="AJ313" i="44" s="1"/>
  <c r="X201" i="43"/>
  <c r="AB201" i="43" s="1"/>
  <c r="AF201" i="43" s="1"/>
  <c r="AJ201" i="43" s="1"/>
  <c r="X720" i="41"/>
  <c r="AB720" i="41" s="1"/>
  <c r="X297" i="46"/>
  <c r="AB297" i="46" s="1"/>
  <c r="AF297" i="46" s="1"/>
  <c r="AJ297" i="46" s="1"/>
  <c r="X296" i="46"/>
  <c r="AB296" i="46" s="1"/>
  <c r="AF296" i="46" s="1"/>
  <c r="AJ296" i="46" s="1"/>
  <c r="X250" i="40"/>
  <c r="AB250" i="40" s="1"/>
  <c r="AF250" i="40" s="1"/>
  <c r="AJ250" i="40" s="1"/>
  <c r="X249" i="40"/>
  <c r="AB249" i="40" s="1"/>
  <c r="AF249" i="40" s="1"/>
  <c r="AJ249" i="40" s="1"/>
  <c r="X312" i="44"/>
  <c r="AB312" i="44" s="1"/>
  <c r="AF312" i="44" s="1"/>
  <c r="AJ312" i="44" s="1"/>
  <c r="X196" i="47"/>
  <c r="AB196" i="47" s="1"/>
  <c r="AF196" i="47" s="1"/>
  <c r="AJ196" i="47" s="1"/>
  <c r="X202" i="43"/>
  <c r="AB202" i="43" s="1"/>
  <c r="AF202" i="43" s="1"/>
  <c r="AJ202" i="43" s="1"/>
  <c r="X403" i="35"/>
  <c r="AB403" i="35" s="1"/>
  <c r="AF403" i="35" s="1"/>
  <c r="AJ403" i="35" s="1"/>
  <c r="X722" i="41"/>
  <c r="X181" i="50"/>
  <c r="AB181" i="50" s="1"/>
  <c r="AF181" i="50" s="1"/>
  <c r="AJ181" i="50" s="1"/>
  <c r="X721" i="41"/>
  <c r="AB721" i="41" s="1"/>
  <c r="X251" i="40"/>
  <c r="X182" i="50"/>
  <c r="AB182" i="50" s="1"/>
  <c r="AF182" i="50" s="1"/>
  <c r="AJ182" i="50" s="1"/>
  <c r="X197" i="47"/>
  <c r="AB197" i="47" s="1"/>
  <c r="AF197" i="47" s="1"/>
  <c r="AJ197" i="47" s="1"/>
  <c r="X298" i="46"/>
  <c r="X299" i="46"/>
  <c r="X314" i="44"/>
  <c r="X404" i="35"/>
  <c r="AB404" i="35" s="1"/>
  <c r="AF404" i="35" s="1"/>
  <c r="AJ404" i="35" s="1"/>
  <c r="X723" i="41"/>
  <c r="X724" i="41"/>
  <c r="X315" i="44"/>
  <c r="X203" i="43"/>
  <c r="X204" i="43"/>
  <c r="X252" i="40"/>
  <c r="X725" i="41"/>
  <c r="X198" i="47"/>
  <c r="X253" i="40"/>
  <c r="X206" i="43"/>
  <c r="X406" i="35"/>
  <c r="X183" i="50"/>
  <c r="X300" i="46"/>
  <c r="X205" i="43"/>
  <c r="X405" i="35"/>
  <c r="X316" i="44"/>
  <c r="X726" i="41"/>
  <c r="X727" i="41"/>
  <c r="X317" i="44"/>
  <c r="X199" i="47"/>
  <c r="X407" i="35"/>
  <c r="X207" i="43"/>
  <c r="X254" i="40"/>
  <c r="X184" i="50"/>
  <c r="X301" i="46"/>
  <c r="X255" i="40"/>
  <c r="X200" i="47"/>
  <c r="X185" i="50"/>
  <c r="X302" i="46"/>
  <c r="X318" i="44"/>
  <c r="X728" i="41"/>
  <c r="X408" i="35"/>
  <c r="X208" i="43"/>
  <c r="X730" i="41"/>
  <c r="X319" i="44"/>
  <c r="X201" i="47"/>
  <c r="X409" i="35"/>
  <c r="X209" i="43"/>
  <c r="X256" i="40"/>
  <c r="X303" i="46"/>
  <c r="X186" i="50"/>
  <c r="X202" i="47"/>
  <c r="X211" i="43"/>
  <c r="X257" i="40"/>
  <c r="X187" i="50"/>
  <c r="X320" i="44"/>
  <c r="X410" i="35"/>
  <c r="X304" i="46"/>
  <c r="X731" i="41"/>
  <c r="X306" i="46"/>
  <c r="X203" i="47"/>
  <c r="X259" i="40"/>
  <c r="X322" i="44"/>
  <c r="X188" i="50"/>
  <c r="X411" i="35"/>
  <c r="X732" i="41"/>
  <c r="X212" i="43"/>
  <c r="X204" i="47"/>
  <c r="X733" i="41"/>
  <c r="X307" i="46"/>
  <c r="X213" i="43"/>
  <c r="X323" i="44"/>
  <c r="X412" i="35"/>
  <c r="X260" i="40"/>
  <c r="X189" i="50"/>
  <c r="X206" i="47"/>
  <c r="X261" i="40"/>
  <c r="X191" i="50"/>
  <c r="X734" i="41"/>
  <c r="X414" i="35"/>
  <c r="X214" i="43"/>
  <c r="X324" i="44"/>
  <c r="X308" i="46"/>
  <c r="X215" i="43"/>
  <c r="AA10" i="50"/>
  <c r="AA8" i="50"/>
  <c r="AA12" i="50"/>
  <c r="X415" i="35"/>
  <c r="X207" i="47"/>
  <c r="X735" i="41"/>
  <c r="H128" i="50"/>
  <c r="AA9" i="50"/>
  <c r="X262" i="40"/>
  <c r="X192" i="50"/>
  <c r="AA7" i="50"/>
  <c r="H29" i="50"/>
  <c r="X325" i="44"/>
  <c r="AA5" i="50"/>
  <c r="AA11" i="50"/>
  <c r="X309" i="46"/>
  <c r="AA6" i="50"/>
  <c r="AA4" i="50"/>
  <c r="X208" i="47"/>
  <c r="X216" i="43"/>
  <c r="X263" i="40"/>
  <c r="X193" i="50"/>
  <c r="X416" i="35"/>
  <c r="X310" i="46"/>
  <c r="X326" i="44"/>
  <c r="X209" i="47"/>
  <c r="X264" i="40"/>
  <c r="X194" i="50"/>
  <c r="X327" i="44"/>
  <c r="X311" i="46"/>
  <c r="X417" i="35"/>
  <c r="X210" i="47"/>
  <c r="X195" i="50"/>
  <c r="X418" i="35"/>
  <c r="X211" i="47"/>
  <c r="X196" i="50"/>
  <c r="X237" i="23"/>
  <c r="AB237" i="23" s="1"/>
  <c r="AF237" i="23" s="1"/>
  <c r="AJ237" i="23" s="1"/>
  <c r="X239" i="23"/>
  <c r="X238" i="23"/>
  <c r="AB238" i="23" s="1"/>
  <c r="AF238" i="23" s="1"/>
  <c r="AJ238" i="23" s="1"/>
  <c r="X240" i="23"/>
  <c r="X241" i="23"/>
  <c r="X242" i="23"/>
  <c r="X243" i="23"/>
  <c r="X244" i="23"/>
  <c r="X245" i="23"/>
  <c r="X247" i="23"/>
  <c r="X248" i="23"/>
  <c r="X249" i="23"/>
  <c r="X250" i="23"/>
  <c r="X251" i="23"/>
  <c r="X252" i="23"/>
  <c r="X319" i="46"/>
  <c r="X321" i="46"/>
  <c r="X341" i="44"/>
  <c r="X428" i="35"/>
  <c r="X230" i="43"/>
  <c r="X270" i="40"/>
  <c r="X271" i="40"/>
  <c r="X750" i="41"/>
  <c r="X274" i="40"/>
  <c r="X317" i="46"/>
  <c r="X342" i="44"/>
  <c r="X217" i="47"/>
  <c r="X433" i="35"/>
  <c r="X224" i="43"/>
  <c r="X334" i="44"/>
  <c r="X219" i="47"/>
  <c r="X272" i="40"/>
  <c r="X221" i="47"/>
  <c r="X203" i="50"/>
  <c r="X425" i="35"/>
  <c r="X742" i="41"/>
  <c r="X431" i="35"/>
  <c r="X749" i="41"/>
  <c r="X227" i="43"/>
  <c r="X746" i="41"/>
  <c r="X204" i="50"/>
  <c r="X229" i="43"/>
  <c r="X743" i="41"/>
  <c r="X432" i="35"/>
  <c r="X202" i="50"/>
  <c r="X318" i="46"/>
  <c r="X205" i="50"/>
  <c r="X206" i="50"/>
  <c r="X424" i="35"/>
  <c r="X223" i="43"/>
  <c r="X275" i="40"/>
  <c r="X277" i="40"/>
  <c r="X335" i="44"/>
  <c r="X210" i="50"/>
  <c r="X218" i="47"/>
  <c r="X333" i="44"/>
  <c r="X427" i="35"/>
  <c r="X222" i="43"/>
  <c r="X326" i="46"/>
  <c r="X338" i="44"/>
  <c r="X273" i="40"/>
  <c r="X748" i="41"/>
  <c r="X222" i="47"/>
  <c r="X224" i="47"/>
  <c r="X259" i="23"/>
  <c r="X231" i="43"/>
  <c r="X207" i="50"/>
  <c r="X226" i="47"/>
  <c r="X429" i="35"/>
  <c r="X209" i="50"/>
  <c r="X426" i="35"/>
  <c r="X225" i="43"/>
  <c r="X226" i="43"/>
  <c r="X325" i="46"/>
  <c r="X744" i="41"/>
  <c r="X320" i="46"/>
  <c r="X225" i="47"/>
  <c r="X336" i="44"/>
  <c r="X220" i="47"/>
  <c r="X741" i="41"/>
  <c r="X322" i="46"/>
  <c r="X211" i="50"/>
  <c r="X324" i="46"/>
  <c r="X745" i="41"/>
  <c r="X340" i="44"/>
  <c r="X258" i="23"/>
  <c r="X337" i="44"/>
  <c r="X260" i="23"/>
  <c r="X261" i="23"/>
  <c r="X262" i="23"/>
  <c r="X263" i="23"/>
  <c r="X265" i="23"/>
  <c r="X266" i="23"/>
  <c r="X267" i="23"/>
  <c r="A153" i="44"/>
  <c r="L159" i="7"/>
  <c r="J158" i="10" s="1"/>
  <c r="L165" i="7"/>
  <c r="J164" i="10" s="1"/>
  <c r="L163" i="7"/>
  <c r="J162" i="10" s="1"/>
  <c r="L167" i="7"/>
  <c r="J166" i="10" s="1"/>
  <c r="Q167" i="7"/>
  <c r="O166" i="10" s="1"/>
  <c r="L161" i="7"/>
  <c r="J160" i="10" s="1"/>
  <c r="Q159" i="7"/>
  <c r="O158" i="10" s="1"/>
  <c r="Q165" i="7"/>
  <c r="O164" i="10" s="1"/>
  <c r="P26" i="7"/>
  <c r="AJ192" i="8"/>
  <c r="AJ193" i="8" s="1"/>
  <c r="AJ194" i="8" s="1"/>
  <c r="AJ195" i="8" s="1"/>
  <c r="AJ196" i="8" s="1"/>
  <c r="K31" i="8"/>
  <c r="O120" i="13" s="1"/>
  <c r="F32" i="8"/>
  <c r="L32" i="8" s="1"/>
  <c r="L28" i="7" s="1"/>
  <c r="J27" i="10" s="1"/>
  <c r="Z32" i="8"/>
  <c r="U173" i="23"/>
  <c r="B32" i="8"/>
  <c r="J32" i="8" s="1"/>
  <c r="J28" i="7" s="1"/>
  <c r="AF27" i="10" s="1"/>
  <c r="AG27" i="10" s="1"/>
  <c r="X32" i="8"/>
  <c r="D32" i="8"/>
  <c r="K32" i="8" s="1"/>
  <c r="K28" i="7" s="1"/>
  <c r="I27" i="10" s="1"/>
  <c r="R27" i="10" s="1"/>
  <c r="Y32" i="8"/>
  <c r="H32" i="8"/>
  <c r="M32" i="8" s="1"/>
  <c r="AA32" i="8"/>
  <c r="L67" i="7"/>
  <c r="J66" i="10" s="1"/>
  <c r="L68" i="7"/>
  <c r="J67" i="10" s="1"/>
  <c r="L69" i="7"/>
  <c r="J68" i="10" s="1"/>
  <c r="Q68" i="7"/>
  <c r="O67" i="10" s="1"/>
  <c r="A202" i="30"/>
  <c r="A360" i="41"/>
  <c r="A50" i="29"/>
  <c r="AA47" i="23"/>
  <c r="AF47" i="23" s="1"/>
  <c r="A50" i="23"/>
  <c r="A314" i="35"/>
  <c r="A49" i="25"/>
  <c r="A109" i="43"/>
  <c r="A212" i="46"/>
  <c r="A572" i="41"/>
  <c r="A49" i="37"/>
  <c r="A50" i="36"/>
  <c r="A50" i="31"/>
  <c r="A96" i="31"/>
  <c r="A50" i="28"/>
  <c r="A201" i="38"/>
  <c r="A149" i="31"/>
  <c r="A148" i="23"/>
  <c r="A146" i="33"/>
  <c r="A315" i="29"/>
  <c r="R145" i="50"/>
  <c r="U145" i="50"/>
  <c r="A368" i="35"/>
  <c r="A113" i="46"/>
  <c r="A312" i="41"/>
  <c r="A259" i="46"/>
  <c r="A201" i="41"/>
  <c r="A524" i="41"/>
  <c r="A101" i="40"/>
  <c r="A153" i="38"/>
  <c r="A169" i="43"/>
  <c r="A261" i="35"/>
  <c r="A96" i="27"/>
  <c r="A224" i="29"/>
  <c r="A253" i="44"/>
  <c r="A97" i="26"/>
  <c r="A468" i="31"/>
  <c r="A264" i="29"/>
  <c r="A209" i="40"/>
  <c r="A50" i="27"/>
  <c r="A209" i="25"/>
  <c r="A415" i="31"/>
  <c r="A199" i="33"/>
  <c r="R199" i="33" s="1"/>
  <c r="A49" i="38"/>
  <c r="A625" i="41"/>
  <c r="A49" i="43"/>
  <c r="A98" i="44"/>
  <c r="A50" i="32"/>
  <c r="A112" i="23"/>
  <c r="A201" i="26"/>
  <c r="A95" i="41"/>
  <c r="A96" i="28"/>
  <c r="A50" i="35"/>
  <c r="A153" i="37"/>
  <c r="A154" i="30"/>
  <c r="A171" i="46"/>
  <c r="A49" i="44"/>
  <c r="A203" i="35"/>
  <c r="A49" i="41"/>
  <c r="A254" i="41"/>
  <c r="A51" i="30"/>
  <c r="A100" i="25"/>
  <c r="A198" i="23"/>
  <c r="A50" i="40"/>
  <c r="A49" i="47"/>
  <c r="A150" i="35"/>
  <c r="A154" i="25"/>
  <c r="AF253" i="25"/>
  <c r="A256" i="25"/>
  <c r="A96" i="30"/>
  <c r="A113" i="29"/>
  <c r="A96" i="32"/>
  <c r="A95" i="38"/>
  <c r="A210" i="44"/>
  <c r="A521" i="31"/>
  <c r="A466" i="41"/>
  <c r="A678" i="41"/>
  <c r="A171" i="47"/>
  <c r="A112" i="35"/>
  <c r="A154" i="32"/>
  <c r="A152" i="40"/>
  <c r="A313" i="31"/>
  <c r="A49" i="26"/>
  <c r="A255" i="31"/>
  <c r="A116" i="47"/>
  <c r="A201" i="37"/>
  <c r="A50" i="46"/>
  <c r="A95" i="37"/>
  <c r="A287" i="44"/>
  <c r="A202" i="31"/>
  <c r="A171" i="29"/>
  <c r="A413" i="41"/>
  <c r="A148" i="41"/>
  <c r="A150" i="36"/>
  <c r="A114" i="36"/>
  <c r="A50" i="33"/>
  <c r="A362" i="31"/>
  <c r="E4" i="18"/>
  <c r="E5" i="18"/>
  <c r="E6" i="18"/>
  <c r="E7" i="18"/>
  <c r="E8" i="18"/>
  <c r="E9" i="18"/>
  <c r="E10" i="18"/>
  <c r="E11" i="18"/>
  <c r="E12" i="18"/>
  <c r="E13" i="18"/>
  <c r="H29" i="47"/>
  <c r="AA6" i="47"/>
  <c r="H239" i="46"/>
  <c r="AA11" i="46"/>
  <c r="AA4" i="46"/>
  <c r="AA12" i="40"/>
  <c r="AA10" i="38"/>
  <c r="AA9" i="37"/>
  <c r="AA5" i="36"/>
  <c r="AA11" i="35"/>
  <c r="AA4" i="35"/>
  <c r="AA5" i="33"/>
  <c r="AA10" i="31"/>
  <c r="H30" i="28"/>
  <c r="AA6" i="28"/>
  <c r="AA12" i="27"/>
  <c r="H29" i="25"/>
  <c r="AA6" i="25"/>
  <c r="AA4" i="27"/>
  <c r="AA10" i="46"/>
  <c r="H232" i="44"/>
  <c r="H29" i="44"/>
  <c r="AA6" i="44"/>
  <c r="AA5" i="43"/>
  <c r="AA5" i="41"/>
  <c r="AA11" i="40"/>
  <c r="AA4" i="40"/>
  <c r="H133" i="37"/>
  <c r="AA8" i="37"/>
  <c r="AA12" i="36"/>
  <c r="AA10" i="35"/>
  <c r="H30" i="34"/>
  <c r="AA6" i="34"/>
  <c r="AA12" i="33"/>
  <c r="AA7" i="32"/>
  <c r="AA9" i="30"/>
  <c r="H244" i="29"/>
  <c r="AA5" i="29"/>
  <c r="AA11" i="27"/>
  <c r="AA7" i="26"/>
  <c r="AA10" i="27"/>
  <c r="AA5" i="25"/>
  <c r="AA4" i="34"/>
  <c r="AA9" i="33"/>
  <c r="AA10" i="28"/>
  <c r="AA6" i="30"/>
  <c r="AA12" i="26"/>
  <c r="H237" i="25"/>
  <c r="AA5" i="47"/>
  <c r="AA12" i="43"/>
  <c r="AA12" i="41"/>
  <c r="AA10" i="40"/>
  <c r="AA9" i="38"/>
  <c r="AA11" i="36"/>
  <c r="AA4" i="36"/>
  <c r="AA11" i="33"/>
  <c r="AA4" i="33"/>
  <c r="AA9" i="31"/>
  <c r="AA8" i="30"/>
  <c r="H151" i="29"/>
  <c r="AA12" i="29"/>
  <c r="AA5" i="28"/>
  <c r="AA5" i="32"/>
  <c r="AA12" i="47"/>
  <c r="AA9" i="46"/>
  <c r="AA5" i="44"/>
  <c r="AA11" i="43"/>
  <c r="AA4" i="43"/>
  <c r="AA11" i="41"/>
  <c r="AA4" i="41"/>
  <c r="AA8" i="38"/>
  <c r="AA7" i="37"/>
  <c r="AA10" i="36"/>
  <c r="AA9" i="35"/>
  <c r="AA5" i="34"/>
  <c r="AA10" i="33"/>
  <c r="H30" i="32"/>
  <c r="AA6" i="32"/>
  <c r="AA8" i="31"/>
  <c r="H30" i="29"/>
  <c r="AA11" i="29"/>
  <c r="AA4" i="29"/>
  <c r="AA12" i="28"/>
  <c r="H29" i="26"/>
  <c r="AA6" i="26"/>
  <c r="AA12" i="25"/>
  <c r="H134" i="32"/>
  <c r="AA7" i="30"/>
  <c r="AA10" i="29"/>
  <c r="AA11" i="28"/>
  <c r="AA4" i="28"/>
  <c r="AA9" i="27"/>
  <c r="AA11" i="25"/>
  <c r="AA4" i="25"/>
  <c r="H29" i="37"/>
  <c r="AA6" i="37"/>
  <c r="AA9" i="36"/>
  <c r="AA11" i="34"/>
  <c r="AA7" i="31"/>
  <c r="AA8" i="27"/>
  <c r="AA5" i="26"/>
  <c r="AA10" i="25"/>
  <c r="AA12" i="32"/>
  <c r="AA11" i="47"/>
  <c r="AA4" i="47"/>
  <c r="AA8" i="46"/>
  <c r="AA12" i="44"/>
  <c r="AA10" i="43"/>
  <c r="AA10" i="41"/>
  <c r="AA9" i="40"/>
  <c r="H133" i="38"/>
  <c r="AA8" i="35"/>
  <c r="AA12" i="34"/>
  <c r="AA10" i="47"/>
  <c r="H192" i="46"/>
  <c r="AA11" i="44"/>
  <c r="AA4" i="44"/>
  <c r="H504" i="41"/>
  <c r="AA8" i="40"/>
  <c r="AA7" i="38"/>
  <c r="H151" i="46"/>
  <c r="AA7" i="46"/>
  <c r="AA10" i="44"/>
  <c r="AA9" i="43"/>
  <c r="AA9" i="41"/>
  <c r="H190" i="40"/>
  <c r="AA8" i="36"/>
  <c r="H348" i="35"/>
  <c r="AA7" i="35"/>
  <c r="AA10" i="34"/>
  <c r="AA8" i="33"/>
  <c r="H152" i="47"/>
  <c r="AA9" i="47"/>
  <c r="H150" i="43"/>
  <c r="H89" i="43"/>
  <c r="AA8" i="43"/>
  <c r="AA8" i="41"/>
  <c r="AA7" i="40"/>
  <c r="H29" i="38"/>
  <c r="AA6" i="38"/>
  <c r="AA5" i="37"/>
  <c r="AA11" i="32"/>
  <c r="AA4" i="32"/>
  <c r="H30" i="31"/>
  <c r="AA6" i="31"/>
  <c r="AA8" i="29"/>
  <c r="AA9" i="28"/>
  <c r="AA7" i="27"/>
  <c r="AA11" i="26"/>
  <c r="AA4" i="26"/>
  <c r="H190" i="25"/>
  <c r="AA9" i="25"/>
  <c r="AA8" i="28"/>
  <c r="AA10" i="26"/>
  <c r="AA8" i="25"/>
  <c r="AA7" i="29"/>
  <c r="H31" i="30"/>
  <c r="H96" i="47"/>
  <c r="AA8" i="47"/>
  <c r="H30" i="46"/>
  <c r="AA6" i="46"/>
  <c r="AA9" i="44"/>
  <c r="H30" i="40"/>
  <c r="AA12" i="37"/>
  <c r="AA7" i="36"/>
  <c r="H30" i="35"/>
  <c r="AA6" i="35"/>
  <c r="AA9" i="34"/>
  <c r="AA7" i="33"/>
  <c r="AA10" i="32"/>
  <c r="H134" i="30"/>
  <c r="AA5" i="30"/>
  <c r="AA6" i="27"/>
  <c r="AA7" i="28"/>
  <c r="AA9" i="26"/>
  <c r="H80" i="25"/>
  <c r="AA7" i="25"/>
  <c r="AA4" i="31"/>
  <c r="AA10" i="30"/>
  <c r="AA6" i="29"/>
  <c r="AA5" i="27"/>
  <c r="AA8" i="44"/>
  <c r="AA7" i="43"/>
  <c r="H292" i="41"/>
  <c r="AA7" i="41"/>
  <c r="AA6" i="40"/>
  <c r="AA5" i="38"/>
  <c r="AA11" i="37"/>
  <c r="AA4" i="37"/>
  <c r="H241" i="35"/>
  <c r="H294" i="35"/>
  <c r="H293" i="34"/>
  <c r="AA8" i="34"/>
  <c r="H293" i="31"/>
  <c r="AA5" i="31"/>
  <c r="AA12" i="30"/>
  <c r="H30" i="27"/>
  <c r="AA8" i="26"/>
  <c r="AA9" i="29"/>
  <c r="AA7" i="47"/>
  <c r="AA5" i="46"/>
  <c r="H190" i="44"/>
  <c r="AA12" i="38"/>
  <c r="AA10" i="37"/>
  <c r="H30" i="36"/>
  <c r="AA6" i="36"/>
  <c r="AA5" i="35"/>
  <c r="H30" i="33"/>
  <c r="AA6" i="33"/>
  <c r="AA9" i="32"/>
  <c r="AA12" i="31"/>
  <c r="AA11" i="30"/>
  <c r="AA4" i="30"/>
  <c r="AA12" i="46"/>
  <c r="H79" i="44"/>
  <c r="AA7" i="44"/>
  <c r="H29" i="43"/>
  <c r="AA6" i="43"/>
  <c r="H29" i="41"/>
  <c r="AA6" i="41"/>
  <c r="AA5" i="40"/>
  <c r="AA11" i="38"/>
  <c r="AA4" i="38"/>
  <c r="AA12" i="35"/>
  <c r="AA7" i="34"/>
  <c r="AA8" i="32"/>
  <c r="AA11" i="31"/>
  <c r="AA8" i="23"/>
  <c r="AA7" i="23"/>
  <c r="AA5" i="23"/>
  <c r="AA11" i="23"/>
  <c r="H30" i="23"/>
  <c r="AA6" i="23"/>
  <c r="AA12" i="23"/>
  <c r="AA10" i="23"/>
  <c r="AA4" i="23"/>
  <c r="AA9" i="23"/>
  <c r="AV1" i="5"/>
  <c r="AW1" i="5" s="1"/>
  <c r="AX1" i="5" s="1"/>
  <c r="AY1" i="5" s="1"/>
  <c r="AZ1" i="5" s="1"/>
  <c r="BA1" i="5" s="1"/>
  <c r="BB1" i="5" s="1"/>
  <c r="C13" i="18"/>
  <c r="L58" i="7"/>
  <c r="J57" i="10" s="1"/>
  <c r="Q48" i="7"/>
  <c r="O47" i="10" s="1"/>
  <c r="L156" i="7"/>
  <c r="J155" i="10" s="1"/>
  <c r="L154" i="7"/>
  <c r="J153" i="10" s="1"/>
  <c r="L35" i="7"/>
  <c r="J34" i="10" s="1"/>
  <c r="Q59" i="7"/>
  <c r="O58" i="10" s="1"/>
  <c r="L157" i="7"/>
  <c r="J156" i="10" s="1"/>
  <c r="L82" i="7"/>
  <c r="J81" i="10" s="1"/>
  <c r="L153" i="7"/>
  <c r="J152" i="10" s="1"/>
  <c r="L80" i="7"/>
  <c r="J79" i="10" s="1"/>
  <c r="L62" i="7"/>
  <c r="J61" i="10" s="1"/>
  <c r="L59" i="7"/>
  <c r="J58" i="10" s="1"/>
  <c r="Q79" i="7"/>
  <c r="O78" i="10" s="1"/>
  <c r="L79" i="7"/>
  <c r="J78" i="10" s="1"/>
  <c r="L31" i="7"/>
  <c r="J30" i="10" s="1"/>
  <c r="L81" i="7"/>
  <c r="J80" i="10" s="1"/>
  <c r="L109" i="7"/>
  <c r="J108" i="10" s="1"/>
  <c r="Q87" i="7"/>
  <c r="O86" i="10" s="1"/>
  <c r="L87" i="7"/>
  <c r="J86" i="10" s="1"/>
  <c r="Q110" i="7"/>
  <c r="O109" i="10" s="1"/>
  <c r="L32" i="7"/>
  <c r="J31" i="10" s="1"/>
  <c r="L110" i="7"/>
  <c r="J109" i="10" s="1"/>
  <c r="Q26" i="7"/>
  <c r="O25" i="10" s="1"/>
  <c r="L64" i="7"/>
  <c r="J63" i="10" s="1"/>
  <c r="Q29" i="7"/>
  <c r="O28" i="10" s="1"/>
  <c r="L65" i="7"/>
  <c r="J64" i="10" s="1"/>
  <c r="Q6" i="7"/>
  <c r="O6" i="10" s="1"/>
  <c r="A9" i="10"/>
  <c r="M1" i="7"/>
  <c r="X197" i="50"/>
  <c r="X736" i="41"/>
  <c r="B1" i="4"/>
  <c r="C1" i="4" s="1"/>
  <c r="D1" i="4" s="1"/>
  <c r="E1" i="4" s="1"/>
  <c r="F1" i="4" s="1"/>
  <c r="G1" i="4" s="1"/>
  <c r="H1" i="4" s="1"/>
  <c r="I1" i="4" s="1"/>
  <c r="J1" i="4" s="1"/>
  <c r="K1" i="4" s="1"/>
  <c r="F103" i="13" l="1"/>
  <c r="R86" i="50" s="1"/>
  <c r="AB168" i="22"/>
  <c r="N153" i="10"/>
  <c r="R153" i="10" s="1"/>
  <c r="S113" i="52" s="1"/>
  <c r="T113" i="52"/>
  <c r="U113" i="52" s="1"/>
  <c r="T103" i="13"/>
  <c r="N152" i="10"/>
  <c r="U154" i="7"/>
  <c r="U155" i="7" s="1"/>
  <c r="U156" i="7" s="1"/>
  <c r="U157" i="7" s="1"/>
  <c r="U158" i="7" s="1"/>
  <c r="CE14" i="52" s="1"/>
  <c r="AF125" i="52"/>
  <c r="BT183" i="22"/>
  <c r="CC183" i="22" s="1"/>
  <c r="Y128" i="52"/>
  <c r="BN32" i="52" s="1"/>
  <c r="AF126" i="52"/>
  <c r="AD126" i="52"/>
  <c r="AB124" i="52"/>
  <c r="AQ13" i="10"/>
  <c r="AQ14" i="10" s="1"/>
  <c r="AQ15" i="10" s="1"/>
  <c r="AQ16" i="10" s="1"/>
  <c r="CH6" i="52" s="1"/>
  <c r="CI6" i="52" s="1"/>
  <c r="AA52" i="62"/>
  <c r="AF52" i="62" s="1"/>
  <c r="BS183" i="22"/>
  <c r="CB183" i="22" s="1"/>
  <c r="AP183" i="22"/>
  <c r="X52" i="62" s="1"/>
  <c r="AE126" i="52"/>
  <c r="X92" i="52"/>
  <c r="AB126" i="52"/>
  <c r="BN31" i="52"/>
  <c r="AC126" i="52"/>
  <c r="AA126" i="52"/>
  <c r="AH126" i="52"/>
  <c r="X128" i="52"/>
  <c r="BM32" i="52" s="1"/>
  <c r="AA55" i="62"/>
  <c r="AF55" i="62" s="1"/>
  <c r="BU183" i="22"/>
  <c r="CD183" i="22" s="1"/>
  <c r="AQ183" i="22"/>
  <c r="AL183" i="22" s="1"/>
  <c r="AQ179" i="22"/>
  <c r="X157" i="68" s="1"/>
  <c r="AA157" i="68"/>
  <c r="AF157" i="68" s="1"/>
  <c r="BU179" i="22"/>
  <c r="AQ181" i="22"/>
  <c r="X231" i="68" s="1"/>
  <c r="AA231" i="68"/>
  <c r="AF231" i="68" s="1"/>
  <c r="BU181" i="22"/>
  <c r="AQ180" i="22"/>
  <c r="X194" i="68" s="1"/>
  <c r="BU180" i="22"/>
  <c r="AA194" i="68"/>
  <c r="AF194" i="68" s="1"/>
  <c r="BU182" i="22"/>
  <c r="AA269" i="68"/>
  <c r="AF269" i="68" s="1"/>
  <c r="AQ182" i="22"/>
  <c r="X269" i="68" s="1"/>
  <c r="BU178" i="22"/>
  <c r="AA104" i="68"/>
  <c r="AF104" i="68" s="1"/>
  <c r="AQ178" i="22"/>
  <c r="X104" i="68" s="1"/>
  <c r="AA55" i="68"/>
  <c r="AF55" i="68" s="1"/>
  <c r="AQ177" i="22"/>
  <c r="AL177" i="22" s="1"/>
  <c r="BU177" i="22"/>
  <c r="AE125" i="52"/>
  <c r="BO31" i="52"/>
  <c r="AQ107" i="10"/>
  <c r="AD125" i="52"/>
  <c r="BY9" i="22"/>
  <c r="AB125" i="52"/>
  <c r="AA125" i="52"/>
  <c r="AC125" i="52"/>
  <c r="AH125" i="52"/>
  <c r="AD124" i="52"/>
  <c r="AF124" i="52"/>
  <c r="BM31" i="52"/>
  <c r="BY43" i="22"/>
  <c r="BI24" i="52"/>
  <c r="AH124" i="52"/>
  <c r="AA124" i="52"/>
  <c r="BY28" i="22"/>
  <c r="BY29" i="22" s="1"/>
  <c r="AE124" i="52"/>
  <c r="BL31" i="52"/>
  <c r="AC124" i="52"/>
  <c r="Q15" i="13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4" i="13"/>
  <c r="C20" i="10"/>
  <c r="C19" i="10"/>
  <c r="R110" i="66" a="1"/>
  <c r="R110" i="66" s="1"/>
  <c r="R111" i="65" a="1"/>
  <c r="R111" i="65" s="1"/>
  <c r="AA123" i="52"/>
  <c r="AH127" i="52"/>
  <c r="AF123" i="52"/>
  <c r="AE127" i="52"/>
  <c r="AH123" i="52"/>
  <c r="AD123" i="52"/>
  <c r="AB123" i="52"/>
  <c r="AE123" i="52"/>
  <c r="AC123" i="52"/>
  <c r="AD127" i="52"/>
  <c r="AB127" i="52"/>
  <c r="AC127" i="52"/>
  <c r="AF127" i="52"/>
  <c r="AA127" i="52"/>
  <c r="AQ150" i="10"/>
  <c r="AQ151" i="10" s="1"/>
  <c r="CH21" i="52" s="1"/>
  <c r="CI21" i="52" s="1"/>
  <c r="CH15" i="52"/>
  <c r="CI15" i="52" s="1"/>
  <c r="AK9" i="10"/>
  <c r="H9" i="10" s="1"/>
  <c r="AL9" i="10"/>
  <c r="AM9" i="10" s="1"/>
  <c r="AI9" i="10"/>
  <c r="AJ9" i="10" s="1"/>
  <c r="AJ10" i="10" s="1"/>
  <c r="AI57" i="10"/>
  <c r="AK57" i="10" s="1"/>
  <c r="H57" i="10" s="1"/>
  <c r="AI58" i="10"/>
  <c r="AI59" i="10"/>
  <c r="AK59" i="10" s="1"/>
  <c r="AQ41" i="10"/>
  <c r="AQ42" i="10" s="1"/>
  <c r="AQ43" i="10" s="1"/>
  <c r="AQ44" i="10" s="1"/>
  <c r="CH9" i="52" s="1"/>
  <c r="CI9" i="52" s="1"/>
  <c r="AQ29" i="10"/>
  <c r="CH11" i="52" s="1"/>
  <c r="CI11" i="52" s="1"/>
  <c r="AI10" i="10"/>
  <c r="AK10" i="10" s="1"/>
  <c r="AQ32" i="10"/>
  <c r="AQ33" i="10" s="1"/>
  <c r="AQ34" i="10" s="1"/>
  <c r="AQ35" i="10" s="1"/>
  <c r="AQ36" i="10" s="1"/>
  <c r="AQ37" i="10" s="1"/>
  <c r="AQ38" i="10" s="1"/>
  <c r="CH4" i="52" s="1"/>
  <c r="AI30" i="10"/>
  <c r="AK30" i="10" s="1"/>
  <c r="H30" i="10" s="1"/>
  <c r="N21" i="13" s="1"/>
  <c r="AI31" i="10"/>
  <c r="AI32" i="10"/>
  <c r="AK32" i="10" s="1"/>
  <c r="AI14" i="10"/>
  <c r="AJ14" i="10" s="1"/>
  <c r="AJ15" i="10" s="1"/>
  <c r="AI15" i="10"/>
  <c r="AK15" i="10" s="1"/>
  <c r="T35" i="10"/>
  <c r="T44" i="10"/>
  <c r="AQ26" i="10"/>
  <c r="CH19" i="52" s="1"/>
  <c r="CI19" i="52" s="1"/>
  <c r="AQ50" i="10"/>
  <c r="AQ51" i="10" s="1"/>
  <c r="AQ52" i="10" s="1"/>
  <c r="AQ53" i="10" s="1"/>
  <c r="AQ54" i="10" s="1"/>
  <c r="AQ55" i="10" s="1"/>
  <c r="T38" i="10"/>
  <c r="T13" i="10"/>
  <c r="AQ127" i="10"/>
  <c r="AQ128" i="10" s="1"/>
  <c r="CH16" i="52" s="1"/>
  <c r="CI16" i="52" s="1"/>
  <c r="AI63" i="10"/>
  <c r="AK63" i="10" s="1"/>
  <c r="H63" i="10" s="1"/>
  <c r="AL63" i="10" s="1"/>
  <c r="T63" i="10" s="1"/>
  <c r="AQ65" i="10"/>
  <c r="CH18" i="52" s="1"/>
  <c r="CI18" i="52" s="1"/>
  <c r="AQ101" i="10"/>
  <c r="CH10" i="52" s="1"/>
  <c r="CI10" i="52" s="1"/>
  <c r="AK129" i="10"/>
  <c r="H129" i="10" s="1"/>
  <c r="N90" i="13" s="1"/>
  <c r="AQ130" i="10"/>
  <c r="AQ131" i="10" s="1"/>
  <c r="AQ132" i="10" s="1"/>
  <c r="AQ133" i="10" s="1"/>
  <c r="AQ134" i="10" s="1"/>
  <c r="AQ135" i="10" s="1"/>
  <c r="AQ136" i="10" s="1"/>
  <c r="AQ137" i="10" s="1"/>
  <c r="AQ59" i="10"/>
  <c r="AQ60" i="10" s="1"/>
  <c r="CH17" i="52" s="1"/>
  <c r="CI17" i="52" s="1"/>
  <c r="AI81" i="10"/>
  <c r="AQ82" i="10"/>
  <c r="AQ83" i="10" s="1"/>
  <c r="AQ84" i="10" s="1"/>
  <c r="AQ85" i="10" s="1"/>
  <c r="CH8" i="52" s="1"/>
  <c r="CI8" i="52" s="1"/>
  <c r="AQ143" i="10"/>
  <c r="AQ144" i="10" s="1"/>
  <c r="AQ145" i="10" s="1"/>
  <c r="AQ146" i="10" s="1"/>
  <c r="CH22" i="52" s="1"/>
  <c r="CI22" i="52" s="1"/>
  <c r="BY168" i="22"/>
  <c r="BY169" i="22" s="1"/>
  <c r="BY170" i="22" s="1"/>
  <c r="CI25" i="22" s="1"/>
  <c r="AH154" i="10"/>
  <c r="AI152" i="10" s="1"/>
  <c r="AK152" i="10" s="1"/>
  <c r="N102" i="13" s="1"/>
  <c r="G102" i="13" s="1"/>
  <c r="AI155" i="10"/>
  <c r="AK155" i="10" s="1"/>
  <c r="AI156" i="10"/>
  <c r="AI157" i="10"/>
  <c r="AK157" i="10" s="1"/>
  <c r="E14" i="18"/>
  <c r="C16" i="55" s="1"/>
  <c r="C8" i="55"/>
  <c r="O6" i="18"/>
  <c r="F8" i="55" s="1"/>
  <c r="O5" i="18"/>
  <c r="F7" i="55" s="1"/>
  <c r="C7" i="55"/>
  <c r="N4" i="18"/>
  <c r="E6" i="55" s="1"/>
  <c r="Q6" i="55" s="1"/>
  <c r="O4" i="18"/>
  <c r="F6" i="55" s="1"/>
  <c r="R6" i="55" s="1"/>
  <c r="D6" i="59" s="1"/>
  <c r="C6" i="55"/>
  <c r="O13" i="18"/>
  <c r="F15" i="55" s="1"/>
  <c r="C15" i="55"/>
  <c r="C13" i="55"/>
  <c r="O11" i="18"/>
  <c r="F13" i="55" s="1"/>
  <c r="C14" i="55"/>
  <c r="O12" i="18"/>
  <c r="F14" i="55" s="1"/>
  <c r="O10" i="18"/>
  <c r="F12" i="55" s="1"/>
  <c r="C12" i="55"/>
  <c r="C11" i="55"/>
  <c r="O9" i="18"/>
  <c r="F11" i="55" s="1"/>
  <c r="C10" i="55"/>
  <c r="O8" i="18"/>
  <c r="F10" i="55" s="1"/>
  <c r="C9" i="55"/>
  <c r="O7" i="18"/>
  <c r="F9" i="55" s="1"/>
  <c r="P15" i="55"/>
  <c r="J15" i="55"/>
  <c r="X274" i="38"/>
  <c r="AB274" i="38" s="1"/>
  <c r="AF274" i="38" s="1"/>
  <c r="AJ274" i="38" s="1"/>
  <c r="X325" i="25"/>
  <c r="AB325" i="25" s="1"/>
  <c r="AF325" i="25" s="1"/>
  <c r="AJ325" i="25" s="1"/>
  <c r="X274" i="26"/>
  <c r="AB274" i="26" s="1"/>
  <c r="AF274" i="26" s="1"/>
  <c r="AJ274" i="26" s="1"/>
  <c r="X275" i="30"/>
  <c r="AB275" i="30" s="1"/>
  <c r="AF275" i="30" s="1"/>
  <c r="AJ275" i="30" s="1"/>
  <c r="X328" i="68"/>
  <c r="AB328" i="68" s="1"/>
  <c r="AF328" i="68" s="1"/>
  <c r="AJ328" i="68" s="1"/>
  <c r="X594" i="31"/>
  <c r="AB594" i="31" s="1"/>
  <c r="AF594" i="31" s="1"/>
  <c r="AJ594" i="31" s="1"/>
  <c r="X369" i="29"/>
  <c r="AB369" i="29" s="1"/>
  <c r="AF369" i="29" s="1"/>
  <c r="AJ369" i="29" s="1"/>
  <c r="X274" i="37"/>
  <c r="AB274" i="37" s="1"/>
  <c r="AF274" i="37" s="1"/>
  <c r="AJ274" i="37" s="1"/>
  <c r="X169" i="28"/>
  <c r="AB169" i="28" s="1"/>
  <c r="AF169" i="28" s="1"/>
  <c r="AJ169" i="28" s="1"/>
  <c r="X269" i="33"/>
  <c r="AB269" i="33" s="1"/>
  <c r="AF269" i="33" s="1"/>
  <c r="AJ269" i="33" s="1"/>
  <c r="X123" i="65"/>
  <c r="AB123" i="65" s="1"/>
  <c r="AF123" i="65" s="1"/>
  <c r="AJ123" i="65" s="1"/>
  <c r="X122" i="66"/>
  <c r="AB122" i="66" s="1"/>
  <c r="AF122" i="66" s="1"/>
  <c r="AJ122" i="66" s="1"/>
  <c r="X594" i="34"/>
  <c r="AB594" i="34" s="1"/>
  <c r="AF594" i="34" s="1"/>
  <c r="AJ594" i="34" s="1"/>
  <c r="X223" i="36"/>
  <c r="AB223" i="36" s="1"/>
  <c r="AF223" i="36" s="1"/>
  <c r="AJ223" i="36" s="1"/>
  <c r="X123" i="64"/>
  <c r="X131" i="62"/>
  <c r="X222" i="32"/>
  <c r="AB222" i="32" s="1"/>
  <c r="AF222" i="32" s="1"/>
  <c r="AJ222" i="32" s="1"/>
  <c r="X280" i="40"/>
  <c r="X125" i="63"/>
  <c r="X170" i="67"/>
  <c r="AB170" i="67" s="1"/>
  <c r="AF170" i="67" s="1"/>
  <c r="AJ170" i="67" s="1"/>
  <c r="X170" i="27"/>
  <c r="AB170" i="27" s="1"/>
  <c r="AF170" i="27" s="1"/>
  <c r="AJ170" i="27" s="1"/>
  <c r="X217" i="43"/>
  <c r="X328" i="44"/>
  <c r="X253" i="23"/>
  <c r="X270" i="33"/>
  <c r="AB270" i="33" s="1"/>
  <c r="AF270" i="33" s="1"/>
  <c r="AJ270" i="33" s="1"/>
  <c r="X171" i="67"/>
  <c r="AB171" i="67" s="1"/>
  <c r="AF171" i="67" s="1"/>
  <c r="AJ171" i="67" s="1"/>
  <c r="X171" i="27"/>
  <c r="AB171" i="27" s="1"/>
  <c r="AF171" i="27" s="1"/>
  <c r="AJ171" i="27" s="1"/>
  <c r="X124" i="65"/>
  <c r="AB124" i="65" s="1"/>
  <c r="AF124" i="65" s="1"/>
  <c r="AJ124" i="65" s="1"/>
  <c r="X123" i="66"/>
  <c r="AB123" i="66" s="1"/>
  <c r="AF123" i="66" s="1"/>
  <c r="AJ123" i="66" s="1"/>
  <c r="X595" i="34"/>
  <c r="AB595" i="34" s="1"/>
  <c r="AF595" i="34" s="1"/>
  <c r="AJ595" i="34" s="1"/>
  <c r="X224" i="36"/>
  <c r="AB224" i="36" s="1"/>
  <c r="AF224" i="36" s="1"/>
  <c r="AJ224" i="36" s="1"/>
  <c r="X124" i="64"/>
  <c r="X132" i="62"/>
  <c r="X275" i="38"/>
  <c r="AB275" i="38" s="1"/>
  <c r="AF275" i="38" s="1"/>
  <c r="AJ275" i="38" s="1"/>
  <c r="X326" i="25"/>
  <c r="AB326" i="25" s="1"/>
  <c r="AF326" i="25" s="1"/>
  <c r="AJ326" i="25" s="1"/>
  <c r="X275" i="26"/>
  <c r="AB275" i="26" s="1"/>
  <c r="AF275" i="26" s="1"/>
  <c r="AJ275" i="26" s="1"/>
  <c r="X276" i="30"/>
  <c r="AB276" i="30" s="1"/>
  <c r="AF276" i="30" s="1"/>
  <c r="AJ276" i="30" s="1"/>
  <c r="X265" i="40"/>
  <c r="X223" i="32"/>
  <c r="AB223" i="32" s="1"/>
  <c r="AF223" i="32" s="1"/>
  <c r="AJ223" i="32" s="1"/>
  <c r="X281" i="40"/>
  <c r="X126" i="63"/>
  <c r="X108" i="65"/>
  <c r="AB108" i="65" s="1"/>
  <c r="AF108" i="65" s="1"/>
  <c r="AJ108" i="65" s="1"/>
  <c r="X107" i="66"/>
  <c r="AB107" i="66" s="1"/>
  <c r="AF107" i="66" s="1"/>
  <c r="AJ107" i="66" s="1"/>
  <c r="X579" i="34"/>
  <c r="X208" i="36"/>
  <c r="X108" i="64"/>
  <c r="X116" i="62"/>
  <c r="X212" i="47"/>
  <c r="X259" i="38"/>
  <c r="X310" i="25"/>
  <c r="X259" i="26"/>
  <c r="X260" i="30"/>
  <c r="X154" i="28"/>
  <c r="X312" i="46"/>
  <c r="X170" i="28"/>
  <c r="AB170" i="28" s="1"/>
  <c r="AF170" i="28" s="1"/>
  <c r="AJ170" i="28" s="1"/>
  <c r="X313" i="68"/>
  <c r="X579" i="31"/>
  <c r="X354" i="29"/>
  <c r="X259" i="37"/>
  <c r="X254" i="33"/>
  <c r="X207" i="32"/>
  <c r="X110" i="63"/>
  <c r="X329" i="68"/>
  <c r="AB329" i="68" s="1"/>
  <c r="AF329" i="68" s="1"/>
  <c r="AJ329" i="68" s="1"/>
  <c r="X595" i="31"/>
  <c r="AB595" i="31" s="1"/>
  <c r="AF595" i="31" s="1"/>
  <c r="AJ595" i="31" s="1"/>
  <c r="X370" i="29"/>
  <c r="AB370" i="29" s="1"/>
  <c r="AF370" i="29" s="1"/>
  <c r="AJ370" i="29" s="1"/>
  <c r="X155" i="67"/>
  <c r="X155" i="27"/>
  <c r="X275" i="37"/>
  <c r="AB275" i="37" s="1"/>
  <c r="AF275" i="37" s="1"/>
  <c r="AJ275" i="37" s="1"/>
  <c r="X419" i="35"/>
  <c r="AA154" i="68"/>
  <c r="AF154" i="68" s="1"/>
  <c r="AA266" i="68"/>
  <c r="AF266" i="68" s="1"/>
  <c r="AA191" i="68"/>
  <c r="AF191" i="68" s="1"/>
  <c r="AA101" i="68"/>
  <c r="AF101" i="68" s="1"/>
  <c r="AA228" i="68"/>
  <c r="AF228" i="68" s="1"/>
  <c r="AT4" i="22"/>
  <c r="BA70" i="22" s="1"/>
  <c r="AT70" i="22" s="1"/>
  <c r="BP70" i="22" s="1"/>
  <c r="T34" i="8" a="1"/>
  <c r="T34" i="8" s="1"/>
  <c r="G34" i="8" s="1"/>
  <c r="R34" i="8" a="1"/>
  <c r="R34" i="8" s="1"/>
  <c r="E34" i="8" s="1"/>
  <c r="V34" i="8" a="1"/>
  <c r="V34" i="8" s="1"/>
  <c r="I34" i="8" s="1"/>
  <c r="U34" i="8" a="1"/>
  <c r="U34" i="8" s="1"/>
  <c r="S34" i="8" a="1"/>
  <c r="S34" i="8" s="1"/>
  <c r="O34" i="8" a="1"/>
  <c r="O34" i="8" s="1"/>
  <c r="P34" i="8" a="1"/>
  <c r="P34" i="8" s="1"/>
  <c r="C34" i="8" s="1"/>
  <c r="Q34" i="8" a="1"/>
  <c r="Q34" i="8" s="1"/>
  <c r="X315" i="68"/>
  <c r="X581" i="31"/>
  <c r="X356" i="29"/>
  <c r="X272" i="33"/>
  <c r="AB272" i="33" s="1"/>
  <c r="X331" i="68"/>
  <c r="AB331" i="68" s="1"/>
  <c r="X597" i="31"/>
  <c r="AB597" i="31" s="1"/>
  <c r="X372" i="29"/>
  <c r="AB372" i="29" s="1"/>
  <c r="X277" i="37"/>
  <c r="AB277" i="37" s="1"/>
  <c r="X261" i="37"/>
  <c r="X171" i="28"/>
  <c r="AB171" i="28" s="1"/>
  <c r="AF171" i="28" s="1"/>
  <c r="AJ171" i="28" s="1"/>
  <c r="X225" i="32"/>
  <c r="AB225" i="32" s="1"/>
  <c r="X283" i="40"/>
  <c r="AB283" i="40" s="1"/>
  <c r="X260" i="38"/>
  <c r="X311" i="25"/>
  <c r="X260" i="26"/>
  <c r="X261" i="30"/>
  <c r="X173" i="67"/>
  <c r="AB173" i="67" s="1"/>
  <c r="X173" i="27"/>
  <c r="AB173" i="27" s="1"/>
  <c r="X316" i="68"/>
  <c r="X582" i="31"/>
  <c r="X357" i="29"/>
  <c r="X157" i="67"/>
  <c r="X157" i="27"/>
  <c r="X314" i="68"/>
  <c r="X580" i="31"/>
  <c r="X355" i="29"/>
  <c r="X126" i="65"/>
  <c r="AB126" i="65" s="1"/>
  <c r="X125" i="66"/>
  <c r="AB125" i="66" s="1"/>
  <c r="X597" i="34"/>
  <c r="AB597" i="34" s="1"/>
  <c r="X226" i="36"/>
  <c r="AB226" i="36" s="1"/>
  <c r="X262" i="37"/>
  <c r="X110" i="65"/>
  <c r="X109" i="66"/>
  <c r="X581" i="34"/>
  <c r="X210" i="36"/>
  <c r="X260" i="37"/>
  <c r="X172" i="28"/>
  <c r="AB172" i="28" s="1"/>
  <c r="X423" i="35"/>
  <c r="X257" i="33"/>
  <c r="X156" i="28"/>
  <c r="X172" i="67"/>
  <c r="AB172" i="67" s="1"/>
  <c r="AF172" i="67" s="1"/>
  <c r="AJ172" i="67" s="1"/>
  <c r="X172" i="27"/>
  <c r="AB172" i="27" s="1"/>
  <c r="AF172" i="27" s="1"/>
  <c r="AJ172" i="27" s="1"/>
  <c r="X256" i="33"/>
  <c r="X255" i="33"/>
  <c r="X277" i="38"/>
  <c r="AB277" i="38" s="1"/>
  <c r="X328" i="25"/>
  <c r="AB328" i="25" s="1"/>
  <c r="X277" i="26"/>
  <c r="AB277" i="26" s="1"/>
  <c r="X278" i="30"/>
  <c r="AB278" i="30" s="1"/>
  <c r="X201" i="50"/>
  <c r="X210" i="32"/>
  <c r="X261" i="38"/>
  <c r="X312" i="25"/>
  <c r="X261" i="26"/>
  <c r="X262" i="30"/>
  <c r="X125" i="65"/>
  <c r="AB125" i="65" s="1"/>
  <c r="AF125" i="65" s="1"/>
  <c r="AJ125" i="65" s="1"/>
  <c r="X124" i="66"/>
  <c r="AB124" i="66" s="1"/>
  <c r="AF124" i="66" s="1"/>
  <c r="AJ124" i="66" s="1"/>
  <c r="X596" i="34"/>
  <c r="AB596" i="34" s="1"/>
  <c r="AF596" i="34" s="1"/>
  <c r="AJ596" i="34" s="1"/>
  <c r="X225" i="36"/>
  <c r="AB225" i="36" s="1"/>
  <c r="AF225" i="36" s="1"/>
  <c r="AJ225" i="36" s="1"/>
  <c r="X125" i="64"/>
  <c r="AB125" i="64" s="1"/>
  <c r="AF125" i="64" s="1"/>
  <c r="AJ125" i="64" s="1"/>
  <c r="X133" i="62"/>
  <c r="AB133" i="62" s="1"/>
  <c r="AF133" i="62" s="1"/>
  <c r="AJ133" i="62" s="1"/>
  <c r="X276" i="38"/>
  <c r="AB276" i="38" s="1"/>
  <c r="X327" i="25"/>
  <c r="AB327" i="25" s="1"/>
  <c r="AF327" i="25" s="1"/>
  <c r="AJ327" i="25" s="1"/>
  <c r="X276" i="26"/>
  <c r="AB276" i="26" s="1"/>
  <c r="AF276" i="26" s="1"/>
  <c r="AJ276" i="26" s="1"/>
  <c r="X277" i="30"/>
  <c r="AB277" i="30" s="1"/>
  <c r="AF277" i="30" s="1"/>
  <c r="AJ277" i="30" s="1"/>
  <c r="X158" i="67"/>
  <c r="X158" i="27"/>
  <c r="X113" i="63"/>
  <c r="X209" i="32"/>
  <c r="X112" i="63"/>
  <c r="X208" i="32"/>
  <c r="X111" i="63"/>
  <c r="X156" i="67"/>
  <c r="X156" i="27"/>
  <c r="X216" i="47"/>
  <c r="X111" i="65"/>
  <c r="X110" i="66"/>
  <c r="X582" i="34"/>
  <c r="X211" i="36"/>
  <c r="X109" i="65"/>
  <c r="X108" i="66"/>
  <c r="X580" i="34"/>
  <c r="X209" i="36"/>
  <c r="X109" i="64"/>
  <c r="X117" i="62"/>
  <c r="X271" i="33"/>
  <c r="AB271" i="33" s="1"/>
  <c r="AF271" i="33" s="1"/>
  <c r="AJ271" i="33" s="1"/>
  <c r="X157" i="28"/>
  <c r="X330" i="68"/>
  <c r="AB330" i="68" s="1"/>
  <c r="AF330" i="68" s="1"/>
  <c r="AJ330" i="68" s="1"/>
  <c r="X596" i="31"/>
  <c r="AB596" i="31" s="1"/>
  <c r="AF596" i="31" s="1"/>
  <c r="AJ596" i="31" s="1"/>
  <c r="X371" i="29"/>
  <c r="AB371" i="29" s="1"/>
  <c r="AF371" i="29" s="1"/>
  <c r="AJ371" i="29" s="1"/>
  <c r="X276" i="37"/>
  <c r="AB276" i="37" s="1"/>
  <c r="AF276" i="37" s="1"/>
  <c r="AJ276" i="37" s="1"/>
  <c r="X155" i="28"/>
  <c r="X128" i="63"/>
  <c r="AB128" i="63" s="1"/>
  <c r="AF128" i="63" s="1"/>
  <c r="AJ128" i="63" s="1"/>
  <c r="X224" i="32"/>
  <c r="AB224" i="32" s="1"/>
  <c r="AF224" i="32" s="1"/>
  <c r="AJ224" i="32" s="1"/>
  <c r="X127" i="63"/>
  <c r="AB127" i="63" s="1"/>
  <c r="AF127" i="63" s="1"/>
  <c r="AJ127" i="63" s="1"/>
  <c r="X282" i="40"/>
  <c r="AB282" i="40" s="1"/>
  <c r="AF282" i="40" s="1"/>
  <c r="AJ282" i="40" s="1"/>
  <c r="X262" i="38"/>
  <c r="X313" i="25"/>
  <c r="X262" i="26"/>
  <c r="X263" i="30"/>
  <c r="AI65" i="10"/>
  <c r="AK65" i="10" s="1"/>
  <c r="AK61" i="10"/>
  <c r="H61" i="10" s="1"/>
  <c r="AI64" i="10"/>
  <c r="AI62" i="10"/>
  <c r="AK62" i="10" s="1"/>
  <c r="AI143" i="10"/>
  <c r="AK143" i="10" s="1"/>
  <c r="AI134" i="10"/>
  <c r="AJ134" i="10" s="1"/>
  <c r="AJ135" i="10" s="1"/>
  <c r="AJ171" i="10"/>
  <c r="AJ172" i="10" s="1"/>
  <c r="AJ173" i="10" s="1"/>
  <c r="AJ174" i="10" s="1"/>
  <c r="AJ175" i="10" s="1"/>
  <c r="AJ176" i="10" s="1"/>
  <c r="AI135" i="10"/>
  <c r="AK135" i="10" s="1"/>
  <c r="AI82" i="10"/>
  <c r="AK82" i="10" s="1"/>
  <c r="AI129" i="10"/>
  <c r="AJ129" i="10" s="1"/>
  <c r="AJ130" i="10" s="1"/>
  <c r="AI130" i="10"/>
  <c r="AK130" i="10" s="1"/>
  <c r="AI144" i="10"/>
  <c r="AJ144" i="10" s="1"/>
  <c r="AJ145" i="10" s="1"/>
  <c r="AI142" i="10"/>
  <c r="AJ142" i="10" s="1"/>
  <c r="AJ143" i="10" s="1"/>
  <c r="AI165" i="10"/>
  <c r="AK165" i="10" s="1"/>
  <c r="N99" i="13"/>
  <c r="V144" i="10"/>
  <c r="Q144" i="10"/>
  <c r="T32" i="10"/>
  <c r="Q72" i="10"/>
  <c r="N51" i="13"/>
  <c r="AL72" i="10"/>
  <c r="C138" i="10"/>
  <c r="H138" i="10" s="1"/>
  <c r="AH138" i="10" s="1"/>
  <c r="T138" i="10" s="1"/>
  <c r="AK166" i="10"/>
  <c r="H166" i="10" s="1"/>
  <c r="AL166" i="10"/>
  <c r="T167" i="10"/>
  <c r="AL158" i="10"/>
  <c r="T159" i="10"/>
  <c r="AQ159" i="10"/>
  <c r="AI158" i="10"/>
  <c r="AJ158" i="10" s="1"/>
  <c r="AJ159" i="10" s="1"/>
  <c r="AI159" i="10"/>
  <c r="AK159" i="10" s="1"/>
  <c r="AK124" i="10"/>
  <c r="H124" i="10" s="1"/>
  <c r="T125" i="10"/>
  <c r="AL124" i="10"/>
  <c r="T130" i="10"/>
  <c r="AL129" i="10"/>
  <c r="AI145" i="10"/>
  <c r="AK145" i="10" s="1"/>
  <c r="C111" i="10"/>
  <c r="AF111" i="10" s="1"/>
  <c r="T141" i="10"/>
  <c r="AK134" i="10"/>
  <c r="H134" i="10" s="1"/>
  <c r="T135" i="10"/>
  <c r="AL134" i="10"/>
  <c r="C95" i="10"/>
  <c r="H95" i="10" s="1"/>
  <c r="AH95" i="10" s="1"/>
  <c r="T95" i="10" s="1"/>
  <c r="T92" i="10"/>
  <c r="T65" i="10"/>
  <c r="T105" i="10"/>
  <c r="AI166" i="10"/>
  <c r="AJ166" i="10" s="1"/>
  <c r="AJ167" i="10" s="1"/>
  <c r="T41" i="10"/>
  <c r="AL144" i="10"/>
  <c r="T145" i="10"/>
  <c r="C53" i="10"/>
  <c r="AF53" i="10" s="1"/>
  <c r="AG53" i="10" s="1"/>
  <c r="H52" i="10"/>
  <c r="T10" i="10"/>
  <c r="AK164" i="10"/>
  <c r="H164" i="10" s="1"/>
  <c r="T165" i="10"/>
  <c r="AL164" i="10"/>
  <c r="AI80" i="10"/>
  <c r="AK80" i="10" s="1"/>
  <c r="H80" i="10" s="1"/>
  <c r="N58" i="13" s="1"/>
  <c r="N36" i="13"/>
  <c r="Q51" i="10"/>
  <c r="AL51" i="10"/>
  <c r="AK162" i="10"/>
  <c r="H162" i="10" s="1"/>
  <c r="T163" i="10"/>
  <c r="AL162" i="10"/>
  <c r="Q173" i="10"/>
  <c r="N114" i="13"/>
  <c r="C116" i="10"/>
  <c r="AF116" i="10" s="1"/>
  <c r="CC29" i="22"/>
  <c r="Q176" i="10"/>
  <c r="N117" i="13"/>
  <c r="Q175" i="10"/>
  <c r="N116" i="13"/>
  <c r="AK142" i="10"/>
  <c r="H142" i="10" s="1"/>
  <c r="T143" i="10"/>
  <c r="AL142" i="10"/>
  <c r="C121" i="10"/>
  <c r="AF121" i="10" s="1"/>
  <c r="AK147" i="10"/>
  <c r="H147" i="10" s="1"/>
  <c r="AL147" i="10"/>
  <c r="T148" i="10"/>
  <c r="N115" i="13"/>
  <c r="Q174" i="10"/>
  <c r="C88" i="10"/>
  <c r="AF88" i="10" s="1"/>
  <c r="T26" i="10"/>
  <c r="Q158" i="10"/>
  <c r="W158" i="10" s="1"/>
  <c r="AA158" i="10" s="1"/>
  <c r="N118" i="13"/>
  <c r="T50" i="10"/>
  <c r="AK149" i="10"/>
  <c r="H149" i="10" s="1"/>
  <c r="T150" i="10"/>
  <c r="AL149" i="10"/>
  <c r="H73" i="10"/>
  <c r="C74" i="10"/>
  <c r="AF74" i="10" s="1"/>
  <c r="AG73" i="10"/>
  <c r="T82" i="10"/>
  <c r="T8" i="10"/>
  <c r="AI79" i="10"/>
  <c r="AK79" i="10" s="1"/>
  <c r="H79" i="10" s="1"/>
  <c r="N57" i="13" s="1"/>
  <c r="T170" i="10"/>
  <c r="T29" i="10"/>
  <c r="T59" i="10"/>
  <c r="N113" i="13"/>
  <c r="Q172" i="10"/>
  <c r="T98" i="10"/>
  <c r="AK14" i="10"/>
  <c r="H14" i="10" s="1"/>
  <c r="AL14" i="10"/>
  <c r="T15" i="10"/>
  <c r="N112" i="13"/>
  <c r="X58" i="68" s="1"/>
  <c r="V171" i="10"/>
  <c r="Q171" i="10"/>
  <c r="Y171" i="10"/>
  <c r="AB171" i="10" s="1"/>
  <c r="AK126" i="10"/>
  <c r="H126" i="10" s="1"/>
  <c r="T127" i="10"/>
  <c r="AL126" i="10"/>
  <c r="AI78" i="10"/>
  <c r="AJ78" i="10" s="1"/>
  <c r="AI167" i="10"/>
  <c r="AK167" i="10" s="1"/>
  <c r="AK160" i="10"/>
  <c r="H160" i="10" s="1"/>
  <c r="T161" i="10"/>
  <c r="AQ161" i="10"/>
  <c r="AL160" i="10"/>
  <c r="AI160" i="10"/>
  <c r="AJ160" i="10" s="1"/>
  <c r="AJ161" i="10" s="1"/>
  <c r="AI161" i="10"/>
  <c r="AK161" i="10" s="1"/>
  <c r="AK106" i="10"/>
  <c r="H106" i="10" s="1"/>
  <c r="T107" i="10"/>
  <c r="AL106" i="10"/>
  <c r="C70" i="10"/>
  <c r="AF70" i="10" s="1"/>
  <c r="C23" i="10"/>
  <c r="AI163" i="10"/>
  <c r="AK163" i="10" s="1"/>
  <c r="CD173" i="22"/>
  <c r="CD174" i="22" s="1"/>
  <c r="CD171" i="22" s="1"/>
  <c r="BS180" i="22"/>
  <c r="BS179" i="22"/>
  <c r="AL171" i="22"/>
  <c r="X55" i="64"/>
  <c r="AH171" i="22"/>
  <c r="U52" i="64" s="1"/>
  <c r="R64" i="64" s="1"/>
  <c r="X52" i="64"/>
  <c r="BS178" i="22"/>
  <c r="AH172" i="22"/>
  <c r="U52" i="65" s="1"/>
  <c r="R64" i="65" s="1"/>
  <c r="X52" i="65"/>
  <c r="BS181" i="22"/>
  <c r="AL172" i="22"/>
  <c r="X55" i="65"/>
  <c r="AL173" i="22"/>
  <c r="X55" i="66"/>
  <c r="BS177" i="22"/>
  <c r="AA52" i="68"/>
  <c r="AF52" i="68" s="1"/>
  <c r="BS182" i="22"/>
  <c r="AH173" i="22"/>
  <c r="X52" i="66"/>
  <c r="A52" i="63"/>
  <c r="R49" i="63"/>
  <c r="X44" i="52"/>
  <c r="V56" i="52"/>
  <c r="BK23" i="52" s="1"/>
  <c r="R579" i="34" s="1" a="1"/>
  <c r="R579" i="34" s="1"/>
  <c r="V51" i="52"/>
  <c r="BK17" i="52" s="1"/>
  <c r="R207" i="32" s="1" a="1"/>
  <c r="R207" i="32" s="1"/>
  <c r="U51" i="52"/>
  <c r="BJ17" i="52" s="1"/>
  <c r="R206" i="32" s="1" a="1"/>
  <c r="R206" i="32" s="1"/>
  <c r="AB206" i="32" s="1"/>
  <c r="S128" i="52"/>
  <c r="BH32" i="52" s="1"/>
  <c r="U31" i="52"/>
  <c r="W153" i="70"/>
  <c r="U56" i="52"/>
  <c r="BJ23" i="52" s="1"/>
  <c r="R578" i="34" s="1" a="1"/>
  <c r="R578" i="34" s="1"/>
  <c r="AB578" i="34" s="1"/>
  <c r="AF578" i="34" s="1"/>
  <c r="AJ578" i="34" s="1"/>
  <c r="W251" i="70"/>
  <c r="W34" i="70"/>
  <c r="W33" i="70"/>
  <c r="S116" i="52"/>
  <c r="BH26" i="52" s="1"/>
  <c r="W27" i="70"/>
  <c r="W50" i="70"/>
  <c r="W49" i="70"/>
  <c r="S114" i="52"/>
  <c r="S85" i="52"/>
  <c r="S29" i="52"/>
  <c r="S66" i="52"/>
  <c r="BH8" i="52" s="1"/>
  <c r="W65" i="70"/>
  <c r="S63" i="10"/>
  <c r="W83" i="70" s="1"/>
  <c r="W79" i="70"/>
  <c r="X64" i="52"/>
  <c r="BN67" i="22"/>
  <c r="CC43" i="22"/>
  <c r="X91" i="52"/>
  <c r="X23" i="52"/>
  <c r="CB29" i="22"/>
  <c r="X16" i="52"/>
  <c r="X103" i="52"/>
  <c r="CB173" i="22"/>
  <c r="CB174" i="22" s="1"/>
  <c r="CB171" i="22" s="1"/>
  <c r="CB43" i="22"/>
  <c r="X63" i="52"/>
  <c r="BO67" i="22"/>
  <c r="BA151" i="22"/>
  <c r="AT151" i="22" s="1"/>
  <c r="BP151" i="22" s="1"/>
  <c r="BA150" i="22"/>
  <c r="AT150" i="22" s="1"/>
  <c r="BP150" i="22" s="1"/>
  <c r="BA149" i="22"/>
  <c r="BB149" i="22" s="1"/>
  <c r="BD73" i="22"/>
  <c r="X42" i="52"/>
  <c r="CC173" i="22"/>
  <c r="CC174" i="22" s="1"/>
  <c r="CC171" i="22" s="1"/>
  <c r="X84" i="52"/>
  <c r="X15" i="52"/>
  <c r="X21" i="52"/>
  <c r="X43" i="52"/>
  <c r="R110" i="65" a="1"/>
  <c r="R110" i="65" s="1"/>
  <c r="R113" i="63" a="1"/>
  <c r="R113" i="63" s="1"/>
  <c r="AG112" i="52"/>
  <c r="AG122" i="52"/>
  <c r="BV31" i="52" s="1"/>
  <c r="BA125" i="22"/>
  <c r="BB125" i="22" s="1"/>
  <c r="BA126" i="22"/>
  <c r="AT126" i="22" s="1"/>
  <c r="W71" i="52" s="1"/>
  <c r="AT84" i="22"/>
  <c r="AN84" i="22" s="1"/>
  <c r="AB84" i="22" s="1"/>
  <c r="BB84" i="22"/>
  <c r="BA85" i="22" s="1"/>
  <c r="AT85" i="22" s="1"/>
  <c r="BA122" i="22"/>
  <c r="AT122" i="22" s="1"/>
  <c r="AN122" i="22" s="1"/>
  <c r="AB122" i="22" s="1"/>
  <c r="BA121" i="22"/>
  <c r="BB121" i="22" s="1"/>
  <c r="BA123" i="22"/>
  <c r="AT123" i="22" s="1"/>
  <c r="W68" i="52" s="1"/>
  <c r="BA137" i="22"/>
  <c r="AT137" i="22" s="1"/>
  <c r="W82" i="52" s="1"/>
  <c r="BA136" i="22"/>
  <c r="BB136" i="22" s="1"/>
  <c r="BA147" i="22"/>
  <c r="AT147" i="22" s="1"/>
  <c r="AN147" i="22" s="1"/>
  <c r="AB147" i="22" s="1"/>
  <c r="F82" i="13" s="1"/>
  <c r="BA145" i="22"/>
  <c r="AT145" i="22" s="1"/>
  <c r="BA146" i="22"/>
  <c r="AT146" i="22" s="1"/>
  <c r="BP146" i="22" s="1"/>
  <c r="AT155" i="22"/>
  <c r="AN155" i="22" s="1"/>
  <c r="AB155" i="22" s="1"/>
  <c r="F90" i="13" s="1"/>
  <c r="BB155" i="22"/>
  <c r="BA108" i="22"/>
  <c r="AT108" i="22" s="1"/>
  <c r="BA110" i="22"/>
  <c r="AT110" i="22" s="1"/>
  <c r="W55" i="52" s="1"/>
  <c r="BA109" i="22"/>
  <c r="AT109" i="22" s="1"/>
  <c r="AN109" i="22" s="1"/>
  <c r="AB109" i="22" s="1"/>
  <c r="F44" i="13" s="1"/>
  <c r="BA99" i="22"/>
  <c r="AT99" i="22" s="1"/>
  <c r="AN99" i="22" s="1"/>
  <c r="AB99" i="22" s="1"/>
  <c r="BA98" i="22"/>
  <c r="AT98" i="22" s="1"/>
  <c r="BP98" i="22" s="1"/>
  <c r="BA97" i="22"/>
  <c r="AT97" i="22" s="1"/>
  <c r="BP97" i="22" s="1"/>
  <c r="BA96" i="22"/>
  <c r="AT96" i="22" s="1"/>
  <c r="AT139" i="22"/>
  <c r="W84" i="52" s="1"/>
  <c r="BB139" i="22"/>
  <c r="BA114" i="22"/>
  <c r="AT114" i="22" s="1"/>
  <c r="AN114" i="22" s="1"/>
  <c r="AB114" i="22" s="1"/>
  <c r="F49" i="13" s="1"/>
  <c r="BA113" i="22"/>
  <c r="AT113" i="22" s="1"/>
  <c r="W58" i="52" s="1"/>
  <c r="BA111" i="22"/>
  <c r="AT111" i="22" s="1"/>
  <c r="BA112" i="22"/>
  <c r="AT112" i="22" s="1"/>
  <c r="BP112" i="22" s="1"/>
  <c r="AT153" i="22"/>
  <c r="W98" i="52" s="1"/>
  <c r="BB153" i="22"/>
  <c r="BA143" i="22"/>
  <c r="AT143" i="22" s="1"/>
  <c r="BP143" i="22" s="1"/>
  <c r="BA142" i="22"/>
  <c r="AT142" i="22" s="1"/>
  <c r="W87" i="52" s="1"/>
  <c r="BA141" i="22"/>
  <c r="AT141" i="22" s="1"/>
  <c r="AN141" i="22" s="1"/>
  <c r="AB141" i="22" s="1"/>
  <c r="F76" i="13" s="1"/>
  <c r="BA140" i="22"/>
  <c r="BB140" i="22" s="1"/>
  <c r="BA165" i="22"/>
  <c r="AT7" i="22"/>
  <c r="BA76" i="22" s="1"/>
  <c r="BA163" i="22"/>
  <c r="AT68" i="22"/>
  <c r="AB122" i="52"/>
  <c r="AH122" i="52"/>
  <c r="AC122" i="52"/>
  <c r="AA122" i="52"/>
  <c r="AF122" i="52"/>
  <c r="AE122" i="52"/>
  <c r="AD122" i="52"/>
  <c r="AT58" i="22"/>
  <c r="BA172" i="22" s="1"/>
  <c r="AT172" i="22" s="1"/>
  <c r="AT46" i="22"/>
  <c r="BA158" i="22" s="1"/>
  <c r="AT60" i="22"/>
  <c r="BA174" i="22" s="1"/>
  <c r="AT174" i="22" s="1"/>
  <c r="X98" i="52"/>
  <c r="AT57" i="22"/>
  <c r="BA171" i="22" s="1"/>
  <c r="AT171" i="22" s="1"/>
  <c r="AT5" i="22"/>
  <c r="BA73" i="22" s="1"/>
  <c r="Z113" i="52"/>
  <c r="BO14" i="52" s="1"/>
  <c r="AI113" i="52"/>
  <c r="BX14" i="52" s="1"/>
  <c r="AJ113" i="52"/>
  <c r="BY14" i="52" s="1"/>
  <c r="T53" i="52"/>
  <c r="U46" i="52"/>
  <c r="V46" i="52"/>
  <c r="V25" i="52"/>
  <c r="U25" i="52"/>
  <c r="AC112" i="52"/>
  <c r="AF112" i="52"/>
  <c r="AB112" i="52"/>
  <c r="AE112" i="52"/>
  <c r="AH112" i="52"/>
  <c r="AD112" i="52"/>
  <c r="T105" i="13"/>
  <c r="U71" i="52"/>
  <c r="V71" i="52"/>
  <c r="T102" i="13"/>
  <c r="T112" i="52"/>
  <c r="AN165" i="10"/>
  <c r="S119" i="52"/>
  <c r="BH29" i="52" s="1"/>
  <c r="U67" i="52"/>
  <c r="BJ8" i="52" s="1"/>
  <c r="V67" i="52"/>
  <c r="BK8" i="52" s="1"/>
  <c r="U32" i="52"/>
  <c r="V32" i="52"/>
  <c r="X62" i="52"/>
  <c r="X86" i="52"/>
  <c r="BT118" i="22"/>
  <c r="Y63" i="52"/>
  <c r="BT126" i="22"/>
  <c r="Y71" i="52"/>
  <c r="X68" i="52"/>
  <c r="BT155" i="22"/>
  <c r="CC155" i="22" s="1"/>
  <c r="Y100" i="52"/>
  <c r="BT146" i="22"/>
  <c r="Y91" i="52"/>
  <c r="BT142" i="22"/>
  <c r="Y87" i="52"/>
  <c r="BT137" i="22"/>
  <c r="Y82" i="52"/>
  <c r="X87" i="52"/>
  <c r="BT165" i="22"/>
  <c r="CC165" i="22" s="1"/>
  <c r="Y110" i="52"/>
  <c r="X108" i="52"/>
  <c r="X67" i="52"/>
  <c r="X59" i="52"/>
  <c r="X54" i="52"/>
  <c r="BT71" i="22"/>
  <c r="Y16" i="52"/>
  <c r="BT143" i="22"/>
  <c r="Y88" i="52"/>
  <c r="BT76" i="22"/>
  <c r="Y21" i="52"/>
  <c r="X88" i="52"/>
  <c r="BT150" i="22"/>
  <c r="Y95" i="52"/>
  <c r="BT112" i="22"/>
  <c r="Y57" i="52"/>
  <c r="X48" i="52"/>
  <c r="X57" i="52"/>
  <c r="BT153" i="22"/>
  <c r="CC153" i="22" s="1"/>
  <c r="Y98" i="52"/>
  <c r="BT99" i="22"/>
  <c r="Y44" i="52"/>
  <c r="BT113" i="22"/>
  <c r="Y58" i="52"/>
  <c r="X49" i="52"/>
  <c r="X58" i="52"/>
  <c r="BT78" i="22"/>
  <c r="Y23" i="52"/>
  <c r="BT97" i="22"/>
  <c r="Y42" i="52"/>
  <c r="BT98" i="22"/>
  <c r="Y43" i="52"/>
  <c r="BT141" i="22"/>
  <c r="Y86" i="52"/>
  <c r="BT163" i="22"/>
  <c r="Y108" i="52"/>
  <c r="BT151" i="22"/>
  <c r="Y96" i="52"/>
  <c r="X71" i="52"/>
  <c r="BT114" i="22"/>
  <c r="Y59" i="52"/>
  <c r="X100" i="52"/>
  <c r="BT147" i="22"/>
  <c r="Y92" i="52"/>
  <c r="BP81" i="22"/>
  <c r="W26" i="52"/>
  <c r="X95" i="52"/>
  <c r="BT139" i="22"/>
  <c r="Y84" i="52"/>
  <c r="BP102" i="22"/>
  <c r="W47" i="52"/>
  <c r="BT73" i="22"/>
  <c r="CC73" i="22" s="1"/>
  <c r="Y18" i="52"/>
  <c r="X110" i="52"/>
  <c r="X47" i="52"/>
  <c r="BT110" i="22"/>
  <c r="Y55" i="52"/>
  <c r="BT158" i="22"/>
  <c r="Y103" i="52"/>
  <c r="X96" i="52"/>
  <c r="BP104" i="22"/>
  <c r="W49" i="52"/>
  <c r="BT102" i="22"/>
  <c r="Y47" i="52"/>
  <c r="BT81" i="22"/>
  <c r="Y26" i="52"/>
  <c r="BT103" i="22"/>
  <c r="Y48" i="52"/>
  <c r="X82" i="52"/>
  <c r="BT156" i="22"/>
  <c r="BT109" i="22"/>
  <c r="Y54" i="52"/>
  <c r="BT70" i="22"/>
  <c r="Y15" i="52"/>
  <c r="BP103" i="22"/>
  <c r="W48" i="52"/>
  <c r="BT104" i="22"/>
  <c r="Y49" i="52"/>
  <c r="BT90" i="22"/>
  <c r="Y35" i="52"/>
  <c r="BT123" i="22"/>
  <c r="Y68" i="52"/>
  <c r="X26" i="52"/>
  <c r="BT119" i="22"/>
  <c r="Y64" i="52"/>
  <c r="BP118" i="22"/>
  <c r="W63" i="52"/>
  <c r="BT122" i="22"/>
  <c r="Y67" i="52"/>
  <c r="X18" i="52"/>
  <c r="BT117" i="22"/>
  <c r="Y62" i="52"/>
  <c r="BP117" i="22"/>
  <c r="W62" i="52"/>
  <c r="BP119" i="22"/>
  <c r="W64" i="52"/>
  <c r="X55" i="52"/>
  <c r="Z4" i="52"/>
  <c r="S75" i="13"/>
  <c r="AJ10" i="52"/>
  <c r="J109" i="13"/>
  <c r="AI10" i="52"/>
  <c r="Z10" i="52"/>
  <c r="S13" i="52"/>
  <c r="S19" i="13"/>
  <c r="AN82" i="10"/>
  <c r="S56" i="13"/>
  <c r="U14" i="52"/>
  <c r="V14" i="52"/>
  <c r="T43" i="13"/>
  <c r="AN167" i="10"/>
  <c r="S106" i="13"/>
  <c r="S109" i="13"/>
  <c r="R109" i="10"/>
  <c r="R67" i="10"/>
  <c r="W5" i="70" s="1"/>
  <c r="S118" i="13"/>
  <c r="U26" i="7"/>
  <c r="U27" i="7" s="1"/>
  <c r="CE19" i="52" s="1"/>
  <c r="N25" i="10"/>
  <c r="R86" i="10"/>
  <c r="AN157" i="10"/>
  <c r="S104" i="13"/>
  <c r="R58" i="10"/>
  <c r="W71" i="70" s="1"/>
  <c r="AN159" i="10"/>
  <c r="Z7" i="52"/>
  <c r="AH7" i="52" s="1"/>
  <c r="AI7" i="52"/>
  <c r="AJ7" i="52"/>
  <c r="AJ12" i="52"/>
  <c r="AI12" i="52"/>
  <c r="AJ6" i="52"/>
  <c r="AI6" i="52"/>
  <c r="AJ5" i="52"/>
  <c r="AI5" i="52"/>
  <c r="AI11" i="52"/>
  <c r="AJ11" i="52"/>
  <c r="AJ4" i="52"/>
  <c r="AI4" i="52"/>
  <c r="X173" i="23"/>
  <c r="AP177" i="22"/>
  <c r="AA155" i="34"/>
  <c r="AF155" i="34" s="1"/>
  <c r="AA208" i="34"/>
  <c r="AF208" i="34" s="1"/>
  <c r="AA102" i="34"/>
  <c r="AF102" i="34" s="1"/>
  <c r="AA99" i="34"/>
  <c r="AF99" i="34" s="1"/>
  <c r="AA152" i="34"/>
  <c r="AF152" i="34" s="1"/>
  <c r="M109" i="13"/>
  <c r="AA205" i="34"/>
  <c r="AF205" i="34" s="1"/>
  <c r="AP182" i="22"/>
  <c r="X266" i="68" s="1"/>
  <c r="M84" i="68"/>
  <c r="M85" i="68" s="1"/>
  <c r="M34" i="67"/>
  <c r="M35" i="67" s="1"/>
  <c r="M35" i="68"/>
  <c r="M36" i="68" s="1"/>
  <c r="M174" i="68"/>
  <c r="M175" i="68" s="1"/>
  <c r="M137" i="68"/>
  <c r="M138" i="68" s="1"/>
  <c r="M249" i="68"/>
  <c r="M250" i="68" s="1"/>
  <c r="M211" i="68"/>
  <c r="M212" i="68" s="1"/>
  <c r="M35" i="66"/>
  <c r="M36" i="66" s="1"/>
  <c r="M74" i="67"/>
  <c r="M75" i="67" s="1"/>
  <c r="M35" i="65"/>
  <c r="M36" i="65" s="1"/>
  <c r="M35" i="64"/>
  <c r="M36" i="64" s="1"/>
  <c r="AP179" i="22"/>
  <c r="X154" i="68" s="1"/>
  <c r="BA74" i="22"/>
  <c r="BA128" i="22"/>
  <c r="BA106" i="22"/>
  <c r="AX156" i="22"/>
  <c r="Y101" i="52" s="1"/>
  <c r="BJ156" i="22"/>
  <c r="BJ136" i="22"/>
  <c r="BJ137" i="22" s="1"/>
  <c r="AX136" i="22"/>
  <c r="BV136" i="22" s="1"/>
  <c r="CE136" i="22" s="1"/>
  <c r="CE137" i="22" s="1"/>
  <c r="BS146" i="22"/>
  <c r="AP146" i="22"/>
  <c r="AH146" i="22" s="1"/>
  <c r="J81" i="13" s="1"/>
  <c r="AX166" i="22"/>
  <c r="BJ166" i="22"/>
  <c r="BJ145" i="22"/>
  <c r="BJ146" i="22" s="1"/>
  <c r="BJ147" i="22" s="1"/>
  <c r="AX145" i="22"/>
  <c r="BV145" i="22" s="1"/>
  <c r="AW149" i="22"/>
  <c r="BH149" i="22"/>
  <c r="BH150" i="22" s="1"/>
  <c r="BH151" i="22" s="1"/>
  <c r="AW130" i="22"/>
  <c r="BH130" i="22"/>
  <c r="AX121" i="22"/>
  <c r="BV121" i="22" s="1"/>
  <c r="CE121" i="22" s="1"/>
  <c r="CE122" i="22" s="1"/>
  <c r="CE123" i="22" s="1"/>
  <c r="BJ121" i="22"/>
  <c r="BJ122" i="22" s="1"/>
  <c r="BJ123" i="22" s="1"/>
  <c r="BD132" i="22"/>
  <c r="AU132" i="22"/>
  <c r="X77" i="52" s="1"/>
  <c r="BJ161" i="22"/>
  <c r="AX161" i="22"/>
  <c r="BV161" i="22" s="1"/>
  <c r="CE161" i="22" s="1"/>
  <c r="AQ119" i="22"/>
  <c r="BU119" i="22"/>
  <c r="AX96" i="22"/>
  <c r="BV96" i="22" s="1"/>
  <c r="CE96" i="22" s="1"/>
  <c r="CE97" i="22" s="1"/>
  <c r="CE98" i="22" s="1"/>
  <c r="CE99" i="22" s="1"/>
  <c r="CE100" i="22" s="1"/>
  <c r="BJ96" i="22"/>
  <c r="BJ97" i="22" s="1"/>
  <c r="BJ98" i="22" s="1"/>
  <c r="BJ99" i="22" s="1"/>
  <c r="BJ100" i="22" s="1"/>
  <c r="BS137" i="22"/>
  <c r="AP137" i="22"/>
  <c r="AH137" i="22" s="1"/>
  <c r="AT177" i="22"/>
  <c r="AV125" i="22"/>
  <c r="BF125" i="22"/>
  <c r="BF126" i="22" s="1"/>
  <c r="BU76" i="22"/>
  <c r="AQ76" i="22"/>
  <c r="AL76" i="22" s="1"/>
  <c r="L11" i="13" s="1"/>
  <c r="M11" i="13" s="1"/>
  <c r="BD161" i="22"/>
  <c r="AU161" i="22"/>
  <c r="AU90" i="22"/>
  <c r="BD90" i="22"/>
  <c r="BS102" i="22"/>
  <c r="AP102" i="22"/>
  <c r="AH102" i="22" s="1"/>
  <c r="J37" i="13" s="1"/>
  <c r="BU99" i="22"/>
  <c r="AQ99" i="22"/>
  <c r="AL99" i="22" s="1"/>
  <c r="L34" i="13" s="1"/>
  <c r="M34" i="13" s="1"/>
  <c r="BF86" i="22"/>
  <c r="AV86" i="22"/>
  <c r="BU132" i="22"/>
  <c r="CD132" i="22" s="1"/>
  <c r="BS70" i="22"/>
  <c r="AP70" i="22"/>
  <c r="AH70" i="22" s="1"/>
  <c r="BH128" i="22"/>
  <c r="AW128" i="22"/>
  <c r="AU86" i="22"/>
  <c r="BD86" i="22"/>
  <c r="AV132" i="22"/>
  <c r="BF132" i="22"/>
  <c r="AV145" i="22"/>
  <c r="BF145" i="22"/>
  <c r="BF146" i="22" s="1"/>
  <c r="BF147" i="22" s="1"/>
  <c r="AX84" i="22"/>
  <c r="BV84" i="22" s="1"/>
  <c r="CE84" i="22" s="1"/>
  <c r="BJ84" i="22"/>
  <c r="BD106" i="22"/>
  <c r="AU106" i="22"/>
  <c r="AP151" i="22"/>
  <c r="AH151" i="22" s="1"/>
  <c r="J86" i="13" s="1"/>
  <c r="BS151" i="22"/>
  <c r="AU134" i="22"/>
  <c r="BD134" i="22"/>
  <c r="AN102" i="22"/>
  <c r="AB102" i="22" s="1"/>
  <c r="F37" i="13" s="1"/>
  <c r="AX88" i="22"/>
  <c r="BV88" i="22" s="1"/>
  <c r="BJ88" i="22"/>
  <c r="BB82" i="22"/>
  <c r="AT82" i="22"/>
  <c r="BS139" i="22"/>
  <c r="AP139" i="22"/>
  <c r="AH139" i="22" s="1"/>
  <c r="AU77" i="22"/>
  <c r="BD77" i="22"/>
  <c r="BD78" i="22" s="1"/>
  <c r="BC79" i="22" s="1"/>
  <c r="AU79" i="22" s="1"/>
  <c r="AP153" i="22"/>
  <c r="AH153" i="22" s="1"/>
  <c r="BS153" i="22"/>
  <c r="CB153" i="22" s="1"/>
  <c r="AX175" i="22"/>
  <c r="BV175" i="22" s="1"/>
  <c r="CE175" i="22" s="1"/>
  <c r="BJ175" i="22"/>
  <c r="AP163" i="22"/>
  <c r="AH163" i="22" s="1"/>
  <c r="BS163" i="22"/>
  <c r="AT181" i="22"/>
  <c r="BE157" i="22"/>
  <c r="AV157" i="22" s="1"/>
  <c r="AP97" i="22"/>
  <c r="AH97" i="22" s="1"/>
  <c r="J32" i="13" s="1"/>
  <c r="BS97" i="22"/>
  <c r="BS123" i="22"/>
  <c r="AP123" i="22"/>
  <c r="AH123" i="22" s="1"/>
  <c r="AQ146" i="22"/>
  <c r="AL146" i="22" s="1"/>
  <c r="L81" i="13" s="1"/>
  <c r="M81" i="13" s="1"/>
  <c r="BU146" i="22"/>
  <c r="BU97" i="22"/>
  <c r="AQ97" i="22"/>
  <c r="AL97" i="22" s="1"/>
  <c r="L32" i="13" s="1"/>
  <c r="M32" i="13" s="1"/>
  <c r="AP155" i="22"/>
  <c r="AH155" i="22" s="1"/>
  <c r="J90" i="13" s="1"/>
  <c r="K90" i="13" s="1"/>
  <c r="BS155" i="22"/>
  <c r="CB155" i="22" s="1"/>
  <c r="AU164" i="22"/>
  <c r="BD164" i="22"/>
  <c r="BF130" i="22"/>
  <c r="AV130" i="22"/>
  <c r="AQ153" i="22"/>
  <c r="AL153" i="22" s="1"/>
  <c r="L88" i="13" s="1"/>
  <c r="M88" i="13" s="1"/>
  <c r="BU153" i="22"/>
  <c r="CD153" i="22" s="1"/>
  <c r="AW80" i="22"/>
  <c r="AU149" i="22"/>
  <c r="BD149" i="22"/>
  <c r="BD150" i="22" s="1"/>
  <c r="BD151" i="22" s="1"/>
  <c r="BS150" i="22"/>
  <c r="AP150" i="22"/>
  <c r="AH150" i="22" s="1"/>
  <c r="J85" i="13" s="1"/>
  <c r="AU154" i="22"/>
  <c r="BD154" i="22"/>
  <c r="AQ143" i="22"/>
  <c r="AL143" i="22" s="1"/>
  <c r="L78" i="13" s="1"/>
  <c r="M78" i="13" s="1"/>
  <c r="BU143" i="22"/>
  <c r="AX80" i="22"/>
  <c r="BV80" i="22" s="1"/>
  <c r="AN104" i="22"/>
  <c r="AB104" i="22" s="1"/>
  <c r="F39" i="13" s="1"/>
  <c r="AW134" i="22"/>
  <c r="BH134" i="22"/>
  <c r="AW86" i="22"/>
  <c r="BH86" i="22"/>
  <c r="BS78" i="22"/>
  <c r="AP78" i="22"/>
  <c r="AH78" i="22" s="1"/>
  <c r="J13" i="13" s="1"/>
  <c r="BS76" i="22"/>
  <c r="AP76" i="22"/>
  <c r="AH76" i="22" s="1"/>
  <c r="J11" i="13" s="1"/>
  <c r="K11" i="13" s="1"/>
  <c r="BS119" i="22"/>
  <c r="AP119" i="22"/>
  <c r="AV149" i="22"/>
  <c r="BF149" i="22"/>
  <c r="BF150" i="22" s="1"/>
  <c r="BF151" i="22" s="1"/>
  <c r="AU96" i="22"/>
  <c r="BD96" i="22"/>
  <c r="BD97" i="22" s="1"/>
  <c r="BD98" i="22" s="1"/>
  <c r="BD99" i="22" s="1"/>
  <c r="BD100" i="22" s="1"/>
  <c r="AQ155" i="22"/>
  <c r="AL155" i="22" s="1"/>
  <c r="L90" i="13" s="1"/>
  <c r="M90" i="13" s="1"/>
  <c r="BU155" i="22"/>
  <c r="CD155" i="22" s="1"/>
  <c r="AT180" i="22"/>
  <c r="AP122" i="22"/>
  <c r="AH122" i="22" s="1"/>
  <c r="BS122" i="22"/>
  <c r="BU147" i="22"/>
  <c r="AQ147" i="22"/>
  <c r="AL147" i="22" s="1"/>
  <c r="L82" i="13" s="1"/>
  <c r="M82" i="13" s="1"/>
  <c r="AQ98" i="22"/>
  <c r="AL98" i="22" s="1"/>
  <c r="L33" i="13" s="1"/>
  <c r="M33" i="13" s="1"/>
  <c r="BU98" i="22"/>
  <c r="AU175" i="22"/>
  <c r="BD175" i="22"/>
  <c r="AX77" i="22"/>
  <c r="BV77" i="22" s="1"/>
  <c r="CE77" i="22" s="1"/>
  <c r="CE78" i="22" s="1"/>
  <c r="BJ77" i="22"/>
  <c r="BJ78" i="22" s="1"/>
  <c r="BI79" i="22" s="1"/>
  <c r="AX79" i="22" s="1"/>
  <c r="BV79" i="22" s="1"/>
  <c r="AT80" i="22"/>
  <c r="AV69" i="22"/>
  <c r="BF69" i="22"/>
  <c r="BF70" i="22" s="1"/>
  <c r="BF71" i="22" s="1"/>
  <c r="AW136" i="22"/>
  <c r="BH136" i="22"/>
  <c r="BH137" i="22" s="1"/>
  <c r="AU167" i="22"/>
  <c r="BD167" i="22"/>
  <c r="AW166" i="22"/>
  <c r="BU166" i="22" s="1"/>
  <c r="BH166" i="22"/>
  <c r="AV80" i="22"/>
  <c r="AP180" i="22"/>
  <c r="X191" i="68" s="1"/>
  <c r="BD116" i="22"/>
  <c r="BD117" i="22" s="1"/>
  <c r="BD118" i="22" s="1"/>
  <c r="BD119" i="22" s="1"/>
  <c r="AU116" i="22"/>
  <c r="AW156" i="22"/>
  <c r="X101" i="52" s="1"/>
  <c r="BH156" i="22"/>
  <c r="BD128" i="22"/>
  <c r="AU128" i="22"/>
  <c r="BH175" i="22"/>
  <c r="AW175" i="22"/>
  <c r="AP99" i="22"/>
  <c r="AH99" i="22" s="1"/>
  <c r="BS99" i="22"/>
  <c r="AT166" i="22"/>
  <c r="W111" i="52" s="1"/>
  <c r="BB166" i="22"/>
  <c r="BC157" i="22"/>
  <c r="AU157" i="22" s="1"/>
  <c r="AU121" i="22"/>
  <c r="BD121" i="22"/>
  <c r="BD122" i="22" s="1"/>
  <c r="BD123" i="22" s="1"/>
  <c r="BH145" i="22"/>
  <c r="BH146" i="22" s="1"/>
  <c r="BH147" i="22" s="1"/>
  <c r="AW145" i="22"/>
  <c r="AT179" i="22"/>
  <c r="AU88" i="22"/>
  <c r="BD88" i="22"/>
  <c r="AW88" i="22"/>
  <c r="BH88" i="22"/>
  <c r="BF108" i="22"/>
  <c r="BF109" i="22" s="1"/>
  <c r="BF110" i="22" s="1"/>
  <c r="AV108" i="22"/>
  <c r="AW82" i="22"/>
  <c r="BH82" i="22"/>
  <c r="AW84" i="22"/>
  <c r="BH84" i="22"/>
  <c r="AX106" i="22"/>
  <c r="BV106" i="22" s="1"/>
  <c r="CE106" i="22" s="1"/>
  <c r="BJ106" i="22"/>
  <c r="AX94" i="22"/>
  <c r="BV94" i="22" s="1"/>
  <c r="BJ94" i="22"/>
  <c r="AT182" i="22"/>
  <c r="BU142" i="22"/>
  <c r="AQ142" i="22"/>
  <c r="AL142" i="22" s="1"/>
  <c r="L77" i="13" s="1"/>
  <c r="M77" i="13" s="1"/>
  <c r="BI91" i="22"/>
  <c r="AX91" i="22" s="1"/>
  <c r="BV91" i="22" s="1"/>
  <c r="AT101" i="22"/>
  <c r="BB101" i="22"/>
  <c r="BB102" i="22" s="1"/>
  <c r="BB103" i="22" s="1"/>
  <c r="BB104" i="22" s="1"/>
  <c r="AN81" i="22"/>
  <c r="AB81" i="22" s="1"/>
  <c r="F16" i="13" s="1"/>
  <c r="BU141" i="22"/>
  <c r="AQ141" i="22"/>
  <c r="AL141" i="22" s="1"/>
  <c r="L76" i="13" s="1"/>
  <c r="M76" i="13" s="1"/>
  <c r="AN103" i="22"/>
  <c r="AB103" i="22" s="1"/>
  <c r="F38" i="13" s="1"/>
  <c r="BD69" i="22"/>
  <c r="BD70" i="22" s="1"/>
  <c r="BD71" i="22" s="1"/>
  <c r="AU69" i="22"/>
  <c r="BU137" i="22"/>
  <c r="AQ137" i="22"/>
  <c r="AL137" i="22" s="1"/>
  <c r="L72" i="13" s="1"/>
  <c r="M72" i="13" s="1"/>
  <c r="AX69" i="22"/>
  <c r="BJ69" i="22"/>
  <c r="BJ70" i="22" s="1"/>
  <c r="BJ71" i="22" s="1"/>
  <c r="BF92" i="22"/>
  <c r="AV92" i="22"/>
  <c r="AW106" i="22"/>
  <c r="BH106" i="22"/>
  <c r="AU166" i="22"/>
  <c r="BD166" i="22"/>
  <c r="AP117" i="22"/>
  <c r="BS117" i="22"/>
  <c r="AX164" i="22"/>
  <c r="BV164" i="22" s="1"/>
  <c r="BJ164" i="22"/>
  <c r="AX101" i="22"/>
  <c r="BV101" i="22" s="1"/>
  <c r="BJ101" i="22"/>
  <c r="BJ102" i="22" s="1"/>
  <c r="BJ103" i="22" s="1"/>
  <c r="BJ104" i="22" s="1"/>
  <c r="AW121" i="22"/>
  <c r="BH121" i="22"/>
  <c r="BH122" i="22" s="1"/>
  <c r="BH123" i="22" s="1"/>
  <c r="AP126" i="22"/>
  <c r="AH126" i="22" s="1"/>
  <c r="J61" i="13" s="1"/>
  <c r="BS126" i="22"/>
  <c r="BS98" i="22"/>
  <c r="AP98" i="22"/>
  <c r="AH98" i="22" s="1"/>
  <c r="J33" i="13" s="1"/>
  <c r="AT116" i="22"/>
  <c r="BB116" i="22"/>
  <c r="BB117" i="22" s="1"/>
  <c r="BB118" i="22" s="1"/>
  <c r="BB119" i="22" s="1"/>
  <c r="BS156" i="22"/>
  <c r="AP156" i="22"/>
  <c r="AH156" i="22" s="1"/>
  <c r="J91" i="13" s="1"/>
  <c r="AW77" i="22"/>
  <c r="BH77" i="22"/>
  <c r="BH78" i="22" s="1"/>
  <c r="BG79" i="22" s="1"/>
  <c r="AW79" i="22" s="1"/>
  <c r="BU139" i="22"/>
  <c r="AQ139" i="22"/>
  <c r="AL139" i="22" s="1"/>
  <c r="L74" i="13" s="1"/>
  <c r="M74" i="13" s="1"/>
  <c r="AU130" i="22"/>
  <c r="BD130" i="22"/>
  <c r="BU73" i="22"/>
  <c r="CD73" i="22" s="1"/>
  <c r="AQ73" i="22"/>
  <c r="AL73" i="22" s="1"/>
  <c r="L8" i="13" s="1"/>
  <c r="M8" i="13" s="1"/>
  <c r="AX128" i="22"/>
  <c r="BV128" i="22" s="1"/>
  <c r="CE128" i="22" s="1"/>
  <c r="BJ128" i="22"/>
  <c r="BS118" i="22"/>
  <c r="AP118" i="22"/>
  <c r="AX159" i="22"/>
  <c r="BV159" i="22" s="1"/>
  <c r="BJ159" i="22"/>
  <c r="AW111" i="22"/>
  <c r="BH111" i="22"/>
  <c r="BH112" i="22" s="1"/>
  <c r="BH113" i="22" s="1"/>
  <c r="BH114" i="22" s="1"/>
  <c r="AW164" i="22"/>
  <c r="BH164" i="22"/>
  <c r="AQ70" i="22"/>
  <c r="AL70" i="22" s="1"/>
  <c r="L5" i="13" s="1"/>
  <c r="M5" i="13" s="1"/>
  <c r="BU70" i="22"/>
  <c r="AQ122" i="22"/>
  <c r="AL122" i="22" s="1"/>
  <c r="L57" i="13" s="1"/>
  <c r="M57" i="13" s="1"/>
  <c r="BU122" i="22"/>
  <c r="AU125" i="22"/>
  <c r="BD125" i="22"/>
  <c r="BD126" i="22" s="1"/>
  <c r="AN118" i="22"/>
  <c r="AB118" i="22" s="1"/>
  <c r="F53" i="13" s="1"/>
  <c r="BU78" i="22"/>
  <c r="AQ78" i="22"/>
  <c r="AL78" i="22" s="1"/>
  <c r="L13" i="13" s="1"/>
  <c r="M13" i="13" s="1"/>
  <c r="AP178" i="22"/>
  <c r="X101" i="68" s="1"/>
  <c r="AP81" i="22"/>
  <c r="AH81" i="22" s="1"/>
  <c r="J16" i="13" s="1"/>
  <c r="BS81" i="22"/>
  <c r="AV167" i="22"/>
  <c r="BF167" i="22"/>
  <c r="BF77" i="22"/>
  <c r="BF78" i="22" s="1"/>
  <c r="BE79" i="22" s="1"/>
  <c r="AV79" i="22" s="1"/>
  <c r="AV77" i="22"/>
  <c r="BS158" i="22"/>
  <c r="AP158" i="22"/>
  <c r="AH158" i="22" s="1"/>
  <c r="J93" i="13" s="1"/>
  <c r="AV82" i="22"/>
  <c r="BF82" i="22"/>
  <c r="AP71" i="22"/>
  <c r="AH71" i="22" s="1"/>
  <c r="BS71" i="22"/>
  <c r="BJ134" i="22"/>
  <c r="AX134" i="22"/>
  <c r="BV134" i="22" s="1"/>
  <c r="BJ167" i="22"/>
  <c r="AX167" i="22"/>
  <c r="BV167" i="22" s="1"/>
  <c r="CE167" i="22" s="1"/>
  <c r="AV106" i="22"/>
  <c r="BF106" i="22"/>
  <c r="AV128" i="22"/>
  <c r="BF128" i="22"/>
  <c r="BB164" i="22"/>
  <c r="AT164" i="22"/>
  <c r="W109" i="52" s="1"/>
  <c r="BF74" i="22"/>
  <c r="AV74" i="22"/>
  <c r="BE91" i="22"/>
  <c r="AV91" i="22" s="1"/>
  <c r="AV116" i="22"/>
  <c r="BF116" i="22"/>
  <c r="BF117" i="22" s="1"/>
  <c r="BF118" i="22" s="1"/>
  <c r="BF119" i="22" s="1"/>
  <c r="AQ112" i="22"/>
  <c r="BU112" i="22"/>
  <c r="BH69" i="22"/>
  <c r="BH70" i="22" s="1"/>
  <c r="BH71" i="22" s="1"/>
  <c r="AW69" i="22"/>
  <c r="AX111" i="22"/>
  <c r="BV111" i="22" s="1"/>
  <c r="CE111" i="22" s="1"/>
  <c r="CE112" i="22" s="1"/>
  <c r="CE113" i="22" s="1"/>
  <c r="CE114" i="22" s="1"/>
  <c r="BJ111" i="22"/>
  <c r="BJ112" i="22" s="1"/>
  <c r="BJ113" i="22" s="1"/>
  <c r="BJ114" i="22" s="1"/>
  <c r="AQ123" i="22"/>
  <c r="AL123" i="22" s="1"/>
  <c r="L58" i="13" s="1"/>
  <c r="M58" i="13" s="1"/>
  <c r="BU123" i="22"/>
  <c r="AW159" i="22"/>
  <c r="BH159" i="22"/>
  <c r="AN117" i="22"/>
  <c r="AB117" i="22" s="1"/>
  <c r="F52" i="13" s="1"/>
  <c r="AW94" i="22"/>
  <c r="BH94" i="22"/>
  <c r="BF121" i="22"/>
  <c r="BF122" i="22" s="1"/>
  <c r="BF123" i="22" s="1"/>
  <c r="AV121" i="22"/>
  <c r="AU84" i="22"/>
  <c r="BD84" i="22"/>
  <c r="AP114" i="22"/>
  <c r="BS114" i="22"/>
  <c r="AX82" i="22"/>
  <c r="BV82" i="22" s="1"/>
  <c r="CE82" i="22" s="1"/>
  <c r="BJ82" i="22"/>
  <c r="BJ116" i="22"/>
  <c r="BJ117" i="22" s="1"/>
  <c r="BJ118" i="22" s="1"/>
  <c r="BJ119" i="22" s="1"/>
  <c r="AX116" i="22"/>
  <c r="BV116" i="22" s="1"/>
  <c r="BJ149" i="22"/>
  <c r="BJ150" i="22" s="1"/>
  <c r="BJ151" i="22" s="1"/>
  <c r="AX149" i="22"/>
  <c r="BV149" i="22" s="1"/>
  <c r="AV154" i="22"/>
  <c r="BF154" i="22"/>
  <c r="AU80" i="22"/>
  <c r="BF159" i="22"/>
  <c r="AV159" i="22"/>
  <c r="AW101" i="22"/>
  <c r="BH101" i="22"/>
  <c r="BH102" i="22" s="1"/>
  <c r="BH103" i="22" s="1"/>
  <c r="BH104" i="22" s="1"/>
  <c r="AV96" i="22"/>
  <c r="BF96" i="22"/>
  <c r="BF97" i="22" s="1"/>
  <c r="BF98" i="22" s="1"/>
  <c r="BF99" i="22" s="1"/>
  <c r="BF100" i="22" s="1"/>
  <c r="AU159" i="22"/>
  <c r="BD159" i="22"/>
  <c r="BF136" i="22"/>
  <c r="BF137" i="22" s="1"/>
  <c r="AV136" i="22"/>
  <c r="BU113" i="22"/>
  <c r="AQ113" i="22"/>
  <c r="BU71" i="22"/>
  <c r="AQ71" i="22"/>
  <c r="AL71" i="22" s="1"/>
  <c r="L6" i="13" s="1"/>
  <c r="M6" i="13" s="1"/>
  <c r="AN119" i="22"/>
  <c r="AB119" i="22" s="1"/>
  <c r="F54" i="13" s="1"/>
  <c r="AX74" i="22"/>
  <c r="BV74" i="22" s="1"/>
  <c r="CE74" i="22" s="1"/>
  <c r="BJ74" i="22"/>
  <c r="AV134" i="22"/>
  <c r="BF134" i="22"/>
  <c r="AP112" i="22"/>
  <c r="BS112" i="22"/>
  <c r="AX140" i="22"/>
  <c r="BV140" i="22" s="1"/>
  <c r="CE140" i="22" s="1"/>
  <c r="CE141" i="22" s="1"/>
  <c r="CE142" i="22" s="1"/>
  <c r="CE143" i="22" s="1"/>
  <c r="BJ140" i="22"/>
  <c r="BJ141" i="22" s="1"/>
  <c r="BJ142" i="22" s="1"/>
  <c r="BJ143" i="22" s="1"/>
  <c r="AW108" i="22"/>
  <c r="BH108" i="22"/>
  <c r="BH109" i="22" s="1"/>
  <c r="BH110" i="22" s="1"/>
  <c r="AT94" i="22"/>
  <c r="BB94" i="22"/>
  <c r="AW140" i="22"/>
  <c r="BH140" i="22"/>
  <c r="BH141" i="22" s="1"/>
  <c r="BH142" i="22" s="1"/>
  <c r="BH143" i="22" s="1"/>
  <c r="AQ102" i="22"/>
  <c r="AL102" i="22" s="1"/>
  <c r="L37" i="13" s="1"/>
  <c r="M37" i="13" s="1"/>
  <c r="BU102" i="22"/>
  <c r="BJ132" i="22"/>
  <c r="AX132" i="22"/>
  <c r="BV132" i="22" s="1"/>
  <c r="CE132" i="22" s="1"/>
  <c r="AV94" i="22"/>
  <c r="BF94" i="22"/>
  <c r="AW74" i="22"/>
  <c r="BH74" i="22"/>
  <c r="AU140" i="22"/>
  <c r="BD140" i="22"/>
  <c r="BD141" i="22" s="1"/>
  <c r="BD142" i="22" s="1"/>
  <c r="BD143" i="22" s="1"/>
  <c r="BU114" i="22"/>
  <c r="AQ114" i="22"/>
  <c r="AX92" i="22"/>
  <c r="BV92" i="22" s="1"/>
  <c r="CE92" i="22" s="1"/>
  <c r="BJ92" i="22"/>
  <c r="AU92" i="22"/>
  <c r="BD92" i="22"/>
  <c r="BS165" i="22"/>
  <c r="CB165" i="22" s="1"/>
  <c r="AP165" i="22"/>
  <c r="AH165" i="22" s="1"/>
  <c r="J100" i="13" s="1"/>
  <c r="AT88" i="22"/>
  <c r="BB88" i="22"/>
  <c r="AP113" i="22"/>
  <c r="BS113" i="22"/>
  <c r="AV164" i="22"/>
  <c r="BF164" i="22"/>
  <c r="AU82" i="22"/>
  <c r="BD82" i="22"/>
  <c r="BU109" i="22"/>
  <c r="AQ109" i="22"/>
  <c r="AL109" i="22" s="1"/>
  <c r="L44" i="13" s="1"/>
  <c r="M44" i="13" s="1"/>
  <c r="AT161" i="22"/>
  <c r="W106" i="52" s="1"/>
  <c r="BB161" i="22"/>
  <c r="AQ81" i="22"/>
  <c r="AL81" i="22" s="1"/>
  <c r="L16" i="13" s="1"/>
  <c r="M16" i="13" s="1"/>
  <c r="BU81" i="22"/>
  <c r="BJ125" i="22"/>
  <c r="BJ126" i="22" s="1"/>
  <c r="AX125" i="22"/>
  <c r="BV125" i="22" s="1"/>
  <c r="CE125" i="22" s="1"/>
  <c r="CE126" i="22" s="1"/>
  <c r="AV84" i="22"/>
  <c r="BF84" i="22"/>
  <c r="BU104" i="22"/>
  <c r="AQ104" i="22"/>
  <c r="AL104" i="22" s="1"/>
  <c r="L39" i="13" s="1"/>
  <c r="M39" i="13" s="1"/>
  <c r="AT178" i="22"/>
  <c r="AV166" i="22"/>
  <c r="BF166" i="22"/>
  <c r="AQ163" i="22"/>
  <c r="AL163" i="22" s="1"/>
  <c r="L98" i="13" s="1"/>
  <c r="M98" i="13" s="1"/>
  <c r="BU163" i="22"/>
  <c r="AP141" i="22"/>
  <c r="AH141" i="22" s="1"/>
  <c r="J76" i="13" s="1"/>
  <c r="K76" i="13" s="1"/>
  <c r="BS141" i="22"/>
  <c r="BH125" i="22"/>
  <c r="BH126" i="22" s="1"/>
  <c r="AW125" i="22"/>
  <c r="AQ118" i="22"/>
  <c r="BU118" i="22"/>
  <c r="AW167" i="22"/>
  <c r="BU167" i="22" s="1"/>
  <c r="CD167" i="22" s="1"/>
  <c r="BH167" i="22"/>
  <c r="AU74" i="22"/>
  <c r="BD74" i="22"/>
  <c r="AV88" i="22"/>
  <c r="BF88" i="22"/>
  <c r="AV161" i="22"/>
  <c r="BF161" i="22"/>
  <c r="AW154" i="22"/>
  <c r="BH154" i="22"/>
  <c r="AP103" i="22"/>
  <c r="AH103" i="22" s="1"/>
  <c r="J38" i="13" s="1"/>
  <c r="BS103" i="22"/>
  <c r="BD111" i="22"/>
  <c r="BD112" i="22" s="1"/>
  <c r="BD113" i="22" s="1"/>
  <c r="BD114" i="22" s="1"/>
  <c r="AU111" i="22"/>
  <c r="BU110" i="22"/>
  <c r="AQ110" i="22"/>
  <c r="AL110" i="22" s="1"/>
  <c r="L45" i="13" s="1"/>
  <c r="M45" i="13" s="1"/>
  <c r="BS110" i="22"/>
  <c r="AP110" i="22"/>
  <c r="AH110" i="22" s="1"/>
  <c r="J45" i="13" s="1"/>
  <c r="BA77" i="22"/>
  <c r="BA78" i="22"/>
  <c r="AT78" i="22" s="1"/>
  <c r="BP78" i="22" s="1"/>
  <c r="AW92" i="22"/>
  <c r="BH92" i="22"/>
  <c r="AQ103" i="22"/>
  <c r="AL103" i="22" s="1"/>
  <c r="L38" i="13" s="1"/>
  <c r="M38" i="13" s="1"/>
  <c r="BU103" i="22"/>
  <c r="AU145" i="22"/>
  <c r="BD145" i="22"/>
  <c r="BD146" i="22" s="1"/>
  <c r="BD147" i="22" s="1"/>
  <c r="AT154" i="22"/>
  <c r="BB154" i="22"/>
  <c r="AQ151" i="22"/>
  <c r="AL151" i="22" s="1"/>
  <c r="L86" i="13" s="1"/>
  <c r="M86" i="13" s="1"/>
  <c r="BU151" i="22"/>
  <c r="AX130" i="22"/>
  <c r="BV130" i="22" s="1"/>
  <c r="BJ130" i="22"/>
  <c r="BU165" i="22"/>
  <c r="CD165" i="22" s="1"/>
  <c r="AQ165" i="22"/>
  <c r="AL165" i="22" s="1"/>
  <c r="L100" i="13" s="1"/>
  <c r="M100" i="13" s="1"/>
  <c r="BS142" i="22"/>
  <c r="AP142" i="22"/>
  <c r="AH142" i="22" s="1"/>
  <c r="J77" i="13" s="1"/>
  <c r="AV101" i="22"/>
  <c r="BF101" i="22"/>
  <c r="BF102" i="22" s="1"/>
  <c r="BF103" i="22" s="1"/>
  <c r="BF104" i="22" s="1"/>
  <c r="AQ126" i="22"/>
  <c r="AL126" i="22" s="1"/>
  <c r="BU126" i="22"/>
  <c r="BB132" i="22"/>
  <c r="AT132" i="22"/>
  <c r="BH116" i="22"/>
  <c r="BH117" i="22" s="1"/>
  <c r="BH118" i="22" s="1"/>
  <c r="BH119" i="22" s="1"/>
  <c r="AW116" i="22"/>
  <c r="BH161" i="22"/>
  <c r="AW161" i="22"/>
  <c r="AU94" i="22"/>
  <c r="BD94" i="22"/>
  <c r="AX154" i="22"/>
  <c r="BV154" i="22" s="1"/>
  <c r="CE154" i="22" s="1"/>
  <c r="CO21" i="22" s="1"/>
  <c r="BJ154" i="22"/>
  <c r="AP104" i="22"/>
  <c r="AH104" i="22" s="1"/>
  <c r="J39" i="13" s="1"/>
  <c r="BS104" i="22"/>
  <c r="AX108" i="22"/>
  <c r="BV108" i="22" s="1"/>
  <c r="CE108" i="22" s="1"/>
  <c r="CE109" i="22" s="1"/>
  <c r="CE110" i="22" s="1"/>
  <c r="CO13" i="22" s="1"/>
  <c r="BJ108" i="22"/>
  <c r="BJ109" i="22" s="1"/>
  <c r="BJ110" i="22" s="1"/>
  <c r="AP73" i="22"/>
  <c r="AH73" i="22" s="1"/>
  <c r="J8" i="13" s="1"/>
  <c r="K8" i="13" s="1"/>
  <c r="BS73" i="22"/>
  <c r="CB73" i="22" s="1"/>
  <c r="AT159" i="22"/>
  <c r="W104" i="52" s="1"/>
  <c r="BB159" i="22"/>
  <c r="AV175" i="22"/>
  <c r="BF175" i="22"/>
  <c r="BD108" i="22"/>
  <c r="BD109" i="22" s="1"/>
  <c r="BD110" i="22" s="1"/>
  <c r="AU108" i="22"/>
  <c r="AX86" i="22"/>
  <c r="BV86" i="22" s="1"/>
  <c r="CE86" i="22" s="1"/>
  <c r="BJ86" i="22"/>
  <c r="BS147" i="22"/>
  <c r="AP147" i="22"/>
  <c r="AH147" i="22" s="1"/>
  <c r="AV140" i="22"/>
  <c r="BF140" i="22"/>
  <c r="BF141" i="22" s="1"/>
  <c r="BF142" i="22" s="1"/>
  <c r="BF143" i="22" s="1"/>
  <c r="BB134" i="22"/>
  <c r="AT134" i="22"/>
  <c r="AQ150" i="22"/>
  <c r="AL150" i="22" s="1"/>
  <c r="L85" i="13" s="1"/>
  <c r="M85" i="13" s="1"/>
  <c r="BU150" i="22"/>
  <c r="AP181" i="22"/>
  <c r="X228" i="68" s="1"/>
  <c r="BS143" i="22"/>
  <c r="AP143" i="22"/>
  <c r="AH143" i="22" s="1"/>
  <c r="J78" i="13" s="1"/>
  <c r="BU117" i="22"/>
  <c r="AQ117" i="22"/>
  <c r="AU136" i="22"/>
  <c r="BD136" i="22"/>
  <c r="BD137" i="22" s="1"/>
  <c r="AV111" i="22"/>
  <c r="BF111" i="22"/>
  <c r="BF112" i="22" s="1"/>
  <c r="BF113" i="22" s="1"/>
  <c r="BF114" i="22" s="1"/>
  <c r="AQ158" i="22"/>
  <c r="AL158" i="22" s="1"/>
  <c r="L93" i="13" s="1"/>
  <c r="M93" i="13" s="1"/>
  <c r="BU158" i="22"/>
  <c r="AW90" i="22"/>
  <c r="BH90" i="22"/>
  <c r="BD101" i="22"/>
  <c r="BD102" i="22" s="1"/>
  <c r="BD103" i="22" s="1"/>
  <c r="BD104" i="22" s="1"/>
  <c r="AU101" i="22"/>
  <c r="AT156" i="22"/>
  <c r="BB156" i="22"/>
  <c r="BH96" i="22"/>
  <c r="BH97" i="22" s="1"/>
  <c r="BH98" i="22" s="1"/>
  <c r="BH99" i="22" s="1"/>
  <c r="BH100" i="22" s="1"/>
  <c r="AW96" i="22"/>
  <c r="BG133" i="22"/>
  <c r="AW133" i="22" s="1"/>
  <c r="BS109" i="22"/>
  <c r="AP109" i="22"/>
  <c r="AH109" i="22" s="1"/>
  <c r="J44" i="13" s="1"/>
  <c r="AA255" i="31"/>
  <c r="AF255" i="31" s="1"/>
  <c r="R173" i="23"/>
  <c r="X332" i="44"/>
  <c r="X257" i="23"/>
  <c r="X316" i="46"/>
  <c r="X221" i="43"/>
  <c r="X126" i="64"/>
  <c r="AB126" i="64" s="1"/>
  <c r="X134" i="62"/>
  <c r="AB134" i="62" s="1"/>
  <c r="X111" i="64"/>
  <c r="X119" i="62"/>
  <c r="X269" i="40"/>
  <c r="X114" i="63"/>
  <c r="X740" i="41"/>
  <c r="X112" i="64"/>
  <c r="X120" i="62"/>
  <c r="X110" i="64"/>
  <c r="X118" i="62"/>
  <c r="M35" i="62"/>
  <c r="M36" i="62" s="1"/>
  <c r="M35" i="63"/>
  <c r="M36" i="63" s="1"/>
  <c r="M139" i="44"/>
  <c r="M140" i="44" s="1"/>
  <c r="AF720" i="41"/>
  <c r="AJ720" i="41" s="1"/>
  <c r="AF721" i="41"/>
  <c r="AJ721" i="41" s="1"/>
  <c r="A156" i="44"/>
  <c r="R153" i="44"/>
  <c r="M159" i="7"/>
  <c r="K158" i="10" s="1"/>
  <c r="M165" i="7"/>
  <c r="K164" i="10" s="1"/>
  <c r="M163" i="7"/>
  <c r="K162" i="10" s="1"/>
  <c r="M167" i="7"/>
  <c r="K166" i="10" s="1"/>
  <c r="R167" i="7"/>
  <c r="P166" i="10" s="1"/>
  <c r="M161" i="7"/>
  <c r="K160" i="10" s="1"/>
  <c r="R159" i="7"/>
  <c r="P158" i="10" s="1"/>
  <c r="R165" i="7"/>
  <c r="P164" i="10" s="1"/>
  <c r="X737" i="41"/>
  <c r="X329" i="44"/>
  <c r="X420" i="35"/>
  <c r="X256" i="23"/>
  <c r="X220" i="43"/>
  <c r="X268" i="40"/>
  <c r="X200" i="50"/>
  <c r="X271" i="23"/>
  <c r="AB271" i="23" s="1"/>
  <c r="AF271" i="23" s="1"/>
  <c r="AJ271" i="23" s="1"/>
  <c r="X235" i="43"/>
  <c r="AB235" i="43" s="1"/>
  <c r="X215" i="50"/>
  <c r="AB215" i="50" s="1"/>
  <c r="X255" i="23"/>
  <c r="X219" i="43"/>
  <c r="X267" i="40"/>
  <c r="X199" i="50"/>
  <c r="X330" i="46"/>
  <c r="AB330" i="46" s="1"/>
  <c r="X230" i="47"/>
  <c r="AB230" i="47" s="1"/>
  <c r="AF230" i="47" s="1"/>
  <c r="AJ230" i="47" s="1"/>
  <c r="X314" i="46"/>
  <c r="X214" i="47"/>
  <c r="X315" i="46"/>
  <c r="X215" i="47"/>
  <c r="X313" i="46"/>
  <c r="X213" i="47"/>
  <c r="X753" i="41"/>
  <c r="AB753" i="41" s="1"/>
  <c r="AF753" i="41" s="1"/>
  <c r="AJ753" i="41" s="1"/>
  <c r="X345" i="44"/>
  <c r="AB345" i="44" s="1"/>
  <c r="AF345" i="44" s="1"/>
  <c r="AJ345" i="44" s="1"/>
  <c r="X436" i="35"/>
  <c r="AB436" i="35" s="1"/>
  <c r="AF436" i="35" s="1"/>
  <c r="AJ436" i="35" s="1"/>
  <c r="X270" i="23"/>
  <c r="AB270" i="23" s="1"/>
  <c r="AF270" i="23" s="1"/>
  <c r="AJ270" i="23" s="1"/>
  <c r="X234" i="43"/>
  <c r="AB234" i="43" s="1"/>
  <c r="AF234" i="43" s="1"/>
  <c r="AJ234" i="43" s="1"/>
  <c r="X214" i="50"/>
  <c r="AB214" i="50" s="1"/>
  <c r="AF214" i="50" s="1"/>
  <c r="AJ214" i="50" s="1"/>
  <c r="X739" i="41"/>
  <c r="X331" i="44"/>
  <c r="X422" i="35"/>
  <c r="X254" i="23"/>
  <c r="X218" i="43"/>
  <c r="X266" i="40"/>
  <c r="X198" i="50"/>
  <c r="X329" i="46"/>
  <c r="AB329" i="46" s="1"/>
  <c r="AF329" i="46" s="1"/>
  <c r="AJ329" i="46" s="1"/>
  <c r="X229" i="47"/>
  <c r="AB229" i="47" s="1"/>
  <c r="AF229" i="47" s="1"/>
  <c r="AJ229" i="47" s="1"/>
  <c r="X754" i="41"/>
  <c r="AB754" i="41" s="1"/>
  <c r="AF754" i="41" s="1"/>
  <c r="AJ754" i="41" s="1"/>
  <c r="X346" i="44"/>
  <c r="AB346" i="44" s="1"/>
  <c r="X437" i="35"/>
  <c r="AB437" i="35" s="1"/>
  <c r="X738" i="41"/>
  <c r="X330" i="44"/>
  <c r="X421" i="35"/>
  <c r="Z9" i="52"/>
  <c r="AG9" i="52" s="1"/>
  <c r="Z12" i="52"/>
  <c r="Z6" i="52"/>
  <c r="Z5" i="52"/>
  <c r="AG5" i="52" s="1"/>
  <c r="Z11" i="52"/>
  <c r="X327" i="46"/>
  <c r="X227" i="47"/>
  <c r="X752" i="41"/>
  <c r="X344" i="44"/>
  <c r="X435" i="35"/>
  <c r="X328" i="46"/>
  <c r="X228" i="47"/>
  <c r="X751" i="41"/>
  <c r="X343" i="44"/>
  <c r="X434" i="35"/>
  <c r="X268" i="23"/>
  <c r="X232" i="43"/>
  <c r="X212" i="50"/>
  <c r="X269" i="23"/>
  <c r="X233" i="43"/>
  <c r="X213" i="50"/>
  <c r="P6" i="7"/>
  <c r="N6" i="10" s="1"/>
  <c r="AJ197" i="8"/>
  <c r="AJ198" i="8" s="1"/>
  <c r="AJ199" i="8" s="1"/>
  <c r="AJ200" i="8" s="1"/>
  <c r="AJ201" i="8" s="1"/>
  <c r="AA33" i="8"/>
  <c r="H33" i="8"/>
  <c r="M33" i="8" s="1"/>
  <c r="M150" i="7" s="1"/>
  <c r="K149" i="10" s="1"/>
  <c r="D33" i="8"/>
  <c r="K33" i="8" s="1"/>
  <c r="K150" i="7" s="1"/>
  <c r="I149" i="10" s="1"/>
  <c r="Y33" i="8"/>
  <c r="B33" i="8"/>
  <c r="J33" i="8" s="1"/>
  <c r="J150" i="7" s="1"/>
  <c r="AF149" i="10" s="1"/>
  <c r="X33" i="8"/>
  <c r="Z33" i="8"/>
  <c r="F33" i="8"/>
  <c r="L33" i="8" s="1"/>
  <c r="L150" i="7" s="1"/>
  <c r="J149" i="10" s="1"/>
  <c r="AE8" i="52"/>
  <c r="AA8" i="52"/>
  <c r="AC8" i="52"/>
  <c r="AF8" i="52"/>
  <c r="AD8" i="52"/>
  <c r="AH8" i="52"/>
  <c r="AB8" i="52"/>
  <c r="AA7" i="52"/>
  <c r="A264" i="35"/>
  <c r="A172" i="43"/>
  <c r="A259" i="25"/>
  <c r="AF256" i="25"/>
  <c r="R265" i="25"/>
  <c r="A317" i="35"/>
  <c r="A262" i="46"/>
  <c r="A157" i="32"/>
  <c r="A174" i="47"/>
  <c r="A371" i="35"/>
  <c r="M68" i="7"/>
  <c r="K67" i="10" s="1"/>
  <c r="M67" i="7"/>
  <c r="K66" i="10" s="1"/>
  <c r="M69" i="7"/>
  <c r="K68" i="10" s="1"/>
  <c r="R68" i="7"/>
  <c r="P67" i="10" s="1"/>
  <c r="A365" i="31"/>
  <c r="R362" i="31"/>
  <c r="A53" i="33"/>
  <c r="R50" i="33"/>
  <c r="A117" i="36"/>
  <c r="R114" i="36"/>
  <c r="A153" i="36"/>
  <c r="R150" i="36"/>
  <c r="A151" i="41"/>
  <c r="R148" i="41"/>
  <c r="A416" i="41"/>
  <c r="R413" i="41"/>
  <c r="A174" i="29"/>
  <c r="R171" i="29"/>
  <c r="A205" i="31"/>
  <c r="R202" i="31"/>
  <c r="A290" i="44"/>
  <c r="R287" i="44"/>
  <c r="A98" i="37"/>
  <c r="R95" i="37"/>
  <c r="A53" i="46"/>
  <c r="R50" i="46"/>
  <c r="A204" i="37"/>
  <c r="R201" i="37"/>
  <c r="A119" i="47"/>
  <c r="R116" i="47"/>
  <c r="A258" i="31"/>
  <c r="X258" i="31" s="1"/>
  <c r="X255" i="31"/>
  <c r="R255" i="31"/>
  <c r="A52" i="26"/>
  <c r="R49" i="26"/>
  <c r="A316" i="31"/>
  <c r="R313" i="31"/>
  <c r="A155" i="40"/>
  <c r="R152" i="40"/>
  <c r="A115" i="35"/>
  <c r="R112" i="35"/>
  <c r="A681" i="41"/>
  <c r="R678" i="41"/>
  <c r="A469" i="41"/>
  <c r="R466" i="41"/>
  <c r="A524" i="31"/>
  <c r="R521" i="31"/>
  <c r="A213" i="44"/>
  <c r="R210" i="44"/>
  <c r="A98" i="38"/>
  <c r="R95" i="38"/>
  <c r="A99" i="32"/>
  <c r="R96" i="32"/>
  <c r="A116" i="29"/>
  <c r="R113" i="29"/>
  <c r="A99" i="30"/>
  <c r="R96" i="30"/>
  <c r="A157" i="25"/>
  <c r="R154" i="25"/>
  <c r="A153" i="35"/>
  <c r="R150" i="35"/>
  <c r="A52" i="47"/>
  <c r="R49" i="47"/>
  <c r="A53" i="40"/>
  <c r="R50" i="40"/>
  <c r="A201" i="23"/>
  <c r="R198" i="23"/>
  <c r="A103" i="25"/>
  <c r="R100" i="25"/>
  <c r="A54" i="30"/>
  <c r="R51" i="30"/>
  <c r="A257" i="41"/>
  <c r="R254" i="41"/>
  <c r="A52" i="41"/>
  <c r="R49" i="41"/>
  <c r="A206" i="35"/>
  <c r="R203" i="35"/>
  <c r="A52" i="44"/>
  <c r="R49" i="44"/>
  <c r="A174" i="46"/>
  <c r="R171" i="46"/>
  <c r="A157" i="30"/>
  <c r="R154" i="30"/>
  <c r="A156" i="37"/>
  <c r="R153" i="37"/>
  <c r="A53" i="35"/>
  <c r="R50" i="35"/>
  <c r="A99" i="28"/>
  <c r="R96" i="28"/>
  <c r="A98" i="41"/>
  <c r="R95" i="41"/>
  <c r="A204" i="26"/>
  <c r="R201" i="26"/>
  <c r="A115" i="23"/>
  <c r="R112" i="23"/>
  <c r="A53" i="32"/>
  <c r="R50" i="32"/>
  <c r="A101" i="44"/>
  <c r="R98" i="44"/>
  <c r="A52" i="43"/>
  <c r="R49" i="43"/>
  <c r="A628" i="41"/>
  <c r="R625" i="41"/>
  <c r="A52" i="38"/>
  <c r="R49" i="38"/>
  <c r="A202" i="33"/>
  <c r="A418" i="31"/>
  <c r="R415" i="31"/>
  <c r="A212" i="25"/>
  <c r="R209" i="25"/>
  <c r="A53" i="27"/>
  <c r="R50" i="27"/>
  <c r="A212" i="40"/>
  <c r="R209" i="40"/>
  <c r="A267" i="29"/>
  <c r="R264" i="29"/>
  <c r="A471" i="31"/>
  <c r="R468" i="31"/>
  <c r="A100" i="26"/>
  <c r="R97" i="26"/>
  <c r="A256" i="44"/>
  <c r="R253" i="44"/>
  <c r="A227" i="29"/>
  <c r="R224" i="29"/>
  <c r="A99" i="27"/>
  <c r="R96" i="27"/>
  <c r="A156" i="38"/>
  <c r="R153" i="38"/>
  <c r="A104" i="40"/>
  <c r="R101" i="40"/>
  <c r="A527" i="41"/>
  <c r="R524" i="41"/>
  <c r="A204" i="41"/>
  <c r="R201" i="41"/>
  <c r="A315" i="41"/>
  <c r="R312" i="41"/>
  <c r="A116" i="46"/>
  <c r="R113" i="46"/>
  <c r="A318" i="29"/>
  <c r="R315" i="29"/>
  <c r="A149" i="33"/>
  <c r="R146" i="33"/>
  <c r="A151" i="23"/>
  <c r="R148" i="23"/>
  <c r="A152" i="31"/>
  <c r="R149" i="31"/>
  <c r="A204" i="38"/>
  <c r="R201" i="38"/>
  <c r="A53" i="28"/>
  <c r="R50" i="28"/>
  <c r="A99" i="31"/>
  <c r="R96" i="31"/>
  <c r="A53" i="31"/>
  <c r="R50" i="31"/>
  <c r="A53" i="36"/>
  <c r="R50" i="36"/>
  <c r="A52" i="37"/>
  <c r="R49" i="37"/>
  <c r="A575" i="41"/>
  <c r="R572" i="41"/>
  <c r="A215" i="46"/>
  <c r="R212" i="46"/>
  <c r="A112" i="43"/>
  <c r="R109" i="43"/>
  <c r="A52" i="25"/>
  <c r="R49" i="25"/>
  <c r="A53" i="23"/>
  <c r="R50" i="23"/>
  <c r="A53" i="29"/>
  <c r="R50" i="29"/>
  <c r="A363" i="41"/>
  <c r="R360" i="41"/>
  <c r="A205" i="30"/>
  <c r="R202" i="30"/>
  <c r="L35" i="13"/>
  <c r="M35" i="13" s="1"/>
  <c r="M81" i="50"/>
  <c r="M82" i="50" s="1"/>
  <c r="M134" i="50"/>
  <c r="M135" i="50" s="1"/>
  <c r="M35" i="50"/>
  <c r="M36" i="50" s="1"/>
  <c r="M35" i="37"/>
  <c r="M36" i="37" s="1"/>
  <c r="M510" i="41"/>
  <c r="M511" i="41" s="1"/>
  <c r="M100" i="36"/>
  <c r="M101" i="36" s="1"/>
  <c r="M247" i="35"/>
  <c r="M248" i="35" s="1"/>
  <c r="M250" i="29"/>
  <c r="M251" i="29" s="1"/>
  <c r="M86" i="25"/>
  <c r="M87" i="25" s="1"/>
  <c r="M157" i="47"/>
  <c r="M158" i="47" s="1"/>
  <c r="M87" i="40"/>
  <c r="M88" i="40" s="1"/>
  <c r="M81" i="38"/>
  <c r="M82" i="38" s="1"/>
  <c r="M36" i="35"/>
  <c r="M37" i="35" s="1"/>
  <c r="M188" i="31"/>
  <c r="M189" i="31" s="1"/>
  <c r="M140" i="30"/>
  <c r="M141" i="30" s="1"/>
  <c r="M36" i="29"/>
  <c r="M37" i="29" s="1"/>
  <c r="M245" i="46"/>
  <c r="M246" i="46" s="1"/>
  <c r="M35" i="41"/>
  <c r="M36" i="41" s="1"/>
  <c r="M139" i="37"/>
  <c r="M140" i="37" s="1"/>
  <c r="M36" i="32"/>
  <c r="M37" i="32" s="1"/>
  <c r="M35" i="47"/>
  <c r="M36" i="47" s="1"/>
  <c r="M239" i="44"/>
  <c r="M240" i="44" s="1"/>
  <c r="M35" i="38"/>
  <c r="M36" i="38" s="1"/>
  <c r="M188" i="30"/>
  <c r="M189" i="30" s="1"/>
  <c r="M195" i="25"/>
  <c r="M196" i="25" s="1"/>
  <c r="M157" i="46"/>
  <c r="M158" i="46" s="1"/>
  <c r="M95" i="43"/>
  <c r="M96" i="43" s="1"/>
  <c r="M664" i="41"/>
  <c r="M665" i="41" s="1"/>
  <c r="M454" i="31"/>
  <c r="M455" i="31" s="1"/>
  <c r="M37" i="30"/>
  <c r="M38" i="30" s="1"/>
  <c r="M36" i="28"/>
  <c r="M37" i="28" s="1"/>
  <c r="M82" i="27"/>
  <c r="M83" i="27" s="1"/>
  <c r="M242" i="25"/>
  <c r="M243" i="25" s="1"/>
  <c r="M196" i="44"/>
  <c r="M197" i="44" s="1"/>
  <c r="M354" i="35"/>
  <c r="M355" i="35" s="1"/>
  <c r="M140" i="32"/>
  <c r="M141" i="32" s="1"/>
  <c r="M157" i="29"/>
  <c r="M158" i="29" s="1"/>
  <c r="M35" i="25"/>
  <c r="M36" i="25" s="1"/>
  <c r="M84" i="44"/>
  <c r="M85" i="44" s="1"/>
  <c r="M298" i="41"/>
  <c r="M299" i="41" s="1"/>
  <c r="M35" i="26"/>
  <c r="M36" i="26" s="1"/>
  <c r="M187" i="37"/>
  <c r="M188" i="37" s="1"/>
  <c r="M102" i="47"/>
  <c r="M103" i="47" s="1"/>
  <c r="M155" i="43"/>
  <c r="M156" i="43" s="1"/>
  <c r="M35" i="43"/>
  <c r="M36" i="43" s="1"/>
  <c r="M452" i="41"/>
  <c r="M453" i="41" s="1"/>
  <c r="M132" i="33"/>
  <c r="M133" i="33" s="1"/>
  <c r="M348" i="31"/>
  <c r="M349" i="31" s="1"/>
  <c r="M82" i="28"/>
  <c r="M83" i="28" s="1"/>
  <c r="M81" i="37"/>
  <c r="M82" i="37" s="1"/>
  <c r="M139" i="38"/>
  <c r="M140" i="38" s="1"/>
  <c r="M187" i="26"/>
  <c r="M188" i="26" s="1"/>
  <c r="M82" i="30"/>
  <c r="M83" i="30" s="1"/>
  <c r="M82" i="32"/>
  <c r="M83" i="32" s="1"/>
  <c r="M300" i="35"/>
  <c r="M301" i="35" s="1"/>
  <c r="M136" i="35"/>
  <c r="M137" i="35" s="1"/>
  <c r="M135" i="34"/>
  <c r="M136" i="34" s="1"/>
  <c r="M184" i="23"/>
  <c r="M185" i="23" s="1"/>
  <c r="M35" i="44"/>
  <c r="M36" i="44" s="1"/>
  <c r="M81" i="41"/>
  <c r="M82" i="41" s="1"/>
  <c r="M299" i="31"/>
  <c r="M300" i="31" s="1"/>
  <c r="M189" i="35"/>
  <c r="M190" i="35" s="1"/>
  <c r="M210" i="29"/>
  <c r="M211" i="29" s="1"/>
  <c r="M611" i="41"/>
  <c r="M612" i="41" s="1"/>
  <c r="M134" i="41"/>
  <c r="M135" i="41" s="1"/>
  <c r="M507" i="34"/>
  <c r="M508" i="34" s="1"/>
  <c r="M188" i="34"/>
  <c r="M189" i="34" s="1"/>
  <c r="M185" i="33"/>
  <c r="M186" i="33" s="1"/>
  <c r="M135" i="31"/>
  <c r="M136" i="31" s="1"/>
  <c r="M99" i="29"/>
  <c r="M100" i="29" s="1"/>
  <c r="M140" i="25"/>
  <c r="M141" i="25" s="1"/>
  <c r="M36" i="46"/>
  <c r="M37" i="46" s="1"/>
  <c r="M399" i="41"/>
  <c r="M400" i="41" s="1"/>
  <c r="M195" i="40"/>
  <c r="M196" i="40" s="1"/>
  <c r="M36" i="36"/>
  <c r="M37" i="36" s="1"/>
  <c r="M98" i="35"/>
  <c r="M99" i="35" s="1"/>
  <c r="M401" i="31"/>
  <c r="M402" i="31" s="1"/>
  <c r="M558" i="41"/>
  <c r="M559" i="41" s="1"/>
  <c r="M401" i="34"/>
  <c r="M402" i="34" s="1"/>
  <c r="M82" i="34"/>
  <c r="M83" i="34" s="1"/>
  <c r="M241" i="31"/>
  <c r="M242" i="31" s="1"/>
  <c r="M198" i="46"/>
  <c r="M199" i="46" s="1"/>
  <c r="M36" i="40"/>
  <c r="M37" i="40" s="1"/>
  <c r="M187" i="38"/>
  <c r="M188" i="38" s="1"/>
  <c r="M299" i="34"/>
  <c r="M300" i="34" s="1"/>
  <c r="M36" i="33"/>
  <c r="M37" i="33" s="1"/>
  <c r="M187" i="41"/>
  <c r="M188" i="41" s="1"/>
  <c r="M136" i="36"/>
  <c r="M137" i="36" s="1"/>
  <c r="M36" i="34"/>
  <c r="M37" i="34" s="1"/>
  <c r="M36" i="27"/>
  <c r="M37" i="27" s="1"/>
  <c r="M346" i="41"/>
  <c r="M347" i="41" s="1"/>
  <c r="M273" i="44"/>
  <c r="M274" i="44" s="1"/>
  <c r="M348" i="34"/>
  <c r="M349" i="34" s="1"/>
  <c r="M507" i="31"/>
  <c r="M508" i="31" s="1"/>
  <c r="M83" i="26"/>
  <c r="M84" i="26" s="1"/>
  <c r="M138" i="40"/>
  <c r="M139" i="40" s="1"/>
  <c r="M454" i="34"/>
  <c r="M455" i="34" s="1"/>
  <c r="M241" i="34"/>
  <c r="M242" i="34" s="1"/>
  <c r="M36" i="31"/>
  <c r="M37" i="31" s="1"/>
  <c r="M301" i="29"/>
  <c r="M302" i="29" s="1"/>
  <c r="M99" i="46"/>
  <c r="M100" i="46" s="1"/>
  <c r="M240" i="41"/>
  <c r="M241" i="41" s="1"/>
  <c r="M82" i="31"/>
  <c r="M83" i="31" s="1"/>
  <c r="M98" i="23"/>
  <c r="M99" i="23" s="1"/>
  <c r="M36" i="23"/>
  <c r="M37" i="23" s="1"/>
  <c r="M134" i="23"/>
  <c r="M135" i="23" s="1"/>
  <c r="E3" i="18"/>
  <c r="K13" i="18"/>
  <c r="BC1" i="5"/>
  <c r="BD1" i="5" s="1"/>
  <c r="BE1" i="5" s="1"/>
  <c r="BF1" i="5" s="1"/>
  <c r="B14" i="18"/>
  <c r="O100" i="13"/>
  <c r="M156" i="7"/>
  <c r="K155" i="10" s="1"/>
  <c r="M154" i="7"/>
  <c r="K153" i="10" s="1"/>
  <c r="R6" i="7"/>
  <c r="P6" i="10" s="1"/>
  <c r="M157" i="7"/>
  <c r="K156" i="10" s="1"/>
  <c r="M109" i="7"/>
  <c r="K108" i="10" s="1"/>
  <c r="M87" i="7"/>
  <c r="K86" i="10" s="1"/>
  <c r="R79" i="7"/>
  <c r="P78" i="10" s="1"/>
  <c r="M32" i="7"/>
  <c r="K31" i="10" s="1"/>
  <c r="M59" i="7"/>
  <c r="K58" i="10" s="1"/>
  <c r="R48" i="7"/>
  <c r="P47" i="10" s="1"/>
  <c r="M58" i="7"/>
  <c r="K57" i="10" s="1"/>
  <c r="M153" i="7"/>
  <c r="K152" i="10" s="1"/>
  <c r="R59" i="7"/>
  <c r="P58" i="10" s="1"/>
  <c r="M65" i="7"/>
  <c r="K64" i="10" s="1"/>
  <c r="M64" i="7"/>
  <c r="K63" i="10" s="1"/>
  <c r="M35" i="7"/>
  <c r="K34" i="10" s="1"/>
  <c r="M62" i="7"/>
  <c r="K61" i="10" s="1"/>
  <c r="R87" i="7"/>
  <c r="P86" i="10" s="1"/>
  <c r="M31" i="7"/>
  <c r="K30" i="10" s="1"/>
  <c r="R26" i="7"/>
  <c r="P25" i="10" s="1"/>
  <c r="M28" i="7"/>
  <c r="K27" i="10" s="1"/>
  <c r="R110" i="7"/>
  <c r="P109" i="10" s="1"/>
  <c r="M110" i="7"/>
  <c r="K109" i="10" s="1"/>
  <c r="M79" i="7"/>
  <c r="K78" i="10" s="1"/>
  <c r="R29" i="7"/>
  <c r="P28" i="10" s="1"/>
  <c r="M80" i="7"/>
  <c r="K79" i="10" s="1"/>
  <c r="M82" i="7"/>
  <c r="K81" i="10" s="1"/>
  <c r="M81" i="7"/>
  <c r="K80" i="10" s="1"/>
  <c r="A10" i="10"/>
  <c r="N1" i="7"/>
  <c r="O1" i="7" s="1"/>
  <c r="P1" i="7" s="1"/>
  <c r="Q1" i="7" s="1"/>
  <c r="R1" i="7" s="1"/>
  <c r="S103" i="13" l="1"/>
  <c r="V113" i="52"/>
  <c r="Q112" i="13"/>
  <c r="Q113" i="13" s="1"/>
  <c r="Q114" i="13" s="1"/>
  <c r="Q115" i="13" s="1"/>
  <c r="Q116" i="13" s="1"/>
  <c r="Q117" i="13" s="1"/>
  <c r="Q118" i="13" s="1"/>
  <c r="Q93" i="13"/>
  <c r="AB207" i="32"/>
  <c r="AF207" i="32" s="1"/>
  <c r="AJ207" i="32" s="1"/>
  <c r="AB579" i="34"/>
  <c r="AF579" i="34" s="1"/>
  <c r="AJ579" i="34" s="1"/>
  <c r="O14" i="18"/>
  <c r="AH183" i="22"/>
  <c r="U52" i="62" s="1"/>
  <c r="R64" i="62" s="1"/>
  <c r="AL181" i="22"/>
  <c r="U231" i="68" s="1"/>
  <c r="R240" i="68" s="1"/>
  <c r="AL179" i="22"/>
  <c r="U157" i="68" s="1"/>
  <c r="R166" i="68" s="1"/>
  <c r="X55" i="68"/>
  <c r="AL178" i="22"/>
  <c r="U104" i="68" s="1"/>
  <c r="R113" i="68" s="1"/>
  <c r="X55" i="62"/>
  <c r="AL182" i="22"/>
  <c r="U269" i="68" s="1"/>
  <c r="R278" i="68" s="1"/>
  <c r="AL180" i="22"/>
  <c r="U194" i="68" s="1"/>
  <c r="R203" i="68" s="1"/>
  <c r="BS31" i="52"/>
  <c r="BW31" i="52"/>
  <c r="BQ31" i="52"/>
  <c r="BR31" i="52"/>
  <c r="BP31" i="52"/>
  <c r="R318" i="68" s="1" a="1"/>
  <c r="R318" i="68" s="1"/>
  <c r="AB318" i="68" s="1"/>
  <c r="AF318" i="68" s="1"/>
  <c r="AJ318" i="68" s="1"/>
  <c r="V129" i="10"/>
  <c r="X24" i="52"/>
  <c r="AA153" i="26"/>
  <c r="AF153" i="26" s="1"/>
  <c r="AA156" i="26"/>
  <c r="AF156" i="26" s="1"/>
  <c r="BT79" i="22"/>
  <c r="Y24" i="52"/>
  <c r="R206" i="36" a="1"/>
  <c r="R206" i="36" s="1"/>
  <c r="AB206" i="36" s="1"/>
  <c r="AF206" i="36" s="1"/>
  <c r="AJ206" i="36" s="1"/>
  <c r="CH32" i="52"/>
  <c r="CI32" i="52" s="1"/>
  <c r="BK24" i="52"/>
  <c r="R208" i="36" s="1" a="1"/>
  <c r="R208" i="36" s="1"/>
  <c r="AB208" i="36" s="1"/>
  <c r="AF208" i="36" s="1"/>
  <c r="AJ208" i="36" s="1"/>
  <c r="BT31" i="52"/>
  <c r="BJ24" i="52"/>
  <c r="R207" i="36" s="1" a="1"/>
  <c r="R207" i="36" s="1"/>
  <c r="AB207" i="36" s="1"/>
  <c r="AF207" i="36" s="1"/>
  <c r="AJ207" i="36" s="1"/>
  <c r="BU31" i="52"/>
  <c r="AB110" i="66"/>
  <c r="AF110" i="66" s="1"/>
  <c r="AJ110" i="66" s="1"/>
  <c r="AQ162" i="10"/>
  <c r="AQ163" i="10" s="1"/>
  <c r="CH28" i="52" s="1"/>
  <c r="CI28" i="52" s="1"/>
  <c r="AB111" i="65"/>
  <c r="AF111" i="65" s="1"/>
  <c r="AJ111" i="65" s="1"/>
  <c r="Q129" i="10"/>
  <c r="W129" i="10" s="1"/>
  <c r="H20" i="10"/>
  <c r="R119" i="62" a="1"/>
  <c r="R119" i="62" s="1"/>
  <c r="AB119" i="62" s="1"/>
  <c r="AF119" i="62" s="1"/>
  <c r="AJ119" i="62" s="1"/>
  <c r="R109" i="66" a="1"/>
  <c r="R109" i="66" s="1"/>
  <c r="AB109" i="66" s="1"/>
  <c r="AF109" i="66" s="1"/>
  <c r="AJ109" i="66" s="1"/>
  <c r="T154" i="10"/>
  <c r="AI154" i="10"/>
  <c r="AK154" i="10" s="1"/>
  <c r="AI153" i="10"/>
  <c r="AQ154" i="10"/>
  <c r="AQ155" i="10" s="1"/>
  <c r="AQ156" i="10" s="1"/>
  <c r="AQ157" i="10" s="1"/>
  <c r="CH14" i="52" s="1"/>
  <c r="CI14" i="52" s="1"/>
  <c r="BA183" i="22"/>
  <c r="AT183" i="22" s="1"/>
  <c r="BU79" i="22"/>
  <c r="AQ79" i="22"/>
  <c r="AP79" i="22"/>
  <c r="BS79" i="22"/>
  <c r="Q63" i="10"/>
  <c r="R44" i="13" s="1"/>
  <c r="N44" i="13"/>
  <c r="G44" i="13" s="1"/>
  <c r="AQ138" i="10"/>
  <c r="CH20" i="52" s="1"/>
  <c r="CI20" i="52" s="1"/>
  <c r="AQ95" i="10"/>
  <c r="CH5" i="52" s="1"/>
  <c r="CI5" i="52" s="1"/>
  <c r="AJ57" i="10"/>
  <c r="AJ58" i="10" s="1"/>
  <c r="AJ59" i="10" s="1"/>
  <c r="BP178" i="22"/>
  <c r="AN178" i="22"/>
  <c r="AB178" i="22" s="1"/>
  <c r="AN177" i="22"/>
  <c r="AB177" i="22" s="1"/>
  <c r="BP177" i="22"/>
  <c r="AN174" i="22"/>
  <c r="AB174" i="22" s="1"/>
  <c r="BP174" i="22"/>
  <c r="AN180" i="22"/>
  <c r="AB180" i="22" s="1"/>
  <c r="BP180" i="22"/>
  <c r="W117" i="52"/>
  <c r="BL27" i="52" s="1"/>
  <c r="BP172" i="22"/>
  <c r="AN172" i="22"/>
  <c r="AB172" i="22" s="1"/>
  <c r="BP179" i="22"/>
  <c r="AN179" i="22"/>
  <c r="AB179" i="22" s="1"/>
  <c r="AN181" i="22"/>
  <c r="AB181" i="22" s="1"/>
  <c r="BP181" i="22"/>
  <c r="BP171" i="22"/>
  <c r="BY171" i="22" s="1"/>
  <c r="AN171" i="22"/>
  <c r="AB171" i="22" s="1"/>
  <c r="AN182" i="22"/>
  <c r="AB182" i="22" s="1"/>
  <c r="BP182" i="22"/>
  <c r="BJ80" i="22"/>
  <c r="BJ81" i="22" s="1"/>
  <c r="BJ79" i="22"/>
  <c r="BH80" i="22"/>
  <c r="BH81" i="22" s="1"/>
  <c r="BH79" i="22"/>
  <c r="BD80" i="22"/>
  <c r="BD81" i="22" s="1"/>
  <c r="BD79" i="22"/>
  <c r="BF80" i="22"/>
  <c r="BF81" i="22" s="1"/>
  <c r="BF79" i="22"/>
  <c r="AJ155" i="10"/>
  <c r="AK156" i="10" s="1"/>
  <c r="G6" i="55"/>
  <c r="S6" i="55" s="1"/>
  <c r="A16" i="55"/>
  <c r="M14" i="18"/>
  <c r="N15" i="55"/>
  <c r="M15" i="55"/>
  <c r="L15" i="55"/>
  <c r="K15" i="55"/>
  <c r="L14" i="18"/>
  <c r="R15" i="55"/>
  <c r="T15" i="55"/>
  <c r="U15" i="55"/>
  <c r="S15" i="55"/>
  <c r="Q15" i="55"/>
  <c r="N3" i="18"/>
  <c r="E5" i="55" s="1"/>
  <c r="Q5" i="55" s="1"/>
  <c r="O3" i="18"/>
  <c r="F5" i="55" s="1"/>
  <c r="R5" i="55" s="1"/>
  <c r="D5" i="59" s="1"/>
  <c r="C5" i="55"/>
  <c r="AB113" i="63"/>
  <c r="AF113" i="63" s="1"/>
  <c r="AJ113" i="63" s="1"/>
  <c r="BA69" i="22"/>
  <c r="AT69" i="22" s="1"/>
  <c r="AN69" i="22" s="1"/>
  <c r="BA71" i="22"/>
  <c r="AT71" i="22" s="1"/>
  <c r="BP71" i="22" s="1"/>
  <c r="AF107" i="68"/>
  <c r="AK107" i="68" s="1"/>
  <c r="X107" i="68"/>
  <c r="AF160" i="68"/>
  <c r="AK160" i="68" s="1"/>
  <c r="X160" i="68"/>
  <c r="X197" i="68"/>
  <c r="AF197" i="68"/>
  <c r="AK197" i="68" s="1"/>
  <c r="AF234" i="68"/>
  <c r="AK234" i="68" s="1"/>
  <c r="X234" i="68"/>
  <c r="X272" i="68"/>
  <c r="AF272" i="68"/>
  <c r="AK272" i="68" s="1"/>
  <c r="AB110" i="65"/>
  <c r="AF110" i="65" s="1"/>
  <c r="AJ110" i="65" s="1"/>
  <c r="O35" i="8" a="1"/>
  <c r="O35" i="8" s="1"/>
  <c r="T35" i="8" a="1"/>
  <c r="T35" i="8" s="1"/>
  <c r="G35" i="8" s="1"/>
  <c r="V35" i="8" a="1"/>
  <c r="V35" i="8" s="1"/>
  <c r="I35" i="8" s="1"/>
  <c r="U35" i="8" a="1"/>
  <c r="U35" i="8" s="1"/>
  <c r="P35" i="8" a="1"/>
  <c r="P35" i="8" s="1"/>
  <c r="C35" i="8" s="1"/>
  <c r="S35" i="8" a="1"/>
  <c r="S35" i="8" s="1"/>
  <c r="R35" i="8" a="1"/>
  <c r="R35" i="8" s="1"/>
  <c r="E35" i="8" s="1"/>
  <c r="I151" i="13" s="1"/>
  <c r="Q35" i="8" a="1"/>
  <c r="Q35" i="8" s="1"/>
  <c r="AJ61" i="10"/>
  <c r="AJ62" i="10" s="1"/>
  <c r="AJ63" i="10" s="1"/>
  <c r="AK64" i="10" s="1"/>
  <c r="H64" i="10" s="1"/>
  <c r="Q64" i="10" s="1"/>
  <c r="AF276" i="38"/>
  <c r="AJ276" i="38" s="1"/>
  <c r="AF277" i="26"/>
  <c r="AJ277" i="26" s="1"/>
  <c r="AF328" i="25"/>
  <c r="AJ328" i="25" s="1"/>
  <c r="AF277" i="37"/>
  <c r="AJ277" i="37" s="1"/>
  <c r="AF272" i="33"/>
  <c r="AJ272" i="33" s="1"/>
  <c r="AF278" i="30"/>
  <c r="AJ278" i="30" s="1"/>
  <c r="AF277" i="38"/>
  <c r="AJ277" i="38" s="1"/>
  <c r="AF172" i="28"/>
  <c r="AJ172" i="28" s="1"/>
  <c r="AF173" i="27"/>
  <c r="AJ173" i="27" s="1"/>
  <c r="AF173" i="67"/>
  <c r="AJ173" i="67" s="1"/>
  <c r="AF226" i="36"/>
  <c r="AJ226" i="36" s="1"/>
  <c r="AF331" i="68"/>
  <c r="AJ331" i="68" s="1"/>
  <c r="AF597" i="34"/>
  <c r="AJ597" i="34" s="1"/>
  <c r="AF125" i="66"/>
  <c r="AJ125" i="66" s="1"/>
  <c r="AF372" i="29"/>
  <c r="AJ372" i="29" s="1"/>
  <c r="R13" i="18"/>
  <c r="D15" i="55"/>
  <c r="AF126" i="65"/>
  <c r="AJ126" i="65" s="1"/>
  <c r="AF225" i="32"/>
  <c r="AJ225" i="32" s="1"/>
  <c r="AF597" i="31"/>
  <c r="AJ597" i="31" s="1"/>
  <c r="AL80" i="10"/>
  <c r="T80" i="10" s="1"/>
  <c r="Q80" i="10"/>
  <c r="R58" i="13" s="1"/>
  <c r="G90" i="13"/>
  <c r="AK78" i="10"/>
  <c r="H78" i="10" s="1"/>
  <c r="N56" i="13" s="1"/>
  <c r="AJ30" i="10"/>
  <c r="AK31" i="10" s="1"/>
  <c r="H31" i="10" s="1"/>
  <c r="Q31" i="10" s="1"/>
  <c r="R22" i="13" s="1"/>
  <c r="BM67" i="22"/>
  <c r="AL152" i="10"/>
  <c r="T152" i="10" s="1"/>
  <c r="Q152" i="10"/>
  <c r="E112" i="52" s="1"/>
  <c r="P112" i="52" s="1"/>
  <c r="AJ152" i="10"/>
  <c r="AK153" i="10" s="1"/>
  <c r="Q153" i="10" s="1"/>
  <c r="E113" i="52" s="1"/>
  <c r="P113" i="52" s="1"/>
  <c r="T126" i="10"/>
  <c r="Y126" i="10" s="1"/>
  <c r="AB126" i="10" s="1"/>
  <c r="AM126" i="10"/>
  <c r="N88" i="13"/>
  <c r="Q124" i="10"/>
  <c r="H23" i="10"/>
  <c r="AH23" i="10" s="1"/>
  <c r="AG69" i="10"/>
  <c r="C71" i="10"/>
  <c r="H71" i="10" s="1"/>
  <c r="AH71" i="10" s="1"/>
  <c r="AQ71" i="10" s="1"/>
  <c r="AQ72" i="10" s="1"/>
  <c r="AQ73" i="10" s="1"/>
  <c r="AQ74" i="10" s="1"/>
  <c r="AQ75" i="10" s="1"/>
  <c r="AQ76" i="10" s="1"/>
  <c r="Q52" i="10"/>
  <c r="AL52" i="10"/>
  <c r="N37" i="13"/>
  <c r="G37" i="13" s="1"/>
  <c r="T106" i="10"/>
  <c r="Y106" i="10" s="1"/>
  <c r="AB106" i="10" s="1"/>
  <c r="AM106" i="10"/>
  <c r="E122" i="52"/>
  <c r="R112" i="13"/>
  <c r="W171" i="10"/>
  <c r="AA171" i="10" s="1"/>
  <c r="AG87" i="10"/>
  <c r="C122" i="10"/>
  <c r="AF122" i="10" s="1"/>
  <c r="H53" i="10"/>
  <c r="C54" i="10"/>
  <c r="AF54" i="10" s="1"/>
  <c r="AG54" i="10" s="1"/>
  <c r="R51" i="13"/>
  <c r="E61" i="52"/>
  <c r="T9" i="10"/>
  <c r="Y9" i="10" s="1"/>
  <c r="AB9" i="10" s="1"/>
  <c r="Q160" i="10"/>
  <c r="N107" i="13"/>
  <c r="AL30" i="10"/>
  <c r="T30" i="10" s="1"/>
  <c r="Q79" i="10"/>
  <c r="R57" i="13" s="1"/>
  <c r="C75" i="10"/>
  <c r="AF75" i="10" s="1"/>
  <c r="H74" i="10"/>
  <c r="AG74" i="10"/>
  <c r="C89" i="10"/>
  <c r="H89" i="10" s="1"/>
  <c r="AH89" i="10" s="1"/>
  <c r="AQ89" i="10" s="1"/>
  <c r="T142" i="10"/>
  <c r="Y142" i="10" s="1"/>
  <c r="AB142" i="10" s="1"/>
  <c r="AM142" i="10"/>
  <c r="AG120" i="10"/>
  <c r="AG94" i="10"/>
  <c r="AG95" i="10" s="1"/>
  <c r="AI94" i="10" s="1"/>
  <c r="T158" i="10"/>
  <c r="Y158" i="10" s="1"/>
  <c r="AB158" i="10" s="1"/>
  <c r="AM158" i="10"/>
  <c r="AG110" i="10"/>
  <c r="N8" i="13"/>
  <c r="Q9" i="10"/>
  <c r="V9" i="10"/>
  <c r="AM72" i="10"/>
  <c r="T72" i="10"/>
  <c r="Q30" i="10"/>
  <c r="E31" i="52" s="1"/>
  <c r="P31" i="52" s="1"/>
  <c r="AL79" i="10"/>
  <c r="T79" i="10" s="1"/>
  <c r="AF58" i="68"/>
  <c r="AK58" i="68" s="1"/>
  <c r="Q73" i="10"/>
  <c r="AL73" i="10"/>
  <c r="N52" i="13"/>
  <c r="G52" i="13" s="1"/>
  <c r="E125" i="52"/>
  <c r="R115" i="13"/>
  <c r="C117" i="10"/>
  <c r="AF117" i="10" s="1"/>
  <c r="AM164" i="10"/>
  <c r="T164" i="10"/>
  <c r="Y164" i="10" s="1"/>
  <c r="AB164" i="10" s="1"/>
  <c r="T144" i="10"/>
  <c r="Y144" i="10" s="1"/>
  <c r="AB144" i="10" s="1"/>
  <c r="AM144" i="10"/>
  <c r="T129" i="10"/>
  <c r="Y129" i="10" s="1"/>
  <c r="AB129" i="10" s="1"/>
  <c r="AM129" i="10"/>
  <c r="T160" i="10"/>
  <c r="Y160" i="10" s="1"/>
  <c r="AB160" i="10" s="1"/>
  <c r="AM160" i="10"/>
  <c r="N100" i="13"/>
  <c r="Q147" i="10"/>
  <c r="Q126" i="10"/>
  <c r="N89" i="13"/>
  <c r="E123" i="52"/>
  <c r="R113" i="13"/>
  <c r="E128" i="52"/>
  <c r="AT32" i="52" s="1"/>
  <c r="R118" i="13"/>
  <c r="Q106" i="10"/>
  <c r="N74" i="13"/>
  <c r="AM149" i="10"/>
  <c r="T149" i="10"/>
  <c r="Y149" i="10" s="1"/>
  <c r="AB149" i="10" s="1"/>
  <c r="AM134" i="10"/>
  <c r="T134" i="10"/>
  <c r="Y134" i="10" s="1"/>
  <c r="AB134" i="10" s="1"/>
  <c r="R99" i="13"/>
  <c r="E109" i="52"/>
  <c r="W144" i="10"/>
  <c r="AA144" i="10" s="1"/>
  <c r="AG137" i="10"/>
  <c r="AG138" i="10" s="1"/>
  <c r="AI137" i="10" s="1"/>
  <c r="E46" i="52"/>
  <c r="R36" i="13"/>
  <c r="N98" i="13"/>
  <c r="V142" i="10"/>
  <c r="Q142" i="10"/>
  <c r="R114" i="13"/>
  <c r="E124" i="52"/>
  <c r="T166" i="10"/>
  <c r="Y166" i="10" s="1"/>
  <c r="AB166" i="10" s="1"/>
  <c r="AM166" i="10"/>
  <c r="N108" i="13"/>
  <c r="Q162" i="10"/>
  <c r="C112" i="10"/>
  <c r="AF112" i="10" s="1"/>
  <c r="AM14" i="10"/>
  <c r="T14" i="10"/>
  <c r="Y14" i="10" s="1"/>
  <c r="AB14" i="10" s="1"/>
  <c r="Q149" i="10"/>
  <c r="N101" i="13"/>
  <c r="N109" i="13"/>
  <c r="Q164" i="10"/>
  <c r="V164" i="10"/>
  <c r="V134" i="10"/>
  <c r="N93" i="13"/>
  <c r="Q134" i="10"/>
  <c r="T124" i="10"/>
  <c r="Y124" i="10" s="1"/>
  <c r="AB124" i="10" s="1"/>
  <c r="AM124" i="10"/>
  <c r="N106" i="13"/>
  <c r="Q166" i="10"/>
  <c r="V166" i="10"/>
  <c r="E127" i="52"/>
  <c r="R117" i="13"/>
  <c r="AM51" i="10"/>
  <c r="T51" i="10"/>
  <c r="AJ79" i="10"/>
  <c r="AJ80" i="10" s="1"/>
  <c r="AK81" i="10" s="1"/>
  <c r="H81" i="10" s="1"/>
  <c r="N11" i="13"/>
  <c r="Q14" i="10"/>
  <c r="V14" i="10"/>
  <c r="AM147" i="10"/>
  <c r="T147" i="10"/>
  <c r="Y147" i="10" s="1"/>
  <c r="AB147" i="10" s="1"/>
  <c r="E126" i="52"/>
  <c r="R116" i="13"/>
  <c r="AM162" i="10"/>
  <c r="T162" i="10"/>
  <c r="Y162" i="10" s="1"/>
  <c r="AB162" i="10" s="1"/>
  <c r="AG115" i="10"/>
  <c r="J106" i="13"/>
  <c r="K106" i="13" s="1"/>
  <c r="U64" i="64" s="1"/>
  <c r="L108" i="13"/>
  <c r="M108" i="13" s="1"/>
  <c r="U67" i="66" s="1"/>
  <c r="U55" i="66"/>
  <c r="R67" i="66" s="1"/>
  <c r="L107" i="13"/>
  <c r="M107" i="13" s="1"/>
  <c r="U67" i="65" s="1"/>
  <c r="U55" i="65"/>
  <c r="R67" i="65" s="1"/>
  <c r="L118" i="13"/>
  <c r="M118" i="13" s="1"/>
  <c r="U67" i="62" s="1"/>
  <c r="U55" i="62"/>
  <c r="R67" i="62" s="1"/>
  <c r="J108" i="13"/>
  <c r="U52" i="66"/>
  <c r="R64" i="66" s="1"/>
  <c r="L112" i="13"/>
  <c r="M112" i="13" s="1"/>
  <c r="U64" i="68" s="1"/>
  <c r="U55" i="68"/>
  <c r="R64" i="68" s="1"/>
  <c r="AH181" i="22"/>
  <c r="U228" i="68" s="1"/>
  <c r="R237" i="68" s="1"/>
  <c r="AH179" i="22"/>
  <c r="U154" i="68" s="1"/>
  <c r="R163" i="68" s="1"/>
  <c r="L106" i="13"/>
  <c r="M106" i="13" s="1"/>
  <c r="U67" i="64" s="1"/>
  <c r="U55" i="64"/>
  <c r="R67" i="64" s="1"/>
  <c r="AH178" i="22"/>
  <c r="U101" i="68" s="1"/>
  <c r="R110" i="68" s="1"/>
  <c r="AH180" i="22"/>
  <c r="U191" i="68" s="1"/>
  <c r="R200" i="68" s="1"/>
  <c r="AH182" i="22"/>
  <c r="U266" i="68" s="1"/>
  <c r="R275" i="68" s="1"/>
  <c r="J107" i="13"/>
  <c r="K107" i="13" s="1"/>
  <c r="U64" i="65" s="1"/>
  <c r="AH177" i="22"/>
  <c r="X52" i="68"/>
  <c r="BU175" i="22"/>
  <c r="CD175" i="22" s="1"/>
  <c r="AA54" i="67"/>
  <c r="AF54" i="67" s="1"/>
  <c r="AA51" i="67"/>
  <c r="AF51" i="67" s="1"/>
  <c r="AA52" i="63"/>
  <c r="AF52" i="63" s="1"/>
  <c r="X52" i="63"/>
  <c r="U52" i="63"/>
  <c r="R64" i="63" s="1"/>
  <c r="R52" i="63"/>
  <c r="A55" i="63"/>
  <c r="BB141" i="22"/>
  <c r="BB142" i="22" s="1"/>
  <c r="BB143" i="22" s="1"/>
  <c r="BA144" i="22" s="1"/>
  <c r="AT144" i="22" s="1"/>
  <c r="AF206" i="32"/>
  <c r="AJ206" i="32" s="1"/>
  <c r="BL67" i="22"/>
  <c r="AA316" i="34"/>
  <c r="AF316" i="34" s="1"/>
  <c r="AA325" i="34"/>
  <c r="AF325" i="34" s="1"/>
  <c r="AA328" i="34"/>
  <c r="AF328" i="34" s="1"/>
  <c r="AA319" i="34"/>
  <c r="AF319" i="34" s="1"/>
  <c r="BP137" i="22"/>
  <c r="AT149" i="22"/>
  <c r="AN149" i="22" s="1"/>
  <c r="W3" i="70"/>
  <c r="W4" i="70"/>
  <c r="W70" i="70"/>
  <c r="W69" i="70"/>
  <c r="W63" i="70"/>
  <c r="W64" i="70"/>
  <c r="W26" i="70"/>
  <c r="W25" i="70"/>
  <c r="S70" i="52"/>
  <c r="W11" i="70"/>
  <c r="W59" i="70"/>
  <c r="AN123" i="22"/>
  <c r="AB123" i="22" s="1"/>
  <c r="F58" i="13" s="1"/>
  <c r="G58" i="13" s="1"/>
  <c r="AN142" i="22"/>
  <c r="AB142" i="22" s="1"/>
  <c r="F77" i="13" s="1"/>
  <c r="AN97" i="22"/>
  <c r="AB97" i="22" s="1"/>
  <c r="U96" i="31" s="1"/>
  <c r="R105" i="31" s="1"/>
  <c r="W86" i="52"/>
  <c r="Z86" i="52" s="1"/>
  <c r="AG86" i="52" s="1"/>
  <c r="BP141" i="22"/>
  <c r="AN137" i="22"/>
  <c r="AB137" i="22" s="1"/>
  <c r="F72" i="13" s="1"/>
  <c r="W42" i="52"/>
  <c r="AJ42" i="52" s="1"/>
  <c r="BP142" i="22"/>
  <c r="BP123" i="22"/>
  <c r="AN98" i="22"/>
  <c r="AB98" i="22" s="1"/>
  <c r="U149" i="31" s="1"/>
  <c r="R158" i="31" s="1"/>
  <c r="AT121" i="22"/>
  <c r="AN121" i="22" s="1"/>
  <c r="BB96" i="22"/>
  <c r="BB97" i="22" s="1"/>
  <c r="BB98" i="22" s="1"/>
  <c r="BB99" i="22" s="1"/>
  <c r="BB100" i="22" s="1"/>
  <c r="BP139" i="22"/>
  <c r="AN139" i="22"/>
  <c r="AB139" i="22" s="1"/>
  <c r="F74" i="13" s="1"/>
  <c r="AN150" i="22"/>
  <c r="AB150" i="22" s="1"/>
  <c r="F85" i="13" s="1"/>
  <c r="BB137" i="22"/>
  <c r="BA138" i="22" s="1"/>
  <c r="AT138" i="22" s="1"/>
  <c r="AN126" i="22"/>
  <c r="AB126" i="22" s="1"/>
  <c r="F61" i="13" s="1"/>
  <c r="W44" i="52"/>
  <c r="AI44" i="52" s="1"/>
  <c r="X56" i="52"/>
  <c r="BB111" i="22"/>
  <c r="BB112" i="22" s="1"/>
  <c r="BB113" i="22" s="1"/>
  <c r="BB114" i="22" s="1"/>
  <c r="BA115" i="22" s="1"/>
  <c r="AT115" i="22" s="1"/>
  <c r="BP84" i="22"/>
  <c r="BY84" i="22" s="1"/>
  <c r="BP126" i="22"/>
  <c r="BP153" i="22"/>
  <c r="BY153" i="22" s="1"/>
  <c r="W29" i="52"/>
  <c r="Z29" i="52" s="1"/>
  <c r="BB145" i="22"/>
  <c r="BB146" i="22" s="1"/>
  <c r="BB147" i="22" s="1"/>
  <c r="BA148" i="22" s="1"/>
  <c r="AT148" i="22" s="1"/>
  <c r="BB108" i="22"/>
  <c r="BB109" i="22" s="1"/>
  <c r="BB110" i="22" s="1"/>
  <c r="BB122" i="22"/>
  <c r="BB123" i="22" s="1"/>
  <c r="BA124" i="22" s="1"/>
  <c r="AT124" i="22" s="1"/>
  <c r="BP109" i="22"/>
  <c r="BB150" i="22"/>
  <c r="BB151" i="22" s="1"/>
  <c r="BA152" i="22" s="1"/>
  <c r="AT152" i="22" s="1"/>
  <c r="W54" i="52"/>
  <c r="AI54" i="52" s="1"/>
  <c r="AN143" i="22"/>
  <c r="AB143" i="22" s="1"/>
  <c r="F78" i="13" s="1"/>
  <c r="AN110" i="22"/>
  <c r="AB110" i="22" s="1"/>
  <c r="BP110" i="22"/>
  <c r="AN70" i="22"/>
  <c r="AB70" i="22" s="1"/>
  <c r="F5" i="13" s="1"/>
  <c r="W95" i="52"/>
  <c r="Z95" i="52" s="1"/>
  <c r="AG95" i="52" s="1"/>
  <c r="BB126" i="22"/>
  <c r="BA127" i="22" s="1"/>
  <c r="AT127" i="22" s="1"/>
  <c r="W15" i="52"/>
  <c r="AI15" i="52" s="1"/>
  <c r="W67" i="52"/>
  <c r="Z67" i="52" s="1"/>
  <c r="AG67" i="52" s="1"/>
  <c r="BP122" i="22"/>
  <c r="BP99" i="22"/>
  <c r="AN153" i="22"/>
  <c r="AB153" i="22" s="1"/>
  <c r="F88" i="13" s="1"/>
  <c r="AT140" i="22"/>
  <c r="W85" i="52" s="1"/>
  <c r="AT136" i="22"/>
  <c r="W81" i="52" s="1"/>
  <c r="AN151" i="22"/>
  <c r="X625" i="41" s="1"/>
  <c r="W57" i="52"/>
  <c r="AJ57" i="52" s="1"/>
  <c r="AN112" i="22"/>
  <c r="AB112" i="22" s="1"/>
  <c r="U96" i="34" s="1"/>
  <c r="R105" i="34" s="1"/>
  <c r="W88" i="52"/>
  <c r="Z88" i="52" s="1"/>
  <c r="AG88" i="52" s="1"/>
  <c r="AT76" i="22"/>
  <c r="BP76" i="22" s="1"/>
  <c r="BB76" i="22"/>
  <c r="BP147" i="22"/>
  <c r="W92" i="52"/>
  <c r="Z92" i="52" s="1"/>
  <c r="AG92" i="52" s="1"/>
  <c r="X85" i="52"/>
  <c r="W100" i="52"/>
  <c r="Z100" i="52" s="1"/>
  <c r="BP155" i="22"/>
  <c r="BY155" i="22" s="1"/>
  <c r="AN146" i="22"/>
  <c r="AB146" i="22" s="1"/>
  <c r="F81" i="13" s="1"/>
  <c r="W59" i="52"/>
  <c r="Z59" i="52" s="1"/>
  <c r="AG59" i="52" s="1"/>
  <c r="AT125" i="22"/>
  <c r="BP125" i="22" s="1"/>
  <c r="BY125" i="22" s="1"/>
  <c r="W91" i="52"/>
  <c r="Z91" i="52" s="1"/>
  <c r="AG91" i="52" s="1"/>
  <c r="BP114" i="22"/>
  <c r="BP113" i="22"/>
  <c r="W96" i="52"/>
  <c r="AI96" i="52" s="1"/>
  <c r="W43" i="52"/>
  <c r="Z43" i="52" s="1"/>
  <c r="AG43" i="52" s="1"/>
  <c r="X94" i="52"/>
  <c r="AN113" i="22"/>
  <c r="AB113" i="22" s="1"/>
  <c r="F48" i="13" s="1"/>
  <c r="AG6" i="52"/>
  <c r="BI14" i="52"/>
  <c r="AG10" i="52"/>
  <c r="R213" i="50" a="1"/>
  <c r="R213" i="50" s="1"/>
  <c r="AB213" i="50" s="1"/>
  <c r="AF213" i="50" s="1"/>
  <c r="AJ213" i="50" s="1"/>
  <c r="AG113" i="52"/>
  <c r="BV14" i="52" s="1"/>
  <c r="R208" i="50" s="1" a="1"/>
  <c r="R208" i="50" s="1"/>
  <c r="AB208" i="50" s="1"/>
  <c r="AF208" i="50" s="1"/>
  <c r="AJ208" i="50" s="1"/>
  <c r="AA12" i="52"/>
  <c r="BP22" i="52" s="1"/>
  <c r="AG12" i="52"/>
  <c r="AD4" i="52"/>
  <c r="AG4" i="52"/>
  <c r="AA11" i="52"/>
  <c r="BP16" i="52" s="1"/>
  <c r="AG11" i="52"/>
  <c r="AB7" i="52"/>
  <c r="AG7" i="52"/>
  <c r="R212" i="50" a="1"/>
  <c r="R212" i="50" s="1"/>
  <c r="AB212" i="50" s="1"/>
  <c r="AF212" i="50" s="1"/>
  <c r="AJ212" i="50" s="1"/>
  <c r="AT73" i="22"/>
  <c r="BB73" i="22"/>
  <c r="W116" i="52"/>
  <c r="BL26" i="52" s="1"/>
  <c r="W119" i="52"/>
  <c r="BL29" i="52" s="1"/>
  <c r="BB158" i="22"/>
  <c r="AT158" i="22"/>
  <c r="W103" i="52" s="1"/>
  <c r="Z103" i="52" s="1"/>
  <c r="AG103" i="52" s="1"/>
  <c r="AC7" i="52"/>
  <c r="AB4" i="52"/>
  <c r="AH4" i="52"/>
  <c r="AT165" i="22"/>
  <c r="BB165" i="22"/>
  <c r="AF4" i="52"/>
  <c r="AE4" i="52"/>
  <c r="AT163" i="22"/>
  <c r="BB163" i="22"/>
  <c r="Y22" i="52"/>
  <c r="AC4" i="52"/>
  <c r="AE7" i="52"/>
  <c r="X73" i="52"/>
  <c r="AD7" i="52"/>
  <c r="Y106" i="52"/>
  <c r="CC156" i="22"/>
  <c r="CC158" i="22" s="1"/>
  <c r="Y66" i="52"/>
  <c r="S47" i="13"/>
  <c r="S57" i="52"/>
  <c r="BH23" i="52" s="1"/>
  <c r="R576" i="34" s="1" a="1"/>
  <c r="R576" i="34" s="1"/>
  <c r="AB576" i="34" s="1"/>
  <c r="AF576" i="34" s="1"/>
  <c r="AJ576" i="34" s="1"/>
  <c r="S42" i="13"/>
  <c r="S52" i="52"/>
  <c r="BH17" i="52" s="1"/>
  <c r="R204" i="32" s="1" a="1"/>
  <c r="R204" i="32" s="1"/>
  <c r="AB204" i="32" s="1"/>
  <c r="AF204" i="32" s="1"/>
  <c r="AJ204" i="32" s="1"/>
  <c r="S76" i="13"/>
  <c r="S86" i="52"/>
  <c r="BH7" i="52" s="1"/>
  <c r="U112" i="52"/>
  <c r="V112" i="52"/>
  <c r="AF113" i="52"/>
  <c r="BU14" i="52" s="1"/>
  <c r="AB113" i="52"/>
  <c r="BQ14" i="52" s="1"/>
  <c r="AC113" i="52"/>
  <c r="BR14" i="52" s="1"/>
  <c r="AD113" i="52"/>
  <c r="BS14" i="52" s="1"/>
  <c r="AH113" i="52"/>
  <c r="BW14" i="52" s="1"/>
  <c r="AE113" i="52"/>
  <c r="BT14" i="52" s="1"/>
  <c r="Y29" i="52"/>
  <c r="U53" i="52"/>
  <c r="V53" i="52"/>
  <c r="Y81" i="52"/>
  <c r="T44" i="13"/>
  <c r="T54" i="52"/>
  <c r="BI18" i="52" s="1"/>
  <c r="R252" i="33" s="1" a="1"/>
  <c r="R252" i="33" s="1"/>
  <c r="AB252" i="33" s="1"/>
  <c r="X27" i="52"/>
  <c r="Y46" i="52"/>
  <c r="Y51" i="52"/>
  <c r="X104" i="52"/>
  <c r="X75" i="52"/>
  <c r="Y79" i="52"/>
  <c r="Y73" i="52"/>
  <c r="X37" i="52"/>
  <c r="X81" i="52"/>
  <c r="Y33" i="52"/>
  <c r="Y41" i="52"/>
  <c r="Y14" i="52"/>
  <c r="X61" i="52"/>
  <c r="Y90" i="52"/>
  <c r="Y56" i="52"/>
  <c r="Z106" i="52"/>
  <c r="AG106" i="52" s="1"/>
  <c r="AJ106" i="52"/>
  <c r="AI106" i="52"/>
  <c r="BP94" i="22"/>
  <c r="W39" i="52"/>
  <c r="BT167" i="22"/>
  <c r="CC167" i="22" s="1"/>
  <c r="Y112" i="52"/>
  <c r="BP82" i="22"/>
  <c r="BY82" i="22" s="1"/>
  <c r="W27" i="52"/>
  <c r="AI82" i="52"/>
  <c r="AJ82" i="52"/>
  <c r="Z82" i="52"/>
  <c r="AG82" i="52" s="1"/>
  <c r="AJ49" i="52"/>
  <c r="Z49" i="52"/>
  <c r="AG49" i="52" s="1"/>
  <c r="AI49" i="52"/>
  <c r="X53" i="52"/>
  <c r="BM18" i="52" s="1"/>
  <c r="R256" i="33" s="1" a="1"/>
  <c r="R256" i="33" s="1"/>
  <c r="AB256" i="33" s="1"/>
  <c r="W23" i="52"/>
  <c r="Y61" i="52"/>
  <c r="BP101" i="22"/>
  <c r="W46" i="52"/>
  <c r="X66" i="52"/>
  <c r="BS167" i="22"/>
  <c r="CB167" i="22" s="1"/>
  <c r="X112" i="52"/>
  <c r="BT86" i="22"/>
  <c r="CC86" i="22" s="1"/>
  <c r="Y31" i="52"/>
  <c r="Z47" i="52"/>
  <c r="AG47" i="52" s="1"/>
  <c r="AI47" i="52"/>
  <c r="AJ47" i="52"/>
  <c r="BS175" i="22"/>
  <c r="CB175" i="22" s="1"/>
  <c r="X120" i="52"/>
  <c r="X41" i="52"/>
  <c r="BT94" i="22"/>
  <c r="Y39" i="52"/>
  <c r="BT159" i="22"/>
  <c r="Y104" i="52"/>
  <c r="Y19" i="52"/>
  <c r="BP108" i="22"/>
  <c r="BY108" i="22" s="1"/>
  <c r="W53" i="52"/>
  <c r="BP116" i="22"/>
  <c r="W61" i="52"/>
  <c r="BT130" i="22"/>
  <c r="Y75" i="52"/>
  <c r="BT125" i="22"/>
  <c r="CC125" i="22" s="1"/>
  <c r="CC126" i="22" s="1"/>
  <c r="Y70" i="52"/>
  <c r="X90" i="52"/>
  <c r="Z111" i="52"/>
  <c r="AG111" i="52" s="1"/>
  <c r="AJ111" i="52"/>
  <c r="AI111" i="52"/>
  <c r="X99" i="52"/>
  <c r="Y77" i="52"/>
  <c r="BT91" i="22"/>
  <c r="Y36" i="52"/>
  <c r="BT108" i="22"/>
  <c r="CC108" i="22" s="1"/>
  <c r="CC109" i="22" s="1"/>
  <c r="CC110" i="22" s="1"/>
  <c r="CM13" i="22" s="1"/>
  <c r="Y53" i="52"/>
  <c r="BN18" i="52" s="1"/>
  <c r="R257" i="33" s="1" a="1"/>
  <c r="R257" i="33" s="1"/>
  <c r="AB257" i="33" s="1"/>
  <c r="AF257" i="33" s="1"/>
  <c r="AJ257" i="33" s="1"/>
  <c r="BT175" i="22"/>
  <c r="CC175" i="22" s="1"/>
  <c r="Y120" i="52"/>
  <c r="Y85" i="52"/>
  <c r="X25" i="52"/>
  <c r="AI109" i="52"/>
  <c r="AJ109" i="52"/>
  <c r="Z109" i="52"/>
  <c r="AG109" i="52" s="1"/>
  <c r="Z58" i="52"/>
  <c r="AG58" i="52" s="1"/>
  <c r="AI58" i="52"/>
  <c r="AJ58" i="52"/>
  <c r="AJ104" i="52"/>
  <c r="Z104" i="52"/>
  <c r="AG104" i="52" s="1"/>
  <c r="AI104" i="52"/>
  <c r="X39" i="52"/>
  <c r="Y109" i="52"/>
  <c r="X29" i="52"/>
  <c r="Y27" i="52"/>
  <c r="X14" i="52"/>
  <c r="Y94" i="52"/>
  <c r="X109" i="52"/>
  <c r="X79" i="52"/>
  <c r="AI63" i="52"/>
  <c r="Z63" i="52"/>
  <c r="AG63" i="52" s="1"/>
  <c r="AJ63" i="52"/>
  <c r="Z26" i="52"/>
  <c r="AG26" i="52" s="1"/>
  <c r="AJ26" i="52"/>
  <c r="AI26" i="52"/>
  <c r="BP156" i="22"/>
  <c r="W101" i="52"/>
  <c r="BS166" i="22"/>
  <c r="CB166" i="22" s="1"/>
  <c r="X111" i="52"/>
  <c r="BT80" i="22"/>
  <c r="Y25" i="52"/>
  <c r="X31" i="52"/>
  <c r="BP154" i="22"/>
  <c r="W99" i="52"/>
  <c r="BP145" i="22"/>
  <c r="W90" i="52"/>
  <c r="Y99" i="52"/>
  <c r="X33" i="52"/>
  <c r="Z55" i="52"/>
  <c r="AG55" i="52" s="1"/>
  <c r="AJ55" i="52"/>
  <c r="AI55" i="52"/>
  <c r="Z48" i="52"/>
  <c r="AG48" i="52" s="1"/>
  <c r="AI48" i="52"/>
  <c r="AJ48" i="52"/>
  <c r="Z71" i="52"/>
  <c r="AG71" i="52" s="1"/>
  <c r="AI71" i="52"/>
  <c r="AJ71" i="52"/>
  <c r="Z98" i="52"/>
  <c r="AG98" i="52" s="1"/>
  <c r="AI98" i="52"/>
  <c r="AJ98" i="52"/>
  <c r="BP134" i="22"/>
  <c r="W79" i="52"/>
  <c r="X46" i="52"/>
  <c r="X19" i="52"/>
  <c r="X70" i="52"/>
  <c r="BP111" i="22"/>
  <c r="BY111" i="22" s="1"/>
  <c r="BY112" i="22" s="1"/>
  <c r="W56" i="52"/>
  <c r="BP80" i="22"/>
  <c r="W25" i="52"/>
  <c r="X22" i="52"/>
  <c r="X51" i="52"/>
  <c r="X35" i="52"/>
  <c r="AI64" i="52"/>
  <c r="Z64" i="52"/>
  <c r="AG64" i="52" s="1"/>
  <c r="AJ64" i="52"/>
  <c r="AI84" i="52"/>
  <c r="Z84" i="52"/>
  <c r="AG84" i="52" s="1"/>
  <c r="AJ84" i="52"/>
  <c r="X106" i="52"/>
  <c r="AJ68" i="52"/>
  <c r="AI68" i="52"/>
  <c r="Z68" i="52"/>
  <c r="AG68" i="52" s="1"/>
  <c r="AI87" i="52"/>
  <c r="AJ87" i="52"/>
  <c r="Z87" i="52"/>
  <c r="AG87" i="52" s="1"/>
  <c r="BP88" i="22"/>
  <c r="W33" i="52"/>
  <c r="BT92" i="22"/>
  <c r="CC92" i="22" s="1"/>
  <c r="Y37" i="52"/>
  <c r="BP132" i="22"/>
  <c r="BY132" i="22" s="1"/>
  <c r="W77" i="52"/>
  <c r="BP96" i="22"/>
  <c r="BY96" i="22" s="1"/>
  <c r="BY97" i="22" s="1"/>
  <c r="BY98" i="22" s="1"/>
  <c r="W41" i="52"/>
  <c r="BT166" i="22"/>
  <c r="CC166" i="22" s="1"/>
  <c r="CM24" i="22" s="1"/>
  <c r="Y111" i="52"/>
  <c r="BP85" i="22"/>
  <c r="W30" i="52"/>
  <c r="AI62" i="52"/>
  <c r="AJ62" i="52"/>
  <c r="Z62" i="52"/>
  <c r="AG62" i="52" s="1"/>
  <c r="AH9" i="52"/>
  <c r="AA9" i="52"/>
  <c r="BP8" i="52" s="1"/>
  <c r="AE6" i="52"/>
  <c r="AA6" i="52"/>
  <c r="BP17" i="52" s="1"/>
  <c r="R212" i="32" s="1" a="1"/>
  <c r="R212" i="32" s="1"/>
  <c r="AB212" i="32" s="1"/>
  <c r="AF212" i="32" s="1"/>
  <c r="AJ212" i="32" s="1"/>
  <c r="BV69" i="22"/>
  <c r="CE69" i="22" s="1"/>
  <c r="CE70" i="22" s="1"/>
  <c r="CE71" i="22" s="1"/>
  <c r="BV166" i="22"/>
  <c r="CE166" i="22" s="1"/>
  <c r="CO24" i="22" s="1"/>
  <c r="BU69" i="22"/>
  <c r="CD69" i="22" s="1"/>
  <c r="CD70" i="22" s="1"/>
  <c r="CD71" i="22" s="1"/>
  <c r="BS69" i="22"/>
  <c r="CB69" i="22" s="1"/>
  <c r="CB70" i="22" s="1"/>
  <c r="CB71" i="22" s="1"/>
  <c r="BT69" i="22"/>
  <c r="CC69" i="22" s="1"/>
  <c r="CC70" i="22" s="1"/>
  <c r="CC71" i="22" s="1"/>
  <c r="Z13" i="52"/>
  <c r="AF7" i="52"/>
  <c r="X362" i="31"/>
  <c r="AA362" i="31"/>
  <c r="AF362" i="31" s="1"/>
  <c r="X52" i="25"/>
  <c r="U50" i="28"/>
  <c r="R59" i="28" s="1"/>
  <c r="F19" i="13"/>
  <c r="J82" i="13"/>
  <c r="K82" i="13" s="1"/>
  <c r="J34" i="13"/>
  <c r="K34" i="13" s="1"/>
  <c r="J58" i="13"/>
  <c r="K58" i="13" s="1"/>
  <c r="J5" i="13"/>
  <c r="K5" i="13" s="1"/>
  <c r="J98" i="13"/>
  <c r="K98" i="13" s="1"/>
  <c r="J72" i="13"/>
  <c r="K72" i="13" s="1"/>
  <c r="U98" i="41"/>
  <c r="R107" i="41" s="1"/>
  <c r="AB5" i="52"/>
  <c r="J57" i="13"/>
  <c r="K57" i="13" s="1"/>
  <c r="J6" i="13"/>
  <c r="K6" i="13" s="1"/>
  <c r="U112" i="35"/>
  <c r="R121" i="35" s="1"/>
  <c r="F57" i="13"/>
  <c r="G57" i="13" s="1"/>
  <c r="J88" i="13"/>
  <c r="K88" i="13" s="1"/>
  <c r="K109" i="13"/>
  <c r="AE10" i="52"/>
  <c r="AD10" i="52"/>
  <c r="AC10" i="52"/>
  <c r="AF10" i="52"/>
  <c r="AH10" i="52"/>
  <c r="AB10" i="52"/>
  <c r="J74" i="13"/>
  <c r="K74" i="13" s="1"/>
  <c r="U202" i="31"/>
  <c r="R211" i="31" s="1"/>
  <c r="F34" i="13"/>
  <c r="AN71" i="10"/>
  <c r="S60" i="13"/>
  <c r="AN59" i="10"/>
  <c r="AN113" i="10"/>
  <c r="N105" i="13"/>
  <c r="G105" i="13" s="1"/>
  <c r="Q156" i="10"/>
  <c r="N43" i="13"/>
  <c r="AL61" i="10"/>
  <c r="Q61" i="10"/>
  <c r="E53" i="52" s="1"/>
  <c r="N104" i="13"/>
  <c r="G104" i="13" s="1"/>
  <c r="Q155" i="10"/>
  <c r="E114" i="52" s="1"/>
  <c r="V155" i="10"/>
  <c r="N41" i="13"/>
  <c r="AL57" i="10"/>
  <c r="Q57" i="10"/>
  <c r="E51" i="52" s="1"/>
  <c r="AG149" i="10"/>
  <c r="AG150" i="10" s="1"/>
  <c r="AI150" i="10" s="1"/>
  <c r="AK150" i="10" s="1"/>
  <c r="AN89" i="10"/>
  <c r="A15" i="18"/>
  <c r="D15" i="18" s="1"/>
  <c r="B17" i="55" s="1"/>
  <c r="U153" i="35"/>
  <c r="R162" i="35" s="1"/>
  <c r="U104" i="40"/>
  <c r="R113" i="40" s="1"/>
  <c r="U418" i="31"/>
  <c r="R427" i="31" s="1"/>
  <c r="U468" i="31"/>
  <c r="R477" i="31" s="1"/>
  <c r="CB156" i="22"/>
  <c r="CB158" i="22" s="1"/>
  <c r="X58" i="62"/>
  <c r="AA468" i="31"/>
  <c r="AF468" i="31" s="1"/>
  <c r="X468" i="31"/>
  <c r="AA49" i="44"/>
  <c r="AF49" i="44" s="1"/>
  <c r="U471" i="31"/>
  <c r="R480" i="31" s="1"/>
  <c r="X49" i="44"/>
  <c r="X413" i="41"/>
  <c r="U365" i="31"/>
  <c r="R374" i="31" s="1"/>
  <c r="X50" i="28"/>
  <c r="X112" i="35"/>
  <c r="AA112" i="35"/>
  <c r="AF112" i="35" s="1"/>
  <c r="AA95" i="41"/>
  <c r="AF95" i="41" s="1"/>
  <c r="U415" i="31"/>
  <c r="R424" i="31" s="1"/>
  <c r="AA415" i="31"/>
  <c r="AF415" i="31" s="1"/>
  <c r="U115" i="35"/>
  <c r="R124" i="35" s="1"/>
  <c r="X95" i="41"/>
  <c r="X415" i="31"/>
  <c r="X100" i="26"/>
  <c r="U362" i="31"/>
  <c r="R371" i="31" s="1"/>
  <c r="AQ167" i="22"/>
  <c r="AL167" i="22" s="1"/>
  <c r="L102" i="13" s="1"/>
  <c r="M102" i="13" s="1"/>
  <c r="U46" i="50" s="1"/>
  <c r="U628" i="41"/>
  <c r="R637" i="41" s="1"/>
  <c r="AA413" i="41"/>
  <c r="AF413" i="41" s="1"/>
  <c r="U174" i="46"/>
  <c r="R183" i="46" s="1"/>
  <c r="U205" i="31"/>
  <c r="R214" i="31" s="1"/>
  <c r="AA202" i="31"/>
  <c r="AF202" i="31" s="1"/>
  <c r="X202" i="31"/>
  <c r="BH133" i="22"/>
  <c r="CE80" i="22"/>
  <c r="CE81" i="22" s="1"/>
  <c r="CO6" i="22" s="1"/>
  <c r="AQ175" i="22"/>
  <c r="BF91" i="22"/>
  <c r="BB85" i="22"/>
  <c r="BD157" i="22"/>
  <c r="BF157" i="22"/>
  <c r="BU133" i="22"/>
  <c r="CD133" i="22" s="1"/>
  <c r="BU90" i="22"/>
  <c r="AQ90" i="22"/>
  <c r="AL90" i="22" s="1"/>
  <c r="L25" i="13" s="1"/>
  <c r="M25" i="13" s="1"/>
  <c r="BI87" i="22"/>
  <c r="AX87" i="22" s="1"/>
  <c r="BV87" i="22" s="1"/>
  <c r="CE87" i="22" s="1"/>
  <c r="CE88" i="22" s="1"/>
  <c r="AN159" i="22"/>
  <c r="AB159" i="22" s="1"/>
  <c r="F94" i="13" s="1"/>
  <c r="BP159" i="22"/>
  <c r="BE105" i="22"/>
  <c r="AV105" i="22" s="1"/>
  <c r="BC148" i="22"/>
  <c r="AU148" i="22" s="1"/>
  <c r="AT77" i="22"/>
  <c r="BB77" i="22"/>
  <c r="BB78" i="22" s="1"/>
  <c r="BA162" i="22"/>
  <c r="AT162" i="22" s="1"/>
  <c r="W107" i="52" s="1"/>
  <c r="AN88" i="22"/>
  <c r="BT134" i="22"/>
  <c r="BT136" i="22"/>
  <c r="CC136" i="22" s="1"/>
  <c r="CC137" i="22" s="1"/>
  <c r="BE160" i="22"/>
  <c r="AV160" i="22" s="1"/>
  <c r="AH114" i="22"/>
  <c r="J49" i="13" s="1"/>
  <c r="X205" i="34"/>
  <c r="BI168" i="22"/>
  <c r="AX168" i="22" s="1"/>
  <c r="BV168" i="22" s="1"/>
  <c r="CE168" i="22" s="1"/>
  <c r="CE169" i="22" s="1"/>
  <c r="CE170" i="22" s="1"/>
  <c r="CO25" i="22" s="1"/>
  <c r="BT77" i="22"/>
  <c r="CC77" i="22" s="1"/>
  <c r="CC78" i="22" s="1"/>
  <c r="BG115" i="22"/>
  <c r="AW115" i="22" s="1"/>
  <c r="AH117" i="22"/>
  <c r="J52" i="13" s="1"/>
  <c r="BI72" i="22"/>
  <c r="AX72" i="22" s="1"/>
  <c r="BV72" i="22" s="1"/>
  <c r="BI95" i="22"/>
  <c r="AX95" i="22" s="1"/>
  <c r="BV95" i="22" s="1"/>
  <c r="BU88" i="22"/>
  <c r="AQ88" i="22"/>
  <c r="AL88" i="22" s="1"/>
  <c r="L23" i="13" s="1"/>
  <c r="M23" i="13" s="1"/>
  <c r="AP157" i="22"/>
  <c r="AH157" i="22" s="1"/>
  <c r="J92" i="13" s="1"/>
  <c r="BU156" i="22"/>
  <c r="CD156" i="22" s="1"/>
  <c r="CD158" i="22" s="1"/>
  <c r="AQ156" i="22"/>
  <c r="AL156" i="22" s="1"/>
  <c r="BC168" i="22"/>
  <c r="AU168" i="22" s="1"/>
  <c r="BE152" i="22"/>
  <c r="AV152" i="22" s="1"/>
  <c r="BU80" i="22"/>
  <c r="AQ80" i="22"/>
  <c r="AL80" i="22" s="1"/>
  <c r="L15" i="13" s="1"/>
  <c r="M15" i="13" s="1"/>
  <c r="AP77" i="22"/>
  <c r="AH77" i="22" s="1"/>
  <c r="BS77" i="22"/>
  <c r="CB77" i="22" s="1"/>
  <c r="CB78" i="22" s="1"/>
  <c r="BC162" i="22"/>
  <c r="AU162" i="22" s="1"/>
  <c r="AL119" i="22"/>
  <c r="AQ149" i="22"/>
  <c r="AL149" i="22" s="1"/>
  <c r="L84" i="13" s="1"/>
  <c r="M84" i="13" s="1"/>
  <c r="BU149" i="22"/>
  <c r="AQ96" i="22"/>
  <c r="AL96" i="22" s="1"/>
  <c r="L31" i="13" s="1"/>
  <c r="M31" i="13" s="1"/>
  <c r="BU96" i="22"/>
  <c r="CD96" i="22" s="1"/>
  <c r="CD97" i="22" s="1"/>
  <c r="CD98" i="22" s="1"/>
  <c r="CD99" i="22" s="1"/>
  <c r="CD100" i="22" s="1"/>
  <c r="BT101" i="22"/>
  <c r="BS145" i="22"/>
  <c r="AP145" i="22"/>
  <c r="AH145" i="22" s="1"/>
  <c r="AL118" i="22"/>
  <c r="AN161" i="22"/>
  <c r="BP161" i="22"/>
  <c r="BY161" i="22" s="1"/>
  <c r="BC144" i="22"/>
  <c r="AU144" i="22" s="1"/>
  <c r="BG144" i="22"/>
  <c r="AW144" i="22" s="1"/>
  <c r="BI75" i="22"/>
  <c r="AX75" i="22" s="1"/>
  <c r="BV75" i="22" s="1"/>
  <c r="CE75" i="22" s="1"/>
  <c r="CE76" i="22" s="1"/>
  <c r="CO5" i="22" s="1"/>
  <c r="BE138" i="22"/>
  <c r="AV138" i="22" s="1"/>
  <c r="BS80" i="22"/>
  <c r="AP80" i="22"/>
  <c r="AH80" i="22" s="1"/>
  <c r="J15" i="13" s="1"/>
  <c r="BC85" i="22"/>
  <c r="AU85" i="22" s="1"/>
  <c r="BC127" i="22"/>
  <c r="AU127" i="22" s="1"/>
  <c r="AQ111" i="22"/>
  <c r="BU111" i="22"/>
  <c r="CD111" i="22" s="1"/>
  <c r="CD112" i="22" s="1"/>
  <c r="CD113" i="22" s="1"/>
  <c r="CD114" i="22" s="1"/>
  <c r="AA56" i="34"/>
  <c r="AF56" i="34" s="1"/>
  <c r="BS116" i="22"/>
  <c r="AP116" i="22"/>
  <c r="AP167" i="22"/>
  <c r="AH167" i="22" s="1"/>
  <c r="J102" i="13" s="1"/>
  <c r="BT149" i="22"/>
  <c r="BG87" i="22"/>
  <c r="AW87" i="22" s="1"/>
  <c r="BE87" i="22"/>
  <c r="AV87" i="22" s="1"/>
  <c r="BC95" i="22"/>
  <c r="AU95" i="22" s="1"/>
  <c r="BU125" i="22"/>
  <c r="CD125" i="22" s="1"/>
  <c r="CD126" i="22" s="1"/>
  <c r="AQ125" i="22"/>
  <c r="AL125" i="22" s="1"/>
  <c r="BS140" i="22"/>
  <c r="CB140" i="22" s="1"/>
  <c r="CB141" i="22" s="1"/>
  <c r="CB142" i="22" s="1"/>
  <c r="CB143" i="22" s="1"/>
  <c r="AP140" i="22"/>
  <c r="AH140" i="22" s="1"/>
  <c r="AQ140" i="22"/>
  <c r="AL140" i="22" s="1"/>
  <c r="L75" i="13" s="1"/>
  <c r="M75" i="13" s="1"/>
  <c r="BU140" i="22"/>
  <c r="CD140" i="22" s="1"/>
  <c r="CD141" i="22" s="1"/>
  <c r="CD142" i="22" s="1"/>
  <c r="CD143" i="22" s="1"/>
  <c r="AP84" i="22"/>
  <c r="AH84" i="22" s="1"/>
  <c r="BS84" i="22"/>
  <c r="CB84" i="22" s="1"/>
  <c r="BI115" i="22"/>
  <c r="AX115" i="22" s="1"/>
  <c r="BV115" i="22" s="1"/>
  <c r="CE115" i="22" s="1"/>
  <c r="CE116" i="22" s="1"/>
  <c r="CE117" i="22" s="1"/>
  <c r="CE118" i="22" s="1"/>
  <c r="CE119" i="22" s="1"/>
  <c r="BT74" i="22"/>
  <c r="CC74" i="22" s="1"/>
  <c r="BI135" i="22"/>
  <c r="AX135" i="22" s="1"/>
  <c r="BV135" i="22" s="1"/>
  <c r="BE168" i="22"/>
  <c r="AV168" i="22" s="1"/>
  <c r="AP125" i="22"/>
  <c r="AH125" i="22" s="1"/>
  <c r="J60" i="13" s="1"/>
  <c r="BS125" i="22"/>
  <c r="CB125" i="22" s="1"/>
  <c r="CB126" i="22" s="1"/>
  <c r="BI160" i="22"/>
  <c r="AX160" i="22" s="1"/>
  <c r="BV160" i="22" s="1"/>
  <c r="AN166" i="22"/>
  <c r="BP166" i="22"/>
  <c r="BC120" i="22"/>
  <c r="AU120" i="22" s="1"/>
  <c r="BG138" i="22"/>
  <c r="AW138" i="22" s="1"/>
  <c r="BU86" i="22"/>
  <c r="CD86" i="22" s="1"/>
  <c r="AQ86" i="22"/>
  <c r="AL86" i="22" s="1"/>
  <c r="L21" i="13" s="1"/>
  <c r="M21" i="13" s="1"/>
  <c r="BS106" i="22"/>
  <c r="CB106" i="22" s="1"/>
  <c r="AP106" i="22"/>
  <c r="AH106" i="22" s="1"/>
  <c r="BC87" i="22"/>
  <c r="AU87" i="22" s="1"/>
  <c r="BI148" i="22"/>
  <c r="AX148" i="22" s="1"/>
  <c r="BV148" i="22" s="1"/>
  <c r="BE115" i="22"/>
  <c r="AV115" i="22" s="1"/>
  <c r="BS94" i="22"/>
  <c r="AP94" i="22"/>
  <c r="AH94" i="22" s="1"/>
  <c r="J29" i="13" s="1"/>
  <c r="AQ154" i="22"/>
  <c r="AL154" i="22" s="1"/>
  <c r="L89" i="13" s="1"/>
  <c r="M89" i="13" s="1"/>
  <c r="BU154" i="22"/>
  <c r="CD154" i="22" s="1"/>
  <c r="CN21" i="22" s="1"/>
  <c r="BG127" i="22"/>
  <c r="AW127" i="22" s="1"/>
  <c r="BG75" i="22"/>
  <c r="AW75" i="22" s="1"/>
  <c r="BA95" i="22"/>
  <c r="AT95" i="22" s="1"/>
  <c r="BT121" i="22"/>
  <c r="CC121" i="22" s="1"/>
  <c r="CC122" i="22" s="1"/>
  <c r="CC123" i="22" s="1"/>
  <c r="BE75" i="22"/>
  <c r="AV75" i="22" s="1"/>
  <c r="BG124" i="22"/>
  <c r="AW124" i="22" s="1"/>
  <c r="BI107" i="22"/>
  <c r="AX107" i="22" s="1"/>
  <c r="BV107" i="22" s="1"/>
  <c r="CE107" i="22" s="1"/>
  <c r="CO12" i="22" s="1"/>
  <c r="BC89" i="22"/>
  <c r="AU89" i="22" s="1"/>
  <c r="BU136" i="22"/>
  <c r="CD136" i="22" s="1"/>
  <c r="CD137" i="22" s="1"/>
  <c r="AQ136" i="22"/>
  <c r="AL136" i="22" s="1"/>
  <c r="L71" i="13" s="1"/>
  <c r="M71" i="13" s="1"/>
  <c r="AN82" i="22"/>
  <c r="BC107" i="22"/>
  <c r="AU107" i="22" s="1"/>
  <c r="BS86" i="22"/>
  <c r="CB86" i="22" s="1"/>
  <c r="AP86" i="22"/>
  <c r="AH86" i="22" s="1"/>
  <c r="J21" i="13" s="1"/>
  <c r="BE127" i="22"/>
  <c r="AV127" i="22" s="1"/>
  <c r="BB106" i="22"/>
  <c r="AT106" i="22"/>
  <c r="W51" i="52" s="1"/>
  <c r="BT111" i="22"/>
  <c r="CC111" i="22" s="1"/>
  <c r="CC112" i="22" s="1"/>
  <c r="CC113" i="22" s="1"/>
  <c r="CC114" i="22" s="1"/>
  <c r="AN134" i="22"/>
  <c r="BU161" i="22"/>
  <c r="CD161" i="22" s="1"/>
  <c r="AQ161" i="22"/>
  <c r="AL161" i="22" s="1"/>
  <c r="L96" i="13" s="1"/>
  <c r="M96" i="13" s="1"/>
  <c r="BE162" i="22"/>
  <c r="AV162" i="22" s="1"/>
  <c r="BE85" i="22"/>
  <c r="AV85" i="22" s="1"/>
  <c r="BC83" i="22"/>
  <c r="AU83" i="22" s="1"/>
  <c r="BC93" i="22"/>
  <c r="AU93" i="22" s="1"/>
  <c r="AQ74" i="22"/>
  <c r="AL74" i="22" s="1"/>
  <c r="L9" i="13" s="1"/>
  <c r="M9" i="13" s="1"/>
  <c r="BU74" i="22"/>
  <c r="CD74" i="22" s="1"/>
  <c r="AN94" i="22"/>
  <c r="AB94" i="22" s="1"/>
  <c r="F29" i="13" s="1"/>
  <c r="BC160" i="22"/>
  <c r="AU160" i="22" s="1"/>
  <c r="BT154" i="22"/>
  <c r="CC154" i="22" s="1"/>
  <c r="CM21" i="22" s="1"/>
  <c r="BE124" i="22"/>
  <c r="AV124" i="22" s="1"/>
  <c r="AQ69" i="22"/>
  <c r="AL69" i="22" s="1"/>
  <c r="L4" i="13" s="1"/>
  <c r="M4" i="13" s="1"/>
  <c r="BP164" i="22"/>
  <c r="AN164" i="22"/>
  <c r="AH118" i="22"/>
  <c r="J53" i="13" s="1"/>
  <c r="AN111" i="22"/>
  <c r="AQ121" i="22"/>
  <c r="AL121" i="22" s="1"/>
  <c r="L56" i="13" s="1"/>
  <c r="M56" i="13" s="1"/>
  <c r="BU121" i="22"/>
  <c r="CD121" i="22" s="1"/>
  <c r="CD122" i="22" s="1"/>
  <c r="CD123" i="22" s="1"/>
  <c r="AP166" i="22"/>
  <c r="AH166" i="22" s="1"/>
  <c r="BA105" i="22"/>
  <c r="AT105" i="22" s="1"/>
  <c r="AP88" i="22"/>
  <c r="AH88" i="22" s="1"/>
  <c r="BS88" i="22"/>
  <c r="BE72" i="22"/>
  <c r="AV72" i="22" s="1"/>
  <c r="BG135" i="22"/>
  <c r="AW135" i="22" s="1"/>
  <c r="BA83" i="22"/>
  <c r="AT83" i="22" s="1"/>
  <c r="BI85" i="22"/>
  <c r="AX85" i="22" s="1"/>
  <c r="BV85" i="22" s="1"/>
  <c r="CE85" i="22" s="1"/>
  <c r="CO8" i="22" s="1"/>
  <c r="BI162" i="22"/>
  <c r="AX162" i="22" s="1"/>
  <c r="BV162" i="22" s="1"/>
  <c r="CE162" i="22" s="1"/>
  <c r="CE163" i="22" s="1"/>
  <c r="CE164" i="22" s="1"/>
  <c r="CO23" i="22" s="1"/>
  <c r="AA50" i="28"/>
  <c r="AF50" i="28" s="1"/>
  <c r="BA157" i="22"/>
  <c r="AT157" i="22" s="1"/>
  <c r="BA135" i="22"/>
  <c r="AT135" i="22" s="1"/>
  <c r="BG162" i="22"/>
  <c r="AW162" i="22" s="1"/>
  <c r="BT161" i="22"/>
  <c r="CC161" i="22" s="1"/>
  <c r="BT84" i="22"/>
  <c r="CC84" i="22" s="1"/>
  <c r="BS82" i="22"/>
  <c r="CB82" i="22" s="1"/>
  <c r="AP82" i="22"/>
  <c r="AH82" i="22" s="1"/>
  <c r="BS92" i="22"/>
  <c r="CB92" i="22" s="1"/>
  <c r="AP92" i="22"/>
  <c r="AH92" i="22" s="1"/>
  <c r="J27" i="13" s="1"/>
  <c r="BE95" i="22"/>
  <c r="AV95" i="22" s="1"/>
  <c r="AP159" i="22"/>
  <c r="AH159" i="22" s="1"/>
  <c r="J94" i="13" s="1"/>
  <c r="BS159" i="22"/>
  <c r="BG95" i="22"/>
  <c r="AW95" i="22" s="1"/>
  <c r="BG72" i="22"/>
  <c r="AW72" i="22" s="1"/>
  <c r="AP69" i="22"/>
  <c r="AH69" i="22" s="1"/>
  <c r="J4" i="13" s="1"/>
  <c r="K4" i="13" s="1"/>
  <c r="AN101" i="22"/>
  <c r="BG85" i="22"/>
  <c r="AW85" i="22" s="1"/>
  <c r="BC176" i="22"/>
  <c r="AU176" i="22" s="1"/>
  <c r="AQ134" i="22"/>
  <c r="AL134" i="22" s="1"/>
  <c r="L69" i="13" s="1"/>
  <c r="M69" i="13" s="1"/>
  <c r="BU134" i="22"/>
  <c r="AP154" i="22"/>
  <c r="AH154" i="22" s="1"/>
  <c r="BS154" i="22"/>
  <c r="CB154" i="22" s="1"/>
  <c r="BI176" i="22"/>
  <c r="AX176" i="22" s="1"/>
  <c r="BV176" i="22" s="1"/>
  <c r="CE176" i="22" s="1"/>
  <c r="CE177" i="22" s="1"/>
  <c r="CE178" i="22" s="1"/>
  <c r="CE179" i="22" s="1"/>
  <c r="CE180" i="22" s="1"/>
  <c r="CE181" i="22" s="1"/>
  <c r="CE182" i="22" s="1"/>
  <c r="CO26" i="22" s="1"/>
  <c r="BI89" i="22"/>
  <c r="AX89" i="22" s="1"/>
  <c r="BV89" i="22" s="1"/>
  <c r="AQ128" i="22"/>
  <c r="AL128" i="22" s="1"/>
  <c r="L63" i="13" s="1"/>
  <c r="M63" i="13" s="1"/>
  <c r="BU128" i="22"/>
  <c r="CD128" i="22" s="1"/>
  <c r="BS132" i="22"/>
  <c r="CB132" i="22" s="1"/>
  <c r="AP132" i="22"/>
  <c r="AH132" i="22" s="1"/>
  <c r="AN145" i="22"/>
  <c r="AN156" i="22"/>
  <c r="AB156" i="22" s="1"/>
  <c r="F91" i="13" s="1"/>
  <c r="BC138" i="22"/>
  <c r="AU138" i="22" s="1"/>
  <c r="BE144" i="22"/>
  <c r="AV144" i="22" s="1"/>
  <c r="AQ116" i="22"/>
  <c r="BU116" i="22"/>
  <c r="BI131" i="22"/>
  <c r="AX131" i="22" s="1"/>
  <c r="BV131" i="22" s="1"/>
  <c r="BE89" i="22"/>
  <c r="AV89" i="22" s="1"/>
  <c r="BI93" i="22"/>
  <c r="AX93" i="22" s="1"/>
  <c r="BV93" i="22" s="1"/>
  <c r="CE93" i="22" s="1"/>
  <c r="CE94" i="22" s="1"/>
  <c r="BU108" i="22"/>
  <c r="CD108" i="22" s="1"/>
  <c r="CD109" i="22" s="1"/>
  <c r="CD110" i="22" s="1"/>
  <c r="CN13" i="22" s="1"/>
  <c r="AQ108" i="22"/>
  <c r="AL108" i="22" s="1"/>
  <c r="L43" i="13" s="1"/>
  <c r="M43" i="13" s="1"/>
  <c r="BI152" i="22"/>
  <c r="AX152" i="22" s="1"/>
  <c r="BV152" i="22" s="1"/>
  <c r="BU94" i="22"/>
  <c r="AQ94" i="22"/>
  <c r="AL94" i="22" s="1"/>
  <c r="BE83" i="22"/>
  <c r="AV83" i="22" s="1"/>
  <c r="BI129" i="22"/>
  <c r="AX129" i="22" s="1"/>
  <c r="BV129" i="22" s="1"/>
  <c r="CE129" i="22" s="1"/>
  <c r="CE130" i="22" s="1"/>
  <c r="AQ77" i="22"/>
  <c r="AL77" i="22" s="1"/>
  <c r="L12" i="13" s="1"/>
  <c r="M12" i="13" s="1"/>
  <c r="BU77" i="22"/>
  <c r="CD77" i="22" s="1"/>
  <c r="CD78" i="22" s="1"/>
  <c r="BG107" i="22"/>
  <c r="AW107" i="22" s="1"/>
  <c r="BC72" i="22"/>
  <c r="AU72" i="22" s="1"/>
  <c r="BJ91" i="22"/>
  <c r="BU84" i="22"/>
  <c r="CD84" i="22" s="1"/>
  <c r="AQ84" i="22"/>
  <c r="AL84" i="22" s="1"/>
  <c r="L19" i="13" s="1"/>
  <c r="M19" i="13" s="1"/>
  <c r="BG176" i="22"/>
  <c r="AW176" i="22" s="1"/>
  <c r="AP175" i="22"/>
  <c r="AH119" i="22"/>
  <c r="J54" i="13" s="1"/>
  <c r="BE148" i="22"/>
  <c r="AV148" i="22" s="1"/>
  <c r="BG129" i="22"/>
  <c r="AW129" i="22" s="1"/>
  <c r="BC133" i="22"/>
  <c r="AU133" i="22" s="1"/>
  <c r="X78" i="52" s="1"/>
  <c r="BB128" i="22"/>
  <c r="AT128" i="22"/>
  <c r="W73" i="52" s="1"/>
  <c r="AP136" i="22"/>
  <c r="AH136" i="22" s="1"/>
  <c r="BS136" i="22"/>
  <c r="CB136" i="22" s="1"/>
  <c r="CB137" i="22" s="1"/>
  <c r="BT140" i="22"/>
  <c r="CC140" i="22" s="1"/>
  <c r="CC141" i="22" s="1"/>
  <c r="CC142" i="22" s="1"/>
  <c r="CC143" i="22" s="1"/>
  <c r="AP108" i="22"/>
  <c r="AH108" i="22" s="1"/>
  <c r="J43" i="13" s="1"/>
  <c r="BS108" i="22"/>
  <c r="CB108" i="22" s="1"/>
  <c r="CB109" i="22" s="1"/>
  <c r="CB110" i="22" s="1"/>
  <c r="BG120" i="22"/>
  <c r="AW120" i="22" s="1"/>
  <c r="BT88" i="22"/>
  <c r="BI127" i="22"/>
  <c r="AX127" i="22" s="1"/>
  <c r="BV127" i="22" s="1"/>
  <c r="CE127" i="22" s="1"/>
  <c r="CO16" i="22" s="1"/>
  <c r="BI144" i="22"/>
  <c r="AX144" i="22" s="1"/>
  <c r="BV144" i="22" s="1"/>
  <c r="CE144" i="22" s="1"/>
  <c r="CE145" i="22" s="1"/>
  <c r="CE146" i="22" s="1"/>
  <c r="CE147" i="22" s="1"/>
  <c r="BT96" i="22"/>
  <c r="CC96" i="22" s="1"/>
  <c r="CC97" i="22" s="1"/>
  <c r="CC98" i="22" s="1"/>
  <c r="CC99" i="22" s="1"/>
  <c r="CC100" i="22" s="1"/>
  <c r="BE129" i="22"/>
  <c r="AV129" i="22" s="1"/>
  <c r="BT82" i="22"/>
  <c r="CC82" i="22" s="1"/>
  <c r="BI105" i="22"/>
  <c r="AX105" i="22" s="1"/>
  <c r="BV105" i="22" s="1"/>
  <c r="AQ106" i="22"/>
  <c r="AL106" i="22" s="1"/>
  <c r="L41" i="13" s="1"/>
  <c r="M41" i="13" s="1"/>
  <c r="BU106" i="22"/>
  <c r="CD106" i="22" s="1"/>
  <c r="BG83" i="22"/>
  <c r="AW83" i="22" s="1"/>
  <c r="AQ145" i="22"/>
  <c r="AL145" i="22" s="1"/>
  <c r="L80" i="13" s="1"/>
  <c r="M80" i="13" s="1"/>
  <c r="BU145" i="22"/>
  <c r="BE131" i="22"/>
  <c r="AV131" i="22" s="1"/>
  <c r="BT145" i="22"/>
  <c r="BI124" i="22"/>
  <c r="AX124" i="22" s="1"/>
  <c r="BV124" i="22" s="1"/>
  <c r="CE124" i="22" s="1"/>
  <c r="CO15" i="22" s="1"/>
  <c r="AN132" i="22"/>
  <c r="AP111" i="22"/>
  <c r="BS111" i="22"/>
  <c r="CB111" i="22" s="1"/>
  <c r="CB112" i="22" s="1"/>
  <c r="CB113" i="22" s="1"/>
  <c r="CB114" i="22" s="1"/>
  <c r="AA53" i="34"/>
  <c r="AF53" i="34" s="1"/>
  <c r="BC75" i="22"/>
  <c r="AU75" i="22" s="1"/>
  <c r="BT164" i="22"/>
  <c r="BI133" i="22"/>
  <c r="AX133" i="22" s="1"/>
  <c r="BV133" i="22" s="1"/>
  <c r="CE133" i="22" s="1"/>
  <c r="CE134" i="22" s="1"/>
  <c r="BG105" i="22"/>
  <c r="AW105" i="22" s="1"/>
  <c r="BI120" i="22"/>
  <c r="AX120" i="22" s="1"/>
  <c r="BV120" i="22" s="1"/>
  <c r="R371" i="34"/>
  <c r="BT128" i="22"/>
  <c r="CC128" i="22" s="1"/>
  <c r="CE101" i="22"/>
  <c r="CE102" i="22" s="1"/>
  <c r="CE103" i="22" s="1"/>
  <c r="CE104" i="22" s="1"/>
  <c r="AQ82" i="22"/>
  <c r="AL82" i="22" s="1"/>
  <c r="L17" i="13" s="1"/>
  <c r="M17" i="13" s="1"/>
  <c r="BU82" i="22"/>
  <c r="CD82" i="22" s="1"/>
  <c r="BG148" i="22"/>
  <c r="AW148" i="22" s="1"/>
  <c r="BS101" i="22"/>
  <c r="AP101" i="22"/>
  <c r="AH101" i="22" s="1"/>
  <c r="AL117" i="22"/>
  <c r="BE176" i="22"/>
  <c r="AV176" i="22" s="1"/>
  <c r="BA133" i="22"/>
  <c r="AT133" i="22" s="1"/>
  <c r="BG93" i="22"/>
  <c r="AW93" i="22" s="1"/>
  <c r="BC115" i="22"/>
  <c r="AU115" i="22" s="1"/>
  <c r="BS74" i="22"/>
  <c r="CB74" i="22" s="1"/>
  <c r="AP74" i="22"/>
  <c r="AH74" i="22" s="1"/>
  <c r="BU101" i="22"/>
  <c r="AQ101" i="22"/>
  <c r="AL101" i="22" s="1"/>
  <c r="L36" i="13" s="1"/>
  <c r="M36" i="13" s="1"/>
  <c r="BI83" i="22"/>
  <c r="AX83" i="22" s="1"/>
  <c r="BV83" i="22" s="1"/>
  <c r="CE83" i="22" s="1"/>
  <c r="CO7" i="22" s="1"/>
  <c r="AL112" i="22"/>
  <c r="X102" i="34"/>
  <c r="BE107" i="22"/>
  <c r="AV107" i="22" s="1"/>
  <c r="AN108" i="22"/>
  <c r="AB108" i="22" s="1"/>
  <c r="F43" i="13" s="1"/>
  <c r="BA120" i="22"/>
  <c r="AT120" i="22" s="1"/>
  <c r="BE93" i="22"/>
  <c r="AV93" i="22" s="1"/>
  <c r="BC124" i="22"/>
  <c r="AU124" i="22" s="1"/>
  <c r="BS128" i="22"/>
  <c r="CB128" i="22" s="1"/>
  <c r="AP128" i="22"/>
  <c r="AH128" i="22" s="1"/>
  <c r="CD166" i="22"/>
  <c r="CN24" i="22" s="1"/>
  <c r="AQ166" i="22"/>
  <c r="AL166" i="22" s="1"/>
  <c r="L101" i="13" s="1"/>
  <c r="M101" i="13" s="1"/>
  <c r="AN80" i="22"/>
  <c r="AB80" i="22" s="1"/>
  <c r="F15" i="13" s="1"/>
  <c r="BS96" i="22"/>
  <c r="CB96" i="22" s="1"/>
  <c r="CB97" i="22" s="1"/>
  <c r="CB98" i="22" s="1"/>
  <c r="CB99" i="22" s="1"/>
  <c r="CB100" i="22" s="1"/>
  <c r="AP96" i="22"/>
  <c r="AH96" i="22" s="1"/>
  <c r="BC152" i="22"/>
  <c r="AU152" i="22" s="1"/>
  <c r="BS164" i="22"/>
  <c r="AP164" i="22"/>
  <c r="AH164" i="22" s="1"/>
  <c r="AT175" i="22"/>
  <c r="BB175" i="22"/>
  <c r="BC91" i="22"/>
  <c r="AU91" i="22" s="1"/>
  <c r="BG131" i="22"/>
  <c r="AW131" i="22" s="1"/>
  <c r="BI138" i="22"/>
  <c r="AX138" i="22" s="1"/>
  <c r="BV138" i="22" s="1"/>
  <c r="CE138" i="22" s="1"/>
  <c r="CE139" i="22" s="1"/>
  <c r="CO19" i="22" s="1"/>
  <c r="BC105" i="22"/>
  <c r="AU105" i="22" s="1"/>
  <c r="BU92" i="22"/>
  <c r="CD92" i="22" s="1"/>
  <c r="AQ92" i="22"/>
  <c r="AL92" i="22" s="1"/>
  <c r="BG168" i="22"/>
  <c r="AW168" i="22" s="1"/>
  <c r="BU168" i="22" s="1"/>
  <c r="CD168" i="22" s="1"/>
  <c r="CD169" i="22" s="1"/>
  <c r="CD170" i="22" s="1"/>
  <c r="CN25" i="22" s="1"/>
  <c r="AH113" i="22"/>
  <c r="J48" i="13" s="1"/>
  <c r="X152" i="34"/>
  <c r="AH112" i="22"/>
  <c r="X99" i="34"/>
  <c r="AL113" i="22"/>
  <c r="X155" i="34"/>
  <c r="BG160" i="22"/>
  <c r="AW160" i="22" s="1"/>
  <c r="BE120" i="22"/>
  <c r="AV120" i="22" s="1"/>
  <c r="BT106" i="22"/>
  <c r="CC106" i="22" s="1"/>
  <c r="BC131" i="22"/>
  <c r="AU131" i="22" s="1"/>
  <c r="AN116" i="22"/>
  <c r="AP121" i="22"/>
  <c r="AH121" i="22" s="1"/>
  <c r="BS121" i="22"/>
  <c r="CB121" i="22" s="1"/>
  <c r="CB122" i="22" s="1"/>
  <c r="CB123" i="22" s="1"/>
  <c r="BC129" i="22"/>
  <c r="AU129" i="22" s="1"/>
  <c r="AP149" i="22"/>
  <c r="AH149" i="22" s="1"/>
  <c r="BS149" i="22"/>
  <c r="BC135" i="22"/>
  <c r="AU135" i="22" s="1"/>
  <c r="BE133" i="22"/>
  <c r="AV133" i="22" s="1"/>
  <c r="AQ132" i="22"/>
  <c r="AL132" i="22" s="1"/>
  <c r="L67" i="13" s="1"/>
  <c r="M67" i="13" s="1"/>
  <c r="AP90" i="22"/>
  <c r="AH90" i="22" s="1"/>
  <c r="J25" i="13" s="1"/>
  <c r="BS90" i="22"/>
  <c r="AQ130" i="22"/>
  <c r="AL130" i="22" s="1"/>
  <c r="BU130" i="22"/>
  <c r="BI157" i="22"/>
  <c r="AX157" i="22" s="1"/>
  <c r="Y102" i="52" s="1"/>
  <c r="BG91" i="22"/>
  <c r="AW91" i="22" s="1"/>
  <c r="BA160" i="22"/>
  <c r="AT160" i="22" s="1"/>
  <c r="W105" i="52" s="1"/>
  <c r="AN154" i="22"/>
  <c r="AN78" i="22"/>
  <c r="AB78" i="22" s="1"/>
  <c r="F13" i="13" s="1"/>
  <c r="AN96" i="22"/>
  <c r="BA89" i="22"/>
  <c r="AT89" i="22" s="1"/>
  <c r="AL114" i="22"/>
  <c r="X208" i="34"/>
  <c r="BE135" i="22"/>
  <c r="AV135" i="22" s="1"/>
  <c r="BU159" i="22"/>
  <c r="AQ159" i="22"/>
  <c r="AL159" i="22" s="1"/>
  <c r="BT116" i="22"/>
  <c r="BU164" i="22"/>
  <c r="AQ164" i="22"/>
  <c r="AL164" i="22" s="1"/>
  <c r="L99" i="13" s="1"/>
  <c r="M99" i="13" s="1"/>
  <c r="AP130" i="22"/>
  <c r="AH130" i="22" s="1"/>
  <c r="J65" i="13" s="1"/>
  <c r="BS130" i="22"/>
  <c r="BG89" i="22"/>
  <c r="AW89" i="22" s="1"/>
  <c r="BG157" i="22"/>
  <c r="AW157" i="22" s="1"/>
  <c r="X102" i="52" s="1"/>
  <c r="AN85" i="22"/>
  <c r="BS134" i="22"/>
  <c r="AP134" i="22"/>
  <c r="AH134" i="22" s="1"/>
  <c r="BT132" i="22"/>
  <c r="CC132" i="22" s="1"/>
  <c r="BS161" i="22"/>
  <c r="CB161" i="22" s="1"/>
  <c r="AP161" i="22"/>
  <c r="AH161" i="22" s="1"/>
  <c r="BG152" i="22"/>
  <c r="AW152" i="22" s="1"/>
  <c r="BV156" i="22"/>
  <c r="CE156" i="22" s="1"/>
  <c r="CE158" i="22" s="1"/>
  <c r="CE159" i="22" s="1"/>
  <c r="BB74" i="22"/>
  <c r="AT74" i="22"/>
  <c r="AJ13" i="52"/>
  <c r="U151" i="23"/>
  <c r="R160" i="23" s="1"/>
  <c r="U52" i="44"/>
  <c r="R61" i="44" s="1"/>
  <c r="U99" i="31"/>
  <c r="R108" i="31" s="1"/>
  <c r="K93" i="13"/>
  <c r="K33" i="13"/>
  <c r="K100" i="13"/>
  <c r="K32" i="13"/>
  <c r="U416" i="41"/>
  <c r="R425" i="41" s="1"/>
  <c r="U363" i="41"/>
  <c r="R372" i="41" s="1"/>
  <c r="U575" i="41"/>
  <c r="R584" i="41" s="1"/>
  <c r="U115" i="23"/>
  <c r="R124" i="23" s="1"/>
  <c r="U151" i="41"/>
  <c r="R160" i="41" s="1"/>
  <c r="U152" i="31"/>
  <c r="R161" i="31" s="1"/>
  <c r="U204" i="41"/>
  <c r="R213" i="41" s="1"/>
  <c r="AF134" i="62"/>
  <c r="AJ134" i="62" s="1"/>
  <c r="AF126" i="64"/>
  <c r="AJ126" i="64" s="1"/>
  <c r="R116" i="62" a="1"/>
  <c r="R116" i="62" s="1"/>
  <c r="AB116" i="62" s="1"/>
  <c r="AF116" i="62" s="1"/>
  <c r="AJ116" i="62" s="1"/>
  <c r="R114" i="62" a="1"/>
  <c r="R114" i="62" s="1"/>
  <c r="AB114" i="62" s="1"/>
  <c r="AF114" i="62" s="1"/>
  <c r="AJ114" i="62" s="1"/>
  <c r="R115" i="62" a="1"/>
  <c r="R115" i="62" s="1"/>
  <c r="AB115" i="62" s="1"/>
  <c r="AF115" i="62" s="1"/>
  <c r="AJ115" i="62" s="1"/>
  <c r="A159" i="44"/>
  <c r="R156" i="44"/>
  <c r="AA156" i="44"/>
  <c r="AF156" i="44" s="1"/>
  <c r="AI13" i="52"/>
  <c r="AA14" i="52"/>
  <c r="BP15" i="52" s="1"/>
  <c r="AF235" i="43"/>
  <c r="AJ235" i="43" s="1"/>
  <c r="AF215" i="50"/>
  <c r="AJ215" i="50" s="1"/>
  <c r="AF283" i="40"/>
  <c r="AJ283" i="40" s="1"/>
  <c r="AF437" i="35"/>
  <c r="AJ437" i="35" s="1"/>
  <c r="AF346" i="44"/>
  <c r="AJ346" i="44" s="1"/>
  <c r="AF330" i="46"/>
  <c r="AJ330" i="46" s="1"/>
  <c r="AC9" i="52"/>
  <c r="AF9" i="52"/>
  <c r="AE9" i="52"/>
  <c r="AB9" i="52"/>
  <c r="AD9" i="52"/>
  <c r="AF12" i="52"/>
  <c r="AB12" i="52"/>
  <c r="AD12" i="52"/>
  <c r="AE5" i="52"/>
  <c r="AE12" i="52"/>
  <c r="AC12" i="52"/>
  <c r="AD5" i="52"/>
  <c r="AC5" i="52"/>
  <c r="AF5" i="52"/>
  <c r="AH5" i="52"/>
  <c r="AA5" i="52"/>
  <c r="BP6" i="52" s="1"/>
  <c r="AB6" i="52"/>
  <c r="AH6" i="52"/>
  <c r="AC6" i="52"/>
  <c r="AD6" i="52"/>
  <c r="AF6" i="52"/>
  <c r="AD11" i="52"/>
  <c r="AB11" i="52"/>
  <c r="AC11" i="52"/>
  <c r="AF11" i="52"/>
  <c r="AH11" i="52"/>
  <c r="AE11" i="52"/>
  <c r="AH12" i="52"/>
  <c r="AJ202" i="8"/>
  <c r="AJ203" i="8" s="1"/>
  <c r="AJ204" i="8" s="1"/>
  <c r="AJ205" i="8" s="1"/>
  <c r="AJ206" i="8" s="1"/>
  <c r="Z34" i="8"/>
  <c r="F34" i="8"/>
  <c r="L34" i="8" s="1"/>
  <c r="L34" i="7" s="1"/>
  <c r="J33" i="10" s="1"/>
  <c r="B34" i="8"/>
  <c r="J34" i="8" s="1"/>
  <c r="J34" i="7" s="1"/>
  <c r="AF33" i="10" s="1"/>
  <c r="X34" i="8"/>
  <c r="H34" i="8"/>
  <c r="M34" i="8" s="1"/>
  <c r="M34" i="7" s="1"/>
  <c r="K33" i="10" s="1"/>
  <c r="AA34" i="8"/>
  <c r="D34" i="8"/>
  <c r="K34" i="8" s="1"/>
  <c r="K34" i="7" s="1"/>
  <c r="I33" i="10" s="1"/>
  <c r="S34" i="10" s="1"/>
  <c r="W175" i="70" s="1"/>
  <c r="Y34" i="8"/>
  <c r="U95" i="41"/>
  <c r="R104" i="41" s="1"/>
  <c r="AA258" i="31"/>
  <c r="AF258" i="31" s="1"/>
  <c r="AA100" i="26"/>
  <c r="AF100" i="26" s="1"/>
  <c r="U258" i="31"/>
  <c r="R267" i="31" s="1"/>
  <c r="AA52" i="25"/>
  <c r="AF52" i="25" s="1"/>
  <c r="U52" i="25"/>
  <c r="R61" i="25" s="1"/>
  <c r="X212" i="25"/>
  <c r="AA212" i="25"/>
  <c r="AF212" i="25" s="1"/>
  <c r="U212" i="25"/>
  <c r="R221" i="25" s="1"/>
  <c r="X52" i="47"/>
  <c r="AA52" i="47"/>
  <c r="AF52" i="47" s="1"/>
  <c r="U52" i="47"/>
  <c r="R61" i="47" s="1"/>
  <c r="AA52" i="26"/>
  <c r="AF52" i="26" s="1"/>
  <c r="A177" i="47"/>
  <c r="AA53" i="23"/>
  <c r="AF53" i="23" s="1"/>
  <c r="AA52" i="37"/>
  <c r="AF52" i="37" s="1"/>
  <c r="X152" i="31"/>
  <c r="AA152" i="31"/>
  <c r="AF152" i="31" s="1"/>
  <c r="AA315" i="41"/>
  <c r="AF315" i="41" s="1"/>
  <c r="AA52" i="43"/>
  <c r="AF52" i="43" s="1"/>
  <c r="X52" i="43"/>
  <c r="U52" i="43"/>
  <c r="R61" i="43" s="1"/>
  <c r="AA115" i="35"/>
  <c r="AF115" i="35" s="1"/>
  <c r="X115" i="35"/>
  <c r="AA98" i="41"/>
  <c r="AF98" i="41" s="1"/>
  <c r="X98" i="41"/>
  <c r="X153" i="35"/>
  <c r="AA153" i="35"/>
  <c r="AF153" i="35" s="1"/>
  <c r="A175" i="43"/>
  <c r="X151" i="23"/>
  <c r="AA151" i="23"/>
  <c r="AF151" i="23" s="1"/>
  <c r="AA471" i="31"/>
  <c r="AF471" i="31" s="1"/>
  <c r="X471" i="31"/>
  <c r="AA101" i="44"/>
  <c r="AF101" i="44" s="1"/>
  <c r="X101" i="44"/>
  <c r="AA174" i="46"/>
  <c r="AF174" i="46" s="1"/>
  <c r="X174" i="46"/>
  <c r="A265" i="46"/>
  <c r="A262" i="25"/>
  <c r="AF259" i="25"/>
  <c r="R268" i="25"/>
  <c r="AA53" i="31"/>
  <c r="AF53" i="31" s="1"/>
  <c r="X204" i="41"/>
  <c r="AA204" i="41"/>
  <c r="AF204" i="41" s="1"/>
  <c r="AA418" i="31"/>
  <c r="AF418" i="31" s="1"/>
  <c r="X418" i="31"/>
  <c r="AA53" i="32"/>
  <c r="AF53" i="32" s="1"/>
  <c r="AA52" i="44"/>
  <c r="AF52" i="44" s="1"/>
  <c r="X52" i="44"/>
  <c r="AA205" i="31"/>
  <c r="AF205" i="31" s="1"/>
  <c r="X205" i="31"/>
  <c r="AA53" i="35"/>
  <c r="AF53" i="35" s="1"/>
  <c r="AA103" i="25"/>
  <c r="AF103" i="25" s="1"/>
  <c r="A160" i="32"/>
  <c r="AA112" i="43"/>
  <c r="AF112" i="43" s="1"/>
  <c r="AA99" i="31"/>
  <c r="AF99" i="31" s="1"/>
  <c r="X99" i="31"/>
  <c r="AA527" i="41"/>
  <c r="AF527" i="41" s="1"/>
  <c r="AA115" i="23"/>
  <c r="AF115" i="23" s="1"/>
  <c r="X115" i="23"/>
  <c r="X213" i="44"/>
  <c r="U213" i="44"/>
  <c r="R222" i="44" s="1"/>
  <c r="AA213" i="44"/>
  <c r="AF213" i="44" s="1"/>
  <c r="AA119" i="47"/>
  <c r="AF119" i="47" s="1"/>
  <c r="AA174" i="29"/>
  <c r="AF174" i="29" s="1"/>
  <c r="X212" i="40"/>
  <c r="AA212" i="40"/>
  <c r="AF212" i="40" s="1"/>
  <c r="U212" i="40"/>
  <c r="R221" i="40" s="1"/>
  <c r="AA365" i="31"/>
  <c r="AF365" i="31" s="1"/>
  <c r="X365" i="31"/>
  <c r="A374" i="35"/>
  <c r="A267" i="35"/>
  <c r="X363" i="41"/>
  <c r="AA363" i="41"/>
  <c r="AF363" i="41" s="1"/>
  <c r="AA215" i="46"/>
  <c r="AF215" i="46" s="1"/>
  <c r="AA53" i="28"/>
  <c r="AF53" i="28" s="1"/>
  <c r="AA104" i="40"/>
  <c r="AF104" i="40" s="1"/>
  <c r="X104" i="40"/>
  <c r="AA52" i="38"/>
  <c r="AF52" i="38" s="1"/>
  <c r="AA52" i="41"/>
  <c r="AF52" i="41" s="1"/>
  <c r="X416" i="41"/>
  <c r="AA416" i="41"/>
  <c r="AF416" i="41" s="1"/>
  <c r="AA53" i="27"/>
  <c r="AF53" i="27" s="1"/>
  <c r="AA53" i="40"/>
  <c r="AF53" i="40" s="1"/>
  <c r="AA316" i="31"/>
  <c r="AF316" i="31" s="1"/>
  <c r="X575" i="41"/>
  <c r="AA575" i="41"/>
  <c r="AF575" i="41" s="1"/>
  <c r="AA156" i="38"/>
  <c r="AF156" i="38" s="1"/>
  <c r="X628" i="41"/>
  <c r="AA628" i="41"/>
  <c r="AF628" i="41" s="1"/>
  <c r="AA53" i="46"/>
  <c r="AF53" i="46" s="1"/>
  <c r="X151" i="41"/>
  <c r="AA151" i="41"/>
  <c r="AF151" i="41" s="1"/>
  <c r="A320" i="35"/>
  <c r="R205" i="30"/>
  <c r="A208" i="30"/>
  <c r="R363" i="41"/>
  <c r="A366" i="41"/>
  <c r="R53" i="29"/>
  <c r="A56" i="29"/>
  <c r="R53" i="23"/>
  <c r="A56" i="23"/>
  <c r="R52" i="25"/>
  <c r="A55" i="25"/>
  <c r="R112" i="43"/>
  <c r="A115" i="43"/>
  <c r="R215" i="46"/>
  <c r="A218" i="46"/>
  <c r="R575" i="41"/>
  <c r="A578" i="41"/>
  <c r="R52" i="37"/>
  <c r="A55" i="37"/>
  <c r="R53" i="36"/>
  <c r="A56" i="36"/>
  <c r="R53" i="31"/>
  <c r="A56" i="31"/>
  <c r="R99" i="31"/>
  <c r="A102" i="31"/>
  <c r="R53" i="28"/>
  <c r="A56" i="28"/>
  <c r="A207" i="38"/>
  <c r="R204" i="38"/>
  <c r="R152" i="31"/>
  <c r="A155" i="31"/>
  <c r="R151" i="23"/>
  <c r="A154" i="23"/>
  <c r="A152" i="33"/>
  <c r="R149" i="33"/>
  <c r="A321" i="29"/>
  <c r="R318" i="29"/>
  <c r="R116" i="46"/>
  <c r="A119" i="46"/>
  <c r="R315" i="41"/>
  <c r="A318" i="41"/>
  <c r="R204" i="41"/>
  <c r="A207" i="41"/>
  <c r="R527" i="41"/>
  <c r="A530" i="41"/>
  <c r="R104" i="40"/>
  <c r="A107" i="40"/>
  <c r="A159" i="38"/>
  <c r="R156" i="38"/>
  <c r="R99" i="27"/>
  <c r="A102" i="27"/>
  <c r="R227" i="29"/>
  <c r="A230" i="29"/>
  <c r="R256" i="44"/>
  <c r="A259" i="44"/>
  <c r="R100" i="26"/>
  <c r="A103" i="26"/>
  <c r="R471" i="31"/>
  <c r="A474" i="31"/>
  <c r="R267" i="29"/>
  <c r="A270" i="29"/>
  <c r="R212" i="40"/>
  <c r="A215" i="40"/>
  <c r="R53" i="27"/>
  <c r="A56" i="27"/>
  <c r="R212" i="25"/>
  <c r="A215" i="25"/>
  <c r="R418" i="31"/>
  <c r="A421" i="31"/>
  <c r="R202" i="33"/>
  <c r="A205" i="33"/>
  <c r="A55" i="38"/>
  <c r="R52" i="38"/>
  <c r="R628" i="41"/>
  <c r="A631" i="41"/>
  <c r="R52" i="43"/>
  <c r="A55" i="43"/>
  <c r="R101" i="44"/>
  <c r="A104" i="44"/>
  <c r="A56" i="32"/>
  <c r="R53" i="32"/>
  <c r="A118" i="23"/>
  <c r="R115" i="23"/>
  <c r="R204" i="26"/>
  <c r="A207" i="26"/>
  <c r="A101" i="41"/>
  <c r="R98" i="41"/>
  <c r="R99" i="28"/>
  <c r="A102" i="28"/>
  <c r="A56" i="35"/>
  <c r="R53" i="35"/>
  <c r="A159" i="37"/>
  <c r="R156" i="37"/>
  <c r="R157" i="30"/>
  <c r="A160" i="30"/>
  <c r="A177" i="46"/>
  <c r="R174" i="46"/>
  <c r="R52" i="44"/>
  <c r="A55" i="44"/>
  <c r="R206" i="35"/>
  <c r="A209" i="35"/>
  <c r="A55" i="41"/>
  <c r="R52" i="41"/>
  <c r="R257" i="41"/>
  <c r="A260" i="41"/>
  <c r="R54" i="30"/>
  <c r="A57" i="30"/>
  <c r="A106" i="25"/>
  <c r="R103" i="25"/>
  <c r="A204" i="23"/>
  <c r="R201" i="23"/>
  <c r="R53" i="40"/>
  <c r="A56" i="40"/>
  <c r="R52" i="47"/>
  <c r="A55" i="47"/>
  <c r="A156" i="35"/>
  <c r="R153" i="35"/>
  <c r="R157" i="25"/>
  <c r="A160" i="25"/>
  <c r="A102" i="30"/>
  <c r="R99" i="30"/>
  <c r="R116" i="29"/>
  <c r="A119" i="29"/>
  <c r="A102" i="32"/>
  <c r="R99" i="32"/>
  <c r="A101" i="38"/>
  <c r="R98" i="38"/>
  <c r="A216" i="44"/>
  <c r="R213" i="44"/>
  <c r="R524" i="31"/>
  <c r="A527" i="31"/>
  <c r="R469" i="41"/>
  <c r="A472" i="41"/>
  <c r="A684" i="41"/>
  <c r="R681" i="41"/>
  <c r="A118" i="35"/>
  <c r="R115" i="35"/>
  <c r="R155" i="40"/>
  <c r="A158" i="40"/>
  <c r="R316" i="31"/>
  <c r="A319" i="31"/>
  <c r="A55" i="26"/>
  <c r="R52" i="26"/>
  <c r="R258" i="31"/>
  <c r="A261" i="31"/>
  <c r="R119" i="47"/>
  <c r="A122" i="47"/>
  <c r="R204" i="37"/>
  <c r="A207" i="37"/>
  <c r="R53" i="46"/>
  <c r="A56" i="46"/>
  <c r="A101" i="37"/>
  <c r="R98" i="37"/>
  <c r="A293" i="44"/>
  <c r="R290" i="44"/>
  <c r="R205" i="31"/>
  <c r="A208" i="31"/>
  <c r="R174" i="29"/>
  <c r="A177" i="29"/>
  <c r="A419" i="41"/>
  <c r="R416" i="41"/>
  <c r="A154" i="41"/>
  <c r="R151" i="41"/>
  <c r="R153" i="36"/>
  <c r="A156" i="36"/>
  <c r="A120" i="36"/>
  <c r="R117" i="36"/>
  <c r="A56" i="33"/>
  <c r="R53" i="33"/>
  <c r="R365" i="31"/>
  <c r="A368" i="31"/>
  <c r="K81" i="13"/>
  <c r="K39" i="13"/>
  <c r="K38" i="13"/>
  <c r="K37" i="13"/>
  <c r="K35" i="13"/>
  <c r="K86" i="13"/>
  <c r="K85" i="13"/>
  <c r="K78" i="13"/>
  <c r="K77" i="13"/>
  <c r="K13" i="13"/>
  <c r="U413" i="41"/>
  <c r="R422" i="41" s="1"/>
  <c r="U49" i="44"/>
  <c r="R58" i="44" s="1"/>
  <c r="O103" i="13"/>
  <c r="C14" i="18"/>
  <c r="O101" i="13"/>
  <c r="A11" i="10"/>
  <c r="C1" i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F16" i="55" l="1"/>
  <c r="J118" i="13"/>
  <c r="K118" i="13" s="1"/>
  <c r="U64" i="62" s="1"/>
  <c r="L116" i="13"/>
  <c r="M116" i="13" s="1"/>
  <c r="U240" i="68" s="1"/>
  <c r="L115" i="13"/>
  <c r="M115" i="13" s="1"/>
  <c r="U203" i="68" s="1"/>
  <c r="L113" i="13"/>
  <c r="M113" i="13" s="1"/>
  <c r="U113" i="68" s="1"/>
  <c r="L114" i="13"/>
  <c r="M114" i="13" s="1"/>
  <c r="U166" i="68" s="1"/>
  <c r="L117" i="13"/>
  <c r="M117" i="13" s="1"/>
  <c r="U278" i="68" s="1"/>
  <c r="AA129" i="10"/>
  <c r="AN183" i="22"/>
  <c r="AB183" i="22" s="1"/>
  <c r="U49" i="62" s="1"/>
  <c r="R58" i="62" s="1"/>
  <c r="BP183" i="22"/>
  <c r="BY183" i="22" s="1"/>
  <c r="W128" i="52"/>
  <c r="BL32" i="52" s="1"/>
  <c r="AT31" i="52"/>
  <c r="AH79" i="22"/>
  <c r="X153" i="26"/>
  <c r="BH24" i="52"/>
  <c r="BA79" i="22"/>
  <c r="BB79" i="22" s="1"/>
  <c r="BY154" i="22"/>
  <c r="CI21" i="22" s="1"/>
  <c r="R315" i="25" a="1"/>
  <c r="R315" i="25" s="1"/>
  <c r="AB315" i="25" s="1"/>
  <c r="AF315" i="25" s="1"/>
  <c r="AJ315" i="25" s="1"/>
  <c r="Z81" i="52"/>
  <c r="AF81" i="52" s="1"/>
  <c r="AL79" i="22"/>
  <c r="X156" i="26"/>
  <c r="R90" i="13"/>
  <c r="E100" i="52"/>
  <c r="H100" i="52" s="1"/>
  <c r="AG33" i="10"/>
  <c r="AG34" i="10" s="1"/>
  <c r="AG35" i="10" s="1"/>
  <c r="AI33" i="10" s="1"/>
  <c r="AH20" i="10"/>
  <c r="T20" i="10" s="1"/>
  <c r="AQ164" i="10"/>
  <c r="AQ165" i="10" s="1"/>
  <c r="CH29" i="52" s="1"/>
  <c r="CI29" i="52" s="1"/>
  <c r="R109" i="65" a="1"/>
  <c r="R109" i="65" s="1"/>
  <c r="AB109" i="65" s="1"/>
  <c r="AF109" i="65" s="1"/>
  <c r="AJ109" i="65" s="1"/>
  <c r="E54" i="52"/>
  <c r="P54" i="52" s="1"/>
  <c r="BY113" i="22"/>
  <c r="BY114" i="22" s="1"/>
  <c r="BY156" i="22"/>
  <c r="BY157" i="22" s="1"/>
  <c r="AK58" i="10"/>
  <c r="H58" i="10" s="1"/>
  <c r="V57" i="10" s="1"/>
  <c r="AI21" i="10"/>
  <c r="AI22" i="10"/>
  <c r="AI23" i="10"/>
  <c r="AK23" i="10" s="1"/>
  <c r="AJ156" i="10"/>
  <c r="AJ157" i="10" s="1"/>
  <c r="T23" i="10"/>
  <c r="AI117" i="52"/>
  <c r="BX27" i="52" s="1"/>
  <c r="AJ117" i="52"/>
  <c r="BY27" i="52" s="1"/>
  <c r="Z117" i="52"/>
  <c r="BY99" i="22"/>
  <c r="BY100" i="22" s="1"/>
  <c r="BY101" i="22" s="1"/>
  <c r="BY102" i="22" s="1"/>
  <c r="BY103" i="22" s="1"/>
  <c r="BY104" i="22" s="1"/>
  <c r="BY172" i="22"/>
  <c r="BY109" i="22"/>
  <c r="BY110" i="22" s="1"/>
  <c r="CI13" i="22" s="1"/>
  <c r="BY126" i="22"/>
  <c r="BY85" i="22"/>
  <c r="CI8" i="22" s="1"/>
  <c r="W120" i="52"/>
  <c r="BP175" i="22"/>
  <c r="AN175" i="22"/>
  <c r="AB175" i="22" s="1"/>
  <c r="BB80" i="22"/>
  <c r="BB81" i="22" s="1"/>
  <c r="E15" i="18"/>
  <c r="C17" i="55" s="1"/>
  <c r="H6" i="55"/>
  <c r="T6" i="55" s="1"/>
  <c r="BP69" i="22"/>
  <c r="BY69" i="22" s="1"/>
  <c r="BY70" i="22" s="1"/>
  <c r="BY71" i="22" s="1"/>
  <c r="G5" i="55"/>
  <c r="H5" i="55" s="1"/>
  <c r="W16" i="52"/>
  <c r="Z16" i="52" s="1"/>
  <c r="AG16" i="52" s="1"/>
  <c r="AN71" i="22"/>
  <c r="AB71" i="22" s="1"/>
  <c r="F6" i="13" s="1"/>
  <c r="P16" i="55"/>
  <c r="J16" i="55"/>
  <c r="BB69" i="22"/>
  <c r="BB70" i="22" s="1"/>
  <c r="BB71" i="22" s="1"/>
  <c r="BA72" i="22" s="1"/>
  <c r="AT72" i="22" s="1"/>
  <c r="W17" i="52" s="1"/>
  <c r="X151" i="68"/>
  <c r="AA151" i="68"/>
  <c r="AF151" i="68" s="1"/>
  <c r="AA188" i="68"/>
  <c r="AF188" i="68" s="1"/>
  <c r="X188" i="68"/>
  <c r="X98" i="68"/>
  <c r="AA98" i="68"/>
  <c r="AF98" i="68" s="1"/>
  <c r="X263" i="68"/>
  <c r="AA263" i="68"/>
  <c r="AF263" i="68" s="1"/>
  <c r="X225" i="68"/>
  <c r="AA225" i="68"/>
  <c r="AF225" i="68" s="1"/>
  <c r="R36" i="8" a="1"/>
  <c r="R36" i="8" s="1"/>
  <c r="E36" i="8" s="1"/>
  <c r="I146" i="13" s="1"/>
  <c r="P36" i="8" a="1"/>
  <c r="P36" i="8" s="1"/>
  <c r="C36" i="8" s="1"/>
  <c r="S36" i="8" a="1"/>
  <c r="S36" i="8" s="1"/>
  <c r="U36" i="8" a="1"/>
  <c r="U36" i="8" s="1"/>
  <c r="T36" i="8" a="1"/>
  <c r="T36" i="8" s="1"/>
  <c r="G36" i="8" s="1"/>
  <c r="Q36" i="8" a="1"/>
  <c r="Q36" i="8" s="1"/>
  <c r="O36" i="8" a="1"/>
  <c r="O36" i="8" s="1"/>
  <c r="V36" i="8" a="1"/>
  <c r="V36" i="8" s="1"/>
  <c r="I36" i="8" s="1"/>
  <c r="AJ64" i="10"/>
  <c r="AJ65" i="10" s="1"/>
  <c r="N45" i="13"/>
  <c r="E68" i="52"/>
  <c r="H68" i="52" s="1"/>
  <c r="N22" i="13"/>
  <c r="H112" i="52"/>
  <c r="R112" i="52" s="1"/>
  <c r="AM152" i="10"/>
  <c r="AL153" i="10" s="1"/>
  <c r="T153" i="10" s="1"/>
  <c r="Y152" i="10" s="1"/>
  <c r="AB152" i="10" s="1"/>
  <c r="H113" i="52"/>
  <c r="M113" i="52" s="1"/>
  <c r="R102" i="13"/>
  <c r="V78" i="10"/>
  <c r="Q78" i="10"/>
  <c r="E66" i="52" s="1"/>
  <c r="P66" i="52" s="1"/>
  <c r="E32" i="52"/>
  <c r="H32" i="52" s="1"/>
  <c r="AL78" i="10"/>
  <c r="T78" i="10" s="1"/>
  <c r="AM30" i="10"/>
  <c r="AL31" i="10" s="1"/>
  <c r="T31" i="10" s="1"/>
  <c r="Y30" i="10" s="1"/>
  <c r="AB30" i="10" s="1"/>
  <c r="AJ31" i="10"/>
  <c r="AJ32" i="10" s="1"/>
  <c r="U148" i="41"/>
  <c r="R157" i="41" s="1"/>
  <c r="N59" i="13"/>
  <c r="G88" i="13"/>
  <c r="H31" i="52"/>
  <c r="N31" i="52" s="1"/>
  <c r="Q81" i="10"/>
  <c r="R59" i="13" s="1"/>
  <c r="R21" i="13"/>
  <c r="N103" i="13"/>
  <c r="R103" i="13"/>
  <c r="AJ153" i="10"/>
  <c r="AJ154" i="10" s="1"/>
  <c r="AG116" i="10"/>
  <c r="AG70" i="10"/>
  <c r="AG71" i="10" s="1"/>
  <c r="AI69" i="10" s="1"/>
  <c r="AK69" i="10" s="1"/>
  <c r="H69" i="10" s="1"/>
  <c r="AL69" i="10" s="1"/>
  <c r="T69" i="10" s="1"/>
  <c r="AG121" i="10"/>
  <c r="G74" i="13"/>
  <c r="AG111" i="10"/>
  <c r="N53" i="13"/>
  <c r="Q74" i="10"/>
  <c r="AL74" i="10"/>
  <c r="E67" i="52"/>
  <c r="H67" i="52" s="1"/>
  <c r="R109" i="13"/>
  <c r="E119" i="52"/>
  <c r="AT29" i="52" s="1"/>
  <c r="W164" i="10"/>
  <c r="AA164" i="10" s="1"/>
  <c r="X58" i="66"/>
  <c r="AF58" i="66"/>
  <c r="AK58" i="66" s="1"/>
  <c r="H128" i="52"/>
  <c r="AW32" i="52" s="1"/>
  <c r="P128" i="52"/>
  <c r="BE32" i="52" s="1"/>
  <c r="AI95" i="10"/>
  <c r="AK95" i="10" s="1"/>
  <c r="AI93" i="10"/>
  <c r="H54" i="10"/>
  <c r="C55" i="10"/>
  <c r="AF55" i="10" s="1"/>
  <c r="AG55" i="10" s="1"/>
  <c r="AG56" i="10" s="1"/>
  <c r="P127" i="52"/>
  <c r="H127" i="52"/>
  <c r="Q53" i="10"/>
  <c r="N38" i="13"/>
  <c r="G38" i="13" s="1"/>
  <c r="AL53" i="10"/>
  <c r="T52" i="10"/>
  <c r="AM52" i="10"/>
  <c r="H75" i="10"/>
  <c r="C76" i="10"/>
  <c r="AF76" i="10" s="1"/>
  <c r="P123" i="52"/>
  <c r="H123" i="52"/>
  <c r="R37" i="13"/>
  <c r="E47" i="52"/>
  <c r="E98" i="52"/>
  <c r="R88" i="13"/>
  <c r="E103" i="52"/>
  <c r="R93" i="13"/>
  <c r="W134" i="10"/>
  <c r="AA134" i="10" s="1"/>
  <c r="E108" i="52"/>
  <c r="R98" i="13"/>
  <c r="W142" i="10"/>
  <c r="AA142" i="10" s="1"/>
  <c r="P122" i="52"/>
  <c r="H122" i="52"/>
  <c r="P126" i="52"/>
  <c r="H126" i="52"/>
  <c r="X58" i="65"/>
  <c r="AF58" i="65"/>
  <c r="AK58" i="65" s="1"/>
  <c r="C123" i="10"/>
  <c r="H123" i="10" s="1"/>
  <c r="AH123" i="10" s="1"/>
  <c r="T123" i="10" s="1"/>
  <c r="H109" i="52"/>
  <c r="P109" i="52"/>
  <c r="C113" i="10"/>
  <c r="H113" i="10" s="1"/>
  <c r="AH113" i="10" s="1"/>
  <c r="AQ113" i="10" s="1"/>
  <c r="AQ114" i="10" s="1"/>
  <c r="AQ115" i="10" s="1"/>
  <c r="AQ116" i="10" s="1"/>
  <c r="AQ117" i="10" s="1"/>
  <c r="R52" i="13"/>
  <c r="E62" i="52"/>
  <c r="AJ81" i="10"/>
  <c r="AJ82" i="10" s="1"/>
  <c r="R108" i="13"/>
  <c r="E118" i="52"/>
  <c r="AT28" i="52" s="1"/>
  <c r="E116" i="52"/>
  <c r="AT26" i="52" s="1"/>
  <c r="R106" i="13"/>
  <c r="W166" i="10"/>
  <c r="AA166" i="10" s="1"/>
  <c r="E99" i="52"/>
  <c r="R89" i="13"/>
  <c r="E117" i="52"/>
  <c r="AT27" i="52" s="1"/>
  <c r="R107" i="13"/>
  <c r="AG88" i="10"/>
  <c r="AG89" i="10" s="1"/>
  <c r="AI88" i="10" s="1"/>
  <c r="AM73" i="10"/>
  <c r="T73" i="10"/>
  <c r="X58" i="64"/>
  <c r="AF58" i="64"/>
  <c r="AK58" i="64" s="1"/>
  <c r="E111" i="52"/>
  <c r="R101" i="13"/>
  <c r="P46" i="52"/>
  <c r="H46" i="52"/>
  <c r="E110" i="52"/>
  <c r="R100" i="13"/>
  <c r="C118" i="10"/>
  <c r="H118" i="10" s="1"/>
  <c r="AH118" i="10" s="1"/>
  <c r="T118" i="10" s="1"/>
  <c r="H61" i="52"/>
  <c r="P61" i="52"/>
  <c r="H124" i="52"/>
  <c r="P124" i="52"/>
  <c r="AI138" i="10"/>
  <c r="AK138" i="10" s="1"/>
  <c r="AI136" i="10"/>
  <c r="E18" i="52"/>
  <c r="R8" i="13"/>
  <c r="W9" i="10"/>
  <c r="AA9" i="10" s="1"/>
  <c r="T71" i="10"/>
  <c r="E84" i="52"/>
  <c r="R74" i="13"/>
  <c r="E21" i="52"/>
  <c r="R11" i="13"/>
  <c r="W14" i="10"/>
  <c r="AA14" i="10" s="1"/>
  <c r="H125" i="52"/>
  <c r="P125" i="52"/>
  <c r="T89" i="10"/>
  <c r="CH25" i="52"/>
  <c r="CI25" i="52" s="1"/>
  <c r="AA148" i="41"/>
  <c r="AF148" i="41" s="1"/>
  <c r="AA150" i="35"/>
  <c r="AF150" i="35" s="1"/>
  <c r="X150" i="35"/>
  <c r="AA91" i="67"/>
  <c r="AF91" i="67" s="1"/>
  <c r="X148" i="41"/>
  <c r="AA49" i="65"/>
  <c r="AF49" i="65" s="1"/>
  <c r="X49" i="65"/>
  <c r="U151" i="68"/>
  <c r="R160" i="68" s="1"/>
  <c r="U188" i="68"/>
  <c r="R197" i="68" s="1"/>
  <c r="AA49" i="64"/>
  <c r="AF49" i="64" s="1"/>
  <c r="X49" i="64"/>
  <c r="J113" i="13"/>
  <c r="K113" i="13" s="1"/>
  <c r="U110" i="68" s="1"/>
  <c r="BU176" i="22"/>
  <c r="CD176" i="22" s="1"/>
  <c r="CD177" i="22" s="1"/>
  <c r="CD178" i="22" s="1"/>
  <c r="CD179" i="22" s="1"/>
  <c r="CD180" i="22" s="1"/>
  <c r="CD181" i="22" s="1"/>
  <c r="CD182" i="22" s="1"/>
  <c r="CN26" i="22" s="1"/>
  <c r="AA94" i="67"/>
  <c r="AF94" i="67" s="1"/>
  <c r="J115" i="13"/>
  <c r="K115" i="13" s="1"/>
  <c r="U200" i="68" s="1"/>
  <c r="J112" i="13"/>
  <c r="K112" i="13" s="1"/>
  <c r="U61" i="68" s="1"/>
  <c r="U52" i="68"/>
  <c r="R61" i="68" s="1"/>
  <c r="U263" i="68"/>
  <c r="R272" i="68" s="1"/>
  <c r="AL175" i="22"/>
  <c r="U54" i="67" s="1"/>
  <c r="R66" i="67" s="1"/>
  <c r="X54" i="67"/>
  <c r="F112" i="13"/>
  <c r="G112" i="13" s="1"/>
  <c r="U58" i="68" s="1"/>
  <c r="AA49" i="68"/>
  <c r="AF49" i="68" s="1"/>
  <c r="X49" i="68"/>
  <c r="U225" i="68"/>
  <c r="R234" i="68" s="1"/>
  <c r="J117" i="13"/>
  <c r="K117" i="13" s="1"/>
  <c r="U275" i="68" s="1"/>
  <c r="J114" i="13"/>
  <c r="K114" i="13" s="1"/>
  <c r="U163" i="68" s="1"/>
  <c r="AH175" i="22"/>
  <c r="X51" i="67"/>
  <c r="X49" i="63"/>
  <c r="AA49" i="63"/>
  <c r="AF49" i="63" s="1"/>
  <c r="J116" i="13"/>
  <c r="K116" i="13" s="1"/>
  <c r="U237" i="68" s="1"/>
  <c r="A58" i="63"/>
  <c r="AA55" i="63"/>
  <c r="AF55" i="63" s="1"/>
  <c r="X55" i="63"/>
  <c r="U55" i="63"/>
  <c r="R67" i="63" s="1"/>
  <c r="R55" i="63"/>
  <c r="AA201" i="41"/>
  <c r="AF201" i="41" s="1"/>
  <c r="X201" i="41"/>
  <c r="U201" i="41"/>
  <c r="R210" i="41" s="1"/>
  <c r="X316" i="34"/>
  <c r="X325" i="34"/>
  <c r="AF252" i="33"/>
  <c r="AJ252" i="33" s="1"/>
  <c r="W94" i="52"/>
  <c r="Z94" i="52" s="1"/>
  <c r="AG94" i="52" s="1"/>
  <c r="X328" i="34"/>
  <c r="X319" i="34"/>
  <c r="AA149" i="31"/>
  <c r="AF149" i="31" s="1"/>
  <c r="BP149" i="22"/>
  <c r="X322" i="34"/>
  <c r="X313" i="34"/>
  <c r="AA313" i="34"/>
  <c r="AF313" i="34" s="1"/>
  <c r="AA322" i="34"/>
  <c r="AF322" i="34" s="1"/>
  <c r="AF256" i="33"/>
  <c r="AJ256" i="33" s="1"/>
  <c r="F45" i="13"/>
  <c r="U199" i="33"/>
  <c r="F33" i="13"/>
  <c r="X96" i="31"/>
  <c r="AA96" i="31"/>
  <c r="AF96" i="31" s="1"/>
  <c r="F32" i="13"/>
  <c r="U112" i="23"/>
  <c r="R121" i="23" s="1"/>
  <c r="AA112" i="23"/>
  <c r="AF112" i="23" s="1"/>
  <c r="U150" i="35"/>
  <c r="R159" i="35" s="1"/>
  <c r="U572" i="41"/>
  <c r="R581" i="41" s="1"/>
  <c r="AI42" i="52"/>
  <c r="X101" i="40"/>
  <c r="AJ86" i="52"/>
  <c r="AA101" i="40"/>
  <c r="AF101" i="40" s="1"/>
  <c r="Z42" i="52"/>
  <c r="AG42" i="52" s="1"/>
  <c r="AI86" i="52"/>
  <c r="U101" i="40"/>
  <c r="R110" i="40" s="1"/>
  <c r="W58" i="70"/>
  <c r="W57" i="70"/>
  <c r="W9" i="70"/>
  <c r="W10" i="70"/>
  <c r="AI88" i="52"/>
  <c r="AJ88" i="52"/>
  <c r="X149" i="31"/>
  <c r="U209" i="40"/>
  <c r="R218" i="40" s="1"/>
  <c r="X209" i="40"/>
  <c r="W66" i="52"/>
  <c r="Z66" i="52" s="1"/>
  <c r="BP121" i="22"/>
  <c r="BY121" i="22" s="1"/>
  <c r="BY122" i="22" s="1"/>
  <c r="BY123" i="22" s="1"/>
  <c r="AJ95" i="52"/>
  <c r="AI95" i="52"/>
  <c r="X572" i="41"/>
  <c r="AA209" i="40"/>
  <c r="AF209" i="40" s="1"/>
  <c r="AA572" i="41"/>
  <c r="AF572" i="41" s="1"/>
  <c r="BP140" i="22"/>
  <c r="BY140" i="22" s="1"/>
  <c r="BY141" i="22" s="1"/>
  <c r="BY142" i="22" s="1"/>
  <c r="BY143" i="22" s="1"/>
  <c r="BL11" i="52"/>
  <c r="R155" i="28" s="1" a="1"/>
  <c r="R155" i="28" s="1"/>
  <c r="AB155" i="28" s="1"/>
  <c r="AF155" i="28" s="1"/>
  <c r="AJ155" i="28" s="1"/>
  <c r="AI67" i="52"/>
  <c r="AJ67" i="52"/>
  <c r="AJ44" i="52"/>
  <c r="AN76" i="22"/>
  <c r="X209" i="25" s="1"/>
  <c r="W21" i="52"/>
  <c r="Z21" i="52" s="1"/>
  <c r="AG21" i="52" s="1"/>
  <c r="Z44" i="52"/>
  <c r="AG44" i="52" s="1"/>
  <c r="AI59" i="52"/>
  <c r="AN125" i="22"/>
  <c r="AB125" i="22" s="1"/>
  <c r="F60" i="13" s="1"/>
  <c r="AJ59" i="52"/>
  <c r="AJ29" i="52"/>
  <c r="AI92" i="52"/>
  <c r="U49" i="43"/>
  <c r="R58" i="43" s="1"/>
  <c r="AJ92" i="52"/>
  <c r="X49" i="43"/>
  <c r="AJ91" i="52"/>
  <c r="AJ54" i="52"/>
  <c r="AN140" i="22"/>
  <c r="X49" i="41" s="1"/>
  <c r="AI91" i="52"/>
  <c r="AJ103" i="52"/>
  <c r="BP158" i="22"/>
  <c r="Z96" i="52"/>
  <c r="AG96" i="52" s="1"/>
  <c r="X60" i="52"/>
  <c r="X32" i="52"/>
  <c r="AA49" i="43"/>
  <c r="AF49" i="43" s="1"/>
  <c r="AI29" i="52"/>
  <c r="AI81" i="52"/>
  <c r="AJ81" i="52"/>
  <c r="AJ43" i="52"/>
  <c r="AN136" i="22"/>
  <c r="AB136" i="22" s="1"/>
  <c r="F71" i="13" s="1"/>
  <c r="BP136" i="22"/>
  <c r="BY136" i="22" s="1"/>
  <c r="BY137" i="22" s="1"/>
  <c r="AI43" i="52"/>
  <c r="X112" i="23"/>
  <c r="Z54" i="52"/>
  <c r="AG54" i="52" s="1"/>
  <c r="AI57" i="52"/>
  <c r="AB151" i="22"/>
  <c r="AA625" i="41"/>
  <c r="AF625" i="41" s="1"/>
  <c r="Z57" i="52"/>
  <c r="AG57" i="52" s="1"/>
  <c r="Y93" i="52"/>
  <c r="W70" i="52"/>
  <c r="AI100" i="52"/>
  <c r="Z15" i="52"/>
  <c r="AG15" i="52" s="1"/>
  <c r="BK14" i="52"/>
  <c r="AJ100" i="52"/>
  <c r="AJ15" i="52"/>
  <c r="BN13" i="52"/>
  <c r="R262" i="26" s="1" a="1"/>
  <c r="R262" i="26" s="1"/>
  <c r="AB262" i="26" s="1"/>
  <c r="AF262" i="26" s="1"/>
  <c r="AJ262" i="26" s="1"/>
  <c r="CC80" i="22"/>
  <c r="CC81" i="22" s="1"/>
  <c r="CM6" i="22" s="1"/>
  <c r="AA96" i="34"/>
  <c r="AF96" i="34" s="1"/>
  <c r="F47" i="13"/>
  <c r="X149" i="34"/>
  <c r="AA149" i="34"/>
  <c r="AF149" i="34" s="1"/>
  <c r="X96" i="34"/>
  <c r="Y80" i="52"/>
  <c r="BL18" i="52"/>
  <c r="R255" i="33" s="1" a="1"/>
  <c r="R255" i="33" s="1"/>
  <c r="AN158" i="22"/>
  <c r="AB158" i="22" s="1"/>
  <c r="F93" i="13" s="1"/>
  <c r="G93" i="13" s="1"/>
  <c r="AI103" i="52"/>
  <c r="AA360" i="41"/>
  <c r="AF360" i="41" s="1"/>
  <c r="X360" i="41"/>
  <c r="U360" i="41"/>
  <c r="R369" i="41" s="1"/>
  <c r="X80" i="52"/>
  <c r="BM10" i="52" s="1"/>
  <c r="R261" i="38" s="1" a="1"/>
  <c r="R261" i="38" s="1"/>
  <c r="AB261" i="38" s="1"/>
  <c r="AF261" i="38" s="1"/>
  <c r="AJ261" i="38" s="1"/>
  <c r="H114" i="52"/>
  <c r="P114" i="52"/>
  <c r="BE14" i="52" s="1"/>
  <c r="U149" i="34"/>
  <c r="R158" i="34" s="1"/>
  <c r="AJ96" i="52"/>
  <c r="Y52" i="52"/>
  <c r="BN17" i="52" s="1"/>
  <c r="R210" i="32" s="1" a="1"/>
  <c r="R210" i="32" s="1"/>
  <c r="AB210" i="32" s="1"/>
  <c r="AF210" i="32" s="1"/>
  <c r="AJ210" i="32" s="1"/>
  <c r="AT14" i="52"/>
  <c r="CJ14" i="52" s="1"/>
  <c r="BM13" i="52"/>
  <c r="R261" i="26" s="1" a="1"/>
  <c r="R261" i="26" s="1"/>
  <c r="AB261" i="26" s="1"/>
  <c r="BJ14" i="52"/>
  <c r="AG100" i="52"/>
  <c r="AE13" i="52"/>
  <c r="BL16" i="52"/>
  <c r="AG29" i="52"/>
  <c r="AD13" i="52"/>
  <c r="AB13" i="52"/>
  <c r="AC13" i="52"/>
  <c r="AG13" i="52"/>
  <c r="AH13" i="52"/>
  <c r="AF13" i="52"/>
  <c r="AA13" i="52"/>
  <c r="BP21" i="52" s="1"/>
  <c r="BP33" i="52" s="1"/>
  <c r="X20" i="52"/>
  <c r="W108" i="52"/>
  <c r="AN163" i="22"/>
  <c r="BP163" i="22"/>
  <c r="Z119" i="52"/>
  <c r="BO29" i="52" s="1"/>
  <c r="AJ119" i="52"/>
  <c r="BY29" i="52" s="1"/>
  <c r="AI119" i="52"/>
  <c r="BX29" i="52" s="1"/>
  <c r="W110" i="52"/>
  <c r="BL21" i="52" s="1"/>
  <c r="BP165" i="22"/>
  <c r="AN165" i="22"/>
  <c r="AJ116" i="52"/>
  <c r="BY26" i="52" s="1"/>
  <c r="AI116" i="52"/>
  <c r="BX26" i="52" s="1"/>
  <c r="Z116" i="52"/>
  <c r="BO26" i="52" s="1"/>
  <c r="BP73" i="22"/>
  <c r="BY73" i="22" s="1"/>
  <c r="AN73" i="22"/>
  <c r="W18" i="52"/>
  <c r="Y17" i="52"/>
  <c r="BN15" i="52" s="1"/>
  <c r="X69" i="52"/>
  <c r="Y65" i="52"/>
  <c r="Y107" i="52"/>
  <c r="X17" i="52"/>
  <c r="BM15" i="52" s="1"/>
  <c r="X74" i="52"/>
  <c r="Y30" i="52"/>
  <c r="BN11" i="52" s="1"/>
  <c r="R157" i="28" s="1" a="1"/>
  <c r="R157" i="28" s="1"/>
  <c r="AB157" i="28" s="1"/>
  <c r="AF157" i="28" s="1"/>
  <c r="AJ157" i="28" s="1"/>
  <c r="CC159" i="22"/>
  <c r="H53" i="52"/>
  <c r="P53" i="52"/>
  <c r="H51" i="52"/>
  <c r="P51" i="52"/>
  <c r="T24" i="13"/>
  <c r="T34" i="52"/>
  <c r="U54" i="52"/>
  <c r="BJ18" i="52" s="1"/>
  <c r="R253" i="33" s="1" a="1"/>
  <c r="R253" i="33" s="1"/>
  <c r="AB253" i="33" s="1"/>
  <c r="AF253" i="33" s="1"/>
  <c r="AJ253" i="33" s="1"/>
  <c r="V54" i="52"/>
  <c r="BK18" i="52" s="1"/>
  <c r="R254" i="33" s="1" a="1"/>
  <c r="R254" i="33" s="1"/>
  <c r="AB254" i="33" s="1"/>
  <c r="AF254" i="33" s="1"/>
  <c r="AJ254" i="33" s="1"/>
  <c r="R45" i="13"/>
  <c r="E55" i="52"/>
  <c r="X50" i="52"/>
  <c r="BM12" i="52" s="1"/>
  <c r="R581" i="31" s="1" a="1"/>
  <c r="R581" i="31" s="1"/>
  <c r="AB581" i="31" s="1"/>
  <c r="AF581" i="31" s="1"/>
  <c r="AJ581" i="31" s="1"/>
  <c r="Y78" i="52"/>
  <c r="X83" i="52"/>
  <c r="BM25" i="52" s="1"/>
  <c r="Y28" i="52"/>
  <c r="BN19" i="52" s="1"/>
  <c r="R158" i="27" s="1" a="1"/>
  <c r="R158" i="27" s="1"/>
  <c r="AB158" i="27" s="1"/>
  <c r="AF158" i="27" s="1"/>
  <c r="AJ158" i="27" s="1"/>
  <c r="Y60" i="52"/>
  <c r="BP152" i="22"/>
  <c r="W97" i="52"/>
  <c r="AN157" i="22"/>
  <c r="AB157" i="22" s="1"/>
  <c r="F92" i="13" s="1"/>
  <c r="W102" i="52"/>
  <c r="X52" i="52"/>
  <c r="X72" i="52"/>
  <c r="BM24" i="52" s="1"/>
  <c r="AJ99" i="52"/>
  <c r="Z99" i="52"/>
  <c r="AG99" i="52" s="1"/>
  <c r="BV16" i="52" s="1"/>
  <c r="R228" i="43" s="1" a="1"/>
  <c r="R228" i="43" s="1"/>
  <c r="AB228" i="43" s="1"/>
  <c r="AF228" i="43" s="1"/>
  <c r="AJ228" i="43" s="1"/>
  <c r="AI99" i="52"/>
  <c r="AH63" i="52"/>
  <c r="AE63" i="52"/>
  <c r="AF63" i="52"/>
  <c r="AC63" i="52"/>
  <c r="AD63" i="52"/>
  <c r="AB63" i="52"/>
  <c r="BP74" i="22"/>
  <c r="W19" i="52"/>
  <c r="BP148" i="22"/>
  <c r="W93" i="52"/>
  <c r="BP105" i="22"/>
  <c r="W50" i="52"/>
  <c r="BL12" i="52" s="1"/>
  <c r="R580" i="31" s="1" a="1"/>
  <c r="R580" i="31" s="1"/>
  <c r="AB580" i="31" s="1"/>
  <c r="AF580" i="31" s="1"/>
  <c r="AJ580" i="31" s="1"/>
  <c r="BT87" i="22"/>
  <c r="CC87" i="22" s="1"/>
  <c r="CC88" i="22" s="1"/>
  <c r="Y32" i="52"/>
  <c r="X30" i="52"/>
  <c r="BM11" i="52" s="1"/>
  <c r="R156" i="28" s="1" a="1"/>
  <c r="R156" i="28" s="1"/>
  <c r="AB156" i="28" s="1"/>
  <c r="AF156" i="28" s="1"/>
  <c r="AJ156" i="28" s="1"/>
  <c r="Z107" i="52"/>
  <c r="AJ107" i="52"/>
  <c r="AI107" i="52"/>
  <c r="AD68" i="52"/>
  <c r="AH68" i="52"/>
  <c r="AB68" i="52"/>
  <c r="AC68" i="52"/>
  <c r="AE68" i="52"/>
  <c r="AF68" i="52"/>
  <c r="Z79" i="52"/>
  <c r="AG79" i="52" s="1"/>
  <c r="AJ79" i="52"/>
  <c r="AI79" i="52"/>
  <c r="AJ101" i="52"/>
  <c r="AI101" i="52"/>
  <c r="Z101" i="52"/>
  <c r="AG101" i="52" s="1"/>
  <c r="AB43" i="52"/>
  <c r="AD43" i="52"/>
  <c r="AC43" i="52"/>
  <c r="AE43" i="52"/>
  <c r="AH43" i="52"/>
  <c r="AF43" i="52"/>
  <c r="X97" i="52"/>
  <c r="BP89" i="22"/>
  <c r="W34" i="52"/>
  <c r="BP133" i="22"/>
  <c r="BY133" i="22" s="1"/>
  <c r="BY134" i="22" s="1"/>
  <c r="W78" i="52"/>
  <c r="Y34" i="52"/>
  <c r="Y69" i="52"/>
  <c r="Z41" i="52"/>
  <c r="AJ41" i="52"/>
  <c r="AI41" i="52"/>
  <c r="AH98" i="52"/>
  <c r="AF98" i="52"/>
  <c r="AD98" i="52"/>
  <c r="AB98" i="52"/>
  <c r="AC98" i="52"/>
  <c r="AE98" i="52"/>
  <c r="AB55" i="52"/>
  <c r="AC55" i="52"/>
  <c r="AD55" i="52"/>
  <c r="AF55" i="52"/>
  <c r="AE55" i="52"/>
  <c r="AH55" i="52"/>
  <c r="AH59" i="52"/>
  <c r="AE59" i="52"/>
  <c r="AB59" i="52"/>
  <c r="AF59" i="52"/>
  <c r="AC59" i="52"/>
  <c r="AD59" i="52"/>
  <c r="AI61" i="52"/>
  <c r="AJ61" i="52"/>
  <c r="Z61" i="52"/>
  <c r="AG61" i="52" s="1"/>
  <c r="AF47" i="52"/>
  <c r="AE47" i="52"/>
  <c r="AH47" i="52"/>
  <c r="AD47" i="52"/>
  <c r="AB47" i="52"/>
  <c r="AC47" i="52"/>
  <c r="Z27" i="52"/>
  <c r="AJ27" i="52"/>
  <c r="AI27" i="52"/>
  <c r="X76" i="52"/>
  <c r="BT176" i="22"/>
  <c r="CC176" i="22" s="1"/>
  <c r="CC177" i="22" s="1"/>
  <c r="CC178" i="22" s="1"/>
  <c r="CC179" i="22" s="1"/>
  <c r="CC180" i="22" s="1"/>
  <c r="CC181" i="22" s="1"/>
  <c r="CC182" i="22" s="1"/>
  <c r="CM26" i="22" s="1"/>
  <c r="Y121" i="52"/>
  <c r="BN30" i="52" s="1"/>
  <c r="BT95" i="22"/>
  <c r="Y40" i="52"/>
  <c r="BP77" i="22"/>
  <c r="W22" i="52"/>
  <c r="AB84" i="52"/>
  <c r="AC84" i="52"/>
  <c r="AD84" i="52"/>
  <c r="AE84" i="52"/>
  <c r="AF84" i="52"/>
  <c r="AH84" i="52"/>
  <c r="AE58" i="52"/>
  <c r="AC58" i="52"/>
  <c r="AH58" i="52"/>
  <c r="AD58" i="52"/>
  <c r="AF58" i="52"/>
  <c r="AB58" i="52"/>
  <c r="AD49" i="52"/>
  <c r="AH49" i="52"/>
  <c r="AC49" i="52"/>
  <c r="AB49" i="52"/>
  <c r="AE49" i="52"/>
  <c r="AF49" i="52"/>
  <c r="BS176" i="22"/>
  <c r="CB176" i="22" s="1"/>
  <c r="CB177" i="22" s="1"/>
  <c r="CB178" i="22" s="1"/>
  <c r="CB179" i="22" s="1"/>
  <c r="CB180" i="22" s="1"/>
  <c r="CB181" i="22" s="1"/>
  <c r="CB182" i="22" s="1"/>
  <c r="CL26" i="22" s="1"/>
  <c r="X121" i="52"/>
  <c r="BM30" i="52" s="1"/>
  <c r="Y83" i="52"/>
  <c r="R111" i="64" s="1" a="1"/>
  <c r="R111" i="64" s="1"/>
  <c r="AB111" i="64" s="1"/>
  <c r="AF111" i="64" s="1"/>
  <c r="AJ111" i="64" s="1"/>
  <c r="Y97" i="52"/>
  <c r="X93" i="52"/>
  <c r="AI77" i="52"/>
  <c r="Z77" i="52"/>
  <c r="AJ77" i="52"/>
  <c r="Z25" i="52"/>
  <c r="AG25" i="52" s="1"/>
  <c r="AJ25" i="52"/>
  <c r="AI25" i="52"/>
  <c r="Z53" i="52"/>
  <c r="AJ53" i="52"/>
  <c r="AI53" i="52"/>
  <c r="BX18" i="52" s="1"/>
  <c r="R267" i="33" s="1" a="1"/>
  <c r="R267" i="33" s="1"/>
  <c r="AB267" i="33" s="1"/>
  <c r="AF267" i="33" s="1"/>
  <c r="AJ267" i="33" s="1"/>
  <c r="BP138" i="22"/>
  <c r="W83" i="52"/>
  <c r="BL25" i="52" s="1"/>
  <c r="BP83" i="22"/>
  <c r="W28" i="52"/>
  <c r="BL19" i="52" s="1"/>
  <c r="R156" i="27" s="1" a="1"/>
  <c r="R156" i="27" s="1"/>
  <c r="AB156" i="27" s="1"/>
  <c r="AF156" i="27" s="1"/>
  <c r="AJ156" i="27" s="1"/>
  <c r="X105" i="52"/>
  <c r="BP124" i="22"/>
  <c r="W69" i="52"/>
  <c r="X34" i="52"/>
  <c r="X65" i="52"/>
  <c r="BS168" i="22"/>
  <c r="CB168" i="22" s="1"/>
  <c r="CB169" i="22" s="1"/>
  <c r="CB170" i="22" s="1"/>
  <c r="CL25" i="22" s="1"/>
  <c r="X113" i="52"/>
  <c r="BM14" i="52" s="1"/>
  <c r="Y50" i="52"/>
  <c r="BN12" i="52" s="1"/>
  <c r="R582" i="31" s="1" a="1"/>
  <c r="R582" i="31" s="1"/>
  <c r="AB582" i="31" s="1"/>
  <c r="AF582" i="31" s="1"/>
  <c r="AJ582" i="31" s="1"/>
  <c r="AF95" i="52"/>
  <c r="AH95" i="52"/>
  <c r="AE95" i="52"/>
  <c r="AB95" i="52"/>
  <c r="AC95" i="52"/>
  <c r="AD95" i="52"/>
  <c r="AE71" i="52"/>
  <c r="AF71" i="52"/>
  <c r="AB71" i="52"/>
  <c r="AC71" i="52"/>
  <c r="AD71" i="52"/>
  <c r="AH71" i="52"/>
  <c r="AF100" i="52"/>
  <c r="AC100" i="52"/>
  <c r="AD100" i="52"/>
  <c r="AE100" i="52"/>
  <c r="AH100" i="52"/>
  <c r="AB100" i="52"/>
  <c r="AF67" i="52"/>
  <c r="AD67" i="52"/>
  <c r="AE67" i="52"/>
  <c r="AB67" i="52"/>
  <c r="AC67" i="52"/>
  <c r="AH67" i="52"/>
  <c r="Z56" i="52"/>
  <c r="AI56" i="52"/>
  <c r="AJ56" i="52"/>
  <c r="AC103" i="52"/>
  <c r="AB103" i="52"/>
  <c r="AE103" i="52"/>
  <c r="AH103" i="52"/>
  <c r="AF103" i="52"/>
  <c r="AD103" i="52"/>
  <c r="AF91" i="52"/>
  <c r="AB91" i="52"/>
  <c r="AC91" i="52"/>
  <c r="AD91" i="52"/>
  <c r="AE91" i="52"/>
  <c r="AH91" i="52"/>
  <c r="BP127" i="22"/>
  <c r="W72" i="52"/>
  <c r="Y74" i="52"/>
  <c r="Z73" i="52"/>
  <c r="AI73" i="52"/>
  <c r="AJ73" i="52"/>
  <c r="Y89" i="52"/>
  <c r="AJ51" i="52"/>
  <c r="Z51" i="52"/>
  <c r="AI51" i="52"/>
  <c r="X89" i="52"/>
  <c r="AD62" i="52"/>
  <c r="AH62" i="52"/>
  <c r="AC62" i="52"/>
  <c r="AB62" i="52"/>
  <c r="AE62" i="52"/>
  <c r="AF62" i="52"/>
  <c r="AH88" i="52"/>
  <c r="AF88" i="52"/>
  <c r="AB88" i="52"/>
  <c r="AC88" i="52"/>
  <c r="AD88" i="52"/>
  <c r="AE88" i="52"/>
  <c r="AE92" i="52"/>
  <c r="AF92" i="52"/>
  <c r="AH92" i="52"/>
  <c r="AB92" i="52"/>
  <c r="AC92" i="52"/>
  <c r="AD92" i="52"/>
  <c r="AJ39" i="52"/>
  <c r="Z39" i="52"/>
  <c r="AG39" i="52" s="1"/>
  <c r="AI39" i="52"/>
  <c r="X36" i="52"/>
  <c r="BP115" i="22"/>
  <c r="W60" i="52"/>
  <c r="Z33" i="52"/>
  <c r="AG33" i="52" s="1"/>
  <c r="AJ33" i="52"/>
  <c r="AI33" i="52"/>
  <c r="AB48" i="52"/>
  <c r="AE48" i="52"/>
  <c r="AF48" i="52"/>
  <c r="AD48" i="52"/>
  <c r="AC48" i="52"/>
  <c r="AH48" i="52"/>
  <c r="Z85" i="52"/>
  <c r="AI85" i="52"/>
  <c r="AJ85" i="52"/>
  <c r="Z46" i="52"/>
  <c r="AG46" i="52" s="1"/>
  <c r="AJ46" i="52"/>
  <c r="AI46" i="52"/>
  <c r="BT93" i="22"/>
  <c r="CC93" i="22" s="1"/>
  <c r="CC94" i="22" s="1"/>
  <c r="Y38" i="52"/>
  <c r="BP144" i="22"/>
  <c r="W89" i="52"/>
  <c r="X38" i="52"/>
  <c r="BT127" i="22"/>
  <c r="CC127" i="22" s="1"/>
  <c r="CM16" i="22" s="1"/>
  <c r="Y72" i="52"/>
  <c r="BN24" i="52" s="1"/>
  <c r="Y20" i="52"/>
  <c r="BT160" i="22"/>
  <c r="Y105" i="52"/>
  <c r="AH86" i="52"/>
  <c r="AE86" i="52"/>
  <c r="AD86" i="52"/>
  <c r="AF86" i="52"/>
  <c r="AB86" i="52"/>
  <c r="AC86" i="52"/>
  <c r="AD64" i="52"/>
  <c r="AF64" i="52"/>
  <c r="AH64" i="52"/>
  <c r="AB64" i="52"/>
  <c r="AC64" i="52"/>
  <c r="AE64" i="52"/>
  <c r="AE29" i="52"/>
  <c r="AF29" i="52"/>
  <c r="AH29" i="52"/>
  <c r="AB29" i="52"/>
  <c r="AC29" i="52"/>
  <c r="AD29" i="52"/>
  <c r="Z105" i="52"/>
  <c r="AG105" i="52" s="1"/>
  <c r="AI105" i="52"/>
  <c r="AJ105" i="52"/>
  <c r="BP120" i="22"/>
  <c r="W65" i="52"/>
  <c r="X28" i="52"/>
  <c r="BM19" i="52" s="1"/>
  <c r="R157" i="27" s="1" a="1"/>
  <c r="R157" i="27" s="1"/>
  <c r="AB157" i="27" s="1"/>
  <c r="AF157" i="27" s="1"/>
  <c r="AJ157" i="27" s="1"/>
  <c r="AI30" i="52"/>
  <c r="AJ30" i="52"/>
  <c r="Z30" i="52"/>
  <c r="AG30" i="52" s="1"/>
  <c r="AB87" i="52"/>
  <c r="AC87" i="52"/>
  <c r="AD87" i="52"/>
  <c r="AE87" i="52"/>
  <c r="AF87" i="52"/>
  <c r="AH87" i="52"/>
  <c r="Z90" i="52"/>
  <c r="AG90" i="52" s="1"/>
  <c r="AJ90" i="52"/>
  <c r="AI90" i="52"/>
  <c r="AE26" i="52"/>
  <c r="AB26" i="52"/>
  <c r="AF26" i="52"/>
  <c r="AH26" i="52"/>
  <c r="AC26" i="52"/>
  <c r="AD26" i="52"/>
  <c r="AD111" i="52"/>
  <c r="AE111" i="52"/>
  <c r="AC111" i="52"/>
  <c r="AB111" i="52"/>
  <c r="AF111" i="52"/>
  <c r="AH111" i="52"/>
  <c r="BT131" i="22"/>
  <c r="Y76" i="52"/>
  <c r="BP135" i="22"/>
  <c r="W80" i="52"/>
  <c r="BP95" i="22"/>
  <c r="W40" i="52"/>
  <c r="BT168" i="22"/>
  <c r="CC168" i="22" s="1"/>
  <c r="CC169" i="22" s="1"/>
  <c r="CC170" i="22" s="1"/>
  <c r="CM25" i="22" s="1"/>
  <c r="Y113" i="52"/>
  <c r="BN14" i="52" s="1"/>
  <c r="X40" i="52"/>
  <c r="X107" i="52"/>
  <c r="AE104" i="52"/>
  <c r="AH104" i="52"/>
  <c r="AF104" i="52"/>
  <c r="AB104" i="52"/>
  <c r="AC104" i="52"/>
  <c r="AD104" i="52"/>
  <c r="AD109" i="52"/>
  <c r="AH109" i="52"/>
  <c r="AB109" i="52"/>
  <c r="AC109" i="52"/>
  <c r="AE109" i="52"/>
  <c r="AF109" i="52"/>
  <c r="Z23" i="52"/>
  <c r="AG23" i="52" s="1"/>
  <c r="AI23" i="52"/>
  <c r="AJ23" i="52"/>
  <c r="AC82" i="52"/>
  <c r="AB82" i="52"/>
  <c r="AD82" i="52"/>
  <c r="AE82" i="52"/>
  <c r="AF82" i="52"/>
  <c r="AH82" i="52"/>
  <c r="AE106" i="52"/>
  <c r="AF106" i="52"/>
  <c r="AH106" i="52"/>
  <c r="AC106" i="52"/>
  <c r="AD106" i="52"/>
  <c r="AB106" i="52"/>
  <c r="CL21" i="22"/>
  <c r="CL24" i="22"/>
  <c r="CL13" i="22"/>
  <c r="CD134" i="22"/>
  <c r="BM9" i="22"/>
  <c r="BM5" i="22"/>
  <c r="BM7" i="22"/>
  <c r="BM11" i="22"/>
  <c r="BP128" i="22"/>
  <c r="BY128" i="22" s="1"/>
  <c r="BP106" i="22"/>
  <c r="BY106" i="22" s="1"/>
  <c r="J96" i="13"/>
  <c r="K96" i="13" s="1"/>
  <c r="U112" i="43"/>
  <c r="R121" i="43" s="1"/>
  <c r="J89" i="13"/>
  <c r="K89" i="13" s="1"/>
  <c r="J56" i="13"/>
  <c r="K56" i="13" s="1"/>
  <c r="U53" i="31"/>
  <c r="R62" i="31" s="1"/>
  <c r="J31" i="13"/>
  <c r="K31" i="13" s="1"/>
  <c r="U99" i="34"/>
  <c r="R108" i="34" s="1"/>
  <c r="J47" i="13"/>
  <c r="K47" i="13" s="1"/>
  <c r="U108" i="34" s="1"/>
  <c r="J69" i="13"/>
  <c r="K69" i="13" s="1"/>
  <c r="J12" i="13"/>
  <c r="K12" i="13" s="1"/>
  <c r="J75" i="13"/>
  <c r="K75" i="13" s="1"/>
  <c r="J80" i="13"/>
  <c r="K80" i="13" s="1"/>
  <c r="J17" i="13"/>
  <c r="K17" i="13" s="1"/>
  <c r="J23" i="13"/>
  <c r="K23" i="13" s="1"/>
  <c r="G43" i="13"/>
  <c r="J63" i="13"/>
  <c r="K63" i="13" s="1"/>
  <c r="J36" i="13"/>
  <c r="K36" i="13" s="1"/>
  <c r="J41" i="13"/>
  <c r="K41" i="13" s="1"/>
  <c r="J84" i="13"/>
  <c r="K84" i="13" s="1"/>
  <c r="J71" i="13"/>
  <c r="K71" i="13" s="1"/>
  <c r="J99" i="13"/>
  <c r="K99" i="13" s="1"/>
  <c r="J101" i="13"/>
  <c r="K101" i="13" s="1"/>
  <c r="U103" i="25"/>
  <c r="R112" i="25" s="1"/>
  <c r="J9" i="13"/>
  <c r="K9" i="13" s="1"/>
  <c r="U52" i="38"/>
  <c r="R61" i="38" s="1"/>
  <c r="J67" i="13"/>
  <c r="K67" i="13" s="1"/>
  <c r="J19" i="13"/>
  <c r="K19" i="13" s="1"/>
  <c r="AI149" i="10"/>
  <c r="AJ149" i="10" s="1"/>
  <c r="AJ150" i="10" s="1"/>
  <c r="R105" i="13"/>
  <c r="T57" i="10"/>
  <c r="AM57" i="10"/>
  <c r="AL58" i="10" s="1"/>
  <c r="R41" i="13"/>
  <c r="R43" i="13"/>
  <c r="W155" i="10"/>
  <c r="AA155" i="10" s="1"/>
  <c r="R104" i="13"/>
  <c r="AM61" i="10"/>
  <c r="AM62" i="10" s="1"/>
  <c r="AM63" i="10" s="1"/>
  <c r="AL64" i="10" s="1"/>
  <c r="T61" i="10"/>
  <c r="T156" i="10"/>
  <c r="X52" i="26"/>
  <c r="U52" i="26"/>
  <c r="R61" i="26" s="1"/>
  <c r="AF58" i="62"/>
  <c r="AK58" i="62" s="1"/>
  <c r="AA155" i="40"/>
  <c r="AF155" i="40" s="1"/>
  <c r="X174" i="29"/>
  <c r="CB159" i="22"/>
  <c r="X157" i="30"/>
  <c r="X256" i="44"/>
  <c r="X156" i="38"/>
  <c r="CD159" i="22"/>
  <c r="AA524" i="31"/>
  <c r="AF524" i="31" s="1"/>
  <c r="AA227" i="29"/>
  <c r="AF227" i="29" s="1"/>
  <c r="AA99" i="28"/>
  <c r="AF99" i="28" s="1"/>
  <c r="X53" i="40"/>
  <c r="X54" i="30"/>
  <c r="CE120" i="22"/>
  <c r="CO14" i="22" s="1"/>
  <c r="U52" i="41"/>
  <c r="R61" i="41" s="1"/>
  <c r="U53" i="35"/>
  <c r="R62" i="35" s="1"/>
  <c r="U53" i="23"/>
  <c r="R62" i="23" s="1"/>
  <c r="R46" i="50"/>
  <c r="X53" i="27"/>
  <c r="X53" i="23"/>
  <c r="X53" i="28"/>
  <c r="X156" i="44"/>
  <c r="CE89" i="22"/>
  <c r="CE90" i="22" s="1"/>
  <c r="CE91" i="22" s="1"/>
  <c r="CO9" i="22" s="1"/>
  <c r="X112" i="43"/>
  <c r="AQ168" i="22"/>
  <c r="AL168" i="22" s="1"/>
  <c r="L103" i="13" s="1"/>
  <c r="M103" i="13" s="1"/>
  <c r="U92" i="50" s="1"/>
  <c r="AA99" i="27"/>
  <c r="AF99" i="27" s="1"/>
  <c r="AA116" i="46"/>
  <c r="AF116" i="46" s="1"/>
  <c r="AA98" i="37"/>
  <c r="AF98" i="37" s="1"/>
  <c r="X315" i="41"/>
  <c r="AA257" i="41"/>
  <c r="AF257" i="41" s="1"/>
  <c r="U315" i="41"/>
  <c r="R324" i="41" s="1"/>
  <c r="U174" i="29"/>
  <c r="R183" i="29" s="1"/>
  <c r="X52" i="41"/>
  <c r="X52" i="38"/>
  <c r="BJ127" i="22"/>
  <c r="X53" i="31"/>
  <c r="AA157" i="25"/>
  <c r="AF157" i="25" s="1"/>
  <c r="CD101" i="22"/>
  <c r="CD102" i="22" s="1"/>
  <c r="CD103" i="22" s="1"/>
  <c r="CD104" i="22" s="1"/>
  <c r="AA206" i="35"/>
  <c r="AF206" i="35" s="1"/>
  <c r="U119" i="47"/>
  <c r="R128" i="47" s="1"/>
  <c r="X53" i="32"/>
  <c r="X119" i="47"/>
  <c r="AA681" i="41"/>
  <c r="AF681" i="41" s="1"/>
  <c r="U53" i="32"/>
  <c r="R62" i="32" s="1"/>
  <c r="AA469" i="41"/>
  <c r="AF469" i="41" s="1"/>
  <c r="U52" i="37"/>
  <c r="R61" i="37" s="1"/>
  <c r="U156" i="38"/>
  <c r="R165" i="38" s="1"/>
  <c r="BJ105" i="22"/>
  <c r="X53" i="46"/>
  <c r="BJ120" i="22"/>
  <c r="X52" i="37"/>
  <c r="U53" i="46"/>
  <c r="R62" i="46" s="1"/>
  <c r="U53" i="28"/>
  <c r="R62" i="28" s="1"/>
  <c r="BF107" i="22"/>
  <c r="BD176" i="22"/>
  <c r="CE72" i="22"/>
  <c r="CO4" i="22" s="1"/>
  <c r="U527" i="41"/>
  <c r="R536" i="41" s="1"/>
  <c r="BJ176" i="22"/>
  <c r="BB157" i="22"/>
  <c r="BH107" i="22"/>
  <c r="BF124" i="22"/>
  <c r="AQ176" i="22"/>
  <c r="BD75" i="22"/>
  <c r="BB83" i="22"/>
  <c r="X97" i="26"/>
  <c r="X103" i="25"/>
  <c r="BB127" i="22"/>
  <c r="BF131" i="22"/>
  <c r="X527" i="41"/>
  <c r="BD127" i="22"/>
  <c r="BF168" i="22"/>
  <c r="AA98" i="38"/>
  <c r="AF98" i="38" s="1"/>
  <c r="BB160" i="22"/>
  <c r="BH168" i="22"/>
  <c r="AA99" i="32"/>
  <c r="AF99" i="32" s="1"/>
  <c r="X53" i="35"/>
  <c r="BJ129" i="22"/>
  <c r="BH85" i="22"/>
  <c r="BF160" i="22"/>
  <c r="U215" i="46"/>
  <c r="R224" i="46" s="1"/>
  <c r="BH91" i="22"/>
  <c r="BJ124" i="22"/>
  <c r="CE131" i="22"/>
  <c r="CO17" i="22" s="1"/>
  <c r="BF95" i="22"/>
  <c r="X215" i="46"/>
  <c r="BD105" i="22"/>
  <c r="BF83" i="22"/>
  <c r="BB138" i="22"/>
  <c r="BD93" i="22"/>
  <c r="BD144" i="22"/>
  <c r="U53" i="40"/>
  <c r="R62" i="40" s="1"/>
  <c r="BJ138" i="22"/>
  <c r="BD115" i="22"/>
  <c r="BB148" i="22"/>
  <c r="BD83" i="22"/>
  <c r="BD89" i="22"/>
  <c r="BB162" i="22"/>
  <c r="BB144" i="22"/>
  <c r="BH120" i="22"/>
  <c r="BJ152" i="22"/>
  <c r="BJ89" i="22"/>
  <c r="BJ85" i="22"/>
  <c r="BF162" i="22"/>
  <c r="BU129" i="22"/>
  <c r="CD129" i="22" s="1"/>
  <c r="CD130" i="22" s="1"/>
  <c r="AQ129" i="22"/>
  <c r="AL129" i="22" s="1"/>
  <c r="L64" i="13" s="1"/>
  <c r="M64" i="13" s="1"/>
  <c r="K54" i="13"/>
  <c r="U480" i="34" s="1"/>
  <c r="AN135" i="22"/>
  <c r="AB85" i="22"/>
  <c r="F20" i="13" s="1"/>
  <c r="AA96" i="28"/>
  <c r="AF96" i="28" s="1"/>
  <c r="X96" i="28"/>
  <c r="AQ131" i="22"/>
  <c r="AL131" i="22" s="1"/>
  <c r="BU131" i="22"/>
  <c r="BA176" i="22"/>
  <c r="AT176" i="22" s="1"/>
  <c r="BF176" i="22"/>
  <c r="AQ83" i="22"/>
  <c r="AL83" i="22" s="1"/>
  <c r="L18" i="13" s="1"/>
  <c r="M18" i="13" s="1"/>
  <c r="BU83" i="22"/>
  <c r="CD83" i="22" s="1"/>
  <c r="CN7" i="22" s="1"/>
  <c r="BH129" i="22"/>
  <c r="BD72" i="22"/>
  <c r="BJ131" i="22"/>
  <c r="BB135" i="22"/>
  <c r="BU135" i="22"/>
  <c r="AQ135" i="22"/>
  <c r="AL135" i="22" s="1"/>
  <c r="L70" i="13" s="1"/>
  <c r="M70" i="13" s="1"/>
  <c r="BF72" i="22"/>
  <c r="BT85" i="22"/>
  <c r="CC85" i="22" s="1"/>
  <c r="CM8" i="22" s="1"/>
  <c r="BB124" i="22"/>
  <c r="BD107" i="22"/>
  <c r="BB115" i="22"/>
  <c r="BD87" i="22"/>
  <c r="BJ115" i="22"/>
  <c r="BD95" i="22"/>
  <c r="BS85" i="22"/>
  <c r="CB85" i="22" s="1"/>
  <c r="AP85" i="22"/>
  <c r="CD80" i="22"/>
  <c r="CD81" i="22" s="1"/>
  <c r="CN6" i="22" s="1"/>
  <c r="BJ95" i="22"/>
  <c r="BJ168" i="22"/>
  <c r="BT105" i="22"/>
  <c r="AA201" i="23"/>
  <c r="AF201" i="23" s="1"/>
  <c r="BJ157" i="22"/>
  <c r="BH131" i="22"/>
  <c r="BT107" i="22"/>
  <c r="CC107" i="22" s="1"/>
  <c r="CM12" i="22" s="1"/>
  <c r="BH83" i="22"/>
  <c r="BJ144" i="22"/>
  <c r="BT148" i="22"/>
  <c r="BU107" i="22"/>
  <c r="CD107" i="22" s="1"/>
  <c r="CN12" i="22" s="1"/>
  <c r="AQ107" i="22"/>
  <c r="AL107" i="22" s="1"/>
  <c r="L42" i="13" s="1"/>
  <c r="M42" i="13" s="1"/>
  <c r="BH135" i="22"/>
  <c r="AB111" i="22"/>
  <c r="F46" i="13" s="1"/>
  <c r="AA50" i="34"/>
  <c r="AF50" i="34" s="1"/>
  <c r="X50" i="34"/>
  <c r="BF85" i="22"/>
  <c r="U53" i="27"/>
  <c r="R62" i="27" s="1"/>
  <c r="AB82" i="22"/>
  <c r="F17" i="13" s="1"/>
  <c r="AA50" i="27"/>
  <c r="AF50" i="27" s="1"/>
  <c r="X50" i="27"/>
  <c r="CE160" i="22"/>
  <c r="CO22" i="22" s="1"/>
  <c r="BD85" i="22"/>
  <c r="AB161" i="22"/>
  <c r="F96" i="13" s="1"/>
  <c r="X50" i="46"/>
  <c r="AA50" i="46"/>
  <c r="AF50" i="46" s="1"/>
  <c r="BF105" i="22"/>
  <c r="AB145" i="22"/>
  <c r="F80" i="13" s="1"/>
  <c r="X312" i="41"/>
  <c r="AA312" i="41"/>
  <c r="AF312" i="41" s="1"/>
  <c r="AB69" i="22"/>
  <c r="AA50" i="23"/>
  <c r="AF50" i="23" s="1"/>
  <c r="X50" i="23"/>
  <c r="BT72" i="22"/>
  <c r="CC72" i="22" s="1"/>
  <c r="CM4" i="22" s="1"/>
  <c r="BS91" i="22"/>
  <c r="AP91" i="22"/>
  <c r="AH91" i="22" s="1"/>
  <c r="J26" i="13" s="1"/>
  <c r="L52" i="13"/>
  <c r="M52" i="13" s="1"/>
  <c r="U377" i="34" s="1"/>
  <c r="R377" i="34"/>
  <c r="AB132" i="22"/>
  <c r="F67" i="13" s="1"/>
  <c r="X49" i="38"/>
  <c r="AA49" i="38"/>
  <c r="AF49" i="38" s="1"/>
  <c r="BT129" i="22"/>
  <c r="CC129" i="22" s="1"/>
  <c r="CC130" i="22" s="1"/>
  <c r="BF148" i="22"/>
  <c r="AQ72" i="22"/>
  <c r="AL72" i="22" s="1"/>
  <c r="L7" i="13" s="1"/>
  <c r="M7" i="13" s="1"/>
  <c r="BU72" i="22"/>
  <c r="CD72" i="22" s="1"/>
  <c r="CN4" i="22" s="1"/>
  <c r="AP160" i="22"/>
  <c r="BS160" i="22"/>
  <c r="AN95" i="22"/>
  <c r="AB95" i="22" s="1"/>
  <c r="F30" i="13" s="1"/>
  <c r="BT115" i="22"/>
  <c r="CC115" i="22" s="1"/>
  <c r="CC116" i="22" s="1"/>
  <c r="CC117" i="22" s="1"/>
  <c r="CC118" i="22" s="1"/>
  <c r="CC119" i="22" s="1"/>
  <c r="BJ160" i="22"/>
  <c r="AH116" i="22"/>
  <c r="BT152" i="22"/>
  <c r="BJ72" i="22"/>
  <c r="BU152" i="22"/>
  <c r="AQ152" i="22"/>
  <c r="AL152" i="22" s="1"/>
  <c r="L87" i="13" s="1"/>
  <c r="M87" i="13" s="1"/>
  <c r="AQ157" i="22"/>
  <c r="AL157" i="22" s="1"/>
  <c r="AB96" i="22"/>
  <c r="F31" i="13" s="1"/>
  <c r="X50" i="31"/>
  <c r="AA50" i="31"/>
  <c r="AF50" i="31" s="1"/>
  <c r="U152" i="34"/>
  <c r="R161" i="34" s="1"/>
  <c r="K48" i="13"/>
  <c r="U161" i="34" s="1"/>
  <c r="BH152" i="22"/>
  <c r="BH157" i="22"/>
  <c r="BD91" i="22"/>
  <c r="AN144" i="22"/>
  <c r="BF129" i="22"/>
  <c r="AL116" i="22"/>
  <c r="AP176" i="22"/>
  <c r="BH72" i="22"/>
  <c r="AN148" i="22"/>
  <c r="BD160" i="22"/>
  <c r="BT162" i="22"/>
  <c r="CC162" i="22" s="1"/>
  <c r="CC163" i="22" s="1"/>
  <c r="CC164" i="22" s="1"/>
  <c r="CM23" i="22" s="1"/>
  <c r="BB95" i="22"/>
  <c r="BF115" i="22"/>
  <c r="CB80" i="22"/>
  <c r="CB81" i="22" s="1"/>
  <c r="BF152" i="22"/>
  <c r="BA75" i="22"/>
  <c r="AT75" i="22" s="1"/>
  <c r="BT135" i="22"/>
  <c r="BS129" i="22"/>
  <c r="CB129" i="22" s="1"/>
  <c r="CB130" i="22" s="1"/>
  <c r="AP129" i="22"/>
  <c r="L47" i="13"/>
  <c r="M47" i="13" s="1"/>
  <c r="U111" i="34" s="1"/>
  <c r="U102" i="34"/>
  <c r="R111" i="34" s="1"/>
  <c r="BT144" i="22"/>
  <c r="CC144" i="22" s="1"/>
  <c r="CC145" i="22" s="1"/>
  <c r="CC146" i="22" s="1"/>
  <c r="CC147" i="22" s="1"/>
  <c r="BU95" i="22"/>
  <c r="AQ95" i="22"/>
  <c r="AL95" i="22" s="1"/>
  <c r="K53" i="13"/>
  <c r="U427" i="34" s="1"/>
  <c r="BT75" i="22"/>
  <c r="CC75" i="22" s="1"/>
  <c r="CC76" i="22" s="1"/>
  <c r="CM5" i="22" s="1"/>
  <c r="AQ75" i="22"/>
  <c r="AL75" i="22" s="1"/>
  <c r="L10" i="13" s="1"/>
  <c r="M10" i="13" s="1"/>
  <c r="BU75" i="22"/>
  <c r="CD75" i="22" s="1"/>
  <c r="CD76" i="22" s="1"/>
  <c r="CN5" i="22" s="1"/>
  <c r="AB121" i="22"/>
  <c r="F56" i="13" s="1"/>
  <c r="G56" i="13" s="1"/>
  <c r="AA50" i="35"/>
  <c r="AF50" i="35" s="1"/>
  <c r="X50" i="35"/>
  <c r="BT138" i="22"/>
  <c r="CC138" i="22" s="1"/>
  <c r="CC139" i="22" s="1"/>
  <c r="CM19" i="22" s="1"/>
  <c r="AP168" i="22"/>
  <c r="AH168" i="22" s="1"/>
  <c r="J103" i="13" s="1"/>
  <c r="K52" i="13"/>
  <c r="U374" i="34" s="1"/>
  <c r="R374" i="34"/>
  <c r="BT120" i="22"/>
  <c r="AP124" i="22"/>
  <c r="BS124" i="22"/>
  <c r="CB124" i="22" s="1"/>
  <c r="BS115" i="22"/>
  <c r="CB115" i="22" s="1"/>
  <c r="CB116" i="22" s="1"/>
  <c r="CB117" i="22" s="1"/>
  <c r="CB118" i="22" s="1"/>
  <c r="CB119" i="22" s="1"/>
  <c r="AP115" i="22"/>
  <c r="AA258" i="34"/>
  <c r="AF258" i="34" s="1"/>
  <c r="CB101" i="22"/>
  <c r="CB102" i="22" s="1"/>
  <c r="CB103" i="22" s="1"/>
  <c r="CB104" i="22" s="1"/>
  <c r="BS75" i="22"/>
  <c r="CB75" i="22" s="1"/>
  <c r="CB76" i="22" s="1"/>
  <c r="AP75" i="22"/>
  <c r="AN128" i="22"/>
  <c r="BH176" i="22"/>
  <c r="BF144" i="22"/>
  <c r="BU85" i="22"/>
  <c r="CD85" i="22" s="1"/>
  <c r="CN8" i="22" s="1"/>
  <c r="AQ85" i="22"/>
  <c r="AL85" i="22" s="1"/>
  <c r="L20" i="13" s="1"/>
  <c r="M20" i="13" s="1"/>
  <c r="BH95" i="22"/>
  <c r="AN106" i="22"/>
  <c r="BS89" i="22"/>
  <c r="AP89" i="22"/>
  <c r="BF75" i="22"/>
  <c r="BH75" i="22"/>
  <c r="BF87" i="22"/>
  <c r="BF138" i="22"/>
  <c r="L53" i="13"/>
  <c r="M53" i="13" s="1"/>
  <c r="U430" i="34" s="1"/>
  <c r="L54" i="13"/>
  <c r="M54" i="13" s="1"/>
  <c r="U483" i="34" s="1"/>
  <c r="BD168" i="22"/>
  <c r="BU115" i="22"/>
  <c r="CD115" i="22" s="1"/>
  <c r="CD116" i="22" s="1"/>
  <c r="CD117" i="22" s="1"/>
  <c r="CD118" i="22" s="1"/>
  <c r="CD119" i="22" s="1"/>
  <c r="AQ115" i="22"/>
  <c r="AA261" i="34"/>
  <c r="AF261" i="34" s="1"/>
  <c r="BJ87" i="22"/>
  <c r="AB149" i="22"/>
  <c r="F84" i="13" s="1"/>
  <c r="X524" i="41"/>
  <c r="AA524" i="41"/>
  <c r="AF524" i="41" s="1"/>
  <c r="BS72" i="22"/>
  <c r="CB72" i="22" s="1"/>
  <c r="AP72" i="22"/>
  <c r="AQ89" i="22"/>
  <c r="AL89" i="22" s="1"/>
  <c r="L24" i="13" s="1"/>
  <c r="M24" i="13" s="1"/>
  <c r="BU89" i="22"/>
  <c r="BH89" i="22"/>
  <c r="BF135" i="22"/>
  <c r="BD129" i="22"/>
  <c r="AB116" i="22"/>
  <c r="AP152" i="22"/>
  <c r="BS152" i="22"/>
  <c r="AA97" i="26"/>
  <c r="AF97" i="26" s="1"/>
  <c r="AB154" i="22"/>
  <c r="F89" i="13" s="1"/>
  <c r="G89" i="13" s="1"/>
  <c r="X109" i="43"/>
  <c r="AA109" i="43"/>
  <c r="AF109" i="43" s="1"/>
  <c r="BF120" i="22"/>
  <c r="BD152" i="22"/>
  <c r="BD124" i="22"/>
  <c r="BJ83" i="22"/>
  <c r="AN152" i="22"/>
  <c r="BA129" i="22"/>
  <c r="AT129" i="22" s="1"/>
  <c r="BS138" i="22"/>
  <c r="CB138" i="22" s="1"/>
  <c r="CB139" i="22" s="1"/>
  <c r="AP138" i="22"/>
  <c r="AN105" i="22"/>
  <c r="AB164" i="22"/>
  <c r="F99" i="13" s="1"/>
  <c r="G99" i="13" s="1"/>
  <c r="AA212" i="46"/>
  <c r="AF212" i="46" s="1"/>
  <c r="X212" i="46"/>
  <c r="U316" i="31"/>
  <c r="R325" i="31" s="1"/>
  <c r="BA107" i="22"/>
  <c r="AT107" i="22" s="1"/>
  <c r="W52" i="52" s="1"/>
  <c r="AQ138" i="22"/>
  <c r="AL138" i="22" s="1"/>
  <c r="L73" i="13" s="1"/>
  <c r="M73" i="13" s="1"/>
  <c r="BU138" i="22"/>
  <c r="CD138" i="22" s="1"/>
  <c r="CD139" i="22" s="1"/>
  <c r="CN19" i="22" s="1"/>
  <c r="BU87" i="22"/>
  <c r="CD87" i="22" s="1"/>
  <c r="CD88" i="22" s="1"/>
  <c r="AQ87" i="22"/>
  <c r="AL87" i="22" s="1"/>
  <c r="L22" i="13" s="1"/>
  <c r="M22" i="13" s="1"/>
  <c r="BS162" i="22"/>
  <c r="CB162" i="22" s="1"/>
  <c r="CB163" i="22" s="1"/>
  <c r="CB164" i="22" s="1"/>
  <c r="AP162" i="22"/>
  <c r="BH115" i="22"/>
  <c r="BU160" i="22"/>
  <c r="AQ160" i="22"/>
  <c r="AL160" i="22" s="1"/>
  <c r="BU93" i="22"/>
  <c r="CD93" i="22" s="1"/>
  <c r="CD94" i="22" s="1"/>
  <c r="AQ93" i="22"/>
  <c r="AL93" i="22" s="1"/>
  <c r="BU148" i="22"/>
  <c r="AQ148" i="22"/>
  <c r="AL148" i="22" s="1"/>
  <c r="L83" i="13" s="1"/>
  <c r="M83" i="13" s="1"/>
  <c r="BU105" i="22"/>
  <c r="AQ105" i="22"/>
  <c r="AL105" i="22" s="1"/>
  <c r="L40" i="13" s="1"/>
  <c r="M40" i="13" s="1"/>
  <c r="BB152" i="22"/>
  <c r="BS133" i="22"/>
  <c r="CB133" i="22" s="1"/>
  <c r="CB134" i="22" s="1"/>
  <c r="AP133" i="22"/>
  <c r="BD138" i="22"/>
  <c r="BJ162" i="22"/>
  <c r="BB105" i="22"/>
  <c r="AB134" i="22"/>
  <c r="F69" i="13" s="1"/>
  <c r="AA153" i="38"/>
  <c r="AF153" i="38" s="1"/>
  <c r="X153" i="38"/>
  <c r="BU127" i="22"/>
  <c r="CD127" i="22" s="1"/>
  <c r="CN16" i="22" s="1"/>
  <c r="AQ127" i="22"/>
  <c r="AL127" i="22" s="1"/>
  <c r="BH138" i="22"/>
  <c r="CE135" i="22"/>
  <c r="CO18" i="22" s="1"/>
  <c r="BH87" i="22"/>
  <c r="BJ75" i="22"/>
  <c r="BD162" i="22"/>
  <c r="BT133" i="22"/>
  <c r="CC133" i="22" s="1"/>
  <c r="CC134" i="22" s="1"/>
  <c r="AN89" i="22"/>
  <c r="BP160" i="22"/>
  <c r="AN160" i="22"/>
  <c r="AB160" i="22" s="1"/>
  <c r="F95" i="13" s="1"/>
  <c r="BF133" i="22"/>
  <c r="BD131" i="22"/>
  <c r="BH160" i="22"/>
  <c r="BS105" i="22"/>
  <c r="AP105" i="22"/>
  <c r="BF93" i="22"/>
  <c r="BH93" i="22"/>
  <c r="BH148" i="22"/>
  <c r="BH105" i="22"/>
  <c r="AQ120" i="22"/>
  <c r="BU120" i="22"/>
  <c r="BD133" i="22"/>
  <c r="BT83" i="22"/>
  <c r="CC83" i="22" s="1"/>
  <c r="CM7" i="22" s="1"/>
  <c r="BJ93" i="22"/>
  <c r="AN138" i="22"/>
  <c r="BS93" i="22"/>
  <c r="CB93" i="22" s="1"/>
  <c r="CB94" i="22" s="1"/>
  <c r="AP93" i="22"/>
  <c r="BF127" i="22"/>
  <c r="BJ107" i="22"/>
  <c r="BH127" i="22"/>
  <c r="AP120" i="22"/>
  <c r="BS120" i="22"/>
  <c r="BJ135" i="22"/>
  <c r="AL111" i="22"/>
  <c r="X56" i="34"/>
  <c r="BU144" i="22"/>
  <c r="CD144" i="22" s="1"/>
  <c r="CD145" i="22" s="1"/>
  <c r="CD146" i="22" s="1"/>
  <c r="CD147" i="22" s="1"/>
  <c r="AQ144" i="22"/>
  <c r="AL144" i="22" s="1"/>
  <c r="L79" i="13" s="1"/>
  <c r="M79" i="13" s="1"/>
  <c r="AQ133" i="22"/>
  <c r="AL133" i="22" s="1"/>
  <c r="L68" i="13" s="1"/>
  <c r="M68" i="13" s="1"/>
  <c r="BB89" i="22"/>
  <c r="AN133" i="22"/>
  <c r="BT89" i="22"/>
  <c r="AB101" i="22"/>
  <c r="F36" i="13" s="1"/>
  <c r="G36" i="13" s="1"/>
  <c r="X313" i="31"/>
  <c r="AA313" i="31"/>
  <c r="AF313" i="31" s="1"/>
  <c r="BU162" i="22"/>
  <c r="CD162" i="22" s="1"/>
  <c r="CD163" i="22" s="1"/>
  <c r="CD164" i="22" s="1"/>
  <c r="CN23" i="22" s="1"/>
  <c r="AQ162" i="22"/>
  <c r="AL162" i="22" s="1"/>
  <c r="L97" i="13" s="1"/>
  <c r="M97" i="13" s="1"/>
  <c r="BU124" i="22"/>
  <c r="CD124" i="22" s="1"/>
  <c r="CN15" i="22" s="1"/>
  <c r="AQ124" i="22"/>
  <c r="AL124" i="22" s="1"/>
  <c r="L59" i="13" s="1"/>
  <c r="M59" i="13" s="1"/>
  <c r="CE148" i="22"/>
  <c r="CE149" i="22" s="1"/>
  <c r="CE150" i="22" s="1"/>
  <c r="CE151" i="22" s="1"/>
  <c r="CE152" i="22" s="1"/>
  <c r="CO20" i="22" s="1"/>
  <c r="BD120" i="22"/>
  <c r="BS127" i="22"/>
  <c r="CB127" i="22" s="1"/>
  <c r="AP127" i="22"/>
  <c r="AH127" i="22" s="1"/>
  <c r="J62" i="13" s="1"/>
  <c r="BH144" i="22"/>
  <c r="AB88" i="22"/>
  <c r="F23" i="13" s="1"/>
  <c r="AA171" i="29"/>
  <c r="AF171" i="29" s="1"/>
  <c r="X171" i="29"/>
  <c r="AN77" i="22"/>
  <c r="L49" i="13"/>
  <c r="M49" i="13" s="1"/>
  <c r="U217" i="34" s="1"/>
  <c r="U208" i="34"/>
  <c r="R217" i="34" s="1"/>
  <c r="AP131" i="22"/>
  <c r="AH131" i="22" s="1"/>
  <c r="J66" i="13" s="1"/>
  <c r="BS131" i="22"/>
  <c r="AA204" i="38"/>
  <c r="AF204" i="38" s="1"/>
  <c r="X316" i="31"/>
  <c r="BS135" i="22"/>
  <c r="AP135" i="22"/>
  <c r="AN120" i="22"/>
  <c r="AN74" i="22"/>
  <c r="BU91" i="22"/>
  <c r="AQ91" i="22"/>
  <c r="AL91" i="22" s="1"/>
  <c r="L26" i="13" s="1"/>
  <c r="M26" i="13" s="1"/>
  <c r="BD135" i="22"/>
  <c r="L48" i="13"/>
  <c r="M48" i="13" s="1"/>
  <c r="U164" i="34" s="1"/>
  <c r="U155" i="34"/>
  <c r="R164" i="34" s="1"/>
  <c r="BB120" i="22"/>
  <c r="AN127" i="22"/>
  <c r="AB127" i="22" s="1"/>
  <c r="F62" i="13" s="1"/>
  <c r="BB133" i="22"/>
  <c r="BJ133" i="22"/>
  <c r="AH111" i="22"/>
  <c r="J46" i="13" s="1"/>
  <c r="X53" i="34"/>
  <c r="CE105" i="22"/>
  <c r="CO11" i="22" s="1"/>
  <c r="BF89" i="22"/>
  <c r="BH162" i="22"/>
  <c r="AN83" i="22"/>
  <c r="BT124" i="22"/>
  <c r="CC124" i="22" s="1"/>
  <c r="CM15" i="22" s="1"/>
  <c r="AP83" i="22"/>
  <c r="BS83" i="22"/>
  <c r="CB83" i="22" s="1"/>
  <c r="BH124" i="22"/>
  <c r="BJ148" i="22"/>
  <c r="BS144" i="22"/>
  <c r="CB144" i="22" s="1"/>
  <c r="CB145" i="22" s="1"/>
  <c r="CB146" i="22" s="1"/>
  <c r="CB147" i="22" s="1"/>
  <c r="AP144" i="22"/>
  <c r="CC101" i="22"/>
  <c r="CC102" i="22" s="1"/>
  <c r="CC103" i="22" s="1"/>
  <c r="CC104" i="22" s="1"/>
  <c r="AP148" i="22"/>
  <c r="BS148" i="22"/>
  <c r="AN124" i="22"/>
  <c r="BS107" i="22"/>
  <c r="CB107" i="22" s="1"/>
  <c r="AP107" i="22"/>
  <c r="AN115" i="22"/>
  <c r="BS87" i="22"/>
  <c r="CB87" i="22" s="1"/>
  <c r="CB88" i="22" s="1"/>
  <c r="AP87" i="22"/>
  <c r="AH87" i="22" s="1"/>
  <c r="J22" i="13" s="1"/>
  <c r="AB166" i="22"/>
  <c r="F101" i="13" s="1"/>
  <c r="G101" i="13" s="1"/>
  <c r="X116" i="47"/>
  <c r="AA116" i="47"/>
  <c r="AF116" i="47" s="1"/>
  <c r="BS95" i="22"/>
  <c r="AP95" i="22"/>
  <c r="K102" i="13"/>
  <c r="U43" i="50" s="1"/>
  <c r="R43" i="50"/>
  <c r="CE95" i="22"/>
  <c r="CO10" i="22" s="1"/>
  <c r="AN162" i="22"/>
  <c r="BP162" i="22"/>
  <c r="BY162" i="22" s="1"/>
  <c r="BD148" i="22"/>
  <c r="U255" i="31"/>
  <c r="R264" i="31" s="1"/>
  <c r="U201" i="26"/>
  <c r="R210" i="26" s="1"/>
  <c r="U100" i="26"/>
  <c r="R109" i="26" s="1"/>
  <c r="R108" i="63" a="1"/>
  <c r="R108" i="63" s="1"/>
  <c r="AB108" i="63" s="1"/>
  <c r="R110" i="63" a="1"/>
  <c r="R110" i="63" s="1"/>
  <c r="AB110" i="63" s="1"/>
  <c r="AF110" i="63" s="1"/>
  <c r="AJ110" i="63" s="1"/>
  <c r="R109" i="63" a="1"/>
  <c r="R109" i="63" s="1"/>
  <c r="AB109" i="63" s="1"/>
  <c r="AF109" i="63" s="1"/>
  <c r="AJ109" i="63" s="1"/>
  <c r="A162" i="44"/>
  <c r="A165" i="44" s="1"/>
  <c r="R159" i="44"/>
  <c r="F35" i="8"/>
  <c r="L35" i="8" s="1"/>
  <c r="Q125" i="7" s="1"/>
  <c r="O124" i="10" s="1"/>
  <c r="Z35" i="8"/>
  <c r="D35" i="8"/>
  <c r="H151" i="13" s="1"/>
  <c r="Y35" i="8"/>
  <c r="X35" i="8"/>
  <c r="B35" i="8"/>
  <c r="J35" i="8" s="1"/>
  <c r="O125" i="7" s="1"/>
  <c r="H35" i="8"/>
  <c r="M35" i="8" s="1"/>
  <c r="R125" i="7" s="1"/>
  <c r="P124" i="10" s="1"/>
  <c r="AA35" i="8"/>
  <c r="AJ207" i="8"/>
  <c r="AJ208" i="8" s="1"/>
  <c r="AJ209" i="8" s="1"/>
  <c r="AJ210" i="8" s="1"/>
  <c r="AJ211" i="8" s="1"/>
  <c r="X103" i="26"/>
  <c r="AA103" i="26"/>
  <c r="AF103" i="26" s="1"/>
  <c r="U103" i="26"/>
  <c r="R112" i="26" s="1"/>
  <c r="A180" i="47"/>
  <c r="A183" i="47" s="1"/>
  <c r="AA55" i="26"/>
  <c r="AF55" i="26" s="1"/>
  <c r="X55" i="26"/>
  <c r="U55" i="26"/>
  <c r="R64" i="26" s="1"/>
  <c r="AA106" i="25"/>
  <c r="AF106" i="25" s="1"/>
  <c r="X106" i="25"/>
  <c r="U106" i="25"/>
  <c r="R115" i="25" s="1"/>
  <c r="X177" i="46"/>
  <c r="AA177" i="46"/>
  <c r="AF177" i="46" s="1"/>
  <c r="U177" i="46"/>
  <c r="R186" i="46" s="1"/>
  <c r="AA55" i="38"/>
  <c r="AF55" i="38" s="1"/>
  <c r="X55" i="38"/>
  <c r="U55" i="38"/>
  <c r="R64" i="38" s="1"/>
  <c r="AA159" i="38"/>
  <c r="AF159" i="38" s="1"/>
  <c r="X159" i="38"/>
  <c r="U159" i="38"/>
  <c r="R168" i="38" s="1"/>
  <c r="AA321" i="29"/>
  <c r="AF321" i="29" s="1"/>
  <c r="A178" i="43"/>
  <c r="A181" i="43" s="1"/>
  <c r="X421" i="31"/>
  <c r="AA421" i="31"/>
  <c r="AF421" i="31" s="1"/>
  <c r="U421" i="31"/>
  <c r="R430" i="31" s="1"/>
  <c r="A323" i="35"/>
  <c r="A326" i="35" s="1"/>
  <c r="AA154" i="41"/>
  <c r="AF154" i="41" s="1"/>
  <c r="X154" i="41"/>
  <c r="U154" i="41"/>
  <c r="R163" i="41" s="1"/>
  <c r="X319" i="31"/>
  <c r="AA319" i="31"/>
  <c r="AF319" i="31" s="1"/>
  <c r="U319" i="31"/>
  <c r="R328" i="31" s="1"/>
  <c r="AA527" i="31"/>
  <c r="AF527" i="31" s="1"/>
  <c r="AA160" i="25"/>
  <c r="AF160" i="25" s="1"/>
  <c r="X205" i="33"/>
  <c r="U205" i="33"/>
  <c r="R214" i="33" s="1"/>
  <c r="AA205" i="33"/>
  <c r="AF205" i="33" s="1"/>
  <c r="AA474" i="31"/>
  <c r="AF474" i="31" s="1"/>
  <c r="X474" i="31"/>
  <c r="U474" i="31"/>
  <c r="R483" i="31" s="1"/>
  <c r="X107" i="40"/>
  <c r="AA107" i="40"/>
  <c r="AF107" i="40" s="1"/>
  <c r="U107" i="40"/>
  <c r="R116" i="40" s="1"/>
  <c r="X56" i="31"/>
  <c r="AA56" i="31"/>
  <c r="AF56" i="31" s="1"/>
  <c r="U56" i="31"/>
  <c r="R65" i="31" s="1"/>
  <c r="X55" i="25"/>
  <c r="U55" i="25"/>
  <c r="R64" i="25" s="1"/>
  <c r="AA55" i="25"/>
  <c r="AF55" i="25" s="1"/>
  <c r="AA55" i="37"/>
  <c r="AF55" i="37" s="1"/>
  <c r="X55" i="37"/>
  <c r="U55" i="37"/>
  <c r="R64" i="37" s="1"/>
  <c r="X419" i="41"/>
  <c r="AA419" i="41"/>
  <c r="AF419" i="41" s="1"/>
  <c r="U419" i="41"/>
  <c r="R428" i="41" s="1"/>
  <c r="X118" i="35"/>
  <c r="AA118" i="35"/>
  <c r="AF118" i="35" s="1"/>
  <c r="U118" i="35"/>
  <c r="R127" i="35" s="1"/>
  <c r="AA101" i="38"/>
  <c r="AF101" i="38" s="1"/>
  <c r="X55" i="41"/>
  <c r="AA55" i="41"/>
  <c r="AF55" i="41" s="1"/>
  <c r="U55" i="41"/>
  <c r="R64" i="41" s="1"/>
  <c r="AA56" i="35"/>
  <c r="AF56" i="35" s="1"/>
  <c r="X56" i="35"/>
  <c r="U56" i="35"/>
  <c r="R65" i="35" s="1"/>
  <c r="X118" i="23"/>
  <c r="AA118" i="23"/>
  <c r="AF118" i="23" s="1"/>
  <c r="U118" i="23"/>
  <c r="R127" i="23" s="1"/>
  <c r="AA152" i="33"/>
  <c r="AF152" i="33" s="1"/>
  <c r="X152" i="33"/>
  <c r="U152" i="33"/>
  <c r="R161" i="33" s="1"/>
  <c r="AA158" i="40"/>
  <c r="AF158" i="40" s="1"/>
  <c r="AA260" i="41"/>
  <c r="AF260" i="41" s="1"/>
  <c r="AA216" i="44"/>
  <c r="AF216" i="44" s="1"/>
  <c r="X216" i="44"/>
  <c r="U216" i="44"/>
  <c r="R225" i="44" s="1"/>
  <c r="X56" i="32"/>
  <c r="AA56" i="32"/>
  <c r="AF56" i="32" s="1"/>
  <c r="U56" i="32"/>
  <c r="R65" i="32" s="1"/>
  <c r="AA215" i="25"/>
  <c r="AF215" i="25" s="1"/>
  <c r="X215" i="25"/>
  <c r="U215" i="25"/>
  <c r="R224" i="25" s="1"/>
  <c r="X207" i="41"/>
  <c r="AA207" i="41"/>
  <c r="AF207" i="41" s="1"/>
  <c r="U207" i="41"/>
  <c r="R216" i="41" s="1"/>
  <c r="X155" i="31"/>
  <c r="AA155" i="31"/>
  <c r="AF155" i="31" s="1"/>
  <c r="U155" i="31"/>
  <c r="R164" i="31" s="1"/>
  <c r="X56" i="29"/>
  <c r="AA56" i="29"/>
  <c r="AF56" i="29" s="1"/>
  <c r="U56" i="29"/>
  <c r="R65" i="29" s="1"/>
  <c r="AA368" i="31"/>
  <c r="AF368" i="31" s="1"/>
  <c r="X368" i="31"/>
  <c r="U368" i="31"/>
  <c r="R377" i="31" s="1"/>
  <c r="AA177" i="29"/>
  <c r="AF177" i="29" s="1"/>
  <c r="X177" i="29"/>
  <c r="U177" i="29"/>
  <c r="R186" i="29" s="1"/>
  <c r="AA122" i="47"/>
  <c r="AF122" i="47" s="1"/>
  <c r="X122" i="47"/>
  <c r="U122" i="47"/>
  <c r="R131" i="47" s="1"/>
  <c r="X56" i="40"/>
  <c r="AA56" i="40"/>
  <c r="AF56" i="40" s="1"/>
  <c r="U56" i="40"/>
  <c r="R65" i="40" s="1"/>
  <c r="AA209" i="35"/>
  <c r="AF209" i="35" s="1"/>
  <c r="AA102" i="28"/>
  <c r="AF102" i="28" s="1"/>
  <c r="X55" i="43"/>
  <c r="AA55" i="43"/>
  <c r="AF55" i="43" s="1"/>
  <c r="U55" i="43"/>
  <c r="R64" i="43" s="1"/>
  <c r="X56" i="27"/>
  <c r="AA56" i="27"/>
  <c r="AF56" i="27" s="1"/>
  <c r="U56" i="27"/>
  <c r="R65" i="27" s="1"/>
  <c r="AA230" i="29"/>
  <c r="AF230" i="29" s="1"/>
  <c r="X318" i="41"/>
  <c r="AA318" i="41"/>
  <c r="AF318" i="41" s="1"/>
  <c r="U318" i="41"/>
  <c r="R327" i="41" s="1"/>
  <c r="X578" i="41"/>
  <c r="AA578" i="41"/>
  <c r="AF578" i="41" s="1"/>
  <c r="U578" i="41"/>
  <c r="R587" i="41" s="1"/>
  <c r="AA366" i="41"/>
  <c r="AF366" i="41" s="1"/>
  <c r="X366" i="41"/>
  <c r="U366" i="41"/>
  <c r="R375" i="41" s="1"/>
  <c r="AA101" i="37"/>
  <c r="AF101" i="37" s="1"/>
  <c r="AA154" i="23"/>
  <c r="AF154" i="23" s="1"/>
  <c r="X154" i="23"/>
  <c r="U154" i="23"/>
  <c r="R163" i="23" s="1"/>
  <c r="X56" i="23"/>
  <c r="AA56" i="23"/>
  <c r="AF56" i="23" s="1"/>
  <c r="U56" i="23"/>
  <c r="R65" i="23" s="1"/>
  <c r="AA55" i="47"/>
  <c r="AF55" i="47" s="1"/>
  <c r="X55" i="47"/>
  <c r="U55" i="47"/>
  <c r="R64" i="47" s="1"/>
  <c r="A265" i="25"/>
  <c r="A268" i="25" s="1"/>
  <c r="AF262" i="25"/>
  <c r="R271" i="25"/>
  <c r="AA102" i="32"/>
  <c r="AF102" i="32" s="1"/>
  <c r="AA207" i="38"/>
  <c r="AF207" i="38" s="1"/>
  <c r="X56" i="46"/>
  <c r="AA56" i="46"/>
  <c r="AF56" i="46" s="1"/>
  <c r="U56" i="46"/>
  <c r="R65" i="46" s="1"/>
  <c r="X156" i="35"/>
  <c r="AA156" i="35"/>
  <c r="AF156" i="35" s="1"/>
  <c r="U156" i="35"/>
  <c r="R165" i="35" s="1"/>
  <c r="X208" i="31"/>
  <c r="AA208" i="31"/>
  <c r="AF208" i="31" s="1"/>
  <c r="U208" i="31"/>
  <c r="R217" i="31" s="1"/>
  <c r="X261" i="31"/>
  <c r="AA261" i="31"/>
  <c r="AF261" i="31" s="1"/>
  <c r="U261" i="31"/>
  <c r="R270" i="31" s="1"/>
  <c r="AA119" i="29"/>
  <c r="AF119" i="29" s="1"/>
  <c r="X55" i="44"/>
  <c r="AA55" i="44"/>
  <c r="AF55" i="44" s="1"/>
  <c r="U55" i="44"/>
  <c r="R64" i="44" s="1"/>
  <c r="X631" i="41"/>
  <c r="AA631" i="41"/>
  <c r="AF631" i="41" s="1"/>
  <c r="U631" i="41"/>
  <c r="R640" i="41" s="1"/>
  <c r="AA215" i="40"/>
  <c r="AF215" i="40" s="1"/>
  <c r="U215" i="40"/>
  <c r="R224" i="40" s="1"/>
  <c r="X215" i="40"/>
  <c r="AA102" i="27"/>
  <c r="AF102" i="27" s="1"/>
  <c r="AA119" i="46"/>
  <c r="AF119" i="46" s="1"/>
  <c r="AA56" i="28"/>
  <c r="AF56" i="28" s="1"/>
  <c r="X56" i="28"/>
  <c r="U56" i="28"/>
  <c r="R65" i="28" s="1"/>
  <c r="AA218" i="46"/>
  <c r="AF218" i="46" s="1"/>
  <c r="X218" i="46"/>
  <c r="U218" i="46"/>
  <c r="R227" i="46" s="1"/>
  <c r="A270" i="35"/>
  <c r="A273" i="35" s="1"/>
  <c r="A377" i="35"/>
  <c r="A380" i="35" s="1"/>
  <c r="X56" i="33"/>
  <c r="AA56" i="33"/>
  <c r="AF56" i="33" s="1"/>
  <c r="U56" i="33"/>
  <c r="R65" i="33" s="1"/>
  <c r="AA684" i="41"/>
  <c r="AF684" i="41" s="1"/>
  <c r="AA204" i="23"/>
  <c r="AF204" i="23" s="1"/>
  <c r="AA101" i="41"/>
  <c r="AF101" i="41" s="1"/>
  <c r="X101" i="41"/>
  <c r="U101" i="41"/>
  <c r="R110" i="41" s="1"/>
  <c r="A163" i="32"/>
  <c r="A166" i="32" s="1"/>
  <c r="A268" i="46"/>
  <c r="A271" i="46" s="1"/>
  <c r="AA530" i="41"/>
  <c r="AF530" i="41" s="1"/>
  <c r="X530" i="41"/>
  <c r="U530" i="41"/>
  <c r="R539" i="41" s="1"/>
  <c r="AA472" i="41"/>
  <c r="AF472" i="41" s="1"/>
  <c r="X207" i="26"/>
  <c r="U207" i="26"/>
  <c r="R216" i="26" s="1"/>
  <c r="AA207" i="26"/>
  <c r="AF207" i="26" s="1"/>
  <c r="X270" i="29"/>
  <c r="AA270" i="29"/>
  <c r="AF270" i="29" s="1"/>
  <c r="U270" i="29"/>
  <c r="R279" i="29" s="1"/>
  <c r="X102" i="31"/>
  <c r="AA102" i="31"/>
  <c r="AF102" i="31" s="1"/>
  <c r="U102" i="31"/>
  <c r="R111" i="31" s="1"/>
  <c r="X115" i="43"/>
  <c r="AA115" i="43"/>
  <c r="AF115" i="43" s="1"/>
  <c r="U115" i="43"/>
  <c r="R124" i="43" s="1"/>
  <c r="R368" i="31"/>
  <c r="A371" i="31"/>
  <c r="A374" i="31" s="1"/>
  <c r="A377" i="31" s="1"/>
  <c r="U377" i="31" s="1"/>
  <c r="R56" i="33"/>
  <c r="A59" i="33"/>
  <c r="A62" i="33" s="1"/>
  <c r="A123" i="36"/>
  <c r="A126" i="36" s="1"/>
  <c r="R120" i="36"/>
  <c r="R156" i="36"/>
  <c r="A159" i="36"/>
  <c r="A162" i="36" s="1"/>
  <c r="A157" i="41"/>
  <c r="A160" i="41" s="1"/>
  <c r="A163" i="41" s="1"/>
  <c r="U163" i="41" s="1"/>
  <c r="R154" i="41"/>
  <c r="A422" i="41"/>
  <c r="A425" i="41" s="1"/>
  <c r="R419" i="41"/>
  <c r="R177" i="29"/>
  <c r="A180" i="29"/>
  <c r="A183" i="29" s="1"/>
  <c r="R208" i="31"/>
  <c r="A211" i="31"/>
  <c r="A214" i="31" s="1"/>
  <c r="R293" i="44"/>
  <c r="A296" i="44"/>
  <c r="A299" i="44" s="1"/>
  <c r="R101" i="37"/>
  <c r="A104" i="37"/>
  <c r="A107" i="37" s="1"/>
  <c r="R56" i="46"/>
  <c r="A59" i="46"/>
  <c r="A62" i="46" s="1"/>
  <c r="A210" i="37"/>
  <c r="A213" i="37" s="1"/>
  <c r="R207" i="37"/>
  <c r="R122" i="47"/>
  <c r="A125" i="47"/>
  <c r="R261" i="31"/>
  <c r="A264" i="31"/>
  <c r="A267" i="31" s="1"/>
  <c r="A270" i="31" s="1"/>
  <c r="U270" i="31" s="1"/>
  <c r="A58" i="26"/>
  <c r="A61" i="26" s="1"/>
  <c r="R55" i="26"/>
  <c r="R319" i="31"/>
  <c r="A322" i="31"/>
  <c r="A325" i="31" s="1"/>
  <c r="A328" i="31" s="1"/>
  <c r="U328" i="31" s="1"/>
  <c r="A161" i="40"/>
  <c r="A164" i="40" s="1"/>
  <c r="R158" i="40"/>
  <c r="A121" i="35"/>
  <c r="A124" i="35" s="1"/>
  <c r="R118" i="35"/>
  <c r="A687" i="41"/>
  <c r="A690" i="41" s="1"/>
  <c r="A693" i="41" s="1"/>
  <c r="R684" i="41"/>
  <c r="A475" i="41"/>
  <c r="A478" i="41" s="1"/>
  <c r="R472" i="41"/>
  <c r="A530" i="31"/>
  <c r="A533" i="31" s="1"/>
  <c r="R527" i="31"/>
  <c r="R216" i="44"/>
  <c r="A219" i="44"/>
  <c r="A222" i="44" s="1"/>
  <c r="R101" i="38"/>
  <c r="A104" i="38"/>
  <c r="A107" i="38" s="1"/>
  <c r="A105" i="32"/>
  <c r="A108" i="32" s="1"/>
  <c r="R102" i="32"/>
  <c r="R119" i="29"/>
  <c r="A122" i="29"/>
  <c r="A125" i="29" s="1"/>
  <c r="R102" i="30"/>
  <c r="A105" i="30"/>
  <c r="A108" i="30" s="1"/>
  <c r="R160" i="25"/>
  <c r="A163" i="25"/>
  <c r="A166" i="25" s="1"/>
  <c r="A159" i="35"/>
  <c r="A162" i="35" s="1"/>
  <c r="R156" i="35"/>
  <c r="A58" i="47"/>
  <c r="R55" i="47"/>
  <c r="R56" i="40"/>
  <c r="A59" i="40"/>
  <c r="A62" i="40" s="1"/>
  <c r="A207" i="23"/>
  <c r="A210" i="23" s="1"/>
  <c r="R204" i="23"/>
  <c r="R106" i="25"/>
  <c r="A109" i="25"/>
  <c r="A112" i="25" s="1"/>
  <c r="A60" i="30"/>
  <c r="A63" i="30" s="1"/>
  <c r="R57" i="30"/>
  <c r="R260" i="41"/>
  <c r="A263" i="41"/>
  <c r="A266" i="41" s="1"/>
  <c r="A269" i="41" s="1"/>
  <c r="R55" i="41"/>
  <c r="A58" i="41"/>
  <c r="A61" i="41" s="1"/>
  <c r="A212" i="35"/>
  <c r="A215" i="35" s="1"/>
  <c r="R209" i="35"/>
  <c r="A58" i="44"/>
  <c r="A61" i="44" s="1"/>
  <c r="R55" i="44"/>
  <c r="A180" i="46"/>
  <c r="A183" i="46" s="1"/>
  <c r="R177" i="46"/>
  <c r="R160" i="30"/>
  <c r="A163" i="30"/>
  <c r="A166" i="30" s="1"/>
  <c r="R159" i="37"/>
  <c r="A162" i="37"/>
  <c r="A165" i="37" s="1"/>
  <c r="R56" i="35"/>
  <c r="A59" i="35"/>
  <c r="A62" i="35" s="1"/>
  <c r="R102" i="28"/>
  <c r="A105" i="28"/>
  <c r="A108" i="28" s="1"/>
  <c r="A104" i="41"/>
  <c r="A107" i="41" s="1"/>
  <c r="R101" i="41"/>
  <c r="A210" i="26"/>
  <c r="A213" i="26" s="1"/>
  <c r="R207" i="26"/>
  <c r="R118" i="23"/>
  <c r="A121" i="23"/>
  <c r="A124" i="23" s="1"/>
  <c r="A59" i="32"/>
  <c r="A62" i="32" s="1"/>
  <c r="R56" i="32"/>
  <c r="R104" i="44"/>
  <c r="A107" i="44"/>
  <c r="A110" i="44" s="1"/>
  <c r="A113" i="44" s="1"/>
  <c r="R55" i="43"/>
  <c r="A58" i="43"/>
  <c r="A61" i="43" s="1"/>
  <c r="R631" i="41"/>
  <c r="A634" i="41"/>
  <c r="A637" i="41" s="1"/>
  <c r="A640" i="41" s="1"/>
  <c r="U640" i="41" s="1"/>
  <c r="R55" i="38"/>
  <c r="A58" i="38"/>
  <c r="A61" i="38" s="1"/>
  <c r="A208" i="33"/>
  <c r="A211" i="33" s="1"/>
  <c r="R205" i="33"/>
  <c r="A424" i="31"/>
  <c r="A427" i="31" s="1"/>
  <c r="A430" i="31" s="1"/>
  <c r="U430" i="31" s="1"/>
  <c r="R421" i="31"/>
  <c r="R215" i="25"/>
  <c r="A218" i="25"/>
  <c r="A221" i="25" s="1"/>
  <c r="R56" i="27"/>
  <c r="A59" i="27"/>
  <c r="A62" i="27" s="1"/>
  <c r="R215" i="40"/>
  <c r="A218" i="40"/>
  <c r="A221" i="40" s="1"/>
  <c r="A273" i="29"/>
  <c r="A276" i="29" s="1"/>
  <c r="R270" i="29"/>
  <c r="R474" i="31"/>
  <c r="A477" i="31"/>
  <c r="A480" i="31" s="1"/>
  <c r="A483" i="31" s="1"/>
  <c r="U483" i="31" s="1"/>
  <c r="R103" i="26"/>
  <c r="A106" i="26"/>
  <c r="A109" i="26" s="1"/>
  <c r="R259" i="44"/>
  <c r="A262" i="44"/>
  <c r="A265" i="44" s="1"/>
  <c r="R230" i="29"/>
  <c r="A233" i="29"/>
  <c r="A236" i="29" s="1"/>
  <c r="A105" i="27"/>
  <c r="A108" i="27" s="1"/>
  <c r="R102" i="27"/>
  <c r="A162" i="38"/>
  <c r="A165" i="38" s="1"/>
  <c r="R159" i="38"/>
  <c r="R107" i="40"/>
  <c r="A110" i="40"/>
  <c r="A113" i="40" s="1"/>
  <c r="R530" i="41"/>
  <c r="A533" i="41"/>
  <c r="A536" i="41" s="1"/>
  <c r="A539" i="41" s="1"/>
  <c r="U539" i="41" s="1"/>
  <c r="R207" i="41"/>
  <c r="A210" i="41"/>
  <c r="A213" i="41" s="1"/>
  <c r="A216" i="41" s="1"/>
  <c r="U216" i="41" s="1"/>
  <c r="R318" i="41"/>
  <c r="A321" i="41"/>
  <c r="A324" i="41" s="1"/>
  <c r="A327" i="41" s="1"/>
  <c r="U327" i="41" s="1"/>
  <c r="R119" i="46"/>
  <c r="A122" i="46"/>
  <c r="A125" i="46" s="1"/>
  <c r="A324" i="29"/>
  <c r="A327" i="29" s="1"/>
  <c r="R321" i="29"/>
  <c r="A155" i="33"/>
  <c r="A158" i="33" s="1"/>
  <c r="R152" i="33"/>
  <c r="A157" i="23"/>
  <c r="A160" i="23" s="1"/>
  <c r="R154" i="23"/>
  <c r="R155" i="31"/>
  <c r="A158" i="31"/>
  <c r="A161" i="31" s="1"/>
  <c r="R207" i="38"/>
  <c r="A210" i="38"/>
  <c r="A213" i="38" s="1"/>
  <c r="R56" i="28"/>
  <c r="A59" i="28"/>
  <c r="A62" i="28" s="1"/>
  <c r="R102" i="31"/>
  <c r="A105" i="31"/>
  <c r="A108" i="31" s="1"/>
  <c r="A59" i="31"/>
  <c r="A62" i="31" s="1"/>
  <c r="R56" i="31"/>
  <c r="R56" i="36"/>
  <c r="A59" i="36"/>
  <c r="A62" i="36" s="1"/>
  <c r="R55" i="37"/>
  <c r="A58" i="37"/>
  <c r="A61" i="37" s="1"/>
  <c r="R578" i="41"/>
  <c r="A581" i="41"/>
  <c r="A584" i="41" s="1"/>
  <c r="A587" i="41" s="1"/>
  <c r="U587" i="41" s="1"/>
  <c r="R218" i="46"/>
  <c r="A221" i="46"/>
  <c r="A224" i="46" s="1"/>
  <c r="A118" i="43"/>
  <c r="A121" i="43" s="1"/>
  <c r="R115" i="43"/>
  <c r="A58" i="25"/>
  <c r="A61" i="25" s="1"/>
  <c r="R55" i="25"/>
  <c r="A59" i="23"/>
  <c r="A62" i="23" s="1"/>
  <c r="R56" i="23"/>
  <c r="A59" i="29"/>
  <c r="A62" i="29" s="1"/>
  <c r="R56" i="29"/>
  <c r="R366" i="41"/>
  <c r="A369" i="41"/>
  <c r="A372" i="41" s="1"/>
  <c r="A375" i="41" s="1"/>
  <c r="U375" i="41" s="1"/>
  <c r="R208" i="30"/>
  <c r="A211" i="30"/>
  <c r="A214" i="30" s="1"/>
  <c r="X89" i="50"/>
  <c r="AF89" i="50"/>
  <c r="AK89" i="50" s="1"/>
  <c r="U97" i="26"/>
  <c r="R106" i="26" s="1"/>
  <c r="X202" i="34"/>
  <c r="AA202" i="34"/>
  <c r="AF202" i="34" s="1"/>
  <c r="K14" i="18"/>
  <c r="D16" i="55" s="1"/>
  <c r="B15" i="18"/>
  <c r="O104" i="13"/>
  <c r="O102" i="13"/>
  <c r="A12" i="10"/>
  <c r="G103" i="13" l="1"/>
  <c r="U86" i="50" s="1"/>
  <c r="O15" i="18"/>
  <c r="X49" i="62"/>
  <c r="AA49" i="62"/>
  <c r="AF49" i="62" s="1"/>
  <c r="Z128" i="52"/>
  <c r="BO32" i="52" s="1"/>
  <c r="AI128" i="52"/>
  <c r="BX32" i="52" s="1"/>
  <c r="AJ128" i="52"/>
  <c r="BY32" i="52" s="1"/>
  <c r="BY105" i="22"/>
  <c r="CI11" i="22" s="1"/>
  <c r="AG81" i="52"/>
  <c r="BY158" i="22"/>
  <c r="BY159" i="22" s="1"/>
  <c r="BY160" i="22" s="1"/>
  <c r="CI22" i="22" s="1"/>
  <c r="BY163" i="22"/>
  <c r="BY164" i="22" s="1"/>
  <c r="CI23" i="22" s="1"/>
  <c r="AE81" i="52"/>
  <c r="AH81" i="52"/>
  <c r="AD81" i="52"/>
  <c r="BY115" i="22"/>
  <c r="BY116" i="22" s="1"/>
  <c r="BY117" i="22" s="1"/>
  <c r="BY118" i="22" s="1"/>
  <c r="BY119" i="22" s="1"/>
  <c r="BY120" i="22" s="1"/>
  <c r="CI14" i="22" s="1"/>
  <c r="AC81" i="52"/>
  <c r="AB81" i="52"/>
  <c r="BN25" i="52"/>
  <c r="R210" i="36" a="1"/>
  <c r="R210" i="36" s="1"/>
  <c r="AB210" i="36" s="1"/>
  <c r="AF210" i="36" s="1"/>
  <c r="AJ210" i="36" s="1"/>
  <c r="R211" i="36" a="1"/>
  <c r="R211" i="36" s="1"/>
  <c r="AB211" i="36" s="1"/>
  <c r="AF211" i="36" s="1"/>
  <c r="AJ211" i="36" s="1"/>
  <c r="AF117" i="52"/>
  <c r="BU27" i="52" s="1"/>
  <c r="BO27" i="52"/>
  <c r="AT79" i="22"/>
  <c r="Z70" i="52"/>
  <c r="AH70" i="52" s="1"/>
  <c r="BL24" i="52"/>
  <c r="R209" i="36" s="1" a="1"/>
  <c r="R209" i="36" s="1"/>
  <c r="AB209" i="36" s="1"/>
  <c r="AF209" i="36" s="1"/>
  <c r="AJ209" i="36" s="1"/>
  <c r="L14" i="13"/>
  <c r="M14" i="13" s="1"/>
  <c r="U165" i="26" s="1"/>
  <c r="U156" i="26"/>
  <c r="R165" i="26" s="1"/>
  <c r="R205" i="36" a="1"/>
  <c r="R205" i="36" s="1"/>
  <c r="AB205" i="36" s="1"/>
  <c r="AF205" i="36" s="1"/>
  <c r="AJ205" i="36" s="1"/>
  <c r="AW31" i="52"/>
  <c r="BE31" i="52"/>
  <c r="P100" i="52"/>
  <c r="J14" i="13"/>
  <c r="K14" i="13" s="1"/>
  <c r="U162" i="26" s="1"/>
  <c r="U153" i="26"/>
  <c r="R162" i="26" s="1"/>
  <c r="Z120" i="52"/>
  <c r="AG120" i="52" s="1"/>
  <c r="AI35" i="10"/>
  <c r="AK35" i="10" s="1"/>
  <c r="AI34" i="10"/>
  <c r="AQ20" i="10"/>
  <c r="AQ21" i="10" s="1"/>
  <c r="AQ22" i="10" s="1"/>
  <c r="AQ23" i="10" s="1"/>
  <c r="CH13" i="52" s="1"/>
  <c r="CI13" i="52" s="1"/>
  <c r="AQ166" i="10"/>
  <c r="AQ167" i="10" s="1"/>
  <c r="CH26" i="52" s="1"/>
  <c r="CI26" i="52" s="1"/>
  <c r="AT18" i="52"/>
  <c r="R237" i="33" s="1" a="1"/>
  <c r="R237" i="33" s="1"/>
  <c r="AB237" i="33" s="1"/>
  <c r="AF237" i="33" s="1"/>
  <c r="R121" i="65" a="1"/>
  <c r="R121" i="65" s="1"/>
  <c r="AB121" i="65" s="1"/>
  <c r="AF121" i="65" s="1"/>
  <c r="AJ121" i="65" s="1"/>
  <c r="AD117" i="52"/>
  <c r="BS27" i="52" s="1"/>
  <c r="N42" i="13"/>
  <c r="Q58" i="10"/>
  <c r="W57" i="10" s="1"/>
  <c r="AA57" i="10" s="1"/>
  <c r="H54" i="52"/>
  <c r="O54" i="52" s="1"/>
  <c r="AC117" i="52"/>
  <c r="BR27" i="52" s="1"/>
  <c r="AG117" i="52"/>
  <c r="BV27" i="52" s="1"/>
  <c r="BY135" i="22"/>
  <c r="CI18" i="22" s="1"/>
  <c r="AH117" i="52"/>
  <c r="BW27" i="52" s="1"/>
  <c r="AE117" i="52"/>
  <c r="BT27" i="52" s="1"/>
  <c r="AB117" i="52"/>
  <c r="BQ27" i="52" s="1"/>
  <c r="AQ118" i="10"/>
  <c r="AQ119" i="10" s="1"/>
  <c r="AQ120" i="10" s="1"/>
  <c r="AQ121" i="10" s="1"/>
  <c r="AQ122" i="10" s="1"/>
  <c r="AQ123" i="10" s="1"/>
  <c r="CH7" i="52" s="1"/>
  <c r="CI7" i="52" s="1"/>
  <c r="BY74" i="22"/>
  <c r="AJ120" i="52"/>
  <c r="AI120" i="52"/>
  <c r="BY127" i="22"/>
  <c r="CI16" i="22" s="1"/>
  <c r="BY124" i="22"/>
  <c r="CI15" i="22" s="1"/>
  <c r="W121" i="52"/>
  <c r="BL30" i="52" s="1"/>
  <c r="BP176" i="22"/>
  <c r="AN176" i="22"/>
  <c r="AB176" i="22" s="1"/>
  <c r="BY138" i="22"/>
  <c r="BY139" i="22" s="1"/>
  <c r="CI19" i="22" s="1"/>
  <c r="BY144" i="22"/>
  <c r="BY145" i="22" s="1"/>
  <c r="BY146" i="22" s="1"/>
  <c r="BY147" i="22" s="1"/>
  <c r="BY148" i="22" s="1"/>
  <c r="BY149" i="22" s="1"/>
  <c r="BY150" i="22" s="1"/>
  <c r="BY151" i="22" s="1"/>
  <c r="BY152" i="22" s="1"/>
  <c r="CI20" i="22" s="1"/>
  <c r="BY77" i="22"/>
  <c r="BY78" i="22" s="1"/>
  <c r="BY83" i="22"/>
  <c r="CI7" i="22" s="1"/>
  <c r="BY165" i="22"/>
  <c r="BY166" i="22" s="1"/>
  <c r="CI24" i="22" s="1"/>
  <c r="AH16" i="52"/>
  <c r="AF16" i="52"/>
  <c r="AA148" i="23"/>
  <c r="AF148" i="23" s="1"/>
  <c r="X148" i="23"/>
  <c r="U148" i="23"/>
  <c r="R157" i="23" s="1"/>
  <c r="I6" i="55"/>
  <c r="U6" i="55" s="1"/>
  <c r="AE16" i="52"/>
  <c r="AB16" i="52"/>
  <c r="AI16" i="52"/>
  <c r="AD16" i="52"/>
  <c r="AJ16" i="52"/>
  <c r="AC16" i="52"/>
  <c r="S5" i="55"/>
  <c r="BB72" i="22"/>
  <c r="BP72" i="22"/>
  <c r="AN72" i="22"/>
  <c r="AB72" i="22" s="1"/>
  <c r="F7" i="13" s="1"/>
  <c r="K16" i="55"/>
  <c r="N16" i="55"/>
  <c r="L16" i="55"/>
  <c r="M16" i="55"/>
  <c r="R16" i="55"/>
  <c r="T16" i="55"/>
  <c r="U16" i="55"/>
  <c r="S16" i="55"/>
  <c r="Q16" i="55"/>
  <c r="A17" i="55"/>
  <c r="M15" i="18"/>
  <c r="F17" i="55" s="1"/>
  <c r="L15" i="18"/>
  <c r="F113" i="13"/>
  <c r="G113" i="13" s="1"/>
  <c r="U107" i="68" s="1"/>
  <c r="U98" i="68"/>
  <c r="R107" i="68" s="1"/>
  <c r="P74" i="8" a="1"/>
  <c r="P74" i="8" s="1"/>
  <c r="C74" i="8" s="1"/>
  <c r="U74" i="8" a="1"/>
  <c r="U74" i="8" s="1"/>
  <c r="R74" i="8" a="1"/>
  <c r="R74" i="8" s="1"/>
  <c r="E74" i="8" s="1"/>
  <c r="T74" i="8" a="1"/>
  <c r="T74" i="8" s="1"/>
  <c r="G74" i="8" s="1"/>
  <c r="Q74" i="8" a="1"/>
  <c r="Q74" i="8" s="1"/>
  <c r="S74" i="8" a="1"/>
  <c r="S74" i="8" s="1"/>
  <c r="V74" i="8" a="1"/>
  <c r="V74" i="8" s="1"/>
  <c r="I74" i="8" s="1"/>
  <c r="O74" i="8" a="1"/>
  <c r="O74" i="8" s="1"/>
  <c r="G45" i="13"/>
  <c r="U208" i="33" s="1"/>
  <c r="N112" i="52"/>
  <c r="L112" i="52"/>
  <c r="K112" i="52"/>
  <c r="M112" i="52"/>
  <c r="O113" i="52"/>
  <c r="Q113" i="52"/>
  <c r="P68" i="52"/>
  <c r="P67" i="52"/>
  <c r="K113" i="52"/>
  <c r="H66" i="52"/>
  <c r="J66" i="52" s="1"/>
  <c r="R113" i="52"/>
  <c r="AM153" i="10"/>
  <c r="J112" i="52"/>
  <c r="O112" i="52"/>
  <c r="R56" i="13"/>
  <c r="Q112" i="52"/>
  <c r="N113" i="52"/>
  <c r="L113" i="52"/>
  <c r="J113" i="52"/>
  <c r="AM31" i="10"/>
  <c r="AW14" i="52"/>
  <c r="P32" i="52"/>
  <c r="R31" i="52"/>
  <c r="L31" i="52"/>
  <c r="AM78" i="10"/>
  <c r="AM79" i="10" s="1"/>
  <c r="AM80" i="10" s="1"/>
  <c r="AL81" i="10" s="1"/>
  <c r="T81" i="10" s="1"/>
  <c r="Y78" i="10" s="1"/>
  <c r="AB78" i="10" s="1"/>
  <c r="J31" i="52"/>
  <c r="W78" i="10"/>
  <c r="AA78" i="10" s="1"/>
  <c r="M31" i="52"/>
  <c r="O31" i="52"/>
  <c r="K31" i="52"/>
  <c r="Q31" i="52"/>
  <c r="AI66" i="10"/>
  <c r="AK66" i="10" s="1"/>
  <c r="H66" i="10" s="1"/>
  <c r="AF86" i="50"/>
  <c r="AK86" i="50" s="1"/>
  <c r="AG122" i="10"/>
  <c r="AG123" i="10" s="1"/>
  <c r="AI121" i="10" s="1"/>
  <c r="AK121" i="10" s="1"/>
  <c r="H121" i="10" s="1"/>
  <c r="Q121" i="10" s="1"/>
  <c r="E69" i="52"/>
  <c r="P69" i="52" s="1"/>
  <c r="AI70" i="10"/>
  <c r="N49" i="13"/>
  <c r="G49" i="13" s="1"/>
  <c r="AG117" i="10"/>
  <c r="AG118" i="10" s="1"/>
  <c r="AI117" i="10" s="1"/>
  <c r="Q69" i="10"/>
  <c r="E59" i="52" s="1"/>
  <c r="X86" i="50"/>
  <c r="AI67" i="10"/>
  <c r="AK67" i="10" s="1"/>
  <c r="H67" i="10" s="1"/>
  <c r="AI71" i="10"/>
  <c r="AK71" i="10" s="1"/>
  <c r="AI68" i="10"/>
  <c r="AK68" i="10" s="1"/>
  <c r="H68" i="10" s="1"/>
  <c r="N48" i="13" s="1"/>
  <c r="G48" i="13" s="1"/>
  <c r="H99" i="52"/>
  <c r="P99" i="52"/>
  <c r="P103" i="52"/>
  <c r="H103" i="52"/>
  <c r="P116" i="52"/>
  <c r="BE26" i="52" s="1"/>
  <c r="H116" i="52"/>
  <c r="AW26" i="52" s="1"/>
  <c r="N109" i="52"/>
  <c r="Q109" i="52"/>
  <c r="O109" i="52"/>
  <c r="L109" i="52"/>
  <c r="R109" i="52"/>
  <c r="M109" i="52"/>
  <c r="J109" i="52"/>
  <c r="K109" i="52"/>
  <c r="P98" i="52"/>
  <c r="H98" i="52"/>
  <c r="AT16" i="52"/>
  <c r="C56" i="10"/>
  <c r="H55" i="10"/>
  <c r="H84" i="52"/>
  <c r="P84" i="52"/>
  <c r="O124" i="52"/>
  <c r="M124" i="52"/>
  <c r="J124" i="52"/>
  <c r="K124" i="52"/>
  <c r="I124" i="52"/>
  <c r="L124" i="52"/>
  <c r="N124" i="52"/>
  <c r="N54" i="13"/>
  <c r="AL75" i="10"/>
  <c r="Q75" i="10"/>
  <c r="L61" i="52"/>
  <c r="Q61" i="52"/>
  <c r="N61" i="52"/>
  <c r="K61" i="52"/>
  <c r="M61" i="52"/>
  <c r="O61" i="52"/>
  <c r="J61" i="52"/>
  <c r="R61" i="52"/>
  <c r="P118" i="52"/>
  <c r="BE28" i="52" s="1"/>
  <c r="H118" i="52"/>
  <c r="AW28" i="52" s="1"/>
  <c r="H47" i="52"/>
  <c r="P47" i="52"/>
  <c r="Q54" i="10"/>
  <c r="N39" i="13"/>
  <c r="G39" i="13" s="1"/>
  <c r="AL54" i="10"/>
  <c r="C77" i="10"/>
  <c r="H77" i="10" s="1"/>
  <c r="AH77" i="10" s="1"/>
  <c r="AQ77" i="10" s="1"/>
  <c r="H76" i="10"/>
  <c r="V72" i="10" s="1"/>
  <c r="J122" i="52"/>
  <c r="K122" i="52"/>
  <c r="M122" i="52"/>
  <c r="L122" i="52"/>
  <c r="I122" i="52"/>
  <c r="O122" i="52"/>
  <c r="N122" i="52"/>
  <c r="AJ93" i="10"/>
  <c r="AK93" i="10"/>
  <c r="H93" i="10" s="1"/>
  <c r="H111" i="52"/>
  <c r="P111" i="52"/>
  <c r="T113" i="10"/>
  <c r="P119" i="52"/>
  <c r="BE29" i="52" s="1"/>
  <c r="H119" i="52"/>
  <c r="AW29" i="52" s="1"/>
  <c r="I125" i="52"/>
  <c r="L125" i="52"/>
  <c r="K125" i="52"/>
  <c r="N125" i="52"/>
  <c r="O125" i="52"/>
  <c r="M125" i="52"/>
  <c r="J125" i="52"/>
  <c r="T53" i="10"/>
  <c r="AM53" i="10"/>
  <c r="T74" i="10"/>
  <c r="AM74" i="10"/>
  <c r="H18" i="52"/>
  <c r="P18" i="52"/>
  <c r="AI86" i="10"/>
  <c r="AI89" i="10"/>
  <c r="AK89" i="10" s="1"/>
  <c r="AI87" i="10"/>
  <c r="R53" i="13"/>
  <c r="E63" i="52"/>
  <c r="AK21" i="10"/>
  <c r="H21" i="10" s="1"/>
  <c r="AJ21" i="10"/>
  <c r="M123" i="52"/>
  <c r="L123" i="52"/>
  <c r="I123" i="52"/>
  <c r="J123" i="52"/>
  <c r="N123" i="52"/>
  <c r="K123" i="52"/>
  <c r="O123" i="52"/>
  <c r="R38" i="13"/>
  <c r="E48" i="52"/>
  <c r="AF424" i="34"/>
  <c r="AK424" i="34" s="1"/>
  <c r="X424" i="34"/>
  <c r="G53" i="13"/>
  <c r="U424" i="34" s="1"/>
  <c r="Q100" i="52"/>
  <c r="R100" i="52"/>
  <c r="L100" i="52"/>
  <c r="O100" i="52"/>
  <c r="K100" i="52"/>
  <c r="N100" i="52"/>
  <c r="M100" i="52"/>
  <c r="J100" i="52"/>
  <c r="P21" i="52"/>
  <c r="H21" i="52"/>
  <c r="P110" i="52"/>
  <c r="H110" i="52"/>
  <c r="H117" i="52"/>
  <c r="AW27" i="52" s="1"/>
  <c r="P117" i="52"/>
  <c r="BE27" i="52" s="1"/>
  <c r="J126" i="52"/>
  <c r="N126" i="52"/>
  <c r="K126" i="52"/>
  <c r="M126" i="52"/>
  <c r="O126" i="52"/>
  <c r="L126" i="52"/>
  <c r="I126" i="52"/>
  <c r="O127" i="52"/>
  <c r="N127" i="52"/>
  <c r="I127" i="52"/>
  <c r="K127" i="52"/>
  <c r="M127" i="52"/>
  <c r="J127" i="52"/>
  <c r="L127" i="52"/>
  <c r="J128" i="52"/>
  <c r="AY32" i="52" s="1"/>
  <c r="L128" i="52"/>
  <c r="BA32" i="52" s="1"/>
  <c r="M128" i="52"/>
  <c r="BB32" i="52" s="1"/>
  <c r="O128" i="52"/>
  <c r="BD32" i="52" s="1"/>
  <c r="Q128" i="52"/>
  <c r="BF32" i="52" s="1"/>
  <c r="N128" i="52"/>
  <c r="BC32" i="52" s="1"/>
  <c r="R128" i="52"/>
  <c r="BG32" i="52" s="1"/>
  <c r="K128" i="52"/>
  <c r="AZ32" i="52" s="1"/>
  <c r="AG75" i="10"/>
  <c r="AG112" i="10"/>
  <c r="AG113" i="10" s="1"/>
  <c r="AI112" i="10" s="1"/>
  <c r="AK136" i="10"/>
  <c r="H136" i="10" s="1"/>
  <c r="AJ136" i="10"/>
  <c r="R46" i="52"/>
  <c r="N46" i="52"/>
  <c r="O46" i="52"/>
  <c r="Q46" i="52"/>
  <c r="L46" i="52"/>
  <c r="K46" i="52"/>
  <c r="M46" i="52"/>
  <c r="J46" i="52"/>
  <c r="P62" i="52"/>
  <c r="H62" i="52"/>
  <c r="H108" i="52"/>
  <c r="P108" i="52"/>
  <c r="AI94" i="52"/>
  <c r="AE54" i="52"/>
  <c r="X48" i="67"/>
  <c r="AA48" i="67"/>
  <c r="AF48" i="67" s="1"/>
  <c r="F106" i="13"/>
  <c r="G106" i="13" s="1"/>
  <c r="U58" i="64" s="1"/>
  <c r="U49" i="64"/>
  <c r="R58" i="64" s="1"/>
  <c r="F117" i="13"/>
  <c r="G117" i="13" s="1"/>
  <c r="U272" i="68" s="1"/>
  <c r="U49" i="68"/>
  <c r="R58" i="68" s="1"/>
  <c r="J110" i="13"/>
  <c r="U51" i="67"/>
  <c r="R63" i="67" s="1"/>
  <c r="F114" i="13"/>
  <c r="G114" i="13" s="1"/>
  <c r="U160" i="68" s="1"/>
  <c r="AL176" i="22"/>
  <c r="U94" i="67" s="1"/>
  <c r="R106" i="67" s="1"/>
  <c r="X94" i="67"/>
  <c r="AH176" i="22"/>
  <c r="X91" i="67"/>
  <c r="F109" i="13"/>
  <c r="G109" i="13" s="1"/>
  <c r="U58" i="63" s="1"/>
  <c r="U49" i="63"/>
  <c r="R58" i="63" s="1"/>
  <c r="F116" i="13"/>
  <c r="G116" i="13" s="1"/>
  <c r="U234" i="68" s="1"/>
  <c r="F115" i="13"/>
  <c r="G115" i="13" s="1"/>
  <c r="U197" i="68" s="1"/>
  <c r="F118" i="13"/>
  <c r="G118" i="13" s="1"/>
  <c r="U58" i="62" s="1"/>
  <c r="AC15" i="52"/>
  <c r="F107" i="13"/>
  <c r="G107" i="13" s="1"/>
  <c r="U58" i="65" s="1"/>
  <c r="U49" i="65"/>
  <c r="R58" i="65" s="1"/>
  <c r="AF96" i="52"/>
  <c r="AD96" i="52"/>
  <c r="A61" i="63"/>
  <c r="AF58" i="63"/>
  <c r="AK58" i="63" s="1"/>
  <c r="X58" i="63"/>
  <c r="AJ94" i="52"/>
  <c r="X210" i="44"/>
  <c r="AH54" i="52"/>
  <c r="AC96" i="52"/>
  <c r="J51" i="13"/>
  <c r="K51" i="13" s="1"/>
  <c r="U316" i="34"/>
  <c r="R325" i="34" s="1"/>
  <c r="U325" i="34"/>
  <c r="U328" i="34"/>
  <c r="U319" i="34"/>
  <c r="R328" i="34" s="1"/>
  <c r="F51" i="13"/>
  <c r="G51" i="13" s="1"/>
  <c r="U322" i="34"/>
  <c r="U313" i="34"/>
  <c r="R322" i="34" s="1"/>
  <c r="AF261" i="26"/>
  <c r="AJ261" i="26" s="1"/>
  <c r="AB255" i="33"/>
  <c r="AF255" i="33" s="1"/>
  <c r="AJ255" i="33" s="1"/>
  <c r="AE96" i="52"/>
  <c r="AD54" i="52"/>
  <c r="AF42" i="52"/>
  <c r="AC42" i="52"/>
  <c r="AJ21" i="52"/>
  <c r="AF54" i="52"/>
  <c r="AI21" i="52"/>
  <c r="AE42" i="52"/>
  <c r="AH42" i="52"/>
  <c r="AJ66" i="52"/>
  <c r="AI66" i="52"/>
  <c r="AD42" i="52"/>
  <c r="AB42" i="52"/>
  <c r="I5" i="55"/>
  <c r="U5" i="55" s="1"/>
  <c r="T5" i="55"/>
  <c r="AB15" i="52"/>
  <c r="AF15" i="52"/>
  <c r="AA209" i="25"/>
  <c r="AF209" i="25" s="1"/>
  <c r="AB76" i="22"/>
  <c r="F11" i="13" s="1"/>
  <c r="G11" i="13" s="1"/>
  <c r="AE15" i="52"/>
  <c r="AD15" i="52"/>
  <c r="AH15" i="52"/>
  <c r="BN5" i="52"/>
  <c r="R262" i="37" s="1" a="1"/>
  <c r="R262" i="37" s="1"/>
  <c r="AB262" i="37" s="1"/>
  <c r="BN10" i="52"/>
  <c r="R262" i="38" s="1" a="1"/>
  <c r="R262" i="38" s="1"/>
  <c r="AB262" i="38" s="1"/>
  <c r="AF262" i="38" s="1"/>
  <c r="AJ262" i="38" s="1"/>
  <c r="AE44" i="52"/>
  <c r="AH44" i="52"/>
  <c r="AC44" i="52"/>
  <c r="AH96" i="52"/>
  <c r="AC54" i="52"/>
  <c r="AF44" i="52"/>
  <c r="AB96" i="52"/>
  <c r="AB54" i="52"/>
  <c r="AD44" i="52"/>
  <c r="AB44" i="52"/>
  <c r="BY11" i="52"/>
  <c r="R168" i="28" s="1" a="1"/>
  <c r="R168" i="28" s="1"/>
  <c r="AB168" i="28" s="1"/>
  <c r="AF168" i="28" s="1"/>
  <c r="AJ168" i="28" s="1"/>
  <c r="X50" i="40"/>
  <c r="AB140" i="22"/>
  <c r="F75" i="13" s="1"/>
  <c r="AH57" i="52"/>
  <c r="AA50" i="40"/>
  <c r="AF50" i="40" s="1"/>
  <c r="AF57" i="52"/>
  <c r="AE57" i="52"/>
  <c r="AA49" i="41"/>
  <c r="AF49" i="41" s="1"/>
  <c r="AC57" i="52"/>
  <c r="BM20" i="52"/>
  <c r="AB57" i="52"/>
  <c r="BY18" i="52"/>
  <c r="R268" i="33" s="1" a="1"/>
  <c r="R268" i="33" s="1"/>
  <c r="AB268" i="33" s="1"/>
  <c r="AF268" i="33" s="1"/>
  <c r="AJ268" i="33" s="1"/>
  <c r="AD57" i="52"/>
  <c r="AI70" i="52"/>
  <c r="BX11" i="52"/>
  <c r="R167" i="28" s="1" a="1"/>
  <c r="R167" i="28" s="1"/>
  <c r="AB167" i="28" s="1"/>
  <c r="AF167" i="28" s="1"/>
  <c r="AJ167" i="28" s="1"/>
  <c r="BN9" i="52"/>
  <c r="R263" i="30" s="1" a="1"/>
  <c r="R263" i="30" s="1"/>
  <c r="AB263" i="30" s="1"/>
  <c r="AF263" i="30" s="1"/>
  <c r="AJ263" i="30" s="1"/>
  <c r="AJ70" i="52"/>
  <c r="BM8" i="52"/>
  <c r="AA210" i="44"/>
  <c r="AF210" i="44" s="1"/>
  <c r="BN7" i="52"/>
  <c r="BL22" i="52"/>
  <c r="BL7" i="52"/>
  <c r="BN4" i="52"/>
  <c r="R357" i="29" s="1" a="1"/>
  <c r="R357" i="29" s="1"/>
  <c r="AB357" i="29" s="1"/>
  <c r="AF357" i="29" s="1"/>
  <c r="AJ357" i="29" s="1"/>
  <c r="BL23" i="52"/>
  <c r="R580" i="34" s="1" a="1"/>
  <c r="R580" i="34" s="1"/>
  <c r="F86" i="13"/>
  <c r="U625" i="41"/>
  <c r="R634" i="41" s="1"/>
  <c r="BM4" i="52"/>
  <c r="R356" i="29" s="1" a="1"/>
  <c r="R356" i="29" s="1"/>
  <c r="AB356" i="29" s="1"/>
  <c r="AF356" i="29" s="1"/>
  <c r="AJ356" i="29" s="1"/>
  <c r="BN8" i="52"/>
  <c r="BL10" i="52"/>
  <c r="R260" i="38" s="1" a="1"/>
  <c r="R260" i="38" s="1"/>
  <c r="AB260" i="38" s="1"/>
  <c r="BM5" i="52"/>
  <c r="R261" i="37" s="1" a="1"/>
  <c r="R261" i="37" s="1"/>
  <c r="AB261" i="37" s="1"/>
  <c r="BM9" i="52"/>
  <c r="R262" i="30" s="1" a="1"/>
  <c r="R262" i="30" s="1"/>
  <c r="AB262" i="30" s="1"/>
  <c r="AF262" i="30" s="1"/>
  <c r="AJ262" i="30" s="1"/>
  <c r="BN23" i="52"/>
  <c r="R582" i="34" s="1" a="1"/>
  <c r="R582" i="34" s="1"/>
  <c r="AB582" i="34" s="1"/>
  <c r="AF582" i="34" s="1"/>
  <c r="AJ582" i="34" s="1"/>
  <c r="N114" i="52"/>
  <c r="L114" i="52"/>
  <c r="K114" i="52"/>
  <c r="J114" i="52"/>
  <c r="O114" i="52"/>
  <c r="M114" i="52"/>
  <c r="Q114" i="52"/>
  <c r="R114" i="52"/>
  <c r="BY12" i="52"/>
  <c r="R593" i="31" s="1" a="1"/>
  <c r="R593" i="31" s="1"/>
  <c r="AB593" i="31" s="1"/>
  <c r="AF593" i="31" s="1"/>
  <c r="AJ593" i="31" s="1"/>
  <c r="BY16" i="52"/>
  <c r="BN22" i="52"/>
  <c r="BO16" i="52"/>
  <c r="BL20" i="52"/>
  <c r="BM23" i="52"/>
  <c r="R581" i="34" s="1" a="1"/>
  <c r="R581" i="34" s="1"/>
  <c r="AB581" i="34" s="1"/>
  <c r="AF581" i="34" s="1"/>
  <c r="AJ581" i="34" s="1"/>
  <c r="BM7" i="52"/>
  <c r="AG53" i="52"/>
  <c r="BV18" i="52" s="1"/>
  <c r="R265" i="33" s="1" a="1"/>
  <c r="R265" i="33" s="1"/>
  <c r="AB265" i="33" s="1"/>
  <c r="AF265" i="33" s="1"/>
  <c r="AJ265" i="33" s="1"/>
  <c r="BO18" i="52"/>
  <c r="R258" i="33" s="1" a="1"/>
  <c r="R258" i="33" s="1"/>
  <c r="AB258" i="33" s="1"/>
  <c r="AF258" i="33" s="1"/>
  <c r="AJ258" i="33" s="1"/>
  <c r="R126" i="63" a="1"/>
  <c r="R126" i="63" s="1"/>
  <c r="AB126" i="63" s="1"/>
  <c r="AF126" i="63" s="1"/>
  <c r="AJ126" i="63" s="1"/>
  <c r="BL17" i="52"/>
  <c r="R208" i="32" s="1" a="1"/>
  <c r="R208" i="32" s="1"/>
  <c r="AB208" i="32" s="1"/>
  <c r="BY23" i="52"/>
  <c r="R593" i="34" s="1" a="1"/>
  <c r="R593" i="34" s="1"/>
  <c r="AB593" i="34" s="1"/>
  <c r="AF593" i="34" s="1"/>
  <c r="AJ593" i="34" s="1"/>
  <c r="AG107" i="52"/>
  <c r="AG116" i="52"/>
  <c r="BV26" i="52" s="1"/>
  <c r="AG119" i="52"/>
  <c r="BV29" i="52" s="1"/>
  <c r="BO11" i="52"/>
  <c r="R158" i="28" s="1" a="1"/>
  <c r="R158" i="28" s="1"/>
  <c r="AB158" i="28" s="1"/>
  <c r="AF158" i="28" s="1"/>
  <c r="AJ158" i="28" s="1"/>
  <c r="BV11" i="52"/>
  <c r="R165" i="28" s="1" a="1"/>
  <c r="R165" i="28" s="1"/>
  <c r="AB165" i="28" s="1"/>
  <c r="AF165" i="28" s="1"/>
  <c r="AJ165" i="28" s="1"/>
  <c r="BM17" i="52"/>
  <c r="R209" i="32" s="1" a="1"/>
  <c r="R209" i="32" s="1"/>
  <c r="AB209" i="32" s="1"/>
  <c r="AF209" i="32" s="1"/>
  <c r="AJ209" i="32" s="1"/>
  <c r="BM6" i="52"/>
  <c r="R312" i="25" s="1" a="1"/>
  <c r="R312" i="25" s="1"/>
  <c r="AB312" i="25" s="1"/>
  <c r="AF312" i="25" s="1"/>
  <c r="AJ312" i="25" s="1"/>
  <c r="BM16" i="52"/>
  <c r="R219" i="43" s="1" a="1"/>
  <c r="R219" i="43" s="1"/>
  <c r="AB219" i="43" s="1"/>
  <c r="AF219" i="43" s="1"/>
  <c r="AJ219" i="43" s="1"/>
  <c r="BM21" i="52"/>
  <c r="BN16" i="52"/>
  <c r="BN6" i="52"/>
  <c r="R313" i="25" s="1" a="1"/>
  <c r="R313" i="25" s="1"/>
  <c r="AB313" i="25" s="1"/>
  <c r="AF313" i="25" s="1"/>
  <c r="AJ313" i="25" s="1"/>
  <c r="BN21" i="52"/>
  <c r="AG85" i="52"/>
  <c r="AG51" i="52"/>
  <c r="AG56" i="52"/>
  <c r="AG27" i="52"/>
  <c r="R124" i="64" a="1"/>
  <c r="R124" i="64" s="1"/>
  <c r="AB124" i="64" s="1"/>
  <c r="AF124" i="64" s="1"/>
  <c r="AJ124" i="64" s="1"/>
  <c r="BM22" i="52"/>
  <c r="BX16" i="52"/>
  <c r="AG73" i="52"/>
  <c r="AG41" i="52"/>
  <c r="R132" i="62" a="1"/>
  <c r="R132" i="62" s="1"/>
  <c r="AB132" i="62" s="1"/>
  <c r="AF132" i="62" s="1"/>
  <c r="AJ132" i="62" s="1"/>
  <c r="AG77" i="52"/>
  <c r="AG66" i="52"/>
  <c r="BL8" i="52"/>
  <c r="BN20" i="52"/>
  <c r="R117" i="62" a="1"/>
  <c r="R117" i="62" s="1"/>
  <c r="AB117" i="62" s="1"/>
  <c r="AF117" i="62" s="1"/>
  <c r="AJ117" i="62" s="1"/>
  <c r="R118" i="62" a="1"/>
  <c r="R118" i="62" s="1"/>
  <c r="AB118" i="62" s="1"/>
  <c r="AF118" i="62" s="1"/>
  <c r="AJ118" i="62" s="1"/>
  <c r="R131" i="62" a="1"/>
  <c r="R131" i="62" s="1"/>
  <c r="AB131" i="62" s="1"/>
  <c r="AF131" i="62" s="1"/>
  <c r="AJ131" i="62" s="1"/>
  <c r="R109" i="64" a="1"/>
  <c r="R109" i="64" s="1"/>
  <c r="AB109" i="64" s="1"/>
  <c r="AF109" i="64" s="1"/>
  <c r="AJ109" i="64" s="1"/>
  <c r="R110" i="64" a="1"/>
  <c r="R110" i="64" s="1"/>
  <c r="AB110" i="64" s="1"/>
  <c r="AF110" i="64" s="1"/>
  <c r="AJ110" i="64" s="1"/>
  <c r="R112" i="63" a="1"/>
  <c r="R112" i="63" s="1"/>
  <c r="AB112" i="63" s="1"/>
  <c r="AF112" i="63" s="1"/>
  <c r="AJ112" i="63" s="1"/>
  <c r="R125" i="63" a="1"/>
  <c r="R125" i="63" s="1"/>
  <c r="AB125" i="63" s="1"/>
  <c r="AF125" i="63" s="1"/>
  <c r="AJ125" i="63" s="1"/>
  <c r="R123" i="64" a="1"/>
  <c r="R123" i="64" s="1"/>
  <c r="AB123" i="64" s="1"/>
  <c r="AF123" i="64" s="1"/>
  <c r="AJ123" i="64" s="1"/>
  <c r="Q67" i="52"/>
  <c r="O67" i="52"/>
  <c r="R67" i="52"/>
  <c r="O51" i="52"/>
  <c r="R51" i="52"/>
  <c r="Q51" i="52"/>
  <c r="O32" i="52"/>
  <c r="Q32" i="52"/>
  <c r="R32" i="52"/>
  <c r="O53" i="52"/>
  <c r="R53" i="52"/>
  <c r="Q53" i="52"/>
  <c r="O68" i="52"/>
  <c r="R68" i="52"/>
  <c r="Q68" i="52"/>
  <c r="N68" i="52"/>
  <c r="K68" i="52"/>
  <c r="M68" i="52"/>
  <c r="J68" i="52"/>
  <c r="L68" i="52"/>
  <c r="N32" i="52"/>
  <c r="K32" i="52"/>
  <c r="M32" i="52"/>
  <c r="J32" i="52"/>
  <c r="L32" i="52"/>
  <c r="M53" i="52"/>
  <c r="J53" i="52"/>
  <c r="L53" i="52"/>
  <c r="N53" i="52"/>
  <c r="K53" i="52"/>
  <c r="N67" i="52"/>
  <c r="K67" i="52"/>
  <c r="M67" i="52"/>
  <c r="J67" i="52"/>
  <c r="L67" i="52"/>
  <c r="M51" i="52"/>
  <c r="J51" i="52"/>
  <c r="L51" i="52"/>
  <c r="N51" i="52"/>
  <c r="K51" i="52"/>
  <c r="AE119" i="52"/>
  <c r="BT29" i="52" s="1"/>
  <c r="AD119" i="52"/>
  <c r="BS29" i="52" s="1"/>
  <c r="AB119" i="52"/>
  <c r="BQ29" i="52" s="1"/>
  <c r="AC119" i="52"/>
  <c r="BR29" i="52" s="1"/>
  <c r="AF119" i="52"/>
  <c r="BU29" i="52" s="1"/>
  <c r="AH119" i="52"/>
  <c r="BW29" i="52" s="1"/>
  <c r="AB165" i="22"/>
  <c r="X49" i="47"/>
  <c r="AA49" i="47"/>
  <c r="AF49" i="47" s="1"/>
  <c r="AB163" i="22"/>
  <c r="X171" i="46"/>
  <c r="AA171" i="46"/>
  <c r="AF171" i="46" s="1"/>
  <c r="CC131" i="22"/>
  <c r="CM17" i="22" s="1"/>
  <c r="Z108" i="52"/>
  <c r="AG108" i="52" s="1"/>
  <c r="AI108" i="52"/>
  <c r="BX22" i="52" s="1"/>
  <c r="AJ108" i="52"/>
  <c r="AB73" i="22"/>
  <c r="X49" i="25"/>
  <c r="AA49" i="25"/>
  <c r="AF49" i="25" s="1"/>
  <c r="CC160" i="22"/>
  <c r="CM22" i="22" s="1"/>
  <c r="AI110" i="52"/>
  <c r="BX21" i="52" s="1"/>
  <c r="AJ110" i="52"/>
  <c r="BY21" i="52" s="1"/>
  <c r="Z110" i="52"/>
  <c r="AH116" i="52"/>
  <c r="BW26" i="52" s="1"/>
  <c r="AB116" i="52"/>
  <c r="BQ26" i="52" s="1"/>
  <c r="AE116" i="52"/>
  <c r="BT26" i="52" s="1"/>
  <c r="AD116" i="52"/>
  <c r="BS26" i="52" s="1"/>
  <c r="AF116" i="52"/>
  <c r="AC116" i="52"/>
  <c r="BR26" i="52" s="1"/>
  <c r="Z18" i="52"/>
  <c r="AI18" i="52"/>
  <c r="AJ18" i="52"/>
  <c r="P55" i="52"/>
  <c r="BE18" i="52" s="1"/>
  <c r="R248" i="33" s="1" a="1"/>
  <c r="R248" i="33" s="1"/>
  <c r="AB248" i="33" s="1"/>
  <c r="H55" i="52"/>
  <c r="U34" i="52"/>
  <c r="V34" i="52"/>
  <c r="CC95" i="22"/>
  <c r="CM10" i="22" s="1"/>
  <c r="CD135" i="22"/>
  <c r="CN18" i="22" s="1"/>
  <c r="Z22" i="52"/>
  <c r="AI22" i="52"/>
  <c r="AJ22" i="52"/>
  <c r="Z50" i="52"/>
  <c r="AG50" i="52" s="1"/>
  <c r="AI50" i="52"/>
  <c r="BX12" i="52" s="1"/>
  <c r="R592" i="31" s="1" a="1"/>
  <c r="R592" i="31" s="1"/>
  <c r="AB592" i="31" s="1"/>
  <c r="AB39" i="52"/>
  <c r="AE39" i="52"/>
  <c r="AC39" i="52"/>
  <c r="AF39" i="52"/>
  <c r="AD39" i="52"/>
  <c r="AH39" i="52"/>
  <c r="AH30" i="52"/>
  <c r="BW11" i="52" s="1"/>
  <c r="R166" i="28" s="1" a="1"/>
  <c r="R166" i="28" s="1"/>
  <c r="AB166" i="28" s="1"/>
  <c r="AF166" i="28" s="1"/>
  <c r="AJ166" i="28" s="1"/>
  <c r="AB30" i="52"/>
  <c r="BQ11" i="52" s="1"/>
  <c r="R160" i="28" s="1" a="1"/>
  <c r="R160" i="28" s="1"/>
  <c r="AB160" i="28" s="1"/>
  <c r="AF160" i="28" s="1"/>
  <c r="AJ160" i="28" s="1"/>
  <c r="AC30" i="52"/>
  <c r="BR11" i="52" s="1"/>
  <c r="R161" i="28" s="1" a="1"/>
  <c r="R161" i="28" s="1"/>
  <c r="AB161" i="28" s="1"/>
  <c r="AF161" i="28" s="1"/>
  <c r="AJ161" i="28" s="1"/>
  <c r="AD30" i="52"/>
  <c r="BS11" i="52" s="1"/>
  <c r="R162" i="28" s="1" a="1"/>
  <c r="R162" i="28" s="1"/>
  <c r="AB162" i="28" s="1"/>
  <c r="AF162" i="28" s="1"/>
  <c r="AJ162" i="28" s="1"/>
  <c r="AE30" i="52"/>
  <c r="BT11" i="52" s="1"/>
  <c r="R163" i="28" s="1" a="1"/>
  <c r="R163" i="28" s="1"/>
  <c r="AB163" i="28" s="1"/>
  <c r="AF163" i="28" s="1"/>
  <c r="AJ163" i="28" s="1"/>
  <c r="AF30" i="52"/>
  <c r="BU11" i="52" s="1"/>
  <c r="R164" i="28" s="1" a="1"/>
  <c r="R164" i="28" s="1"/>
  <c r="AB164" i="28" s="1"/>
  <c r="AF164" i="28" s="1"/>
  <c r="AJ164" i="28" s="1"/>
  <c r="AB105" i="52"/>
  <c r="AH105" i="52"/>
  <c r="AD105" i="52"/>
  <c r="AC105" i="52"/>
  <c r="AF105" i="52"/>
  <c r="AE105" i="52"/>
  <c r="AH73" i="52"/>
  <c r="AF73" i="52"/>
  <c r="AB73" i="52"/>
  <c r="AC73" i="52"/>
  <c r="AD73" i="52"/>
  <c r="AE73" i="52"/>
  <c r="AC99" i="52"/>
  <c r="AE99" i="52"/>
  <c r="AH99" i="52"/>
  <c r="AD99" i="52"/>
  <c r="BS16" i="52" s="1"/>
  <c r="AF99" i="52"/>
  <c r="AB99" i="52"/>
  <c r="AJ52" i="52"/>
  <c r="Z52" i="52"/>
  <c r="AG52" i="52" s="1"/>
  <c r="AI52" i="52"/>
  <c r="AI89" i="52"/>
  <c r="AJ89" i="52"/>
  <c r="Z89" i="52"/>
  <c r="AG89" i="52" s="1"/>
  <c r="AB46" i="52"/>
  <c r="AE46" i="52"/>
  <c r="AF46" i="52"/>
  <c r="AC46" i="52"/>
  <c r="AH46" i="52"/>
  <c r="AD46" i="52"/>
  <c r="AD33" i="52"/>
  <c r="AH33" i="52"/>
  <c r="AB33" i="52"/>
  <c r="AC33" i="52"/>
  <c r="AE33" i="52"/>
  <c r="AF33" i="52"/>
  <c r="Z69" i="52"/>
  <c r="AG69" i="52" s="1"/>
  <c r="AJ69" i="52"/>
  <c r="AI69" i="52"/>
  <c r="Z93" i="52"/>
  <c r="AG93" i="52" s="1"/>
  <c r="AI93" i="52"/>
  <c r="AJ93" i="52"/>
  <c r="AB21" i="52"/>
  <c r="AE21" i="52"/>
  <c r="AF21" i="52"/>
  <c r="AD21" i="52"/>
  <c r="AH21" i="52"/>
  <c r="AC21" i="52"/>
  <c r="Z60" i="52"/>
  <c r="AG60" i="52" s="1"/>
  <c r="AI60" i="52"/>
  <c r="AI72" i="52"/>
  <c r="AJ72" i="52"/>
  <c r="Z72" i="52"/>
  <c r="AG72" i="52" s="1"/>
  <c r="AH90" i="52"/>
  <c r="AF90" i="52"/>
  <c r="AB90" i="52"/>
  <c r="AC90" i="52"/>
  <c r="AD90" i="52"/>
  <c r="AE90" i="52"/>
  <c r="AC61" i="52"/>
  <c r="AD61" i="52"/>
  <c r="AB61" i="52"/>
  <c r="AE61" i="52"/>
  <c r="AF61" i="52"/>
  <c r="AH61" i="52"/>
  <c r="AB41" i="52"/>
  <c r="AC41" i="52"/>
  <c r="AD41" i="52"/>
  <c r="AF41" i="52"/>
  <c r="AE41" i="52"/>
  <c r="AH41" i="52"/>
  <c r="AI19" i="52"/>
  <c r="Z19" i="52"/>
  <c r="AG19" i="52" s="1"/>
  <c r="AJ19" i="52"/>
  <c r="AB94" i="52"/>
  <c r="AH94" i="52"/>
  <c r="AC94" i="52"/>
  <c r="AD94" i="52"/>
  <c r="AE94" i="52"/>
  <c r="AF94" i="52"/>
  <c r="AI28" i="52"/>
  <c r="BX19" i="52" s="1"/>
  <c r="R168" i="27" s="1" a="1"/>
  <c r="R168" i="27" s="1"/>
  <c r="AB168" i="27" s="1"/>
  <c r="AF168" i="27" s="1"/>
  <c r="AJ168" i="27" s="1"/>
  <c r="AJ28" i="52"/>
  <c r="BY19" i="52" s="1"/>
  <c r="R169" i="27" s="1" a="1"/>
  <c r="R169" i="27" s="1"/>
  <c r="AB169" i="27" s="1"/>
  <c r="AF169" i="27" s="1"/>
  <c r="AJ169" i="27" s="1"/>
  <c r="Z28" i="52"/>
  <c r="AG28" i="52" s="1"/>
  <c r="Z65" i="52"/>
  <c r="AG65" i="52" s="1"/>
  <c r="AI65" i="52"/>
  <c r="AH85" i="52"/>
  <c r="AB85" i="52"/>
  <c r="AE85" i="52"/>
  <c r="AC85" i="52"/>
  <c r="AD85" i="52"/>
  <c r="AF85" i="52"/>
  <c r="AB23" i="52"/>
  <c r="AH23" i="52"/>
  <c r="AF23" i="52"/>
  <c r="AC23" i="52"/>
  <c r="AD23" i="52"/>
  <c r="AE23" i="52"/>
  <c r="AB51" i="52"/>
  <c r="AE51" i="52"/>
  <c r="AF51" i="52"/>
  <c r="AH51" i="52"/>
  <c r="AD51" i="52"/>
  <c r="AC51" i="52"/>
  <c r="AH53" i="52"/>
  <c r="AB53" i="52"/>
  <c r="AC53" i="52"/>
  <c r="AD53" i="52"/>
  <c r="AF53" i="52"/>
  <c r="AE53" i="52"/>
  <c r="AD101" i="52"/>
  <c r="AH101" i="52"/>
  <c r="AE101" i="52"/>
  <c r="AF101" i="52"/>
  <c r="AC101" i="52"/>
  <c r="AB101" i="52"/>
  <c r="Z83" i="52"/>
  <c r="BO25" i="52" s="1"/>
  <c r="AJ83" i="52"/>
  <c r="BY25" i="52" s="1"/>
  <c r="AI83" i="52"/>
  <c r="BX25" i="52" s="1"/>
  <c r="Z78" i="52"/>
  <c r="AG78" i="52" s="1"/>
  <c r="AI78" i="52"/>
  <c r="AJ78" i="52"/>
  <c r="AI40" i="52"/>
  <c r="Z40" i="52"/>
  <c r="AG40" i="52" s="1"/>
  <c r="AJ40" i="52"/>
  <c r="AI17" i="52"/>
  <c r="AJ17" i="52"/>
  <c r="Z17" i="52"/>
  <c r="AG17" i="52" s="1"/>
  <c r="AD107" i="52"/>
  <c r="AF107" i="52"/>
  <c r="AH107" i="52"/>
  <c r="AE107" i="52"/>
  <c r="AB107" i="52"/>
  <c r="AC107" i="52"/>
  <c r="Z102" i="52"/>
  <c r="AG102" i="52" s="1"/>
  <c r="BV20" i="52" s="1"/>
  <c r="R339" i="44" s="1" a="1"/>
  <c r="R339" i="44" s="1"/>
  <c r="AB339" i="44" s="1"/>
  <c r="AF339" i="44" s="1"/>
  <c r="AJ339" i="44" s="1"/>
  <c r="AI102" i="52"/>
  <c r="BX20" i="52" s="1"/>
  <c r="AJ102" i="52"/>
  <c r="BP75" i="22"/>
  <c r="W20" i="52"/>
  <c r="AD25" i="52"/>
  <c r="AH25" i="52"/>
  <c r="AE25" i="52"/>
  <c r="AF25" i="52"/>
  <c r="AB25" i="52"/>
  <c r="AC25" i="52"/>
  <c r="AB27" i="52"/>
  <c r="AC27" i="52"/>
  <c r="AD27" i="52"/>
  <c r="AE27" i="52"/>
  <c r="AH27" i="52"/>
  <c r="AF27" i="52"/>
  <c r="Z34" i="52"/>
  <c r="AG34" i="52" s="1"/>
  <c r="AJ34" i="52"/>
  <c r="AI34" i="52"/>
  <c r="BP129" i="22"/>
  <c r="BY129" i="22" s="1"/>
  <c r="W74" i="52"/>
  <c r="Z80" i="52"/>
  <c r="AG80" i="52" s="1"/>
  <c r="AI80" i="52"/>
  <c r="AJ80" i="52"/>
  <c r="AB56" i="52"/>
  <c r="AC56" i="52"/>
  <c r="AD56" i="52"/>
  <c r="AF56" i="52"/>
  <c r="AH56" i="52"/>
  <c r="AE56" i="52"/>
  <c r="Z97" i="52"/>
  <c r="AG97" i="52" s="1"/>
  <c r="AJ97" i="52"/>
  <c r="AI97" i="52"/>
  <c r="AH77" i="52"/>
  <c r="AD77" i="52"/>
  <c r="AB77" i="52"/>
  <c r="AF77" i="52"/>
  <c r="AE77" i="52"/>
  <c r="AC77" i="52"/>
  <c r="AH66" i="52"/>
  <c r="AB66" i="52"/>
  <c r="AC66" i="52"/>
  <c r="AD66" i="52"/>
  <c r="AE66" i="52"/>
  <c r="AF66" i="52"/>
  <c r="AF79" i="52"/>
  <c r="AD79" i="52"/>
  <c r="AE79" i="52"/>
  <c r="AB79" i="52"/>
  <c r="AC79" i="52"/>
  <c r="AH79" i="52"/>
  <c r="CL19" i="22"/>
  <c r="CL6" i="22"/>
  <c r="CL8" i="22"/>
  <c r="CL15" i="22"/>
  <c r="CL4" i="22"/>
  <c r="CL12" i="22"/>
  <c r="CL7" i="22"/>
  <c r="CL16" i="22"/>
  <c r="CL23" i="22"/>
  <c r="CL5" i="22"/>
  <c r="CO28" i="22"/>
  <c r="BP107" i="22"/>
  <c r="R200" i="50" a="1"/>
  <c r="R200" i="50" s="1"/>
  <c r="AB200" i="50" s="1"/>
  <c r="AF200" i="50" s="1"/>
  <c r="AJ200" i="50" s="1"/>
  <c r="T58" i="10"/>
  <c r="Y57" i="10" s="1"/>
  <c r="AB57" i="10" s="1"/>
  <c r="AM58" i="10"/>
  <c r="AM155" i="10"/>
  <c r="AM156" i="10" s="1"/>
  <c r="T155" i="10"/>
  <c r="Y155" i="10" s="1"/>
  <c r="AB155" i="10" s="1"/>
  <c r="AJ33" i="10"/>
  <c r="AK34" i="10" s="1"/>
  <c r="H34" i="10" s="1"/>
  <c r="AK33" i="10"/>
  <c r="H33" i="10" s="1"/>
  <c r="T64" i="10"/>
  <c r="Y61" i="10" s="1"/>
  <c r="AB61" i="10" s="1"/>
  <c r="AM64" i="10"/>
  <c r="A16" i="18"/>
  <c r="D16" i="18" s="1"/>
  <c r="B18" i="55" s="1"/>
  <c r="R210" i="50" a="1"/>
  <c r="R210" i="50" s="1"/>
  <c r="AB210" i="50" s="1"/>
  <c r="AF210" i="50" s="1"/>
  <c r="AJ210" i="50" s="1"/>
  <c r="R198" i="50" a="1"/>
  <c r="R198" i="50" s="1"/>
  <c r="AB198" i="50" s="1"/>
  <c r="AF198" i="50" s="1"/>
  <c r="AJ198" i="50" s="1"/>
  <c r="X139" i="50"/>
  <c r="CB160" i="22"/>
  <c r="CD105" i="22"/>
  <c r="CN11" i="22" s="1"/>
  <c r="X102" i="32"/>
  <c r="CC89" i="22"/>
  <c r="CC90" i="22" s="1"/>
  <c r="CC91" i="22" s="1"/>
  <c r="CM9" i="22" s="1"/>
  <c r="CD160" i="22"/>
  <c r="CN22" i="22" s="1"/>
  <c r="U102" i="32"/>
  <c r="R111" i="32" s="1"/>
  <c r="U207" i="38"/>
  <c r="R216" i="38" s="1"/>
  <c r="U119" i="46"/>
  <c r="R128" i="46" s="1"/>
  <c r="U204" i="23"/>
  <c r="R213" i="23" s="1"/>
  <c r="X204" i="23"/>
  <c r="U102" i="28"/>
  <c r="R111" i="28" s="1"/>
  <c r="X102" i="28"/>
  <c r="X160" i="25"/>
  <c r="R92" i="50"/>
  <c r="U260" i="41"/>
  <c r="R269" i="41" s="1"/>
  <c r="U269" i="41"/>
  <c r="U101" i="37"/>
  <c r="R110" i="37" s="1"/>
  <c r="U230" i="29"/>
  <c r="R239" i="29" s="1"/>
  <c r="X101" i="37"/>
  <c r="U472" i="41"/>
  <c r="R481" i="41" s="1"/>
  <c r="X260" i="41"/>
  <c r="X472" i="41"/>
  <c r="X207" i="38"/>
  <c r="U160" i="25"/>
  <c r="R169" i="25" s="1"/>
  <c r="X527" i="31"/>
  <c r="U527" i="31"/>
  <c r="R536" i="31" s="1"/>
  <c r="U693" i="41"/>
  <c r="U684" i="41"/>
  <c r="R693" i="41" s="1"/>
  <c r="U119" i="29"/>
  <c r="R128" i="29" s="1"/>
  <c r="X158" i="40"/>
  <c r="CB105" i="22"/>
  <c r="U102" i="27"/>
  <c r="R111" i="27" s="1"/>
  <c r="X684" i="41"/>
  <c r="X102" i="27"/>
  <c r="X119" i="29"/>
  <c r="U158" i="40"/>
  <c r="R167" i="40" s="1"/>
  <c r="X230" i="29"/>
  <c r="U321" i="29"/>
  <c r="R330" i="29" s="1"/>
  <c r="X321" i="29"/>
  <c r="CB131" i="22"/>
  <c r="U209" i="35"/>
  <c r="R218" i="35" s="1"/>
  <c r="X209" i="35"/>
  <c r="CC120" i="22"/>
  <c r="CM14" i="22" s="1"/>
  <c r="BN5" i="22"/>
  <c r="U101" i="38"/>
  <c r="R110" i="38" s="1"/>
  <c r="X101" i="38"/>
  <c r="CD120" i="22"/>
  <c r="CN14" i="22" s="1"/>
  <c r="K46" i="13"/>
  <c r="U62" i="34" s="1"/>
  <c r="U53" i="34"/>
  <c r="R62" i="34" s="1"/>
  <c r="AB74" i="22"/>
  <c r="F9" i="13" s="1"/>
  <c r="AA100" i="25"/>
  <c r="AF100" i="25" s="1"/>
  <c r="X100" i="25"/>
  <c r="AB133" i="22"/>
  <c r="F68" i="13" s="1"/>
  <c r="X95" i="38"/>
  <c r="AA95" i="38"/>
  <c r="AF95" i="38" s="1"/>
  <c r="U153" i="38"/>
  <c r="R162" i="38" s="1"/>
  <c r="AH133" i="22"/>
  <c r="J68" i="13" s="1"/>
  <c r="X98" i="38"/>
  <c r="U210" i="44"/>
  <c r="R219" i="44" s="1"/>
  <c r="CB89" i="22"/>
  <c r="CB90" i="22" s="1"/>
  <c r="CB91" i="22" s="1"/>
  <c r="CC135" i="22"/>
  <c r="CM18" i="22" s="1"/>
  <c r="AB144" i="22"/>
  <c r="F79" i="13" s="1"/>
  <c r="X254" i="41"/>
  <c r="AA254" i="41"/>
  <c r="AF254" i="41" s="1"/>
  <c r="F4" i="13"/>
  <c r="U50" i="23"/>
  <c r="R59" i="23" s="1"/>
  <c r="CB148" i="22"/>
  <c r="CB149" i="22" s="1"/>
  <c r="CB150" i="22" s="1"/>
  <c r="CB151" i="22" s="1"/>
  <c r="CB152" i="22" s="1"/>
  <c r="AH83" i="22"/>
  <c r="J18" i="13" s="1"/>
  <c r="X99" i="27"/>
  <c r="CB120" i="22"/>
  <c r="CD148" i="22"/>
  <c r="CD149" i="22" s="1"/>
  <c r="CD150" i="22" s="1"/>
  <c r="CD151" i="22" s="1"/>
  <c r="CD152" i="22" s="1"/>
  <c r="CN20" i="22" s="1"/>
  <c r="AB105" i="22"/>
  <c r="F40" i="13" s="1"/>
  <c r="X521" i="31"/>
  <c r="AA521" i="31"/>
  <c r="AF521" i="31" s="1"/>
  <c r="AH152" i="22"/>
  <c r="J87" i="13" s="1"/>
  <c r="X681" i="41"/>
  <c r="AB106" i="22"/>
  <c r="F41" i="13" s="1"/>
  <c r="G41" i="13" s="1"/>
  <c r="X50" i="32"/>
  <c r="AA50" i="32"/>
  <c r="AF50" i="32" s="1"/>
  <c r="AH75" i="22"/>
  <c r="J10" i="13" s="1"/>
  <c r="X157" i="25"/>
  <c r="U50" i="31"/>
  <c r="R59" i="31" s="1"/>
  <c r="U49" i="38"/>
  <c r="R58" i="38" s="1"/>
  <c r="CC148" i="22"/>
  <c r="CC149" i="22" s="1"/>
  <c r="CC150" i="22" s="1"/>
  <c r="CC151" i="22" s="1"/>
  <c r="CC152" i="22" s="1"/>
  <c r="CM20" i="22" s="1"/>
  <c r="U116" i="47"/>
  <c r="R125" i="47" s="1"/>
  <c r="AH148" i="22"/>
  <c r="J83" i="13" s="1"/>
  <c r="X469" i="41"/>
  <c r="AB120" i="22"/>
  <c r="F55" i="13" s="1"/>
  <c r="AH120" i="22"/>
  <c r="J55" i="13" s="1"/>
  <c r="BN7" i="22"/>
  <c r="AH72" i="22"/>
  <c r="J7" i="13" s="1"/>
  <c r="X201" i="23"/>
  <c r="CC105" i="22"/>
  <c r="CM11" i="22" s="1"/>
  <c r="AN75" i="22"/>
  <c r="AB148" i="22"/>
  <c r="F83" i="13" s="1"/>
  <c r="AA466" i="41"/>
  <c r="AF466" i="41" s="1"/>
  <c r="X466" i="41"/>
  <c r="U312" i="41"/>
  <c r="R321" i="41" s="1"/>
  <c r="U50" i="27"/>
  <c r="R59" i="27" s="1"/>
  <c r="U96" i="28"/>
  <c r="R105" i="28" s="1"/>
  <c r="AB77" i="22"/>
  <c r="F12" i="13" s="1"/>
  <c r="X49" i="26"/>
  <c r="AA49" i="26"/>
  <c r="AF49" i="26" s="1"/>
  <c r="AH105" i="22"/>
  <c r="J40" i="13" s="1"/>
  <c r="X524" i="31"/>
  <c r="BB75" i="22"/>
  <c r="AB135" i="22"/>
  <c r="F70" i="13" s="1"/>
  <c r="AA201" i="38"/>
  <c r="AF201" i="38" s="1"/>
  <c r="X201" i="38"/>
  <c r="AH135" i="22"/>
  <c r="J70" i="13" s="1"/>
  <c r="X204" i="38"/>
  <c r="AN107" i="22"/>
  <c r="AH138" i="22"/>
  <c r="J73" i="13" s="1"/>
  <c r="X155" i="40"/>
  <c r="K103" i="13"/>
  <c r="U89" i="50" s="1"/>
  <c r="R89" i="50"/>
  <c r="BN9" i="22"/>
  <c r="AB162" i="22"/>
  <c r="F97" i="13" s="1"/>
  <c r="X113" i="46"/>
  <c r="AA113" i="46"/>
  <c r="AF113" i="46" s="1"/>
  <c r="AH144" i="22"/>
  <c r="J79" i="13" s="1"/>
  <c r="X257" i="41"/>
  <c r="AB83" i="22"/>
  <c r="F18" i="13" s="1"/>
  <c r="X96" i="27"/>
  <c r="AA96" i="27"/>
  <c r="AF96" i="27" s="1"/>
  <c r="CB135" i="22"/>
  <c r="AH93" i="22"/>
  <c r="J28" i="13" s="1"/>
  <c r="X99" i="30"/>
  <c r="BB107" i="22"/>
  <c r="U524" i="41"/>
  <c r="R533" i="41" s="1"/>
  <c r="AH115" i="22"/>
  <c r="J50" i="13" s="1"/>
  <c r="X258" i="34"/>
  <c r="AN129" i="22"/>
  <c r="R256" i="23" a="1"/>
  <c r="R256" i="23" s="1"/>
  <c r="AB256" i="23" s="1"/>
  <c r="AF256" i="23" s="1"/>
  <c r="AJ256" i="23" s="1"/>
  <c r="U50" i="46"/>
  <c r="R59" i="46" s="1"/>
  <c r="AH85" i="22"/>
  <c r="J20" i="13" s="1"/>
  <c r="X99" i="28"/>
  <c r="AH107" i="22"/>
  <c r="J42" i="13" s="1"/>
  <c r="X99" i="32"/>
  <c r="AL120" i="22"/>
  <c r="BB129" i="22"/>
  <c r="CD89" i="22"/>
  <c r="CD90" i="22" s="1"/>
  <c r="CD91" i="22" s="1"/>
  <c r="CN9" i="22" s="1"/>
  <c r="BN11" i="22"/>
  <c r="CD95" i="22"/>
  <c r="CN10" i="22" s="1"/>
  <c r="AH129" i="22"/>
  <c r="J64" i="13" s="1"/>
  <c r="X98" i="37"/>
  <c r="AH160" i="22"/>
  <c r="J95" i="13" s="1"/>
  <c r="X290" i="44"/>
  <c r="U50" i="34"/>
  <c r="R59" i="34" s="1"/>
  <c r="U313" i="31"/>
  <c r="R322" i="31" s="1"/>
  <c r="L46" i="13"/>
  <c r="M46" i="13" s="1"/>
  <c r="U65" i="34" s="1"/>
  <c r="U56" i="34"/>
  <c r="R65" i="34" s="1"/>
  <c r="AH162" i="22"/>
  <c r="J97" i="13" s="1"/>
  <c r="X116" i="46"/>
  <c r="AB152" i="22"/>
  <c r="F87" i="13" s="1"/>
  <c r="AA678" i="41"/>
  <c r="AF678" i="41" s="1"/>
  <c r="X678" i="41"/>
  <c r="U109" i="43"/>
  <c r="R118" i="43" s="1"/>
  <c r="L51" i="13"/>
  <c r="M51" i="13" s="1"/>
  <c r="AH95" i="22"/>
  <c r="J30" i="13" s="1"/>
  <c r="X205" i="30"/>
  <c r="U212" i="46"/>
  <c r="R221" i="46" s="1"/>
  <c r="AL115" i="22"/>
  <c r="X261" i="34"/>
  <c r="AB128" i="22"/>
  <c r="F63" i="13" s="1"/>
  <c r="AA49" i="37"/>
  <c r="AF49" i="37" s="1"/>
  <c r="X49" i="37"/>
  <c r="AH124" i="22"/>
  <c r="J59" i="13" s="1"/>
  <c r="X206" i="35"/>
  <c r="BB176" i="22"/>
  <c r="AB115" i="22"/>
  <c r="F50" i="13" s="1"/>
  <c r="X255" i="34"/>
  <c r="AA255" i="34"/>
  <c r="AF255" i="34" s="1"/>
  <c r="U171" i="29"/>
  <c r="R180" i="29" s="1"/>
  <c r="X119" i="46"/>
  <c r="CB95" i="22"/>
  <c r="AB124" i="22"/>
  <c r="F59" i="13" s="1"/>
  <c r="G59" i="13" s="1"/>
  <c r="X203" i="35"/>
  <c r="AA203" i="35"/>
  <c r="AF203" i="35" s="1"/>
  <c r="AB138" i="22"/>
  <c r="F73" i="13" s="1"/>
  <c r="AA152" i="40"/>
  <c r="AF152" i="40" s="1"/>
  <c r="X152" i="40"/>
  <c r="AB89" i="22"/>
  <c r="F24" i="13" s="1"/>
  <c r="X224" i="29"/>
  <c r="AA224" i="29"/>
  <c r="AF224" i="29" s="1"/>
  <c r="AH89" i="22"/>
  <c r="J24" i="13" s="1"/>
  <c r="X227" i="29"/>
  <c r="U50" i="35"/>
  <c r="R59" i="35" s="1"/>
  <c r="U50" i="40"/>
  <c r="R59" i="40" s="1"/>
  <c r="CD131" i="22"/>
  <c r="CN17" i="22" s="1"/>
  <c r="K49" i="13"/>
  <c r="U214" i="34" s="1"/>
  <c r="U205" i="34"/>
  <c r="R214" i="34" s="1"/>
  <c r="AF108" i="63"/>
  <c r="AJ108" i="63" s="1"/>
  <c r="A168" i="44"/>
  <c r="U40" i="50"/>
  <c r="X40" i="50"/>
  <c r="R196" i="50" a="1"/>
  <c r="R196" i="50" s="1"/>
  <c r="AB196" i="50" s="1"/>
  <c r="AF196" i="50" s="1"/>
  <c r="AJ196" i="50" s="1"/>
  <c r="R202" i="50" a="1"/>
  <c r="R202" i="50" s="1"/>
  <c r="AB202" i="50" s="1"/>
  <c r="AF202" i="50" s="1"/>
  <c r="AJ202" i="50" s="1"/>
  <c r="R197" i="50" a="1"/>
  <c r="R197" i="50" s="1"/>
  <c r="AB197" i="50" s="1"/>
  <c r="AF197" i="50" s="1"/>
  <c r="AJ197" i="50" s="1"/>
  <c r="AF139" i="50"/>
  <c r="AK139" i="50" s="1"/>
  <c r="U139" i="50"/>
  <c r="X36" i="8"/>
  <c r="B36" i="8"/>
  <c r="J36" i="8" s="1"/>
  <c r="O103" i="7" s="1"/>
  <c r="AF76" i="43"/>
  <c r="AK76" i="43" s="1"/>
  <c r="R76" i="43"/>
  <c r="D36" i="8"/>
  <c r="Y36" i="8"/>
  <c r="AJ212" i="8"/>
  <c r="AJ213" i="8" s="1"/>
  <c r="AJ214" i="8" s="1"/>
  <c r="AJ215" i="8" s="1"/>
  <c r="AJ216" i="8" s="1"/>
  <c r="H36" i="8"/>
  <c r="M36" i="8" s="1"/>
  <c r="R103" i="7" s="1"/>
  <c r="P102" i="10" s="1"/>
  <c r="AA36" i="8"/>
  <c r="K35" i="8"/>
  <c r="O151" i="13" s="1"/>
  <c r="Z36" i="8"/>
  <c r="F36" i="8"/>
  <c r="L36" i="8" s="1"/>
  <c r="Q103" i="7" s="1"/>
  <c r="O102" i="10" s="1"/>
  <c r="U76" i="43"/>
  <c r="X76" i="43"/>
  <c r="AF40" i="50"/>
  <c r="AK40" i="50" s="1"/>
  <c r="U325" i="31"/>
  <c r="U427" i="31"/>
  <c r="U536" i="41"/>
  <c r="U160" i="41"/>
  <c r="U267" i="31"/>
  <c r="U637" i="41"/>
  <c r="A111" i="32"/>
  <c r="U111" i="32" s="1"/>
  <c r="A271" i="25"/>
  <c r="AK268" i="25"/>
  <c r="A124" i="43"/>
  <c r="U124" i="43" s="1"/>
  <c r="U121" i="43"/>
  <c r="A330" i="29"/>
  <c r="U330" i="29" s="1"/>
  <c r="A168" i="38"/>
  <c r="U168" i="38" s="1"/>
  <c r="U165" i="38"/>
  <c r="A279" i="29"/>
  <c r="U279" i="29" s="1"/>
  <c r="A216" i="26"/>
  <c r="U216" i="26" s="1"/>
  <c r="A186" i="46"/>
  <c r="U186" i="46" s="1"/>
  <c r="U183" i="46"/>
  <c r="A481" i="41"/>
  <c r="U481" i="41" s="1"/>
  <c r="A64" i="26"/>
  <c r="U64" i="26" s="1"/>
  <c r="U61" i="26"/>
  <c r="A129" i="36"/>
  <c r="A186" i="29"/>
  <c r="U186" i="29" s="1"/>
  <c r="U183" i="29"/>
  <c r="A217" i="30"/>
  <c r="A227" i="46"/>
  <c r="U227" i="46" s="1"/>
  <c r="U224" i="46"/>
  <c r="A65" i="28"/>
  <c r="U65" i="28" s="1"/>
  <c r="U62" i="28"/>
  <c r="A128" i="46"/>
  <c r="U128" i="46" s="1"/>
  <c r="A224" i="40"/>
  <c r="U224" i="40" s="1"/>
  <c r="U221" i="40"/>
  <c r="A128" i="29"/>
  <c r="U128" i="29" s="1"/>
  <c r="A217" i="31"/>
  <c r="U217" i="31" s="1"/>
  <c r="U214" i="31"/>
  <c r="A65" i="33"/>
  <c r="U65" i="33" s="1"/>
  <c r="A383" i="35"/>
  <c r="A184" i="43"/>
  <c r="A64" i="37"/>
  <c r="U64" i="37" s="1"/>
  <c r="U61" i="37"/>
  <c r="A268" i="44"/>
  <c r="A224" i="25"/>
  <c r="U224" i="25" s="1"/>
  <c r="U221" i="25"/>
  <c r="A65" i="35"/>
  <c r="U65" i="35" s="1"/>
  <c r="U62" i="35"/>
  <c r="A64" i="41"/>
  <c r="U64" i="41" s="1"/>
  <c r="U61" i="41"/>
  <c r="A274" i="46"/>
  <c r="A216" i="37"/>
  <c r="A428" i="41"/>
  <c r="U428" i="41" s="1"/>
  <c r="U425" i="41"/>
  <c r="U324" i="41"/>
  <c r="A65" i="36"/>
  <c r="A112" i="26"/>
  <c r="U112" i="26" s="1"/>
  <c r="U109" i="26"/>
  <c r="A168" i="37"/>
  <c r="A225" i="44"/>
  <c r="U225" i="44" s="1"/>
  <c r="U222" i="44"/>
  <c r="A65" i="46"/>
  <c r="U65" i="46" s="1"/>
  <c r="U62" i="46"/>
  <c r="A329" i="35"/>
  <c r="A64" i="44"/>
  <c r="U64" i="44" s="1"/>
  <c r="U61" i="44"/>
  <c r="A239" i="29"/>
  <c r="U239" i="29" s="1"/>
  <c r="A218" i="35"/>
  <c r="U218" i="35" s="1"/>
  <c r="U213" i="41"/>
  <c r="A65" i="29"/>
  <c r="U65" i="29" s="1"/>
  <c r="A127" i="35"/>
  <c r="U127" i="35" s="1"/>
  <c r="U124" i="35"/>
  <c r="U480" i="31"/>
  <c r="A65" i="23"/>
  <c r="U65" i="23" s="1"/>
  <c r="U62" i="23"/>
  <c r="A163" i="23"/>
  <c r="U163" i="23" s="1"/>
  <c r="U160" i="23"/>
  <c r="A65" i="32"/>
  <c r="U65" i="32" s="1"/>
  <c r="U62" i="32"/>
  <c r="A165" i="35"/>
  <c r="U165" i="35" s="1"/>
  <c r="U162" i="35"/>
  <c r="A167" i="40"/>
  <c r="U167" i="40" s="1"/>
  <c r="A276" i="35"/>
  <c r="A186" i="47"/>
  <c r="A111" i="27"/>
  <c r="U111" i="27" s="1"/>
  <c r="A213" i="23"/>
  <c r="U213" i="23" s="1"/>
  <c r="U584" i="41"/>
  <c r="A110" i="38"/>
  <c r="U110" i="38" s="1"/>
  <c r="U372" i="41"/>
  <c r="A116" i="40"/>
  <c r="U116" i="40" s="1"/>
  <c r="U113" i="40"/>
  <c r="A127" i="23"/>
  <c r="U127" i="23" s="1"/>
  <c r="U124" i="23"/>
  <c r="A169" i="30"/>
  <c r="A169" i="25"/>
  <c r="U169" i="25" s="1"/>
  <c r="A110" i="37"/>
  <c r="U110" i="37" s="1"/>
  <c r="A165" i="36"/>
  <c r="A216" i="38"/>
  <c r="U216" i="38" s="1"/>
  <c r="A111" i="28"/>
  <c r="U111" i="28" s="1"/>
  <c r="A164" i="31"/>
  <c r="U164" i="31" s="1"/>
  <c r="U161" i="31"/>
  <c r="U374" i="31"/>
  <c r="A64" i="25"/>
  <c r="U64" i="25" s="1"/>
  <c r="U61" i="25"/>
  <c r="A65" i="31"/>
  <c r="U65" i="31" s="1"/>
  <c r="U62" i="31"/>
  <c r="A161" i="33"/>
  <c r="U161" i="33" s="1"/>
  <c r="A214" i="33"/>
  <c r="U214" i="33" s="1"/>
  <c r="A66" i="30"/>
  <c r="A536" i="31"/>
  <c r="U536" i="31" s="1"/>
  <c r="A169" i="32"/>
  <c r="A110" i="41"/>
  <c r="U110" i="41" s="1"/>
  <c r="U107" i="41"/>
  <c r="A65" i="27"/>
  <c r="U65" i="27" s="1"/>
  <c r="U62" i="27"/>
  <c r="A64" i="43"/>
  <c r="U64" i="43" s="1"/>
  <c r="U61" i="43"/>
  <c r="A65" i="40"/>
  <c r="U65" i="40" s="1"/>
  <c r="U62" i="40"/>
  <c r="A111" i="31"/>
  <c r="U111" i="31" s="1"/>
  <c r="U108" i="31"/>
  <c r="A64" i="38"/>
  <c r="U64" i="38" s="1"/>
  <c r="U61" i="38"/>
  <c r="A115" i="25"/>
  <c r="U115" i="25" s="1"/>
  <c r="U112" i="25"/>
  <c r="A111" i="30"/>
  <c r="A302" i="44"/>
  <c r="A61" i="47"/>
  <c r="A128" i="47"/>
  <c r="AF142" i="50"/>
  <c r="AK142" i="50" s="1"/>
  <c r="X142" i="50"/>
  <c r="AF43" i="50"/>
  <c r="AK43" i="50" s="1"/>
  <c r="X43" i="50"/>
  <c r="U202" i="34"/>
  <c r="R211" i="34" s="1"/>
  <c r="R14" i="18"/>
  <c r="K81" i="19"/>
  <c r="C15" i="18"/>
  <c r="O105" i="13"/>
  <c r="A13" i="10"/>
  <c r="AD128" i="52" l="1"/>
  <c r="BS32" i="52" s="1"/>
  <c r="R124" i="62" s="1" a="1"/>
  <c r="R124" i="62" s="1"/>
  <c r="AB124" i="62" s="1"/>
  <c r="AF124" i="62" s="1"/>
  <c r="AJ124" i="62" s="1"/>
  <c r="AH128" i="52"/>
  <c r="BW32" i="52" s="1"/>
  <c r="AF128" i="52"/>
  <c r="BU32" i="52" s="1"/>
  <c r="R126" i="62" s="1" a="1"/>
  <c r="R126" i="62" s="1"/>
  <c r="AB126" i="62" s="1"/>
  <c r="AF126" i="62" s="1"/>
  <c r="AJ126" i="62" s="1"/>
  <c r="AB128" i="52"/>
  <c r="BQ32" i="52" s="1"/>
  <c r="AE128" i="52"/>
  <c r="BT32" i="52" s="1"/>
  <c r="AC70" i="52"/>
  <c r="AG128" i="52"/>
  <c r="BV32" i="52" s="1"/>
  <c r="R127" i="62" s="1" a="1"/>
  <c r="R127" i="62" s="1"/>
  <c r="AB127" i="62" s="1"/>
  <c r="AF127" i="62" s="1"/>
  <c r="AJ127" i="62" s="1"/>
  <c r="AC128" i="52"/>
  <c r="BR32" i="52" s="1"/>
  <c r="R123" i="62" s="1" a="1"/>
  <c r="R123" i="62" s="1"/>
  <c r="AB123" i="62" s="1"/>
  <c r="AF123" i="62" s="1"/>
  <c r="AJ123" i="62" s="1"/>
  <c r="AE120" i="52"/>
  <c r="AD120" i="52"/>
  <c r="AF120" i="52"/>
  <c r="AH120" i="52"/>
  <c r="AC120" i="52"/>
  <c r="AB120" i="52"/>
  <c r="AG70" i="52"/>
  <c r="BV24" i="52" s="1"/>
  <c r="R219" i="36" s="1" a="1"/>
  <c r="R219" i="36" s="1"/>
  <c r="AB219" i="36" s="1"/>
  <c r="AD70" i="52"/>
  <c r="AF70" i="52"/>
  <c r="AE70" i="52"/>
  <c r="AB70" i="52"/>
  <c r="BY75" i="22"/>
  <c r="BY76" i="22" s="1"/>
  <c r="CI5" i="22" s="1"/>
  <c r="BC31" i="52"/>
  <c r="BD31" i="52"/>
  <c r="BY24" i="52"/>
  <c r="R222" i="36" s="1" a="1"/>
  <c r="R222" i="36" s="1"/>
  <c r="AB222" i="36" s="1"/>
  <c r="AF222" i="36" s="1"/>
  <c r="AJ222" i="36" s="1"/>
  <c r="AX31" i="52"/>
  <c r="BA31" i="52"/>
  <c r="BM33" i="52"/>
  <c r="R118" i="65" a="1"/>
  <c r="R118" i="65" s="1"/>
  <c r="AB118" i="65" s="1"/>
  <c r="AF118" i="65" s="1"/>
  <c r="AJ118" i="65" s="1"/>
  <c r="BU26" i="52"/>
  <c r="BX24" i="52"/>
  <c r="R221" i="36" s="1" a="1"/>
  <c r="R221" i="36" s="1"/>
  <c r="AB221" i="36" s="1"/>
  <c r="AF221" i="36" s="1"/>
  <c r="AJ221" i="36" s="1"/>
  <c r="BB31" i="52"/>
  <c r="W24" i="52"/>
  <c r="BP79" i="22"/>
  <c r="BY79" i="22" s="1"/>
  <c r="BY80" i="22" s="1"/>
  <c r="BY81" i="22" s="1"/>
  <c r="CI6" i="22" s="1"/>
  <c r="AN79" i="22"/>
  <c r="AB79" i="22" s="1"/>
  <c r="AZ31" i="52"/>
  <c r="BO24" i="52"/>
  <c r="R212" i="36" s="1" a="1"/>
  <c r="R212" i="36" s="1"/>
  <c r="AB212" i="36" s="1"/>
  <c r="AF212" i="36" s="1"/>
  <c r="AJ212" i="36" s="1"/>
  <c r="AY31" i="52"/>
  <c r="BN33" i="52"/>
  <c r="R42" i="13"/>
  <c r="L54" i="52"/>
  <c r="CJ18" i="52"/>
  <c r="CH27" i="52"/>
  <c r="CI27" i="52" s="1"/>
  <c r="AQ168" i="10"/>
  <c r="AQ169" i="10" s="1"/>
  <c r="AQ170" i="10" s="1"/>
  <c r="E52" i="52"/>
  <c r="H52" i="52" s="1"/>
  <c r="J54" i="52"/>
  <c r="R104" i="63" a="1"/>
  <c r="R104" i="63" s="1"/>
  <c r="AB104" i="63" s="1"/>
  <c r="AF104" i="63" s="1"/>
  <c r="AJ104" i="63" s="1"/>
  <c r="R102" i="65" a="1"/>
  <c r="R102" i="65" s="1"/>
  <c r="AB102" i="65" s="1"/>
  <c r="AF102" i="65" s="1"/>
  <c r="AJ102" i="65" s="1"/>
  <c r="R119" i="65" a="1"/>
  <c r="R119" i="65" s="1"/>
  <c r="AB119" i="65" s="1"/>
  <c r="AF119" i="65" s="1"/>
  <c r="AJ119" i="65" s="1"/>
  <c r="R157" i="67" a="1"/>
  <c r="R157" i="67" s="1"/>
  <c r="AB157" i="67" s="1"/>
  <c r="AF157" i="67" s="1"/>
  <c r="AJ157" i="67" s="1"/>
  <c r="R315" i="68" a="1"/>
  <c r="R315" i="68" s="1"/>
  <c r="AB315" i="68" s="1"/>
  <c r="AF315" i="68" s="1"/>
  <c r="AJ315" i="68" s="1"/>
  <c r="R90" i="66" a="1"/>
  <c r="R90" i="66" s="1"/>
  <c r="AB90" i="66" s="1"/>
  <c r="AF90" i="66" s="1"/>
  <c r="AJ90" i="66" s="1"/>
  <c r="R101" i="66" a="1"/>
  <c r="R101" i="66" s="1"/>
  <c r="AB101" i="66" s="1"/>
  <c r="AF101" i="66" s="1"/>
  <c r="AJ101" i="66" s="1"/>
  <c r="N54" i="52"/>
  <c r="R116" i="65" a="1"/>
  <c r="R116" i="65" s="1"/>
  <c r="AB116" i="65" s="1"/>
  <c r="AF116" i="65" s="1"/>
  <c r="AJ116" i="65" s="1"/>
  <c r="K54" i="52"/>
  <c r="R156" i="67" a="1"/>
  <c r="R156" i="67" s="1"/>
  <c r="AB156" i="67" s="1"/>
  <c r="AF156" i="67" s="1"/>
  <c r="AJ156" i="67" s="1"/>
  <c r="R314" i="68" a="1"/>
  <c r="R314" i="68" s="1"/>
  <c r="AB314" i="68" s="1"/>
  <c r="AF314" i="68" s="1"/>
  <c r="AJ314" i="68" s="1"/>
  <c r="R112" i="65" a="1"/>
  <c r="R112" i="65" s="1"/>
  <c r="AB112" i="65" s="1"/>
  <c r="AF112" i="65" s="1"/>
  <c r="AJ112" i="65" s="1"/>
  <c r="R158" i="67" a="1"/>
  <c r="R158" i="67" s="1"/>
  <c r="AB158" i="67" s="1"/>
  <c r="AF158" i="67" s="1"/>
  <c r="AJ158" i="67" s="1"/>
  <c r="R316" i="68" a="1"/>
  <c r="R316" i="68" s="1"/>
  <c r="AB316" i="68" s="1"/>
  <c r="AF316" i="68" s="1"/>
  <c r="AJ316" i="68" s="1"/>
  <c r="AW18" i="52"/>
  <c r="R240" i="33" s="1" a="1"/>
  <c r="R240" i="33" s="1"/>
  <c r="AB240" i="33" s="1"/>
  <c r="AF240" i="33" s="1"/>
  <c r="AJ240" i="33" s="1"/>
  <c r="Q54" i="52"/>
  <c r="R122" i="65" a="1"/>
  <c r="R122" i="65" s="1"/>
  <c r="AB122" i="65" s="1"/>
  <c r="AF122" i="65" s="1"/>
  <c r="AJ122" i="65" s="1"/>
  <c r="R115" i="65" a="1"/>
  <c r="R115" i="65" s="1"/>
  <c r="AB115" i="65" s="1"/>
  <c r="AF115" i="65" s="1"/>
  <c r="AJ115" i="65" s="1"/>
  <c r="M54" i="52"/>
  <c r="R117" i="65" a="1"/>
  <c r="R117" i="65" s="1"/>
  <c r="AB117" i="65" s="1"/>
  <c r="AF117" i="65" s="1"/>
  <c r="AJ117" i="65" s="1"/>
  <c r="R54" i="52"/>
  <c r="Z121" i="52"/>
  <c r="AD121" i="52" s="1"/>
  <c r="AI121" i="52"/>
  <c r="BX30" i="52" s="1"/>
  <c r="AJ121" i="52"/>
  <c r="BY30" i="52" s="1"/>
  <c r="BY72" i="22"/>
  <c r="CI4" i="22" s="1"/>
  <c r="BY107" i="22"/>
  <c r="CI12" i="22" s="1"/>
  <c r="U198" i="23"/>
  <c r="R207" i="23" s="1"/>
  <c r="X198" i="23"/>
  <c r="AA198" i="23"/>
  <c r="AF198" i="23" s="1"/>
  <c r="P17" i="55"/>
  <c r="J17" i="55"/>
  <c r="E16" i="18"/>
  <c r="O38" i="8" a="1"/>
  <c r="O38" i="8" s="1"/>
  <c r="Q38" i="8" a="1"/>
  <c r="Q38" i="8" s="1"/>
  <c r="V38" i="8" a="1"/>
  <c r="V38" i="8" s="1"/>
  <c r="I38" i="8" s="1"/>
  <c r="P38" i="8" a="1"/>
  <c r="P38" i="8" s="1"/>
  <c r="C38" i="8" s="1"/>
  <c r="S38" i="8" a="1"/>
  <c r="S38" i="8" s="1"/>
  <c r="U38" i="8" a="1"/>
  <c r="U38" i="8" s="1"/>
  <c r="T38" i="8" a="1"/>
  <c r="T38" i="8" s="1"/>
  <c r="G38" i="8" s="1"/>
  <c r="R38" i="8" a="1"/>
  <c r="R38" i="8" s="1"/>
  <c r="E38" i="8" s="1"/>
  <c r="BA14" i="52"/>
  <c r="BB14" i="52"/>
  <c r="K66" i="52"/>
  <c r="R66" i="52"/>
  <c r="AZ14" i="52"/>
  <c r="N66" i="52"/>
  <c r="O66" i="52"/>
  <c r="Q66" i="52"/>
  <c r="BG14" i="52"/>
  <c r="M66" i="52"/>
  <c r="L66" i="52"/>
  <c r="BC14" i="52"/>
  <c r="AY14" i="52"/>
  <c r="BD14" i="52"/>
  <c r="R190" i="50" s="1" a="1"/>
  <c r="R190" i="50" s="1"/>
  <c r="AB190" i="50" s="1"/>
  <c r="AF190" i="50" s="1"/>
  <c r="AJ190" i="50" s="1"/>
  <c r="BF14" i="52"/>
  <c r="H69" i="52"/>
  <c r="J69" i="52" s="1"/>
  <c r="BT18" i="52"/>
  <c r="R263" i="33" s="1" a="1"/>
  <c r="R263" i="33" s="1"/>
  <c r="AB263" i="33" s="1"/>
  <c r="AF263" i="33" s="1"/>
  <c r="AJ263" i="33" s="1"/>
  <c r="AM81" i="10"/>
  <c r="BS18" i="52"/>
  <c r="R262" i="33" s="1" a="1"/>
  <c r="R262" i="33" s="1"/>
  <c r="AB262" i="33" s="1"/>
  <c r="AF262" i="33" s="1"/>
  <c r="AJ262" i="33" s="1"/>
  <c r="AI123" i="10"/>
  <c r="AK123" i="10" s="1"/>
  <c r="AI115" i="10"/>
  <c r="AK115" i="10" s="1"/>
  <c r="H115" i="10" s="1"/>
  <c r="AL115" i="10" s="1"/>
  <c r="T115" i="10" s="1"/>
  <c r="AI114" i="10"/>
  <c r="AJ114" i="10" s="1"/>
  <c r="AI118" i="10"/>
  <c r="AK118" i="10" s="1"/>
  <c r="AI119" i="10"/>
  <c r="AJ119" i="10" s="1"/>
  <c r="AI122" i="10"/>
  <c r="R49" i="13"/>
  <c r="AI120" i="10"/>
  <c r="AK120" i="10" s="1"/>
  <c r="H120" i="10" s="1"/>
  <c r="Q120" i="10" s="1"/>
  <c r="AL121" i="10"/>
  <c r="T121" i="10" s="1"/>
  <c r="AJ66" i="10"/>
  <c r="AJ67" i="10" s="1"/>
  <c r="AJ68" i="10" s="1"/>
  <c r="AJ69" i="10" s="1"/>
  <c r="BQ18" i="52"/>
  <c r="R260" i="33" s="1" a="1"/>
  <c r="R260" i="33" s="1"/>
  <c r="AB260" i="33" s="1"/>
  <c r="AF260" i="33" s="1"/>
  <c r="AJ260" i="33" s="1"/>
  <c r="AI116" i="10"/>
  <c r="AK116" i="10" s="1"/>
  <c r="H116" i="10" s="1"/>
  <c r="Q116" i="10" s="1"/>
  <c r="N86" i="13"/>
  <c r="G86" i="13" s="1"/>
  <c r="Q68" i="10"/>
  <c r="R48" i="13" s="1"/>
  <c r="AL68" i="10"/>
  <c r="T68" i="10" s="1"/>
  <c r="AG76" i="10"/>
  <c r="AG77" i="10" s="1"/>
  <c r="AI75" i="10" s="1"/>
  <c r="AK75" i="10" s="1"/>
  <c r="O119" i="52"/>
  <c r="BD29" i="52" s="1"/>
  <c r="R119" i="52"/>
  <c r="BG29" i="52" s="1"/>
  <c r="L119" i="52"/>
  <c r="BA29" i="52" s="1"/>
  <c r="M119" i="52"/>
  <c r="BB29" i="52" s="1"/>
  <c r="J119" i="52"/>
  <c r="AY29" i="52" s="1"/>
  <c r="Q119" i="52"/>
  <c r="BF29" i="52" s="1"/>
  <c r="N119" i="52"/>
  <c r="BC29" i="52" s="1"/>
  <c r="K119" i="52"/>
  <c r="AZ29" i="52" s="1"/>
  <c r="Q110" i="52"/>
  <c r="N110" i="52"/>
  <c r="J110" i="52"/>
  <c r="R110" i="52"/>
  <c r="K110" i="52"/>
  <c r="O110" i="52"/>
  <c r="L110" i="52"/>
  <c r="M110" i="52"/>
  <c r="AJ86" i="10"/>
  <c r="AJ87" i="10" s="1"/>
  <c r="AK86" i="10"/>
  <c r="H86" i="10" s="1"/>
  <c r="N46" i="13"/>
  <c r="G46" i="13" s="1"/>
  <c r="Q66" i="10"/>
  <c r="AL66" i="10"/>
  <c r="K103" i="52"/>
  <c r="J103" i="52"/>
  <c r="M103" i="52"/>
  <c r="L103" i="52"/>
  <c r="Q103" i="52"/>
  <c r="R103" i="52"/>
  <c r="O103" i="52"/>
  <c r="N103" i="52"/>
  <c r="R93" i="63" a="1"/>
  <c r="R93" i="63" s="1"/>
  <c r="AB93" i="63" s="1"/>
  <c r="AF93" i="63" s="1"/>
  <c r="AJ93" i="63" s="1"/>
  <c r="J117" i="52"/>
  <c r="AY27" i="52" s="1"/>
  <c r="L117" i="52"/>
  <c r="BA27" i="52" s="1"/>
  <c r="O117" i="52"/>
  <c r="BD27" i="52" s="1"/>
  <c r="K117" i="52"/>
  <c r="AZ27" i="52" s="1"/>
  <c r="R117" i="52"/>
  <c r="BG27" i="52" s="1"/>
  <c r="N117" i="52"/>
  <c r="BC27" i="52" s="1"/>
  <c r="Q117" i="52"/>
  <c r="BF27" i="52" s="1"/>
  <c r="M117" i="52"/>
  <c r="BB27" i="52" s="1"/>
  <c r="AF477" i="34"/>
  <c r="AK477" i="34" s="1"/>
  <c r="X477" i="34"/>
  <c r="G54" i="13"/>
  <c r="U477" i="34" s="1"/>
  <c r="CJ29" i="52"/>
  <c r="P59" i="52"/>
  <c r="H59" i="52"/>
  <c r="M84" i="52"/>
  <c r="J84" i="52"/>
  <c r="O84" i="52"/>
  <c r="Q84" i="52"/>
  <c r="L84" i="52"/>
  <c r="N84" i="52"/>
  <c r="R84" i="52"/>
  <c r="K84" i="52"/>
  <c r="R91" i="65" a="1"/>
  <c r="R91" i="65" s="1"/>
  <c r="AB91" i="65" s="1"/>
  <c r="CJ28" i="52"/>
  <c r="M21" i="52"/>
  <c r="J21" i="52"/>
  <c r="N21" i="52"/>
  <c r="K21" i="52"/>
  <c r="Q21" i="52"/>
  <c r="L21" i="52"/>
  <c r="R21" i="52"/>
  <c r="O21" i="52"/>
  <c r="Q18" i="52"/>
  <c r="J18" i="52"/>
  <c r="L18" i="52"/>
  <c r="O18" i="52"/>
  <c r="R18" i="52"/>
  <c r="N18" i="52"/>
  <c r="K18" i="52"/>
  <c r="M18" i="52"/>
  <c r="AM54" i="10"/>
  <c r="T54" i="10"/>
  <c r="Y51" i="10" s="1"/>
  <c r="AB51" i="10" s="1"/>
  <c r="CH23" i="52"/>
  <c r="CI23" i="52" s="1"/>
  <c r="T77" i="10"/>
  <c r="AM75" i="10"/>
  <c r="AL76" i="10" s="1"/>
  <c r="T75" i="10"/>
  <c r="AK22" i="10"/>
  <c r="H22" i="10" s="1"/>
  <c r="V21" i="10" s="1"/>
  <c r="AJ22" i="10"/>
  <c r="AJ23" i="10" s="1"/>
  <c r="M111" i="52"/>
  <c r="O111" i="52"/>
  <c r="Q111" i="52"/>
  <c r="R111" i="52"/>
  <c r="J111" i="52"/>
  <c r="K111" i="52"/>
  <c r="L111" i="52"/>
  <c r="N111" i="52"/>
  <c r="M99" i="52"/>
  <c r="J99" i="52"/>
  <c r="K99" i="52"/>
  <c r="L99" i="52"/>
  <c r="Q99" i="52"/>
  <c r="R99" i="52"/>
  <c r="N99" i="52"/>
  <c r="O99" i="52"/>
  <c r="H48" i="52"/>
  <c r="P48" i="52"/>
  <c r="Q21" i="10"/>
  <c r="N15" i="13"/>
  <c r="G15" i="13" s="1"/>
  <c r="AL21" i="10"/>
  <c r="R39" i="13"/>
  <c r="E49" i="52"/>
  <c r="V51" i="10"/>
  <c r="N40" i="13"/>
  <c r="G40" i="13" s="1"/>
  <c r="Q55" i="10"/>
  <c r="E64" i="52"/>
  <c r="R54" i="13"/>
  <c r="O118" i="52"/>
  <c r="BD28" i="52" s="1"/>
  <c r="J118" i="52"/>
  <c r="AY28" i="52" s="1"/>
  <c r="K118" i="52"/>
  <c r="AZ28" i="52" s="1"/>
  <c r="R118" i="52"/>
  <c r="BG28" i="52" s="1"/>
  <c r="Q118" i="52"/>
  <c r="BF28" i="52" s="1"/>
  <c r="L118" i="52"/>
  <c r="BA28" i="52" s="1"/>
  <c r="N118" i="52"/>
  <c r="BC28" i="52" s="1"/>
  <c r="M118" i="52"/>
  <c r="BB28" i="52" s="1"/>
  <c r="P63" i="52"/>
  <c r="H63" i="52"/>
  <c r="H56" i="10"/>
  <c r="AH56" i="10" s="1"/>
  <c r="C179" i="10"/>
  <c r="C180" i="10" s="1"/>
  <c r="Q76" i="10"/>
  <c r="W72" i="10" s="1"/>
  <c r="AA72" i="10" s="1"/>
  <c r="N55" i="13"/>
  <c r="L108" i="52"/>
  <c r="N108" i="52"/>
  <c r="K108" i="52"/>
  <c r="M108" i="52"/>
  <c r="O108" i="52"/>
  <c r="J108" i="52"/>
  <c r="R108" i="52"/>
  <c r="Q108" i="52"/>
  <c r="AK137" i="10"/>
  <c r="H137" i="10" s="1"/>
  <c r="V136" i="10" s="1"/>
  <c r="AJ137" i="10"/>
  <c r="AJ138" i="10" s="1"/>
  <c r="N47" i="13"/>
  <c r="G47" i="13" s="1"/>
  <c r="Q67" i="10"/>
  <c r="AL67" i="10"/>
  <c r="T67" i="10" s="1"/>
  <c r="AL93" i="10"/>
  <c r="Q93" i="10"/>
  <c r="N65" i="13"/>
  <c r="Q47" i="52"/>
  <c r="N47" i="52"/>
  <c r="O47" i="52"/>
  <c r="L47" i="52"/>
  <c r="K47" i="52"/>
  <c r="M47" i="52"/>
  <c r="R47" i="52"/>
  <c r="J47" i="52"/>
  <c r="M116" i="52"/>
  <c r="BB26" i="52" s="1"/>
  <c r="L116" i="52"/>
  <c r="BA26" i="52" s="1"/>
  <c r="Q116" i="52"/>
  <c r="BF26" i="52" s="1"/>
  <c r="N116" i="52"/>
  <c r="BC26" i="52" s="1"/>
  <c r="O116" i="52"/>
  <c r="BD26" i="52" s="1"/>
  <c r="R116" i="52"/>
  <c r="BG26" i="52" s="1"/>
  <c r="K116" i="52"/>
  <c r="AZ26" i="52" s="1"/>
  <c r="J116" i="52"/>
  <c r="AY26" i="52" s="1"/>
  <c r="AI108" i="10"/>
  <c r="AI113" i="10"/>
  <c r="AK113" i="10" s="1"/>
  <c r="AI109" i="10"/>
  <c r="AI110" i="10"/>
  <c r="AK110" i="10" s="1"/>
  <c r="H110" i="10" s="1"/>
  <c r="AI111" i="10"/>
  <c r="AK111" i="10" s="1"/>
  <c r="H111" i="10" s="1"/>
  <c r="AK87" i="10"/>
  <c r="H87" i="10" s="1"/>
  <c r="L62" i="52"/>
  <c r="O62" i="52"/>
  <c r="J62" i="52"/>
  <c r="N62" i="52"/>
  <c r="M62" i="52"/>
  <c r="R62" i="52"/>
  <c r="K62" i="52"/>
  <c r="Q62" i="52"/>
  <c r="Q136" i="10"/>
  <c r="AL136" i="10"/>
  <c r="N94" i="13"/>
  <c r="G94" i="13" s="1"/>
  <c r="AK94" i="10"/>
  <c r="H94" i="10" s="1"/>
  <c r="AJ94" i="10"/>
  <c r="AJ95" i="10" s="1"/>
  <c r="L98" i="52"/>
  <c r="N98" i="52"/>
  <c r="K98" i="52"/>
  <c r="J98" i="52"/>
  <c r="Q98" i="52"/>
  <c r="O98" i="52"/>
  <c r="M98" i="52"/>
  <c r="R98" i="52"/>
  <c r="E96" i="52"/>
  <c r="R86" i="13"/>
  <c r="AA88" i="67"/>
  <c r="AF88" i="67" s="1"/>
  <c r="X88" i="67"/>
  <c r="J111" i="13"/>
  <c r="U91" i="67"/>
  <c r="R103" i="67" s="1"/>
  <c r="F110" i="13"/>
  <c r="U48" i="67"/>
  <c r="R57" i="67" s="1"/>
  <c r="AF61" i="63"/>
  <c r="AK61" i="63" s="1"/>
  <c r="X61" i="63"/>
  <c r="U61" i="63"/>
  <c r="R61" i="63"/>
  <c r="A64" i="63"/>
  <c r="BU18" i="52"/>
  <c r="R264" i="33" s="1" a="1"/>
  <c r="R264" i="33" s="1"/>
  <c r="AB264" i="33" s="1"/>
  <c r="AF264" i="33" s="1"/>
  <c r="AJ264" i="33" s="1"/>
  <c r="BW18" i="52"/>
  <c r="R266" i="33" s="1" a="1"/>
  <c r="R266" i="33" s="1"/>
  <c r="AB266" i="33" s="1"/>
  <c r="AF266" i="33" s="1"/>
  <c r="AJ266" i="33" s="1"/>
  <c r="AF208" i="32"/>
  <c r="AJ208" i="32" s="1"/>
  <c r="AF262" i="37"/>
  <c r="AJ262" i="37" s="1"/>
  <c r="AF261" i="37"/>
  <c r="AJ261" i="37" s="1"/>
  <c r="AF260" i="38"/>
  <c r="AJ260" i="38" s="1"/>
  <c r="AJ237" i="33"/>
  <c r="AF248" i="33"/>
  <c r="AJ248" i="33" s="1"/>
  <c r="AB580" i="34"/>
  <c r="AF580" i="34" s="1"/>
  <c r="AJ580" i="34" s="1"/>
  <c r="AF592" i="31"/>
  <c r="AJ592" i="31" s="1"/>
  <c r="U209" i="25"/>
  <c r="R218" i="25" s="1"/>
  <c r="BR18" i="52"/>
  <c r="R261" i="33" s="1" a="1"/>
  <c r="R261" i="33" s="1"/>
  <c r="AB261" i="33" s="1"/>
  <c r="AF261" i="33" s="1"/>
  <c r="AJ261" i="33" s="1"/>
  <c r="U49" i="41"/>
  <c r="R58" i="41" s="1"/>
  <c r="BO8" i="52"/>
  <c r="BV8" i="52"/>
  <c r="R430" i="35" s="1" a="1"/>
  <c r="R430" i="35" s="1"/>
  <c r="AB430" i="35" s="1"/>
  <c r="AF430" i="35" s="1"/>
  <c r="AJ430" i="35" s="1"/>
  <c r="BW16" i="52"/>
  <c r="BY17" i="52"/>
  <c r="R221" i="32" s="1" a="1"/>
  <c r="R221" i="32" s="1"/>
  <c r="AB221" i="32" s="1"/>
  <c r="AF221" i="32" s="1"/>
  <c r="AJ221" i="32" s="1"/>
  <c r="BX7" i="52"/>
  <c r="BY7" i="52"/>
  <c r="BX8" i="52"/>
  <c r="BY10" i="52"/>
  <c r="R273" i="38" s="1" a="1"/>
  <c r="R273" i="38" s="1"/>
  <c r="AB273" i="38" s="1"/>
  <c r="BX10" i="52"/>
  <c r="BX23" i="52"/>
  <c r="R592" i="34" s="1" a="1"/>
  <c r="R592" i="34" s="1"/>
  <c r="AB592" i="34" s="1"/>
  <c r="AF592" i="34" s="1"/>
  <c r="AJ592" i="34" s="1"/>
  <c r="AG110" i="52"/>
  <c r="BV21" i="52" s="1"/>
  <c r="R223" i="47" s="1" a="1"/>
  <c r="R223" i="47" s="1"/>
  <c r="AB223" i="47" s="1"/>
  <c r="AF223" i="47" s="1"/>
  <c r="AJ223" i="47" s="1"/>
  <c r="BO21" i="52"/>
  <c r="BO10" i="52"/>
  <c r="R263" i="38" s="1" a="1"/>
  <c r="R263" i="38" s="1"/>
  <c r="AB263" i="38" s="1"/>
  <c r="AF263" i="38" s="1"/>
  <c r="AJ263" i="38" s="1"/>
  <c r="BU16" i="52"/>
  <c r="BV10" i="52"/>
  <c r="BO12" i="52"/>
  <c r="R583" i="31" s="1" a="1"/>
  <c r="R583" i="31" s="1"/>
  <c r="AB583" i="31" s="1"/>
  <c r="AF583" i="31" s="1"/>
  <c r="AJ583" i="31" s="1"/>
  <c r="R220" i="43" a="1"/>
  <c r="R220" i="43" s="1"/>
  <c r="AB220" i="43" s="1"/>
  <c r="AF220" i="43" s="1"/>
  <c r="AJ220" i="43" s="1"/>
  <c r="BO22" i="52"/>
  <c r="BO20" i="52"/>
  <c r="AG83" i="52"/>
  <c r="AG18" i="52"/>
  <c r="BV12" i="52"/>
  <c r="R590" i="31" s="1" a="1"/>
  <c r="R590" i="31" s="1"/>
  <c r="AB590" i="31" s="1"/>
  <c r="AF590" i="31" s="1"/>
  <c r="AJ590" i="31" s="1"/>
  <c r="BO19" i="52"/>
  <c r="R159" i="27" s="1" a="1"/>
  <c r="R159" i="27" s="1"/>
  <c r="AB159" i="27" s="1"/>
  <c r="AF159" i="27" s="1"/>
  <c r="AJ159" i="27" s="1"/>
  <c r="BO17" i="52"/>
  <c r="R211" i="32" s="1" a="1"/>
  <c r="R211" i="32" s="1"/>
  <c r="AB211" i="32" s="1"/>
  <c r="AF211" i="32" s="1"/>
  <c r="AJ211" i="32" s="1"/>
  <c r="BV22" i="52"/>
  <c r="R323" i="46" s="1" a="1"/>
  <c r="R323" i="46" s="1"/>
  <c r="AB323" i="46" s="1"/>
  <c r="AF323" i="46" s="1"/>
  <c r="AJ323" i="46" s="1"/>
  <c r="R129" i="62" a="1"/>
  <c r="R129" i="62" s="1"/>
  <c r="AB129" i="62" s="1"/>
  <c r="AF129" i="62" s="1"/>
  <c r="AJ129" i="62" s="1"/>
  <c r="R130" i="62" a="1"/>
  <c r="R130" i="62" s="1"/>
  <c r="AB130" i="62" s="1"/>
  <c r="AF130" i="62" s="1"/>
  <c r="AJ130" i="62" s="1"/>
  <c r="BV19" i="52"/>
  <c r="R166" i="27" s="1" a="1"/>
  <c r="R166" i="27" s="1"/>
  <c r="AB166" i="27" s="1"/>
  <c r="AF166" i="27" s="1"/>
  <c r="AJ166" i="27" s="1"/>
  <c r="BV17" i="52"/>
  <c r="R218" i="32" s="1" a="1"/>
  <c r="R218" i="32" s="1"/>
  <c r="AB218" i="32" s="1"/>
  <c r="AF218" i="32" s="1"/>
  <c r="AJ218" i="32" s="1"/>
  <c r="AG22" i="52"/>
  <c r="BY8" i="52"/>
  <c r="BO7" i="52"/>
  <c r="BV7" i="52"/>
  <c r="R747" i="41" s="1" a="1"/>
  <c r="R747" i="41" s="1"/>
  <c r="AB747" i="41" s="1"/>
  <c r="AF747" i="41" s="1"/>
  <c r="AJ747" i="41" s="1"/>
  <c r="BQ16" i="52"/>
  <c r="BO23" i="52"/>
  <c r="R583" i="34" s="1" a="1"/>
  <c r="R583" i="34" s="1"/>
  <c r="AB583" i="34" s="1"/>
  <c r="AF583" i="34" s="1"/>
  <c r="AJ583" i="34" s="1"/>
  <c r="BX17" i="52"/>
  <c r="R220" i="32" s="1" a="1"/>
  <c r="R220" i="32" s="1"/>
  <c r="AB220" i="32" s="1"/>
  <c r="AF220" i="32" s="1"/>
  <c r="AJ220" i="32" s="1"/>
  <c r="BR16" i="52"/>
  <c r="BV23" i="52"/>
  <c r="R590" i="34" s="1" a="1"/>
  <c r="R590" i="34" s="1"/>
  <c r="AB590" i="34" s="1"/>
  <c r="AF590" i="34" s="1"/>
  <c r="AJ590" i="34" s="1"/>
  <c r="BY22" i="52"/>
  <c r="BY20" i="52"/>
  <c r="R121" i="64" a="1"/>
  <c r="R121" i="64" s="1"/>
  <c r="AB121" i="64" s="1"/>
  <c r="AF121" i="64" s="1"/>
  <c r="AJ121" i="64" s="1"/>
  <c r="R122" i="64" a="1"/>
  <c r="R122" i="64" s="1"/>
  <c r="AB122" i="64" s="1"/>
  <c r="AF122" i="64" s="1"/>
  <c r="AJ122" i="64" s="1"/>
  <c r="BT16" i="52"/>
  <c r="R233" i="43" a="1"/>
  <c r="R233" i="43" s="1"/>
  <c r="AB233" i="43" s="1"/>
  <c r="AF233" i="43" s="1"/>
  <c r="AJ233" i="43" s="1"/>
  <c r="R120" i="62" a="1"/>
  <c r="R120" i="62" s="1"/>
  <c r="AB120" i="62" s="1"/>
  <c r="AF120" i="62" s="1"/>
  <c r="AJ120" i="62" s="1"/>
  <c r="R121" i="62" a="1"/>
  <c r="R121" i="62" s="1"/>
  <c r="AB121" i="62" s="1"/>
  <c r="AF121" i="62" s="1"/>
  <c r="AJ121" i="62" s="1"/>
  <c r="R115" i="63" a="1"/>
  <c r="R115" i="63" s="1"/>
  <c r="AB115" i="63" s="1"/>
  <c r="AF115" i="63" s="1"/>
  <c r="AJ115" i="63" s="1"/>
  <c r="R232" i="43" a="1"/>
  <c r="R232" i="43" s="1"/>
  <c r="AB232" i="43" s="1"/>
  <c r="AF232" i="43" s="1"/>
  <c r="AJ232" i="43" s="1"/>
  <c r="R112" i="64" a="1"/>
  <c r="R112" i="64" s="1"/>
  <c r="AB112" i="64" s="1"/>
  <c r="AF112" i="64" s="1"/>
  <c r="AJ112" i="64" s="1"/>
  <c r="R113" i="64" a="1"/>
  <c r="R113" i="64" s="1"/>
  <c r="AB113" i="64" s="1"/>
  <c r="AF113" i="64" s="1"/>
  <c r="AJ113" i="64" s="1"/>
  <c r="Q55" i="52"/>
  <c r="O55" i="52"/>
  <c r="BD18" i="52" s="1"/>
  <c r="R247" i="33" s="1" a="1"/>
  <c r="R247" i="33" s="1"/>
  <c r="AB247" i="33" s="1"/>
  <c r="AF247" i="33" s="1"/>
  <c r="AJ247" i="33" s="1"/>
  <c r="R55" i="52"/>
  <c r="N55" i="52"/>
  <c r="K55" i="52"/>
  <c r="M55" i="52"/>
  <c r="J55" i="52"/>
  <c r="L55" i="52"/>
  <c r="U171" i="46"/>
  <c r="R180" i="46" s="1"/>
  <c r="F98" i="13"/>
  <c r="G98" i="13" s="1"/>
  <c r="AH110" i="52"/>
  <c r="BW21" i="52" s="1"/>
  <c r="AB110" i="52"/>
  <c r="BQ21" i="52" s="1"/>
  <c r="AC110" i="52"/>
  <c r="BR21" i="52" s="1"/>
  <c r="AD110" i="52"/>
  <c r="BS21" i="52" s="1"/>
  <c r="AE110" i="52"/>
  <c r="BT21" i="52" s="1"/>
  <c r="AF110" i="52"/>
  <c r="BU21" i="52" s="1"/>
  <c r="AB18" i="52"/>
  <c r="AD18" i="52"/>
  <c r="AC18" i="52"/>
  <c r="AE18" i="52"/>
  <c r="AF18" i="52"/>
  <c r="AH18" i="52"/>
  <c r="F100" i="13"/>
  <c r="G100" i="13" s="1"/>
  <c r="U49" i="47"/>
  <c r="R58" i="47" s="1"/>
  <c r="F8" i="13"/>
  <c r="G8" i="13" s="1"/>
  <c r="U49" i="25"/>
  <c r="R58" i="25" s="1"/>
  <c r="AD108" i="52"/>
  <c r="BS22" i="52" s="1"/>
  <c r="AC108" i="52"/>
  <c r="BR22" i="52" s="1"/>
  <c r="AH108" i="52"/>
  <c r="BW22" i="52" s="1"/>
  <c r="AE108" i="52"/>
  <c r="BT22" i="52" s="1"/>
  <c r="AF108" i="52"/>
  <c r="BU22" i="52" s="1"/>
  <c r="AB108" i="52"/>
  <c r="BQ22" i="52" s="1"/>
  <c r="AB80" i="52"/>
  <c r="AD80" i="52"/>
  <c r="AC80" i="52"/>
  <c r="AE80" i="52"/>
  <c r="AF80" i="52"/>
  <c r="AH80" i="52"/>
  <c r="AB34" i="52"/>
  <c r="AF34" i="52"/>
  <c r="AE34" i="52"/>
  <c r="AC34" i="52"/>
  <c r="AH34" i="52"/>
  <c r="AD34" i="52"/>
  <c r="AB102" i="52"/>
  <c r="AE102" i="52"/>
  <c r="AC102" i="52"/>
  <c r="AD102" i="52"/>
  <c r="AF102" i="52"/>
  <c r="AH102" i="52"/>
  <c r="AE40" i="52"/>
  <c r="AH40" i="52"/>
  <c r="AB40" i="52"/>
  <c r="AD40" i="52"/>
  <c r="AF40" i="52"/>
  <c r="AC40" i="52"/>
  <c r="AC50" i="52"/>
  <c r="BR12" i="52" s="1"/>
  <c r="R586" i="31" s="1" a="1"/>
  <c r="R586" i="31" s="1"/>
  <c r="AB586" i="31" s="1"/>
  <c r="AF586" i="31" s="1"/>
  <c r="AJ586" i="31" s="1"/>
  <c r="AE50" i="52"/>
  <c r="BT12" i="52" s="1"/>
  <c r="R588" i="31" s="1" a="1"/>
  <c r="R588" i="31" s="1"/>
  <c r="AB588" i="31" s="1"/>
  <c r="AF588" i="31" s="1"/>
  <c r="AJ588" i="31" s="1"/>
  <c r="AD50" i="52"/>
  <c r="BS12" i="52" s="1"/>
  <c r="R587" i="31" s="1" a="1"/>
  <c r="R587" i="31" s="1"/>
  <c r="AB587" i="31" s="1"/>
  <c r="AF587" i="31" s="1"/>
  <c r="AJ587" i="31" s="1"/>
  <c r="AF50" i="52"/>
  <c r="BU12" i="52" s="1"/>
  <c r="R589" i="31" s="1" a="1"/>
  <c r="R589" i="31" s="1"/>
  <c r="AB589" i="31" s="1"/>
  <c r="AF589" i="31" s="1"/>
  <c r="AJ589" i="31" s="1"/>
  <c r="AH50" i="52"/>
  <c r="BW12" i="52" s="1"/>
  <c r="R591" i="31" s="1" a="1"/>
  <c r="R591" i="31" s="1"/>
  <c r="AB591" i="31" s="1"/>
  <c r="AF591" i="31" s="1"/>
  <c r="AJ591" i="31" s="1"/>
  <c r="AB50" i="52"/>
  <c r="BQ12" i="52" s="1"/>
  <c r="R585" i="31" s="1" a="1"/>
  <c r="R585" i="31" s="1"/>
  <c r="AB585" i="31" s="1"/>
  <c r="AF585" i="31" s="1"/>
  <c r="AJ585" i="31" s="1"/>
  <c r="AE52" i="52"/>
  <c r="AD52" i="52"/>
  <c r="BS17" i="52" s="1"/>
  <c r="R215" i="32" s="1" a="1"/>
  <c r="R215" i="32" s="1"/>
  <c r="AB215" i="32" s="1"/>
  <c r="AF215" i="32" s="1"/>
  <c r="AJ215" i="32" s="1"/>
  <c r="AF52" i="52"/>
  <c r="BU17" i="52" s="1"/>
  <c r="R217" i="32" s="1" a="1"/>
  <c r="R217" i="32" s="1"/>
  <c r="AB217" i="32" s="1"/>
  <c r="AF217" i="32" s="1"/>
  <c r="AJ217" i="32" s="1"/>
  <c r="AB52" i="52"/>
  <c r="BQ17" i="52" s="1"/>
  <c r="R213" i="32" s="1" a="1"/>
  <c r="R213" i="32" s="1"/>
  <c r="AB213" i="32" s="1"/>
  <c r="AF213" i="32" s="1"/>
  <c r="AJ213" i="32" s="1"/>
  <c r="AC52" i="52"/>
  <c r="AH52" i="52"/>
  <c r="AB65" i="52"/>
  <c r="AC65" i="52"/>
  <c r="AD65" i="52"/>
  <c r="AE65" i="52"/>
  <c r="AF65" i="52"/>
  <c r="AH65" i="52"/>
  <c r="AB19" i="52"/>
  <c r="AF19" i="52"/>
  <c r="AC19" i="52"/>
  <c r="AD19" i="52"/>
  <c r="AH19" i="52"/>
  <c r="AE19" i="52"/>
  <c r="AF22" i="52"/>
  <c r="AB22" i="52"/>
  <c r="AH22" i="52"/>
  <c r="AC22" i="52"/>
  <c r="AE22" i="52"/>
  <c r="AD22" i="52"/>
  <c r="AF78" i="52"/>
  <c r="AH78" i="52"/>
  <c r="AB78" i="52"/>
  <c r="AC78" i="52"/>
  <c r="AD78" i="52"/>
  <c r="AE78" i="52"/>
  <c r="AE28" i="52"/>
  <c r="BT19" i="52" s="1"/>
  <c r="R164" i="27" s="1" a="1"/>
  <c r="R164" i="27" s="1"/>
  <c r="AB164" i="27" s="1"/>
  <c r="AF164" i="27" s="1"/>
  <c r="AJ164" i="27" s="1"/>
  <c r="AD28" i="52"/>
  <c r="BS19" i="52" s="1"/>
  <c r="R163" i="27" s="1" a="1"/>
  <c r="R163" i="27" s="1"/>
  <c r="AB163" i="27" s="1"/>
  <c r="AF163" i="27" s="1"/>
  <c r="AJ163" i="27" s="1"/>
  <c r="AC28" i="52"/>
  <c r="BR19" i="52" s="1"/>
  <c r="R162" i="27" s="1" a="1"/>
  <c r="R162" i="27" s="1"/>
  <c r="AB162" i="27" s="1"/>
  <c r="AF162" i="27" s="1"/>
  <c r="AJ162" i="27" s="1"/>
  <c r="AF28" i="52"/>
  <c r="BU19" i="52" s="1"/>
  <c r="R165" i="27" s="1" a="1"/>
  <c r="R165" i="27" s="1"/>
  <c r="AB165" i="27" s="1"/>
  <c r="AF165" i="27" s="1"/>
  <c r="AJ165" i="27" s="1"/>
  <c r="AB28" i="52"/>
  <c r="BQ19" i="52" s="1"/>
  <c r="R161" i="27" s="1" a="1"/>
  <c r="R161" i="27" s="1"/>
  <c r="AB161" i="27" s="1"/>
  <c r="AF161" i="27" s="1"/>
  <c r="AJ161" i="27" s="1"/>
  <c r="AH28" i="52"/>
  <c r="BW19" i="52" s="1"/>
  <c r="R167" i="27" s="1" a="1"/>
  <c r="R167" i="27" s="1"/>
  <c r="AB167" i="27" s="1"/>
  <c r="AF167" i="27" s="1"/>
  <c r="AJ167" i="27" s="1"/>
  <c r="AE72" i="52"/>
  <c r="AB72" i="52"/>
  <c r="AF72" i="52"/>
  <c r="AH72" i="52"/>
  <c r="BW24" i="52" s="1"/>
  <c r="AC72" i="52"/>
  <c r="AD72" i="52"/>
  <c r="AB93" i="52"/>
  <c r="AC93" i="52"/>
  <c r="AD93" i="52"/>
  <c r="AE93" i="52"/>
  <c r="AF93" i="52"/>
  <c r="AH93" i="52"/>
  <c r="AC17" i="52"/>
  <c r="AF17" i="52"/>
  <c r="AH17" i="52"/>
  <c r="AB17" i="52"/>
  <c r="AD17" i="52"/>
  <c r="AE17" i="52"/>
  <c r="Z74" i="52"/>
  <c r="AJ74" i="52"/>
  <c r="AI74" i="52"/>
  <c r="Z20" i="52"/>
  <c r="AG20" i="52" s="1"/>
  <c r="AJ20" i="52"/>
  <c r="AI20" i="52"/>
  <c r="AE83" i="52"/>
  <c r="AH83" i="52"/>
  <c r="BW25" i="52" s="1"/>
  <c r="AF83" i="52"/>
  <c r="AD83" i="52"/>
  <c r="AB83" i="52"/>
  <c r="BQ25" i="52" s="1"/>
  <c r="AC83" i="52"/>
  <c r="BR25" i="52" s="1"/>
  <c r="AD97" i="52"/>
  <c r="AH97" i="52"/>
  <c r="AF97" i="52"/>
  <c r="AC97" i="52"/>
  <c r="AB97" i="52"/>
  <c r="AE97" i="52"/>
  <c r="AB60" i="52"/>
  <c r="AF60" i="52"/>
  <c r="AH60" i="52"/>
  <c r="AE60" i="52"/>
  <c r="AC60" i="52"/>
  <c r="AD60" i="52"/>
  <c r="AD69" i="52"/>
  <c r="AE69" i="52"/>
  <c r="AF69" i="52"/>
  <c r="BU8" i="52" s="1"/>
  <c r="AH69" i="52"/>
  <c r="BW8" i="52" s="1"/>
  <c r="AB69" i="52"/>
  <c r="AC69" i="52"/>
  <c r="BR8" i="52" s="1"/>
  <c r="AB89" i="52"/>
  <c r="AC89" i="52"/>
  <c r="AE89" i="52"/>
  <c r="AD89" i="52"/>
  <c r="AF89" i="52"/>
  <c r="AH89" i="52"/>
  <c r="CL20" i="22"/>
  <c r="CL11" i="22"/>
  <c r="CL18" i="22"/>
  <c r="CL22" i="22"/>
  <c r="CL10" i="22"/>
  <c r="CL14" i="22"/>
  <c r="CL9" i="22"/>
  <c r="CL17" i="22"/>
  <c r="CM28" i="22"/>
  <c r="CN28" i="22"/>
  <c r="R199" i="50" a="1"/>
  <c r="R199" i="50" s="1"/>
  <c r="AB199" i="50" s="1"/>
  <c r="AF199" i="50" s="1"/>
  <c r="AJ199" i="50" s="1"/>
  <c r="R203" i="50" a="1"/>
  <c r="R203" i="50" s="1"/>
  <c r="AB203" i="50" s="1"/>
  <c r="AF203" i="50" s="1"/>
  <c r="AJ203" i="50" s="1"/>
  <c r="AJ34" i="10"/>
  <c r="AJ35" i="10" s="1"/>
  <c r="H146" i="13"/>
  <c r="R76" i="40" s="1"/>
  <c r="N23" i="13"/>
  <c r="G23" i="13" s="1"/>
  <c r="AL33" i="10"/>
  <c r="Q33" i="10"/>
  <c r="E33" i="52" s="1"/>
  <c r="N24" i="13"/>
  <c r="G24" i="13" s="1"/>
  <c r="Q34" i="10"/>
  <c r="R211" i="50" a="1"/>
  <c r="R211" i="50" s="1"/>
  <c r="AB211" i="50" s="1"/>
  <c r="AF211" i="50" s="1"/>
  <c r="AJ211" i="50" s="1"/>
  <c r="R201" i="50" a="1"/>
  <c r="R201" i="50" s="1"/>
  <c r="AB201" i="50" s="1"/>
  <c r="AF201" i="50" s="1"/>
  <c r="AJ201" i="50" s="1"/>
  <c r="U227" i="29"/>
  <c r="R236" i="29" s="1"/>
  <c r="K24" i="13"/>
  <c r="U236" i="29" s="1"/>
  <c r="AB107" i="22"/>
  <c r="F42" i="13" s="1"/>
  <c r="G42" i="13" s="1"/>
  <c r="X96" i="32"/>
  <c r="AA96" i="32"/>
  <c r="AF96" i="32" s="1"/>
  <c r="U521" i="31"/>
  <c r="R530" i="31" s="1"/>
  <c r="U254" i="41"/>
  <c r="R263" i="41" s="1"/>
  <c r="U95" i="38"/>
  <c r="R104" i="38" s="1"/>
  <c r="U678" i="41"/>
  <c r="R687" i="41" s="1"/>
  <c r="L55" i="13"/>
  <c r="M55" i="13" s="1"/>
  <c r="U536" i="34" s="1"/>
  <c r="U113" i="46"/>
  <c r="R122" i="46" s="1"/>
  <c r="U204" i="38"/>
  <c r="R213" i="38" s="1"/>
  <c r="K70" i="13"/>
  <c r="U213" i="38" s="1"/>
  <c r="K40" i="13"/>
  <c r="U533" i="31" s="1"/>
  <c r="U524" i="31"/>
  <c r="R533" i="31" s="1"/>
  <c r="U203" i="35"/>
  <c r="R212" i="35" s="1"/>
  <c r="K59" i="13"/>
  <c r="U215" i="35" s="1"/>
  <c r="U206" i="35"/>
  <c r="R215" i="35" s="1"/>
  <c r="U116" i="46"/>
  <c r="R125" i="46" s="1"/>
  <c r="K97" i="13"/>
  <c r="U125" i="46" s="1"/>
  <c r="K83" i="13"/>
  <c r="U478" i="41" s="1"/>
  <c r="U469" i="41"/>
  <c r="R478" i="41" s="1"/>
  <c r="U100" i="25"/>
  <c r="R109" i="25" s="1"/>
  <c r="AB129" i="22"/>
  <c r="F64" i="13" s="1"/>
  <c r="AA95" i="37"/>
  <c r="AF95" i="37" s="1"/>
  <c r="X95" i="37"/>
  <c r="K10" i="13"/>
  <c r="U166" i="25" s="1"/>
  <c r="U157" i="25"/>
  <c r="R166" i="25" s="1"/>
  <c r="U201" i="38"/>
  <c r="R210" i="38" s="1"/>
  <c r="U49" i="37"/>
  <c r="R58" i="37" s="1"/>
  <c r="K42" i="13"/>
  <c r="U108" i="32" s="1"/>
  <c r="U99" i="32"/>
  <c r="R108" i="32" s="1"/>
  <c r="U201" i="23"/>
  <c r="R210" i="23" s="1"/>
  <c r="K7" i="13"/>
  <c r="U210" i="23" s="1"/>
  <c r="K18" i="13"/>
  <c r="U108" i="27" s="1"/>
  <c r="U99" i="27"/>
  <c r="R108" i="27" s="1"/>
  <c r="K68" i="13"/>
  <c r="U107" i="38" s="1"/>
  <c r="U98" i="38"/>
  <c r="R107" i="38" s="1"/>
  <c r="U224" i="29"/>
  <c r="R233" i="29" s="1"/>
  <c r="K64" i="13"/>
  <c r="U107" i="37" s="1"/>
  <c r="U98" i="37"/>
  <c r="R107" i="37" s="1"/>
  <c r="U49" i="26"/>
  <c r="R58" i="26" s="1"/>
  <c r="U50" i="32"/>
  <c r="R59" i="32" s="1"/>
  <c r="L50" i="13"/>
  <c r="M50" i="13" s="1"/>
  <c r="U270" i="34" s="1"/>
  <c r="U261" i="34"/>
  <c r="R270" i="34" s="1"/>
  <c r="K20" i="13"/>
  <c r="U108" i="28" s="1"/>
  <c r="U99" i="28"/>
  <c r="R108" i="28" s="1"/>
  <c r="U466" i="41"/>
  <c r="R475" i="41" s="1"/>
  <c r="U96" i="27"/>
  <c r="R105" i="27" s="1"/>
  <c r="K87" i="13"/>
  <c r="U690" i="41" s="1"/>
  <c r="U681" i="41"/>
  <c r="R690" i="41" s="1"/>
  <c r="U152" i="40"/>
  <c r="R161" i="40" s="1"/>
  <c r="U255" i="34"/>
  <c r="R264" i="34" s="1"/>
  <c r="K50" i="13"/>
  <c r="U267" i="34" s="1"/>
  <c r="U258" i="34"/>
  <c r="R267" i="34" s="1"/>
  <c r="K73" i="13"/>
  <c r="U164" i="40" s="1"/>
  <c r="U155" i="40"/>
  <c r="R164" i="40" s="1"/>
  <c r="AB75" i="22"/>
  <c r="F10" i="13" s="1"/>
  <c r="X154" i="25"/>
  <c r="AA154" i="25"/>
  <c r="AF154" i="25" s="1"/>
  <c r="K55" i="13"/>
  <c r="U533" i="34" s="1"/>
  <c r="K79" i="13"/>
  <c r="U266" i="41" s="1"/>
  <c r="U257" i="41"/>
  <c r="R266" i="41" s="1"/>
  <c r="B74" i="8"/>
  <c r="J74" i="8" s="1"/>
  <c r="J125" i="7" s="1"/>
  <c r="AF124" i="10" s="1"/>
  <c r="X74" i="8"/>
  <c r="K36" i="8"/>
  <c r="D74" i="8"/>
  <c r="K74" i="8" s="1"/>
  <c r="K125" i="7" s="1"/>
  <c r="I124" i="10" s="1"/>
  <c r="Y74" i="8"/>
  <c r="F74" i="8"/>
  <c r="L74" i="8" s="1"/>
  <c r="L125" i="7" s="1"/>
  <c r="J124" i="10" s="1"/>
  <c r="Z74" i="8"/>
  <c r="P125" i="7"/>
  <c r="U76" i="40"/>
  <c r="H74" i="8"/>
  <c r="M74" i="8" s="1"/>
  <c r="M125" i="7" s="1"/>
  <c r="K124" i="10" s="1"/>
  <c r="AA74" i="8"/>
  <c r="AJ217" i="8"/>
  <c r="AJ218" i="8" s="1"/>
  <c r="AJ219" i="8" s="1"/>
  <c r="AJ220" i="8" s="1"/>
  <c r="AJ221" i="8" s="1"/>
  <c r="A131" i="47"/>
  <c r="U131" i="47" s="1"/>
  <c r="U128" i="47"/>
  <c r="X128" i="47"/>
  <c r="AF128" i="47"/>
  <c r="AK128" i="47" s="1"/>
  <c r="AK271" i="25"/>
  <c r="A64" i="47"/>
  <c r="U64" i="47" s="1"/>
  <c r="U61" i="47"/>
  <c r="X61" i="47"/>
  <c r="AF61" i="47"/>
  <c r="AK61" i="47" s="1"/>
  <c r="K15" i="18"/>
  <c r="D17" i="55" s="1"/>
  <c r="B16" i="18"/>
  <c r="O6" i="13"/>
  <c r="O5" i="13"/>
  <c r="A14" i="10"/>
  <c r="BS30" i="52" l="1"/>
  <c r="R163" i="67" s="1" a="1"/>
  <c r="R163" i="67" s="1"/>
  <c r="AB163" i="67" s="1"/>
  <c r="AF163" i="67" s="1"/>
  <c r="AJ163" i="67" s="1"/>
  <c r="BS24" i="52"/>
  <c r="R216" i="36" s="1" a="1"/>
  <c r="R216" i="36" s="1"/>
  <c r="AB216" i="36" s="1"/>
  <c r="AF216" i="36" s="1"/>
  <c r="AJ216" i="36" s="1"/>
  <c r="BT24" i="52"/>
  <c r="R217" i="36" s="1" a="1"/>
  <c r="R217" i="36" s="1"/>
  <c r="AB217" i="36" s="1"/>
  <c r="AF217" i="36" s="1"/>
  <c r="AJ217" i="36" s="1"/>
  <c r="AH121" i="52"/>
  <c r="BW30" i="52" s="1"/>
  <c r="R167" i="67" s="1" a="1"/>
  <c r="R167" i="67" s="1"/>
  <c r="AB167" i="67" s="1"/>
  <c r="AF167" i="67" s="1"/>
  <c r="AJ167" i="67" s="1"/>
  <c r="AC121" i="52"/>
  <c r="BR30" i="52" s="1"/>
  <c r="AF121" i="52"/>
  <c r="BU30" i="52" s="1"/>
  <c r="BO30" i="52"/>
  <c r="R159" i="67" s="1" a="1"/>
  <c r="R159" i="67" s="1"/>
  <c r="AB159" i="67" s="1"/>
  <c r="AF159" i="67" s="1"/>
  <c r="AJ159" i="67" s="1"/>
  <c r="BA18" i="52"/>
  <c r="R244" i="33" s="1" a="1"/>
  <c r="R244" i="33" s="1"/>
  <c r="AB244" i="33" s="1"/>
  <c r="AF244" i="33" s="1"/>
  <c r="AJ244" i="33" s="1"/>
  <c r="AE121" i="52"/>
  <c r="BT30" i="52" s="1"/>
  <c r="CH31" i="52"/>
  <c r="CI31" i="52" s="1"/>
  <c r="CH30" i="52"/>
  <c r="CI30" i="52" s="1"/>
  <c r="AB121" i="52"/>
  <c r="BQ30" i="52" s="1"/>
  <c r="R161" i="67" s="1" a="1"/>
  <c r="R161" i="67" s="1"/>
  <c r="AB161" i="67" s="1"/>
  <c r="AF161" i="67" s="1"/>
  <c r="AJ161" i="67" s="1"/>
  <c r="R119" i="64" a="1"/>
  <c r="R119" i="64" s="1"/>
  <c r="AB119" i="64" s="1"/>
  <c r="AF119" i="64" s="1"/>
  <c r="AJ119" i="64" s="1"/>
  <c r="BV25" i="52"/>
  <c r="R276" i="40" s="1" a="1"/>
  <c r="R276" i="40" s="1"/>
  <c r="AB276" i="40" s="1"/>
  <c r="AF276" i="40" s="1"/>
  <c r="AJ276" i="40" s="1"/>
  <c r="R220" i="36" a="1"/>
  <c r="R220" i="36" s="1"/>
  <c r="AB220" i="36" s="1"/>
  <c r="AF220" i="36" s="1"/>
  <c r="AJ220" i="36" s="1"/>
  <c r="R116" i="64" a="1"/>
  <c r="R116" i="64" s="1"/>
  <c r="AB116" i="64" s="1"/>
  <c r="AF116" i="64" s="1"/>
  <c r="AJ116" i="64" s="1"/>
  <c r="BS25" i="52"/>
  <c r="R118" i="64" a="1"/>
  <c r="R118" i="64" s="1"/>
  <c r="AB118" i="64" s="1"/>
  <c r="AF118" i="64" s="1"/>
  <c r="AJ118" i="64" s="1"/>
  <c r="BU25" i="52"/>
  <c r="BR24" i="52"/>
  <c r="Z24" i="52"/>
  <c r="AI24" i="52"/>
  <c r="BX13" i="52" s="1"/>
  <c r="R272" i="26" s="1" a="1"/>
  <c r="R272" i="26" s="1"/>
  <c r="AB272" i="26" s="1"/>
  <c r="AF272" i="26" s="1"/>
  <c r="AJ272" i="26" s="1"/>
  <c r="AJ24" i="52"/>
  <c r="BY13" i="52" s="1"/>
  <c r="R273" i="26" s="1" a="1"/>
  <c r="R273" i="26" s="1"/>
  <c r="AB273" i="26" s="1"/>
  <c r="AF273" i="26" s="1"/>
  <c r="AJ273" i="26" s="1"/>
  <c r="BL13" i="52"/>
  <c r="R260" i="26" s="1" a="1"/>
  <c r="R260" i="26" s="1"/>
  <c r="AB260" i="26" s="1"/>
  <c r="AF260" i="26" s="1"/>
  <c r="AJ260" i="26" s="1"/>
  <c r="R117" i="64" a="1"/>
  <c r="R117" i="64" s="1"/>
  <c r="AB117" i="64" s="1"/>
  <c r="AF117" i="64" s="1"/>
  <c r="AJ117" i="64" s="1"/>
  <c r="BT25" i="52"/>
  <c r="AG121" i="52"/>
  <c r="BV30" i="52" s="1"/>
  <c r="R166" i="67" s="1" a="1"/>
  <c r="R166" i="67" s="1"/>
  <c r="AB166" i="67" s="1"/>
  <c r="AF166" i="67" s="1"/>
  <c r="AJ166" i="67" s="1"/>
  <c r="BU24" i="52"/>
  <c r="R218" i="36" s="1" a="1"/>
  <c r="R218" i="36" s="1"/>
  <c r="AB218" i="36" s="1"/>
  <c r="AF218" i="36" s="1"/>
  <c r="AJ218" i="36" s="1"/>
  <c r="AA150" i="26"/>
  <c r="AF150" i="26" s="1"/>
  <c r="X150" i="26"/>
  <c r="BQ24" i="52"/>
  <c r="BG18" i="52"/>
  <c r="R250" i="33" s="1" a="1"/>
  <c r="R250" i="33" s="1"/>
  <c r="AB250" i="33" s="1"/>
  <c r="AF250" i="33" s="1"/>
  <c r="AJ250" i="33" s="1"/>
  <c r="P52" i="52"/>
  <c r="AY18" i="52"/>
  <c r="R242" i="33" s="1" a="1"/>
  <c r="R242" i="33" s="1"/>
  <c r="AB242" i="33" s="1"/>
  <c r="AF242" i="33" s="1"/>
  <c r="AJ242" i="33" s="1"/>
  <c r="R97" i="66" a="1"/>
  <c r="R97" i="66" s="1"/>
  <c r="AB97" i="66" s="1"/>
  <c r="AF97" i="66" s="1"/>
  <c r="AJ97" i="66" s="1"/>
  <c r="BC18" i="52"/>
  <c r="R246" i="33" s="1" a="1"/>
  <c r="R246" i="33" s="1"/>
  <c r="AB246" i="33" s="1"/>
  <c r="AF246" i="33" s="1"/>
  <c r="AJ246" i="33" s="1"/>
  <c r="BF18" i="52"/>
  <c r="R249" i="33" s="1" a="1"/>
  <c r="R249" i="33" s="1"/>
  <c r="AB249" i="33" s="1"/>
  <c r="AF249" i="33" s="1"/>
  <c r="AJ249" i="33" s="1"/>
  <c r="R100" i="63" a="1"/>
  <c r="R100" i="63" s="1"/>
  <c r="AB100" i="63" s="1"/>
  <c r="AF100" i="63" s="1"/>
  <c r="AJ100" i="63" s="1"/>
  <c r="R98" i="66" a="1"/>
  <c r="R98" i="66" s="1"/>
  <c r="AB98" i="66" s="1"/>
  <c r="AF98" i="66" s="1"/>
  <c r="AJ98" i="66" s="1"/>
  <c r="R102" i="66" a="1"/>
  <c r="R102" i="66" s="1"/>
  <c r="AB102" i="66" s="1"/>
  <c r="AF102" i="66" s="1"/>
  <c r="AJ102" i="66" s="1"/>
  <c r="R93" i="66" a="1"/>
  <c r="R93" i="66" s="1"/>
  <c r="AB93" i="66" s="1"/>
  <c r="AF93" i="66" s="1"/>
  <c r="AJ93" i="66" s="1"/>
  <c r="R104" i="65" a="1"/>
  <c r="R104" i="65" s="1"/>
  <c r="AB104" i="65" s="1"/>
  <c r="AF104" i="65" s="1"/>
  <c r="AJ104" i="65" s="1"/>
  <c r="R97" i="65" a="1"/>
  <c r="R97" i="65" s="1"/>
  <c r="AB97" i="65" s="1"/>
  <c r="AF97" i="65" s="1"/>
  <c r="AJ97" i="65" s="1"/>
  <c r="R106" i="63" a="1"/>
  <c r="R106" i="63" s="1"/>
  <c r="AB106" i="63" s="1"/>
  <c r="AF106" i="63" s="1"/>
  <c r="AJ106" i="63" s="1"/>
  <c r="R99" i="66" a="1"/>
  <c r="R99" i="66" s="1"/>
  <c r="AB99" i="66" s="1"/>
  <c r="AF99" i="66" s="1"/>
  <c r="AJ99" i="66" s="1"/>
  <c r="R103" i="63" a="1"/>
  <c r="R103" i="63" s="1"/>
  <c r="AB103" i="63" s="1"/>
  <c r="AF103" i="63" s="1"/>
  <c r="AJ103" i="63" s="1"/>
  <c r="R98" i="65" a="1"/>
  <c r="R98" i="65" s="1"/>
  <c r="AB98" i="65" s="1"/>
  <c r="AF98" i="65" s="1"/>
  <c r="AJ98" i="65" s="1"/>
  <c r="R96" i="65" a="1"/>
  <c r="R96" i="65" s="1"/>
  <c r="AB96" i="65" s="1"/>
  <c r="AF96" i="65" s="1"/>
  <c r="AJ96" i="65" s="1"/>
  <c r="R115" i="64" a="1"/>
  <c r="R115" i="64" s="1"/>
  <c r="AB115" i="64" s="1"/>
  <c r="AF115" i="64" s="1"/>
  <c r="AJ115" i="64" s="1"/>
  <c r="R96" i="66" a="1"/>
  <c r="R96" i="66" s="1"/>
  <c r="AB96" i="66" s="1"/>
  <c r="AF96" i="66" s="1"/>
  <c r="AJ96" i="66" s="1"/>
  <c r="R300" i="68" a="1"/>
  <c r="R300" i="68" s="1"/>
  <c r="AB300" i="68" s="1"/>
  <c r="AF300" i="68" s="1"/>
  <c r="AJ300" i="68" s="1"/>
  <c r="R103" i="62" a="1"/>
  <c r="R103" i="62" s="1"/>
  <c r="AB103" i="62" s="1"/>
  <c r="AF103" i="62" s="1"/>
  <c r="AJ103" i="62" s="1"/>
  <c r="R95" i="66" a="1"/>
  <c r="R95" i="66" s="1"/>
  <c r="AB95" i="66" s="1"/>
  <c r="AF95" i="66" s="1"/>
  <c r="AJ95" i="66" s="1"/>
  <c r="R96" i="63" a="1"/>
  <c r="R96" i="63" s="1"/>
  <c r="AB96" i="63" s="1"/>
  <c r="AF96" i="63" s="1"/>
  <c r="AJ96" i="63" s="1"/>
  <c r="R114" i="65" a="1"/>
  <c r="R114" i="65" s="1"/>
  <c r="AB114" i="65" s="1"/>
  <c r="AF114" i="65" s="1"/>
  <c r="AJ114" i="65" s="1"/>
  <c r="R169" i="67" a="1"/>
  <c r="R169" i="67" s="1"/>
  <c r="AB169" i="67" s="1"/>
  <c r="AF169" i="67" s="1"/>
  <c r="AJ169" i="67" s="1"/>
  <c r="R327" i="68" a="1"/>
  <c r="R327" i="68" s="1"/>
  <c r="AB327" i="68" s="1"/>
  <c r="AF327" i="68" s="1"/>
  <c r="AJ327" i="68" s="1"/>
  <c r="BB18" i="52"/>
  <c r="R245" i="33" s="1" a="1"/>
  <c r="R245" i="33" s="1"/>
  <c r="AB245" i="33" s="1"/>
  <c r="AF245" i="33" s="1"/>
  <c r="AJ245" i="33" s="1"/>
  <c r="R100" i="66" a="1"/>
  <c r="R100" i="66" s="1"/>
  <c r="AB100" i="66" s="1"/>
  <c r="AF100" i="66" s="1"/>
  <c r="AJ100" i="66" s="1"/>
  <c r="R99" i="63" a="1"/>
  <c r="R99" i="63" s="1"/>
  <c r="AB99" i="63" s="1"/>
  <c r="AF99" i="63" s="1"/>
  <c r="AJ99" i="63" s="1"/>
  <c r="R101" i="65" a="1"/>
  <c r="R101" i="65" s="1"/>
  <c r="AB101" i="65" s="1"/>
  <c r="AF101" i="65" s="1"/>
  <c r="AJ101" i="65" s="1"/>
  <c r="R103" i="66" a="1"/>
  <c r="R103" i="66" s="1"/>
  <c r="AB103" i="66" s="1"/>
  <c r="AF103" i="66" s="1"/>
  <c r="AJ103" i="66" s="1"/>
  <c r="R319" i="68" a="1"/>
  <c r="R319" i="68" s="1"/>
  <c r="AB319" i="68" s="1"/>
  <c r="AF319" i="68" s="1"/>
  <c r="AJ319" i="68" s="1"/>
  <c r="AZ18" i="52"/>
  <c r="R243" i="33" s="1" a="1"/>
  <c r="R243" i="33" s="1"/>
  <c r="AB243" i="33" s="1"/>
  <c r="AF243" i="33" s="1"/>
  <c r="AJ243" i="33" s="1"/>
  <c r="R94" i="65" a="1"/>
  <c r="R94" i="65" s="1"/>
  <c r="AB94" i="65" s="1"/>
  <c r="AF94" i="65" s="1"/>
  <c r="AJ94" i="65" s="1"/>
  <c r="R102" i="63" a="1"/>
  <c r="R102" i="63" s="1"/>
  <c r="AB102" i="63" s="1"/>
  <c r="AF102" i="63" s="1"/>
  <c r="AJ102" i="63" s="1"/>
  <c r="R109" i="62" a="1"/>
  <c r="R109" i="62" s="1"/>
  <c r="AB109" i="62" s="1"/>
  <c r="AF109" i="62" s="1"/>
  <c r="AJ109" i="62" s="1"/>
  <c r="R325" i="68" a="1"/>
  <c r="R325" i="68" s="1"/>
  <c r="AB325" i="68" s="1"/>
  <c r="AF325" i="68" s="1"/>
  <c r="AJ325" i="68" s="1"/>
  <c r="R99" i="65" a="1"/>
  <c r="R99" i="65" s="1"/>
  <c r="AB99" i="65" s="1"/>
  <c r="AF99" i="65" s="1"/>
  <c r="AJ99" i="65" s="1"/>
  <c r="R105" i="63" a="1"/>
  <c r="R105" i="63" s="1"/>
  <c r="AB105" i="63" s="1"/>
  <c r="AF105" i="63" s="1"/>
  <c r="AJ105" i="63" s="1"/>
  <c r="R317" i="68" a="1"/>
  <c r="R317" i="68" s="1"/>
  <c r="AB317" i="68" s="1"/>
  <c r="AF317" i="68" s="1"/>
  <c r="AJ317" i="68" s="1"/>
  <c r="R321" i="68" a="1"/>
  <c r="R321" i="68" s="1"/>
  <c r="AB321" i="68" s="1"/>
  <c r="AF321" i="68" s="1"/>
  <c r="AJ321" i="68" s="1"/>
  <c r="R324" i="68" a="1"/>
  <c r="R324" i="68" s="1"/>
  <c r="AB324" i="68" s="1"/>
  <c r="AF324" i="68" s="1"/>
  <c r="AJ324" i="68" s="1"/>
  <c r="R103" i="65" a="1"/>
  <c r="R103" i="65" s="1"/>
  <c r="AB103" i="65" s="1"/>
  <c r="AF103" i="65" s="1"/>
  <c r="AJ103" i="65" s="1"/>
  <c r="R98" i="63" a="1"/>
  <c r="R98" i="63" s="1"/>
  <c r="AB98" i="63" s="1"/>
  <c r="AF98" i="63" s="1"/>
  <c r="AJ98" i="63" s="1"/>
  <c r="R120" i="65" a="1"/>
  <c r="R120" i="65" s="1"/>
  <c r="AB120" i="65" s="1"/>
  <c r="AF120" i="65" s="1"/>
  <c r="AJ120" i="65" s="1"/>
  <c r="R168" i="67" a="1"/>
  <c r="R168" i="67" s="1"/>
  <c r="AB168" i="67" s="1"/>
  <c r="AF168" i="67" s="1"/>
  <c r="AJ168" i="67" s="1"/>
  <c r="R326" i="68" a="1"/>
  <c r="R326" i="68" s="1"/>
  <c r="AB326" i="68" s="1"/>
  <c r="AF326" i="68" s="1"/>
  <c r="AJ326" i="68" s="1"/>
  <c r="R100" i="65" a="1"/>
  <c r="R100" i="65" s="1"/>
  <c r="AB100" i="65" s="1"/>
  <c r="AF100" i="65" s="1"/>
  <c r="AJ100" i="65" s="1"/>
  <c r="R101" i="63" a="1"/>
  <c r="R101" i="63" s="1"/>
  <c r="AB101" i="63" s="1"/>
  <c r="AF101" i="63" s="1"/>
  <c r="AJ101" i="63" s="1"/>
  <c r="AQ56" i="10"/>
  <c r="CH12" i="52" s="1"/>
  <c r="CI12" i="52" s="1"/>
  <c r="AI53" i="10"/>
  <c r="AK53" i="10" s="1"/>
  <c r="AI51" i="10"/>
  <c r="AI54" i="10"/>
  <c r="AK54" i="10" s="1"/>
  <c r="AI55" i="10"/>
  <c r="AI56" i="10"/>
  <c r="AK56" i="10" s="1"/>
  <c r="AI52" i="10"/>
  <c r="AK52" i="10" s="1"/>
  <c r="A18" i="55"/>
  <c r="M16" i="18"/>
  <c r="O16" i="18"/>
  <c r="C18" i="55"/>
  <c r="N17" i="55"/>
  <c r="L17" i="55"/>
  <c r="K17" i="55"/>
  <c r="M17" i="55"/>
  <c r="R17" i="55"/>
  <c r="S17" i="55"/>
  <c r="T17" i="55"/>
  <c r="U17" i="55"/>
  <c r="Q17" i="55"/>
  <c r="L16" i="18"/>
  <c r="Q39" i="8" a="1"/>
  <c r="Q39" i="8" s="1"/>
  <c r="U39" i="8" a="1"/>
  <c r="U39" i="8" s="1"/>
  <c r="O39" i="8" a="1"/>
  <c r="O39" i="8" s="1"/>
  <c r="P39" i="8" a="1"/>
  <c r="P39" i="8" s="1"/>
  <c r="C39" i="8" s="1"/>
  <c r="V39" i="8" a="1"/>
  <c r="V39" i="8" s="1"/>
  <c r="I39" i="8" s="1"/>
  <c r="S39" i="8" a="1"/>
  <c r="S39" i="8" s="1"/>
  <c r="R39" i="8" a="1"/>
  <c r="R39" i="8" s="1"/>
  <c r="E39" i="8" s="1"/>
  <c r="I123" i="13" s="1"/>
  <c r="T39" i="8" a="1"/>
  <c r="T39" i="8" s="1"/>
  <c r="G39" i="8" s="1"/>
  <c r="O69" i="52"/>
  <c r="K69" i="52"/>
  <c r="N69" i="52"/>
  <c r="M69" i="52"/>
  <c r="R69" i="52"/>
  <c r="BG8" i="52" s="1"/>
  <c r="Q69" i="52"/>
  <c r="L69" i="52"/>
  <c r="Q115" i="10"/>
  <c r="R81" i="13" s="1"/>
  <c r="N81" i="13"/>
  <c r="G81" i="13" s="1"/>
  <c r="AL116" i="10"/>
  <c r="T116" i="10" s="1"/>
  <c r="N82" i="13"/>
  <c r="G82" i="13" s="1"/>
  <c r="AK119" i="10"/>
  <c r="H119" i="10" s="1"/>
  <c r="Q119" i="10" s="1"/>
  <c r="AJ115" i="10"/>
  <c r="AJ116" i="10" s="1"/>
  <c r="AK117" i="10" s="1"/>
  <c r="H117" i="10" s="1"/>
  <c r="Q117" i="10" s="1"/>
  <c r="AI76" i="10"/>
  <c r="AL120" i="10"/>
  <c r="T120" i="10" s="1"/>
  <c r="N85" i="13"/>
  <c r="G85" i="13" s="1"/>
  <c r="AK114" i="10"/>
  <c r="H114" i="10" s="1"/>
  <c r="AL114" i="10" s="1"/>
  <c r="AJ120" i="10"/>
  <c r="AJ121" i="10" s="1"/>
  <c r="AK122" i="10" s="1"/>
  <c r="H122" i="10" s="1"/>
  <c r="Q122" i="10" s="1"/>
  <c r="AK70" i="10"/>
  <c r="H70" i="10" s="1"/>
  <c r="AJ70" i="10"/>
  <c r="AJ71" i="10" s="1"/>
  <c r="E58" i="52"/>
  <c r="H58" i="52" s="1"/>
  <c r="AI74" i="10"/>
  <c r="AK74" i="10" s="1"/>
  <c r="AI73" i="10"/>
  <c r="AK73" i="10" s="1"/>
  <c r="AI72" i="10"/>
  <c r="AK72" i="10" s="1"/>
  <c r="AI77" i="10"/>
  <c r="AK77" i="10" s="1"/>
  <c r="BG16" i="52"/>
  <c r="BF16" i="52"/>
  <c r="BG21" i="52"/>
  <c r="AK88" i="10"/>
  <c r="H88" i="10" s="1"/>
  <c r="V86" i="10" s="1"/>
  <c r="AJ88" i="10"/>
  <c r="AJ89" i="10" s="1"/>
  <c r="T56" i="10"/>
  <c r="N66" i="13"/>
  <c r="Q94" i="10"/>
  <c r="W93" i="10" s="1"/>
  <c r="E75" i="52"/>
  <c r="R65" i="13"/>
  <c r="P96" i="52"/>
  <c r="H96" i="52"/>
  <c r="N78" i="13"/>
  <c r="G78" i="13" s="1"/>
  <c r="AL111" i="10"/>
  <c r="T111" i="10" s="1"/>
  <c r="Q111" i="10"/>
  <c r="V93" i="10"/>
  <c r="N63" i="52"/>
  <c r="K63" i="52"/>
  <c r="Q63" i="52"/>
  <c r="M63" i="52"/>
  <c r="J63" i="52"/>
  <c r="L63" i="52"/>
  <c r="R63" i="52"/>
  <c r="O63" i="52"/>
  <c r="AF91" i="65"/>
  <c r="AJ91" i="65" s="1"/>
  <c r="O59" i="52"/>
  <c r="L59" i="52"/>
  <c r="N59" i="52"/>
  <c r="R59" i="52"/>
  <c r="K59" i="52"/>
  <c r="Q59" i="52"/>
  <c r="M59" i="52"/>
  <c r="J59" i="52"/>
  <c r="E95" i="52"/>
  <c r="R85" i="13"/>
  <c r="AL110" i="10"/>
  <c r="T110" i="10" s="1"/>
  <c r="Q110" i="10"/>
  <c r="N77" i="13"/>
  <c r="G77" i="13" s="1"/>
  <c r="AM93" i="10"/>
  <c r="AL94" i="10" s="1"/>
  <c r="T93" i="10"/>
  <c r="P64" i="52"/>
  <c r="H64" i="52"/>
  <c r="AL55" i="10"/>
  <c r="E92" i="52"/>
  <c r="R82" i="13"/>
  <c r="AK109" i="10"/>
  <c r="H109" i="10" s="1"/>
  <c r="R47" i="13"/>
  <c r="E57" i="52"/>
  <c r="T136" i="10"/>
  <c r="AM136" i="10"/>
  <c r="AL137" i="10" s="1"/>
  <c r="AK108" i="10"/>
  <c r="H108" i="10" s="1"/>
  <c r="AJ108" i="10"/>
  <c r="AJ109" i="10" s="1"/>
  <c r="AJ110" i="10" s="1"/>
  <c r="AJ111" i="10" s="1"/>
  <c r="T21" i="10"/>
  <c r="AM21" i="10"/>
  <c r="AL22" i="10" s="1"/>
  <c r="T66" i="10"/>
  <c r="AM66" i="10"/>
  <c r="AM67" i="10" s="1"/>
  <c r="AM68" i="10" s="1"/>
  <c r="AM69" i="10" s="1"/>
  <c r="AL70" i="10" s="1"/>
  <c r="H49" i="52"/>
  <c r="P49" i="52"/>
  <c r="N48" i="52"/>
  <c r="J48" i="52"/>
  <c r="R48" i="52"/>
  <c r="K48" i="52"/>
  <c r="O48" i="52"/>
  <c r="M48" i="52"/>
  <c r="L48" i="52"/>
  <c r="Q48" i="52"/>
  <c r="AF530" i="34"/>
  <c r="AK530" i="34" s="1"/>
  <c r="X530" i="34"/>
  <c r="Q22" i="10"/>
  <c r="W21" i="10" s="1"/>
  <c r="AA21" i="10" s="1"/>
  <c r="N16" i="13"/>
  <c r="G16" i="13" s="1"/>
  <c r="E56" i="52"/>
  <c r="R46" i="13"/>
  <c r="Q87" i="10"/>
  <c r="N61" i="13"/>
  <c r="G61" i="13" s="1"/>
  <c r="AL87" i="10"/>
  <c r="R94" i="13"/>
  <c r="E104" i="52"/>
  <c r="Q137" i="10"/>
  <c r="N95" i="13"/>
  <c r="G95" i="13" s="1"/>
  <c r="E65" i="52"/>
  <c r="R55" i="13"/>
  <c r="E50" i="52"/>
  <c r="R40" i="13"/>
  <c r="W51" i="10"/>
  <c r="AA51" i="10" s="1"/>
  <c r="BF21" i="52"/>
  <c r="N60" i="13"/>
  <c r="G60" i="13" s="1"/>
  <c r="Q86" i="10"/>
  <c r="AL86" i="10"/>
  <c r="E25" i="52"/>
  <c r="R15" i="13"/>
  <c r="T76" i="10"/>
  <c r="Y72" i="10" s="1"/>
  <c r="AB72" i="10" s="1"/>
  <c r="AM76" i="10"/>
  <c r="G55" i="13"/>
  <c r="U530" i="34" s="1"/>
  <c r="F111" i="13"/>
  <c r="U88" i="67"/>
  <c r="R97" i="67" s="1"/>
  <c r="R114" i="64" a="1"/>
  <c r="R114" i="64" s="1"/>
  <c r="AB114" i="64" s="1"/>
  <c r="AF114" i="64" s="1"/>
  <c r="AJ114" i="64" s="1"/>
  <c r="R122" i="62" a="1"/>
  <c r="R122" i="62" s="1"/>
  <c r="AB122" i="62" s="1"/>
  <c r="AF122" i="62" s="1"/>
  <c r="AJ122" i="62" s="1"/>
  <c r="R120" i="64" a="1"/>
  <c r="R120" i="64" s="1"/>
  <c r="AB120" i="64" s="1"/>
  <c r="AF120" i="64" s="1"/>
  <c r="AJ120" i="64" s="1"/>
  <c r="R128" i="62" a="1"/>
  <c r="R128" i="62" s="1"/>
  <c r="AB128" i="62" s="1"/>
  <c r="AF128" i="62" s="1"/>
  <c r="AJ128" i="62" s="1"/>
  <c r="R125" i="62" a="1"/>
  <c r="R125" i="62" s="1"/>
  <c r="AB125" i="62" s="1"/>
  <c r="AF125" i="62" s="1"/>
  <c r="AJ125" i="62" s="1"/>
  <c r="U64" i="63"/>
  <c r="AF64" i="63"/>
  <c r="AK64" i="63" s="1"/>
  <c r="X64" i="63"/>
  <c r="A67" i="63"/>
  <c r="R270" i="38" a="1"/>
  <c r="R270" i="38" s="1"/>
  <c r="AB270" i="38" s="1"/>
  <c r="AF270" i="38" s="1"/>
  <c r="AJ270" i="38" s="1"/>
  <c r="AF273" i="38"/>
  <c r="AJ273" i="38" s="1"/>
  <c r="AF219" i="36"/>
  <c r="AJ219" i="36" s="1"/>
  <c r="AF76" i="40"/>
  <c r="AK76" i="40" s="1"/>
  <c r="BU23" i="52"/>
  <c r="R589" i="34" s="1" a="1"/>
  <c r="R589" i="34" s="1"/>
  <c r="AB589" i="34" s="1"/>
  <c r="AF589" i="34" s="1"/>
  <c r="AJ589" i="34" s="1"/>
  <c r="BR23" i="52"/>
  <c r="R586" i="34" s="1" a="1"/>
  <c r="R586" i="34" s="1"/>
  <c r="AB586" i="34" s="1"/>
  <c r="BW10" i="52"/>
  <c r="R272" i="38" s="1" a="1"/>
  <c r="R272" i="38" s="1"/>
  <c r="AB272" i="38" s="1"/>
  <c r="AF272" i="38" s="1"/>
  <c r="AJ272" i="38" s="1"/>
  <c r="BW23" i="52"/>
  <c r="R591" i="34" s="1" a="1"/>
  <c r="R591" i="34" s="1"/>
  <c r="AB591" i="34" s="1"/>
  <c r="AF591" i="34" s="1"/>
  <c r="AJ591" i="34" s="1"/>
  <c r="BQ7" i="52"/>
  <c r="BQ23" i="52"/>
  <c r="R585" i="34" s="1" a="1"/>
  <c r="R585" i="34" s="1"/>
  <c r="AB585" i="34" s="1"/>
  <c r="AF585" i="34" s="1"/>
  <c r="AJ585" i="34" s="1"/>
  <c r="BO6" i="52"/>
  <c r="R314" i="25" s="1" a="1"/>
  <c r="R314" i="25" s="1"/>
  <c r="AB314" i="25" s="1"/>
  <c r="BV6" i="52"/>
  <c r="R321" i="25" s="1" a="1"/>
  <c r="R321" i="25" s="1"/>
  <c r="AB321" i="25" s="1"/>
  <c r="AF321" i="25" s="1"/>
  <c r="AJ321" i="25" s="1"/>
  <c r="BS10" i="52"/>
  <c r="R267" i="38" s="1" a="1"/>
  <c r="R267" i="38" s="1"/>
  <c r="AB267" i="38" s="1"/>
  <c r="AF267" i="38" s="1"/>
  <c r="AJ267" i="38" s="1"/>
  <c r="BS7" i="52"/>
  <c r="BT23" i="52"/>
  <c r="R588" i="34" s="1" a="1"/>
  <c r="R588" i="34" s="1"/>
  <c r="AB588" i="34" s="1"/>
  <c r="AF588" i="34" s="1"/>
  <c r="AJ588" i="34" s="1"/>
  <c r="BR10" i="52"/>
  <c r="R266" i="38" s="1" a="1"/>
  <c r="R266" i="38" s="1"/>
  <c r="AB266" i="38" s="1"/>
  <c r="AF266" i="38" s="1"/>
  <c r="AJ266" i="38" s="1"/>
  <c r="BT7" i="52"/>
  <c r="BQ10" i="52"/>
  <c r="R265" i="38" s="1" a="1"/>
  <c r="R265" i="38" s="1"/>
  <c r="AB265" i="38" s="1"/>
  <c r="AF265" i="38" s="1"/>
  <c r="AJ265" i="38" s="1"/>
  <c r="BS20" i="52"/>
  <c r="BR7" i="52"/>
  <c r="BR20" i="52"/>
  <c r="BU10" i="52"/>
  <c r="R269" i="38" s="1" a="1"/>
  <c r="R269" i="38" s="1"/>
  <c r="AB269" i="38" s="1"/>
  <c r="AF269" i="38" s="1"/>
  <c r="AJ269" i="38" s="1"/>
  <c r="BU20" i="52"/>
  <c r="BW7" i="52"/>
  <c r="BS23" i="52"/>
  <c r="R587" i="34" s="1" a="1"/>
  <c r="R587" i="34" s="1"/>
  <c r="AB587" i="34" s="1"/>
  <c r="AF587" i="34" s="1"/>
  <c r="AJ587" i="34" s="1"/>
  <c r="BT20" i="52"/>
  <c r="BU7" i="52"/>
  <c r="BT10" i="52"/>
  <c r="R268" i="38" s="1" a="1"/>
  <c r="R268" i="38" s="1"/>
  <c r="AB268" i="38" s="1"/>
  <c r="AF268" i="38" s="1"/>
  <c r="AJ268" i="38" s="1"/>
  <c r="BQ20" i="52"/>
  <c r="BT17" i="52"/>
  <c r="R216" i="32" s="1" a="1"/>
  <c r="R216" i="32" s="1"/>
  <c r="AB216" i="32" s="1"/>
  <c r="AF216" i="32" s="1"/>
  <c r="AJ216" i="32" s="1"/>
  <c r="BR17" i="52"/>
  <c r="R214" i="32" s="1" a="1"/>
  <c r="R214" i="32" s="1"/>
  <c r="AB214" i="32" s="1"/>
  <c r="AF214" i="32" s="1"/>
  <c r="AJ214" i="32" s="1"/>
  <c r="BS8" i="52"/>
  <c r="BW17" i="52"/>
  <c r="R219" i="32" s="1" a="1"/>
  <c r="R219" i="32" s="1"/>
  <c r="AB219" i="32" s="1"/>
  <c r="AF219" i="32" s="1"/>
  <c r="AJ219" i="32" s="1"/>
  <c r="BQ8" i="52"/>
  <c r="AG74" i="52"/>
  <c r="BW20" i="52"/>
  <c r="Q52" i="52"/>
  <c r="BF17" i="52" s="1"/>
  <c r="R202" i="32" s="1" a="1"/>
  <c r="R202" i="32" s="1"/>
  <c r="AB202" i="32" s="1"/>
  <c r="AF202" i="32" s="1"/>
  <c r="AJ202" i="32" s="1"/>
  <c r="O52" i="52"/>
  <c r="R52" i="52"/>
  <c r="BG17" i="52" s="1"/>
  <c r="R203" i="32" s="1" a="1"/>
  <c r="R203" i="32" s="1"/>
  <c r="AB203" i="32" s="1"/>
  <c r="AF203" i="32" s="1"/>
  <c r="AJ203" i="32" s="1"/>
  <c r="M52" i="52"/>
  <c r="J52" i="52"/>
  <c r="L52" i="52"/>
  <c r="N52" i="52"/>
  <c r="K52" i="52"/>
  <c r="R24" i="13"/>
  <c r="E34" i="52"/>
  <c r="H33" i="52"/>
  <c r="P33" i="52"/>
  <c r="AD20" i="52"/>
  <c r="BS6" i="52" s="1"/>
  <c r="R318" i="25" s="1" a="1"/>
  <c r="R318" i="25" s="1"/>
  <c r="AB318" i="25" s="1"/>
  <c r="AB20" i="52"/>
  <c r="AC20" i="52"/>
  <c r="AE20" i="52"/>
  <c r="BT6" i="52" s="1"/>
  <c r="R319" i="25" s="1" a="1"/>
  <c r="R319" i="25" s="1"/>
  <c r="AB319" i="25" s="1"/>
  <c r="AF319" i="25" s="1"/>
  <c r="AJ319" i="25" s="1"/>
  <c r="AF20" i="52"/>
  <c r="AH20" i="52"/>
  <c r="AH74" i="52"/>
  <c r="AB74" i="52"/>
  <c r="AC74" i="52"/>
  <c r="AD74" i="52"/>
  <c r="AE74" i="52"/>
  <c r="AF74" i="52"/>
  <c r="CL28" i="22"/>
  <c r="R221" i="43" a="1"/>
  <c r="R221" i="43" s="1"/>
  <c r="AB221" i="43" s="1"/>
  <c r="AF221" i="43" s="1"/>
  <c r="R209" i="50" a="1"/>
  <c r="R209" i="50" s="1"/>
  <c r="AB209" i="50" s="1"/>
  <c r="AF209" i="50" s="1"/>
  <c r="AJ209" i="50" s="1"/>
  <c r="R204" i="50" a="1"/>
  <c r="R204" i="50" s="1"/>
  <c r="AB204" i="50" s="1"/>
  <c r="AF204" i="50" s="1"/>
  <c r="AJ204" i="50" s="1"/>
  <c r="R207" i="50" a="1"/>
  <c r="R207" i="50" s="1"/>
  <c r="AB207" i="50" s="1"/>
  <c r="AF207" i="50" s="1"/>
  <c r="AJ207" i="50" s="1"/>
  <c r="X76" i="40"/>
  <c r="U125" i="7"/>
  <c r="U126" i="7" s="1"/>
  <c r="N124" i="10"/>
  <c r="V124" i="10" s="1"/>
  <c r="R23" i="13"/>
  <c r="T33" i="10"/>
  <c r="AM33" i="10"/>
  <c r="AL34" i="10" s="1"/>
  <c r="O146" i="13"/>
  <c r="AG124" i="10"/>
  <c r="AG125" i="10" s="1"/>
  <c r="AI125" i="10" s="1"/>
  <c r="AK125" i="10" s="1"/>
  <c r="A17" i="18"/>
  <c r="D17" i="18" s="1"/>
  <c r="B19" i="55" s="1"/>
  <c r="R223" i="43" a="1"/>
  <c r="R223" i="43" s="1"/>
  <c r="AB223" i="43" s="1"/>
  <c r="AF223" i="43" s="1"/>
  <c r="AJ223" i="43" s="1"/>
  <c r="R205" i="50" a="1"/>
  <c r="R205" i="50" s="1"/>
  <c r="AB205" i="50" s="1"/>
  <c r="AF205" i="50" s="1"/>
  <c r="AJ205" i="50" s="1"/>
  <c r="R206" i="50" a="1"/>
  <c r="R206" i="50" s="1"/>
  <c r="AB206" i="50" s="1"/>
  <c r="AF206" i="50" s="1"/>
  <c r="AJ206" i="50" s="1"/>
  <c r="U95" i="37"/>
  <c r="R104" i="37" s="1"/>
  <c r="U96" i="32"/>
  <c r="R105" i="32" s="1"/>
  <c r="U154" i="25"/>
  <c r="R163" i="25" s="1"/>
  <c r="P103" i="7"/>
  <c r="AJ222" i="8"/>
  <c r="AJ223" i="8" s="1"/>
  <c r="AJ224" i="8" s="1"/>
  <c r="AJ225" i="8" s="1"/>
  <c r="AJ226" i="8" s="1"/>
  <c r="F38" i="8"/>
  <c r="L38" i="8" s="1"/>
  <c r="L92" i="7" s="1"/>
  <c r="J91" i="10" s="1"/>
  <c r="Z38" i="8"/>
  <c r="X38" i="8"/>
  <c r="B38" i="8"/>
  <c r="J38" i="8" s="1"/>
  <c r="J92" i="7" s="1"/>
  <c r="AF91" i="10" s="1"/>
  <c r="H38" i="8"/>
  <c r="M38" i="8" s="1"/>
  <c r="M92" i="7" s="1"/>
  <c r="K91" i="10" s="1"/>
  <c r="AA38" i="8"/>
  <c r="D38" i="8"/>
  <c r="K38" i="8" s="1"/>
  <c r="K92" i="7" s="1"/>
  <c r="Y38" i="8"/>
  <c r="R222" i="43" a="1"/>
  <c r="R222" i="43" s="1"/>
  <c r="AB222" i="43" s="1"/>
  <c r="AF222" i="43" s="1"/>
  <c r="AJ222" i="43" s="1"/>
  <c r="X160" i="23"/>
  <c r="AF160" i="23"/>
  <c r="AK160" i="23" s="1"/>
  <c r="X124" i="23"/>
  <c r="AF124" i="23"/>
  <c r="AK124" i="23" s="1"/>
  <c r="R15" i="18"/>
  <c r="C16" i="18"/>
  <c r="O7" i="13"/>
  <c r="A15" i="10"/>
  <c r="AG24" i="52" l="1"/>
  <c r="BV13" i="52" s="1"/>
  <c r="R270" i="26" s="1" a="1"/>
  <c r="R270" i="26" s="1"/>
  <c r="AB270" i="26" s="1"/>
  <c r="AF270" i="26" s="1"/>
  <c r="AJ270" i="26" s="1"/>
  <c r="AE24" i="52"/>
  <c r="BT13" i="52" s="1"/>
  <c r="R268" i="26" s="1" a="1"/>
  <c r="R268" i="26" s="1"/>
  <c r="AB268" i="26" s="1"/>
  <c r="AF268" i="26" s="1"/>
  <c r="AJ268" i="26" s="1"/>
  <c r="AF24" i="52"/>
  <c r="BU13" i="52" s="1"/>
  <c r="R269" i="26" s="1" a="1"/>
  <c r="R269" i="26" s="1"/>
  <c r="AB269" i="26" s="1"/>
  <c r="AF269" i="26" s="1"/>
  <c r="AJ269" i="26" s="1"/>
  <c r="AB24" i="52"/>
  <c r="BQ13" i="52" s="1"/>
  <c r="R265" i="26" s="1" a="1"/>
  <c r="R265" i="26" s="1"/>
  <c r="AB265" i="26" s="1"/>
  <c r="AF265" i="26" s="1"/>
  <c r="AJ265" i="26" s="1"/>
  <c r="AC24" i="52"/>
  <c r="BR13" i="52" s="1"/>
  <c r="R266" i="26" s="1" a="1"/>
  <c r="R266" i="26" s="1"/>
  <c r="AB266" i="26" s="1"/>
  <c r="AF266" i="26" s="1"/>
  <c r="AJ266" i="26" s="1"/>
  <c r="AD24" i="52"/>
  <c r="BS13" i="52" s="1"/>
  <c r="R267" i="26" s="1" a="1"/>
  <c r="R267" i="26" s="1"/>
  <c r="AB267" i="26" s="1"/>
  <c r="AF267" i="26" s="1"/>
  <c r="AJ267" i="26" s="1"/>
  <c r="AH24" i="52"/>
  <c r="BW13" i="52" s="1"/>
  <c r="R271" i="26" s="1" a="1"/>
  <c r="R271" i="26" s="1"/>
  <c r="AB271" i="26" s="1"/>
  <c r="AF271" i="26" s="1"/>
  <c r="AJ271" i="26" s="1"/>
  <c r="BO13" i="52"/>
  <c r="R263" i="26" s="1" a="1"/>
  <c r="R263" i="26" s="1"/>
  <c r="AB263" i="26" s="1"/>
  <c r="AF263" i="26" s="1"/>
  <c r="AJ263" i="26" s="1"/>
  <c r="F14" i="13"/>
  <c r="U150" i="26"/>
  <c r="R159" i="26" s="1"/>
  <c r="R215" i="36" a="1"/>
  <c r="R215" i="36" s="1"/>
  <c r="AB215" i="36" s="1"/>
  <c r="AF215" i="36" s="1"/>
  <c r="AJ215" i="36" s="1"/>
  <c r="R214" i="36" a="1"/>
  <c r="R214" i="36" s="1"/>
  <c r="AB214" i="36" s="1"/>
  <c r="AF214" i="36" s="1"/>
  <c r="AJ214" i="36" s="1"/>
  <c r="R164" i="67" a="1"/>
  <c r="R164" i="67" s="1"/>
  <c r="AB164" i="67" s="1"/>
  <c r="AF164" i="67" s="1"/>
  <c r="AJ164" i="67" s="1"/>
  <c r="R322" i="68" a="1"/>
  <c r="R322" i="68" s="1"/>
  <c r="AB322" i="68" s="1"/>
  <c r="AF322" i="68" s="1"/>
  <c r="AJ322" i="68" s="1"/>
  <c r="R165" i="67" a="1"/>
  <c r="R165" i="67" s="1"/>
  <c r="AB165" i="67" s="1"/>
  <c r="AF165" i="67" s="1"/>
  <c r="AJ165" i="67" s="1"/>
  <c r="R323" i="68" a="1"/>
  <c r="R323" i="68" s="1"/>
  <c r="AB323" i="68" s="1"/>
  <c r="AF323" i="68" s="1"/>
  <c r="AJ323" i="68" s="1"/>
  <c r="R162" i="67" a="1"/>
  <c r="R162" i="67" s="1"/>
  <c r="AB162" i="67" s="1"/>
  <c r="AF162" i="67" s="1"/>
  <c r="AJ162" i="67" s="1"/>
  <c r="R320" i="68" a="1"/>
  <c r="R320" i="68" s="1"/>
  <c r="AB320" i="68" s="1"/>
  <c r="AF320" i="68" s="1"/>
  <c r="AJ320" i="68" s="1"/>
  <c r="AA93" i="10"/>
  <c r="F18" i="55"/>
  <c r="P18" i="55"/>
  <c r="J18" i="55"/>
  <c r="S40" i="8" a="1"/>
  <c r="S40" i="8" s="1"/>
  <c r="T40" i="8" a="1"/>
  <c r="T40" i="8" s="1"/>
  <c r="G40" i="8" s="1"/>
  <c r="Q40" i="8" a="1"/>
  <c r="Q40" i="8" s="1"/>
  <c r="R40" i="8" a="1"/>
  <c r="R40" i="8" s="1"/>
  <c r="E40" i="8" s="1"/>
  <c r="V40" i="8" a="1"/>
  <c r="V40" i="8" s="1"/>
  <c r="I40" i="8" s="1"/>
  <c r="U40" i="8" a="1"/>
  <c r="U40" i="8" s="1"/>
  <c r="P40" i="8" a="1"/>
  <c r="P40" i="8" s="1"/>
  <c r="C40" i="8" s="1"/>
  <c r="O40" i="8" a="1"/>
  <c r="O40" i="8" s="1"/>
  <c r="E91" i="52"/>
  <c r="P91" i="52" s="1"/>
  <c r="N84" i="13"/>
  <c r="G84" i="13" s="1"/>
  <c r="AL119" i="10"/>
  <c r="T119" i="10" s="1"/>
  <c r="N83" i="13"/>
  <c r="G83" i="13" s="1"/>
  <c r="Q114" i="10"/>
  <c r="R80" i="13" s="1"/>
  <c r="N80" i="13"/>
  <c r="G80" i="13" s="1"/>
  <c r="AJ117" i="10"/>
  <c r="AJ118" i="10" s="1"/>
  <c r="N87" i="13"/>
  <c r="G87" i="13" s="1"/>
  <c r="V114" i="10"/>
  <c r="V119" i="10"/>
  <c r="P58" i="52"/>
  <c r="AJ122" i="10"/>
  <c r="AJ123" i="10" s="1"/>
  <c r="AJ72" i="10"/>
  <c r="AJ73" i="10" s="1"/>
  <c r="AJ74" i="10" s="1"/>
  <c r="AJ75" i="10" s="1"/>
  <c r="V66" i="10"/>
  <c r="Q70" i="10"/>
  <c r="N50" i="13"/>
  <c r="G50" i="13" s="1"/>
  <c r="E93" i="52"/>
  <c r="R83" i="13"/>
  <c r="AM86" i="10"/>
  <c r="AM87" i="10" s="1"/>
  <c r="AL88" i="10" s="1"/>
  <c r="T86" i="10"/>
  <c r="H50" i="52"/>
  <c r="P50" i="52"/>
  <c r="Q64" i="52"/>
  <c r="O64" i="52"/>
  <c r="L64" i="52"/>
  <c r="M64" i="52"/>
  <c r="K64" i="52"/>
  <c r="R64" i="52"/>
  <c r="N64" i="52"/>
  <c r="J64" i="52"/>
  <c r="E70" i="52"/>
  <c r="R60" i="13"/>
  <c r="P75" i="52"/>
  <c r="H75" i="52"/>
  <c r="H65" i="52"/>
  <c r="P65" i="52"/>
  <c r="P56" i="52"/>
  <c r="H56" i="52"/>
  <c r="N75" i="13"/>
  <c r="G75" i="13" s="1"/>
  <c r="Q108" i="10"/>
  <c r="AL108" i="10"/>
  <c r="T114" i="10"/>
  <c r="AM114" i="10"/>
  <c r="AM115" i="10" s="1"/>
  <c r="AM116" i="10" s="1"/>
  <c r="AL117" i="10" s="1"/>
  <c r="R87" i="13"/>
  <c r="E97" i="52"/>
  <c r="AM137" i="10"/>
  <c r="T137" i="10"/>
  <c r="Y136" i="10" s="1"/>
  <c r="AB136" i="10" s="1"/>
  <c r="AK112" i="10"/>
  <c r="H112" i="10" s="1"/>
  <c r="V108" i="10" s="1"/>
  <c r="AJ112" i="10"/>
  <c r="AJ113" i="10" s="1"/>
  <c r="T94" i="10"/>
  <c r="Y93" i="10" s="1"/>
  <c r="AB93" i="10" s="1"/>
  <c r="AM94" i="10"/>
  <c r="E76" i="52"/>
  <c r="R66" i="13"/>
  <c r="E105" i="52"/>
  <c r="R95" i="13"/>
  <c r="AL109" i="10"/>
  <c r="T109" i="10" s="1"/>
  <c r="Q109" i="10"/>
  <c r="N76" i="13"/>
  <c r="G76" i="13" s="1"/>
  <c r="W136" i="10"/>
  <c r="AA136" i="10" s="1"/>
  <c r="J58" i="52"/>
  <c r="N58" i="52"/>
  <c r="M58" i="52"/>
  <c r="O58" i="52"/>
  <c r="R58" i="52"/>
  <c r="K58" i="52"/>
  <c r="Q58" i="52"/>
  <c r="L58" i="52"/>
  <c r="E87" i="52"/>
  <c r="R77" i="13"/>
  <c r="E88" i="52"/>
  <c r="R78" i="13"/>
  <c r="E94" i="52"/>
  <c r="R84" i="13"/>
  <c r="W119" i="10"/>
  <c r="H104" i="52"/>
  <c r="P104" i="52"/>
  <c r="R16" i="13"/>
  <c r="E26" i="52"/>
  <c r="N49" i="52"/>
  <c r="R49" i="52"/>
  <c r="Q49" i="52"/>
  <c r="L49" i="52"/>
  <c r="K49" i="52"/>
  <c r="M49" i="52"/>
  <c r="O49" i="52"/>
  <c r="J49" i="52"/>
  <c r="T70" i="10"/>
  <c r="Y66" i="10" s="1"/>
  <c r="AB66" i="10" s="1"/>
  <c r="AM70" i="10"/>
  <c r="AK51" i="10"/>
  <c r="AJ51" i="10"/>
  <c r="AJ52" i="10" s="1"/>
  <c r="AJ53" i="10" s="1"/>
  <c r="AJ54" i="10" s="1"/>
  <c r="AK55" i="10" s="1"/>
  <c r="H57" i="52"/>
  <c r="P57" i="52"/>
  <c r="H92" i="52"/>
  <c r="P92" i="52"/>
  <c r="H95" i="52"/>
  <c r="P95" i="52"/>
  <c r="O96" i="52"/>
  <c r="M96" i="52"/>
  <c r="Q96" i="52"/>
  <c r="R96" i="52"/>
  <c r="J96" i="52"/>
  <c r="L96" i="52"/>
  <c r="N96" i="52"/>
  <c r="K96" i="52"/>
  <c r="T55" i="10"/>
  <c r="AM55" i="10"/>
  <c r="E71" i="52"/>
  <c r="R61" i="13"/>
  <c r="H25" i="52"/>
  <c r="P25" i="52"/>
  <c r="T87" i="10"/>
  <c r="AM22" i="10"/>
  <c r="T22" i="10"/>
  <c r="Y21" i="10" s="1"/>
  <c r="AB21" i="10" s="1"/>
  <c r="Q88" i="10"/>
  <c r="W86" i="10" s="1"/>
  <c r="AA86" i="10" s="1"/>
  <c r="N62" i="13"/>
  <c r="G62" i="13" s="1"/>
  <c r="U67" i="63"/>
  <c r="R271" i="38" a="1"/>
  <c r="R271" i="38" s="1"/>
  <c r="AB271" i="38" s="1"/>
  <c r="AF271" i="38" s="1"/>
  <c r="AJ271" i="38" s="1"/>
  <c r="AF318" i="25"/>
  <c r="AJ318" i="25" s="1"/>
  <c r="AF314" i="25"/>
  <c r="AJ314" i="25" s="1"/>
  <c r="AF586" i="34"/>
  <c r="AJ586" i="34" s="1"/>
  <c r="E17" i="18"/>
  <c r="R231" i="43" a="1"/>
  <c r="R231" i="43" s="1"/>
  <c r="AB231" i="43" s="1"/>
  <c r="AF231" i="43" s="1"/>
  <c r="AJ231" i="43" s="1"/>
  <c r="R227" i="43" a="1"/>
  <c r="R227" i="43" s="1"/>
  <c r="AB227" i="43" s="1"/>
  <c r="AF227" i="43" s="1"/>
  <c r="AJ227" i="43" s="1"/>
  <c r="R230" i="43" a="1"/>
  <c r="R230" i="43" s="1"/>
  <c r="AB230" i="43" s="1"/>
  <c r="AF230" i="43" s="1"/>
  <c r="AJ230" i="43" s="1"/>
  <c r="O33" i="52"/>
  <c r="Q33" i="52"/>
  <c r="R33" i="52"/>
  <c r="N33" i="52"/>
  <c r="K33" i="52"/>
  <c r="M33" i="52"/>
  <c r="J33" i="52"/>
  <c r="L33" i="52"/>
  <c r="P34" i="52"/>
  <c r="H34" i="52"/>
  <c r="AJ221" i="43"/>
  <c r="R226" i="43" a="1"/>
  <c r="R226" i="43" s="1"/>
  <c r="AB226" i="43" s="1"/>
  <c r="AF226" i="43" s="1"/>
  <c r="AJ226" i="43" s="1"/>
  <c r="R229" i="43" a="1"/>
  <c r="R229" i="43" s="1"/>
  <c r="AB229" i="43" s="1"/>
  <c r="AF229" i="43" s="1"/>
  <c r="AJ229" i="43" s="1"/>
  <c r="R224" i="43" a="1"/>
  <c r="R224" i="43" s="1"/>
  <c r="AB224" i="43" s="1"/>
  <c r="AF224" i="43" s="1"/>
  <c r="AJ224" i="43" s="1"/>
  <c r="R225" i="43" a="1"/>
  <c r="R225" i="43" s="1"/>
  <c r="AB225" i="43" s="1"/>
  <c r="AF225" i="43" s="1"/>
  <c r="AJ225" i="43" s="1"/>
  <c r="I91" i="10"/>
  <c r="S90" i="10" s="1"/>
  <c r="U103" i="7"/>
  <c r="N102" i="10"/>
  <c r="AI124" i="10"/>
  <c r="AJ124" i="10" s="1"/>
  <c r="AJ125" i="10" s="1"/>
  <c r="AM34" i="10"/>
  <c r="T34" i="10"/>
  <c r="Y33" i="10" s="1"/>
  <c r="AB33" i="10" s="1"/>
  <c r="R124" i="10"/>
  <c r="AJ227" i="8"/>
  <c r="AJ228" i="8" s="1"/>
  <c r="AJ229" i="8" s="1"/>
  <c r="AJ230" i="8" s="1"/>
  <c r="AJ231" i="8" s="1"/>
  <c r="AA39" i="8"/>
  <c r="H39" i="8"/>
  <c r="M39" i="8" s="1"/>
  <c r="R18" i="7" s="1"/>
  <c r="P18" i="10" s="1"/>
  <c r="X39" i="8"/>
  <c r="B39" i="8"/>
  <c r="J39" i="8" s="1"/>
  <c r="O18" i="7" s="1"/>
  <c r="F39" i="8"/>
  <c r="L39" i="8" s="1"/>
  <c r="Q18" i="7" s="1"/>
  <c r="O18" i="10" s="1"/>
  <c r="Z39" i="8"/>
  <c r="D39" i="8"/>
  <c r="H123" i="13" s="1"/>
  <c r="Y39" i="8"/>
  <c r="X210" i="23"/>
  <c r="AF210" i="23"/>
  <c r="AK210" i="23" s="1"/>
  <c r="K16" i="18"/>
  <c r="D18" i="55" s="1"/>
  <c r="B17" i="18"/>
  <c r="L17" i="18" s="1"/>
  <c r="O8" i="13"/>
  <c r="A16" i="10"/>
  <c r="AA119" i="10" l="1"/>
  <c r="O17" i="18"/>
  <c r="C19" i="55"/>
  <c r="N18" i="55"/>
  <c r="L18" i="55"/>
  <c r="M18" i="55"/>
  <c r="K18" i="55"/>
  <c r="A19" i="55"/>
  <c r="M17" i="18"/>
  <c r="R18" i="55"/>
  <c r="U18" i="55"/>
  <c r="S18" i="55"/>
  <c r="T18" i="55"/>
  <c r="Q18" i="55"/>
  <c r="T41" i="8" a="1"/>
  <c r="T41" i="8" s="1"/>
  <c r="G41" i="8" s="1"/>
  <c r="Q41" i="8" a="1"/>
  <c r="Q41" i="8" s="1"/>
  <c r="O41" i="8" a="1"/>
  <c r="O41" i="8" s="1"/>
  <c r="V41" i="8" a="1"/>
  <c r="V41" i="8" s="1"/>
  <c r="I41" i="8" s="1"/>
  <c r="U41" i="8" a="1"/>
  <c r="U41" i="8" s="1"/>
  <c r="P41" i="8" a="1"/>
  <c r="P41" i="8" s="1"/>
  <c r="C41" i="8" s="1"/>
  <c r="S41" i="8" a="1"/>
  <c r="S41" i="8" s="1"/>
  <c r="R41" i="8" a="1"/>
  <c r="R41" i="8" s="1"/>
  <c r="E41" i="8" s="1"/>
  <c r="I148" i="13" s="1"/>
  <c r="H91" i="52"/>
  <c r="N91" i="52" s="1"/>
  <c r="AM119" i="10"/>
  <c r="AM120" i="10" s="1"/>
  <c r="AM121" i="10" s="1"/>
  <c r="AL122" i="10" s="1"/>
  <c r="AM122" i="10" s="1"/>
  <c r="E90" i="52"/>
  <c r="P90" i="52" s="1"/>
  <c r="W114" i="10"/>
  <c r="AA114" i="10" s="1"/>
  <c r="AK76" i="10"/>
  <c r="AJ76" i="10"/>
  <c r="AJ77" i="10" s="1"/>
  <c r="W66" i="10"/>
  <c r="AA66" i="10" s="1"/>
  <c r="E60" i="52"/>
  <c r="R50" i="13"/>
  <c r="O65" i="52"/>
  <c r="L65" i="52"/>
  <c r="Q65" i="52"/>
  <c r="K65" i="52"/>
  <c r="N65" i="52"/>
  <c r="J65" i="52"/>
  <c r="M65" i="52"/>
  <c r="E86" i="52"/>
  <c r="R76" i="13"/>
  <c r="H97" i="52"/>
  <c r="P97" i="52"/>
  <c r="R25" i="52"/>
  <c r="L25" i="52"/>
  <c r="N25" i="52"/>
  <c r="K25" i="52"/>
  <c r="O25" i="52"/>
  <c r="M25" i="52"/>
  <c r="Q25" i="52"/>
  <c r="J25" i="52"/>
  <c r="H26" i="52"/>
  <c r="P26" i="52"/>
  <c r="T117" i="10"/>
  <c r="Y114" i="10" s="1"/>
  <c r="AB114" i="10" s="1"/>
  <c r="AM117" i="10"/>
  <c r="L75" i="52"/>
  <c r="N75" i="52"/>
  <c r="J75" i="52"/>
  <c r="O75" i="52"/>
  <c r="K75" i="52"/>
  <c r="Q75" i="52"/>
  <c r="R75" i="52"/>
  <c r="M75" i="52"/>
  <c r="AJ55" i="10"/>
  <c r="AJ56" i="10" s="1"/>
  <c r="P71" i="52"/>
  <c r="H71" i="52"/>
  <c r="L95" i="52"/>
  <c r="O95" i="52"/>
  <c r="N95" i="52"/>
  <c r="K95" i="52"/>
  <c r="M95" i="52"/>
  <c r="J95" i="52"/>
  <c r="R95" i="52"/>
  <c r="Q95" i="52"/>
  <c r="H105" i="52"/>
  <c r="P105" i="52"/>
  <c r="P88" i="52"/>
  <c r="H88" i="52"/>
  <c r="AM108" i="10"/>
  <c r="AM109" i="10" s="1"/>
  <c r="AM110" i="10" s="1"/>
  <c r="AM111" i="10" s="1"/>
  <c r="AL112" i="10" s="1"/>
  <c r="T108" i="10"/>
  <c r="N50" i="52"/>
  <c r="L50" i="52"/>
  <c r="K50" i="52"/>
  <c r="O50" i="52"/>
  <c r="J50" i="52"/>
  <c r="Q50" i="52"/>
  <c r="M50" i="52"/>
  <c r="Q112" i="10"/>
  <c r="W108" i="10" s="1"/>
  <c r="AA108" i="10" s="1"/>
  <c r="N79" i="13"/>
  <c r="G79" i="13" s="1"/>
  <c r="M92" i="52"/>
  <c r="J92" i="52"/>
  <c r="L92" i="52"/>
  <c r="Q92" i="52"/>
  <c r="O92" i="52"/>
  <c r="N92" i="52"/>
  <c r="R92" i="52"/>
  <c r="K92" i="52"/>
  <c r="H76" i="52"/>
  <c r="P76" i="52"/>
  <c r="E85" i="52"/>
  <c r="R75" i="13"/>
  <c r="R104" i="52"/>
  <c r="N104" i="52"/>
  <c r="O104" i="52"/>
  <c r="K104" i="52"/>
  <c r="M104" i="52"/>
  <c r="J104" i="52"/>
  <c r="L104" i="52"/>
  <c r="Q104" i="52"/>
  <c r="E72" i="52"/>
  <c r="AT24" i="52" s="1"/>
  <c r="R62" i="13"/>
  <c r="H70" i="52"/>
  <c r="P70" i="52"/>
  <c r="T88" i="10"/>
  <c r="Y86" i="10" s="1"/>
  <c r="AB86" i="10" s="1"/>
  <c r="AM88" i="10"/>
  <c r="H94" i="52"/>
  <c r="P94" i="52"/>
  <c r="N56" i="52"/>
  <c r="K56" i="52"/>
  <c r="M56" i="52"/>
  <c r="O56" i="52"/>
  <c r="J56" i="52"/>
  <c r="Q56" i="52"/>
  <c r="L56" i="52"/>
  <c r="R56" i="52"/>
  <c r="H87" i="52"/>
  <c r="P87" i="52"/>
  <c r="N57" i="52"/>
  <c r="K57" i="52"/>
  <c r="O57" i="52"/>
  <c r="M57" i="52"/>
  <c r="R57" i="52"/>
  <c r="J57" i="52"/>
  <c r="Q57" i="52"/>
  <c r="L57" i="52"/>
  <c r="H93" i="52"/>
  <c r="P93" i="52"/>
  <c r="T73" i="52"/>
  <c r="BI5" i="52" s="1"/>
  <c r="R257" i="37" s="1" a="1"/>
  <c r="R257" i="37" s="1"/>
  <c r="AB257" i="37" s="1"/>
  <c r="AF257" i="37" s="1"/>
  <c r="AJ257" i="37" s="1"/>
  <c r="W125" i="70"/>
  <c r="S98" i="52"/>
  <c r="W157" i="70"/>
  <c r="O34" i="52"/>
  <c r="Q34" i="52"/>
  <c r="R34" i="52"/>
  <c r="L34" i="52"/>
  <c r="N34" i="52"/>
  <c r="K34" i="52"/>
  <c r="M34" i="52"/>
  <c r="J34" i="52"/>
  <c r="AN125" i="10"/>
  <c r="S88" i="13"/>
  <c r="W124" i="10"/>
  <c r="AA124" i="10" s="1"/>
  <c r="T63" i="13"/>
  <c r="A18" i="18"/>
  <c r="D18" i="18" s="1"/>
  <c r="B20" i="55" s="1"/>
  <c r="R123" i="26"/>
  <c r="K39" i="8"/>
  <c r="O123" i="13" s="1"/>
  <c r="X123" i="26"/>
  <c r="U123" i="26"/>
  <c r="AF123" i="26"/>
  <c r="AK123" i="26" s="1"/>
  <c r="Y40" i="8"/>
  <c r="D40" i="8"/>
  <c r="K40" i="8" s="1"/>
  <c r="K17" i="7" s="1"/>
  <c r="I17" i="10" s="1"/>
  <c r="R17" i="10" s="1"/>
  <c r="H40" i="8"/>
  <c r="M40" i="8" s="1"/>
  <c r="M17" i="7" s="1"/>
  <c r="K17" i="10" s="1"/>
  <c r="AA40" i="8"/>
  <c r="AJ232" i="8"/>
  <c r="AJ233" i="8" s="1"/>
  <c r="AJ234" i="8" s="1"/>
  <c r="AJ235" i="8" s="1"/>
  <c r="AJ236" i="8" s="1"/>
  <c r="B40" i="8"/>
  <c r="J40" i="8" s="1"/>
  <c r="J17" i="7" s="1"/>
  <c r="AF17" i="10" s="1"/>
  <c r="X40" i="8"/>
  <c r="Z40" i="8"/>
  <c r="F40" i="8"/>
  <c r="L40" i="8" s="1"/>
  <c r="L17" i="7" s="1"/>
  <c r="J17" i="10" s="1"/>
  <c r="AF61" i="25"/>
  <c r="AK61" i="25" s="1"/>
  <c r="X61" i="25"/>
  <c r="R16" i="18"/>
  <c r="C17" i="18"/>
  <c r="O10" i="13"/>
  <c r="O9" i="13"/>
  <c r="A17" i="10"/>
  <c r="F19" i="55" l="1"/>
  <c r="R191" i="36" a="1"/>
  <c r="R191" i="36" s="1"/>
  <c r="AB191" i="36" s="1"/>
  <c r="AG17" i="10"/>
  <c r="P19" i="55"/>
  <c r="J19" i="55"/>
  <c r="E18" i="18"/>
  <c r="B18" i="18"/>
  <c r="A19" i="18" s="1"/>
  <c r="D19" i="18" s="1"/>
  <c r="B21" i="55" s="1"/>
  <c r="O42" i="8" a="1"/>
  <c r="O42" i="8" s="1"/>
  <c r="P42" i="8" a="1"/>
  <c r="P42" i="8" s="1"/>
  <c r="C42" i="8" s="1"/>
  <c r="T42" i="8" a="1"/>
  <c r="T42" i="8" s="1"/>
  <c r="G42" i="8" s="1"/>
  <c r="U42" i="8" a="1"/>
  <c r="U42" i="8" s="1"/>
  <c r="S42" i="8" a="1"/>
  <c r="S42" i="8" s="1"/>
  <c r="R42" i="8" a="1"/>
  <c r="R42" i="8" s="1"/>
  <c r="E42" i="8" s="1"/>
  <c r="Q42" i="8" a="1"/>
  <c r="Q42" i="8" s="1"/>
  <c r="V42" i="8" a="1"/>
  <c r="V42" i="8" s="1"/>
  <c r="I42" i="8" s="1"/>
  <c r="M91" i="52"/>
  <c r="L91" i="52"/>
  <c r="O91" i="52"/>
  <c r="J91" i="52"/>
  <c r="Q91" i="52"/>
  <c r="K91" i="52"/>
  <c r="R91" i="52"/>
  <c r="T122" i="10"/>
  <c r="Y119" i="10" s="1"/>
  <c r="AB119" i="10" s="1"/>
  <c r="H90" i="52"/>
  <c r="Q90" i="52" s="1"/>
  <c r="BG23" i="52"/>
  <c r="R575" i="34" s="1" a="1"/>
  <c r="R575" i="34" s="1"/>
  <c r="AB575" i="34" s="1"/>
  <c r="AF575" i="34" s="1"/>
  <c r="AJ575" i="34" s="1"/>
  <c r="P60" i="52"/>
  <c r="H60" i="52"/>
  <c r="Q94" i="52"/>
  <c r="J94" i="52"/>
  <c r="K94" i="52"/>
  <c r="N94" i="52"/>
  <c r="R94" i="52"/>
  <c r="M94" i="52"/>
  <c r="L94" i="52"/>
  <c r="O94" i="52"/>
  <c r="J87" i="52"/>
  <c r="L87" i="52"/>
  <c r="N87" i="52"/>
  <c r="K87" i="52"/>
  <c r="R87" i="52"/>
  <c r="Q87" i="52"/>
  <c r="M87" i="52"/>
  <c r="O87" i="52"/>
  <c r="P86" i="52"/>
  <c r="H86" i="52"/>
  <c r="R97" i="52"/>
  <c r="Q97" i="52"/>
  <c r="M97" i="52"/>
  <c r="L97" i="52"/>
  <c r="O97" i="52"/>
  <c r="N97" i="52"/>
  <c r="K97" i="52"/>
  <c r="J97" i="52"/>
  <c r="J93" i="52"/>
  <c r="L93" i="52"/>
  <c r="M93" i="52"/>
  <c r="O93" i="52"/>
  <c r="R93" i="52"/>
  <c r="N93" i="52"/>
  <c r="Q93" i="52"/>
  <c r="K93" i="52"/>
  <c r="P85" i="52"/>
  <c r="H85" i="52"/>
  <c r="E89" i="52"/>
  <c r="R79" i="13"/>
  <c r="O26" i="52"/>
  <c r="N26" i="52"/>
  <c r="Q26" i="52"/>
  <c r="R26" i="52"/>
  <c r="L26" i="52"/>
  <c r="M26" i="52"/>
  <c r="J26" i="52"/>
  <c r="K26" i="52"/>
  <c r="AM112" i="10"/>
  <c r="T112" i="10"/>
  <c r="Y108" i="10" s="1"/>
  <c r="AB108" i="10" s="1"/>
  <c r="J76" i="52"/>
  <c r="L76" i="52"/>
  <c r="N76" i="52"/>
  <c r="K76" i="52"/>
  <c r="Q76" i="52"/>
  <c r="O76" i="52"/>
  <c r="R76" i="52"/>
  <c r="M76" i="52"/>
  <c r="O105" i="52"/>
  <c r="Q105" i="52"/>
  <c r="R105" i="52"/>
  <c r="N105" i="52"/>
  <c r="K105" i="52"/>
  <c r="M105" i="52"/>
  <c r="J105" i="52"/>
  <c r="L105" i="52"/>
  <c r="J71" i="52"/>
  <c r="O71" i="52"/>
  <c r="R71" i="52"/>
  <c r="Q71" i="52"/>
  <c r="L71" i="52"/>
  <c r="N71" i="52"/>
  <c r="K71" i="52"/>
  <c r="M71" i="52"/>
  <c r="R70" i="52"/>
  <c r="Q70" i="52"/>
  <c r="L70" i="52"/>
  <c r="N70" i="52"/>
  <c r="K70" i="52"/>
  <c r="M70" i="52"/>
  <c r="J70" i="52"/>
  <c r="O70" i="52"/>
  <c r="N88" i="52"/>
  <c r="M88" i="52"/>
  <c r="R88" i="52"/>
  <c r="Q88" i="52"/>
  <c r="J88" i="52"/>
  <c r="K88" i="52"/>
  <c r="O88" i="52"/>
  <c r="L88" i="52"/>
  <c r="P72" i="52"/>
  <c r="H72" i="52"/>
  <c r="AW24" i="52" s="1"/>
  <c r="U73" i="52"/>
  <c r="BJ5" i="52" s="1"/>
  <c r="R258" i="37" s="1" a="1"/>
  <c r="R258" i="37" s="1"/>
  <c r="AB258" i="37" s="1"/>
  <c r="AF258" i="37" s="1"/>
  <c r="AJ258" i="37" s="1"/>
  <c r="S22" i="52"/>
  <c r="V73" i="52"/>
  <c r="BK5" i="52" s="1"/>
  <c r="R259" i="37" s="1" a="1"/>
  <c r="R259" i="37" s="1"/>
  <c r="AB259" i="37" s="1"/>
  <c r="S12" i="13"/>
  <c r="R113" i="62" a="1"/>
  <c r="R113" i="62" s="1"/>
  <c r="AB113" i="62" s="1"/>
  <c r="AF113" i="62" s="1"/>
  <c r="AJ113" i="62" s="1"/>
  <c r="P5" i="13"/>
  <c r="H41" i="8"/>
  <c r="M41" i="8" s="1"/>
  <c r="R105" i="7" s="1"/>
  <c r="P104" i="10" s="1"/>
  <c r="AA41" i="8"/>
  <c r="F41" i="8"/>
  <c r="L41" i="8" s="1"/>
  <c r="Q105" i="7" s="1"/>
  <c r="O104" i="10" s="1"/>
  <c r="Z41" i="8"/>
  <c r="B41" i="8"/>
  <c r="J41" i="8" s="1"/>
  <c r="O105" i="7" s="1"/>
  <c r="X41" i="8"/>
  <c r="AJ237" i="8"/>
  <c r="AJ238" i="8" s="1"/>
  <c r="AJ239" i="8" s="1"/>
  <c r="AJ240" i="8" s="1"/>
  <c r="AJ241" i="8" s="1"/>
  <c r="D41" i="8"/>
  <c r="Y41" i="8"/>
  <c r="P18" i="7"/>
  <c r="X166" i="25"/>
  <c r="AF166" i="25"/>
  <c r="AK166" i="25" s="1"/>
  <c r="AF112" i="25"/>
  <c r="AK112" i="25" s="1"/>
  <c r="X112" i="25"/>
  <c r="K17" i="18"/>
  <c r="D19" i="55" s="1"/>
  <c r="O11" i="13"/>
  <c r="A18" i="10"/>
  <c r="AC24" i="36" l="1"/>
  <c r="BE24" i="52"/>
  <c r="R194" i="36" a="1"/>
  <c r="R194" i="36" s="1"/>
  <c r="AB194" i="36" s="1"/>
  <c r="AF194" i="36" s="1"/>
  <c r="AJ194" i="36" s="1"/>
  <c r="A20" i="55"/>
  <c r="M18" i="18"/>
  <c r="L18" i="18"/>
  <c r="C20" i="55"/>
  <c r="O18" i="18"/>
  <c r="N19" i="55"/>
  <c r="M19" i="55"/>
  <c r="L19" i="55"/>
  <c r="K19" i="55"/>
  <c r="R19" i="55"/>
  <c r="T19" i="55"/>
  <c r="U19" i="55"/>
  <c r="S19" i="55"/>
  <c r="Q19" i="55"/>
  <c r="R43" i="8" a="1"/>
  <c r="R43" i="8" s="1"/>
  <c r="E43" i="8" s="1"/>
  <c r="S43" i="8" a="1"/>
  <c r="S43" i="8" s="1"/>
  <c r="T43" i="8" a="1"/>
  <c r="T43" i="8" s="1"/>
  <c r="G43" i="8" s="1"/>
  <c r="Q43" i="8" a="1"/>
  <c r="Q43" i="8" s="1"/>
  <c r="P43" i="8" a="1"/>
  <c r="P43" i="8" s="1"/>
  <c r="C43" i="8" s="1"/>
  <c r="O43" i="8" a="1"/>
  <c r="O43" i="8" s="1"/>
  <c r="V43" i="8" a="1"/>
  <c r="V43" i="8" s="1"/>
  <c r="I43" i="8" s="1"/>
  <c r="U43" i="8" a="1"/>
  <c r="U43" i="8" s="1"/>
  <c r="O90" i="52"/>
  <c r="J90" i="52"/>
  <c r="M90" i="52"/>
  <c r="K90" i="52"/>
  <c r="N90" i="52"/>
  <c r="R90" i="52"/>
  <c r="L90" i="52"/>
  <c r="N60" i="52"/>
  <c r="M60" i="52"/>
  <c r="J60" i="52"/>
  <c r="O60" i="52"/>
  <c r="K60" i="52"/>
  <c r="L60" i="52"/>
  <c r="Q60" i="52"/>
  <c r="R86" i="52"/>
  <c r="M86" i="52"/>
  <c r="O86" i="52"/>
  <c r="K86" i="52"/>
  <c r="J86" i="52"/>
  <c r="Q86" i="52"/>
  <c r="L86" i="52"/>
  <c r="N86" i="52"/>
  <c r="O72" i="52"/>
  <c r="M72" i="52"/>
  <c r="R72" i="52"/>
  <c r="Q72" i="52"/>
  <c r="BF24" i="52" s="1"/>
  <c r="J72" i="52"/>
  <c r="L72" i="52"/>
  <c r="BA24" i="52" s="1"/>
  <c r="N72" i="52"/>
  <c r="K72" i="52"/>
  <c r="AZ24" i="52" s="1"/>
  <c r="P89" i="52"/>
  <c r="H89" i="52"/>
  <c r="AW7" i="52" s="1"/>
  <c r="AF191" i="36"/>
  <c r="L85" i="52"/>
  <c r="R85" i="52"/>
  <c r="N85" i="52"/>
  <c r="K85" i="52"/>
  <c r="M85" i="52"/>
  <c r="O85" i="52"/>
  <c r="Q85" i="52"/>
  <c r="J85" i="52"/>
  <c r="AF259" i="37"/>
  <c r="AJ259" i="37" s="1"/>
  <c r="U18" i="7"/>
  <c r="U19" i="7" s="1"/>
  <c r="U20" i="7" s="1"/>
  <c r="U21" i="7" s="1"/>
  <c r="U22" i="7" s="1"/>
  <c r="U23" i="7" s="1"/>
  <c r="U24" i="7" s="1"/>
  <c r="CE13" i="52" s="1"/>
  <c r="N18" i="10"/>
  <c r="H148" i="13"/>
  <c r="AF179" i="40" s="1"/>
  <c r="AK179" i="40" s="1"/>
  <c r="X65" i="23"/>
  <c r="AF65" i="23"/>
  <c r="AK65" i="23" s="1"/>
  <c r="X42" i="8"/>
  <c r="B42" i="8"/>
  <c r="J42" i="8" s="1"/>
  <c r="J91" i="7" s="1"/>
  <c r="AF90" i="10" s="1"/>
  <c r="H42" i="8"/>
  <c r="M42" i="8" s="1"/>
  <c r="M91" i="7" s="1"/>
  <c r="K90" i="10" s="1"/>
  <c r="AA42" i="8"/>
  <c r="K41" i="8"/>
  <c r="P105" i="7" s="1"/>
  <c r="N104" i="10" s="1"/>
  <c r="Z42" i="8"/>
  <c r="F42" i="8"/>
  <c r="L42" i="8" s="1"/>
  <c r="L91" i="7" s="1"/>
  <c r="J90" i="10" s="1"/>
  <c r="U179" i="40"/>
  <c r="AJ242" i="8"/>
  <c r="AJ243" i="8" s="1"/>
  <c r="AJ244" i="8" s="1"/>
  <c r="AJ245" i="8" s="1"/>
  <c r="AJ246" i="8" s="1"/>
  <c r="D42" i="8"/>
  <c r="K42" i="8" s="1"/>
  <c r="K91" i="7" s="1"/>
  <c r="I90" i="10" s="1"/>
  <c r="R90" i="10" s="1"/>
  <c r="Y42" i="8"/>
  <c r="AF221" i="25"/>
  <c r="AK221" i="25" s="1"/>
  <c r="X221" i="25"/>
  <c r="R17" i="18"/>
  <c r="AF127" i="23"/>
  <c r="AK127" i="23" s="1"/>
  <c r="X127" i="23"/>
  <c r="O12" i="13"/>
  <c r="P6" i="13"/>
  <c r="C18" i="18"/>
  <c r="E19" i="18"/>
  <c r="O13" i="13"/>
  <c r="R202" i="36" l="1" a="1"/>
  <c r="R202" i="36" s="1"/>
  <c r="AB202" i="36" s="1"/>
  <c r="AF202" i="36" s="1"/>
  <c r="AJ202" i="36" s="1"/>
  <c r="BD24" i="52"/>
  <c r="R201" i="36" s="1" a="1"/>
  <c r="R201" i="36" s="1"/>
  <c r="AB201" i="36" s="1"/>
  <c r="AF201" i="36" s="1"/>
  <c r="AJ201" i="36" s="1"/>
  <c r="BG24" i="52"/>
  <c r="R197" i="36" a="1"/>
  <c r="R197" i="36" s="1"/>
  <c r="AB197" i="36" s="1"/>
  <c r="AF197" i="36" s="1"/>
  <c r="AJ197" i="36" s="1"/>
  <c r="R198" i="36" a="1"/>
  <c r="R198" i="36" s="1"/>
  <c r="AB198" i="36" s="1"/>
  <c r="AF198" i="36" s="1"/>
  <c r="AJ198" i="36" s="1"/>
  <c r="BC24" i="52"/>
  <c r="R200" i="36" s="1" a="1"/>
  <c r="R200" i="36" s="1"/>
  <c r="AB200" i="36" s="1"/>
  <c r="AF200" i="36" s="1"/>
  <c r="AJ200" i="36" s="1"/>
  <c r="R203" i="36" a="1"/>
  <c r="R203" i="36" s="1"/>
  <c r="AB203" i="36" s="1"/>
  <c r="AF203" i="36" s="1"/>
  <c r="AJ203" i="36" s="1"/>
  <c r="BB24" i="52"/>
  <c r="AY24" i="52"/>
  <c r="R196" i="36" s="1" a="1"/>
  <c r="R196" i="36" s="1"/>
  <c r="AB196" i="36" s="1"/>
  <c r="AF196" i="36" s="1"/>
  <c r="C21" i="55"/>
  <c r="F20" i="55"/>
  <c r="P20" i="55"/>
  <c r="J20" i="55"/>
  <c r="V44" i="8" a="1"/>
  <c r="V44" i="8" s="1"/>
  <c r="I44" i="8" s="1"/>
  <c r="O44" i="8" a="1"/>
  <c r="O44" i="8" s="1"/>
  <c r="R44" i="8" a="1"/>
  <c r="R44" i="8" s="1"/>
  <c r="E44" i="8" s="1"/>
  <c r="I131" i="13" s="1"/>
  <c r="U44" i="8" a="1"/>
  <c r="U44" i="8" s="1"/>
  <c r="Q44" i="8" a="1"/>
  <c r="Q44" i="8" s="1"/>
  <c r="P44" i="8" a="1"/>
  <c r="P44" i="8" s="1"/>
  <c r="C44" i="8" s="1"/>
  <c r="T44" i="8" a="1"/>
  <c r="T44" i="8" s="1"/>
  <c r="G44" i="8" s="1"/>
  <c r="S44" i="8" a="1"/>
  <c r="S44" i="8" s="1"/>
  <c r="AJ191" i="36"/>
  <c r="O89" i="52"/>
  <c r="J89" i="52"/>
  <c r="AY7" i="52" s="1"/>
  <c r="M89" i="52"/>
  <c r="R89" i="52"/>
  <c r="BG7" i="52" s="1"/>
  <c r="L89" i="52"/>
  <c r="BA7" i="52" s="1"/>
  <c r="Q89" i="52"/>
  <c r="N89" i="52"/>
  <c r="K89" i="52"/>
  <c r="S73" i="52"/>
  <c r="R179" i="40"/>
  <c r="S63" i="13"/>
  <c r="O148" i="13"/>
  <c r="AG90" i="10"/>
  <c r="AG91" i="10" s="1"/>
  <c r="AG92" i="10" s="1"/>
  <c r="AI90" i="10" s="1"/>
  <c r="X179" i="40"/>
  <c r="H43" i="8"/>
  <c r="M43" i="8" s="1"/>
  <c r="M6" i="7" s="1"/>
  <c r="K6" i="10" s="1"/>
  <c r="AA43" i="8"/>
  <c r="B43" i="8"/>
  <c r="J43" i="8" s="1"/>
  <c r="X43" i="8"/>
  <c r="Y43" i="8"/>
  <c r="D43" i="8"/>
  <c r="K43" i="8" s="1"/>
  <c r="K6" i="7" s="1"/>
  <c r="I6" i="10" s="1"/>
  <c r="R6" i="10" s="1"/>
  <c r="AJ247" i="8"/>
  <c r="AJ248" i="8" s="1"/>
  <c r="AJ249" i="8" s="1"/>
  <c r="AJ250" i="8" s="1"/>
  <c r="AJ251" i="8" s="1"/>
  <c r="F43" i="8"/>
  <c r="L43" i="8" s="1"/>
  <c r="L6" i="7" s="1"/>
  <c r="J6" i="10" s="1"/>
  <c r="Z43" i="8"/>
  <c r="X61" i="26"/>
  <c r="AF61" i="26"/>
  <c r="AK61" i="26" s="1"/>
  <c r="X109" i="26"/>
  <c r="AF109" i="26"/>
  <c r="AK109" i="26" s="1"/>
  <c r="K18" i="18"/>
  <c r="D20" i="55" s="1"/>
  <c r="AF163" i="23"/>
  <c r="AK163" i="23" s="1"/>
  <c r="X163" i="23"/>
  <c r="P7" i="13"/>
  <c r="B19" i="18"/>
  <c r="O19" i="18" s="1"/>
  <c r="O15" i="13"/>
  <c r="R199" i="36" l="1" a="1"/>
  <c r="R199" i="36" s="1"/>
  <c r="AB199" i="36" s="1"/>
  <c r="AF199" i="36" s="1"/>
  <c r="AJ199" i="36" s="1"/>
  <c r="R204" i="36" a="1"/>
  <c r="R204" i="36" s="1"/>
  <c r="AB204" i="36" s="1"/>
  <c r="AF204" i="36" s="1"/>
  <c r="AJ204" i="36" s="1"/>
  <c r="R20" i="55"/>
  <c r="T20" i="55"/>
  <c r="U20" i="55"/>
  <c r="S20" i="55"/>
  <c r="Q20" i="55"/>
  <c r="K20" i="55"/>
  <c r="N20" i="55"/>
  <c r="M20" i="55"/>
  <c r="L20" i="55"/>
  <c r="L19" i="18"/>
  <c r="A21" i="55"/>
  <c r="M19" i="18"/>
  <c r="F21" i="55" s="1"/>
  <c r="O45" i="8" a="1"/>
  <c r="O45" i="8" s="1"/>
  <c r="R45" i="8" a="1"/>
  <c r="R45" i="8" s="1"/>
  <c r="E45" i="8" s="1"/>
  <c r="P45" i="8" a="1"/>
  <c r="P45" i="8" s="1"/>
  <c r="C45" i="8" s="1"/>
  <c r="V45" i="8" a="1"/>
  <c r="V45" i="8" s="1"/>
  <c r="I45" i="8" s="1"/>
  <c r="S45" i="8" a="1"/>
  <c r="S45" i="8" s="1"/>
  <c r="U45" i="8" a="1"/>
  <c r="U45" i="8" s="1"/>
  <c r="Q45" i="8" a="1"/>
  <c r="Q45" i="8" s="1"/>
  <c r="T45" i="8" a="1"/>
  <c r="T45" i="8" s="1"/>
  <c r="G45" i="8" s="1"/>
  <c r="AJ196" i="36"/>
  <c r="S6" i="13"/>
  <c r="S16" i="52"/>
  <c r="AK90" i="10"/>
  <c r="H90" i="10" s="1"/>
  <c r="AJ90" i="10"/>
  <c r="AK91" i="10" s="1"/>
  <c r="H91" i="10" s="1"/>
  <c r="AI92" i="10"/>
  <c r="AK92" i="10" s="1"/>
  <c r="AI91" i="10"/>
  <c r="A20" i="18"/>
  <c r="D20" i="18" s="1"/>
  <c r="B22" i="55" s="1"/>
  <c r="J6" i="7"/>
  <c r="AF6" i="10" s="1"/>
  <c r="H44" i="8"/>
  <c r="M44" i="8" s="1"/>
  <c r="R41" i="7" s="1"/>
  <c r="P40" i="10" s="1"/>
  <c r="AA44" i="8"/>
  <c r="Y44" i="8"/>
  <c r="D44" i="8"/>
  <c r="B44" i="8"/>
  <c r="J44" i="8" s="1"/>
  <c r="O41" i="7" s="1"/>
  <c r="X44" i="8"/>
  <c r="F44" i="8"/>
  <c r="L44" i="8" s="1"/>
  <c r="Q41" i="7" s="1"/>
  <c r="O40" i="10" s="1"/>
  <c r="Z44" i="8"/>
  <c r="AJ252" i="8"/>
  <c r="AJ253" i="8" s="1"/>
  <c r="AJ254" i="8" s="1"/>
  <c r="AJ255" i="8" s="1"/>
  <c r="AJ256" i="8" s="1"/>
  <c r="R18" i="18"/>
  <c r="X213" i="23"/>
  <c r="AF213" i="23"/>
  <c r="AK213" i="23" s="1"/>
  <c r="P8" i="13"/>
  <c r="C19" i="18"/>
  <c r="AF228" i="36" l="1"/>
  <c r="AC20" i="36" s="1"/>
  <c r="AJ228" i="36"/>
  <c r="AC21" i="36" s="1"/>
  <c r="AB228" i="36"/>
  <c r="AC19" i="36" s="1"/>
  <c r="P21" i="55"/>
  <c r="J21" i="55"/>
  <c r="R46" i="8" a="1"/>
  <c r="R46" i="8" s="1"/>
  <c r="E46" i="8" s="1"/>
  <c r="S46" i="8" a="1"/>
  <c r="S46" i="8" s="1"/>
  <c r="Q46" i="8" a="1"/>
  <c r="Q46" i="8" s="1"/>
  <c r="V46" i="8" a="1"/>
  <c r="V46" i="8" s="1"/>
  <c r="I46" i="8" s="1"/>
  <c r="T46" i="8" a="1"/>
  <c r="T46" i="8" s="1"/>
  <c r="G46" i="8" s="1"/>
  <c r="P46" i="8" a="1"/>
  <c r="P46" i="8" s="1"/>
  <c r="C46" i="8" s="1"/>
  <c r="U46" i="8" a="1"/>
  <c r="U46" i="8" s="1"/>
  <c r="O46" i="8" a="1"/>
  <c r="O46" i="8" s="1"/>
  <c r="E20" i="18"/>
  <c r="AJ91" i="10"/>
  <c r="AJ92" i="10" s="1"/>
  <c r="N64" i="13"/>
  <c r="G64" i="13" s="1"/>
  <c r="Q91" i="10"/>
  <c r="E74" i="52" s="1"/>
  <c r="H131" i="13"/>
  <c r="N63" i="13"/>
  <c r="G63" i="13" s="1"/>
  <c r="AL90" i="10"/>
  <c r="Q90" i="10"/>
  <c r="E73" i="52" s="1"/>
  <c r="K44" i="8"/>
  <c r="AJ257" i="8"/>
  <c r="AJ258" i="8" s="1"/>
  <c r="AJ259" i="8" s="1"/>
  <c r="AJ260" i="8" s="1"/>
  <c r="AJ261" i="8" s="1"/>
  <c r="U122" i="30"/>
  <c r="F45" i="8"/>
  <c r="L45" i="8" s="1"/>
  <c r="L40" i="7" s="1"/>
  <c r="J39" i="10" s="1"/>
  <c r="Z45" i="8"/>
  <c r="H45" i="8"/>
  <c r="M45" i="8" s="1"/>
  <c r="M40" i="7" s="1"/>
  <c r="K39" i="10" s="1"/>
  <c r="AA45" i="8"/>
  <c r="X45" i="8"/>
  <c r="B45" i="8"/>
  <c r="J45" i="8" s="1"/>
  <c r="J40" i="7" s="1"/>
  <c r="AF39" i="10" s="1"/>
  <c r="D45" i="8"/>
  <c r="K45" i="8" s="1"/>
  <c r="K40" i="7" s="1"/>
  <c r="I39" i="10" s="1"/>
  <c r="R39" i="10" s="1"/>
  <c r="Y45" i="8"/>
  <c r="X64" i="25"/>
  <c r="AF64" i="25"/>
  <c r="AK64" i="25" s="1"/>
  <c r="K19" i="18"/>
  <c r="D21" i="55" s="1"/>
  <c r="O95" i="7"/>
  <c r="P95" i="7"/>
  <c r="P9" i="13"/>
  <c r="B20" i="18"/>
  <c r="O17" i="13"/>
  <c r="O16" i="13"/>
  <c r="AG39" i="10" l="1"/>
  <c r="A22" i="55"/>
  <c r="L20" i="18"/>
  <c r="M20" i="18"/>
  <c r="N21" i="55"/>
  <c r="K21" i="55"/>
  <c r="L21" i="55"/>
  <c r="M21" i="55"/>
  <c r="C22" i="55"/>
  <c r="O20" i="18"/>
  <c r="V47" i="8" a="1"/>
  <c r="V47" i="8" s="1"/>
  <c r="I47" i="8" s="1"/>
  <c r="R47" i="8" a="1"/>
  <c r="R47" i="8" s="1"/>
  <c r="E47" i="8" s="1"/>
  <c r="I132" i="13" s="1"/>
  <c r="S47" i="8" a="1"/>
  <c r="S47" i="8" s="1"/>
  <c r="O47" i="8" a="1"/>
  <c r="O47" i="8" s="1"/>
  <c r="Q47" i="8" a="1"/>
  <c r="Q47" i="8" s="1"/>
  <c r="T47" i="8" a="1"/>
  <c r="T47" i="8" s="1"/>
  <c r="G47" i="8" s="1"/>
  <c r="P47" i="8" a="1"/>
  <c r="P47" i="8" s="1"/>
  <c r="C47" i="8" s="1"/>
  <c r="U47" i="8" a="1"/>
  <c r="U47" i="8" s="1"/>
  <c r="S37" i="52"/>
  <c r="O131" i="13"/>
  <c r="AT5" i="52"/>
  <c r="R242" i="37" s="1" a="1"/>
  <c r="R242" i="37" s="1"/>
  <c r="H73" i="52"/>
  <c r="P73" i="52"/>
  <c r="H74" i="52"/>
  <c r="P74" i="52"/>
  <c r="X122" i="30"/>
  <c r="AF122" i="30"/>
  <c r="AK122" i="30" s="1"/>
  <c r="R63" i="13"/>
  <c r="T90" i="10"/>
  <c r="AM90" i="10"/>
  <c r="AL91" i="10" s="1"/>
  <c r="R122" i="30"/>
  <c r="S27" i="13"/>
  <c r="R64" i="13"/>
  <c r="A21" i="18"/>
  <c r="D21" i="18" s="1"/>
  <c r="B23" i="55" s="1"/>
  <c r="F46" i="8"/>
  <c r="L46" i="8" s="1"/>
  <c r="L44" i="7" s="1"/>
  <c r="J43" i="10" s="1"/>
  <c r="Z46" i="8"/>
  <c r="B46" i="8"/>
  <c r="J46" i="8" s="1"/>
  <c r="J44" i="7" s="1"/>
  <c r="AF43" i="10" s="1"/>
  <c r="X46" i="8"/>
  <c r="P41" i="7"/>
  <c r="Y46" i="8"/>
  <c r="D46" i="8"/>
  <c r="K46" i="8" s="1"/>
  <c r="K44" i="7" s="1"/>
  <c r="I43" i="10" s="1"/>
  <c r="S42" i="10" s="1"/>
  <c r="AJ262" i="8"/>
  <c r="AJ263" i="8" s="1"/>
  <c r="AJ264" i="8" s="1"/>
  <c r="AJ265" i="8" s="1"/>
  <c r="AJ266" i="8" s="1"/>
  <c r="AA46" i="8"/>
  <c r="H46" i="8"/>
  <c r="M46" i="8" s="1"/>
  <c r="M44" i="7" s="1"/>
  <c r="K43" i="10" s="1"/>
  <c r="AF62" i="27"/>
  <c r="AK62" i="27" s="1"/>
  <c r="X62" i="27"/>
  <c r="X213" i="26"/>
  <c r="AF213" i="26"/>
  <c r="AK213" i="26" s="1"/>
  <c r="X115" i="25"/>
  <c r="AF115" i="25"/>
  <c r="AK115" i="25" s="1"/>
  <c r="R19" i="18"/>
  <c r="P10" i="13"/>
  <c r="C20" i="18"/>
  <c r="F22" i="55" l="1"/>
  <c r="E21" i="18"/>
  <c r="P22" i="55"/>
  <c r="J22" i="55"/>
  <c r="Q48" i="8" a="1"/>
  <c r="Q48" i="8" s="1"/>
  <c r="U48" i="8" a="1"/>
  <c r="U48" i="8" s="1"/>
  <c r="O48" i="8" a="1"/>
  <c r="O48" i="8" s="1"/>
  <c r="S48" i="8" a="1"/>
  <c r="S48" i="8" s="1"/>
  <c r="P48" i="8" a="1"/>
  <c r="P48" i="8" s="1"/>
  <c r="C48" i="8" s="1"/>
  <c r="R48" i="8" a="1"/>
  <c r="R48" i="8" s="1"/>
  <c r="E48" i="8" s="1"/>
  <c r="V48" i="8" a="1"/>
  <c r="V48" i="8" s="1"/>
  <c r="I48" i="8" s="1"/>
  <c r="T48" i="8" a="1"/>
  <c r="T48" i="8" s="1"/>
  <c r="G48" i="8" s="1"/>
  <c r="AB242" i="37"/>
  <c r="T39" i="52"/>
  <c r="U39" i="52" s="1"/>
  <c r="W113" i="70"/>
  <c r="BE5" i="52"/>
  <c r="R253" i="37" s="1" a="1"/>
  <c r="R253" i="37" s="1"/>
  <c r="AB253" i="37" s="1"/>
  <c r="AF253" i="37" s="1"/>
  <c r="AJ253" i="37" s="1"/>
  <c r="AW5" i="52"/>
  <c r="R245" i="37" s="1" a="1"/>
  <c r="R245" i="37" s="1"/>
  <c r="AB245" i="37" s="1"/>
  <c r="AF245" i="37" s="1"/>
  <c r="AJ245" i="37" s="1"/>
  <c r="O74" i="52"/>
  <c r="R74" i="52"/>
  <c r="Q74" i="52"/>
  <c r="O73" i="52"/>
  <c r="R73" i="52"/>
  <c r="Q73" i="52"/>
  <c r="M74" i="52"/>
  <c r="J74" i="52"/>
  <c r="L74" i="52"/>
  <c r="N74" i="52"/>
  <c r="K74" i="52"/>
  <c r="L73" i="52"/>
  <c r="N73" i="52"/>
  <c r="K73" i="52"/>
  <c r="M73" i="52"/>
  <c r="J73" i="52"/>
  <c r="T29" i="13"/>
  <c r="U41" i="7"/>
  <c r="U42" i="7" s="1"/>
  <c r="U43" i="7" s="1"/>
  <c r="N40" i="10"/>
  <c r="AM91" i="10"/>
  <c r="T91" i="10"/>
  <c r="Y90" i="10" s="1"/>
  <c r="AB90" i="10" s="1"/>
  <c r="F47" i="8"/>
  <c r="L47" i="8" s="1"/>
  <c r="Q44" i="7" s="1"/>
  <c r="O43" i="10" s="1"/>
  <c r="Z47" i="8"/>
  <c r="AA47" i="8"/>
  <c r="H47" i="8"/>
  <c r="M47" i="8" s="1"/>
  <c r="R44" i="7" s="1"/>
  <c r="P43" i="10" s="1"/>
  <c r="AJ267" i="8"/>
  <c r="AJ268" i="8" s="1"/>
  <c r="AJ269" i="8" s="1"/>
  <c r="AJ270" i="8" s="1"/>
  <c r="AJ271" i="8" s="1"/>
  <c r="D47" i="8"/>
  <c r="Y47" i="8"/>
  <c r="B47" i="8"/>
  <c r="J47" i="8" s="1"/>
  <c r="O44" i="7" s="1"/>
  <c r="X47" i="8"/>
  <c r="AF169" i="25"/>
  <c r="AK169" i="25" s="1"/>
  <c r="X169" i="25"/>
  <c r="K20" i="18"/>
  <c r="D22" i="55" s="1"/>
  <c r="P11" i="13"/>
  <c r="B21" i="18"/>
  <c r="A23" i="55" s="1"/>
  <c r="O20" i="13"/>
  <c r="O18" i="13"/>
  <c r="O19" i="13"/>
  <c r="P23" i="55" l="1"/>
  <c r="J23" i="55"/>
  <c r="N22" i="55"/>
  <c r="L22" i="55"/>
  <c r="M22" i="55"/>
  <c r="K22" i="55"/>
  <c r="L21" i="18"/>
  <c r="M21" i="18"/>
  <c r="C23" i="55"/>
  <c r="O21" i="18"/>
  <c r="R49" i="8" a="1"/>
  <c r="R49" i="8" s="1"/>
  <c r="E49" i="8" s="1"/>
  <c r="I127" i="13" s="1"/>
  <c r="O49" i="8" a="1"/>
  <c r="O49" i="8" s="1"/>
  <c r="Q49" i="8" a="1"/>
  <c r="Q49" i="8" s="1"/>
  <c r="U49" i="8" a="1"/>
  <c r="U49" i="8" s="1"/>
  <c r="S49" i="8" a="1"/>
  <c r="S49" i="8" s="1"/>
  <c r="V49" i="8" a="1"/>
  <c r="V49" i="8" s="1"/>
  <c r="I49" i="8" s="1"/>
  <c r="P49" i="8" a="1"/>
  <c r="P49" i="8" s="1"/>
  <c r="C49" i="8" s="1"/>
  <c r="T49" i="8" a="1"/>
  <c r="T49" i="8" s="1"/>
  <c r="G49" i="8" s="1"/>
  <c r="V39" i="52"/>
  <c r="AF242" i="37"/>
  <c r="AJ242" i="37" s="1"/>
  <c r="BF5" i="52"/>
  <c r="R254" i="37" s="1" a="1"/>
  <c r="R254" i="37" s="1"/>
  <c r="AB254" i="37" s="1"/>
  <c r="AF254" i="37" s="1"/>
  <c r="AJ254" i="37" s="1"/>
  <c r="BD5" i="52"/>
  <c r="R252" i="37" s="1" a="1"/>
  <c r="R252" i="37" s="1"/>
  <c r="AB252" i="37" s="1"/>
  <c r="AF252" i="37" s="1"/>
  <c r="AJ252" i="37" s="1"/>
  <c r="BG5" i="52"/>
  <c r="R255" i="37" s="1" a="1"/>
  <c r="R255" i="37" s="1"/>
  <c r="AB255" i="37" s="1"/>
  <c r="BB5" i="52"/>
  <c r="R250" i="37" s="1" a="1"/>
  <c r="R250" i="37" s="1"/>
  <c r="AB250" i="37" s="1"/>
  <c r="AF250" i="37" s="1"/>
  <c r="AJ250" i="37" s="1"/>
  <c r="AY5" i="52"/>
  <c r="R247" i="37" s="1" a="1"/>
  <c r="R247" i="37" s="1"/>
  <c r="AB247" i="37" s="1"/>
  <c r="AF247" i="37" s="1"/>
  <c r="AJ247" i="37" s="1"/>
  <c r="BA5" i="52"/>
  <c r="R249" i="37" s="1" a="1"/>
  <c r="R249" i="37" s="1"/>
  <c r="AB249" i="37" s="1"/>
  <c r="AF249" i="37" s="1"/>
  <c r="AJ249" i="37" s="1"/>
  <c r="AZ5" i="52"/>
  <c r="R248" i="37" s="1" a="1"/>
  <c r="R248" i="37" s="1"/>
  <c r="AB248" i="37" s="1"/>
  <c r="BC5" i="52"/>
  <c r="R251" i="37" s="1" a="1"/>
  <c r="R251" i="37" s="1"/>
  <c r="AB251" i="37" s="1"/>
  <c r="AF251" i="37" s="1"/>
  <c r="AJ251" i="37" s="1"/>
  <c r="H132" i="13"/>
  <c r="X228" i="30" s="1"/>
  <c r="A22" i="18"/>
  <c r="D22" i="18" s="1"/>
  <c r="B24" i="55" s="1"/>
  <c r="N21" i="18"/>
  <c r="K47" i="8"/>
  <c r="D48" i="8"/>
  <c r="K48" i="8" s="1"/>
  <c r="K4" i="7" s="1"/>
  <c r="I4" i="10" s="1"/>
  <c r="S5" i="10" s="1"/>
  <c r="Y48" i="8"/>
  <c r="B48" i="8"/>
  <c r="J48" i="8" s="1"/>
  <c r="J4" i="7" s="1"/>
  <c r="AF4" i="10" s="1"/>
  <c r="X48" i="8"/>
  <c r="AJ272" i="8"/>
  <c r="AJ273" i="8" s="1"/>
  <c r="AJ274" i="8" s="1"/>
  <c r="AJ275" i="8" s="1"/>
  <c r="AJ276" i="8" s="1"/>
  <c r="U228" i="30"/>
  <c r="F48" i="8"/>
  <c r="L48" i="8" s="1"/>
  <c r="L4" i="7" s="1"/>
  <c r="J4" i="10" s="1"/>
  <c r="Z48" i="8"/>
  <c r="H48" i="8"/>
  <c r="M48" i="8" s="1"/>
  <c r="M4" i="7" s="1"/>
  <c r="K4" i="10" s="1"/>
  <c r="AA48" i="8"/>
  <c r="AF108" i="27"/>
  <c r="AK108" i="27" s="1"/>
  <c r="X108" i="27"/>
  <c r="AF62" i="28"/>
  <c r="AK62" i="28" s="1"/>
  <c r="X62" i="28"/>
  <c r="X108" i="28"/>
  <c r="AF108" i="28"/>
  <c r="AK108" i="28" s="1"/>
  <c r="AF224" i="25"/>
  <c r="AK224" i="25" s="1"/>
  <c r="X224" i="25"/>
  <c r="R20" i="18"/>
  <c r="P12" i="13"/>
  <c r="C21" i="18"/>
  <c r="O21" i="13"/>
  <c r="E23" i="55" l="1"/>
  <c r="Q23" i="55" s="1"/>
  <c r="F23" i="55"/>
  <c r="R23" i="55" s="1"/>
  <c r="D9" i="59" s="1"/>
  <c r="K23" i="55"/>
  <c r="N23" i="55"/>
  <c r="L23" i="55"/>
  <c r="M23" i="55"/>
  <c r="R50" i="8" a="1"/>
  <c r="R50" i="8" s="1"/>
  <c r="E50" i="8" s="1"/>
  <c r="V50" i="8" a="1"/>
  <c r="V50" i="8" s="1"/>
  <c r="I50" i="8" s="1"/>
  <c r="T50" i="8" a="1"/>
  <c r="T50" i="8" s="1"/>
  <c r="G50" i="8" s="1"/>
  <c r="U50" i="8" a="1"/>
  <c r="U50" i="8" s="1"/>
  <c r="Q50" i="8" a="1"/>
  <c r="Q50" i="8" s="1"/>
  <c r="S50" i="8" a="1"/>
  <c r="S50" i="8" s="1"/>
  <c r="O50" i="8" a="1"/>
  <c r="O50" i="8" s="1"/>
  <c r="P50" i="8" a="1"/>
  <c r="P50" i="8" s="1"/>
  <c r="C50" i="8" s="1"/>
  <c r="AF248" i="37"/>
  <c r="AJ248" i="37" s="1"/>
  <c r="AF255" i="37"/>
  <c r="AJ255" i="37" s="1"/>
  <c r="T15" i="52"/>
  <c r="U15" i="52" s="1"/>
  <c r="W99" i="70"/>
  <c r="E22" i="18"/>
  <c r="AF228" i="30"/>
  <c r="AK228" i="30" s="1"/>
  <c r="AG4" i="10"/>
  <c r="S7" i="10"/>
  <c r="T5" i="13"/>
  <c r="O132" i="13"/>
  <c r="R228" i="30"/>
  <c r="P44" i="7"/>
  <c r="D49" i="8"/>
  <c r="Y49" i="8"/>
  <c r="B49" i="8"/>
  <c r="J49" i="8" s="1"/>
  <c r="O31" i="7" s="1"/>
  <c r="X49" i="8"/>
  <c r="AJ277" i="8"/>
  <c r="AJ278" i="8" s="1"/>
  <c r="AJ279" i="8" s="1"/>
  <c r="AJ280" i="8" s="1"/>
  <c r="AJ281" i="8" s="1"/>
  <c r="F49" i="8"/>
  <c r="L49" i="8" s="1"/>
  <c r="Q31" i="7" s="1"/>
  <c r="O30" i="10" s="1"/>
  <c r="Z49" i="8"/>
  <c r="AA49" i="8"/>
  <c r="H49" i="8"/>
  <c r="M49" i="8" s="1"/>
  <c r="R31" i="7" s="1"/>
  <c r="P30" i="10" s="1"/>
  <c r="AF62" i="29"/>
  <c r="AK62" i="29" s="1"/>
  <c r="X62" i="29"/>
  <c r="X64" i="26"/>
  <c r="AF64" i="26"/>
  <c r="AK64" i="26" s="1"/>
  <c r="K21" i="18"/>
  <c r="D23" i="55" s="1"/>
  <c r="P13" i="13"/>
  <c r="P14" i="13" s="1"/>
  <c r="B22" i="18"/>
  <c r="A24" i="55" s="1"/>
  <c r="O22" i="13"/>
  <c r="AF165" i="26" l="1"/>
  <c r="AK165" i="26" s="1"/>
  <c r="X165" i="26"/>
  <c r="G23" i="55"/>
  <c r="S23" i="55" s="1"/>
  <c r="P24" i="55"/>
  <c r="J24" i="55"/>
  <c r="C24" i="55"/>
  <c r="O22" i="18"/>
  <c r="L22" i="18"/>
  <c r="M22" i="18"/>
  <c r="T51" i="8" a="1"/>
  <c r="T51" i="8" s="1"/>
  <c r="G51" i="8" s="1"/>
  <c r="V51" i="8" a="1"/>
  <c r="V51" i="8" s="1"/>
  <c r="I51" i="8" s="1"/>
  <c r="P51" i="8" a="1"/>
  <c r="P51" i="8" s="1"/>
  <c r="C51" i="8" s="1"/>
  <c r="R51" i="8" a="1"/>
  <c r="R51" i="8" s="1"/>
  <c r="E51" i="8" s="1"/>
  <c r="I137" i="13" s="1"/>
  <c r="S51" i="8" a="1"/>
  <c r="S51" i="8" s="1"/>
  <c r="U51" i="8" a="1"/>
  <c r="U51" i="8" s="1"/>
  <c r="O51" i="8" a="1"/>
  <c r="O51" i="8" s="1"/>
  <c r="Q51" i="8" a="1"/>
  <c r="Q51" i="8" s="1"/>
  <c r="V15" i="52"/>
  <c r="T7" i="13"/>
  <c r="T17" i="52"/>
  <c r="H127" i="13"/>
  <c r="X87" i="29" s="1"/>
  <c r="U44" i="7"/>
  <c r="U45" i="7" s="1"/>
  <c r="CE9" i="52" s="1"/>
  <c r="N43" i="10"/>
  <c r="A23" i="18"/>
  <c r="D23" i="18" s="1"/>
  <c r="B25" i="55" s="1"/>
  <c r="B50" i="8"/>
  <c r="J50" i="8" s="1"/>
  <c r="J5" i="7" s="1"/>
  <c r="AF5" i="10" s="1"/>
  <c r="AG5" i="10" s="1"/>
  <c r="AG6" i="10" s="1"/>
  <c r="X50" i="8"/>
  <c r="AA50" i="8"/>
  <c r="H50" i="8"/>
  <c r="M50" i="8" s="1"/>
  <c r="M5" i="7" s="1"/>
  <c r="K5" i="10" s="1"/>
  <c r="AJ282" i="8"/>
  <c r="AJ283" i="8" s="1"/>
  <c r="AJ284" i="8" s="1"/>
  <c r="AJ285" i="8" s="1"/>
  <c r="AJ286" i="8" s="1"/>
  <c r="K49" i="8"/>
  <c r="Y50" i="8"/>
  <c r="D50" i="8"/>
  <c r="K50" i="8" s="1"/>
  <c r="K5" i="7" s="1"/>
  <c r="I5" i="10" s="1"/>
  <c r="R5" i="10" s="1"/>
  <c r="U87" i="29"/>
  <c r="Z50" i="8"/>
  <c r="F50" i="8"/>
  <c r="L50" i="8" s="1"/>
  <c r="L5" i="7" s="1"/>
  <c r="J5" i="10" s="1"/>
  <c r="X125" i="29"/>
  <c r="AF125" i="29"/>
  <c r="AK125" i="29" s="1"/>
  <c r="AF112" i="26"/>
  <c r="AK112" i="26" s="1"/>
  <c r="X112" i="26"/>
  <c r="R21" i="18"/>
  <c r="O23" i="13"/>
  <c r="P15" i="13"/>
  <c r="C22" i="18"/>
  <c r="H23" i="55" l="1"/>
  <c r="I23" i="55" s="1"/>
  <c r="U23" i="55" s="1"/>
  <c r="E23" i="18"/>
  <c r="C25" i="55" s="1"/>
  <c r="F24" i="55"/>
  <c r="R24" i="55" s="1"/>
  <c r="D10" i="59" s="1"/>
  <c r="M24" i="55"/>
  <c r="K24" i="55"/>
  <c r="L24" i="55"/>
  <c r="N24" i="55"/>
  <c r="T52" i="8" a="1"/>
  <c r="T52" i="8" s="1"/>
  <c r="G52" i="8" s="1"/>
  <c r="R52" i="8" a="1"/>
  <c r="R52" i="8" s="1"/>
  <c r="E52" i="8" s="1"/>
  <c r="I138" i="13" s="1"/>
  <c r="Q52" i="8" a="1"/>
  <c r="Q52" i="8" s="1"/>
  <c r="S52" i="8" a="1"/>
  <c r="S52" i="8" s="1"/>
  <c r="U52" i="8" a="1"/>
  <c r="U52" i="8" s="1"/>
  <c r="P52" i="8" a="1"/>
  <c r="P52" i="8" s="1"/>
  <c r="C52" i="8" s="1"/>
  <c r="O52" i="8" a="1"/>
  <c r="O52" i="8" s="1"/>
  <c r="V52" i="8" a="1"/>
  <c r="V52" i="8" s="1"/>
  <c r="I52" i="8" s="1"/>
  <c r="AF87" i="29"/>
  <c r="AK87" i="29" s="1"/>
  <c r="S5" i="13"/>
  <c r="S15" i="52"/>
  <c r="U17" i="52"/>
  <c r="V17" i="52"/>
  <c r="R43" i="10"/>
  <c r="O127" i="13"/>
  <c r="R87" i="29"/>
  <c r="N6" i="18"/>
  <c r="E8" i="55" s="1"/>
  <c r="G8" i="55" s="1"/>
  <c r="H8" i="55" s="1"/>
  <c r="I8" i="55" s="1"/>
  <c r="P31" i="7"/>
  <c r="F51" i="8"/>
  <c r="L51" i="8" s="1"/>
  <c r="Q63" i="7" s="1"/>
  <c r="O62" i="10" s="1"/>
  <c r="Z51" i="8"/>
  <c r="B51" i="8"/>
  <c r="J51" i="8" s="1"/>
  <c r="O63" i="7" s="1"/>
  <c r="X51" i="8"/>
  <c r="AJ287" i="8"/>
  <c r="AJ288" i="8" s="1"/>
  <c r="AJ289" i="8" s="1"/>
  <c r="AJ290" i="8" s="1"/>
  <c r="AJ291" i="8" s="1"/>
  <c r="D51" i="8"/>
  <c r="Y51" i="8"/>
  <c r="H51" i="8"/>
  <c r="M51" i="8" s="1"/>
  <c r="R63" i="7" s="1"/>
  <c r="P62" i="10" s="1"/>
  <c r="AA51" i="8"/>
  <c r="R240" i="23" a="1"/>
  <c r="R240" i="23" s="1"/>
  <c r="AB240" i="23" s="1"/>
  <c r="AF240" i="23" s="1"/>
  <c r="AJ240" i="23" s="1"/>
  <c r="X183" i="29"/>
  <c r="AF183" i="29"/>
  <c r="AK183" i="29" s="1"/>
  <c r="K22" i="18"/>
  <c r="D24" i="55" s="1"/>
  <c r="O24" i="13"/>
  <c r="P16" i="13"/>
  <c r="B23" i="18"/>
  <c r="A25" i="55" s="1"/>
  <c r="O25" i="13"/>
  <c r="T23" i="55" l="1"/>
  <c r="P25" i="55"/>
  <c r="J25" i="55"/>
  <c r="L23" i="18"/>
  <c r="M23" i="18"/>
  <c r="O23" i="18"/>
  <c r="O53" i="8" a="1"/>
  <c r="O53" i="8" s="1"/>
  <c r="V53" i="8" a="1"/>
  <c r="V53" i="8" s="1"/>
  <c r="I53" i="8" s="1"/>
  <c r="P53" i="8" a="1"/>
  <c r="P53" i="8" s="1"/>
  <c r="C53" i="8" s="1"/>
  <c r="R53" i="8" a="1"/>
  <c r="R53" i="8" s="1"/>
  <c r="E53" i="8" s="1"/>
  <c r="U53" i="8" a="1"/>
  <c r="U53" i="8" s="1"/>
  <c r="T53" i="8" a="1"/>
  <c r="T53" i="8" s="1"/>
  <c r="G53" i="8" s="1"/>
  <c r="Q53" i="8" a="1"/>
  <c r="Q53" i="8" s="1"/>
  <c r="S53" i="8" a="1"/>
  <c r="S53" i="8" s="1"/>
  <c r="S30" i="13"/>
  <c r="S40" i="52"/>
  <c r="U31" i="7"/>
  <c r="N30" i="10"/>
  <c r="H137" i="13"/>
  <c r="R104" i="33" s="1"/>
  <c r="A24" i="18"/>
  <c r="D24" i="18" s="1"/>
  <c r="B26" i="55" s="1"/>
  <c r="Y52" i="8"/>
  <c r="D52" i="8"/>
  <c r="K51" i="8"/>
  <c r="P63" i="7" s="1"/>
  <c r="N62" i="10" s="1"/>
  <c r="U104" i="33"/>
  <c r="AJ292" i="8"/>
  <c r="AJ293" i="8" s="1"/>
  <c r="AJ294" i="8" s="1"/>
  <c r="AJ295" i="8" s="1"/>
  <c r="AJ296" i="8" s="1"/>
  <c r="B52" i="8"/>
  <c r="J52" i="8" s="1"/>
  <c r="O64" i="7" s="1"/>
  <c r="X52" i="8"/>
  <c r="AA52" i="8"/>
  <c r="H52" i="8"/>
  <c r="M52" i="8" s="1"/>
  <c r="R64" i="7" s="1"/>
  <c r="P63" i="10" s="1"/>
  <c r="Z52" i="8"/>
  <c r="F52" i="8"/>
  <c r="L52" i="8" s="1"/>
  <c r="Q64" i="7" s="1"/>
  <c r="O63" i="10" s="1"/>
  <c r="AF236" i="29"/>
  <c r="AK236" i="29" s="1"/>
  <c r="X236" i="29"/>
  <c r="X276" i="29"/>
  <c r="AF276" i="29"/>
  <c r="AK276" i="29" s="1"/>
  <c r="AF216" i="26"/>
  <c r="AK216" i="26" s="1"/>
  <c r="X216" i="26"/>
  <c r="R22" i="18"/>
  <c r="P17" i="13"/>
  <c r="C23" i="18"/>
  <c r="O26" i="13"/>
  <c r="F25" i="55" l="1"/>
  <c r="E24" i="18"/>
  <c r="K25" i="55"/>
  <c r="N25" i="55"/>
  <c r="M25" i="55"/>
  <c r="L25" i="55"/>
  <c r="R25" i="55"/>
  <c r="T25" i="55"/>
  <c r="U25" i="55"/>
  <c r="S25" i="55"/>
  <c r="Q25" i="55"/>
  <c r="R54" i="8" a="1"/>
  <c r="R54" i="8" s="1"/>
  <c r="E54" i="8" s="1"/>
  <c r="I143" i="13" s="1"/>
  <c r="P54" i="8" a="1"/>
  <c r="P54" i="8" s="1"/>
  <c r="C54" i="8" s="1"/>
  <c r="V54" i="8" a="1"/>
  <c r="V54" i="8" s="1"/>
  <c r="I54" i="8" s="1"/>
  <c r="O54" i="8" a="1"/>
  <c r="O54" i="8" s="1"/>
  <c r="Q54" i="8" a="1"/>
  <c r="Q54" i="8" s="1"/>
  <c r="T54" i="8" a="1"/>
  <c r="T54" i="8" s="1"/>
  <c r="G54" i="8" s="1"/>
  <c r="S54" i="8" a="1"/>
  <c r="S54" i="8" s="1"/>
  <c r="U54" i="8" a="1"/>
  <c r="U54" i="8" s="1"/>
  <c r="AF104" i="33"/>
  <c r="AK104" i="33" s="1"/>
  <c r="H138" i="13"/>
  <c r="X172" i="33" s="1"/>
  <c r="O137" i="13"/>
  <c r="R30" i="10"/>
  <c r="X104" i="33"/>
  <c r="K52" i="8"/>
  <c r="P64" i="7" s="1"/>
  <c r="N63" i="10" s="1"/>
  <c r="R63" i="10" s="1"/>
  <c r="W81" i="70" s="1"/>
  <c r="AJ297" i="8"/>
  <c r="AJ298" i="8" s="1"/>
  <c r="AJ299" i="8" s="1"/>
  <c r="AJ300" i="8" s="1"/>
  <c r="AJ301" i="8" s="1"/>
  <c r="B53" i="8"/>
  <c r="J53" i="8" s="1"/>
  <c r="J29" i="7" s="1"/>
  <c r="AF28" i="10" s="1"/>
  <c r="X53" i="8"/>
  <c r="H53" i="8"/>
  <c r="M53" i="8" s="1"/>
  <c r="M29" i="7" s="1"/>
  <c r="K28" i="10" s="1"/>
  <c r="AA53" i="8"/>
  <c r="Z53" i="8"/>
  <c r="F53" i="8"/>
  <c r="L53" i="8" s="1"/>
  <c r="L29" i="7" s="1"/>
  <c r="J28" i="10" s="1"/>
  <c r="U172" i="33"/>
  <c r="D53" i="8"/>
  <c r="K53" i="8" s="1"/>
  <c r="K29" i="7" s="1"/>
  <c r="I28" i="10" s="1"/>
  <c r="Y53" i="8"/>
  <c r="AF327" i="29"/>
  <c r="AK327" i="29" s="1"/>
  <c r="X327" i="29"/>
  <c r="AF65" i="27"/>
  <c r="AK65" i="27" s="1"/>
  <c r="X65" i="27"/>
  <c r="K23" i="18"/>
  <c r="D25" i="55" s="1"/>
  <c r="P18" i="13"/>
  <c r="B24" i="18"/>
  <c r="A26" i="55" s="1"/>
  <c r="O28" i="13"/>
  <c r="AG28" i="10" l="1"/>
  <c r="AG29" i="10" s="1"/>
  <c r="AI28" i="10" s="1"/>
  <c r="P26" i="55"/>
  <c r="J26" i="55"/>
  <c r="L24" i="18"/>
  <c r="C26" i="55"/>
  <c r="O24" i="18"/>
  <c r="M24" i="18"/>
  <c r="S55" i="8" a="1"/>
  <c r="S55" i="8" s="1"/>
  <c r="T55" i="8" a="1"/>
  <c r="T55" i="8" s="1"/>
  <c r="G55" i="8" s="1"/>
  <c r="R55" i="8" a="1"/>
  <c r="R55" i="8" s="1"/>
  <c r="E55" i="8" s="1"/>
  <c r="V55" i="8" a="1"/>
  <c r="V55" i="8" s="1"/>
  <c r="I55" i="8" s="1"/>
  <c r="U55" i="8" a="1"/>
  <c r="U55" i="8" s="1"/>
  <c r="P55" i="8" a="1"/>
  <c r="P55" i="8" s="1"/>
  <c r="C55" i="8" s="1"/>
  <c r="Q55" i="8" a="1"/>
  <c r="Q55" i="8" s="1"/>
  <c r="O55" i="8" a="1"/>
  <c r="O55" i="8" s="1"/>
  <c r="B55" i="8" s="1"/>
  <c r="S31" i="52"/>
  <c r="W185" i="70"/>
  <c r="S44" i="13"/>
  <c r="S54" i="52"/>
  <c r="AF172" i="33"/>
  <c r="AK172" i="33" s="1"/>
  <c r="S27" i="10"/>
  <c r="R28" i="10"/>
  <c r="S21" i="13"/>
  <c r="O138" i="13"/>
  <c r="R172" i="33"/>
  <c r="A25" i="18"/>
  <c r="D25" i="18" s="1"/>
  <c r="B27" i="55" s="1"/>
  <c r="D54" i="8"/>
  <c r="Y54" i="8"/>
  <c r="H54" i="8"/>
  <c r="M54" i="8" s="1"/>
  <c r="R92" i="7" s="1"/>
  <c r="P91" i="10" s="1"/>
  <c r="AA54" i="8"/>
  <c r="X54" i="8"/>
  <c r="B54" i="8"/>
  <c r="J54" i="8" s="1"/>
  <c r="O92" i="7" s="1"/>
  <c r="AJ302" i="8"/>
  <c r="AJ303" i="8" s="1"/>
  <c r="AJ304" i="8" s="1"/>
  <c r="AJ305" i="8" s="1"/>
  <c r="AJ306" i="8" s="1"/>
  <c r="F54" i="8"/>
  <c r="L54" i="8" s="1"/>
  <c r="Q92" i="7" s="1"/>
  <c r="O91" i="10" s="1"/>
  <c r="Z54" i="8"/>
  <c r="X108" i="30"/>
  <c r="AF108" i="30"/>
  <c r="AK108" i="30" s="1"/>
  <c r="AF111" i="27"/>
  <c r="AK111" i="27" s="1"/>
  <c r="X111" i="27"/>
  <c r="R23" i="18"/>
  <c r="P19" i="13"/>
  <c r="E25" i="18"/>
  <c r="C24" i="18"/>
  <c r="O27" i="13"/>
  <c r="O29" i="13"/>
  <c r="AI27" i="10" l="1"/>
  <c r="AI29" i="10"/>
  <c r="AK29" i="10" s="1"/>
  <c r="C27" i="55"/>
  <c r="F26" i="55"/>
  <c r="N26" i="55"/>
  <c r="M26" i="55"/>
  <c r="K26" i="55"/>
  <c r="L26" i="55"/>
  <c r="R26" i="55"/>
  <c r="T26" i="55"/>
  <c r="U26" i="55"/>
  <c r="S26" i="55"/>
  <c r="Q26" i="55"/>
  <c r="P56" i="8" a="1"/>
  <c r="P56" i="8" s="1"/>
  <c r="C56" i="8" s="1"/>
  <c r="R56" i="8" a="1"/>
  <c r="R56" i="8" s="1"/>
  <c r="V56" i="8" a="1"/>
  <c r="V56" i="8" s="1"/>
  <c r="I56" i="8" s="1"/>
  <c r="U56" i="8" a="1"/>
  <c r="U56" i="8" s="1"/>
  <c r="S56" i="8" a="1"/>
  <c r="S56" i="8" s="1"/>
  <c r="T56" i="8" a="1"/>
  <c r="T56" i="8" s="1"/>
  <c r="G56" i="8" s="1"/>
  <c r="Q56" i="8" a="1"/>
  <c r="Q56" i="8" s="1"/>
  <c r="D56" i="8" s="1"/>
  <c r="O56" i="8" a="1"/>
  <c r="O56" i="8" s="1"/>
  <c r="B56" i="8" s="1"/>
  <c r="S30" i="52"/>
  <c r="BH11" i="52" s="1"/>
  <c r="R151" i="28" s="1" a="1"/>
  <c r="R151" i="28" s="1"/>
  <c r="AB151" i="28" s="1"/>
  <c r="AF151" i="28" s="1"/>
  <c r="AJ151" i="28" s="1"/>
  <c r="W89" i="70"/>
  <c r="T29" i="52"/>
  <c r="BI11" i="52" s="1"/>
  <c r="R152" i="28" s="1" a="1"/>
  <c r="R152" i="28" s="1"/>
  <c r="AB152" i="28" s="1"/>
  <c r="AF152" i="28" s="1"/>
  <c r="AJ152" i="28" s="1"/>
  <c r="W91" i="70"/>
  <c r="H143" i="13"/>
  <c r="AN29" i="10"/>
  <c r="S20" i="13"/>
  <c r="T13" i="52"/>
  <c r="T19" i="13"/>
  <c r="K54" i="8"/>
  <c r="P92" i="7" s="1"/>
  <c r="AA55" i="8"/>
  <c r="H55" i="8"/>
  <c r="M55" i="8" s="1"/>
  <c r="M7" i="7" s="1"/>
  <c r="K7" i="10" s="1"/>
  <c r="J55" i="8"/>
  <c r="J7" i="7" s="1"/>
  <c r="AF7" i="10" s="1"/>
  <c r="X55" i="8"/>
  <c r="AJ307" i="8"/>
  <c r="AJ308" i="8" s="1"/>
  <c r="AJ309" i="8" s="1"/>
  <c r="AJ310" i="8" s="1"/>
  <c r="AJ311" i="8" s="1"/>
  <c r="U121" i="37"/>
  <c r="Z55" i="8"/>
  <c r="F55" i="8"/>
  <c r="L55" i="8" s="1"/>
  <c r="L7" i="7" s="1"/>
  <c r="J7" i="10" s="1"/>
  <c r="D55" i="8"/>
  <c r="K55" i="8" s="1"/>
  <c r="K7" i="7" s="1"/>
  <c r="I7" i="10" s="1"/>
  <c r="R7" i="10" s="1"/>
  <c r="W101" i="70" s="1"/>
  <c r="Y55" i="8"/>
  <c r="X63" i="30"/>
  <c r="AF63" i="30"/>
  <c r="AK63" i="30" s="1"/>
  <c r="X166" i="30"/>
  <c r="AF166" i="30"/>
  <c r="AK166" i="30" s="1"/>
  <c r="AF65" i="28"/>
  <c r="AK65" i="28" s="1"/>
  <c r="X65" i="28"/>
  <c r="K24" i="18"/>
  <c r="D26" i="55" s="1"/>
  <c r="O30" i="13"/>
  <c r="P20" i="13"/>
  <c r="B25" i="18"/>
  <c r="A27" i="55" s="1"/>
  <c r="O31" i="13"/>
  <c r="AG7" i="10" l="1"/>
  <c r="AG8" i="10" s="1"/>
  <c r="L25" i="18"/>
  <c r="P27" i="55"/>
  <c r="J27" i="55"/>
  <c r="O25" i="18"/>
  <c r="M25" i="18"/>
  <c r="Q57" i="8" a="1"/>
  <c r="Q57" i="8" s="1"/>
  <c r="D57" i="8" s="1"/>
  <c r="U57" i="8" a="1"/>
  <c r="U57" i="8" s="1"/>
  <c r="O57" i="8" a="1"/>
  <c r="O57" i="8" s="1"/>
  <c r="B57" i="8" s="1"/>
  <c r="P57" i="8" a="1"/>
  <c r="P57" i="8" s="1"/>
  <c r="C57" i="8" s="1"/>
  <c r="S57" i="8" a="1"/>
  <c r="S57" i="8" s="1"/>
  <c r="R57" i="8" a="1"/>
  <c r="R57" i="8" s="1"/>
  <c r="E57" i="8" s="1"/>
  <c r="I136" i="13" s="1"/>
  <c r="V57" i="8" a="1"/>
  <c r="V57" i="8" s="1"/>
  <c r="I57" i="8" s="1"/>
  <c r="T57" i="8" a="1"/>
  <c r="T57" i="8" s="1"/>
  <c r="G57" i="8" s="1"/>
  <c r="E56" i="8"/>
  <c r="Y56" i="8" s="1"/>
  <c r="V29" i="52"/>
  <c r="BK11" i="52" s="1"/>
  <c r="R154" i="28" s="1" a="1"/>
  <c r="R154" i="28" s="1"/>
  <c r="AB154" i="28" s="1"/>
  <c r="AF154" i="28" s="1"/>
  <c r="AJ154" i="28" s="1"/>
  <c r="U29" i="52"/>
  <c r="BJ11" i="52" s="1"/>
  <c r="R153" i="28" s="1" a="1"/>
  <c r="R153" i="28" s="1"/>
  <c r="AB153" i="28" s="1"/>
  <c r="AF153" i="28" s="1"/>
  <c r="AJ153" i="28" s="1"/>
  <c r="W88" i="70"/>
  <c r="W87" i="70"/>
  <c r="O143" i="13"/>
  <c r="S7" i="13"/>
  <c r="S17" i="52"/>
  <c r="AF121" i="37"/>
  <c r="AK121" i="37" s="1"/>
  <c r="X121" i="37"/>
  <c r="U13" i="52"/>
  <c r="V13" i="52"/>
  <c r="CF11" i="52"/>
  <c r="R121" i="37"/>
  <c r="U92" i="7"/>
  <c r="U93" i="7" s="1"/>
  <c r="U94" i="7" s="1"/>
  <c r="U95" i="7" s="1"/>
  <c r="U96" i="7" s="1"/>
  <c r="CE5" i="52" s="1"/>
  <c r="N91" i="10"/>
  <c r="AJ27" i="10"/>
  <c r="AK27" i="10"/>
  <c r="H27" i="10" s="1"/>
  <c r="A26" i="18"/>
  <c r="D26" i="18" s="1"/>
  <c r="B28" i="55" s="1"/>
  <c r="H56" i="8"/>
  <c r="M56" i="8" s="1"/>
  <c r="R169" i="7" s="1"/>
  <c r="P168" i="10" s="1"/>
  <c r="AA56" i="8"/>
  <c r="F56" i="8"/>
  <c r="L56" i="8" s="1"/>
  <c r="Q169" i="7" s="1"/>
  <c r="O168" i="10" s="1"/>
  <c r="Z56" i="8"/>
  <c r="J56" i="8"/>
  <c r="O169" i="7" s="1"/>
  <c r="X56" i="8"/>
  <c r="AJ312" i="8"/>
  <c r="AJ313" i="8" s="1"/>
  <c r="AJ314" i="8" s="1"/>
  <c r="AJ315" i="8" s="1"/>
  <c r="AJ316" i="8" s="1"/>
  <c r="H166" i="13"/>
  <c r="X62" i="31"/>
  <c r="AF62" i="31"/>
  <c r="AK62" i="31" s="1"/>
  <c r="X214" i="30"/>
  <c r="AF214" i="30"/>
  <c r="AK214" i="30" s="1"/>
  <c r="AF111" i="28"/>
  <c r="AK111" i="28" s="1"/>
  <c r="X111" i="28"/>
  <c r="R24" i="18"/>
  <c r="P21" i="13"/>
  <c r="C25" i="18"/>
  <c r="O32" i="13"/>
  <c r="AI8" i="10" l="1"/>
  <c r="AK8" i="10" s="1"/>
  <c r="AI6" i="10"/>
  <c r="AK6" i="10" s="1"/>
  <c r="H6" i="10" s="1"/>
  <c r="AL6" i="10" s="1"/>
  <c r="AI5" i="10"/>
  <c r="AK5" i="10" s="1"/>
  <c r="H5" i="10" s="1"/>
  <c r="AL5" i="10" s="1"/>
  <c r="AI7" i="10"/>
  <c r="F27" i="55"/>
  <c r="N27" i="55"/>
  <c r="M27" i="55"/>
  <c r="L27" i="55"/>
  <c r="K27" i="55"/>
  <c r="R27" i="55"/>
  <c r="T27" i="55"/>
  <c r="U27" i="55"/>
  <c r="S27" i="55"/>
  <c r="Q27" i="55"/>
  <c r="I166" i="13"/>
  <c r="U117" i="67" s="1"/>
  <c r="S58" i="8" a="1"/>
  <c r="S58" i="8" s="1"/>
  <c r="T58" i="8" a="1"/>
  <c r="T58" i="8" s="1"/>
  <c r="G58" i="8" s="1"/>
  <c r="O58" i="8" a="1"/>
  <c r="O58" i="8" s="1"/>
  <c r="V58" i="8" a="1"/>
  <c r="V58" i="8" s="1"/>
  <c r="I58" i="8" s="1"/>
  <c r="U58" i="8" a="1"/>
  <c r="U58" i="8" s="1"/>
  <c r="Q58" i="8" a="1"/>
  <c r="Q58" i="8" s="1"/>
  <c r="R58" i="8" a="1"/>
  <c r="R58" i="8" s="1"/>
  <c r="E58" i="8" s="1"/>
  <c r="I119" i="13" s="1"/>
  <c r="P58" i="8" a="1"/>
  <c r="P58" i="8" s="1"/>
  <c r="C58" i="8" s="1"/>
  <c r="E26" i="18"/>
  <c r="N19" i="13"/>
  <c r="G19" i="13" s="1"/>
  <c r="Q27" i="10"/>
  <c r="E29" i="52" s="1"/>
  <c r="AL27" i="10"/>
  <c r="AK28" i="10"/>
  <c r="H28" i="10" s="1"/>
  <c r="AJ28" i="10"/>
  <c r="AJ29" i="10" s="1"/>
  <c r="R91" i="10"/>
  <c r="AN92" i="10" s="1"/>
  <c r="V90" i="10"/>
  <c r="AI4" i="10"/>
  <c r="K56" i="8"/>
  <c r="P169" i="7" s="1"/>
  <c r="N168" i="10" s="1"/>
  <c r="AJ317" i="8"/>
  <c r="AJ318" i="8" s="1"/>
  <c r="AJ319" i="8" s="1"/>
  <c r="AJ320" i="8" s="1"/>
  <c r="AJ321" i="8" s="1"/>
  <c r="J57" i="8"/>
  <c r="O62" i="7" s="1"/>
  <c r="X57" i="8"/>
  <c r="F57" i="8"/>
  <c r="L57" i="8" s="1"/>
  <c r="Q62" i="7" s="1"/>
  <c r="O61" i="10" s="1"/>
  <c r="Z57" i="8"/>
  <c r="H57" i="8"/>
  <c r="M57" i="8" s="1"/>
  <c r="R62" i="7" s="1"/>
  <c r="P61" i="10" s="1"/>
  <c r="AA57" i="8"/>
  <c r="Y57" i="8"/>
  <c r="AF108" i="31"/>
  <c r="AK108" i="31" s="1"/>
  <c r="X108" i="31"/>
  <c r="AF65" i="29"/>
  <c r="AK65" i="29" s="1"/>
  <c r="X65" i="29"/>
  <c r="K25" i="18"/>
  <c r="D27" i="55" s="1"/>
  <c r="P22" i="13"/>
  <c r="B26" i="18"/>
  <c r="A28" i="55" s="1"/>
  <c r="O33" i="13"/>
  <c r="L26" i="18" l="1"/>
  <c r="C28" i="55"/>
  <c r="O26" i="18"/>
  <c r="P28" i="55"/>
  <c r="J28" i="55"/>
  <c r="M26" i="18"/>
  <c r="S59" i="8" a="1"/>
  <c r="S59" i="8" s="1"/>
  <c r="Q59" i="8" a="1"/>
  <c r="Q59" i="8" s="1"/>
  <c r="O59" i="8" a="1"/>
  <c r="O59" i="8" s="1"/>
  <c r="T59" i="8" a="1"/>
  <c r="T59" i="8" s="1"/>
  <c r="G59" i="8" s="1"/>
  <c r="P59" i="8" a="1"/>
  <c r="P59" i="8" s="1"/>
  <c r="C59" i="8" s="1"/>
  <c r="V59" i="8" a="1"/>
  <c r="V59" i="8" s="1"/>
  <c r="I59" i="8" s="1"/>
  <c r="R59" i="8" a="1"/>
  <c r="R59" i="8" s="1"/>
  <c r="E59" i="8" s="1"/>
  <c r="U59" i="8" a="1"/>
  <c r="U59" i="8" s="1"/>
  <c r="S74" i="52"/>
  <c r="BH5" i="52" s="1"/>
  <c r="R256" i="37" s="1" a="1"/>
  <c r="R256" i="37" s="1"/>
  <c r="W123" i="70"/>
  <c r="H29" i="52"/>
  <c r="P29" i="52"/>
  <c r="O166" i="13"/>
  <c r="S64" i="13"/>
  <c r="W90" i="10"/>
  <c r="AA90" i="10" s="1"/>
  <c r="N20" i="13"/>
  <c r="G20" i="13" s="1"/>
  <c r="Q28" i="10"/>
  <c r="AM27" i="10"/>
  <c r="AL28" i="10" s="1"/>
  <c r="T27" i="10"/>
  <c r="V27" i="10"/>
  <c r="N5" i="13"/>
  <c r="G5" i="13" s="1"/>
  <c r="U121" i="23" s="1"/>
  <c r="Q5" i="10"/>
  <c r="E13" i="52"/>
  <c r="AT21" i="52" s="1"/>
  <c r="R19" i="13"/>
  <c r="AJ4" i="10"/>
  <c r="AJ5" i="10" s="1"/>
  <c r="AJ6" i="10" s="1"/>
  <c r="AK4" i="10"/>
  <c r="H4" i="10" s="1"/>
  <c r="H136" i="13"/>
  <c r="AF87" i="33" s="1"/>
  <c r="AK87" i="33" s="1"/>
  <c r="N6" i="13"/>
  <c r="G6" i="13" s="1"/>
  <c r="U157" i="23" s="1"/>
  <c r="Q6" i="10"/>
  <c r="T6" i="10"/>
  <c r="A27" i="18"/>
  <c r="D27" i="18" s="1"/>
  <c r="B29" i="55" s="1"/>
  <c r="R117" i="67"/>
  <c r="AF117" i="67"/>
  <c r="AK117" i="67" s="1"/>
  <c r="X117" i="67"/>
  <c r="H58" i="8"/>
  <c r="M58" i="8" s="1"/>
  <c r="R4" i="7" s="1"/>
  <c r="P4" i="10" s="1"/>
  <c r="AA58" i="8"/>
  <c r="K57" i="8"/>
  <c r="Y58" i="8"/>
  <c r="D58" i="8"/>
  <c r="H119" i="13" s="1"/>
  <c r="U87" i="33"/>
  <c r="B58" i="8"/>
  <c r="J58" i="8" s="1"/>
  <c r="O4" i="7" s="1"/>
  <c r="X58" i="8"/>
  <c r="F58" i="8"/>
  <c r="L58" i="8" s="1"/>
  <c r="Q4" i="7" s="1"/>
  <c r="O4" i="10" s="1"/>
  <c r="Z58" i="8"/>
  <c r="AJ322" i="8"/>
  <c r="AJ323" i="8" s="1"/>
  <c r="AJ324" i="8" s="1"/>
  <c r="AJ325" i="8" s="1"/>
  <c r="AJ326" i="8" s="1"/>
  <c r="X161" i="31"/>
  <c r="AF161" i="31"/>
  <c r="AK161" i="31" s="1"/>
  <c r="X128" i="29"/>
  <c r="AF128" i="29"/>
  <c r="AK128" i="29" s="1"/>
  <c r="R25" i="18"/>
  <c r="P23" i="13"/>
  <c r="E27" i="18"/>
  <c r="C26" i="18"/>
  <c r="O34" i="13"/>
  <c r="AK7" i="10" l="1"/>
  <c r="AJ7" i="10"/>
  <c r="AJ8" i="10" s="1"/>
  <c r="C29" i="55"/>
  <c r="R28" i="55"/>
  <c r="T28" i="55"/>
  <c r="U28" i="55"/>
  <c r="S28" i="55"/>
  <c r="Q28" i="55"/>
  <c r="N28" i="55"/>
  <c r="M28" i="55"/>
  <c r="L28" i="55"/>
  <c r="K28" i="55"/>
  <c r="F28" i="55"/>
  <c r="O60" i="8" a="1"/>
  <c r="O60" i="8" s="1"/>
  <c r="B60" i="8" s="1"/>
  <c r="P60" i="8" a="1"/>
  <c r="P60" i="8" s="1"/>
  <c r="C60" i="8" s="1"/>
  <c r="T60" i="8" a="1"/>
  <c r="T60" i="8" s="1"/>
  <c r="G60" i="8" s="1"/>
  <c r="U60" i="8" a="1"/>
  <c r="U60" i="8" s="1"/>
  <c r="S60" i="8" a="1"/>
  <c r="S60" i="8" s="1"/>
  <c r="R60" i="8" a="1"/>
  <c r="R60" i="8" s="1"/>
  <c r="E60" i="8" s="1"/>
  <c r="V60" i="8" a="1"/>
  <c r="V60" i="8" s="1"/>
  <c r="I60" i="8" s="1"/>
  <c r="Q60" i="8" a="1"/>
  <c r="Q60" i="8" s="1"/>
  <c r="D60" i="8" s="1"/>
  <c r="R60" i="67" s="1"/>
  <c r="AB256" i="37"/>
  <c r="W121" i="70"/>
  <c r="W122" i="70"/>
  <c r="O29" i="52"/>
  <c r="Q29" i="52"/>
  <c r="R29" i="52"/>
  <c r="M29" i="52"/>
  <c r="J29" i="52"/>
  <c r="L29" i="52"/>
  <c r="N29" i="52"/>
  <c r="K29" i="52"/>
  <c r="R5" i="13"/>
  <c r="E15" i="52"/>
  <c r="R20" i="13"/>
  <c r="E30" i="52"/>
  <c r="AT11" i="52" s="1"/>
  <c r="R137" i="28" s="1" a="1"/>
  <c r="R137" i="28" s="1"/>
  <c r="R6" i="13"/>
  <c r="E16" i="52"/>
  <c r="X157" i="23"/>
  <c r="AF157" i="23"/>
  <c r="AK157" i="23" s="1"/>
  <c r="X121" i="23"/>
  <c r="X87" i="33"/>
  <c r="AF121" i="23"/>
  <c r="AK121" i="23" s="1"/>
  <c r="R87" i="33"/>
  <c r="O136" i="13"/>
  <c r="T28" i="10"/>
  <c r="Y27" i="10" s="1"/>
  <c r="AB27" i="10" s="1"/>
  <c r="AM28" i="10"/>
  <c r="Q4" i="10"/>
  <c r="E14" i="52" s="1"/>
  <c r="AL4" i="10"/>
  <c r="N4" i="13"/>
  <c r="W27" i="10"/>
  <c r="AA27" i="10" s="1"/>
  <c r="T5" i="10"/>
  <c r="P62" i="7"/>
  <c r="P13" i="52"/>
  <c r="BE21" i="52" s="1"/>
  <c r="H13" i="52"/>
  <c r="X87" i="23"/>
  <c r="U87" i="23"/>
  <c r="AF87" i="23"/>
  <c r="AK87" i="23" s="1"/>
  <c r="AA59" i="8"/>
  <c r="H59" i="8"/>
  <c r="M59" i="8" s="1"/>
  <c r="M104" i="7" s="1"/>
  <c r="K103" i="10" s="1"/>
  <c r="K58" i="8"/>
  <c r="Z59" i="8"/>
  <c r="F59" i="8"/>
  <c r="L59" i="8" s="1"/>
  <c r="L104" i="7" s="1"/>
  <c r="J103" i="10" s="1"/>
  <c r="F109" i="8"/>
  <c r="E109" i="8"/>
  <c r="I163" i="13" s="1"/>
  <c r="C109" i="8"/>
  <c r="D109" i="8"/>
  <c r="H163" i="13" s="1"/>
  <c r="B109" i="8"/>
  <c r="G109" i="8"/>
  <c r="I109" i="8"/>
  <c r="H109" i="8"/>
  <c r="AJ327" i="8"/>
  <c r="AJ328" i="8" s="1"/>
  <c r="AJ329" i="8" s="1"/>
  <c r="AJ330" i="8" s="1"/>
  <c r="AJ331" i="8" s="1"/>
  <c r="D59" i="8"/>
  <c r="K59" i="8" s="1"/>
  <c r="K104" i="7" s="1"/>
  <c r="I103" i="10" s="1"/>
  <c r="Y59" i="8"/>
  <c r="B59" i="8"/>
  <c r="J59" i="8" s="1"/>
  <c r="J104" i="7" s="1"/>
  <c r="AF103" i="10" s="1"/>
  <c r="X59" i="8"/>
  <c r="X214" i="31"/>
  <c r="AF214" i="31"/>
  <c r="AK214" i="31" s="1"/>
  <c r="X186" i="29"/>
  <c r="AF186" i="29"/>
  <c r="AK186" i="29" s="1"/>
  <c r="K26" i="18"/>
  <c r="D28" i="55" s="1"/>
  <c r="P24" i="13"/>
  <c r="B27" i="18"/>
  <c r="M27" i="18" s="1"/>
  <c r="O35" i="13"/>
  <c r="H7" i="10" l="1"/>
  <c r="A29" i="55"/>
  <c r="L27" i="18"/>
  <c r="O27" i="18"/>
  <c r="F29" i="55" s="1"/>
  <c r="X60" i="67"/>
  <c r="U60" i="67"/>
  <c r="R61" i="8" a="1"/>
  <c r="R61" i="8" s="1"/>
  <c r="E61" i="8" s="1"/>
  <c r="S61" i="8" a="1"/>
  <c r="S61" i="8" s="1"/>
  <c r="T61" i="8" a="1"/>
  <c r="T61" i="8" s="1"/>
  <c r="G61" i="8" s="1"/>
  <c r="O61" i="8" a="1"/>
  <c r="O61" i="8" s="1"/>
  <c r="P61" i="8" a="1"/>
  <c r="P61" i="8" s="1"/>
  <c r="C61" i="8" s="1"/>
  <c r="V61" i="8" a="1"/>
  <c r="V61" i="8" s="1"/>
  <c r="I61" i="8" s="1"/>
  <c r="U61" i="8" a="1"/>
  <c r="U61" i="8" s="1"/>
  <c r="Q61" i="8" a="1"/>
  <c r="Q61" i="8" s="1"/>
  <c r="AF256" i="37"/>
  <c r="AB137" i="28"/>
  <c r="AC24" i="28"/>
  <c r="O13" i="52"/>
  <c r="BD21" i="52" s="1"/>
  <c r="R205" i="47" s="1" a="1"/>
  <c r="R205" i="47" s="1"/>
  <c r="AB205" i="47" s="1"/>
  <c r="AF205" i="47" s="1"/>
  <c r="AJ205" i="47" s="1"/>
  <c r="AW21" i="52"/>
  <c r="M13" i="52"/>
  <c r="BB21" i="52" s="1"/>
  <c r="J13" i="52"/>
  <c r="AY21" i="52" s="1"/>
  <c r="L13" i="52"/>
  <c r="BA21" i="52" s="1"/>
  <c r="N13" i="52"/>
  <c r="BC21" i="52" s="1"/>
  <c r="K13" i="52"/>
  <c r="AZ21" i="52" s="1"/>
  <c r="I13" i="52"/>
  <c r="AX21" i="52" s="1"/>
  <c r="H14" i="52"/>
  <c r="P14" i="52"/>
  <c r="P16" i="52"/>
  <c r="H16" i="52"/>
  <c r="H30" i="52"/>
  <c r="AW11" i="52" s="1"/>
  <c r="R140" i="28" s="1" a="1"/>
  <c r="R140" i="28" s="1"/>
  <c r="AB140" i="28" s="1"/>
  <c r="P30" i="52"/>
  <c r="BE11" i="52" s="1"/>
  <c r="R148" i="28" s="1" a="1"/>
  <c r="R148" i="28" s="1"/>
  <c r="AB148" i="28" s="1"/>
  <c r="AF148" i="28" s="1"/>
  <c r="AJ148" i="28" s="1"/>
  <c r="CJ11" i="52"/>
  <c r="H15" i="52"/>
  <c r="P15" i="52"/>
  <c r="J109" i="8"/>
  <c r="O161" i="7" s="1"/>
  <c r="X59" i="23"/>
  <c r="AF59" i="23"/>
  <c r="AK59" i="23" s="1"/>
  <c r="G4" i="13"/>
  <c r="U59" i="23" s="1"/>
  <c r="T4" i="10"/>
  <c r="AM4" i="10"/>
  <c r="AM5" i="10" s="1"/>
  <c r="AM6" i="10" s="1"/>
  <c r="AL7" i="10" s="1"/>
  <c r="AM7" i="10" s="1"/>
  <c r="U62" i="7"/>
  <c r="U63" i="7" s="1"/>
  <c r="U64" i="7" s="1"/>
  <c r="U65" i="7" s="1"/>
  <c r="U66" i="7" s="1"/>
  <c r="CE18" i="52" s="1"/>
  <c r="N61" i="10"/>
  <c r="R4" i="13"/>
  <c r="M109" i="8"/>
  <c r="R161" i="7" s="1"/>
  <c r="P160" i="10" s="1"/>
  <c r="A28" i="18"/>
  <c r="D28" i="18" s="1"/>
  <c r="B30" i="55" s="1"/>
  <c r="L109" i="8"/>
  <c r="Q161" i="7" s="1"/>
  <c r="O160" i="10" s="1"/>
  <c r="K109" i="8"/>
  <c r="O163" i="13" s="1"/>
  <c r="R77" i="65"/>
  <c r="O119" i="13"/>
  <c r="R87" i="23"/>
  <c r="L110" i="13"/>
  <c r="F60" i="8"/>
  <c r="L60" i="8" s="1"/>
  <c r="L169" i="7" s="1"/>
  <c r="J168" i="10" s="1"/>
  <c r="Z60" i="8"/>
  <c r="H60" i="8"/>
  <c r="M60" i="8" s="1"/>
  <c r="M169" i="7" s="1"/>
  <c r="K168" i="10" s="1"/>
  <c r="AA60" i="8"/>
  <c r="X109" i="8"/>
  <c r="P4" i="7"/>
  <c r="AJ332" i="8"/>
  <c r="AJ333" i="8" s="1"/>
  <c r="AJ334" i="8" s="1"/>
  <c r="AJ335" i="8" s="1"/>
  <c r="AJ336" i="8" s="1"/>
  <c r="Y60" i="8"/>
  <c r="AA109" i="8"/>
  <c r="Y109" i="8"/>
  <c r="J60" i="8"/>
  <c r="J169" i="7" s="1"/>
  <c r="AF168" i="10" s="1"/>
  <c r="X60" i="8"/>
  <c r="Z109" i="8"/>
  <c r="X267" i="31"/>
  <c r="AF267" i="31"/>
  <c r="AK267" i="31" s="1"/>
  <c r="AF239" i="29"/>
  <c r="AK239" i="29" s="1"/>
  <c r="X239" i="29"/>
  <c r="R26" i="18"/>
  <c r="P25" i="13"/>
  <c r="C27" i="18"/>
  <c r="O36" i="13"/>
  <c r="N7" i="13" l="1"/>
  <c r="Q7" i="10"/>
  <c r="E28" i="18"/>
  <c r="C30" i="55" s="1"/>
  <c r="P29" i="55"/>
  <c r="J29" i="55"/>
  <c r="T62" i="8" a="1"/>
  <c r="T62" i="8" s="1"/>
  <c r="G62" i="8" s="1"/>
  <c r="V62" i="8" a="1"/>
  <c r="V62" i="8" s="1"/>
  <c r="I62" i="8" s="1"/>
  <c r="O62" i="8" a="1"/>
  <c r="O62" i="8" s="1"/>
  <c r="B62" i="8" s="1"/>
  <c r="S62" i="8" a="1"/>
  <c r="S62" i="8" s="1"/>
  <c r="Q62" i="8" a="1"/>
  <c r="Q62" i="8" s="1"/>
  <c r="R62" i="8" a="1"/>
  <c r="R62" i="8" s="1"/>
  <c r="E62" i="8" s="1"/>
  <c r="U100" i="67" s="1"/>
  <c r="P62" i="8" a="1"/>
  <c r="P62" i="8" s="1"/>
  <c r="C62" i="8" s="1"/>
  <c r="U62" i="8" a="1"/>
  <c r="U62" i="8" s="1"/>
  <c r="AJ256" i="37"/>
  <c r="AF140" i="28"/>
  <c r="AJ140" i="28" s="1"/>
  <c r="AF137" i="28"/>
  <c r="N4" i="10"/>
  <c r="O14" i="52"/>
  <c r="Q14" i="52"/>
  <c r="R14" i="52"/>
  <c r="Q30" i="52"/>
  <c r="BF11" i="52" s="1"/>
  <c r="R149" i="28" s="1" a="1"/>
  <c r="R149" i="28" s="1"/>
  <c r="AB149" i="28" s="1"/>
  <c r="O30" i="52"/>
  <c r="BD11" i="52" s="1"/>
  <c r="R147" i="28" s="1" a="1"/>
  <c r="R147" i="28" s="1"/>
  <c r="AB147" i="28" s="1"/>
  <c r="AF147" i="28" s="1"/>
  <c r="AJ147" i="28" s="1"/>
  <c r="R30" i="52"/>
  <c r="BG11" i="52" s="1"/>
  <c r="R150" i="28" s="1" a="1"/>
  <c r="R150" i="28" s="1"/>
  <c r="AB150" i="28" s="1"/>
  <c r="AF150" i="28" s="1"/>
  <c r="AJ150" i="28" s="1"/>
  <c r="O15" i="52"/>
  <c r="R15" i="52"/>
  <c r="Q15" i="52"/>
  <c r="O16" i="52"/>
  <c r="Q16" i="52"/>
  <c r="R16" i="52"/>
  <c r="M16" i="52"/>
  <c r="J16" i="52"/>
  <c r="L16" i="52"/>
  <c r="N16" i="52"/>
  <c r="K16" i="52"/>
  <c r="M15" i="52"/>
  <c r="J15" i="52"/>
  <c r="L15" i="52"/>
  <c r="N15" i="52"/>
  <c r="K15" i="52"/>
  <c r="M14" i="52"/>
  <c r="J14" i="52"/>
  <c r="L14" i="52"/>
  <c r="N14" i="52"/>
  <c r="K14" i="52"/>
  <c r="N30" i="52"/>
  <c r="BC11" i="52" s="1"/>
  <c r="R146" i="28" s="1" a="1"/>
  <c r="R146" i="28" s="1"/>
  <c r="AB146" i="28" s="1"/>
  <c r="AF146" i="28" s="1"/>
  <c r="AJ146" i="28" s="1"/>
  <c r="K30" i="52"/>
  <c r="AZ11" i="52" s="1"/>
  <c r="R143" i="28" s="1" a="1"/>
  <c r="R143" i="28" s="1"/>
  <c r="AB143" i="28" s="1"/>
  <c r="M30" i="52"/>
  <c r="BB11" i="52" s="1"/>
  <c r="R145" i="28" s="1" a="1"/>
  <c r="R145" i="28" s="1"/>
  <c r="AB145" i="28" s="1"/>
  <c r="AF145" i="28" s="1"/>
  <c r="AJ145" i="28" s="1"/>
  <c r="J30" i="52"/>
  <c r="AY11" i="52" s="1"/>
  <c r="R142" i="28" s="1" a="1"/>
  <c r="R142" i="28" s="1"/>
  <c r="AB142" i="28" s="1"/>
  <c r="AF142" i="28" s="1"/>
  <c r="AJ142" i="28" s="1"/>
  <c r="L30" i="52"/>
  <c r="BA11" i="52" s="1"/>
  <c r="R144" i="28" s="1" a="1"/>
  <c r="R144" i="28" s="1"/>
  <c r="AB144" i="28" s="1"/>
  <c r="AF144" i="28" s="1"/>
  <c r="AJ144" i="28" s="1"/>
  <c r="R61" i="10"/>
  <c r="V61" i="10"/>
  <c r="T7" i="10"/>
  <c r="Y4" i="10" s="1"/>
  <c r="AG168" i="10"/>
  <c r="U77" i="65"/>
  <c r="AF77" i="65"/>
  <c r="AK77" i="65" s="1"/>
  <c r="X77" i="65"/>
  <c r="P161" i="7"/>
  <c r="N160" i="10" s="1"/>
  <c r="R160" i="10" s="1"/>
  <c r="W43" i="70" s="1"/>
  <c r="K60" i="8"/>
  <c r="K169" i="7" s="1"/>
  <c r="K110" i="13"/>
  <c r="U63" i="67" s="1"/>
  <c r="M110" i="13"/>
  <c r="U66" i="67" s="1"/>
  <c r="B61" i="8"/>
  <c r="J61" i="8" s="1"/>
  <c r="J105" i="7" s="1"/>
  <c r="AF104" i="10" s="1"/>
  <c r="X61" i="8"/>
  <c r="U4" i="7"/>
  <c r="U5" i="7" s="1"/>
  <c r="U6" i="7" s="1"/>
  <c r="U7" i="7" s="1"/>
  <c r="U8" i="7" s="1"/>
  <c r="CE15" i="52" s="1"/>
  <c r="Z61" i="8"/>
  <c r="F61" i="8"/>
  <c r="L61" i="8" s="1"/>
  <c r="L105" i="7" s="1"/>
  <c r="J104" i="10" s="1"/>
  <c r="G110" i="8"/>
  <c r="F110" i="8"/>
  <c r="H110" i="8"/>
  <c r="E110" i="8"/>
  <c r="I164" i="13" s="1"/>
  <c r="D110" i="8"/>
  <c r="H164" i="13" s="1"/>
  <c r="C110" i="8"/>
  <c r="B110" i="8"/>
  <c r="I110" i="8"/>
  <c r="AJ337" i="8"/>
  <c r="AJ338" i="8" s="1"/>
  <c r="AJ339" i="8" s="1"/>
  <c r="AJ340" i="8" s="1"/>
  <c r="AJ341" i="8" s="1"/>
  <c r="Y61" i="8"/>
  <c r="D61" i="8"/>
  <c r="K61" i="8" s="1"/>
  <c r="K105" i="7" s="1"/>
  <c r="I104" i="10" s="1"/>
  <c r="R104" i="10" s="1"/>
  <c r="W139" i="70" s="1"/>
  <c r="AA61" i="8"/>
  <c r="H61" i="8"/>
  <c r="M61" i="8" s="1"/>
  <c r="M105" i="7" s="1"/>
  <c r="K104" i="10" s="1"/>
  <c r="AF325" i="31"/>
  <c r="AK325" i="31" s="1"/>
  <c r="X325" i="31"/>
  <c r="AF279" i="29"/>
  <c r="AK279" i="29" s="1"/>
  <c r="X279" i="29"/>
  <c r="K27" i="18"/>
  <c r="D29" i="55" s="1"/>
  <c r="P26" i="13"/>
  <c r="B28" i="18"/>
  <c r="O38" i="13"/>
  <c r="O37" i="13"/>
  <c r="O28" i="18" l="1"/>
  <c r="R4" i="10"/>
  <c r="AN8" i="10" s="1"/>
  <c r="R7" i="13"/>
  <c r="E17" i="52"/>
  <c r="G7" i="13"/>
  <c r="U207" i="23" s="1"/>
  <c r="X207" i="23"/>
  <c r="AF207" i="23"/>
  <c r="AK207" i="23" s="1"/>
  <c r="A30" i="55"/>
  <c r="M28" i="18"/>
  <c r="N29" i="55"/>
  <c r="M29" i="55"/>
  <c r="L29" i="55"/>
  <c r="K29" i="55"/>
  <c r="R29" i="55"/>
  <c r="T29" i="55"/>
  <c r="U29" i="55"/>
  <c r="S29" i="55"/>
  <c r="Q29" i="55"/>
  <c r="L28" i="18"/>
  <c r="O63" i="8" a="1"/>
  <c r="O63" i="8" s="1"/>
  <c r="R63" i="8" a="1"/>
  <c r="R63" i="8" s="1"/>
  <c r="E63" i="8" s="1"/>
  <c r="I147" i="13" s="1"/>
  <c r="P63" i="8" a="1"/>
  <c r="P63" i="8" s="1"/>
  <c r="C63" i="8" s="1"/>
  <c r="V63" i="8" a="1"/>
  <c r="V63" i="8" s="1"/>
  <c r="I63" i="8" s="1"/>
  <c r="S63" i="8" a="1"/>
  <c r="S63" i="8" s="1"/>
  <c r="U63" i="8" a="1"/>
  <c r="U63" i="8" s="1"/>
  <c r="Q63" i="8" a="1"/>
  <c r="Q63" i="8" s="1"/>
  <c r="T63" i="8" a="1"/>
  <c r="T63" i="8" s="1"/>
  <c r="G63" i="8" s="1"/>
  <c r="AF143" i="28"/>
  <c r="AJ143" i="28" s="1"/>
  <c r="AF149" i="28"/>
  <c r="AJ149" i="28" s="1"/>
  <c r="AB174" i="28"/>
  <c r="AC19" i="28" s="1"/>
  <c r="AJ137" i="28"/>
  <c r="V4" i="10"/>
  <c r="W42" i="70"/>
  <c r="W41" i="70"/>
  <c r="S53" i="52"/>
  <c r="BH18" i="52" s="1"/>
  <c r="R251" i="33" s="1" a="1"/>
  <c r="R251" i="33" s="1"/>
  <c r="W77" i="70"/>
  <c r="W97" i="70"/>
  <c r="M110" i="8"/>
  <c r="R163" i="7" s="1"/>
  <c r="P162" i="10" s="1"/>
  <c r="AB4" i="10"/>
  <c r="S73" i="13"/>
  <c r="S83" i="52"/>
  <c r="S4" i="52"/>
  <c r="I168" i="10"/>
  <c r="R168" i="10" s="1"/>
  <c r="V160" i="10"/>
  <c r="S117" i="52"/>
  <c r="BH27" i="52" s="1"/>
  <c r="AN65" i="10"/>
  <c r="S43" i="13"/>
  <c r="W61" i="10"/>
  <c r="AA61" i="10" s="1"/>
  <c r="A29" i="18"/>
  <c r="D29" i="18" s="1"/>
  <c r="B31" i="55" s="1"/>
  <c r="J110" i="8"/>
  <c r="O163" i="7" s="1"/>
  <c r="L110" i="8"/>
  <c r="Q163" i="7" s="1"/>
  <c r="O162" i="10" s="1"/>
  <c r="K110" i="8"/>
  <c r="O164" i="13" s="1"/>
  <c r="R77" i="66"/>
  <c r="U161" i="7"/>
  <c r="U162" i="7" s="1"/>
  <c r="D62" i="8"/>
  <c r="Y62" i="8"/>
  <c r="Z110" i="8"/>
  <c r="X110" i="8"/>
  <c r="AJ342" i="8"/>
  <c r="AJ343" i="8" s="1"/>
  <c r="AJ344" i="8" s="1"/>
  <c r="AJ345" i="8" s="1"/>
  <c r="AJ346" i="8" s="1"/>
  <c r="AA62" i="8"/>
  <c r="H62" i="8"/>
  <c r="M62" i="8" s="1"/>
  <c r="M170" i="7" s="1"/>
  <c r="K169" i="10" s="1"/>
  <c r="AA110" i="8"/>
  <c r="Y110" i="8"/>
  <c r="F62" i="8"/>
  <c r="L62" i="8" s="1"/>
  <c r="L170" i="7" s="1"/>
  <c r="J169" i="10" s="1"/>
  <c r="Z62" i="8"/>
  <c r="J62" i="8"/>
  <c r="J170" i="7" s="1"/>
  <c r="X62" i="8"/>
  <c r="AF427" i="31"/>
  <c r="AK427" i="31" s="1"/>
  <c r="X427" i="31"/>
  <c r="AF374" i="31"/>
  <c r="AK374" i="31" s="1"/>
  <c r="X374" i="31"/>
  <c r="AF330" i="29"/>
  <c r="AK330" i="29" s="1"/>
  <c r="X330" i="29"/>
  <c r="R27" i="18"/>
  <c r="P27" i="13"/>
  <c r="C28" i="18"/>
  <c r="O39" i="13"/>
  <c r="S14" i="52" l="1"/>
  <c r="BH15" i="52" s="1"/>
  <c r="W4" i="10"/>
  <c r="AA4" i="10" s="1"/>
  <c r="S4" i="13"/>
  <c r="AF169" i="10"/>
  <c r="AG169" i="10" s="1"/>
  <c r="AG170" i="10" s="1"/>
  <c r="AT15" i="52"/>
  <c r="H17" i="52"/>
  <c r="P17" i="52"/>
  <c r="BE15" i="52" s="1"/>
  <c r="P30" i="55"/>
  <c r="J30" i="55"/>
  <c r="F30" i="55"/>
  <c r="R64" i="8" a="1"/>
  <c r="R64" i="8" s="1"/>
  <c r="E64" i="8" s="1"/>
  <c r="S64" i="8" a="1"/>
  <c r="S64" i="8" s="1"/>
  <c r="V64" i="8" a="1"/>
  <c r="V64" i="8" s="1"/>
  <c r="I64" i="8" s="1"/>
  <c r="T64" i="8" a="1"/>
  <c r="T64" i="8" s="1"/>
  <c r="G64" i="8" s="1"/>
  <c r="U64" i="8" a="1"/>
  <c r="U64" i="8" s="1"/>
  <c r="P64" i="8" a="1"/>
  <c r="P64" i="8" s="1"/>
  <c r="C64" i="8" s="1"/>
  <c r="O64" i="8" a="1"/>
  <c r="O64" i="8" s="1"/>
  <c r="Q64" i="8" a="1"/>
  <c r="Q64" i="8" s="1"/>
  <c r="K62" i="8"/>
  <c r="K170" i="7" s="1"/>
  <c r="I169" i="10" s="1"/>
  <c r="R169" i="10" s="1"/>
  <c r="W117" i="70" s="1"/>
  <c r="X100" i="67"/>
  <c r="R100" i="67"/>
  <c r="AF174" i="28"/>
  <c r="AC20" i="28" s="1"/>
  <c r="AJ174" i="28"/>
  <c r="AC21" i="28" s="1"/>
  <c r="AB251" i="33"/>
  <c r="AC24" i="33"/>
  <c r="W95" i="70"/>
  <c r="W96" i="70"/>
  <c r="W76" i="70"/>
  <c r="W75" i="70"/>
  <c r="E29" i="18"/>
  <c r="AN161" i="10"/>
  <c r="R105" i="65" a="1"/>
  <c r="R105" i="65" s="1"/>
  <c r="W160" i="10"/>
  <c r="AA160" i="10" s="1"/>
  <c r="S107" i="13"/>
  <c r="S169" i="10"/>
  <c r="W119" i="70" s="1"/>
  <c r="S120" i="52"/>
  <c r="CJ27" i="52"/>
  <c r="L111" i="13"/>
  <c r="K111" i="13"/>
  <c r="U103" i="67" s="1"/>
  <c r="U77" i="66"/>
  <c r="X77" i="66"/>
  <c r="AF77" i="66"/>
  <c r="AK77" i="66" s="1"/>
  <c r="P163" i="7"/>
  <c r="N162" i="10" s="1"/>
  <c r="AJ347" i="8"/>
  <c r="AJ348" i="8" s="1"/>
  <c r="AJ349" i="8" s="1"/>
  <c r="AJ350" i="8" s="1"/>
  <c r="AJ351" i="8" s="1"/>
  <c r="F63" i="8"/>
  <c r="L63" i="8" s="1"/>
  <c r="Q104" i="7" s="1"/>
  <c r="O103" i="10" s="1"/>
  <c r="Z63" i="8"/>
  <c r="D63" i="8"/>
  <c r="Y63" i="8"/>
  <c r="H63" i="8"/>
  <c r="M63" i="8" s="1"/>
  <c r="R104" i="7" s="1"/>
  <c r="P103" i="10" s="1"/>
  <c r="AA63" i="8"/>
  <c r="X63" i="8"/>
  <c r="B63" i="8"/>
  <c r="J63" i="8" s="1"/>
  <c r="O104" i="7" s="1"/>
  <c r="AF480" i="31"/>
  <c r="AK480" i="31" s="1"/>
  <c r="X480" i="31"/>
  <c r="X66" i="30"/>
  <c r="AF66" i="30"/>
  <c r="AK66" i="30" s="1"/>
  <c r="K28" i="18"/>
  <c r="D30" i="55" s="1"/>
  <c r="P28" i="13"/>
  <c r="B29" i="18"/>
  <c r="A31" i="55" s="1"/>
  <c r="O40" i="13"/>
  <c r="AI168" i="10" l="1"/>
  <c r="AK168" i="10" s="1"/>
  <c r="H168" i="10" s="1"/>
  <c r="AI170" i="10"/>
  <c r="AK170" i="10" s="1"/>
  <c r="AI169" i="10"/>
  <c r="AW15" i="52"/>
  <c r="O17" i="52"/>
  <c r="BD15" i="52" s="1"/>
  <c r="R246" i="23" s="1" a="1"/>
  <c r="R246" i="23" s="1"/>
  <c r="AB246" i="23" s="1"/>
  <c r="AF246" i="23" s="1"/>
  <c r="AJ246" i="23" s="1"/>
  <c r="R17" i="52"/>
  <c r="BG15" i="52" s="1"/>
  <c r="Q17" i="52"/>
  <c r="BF15" i="52" s="1"/>
  <c r="N17" i="52"/>
  <c r="BC15" i="52" s="1"/>
  <c r="K17" i="52"/>
  <c r="AZ15" i="52" s="1"/>
  <c r="M17" i="52"/>
  <c r="BB15" i="52" s="1"/>
  <c r="L17" i="52"/>
  <c r="BA15" i="52" s="1"/>
  <c r="J17" i="52"/>
  <c r="AY15" i="52" s="1"/>
  <c r="P31" i="55"/>
  <c r="J31" i="55"/>
  <c r="L29" i="18"/>
  <c r="K30" i="55"/>
  <c r="N30" i="55"/>
  <c r="M30" i="55"/>
  <c r="L30" i="55"/>
  <c r="C31" i="55"/>
  <c r="O29" i="18"/>
  <c r="R30" i="55"/>
  <c r="T30" i="55"/>
  <c r="U30" i="55"/>
  <c r="S30" i="55"/>
  <c r="Q30" i="55"/>
  <c r="M29" i="18"/>
  <c r="V65" i="8" a="1"/>
  <c r="V65" i="8" s="1"/>
  <c r="I65" i="8" s="1"/>
  <c r="S65" i="8" a="1"/>
  <c r="S65" i="8" s="1"/>
  <c r="R65" i="8" a="1"/>
  <c r="R65" i="8" s="1"/>
  <c r="E65" i="8" s="1"/>
  <c r="T65" i="8" a="1"/>
  <c r="T65" i="8" s="1"/>
  <c r="G65" i="8" s="1"/>
  <c r="O65" i="8" a="1"/>
  <c r="O65" i="8" s="1"/>
  <c r="Q65" i="8" a="1"/>
  <c r="Q65" i="8" s="1"/>
  <c r="U65" i="8" a="1"/>
  <c r="U65" i="8" s="1"/>
  <c r="P65" i="8" a="1"/>
  <c r="P65" i="8" s="1"/>
  <c r="C65" i="8" s="1"/>
  <c r="S121" i="52"/>
  <c r="BH30" i="52" s="1"/>
  <c r="S111" i="13"/>
  <c r="W115" i="70"/>
  <c r="AB105" i="65"/>
  <c r="AC24" i="65"/>
  <c r="AF251" i="33"/>
  <c r="AB274" i="33"/>
  <c r="AC19" i="33" s="1"/>
  <c r="W116" i="70"/>
  <c r="T111" i="13"/>
  <c r="T121" i="52"/>
  <c r="BI30" i="52" s="1"/>
  <c r="V162" i="10"/>
  <c r="R162" i="10"/>
  <c r="H147" i="13"/>
  <c r="X126" i="40" s="1"/>
  <c r="S110" i="13"/>
  <c r="AN170" i="10"/>
  <c r="A30" i="18"/>
  <c r="D30" i="18" s="1"/>
  <c r="B32" i="55" s="1"/>
  <c r="M111" i="13"/>
  <c r="U106" i="67" s="1"/>
  <c r="U163" i="7"/>
  <c r="U164" i="7" s="1"/>
  <c r="CE28" i="52" s="1"/>
  <c r="R95" i="64" a="1"/>
  <c r="R95" i="64" s="1"/>
  <c r="AB95" i="64" s="1"/>
  <c r="AF95" i="64" s="1"/>
  <c r="AJ95" i="64" s="1"/>
  <c r="AA64" i="8"/>
  <c r="H64" i="8"/>
  <c r="M64" i="8" s="1"/>
  <c r="M49" i="7" s="1"/>
  <c r="K48" i="10" s="1"/>
  <c r="AJ352" i="8"/>
  <c r="AJ353" i="8" s="1"/>
  <c r="AJ354" i="8" s="1"/>
  <c r="AJ355" i="8" s="1"/>
  <c r="AJ356" i="8" s="1"/>
  <c r="Y64" i="8"/>
  <c r="D64" i="8"/>
  <c r="K64" i="8" s="1"/>
  <c r="K49" i="7" s="1"/>
  <c r="I48" i="10" s="1"/>
  <c r="R48" i="10" s="1"/>
  <c r="K63" i="8"/>
  <c r="U126" i="40"/>
  <c r="B64" i="8"/>
  <c r="J64" i="8" s="1"/>
  <c r="J49" i="7" s="1"/>
  <c r="AF48" i="10" s="1"/>
  <c r="X64" i="8"/>
  <c r="Z64" i="8"/>
  <c r="F64" i="8"/>
  <c r="L64" i="8" s="1"/>
  <c r="L49" i="7" s="1"/>
  <c r="J48" i="10" s="1"/>
  <c r="AF533" i="31"/>
  <c r="AK533" i="31" s="1"/>
  <c r="X533" i="31"/>
  <c r="AF111" i="30"/>
  <c r="AK111" i="30" s="1"/>
  <c r="X111" i="30"/>
  <c r="R28" i="18"/>
  <c r="P29" i="13"/>
  <c r="C29" i="18"/>
  <c r="AJ168" i="10" l="1"/>
  <c r="AK169" i="10" s="1"/>
  <c r="H169" i="10" s="1"/>
  <c r="N111" i="13" s="1"/>
  <c r="R152" i="67" a="1"/>
  <c r="R152" i="67" s="1"/>
  <c r="AB152" i="67" s="1"/>
  <c r="AF152" i="67" s="1"/>
  <c r="AJ152" i="67" s="1"/>
  <c r="R310" i="68" a="1"/>
  <c r="R310" i="68" s="1"/>
  <c r="AB310" i="68" s="1"/>
  <c r="F31" i="55"/>
  <c r="N31" i="55"/>
  <c r="M31" i="55"/>
  <c r="L31" i="55"/>
  <c r="K31" i="55"/>
  <c r="T31" i="55"/>
  <c r="U31" i="55"/>
  <c r="R31" i="55"/>
  <c r="S31" i="55"/>
  <c r="Q31" i="55"/>
  <c r="R67" i="8" a="1"/>
  <c r="R67" i="8" s="1"/>
  <c r="E67" i="8" s="1"/>
  <c r="U67" i="8" a="1"/>
  <c r="U67" i="8" s="1"/>
  <c r="S67" i="8" a="1"/>
  <c r="S67" i="8" s="1"/>
  <c r="T67" i="8" a="1"/>
  <c r="T67" i="8" s="1"/>
  <c r="G67" i="8" s="1"/>
  <c r="O67" i="8" a="1"/>
  <c r="O67" i="8" s="1"/>
  <c r="V67" i="8" a="1"/>
  <c r="V67" i="8" s="1"/>
  <c r="I67" i="8" s="1"/>
  <c r="Q67" i="8" a="1"/>
  <c r="Q67" i="8" s="1"/>
  <c r="D67" i="8" s="1"/>
  <c r="P67" i="8" a="1"/>
  <c r="P67" i="8" s="1"/>
  <c r="C67" i="8" s="1"/>
  <c r="AF105" i="65"/>
  <c r="AB128" i="65"/>
  <c r="AC19" i="65" s="1"/>
  <c r="AJ251" i="33"/>
  <c r="AJ274" i="33" s="1"/>
  <c r="AC21" i="33" s="1"/>
  <c r="AF274" i="33"/>
  <c r="AC20" i="33" s="1"/>
  <c r="S118" i="52"/>
  <c r="BH28" i="52" s="1"/>
  <c r="CF28" i="52" s="1"/>
  <c r="W19" i="70"/>
  <c r="W249" i="70"/>
  <c r="W253" i="70"/>
  <c r="W151" i="70"/>
  <c r="AF126" i="40"/>
  <c r="AK126" i="40" s="1"/>
  <c r="E30" i="18"/>
  <c r="AN163" i="10"/>
  <c r="BI15" i="52"/>
  <c r="CF15" i="52" s="1"/>
  <c r="U165" i="7"/>
  <c r="U166" i="7" s="1"/>
  <c r="CE29" i="52" s="1"/>
  <c r="U173" i="7"/>
  <c r="U174" i="7" s="1"/>
  <c r="U175" i="7" s="1"/>
  <c r="U176" i="7" s="1"/>
  <c r="U177" i="7" s="1"/>
  <c r="CE32" i="52" s="1"/>
  <c r="CF32" i="52" s="1"/>
  <c r="S34" i="13"/>
  <c r="S44" i="52"/>
  <c r="U121" i="52"/>
  <c r="BJ30" i="52" s="1"/>
  <c r="V121" i="52"/>
  <c r="BK30" i="52" s="1"/>
  <c r="N110" i="13"/>
  <c r="Q168" i="10"/>
  <c r="E120" i="52" s="1"/>
  <c r="AL168" i="10"/>
  <c r="O147" i="13"/>
  <c r="R126" i="40"/>
  <c r="W162" i="10"/>
  <c r="AA162" i="10" s="1"/>
  <c r="S108" i="13"/>
  <c r="CJ32" i="52"/>
  <c r="P104" i="7"/>
  <c r="R110" i="62" a="1"/>
  <c r="R110" i="62" s="1"/>
  <c r="AB110" i="62" s="1"/>
  <c r="AF110" i="62" s="1"/>
  <c r="AJ110" i="62" s="1"/>
  <c r="R104" i="62" a="1"/>
  <c r="R104" i="62" s="1"/>
  <c r="AB104" i="62" s="1"/>
  <c r="AF104" i="62" s="1"/>
  <c r="AJ104" i="62" s="1"/>
  <c r="R105" i="62" a="1"/>
  <c r="R105" i="62" s="1"/>
  <c r="AB105" i="62" s="1"/>
  <c r="AF105" i="62" s="1"/>
  <c r="AJ105" i="62" s="1"/>
  <c r="R102" i="62" a="1"/>
  <c r="R102" i="62" s="1"/>
  <c r="AB102" i="62" s="1"/>
  <c r="R111" i="62" a="1"/>
  <c r="R111" i="62" s="1"/>
  <c r="AB111" i="62" s="1"/>
  <c r="R108" i="62" a="1"/>
  <c r="R108" i="62" s="1"/>
  <c r="AB108" i="62" s="1"/>
  <c r="AF108" i="62" s="1"/>
  <c r="AJ108" i="62" s="1"/>
  <c r="R106" i="62" a="1"/>
  <c r="R106" i="62" s="1"/>
  <c r="AB106" i="62" s="1"/>
  <c r="AF106" i="62" s="1"/>
  <c r="AJ106" i="62" s="1"/>
  <c r="R112" i="62" a="1"/>
  <c r="R112" i="62" s="1"/>
  <c r="AB112" i="62" s="1"/>
  <c r="AF112" i="62" s="1"/>
  <c r="AJ112" i="62" s="1"/>
  <c r="R107" i="62" a="1"/>
  <c r="R107" i="62" s="1"/>
  <c r="AB107" i="62" s="1"/>
  <c r="AF107" i="62" s="1"/>
  <c r="AJ107" i="62" s="1"/>
  <c r="B65" i="8"/>
  <c r="J65" i="8" s="1"/>
  <c r="J148" i="7" s="1"/>
  <c r="AF147" i="10" s="1"/>
  <c r="X65" i="8"/>
  <c r="AA65" i="8"/>
  <c r="H65" i="8"/>
  <c r="M65" i="8" s="1"/>
  <c r="M148" i="7" s="1"/>
  <c r="K147" i="10" s="1"/>
  <c r="AJ357" i="8"/>
  <c r="AJ358" i="8" s="1"/>
  <c r="AJ359" i="8" s="1"/>
  <c r="AJ360" i="8" s="1"/>
  <c r="AJ361" i="8" s="1"/>
  <c r="Z65" i="8"/>
  <c r="F65" i="8"/>
  <c r="L65" i="8" s="1"/>
  <c r="L148" i="7" s="1"/>
  <c r="J147" i="10" s="1"/>
  <c r="Y65" i="8"/>
  <c r="D65" i="8"/>
  <c r="K65" i="8" s="1"/>
  <c r="K148" i="7" s="1"/>
  <c r="I147" i="10" s="1"/>
  <c r="X169" i="30"/>
  <c r="AF169" i="30"/>
  <c r="AK169" i="30" s="1"/>
  <c r="K29" i="18"/>
  <c r="D31" i="55" s="1"/>
  <c r="P30" i="13"/>
  <c r="B30" i="18"/>
  <c r="A32" i="55" s="1"/>
  <c r="O41" i="13"/>
  <c r="AJ169" i="10" l="1"/>
  <c r="AJ170" i="10" s="1"/>
  <c r="V168" i="10"/>
  <c r="Q169" i="10"/>
  <c r="E121" i="52" s="1"/>
  <c r="H121" i="52" s="1"/>
  <c r="R153" i="67" a="1"/>
  <c r="R153" i="67" s="1"/>
  <c r="AB153" i="67" s="1"/>
  <c r="AF153" i="67" s="1"/>
  <c r="AJ153" i="67" s="1"/>
  <c r="R311" i="68" a="1"/>
  <c r="R311" i="68" s="1"/>
  <c r="AB311" i="68" s="1"/>
  <c r="AF311" i="68" s="1"/>
  <c r="AJ311" i="68" s="1"/>
  <c r="R104" i="66" a="1"/>
  <c r="R104" i="66" s="1"/>
  <c r="AB104" i="66" s="1"/>
  <c r="R107" i="63" a="1"/>
  <c r="R107" i="63" s="1"/>
  <c r="AF310" i="68"/>
  <c r="AJ310" i="68" s="1"/>
  <c r="P32" i="55"/>
  <c r="J32" i="55"/>
  <c r="M30" i="18"/>
  <c r="C32" i="55"/>
  <c r="O30" i="18"/>
  <c r="L30" i="18"/>
  <c r="V68" i="8" a="1"/>
  <c r="V68" i="8" s="1"/>
  <c r="I68" i="8" s="1"/>
  <c r="T68" i="8" a="1"/>
  <c r="T68" i="8" s="1"/>
  <c r="G68" i="8" s="1"/>
  <c r="Q68" i="8" a="1"/>
  <c r="Q68" i="8" s="1"/>
  <c r="O68" i="8" a="1"/>
  <c r="O68" i="8" s="1"/>
  <c r="R68" i="8" a="1"/>
  <c r="R68" i="8" s="1"/>
  <c r="E68" i="8" s="1"/>
  <c r="P68" i="8" a="1"/>
  <c r="P68" i="8" s="1"/>
  <c r="C68" i="8" s="1"/>
  <c r="U68" i="8" a="1"/>
  <c r="U68" i="8" s="1"/>
  <c r="S68" i="8" a="1"/>
  <c r="S68" i="8" s="1"/>
  <c r="AJ105" i="65"/>
  <c r="AJ128" i="65" s="1"/>
  <c r="AC21" i="65" s="1"/>
  <c r="AF128" i="65"/>
  <c r="AC20" i="65" s="1"/>
  <c r="AF97" i="67"/>
  <c r="AK97" i="67" s="1"/>
  <c r="X97" i="67"/>
  <c r="X57" i="67"/>
  <c r="AF57" i="67"/>
  <c r="AK57" i="67" s="1"/>
  <c r="W18" i="70"/>
  <c r="W17" i="70"/>
  <c r="AT23" i="52"/>
  <c r="R562" i="34" s="1" a="1"/>
  <c r="R562" i="34" s="1"/>
  <c r="AT8" i="52"/>
  <c r="AT7" i="52"/>
  <c r="CJ7" i="52" s="1"/>
  <c r="BK15" i="52"/>
  <c r="BJ15" i="52"/>
  <c r="U167" i="7"/>
  <c r="U168" i="7" s="1"/>
  <c r="H120" i="52"/>
  <c r="P120" i="52"/>
  <c r="G111" i="13"/>
  <c r="U97" i="67" s="1"/>
  <c r="U104" i="7"/>
  <c r="U105" i="7" s="1"/>
  <c r="U106" i="7" s="1"/>
  <c r="N103" i="10"/>
  <c r="R103" i="10" s="1"/>
  <c r="W135" i="70" s="1"/>
  <c r="AM168" i="10"/>
  <c r="AL169" i="10" s="1"/>
  <c r="T168" i="10"/>
  <c r="R110" i="13"/>
  <c r="G110" i="13"/>
  <c r="U57" i="67" s="1"/>
  <c r="AG147" i="10"/>
  <c r="AG148" i="10" s="1"/>
  <c r="AI148" i="10" s="1"/>
  <c r="AK148" i="10" s="1"/>
  <c r="R99" i="62" a="1"/>
  <c r="R99" i="62" s="1"/>
  <c r="A31" i="18"/>
  <c r="D31" i="18" s="1"/>
  <c r="B33" i="55" s="1"/>
  <c r="CF29" i="52"/>
  <c r="AF111" i="62"/>
  <c r="AJ111" i="62" s="1"/>
  <c r="AF102" i="62"/>
  <c r="AJ102" i="62" s="1"/>
  <c r="F67" i="8"/>
  <c r="L67" i="8" s="1"/>
  <c r="L47" i="7" s="1"/>
  <c r="J46" i="10" s="1"/>
  <c r="Z67" i="8"/>
  <c r="B67" i="8"/>
  <c r="J67" i="8" s="1"/>
  <c r="J47" i="7" s="1"/>
  <c r="AF46" i="10" s="1"/>
  <c r="X67" i="8"/>
  <c r="Y67" i="8"/>
  <c r="K67" i="8"/>
  <c r="K47" i="7" s="1"/>
  <c r="I46" i="10" s="1"/>
  <c r="R46" i="10" s="1"/>
  <c r="H67" i="8"/>
  <c r="M67" i="8" s="1"/>
  <c r="M47" i="7" s="1"/>
  <c r="K46" i="10" s="1"/>
  <c r="AA67" i="8"/>
  <c r="AJ362" i="8"/>
  <c r="AJ363" i="8" s="1"/>
  <c r="AJ364" i="8" s="1"/>
  <c r="AJ365" i="8" s="1"/>
  <c r="AJ366" i="8" s="1"/>
  <c r="X62" i="32"/>
  <c r="AF62" i="32"/>
  <c r="AK62" i="32" s="1"/>
  <c r="AF217" i="30"/>
  <c r="AK217" i="30" s="1"/>
  <c r="X217" i="30"/>
  <c r="R29" i="18"/>
  <c r="P31" i="13"/>
  <c r="C30" i="18"/>
  <c r="O42" i="13"/>
  <c r="O43" i="13"/>
  <c r="R111" i="13" l="1"/>
  <c r="P121" i="52"/>
  <c r="BE30" i="52" s="1"/>
  <c r="W168" i="10"/>
  <c r="AA168" i="10" s="1"/>
  <c r="AT30" i="52"/>
  <c r="CJ30" i="52" s="1"/>
  <c r="AW30" i="52"/>
  <c r="R154" i="67" a="1"/>
  <c r="R154" i="67" s="1"/>
  <c r="AB154" i="67" s="1"/>
  <c r="AF154" i="67" s="1"/>
  <c r="AJ154" i="67" s="1"/>
  <c r="R312" i="68" a="1"/>
  <c r="R312" i="68" s="1"/>
  <c r="AB312" i="68" s="1"/>
  <c r="AF312" i="68" s="1"/>
  <c r="AJ312" i="68" s="1"/>
  <c r="R296" i="68" a="1"/>
  <c r="R296" i="68" s="1"/>
  <c r="R155" i="67" a="1"/>
  <c r="R155" i="67" s="1"/>
  <c r="AB155" i="67" s="1"/>
  <c r="AF155" i="67" s="1"/>
  <c r="AJ155" i="67" s="1"/>
  <c r="R313" i="68" a="1"/>
  <c r="R313" i="68" s="1"/>
  <c r="AB313" i="68" s="1"/>
  <c r="AF313" i="68" s="1"/>
  <c r="AJ313" i="68" s="1"/>
  <c r="AB107" i="63"/>
  <c r="F32" i="55"/>
  <c r="K32" i="55"/>
  <c r="N32" i="55"/>
  <c r="M32" i="55"/>
  <c r="L32" i="55"/>
  <c r="R32" i="55"/>
  <c r="T32" i="55"/>
  <c r="U32" i="55"/>
  <c r="S32" i="55"/>
  <c r="Q32" i="55"/>
  <c r="T69" i="8" a="1"/>
  <c r="T69" i="8" s="1"/>
  <c r="G69" i="8" s="1"/>
  <c r="P69" i="8" a="1"/>
  <c r="P69" i="8" s="1"/>
  <c r="C69" i="8" s="1"/>
  <c r="O69" i="8" a="1"/>
  <c r="O69" i="8" s="1"/>
  <c r="V69" i="8" a="1"/>
  <c r="V69" i="8" s="1"/>
  <c r="I69" i="8" s="1"/>
  <c r="U69" i="8" a="1"/>
  <c r="U69" i="8" s="1"/>
  <c r="R69" i="8" a="1"/>
  <c r="R69" i="8" s="1"/>
  <c r="E69" i="8" s="1"/>
  <c r="I128" i="13" s="1"/>
  <c r="S69" i="8" a="1"/>
  <c r="S69" i="8" s="1"/>
  <c r="Q69" i="8" a="1"/>
  <c r="Q69" i="8" s="1"/>
  <c r="AB99" i="62"/>
  <c r="AF99" i="62" s="1"/>
  <c r="AC24" i="62"/>
  <c r="AF104" i="66"/>
  <c r="AB562" i="34"/>
  <c r="AC24" i="34"/>
  <c r="E31" i="18"/>
  <c r="AW23" i="52"/>
  <c r="R565" i="34" s="1" a="1"/>
  <c r="R565" i="34" s="1"/>
  <c r="AB565" i="34" s="1"/>
  <c r="AF565" i="34" s="1"/>
  <c r="AJ565" i="34" s="1"/>
  <c r="BE7" i="52"/>
  <c r="BE23" i="52"/>
  <c r="R573" i="34" s="1" a="1"/>
  <c r="R573" i="34" s="1"/>
  <c r="AB573" i="34" s="1"/>
  <c r="O121" i="52"/>
  <c r="Q121" i="52"/>
  <c r="R121" i="52"/>
  <c r="O120" i="52"/>
  <c r="R120" i="52"/>
  <c r="Q120" i="52"/>
  <c r="L120" i="52"/>
  <c r="N120" i="52"/>
  <c r="K120" i="52"/>
  <c r="M120" i="52"/>
  <c r="J120" i="52"/>
  <c r="L121" i="52"/>
  <c r="N121" i="52"/>
  <c r="K121" i="52"/>
  <c r="M121" i="52"/>
  <c r="J121" i="52"/>
  <c r="U169" i="7"/>
  <c r="U170" i="7" s="1"/>
  <c r="U171" i="7" s="1"/>
  <c r="CE27" i="52"/>
  <c r="CF27" i="52" s="1"/>
  <c r="S32" i="13"/>
  <c r="S42" i="52"/>
  <c r="S72" i="13"/>
  <c r="S82" i="52"/>
  <c r="T169" i="10"/>
  <c r="AM169" i="10"/>
  <c r="AI147" i="10"/>
  <c r="AJ147" i="10" s="1"/>
  <c r="AJ148" i="10" s="1"/>
  <c r="F68" i="8"/>
  <c r="L68" i="8" s="1"/>
  <c r="L18" i="7" s="1"/>
  <c r="J18" i="10" s="1"/>
  <c r="Z68" i="8"/>
  <c r="AJ367" i="8"/>
  <c r="AJ368" i="8" s="1"/>
  <c r="AJ369" i="8" s="1"/>
  <c r="AJ370" i="8" s="1"/>
  <c r="AJ371" i="8" s="1"/>
  <c r="AA68" i="8"/>
  <c r="H68" i="8"/>
  <c r="M68" i="8" s="1"/>
  <c r="M18" i="7" s="1"/>
  <c r="K18" i="10" s="1"/>
  <c r="D68" i="8"/>
  <c r="K68" i="8" s="1"/>
  <c r="K18" i="7" s="1"/>
  <c r="I18" i="10" s="1"/>
  <c r="Y68" i="8"/>
  <c r="B68" i="8"/>
  <c r="J68" i="8" s="1"/>
  <c r="J18" i="7" s="1"/>
  <c r="AF18" i="10" s="1"/>
  <c r="X68" i="8"/>
  <c r="X62" i="33"/>
  <c r="AF62" i="33"/>
  <c r="AK62" i="33" s="1"/>
  <c r="X108" i="32"/>
  <c r="AF108" i="32"/>
  <c r="AK108" i="32" s="1"/>
  <c r="AF65" i="31"/>
  <c r="AK65" i="31" s="1"/>
  <c r="X65" i="31"/>
  <c r="K30" i="18"/>
  <c r="D32" i="55" s="1"/>
  <c r="O44" i="13"/>
  <c r="P32" i="13"/>
  <c r="B31" i="18"/>
  <c r="CE31" i="52" l="1"/>
  <c r="CF31" i="52" s="1"/>
  <c r="CE30" i="52"/>
  <c r="CF30" i="52" s="1"/>
  <c r="AZ30" i="52"/>
  <c r="BG30" i="52"/>
  <c r="BC30" i="52"/>
  <c r="BD30" i="52"/>
  <c r="AY30" i="52"/>
  <c r="R138" i="67" a="1"/>
  <c r="R138" i="67" s="1"/>
  <c r="AB138" i="67" s="1"/>
  <c r="AF138" i="67" s="1"/>
  <c r="AJ138" i="67" s="1"/>
  <c r="BB30" i="52"/>
  <c r="BA30" i="52"/>
  <c r="BF30" i="52"/>
  <c r="AG18" i="10"/>
  <c r="AG19" i="10" s="1"/>
  <c r="AG20" i="10" s="1"/>
  <c r="AI18" i="10" s="1"/>
  <c r="AF107" i="63"/>
  <c r="AJ107" i="63" s="1"/>
  <c r="R141" i="67" a="1"/>
  <c r="R141" i="67" s="1"/>
  <c r="AB141" i="67" s="1"/>
  <c r="AF141" i="67" s="1"/>
  <c r="AJ141" i="67" s="1"/>
  <c r="R299" i="68" a="1"/>
  <c r="R299" i="68" s="1"/>
  <c r="AB299" i="68" s="1"/>
  <c r="AF299" i="68" s="1"/>
  <c r="AJ299" i="68" s="1"/>
  <c r="AC24" i="68"/>
  <c r="AB296" i="68"/>
  <c r="R149" i="67" a="1"/>
  <c r="R149" i="67" s="1"/>
  <c r="AB149" i="67" s="1"/>
  <c r="AF149" i="67" s="1"/>
  <c r="AJ149" i="67" s="1"/>
  <c r="R307" i="68" a="1"/>
  <c r="R307" i="68" s="1"/>
  <c r="AB307" i="68" s="1"/>
  <c r="AF307" i="68" s="1"/>
  <c r="AJ307" i="68" s="1"/>
  <c r="A33" i="55"/>
  <c r="M31" i="18"/>
  <c r="C33" i="55"/>
  <c r="O31" i="18"/>
  <c r="L31" i="18"/>
  <c r="T70" i="8" a="1"/>
  <c r="T70" i="8" s="1"/>
  <c r="G70" i="8" s="1"/>
  <c r="R70" i="8" a="1"/>
  <c r="R70" i="8" s="1"/>
  <c r="E70" i="8" s="1"/>
  <c r="I130" i="13" s="1"/>
  <c r="S70" i="8" a="1"/>
  <c r="S70" i="8" s="1"/>
  <c r="P70" i="8" a="1"/>
  <c r="P70" i="8" s="1"/>
  <c r="C70" i="8" s="1"/>
  <c r="O70" i="8" a="1"/>
  <c r="O70" i="8" s="1"/>
  <c r="U70" i="8" a="1"/>
  <c r="U70" i="8" s="1"/>
  <c r="V70" i="8" a="1"/>
  <c r="V70" i="8" s="1"/>
  <c r="I70" i="8" s="1"/>
  <c r="Q70" i="8" a="1"/>
  <c r="Q70" i="8" s="1"/>
  <c r="AB136" i="62"/>
  <c r="AC19" i="62" s="1"/>
  <c r="AJ104" i="66"/>
  <c r="AF573" i="34"/>
  <c r="AJ573" i="34" s="1"/>
  <c r="AF562" i="34"/>
  <c r="Y168" i="10"/>
  <c r="AB168" i="10" s="1"/>
  <c r="BA23" i="52"/>
  <c r="R569" i="34" s="1" a="1"/>
  <c r="R569" i="34" s="1"/>
  <c r="AB569" i="34" s="1"/>
  <c r="AF569" i="34" s="1"/>
  <c r="AJ569" i="34" s="1"/>
  <c r="AY23" i="52"/>
  <c r="R567" i="34" s="1" a="1"/>
  <c r="R567" i="34" s="1"/>
  <c r="AB567" i="34" s="1"/>
  <c r="AF567" i="34" s="1"/>
  <c r="AJ567" i="34" s="1"/>
  <c r="AZ7" i="52"/>
  <c r="AZ23" i="52"/>
  <c r="R568" i="34" s="1" a="1"/>
  <c r="R568" i="34" s="1"/>
  <c r="AB568" i="34" s="1"/>
  <c r="AF568" i="34" s="1"/>
  <c r="AJ568" i="34" s="1"/>
  <c r="BC23" i="52"/>
  <c r="R571" i="34" s="1" a="1"/>
  <c r="R571" i="34" s="1"/>
  <c r="AB571" i="34" s="1"/>
  <c r="AF571" i="34" s="1"/>
  <c r="AJ571" i="34" s="1"/>
  <c r="BC7" i="52"/>
  <c r="BB7" i="52"/>
  <c r="BB23" i="52"/>
  <c r="R570" i="34" s="1" a="1"/>
  <c r="R570" i="34" s="1"/>
  <c r="AB570" i="34" s="1"/>
  <c r="AF570" i="34" s="1"/>
  <c r="AJ570" i="34" s="1"/>
  <c r="BF23" i="52"/>
  <c r="R574" i="34" s="1" a="1"/>
  <c r="R574" i="34" s="1"/>
  <c r="AB574" i="34" s="1"/>
  <c r="AF574" i="34" s="1"/>
  <c r="AJ574" i="34" s="1"/>
  <c r="BF7" i="52"/>
  <c r="BF8" i="52"/>
  <c r="BD7" i="52"/>
  <c r="R729" i="41" s="1" a="1"/>
  <c r="R729" i="41" s="1"/>
  <c r="AB729" i="41" s="1"/>
  <c r="AF729" i="41" s="1"/>
  <c r="AJ729" i="41" s="1"/>
  <c r="BD23" i="52"/>
  <c r="R572" i="34" s="1" a="1"/>
  <c r="R572" i="34" s="1"/>
  <c r="AB572" i="34" s="1"/>
  <c r="AF572" i="34" s="1"/>
  <c r="AJ572" i="34" s="1"/>
  <c r="S17" i="10"/>
  <c r="R18" i="10"/>
  <c r="AN20" i="10" s="1"/>
  <c r="CJ31" i="52"/>
  <c r="A32" i="18"/>
  <c r="D32" i="18" s="1"/>
  <c r="B34" i="55" s="1"/>
  <c r="AJ99" i="62"/>
  <c r="AJ136" i="62" s="1"/>
  <c r="AC21" i="62" s="1"/>
  <c r="AC23" i="62" s="1"/>
  <c r="AC25" i="62" s="1"/>
  <c r="AF136" i="62"/>
  <c r="AC20" i="62" s="1"/>
  <c r="H69" i="8"/>
  <c r="M69" i="8" s="1"/>
  <c r="R32" i="7" s="1"/>
  <c r="P31" i="10" s="1"/>
  <c r="AA69" i="8"/>
  <c r="B69" i="8"/>
  <c r="J69" i="8" s="1"/>
  <c r="O32" i="7" s="1"/>
  <c r="X69" i="8"/>
  <c r="F69" i="8"/>
  <c r="L69" i="8" s="1"/>
  <c r="Q32" i="7" s="1"/>
  <c r="O31" i="10" s="1"/>
  <c r="Z69" i="8"/>
  <c r="AJ372" i="8"/>
  <c r="AJ373" i="8" s="1"/>
  <c r="AJ374" i="8" s="1"/>
  <c r="AJ375" i="8" s="1"/>
  <c r="AJ376" i="8" s="1"/>
  <c r="D69" i="8"/>
  <c r="Y69" i="8"/>
  <c r="X158" i="33"/>
  <c r="AF158" i="33"/>
  <c r="AK158" i="33" s="1"/>
  <c r="AF111" i="31"/>
  <c r="AK111" i="31" s="1"/>
  <c r="X111" i="31"/>
  <c r="R30" i="18"/>
  <c r="P33" i="13"/>
  <c r="C31" i="18"/>
  <c r="O45" i="13"/>
  <c r="AC24" i="67" l="1"/>
  <c r="AK18" i="10"/>
  <c r="AI19" i="10"/>
  <c r="AI20" i="10"/>
  <c r="AK20" i="10" s="1"/>
  <c r="AI17" i="10"/>
  <c r="R146" i="67" a="1"/>
  <c r="R146" i="67" s="1"/>
  <c r="AB146" i="67" s="1"/>
  <c r="AF146" i="67" s="1"/>
  <c r="AJ146" i="67" s="1"/>
  <c r="R304" i="68" a="1"/>
  <c r="R304" i="68" s="1"/>
  <c r="AB304" i="68" s="1"/>
  <c r="AF304" i="68" s="1"/>
  <c r="AJ304" i="68" s="1"/>
  <c r="R150" i="67" a="1"/>
  <c r="R150" i="67" s="1"/>
  <c r="AB150" i="67" s="1"/>
  <c r="AF150" i="67" s="1"/>
  <c r="AJ150" i="67" s="1"/>
  <c r="R308" i="68" a="1"/>
  <c r="R308" i="68" s="1"/>
  <c r="AB308" i="68" s="1"/>
  <c r="AF308" i="68" s="1"/>
  <c r="AJ308" i="68" s="1"/>
  <c r="AF296" i="68"/>
  <c r="AJ296" i="68" s="1"/>
  <c r="R148" i="67" a="1"/>
  <c r="R148" i="67" s="1"/>
  <c r="AB148" i="67" s="1"/>
  <c r="AF148" i="67" s="1"/>
  <c r="AJ148" i="67" s="1"/>
  <c r="R306" i="68" a="1"/>
  <c r="R306" i="68" s="1"/>
  <c r="AB306" i="68" s="1"/>
  <c r="AF306" i="68" s="1"/>
  <c r="AJ306" i="68" s="1"/>
  <c r="R147" i="67" a="1"/>
  <c r="R147" i="67" s="1"/>
  <c r="AB147" i="67" s="1"/>
  <c r="AF147" i="67" s="1"/>
  <c r="AJ147" i="67" s="1"/>
  <c r="R305" i="68" a="1"/>
  <c r="R305" i="68" s="1"/>
  <c r="AB305" i="68" s="1"/>
  <c r="AF305" i="68" s="1"/>
  <c r="AJ305" i="68" s="1"/>
  <c r="R143" i="67" a="1"/>
  <c r="R143" i="67" s="1"/>
  <c r="AB143" i="67" s="1"/>
  <c r="AF143" i="67" s="1"/>
  <c r="AJ143" i="67" s="1"/>
  <c r="R301" i="68" a="1"/>
  <c r="R301" i="68" s="1"/>
  <c r="AB301" i="68" s="1"/>
  <c r="AF301" i="68" s="1"/>
  <c r="AJ301" i="68" s="1"/>
  <c r="R144" i="67" a="1"/>
  <c r="R144" i="67" s="1"/>
  <c r="AB144" i="67" s="1"/>
  <c r="AF144" i="67" s="1"/>
  <c r="AJ144" i="67" s="1"/>
  <c r="R302" i="68" a="1"/>
  <c r="R302" i="68" s="1"/>
  <c r="AB302" i="68" s="1"/>
  <c r="AF302" i="68" s="1"/>
  <c r="AJ302" i="68" s="1"/>
  <c r="R145" i="67" a="1"/>
  <c r="R145" i="67" s="1"/>
  <c r="AB145" i="67" s="1"/>
  <c r="AF145" i="67" s="1"/>
  <c r="AJ145" i="67" s="1"/>
  <c r="R303" i="68" a="1"/>
  <c r="R303" i="68" s="1"/>
  <c r="AB303" i="68" s="1"/>
  <c r="AF303" i="68" s="1"/>
  <c r="AJ303" i="68" s="1"/>
  <c r="R151" i="67" a="1"/>
  <c r="R151" i="67" s="1"/>
  <c r="AB151" i="67" s="1"/>
  <c r="AF151" i="67" s="1"/>
  <c r="AJ151" i="67" s="1"/>
  <c r="R309" i="68" a="1"/>
  <c r="R309" i="68" s="1"/>
  <c r="AB309" i="68" s="1"/>
  <c r="AF309" i="68" s="1"/>
  <c r="AJ309" i="68" s="1"/>
  <c r="F33" i="55"/>
  <c r="E32" i="18"/>
  <c r="P33" i="55"/>
  <c r="J33" i="55"/>
  <c r="O71" i="8" a="1"/>
  <c r="O71" i="8" s="1"/>
  <c r="V71" i="8" a="1"/>
  <c r="V71" i="8" s="1"/>
  <c r="I71" i="8" s="1"/>
  <c r="T71" i="8" a="1"/>
  <c r="T71" i="8" s="1"/>
  <c r="G71" i="8" s="1"/>
  <c r="S71" i="8" a="1"/>
  <c r="S71" i="8" s="1"/>
  <c r="R71" i="8" a="1"/>
  <c r="R71" i="8" s="1"/>
  <c r="E71" i="8" s="1"/>
  <c r="Q71" i="8" a="1"/>
  <c r="Q71" i="8" s="1"/>
  <c r="U71" i="8" a="1"/>
  <c r="U71" i="8" s="1"/>
  <c r="P71" i="8" a="1"/>
  <c r="P71" i="8" s="1"/>
  <c r="C71" i="8" s="1"/>
  <c r="AB599" i="34"/>
  <c r="AJ562" i="34"/>
  <c r="AJ599" i="34" s="1"/>
  <c r="AF599" i="34"/>
  <c r="S23" i="52"/>
  <c r="BH13" i="52" s="1"/>
  <c r="R256" i="26" s="1" a="1"/>
  <c r="R256" i="26" s="1"/>
  <c r="AB256" i="26" s="1"/>
  <c r="W147" i="70"/>
  <c r="T22" i="52"/>
  <c r="BI13" i="52" s="1"/>
  <c r="W149" i="70"/>
  <c r="H128" i="13"/>
  <c r="X140" i="29" s="1"/>
  <c r="S13" i="13"/>
  <c r="T12" i="13"/>
  <c r="U140" i="29"/>
  <c r="H70" i="8"/>
  <c r="M70" i="8" s="1"/>
  <c r="R37" i="7" s="1"/>
  <c r="P36" i="10" s="1"/>
  <c r="AA70" i="8"/>
  <c r="B70" i="8"/>
  <c r="J70" i="8" s="1"/>
  <c r="O37" i="7" s="1"/>
  <c r="X70" i="8"/>
  <c r="AJ377" i="8"/>
  <c r="AJ378" i="8" s="1"/>
  <c r="AJ379" i="8" s="1"/>
  <c r="AJ380" i="8" s="1"/>
  <c r="AJ381" i="8" s="1"/>
  <c r="Z70" i="8"/>
  <c r="F70" i="8"/>
  <c r="L70" i="8" s="1"/>
  <c r="Q37" i="7" s="1"/>
  <c r="O36" i="10" s="1"/>
  <c r="D70" i="8"/>
  <c r="Y70" i="8"/>
  <c r="K69" i="8"/>
  <c r="X211" i="33"/>
  <c r="AF211" i="33"/>
  <c r="AK211" i="33" s="1"/>
  <c r="X164" i="31"/>
  <c r="AF164" i="31"/>
  <c r="AK164" i="31" s="1"/>
  <c r="K31" i="18"/>
  <c r="D33" i="55" s="1"/>
  <c r="P34" i="13"/>
  <c r="B32" i="18"/>
  <c r="O46" i="13"/>
  <c r="AK17" i="10" l="1"/>
  <c r="H17" i="10" s="1"/>
  <c r="AL17" i="10" s="1"/>
  <c r="AM17" i="10" s="1"/>
  <c r="AJ17" i="10"/>
  <c r="AJ18" i="10" s="1"/>
  <c r="AK19" i="10" s="1"/>
  <c r="H19" i="10" s="1"/>
  <c r="AJ175" i="67"/>
  <c r="AC21" i="67" s="1"/>
  <c r="AJ333" i="68"/>
  <c r="AC21" i="68" s="1"/>
  <c r="AC23" i="68" s="1"/>
  <c r="AC25" i="68" s="1"/>
  <c r="AB333" i="68"/>
  <c r="AC19" i="68" s="1"/>
  <c r="AF333" i="68"/>
  <c r="AC20" i="68" s="1"/>
  <c r="AB175" i="67"/>
  <c r="AC19" i="67" s="1"/>
  <c r="A34" i="55"/>
  <c r="M32" i="18"/>
  <c r="K33" i="55"/>
  <c r="N33" i="55"/>
  <c r="L33" i="55"/>
  <c r="M33" i="55"/>
  <c r="T33" i="55"/>
  <c r="R33" i="55"/>
  <c r="S33" i="55"/>
  <c r="U33" i="55"/>
  <c r="Q33" i="55"/>
  <c r="C34" i="55"/>
  <c r="O32" i="18"/>
  <c r="L32" i="18"/>
  <c r="R72" i="8" a="1"/>
  <c r="R72" i="8" s="1"/>
  <c r="E72" i="8" s="1"/>
  <c r="P72" i="8" a="1"/>
  <c r="P72" i="8" s="1"/>
  <c r="C72" i="8" s="1"/>
  <c r="V72" i="8" a="1"/>
  <c r="V72" i="8" s="1"/>
  <c r="I72" i="8" s="1"/>
  <c r="O72" i="8" a="1"/>
  <c r="O72" i="8" s="1"/>
  <c r="Q72" i="8" a="1"/>
  <c r="Q72" i="8" s="1"/>
  <c r="S72" i="8" a="1"/>
  <c r="S72" i="8" s="1"/>
  <c r="U72" i="8" a="1"/>
  <c r="U72" i="8" s="1"/>
  <c r="T72" i="8" a="1"/>
  <c r="T72" i="8" s="1"/>
  <c r="G72" i="8" s="1"/>
  <c r="AF175" i="67"/>
  <c r="AC20" i="67" s="1"/>
  <c r="CF13" i="52"/>
  <c r="R257" i="26" a="1"/>
  <c r="R257" i="26" s="1"/>
  <c r="AB257" i="26" s="1"/>
  <c r="AF256" i="26"/>
  <c r="AJ256" i="26" s="1"/>
  <c r="W146" i="70"/>
  <c r="V22" i="52"/>
  <c r="BK13" i="52" s="1"/>
  <c r="R259" i="26" s="1" a="1"/>
  <c r="R259" i="26" s="1"/>
  <c r="AB259" i="26" s="1"/>
  <c r="AF259" i="26" s="1"/>
  <c r="AJ259" i="26" s="1"/>
  <c r="U22" i="52"/>
  <c r="BJ13" i="52" s="1"/>
  <c r="R258" i="26" s="1" a="1"/>
  <c r="R258" i="26" s="1"/>
  <c r="AB258" i="26" s="1"/>
  <c r="W145" i="70"/>
  <c r="H130" i="13"/>
  <c r="AF290" i="29" s="1"/>
  <c r="AK290" i="29" s="1"/>
  <c r="O128" i="13"/>
  <c r="AF140" i="29"/>
  <c r="AK140" i="29" s="1"/>
  <c r="R140" i="29"/>
  <c r="A33" i="18"/>
  <c r="D33" i="18" s="1"/>
  <c r="B35" i="55" s="1"/>
  <c r="H71" i="8"/>
  <c r="M71" i="8" s="1"/>
  <c r="M103" i="7" s="1"/>
  <c r="K102" i="10" s="1"/>
  <c r="AA71" i="8"/>
  <c r="P32" i="7"/>
  <c r="D71" i="8"/>
  <c r="K71" i="8" s="1"/>
  <c r="K103" i="7" s="1"/>
  <c r="I102" i="10" s="1"/>
  <c r="Y71" i="8"/>
  <c r="X71" i="8"/>
  <c r="B71" i="8"/>
  <c r="J71" i="8" s="1"/>
  <c r="J103" i="7" s="1"/>
  <c r="AF102" i="10" s="1"/>
  <c r="K70" i="8"/>
  <c r="AJ382" i="8"/>
  <c r="AJ383" i="8" s="1"/>
  <c r="AJ384" i="8" s="1"/>
  <c r="AJ385" i="8" s="1"/>
  <c r="AJ386" i="8" s="1"/>
  <c r="U290" i="29"/>
  <c r="F71" i="8"/>
  <c r="L71" i="8" s="1"/>
  <c r="L103" i="7" s="1"/>
  <c r="J102" i="10" s="1"/>
  <c r="Z71" i="8"/>
  <c r="AF62" i="34"/>
  <c r="AK62" i="34" s="1"/>
  <c r="X62" i="34"/>
  <c r="AF217" i="31"/>
  <c r="AK217" i="31" s="1"/>
  <c r="X217" i="31"/>
  <c r="R31" i="18"/>
  <c r="O48" i="13"/>
  <c r="P35" i="13"/>
  <c r="C32" i="18"/>
  <c r="O47" i="13"/>
  <c r="AJ19" i="10" l="1"/>
  <c r="AJ20" i="10" s="1"/>
  <c r="N14" i="13"/>
  <c r="Q19" i="10"/>
  <c r="F34" i="55"/>
  <c r="P34" i="55"/>
  <c r="J34" i="55"/>
  <c r="S73" i="8" a="1"/>
  <c r="S73" i="8" s="1"/>
  <c r="T73" i="8" a="1"/>
  <c r="T73" i="8" s="1"/>
  <c r="G73" i="8" s="1"/>
  <c r="R73" i="8" a="1"/>
  <c r="R73" i="8" s="1"/>
  <c r="E73" i="8" s="1"/>
  <c r="P73" i="8" a="1"/>
  <c r="P73" i="8" s="1"/>
  <c r="C73" i="8" s="1"/>
  <c r="V73" i="8" a="1"/>
  <c r="V73" i="8" s="1"/>
  <c r="I73" i="8" s="1"/>
  <c r="Q73" i="8" a="1"/>
  <c r="Q73" i="8" s="1"/>
  <c r="U73" i="8" a="1"/>
  <c r="U73" i="8" s="1"/>
  <c r="O73" i="8" a="1"/>
  <c r="O73" i="8" s="1"/>
  <c r="AF258" i="26"/>
  <c r="AJ258" i="26" s="1"/>
  <c r="AF257" i="26"/>
  <c r="AJ257" i="26" s="1"/>
  <c r="E33" i="18"/>
  <c r="S103" i="10"/>
  <c r="W137" i="70" s="1"/>
  <c r="S102" i="10"/>
  <c r="X290" i="29"/>
  <c r="U32" i="7"/>
  <c r="U33" i="7" s="1"/>
  <c r="N31" i="10"/>
  <c r="AC23" i="67"/>
  <c r="AC25" i="67" s="1"/>
  <c r="O130" i="13"/>
  <c r="R290" i="29"/>
  <c r="AG102" i="10"/>
  <c r="AG103" i="10" s="1"/>
  <c r="AG104" i="10" s="1"/>
  <c r="AG105" i="10" s="1"/>
  <c r="AI102" i="10" s="1"/>
  <c r="N12" i="13"/>
  <c r="G12" i="13" s="1"/>
  <c r="Q17" i="10"/>
  <c r="R102" i="10"/>
  <c r="H72" i="8"/>
  <c r="M72" i="8" s="1"/>
  <c r="M141" i="7" s="1"/>
  <c r="K140" i="10" s="1"/>
  <c r="AA72" i="8"/>
  <c r="F72" i="8"/>
  <c r="L72" i="8" s="1"/>
  <c r="L141" i="7" s="1"/>
  <c r="J140" i="10" s="1"/>
  <c r="Z72" i="8"/>
  <c r="Y72" i="8"/>
  <c r="D72" i="8"/>
  <c r="K72" i="8" s="1"/>
  <c r="K141" i="7" s="1"/>
  <c r="I140" i="10" s="1"/>
  <c r="S139" i="10" s="1"/>
  <c r="P37" i="7"/>
  <c r="N36" i="10" s="1"/>
  <c r="AJ387" i="8"/>
  <c r="AJ388" i="8" s="1"/>
  <c r="AJ389" i="8" s="1"/>
  <c r="AJ390" i="8" s="1"/>
  <c r="AJ391" i="8" s="1"/>
  <c r="X72" i="8"/>
  <c r="B72" i="8"/>
  <c r="J72" i="8" s="1"/>
  <c r="J141" i="7" s="1"/>
  <c r="AF140" i="10" s="1"/>
  <c r="X108" i="34"/>
  <c r="AF108" i="34"/>
  <c r="AK108" i="34" s="1"/>
  <c r="X161" i="34"/>
  <c r="AF161" i="34"/>
  <c r="AK161" i="34" s="1"/>
  <c r="AF270" i="31"/>
  <c r="AK270" i="31" s="1"/>
  <c r="X270" i="31"/>
  <c r="K32" i="18"/>
  <c r="D34" i="55" s="1"/>
  <c r="P36" i="13"/>
  <c r="B33" i="18"/>
  <c r="X159" i="26" l="1"/>
  <c r="AF159" i="26"/>
  <c r="AK159" i="26" s="1"/>
  <c r="R14" i="13"/>
  <c r="E24" i="52"/>
  <c r="H18" i="10"/>
  <c r="Q18" i="10" s="1"/>
  <c r="W17" i="10" s="1"/>
  <c r="E22" i="52"/>
  <c r="P22" i="52" s="1"/>
  <c r="N34" i="55"/>
  <c r="L34" i="55"/>
  <c r="M34" i="55"/>
  <c r="K34" i="55"/>
  <c r="C35" i="55"/>
  <c r="O33" i="18"/>
  <c r="R34" i="55"/>
  <c r="T34" i="55"/>
  <c r="S34" i="55"/>
  <c r="U34" i="55"/>
  <c r="Q34" i="55"/>
  <c r="A35" i="55"/>
  <c r="M33" i="18"/>
  <c r="L33" i="18"/>
  <c r="S37" i="8" a="1"/>
  <c r="S37" i="8" s="1"/>
  <c r="T37" i="8" a="1"/>
  <c r="T37" i="8" s="1"/>
  <c r="G37" i="8" s="1"/>
  <c r="R37" i="8" a="1"/>
  <c r="R37" i="8" s="1"/>
  <c r="E37" i="8" s="1"/>
  <c r="I152" i="13" s="1"/>
  <c r="P37" i="8" a="1"/>
  <c r="P37" i="8" s="1"/>
  <c r="C37" i="8" s="1"/>
  <c r="V37" i="8" a="1"/>
  <c r="V37" i="8" s="1"/>
  <c r="I37" i="8" s="1"/>
  <c r="Q37" i="8" a="1"/>
  <c r="Q37" i="8" s="1"/>
  <c r="U37" i="8" a="1"/>
  <c r="U37" i="8" s="1"/>
  <c r="O37" i="8" a="1"/>
  <c r="O37" i="8" s="1"/>
  <c r="S81" i="52"/>
  <c r="W131" i="70"/>
  <c r="T81" i="52"/>
  <c r="W133" i="70"/>
  <c r="T106" i="52"/>
  <c r="V106" i="52" s="1"/>
  <c r="W207" i="70"/>
  <c r="S104" i="10"/>
  <c r="W141" i="70" s="1"/>
  <c r="R218" i="43" a="1"/>
  <c r="R218" i="43" s="1"/>
  <c r="AB218" i="43" s="1"/>
  <c r="T72" i="13"/>
  <c r="T82" i="52"/>
  <c r="R217" i="43" a="1"/>
  <c r="R217" i="43" s="1"/>
  <c r="AB217" i="43" s="1"/>
  <c r="AF217" i="43" s="1"/>
  <c r="AJ217" i="43" s="1"/>
  <c r="R216" i="43" a="1"/>
  <c r="R216" i="43" s="1"/>
  <c r="AB216" i="43" s="1"/>
  <c r="AF216" i="43" s="1"/>
  <c r="AJ216" i="43" s="1"/>
  <c r="AK102" i="10"/>
  <c r="H102" i="10" s="1"/>
  <c r="AJ102" i="10"/>
  <c r="T17" i="10"/>
  <c r="CJ16" i="52"/>
  <c r="R12" i="13"/>
  <c r="AI105" i="10"/>
  <c r="AK105" i="10" s="1"/>
  <c r="AI103" i="10"/>
  <c r="AK103" i="10" s="1"/>
  <c r="H103" i="10" s="1"/>
  <c r="AI104" i="10"/>
  <c r="AN105" i="10"/>
  <c r="S71" i="13"/>
  <c r="R31" i="10"/>
  <c r="V30" i="10"/>
  <c r="T96" i="13"/>
  <c r="T71" i="13"/>
  <c r="A34" i="18"/>
  <c r="D34" i="18" s="1"/>
  <c r="B36" i="55" s="1"/>
  <c r="AJ392" i="8"/>
  <c r="AJ393" i="8" s="1"/>
  <c r="AJ394" i="8" s="1"/>
  <c r="AJ395" i="8" s="1"/>
  <c r="AJ396" i="8" s="1"/>
  <c r="F73" i="8"/>
  <c r="L73" i="8" s="1"/>
  <c r="L127" i="7" s="1"/>
  <c r="J126" i="10" s="1"/>
  <c r="Z73" i="8"/>
  <c r="H73" i="8"/>
  <c r="M73" i="8" s="1"/>
  <c r="M127" i="7" s="1"/>
  <c r="K126" i="10" s="1"/>
  <c r="AA73" i="8"/>
  <c r="D73" i="8"/>
  <c r="K73" i="8" s="1"/>
  <c r="K127" i="7" s="1"/>
  <c r="I126" i="10" s="1"/>
  <c r="Y73" i="8"/>
  <c r="B73" i="8"/>
  <c r="J73" i="8" s="1"/>
  <c r="J127" i="7" s="1"/>
  <c r="X73" i="8"/>
  <c r="AF328" i="31"/>
  <c r="AK328" i="31" s="1"/>
  <c r="X328" i="31"/>
  <c r="R32" i="18"/>
  <c r="P37" i="13"/>
  <c r="C33" i="18"/>
  <c r="N13" i="13" l="1"/>
  <c r="G13" i="13" s="1"/>
  <c r="U81" i="52"/>
  <c r="H24" i="52"/>
  <c r="P24" i="52"/>
  <c r="AF126" i="10"/>
  <c r="AG126" i="10" s="1"/>
  <c r="AG127" i="10" s="1"/>
  <c r="V17" i="10"/>
  <c r="AA17" i="10" s="1"/>
  <c r="AL18" i="10"/>
  <c r="H22" i="52"/>
  <c r="N22" i="52" s="1"/>
  <c r="F35" i="55"/>
  <c r="P35" i="55"/>
  <c r="J35" i="55"/>
  <c r="P75" i="8" a="1"/>
  <c r="P75" i="8" s="1"/>
  <c r="C75" i="8" s="1"/>
  <c r="T75" i="8" a="1"/>
  <c r="T75" i="8" s="1"/>
  <c r="G75" i="8" s="1"/>
  <c r="V75" i="8" a="1"/>
  <c r="V75" i="8" s="1"/>
  <c r="I75" i="8" s="1"/>
  <c r="O75" i="8" a="1"/>
  <c r="O75" i="8" s="1"/>
  <c r="S75" i="8" a="1"/>
  <c r="S75" i="8" s="1"/>
  <c r="U75" i="8" a="1"/>
  <c r="U75" i="8" s="1"/>
  <c r="R75" i="8" a="1"/>
  <c r="R75" i="8" s="1"/>
  <c r="E75" i="8" s="1"/>
  <c r="Q75" i="8" a="1"/>
  <c r="Q75" i="8" s="1"/>
  <c r="T83" i="52"/>
  <c r="U83" i="52" s="1"/>
  <c r="V81" i="52"/>
  <c r="U106" i="52"/>
  <c r="W129" i="70"/>
  <c r="W130" i="70"/>
  <c r="S32" i="52"/>
  <c r="W189" i="70"/>
  <c r="E34" i="18"/>
  <c r="AN32" i="10"/>
  <c r="AF218" i="43"/>
  <c r="AJ218" i="43" s="1"/>
  <c r="R13" i="13"/>
  <c r="E23" i="52"/>
  <c r="AT13" i="52" s="1"/>
  <c r="R242" i="26" s="1" a="1"/>
  <c r="R242" i="26" s="1"/>
  <c r="U82" i="52"/>
  <c r="V82" i="52"/>
  <c r="T73" i="13"/>
  <c r="N72" i="13"/>
  <c r="G72" i="13" s="1"/>
  <c r="Q103" i="10"/>
  <c r="E82" i="52" s="1"/>
  <c r="AL103" i="10"/>
  <c r="T103" i="10" s="1"/>
  <c r="S22" i="13"/>
  <c r="W30" i="10"/>
  <c r="AA30" i="10" s="1"/>
  <c r="P10" i="52"/>
  <c r="H10" i="52"/>
  <c r="AJ103" i="10"/>
  <c r="AK104" i="10" s="1"/>
  <c r="H104" i="10" s="1"/>
  <c r="V102" i="10" s="1"/>
  <c r="N71" i="13"/>
  <c r="G71" i="13" s="1"/>
  <c r="AL102" i="10"/>
  <c r="Q102" i="10"/>
  <c r="E81" i="52" s="1"/>
  <c r="D37" i="8"/>
  <c r="Y37" i="8"/>
  <c r="H37" i="8"/>
  <c r="M37" i="8" s="1"/>
  <c r="R127" i="7" s="1"/>
  <c r="P126" i="10" s="1"/>
  <c r="AA37" i="8"/>
  <c r="B37" i="8"/>
  <c r="J37" i="8" s="1"/>
  <c r="O127" i="7" s="1"/>
  <c r="X37" i="8"/>
  <c r="AJ397" i="8"/>
  <c r="AJ398" i="8" s="1"/>
  <c r="AJ399" i="8" s="1"/>
  <c r="AJ400" i="8" s="1"/>
  <c r="AJ401" i="8" s="1"/>
  <c r="F37" i="8"/>
  <c r="L37" i="8" s="1"/>
  <c r="Q127" i="7" s="1"/>
  <c r="O126" i="10" s="1"/>
  <c r="Z37" i="8"/>
  <c r="AF377" i="31"/>
  <c r="AK377" i="31" s="1"/>
  <c r="X377" i="31"/>
  <c r="K33" i="18"/>
  <c r="D35" i="55" s="1"/>
  <c r="P38" i="13"/>
  <c r="O49" i="13"/>
  <c r="B34" i="18"/>
  <c r="BJ25" i="52" l="1"/>
  <c r="BI25" i="52"/>
  <c r="M22" i="52"/>
  <c r="K22" i="52"/>
  <c r="L22" i="52"/>
  <c r="AI126" i="10"/>
  <c r="AJ126" i="10" s="1"/>
  <c r="AJ127" i="10" s="1"/>
  <c r="AI127" i="10"/>
  <c r="AK127" i="10" s="1"/>
  <c r="J22" i="52"/>
  <c r="J24" i="52"/>
  <c r="Q24" i="52"/>
  <c r="L24" i="52"/>
  <c r="K24" i="52"/>
  <c r="O24" i="52"/>
  <c r="N24" i="52"/>
  <c r="M24" i="52"/>
  <c r="R24" i="52"/>
  <c r="Q22" i="52"/>
  <c r="R22" i="52"/>
  <c r="AM18" i="10"/>
  <c r="AL19" i="10" s="1"/>
  <c r="AM19" i="10" s="1"/>
  <c r="T18" i="10"/>
  <c r="O22" i="52"/>
  <c r="A36" i="55"/>
  <c r="M34" i="18"/>
  <c r="C36" i="55"/>
  <c r="O34" i="18"/>
  <c r="K35" i="55"/>
  <c r="N35" i="55"/>
  <c r="L35" i="55"/>
  <c r="M35" i="55"/>
  <c r="L34" i="18"/>
  <c r="R35" i="55"/>
  <c r="S35" i="55"/>
  <c r="T35" i="55"/>
  <c r="U35" i="55"/>
  <c r="Q35" i="55"/>
  <c r="P76" i="8" a="1"/>
  <c r="P76" i="8" s="1"/>
  <c r="C76" i="8" s="1"/>
  <c r="R76" i="8" a="1"/>
  <c r="R76" i="8" s="1"/>
  <c r="E76" i="8" s="1"/>
  <c r="S76" i="8" a="1"/>
  <c r="S76" i="8" s="1"/>
  <c r="T76" i="8" a="1"/>
  <c r="T76" i="8" s="1"/>
  <c r="G76" i="8" s="1"/>
  <c r="O76" i="8" a="1"/>
  <c r="O76" i="8" s="1"/>
  <c r="Q76" i="8" a="1"/>
  <c r="Q76" i="8" s="1"/>
  <c r="V76" i="8" a="1"/>
  <c r="V76" i="8" s="1"/>
  <c r="I76" i="8" s="1"/>
  <c r="U76" i="8" a="1"/>
  <c r="U76" i="8" s="1"/>
  <c r="V83" i="52"/>
  <c r="R108" i="64" s="1" a="1"/>
  <c r="R108" i="64" s="1"/>
  <c r="AB108" i="64" s="1"/>
  <c r="AF108" i="64" s="1"/>
  <c r="AJ108" i="64" s="1"/>
  <c r="R106" i="64" a="1"/>
  <c r="R106" i="64" s="1"/>
  <c r="AB106" i="64" s="1"/>
  <c r="AF106" i="64" s="1"/>
  <c r="AJ106" i="64" s="1"/>
  <c r="AC24" i="26"/>
  <c r="AB242" i="26"/>
  <c r="W183" i="70"/>
  <c r="W184" i="70"/>
  <c r="R107" i="64" a="1"/>
  <c r="R107" i="64" s="1"/>
  <c r="AB107" i="64" s="1"/>
  <c r="AF107" i="64" s="1"/>
  <c r="AJ107" i="64" s="1"/>
  <c r="O10" i="52"/>
  <c r="L10" i="52"/>
  <c r="N10" i="52"/>
  <c r="K10" i="52"/>
  <c r="M10" i="52"/>
  <c r="J10" i="52"/>
  <c r="P23" i="52"/>
  <c r="BE13" i="52" s="1"/>
  <c r="R253" i="26" s="1" a="1"/>
  <c r="R253" i="26" s="1"/>
  <c r="AB253" i="26" s="1"/>
  <c r="AF253" i="26" s="1"/>
  <c r="AJ253" i="26" s="1"/>
  <c r="H23" i="52"/>
  <c r="AW13" i="52" s="1"/>
  <c r="R245" i="26" s="1" a="1"/>
  <c r="R245" i="26" s="1"/>
  <c r="AB245" i="26" s="1"/>
  <c r="CJ13" i="52"/>
  <c r="H82" i="52"/>
  <c r="P82" i="52"/>
  <c r="H81" i="52"/>
  <c r="P81" i="52"/>
  <c r="H152" i="13"/>
  <c r="X140" i="43" s="1"/>
  <c r="R71" i="13"/>
  <c r="T102" i="10"/>
  <c r="AM102" i="10"/>
  <c r="AM103" i="10" s="1"/>
  <c r="AL104" i="10" s="1"/>
  <c r="R72" i="13"/>
  <c r="Q104" i="10"/>
  <c r="E83" i="52" s="1"/>
  <c r="R91" i="64" s="1" a="1"/>
  <c r="R91" i="64" s="1"/>
  <c r="N73" i="13"/>
  <c r="G73" i="13" s="1"/>
  <c r="AJ104" i="10"/>
  <c r="AJ105" i="10" s="1"/>
  <c r="A35" i="18"/>
  <c r="D35" i="18" s="1"/>
  <c r="B37" i="55" s="1"/>
  <c r="N34" i="18"/>
  <c r="K37" i="8"/>
  <c r="P127" i="7" s="1"/>
  <c r="AJ402" i="8"/>
  <c r="AJ403" i="8" s="1"/>
  <c r="AJ404" i="8" s="1"/>
  <c r="AJ405" i="8" s="1"/>
  <c r="AJ406" i="8" s="1"/>
  <c r="Y75" i="8"/>
  <c r="D75" i="8"/>
  <c r="K75" i="8" s="1"/>
  <c r="K48" i="7" s="1"/>
  <c r="I47" i="10" s="1"/>
  <c r="U140" i="43"/>
  <c r="H75" i="8"/>
  <c r="M75" i="8" s="1"/>
  <c r="M48" i="7" s="1"/>
  <c r="K47" i="10" s="1"/>
  <c r="AA75" i="8"/>
  <c r="B75" i="8"/>
  <c r="J75" i="8" s="1"/>
  <c r="J48" i="7" s="1"/>
  <c r="AF47" i="10" s="1"/>
  <c r="X75" i="8"/>
  <c r="F75" i="8"/>
  <c r="L75" i="8" s="1"/>
  <c r="L48" i="7" s="1"/>
  <c r="J47" i="10" s="1"/>
  <c r="Z75" i="8"/>
  <c r="X214" i="34"/>
  <c r="AF214" i="34"/>
  <c r="AK214" i="34" s="1"/>
  <c r="AF430" i="31"/>
  <c r="AK430" i="31" s="1"/>
  <c r="X430" i="31"/>
  <c r="R33" i="18"/>
  <c r="O50" i="13"/>
  <c r="P39" i="13"/>
  <c r="C34" i="18"/>
  <c r="BK25" i="52" l="1"/>
  <c r="AT25" i="52"/>
  <c r="T19" i="10"/>
  <c r="Y17" i="10" s="1"/>
  <c r="AB17" i="10" s="1"/>
  <c r="AB91" i="64"/>
  <c r="F36" i="55"/>
  <c r="E36" i="55"/>
  <c r="P36" i="55"/>
  <c r="J36" i="55"/>
  <c r="V77" i="8" a="1"/>
  <c r="V77" i="8" s="1"/>
  <c r="I77" i="8" s="1"/>
  <c r="T77" i="8" a="1"/>
  <c r="T77" i="8" s="1"/>
  <c r="G77" i="8" s="1"/>
  <c r="O77" i="8" a="1"/>
  <c r="O77" i="8" s="1"/>
  <c r="S77" i="8" a="1"/>
  <c r="S77" i="8" s="1"/>
  <c r="U77" i="8" a="1"/>
  <c r="U77" i="8" s="1"/>
  <c r="P77" i="8" a="1"/>
  <c r="P77" i="8" s="1"/>
  <c r="C77" i="8" s="1"/>
  <c r="Q77" i="8" a="1"/>
  <c r="Q77" i="8" s="1"/>
  <c r="R77" i="8" a="1"/>
  <c r="R77" i="8" s="1"/>
  <c r="E77" i="8" s="1"/>
  <c r="AF245" i="26"/>
  <c r="AJ245" i="26" s="1"/>
  <c r="AF242" i="26"/>
  <c r="AJ242" i="26" s="1"/>
  <c r="E35" i="18"/>
  <c r="O82" i="52"/>
  <c r="R82" i="52"/>
  <c r="Q82" i="52"/>
  <c r="O23" i="52"/>
  <c r="BD13" i="52" s="1"/>
  <c r="R252" i="26" s="1" a="1"/>
  <c r="R252" i="26" s="1"/>
  <c r="AB252" i="26" s="1"/>
  <c r="AF252" i="26" s="1"/>
  <c r="AJ252" i="26" s="1"/>
  <c r="Q23" i="52"/>
  <c r="BF13" i="52" s="1"/>
  <c r="R254" i="26" s="1" a="1"/>
  <c r="R254" i="26" s="1"/>
  <c r="AB254" i="26" s="1"/>
  <c r="AF254" i="26" s="1"/>
  <c r="AJ254" i="26" s="1"/>
  <c r="R23" i="52"/>
  <c r="BG13" i="52" s="1"/>
  <c r="R255" i="26" s="1" a="1"/>
  <c r="R255" i="26" s="1"/>
  <c r="AB255" i="26" s="1"/>
  <c r="AF255" i="26" s="1"/>
  <c r="AJ255" i="26" s="1"/>
  <c r="O81" i="52"/>
  <c r="R81" i="52"/>
  <c r="Q81" i="52"/>
  <c r="L23" i="52"/>
  <c r="BA13" i="52" s="1"/>
  <c r="R249" i="26" s="1" a="1"/>
  <c r="R249" i="26" s="1"/>
  <c r="AB249" i="26" s="1"/>
  <c r="AF249" i="26" s="1"/>
  <c r="AJ249" i="26" s="1"/>
  <c r="N23" i="52"/>
  <c r="BC13" i="52" s="1"/>
  <c r="R251" i="26" s="1" a="1"/>
  <c r="R251" i="26" s="1"/>
  <c r="AB251" i="26" s="1"/>
  <c r="AF251" i="26" s="1"/>
  <c r="AJ251" i="26" s="1"/>
  <c r="K23" i="52"/>
  <c r="AZ13" i="52" s="1"/>
  <c r="R248" i="26" s="1" a="1"/>
  <c r="R248" i="26" s="1"/>
  <c r="AB248" i="26" s="1"/>
  <c r="M23" i="52"/>
  <c r="BB13" i="52" s="1"/>
  <c r="R250" i="26" s="1" a="1"/>
  <c r="R250" i="26" s="1"/>
  <c r="AB250" i="26" s="1"/>
  <c r="AF250" i="26" s="1"/>
  <c r="AJ250" i="26" s="1"/>
  <c r="J23" i="52"/>
  <c r="AY13" i="52" s="1"/>
  <c r="R247" i="26" s="1" a="1"/>
  <c r="R247" i="26" s="1"/>
  <c r="AB247" i="26" s="1"/>
  <c r="N81" i="52"/>
  <c r="K81" i="52"/>
  <c r="M81" i="52"/>
  <c r="J81" i="52"/>
  <c r="L81" i="52"/>
  <c r="L82" i="52"/>
  <c r="N82" i="52"/>
  <c r="K82" i="52"/>
  <c r="M82" i="52"/>
  <c r="J82" i="52"/>
  <c r="H83" i="52"/>
  <c r="R94" i="64" s="1" a="1"/>
  <c r="R94" i="64" s="1"/>
  <c r="AB94" i="64" s="1"/>
  <c r="AF94" i="64" s="1"/>
  <c r="AJ94" i="64" s="1"/>
  <c r="P83" i="52"/>
  <c r="R102" i="64" s="1" a="1"/>
  <c r="R102" i="64" s="1"/>
  <c r="AB102" i="64" s="1"/>
  <c r="AF102" i="64" s="1"/>
  <c r="AJ102" i="64" s="1"/>
  <c r="AF140" i="43"/>
  <c r="AK140" i="43" s="1"/>
  <c r="R73" i="13"/>
  <c r="T104" i="10"/>
  <c r="Y102" i="10" s="1"/>
  <c r="AB102" i="10" s="1"/>
  <c r="AM104" i="10"/>
  <c r="U127" i="7"/>
  <c r="U128" i="7" s="1"/>
  <c r="U129" i="7" s="1"/>
  <c r="CE16" i="52" s="1"/>
  <c r="N126" i="10"/>
  <c r="W102" i="10"/>
  <c r="AA102" i="10" s="1"/>
  <c r="S45" i="10"/>
  <c r="R47" i="10"/>
  <c r="O152" i="13"/>
  <c r="R140" i="43"/>
  <c r="D76" i="8"/>
  <c r="K76" i="8" s="1"/>
  <c r="K46" i="7" s="1"/>
  <c r="I45" i="10" s="1"/>
  <c r="R45" i="10" s="1"/>
  <c r="Y76" i="8"/>
  <c r="B76" i="8"/>
  <c r="J76" i="8" s="1"/>
  <c r="J46" i="7" s="1"/>
  <c r="AF45" i="10" s="1"/>
  <c r="X76" i="8"/>
  <c r="AJ407" i="8"/>
  <c r="AJ408" i="8" s="1"/>
  <c r="AJ409" i="8" s="1"/>
  <c r="AJ410" i="8" s="1"/>
  <c r="AJ411" i="8" s="1"/>
  <c r="Z76" i="8"/>
  <c r="F76" i="8"/>
  <c r="L76" i="8" s="1"/>
  <c r="L46" i="7" s="1"/>
  <c r="J45" i="10" s="1"/>
  <c r="AA76" i="8"/>
  <c r="H76" i="8"/>
  <c r="M76" i="8" s="1"/>
  <c r="M46" i="7" s="1"/>
  <c r="K45" i="10" s="1"/>
  <c r="AF267" i="34"/>
  <c r="AK267" i="34" s="1"/>
  <c r="X267" i="34"/>
  <c r="AF483" i="31"/>
  <c r="AK483" i="31" s="1"/>
  <c r="X483" i="31"/>
  <c r="K34" i="18"/>
  <c r="D36" i="55" s="1"/>
  <c r="O52" i="13"/>
  <c r="P40" i="13"/>
  <c r="O51" i="13"/>
  <c r="B35" i="18"/>
  <c r="AW25" i="52" l="1"/>
  <c r="BE25" i="52"/>
  <c r="AG45" i="10"/>
  <c r="AG46" i="10" s="1"/>
  <c r="AG47" i="10" s="1"/>
  <c r="AG48" i="10" s="1"/>
  <c r="AG49" i="10" s="1"/>
  <c r="AG50" i="10" s="1"/>
  <c r="AI45" i="10" s="1"/>
  <c r="AF91" i="64"/>
  <c r="AJ91" i="64" s="1"/>
  <c r="G36" i="55"/>
  <c r="H36" i="55" s="1"/>
  <c r="I36" i="55" s="1"/>
  <c r="A37" i="55"/>
  <c r="M35" i="18"/>
  <c r="C37" i="55"/>
  <c r="O35" i="18"/>
  <c r="N36" i="55"/>
  <c r="L36" i="55"/>
  <c r="M36" i="55"/>
  <c r="K36" i="55"/>
  <c r="R36" i="55"/>
  <c r="U36" i="55"/>
  <c r="S36" i="55"/>
  <c r="T36" i="55"/>
  <c r="Q36" i="55"/>
  <c r="L35" i="18"/>
  <c r="O78" i="8" a="1"/>
  <c r="O78" i="8" s="1"/>
  <c r="S78" i="8" a="1"/>
  <c r="S78" i="8" s="1"/>
  <c r="Q78" i="8" a="1"/>
  <c r="Q78" i="8" s="1"/>
  <c r="R78" i="8" a="1"/>
  <c r="R78" i="8" s="1"/>
  <c r="E78" i="8" s="1"/>
  <c r="P78" i="8" a="1"/>
  <c r="P78" i="8" s="1"/>
  <c r="C78" i="8" s="1"/>
  <c r="U78" i="8" a="1"/>
  <c r="U78" i="8" s="1"/>
  <c r="V78" i="8" a="1"/>
  <c r="V78" i="8" s="1"/>
  <c r="I78" i="8" s="1"/>
  <c r="T78" i="8" a="1"/>
  <c r="T78" i="8" s="1"/>
  <c r="G78" i="8" s="1"/>
  <c r="AB279" i="26"/>
  <c r="AC19" i="26" s="1"/>
  <c r="AF248" i="26"/>
  <c r="AJ248" i="26" s="1"/>
  <c r="AF247" i="26"/>
  <c r="T41" i="52"/>
  <c r="BI12" i="52" s="1"/>
  <c r="R577" i="31" s="1" a="1"/>
  <c r="R577" i="31" s="1"/>
  <c r="AB577" i="31" s="1"/>
  <c r="AF577" i="31" s="1"/>
  <c r="AJ577" i="31" s="1"/>
  <c r="W219" i="70"/>
  <c r="S41" i="52"/>
  <c r="W217" i="70"/>
  <c r="O83" i="52"/>
  <c r="BD25" i="52" s="1"/>
  <c r="R83" i="52"/>
  <c r="R104" i="64" s="1" a="1"/>
  <c r="R104" i="64" s="1"/>
  <c r="AB104" i="64" s="1"/>
  <c r="AF104" i="64" s="1"/>
  <c r="AJ104" i="64" s="1"/>
  <c r="Q83" i="52"/>
  <c r="R103" i="64" s="1" a="1"/>
  <c r="R103" i="64" s="1"/>
  <c r="AB103" i="64" s="1"/>
  <c r="AF103" i="64" s="1"/>
  <c r="AJ103" i="64" s="1"/>
  <c r="L83" i="52"/>
  <c r="R98" i="64" s="1" a="1"/>
  <c r="R98" i="64" s="1"/>
  <c r="AB98" i="64" s="1"/>
  <c r="AF98" i="64" s="1"/>
  <c r="AJ98" i="64" s="1"/>
  <c r="N83" i="52"/>
  <c r="R100" i="64" s="1" a="1"/>
  <c r="R100" i="64" s="1"/>
  <c r="AB100" i="64" s="1"/>
  <c r="AF100" i="64" s="1"/>
  <c r="AJ100" i="64" s="1"/>
  <c r="K83" i="52"/>
  <c r="R97" i="64" s="1" a="1"/>
  <c r="R97" i="64" s="1"/>
  <c r="AB97" i="64" s="1"/>
  <c r="AF97" i="64" s="1"/>
  <c r="AJ97" i="64" s="1"/>
  <c r="M83" i="52"/>
  <c r="R99" i="64" s="1" a="1"/>
  <c r="R99" i="64" s="1"/>
  <c r="AB99" i="64" s="1"/>
  <c r="AF99" i="64" s="1"/>
  <c r="AJ99" i="64" s="1"/>
  <c r="J83" i="52"/>
  <c r="R96" i="64" s="1" a="1"/>
  <c r="R96" i="64" s="1"/>
  <c r="AB96" i="64" s="1"/>
  <c r="AF96" i="64" s="1"/>
  <c r="AJ96" i="64" s="1"/>
  <c r="S33" i="13"/>
  <c r="S43" i="52"/>
  <c r="T31" i="13"/>
  <c r="V126" i="10"/>
  <c r="R126" i="10"/>
  <c r="AN127" i="10" s="1"/>
  <c r="S31" i="13"/>
  <c r="AN50" i="10"/>
  <c r="A36" i="18"/>
  <c r="D36" i="18" s="1"/>
  <c r="B38" i="55" s="1"/>
  <c r="N35" i="18"/>
  <c r="H77" i="8"/>
  <c r="M77" i="8" s="1"/>
  <c r="M26" i="7" s="1"/>
  <c r="K25" i="10" s="1"/>
  <c r="AA77" i="8"/>
  <c r="B77" i="8"/>
  <c r="J77" i="8" s="1"/>
  <c r="J26" i="7" s="1"/>
  <c r="AF25" i="10" s="1"/>
  <c r="X77" i="8"/>
  <c r="AJ412" i="8"/>
  <c r="AJ413" i="8" s="1"/>
  <c r="AJ414" i="8" s="1"/>
  <c r="AJ415" i="8" s="1"/>
  <c r="AJ416" i="8" s="1"/>
  <c r="D77" i="8"/>
  <c r="K77" i="8" s="1"/>
  <c r="K26" i="7" s="1"/>
  <c r="I25" i="10" s="1"/>
  <c r="Y77" i="8"/>
  <c r="F77" i="8"/>
  <c r="L77" i="8" s="1"/>
  <c r="L26" i="7" s="1"/>
  <c r="J25" i="10" s="1"/>
  <c r="Z77" i="8"/>
  <c r="X374" i="34"/>
  <c r="AF374" i="34"/>
  <c r="AK374" i="34" s="1"/>
  <c r="X536" i="31"/>
  <c r="AF536" i="31"/>
  <c r="AK536" i="31" s="1"/>
  <c r="R34" i="18"/>
  <c r="P41" i="13"/>
  <c r="O53" i="13"/>
  <c r="C35" i="18"/>
  <c r="BG25" i="52" l="1"/>
  <c r="AZ25" i="52"/>
  <c r="BB25" i="52"/>
  <c r="BA25" i="52"/>
  <c r="BF25" i="52"/>
  <c r="AY25" i="52"/>
  <c r="BC25" i="52"/>
  <c r="AI50" i="10"/>
  <c r="AK50" i="10" s="1"/>
  <c r="AI49" i="10"/>
  <c r="AI48" i="10"/>
  <c r="AI46" i="10"/>
  <c r="AK46" i="10" s="1"/>
  <c r="H46" i="10" s="1"/>
  <c r="AI47" i="10"/>
  <c r="AK47" i="10" s="1"/>
  <c r="H47" i="10" s="1"/>
  <c r="R258" i="40" a="1"/>
  <c r="R258" i="40" s="1"/>
  <c r="AB258" i="40" s="1"/>
  <c r="AF258" i="40" s="1"/>
  <c r="AJ258" i="40" s="1"/>
  <c r="R101" i="64" a="1"/>
  <c r="R101" i="64" s="1"/>
  <c r="AB101" i="64" s="1"/>
  <c r="AF101" i="64" s="1"/>
  <c r="AJ101" i="64" s="1"/>
  <c r="AF427" i="34"/>
  <c r="AK427" i="34" s="1"/>
  <c r="X427" i="34"/>
  <c r="E37" i="55"/>
  <c r="F37" i="55"/>
  <c r="P37" i="55"/>
  <c r="J37" i="55"/>
  <c r="Q79" i="8" a="1"/>
  <c r="Q79" i="8" s="1"/>
  <c r="R79" i="8" a="1"/>
  <c r="R79" i="8" s="1"/>
  <c r="E79" i="8" s="1"/>
  <c r="S79" i="8" a="1"/>
  <c r="S79" i="8" s="1"/>
  <c r="V79" i="8" a="1"/>
  <c r="V79" i="8" s="1"/>
  <c r="I79" i="8" s="1"/>
  <c r="U79" i="8" a="1"/>
  <c r="U79" i="8" s="1"/>
  <c r="T79" i="8" a="1"/>
  <c r="T79" i="8" s="1"/>
  <c r="G79" i="8" s="1"/>
  <c r="P79" i="8" a="1"/>
  <c r="P79" i="8" s="1"/>
  <c r="C79" i="8" s="1"/>
  <c r="O79" i="8" a="1"/>
  <c r="O79" i="8" s="1"/>
  <c r="V41" i="52"/>
  <c r="BK12" i="52" s="1"/>
  <c r="R579" i="31" s="1" a="1"/>
  <c r="R579" i="31" s="1"/>
  <c r="AB579" i="31" s="1"/>
  <c r="AF579" i="31" s="1"/>
  <c r="AJ579" i="31" s="1"/>
  <c r="U41" i="52"/>
  <c r="BJ12" i="52" s="1"/>
  <c r="R578" i="31" s="1" a="1"/>
  <c r="R578" i="31" s="1"/>
  <c r="AB578" i="31" s="1"/>
  <c r="AF578" i="31" s="1"/>
  <c r="AJ578" i="31" s="1"/>
  <c r="AF279" i="26"/>
  <c r="AC20" i="26" s="1"/>
  <c r="AJ247" i="26"/>
  <c r="AJ279" i="26" s="1"/>
  <c r="AC21" i="26" s="1"/>
  <c r="W215" i="70"/>
  <c r="BH12" i="52"/>
  <c r="R576" i="31" s="1" a="1"/>
  <c r="R576" i="31" s="1"/>
  <c r="AB576" i="31" s="1"/>
  <c r="S99" i="52"/>
  <c r="BH16" i="52" s="1"/>
  <c r="W161" i="70"/>
  <c r="W216" i="70"/>
  <c r="E36" i="18"/>
  <c r="AJ45" i="10"/>
  <c r="AK45" i="10"/>
  <c r="H45" i="10" s="1"/>
  <c r="S89" i="13"/>
  <c r="W126" i="10"/>
  <c r="AA126" i="10" s="1"/>
  <c r="S24" i="10"/>
  <c r="R25" i="10"/>
  <c r="F78" i="8"/>
  <c r="L78" i="8" s="1"/>
  <c r="L140" i="7" s="1"/>
  <c r="J139" i="10" s="1"/>
  <c r="Z78" i="8"/>
  <c r="AJ417" i="8"/>
  <c r="AJ418" i="8" s="1"/>
  <c r="AJ419" i="8" s="1"/>
  <c r="AJ420" i="8" s="1"/>
  <c r="AJ421" i="8" s="1"/>
  <c r="Y78" i="8"/>
  <c r="D78" i="8"/>
  <c r="K78" i="8" s="1"/>
  <c r="K140" i="7" s="1"/>
  <c r="I139" i="10" s="1"/>
  <c r="S140" i="10" s="1"/>
  <c r="H78" i="8"/>
  <c r="M78" i="8" s="1"/>
  <c r="M140" i="7" s="1"/>
  <c r="K139" i="10" s="1"/>
  <c r="AA78" i="8"/>
  <c r="X78" i="8"/>
  <c r="B78" i="8"/>
  <c r="J78" i="8" s="1"/>
  <c r="J140" i="7" s="1"/>
  <c r="AF139" i="10" s="1"/>
  <c r="AF65" i="32"/>
  <c r="AK65" i="32" s="1"/>
  <c r="X65" i="32"/>
  <c r="K35" i="18"/>
  <c r="D37" i="55" s="1"/>
  <c r="O54" i="13"/>
  <c r="P42" i="13"/>
  <c r="B36" i="18"/>
  <c r="AF480" i="34" l="1"/>
  <c r="AK480" i="34" s="1"/>
  <c r="X480" i="34"/>
  <c r="G37" i="55"/>
  <c r="H37" i="55" s="1"/>
  <c r="I37" i="55" s="1"/>
  <c r="C38" i="55"/>
  <c r="O36" i="18"/>
  <c r="A38" i="55"/>
  <c r="M36" i="18"/>
  <c r="M37" i="55"/>
  <c r="N37" i="55"/>
  <c r="K37" i="55"/>
  <c r="L37" i="55"/>
  <c r="R37" i="55"/>
  <c r="T37" i="55"/>
  <c r="U37" i="55"/>
  <c r="S37" i="55"/>
  <c r="Q37" i="55"/>
  <c r="L36" i="18"/>
  <c r="U80" i="8" a="1"/>
  <c r="U80" i="8" s="1"/>
  <c r="V80" i="8" a="1"/>
  <c r="V80" i="8" s="1"/>
  <c r="I80" i="8" s="1"/>
  <c r="P80" i="8" a="1"/>
  <c r="P80" i="8" s="1"/>
  <c r="C80" i="8" s="1"/>
  <c r="S80" i="8" a="1"/>
  <c r="S80" i="8" s="1"/>
  <c r="O80" i="8" a="1"/>
  <c r="O80" i="8" s="1"/>
  <c r="R80" i="8" a="1"/>
  <c r="R80" i="8" s="1"/>
  <c r="E80" i="8" s="1"/>
  <c r="I154" i="13" s="1"/>
  <c r="T80" i="8" a="1"/>
  <c r="T80" i="8" s="1"/>
  <c r="G80" i="8" s="1"/>
  <c r="Q80" i="8" a="1"/>
  <c r="Q80" i="8" s="1"/>
  <c r="CF12" i="52"/>
  <c r="AF576" i="31"/>
  <c r="AJ576" i="31" s="1"/>
  <c r="T27" i="52"/>
  <c r="BI19" i="52" s="1"/>
  <c r="R153" i="27" s="1" a="1"/>
  <c r="R153" i="27" s="1"/>
  <c r="AB153" i="27" s="1"/>
  <c r="AF153" i="27" s="1"/>
  <c r="AJ153" i="27" s="1"/>
  <c r="W169" i="70"/>
  <c r="W156" i="70"/>
  <c r="W155" i="70"/>
  <c r="T107" i="52"/>
  <c r="BI22" i="52" s="1"/>
  <c r="W213" i="70"/>
  <c r="S18" i="13"/>
  <c r="S28" i="52"/>
  <c r="T17" i="13"/>
  <c r="T97" i="13"/>
  <c r="N33" i="13"/>
  <c r="G33" i="13" s="1"/>
  <c r="Q47" i="10"/>
  <c r="AL47" i="10"/>
  <c r="T47" i="10" s="1"/>
  <c r="N32" i="13"/>
  <c r="G32" i="13" s="1"/>
  <c r="AL46" i="10"/>
  <c r="T46" i="10" s="1"/>
  <c r="Q46" i="10"/>
  <c r="N31" i="13"/>
  <c r="G31" i="13" s="1"/>
  <c r="AL45" i="10"/>
  <c r="Q45" i="10"/>
  <c r="E41" i="52" s="1"/>
  <c r="AG139" i="10"/>
  <c r="AG140" i="10" s="1"/>
  <c r="AG141" i="10" s="1"/>
  <c r="AI139" i="10" s="1"/>
  <c r="AJ46" i="10"/>
  <c r="AJ47" i="10" s="1"/>
  <c r="AK48" i="10" s="1"/>
  <c r="H48" i="10" s="1"/>
  <c r="A37" i="18"/>
  <c r="D37" i="18" s="1"/>
  <c r="B39" i="55" s="1"/>
  <c r="R736" i="41" a="1"/>
  <c r="R736" i="41" s="1"/>
  <c r="AB736" i="41" s="1"/>
  <c r="AF736" i="41" s="1"/>
  <c r="AJ736" i="41" s="1"/>
  <c r="R735" i="41" a="1"/>
  <c r="R735" i="41" s="1"/>
  <c r="AB735" i="41" s="1"/>
  <c r="AF735" i="41" s="1"/>
  <c r="AJ735" i="41" s="1"/>
  <c r="D79" i="8"/>
  <c r="K79" i="8" s="1"/>
  <c r="K98" i="7" s="1"/>
  <c r="I97" i="10" s="1"/>
  <c r="S96" i="10" s="1"/>
  <c r="Y79" i="8"/>
  <c r="Z79" i="8"/>
  <c r="F79" i="8"/>
  <c r="L79" i="8" s="1"/>
  <c r="L98" i="7" s="1"/>
  <c r="J97" i="10" s="1"/>
  <c r="B79" i="8"/>
  <c r="J79" i="8" s="1"/>
  <c r="J98" i="7" s="1"/>
  <c r="AF97" i="10" s="1"/>
  <c r="X79" i="8"/>
  <c r="AA79" i="8"/>
  <c r="H79" i="8"/>
  <c r="M79" i="8" s="1"/>
  <c r="M98" i="7" s="1"/>
  <c r="K97" i="10" s="1"/>
  <c r="AJ422" i="8"/>
  <c r="AJ423" i="8" s="1"/>
  <c r="AJ424" i="8" s="1"/>
  <c r="AJ425" i="8" s="1"/>
  <c r="AJ426" i="8" s="1"/>
  <c r="AF111" i="32"/>
  <c r="AK111" i="32" s="1"/>
  <c r="X111" i="32"/>
  <c r="R35" i="18"/>
  <c r="O55" i="13"/>
  <c r="P43" i="13"/>
  <c r="C36" i="18"/>
  <c r="AF533" i="34" l="1"/>
  <c r="AK533" i="34" s="1"/>
  <c r="X533" i="34"/>
  <c r="F38" i="55"/>
  <c r="P38" i="55"/>
  <c r="J38" i="55"/>
  <c r="O38" i="55"/>
  <c r="Q66" i="8" a="1"/>
  <c r="Q66" i="8" s="1"/>
  <c r="U66" i="8" a="1"/>
  <c r="U66" i="8" s="1"/>
  <c r="O66" i="8" a="1"/>
  <c r="O66" i="8" s="1"/>
  <c r="R66" i="8" a="1"/>
  <c r="R66" i="8" s="1"/>
  <c r="E66" i="8" s="1"/>
  <c r="I155" i="13" s="1"/>
  <c r="S66" i="8" a="1"/>
  <c r="S66" i="8" s="1"/>
  <c r="V66" i="8" a="1"/>
  <c r="V66" i="8" s="1"/>
  <c r="I66" i="8" s="1"/>
  <c r="T66" i="8" a="1"/>
  <c r="T66" i="8" s="1"/>
  <c r="G66" i="8" s="1"/>
  <c r="P66" i="8" a="1"/>
  <c r="P66" i="8" s="1"/>
  <c r="C66" i="8" s="1"/>
  <c r="V107" i="52"/>
  <c r="U27" i="52"/>
  <c r="BJ19" i="52" s="1"/>
  <c r="R154" i="27" s="1" a="1"/>
  <c r="R154" i="27" s="1"/>
  <c r="AB154" i="27" s="1"/>
  <c r="AF154" i="27" s="1"/>
  <c r="AJ154" i="27" s="1"/>
  <c r="V27" i="52"/>
  <c r="BK19" i="52" s="1"/>
  <c r="R155" i="27" s="1" a="1"/>
  <c r="R155" i="27" s="1"/>
  <c r="AB155" i="27" s="1"/>
  <c r="AF155" i="27" s="1"/>
  <c r="AJ155" i="27" s="1"/>
  <c r="U107" i="52"/>
  <c r="BJ22" i="52" s="1"/>
  <c r="T77" i="52"/>
  <c r="V77" i="52" s="1"/>
  <c r="W225" i="70"/>
  <c r="E37" i="18"/>
  <c r="R33" i="13"/>
  <c r="E43" i="52"/>
  <c r="P41" i="52"/>
  <c r="H41" i="52"/>
  <c r="R32" i="13"/>
  <c r="E42" i="52"/>
  <c r="AK139" i="10"/>
  <c r="H139" i="10" s="1"/>
  <c r="AJ139" i="10"/>
  <c r="AK140" i="10" s="1"/>
  <c r="H140" i="10" s="1"/>
  <c r="AJ48" i="10"/>
  <c r="AJ49" i="10" s="1"/>
  <c r="AJ50" i="10" s="1"/>
  <c r="Q48" i="10"/>
  <c r="N34" i="13"/>
  <c r="G34" i="13" s="1"/>
  <c r="AI141" i="10"/>
  <c r="AK141" i="10" s="1"/>
  <c r="AI140" i="10"/>
  <c r="V45" i="10"/>
  <c r="T67" i="13"/>
  <c r="R31" i="13"/>
  <c r="T45" i="10"/>
  <c r="AM45" i="10"/>
  <c r="AM46" i="10" s="1"/>
  <c r="AM47" i="10" s="1"/>
  <c r="AL48" i="10" s="1"/>
  <c r="B80" i="8"/>
  <c r="J80" i="8" s="1"/>
  <c r="O141" i="7" s="1"/>
  <c r="X80" i="8"/>
  <c r="AJ427" i="8"/>
  <c r="AJ428" i="8" s="1"/>
  <c r="AJ429" i="8" s="1"/>
  <c r="AJ430" i="8" s="1"/>
  <c r="AJ431" i="8" s="1"/>
  <c r="AA80" i="8"/>
  <c r="H80" i="8"/>
  <c r="M80" i="8" s="1"/>
  <c r="R141" i="7" s="1"/>
  <c r="P140" i="10" s="1"/>
  <c r="D80" i="8"/>
  <c r="Y80" i="8"/>
  <c r="F80" i="8"/>
  <c r="L80" i="8" s="1"/>
  <c r="Q141" i="7" s="1"/>
  <c r="O140" i="10" s="1"/>
  <c r="Z80" i="8"/>
  <c r="AF65" i="33"/>
  <c r="AK65" i="33" s="1"/>
  <c r="X65" i="33"/>
  <c r="K36" i="18"/>
  <c r="D38" i="55" s="1"/>
  <c r="P44" i="13"/>
  <c r="B37" i="18"/>
  <c r="L37" i="18" s="1"/>
  <c r="C39" i="55" l="1"/>
  <c r="O37" i="18"/>
  <c r="A39" i="55"/>
  <c r="M37" i="18"/>
  <c r="N38" i="55"/>
  <c r="M38" i="55"/>
  <c r="L38" i="55"/>
  <c r="K38" i="55"/>
  <c r="R38" i="55"/>
  <c r="T38" i="55"/>
  <c r="U38" i="55"/>
  <c r="S38" i="55"/>
  <c r="Q38" i="55"/>
  <c r="Q81" i="8" a="1"/>
  <c r="Q81" i="8" s="1"/>
  <c r="O81" i="8" a="1"/>
  <c r="O81" i="8" s="1"/>
  <c r="R81" i="8" a="1"/>
  <c r="R81" i="8" s="1"/>
  <c r="E81" i="8" s="1"/>
  <c r="T81" i="8" a="1"/>
  <c r="T81" i="8" s="1"/>
  <c r="G81" i="8" s="1"/>
  <c r="U81" i="8" a="1"/>
  <c r="U81" i="8" s="1"/>
  <c r="P81" i="8" a="1"/>
  <c r="P81" i="8" s="1"/>
  <c r="C81" i="8" s="1"/>
  <c r="V81" i="8" a="1"/>
  <c r="V81" i="8" s="1"/>
  <c r="I81" i="8" s="1"/>
  <c r="S81" i="8" a="1"/>
  <c r="S81" i="8" s="1"/>
  <c r="U77" i="52"/>
  <c r="O41" i="52"/>
  <c r="R41" i="52"/>
  <c r="Q41" i="52"/>
  <c r="M41" i="52"/>
  <c r="J41" i="52"/>
  <c r="L41" i="52"/>
  <c r="N41" i="52"/>
  <c r="K41" i="52"/>
  <c r="AJ140" i="10"/>
  <c r="AJ141" i="10" s="1"/>
  <c r="R34" i="13"/>
  <c r="E44" i="52"/>
  <c r="H42" i="52"/>
  <c r="P42" i="52"/>
  <c r="P43" i="52"/>
  <c r="H43" i="52"/>
  <c r="W45" i="10"/>
  <c r="AA45" i="10" s="1"/>
  <c r="H154" i="13"/>
  <c r="AF140" i="46" s="1"/>
  <c r="AK140" i="46" s="1"/>
  <c r="T48" i="10"/>
  <c r="Y45" i="10" s="1"/>
  <c r="AB45" i="10" s="1"/>
  <c r="AM48" i="10"/>
  <c r="AM49" i="10" s="1"/>
  <c r="Q140" i="10"/>
  <c r="E107" i="52" s="1"/>
  <c r="N97" i="13"/>
  <c r="G97" i="13" s="1"/>
  <c r="N96" i="13"/>
  <c r="G96" i="13" s="1"/>
  <c r="Q139" i="10"/>
  <c r="E106" i="52" s="1"/>
  <c r="AL139" i="10"/>
  <c r="A38" i="18"/>
  <c r="D38" i="18" s="1"/>
  <c r="B40" i="55" s="1"/>
  <c r="N37" i="18"/>
  <c r="E39" i="55" s="1"/>
  <c r="K80" i="8"/>
  <c r="D66" i="8"/>
  <c r="Y66" i="8"/>
  <c r="AJ432" i="8"/>
  <c r="AJ433" i="8" s="1"/>
  <c r="AJ434" i="8" s="1"/>
  <c r="AJ435" i="8" s="1"/>
  <c r="AJ436" i="8" s="1"/>
  <c r="F66" i="8"/>
  <c r="L66" i="8" s="1"/>
  <c r="Q148" i="7" s="1"/>
  <c r="O147" i="10" s="1"/>
  <c r="Z66" i="8"/>
  <c r="B66" i="8"/>
  <c r="J66" i="8" s="1"/>
  <c r="O148" i="7" s="1"/>
  <c r="X66" i="8"/>
  <c r="U140" i="46"/>
  <c r="H66" i="8"/>
  <c r="M66" i="8" s="1"/>
  <c r="R148" i="7" s="1"/>
  <c r="P147" i="10" s="1"/>
  <c r="AA66" i="8"/>
  <c r="AF161" i="33"/>
  <c r="AK161" i="33" s="1"/>
  <c r="X161" i="33"/>
  <c r="R36" i="18"/>
  <c r="O56" i="13"/>
  <c r="P45" i="13"/>
  <c r="C37" i="18"/>
  <c r="F39" i="55" l="1"/>
  <c r="G39" i="55" s="1"/>
  <c r="H39" i="55" s="1"/>
  <c r="I39" i="55" s="1"/>
  <c r="E38" i="18"/>
  <c r="P39" i="55"/>
  <c r="Q39" i="55" s="1"/>
  <c r="R39" i="55" s="1"/>
  <c r="D11" i="59" s="1"/>
  <c r="O39" i="55"/>
  <c r="J39" i="55"/>
  <c r="O82" i="8" a="1"/>
  <c r="O82" i="8" s="1"/>
  <c r="Q82" i="8" a="1"/>
  <c r="Q82" i="8" s="1"/>
  <c r="R82" i="8" a="1"/>
  <c r="R82" i="8" s="1"/>
  <c r="E82" i="8" s="1"/>
  <c r="U82" i="8" a="1"/>
  <c r="U82" i="8" s="1"/>
  <c r="S82" i="8" a="1"/>
  <c r="S82" i="8" s="1"/>
  <c r="V82" i="8" a="1"/>
  <c r="V82" i="8" s="1"/>
  <c r="I82" i="8" s="1"/>
  <c r="T82" i="8" a="1"/>
  <c r="T82" i="8" s="1"/>
  <c r="G82" i="8" s="1"/>
  <c r="P82" i="8" a="1"/>
  <c r="P82" i="8" s="1"/>
  <c r="C82" i="8" s="1"/>
  <c r="AT12" i="52"/>
  <c r="R562" i="31" s="1" a="1"/>
  <c r="R562" i="31" s="1"/>
  <c r="Q43" i="52"/>
  <c r="O43" i="52"/>
  <c r="R43" i="52"/>
  <c r="O42" i="52"/>
  <c r="Q42" i="52"/>
  <c r="R42" i="52"/>
  <c r="N42" i="52"/>
  <c r="K42" i="52"/>
  <c r="M42" i="52"/>
  <c r="J42" i="52"/>
  <c r="L42" i="52"/>
  <c r="N43" i="52"/>
  <c r="K43" i="52"/>
  <c r="M43" i="52"/>
  <c r="J43" i="52"/>
  <c r="L43" i="52"/>
  <c r="H44" i="52"/>
  <c r="P44" i="52"/>
  <c r="H106" i="52"/>
  <c r="P106" i="52"/>
  <c r="H107" i="52"/>
  <c r="P107" i="52"/>
  <c r="X140" i="46"/>
  <c r="R97" i="13"/>
  <c r="H155" i="13"/>
  <c r="AF86" i="47" s="1"/>
  <c r="AK86" i="47" s="1"/>
  <c r="O154" i="13"/>
  <c r="R140" i="46"/>
  <c r="T139" i="10"/>
  <c r="AM139" i="10"/>
  <c r="AL140" i="10" s="1"/>
  <c r="R96" i="13"/>
  <c r="P141" i="7"/>
  <c r="N140" i="10" s="1"/>
  <c r="R140" i="10" s="1"/>
  <c r="W211" i="70" s="1"/>
  <c r="X81" i="8"/>
  <c r="B81" i="8"/>
  <c r="J81" i="8" s="1"/>
  <c r="J100" i="7" s="1"/>
  <c r="AF99" i="10" s="1"/>
  <c r="Y81" i="8"/>
  <c r="D81" i="8"/>
  <c r="K81" i="8" s="1"/>
  <c r="K100" i="7" s="1"/>
  <c r="I99" i="10" s="1"/>
  <c r="R99" i="10" s="1"/>
  <c r="H81" i="8"/>
  <c r="M81" i="8" s="1"/>
  <c r="M100" i="7" s="1"/>
  <c r="K99" i="10" s="1"/>
  <c r="AA81" i="8"/>
  <c r="AJ437" i="8"/>
  <c r="AJ438" i="8" s="1"/>
  <c r="AJ439" i="8" s="1"/>
  <c r="AJ440" i="8" s="1"/>
  <c r="AJ441" i="8" s="1"/>
  <c r="F81" i="8"/>
  <c r="L81" i="8" s="1"/>
  <c r="L100" i="7" s="1"/>
  <c r="J99" i="10" s="1"/>
  <c r="Z81" i="8"/>
  <c r="K66" i="8"/>
  <c r="U86" i="47"/>
  <c r="X62" i="35"/>
  <c r="AF62" i="35"/>
  <c r="AK62" i="35" s="1"/>
  <c r="X214" i="33"/>
  <c r="AF214" i="33"/>
  <c r="AK214" i="33" s="1"/>
  <c r="K37" i="18"/>
  <c r="D39" i="55" s="1"/>
  <c r="O57" i="13"/>
  <c r="P46" i="13"/>
  <c r="B38" i="18"/>
  <c r="A40" i="55" l="1"/>
  <c r="L38" i="18"/>
  <c r="M38" i="18"/>
  <c r="N39" i="55"/>
  <c r="M39" i="55"/>
  <c r="L39" i="55"/>
  <c r="K39" i="55"/>
  <c r="C40" i="55"/>
  <c r="O38" i="18"/>
  <c r="U83" i="8" a="1"/>
  <c r="U83" i="8" s="1"/>
  <c r="V83" i="8" a="1"/>
  <c r="V83" i="8" s="1"/>
  <c r="I83" i="8" s="1"/>
  <c r="S83" i="8" a="1"/>
  <c r="S83" i="8" s="1"/>
  <c r="P83" i="8" a="1"/>
  <c r="P83" i="8" s="1"/>
  <c r="C83" i="8" s="1"/>
  <c r="O83" i="8" a="1"/>
  <c r="O83" i="8" s="1"/>
  <c r="T83" i="8" a="1"/>
  <c r="T83" i="8" s="1"/>
  <c r="G83" i="8" s="1"/>
  <c r="R83" i="8" a="1"/>
  <c r="R83" i="8" s="1"/>
  <c r="E83" i="8" s="1"/>
  <c r="Q83" i="8" a="1"/>
  <c r="Q83" i="8" s="1"/>
  <c r="AC24" i="31"/>
  <c r="AB562" i="31"/>
  <c r="S79" i="52"/>
  <c r="AW12" i="52"/>
  <c r="R565" i="31" s="1" a="1"/>
  <c r="R565" i="31" s="1"/>
  <c r="AB565" i="31" s="1"/>
  <c r="AF565" i="31" s="1"/>
  <c r="AJ565" i="31" s="1"/>
  <c r="BE12" i="52"/>
  <c r="R573" i="31" s="1" a="1"/>
  <c r="R573" i="31" s="1"/>
  <c r="AB573" i="31" s="1"/>
  <c r="O106" i="52"/>
  <c r="R106" i="52"/>
  <c r="Q106" i="52"/>
  <c r="O107" i="52"/>
  <c r="R107" i="52"/>
  <c r="Q107" i="52"/>
  <c r="R44" i="52"/>
  <c r="BG12" i="52" s="1"/>
  <c r="R575" i="31" s="1" a="1"/>
  <c r="R575" i="31" s="1"/>
  <c r="AB575" i="31" s="1"/>
  <c r="AF575" i="31" s="1"/>
  <c r="AJ575" i="31" s="1"/>
  <c r="Q44" i="52"/>
  <c r="O44" i="52"/>
  <c r="BD12" i="52" s="1"/>
  <c r="R572" i="31" s="1" a="1"/>
  <c r="R572" i="31" s="1"/>
  <c r="AB572" i="31" s="1"/>
  <c r="AF572" i="31" s="1"/>
  <c r="AJ572" i="31" s="1"/>
  <c r="L106" i="52"/>
  <c r="N106" i="52"/>
  <c r="K106" i="52"/>
  <c r="M106" i="52"/>
  <c r="J106" i="52"/>
  <c r="N44" i="52"/>
  <c r="K44" i="52"/>
  <c r="AZ12" i="52" s="1"/>
  <c r="R568" i="31" s="1" a="1"/>
  <c r="R568" i="31" s="1"/>
  <c r="AB568" i="31" s="1"/>
  <c r="M44" i="52"/>
  <c r="J44" i="52"/>
  <c r="AY12" i="52" s="1"/>
  <c r="R567" i="31" s="1" a="1"/>
  <c r="R567" i="31" s="1"/>
  <c r="AB567" i="31" s="1"/>
  <c r="AF567" i="31" s="1"/>
  <c r="AJ567" i="31" s="1"/>
  <c r="L44" i="52"/>
  <c r="L107" i="52"/>
  <c r="N107" i="52"/>
  <c r="K107" i="52"/>
  <c r="M107" i="52"/>
  <c r="J107" i="52"/>
  <c r="S97" i="13"/>
  <c r="S107" i="52"/>
  <c r="X86" i="47"/>
  <c r="T140" i="10"/>
  <c r="Y139" i="10" s="1"/>
  <c r="AB139" i="10" s="1"/>
  <c r="AM140" i="10"/>
  <c r="S69" i="13"/>
  <c r="O155" i="13"/>
  <c r="AG99" i="10"/>
  <c r="R86" i="47"/>
  <c r="A39" i="18"/>
  <c r="D39" i="18" s="1"/>
  <c r="B41" i="55" s="1"/>
  <c r="AJ442" i="8"/>
  <c r="AJ443" i="8" s="1"/>
  <c r="AJ444" i="8" s="1"/>
  <c r="AJ445" i="8" s="1"/>
  <c r="AJ446" i="8" s="1"/>
  <c r="H82" i="8"/>
  <c r="M82" i="8" s="1"/>
  <c r="M38" i="7" s="1"/>
  <c r="K37" i="10" s="1"/>
  <c r="AA82" i="8"/>
  <c r="B82" i="8"/>
  <c r="J82" i="8" s="1"/>
  <c r="J38" i="7" s="1"/>
  <c r="AF37" i="10" s="1"/>
  <c r="X82" i="8"/>
  <c r="F82" i="8"/>
  <c r="L82" i="8" s="1"/>
  <c r="L38" i="7" s="1"/>
  <c r="J37" i="10" s="1"/>
  <c r="Z82" i="8"/>
  <c r="D82" i="8"/>
  <c r="K82" i="8" s="1"/>
  <c r="K38" i="7" s="1"/>
  <c r="I37" i="10" s="1"/>
  <c r="R37" i="10" s="1"/>
  <c r="Y82" i="8"/>
  <c r="P148" i="7"/>
  <c r="AF124" i="35"/>
  <c r="AK124" i="35" s="1"/>
  <c r="X124" i="35"/>
  <c r="X65" i="34"/>
  <c r="AF65" i="34"/>
  <c r="AK65" i="34" s="1"/>
  <c r="R37" i="18"/>
  <c r="O58" i="13"/>
  <c r="P47" i="13"/>
  <c r="C38" i="18"/>
  <c r="F40" i="55" l="1"/>
  <c r="P40" i="55"/>
  <c r="J40" i="55"/>
  <c r="O40" i="55"/>
  <c r="P84" i="8" a="1"/>
  <c r="P84" i="8" s="1"/>
  <c r="C84" i="8" s="1"/>
  <c r="T84" i="8" a="1"/>
  <c r="T84" i="8" s="1"/>
  <c r="G84" i="8" s="1"/>
  <c r="U84" i="8" a="1"/>
  <c r="U84" i="8" s="1"/>
  <c r="O84" i="8" a="1"/>
  <c r="O84" i="8" s="1"/>
  <c r="Q84" i="8" a="1"/>
  <c r="Q84" i="8" s="1"/>
  <c r="R84" i="8" a="1"/>
  <c r="R84" i="8" s="1"/>
  <c r="E84" i="8" s="1"/>
  <c r="I129" i="13" s="1"/>
  <c r="V84" i="8" a="1"/>
  <c r="V84" i="8" s="1"/>
  <c r="I84" i="8" s="1"/>
  <c r="S84" i="8" a="1"/>
  <c r="S84" i="8" s="1"/>
  <c r="AF573" i="31"/>
  <c r="AJ573" i="31" s="1"/>
  <c r="AF562" i="31"/>
  <c r="AJ562" i="31" s="1"/>
  <c r="AF568" i="31"/>
  <c r="AJ568" i="31" s="1"/>
  <c r="BC12" i="52"/>
  <c r="R571" i="31" s="1" a="1"/>
  <c r="R571" i="31" s="1"/>
  <c r="AB571" i="31" s="1"/>
  <c r="AF571" i="31" s="1"/>
  <c r="AJ571" i="31" s="1"/>
  <c r="E39" i="18"/>
  <c r="BB12" i="52"/>
  <c r="R570" i="31" s="1" a="1"/>
  <c r="R570" i="31" s="1"/>
  <c r="AB570" i="31" s="1"/>
  <c r="AF570" i="31" s="1"/>
  <c r="AJ570" i="31" s="1"/>
  <c r="BA12" i="52"/>
  <c r="R569" i="31" s="1" a="1"/>
  <c r="R569" i="31" s="1"/>
  <c r="AB569" i="31" s="1"/>
  <c r="AF569" i="31" s="1"/>
  <c r="AJ569" i="31" s="1"/>
  <c r="BF22" i="52"/>
  <c r="BF12" i="52"/>
  <c r="R574" i="31" s="1" a="1"/>
  <c r="R574" i="31" s="1"/>
  <c r="AB574" i="31" s="1"/>
  <c r="AF574" i="31" s="1"/>
  <c r="AJ574" i="31" s="1"/>
  <c r="BG22" i="52"/>
  <c r="S26" i="13"/>
  <c r="S36" i="52"/>
  <c r="U148" i="7"/>
  <c r="U149" i="7" s="1"/>
  <c r="N147" i="10"/>
  <c r="S147" i="10" s="1"/>
  <c r="H83" i="8"/>
  <c r="M83" i="8" s="1"/>
  <c r="M41" i="7" s="1"/>
  <c r="K40" i="10" s="1"/>
  <c r="AA83" i="8"/>
  <c r="AJ447" i="8"/>
  <c r="AJ448" i="8" s="1"/>
  <c r="AJ449" i="8" s="1"/>
  <c r="AJ450" i="8" s="1"/>
  <c r="AJ451" i="8" s="1"/>
  <c r="F83" i="8"/>
  <c r="L83" i="8" s="1"/>
  <c r="L41" i="7" s="1"/>
  <c r="J40" i="10" s="1"/>
  <c r="Z83" i="8"/>
  <c r="D83" i="8"/>
  <c r="K83" i="8" s="1"/>
  <c r="K41" i="7" s="1"/>
  <c r="I40" i="10" s="1"/>
  <c r="Y83" i="8"/>
  <c r="B83" i="8"/>
  <c r="J83" i="8" s="1"/>
  <c r="J41" i="7" s="1"/>
  <c r="AF40" i="10" s="1"/>
  <c r="X83" i="8"/>
  <c r="AF162" i="35"/>
  <c r="AK162" i="35" s="1"/>
  <c r="X162" i="35"/>
  <c r="X111" i="34"/>
  <c r="AF111" i="34"/>
  <c r="AK111" i="34" s="1"/>
  <c r="K38" i="18"/>
  <c r="D40" i="55" s="1"/>
  <c r="O59" i="13"/>
  <c r="O60" i="13"/>
  <c r="P48" i="13"/>
  <c r="B39" i="18"/>
  <c r="AG40" i="10" l="1"/>
  <c r="AG41" i="10" s="1"/>
  <c r="AI40" i="10" s="1"/>
  <c r="A41" i="55"/>
  <c r="M39" i="18"/>
  <c r="C41" i="55"/>
  <c r="O39" i="18"/>
  <c r="L39" i="18"/>
  <c r="Q85" i="8" a="1"/>
  <c r="Q85" i="8" s="1"/>
  <c r="T85" i="8" a="1"/>
  <c r="T85" i="8" s="1"/>
  <c r="G85" i="8" s="1"/>
  <c r="R85" i="8" a="1"/>
  <c r="R85" i="8" s="1"/>
  <c r="E85" i="8" s="1"/>
  <c r="S85" i="8" a="1"/>
  <c r="S85" i="8" s="1"/>
  <c r="U85" i="8" a="1"/>
  <c r="U85" i="8" s="1"/>
  <c r="O85" i="8" a="1"/>
  <c r="O85" i="8" s="1"/>
  <c r="V85" i="8" a="1"/>
  <c r="V85" i="8" s="1"/>
  <c r="I85" i="8" s="1"/>
  <c r="P85" i="8" a="1"/>
  <c r="P85" i="8" s="1"/>
  <c r="C85" i="8" s="1"/>
  <c r="AB599" i="31"/>
  <c r="AC19" i="31" s="1"/>
  <c r="AJ599" i="31"/>
  <c r="AC21" i="31" s="1"/>
  <c r="AF599" i="31"/>
  <c r="AC20" i="31" s="1"/>
  <c r="S39" i="10"/>
  <c r="R40" i="10"/>
  <c r="V147" i="10"/>
  <c r="AN148" i="10"/>
  <c r="A40" i="18"/>
  <c r="D40" i="18" s="1"/>
  <c r="B42" i="55" s="1"/>
  <c r="AJ452" i="8"/>
  <c r="AJ453" i="8" s="1"/>
  <c r="AJ454" i="8" s="1"/>
  <c r="AJ455" i="8" s="1"/>
  <c r="AJ456" i="8" s="1"/>
  <c r="F84" i="8"/>
  <c r="L84" i="8" s="1"/>
  <c r="Q34" i="7" s="1"/>
  <c r="O33" i="10" s="1"/>
  <c r="Z84" i="8"/>
  <c r="H84" i="8"/>
  <c r="M84" i="8" s="1"/>
  <c r="R34" i="7" s="1"/>
  <c r="P33" i="10" s="1"/>
  <c r="AA84" i="8"/>
  <c r="Y84" i="8"/>
  <c r="D84" i="8"/>
  <c r="B84" i="8"/>
  <c r="J84" i="8" s="1"/>
  <c r="O34" i="7" s="1"/>
  <c r="X84" i="8"/>
  <c r="AF62" i="36"/>
  <c r="AK62" i="36" s="1"/>
  <c r="X62" i="36"/>
  <c r="X215" i="35"/>
  <c r="AF215" i="35"/>
  <c r="AK215" i="35" s="1"/>
  <c r="AF164" i="34"/>
  <c r="AK164" i="34" s="1"/>
  <c r="X164" i="34"/>
  <c r="R38" i="18"/>
  <c r="O61" i="13"/>
  <c r="P49" i="13"/>
  <c r="C39" i="18"/>
  <c r="AI41" i="10" l="1"/>
  <c r="AK41" i="10" s="1"/>
  <c r="AI39" i="10"/>
  <c r="F41" i="55"/>
  <c r="P41" i="55"/>
  <c r="J41" i="55"/>
  <c r="O41" i="55"/>
  <c r="U86" i="8" a="1"/>
  <c r="U86" i="8" s="1"/>
  <c r="V86" i="8" a="1"/>
  <c r="V86" i="8" s="1"/>
  <c r="I86" i="8" s="1"/>
  <c r="Q86" i="8" a="1"/>
  <c r="Q86" i="8" s="1"/>
  <c r="P86" i="8" a="1"/>
  <c r="P86" i="8" s="1"/>
  <c r="C86" i="8" s="1"/>
  <c r="S86" i="8" a="1"/>
  <c r="S86" i="8" s="1"/>
  <c r="O86" i="8" a="1"/>
  <c r="O86" i="8" s="1"/>
  <c r="T86" i="8" a="1"/>
  <c r="T86" i="8" s="1"/>
  <c r="G86" i="8" s="1"/>
  <c r="R86" i="8" a="1"/>
  <c r="R86" i="8" s="1"/>
  <c r="E86" i="8" s="1"/>
  <c r="I156" i="13" s="1"/>
  <c r="T110" i="52"/>
  <c r="BI21" i="52" s="1"/>
  <c r="W197" i="70"/>
  <c r="S38" i="52"/>
  <c r="W107" i="70"/>
  <c r="T37" i="52"/>
  <c r="BI9" i="52" s="1"/>
  <c r="R258" i="30" s="1" a="1"/>
  <c r="R258" i="30" s="1"/>
  <c r="AB258" i="30" s="1"/>
  <c r="W109" i="70"/>
  <c r="H129" i="13"/>
  <c r="AF197" i="29" s="1"/>
  <c r="AK197" i="29" s="1"/>
  <c r="T100" i="13"/>
  <c r="W147" i="10"/>
  <c r="AA147" i="10" s="1"/>
  <c r="S28" i="13"/>
  <c r="AN41" i="10"/>
  <c r="T27" i="13"/>
  <c r="E40" i="18"/>
  <c r="K84" i="8"/>
  <c r="P34" i="7" s="1"/>
  <c r="U197" i="29"/>
  <c r="B85" i="8"/>
  <c r="J85" i="8" s="1"/>
  <c r="J37" i="7" s="1"/>
  <c r="AF36" i="10" s="1"/>
  <c r="X85" i="8"/>
  <c r="AJ457" i="8"/>
  <c r="AJ458" i="8" s="1"/>
  <c r="AJ459" i="8" s="1"/>
  <c r="AJ460" i="8" s="1"/>
  <c r="AJ461" i="8" s="1"/>
  <c r="H85" i="8"/>
  <c r="M85" i="8" s="1"/>
  <c r="M37" i="7" s="1"/>
  <c r="K36" i="10" s="1"/>
  <c r="AA85" i="8"/>
  <c r="Z85" i="8"/>
  <c r="F85" i="8"/>
  <c r="L85" i="8" s="1"/>
  <c r="L37" i="7" s="1"/>
  <c r="J36" i="10" s="1"/>
  <c r="D85" i="8"/>
  <c r="K85" i="8" s="1"/>
  <c r="K37" i="7" s="1"/>
  <c r="I36" i="10" s="1"/>
  <c r="Y85" i="8"/>
  <c r="X126" i="36"/>
  <c r="AF126" i="36"/>
  <c r="AK126" i="36" s="1"/>
  <c r="AF217" i="34"/>
  <c r="AK217" i="34" s="1"/>
  <c r="X217" i="34"/>
  <c r="K39" i="18"/>
  <c r="D41" i="55" s="1"/>
  <c r="O62" i="13"/>
  <c r="P50" i="13"/>
  <c r="B40" i="18"/>
  <c r="AG36" i="10" l="1"/>
  <c r="AG37" i="10" s="1"/>
  <c r="AG38" i="10" s="1"/>
  <c r="AI36" i="10" s="1"/>
  <c r="A42" i="55"/>
  <c r="M40" i="18"/>
  <c r="C42" i="55"/>
  <c r="O40" i="18"/>
  <c r="L41" i="55"/>
  <c r="N41" i="55"/>
  <c r="K41" i="55"/>
  <c r="M41" i="55"/>
  <c r="R41" i="55"/>
  <c r="D13" i="59" s="1"/>
  <c r="L40" i="18"/>
  <c r="S87" i="8" a="1"/>
  <c r="S87" i="8" s="1"/>
  <c r="V87" i="8" a="1"/>
  <c r="V87" i="8" s="1"/>
  <c r="I87" i="8" s="1"/>
  <c r="O87" i="8" a="1"/>
  <c r="O87" i="8" s="1"/>
  <c r="Q87" i="8" a="1"/>
  <c r="Q87" i="8" s="1"/>
  <c r="T87" i="8" a="1"/>
  <c r="T87" i="8" s="1"/>
  <c r="G87" i="8" s="1"/>
  <c r="P87" i="8" a="1"/>
  <c r="P87" i="8" s="1"/>
  <c r="C87" i="8" s="1"/>
  <c r="R87" i="8" a="1"/>
  <c r="R87" i="8" s="1"/>
  <c r="E87" i="8" s="1"/>
  <c r="U87" i="8" a="1"/>
  <c r="U87" i="8" s="1"/>
  <c r="V110" i="52"/>
  <c r="BK21" i="52" s="1"/>
  <c r="U110" i="52"/>
  <c r="BJ21" i="52" s="1"/>
  <c r="AF258" i="30"/>
  <c r="AJ258" i="30" s="1"/>
  <c r="U37" i="52"/>
  <c r="BJ9" i="52" s="1"/>
  <c r="R259" i="30" s="1" a="1"/>
  <c r="R259" i="30" s="1"/>
  <c r="AB259" i="30" s="1"/>
  <c r="AF259" i="30" s="1"/>
  <c r="AJ259" i="30" s="1"/>
  <c r="V37" i="52"/>
  <c r="BK9" i="52" s="1"/>
  <c r="R260" i="30" s="1" a="1"/>
  <c r="R260" i="30" s="1"/>
  <c r="AB260" i="30" s="1"/>
  <c r="AF260" i="30" s="1"/>
  <c r="AJ260" i="30" s="1"/>
  <c r="BK22" i="52"/>
  <c r="N16" i="18"/>
  <c r="E18" i="55" s="1"/>
  <c r="R251" i="23" a="1"/>
  <c r="R251" i="23" s="1"/>
  <c r="X197" i="29"/>
  <c r="U34" i="7"/>
  <c r="U35" i="7" s="1"/>
  <c r="U36" i="7" s="1"/>
  <c r="U37" i="7" s="1"/>
  <c r="U38" i="7" s="1"/>
  <c r="U39" i="7" s="1"/>
  <c r="CE4" i="52" s="1"/>
  <c r="N33" i="10"/>
  <c r="AJ39" i="10"/>
  <c r="AK39" i="10"/>
  <c r="H39" i="10" s="1"/>
  <c r="O129" i="13"/>
  <c r="S37" i="10"/>
  <c r="W181" i="70" s="1"/>
  <c r="R36" i="10"/>
  <c r="R197" i="29"/>
  <c r="A41" i="18"/>
  <c r="D41" i="18" s="1"/>
  <c r="B43" i="55" s="1"/>
  <c r="D86" i="8"/>
  <c r="Y86" i="8"/>
  <c r="H86" i="8"/>
  <c r="M86" i="8" s="1"/>
  <c r="R150" i="7" s="1"/>
  <c r="P149" i="10" s="1"/>
  <c r="AA86" i="8"/>
  <c r="AJ462" i="8"/>
  <c r="AJ463" i="8" s="1"/>
  <c r="AJ464" i="8" s="1"/>
  <c r="AJ465" i="8" s="1"/>
  <c r="AJ466" i="8" s="1"/>
  <c r="F86" i="8"/>
  <c r="L86" i="8" s="1"/>
  <c r="Q150" i="7" s="1"/>
  <c r="O149" i="10" s="1"/>
  <c r="Z86" i="8"/>
  <c r="X86" i="8"/>
  <c r="B86" i="8"/>
  <c r="J86" i="8" s="1"/>
  <c r="O150" i="7" s="1"/>
  <c r="AF162" i="36"/>
  <c r="AK162" i="36" s="1"/>
  <c r="X162" i="36"/>
  <c r="X270" i="34"/>
  <c r="AF270" i="34"/>
  <c r="AK270" i="34" s="1"/>
  <c r="R39" i="18"/>
  <c r="O63" i="13"/>
  <c r="P51" i="13"/>
  <c r="C40" i="18"/>
  <c r="AI38" i="10" l="1"/>
  <c r="AK38" i="10" s="1"/>
  <c r="AI37" i="10"/>
  <c r="E41" i="18"/>
  <c r="C43" i="55" s="1"/>
  <c r="F42" i="55"/>
  <c r="P42" i="55"/>
  <c r="J42" i="55"/>
  <c r="O42" i="55"/>
  <c r="R88" i="8" a="1"/>
  <c r="R88" i="8" s="1"/>
  <c r="E88" i="8" s="1"/>
  <c r="U88" i="8" a="1"/>
  <c r="U88" i="8" s="1"/>
  <c r="Q88" i="8" a="1"/>
  <c r="Q88" i="8" s="1"/>
  <c r="T88" i="8" a="1"/>
  <c r="T88" i="8" s="1"/>
  <c r="G88" i="8" s="1"/>
  <c r="S88" i="8" a="1"/>
  <c r="S88" i="8" s="1"/>
  <c r="V88" i="8" a="1"/>
  <c r="V88" i="8" s="1"/>
  <c r="I88" i="8" s="1"/>
  <c r="P88" i="8" a="1"/>
  <c r="P88" i="8" s="1"/>
  <c r="C88" i="8" s="1"/>
  <c r="O88" i="8" a="1"/>
  <c r="O88" i="8" s="1"/>
  <c r="S35" i="52"/>
  <c r="W179" i="70"/>
  <c r="G18" i="55"/>
  <c r="T26" i="13"/>
  <c r="T36" i="52"/>
  <c r="BI4" i="52" s="1"/>
  <c r="N27" i="13"/>
  <c r="Q39" i="10"/>
  <c r="E37" i="52" s="1"/>
  <c r="AL39" i="10"/>
  <c r="AK40" i="10"/>
  <c r="H40" i="10" s="1"/>
  <c r="AJ40" i="10"/>
  <c r="AJ41" i="10" s="1"/>
  <c r="H156" i="13"/>
  <c r="X142" i="47" s="1"/>
  <c r="R33" i="10"/>
  <c r="V33" i="10"/>
  <c r="S25" i="13"/>
  <c r="AN38" i="10"/>
  <c r="AK36" i="10"/>
  <c r="H36" i="10" s="1"/>
  <c r="AJ36" i="10"/>
  <c r="AK37" i="10" s="1"/>
  <c r="H37" i="10" s="1"/>
  <c r="K86" i="8"/>
  <c r="B87" i="8"/>
  <c r="J87" i="8" s="1"/>
  <c r="K25" i="7" s="1"/>
  <c r="I24" i="10" s="1"/>
  <c r="R24" i="10" s="1"/>
  <c r="X87" i="8"/>
  <c r="H87" i="8"/>
  <c r="M87" i="8" s="1"/>
  <c r="M25" i="7" s="1"/>
  <c r="K24" i="10" s="1"/>
  <c r="AA87" i="8"/>
  <c r="F87" i="8"/>
  <c r="L87" i="8" s="1"/>
  <c r="L25" i="7" s="1"/>
  <c r="J24" i="10" s="1"/>
  <c r="Z87" i="8"/>
  <c r="Y87" i="8"/>
  <c r="D87" i="8"/>
  <c r="K87" i="8" s="1"/>
  <c r="J25" i="7" s="1"/>
  <c r="AF24" i="10" s="1"/>
  <c r="AJ467" i="8"/>
  <c r="AJ468" i="8" s="1"/>
  <c r="AJ469" i="8" s="1"/>
  <c r="AJ470" i="8" s="1"/>
  <c r="AJ471" i="8" s="1"/>
  <c r="U142" i="47"/>
  <c r="X61" i="37"/>
  <c r="AF61" i="37"/>
  <c r="AK61" i="37" s="1"/>
  <c r="K40" i="18"/>
  <c r="D42" i="55" s="1"/>
  <c r="P52" i="13"/>
  <c r="B41" i="18"/>
  <c r="R352" i="29" l="1" a="1"/>
  <c r="R352" i="29" s="1"/>
  <c r="AB352" i="29" s="1"/>
  <c r="AF352" i="29" s="1"/>
  <c r="AJ352" i="29" s="1"/>
  <c r="O41" i="18"/>
  <c r="AG24" i="10"/>
  <c r="AG25" i="10" s="1"/>
  <c r="AG26" i="10" s="1"/>
  <c r="AI24" i="10" s="1"/>
  <c r="N42" i="55"/>
  <c r="L42" i="55"/>
  <c r="M42" i="55"/>
  <c r="K42" i="55"/>
  <c r="A43" i="55"/>
  <c r="M41" i="18"/>
  <c r="R42" i="55"/>
  <c r="D14" i="59" s="1"/>
  <c r="L41" i="18"/>
  <c r="R89" i="8" a="1"/>
  <c r="R89" i="8" s="1"/>
  <c r="E89" i="8" s="1"/>
  <c r="T89" i="8" a="1"/>
  <c r="T89" i="8" s="1"/>
  <c r="G89" i="8" s="1"/>
  <c r="P89" i="8" a="1"/>
  <c r="P89" i="8" s="1"/>
  <c r="C89" i="8" s="1"/>
  <c r="U89" i="8" a="1"/>
  <c r="U89" i="8" s="1"/>
  <c r="V89" i="8" a="1"/>
  <c r="V89" i="8" s="1"/>
  <c r="I89" i="8" s="1"/>
  <c r="O89" i="8" a="1"/>
  <c r="O89" i="8" s="1"/>
  <c r="Q89" i="8" a="1"/>
  <c r="Q89" i="8" s="1"/>
  <c r="S89" i="8" a="1"/>
  <c r="S89" i="8" s="1"/>
  <c r="S27" i="52"/>
  <c r="BH19" i="52" s="1"/>
  <c r="R152" i="27" s="1" a="1"/>
  <c r="R152" i="27" s="1"/>
  <c r="AB152" i="27" s="1"/>
  <c r="AF152" i="27" s="1"/>
  <c r="AJ152" i="27" s="1"/>
  <c r="W167" i="70"/>
  <c r="W178" i="70"/>
  <c r="W177" i="70"/>
  <c r="S33" i="52"/>
  <c r="W173" i="70"/>
  <c r="AN35" i="10"/>
  <c r="H18" i="55"/>
  <c r="I18" i="55" s="1"/>
  <c r="H37" i="52"/>
  <c r="P37" i="52"/>
  <c r="U36" i="52"/>
  <c r="BJ4" i="52" s="1"/>
  <c r="V36" i="52"/>
  <c r="BK4" i="52" s="1"/>
  <c r="N18" i="18"/>
  <c r="E20" i="55" s="1"/>
  <c r="G20" i="55" s="1"/>
  <c r="H20" i="55" s="1"/>
  <c r="I20" i="55" s="1"/>
  <c r="R253" i="23" a="1"/>
  <c r="R253" i="23" s="1"/>
  <c r="R252" i="23" a="1"/>
  <c r="R252" i="23" s="1"/>
  <c r="N17" i="18"/>
  <c r="E19" i="55" s="1"/>
  <c r="AJ37" i="10"/>
  <c r="AJ38" i="10" s="1"/>
  <c r="AF142" i="47"/>
  <c r="AK142" i="47" s="1"/>
  <c r="S23" i="13"/>
  <c r="W33" i="10"/>
  <c r="AA33" i="10" s="1"/>
  <c r="O156" i="13"/>
  <c r="R142" i="47"/>
  <c r="N28" i="13"/>
  <c r="Q40" i="10"/>
  <c r="Q37" i="10"/>
  <c r="N26" i="13"/>
  <c r="V39" i="10"/>
  <c r="S17" i="13"/>
  <c r="AN26" i="10"/>
  <c r="AM39" i="10"/>
  <c r="AL40" i="10" s="1"/>
  <c r="T39" i="10"/>
  <c r="R27" i="13"/>
  <c r="N25" i="13"/>
  <c r="AL36" i="10"/>
  <c r="Q36" i="10"/>
  <c r="E35" i="52" s="1"/>
  <c r="V36" i="10"/>
  <c r="A42" i="18"/>
  <c r="D42" i="18" s="1"/>
  <c r="B44" i="55" s="1"/>
  <c r="P150" i="7"/>
  <c r="AJ472" i="8"/>
  <c r="AJ473" i="8" s="1"/>
  <c r="AJ474" i="8" s="1"/>
  <c r="AJ475" i="8" s="1"/>
  <c r="AJ476" i="8" s="1"/>
  <c r="D88" i="8"/>
  <c r="K88" i="8" s="1"/>
  <c r="K43" i="7" s="1"/>
  <c r="I42" i="10" s="1"/>
  <c r="R42" i="10" s="1"/>
  <c r="Y88" i="8"/>
  <c r="Z88" i="8"/>
  <c r="F88" i="8"/>
  <c r="L88" i="8" s="1"/>
  <c r="L43" i="7" s="1"/>
  <c r="J42" i="10" s="1"/>
  <c r="X88" i="8"/>
  <c r="B88" i="8"/>
  <c r="J88" i="8" s="1"/>
  <c r="J43" i="7" s="1"/>
  <c r="AF42" i="10" s="1"/>
  <c r="H88" i="8"/>
  <c r="M88" i="8" s="1"/>
  <c r="M43" i="7" s="1"/>
  <c r="K42" i="10" s="1"/>
  <c r="AA88" i="8"/>
  <c r="AF377" i="34"/>
  <c r="AK377" i="34" s="1"/>
  <c r="X377" i="34"/>
  <c r="R40" i="18"/>
  <c r="O64" i="13"/>
  <c r="P53" i="13"/>
  <c r="C41" i="18"/>
  <c r="F43" i="55" l="1"/>
  <c r="R354" i="29" a="1"/>
  <c r="R354" i="29" s="1"/>
  <c r="AB354" i="29" s="1"/>
  <c r="AF354" i="29" s="1"/>
  <c r="AJ354" i="29" s="1"/>
  <c r="R353" i="29" a="1"/>
  <c r="R353" i="29" s="1"/>
  <c r="AB353" i="29" s="1"/>
  <c r="AF353" i="29" s="1"/>
  <c r="AJ353" i="29" s="1"/>
  <c r="AG42" i="10"/>
  <c r="AG43" i="10" s="1"/>
  <c r="AG44" i="10" s="1"/>
  <c r="AI42" i="10" s="1"/>
  <c r="AI26" i="10"/>
  <c r="AK26" i="10" s="1"/>
  <c r="AI25" i="10"/>
  <c r="AF430" i="34"/>
  <c r="AK430" i="34" s="1"/>
  <c r="X430" i="34"/>
  <c r="P43" i="55"/>
  <c r="O43" i="55"/>
  <c r="J43" i="55"/>
  <c r="P90" i="8" a="1"/>
  <c r="P90" i="8" s="1"/>
  <c r="C90" i="8" s="1"/>
  <c r="V90" i="8" a="1"/>
  <c r="V90" i="8" s="1"/>
  <c r="I90" i="8" s="1"/>
  <c r="Q90" i="8" a="1"/>
  <c r="Q90" i="8" s="1"/>
  <c r="S90" i="8" a="1"/>
  <c r="S90" i="8" s="1"/>
  <c r="O90" i="8" a="1"/>
  <c r="O90" i="8" s="1"/>
  <c r="R90" i="8" a="1"/>
  <c r="R90" i="8" s="1"/>
  <c r="E90" i="8" s="1"/>
  <c r="I153" i="13" s="1"/>
  <c r="U90" i="8" a="1"/>
  <c r="U90" i="8" s="1"/>
  <c r="T90" i="8" a="1"/>
  <c r="T90" i="8" s="1"/>
  <c r="G90" i="8" s="1"/>
  <c r="S39" i="52"/>
  <c r="W111" i="70"/>
  <c r="W166" i="70"/>
  <c r="W165" i="70"/>
  <c r="W172" i="70"/>
  <c r="W171" i="70"/>
  <c r="G19" i="55"/>
  <c r="Q21" i="55"/>
  <c r="E42" i="18"/>
  <c r="O37" i="52"/>
  <c r="R37" i="52"/>
  <c r="Q37" i="52"/>
  <c r="L37" i="52"/>
  <c r="N37" i="52"/>
  <c r="K37" i="52"/>
  <c r="M37" i="52"/>
  <c r="J37" i="52"/>
  <c r="R26" i="13"/>
  <c r="E36" i="52"/>
  <c r="AT4" i="52" s="1"/>
  <c r="P35" i="52"/>
  <c r="H35" i="52"/>
  <c r="R28" i="13"/>
  <c r="E38" i="52"/>
  <c r="W39" i="10"/>
  <c r="AA39" i="10" s="1"/>
  <c r="R25" i="13"/>
  <c r="W36" i="10"/>
  <c r="AA36" i="10" s="1"/>
  <c r="AM36" i="10"/>
  <c r="AL37" i="10" s="1"/>
  <c r="T36" i="10"/>
  <c r="S29" i="13"/>
  <c r="AN44" i="10"/>
  <c r="U150" i="7"/>
  <c r="U151" i="7" s="1"/>
  <c r="N149" i="10"/>
  <c r="AK24" i="10"/>
  <c r="H24" i="10" s="1"/>
  <c r="AJ24" i="10"/>
  <c r="AK25" i="10" s="1"/>
  <c r="H25" i="10" s="1"/>
  <c r="AM40" i="10"/>
  <c r="T40" i="10"/>
  <c r="Y39" i="10" s="1"/>
  <c r="AB39" i="10" s="1"/>
  <c r="F89" i="8"/>
  <c r="L89" i="8" s="1"/>
  <c r="L11" i="7" s="1"/>
  <c r="J11" i="10" s="1"/>
  <c r="Z89" i="8"/>
  <c r="D89" i="8"/>
  <c r="K89" i="8" s="1"/>
  <c r="K11" i="7" s="1"/>
  <c r="I11" i="10" s="1"/>
  <c r="S12" i="10" s="1"/>
  <c r="W241" i="70" s="1"/>
  <c r="Y89" i="8"/>
  <c r="B89" i="8"/>
  <c r="J89" i="8" s="1"/>
  <c r="J11" i="7" s="1"/>
  <c r="AF11" i="10" s="1"/>
  <c r="X89" i="8"/>
  <c r="H89" i="8"/>
  <c r="M89" i="8" s="1"/>
  <c r="M11" i="7" s="1"/>
  <c r="K11" i="10" s="1"/>
  <c r="AA89" i="8"/>
  <c r="AJ477" i="8"/>
  <c r="AJ478" i="8" s="1"/>
  <c r="AJ479" i="8" s="1"/>
  <c r="AJ480" i="8" s="1"/>
  <c r="AJ481" i="8" s="1"/>
  <c r="AF107" i="37"/>
  <c r="AK107" i="37" s="1"/>
  <c r="X107" i="37"/>
  <c r="K41" i="18"/>
  <c r="D43" i="55" s="1"/>
  <c r="O65" i="13"/>
  <c r="P54" i="13"/>
  <c r="B42" i="18"/>
  <c r="U152" i="7" l="1"/>
  <c r="CE21" i="52" s="1"/>
  <c r="R337" i="29" a="1"/>
  <c r="R337" i="29" s="1"/>
  <c r="AB337" i="29" s="1"/>
  <c r="AG11" i="10"/>
  <c r="AI44" i="10"/>
  <c r="AK44" i="10" s="1"/>
  <c r="AI43" i="10"/>
  <c r="X483" i="34"/>
  <c r="AF483" i="34"/>
  <c r="AK483" i="34" s="1"/>
  <c r="C44" i="55"/>
  <c r="O42" i="18"/>
  <c r="A44" i="55"/>
  <c r="M42" i="18"/>
  <c r="N43" i="55"/>
  <c r="L43" i="55"/>
  <c r="M43" i="55"/>
  <c r="K43" i="55"/>
  <c r="R43" i="55"/>
  <c r="T43" i="55"/>
  <c r="U43" i="55"/>
  <c r="S43" i="55"/>
  <c r="Q43" i="55"/>
  <c r="L42" i="18"/>
  <c r="P91" i="8" a="1"/>
  <c r="P91" i="8" s="1"/>
  <c r="C91" i="8" s="1"/>
  <c r="O91" i="8" a="1"/>
  <c r="O91" i="8" s="1"/>
  <c r="Q91" i="8" a="1"/>
  <c r="Q91" i="8" s="1"/>
  <c r="R91" i="8" a="1"/>
  <c r="R91" i="8" s="1"/>
  <c r="E91" i="8" s="1"/>
  <c r="T91" i="8" a="1"/>
  <c r="T91" i="8" s="1"/>
  <c r="G91" i="8" s="1"/>
  <c r="U91" i="8" a="1"/>
  <c r="U91" i="8" s="1"/>
  <c r="S91" i="8" a="1"/>
  <c r="S91" i="8" s="1"/>
  <c r="V91" i="8" a="1"/>
  <c r="V91" i="8" s="1"/>
  <c r="I91" i="8" s="1"/>
  <c r="W106" i="70"/>
  <c r="W105" i="70"/>
  <c r="H19" i="55"/>
  <c r="I19" i="55" s="1"/>
  <c r="O35" i="52"/>
  <c r="R35" i="52"/>
  <c r="Q35" i="52"/>
  <c r="L35" i="52"/>
  <c r="N35" i="52"/>
  <c r="K35" i="52"/>
  <c r="M35" i="52"/>
  <c r="J35" i="52"/>
  <c r="T10" i="13"/>
  <c r="T20" i="52"/>
  <c r="P36" i="52"/>
  <c r="BE4" i="52" s="1"/>
  <c r="H36" i="52"/>
  <c r="AW4" i="52" s="1"/>
  <c r="P38" i="52"/>
  <c r="H38" i="52"/>
  <c r="R250" i="23" a="1"/>
  <c r="R250" i="23" s="1"/>
  <c r="N15" i="18"/>
  <c r="E17" i="55" s="1"/>
  <c r="G17" i="55" s="1"/>
  <c r="AJ25" i="10"/>
  <c r="AJ26" i="10" s="1"/>
  <c r="T37" i="10"/>
  <c r="Y36" i="10" s="1"/>
  <c r="AB36" i="10" s="1"/>
  <c r="AM37" i="10"/>
  <c r="R149" i="10"/>
  <c r="V149" i="10"/>
  <c r="AJ42" i="10"/>
  <c r="AK43" i="10" s="1"/>
  <c r="H43" i="10" s="1"/>
  <c r="AK42" i="10"/>
  <c r="H42" i="10" s="1"/>
  <c r="N18" i="13"/>
  <c r="G18" i="13" s="1"/>
  <c r="Q25" i="10"/>
  <c r="N17" i="13"/>
  <c r="G17" i="13" s="1"/>
  <c r="Q24" i="10"/>
  <c r="E27" i="52" s="1"/>
  <c r="AL24" i="10"/>
  <c r="V24" i="10"/>
  <c r="A43" i="18"/>
  <c r="D43" i="18" s="1"/>
  <c r="B45" i="55" s="1"/>
  <c r="D90" i="8"/>
  <c r="Y90" i="8"/>
  <c r="AJ482" i="8"/>
  <c r="AJ483" i="8" s="1"/>
  <c r="AJ484" i="8" s="1"/>
  <c r="AJ485" i="8" s="1"/>
  <c r="AJ486" i="8" s="1"/>
  <c r="H90" i="8"/>
  <c r="M90" i="8" s="1"/>
  <c r="R140" i="7" s="1"/>
  <c r="P139" i="10" s="1"/>
  <c r="AA90" i="8"/>
  <c r="B90" i="8"/>
  <c r="J90" i="8" s="1"/>
  <c r="O140" i="7" s="1"/>
  <c r="X90" i="8"/>
  <c r="F90" i="8"/>
  <c r="L90" i="8" s="1"/>
  <c r="Q140" i="7" s="1"/>
  <c r="O139" i="10" s="1"/>
  <c r="Z90" i="8"/>
  <c r="X165" i="37"/>
  <c r="AF165" i="37"/>
  <c r="AK165" i="37" s="1"/>
  <c r="R41" i="18"/>
  <c r="O66" i="13"/>
  <c r="P55" i="13"/>
  <c r="C42" i="18"/>
  <c r="R340" i="29" l="1" a="1"/>
  <c r="R340" i="29" s="1"/>
  <c r="AB340" i="29" s="1"/>
  <c r="AF340" i="29" s="1"/>
  <c r="AJ340" i="29" s="1"/>
  <c r="R348" i="29" a="1"/>
  <c r="R348" i="29" s="1"/>
  <c r="AB348" i="29" s="1"/>
  <c r="AF348" i="29" s="1"/>
  <c r="AJ348" i="29" s="1"/>
  <c r="X536" i="34"/>
  <c r="AF536" i="34"/>
  <c r="AK536" i="34" s="1"/>
  <c r="F44" i="55"/>
  <c r="P44" i="55"/>
  <c r="J44" i="55"/>
  <c r="O44" i="55"/>
  <c r="T92" i="8" a="1"/>
  <c r="T92" i="8" s="1"/>
  <c r="G92" i="8" s="1"/>
  <c r="Q92" i="8" a="1"/>
  <c r="Q92" i="8" s="1"/>
  <c r="S92" i="8" a="1"/>
  <c r="S92" i="8" s="1"/>
  <c r="U92" i="8" a="1"/>
  <c r="U92" i="8" s="1"/>
  <c r="V92" i="8" a="1"/>
  <c r="V92" i="8" s="1"/>
  <c r="I92" i="8" s="1"/>
  <c r="O92" i="8" a="1"/>
  <c r="O92" i="8" s="1"/>
  <c r="P92" i="8" a="1"/>
  <c r="P92" i="8" s="1"/>
  <c r="C92" i="8" s="1"/>
  <c r="R92" i="8" a="1"/>
  <c r="R92" i="8" s="1"/>
  <c r="E92" i="8" s="1"/>
  <c r="AF337" i="29"/>
  <c r="S111" i="52"/>
  <c r="BH21" i="52" s="1"/>
  <c r="W199" i="70"/>
  <c r="H17" i="55"/>
  <c r="I17" i="55" s="1"/>
  <c r="E43" i="18"/>
  <c r="AN150" i="10"/>
  <c r="O36" i="52"/>
  <c r="BD4" i="52" s="1"/>
  <c r="R36" i="52"/>
  <c r="BG4" i="52" s="1"/>
  <c r="Q36" i="52"/>
  <c r="BF4" i="52" s="1"/>
  <c r="O38" i="52"/>
  <c r="R38" i="52"/>
  <c r="Q38" i="52"/>
  <c r="L36" i="52"/>
  <c r="BA4" i="52" s="1"/>
  <c r="N36" i="52"/>
  <c r="BC4" i="52" s="1"/>
  <c r="K36" i="52"/>
  <c r="AZ4" i="52" s="1"/>
  <c r="M36" i="52"/>
  <c r="BB4" i="52" s="1"/>
  <c r="J36" i="52"/>
  <c r="AY4" i="52" s="1"/>
  <c r="M38" i="52"/>
  <c r="J38" i="52"/>
  <c r="L38" i="52"/>
  <c r="N38" i="52"/>
  <c r="K38" i="52"/>
  <c r="R18" i="13"/>
  <c r="E28" i="52"/>
  <c r="AT19" i="52" s="1"/>
  <c r="R138" i="27" s="1" a="1"/>
  <c r="R138" i="27" s="1"/>
  <c r="U20" i="52"/>
  <c r="V20" i="52"/>
  <c r="H27" i="52"/>
  <c r="P27" i="52"/>
  <c r="AJ43" i="10"/>
  <c r="AJ44" i="10" s="1"/>
  <c r="Q43" i="10"/>
  <c r="N30" i="13"/>
  <c r="G30" i="13" s="1"/>
  <c r="H153" i="13"/>
  <c r="AF87" i="46" s="1"/>
  <c r="AK87" i="46" s="1"/>
  <c r="AM24" i="10"/>
  <c r="AL25" i="10" s="1"/>
  <c r="T24" i="10"/>
  <c r="W149" i="10"/>
  <c r="AA149" i="10" s="1"/>
  <c r="S101" i="13"/>
  <c r="R17" i="13"/>
  <c r="E12" i="52"/>
  <c r="AT22" i="52" s="1"/>
  <c r="W24" i="10"/>
  <c r="AA24" i="10" s="1"/>
  <c r="N29" i="13"/>
  <c r="G29" i="13" s="1"/>
  <c r="Q42" i="10"/>
  <c r="E39" i="52" s="1"/>
  <c r="AL42" i="10"/>
  <c r="V42" i="10"/>
  <c r="K90" i="8"/>
  <c r="Z91" i="8"/>
  <c r="F91" i="8"/>
  <c r="L91" i="8" s="1"/>
  <c r="L97" i="7" s="1"/>
  <c r="J96" i="10" s="1"/>
  <c r="U87" i="46"/>
  <c r="AA91" i="8"/>
  <c r="H91" i="8"/>
  <c r="M91" i="8" s="1"/>
  <c r="M97" i="7" s="1"/>
  <c r="K96" i="10" s="1"/>
  <c r="AJ487" i="8"/>
  <c r="AJ488" i="8" s="1"/>
  <c r="AJ489" i="8" s="1"/>
  <c r="AJ490" i="8" s="1"/>
  <c r="AJ491" i="8" s="1"/>
  <c r="D91" i="8"/>
  <c r="K91" i="8" s="1"/>
  <c r="K97" i="7" s="1"/>
  <c r="I96" i="10" s="1"/>
  <c r="R96" i="10" s="1"/>
  <c r="Y91" i="8"/>
  <c r="X91" i="8"/>
  <c r="B91" i="8"/>
  <c r="J91" i="8" s="1"/>
  <c r="J97" i="7" s="1"/>
  <c r="AF96" i="10" s="1"/>
  <c r="AF213" i="37"/>
  <c r="AK213" i="37" s="1"/>
  <c r="X213" i="37"/>
  <c r="K42" i="18"/>
  <c r="D44" i="55" s="1"/>
  <c r="O67" i="13"/>
  <c r="P56" i="13"/>
  <c r="B43" i="18"/>
  <c r="L43" i="18" s="1"/>
  <c r="R347" i="29" l="1" a="1"/>
  <c r="R347" i="29" s="1"/>
  <c r="AB347" i="29" s="1"/>
  <c r="AF347" i="29" s="1"/>
  <c r="AJ347" i="29" s="1"/>
  <c r="R345" i="29" a="1"/>
  <c r="R345" i="29" s="1"/>
  <c r="AB345" i="29" s="1"/>
  <c r="AF345" i="29" s="1"/>
  <c r="AJ345" i="29" s="1"/>
  <c r="R343" i="29" a="1"/>
  <c r="R343" i="29" s="1"/>
  <c r="AB343" i="29" s="1"/>
  <c r="AF343" i="29" s="1"/>
  <c r="AJ343" i="29" s="1"/>
  <c r="R344" i="29" a="1"/>
  <c r="R344" i="29" s="1"/>
  <c r="AB344" i="29" s="1"/>
  <c r="AF344" i="29" s="1"/>
  <c r="AJ344" i="29" s="1"/>
  <c r="R349" i="29" a="1"/>
  <c r="R349" i="29" s="1"/>
  <c r="AB349" i="29" s="1"/>
  <c r="AF349" i="29" s="1"/>
  <c r="AJ349" i="29" s="1"/>
  <c r="R346" i="29" a="1"/>
  <c r="R346" i="29" s="1"/>
  <c r="AB346" i="29" s="1"/>
  <c r="AF346" i="29" s="1"/>
  <c r="AJ346" i="29" s="1"/>
  <c r="R350" i="29" a="1"/>
  <c r="R350" i="29" s="1"/>
  <c r="AB350" i="29" s="1"/>
  <c r="AF350" i="29" s="1"/>
  <c r="AJ350" i="29" s="1"/>
  <c r="R342" i="29" a="1"/>
  <c r="R342" i="29" s="1"/>
  <c r="AB342" i="29" s="1"/>
  <c r="AF342" i="29" s="1"/>
  <c r="AJ342" i="29" s="1"/>
  <c r="O43" i="18"/>
  <c r="C45" i="55"/>
  <c r="A45" i="55"/>
  <c r="M43" i="18"/>
  <c r="N44" i="55"/>
  <c r="L44" i="55"/>
  <c r="K44" i="55"/>
  <c r="M44" i="55"/>
  <c r="R44" i="55"/>
  <c r="T44" i="55"/>
  <c r="U44" i="55"/>
  <c r="S44" i="55"/>
  <c r="Q44" i="55"/>
  <c r="S93" i="8" a="1"/>
  <c r="S93" i="8" s="1"/>
  <c r="V93" i="8" a="1"/>
  <c r="V93" i="8" s="1"/>
  <c r="I93" i="8" s="1"/>
  <c r="T93" i="8" a="1"/>
  <c r="T93" i="8" s="1"/>
  <c r="G93" i="8" s="1"/>
  <c r="P93" i="8" a="1"/>
  <c r="P93" i="8" s="1"/>
  <c r="C93" i="8" s="1"/>
  <c r="U93" i="8" a="1"/>
  <c r="U93" i="8" s="1"/>
  <c r="O93" i="8" a="1"/>
  <c r="O93" i="8" s="1"/>
  <c r="Q93" i="8" a="1"/>
  <c r="Q93" i="8" s="1"/>
  <c r="R93" i="8" a="1"/>
  <c r="R93" i="8" s="1"/>
  <c r="E93" i="8" s="1"/>
  <c r="I145" i="13" s="1"/>
  <c r="AC24" i="27"/>
  <c r="AB138" i="27"/>
  <c r="AJ337" i="29"/>
  <c r="S77" i="52"/>
  <c r="W194" i="70"/>
  <c r="W193" i="70"/>
  <c r="O27" i="52"/>
  <c r="R27" i="52"/>
  <c r="Q27" i="52"/>
  <c r="M27" i="52"/>
  <c r="J27" i="52"/>
  <c r="L27" i="52"/>
  <c r="N27" i="52"/>
  <c r="K27" i="52"/>
  <c r="R30" i="13"/>
  <c r="E40" i="52"/>
  <c r="P39" i="52"/>
  <c r="H39" i="52"/>
  <c r="H28" i="52"/>
  <c r="AW19" i="52" s="1"/>
  <c r="R141" i="27" s="1" a="1"/>
  <c r="R141" i="27" s="1"/>
  <c r="AB141" i="27" s="1"/>
  <c r="AF141" i="27" s="1"/>
  <c r="AJ141" i="27" s="1"/>
  <c r="P28" i="52"/>
  <c r="BE19" i="52" s="1"/>
  <c r="R149" i="27" s="1" a="1"/>
  <c r="R149" i="27" s="1"/>
  <c r="AB149" i="27" s="1"/>
  <c r="AF149" i="27" s="1"/>
  <c r="AJ149" i="27" s="1"/>
  <c r="X87" i="46"/>
  <c r="S67" i="13"/>
  <c r="T25" i="10"/>
  <c r="Y24" i="10" s="1"/>
  <c r="AB24" i="10" s="1"/>
  <c r="AM25" i="10"/>
  <c r="O153" i="13"/>
  <c r="AM42" i="10"/>
  <c r="AL43" i="10" s="1"/>
  <c r="T42" i="10"/>
  <c r="R87" i="46"/>
  <c r="R29" i="13"/>
  <c r="W42" i="10"/>
  <c r="AA42" i="10" s="1"/>
  <c r="AG96" i="10"/>
  <c r="AG97" i="10" s="1"/>
  <c r="AG98" i="10" s="1"/>
  <c r="A44" i="18"/>
  <c r="D44" i="18" s="1"/>
  <c r="B46" i="55" s="1"/>
  <c r="P140" i="7"/>
  <c r="AJ492" i="8"/>
  <c r="AJ493" i="8" s="1"/>
  <c r="AJ494" i="8" s="1"/>
  <c r="AJ495" i="8" s="1"/>
  <c r="AJ496" i="8" s="1"/>
  <c r="X92" i="8"/>
  <c r="B92" i="8"/>
  <c r="J92" i="8" s="1"/>
  <c r="J12" i="7" s="1"/>
  <c r="AF12" i="10" s="1"/>
  <c r="F92" i="8"/>
  <c r="L92" i="8" s="1"/>
  <c r="L12" i="7" s="1"/>
  <c r="J12" i="10" s="1"/>
  <c r="Z92" i="8"/>
  <c r="D92" i="8"/>
  <c r="K92" i="8" s="1"/>
  <c r="K12" i="7" s="1"/>
  <c r="I12" i="10" s="1"/>
  <c r="S11" i="10" s="1"/>
  <c r="Y92" i="8"/>
  <c r="H92" i="8"/>
  <c r="M92" i="8" s="1"/>
  <c r="M12" i="7" s="1"/>
  <c r="K12" i="10" s="1"/>
  <c r="AA92" i="8"/>
  <c r="X61" i="38"/>
  <c r="AF61" i="38"/>
  <c r="AK61" i="38" s="1"/>
  <c r="X65" i="35"/>
  <c r="AF65" i="35"/>
  <c r="AK65" i="35" s="1"/>
  <c r="R42" i="18"/>
  <c r="O68" i="13"/>
  <c r="P57" i="13"/>
  <c r="C43" i="18"/>
  <c r="F45" i="55" l="1"/>
  <c r="AG12" i="10"/>
  <c r="AG13" i="10" s="1"/>
  <c r="AI12" i="10" s="1"/>
  <c r="P45" i="55"/>
  <c r="O45" i="55"/>
  <c r="J45" i="55"/>
  <c r="E44" i="18"/>
  <c r="Q94" i="8" a="1"/>
  <c r="Q94" i="8" s="1"/>
  <c r="S94" i="8" a="1"/>
  <c r="S94" i="8" s="1"/>
  <c r="V94" i="8" a="1"/>
  <c r="V94" i="8" s="1"/>
  <c r="I94" i="8" s="1"/>
  <c r="O94" i="8" a="1"/>
  <c r="O94" i="8" s="1"/>
  <c r="P94" i="8" a="1"/>
  <c r="P94" i="8" s="1"/>
  <c r="C94" i="8" s="1"/>
  <c r="U94" i="8" a="1"/>
  <c r="U94" i="8" s="1"/>
  <c r="R94" i="8" a="1"/>
  <c r="R94" i="8" s="1"/>
  <c r="E94" i="8" s="1"/>
  <c r="T94" i="8" a="1"/>
  <c r="T94" i="8" s="1"/>
  <c r="G94" i="8" s="1"/>
  <c r="AF138" i="27"/>
  <c r="T19" i="52"/>
  <c r="BI6" i="52" s="1"/>
  <c r="W237" i="70"/>
  <c r="Q28" i="52"/>
  <c r="BF19" i="52" s="1"/>
  <c r="R150" i="27" s="1" a="1"/>
  <c r="R150" i="27" s="1"/>
  <c r="AB150" i="27" s="1"/>
  <c r="AF150" i="27" s="1"/>
  <c r="AJ150" i="27" s="1"/>
  <c r="O28" i="52"/>
  <c r="BD19" i="52" s="1"/>
  <c r="R148" i="27" s="1" a="1"/>
  <c r="R148" i="27" s="1"/>
  <c r="AB148" i="27" s="1"/>
  <c r="AF148" i="27" s="1"/>
  <c r="AJ148" i="27" s="1"/>
  <c r="R28" i="52"/>
  <c r="BG19" i="52" s="1"/>
  <c r="R151" i="27" s="1" a="1"/>
  <c r="R151" i="27" s="1"/>
  <c r="AB151" i="27" s="1"/>
  <c r="AF151" i="27" s="1"/>
  <c r="AJ151" i="27" s="1"/>
  <c r="O39" i="52"/>
  <c r="R39" i="52"/>
  <c r="Q39" i="52"/>
  <c r="M39" i="52"/>
  <c r="J39" i="52"/>
  <c r="L39" i="52"/>
  <c r="N39" i="52"/>
  <c r="K39" i="52"/>
  <c r="M28" i="52"/>
  <c r="BB19" i="52" s="1"/>
  <c r="R146" i="27" s="1" a="1"/>
  <c r="R146" i="27" s="1"/>
  <c r="AB146" i="27" s="1"/>
  <c r="AF146" i="27" s="1"/>
  <c r="AJ146" i="27" s="1"/>
  <c r="J28" i="52"/>
  <c r="AY19" i="52" s="1"/>
  <c r="R143" i="27" s="1" a="1"/>
  <c r="R143" i="27" s="1"/>
  <c r="AB143" i="27" s="1"/>
  <c r="AF143" i="27" s="1"/>
  <c r="AJ143" i="27" s="1"/>
  <c r="L28" i="52"/>
  <c r="BA19" i="52" s="1"/>
  <c r="R145" i="27" s="1" a="1"/>
  <c r="R145" i="27" s="1"/>
  <c r="AB145" i="27" s="1"/>
  <c r="AF145" i="27" s="1"/>
  <c r="AJ145" i="27" s="1"/>
  <c r="N28" i="52"/>
  <c r="BC19" i="52" s="1"/>
  <c r="R147" i="27" s="1" a="1"/>
  <c r="R147" i="27" s="1"/>
  <c r="AB147" i="27" s="1"/>
  <c r="AF147" i="27" s="1"/>
  <c r="AJ147" i="27" s="1"/>
  <c r="K28" i="52"/>
  <c r="AZ19" i="52" s="1"/>
  <c r="R144" i="27" s="1" a="1"/>
  <c r="R144" i="27" s="1"/>
  <c r="AB144" i="27" s="1"/>
  <c r="AF144" i="27" s="1"/>
  <c r="AJ144" i="27" s="1"/>
  <c r="H40" i="52"/>
  <c r="P40" i="52"/>
  <c r="CF18" i="52"/>
  <c r="T9" i="13"/>
  <c r="T43" i="10"/>
  <c r="Y42" i="10" s="1"/>
  <c r="AB42" i="10" s="1"/>
  <c r="AM43" i="10"/>
  <c r="AI98" i="10"/>
  <c r="AK98" i="10" s="1"/>
  <c r="AI97" i="10"/>
  <c r="U140" i="7"/>
  <c r="U141" i="7" s="1"/>
  <c r="U142" i="7" s="1"/>
  <c r="U143" i="7" s="1"/>
  <c r="U144" i="7" s="1"/>
  <c r="U145" i="7" s="1"/>
  <c r="U146" i="7" s="1"/>
  <c r="U147" i="7" s="1"/>
  <c r="CE22" i="52" s="1"/>
  <c r="N139" i="10"/>
  <c r="AI96" i="10"/>
  <c r="H93" i="8"/>
  <c r="M93" i="8" s="1"/>
  <c r="R101" i="7" s="1"/>
  <c r="P100" i="10" s="1"/>
  <c r="AA93" i="8"/>
  <c r="F93" i="8"/>
  <c r="L93" i="8" s="1"/>
  <c r="Q101" i="7" s="1"/>
  <c r="O100" i="10" s="1"/>
  <c r="Z93" i="8"/>
  <c r="AJ497" i="8"/>
  <c r="AJ498" i="8" s="1"/>
  <c r="AJ499" i="8" s="1"/>
  <c r="AJ500" i="8" s="1"/>
  <c r="AJ501" i="8" s="1"/>
  <c r="X93" i="8"/>
  <c r="B93" i="8"/>
  <c r="J93" i="8" s="1"/>
  <c r="O101" i="7" s="1"/>
  <c r="D93" i="8"/>
  <c r="Y93" i="8"/>
  <c r="AF107" i="38"/>
  <c r="AK107" i="38" s="1"/>
  <c r="X107" i="38"/>
  <c r="X127" i="35"/>
  <c r="AF127" i="35"/>
  <c r="AK127" i="35" s="1"/>
  <c r="K43" i="18"/>
  <c r="D45" i="55" s="1"/>
  <c r="O69" i="13"/>
  <c r="P58" i="13"/>
  <c r="B44" i="18"/>
  <c r="R308" i="25" l="1" a="1"/>
  <c r="R308" i="25" s="1"/>
  <c r="AB308" i="25" s="1"/>
  <c r="AF308" i="25" s="1"/>
  <c r="AJ308" i="25" s="1"/>
  <c r="AI13" i="10"/>
  <c r="AK13" i="10" s="1"/>
  <c r="AI11" i="10"/>
  <c r="O44" i="18"/>
  <c r="C46" i="55"/>
  <c r="L45" i="55"/>
  <c r="M45" i="55"/>
  <c r="K45" i="55"/>
  <c r="N45" i="55"/>
  <c r="A46" i="55"/>
  <c r="M44" i="18"/>
  <c r="L44" i="18"/>
  <c r="R45" i="55"/>
  <c r="T45" i="55"/>
  <c r="U45" i="55"/>
  <c r="S45" i="55"/>
  <c r="Q45" i="55"/>
  <c r="U95" i="8" a="1"/>
  <c r="U95" i="8" s="1"/>
  <c r="Q95" i="8" a="1"/>
  <c r="Q95" i="8" s="1"/>
  <c r="P95" i="8" a="1"/>
  <c r="P95" i="8" s="1"/>
  <c r="C95" i="8" s="1"/>
  <c r="T95" i="8" a="1"/>
  <c r="T95" i="8" s="1"/>
  <c r="G95" i="8" s="1"/>
  <c r="S95" i="8" a="1"/>
  <c r="S95" i="8" s="1"/>
  <c r="R95" i="8" a="1"/>
  <c r="R95" i="8" s="1"/>
  <c r="E95" i="8" s="1"/>
  <c r="I144" i="13" s="1"/>
  <c r="V95" i="8" a="1"/>
  <c r="V95" i="8" s="1"/>
  <c r="I95" i="8" s="1"/>
  <c r="O95" i="8" a="1"/>
  <c r="O95" i="8" s="1"/>
  <c r="V19" i="52"/>
  <c r="BK6" i="52" s="1"/>
  <c r="U19" i="52"/>
  <c r="BJ6" i="52" s="1"/>
  <c r="AB175" i="27"/>
  <c r="AC19" i="27" s="1"/>
  <c r="AJ138" i="27"/>
  <c r="AJ175" i="27" s="1"/>
  <c r="AC21" i="27" s="1"/>
  <c r="AF175" i="27"/>
  <c r="AC20" i="27" s="1"/>
  <c r="O40" i="52"/>
  <c r="R40" i="52"/>
  <c r="Q40" i="52"/>
  <c r="M40" i="52"/>
  <c r="J40" i="52"/>
  <c r="L40" i="52"/>
  <c r="N40" i="52"/>
  <c r="K40" i="52"/>
  <c r="R139" i="10"/>
  <c r="AN141" i="10" s="1"/>
  <c r="V139" i="10"/>
  <c r="H145" i="13"/>
  <c r="AK96" i="10"/>
  <c r="H96" i="10" s="1"/>
  <c r="AJ96" i="10"/>
  <c r="AK97" i="10" s="1"/>
  <c r="H97" i="10" s="1"/>
  <c r="A45" i="18"/>
  <c r="D45" i="18" s="1"/>
  <c r="B47" i="55" s="1"/>
  <c r="K93" i="8"/>
  <c r="P101" i="7" s="1"/>
  <c r="N100" i="10" s="1"/>
  <c r="B94" i="8"/>
  <c r="J94" i="8" s="1"/>
  <c r="J101" i="7" s="1"/>
  <c r="AF100" i="10" s="1"/>
  <c r="X94" i="8"/>
  <c r="AA94" i="8"/>
  <c r="H94" i="8"/>
  <c r="M94" i="8" s="1"/>
  <c r="M101" i="7" s="1"/>
  <c r="K100" i="10" s="1"/>
  <c r="U226" i="38"/>
  <c r="AJ502" i="8"/>
  <c r="AJ503" i="8" s="1"/>
  <c r="AJ504" i="8" s="1"/>
  <c r="AJ505" i="8" s="1"/>
  <c r="AJ506" i="8" s="1"/>
  <c r="F94" i="8"/>
  <c r="L94" i="8" s="1"/>
  <c r="L101" i="7" s="1"/>
  <c r="J100" i="10" s="1"/>
  <c r="Z94" i="8"/>
  <c r="D94" i="8"/>
  <c r="K94" i="8" s="1"/>
  <c r="K101" i="7" s="1"/>
  <c r="I100" i="10" s="1"/>
  <c r="S99" i="10" s="1"/>
  <c r="Y94" i="8"/>
  <c r="AF165" i="38"/>
  <c r="AK165" i="38" s="1"/>
  <c r="X165" i="38"/>
  <c r="X165" i="35"/>
  <c r="AF165" i="35"/>
  <c r="AK165" i="35" s="1"/>
  <c r="R43" i="18"/>
  <c r="O70" i="13"/>
  <c r="P59" i="13"/>
  <c r="C44" i="18"/>
  <c r="R309" i="25" l="1" a="1"/>
  <c r="R309" i="25" s="1"/>
  <c r="AB309" i="25" s="1"/>
  <c r="AF309" i="25" s="1"/>
  <c r="AJ309" i="25" s="1"/>
  <c r="R310" i="25" a="1"/>
  <c r="R310" i="25" s="1"/>
  <c r="AB310" i="25" s="1"/>
  <c r="AF310" i="25" s="1"/>
  <c r="AJ310" i="25" s="1"/>
  <c r="F46" i="55"/>
  <c r="P46" i="55"/>
  <c r="J46" i="55"/>
  <c r="O46" i="55"/>
  <c r="R96" i="8" a="1"/>
  <c r="R96" i="8" s="1"/>
  <c r="E96" i="8" s="1"/>
  <c r="I121" i="13" s="1"/>
  <c r="V96" i="8" a="1"/>
  <c r="V96" i="8" s="1"/>
  <c r="I96" i="8" s="1"/>
  <c r="P96" i="8" a="1"/>
  <c r="P96" i="8" s="1"/>
  <c r="C96" i="8" s="1"/>
  <c r="O96" i="8" a="1"/>
  <c r="O96" i="8" s="1"/>
  <c r="S96" i="8" a="1"/>
  <c r="S96" i="8" s="1"/>
  <c r="Q96" i="8" a="1"/>
  <c r="Q96" i="8" s="1"/>
  <c r="U96" i="8" a="1"/>
  <c r="U96" i="8" s="1"/>
  <c r="T96" i="8" a="1"/>
  <c r="T96" i="8" s="1"/>
  <c r="G96" i="8" s="1"/>
  <c r="T79" i="52"/>
  <c r="BI10" i="52" s="1"/>
  <c r="W231" i="70"/>
  <c r="S106" i="52"/>
  <c r="BH22" i="52" s="1"/>
  <c r="W205" i="70"/>
  <c r="O145" i="13"/>
  <c r="E45" i="18"/>
  <c r="X226" i="38"/>
  <c r="AJ97" i="10"/>
  <c r="AJ98" i="10" s="1"/>
  <c r="AF226" i="38"/>
  <c r="AK226" i="38" s="1"/>
  <c r="Q97" i="10"/>
  <c r="E78" i="52" s="1"/>
  <c r="N68" i="13"/>
  <c r="G68" i="13" s="1"/>
  <c r="N67" i="13"/>
  <c r="G67" i="13" s="1"/>
  <c r="AL96" i="10"/>
  <c r="Q96" i="10"/>
  <c r="E77" i="52" s="1"/>
  <c r="T69" i="13"/>
  <c r="R226" i="38"/>
  <c r="AG100" i="10"/>
  <c r="AG101" i="10" s="1"/>
  <c r="AK11" i="10"/>
  <c r="H11" i="10" s="1"/>
  <c r="AJ11" i="10"/>
  <c r="R100" i="10"/>
  <c r="W229" i="70" s="1"/>
  <c r="S96" i="13"/>
  <c r="W139" i="10"/>
  <c r="AA139" i="10" s="1"/>
  <c r="D95" i="8"/>
  <c r="Y95" i="8"/>
  <c r="H95" i="8"/>
  <c r="M95" i="8" s="1"/>
  <c r="R98" i="7" s="1"/>
  <c r="P97" i="10" s="1"/>
  <c r="AA95" i="8"/>
  <c r="AJ507" i="8"/>
  <c r="AJ508" i="8" s="1"/>
  <c r="AJ509" i="8" s="1"/>
  <c r="AJ510" i="8" s="1"/>
  <c r="AJ511" i="8" s="1"/>
  <c r="F95" i="8"/>
  <c r="L95" i="8" s="1"/>
  <c r="Q98" i="7" s="1"/>
  <c r="O97" i="10" s="1"/>
  <c r="Z95" i="8"/>
  <c r="X95" i="8"/>
  <c r="B95" i="8"/>
  <c r="J95" i="8" s="1"/>
  <c r="O98" i="7" s="1"/>
  <c r="X213" i="38"/>
  <c r="AF213" i="38"/>
  <c r="AK213" i="38" s="1"/>
  <c r="AF218" i="35"/>
  <c r="AK218" i="35" s="1"/>
  <c r="X218" i="35"/>
  <c r="K44" i="18"/>
  <c r="D46" i="55" s="1"/>
  <c r="O71" i="13"/>
  <c r="O72" i="13"/>
  <c r="P60" i="13"/>
  <c r="B45" i="18"/>
  <c r="R257" i="38" l="1" a="1"/>
  <c r="R257" i="38" s="1"/>
  <c r="AB257" i="38" s="1"/>
  <c r="AF257" i="38" s="1"/>
  <c r="AJ257" i="38" s="1"/>
  <c r="C47" i="55"/>
  <c r="O45" i="18"/>
  <c r="N46" i="55"/>
  <c r="L46" i="55"/>
  <c r="M46" i="55"/>
  <c r="K46" i="55"/>
  <c r="A47" i="55"/>
  <c r="M45" i="18"/>
  <c r="R46" i="55"/>
  <c r="T46" i="55"/>
  <c r="U46" i="55"/>
  <c r="S46" i="55"/>
  <c r="Q46" i="55"/>
  <c r="L45" i="18"/>
  <c r="P97" i="8" a="1"/>
  <c r="P97" i="8" s="1"/>
  <c r="C97" i="8" s="1"/>
  <c r="Q97" i="8" a="1"/>
  <c r="Q97" i="8" s="1"/>
  <c r="R97" i="8" a="1"/>
  <c r="R97" i="8" s="1"/>
  <c r="E97" i="8" s="1"/>
  <c r="I122" i="13" s="1"/>
  <c r="V97" i="8" a="1"/>
  <c r="V97" i="8" s="1"/>
  <c r="I97" i="8" s="1"/>
  <c r="O97" i="8" a="1"/>
  <c r="O97" i="8" s="1"/>
  <c r="S97" i="8" a="1"/>
  <c r="S97" i="8" s="1"/>
  <c r="U97" i="8" a="1"/>
  <c r="U97" i="8" s="1"/>
  <c r="T97" i="8" a="1"/>
  <c r="T97" i="8" s="1"/>
  <c r="G97" i="8" s="1"/>
  <c r="V79" i="52"/>
  <c r="BK10" i="52" s="1"/>
  <c r="U79" i="52"/>
  <c r="BJ10" i="52" s="1"/>
  <c r="W203" i="70"/>
  <c r="W204" i="70"/>
  <c r="H77" i="52"/>
  <c r="P77" i="52"/>
  <c r="H78" i="52"/>
  <c r="P78" i="52"/>
  <c r="S70" i="13"/>
  <c r="S80" i="52"/>
  <c r="R418" i="35" a="1"/>
  <c r="R418" i="35" s="1"/>
  <c r="AB418" i="35" s="1"/>
  <c r="AF418" i="35" s="1"/>
  <c r="AJ418" i="35" s="1"/>
  <c r="R419" i="35" a="1"/>
  <c r="R419" i="35" s="1"/>
  <c r="AB419" i="35" s="1"/>
  <c r="AF419" i="35" s="1"/>
  <c r="AJ419" i="35" s="1"/>
  <c r="AN101" i="10"/>
  <c r="AI101" i="10"/>
  <c r="AK101" i="10" s="1"/>
  <c r="AI99" i="10"/>
  <c r="R67" i="13"/>
  <c r="AM96" i="10"/>
  <c r="AL97" i="10" s="1"/>
  <c r="T96" i="10"/>
  <c r="N9" i="13"/>
  <c r="G9" i="13" s="1"/>
  <c r="AL11" i="10"/>
  <c r="Q11" i="10"/>
  <c r="E19" i="52" s="1"/>
  <c r="R68" i="13"/>
  <c r="AK12" i="10"/>
  <c r="H12" i="10" s="1"/>
  <c r="AJ12" i="10"/>
  <c r="AJ13" i="10" s="1"/>
  <c r="H144" i="13"/>
  <c r="AI100" i="10"/>
  <c r="A46" i="18"/>
  <c r="D46" i="18" s="1"/>
  <c r="B48" i="55" s="1"/>
  <c r="AJ512" i="8"/>
  <c r="AJ513" i="8" s="1"/>
  <c r="AJ514" i="8" s="1"/>
  <c r="AJ515" i="8" s="1"/>
  <c r="AJ516" i="8" s="1"/>
  <c r="H96" i="8"/>
  <c r="M96" i="8" s="1"/>
  <c r="R11" i="7" s="1"/>
  <c r="P11" i="10" s="1"/>
  <c r="AA96" i="8"/>
  <c r="Y96" i="8"/>
  <c r="D96" i="8"/>
  <c r="H121" i="13" s="1"/>
  <c r="F96" i="8"/>
  <c r="L96" i="8" s="1"/>
  <c r="Q11" i="7" s="1"/>
  <c r="O11" i="10" s="1"/>
  <c r="Z96" i="8"/>
  <c r="X96" i="8"/>
  <c r="B96" i="8"/>
  <c r="J96" i="8" s="1"/>
  <c r="O11" i="7" s="1"/>
  <c r="K95" i="8"/>
  <c r="U121" i="38"/>
  <c r="X62" i="40"/>
  <c r="AF62" i="40"/>
  <c r="AK62" i="40" s="1"/>
  <c r="AF113" i="40"/>
  <c r="AK113" i="40" s="1"/>
  <c r="X113" i="40"/>
  <c r="AF65" i="36"/>
  <c r="AK65" i="36" s="1"/>
  <c r="X65" i="36"/>
  <c r="R44" i="18"/>
  <c r="O73" i="13"/>
  <c r="P61" i="13"/>
  <c r="C45" i="18"/>
  <c r="R258" i="38" l="1" a="1"/>
  <c r="R258" i="38" s="1"/>
  <c r="AB258" i="38" s="1"/>
  <c r="AF258" i="38" s="1"/>
  <c r="AJ258" i="38" s="1"/>
  <c r="R259" i="38" a="1"/>
  <c r="R259" i="38" s="1"/>
  <c r="AB259" i="38" s="1"/>
  <c r="AF259" i="38" s="1"/>
  <c r="AJ259" i="38" s="1"/>
  <c r="F47" i="55"/>
  <c r="P47" i="55"/>
  <c r="O47" i="55"/>
  <c r="J47" i="55"/>
  <c r="R102" i="8" a="1"/>
  <c r="R102" i="8" s="1"/>
  <c r="E102" i="8" s="1"/>
  <c r="P102" i="8" a="1"/>
  <c r="P102" i="8" s="1"/>
  <c r="C102" i="8" s="1"/>
  <c r="T102" i="8" a="1"/>
  <c r="T102" i="8" s="1"/>
  <c r="G102" i="8" s="1"/>
  <c r="O102" i="8" a="1"/>
  <c r="O102" i="8" s="1"/>
  <c r="Q102" i="8" a="1"/>
  <c r="Q102" i="8" s="1"/>
  <c r="S102" i="8" a="1"/>
  <c r="S102" i="8" s="1"/>
  <c r="U102" i="8" a="1"/>
  <c r="U102" i="8" s="1"/>
  <c r="V102" i="8" a="1"/>
  <c r="V102" i="8" s="1"/>
  <c r="I102" i="8" s="1"/>
  <c r="O144" i="13"/>
  <c r="E46" i="18"/>
  <c r="Q78" i="52"/>
  <c r="O78" i="52"/>
  <c r="R78" i="52"/>
  <c r="O77" i="52"/>
  <c r="R77" i="52"/>
  <c r="Q77" i="52"/>
  <c r="N78" i="52"/>
  <c r="K78" i="52"/>
  <c r="M78" i="52"/>
  <c r="J78" i="52"/>
  <c r="L78" i="52"/>
  <c r="M77" i="52"/>
  <c r="J77" i="52"/>
  <c r="L77" i="52"/>
  <c r="N77" i="52"/>
  <c r="K77" i="52"/>
  <c r="H19" i="52"/>
  <c r="P19" i="52"/>
  <c r="T97" i="10"/>
  <c r="Y96" i="10" s="1"/>
  <c r="AB96" i="10" s="1"/>
  <c r="AM97" i="10"/>
  <c r="R121" i="38"/>
  <c r="N10" i="13"/>
  <c r="G10" i="13" s="1"/>
  <c r="Q12" i="10"/>
  <c r="E6" i="52"/>
  <c r="AT17" i="52" s="1"/>
  <c r="R190" i="32" s="1" a="1"/>
  <c r="R190" i="32" s="1"/>
  <c r="R9" i="13"/>
  <c r="T11" i="10"/>
  <c r="AM11" i="10"/>
  <c r="AL12" i="10" s="1"/>
  <c r="AJ99" i="10"/>
  <c r="AK100" i="10" s="1"/>
  <c r="H100" i="10" s="1"/>
  <c r="AK99" i="10"/>
  <c r="H99" i="10" s="1"/>
  <c r="AF121" i="38"/>
  <c r="AK121" i="38" s="1"/>
  <c r="X121" i="38"/>
  <c r="X127" i="25"/>
  <c r="AJ517" i="8"/>
  <c r="AJ518" i="8" s="1"/>
  <c r="AJ519" i="8" s="1"/>
  <c r="AJ520" i="8" s="1"/>
  <c r="AJ521" i="8" s="1"/>
  <c r="K96" i="8"/>
  <c r="P11" i="7" s="1"/>
  <c r="Z97" i="8"/>
  <c r="F97" i="8"/>
  <c r="L97" i="8" s="1"/>
  <c r="Q12" i="7" s="1"/>
  <c r="O12" i="10" s="1"/>
  <c r="P98" i="7"/>
  <c r="H97" i="8"/>
  <c r="M97" i="8" s="1"/>
  <c r="R12" i="7" s="1"/>
  <c r="P12" i="10" s="1"/>
  <c r="AA97" i="8"/>
  <c r="U127" i="25"/>
  <c r="D97" i="8"/>
  <c r="H122" i="13" s="1"/>
  <c r="Y97" i="8"/>
  <c r="B97" i="8"/>
  <c r="J97" i="8" s="1"/>
  <c r="O12" i="7" s="1"/>
  <c r="X97" i="8"/>
  <c r="AF164" i="40"/>
  <c r="AK164" i="40" s="1"/>
  <c r="X164" i="40"/>
  <c r="X129" i="36"/>
  <c r="AF129" i="36"/>
  <c r="AK129" i="36" s="1"/>
  <c r="K45" i="18"/>
  <c r="D47" i="55" s="1"/>
  <c r="O74" i="13"/>
  <c r="P62" i="13"/>
  <c r="B46" i="18"/>
  <c r="A48" i="55" l="1"/>
  <c r="M46" i="18"/>
  <c r="L46" i="18"/>
  <c r="C48" i="55"/>
  <c r="O46" i="18"/>
  <c r="N47" i="55"/>
  <c r="L47" i="55"/>
  <c r="M47" i="55"/>
  <c r="K47" i="55"/>
  <c r="T47" i="55"/>
  <c r="R47" i="55"/>
  <c r="U47" i="55"/>
  <c r="S47" i="55"/>
  <c r="Q47" i="55"/>
  <c r="P103" i="8" a="1"/>
  <c r="P103" i="8" s="1"/>
  <c r="C103" i="8" s="1"/>
  <c r="Q103" i="8" a="1"/>
  <c r="Q103" i="8" s="1"/>
  <c r="T103" i="8" a="1"/>
  <c r="T103" i="8" s="1"/>
  <c r="G103" i="8" s="1"/>
  <c r="V103" i="8" a="1"/>
  <c r="V103" i="8" s="1"/>
  <c r="I103" i="8" s="1"/>
  <c r="U103" i="8" a="1"/>
  <c r="U103" i="8" s="1"/>
  <c r="S103" i="8" a="1"/>
  <c r="S103" i="8" s="1"/>
  <c r="R103" i="8" a="1"/>
  <c r="R103" i="8" s="1"/>
  <c r="E103" i="8" s="1"/>
  <c r="O103" i="8" a="1"/>
  <c r="O103" i="8" s="1"/>
  <c r="AC24" i="32"/>
  <c r="AB190" i="32"/>
  <c r="O19" i="52"/>
  <c r="R19" i="52"/>
  <c r="Q19" i="52"/>
  <c r="N19" i="52"/>
  <c r="K19" i="52"/>
  <c r="M19" i="52"/>
  <c r="J19" i="52"/>
  <c r="L19" i="52"/>
  <c r="R10" i="13"/>
  <c r="E20" i="52"/>
  <c r="CJ17" i="52"/>
  <c r="CJ8" i="52"/>
  <c r="U98" i="7"/>
  <c r="U99" i="7" s="1"/>
  <c r="U100" i="7" s="1"/>
  <c r="U101" i="7" s="1"/>
  <c r="U102" i="7" s="1"/>
  <c r="CE10" i="52" s="1"/>
  <c r="N97" i="10"/>
  <c r="N69" i="13"/>
  <c r="G69" i="13" s="1"/>
  <c r="Q99" i="10"/>
  <c r="E79" i="52" s="1"/>
  <c r="AL99" i="10"/>
  <c r="V99" i="10"/>
  <c r="Q100" i="10"/>
  <c r="E80" i="52" s="1"/>
  <c r="N70" i="13"/>
  <c r="G70" i="13" s="1"/>
  <c r="AM12" i="10"/>
  <c r="T12" i="10"/>
  <c r="Y11" i="10" s="1"/>
  <c r="AB11" i="10" s="1"/>
  <c r="AJ100" i="10"/>
  <c r="AJ101" i="10" s="1"/>
  <c r="U11" i="7"/>
  <c r="N11" i="10"/>
  <c r="O121" i="13"/>
  <c r="A47" i="18"/>
  <c r="D47" i="18" s="1"/>
  <c r="B49" i="55" s="1"/>
  <c r="AF127" i="25"/>
  <c r="AK127" i="25" s="1"/>
  <c r="R127" i="25"/>
  <c r="AF180" i="25"/>
  <c r="AK180" i="25" s="1"/>
  <c r="AA102" i="8"/>
  <c r="H102" i="8"/>
  <c r="M102" i="8" s="1"/>
  <c r="Y102" i="8"/>
  <c r="D102" i="8"/>
  <c r="K102" i="8" s="1"/>
  <c r="Z102" i="8"/>
  <c r="F102" i="8"/>
  <c r="L102" i="8" s="1"/>
  <c r="AJ522" i="8"/>
  <c r="AJ523" i="8" s="1"/>
  <c r="AJ524" i="8" s="1"/>
  <c r="AJ525" i="8" s="1"/>
  <c r="AJ526" i="8" s="1"/>
  <c r="X102" i="8"/>
  <c r="B102" i="8"/>
  <c r="J102" i="8" s="1"/>
  <c r="U180" i="25"/>
  <c r="K97" i="8"/>
  <c r="O122" i="13" s="1"/>
  <c r="X221" i="40"/>
  <c r="AF221" i="40"/>
  <c r="AK221" i="40" s="1"/>
  <c r="AF165" i="36"/>
  <c r="AK165" i="36" s="1"/>
  <c r="X165" i="36"/>
  <c r="R45" i="18"/>
  <c r="P63" i="13"/>
  <c r="C46" i="18"/>
  <c r="F48" i="55" l="1"/>
  <c r="E47" i="18"/>
  <c r="P48" i="55"/>
  <c r="O48" i="55"/>
  <c r="J48" i="55"/>
  <c r="V114" i="8" a="1"/>
  <c r="V114" i="8" s="1"/>
  <c r="I114" i="8" s="1"/>
  <c r="P114" i="8" a="1"/>
  <c r="P114" i="8" s="1"/>
  <c r="C114" i="8" s="1"/>
  <c r="O114" i="8" a="1"/>
  <c r="O114" i="8" s="1"/>
  <c r="R114" i="8" a="1"/>
  <c r="R114" i="8" s="1"/>
  <c r="E114" i="8" s="1"/>
  <c r="Q114" i="8" a="1"/>
  <c r="Q114" i="8" s="1"/>
  <c r="T114" i="8" a="1"/>
  <c r="T114" i="8" s="1"/>
  <c r="G114" i="8" s="1"/>
  <c r="U114" i="8" a="1"/>
  <c r="U114" i="8" s="1"/>
  <c r="S114" i="8" a="1"/>
  <c r="S114" i="8" s="1"/>
  <c r="AF190" i="32"/>
  <c r="AJ190" i="32" s="1"/>
  <c r="AT10" i="52"/>
  <c r="R242" i="38" s="1" a="1"/>
  <c r="R242" i="38" s="1"/>
  <c r="H80" i="52"/>
  <c r="P80" i="52"/>
  <c r="H79" i="52"/>
  <c r="P79" i="52"/>
  <c r="H20" i="52"/>
  <c r="P20" i="52"/>
  <c r="R70" i="13"/>
  <c r="AM99" i="10"/>
  <c r="AL100" i="10" s="1"/>
  <c r="T99" i="10"/>
  <c r="R69" i="13"/>
  <c r="W99" i="10"/>
  <c r="AA99" i="10" s="1"/>
  <c r="R11" i="10"/>
  <c r="V96" i="10"/>
  <c r="R97" i="10"/>
  <c r="AN98" i="10" s="1"/>
  <c r="X180" i="25"/>
  <c r="R180" i="25"/>
  <c r="AJ527" i="8"/>
  <c r="AJ528" i="8" s="1"/>
  <c r="AJ529" i="8" s="1"/>
  <c r="AJ530" i="8" s="1"/>
  <c r="AJ531" i="8" s="1"/>
  <c r="X103" i="8"/>
  <c r="B103" i="8"/>
  <c r="J103" i="8" s="1"/>
  <c r="O153" i="7" s="1"/>
  <c r="Z103" i="8"/>
  <c r="F103" i="8"/>
  <c r="L103" i="8" s="1"/>
  <c r="Q153" i="7" s="1"/>
  <c r="O152" i="10" s="1"/>
  <c r="AA103" i="8"/>
  <c r="H103" i="8"/>
  <c r="M103" i="8" s="1"/>
  <c r="R153" i="7" s="1"/>
  <c r="P152" i="10" s="1"/>
  <c r="Y103" i="8"/>
  <c r="D103" i="8"/>
  <c r="P12" i="7"/>
  <c r="AF64" i="37"/>
  <c r="AK64" i="37" s="1"/>
  <c r="X64" i="37"/>
  <c r="K46" i="18"/>
  <c r="D48" i="55" s="1"/>
  <c r="O75" i="13"/>
  <c r="O76" i="13"/>
  <c r="P64" i="13"/>
  <c r="B47" i="18"/>
  <c r="N48" i="55" l="1"/>
  <c r="L48" i="55"/>
  <c r="M48" i="55"/>
  <c r="K48" i="55"/>
  <c r="R48" i="55"/>
  <c r="S48" i="55"/>
  <c r="T48" i="55"/>
  <c r="U48" i="55"/>
  <c r="Q48" i="55"/>
  <c r="C49" i="55"/>
  <c r="O47" i="18"/>
  <c r="A49" i="55"/>
  <c r="M47" i="18"/>
  <c r="L47" i="18"/>
  <c r="F114" i="8"/>
  <c r="L114" i="8" s="1"/>
  <c r="L107" i="7" s="1"/>
  <c r="J106" i="10" s="1"/>
  <c r="Z114" i="8"/>
  <c r="H114" i="8"/>
  <c r="M114" i="8" s="1"/>
  <c r="M107" i="7" s="1"/>
  <c r="K106" i="10" s="1"/>
  <c r="AA114" i="8"/>
  <c r="D114" i="8"/>
  <c r="K114" i="8" s="1"/>
  <c r="K107" i="7" s="1"/>
  <c r="I106" i="10" s="1"/>
  <c r="Y114" i="8"/>
  <c r="U115" i="8" a="1"/>
  <c r="U115" i="8" s="1"/>
  <c r="T115" i="8" a="1"/>
  <c r="T115" i="8" s="1"/>
  <c r="G115" i="8" s="1"/>
  <c r="V115" i="8" a="1"/>
  <c r="V115" i="8" s="1"/>
  <c r="I115" i="8" s="1"/>
  <c r="R115" i="8" a="1"/>
  <c r="R115" i="8" s="1"/>
  <c r="E115" i="8" s="1"/>
  <c r="O115" i="8" a="1"/>
  <c r="O115" i="8" s="1"/>
  <c r="S115" i="8" a="1"/>
  <c r="S115" i="8" s="1"/>
  <c r="Q115" i="8" a="1"/>
  <c r="Q115" i="8" s="1"/>
  <c r="P115" i="8" a="1"/>
  <c r="P115" i="8" s="1"/>
  <c r="C115" i="8" s="1"/>
  <c r="B114" i="8"/>
  <c r="J114" i="8" s="1"/>
  <c r="J107" i="7" s="1"/>
  <c r="X114" i="8"/>
  <c r="AB242" i="38"/>
  <c r="AF242" i="38" s="1"/>
  <c r="AJ242" i="38" s="1"/>
  <c r="S78" i="52"/>
  <c r="BH10" i="52" s="1"/>
  <c r="R256" i="38" s="1" a="1"/>
  <c r="R256" i="38" s="1"/>
  <c r="AB256" i="38" s="1"/>
  <c r="AF256" i="38" s="1"/>
  <c r="AJ256" i="38" s="1"/>
  <c r="W223" i="70"/>
  <c r="S19" i="52"/>
  <c r="W235" i="70"/>
  <c r="AW10" i="52"/>
  <c r="R245" i="38" s="1" a="1"/>
  <c r="R245" i="38" s="1"/>
  <c r="AB245" i="38" s="1"/>
  <c r="BE10" i="52"/>
  <c r="R253" i="38" s="1" a="1"/>
  <c r="R253" i="38" s="1"/>
  <c r="AB253" i="38" s="1"/>
  <c r="AF253" i="38" s="1"/>
  <c r="AJ253" i="38" s="1"/>
  <c r="Q79" i="52"/>
  <c r="O79" i="52"/>
  <c r="R79" i="52"/>
  <c r="O20" i="52"/>
  <c r="R20" i="52"/>
  <c r="Q20" i="52"/>
  <c r="R80" i="52"/>
  <c r="Q80" i="52"/>
  <c r="O80" i="52"/>
  <c r="N20" i="52"/>
  <c r="K20" i="52"/>
  <c r="M20" i="52"/>
  <c r="J20" i="52"/>
  <c r="L20" i="52"/>
  <c r="N79" i="52"/>
  <c r="K79" i="52"/>
  <c r="M79" i="52"/>
  <c r="J79" i="52"/>
  <c r="L79" i="52"/>
  <c r="N80" i="52"/>
  <c r="K80" i="52"/>
  <c r="M80" i="52"/>
  <c r="J80" i="52"/>
  <c r="L80" i="52"/>
  <c r="U12" i="7"/>
  <c r="U13" i="7" s="1"/>
  <c r="U14" i="7" s="1"/>
  <c r="U15" i="7" s="1"/>
  <c r="U16" i="7" s="1"/>
  <c r="CE6" i="52" s="1"/>
  <c r="N12" i="10"/>
  <c r="H157" i="13"/>
  <c r="S9" i="13"/>
  <c r="CJ10" i="52"/>
  <c r="T100" i="10"/>
  <c r="Y99" i="10" s="1"/>
  <c r="AB99" i="10" s="1"/>
  <c r="AM100" i="10"/>
  <c r="S68" i="13"/>
  <c r="W96" i="10"/>
  <c r="AA96" i="10" s="1"/>
  <c r="A48" i="18"/>
  <c r="D48" i="18" s="1"/>
  <c r="B50" i="55" s="1"/>
  <c r="AJ532" i="8"/>
  <c r="AJ533" i="8" s="1"/>
  <c r="AJ534" i="8" s="1"/>
  <c r="AJ535" i="8" s="1"/>
  <c r="AJ536" i="8" s="1"/>
  <c r="K103" i="8"/>
  <c r="U59" i="50"/>
  <c r="X107" i="41"/>
  <c r="AF107" i="41"/>
  <c r="AK107" i="41" s="1"/>
  <c r="X61" i="41"/>
  <c r="AF61" i="41"/>
  <c r="AK61" i="41" s="1"/>
  <c r="AF110" i="37"/>
  <c r="AK110" i="37" s="1"/>
  <c r="X110" i="37"/>
  <c r="R46" i="18"/>
  <c r="O77" i="13"/>
  <c r="P65" i="13"/>
  <c r="C47" i="18"/>
  <c r="O157" i="13" l="1"/>
  <c r="X59" i="50"/>
  <c r="AF59" i="50"/>
  <c r="AK59" i="50" s="1"/>
  <c r="AF106" i="10"/>
  <c r="AG106" i="10" s="1"/>
  <c r="AG107" i="10" s="1"/>
  <c r="AI107" i="10" s="1"/>
  <c r="AK107" i="10" s="1"/>
  <c r="P49" i="55"/>
  <c r="J49" i="55"/>
  <c r="O49" i="55"/>
  <c r="F49" i="55"/>
  <c r="H115" i="8"/>
  <c r="M115" i="8" s="1"/>
  <c r="R107" i="7" s="1"/>
  <c r="P106" i="10" s="1"/>
  <c r="AA115" i="8"/>
  <c r="I149" i="13"/>
  <c r="D115" i="8"/>
  <c r="H149" i="13" s="1"/>
  <c r="Y115" i="8"/>
  <c r="P116" i="8" a="1"/>
  <c r="P116" i="8" s="1"/>
  <c r="C116" i="8" s="1"/>
  <c r="S116" i="8" a="1"/>
  <c r="S116" i="8" s="1"/>
  <c r="T116" i="8" a="1"/>
  <c r="T116" i="8" s="1"/>
  <c r="G116" i="8" s="1"/>
  <c r="O116" i="8" a="1"/>
  <c r="O116" i="8" s="1"/>
  <c r="V116" i="8" a="1"/>
  <c r="V116" i="8" s="1"/>
  <c r="I116" i="8" s="1"/>
  <c r="R116" i="8" a="1"/>
  <c r="R116" i="8" s="1"/>
  <c r="E116" i="8" s="1"/>
  <c r="Q116" i="8" a="1"/>
  <c r="Q116" i="8" s="1"/>
  <c r="U116" i="8" a="1"/>
  <c r="U116" i="8" s="1"/>
  <c r="F115" i="8"/>
  <c r="L115" i="8" s="1"/>
  <c r="Q107" i="7" s="1"/>
  <c r="O106" i="10" s="1"/>
  <c r="Z115" i="8"/>
  <c r="B115" i="8"/>
  <c r="J115" i="8" s="1"/>
  <c r="O107" i="7" s="1"/>
  <c r="X115" i="8"/>
  <c r="AC24" i="38"/>
  <c r="AF245" i="38"/>
  <c r="AJ245" i="38" s="1"/>
  <c r="W222" i="70"/>
  <c r="W221" i="70"/>
  <c r="E48" i="18"/>
  <c r="BA10" i="52"/>
  <c r="R249" i="38" s="1" a="1"/>
  <c r="R249" i="38" s="1"/>
  <c r="AB249" i="38" s="1"/>
  <c r="AF249" i="38" s="1"/>
  <c r="AJ249" i="38" s="1"/>
  <c r="BG10" i="52"/>
  <c r="R255" i="38" s="1" a="1"/>
  <c r="R255" i="38" s="1"/>
  <c r="AB255" i="38" s="1"/>
  <c r="AF255" i="38" s="1"/>
  <c r="AJ255" i="38" s="1"/>
  <c r="BB10" i="52"/>
  <c r="R250" i="38" s="1" a="1"/>
  <c r="R250" i="38" s="1"/>
  <c r="AB250" i="38" s="1"/>
  <c r="AF250" i="38" s="1"/>
  <c r="AJ250" i="38" s="1"/>
  <c r="AZ10" i="52"/>
  <c r="R248" i="38" s="1" a="1"/>
  <c r="R248" i="38" s="1"/>
  <c r="AB248" i="38" s="1"/>
  <c r="AF248" i="38" s="1"/>
  <c r="AJ248" i="38" s="1"/>
  <c r="BD10" i="52"/>
  <c r="R252" i="38" s="1" a="1"/>
  <c r="R252" i="38" s="1"/>
  <c r="AB252" i="38" s="1"/>
  <c r="AF252" i="38" s="1"/>
  <c r="AJ252" i="38" s="1"/>
  <c r="AY10" i="52"/>
  <c r="R247" i="38" s="1" a="1"/>
  <c r="R247" i="38" s="1"/>
  <c r="AB247" i="38" s="1"/>
  <c r="AF247" i="38" s="1"/>
  <c r="AJ247" i="38" s="1"/>
  <c r="BF10" i="52"/>
  <c r="R254" i="38" s="1" a="1"/>
  <c r="R254" i="38" s="1"/>
  <c r="AB254" i="38" s="1"/>
  <c r="AF254" i="38" s="1"/>
  <c r="AJ254" i="38" s="1"/>
  <c r="BC10" i="52"/>
  <c r="R251" i="38" s="1" a="1"/>
  <c r="R251" i="38" s="1"/>
  <c r="AB251" i="38" s="1"/>
  <c r="AF251" i="38" s="1"/>
  <c r="AJ251" i="38" s="1"/>
  <c r="R59" i="50"/>
  <c r="R12" i="10"/>
  <c r="V11" i="10"/>
  <c r="AJ537" i="8"/>
  <c r="AJ538" i="8" s="1"/>
  <c r="AJ539" i="8" s="1"/>
  <c r="AJ540" i="8" s="1"/>
  <c r="AJ541" i="8" s="1"/>
  <c r="X160" i="41"/>
  <c r="AF160" i="41"/>
  <c r="AK160" i="41" s="1"/>
  <c r="X168" i="37"/>
  <c r="AF168" i="37"/>
  <c r="AK168" i="37" s="1"/>
  <c r="K47" i="18"/>
  <c r="D49" i="55" s="1"/>
  <c r="O78" i="13"/>
  <c r="P66" i="13"/>
  <c r="B48" i="18"/>
  <c r="L48" i="18" s="1"/>
  <c r="AI106" i="10" l="1"/>
  <c r="AJ106" i="10" s="1"/>
  <c r="AJ107" i="10" s="1"/>
  <c r="N49" i="55"/>
  <c r="L49" i="55"/>
  <c r="M49" i="55"/>
  <c r="K49" i="55"/>
  <c r="A50" i="55"/>
  <c r="M48" i="18"/>
  <c r="C50" i="55"/>
  <c r="O48" i="18"/>
  <c r="R49" i="55"/>
  <c r="T49" i="55"/>
  <c r="S49" i="55"/>
  <c r="U49" i="55"/>
  <c r="Q49" i="55"/>
  <c r="K115" i="8"/>
  <c r="O149" i="13" s="1"/>
  <c r="H116" i="8"/>
  <c r="M116" i="8" s="1"/>
  <c r="M132" i="7" s="1"/>
  <c r="K131" i="10" s="1"/>
  <c r="AA116" i="8"/>
  <c r="D116" i="8"/>
  <c r="K116" i="8" s="1"/>
  <c r="K132" i="7" s="1"/>
  <c r="I131" i="10" s="1"/>
  <c r="S132" i="10" s="1"/>
  <c r="W273" i="70" s="1"/>
  <c r="Y116" i="8"/>
  <c r="F116" i="8"/>
  <c r="L116" i="8" s="1"/>
  <c r="L132" i="7" s="1"/>
  <c r="J131" i="10" s="1"/>
  <c r="Z116" i="8"/>
  <c r="P117" i="8" a="1"/>
  <c r="P117" i="8" s="1"/>
  <c r="C117" i="8" s="1"/>
  <c r="R117" i="8" a="1"/>
  <c r="R117" i="8" s="1"/>
  <c r="E117" i="8" s="1"/>
  <c r="U117" i="8" a="1"/>
  <c r="U117" i="8" s="1"/>
  <c r="T117" i="8" a="1"/>
  <c r="T117" i="8" s="1"/>
  <c r="G117" i="8" s="1"/>
  <c r="O117" i="8" a="1"/>
  <c r="O117" i="8" s="1"/>
  <c r="Q117" i="8" a="1"/>
  <c r="Q117" i="8" s="1"/>
  <c r="V117" i="8" a="1"/>
  <c r="V117" i="8" s="1"/>
  <c r="I117" i="8" s="1"/>
  <c r="S117" i="8" a="1"/>
  <c r="S117" i="8" s="1"/>
  <c r="B116" i="8"/>
  <c r="J116" i="8" s="1"/>
  <c r="J132" i="7" s="1"/>
  <c r="AF131" i="10" s="1"/>
  <c r="X116" i="8"/>
  <c r="AJ279" i="38"/>
  <c r="AC21" i="38" s="1"/>
  <c r="AF279" i="38"/>
  <c r="AB279" i="38"/>
  <c r="AC19" i="38" s="1"/>
  <c r="S20" i="52"/>
  <c r="W239" i="70"/>
  <c r="S10" i="13"/>
  <c r="AN13" i="10"/>
  <c r="W11" i="10"/>
  <c r="AA11" i="10" s="1"/>
  <c r="A49" i="18"/>
  <c r="D49" i="18" s="1"/>
  <c r="B51" i="55" s="1"/>
  <c r="R235" i="40"/>
  <c r="X235" i="40"/>
  <c r="U235" i="40"/>
  <c r="AF235" i="40"/>
  <c r="AK235" i="40" s="1"/>
  <c r="AJ542" i="8"/>
  <c r="AJ543" i="8" s="1"/>
  <c r="AJ544" i="8" s="1"/>
  <c r="AJ545" i="8" s="1"/>
  <c r="AJ546" i="8" s="1"/>
  <c r="AF213" i="41"/>
  <c r="AK213" i="41" s="1"/>
  <c r="X213" i="41"/>
  <c r="AF216" i="37"/>
  <c r="AK216" i="37" s="1"/>
  <c r="X216" i="37"/>
  <c r="R47" i="18"/>
  <c r="P67" i="13"/>
  <c r="C48" i="18"/>
  <c r="V152" i="10" l="1"/>
  <c r="R152" i="10"/>
  <c r="F50" i="55"/>
  <c r="P50" i="55"/>
  <c r="J50" i="55"/>
  <c r="O50" i="55"/>
  <c r="F117" i="8"/>
  <c r="L117" i="8" s="1"/>
  <c r="L133" i="7" s="1"/>
  <c r="J132" i="10" s="1"/>
  <c r="Z117" i="8"/>
  <c r="D117" i="8"/>
  <c r="K117" i="8" s="1"/>
  <c r="K133" i="7" s="1"/>
  <c r="Y117" i="8"/>
  <c r="B117" i="8"/>
  <c r="J117" i="8" s="1"/>
  <c r="J133" i="7" s="1"/>
  <c r="AF132" i="10" s="1"/>
  <c r="X117" i="8"/>
  <c r="H117" i="8"/>
  <c r="M117" i="8" s="1"/>
  <c r="M133" i="7" s="1"/>
  <c r="K132" i="10" s="1"/>
  <c r="AA117" i="8"/>
  <c r="V118" i="8" a="1"/>
  <c r="V118" i="8" s="1"/>
  <c r="I118" i="8" s="1"/>
  <c r="S118" i="8" a="1"/>
  <c r="S118" i="8" s="1"/>
  <c r="O118" i="8" a="1"/>
  <c r="O118" i="8" s="1"/>
  <c r="Q118" i="8" a="1"/>
  <c r="Q118" i="8" s="1"/>
  <c r="U118" i="8" a="1"/>
  <c r="U118" i="8" s="1"/>
  <c r="R118" i="8" a="1"/>
  <c r="R118" i="8" s="1"/>
  <c r="E118" i="8" s="1"/>
  <c r="T118" i="8" a="1"/>
  <c r="T118" i="8" s="1"/>
  <c r="G118" i="8" s="1"/>
  <c r="P118" i="8" a="1"/>
  <c r="P118" i="8" s="1"/>
  <c r="C118" i="8" s="1"/>
  <c r="W234" i="70"/>
  <c r="W233" i="70"/>
  <c r="E49" i="18"/>
  <c r="CF17" i="52"/>
  <c r="T92" i="13"/>
  <c r="T102" i="52"/>
  <c r="AG131" i="10"/>
  <c r="P107" i="7"/>
  <c r="AJ547" i="8"/>
  <c r="AJ548" i="8" s="1"/>
  <c r="AJ549" i="8" s="1"/>
  <c r="AJ550" i="8" s="1"/>
  <c r="AJ551" i="8" s="1"/>
  <c r="AF64" i="38"/>
  <c r="AK64" i="38" s="1"/>
  <c r="X64" i="38"/>
  <c r="K48" i="18"/>
  <c r="D50" i="55" s="1"/>
  <c r="O79" i="13"/>
  <c r="O80" i="13"/>
  <c r="P68" i="13"/>
  <c r="B49" i="18"/>
  <c r="C51" i="55" l="1"/>
  <c r="O49" i="18"/>
  <c r="M50" i="55"/>
  <c r="N50" i="55"/>
  <c r="K50" i="55"/>
  <c r="L50" i="55"/>
  <c r="A51" i="55"/>
  <c r="M49" i="18"/>
  <c r="L49" i="18"/>
  <c r="R50" i="55"/>
  <c r="T50" i="55"/>
  <c r="U50" i="55"/>
  <c r="S50" i="55"/>
  <c r="Q50" i="55"/>
  <c r="R119" i="8" a="1"/>
  <c r="R119" i="8" s="1"/>
  <c r="E119" i="8" s="1"/>
  <c r="O119" i="8" a="1"/>
  <c r="O119" i="8" s="1"/>
  <c r="P119" i="8" a="1"/>
  <c r="P119" i="8" s="1"/>
  <c r="C119" i="8" s="1"/>
  <c r="U119" i="8" a="1"/>
  <c r="U119" i="8" s="1"/>
  <c r="S119" i="8" a="1"/>
  <c r="S119" i="8" s="1"/>
  <c r="V119" i="8" a="1"/>
  <c r="V119" i="8" s="1"/>
  <c r="I119" i="8" s="1"/>
  <c r="Q119" i="8" a="1"/>
  <c r="Q119" i="8" s="1"/>
  <c r="T119" i="8" a="1"/>
  <c r="T119" i="8" s="1"/>
  <c r="G119" i="8" s="1"/>
  <c r="I160" i="13"/>
  <c r="H118" i="8"/>
  <c r="M118" i="8" s="1"/>
  <c r="R132" i="7" s="1"/>
  <c r="P131" i="10" s="1"/>
  <c r="AA118" i="8"/>
  <c r="D118" i="8"/>
  <c r="H160" i="13" s="1"/>
  <c r="Y118" i="8"/>
  <c r="B118" i="8"/>
  <c r="J118" i="8" s="1"/>
  <c r="O132" i="7" s="1"/>
  <c r="X118" i="8"/>
  <c r="F118" i="8"/>
  <c r="L118" i="8" s="1"/>
  <c r="Q132" i="7" s="1"/>
  <c r="O131" i="10" s="1"/>
  <c r="Z118" i="8"/>
  <c r="S112" i="52"/>
  <c r="BH14" i="52" s="1"/>
  <c r="CF14" i="52" s="1"/>
  <c r="W245" i="70"/>
  <c r="W243" i="70" s="1"/>
  <c r="AN154" i="10"/>
  <c r="BH4" i="52"/>
  <c r="BH9" i="52"/>
  <c r="R257" i="30" s="1" a="1"/>
  <c r="R257" i="30" s="1"/>
  <c r="AB257" i="30" s="1"/>
  <c r="BH6" i="52"/>
  <c r="R307" i="25" s="1" a="1"/>
  <c r="R307" i="25" s="1"/>
  <c r="AB307" i="25" s="1"/>
  <c r="AF307" i="25" s="1"/>
  <c r="AJ307" i="25" s="1"/>
  <c r="U102" i="52"/>
  <c r="V102" i="52"/>
  <c r="AG132" i="10"/>
  <c r="AG133" i="10" s="1"/>
  <c r="AI132" i="10" s="1"/>
  <c r="I132" i="10"/>
  <c r="S131" i="10" s="1"/>
  <c r="U107" i="7"/>
  <c r="U108" i="7" s="1"/>
  <c r="N106" i="10"/>
  <c r="V106" i="10" s="1"/>
  <c r="S102" i="13"/>
  <c r="W152" i="10"/>
  <c r="AA152" i="10" s="1"/>
  <c r="A50" i="18"/>
  <c r="D50" i="18" s="1"/>
  <c r="B52" i="55" s="1"/>
  <c r="AJ552" i="8"/>
  <c r="AJ553" i="8" s="1"/>
  <c r="AJ554" i="8" s="1"/>
  <c r="AJ555" i="8" s="1"/>
  <c r="AF266" i="41"/>
  <c r="AK266" i="41" s="1"/>
  <c r="X266" i="41"/>
  <c r="X324" i="41"/>
  <c r="AF324" i="41"/>
  <c r="AK324" i="41" s="1"/>
  <c r="AF110" i="38"/>
  <c r="AK110" i="38" s="1"/>
  <c r="X110" i="38"/>
  <c r="R48" i="18"/>
  <c r="O81" i="13"/>
  <c r="P69" i="13"/>
  <c r="C49" i="18"/>
  <c r="CE26" i="52" l="1"/>
  <c r="CE25" i="52"/>
  <c r="R351" i="29" a="1"/>
  <c r="R351" i="29" s="1"/>
  <c r="AB351" i="29" s="1"/>
  <c r="F51" i="55"/>
  <c r="E50" i="18"/>
  <c r="C52" i="55" s="1"/>
  <c r="P51" i="55"/>
  <c r="O51" i="55"/>
  <c r="J51" i="55"/>
  <c r="K118" i="8"/>
  <c r="P132" i="7" s="1"/>
  <c r="D119" i="8"/>
  <c r="H161" i="13" s="1"/>
  <c r="Y119" i="8"/>
  <c r="F119" i="8"/>
  <c r="L119" i="8" s="1"/>
  <c r="Q133" i="7" s="1"/>
  <c r="O132" i="10" s="1"/>
  <c r="Z119" i="8"/>
  <c r="H119" i="8"/>
  <c r="M119" i="8" s="1"/>
  <c r="R133" i="7" s="1"/>
  <c r="P132" i="10" s="1"/>
  <c r="AA119" i="8"/>
  <c r="B119" i="8"/>
  <c r="J119" i="8" s="1"/>
  <c r="O133" i="7" s="1"/>
  <c r="X119" i="8"/>
  <c r="I161" i="13"/>
  <c r="AF257" i="30"/>
  <c r="AJ257" i="30" s="1"/>
  <c r="T101" i="52"/>
  <c r="BI20" i="52" s="1"/>
  <c r="BI33" i="52" s="1"/>
  <c r="W267" i="70"/>
  <c r="W244" i="70"/>
  <c r="R195" i="50" a="1"/>
  <c r="R195" i="50" s="1"/>
  <c r="AB195" i="50" s="1"/>
  <c r="AF195" i="50" s="1"/>
  <c r="AJ195" i="50" s="1"/>
  <c r="CF4" i="52"/>
  <c r="R106" i="10"/>
  <c r="T91" i="13"/>
  <c r="S179" i="10"/>
  <c r="AV34" i="52" s="1"/>
  <c r="AI133" i="10"/>
  <c r="AK133" i="10" s="1"/>
  <c r="AI131" i="10"/>
  <c r="AF123" i="44"/>
  <c r="AK123" i="44" s="1"/>
  <c r="X123" i="44"/>
  <c r="U123" i="44"/>
  <c r="AF372" i="41"/>
  <c r="AK372" i="41" s="1"/>
  <c r="X372" i="41"/>
  <c r="X168" i="38"/>
  <c r="AF168" i="38"/>
  <c r="AK168" i="38" s="1"/>
  <c r="K49" i="18"/>
  <c r="D51" i="55" s="1"/>
  <c r="O83" i="13"/>
  <c r="O82" i="13"/>
  <c r="P70" i="13"/>
  <c r="B50" i="18"/>
  <c r="AV35" i="52" l="1"/>
  <c r="O50" i="18"/>
  <c r="R51" i="55"/>
  <c r="T51" i="55"/>
  <c r="U51" i="55"/>
  <c r="S51" i="55"/>
  <c r="Q51" i="55"/>
  <c r="A52" i="55"/>
  <c r="M50" i="18"/>
  <c r="F52" i="55" s="1"/>
  <c r="K51" i="55"/>
  <c r="N51" i="55"/>
  <c r="M51" i="55"/>
  <c r="L51" i="55"/>
  <c r="L50" i="18"/>
  <c r="O160" i="13"/>
  <c r="K119" i="8"/>
  <c r="P133" i="7" s="1"/>
  <c r="CM7" i="52" s="1"/>
  <c r="CN17" i="52" s="1"/>
  <c r="V101" i="52"/>
  <c r="BK20" i="52" s="1"/>
  <c r="BK33" i="52" s="1"/>
  <c r="U101" i="52"/>
  <c r="BJ20" i="52" s="1"/>
  <c r="BJ33" i="52" s="1"/>
  <c r="AF351" i="29"/>
  <c r="AJ351" i="29" s="1"/>
  <c r="S84" i="52"/>
  <c r="W259" i="70"/>
  <c r="R417" i="35" a="1"/>
  <c r="R417" i="35" s="1"/>
  <c r="AB417" i="35" s="1"/>
  <c r="AF417" i="35" s="1"/>
  <c r="AJ417" i="35" s="1"/>
  <c r="AJ131" i="10"/>
  <c r="AK131" i="10"/>
  <c r="H131" i="10" s="1"/>
  <c r="U132" i="7"/>
  <c r="N131" i="10"/>
  <c r="AN107" i="10"/>
  <c r="W106" i="10"/>
  <c r="AA106" i="10" s="1"/>
  <c r="S74" i="13"/>
  <c r="A51" i="18"/>
  <c r="D51" i="18" s="1"/>
  <c r="B53" i="55" s="1"/>
  <c r="CF8" i="52"/>
  <c r="R179" i="44"/>
  <c r="R123" i="44"/>
  <c r="U179" i="44"/>
  <c r="AF478" i="41"/>
  <c r="AK478" i="41" s="1"/>
  <c r="X478" i="41"/>
  <c r="X425" i="41"/>
  <c r="AF425" i="41"/>
  <c r="AK425" i="41" s="1"/>
  <c r="AF216" i="38"/>
  <c r="AK216" i="38" s="1"/>
  <c r="X216" i="38"/>
  <c r="R49" i="18"/>
  <c r="O84" i="13"/>
  <c r="P71" i="13"/>
  <c r="C50" i="18"/>
  <c r="R105" i="64" l="1" a="1"/>
  <c r="R105" i="64" s="1"/>
  <c r="AB105" i="64" s="1"/>
  <c r="BH25" i="52"/>
  <c r="P52" i="55"/>
  <c r="J52" i="55"/>
  <c r="O52" i="55"/>
  <c r="O161" i="13"/>
  <c r="W258" i="70"/>
  <c r="W257" i="70"/>
  <c r="E51" i="18"/>
  <c r="CF9" i="52"/>
  <c r="N132" i="10"/>
  <c r="R132" i="10" s="1"/>
  <c r="W271" i="70" s="1"/>
  <c r="R131" i="10"/>
  <c r="N91" i="13"/>
  <c r="G91" i="13" s="1"/>
  <c r="AL131" i="10"/>
  <c r="Q131" i="10"/>
  <c r="E101" i="52" s="1"/>
  <c r="AK132" i="10"/>
  <c r="H132" i="10" s="1"/>
  <c r="AJ132" i="10"/>
  <c r="AJ133" i="10" s="1"/>
  <c r="AF179" i="44"/>
  <c r="AK179" i="44" s="1"/>
  <c r="X179" i="44"/>
  <c r="U133" i="7"/>
  <c r="U134" i="7" s="1"/>
  <c r="U135" i="7" s="1"/>
  <c r="U136" i="7" s="1"/>
  <c r="U137" i="7" s="1"/>
  <c r="U138" i="7" s="1"/>
  <c r="U139" i="7" s="1"/>
  <c r="CE20" i="52" s="1"/>
  <c r="X536" i="41"/>
  <c r="AF536" i="41"/>
  <c r="AK536" i="41" s="1"/>
  <c r="X65" i="40"/>
  <c r="AF65" i="40"/>
  <c r="AK65" i="40" s="1"/>
  <c r="K50" i="18"/>
  <c r="D52" i="55" s="1"/>
  <c r="O85" i="13"/>
  <c r="P72" i="13"/>
  <c r="B51" i="18"/>
  <c r="AC24" i="64" l="1"/>
  <c r="AF105" i="64"/>
  <c r="AB128" i="64"/>
  <c r="AC19" i="64" s="1"/>
  <c r="C53" i="55"/>
  <c r="O51" i="18"/>
  <c r="A53" i="55"/>
  <c r="M51" i="18"/>
  <c r="K52" i="55"/>
  <c r="N52" i="55"/>
  <c r="L52" i="55"/>
  <c r="M52" i="55"/>
  <c r="R52" i="55"/>
  <c r="T52" i="55"/>
  <c r="U52" i="55"/>
  <c r="S52" i="55"/>
  <c r="Q52" i="55"/>
  <c r="L51" i="18"/>
  <c r="S101" i="52"/>
  <c r="W265" i="70"/>
  <c r="AN133" i="10"/>
  <c r="S92" i="13"/>
  <c r="S102" i="52"/>
  <c r="H101" i="52"/>
  <c r="P101" i="52"/>
  <c r="V131" i="10"/>
  <c r="Q132" i="10"/>
  <c r="E102" i="52" s="1"/>
  <c r="N92" i="13"/>
  <c r="G92" i="13" s="1"/>
  <c r="H179" i="10"/>
  <c r="H180" i="10" s="1"/>
  <c r="R91" i="13"/>
  <c r="AM131" i="10"/>
  <c r="AL132" i="10" s="1"/>
  <c r="T131" i="10"/>
  <c r="S91" i="13"/>
  <c r="R179" i="10"/>
  <c r="AU34" i="52" s="1"/>
  <c r="A52" i="18"/>
  <c r="D52" i="18" s="1"/>
  <c r="B54" i="55" s="1"/>
  <c r="AF584" i="41"/>
  <c r="AK584" i="41" s="1"/>
  <c r="X584" i="41"/>
  <c r="X116" i="40"/>
  <c r="AF116" i="40"/>
  <c r="AK116" i="40" s="1"/>
  <c r="R50" i="18"/>
  <c r="O86" i="13"/>
  <c r="P73" i="13"/>
  <c r="C51" i="18"/>
  <c r="AJ105" i="64" l="1"/>
  <c r="AJ128" i="64" s="1"/>
  <c r="AC21" i="64" s="1"/>
  <c r="AC23" i="64" s="1"/>
  <c r="AC25" i="64" s="1"/>
  <c r="AF128" i="64"/>
  <c r="AC20" i="64" s="1"/>
  <c r="F53" i="55"/>
  <c r="E52" i="18"/>
  <c r="P53" i="55"/>
  <c r="J53" i="55"/>
  <c r="O53" i="55"/>
  <c r="BH20" i="52"/>
  <c r="CM8" i="52" s="1"/>
  <c r="W263" i="70"/>
  <c r="W264" i="70"/>
  <c r="AT9" i="52"/>
  <c r="AT20" i="52"/>
  <c r="O101" i="52"/>
  <c r="Q101" i="52"/>
  <c r="R101" i="52"/>
  <c r="M101" i="52"/>
  <c r="J101" i="52"/>
  <c r="L101" i="52"/>
  <c r="N101" i="52"/>
  <c r="K101" i="52"/>
  <c r="H102" i="52"/>
  <c r="AW9" i="52" s="1"/>
  <c r="R246" i="30" s="1" a="1"/>
  <c r="R246" i="30" s="1"/>
  <c r="AB246" i="30" s="1"/>
  <c r="P102" i="52"/>
  <c r="BE9" i="52" s="1"/>
  <c r="R254" i="30" s="1" a="1"/>
  <c r="R254" i="30" s="1"/>
  <c r="AB254" i="30" s="1"/>
  <c r="AF254" i="30" s="1"/>
  <c r="AJ254" i="30" s="1"/>
  <c r="CJ12" i="52"/>
  <c r="W131" i="10"/>
  <c r="AA131" i="10" s="1"/>
  <c r="AM132" i="10"/>
  <c r="T132" i="10"/>
  <c r="CM4" i="52" s="1"/>
  <c r="R92" i="13"/>
  <c r="R168" i="13" s="1"/>
  <c r="X637" i="41"/>
  <c r="AF637" i="41"/>
  <c r="AK637" i="41" s="1"/>
  <c r="X167" i="40"/>
  <c r="AF167" i="40"/>
  <c r="AK167" i="40" s="1"/>
  <c r="K51" i="18"/>
  <c r="D53" i="55" s="1"/>
  <c r="O88" i="13"/>
  <c r="O87" i="13"/>
  <c r="P74" i="13"/>
  <c r="B52" i="18"/>
  <c r="BH33" i="52" l="1"/>
  <c r="A54" i="55"/>
  <c r="M52" i="18"/>
  <c r="L52" i="18"/>
  <c r="N53" i="55"/>
  <c r="M53" i="55"/>
  <c r="L53" i="55"/>
  <c r="K53" i="55"/>
  <c r="R53" i="55"/>
  <c r="T53" i="55"/>
  <c r="U53" i="55"/>
  <c r="S53" i="55"/>
  <c r="Q53" i="55"/>
  <c r="C54" i="55"/>
  <c r="O52" i="18"/>
  <c r="CJ9" i="52"/>
  <c r="R243" i="30" a="1"/>
  <c r="R243" i="30" s="1"/>
  <c r="AF246" i="30"/>
  <c r="AJ246" i="30" s="1"/>
  <c r="BE20" i="52"/>
  <c r="O102" i="52"/>
  <c r="BD9" i="52" s="1"/>
  <c r="R253" i="30" s="1" a="1"/>
  <c r="R253" i="30" s="1"/>
  <c r="AB253" i="30" s="1"/>
  <c r="AF253" i="30" s="1"/>
  <c r="AJ253" i="30" s="1"/>
  <c r="R102" i="52"/>
  <c r="BG20" i="52" s="1"/>
  <c r="Q102" i="52"/>
  <c r="BF20" i="52" s="1"/>
  <c r="N102" i="52"/>
  <c r="BC9" i="52" s="1"/>
  <c r="R252" i="30" s="1" a="1"/>
  <c r="R252" i="30" s="1"/>
  <c r="AB252" i="30" s="1"/>
  <c r="AF252" i="30" s="1"/>
  <c r="AJ252" i="30" s="1"/>
  <c r="K102" i="52"/>
  <c r="AZ9" i="52" s="1"/>
  <c r="R249" i="30" s="1" a="1"/>
  <c r="R249" i="30" s="1"/>
  <c r="AB249" i="30" s="1"/>
  <c r="AF249" i="30" s="1"/>
  <c r="AJ249" i="30" s="1"/>
  <c r="M102" i="52"/>
  <c r="BB9" i="52" s="1"/>
  <c r="R251" i="30" s="1" a="1"/>
  <c r="R251" i="30" s="1"/>
  <c r="AB251" i="30" s="1"/>
  <c r="AF251" i="30" s="1"/>
  <c r="AJ251" i="30" s="1"/>
  <c r="J102" i="52"/>
  <c r="AY9" i="52" s="1"/>
  <c r="R248" i="30" s="1" a="1"/>
  <c r="R248" i="30" s="1"/>
  <c r="AB248" i="30" s="1"/>
  <c r="AF248" i="30" s="1"/>
  <c r="AJ248" i="30" s="1"/>
  <c r="L102" i="52"/>
  <c r="BA9" i="52" s="1"/>
  <c r="R250" i="30" s="1" a="1"/>
  <c r="R250" i="30" s="1"/>
  <c r="AB250" i="30" s="1"/>
  <c r="CF25" i="52"/>
  <c r="Y131" i="10"/>
  <c r="AB131" i="10" s="1"/>
  <c r="T179" i="10"/>
  <c r="Q179" i="10" s="1"/>
  <c r="A53" i="18"/>
  <c r="D53" i="18" s="1"/>
  <c r="B55" i="55" s="1"/>
  <c r="X690" i="41"/>
  <c r="AF690" i="41"/>
  <c r="AK690" i="41" s="1"/>
  <c r="AF61" i="43"/>
  <c r="AK61" i="43" s="1"/>
  <c r="X61" i="43"/>
  <c r="X224" i="40"/>
  <c r="AF224" i="40"/>
  <c r="AK224" i="40" s="1"/>
  <c r="R51" i="18"/>
  <c r="O89" i="13"/>
  <c r="P75" i="13"/>
  <c r="C52" i="18"/>
  <c r="AU35" i="52" l="1"/>
  <c r="F54" i="55"/>
  <c r="P54" i="55"/>
  <c r="J54" i="55"/>
  <c r="O54" i="55"/>
  <c r="AF250" i="30"/>
  <c r="AJ250" i="30" s="1"/>
  <c r="AB243" i="30"/>
  <c r="E53" i="18"/>
  <c r="AZ20" i="52"/>
  <c r="BC20" i="52"/>
  <c r="BA20" i="52"/>
  <c r="AY20" i="52"/>
  <c r="BD20" i="52"/>
  <c r="R321" i="44" s="1" a="1"/>
  <c r="R321" i="44" s="1"/>
  <c r="AB321" i="44" s="1"/>
  <c r="AF321" i="44" s="1"/>
  <c r="AJ321" i="44" s="1"/>
  <c r="BF9" i="52"/>
  <c r="R255" i="30" s="1" a="1"/>
  <c r="R255" i="30" s="1"/>
  <c r="AB255" i="30" s="1"/>
  <c r="AF255" i="30" s="1"/>
  <c r="AJ255" i="30" s="1"/>
  <c r="BF6" i="52"/>
  <c r="BG9" i="52"/>
  <c r="R256" i="30" s="1" a="1"/>
  <c r="R256" i="30" s="1"/>
  <c r="AB256" i="30" s="1"/>
  <c r="AF256" i="30" s="1"/>
  <c r="AJ256" i="30" s="1"/>
  <c r="BG6" i="52"/>
  <c r="BB20" i="52"/>
  <c r="Q180" i="10"/>
  <c r="AF121" i="43"/>
  <c r="AK121" i="43" s="1"/>
  <c r="X121" i="43"/>
  <c r="AF64" i="41"/>
  <c r="AK64" i="41" s="1"/>
  <c r="X64" i="41"/>
  <c r="K52" i="18"/>
  <c r="D54" i="55" s="1"/>
  <c r="O90" i="13"/>
  <c r="P76" i="13"/>
  <c r="B53" i="18"/>
  <c r="R306" i="25" l="1" a="1"/>
  <c r="R306" i="25" s="1"/>
  <c r="AB306" i="25" s="1"/>
  <c r="AF306" i="25" s="1"/>
  <c r="AJ306" i="25" s="1"/>
  <c r="BG33" i="52"/>
  <c r="R305" i="25" a="1"/>
  <c r="R305" i="25" s="1"/>
  <c r="AB305" i="25" s="1"/>
  <c r="AF305" i="25" s="1"/>
  <c r="AJ305" i="25" s="1"/>
  <c r="BF33" i="52"/>
  <c r="R169" i="13"/>
  <c r="R170" i="13" s="1"/>
  <c r="AT34" i="52"/>
  <c r="C55" i="55"/>
  <c r="O53" i="18"/>
  <c r="N54" i="55"/>
  <c r="L54" i="55"/>
  <c r="M54" i="55"/>
  <c r="K54" i="55"/>
  <c r="A55" i="55"/>
  <c r="M53" i="18"/>
  <c r="R54" i="55"/>
  <c r="T54" i="55"/>
  <c r="U54" i="55"/>
  <c r="S54" i="55"/>
  <c r="Q54" i="55"/>
  <c r="L53" i="18"/>
  <c r="AF243" i="30"/>
  <c r="AJ243" i="30" s="1"/>
  <c r="Q183" i="10"/>
  <c r="T180" i="10"/>
  <c r="A54" i="18"/>
  <c r="D54" i="18" s="1"/>
  <c r="B56" i="55" s="1"/>
  <c r="N53" i="18"/>
  <c r="X61" i="44"/>
  <c r="AF61" i="44"/>
  <c r="AK61" i="44" s="1"/>
  <c r="X110" i="41"/>
  <c r="AF110" i="41"/>
  <c r="AK110" i="41" s="1"/>
  <c r="R52" i="18"/>
  <c r="P77" i="13"/>
  <c r="C53" i="18"/>
  <c r="E55" i="55" l="1"/>
  <c r="F55" i="55"/>
  <c r="P55" i="55"/>
  <c r="O55" i="55"/>
  <c r="J55" i="55"/>
  <c r="E54" i="18"/>
  <c r="AF163" i="41"/>
  <c r="AK163" i="41" s="1"/>
  <c r="X163" i="41"/>
  <c r="K53" i="18"/>
  <c r="D55" i="55" s="1"/>
  <c r="O91" i="13"/>
  <c r="P78" i="13"/>
  <c r="B54" i="18"/>
  <c r="G55" i="55" l="1"/>
  <c r="H55" i="55" s="1"/>
  <c r="I55" i="55" s="1"/>
  <c r="A56" i="55"/>
  <c r="M54" i="18"/>
  <c r="C56" i="55"/>
  <c r="O54" i="18"/>
  <c r="L54" i="18"/>
  <c r="M55" i="55"/>
  <c r="K55" i="55"/>
  <c r="N55" i="55"/>
  <c r="L55" i="55"/>
  <c r="R55" i="55"/>
  <c r="T55" i="55"/>
  <c r="U55" i="55"/>
  <c r="S55" i="55"/>
  <c r="Q55" i="55"/>
  <c r="A55" i="18"/>
  <c r="D55" i="18" s="1"/>
  <c r="B57" i="55" s="1"/>
  <c r="N54" i="18"/>
  <c r="X110" i="44"/>
  <c r="AF110" i="44"/>
  <c r="AK110" i="44" s="1"/>
  <c r="AF216" i="41"/>
  <c r="AK216" i="41" s="1"/>
  <c r="X216" i="41"/>
  <c r="R53" i="18"/>
  <c r="O92" i="13"/>
  <c r="P79" i="13"/>
  <c r="C54" i="18"/>
  <c r="E56" i="55" l="1"/>
  <c r="F56" i="55"/>
  <c r="P56" i="55"/>
  <c r="J56" i="55"/>
  <c r="O56" i="55"/>
  <c r="E55" i="18"/>
  <c r="AF165" i="44"/>
  <c r="AK165" i="44" s="1"/>
  <c r="X165" i="44"/>
  <c r="X222" i="44"/>
  <c r="AF222" i="44"/>
  <c r="AK222" i="44" s="1"/>
  <c r="X269" i="41"/>
  <c r="AF269" i="41"/>
  <c r="AK269" i="41" s="1"/>
  <c r="K54" i="18"/>
  <c r="D56" i="55" s="1"/>
  <c r="O94" i="13"/>
  <c r="P80" i="13"/>
  <c r="B55" i="18"/>
  <c r="G56" i="55" l="1"/>
  <c r="H56" i="55" s="1"/>
  <c r="I56" i="55" s="1"/>
  <c r="C57" i="55"/>
  <c r="O55" i="18"/>
  <c r="A57" i="55"/>
  <c r="M55" i="18"/>
  <c r="K56" i="55"/>
  <c r="N56" i="55"/>
  <c r="M56" i="55"/>
  <c r="L56" i="55"/>
  <c r="R56" i="55"/>
  <c r="T56" i="55"/>
  <c r="U56" i="55"/>
  <c r="S56" i="55"/>
  <c r="Q56" i="55"/>
  <c r="L55" i="18"/>
  <c r="A56" i="18"/>
  <c r="D56" i="18" s="1"/>
  <c r="B58" i="55" s="1"/>
  <c r="N55" i="18"/>
  <c r="AF265" i="44"/>
  <c r="AK265" i="44" s="1"/>
  <c r="X265" i="44"/>
  <c r="AF327" i="41"/>
  <c r="AK327" i="41" s="1"/>
  <c r="X327" i="41"/>
  <c r="R54" i="18"/>
  <c r="O95" i="13"/>
  <c r="P81" i="13"/>
  <c r="C55" i="18"/>
  <c r="E57" i="55" l="1"/>
  <c r="P57" i="55"/>
  <c r="O57" i="55"/>
  <c r="J57" i="55"/>
  <c r="F57" i="55"/>
  <c r="E56" i="18"/>
  <c r="AF299" i="44"/>
  <c r="AK299" i="44" s="1"/>
  <c r="X299" i="44"/>
  <c r="AF375" i="41"/>
  <c r="AK375" i="41" s="1"/>
  <c r="X375" i="41"/>
  <c r="K55" i="18"/>
  <c r="D57" i="55" s="1"/>
  <c r="O96" i="13"/>
  <c r="P82" i="13"/>
  <c r="B56" i="18"/>
  <c r="G57" i="55" l="1"/>
  <c r="H57" i="55" s="1"/>
  <c r="I57" i="55" s="1"/>
  <c r="C58" i="55"/>
  <c r="O56" i="18"/>
  <c r="A58" i="55"/>
  <c r="L56" i="18"/>
  <c r="M56" i="18"/>
  <c r="L57" i="55"/>
  <c r="M57" i="55"/>
  <c r="N57" i="55"/>
  <c r="K57" i="55"/>
  <c r="A57" i="18"/>
  <c r="D57" i="18" s="1"/>
  <c r="B59" i="55" s="1"/>
  <c r="X62" i="46"/>
  <c r="AF62" i="46"/>
  <c r="AK62" i="46" s="1"/>
  <c r="AF428" i="41"/>
  <c r="AK428" i="41" s="1"/>
  <c r="X428" i="41"/>
  <c r="R55" i="18"/>
  <c r="O97" i="13"/>
  <c r="P83" i="13"/>
  <c r="C56" i="18"/>
  <c r="P58" i="55" l="1"/>
  <c r="O58" i="55"/>
  <c r="J58" i="55"/>
  <c r="F58" i="55"/>
  <c r="E57" i="18"/>
  <c r="X125" i="46"/>
  <c r="AF125" i="46"/>
  <c r="AK125" i="46" s="1"/>
  <c r="AF481" i="41"/>
  <c r="AK481" i="41" s="1"/>
  <c r="X481" i="41"/>
  <c r="K56" i="18"/>
  <c r="D58" i="55" s="1"/>
  <c r="O98" i="13"/>
  <c r="O99" i="13"/>
  <c r="P84" i="13"/>
  <c r="B57" i="18"/>
  <c r="A59" i="55" s="1"/>
  <c r="C59" i="55" l="1"/>
  <c r="O57" i="18"/>
  <c r="N58" i="55"/>
  <c r="L58" i="55"/>
  <c r="M58" i="55"/>
  <c r="K58" i="55"/>
  <c r="P59" i="55"/>
  <c r="O59" i="55"/>
  <c r="J59" i="55"/>
  <c r="L57" i="18"/>
  <c r="M57" i="18"/>
  <c r="A58" i="18"/>
  <c r="D58" i="18" s="1"/>
  <c r="B60" i="55" s="1"/>
  <c r="N57" i="18"/>
  <c r="X183" i="46"/>
  <c r="AF183" i="46"/>
  <c r="AK183" i="46" s="1"/>
  <c r="AF224" i="46"/>
  <c r="AK224" i="46" s="1"/>
  <c r="X224" i="46"/>
  <c r="AF539" i="41"/>
  <c r="AK539" i="41" s="1"/>
  <c r="X539" i="41"/>
  <c r="R56" i="18"/>
  <c r="P85" i="13"/>
  <c r="C57" i="18"/>
  <c r="N59" i="55" l="1"/>
  <c r="L59" i="55"/>
  <c r="M59" i="55"/>
  <c r="K59" i="55"/>
  <c r="E58" i="18"/>
  <c r="F59" i="55"/>
  <c r="R59" i="55" s="1"/>
  <c r="D17" i="59" s="1"/>
  <c r="E59" i="55"/>
  <c r="AF587" i="41"/>
  <c r="AK587" i="41" s="1"/>
  <c r="X587" i="41"/>
  <c r="K57" i="18"/>
  <c r="D59" i="55" s="1"/>
  <c r="P86" i="13"/>
  <c r="B58" i="18"/>
  <c r="L58" i="18" s="1"/>
  <c r="G59" i="55" l="1"/>
  <c r="H59" i="55" s="1"/>
  <c r="T59" i="55" s="1"/>
  <c r="Q59" i="55"/>
  <c r="C60" i="55"/>
  <c r="O58" i="18"/>
  <c r="A60" i="55"/>
  <c r="M58" i="18"/>
  <c r="A59" i="18"/>
  <c r="D59" i="18" s="1"/>
  <c r="B61" i="55" s="1"/>
  <c r="N58" i="18"/>
  <c r="E60" i="55" s="1"/>
  <c r="AF640" i="41"/>
  <c r="AK640" i="41" s="1"/>
  <c r="X640" i="41"/>
  <c r="R57" i="18"/>
  <c r="P87" i="13"/>
  <c r="C58" i="18"/>
  <c r="S59" i="55" l="1"/>
  <c r="F60" i="55"/>
  <c r="G60" i="55" s="1"/>
  <c r="P60" i="55"/>
  <c r="Q60" i="55" s="1"/>
  <c r="J60" i="55"/>
  <c r="O60" i="55"/>
  <c r="E59" i="18"/>
  <c r="I59" i="55"/>
  <c r="U59" i="55" s="1"/>
  <c r="AF693" i="41"/>
  <c r="AK693" i="41" s="1"/>
  <c r="X693" i="41"/>
  <c r="K58" i="18"/>
  <c r="D60" i="55" s="1"/>
  <c r="P88" i="13"/>
  <c r="B59" i="18"/>
  <c r="R60" i="55" l="1"/>
  <c r="D18" i="59" s="1"/>
  <c r="C61" i="55"/>
  <c r="O59" i="18"/>
  <c r="N60" i="55"/>
  <c r="L60" i="55"/>
  <c r="M60" i="55"/>
  <c r="K60" i="55"/>
  <c r="A61" i="55"/>
  <c r="L59" i="18"/>
  <c r="M59" i="18"/>
  <c r="S60" i="55"/>
  <c r="H60" i="55"/>
  <c r="A60" i="18"/>
  <c r="D60" i="18" s="1"/>
  <c r="B62" i="55" s="1"/>
  <c r="N59" i="18"/>
  <c r="AF64" i="43"/>
  <c r="AK64" i="43" s="1"/>
  <c r="X64" i="43"/>
  <c r="R58" i="18"/>
  <c r="P89" i="13"/>
  <c r="C59" i="18"/>
  <c r="P61" i="55" l="1"/>
  <c r="O61" i="55"/>
  <c r="J61" i="55"/>
  <c r="E60" i="18"/>
  <c r="F61" i="55"/>
  <c r="E61" i="55"/>
  <c r="I60" i="55"/>
  <c r="U60" i="55" s="1"/>
  <c r="T60" i="55"/>
  <c r="AF124" i="43"/>
  <c r="AK124" i="43" s="1"/>
  <c r="X124" i="43"/>
  <c r="K59" i="18"/>
  <c r="D61" i="55" s="1"/>
  <c r="P90" i="13"/>
  <c r="B60" i="18"/>
  <c r="L60" i="18" s="1"/>
  <c r="G61" i="55" l="1"/>
  <c r="H61" i="55" s="1"/>
  <c r="I61" i="55" s="1"/>
  <c r="C62" i="55"/>
  <c r="O60" i="18"/>
  <c r="K61" i="55"/>
  <c r="N61" i="55"/>
  <c r="M61" i="55"/>
  <c r="L61" i="55"/>
  <c r="A62" i="55"/>
  <c r="M60" i="18"/>
  <c r="R61" i="55"/>
  <c r="S61" i="55"/>
  <c r="T61" i="55"/>
  <c r="U61" i="55"/>
  <c r="Q61" i="55"/>
  <c r="A61" i="18"/>
  <c r="D61" i="18" s="1"/>
  <c r="B63" i="55" s="1"/>
  <c r="N60" i="18"/>
  <c r="E62" i="55" s="1"/>
  <c r="R265" i="40" a="1"/>
  <c r="R265" i="40" s="1"/>
  <c r="AB265" i="40" s="1"/>
  <c r="AF265" i="40" s="1"/>
  <c r="AJ265" i="40" s="1"/>
  <c r="R264" i="40" a="1"/>
  <c r="R264" i="40" s="1"/>
  <c r="AB264" i="40" s="1"/>
  <c r="AF264" i="40" s="1"/>
  <c r="AJ264" i="40" s="1"/>
  <c r="X64" i="44"/>
  <c r="AF64" i="44"/>
  <c r="AK64" i="44" s="1"/>
  <c r="R59" i="18"/>
  <c r="P91" i="13"/>
  <c r="C60" i="18"/>
  <c r="P62" i="55" l="1"/>
  <c r="J62" i="55"/>
  <c r="O62" i="55"/>
  <c r="F62" i="55"/>
  <c r="G62" i="55" s="1"/>
  <c r="H62" i="55" s="1"/>
  <c r="I62" i="55" s="1"/>
  <c r="E61" i="18"/>
  <c r="AF113" i="44"/>
  <c r="AK113" i="44" s="1"/>
  <c r="X113" i="44"/>
  <c r="K60" i="18"/>
  <c r="D62" i="55" s="1"/>
  <c r="P92" i="13"/>
  <c r="B61" i="18"/>
  <c r="A63" i="55" l="1"/>
  <c r="M61" i="18"/>
  <c r="L61" i="18"/>
  <c r="C63" i="55"/>
  <c r="O61" i="18"/>
  <c r="K62" i="55"/>
  <c r="N62" i="55"/>
  <c r="M62" i="55"/>
  <c r="L62" i="55"/>
  <c r="R62" i="55"/>
  <c r="U62" i="55"/>
  <c r="T62" i="55"/>
  <c r="S62" i="55"/>
  <c r="Q62" i="55"/>
  <c r="A62" i="18"/>
  <c r="D62" i="18" s="1"/>
  <c r="B64" i="55" s="1"/>
  <c r="P93" i="13"/>
  <c r="AF225" i="44" s="1"/>
  <c r="AK225" i="44" s="1"/>
  <c r="AF168" i="44"/>
  <c r="AK168" i="44" s="1"/>
  <c r="X168" i="44"/>
  <c r="R60" i="18"/>
  <c r="P94" i="13"/>
  <c r="E62" i="18"/>
  <c r="C61" i="18"/>
  <c r="F63" i="55" l="1"/>
  <c r="C64" i="55"/>
  <c r="P63" i="55"/>
  <c r="O63" i="55"/>
  <c r="J63" i="55"/>
  <c r="X225" i="44"/>
  <c r="AF268" i="44"/>
  <c r="AK268" i="44" s="1"/>
  <c r="X268" i="44"/>
  <c r="K61" i="18"/>
  <c r="D63" i="55" s="1"/>
  <c r="P95" i="13"/>
  <c r="B62" i="18"/>
  <c r="A64" i="55" l="1"/>
  <c r="M62" i="18"/>
  <c r="N63" i="55"/>
  <c r="K63" i="55"/>
  <c r="M63" i="55"/>
  <c r="L63" i="55"/>
  <c r="T63" i="55"/>
  <c r="U63" i="55"/>
  <c r="R63" i="55"/>
  <c r="S63" i="55"/>
  <c r="Q63" i="55"/>
  <c r="L62" i="18"/>
  <c r="O62" i="18"/>
  <c r="A63" i="18"/>
  <c r="D63" i="18" s="1"/>
  <c r="B65" i="55" s="1"/>
  <c r="AF302" i="44"/>
  <c r="AK302" i="44" s="1"/>
  <c r="X302" i="44"/>
  <c r="R61" i="18"/>
  <c r="P96" i="13"/>
  <c r="C62" i="18"/>
  <c r="E63" i="18"/>
  <c r="C65" i="55" l="1"/>
  <c r="F64" i="55"/>
  <c r="P64" i="55"/>
  <c r="O64" i="55"/>
  <c r="J64" i="55"/>
  <c r="AF65" i="46"/>
  <c r="AK65" i="46" s="1"/>
  <c r="X65" i="46"/>
  <c r="K62" i="18"/>
  <c r="D64" i="55" s="1"/>
  <c r="P97" i="13"/>
  <c r="B63" i="18"/>
  <c r="A65" i="55" l="1"/>
  <c r="M63" i="18"/>
  <c r="N64" i="55"/>
  <c r="M64" i="55"/>
  <c r="L64" i="55"/>
  <c r="K64" i="55"/>
  <c r="T64" i="55"/>
  <c r="U64" i="55"/>
  <c r="R64" i="55"/>
  <c r="S64" i="55"/>
  <c r="Q64" i="55"/>
  <c r="L63" i="18"/>
  <c r="O63" i="18"/>
  <c r="A64" i="18"/>
  <c r="D64" i="18" s="1"/>
  <c r="B66" i="55" s="1"/>
  <c r="N63" i="18"/>
  <c r="AF128" i="46"/>
  <c r="AK128" i="46" s="1"/>
  <c r="X128" i="46"/>
  <c r="R62" i="18"/>
  <c r="P98" i="13"/>
  <c r="C63" i="18"/>
  <c r="E64" i="18" l="1"/>
  <c r="C66" i="55" s="1"/>
  <c r="E65" i="55"/>
  <c r="F65" i="55"/>
  <c r="P65" i="55"/>
  <c r="J65" i="55"/>
  <c r="O65" i="55"/>
  <c r="AF186" i="46"/>
  <c r="AK186" i="46" s="1"/>
  <c r="X186" i="46"/>
  <c r="K63" i="18"/>
  <c r="D65" i="55" s="1"/>
  <c r="P99" i="13"/>
  <c r="B64" i="18"/>
  <c r="O64" i="18" s="1"/>
  <c r="G65" i="55" l="1"/>
  <c r="H65" i="55" s="1"/>
  <c r="I65" i="55" s="1"/>
  <c r="N65" i="55"/>
  <c r="K65" i="55"/>
  <c r="M65" i="55"/>
  <c r="L65" i="55"/>
  <c r="T65" i="55"/>
  <c r="U65" i="55"/>
  <c r="R65" i="55"/>
  <c r="S65" i="55"/>
  <c r="Q65" i="55"/>
  <c r="A66" i="55"/>
  <c r="M64" i="18"/>
  <c r="F66" i="55" s="1"/>
  <c r="L64" i="18"/>
  <c r="A65" i="18"/>
  <c r="D65" i="18" s="1"/>
  <c r="B67" i="55" s="1"/>
  <c r="N64" i="18"/>
  <c r="AF227" i="46"/>
  <c r="AK227" i="46" s="1"/>
  <c r="X227" i="46"/>
  <c r="R63" i="18"/>
  <c r="P100" i="13"/>
  <c r="C64" i="18"/>
  <c r="E65" i="18" l="1"/>
  <c r="C67" i="55" s="1"/>
  <c r="E66" i="55"/>
  <c r="G66" i="55" s="1"/>
  <c r="H66" i="55" s="1"/>
  <c r="I66" i="55" s="1"/>
  <c r="P66" i="55"/>
  <c r="O66" i="55"/>
  <c r="J66" i="55"/>
  <c r="AF64" i="47"/>
  <c r="AK64" i="47" s="1"/>
  <c r="X64" i="47"/>
  <c r="K64" i="18"/>
  <c r="D66" i="55" s="1"/>
  <c r="P101" i="13"/>
  <c r="B65" i="18"/>
  <c r="O65" i="18" s="1"/>
  <c r="L65" i="18" l="1"/>
  <c r="M66" i="55"/>
  <c r="N66" i="55"/>
  <c r="L66" i="55"/>
  <c r="K66" i="55"/>
  <c r="R66" i="55"/>
  <c r="T66" i="55"/>
  <c r="U66" i="55"/>
  <c r="S66" i="55"/>
  <c r="Q66" i="55"/>
  <c r="A67" i="55"/>
  <c r="M65" i="18"/>
  <c r="F67" i="55" s="1"/>
  <c r="A66" i="18"/>
  <c r="D66" i="18" s="1"/>
  <c r="B68" i="55" s="1"/>
  <c r="AF131" i="47"/>
  <c r="AK131" i="47" s="1"/>
  <c r="X131" i="47"/>
  <c r="R64" i="18"/>
  <c r="P102" i="13"/>
  <c r="C65" i="18"/>
  <c r="E66" i="18" l="1"/>
  <c r="C68" i="55" s="1"/>
  <c r="P67" i="55"/>
  <c r="J67" i="55"/>
  <c r="O67" i="55"/>
  <c r="AF46" i="50"/>
  <c r="AK46" i="50" s="1"/>
  <c r="X46" i="50"/>
  <c r="K65" i="18"/>
  <c r="D67" i="55" s="1"/>
  <c r="P103" i="13"/>
  <c r="B66" i="18"/>
  <c r="A68" i="55" l="1"/>
  <c r="M66" i="18"/>
  <c r="L66" i="18"/>
  <c r="O66" i="18"/>
  <c r="N67" i="55"/>
  <c r="M67" i="55"/>
  <c r="L67" i="55"/>
  <c r="K67" i="55"/>
  <c r="R67" i="55"/>
  <c r="T67" i="55"/>
  <c r="U67" i="55"/>
  <c r="S67" i="55"/>
  <c r="Q67" i="55"/>
  <c r="A67" i="18"/>
  <c r="D67" i="18" s="1"/>
  <c r="B69" i="55" s="1"/>
  <c r="N66" i="18"/>
  <c r="X92" i="50"/>
  <c r="AF92" i="50"/>
  <c r="AK92" i="50" s="1"/>
  <c r="R65" i="18"/>
  <c r="P104" i="13"/>
  <c r="C66" i="18"/>
  <c r="E67" i="18" l="1"/>
  <c r="C69" i="55" s="1"/>
  <c r="E68" i="55"/>
  <c r="F68" i="55"/>
  <c r="P68" i="55"/>
  <c r="O68" i="55"/>
  <c r="J68" i="55"/>
  <c r="AF145" i="50"/>
  <c r="AK145" i="50" s="1"/>
  <c r="X145" i="50"/>
  <c r="K66" i="18"/>
  <c r="D68" i="55" s="1"/>
  <c r="P105" i="13"/>
  <c r="P106" i="13" s="1"/>
  <c r="B67" i="18"/>
  <c r="AF67" i="64" l="1"/>
  <c r="AK67" i="64" s="1"/>
  <c r="X67" i="64"/>
  <c r="G68" i="55"/>
  <c r="H68" i="55" s="1"/>
  <c r="I68" i="55" s="1"/>
  <c r="A69" i="55"/>
  <c r="M67" i="18"/>
  <c r="N68" i="55"/>
  <c r="L68" i="55"/>
  <c r="M68" i="55"/>
  <c r="K68" i="55"/>
  <c r="R68" i="55"/>
  <c r="S68" i="55"/>
  <c r="T68" i="55"/>
  <c r="U68" i="55"/>
  <c r="Q68" i="55"/>
  <c r="L67" i="18"/>
  <c r="O67" i="18"/>
  <c r="A68" i="18"/>
  <c r="D68" i="18" s="1"/>
  <c r="B70" i="55" s="1"/>
  <c r="P107" i="13"/>
  <c r="R66" i="18"/>
  <c r="C67" i="18"/>
  <c r="X67" i="65" l="1"/>
  <c r="AF67" i="65"/>
  <c r="AK67" i="65" s="1"/>
  <c r="E68" i="18"/>
  <c r="C70" i="55" s="1"/>
  <c r="F69" i="55"/>
  <c r="P69" i="55"/>
  <c r="O69" i="55"/>
  <c r="J69" i="55"/>
  <c r="P108" i="13"/>
  <c r="K67" i="18"/>
  <c r="D69" i="55" s="1"/>
  <c r="B68" i="18"/>
  <c r="X67" i="66" l="1"/>
  <c r="AF67" i="66"/>
  <c r="AK67" i="66" s="1"/>
  <c r="A70" i="55"/>
  <c r="M68" i="18"/>
  <c r="N69" i="55"/>
  <c r="M69" i="55"/>
  <c r="L69" i="55"/>
  <c r="K69" i="55"/>
  <c r="R69" i="55"/>
  <c r="T69" i="55"/>
  <c r="U69" i="55"/>
  <c r="S69" i="55"/>
  <c r="Q69" i="55"/>
  <c r="L68" i="18"/>
  <c r="O68" i="18"/>
  <c r="A69" i="18"/>
  <c r="D69" i="18" s="1"/>
  <c r="B71" i="55" s="1"/>
  <c r="P109" i="13"/>
  <c r="R67" i="18"/>
  <c r="C68" i="18"/>
  <c r="E69" i="18" l="1"/>
  <c r="C71" i="55" s="1"/>
  <c r="X67" i="63"/>
  <c r="AF67" i="63"/>
  <c r="AK67" i="63" s="1"/>
  <c r="F70" i="55"/>
  <c r="P70" i="55"/>
  <c r="J70" i="55"/>
  <c r="O70" i="55"/>
  <c r="P110" i="13"/>
  <c r="K68" i="18"/>
  <c r="D70" i="55" s="1"/>
  <c r="B69" i="18"/>
  <c r="X66" i="67" l="1"/>
  <c r="AF66" i="67"/>
  <c r="AK66" i="67" s="1"/>
  <c r="A71" i="55"/>
  <c r="M69" i="18"/>
  <c r="N70" i="55"/>
  <c r="L70" i="55"/>
  <c r="M70" i="55"/>
  <c r="K70" i="55"/>
  <c r="R70" i="55"/>
  <c r="T70" i="55"/>
  <c r="U70" i="55"/>
  <c r="S70" i="55"/>
  <c r="Q70" i="55"/>
  <c r="L69" i="18"/>
  <c r="O69" i="18"/>
  <c r="A70" i="18"/>
  <c r="D70" i="18" s="1"/>
  <c r="B72" i="55" s="1"/>
  <c r="P112" i="13"/>
  <c r="P111" i="13"/>
  <c r="R68" i="18"/>
  <c r="C69" i="18"/>
  <c r="AF106" i="67" l="1"/>
  <c r="AK106" i="67" s="1"/>
  <c r="X106" i="67"/>
  <c r="X64" i="68"/>
  <c r="AF64" i="68"/>
  <c r="AK64" i="68" s="1"/>
  <c r="E70" i="18"/>
  <c r="C72" i="55" s="1"/>
  <c r="F71" i="55"/>
  <c r="P71" i="55"/>
  <c r="O71" i="55"/>
  <c r="J71" i="55"/>
  <c r="P113" i="13"/>
  <c r="K69" i="18"/>
  <c r="D71" i="55" s="1"/>
  <c r="B70" i="18"/>
  <c r="AF113" i="68" l="1"/>
  <c r="AK113" i="68" s="1"/>
  <c r="X113" i="68"/>
  <c r="A72" i="55"/>
  <c r="M70" i="18"/>
  <c r="N71" i="55"/>
  <c r="L71" i="55"/>
  <c r="M71" i="55"/>
  <c r="K71" i="55"/>
  <c r="R71" i="55"/>
  <c r="T71" i="55"/>
  <c r="U71" i="55"/>
  <c r="S71" i="55"/>
  <c r="Q71" i="55"/>
  <c r="O70" i="18"/>
  <c r="L70" i="18"/>
  <c r="A71" i="18"/>
  <c r="D71" i="18" s="1"/>
  <c r="B73" i="55" s="1"/>
  <c r="P114" i="13"/>
  <c r="R69" i="18"/>
  <c r="C70" i="18"/>
  <c r="X166" i="68" l="1"/>
  <c r="AF166" i="68"/>
  <c r="AK166" i="68" s="1"/>
  <c r="F72" i="55"/>
  <c r="P72" i="55"/>
  <c r="O72" i="55"/>
  <c r="J72" i="55"/>
  <c r="E71" i="18"/>
  <c r="P115" i="13"/>
  <c r="K70" i="18"/>
  <c r="D72" i="55" s="1"/>
  <c r="B71" i="18"/>
  <c r="X203" i="68" l="1"/>
  <c r="AF203" i="68"/>
  <c r="AK203" i="68" s="1"/>
  <c r="A73" i="55"/>
  <c r="M71" i="18"/>
  <c r="C73" i="55"/>
  <c r="O71" i="18"/>
  <c r="L72" i="55"/>
  <c r="K72" i="55"/>
  <c r="N72" i="55"/>
  <c r="M72" i="55"/>
  <c r="R72" i="55"/>
  <c r="T72" i="55"/>
  <c r="U72" i="55"/>
  <c r="S72" i="55"/>
  <c r="Q72" i="55"/>
  <c r="L71" i="18"/>
  <c r="A72" i="18"/>
  <c r="D72" i="18" s="1"/>
  <c r="B74" i="55" s="1"/>
  <c r="P116" i="13"/>
  <c r="N71" i="18"/>
  <c r="R70" i="18"/>
  <c r="C71" i="18"/>
  <c r="A133" i="10"/>
  <c r="E72" i="18" l="1"/>
  <c r="X240" i="68"/>
  <c r="AF240" i="68"/>
  <c r="AK240" i="68" s="1"/>
  <c r="E73" i="55"/>
  <c r="F73" i="55"/>
  <c r="C74" i="55"/>
  <c r="P73" i="55"/>
  <c r="J73" i="55"/>
  <c r="O73" i="55"/>
  <c r="R215" i="43" a="1"/>
  <c r="R215" i="43" s="1"/>
  <c r="AB215" i="43" s="1"/>
  <c r="AF215" i="43" s="1"/>
  <c r="AJ215" i="43" s="1"/>
  <c r="CF16" i="52"/>
  <c r="P117" i="13"/>
  <c r="K71" i="18"/>
  <c r="D73" i="55" s="1"/>
  <c r="B72" i="18"/>
  <c r="A134" i="10"/>
  <c r="X278" i="68" l="1"/>
  <c r="AF278" i="68"/>
  <c r="AK278" i="68" s="1"/>
  <c r="G73" i="55"/>
  <c r="H73" i="55" s="1"/>
  <c r="I73" i="55" s="1"/>
  <c r="A74" i="55"/>
  <c r="M72" i="18"/>
  <c r="N73" i="55"/>
  <c r="M73" i="55"/>
  <c r="L73" i="55"/>
  <c r="K73" i="55"/>
  <c r="T73" i="55"/>
  <c r="U73" i="55"/>
  <c r="R73" i="55"/>
  <c r="S73" i="55"/>
  <c r="Q73" i="55"/>
  <c r="L72" i="18"/>
  <c r="O72" i="18"/>
  <c r="A73" i="18"/>
  <c r="D73" i="18" s="1"/>
  <c r="B75" i="55" s="1"/>
  <c r="P118" i="13"/>
  <c r="N72" i="18"/>
  <c r="R71" i="18"/>
  <c r="C72" i="18"/>
  <c r="A135" i="10"/>
  <c r="E74" i="55" l="1"/>
  <c r="F74" i="55"/>
  <c r="P74" i="55"/>
  <c r="J74" i="55"/>
  <c r="O74" i="55"/>
  <c r="E73" i="18"/>
  <c r="AF67" i="62"/>
  <c r="AK67" i="62" s="1"/>
  <c r="X67" i="62"/>
  <c r="R327" i="44" a="1"/>
  <c r="R327" i="44" s="1"/>
  <c r="AB327" i="44" s="1"/>
  <c r="AF327" i="44" s="1"/>
  <c r="AJ327" i="44" s="1"/>
  <c r="R328" i="44" a="1"/>
  <c r="R328" i="44" s="1"/>
  <c r="AB328" i="44" s="1"/>
  <c r="AF328" i="44" s="1"/>
  <c r="AJ328" i="44" s="1"/>
  <c r="K72" i="18"/>
  <c r="D74" i="55" s="1"/>
  <c r="B73" i="18"/>
  <c r="A136" i="10"/>
  <c r="G74" i="55" l="1"/>
  <c r="H74" i="55" s="1"/>
  <c r="I74" i="55" s="1"/>
  <c r="K74" i="55"/>
  <c r="M74" i="55"/>
  <c r="L74" i="55"/>
  <c r="N74" i="55"/>
  <c r="C75" i="55"/>
  <c r="O73" i="18"/>
  <c r="T74" i="55"/>
  <c r="U74" i="55"/>
  <c r="R74" i="55"/>
  <c r="S74" i="55"/>
  <c r="Q74" i="55"/>
  <c r="A75" i="55"/>
  <c r="M73" i="18"/>
  <c r="L73" i="18"/>
  <c r="A74" i="18"/>
  <c r="D74" i="18" s="1"/>
  <c r="B76" i="55" s="1"/>
  <c r="R72" i="18"/>
  <c r="C73" i="18"/>
  <c r="A137" i="10"/>
  <c r="E74" i="18" l="1"/>
  <c r="C76" i="55" s="1"/>
  <c r="F75" i="55"/>
  <c r="P75" i="55"/>
  <c r="O75" i="55"/>
  <c r="J75" i="55"/>
  <c r="K73" i="18"/>
  <c r="D75" i="55" s="1"/>
  <c r="B74" i="18"/>
  <c r="A138" i="10"/>
  <c r="L74" i="18" l="1"/>
  <c r="M74" i="18"/>
  <c r="A76" i="55"/>
  <c r="N75" i="55"/>
  <c r="M75" i="55"/>
  <c r="L75" i="55"/>
  <c r="K75" i="55"/>
  <c r="O74" i="18"/>
  <c r="A75" i="18"/>
  <c r="D75" i="18" s="1"/>
  <c r="B77" i="55" s="1"/>
  <c r="R73" i="18"/>
  <c r="C74" i="18"/>
  <c r="A139" i="10"/>
  <c r="E75" i="18" l="1"/>
  <c r="C77" i="55" s="1"/>
  <c r="P76" i="55"/>
  <c r="O76" i="55"/>
  <c r="J76" i="55"/>
  <c r="F76" i="55"/>
  <c r="K74" i="18"/>
  <c r="D76" i="55" s="1"/>
  <c r="B75" i="18"/>
  <c r="A140" i="10"/>
  <c r="A77" i="55" l="1"/>
  <c r="M75" i="18"/>
  <c r="L75" i="18"/>
  <c r="O75" i="18"/>
  <c r="A76" i="18"/>
  <c r="D76" i="18" s="1"/>
  <c r="B78" i="55" s="1"/>
  <c r="R74" i="18"/>
  <c r="C75" i="18"/>
  <c r="A141" i="10"/>
  <c r="E76" i="18" l="1"/>
  <c r="C78" i="55" s="1"/>
  <c r="F77" i="55"/>
  <c r="P77" i="55"/>
  <c r="O77" i="55"/>
  <c r="J77" i="55"/>
  <c r="K75" i="18"/>
  <c r="D77" i="55" s="1"/>
  <c r="B76" i="18"/>
  <c r="A142" i="10"/>
  <c r="A78" i="55" l="1"/>
  <c r="M76" i="18"/>
  <c r="N77" i="55"/>
  <c r="M77" i="55"/>
  <c r="L77" i="55"/>
  <c r="K77" i="55"/>
  <c r="R77" i="55"/>
  <c r="D21" i="59" s="1"/>
  <c r="L76" i="18"/>
  <c r="O76" i="18"/>
  <c r="A77" i="18"/>
  <c r="D77" i="18" s="1"/>
  <c r="B79" i="55" s="1"/>
  <c r="R75" i="18"/>
  <c r="C76" i="18"/>
  <c r="A143" i="10"/>
  <c r="E77" i="18" l="1"/>
  <c r="C79" i="55" s="1"/>
  <c r="F78" i="55"/>
  <c r="P78" i="55"/>
  <c r="J78" i="55"/>
  <c r="O78" i="55"/>
  <c r="K76" i="18"/>
  <c r="D78" i="55" s="1"/>
  <c r="B77" i="18"/>
  <c r="A144" i="10"/>
  <c r="A79" i="55" l="1"/>
  <c r="M77" i="18"/>
  <c r="N78" i="55"/>
  <c r="M78" i="55"/>
  <c r="L78" i="55"/>
  <c r="K78" i="55"/>
  <c r="R78" i="55"/>
  <c r="D22" i="59" s="1"/>
  <c r="L77" i="18"/>
  <c r="O77" i="18"/>
  <c r="A78" i="18"/>
  <c r="D78" i="18" s="1"/>
  <c r="B80" i="55" s="1"/>
  <c r="R76" i="18"/>
  <c r="C77" i="18"/>
  <c r="A145" i="10"/>
  <c r="E78" i="18" l="1"/>
  <c r="F79" i="55"/>
  <c r="P79" i="55"/>
  <c r="O79" i="55"/>
  <c r="J79" i="55"/>
  <c r="K77" i="18"/>
  <c r="D79" i="55" s="1"/>
  <c r="B78" i="18"/>
  <c r="A146" i="10"/>
  <c r="A80" i="55" l="1"/>
  <c r="M78" i="18"/>
  <c r="N79" i="55"/>
  <c r="M79" i="55"/>
  <c r="L79" i="55"/>
  <c r="K79" i="55"/>
  <c r="T79" i="55"/>
  <c r="U79" i="55"/>
  <c r="S79" i="55"/>
  <c r="R79" i="55"/>
  <c r="Q79" i="55"/>
  <c r="L78" i="18"/>
  <c r="C80" i="55"/>
  <c r="O78" i="18"/>
  <c r="A79" i="18"/>
  <c r="D79" i="18" s="1"/>
  <c r="B81" i="55" s="1"/>
  <c r="R77" i="18"/>
  <c r="C78" i="18"/>
  <c r="A147" i="10"/>
  <c r="E79" i="18" l="1"/>
  <c r="C81" i="55" s="1"/>
  <c r="F80" i="55"/>
  <c r="P80" i="55"/>
  <c r="O80" i="55"/>
  <c r="J80" i="55"/>
  <c r="K78" i="18"/>
  <c r="D80" i="55" s="1"/>
  <c r="B79" i="18"/>
  <c r="A148" i="10"/>
  <c r="N80" i="55" l="1"/>
  <c r="M80" i="55"/>
  <c r="L80" i="55"/>
  <c r="K80" i="55"/>
  <c r="A81" i="55"/>
  <c r="M79" i="18"/>
  <c r="R80" i="55"/>
  <c r="T80" i="55"/>
  <c r="U80" i="55"/>
  <c r="S80" i="55"/>
  <c r="Q80" i="55"/>
  <c r="O79" i="18"/>
  <c r="L79" i="18"/>
  <c r="A80" i="18"/>
  <c r="D80" i="18" s="1"/>
  <c r="B82" i="55" s="1"/>
  <c r="R78" i="18"/>
  <c r="C79" i="18"/>
  <c r="A149" i="10"/>
  <c r="E80" i="18" l="1"/>
  <c r="C82" i="55" s="1"/>
  <c r="P81" i="55"/>
  <c r="J81" i="55"/>
  <c r="O81" i="55"/>
  <c r="F81" i="55"/>
  <c r="K79" i="18"/>
  <c r="D81" i="55" s="1"/>
  <c r="B80" i="18"/>
  <c r="A150" i="10"/>
  <c r="A82" i="55" l="1"/>
  <c r="M80" i="18"/>
  <c r="L80" i="18"/>
  <c r="O80" i="18"/>
  <c r="N81" i="55"/>
  <c r="M81" i="55"/>
  <c r="L81" i="55"/>
  <c r="K81" i="55"/>
  <c r="R81" i="55"/>
  <c r="T81" i="55"/>
  <c r="S81" i="55"/>
  <c r="U81" i="55"/>
  <c r="Q81" i="55"/>
  <c r="A81" i="18"/>
  <c r="D81" i="18" s="1"/>
  <c r="B83" i="55" s="1"/>
  <c r="R79" i="18"/>
  <c r="C80" i="18"/>
  <c r="A151" i="10"/>
  <c r="F82" i="55" l="1"/>
  <c r="P82" i="55"/>
  <c r="J82" i="55"/>
  <c r="O82" i="55"/>
  <c r="E81" i="18"/>
  <c r="T169" i="13"/>
  <c r="K80" i="18"/>
  <c r="D82" i="55" s="1"/>
  <c r="B81" i="18"/>
  <c r="A152" i="10"/>
  <c r="A83" i="55" l="1"/>
  <c r="M81" i="18"/>
  <c r="C83" i="55"/>
  <c r="O81" i="18"/>
  <c r="N82" i="55"/>
  <c r="M82" i="55"/>
  <c r="L82" i="55"/>
  <c r="K82" i="55"/>
  <c r="R82" i="55"/>
  <c r="T82" i="55"/>
  <c r="S82" i="55"/>
  <c r="U82" i="55"/>
  <c r="Q82" i="55"/>
  <c r="L81" i="18"/>
  <c r="R310" i="46" a="1"/>
  <c r="R310" i="46" s="1"/>
  <c r="AB310" i="46" s="1"/>
  <c r="AF310" i="46" s="1"/>
  <c r="AJ310" i="46" s="1"/>
  <c r="CF22" i="52"/>
  <c r="R211" i="47" a="1"/>
  <c r="R211" i="47" s="1"/>
  <c r="AB211" i="47" s="1"/>
  <c r="AF211" i="47" s="1"/>
  <c r="AJ211" i="47" s="1"/>
  <c r="A82" i="18"/>
  <c r="D82" i="18" s="1"/>
  <c r="B84" i="55" s="1"/>
  <c r="R80" i="18"/>
  <c r="C81" i="18"/>
  <c r="A153" i="10"/>
  <c r="E82" i="18" l="1"/>
  <c r="F83" i="55"/>
  <c r="P83" i="55"/>
  <c r="O83" i="55"/>
  <c r="J83" i="55"/>
  <c r="R212" i="47" a="1"/>
  <c r="R212" i="47" s="1"/>
  <c r="AB212" i="47" s="1"/>
  <c r="AF212" i="47" s="1"/>
  <c r="AJ212" i="47" s="1"/>
  <c r="R312" i="46" a="1"/>
  <c r="R312" i="46" s="1"/>
  <c r="AB312" i="46" s="1"/>
  <c r="AF312" i="46" s="1"/>
  <c r="AJ312" i="46" s="1"/>
  <c r="R311" i="46" a="1"/>
  <c r="R311" i="46" s="1"/>
  <c r="AB311" i="46" s="1"/>
  <c r="AF311" i="46" s="1"/>
  <c r="AJ311" i="46" s="1"/>
  <c r="K81" i="18"/>
  <c r="D83" i="55" s="1"/>
  <c r="B82" i="18"/>
  <c r="L82" i="18" s="1"/>
  <c r="A154" i="10"/>
  <c r="N83" i="55" l="1"/>
  <c r="L83" i="55"/>
  <c r="M83" i="55"/>
  <c r="K83" i="55"/>
  <c r="R83" i="55"/>
  <c r="S83" i="55"/>
  <c r="T83" i="55"/>
  <c r="U83" i="55"/>
  <c r="Q83" i="55"/>
  <c r="A84" i="55"/>
  <c r="M82" i="18"/>
  <c r="C84" i="55"/>
  <c r="O82" i="18"/>
  <c r="A83" i="18"/>
  <c r="D83" i="18" s="1"/>
  <c r="B85" i="55" s="1"/>
  <c r="R81" i="18"/>
  <c r="C82" i="18"/>
  <c r="A155" i="10"/>
  <c r="E83" i="18" l="1"/>
  <c r="C85" i="55" s="1"/>
  <c r="F84" i="55"/>
  <c r="P84" i="55"/>
  <c r="J84" i="55"/>
  <c r="O84" i="55"/>
  <c r="CF19" i="52"/>
  <c r="R210" i="47" a="1"/>
  <c r="R210" i="47" s="1"/>
  <c r="AB210" i="47" s="1"/>
  <c r="AF210" i="47" s="1"/>
  <c r="AJ210" i="47" s="1"/>
  <c r="CF21" i="52"/>
  <c r="K82" i="18"/>
  <c r="D84" i="55" s="1"/>
  <c r="B83" i="18"/>
  <c r="A156" i="10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85" i="55" l="1"/>
  <c r="M83" i="18"/>
  <c r="L83" i="18"/>
  <c r="O83" i="18"/>
  <c r="M84" i="55"/>
  <c r="N84" i="55"/>
  <c r="L84" i="55"/>
  <c r="K84" i="55"/>
  <c r="R84" i="55"/>
  <c r="U84" i="55"/>
  <c r="S84" i="55"/>
  <c r="T84" i="55"/>
  <c r="Q84" i="55"/>
  <c r="A84" i="18"/>
  <c r="D84" i="18" s="1"/>
  <c r="B86" i="55" s="1"/>
  <c r="R82" i="18"/>
  <c r="C83" i="18"/>
  <c r="E84" i="18" l="1"/>
  <c r="C86" i="55" s="1"/>
  <c r="F85" i="55"/>
  <c r="P85" i="55"/>
  <c r="J85" i="55"/>
  <c r="O85" i="55"/>
  <c r="K83" i="18"/>
  <c r="D85" i="55" s="1"/>
  <c r="B84" i="18"/>
  <c r="A86" i="55" l="1"/>
  <c r="M84" i="18"/>
  <c r="M85" i="55"/>
  <c r="N85" i="55"/>
  <c r="K85" i="55"/>
  <c r="L85" i="55"/>
  <c r="R85" i="55"/>
  <c r="T85" i="55"/>
  <c r="U85" i="55"/>
  <c r="S85" i="55"/>
  <c r="Q85" i="55"/>
  <c r="L84" i="18"/>
  <c r="O84" i="18"/>
  <c r="A85" i="18"/>
  <c r="D85" i="18" s="1"/>
  <c r="B87" i="55" s="1"/>
  <c r="R83" i="18"/>
  <c r="C84" i="18"/>
  <c r="E85" i="18" l="1"/>
  <c r="C87" i="55" s="1"/>
  <c r="F86" i="55"/>
  <c r="P86" i="55"/>
  <c r="J86" i="55"/>
  <c r="O86" i="55"/>
  <c r="R184" i="50" a="1"/>
  <c r="R184" i="50" s="1"/>
  <c r="AB184" i="50" s="1"/>
  <c r="AF184" i="50" s="1"/>
  <c r="AJ184" i="50" s="1"/>
  <c r="K84" i="18"/>
  <c r="D86" i="55" s="1"/>
  <c r="AF371" i="34"/>
  <c r="AK371" i="34" s="1"/>
  <c r="X371" i="34"/>
  <c r="U371" i="34"/>
  <c r="U210" i="26"/>
  <c r="AF210" i="26"/>
  <c r="AK210" i="26" s="1"/>
  <c r="X210" i="26"/>
  <c r="U530" i="31"/>
  <c r="AF530" i="31"/>
  <c r="AK530" i="31" s="1"/>
  <c r="X530" i="31"/>
  <c r="U264" i="31"/>
  <c r="X264" i="31"/>
  <c r="AF264" i="31"/>
  <c r="AK264" i="31" s="1"/>
  <c r="B85" i="18"/>
  <c r="A87" i="55" l="1"/>
  <c r="M85" i="18"/>
  <c r="K86" i="55"/>
  <c r="N86" i="55"/>
  <c r="M86" i="55"/>
  <c r="L86" i="55"/>
  <c r="R86" i="55"/>
  <c r="T86" i="55"/>
  <c r="U86" i="55"/>
  <c r="S86" i="55"/>
  <c r="Q86" i="55"/>
  <c r="O85" i="18"/>
  <c r="L85" i="18"/>
  <c r="A86" i="18"/>
  <c r="D86" i="18" s="1"/>
  <c r="B88" i="55" s="1"/>
  <c r="S168" i="13"/>
  <c r="T168" i="13"/>
  <c r="T170" i="13" s="1"/>
  <c r="R84" i="18"/>
  <c r="AC81" i="19"/>
  <c r="AG85" i="19"/>
  <c r="E86" i="18"/>
  <c r="C85" i="18"/>
  <c r="C88" i="55" l="1"/>
  <c r="F87" i="55"/>
  <c r="P87" i="55"/>
  <c r="J87" i="55"/>
  <c r="O87" i="55"/>
  <c r="CF26" i="52"/>
  <c r="R263" i="40" a="1"/>
  <c r="R263" i="40" s="1"/>
  <c r="AB263" i="40" s="1"/>
  <c r="AF263" i="40" s="1"/>
  <c r="AJ263" i="40" s="1"/>
  <c r="CF20" i="52"/>
  <c r="R326" i="44" a="1"/>
  <c r="R326" i="44" s="1"/>
  <c r="AB326" i="44" s="1"/>
  <c r="AF326" i="44" s="1"/>
  <c r="AJ326" i="44" s="1"/>
  <c r="R734" i="41" a="1"/>
  <c r="R734" i="41" s="1"/>
  <c r="AB734" i="41" s="1"/>
  <c r="AF734" i="41" s="1"/>
  <c r="AJ734" i="41" s="1"/>
  <c r="CF23" i="52"/>
  <c r="N52" i="18"/>
  <c r="E54" i="55" s="1"/>
  <c r="CF6" i="52"/>
  <c r="R73" i="19"/>
  <c r="R75" i="19" s="1"/>
  <c r="R194" i="50" a="1"/>
  <c r="R194" i="50" s="1"/>
  <c r="AB194" i="50" s="1"/>
  <c r="CF10" i="52"/>
  <c r="CF5" i="52"/>
  <c r="CF7" i="52"/>
  <c r="K85" i="18"/>
  <c r="D87" i="55" s="1"/>
  <c r="B86" i="18"/>
  <c r="S169" i="13"/>
  <c r="S170" i="13" s="1"/>
  <c r="CM9" i="52" l="1"/>
  <c r="CM10" i="52" s="1"/>
  <c r="A88" i="55"/>
  <c r="M86" i="18"/>
  <c r="N87" i="55"/>
  <c r="M87" i="55"/>
  <c r="L87" i="55"/>
  <c r="K87" i="55"/>
  <c r="L86" i="18"/>
  <c r="R87" i="55"/>
  <c r="T87" i="55"/>
  <c r="U87" i="55"/>
  <c r="S87" i="55"/>
  <c r="Q87" i="55"/>
  <c r="O86" i="18"/>
  <c r="AB73" i="19"/>
  <c r="AF73" i="19" s="1"/>
  <c r="G54" i="55"/>
  <c r="Q57" i="55"/>
  <c r="A87" i="18"/>
  <c r="D87" i="18" s="1"/>
  <c r="B89" i="55" s="1"/>
  <c r="N86" i="18"/>
  <c r="AF194" i="50"/>
  <c r="R85" i="18"/>
  <c r="AB75" i="19"/>
  <c r="C86" i="18"/>
  <c r="AB77" i="19" l="1"/>
  <c r="F88" i="55"/>
  <c r="E88" i="55"/>
  <c r="E87" i="18"/>
  <c r="P88" i="55"/>
  <c r="J88" i="55"/>
  <c r="O88" i="55"/>
  <c r="H54" i="55"/>
  <c r="S57" i="55"/>
  <c r="R57" i="55" s="1"/>
  <c r="D15" i="59" s="1"/>
  <c r="AJ194" i="50"/>
  <c r="K86" i="18"/>
  <c r="D88" i="55" s="1"/>
  <c r="AB250" i="23"/>
  <c r="AF250" i="23" s="1"/>
  <c r="AJ250" i="23" s="1"/>
  <c r="AB251" i="23"/>
  <c r="AF251" i="23" s="1"/>
  <c r="AJ251" i="23" s="1"/>
  <c r="AF75" i="19"/>
  <c r="AJ75" i="19" s="1"/>
  <c r="AJ73" i="19"/>
  <c r="B87" i="18"/>
  <c r="G88" i="55" l="1"/>
  <c r="H88" i="55" s="1"/>
  <c r="I88" i="55" s="1"/>
  <c r="N88" i="55"/>
  <c r="L88" i="55"/>
  <c r="M88" i="55"/>
  <c r="K88" i="55"/>
  <c r="A89" i="55"/>
  <c r="M87" i="18"/>
  <c r="R88" i="55"/>
  <c r="T88" i="55"/>
  <c r="U88" i="55"/>
  <c r="S88" i="55"/>
  <c r="Q88" i="55"/>
  <c r="C89" i="55"/>
  <c r="O87" i="18"/>
  <c r="L87" i="18"/>
  <c r="I54" i="55"/>
  <c r="U57" i="55" s="1"/>
  <c r="T57" i="55"/>
  <c r="A88" i="18"/>
  <c r="D88" i="18" s="1"/>
  <c r="B90" i="55" s="1"/>
  <c r="N87" i="18"/>
  <c r="R86" i="18"/>
  <c r="AB253" i="23"/>
  <c r="AB252" i="23"/>
  <c r="AF252" i="23" s="1"/>
  <c r="AJ252" i="23" s="1"/>
  <c r="AF77" i="19"/>
  <c r="AJ77" i="19"/>
  <c r="C87" i="18"/>
  <c r="E89" i="55" l="1"/>
  <c r="F89" i="55"/>
  <c r="P89" i="55"/>
  <c r="J89" i="55"/>
  <c r="O89" i="55"/>
  <c r="E88" i="18"/>
  <c r="K87" i="18"/>
  <c r="D89" i="55" s="1"/>
  <c r="AF253" i="23"/>
  <c r="AJ253" i="23" s="1"/>
  <c r="B88" i="18"/>
  <c r="G89" i="55" l="1"/>
  <c r="H89" i="55" s="1"/>
  <c r="I89" i="55" s="1"/>
  <c r="A90" i="55"/>
  <c r="M88" i="18"/>
  <c r="L88" i="18"/>
  <c r="K89" i="55"/>
  <c r="N89" i="55"/>
  <c r="M89" i="55"/>
  <c r="L89" i="55"/>
  <c r="C90" i="55"/>
  <c r="O88" i="18"/>
  <c r="R89" i="55"/>
  <c r="T89" i="55"/>
  <c r="U89" i="55"/>
  <c r="S89" i="55"/>
  <c r="Q89" i="55"/>
  <c r="A89" i="18"/>
  <c r="D89" i="18" s="1"/>
  <c r="B91" i="55" s="1"/>
  <c r="R87" i="18"/>
  <c r="C88" i="18"/>
  <c r="E89" i="18" l="1"/>
  <c r="C91" i="55" s="1"/>
  <c r="F90" i="55"/>
  <c r="P90" i="55"/>
  <c r="J90" i="55"/>
  <c r="O90" i="55"/>
  <c r="K88" i="18"/>
  <c r="D90" i="55" s="1"/>
  <c r="B89" i="18"/>
  <c r="O89" i="18" l="1"/>
  <c r="L89" i="18"/>
  <c r="M90" i="55"/>
  <c r="N90" i="55"/>
  <c r="L90" i="55"/>
  <c r="K90" i="55"/>
  <c r="R90" i="55"/>
  <c r="T90" i="55"/>
  <c r="U90" i="55"/>
  <c r="S90" i="55"/>
  <c r="Q90" i="55"/>
  <c r="A91" i="55"/>
  <c r="M89" i="18"/>
  <c r="A90" i="18"/>
  <c r="D90" i="18" s="1"/>
  <c r="B92" i="55" s="1"/>
  <c r="R88" i="18"/>
  <c r="C89" i="18"/>
  <c r="F91" i="55" l="1"/>
  <c r="E90" i="18"/>
  <c r="C92" i="55" s="1"/>
  <c r="P91" i="55"/>
  <c r="J91" i="55"/>
  <c r="O91" i="55"/>
  <c r="K89" i="18"/>
  <c r="D91" i="55" s="1"/>
  <c r="B90" i="18"/>
  <c r="A92" i="55" l="1"/>
  <c r="M90" i="18"/>
  <c r="L90" i="18"/>
  <c r="O90" i="18"/>
  <c r="N91" i="55"/>
  <c r="M91" i="55"/>
  <c r="L91" i="55"/>
  <c r="K91" i="55"/>
  <c r="T91" i="55"/>
  <c r="U91" i="55"/>
  <c r="R91" i="55"/>
  <c r="S91" i="55"/>
  <c r="Q91" i="55"/>
  <c r="A91" i="18"/>
  <c r="D91" i="18" s="1"/>
  <c r="B93" i="55" s="1"/>
  <c r="N90" i="18"/>
  <c r="R89" i="18"/>
  <c r="C90" i="18"/>
  <c r="E91" i="18" l="1"/>
  <c r="C93" i="55" s="1"/>
  <c r="E92" i="55"/>
  <c r="F92" i="55"/>
  <c r="P92" i="55"/>
  <c r="O92" i="55"/>
  <c r="J92" i="55"/>
  <c r="K90" i="18"/>
  <c r="D92" i="55" s="1"/>
  <c r="B91" i="18"/>
  <c r="G92" i="55" l="1"/>
  <c r="H92" i="55" s="1"/>
  <c r="I92" i="55" s="1"/>
  <c r="A93" i="55"/>
  <c r="M91" i="18"/>
  <c r="N92" i="55"/>
  <c r="M92" i="55"/>
  <c r="L92" i="55"/>
  <c r="K92" i="55"/>
  <c r="R92" i="55"/>
  <c r="S92" i="55"/>
  <c r="T92" i="55"/>
  <c r="U92" i="55"/>
  <c r="Q92" i="55"/>
  <c r="L91" i="18"/>
  <c r="O91" i="18"/>
  <c r="A92" i="18"/>
  <c r="D92" i="18" s="1"/>
  <c r="B94" i="55" s="1"/>
  <c r="N91" i="18"/>
  <c r="R90" i="18"/>
  <c r="C91" i="18"/>
  <c r="E92" i="18" l="1"/>
  <c r="C94" i="55" s="1"/>
  <c r="E93" i="55"/>
  <c r="F93" i="55"/>
  <c r="P93" i="55"/>
  <c r="O93" i="55"/>
  <c r="J93" i="55"/>
  <c r="K91" i="18"/>
  <c r="D93" i="55" s="1"/>
  <c r="B92" i="18"/>
  <c r="A94" i="55" l="1"/>
  <c r="L92" i="18"/>
  <c r="M92" i="18"/>
  <c r="L93" i="55"/>
  <c r="M93" i="55"/>
  <c r="K93" i="55"/>
  <c r="N93" i="55"/>
  <c r="G93" i="55"/>
  <c r="H93" i="55" s="1"/>
  <c r="O92" i="18"/>
  <c r="A93" i="18"/>
  <c r="D93" i="18" s="1"/>
  <c r="B95" i="55" s="1"/>
  <c r="N92" i="18"/>
  <c r="R91" i="18"/>
  <c r="C92" i="18"/>
  <c r="E94" i="55" l="1"/>
  <c r="F94" i="55"/>
  <c r="I93" i="55"/>
  <c r="E93" i="18"/>
  <c r="C95" i="55" s="1"/>
  <c r="P94" i="55"/>
  <c r="J94" i="55"/>
  <c r="O94" i="55"/>
  <c r="K92" i="18"/>
  <c r="D94" i="55" s="1"/>
  <c r="B93" i="18"/>
  <c r="A95" i="55" s="1"/>
  <c r="G94" i="55" l="1"/>
  <c r="H94" i="55" s="1"/>
  <c r="I94" i="55" s="1"/>
  <c r="Q94" i="55"/>
  <c r="P95" i="55"/>
  <c r="J95" i="55"/>
  <c r="O95" i="55"/>
  <c r="N94" i="55"/>
  <c r="L94" i="55"/>
  <c r="M94" i="55"/>
  <c r="K94" i="55"/>
  <c r="L93" i="18"/>
  <c r="M93" i="18"/>
  <c r="O93" i="18"/>
  <c r="A94" i="18"/>
  <c r="D94" i="18" s="1"/>
  <c r="B96" i="55" s="1"/>
  <c r="N93" i="18"/>
  <c r="R92" i="18"/>
  <c r="C93" i="18"/>
  <c r="F95" i="55" l="1"/>
  <c r="R95" i="55" s="1"/>
  <c r="D25" i="59" s="1"/>
  <c r="E94" i="18"/>
  <c r="N95" i="55"/>
  <c r="L95" i="55"/>
  <c r="K95" i="55"/>
  <c r="M95" i="55"/>
  <c r="E95" i="55"/>
  <c r="K93" i="18"/>
  <c r="D95" i="55" s="1"/>
  <c r="B94" i="18"/>
  <c r="G95" i="55" l="1"/>
  <c r="H95" i="55" s="1"/>
  <c r="I95" i="55" s="1"/>
  <c r="Q95" i="55"/>
  <c r="A96" i="55"/>
  <c r="M94" i="18"/>
  <c r="C96" i="55"/>
  <c r="O94" i="18"/>
  <c r="L94" i="18"/>
  <c r="A95" i="18"/>
  <c r="D95" i="18" s="1"/>
  <c r="B97" i="55" s="1"/>
  <c r="N94" i="18"/>
  <c r="R93" i="18"/>
  <c r="C94" i="18"/>
  <c r="E96" i="55" l="1"/>
  <c r="S95" i="55"/>
  <c r="E95" i="18"/>
  <c r="C97" i="55" s="1"/>
  <c r="F96" i="55"/>
  <c r="P96" i="55"/>
  <c r="J96" i="55"/>
  <c r="O96" i="55"/>
  <c r="U95" i="55"/>
  <c r="T95" i="55"/>
  <c r="K94" i="18"/>
  <c r="D96" i="55" s="1"/>
  <c r="B95" i="18"/>
  <c r="O95" i="18" s="1"/>
  <c r="G96" i="55" l="1"/>
  <c r="H96" i="55" s="1"/>
  <c r="R96" i="55"/>
  <c r="D26" i="59" s="1"/>
  <c r="L95" i="18"/>
  <c r="Q96" i="55"/>
  <c r="M96" i="55"/>
  <c r="L96" i="55"/>
  <c r="N96" i="55"/>
  <c r="K96" i="55"/>
  <c r="A97" i="55"/>
  <c r="M95" i="18"/>
  <c r="F97" i="55" s="1"/>
  <c r="A96" i="18"/>
  <c r="D96" i="18" s="1"/>
  <c r="B98" i="55" s="1"/>
  <c r="N95" i="18"/>
  <c r="R94" i="18"/>
  <c r="C95" i="18"/>
  <c r="S96" i="55" l="1"/>
  <c r="E97" i="55"/>
  <c r="G97" i="55" s="1"/>
  <c r="H97" i="55" s="1"/>
  <c r="I97" i="55" s="1"/>
  <c r="P97" i="55"/>
  <c r="O97" i="55"/>
  <c r="J97" i="55"/>
  <c r="E96" i="18"/>
  <c r="T96" i="55"/>
  <c r="I96" i="55"/>
  <c r="K95" i="18"/>
  <c r="D97" i="55" s="1"/>
  <c r="B96" i="18"/>
  <c r="A98" i="55" l="1"/>
  <c r="M96" i="18"/>
  <c r="L96" i="18"/>
  <c r="C98" i="55"/>
  <c r="O96" i="18"/>
  <c r="N97" i="55"/>
  <c r="K97" i="55"/>
  <c r="M97" i="55"/>
  <c r="L97" i="55"/>
  <c r="T97" i="55"/>
  <c r="R97" i="55"/>
  <c r="U97" i="55"/>
  <c r="S97" i="55"/>
  <c r="Q97" i="55"/>
  <c r="U96" i="55"/>
  <c r="A97" i="18"/>
  <c r="D97" i="18" s="1"/>
  <c r="B99" i="55" s="1"/>
  <c r="N96" i="18"/>
  <c r="R95" i="18"/>
  <c r="C96" i="18"/>
  <c r="E98" i="55" l="1"/>
  <c r="E97" i="18"/>
  <c r="C99" i="55" s="1"/>
  <c r="F98" i="55"/>
  <c r="P98" i="55"/>
  <c r="J98" i="55"/>
  <c r="O98" i="55"/>
  <c r="K96" i="18"/>
  <c r="D98" i="55" s="1"/>
  <c r="B97" i="18"/>
  <c r="G98" i="55" l="1"/>
  <c r="H98" i="55" s="1"/>
  <c r="A99" i="55"/>
  <c r="M97" i="18"/>
  <c r="N98" i="55"/>
  <c r="K98" i="55"/>
  <c r="M98" i="55"/>
  <c r="L98" i="55"/>
  <c r="R98" i="55"/>
  <c r="T98" i="55"/>
  <c r="U98" i="55"/>
  <c r="S98" i="55"/>
  <c r="Q98" i="55"/>
  <c r="L97" i="18"/>
  <c r="O97" i="18"/>
  <c r="A98" i="18"/>
  <c r="D98" i="18" s="1"/>
  <c r="B100" i="55" s="1"/>
  <c r="N97" i="18"/>
  <c r="R96" i="18"/>
  <c r="C97" i="18"/>
  <c r="I98" i="55" l="1"/>
  <c r="E98" i="18"/>
  <c r="C100" i="55" s="1"/>
  <c r="E99" i="55"/>
  <c r="F99" i="55"/>
  <c r="P99" i="55"/>
  <c r="J99" i="55"/>
  <c r="O99" i="55"/>
  <c r="K97" i="18"/>
  <c r="D99" i="55" s="1"/>
  <c r="B98" i="18"/>
  <c r="A100" i="55" l="1"/>
  <c r="M98" i="18"/>
  <c r="N99" i="55"/>
  <c r="M99" i="55"/>
  <c r="L99" i="55"/>
  <c r="K99" i="55"/>
  <c r="R99" i="55"/>
  <c r="T99" i="55"/>
  <c r="U99" i="55"/>
  <c r="S99" i="55"/>
  <c r="Q99" i="55"/>
  <c r="G99" i="55"/>
  <c r="H99" i="55" s="1"/>
  <c r="I99" i="55" s="1"/>
  <c r="O98" i="18"/>
  <c r="L98" i="18"/>
  <c r="A99" i="18"/>
  <c r="D99" i="18" s="1"/>
  <c r="B101" i="55" s="1"/>
  <c r="N98" i="18"/>
  <c r="R97" i="18"/>
  <c r="C98" i="18"/>
  <c r="E99" i="18" l="1"/>
  <c r="C101" i="55" s="1"/>
  <c r="E100" i="55"/>
  <c r="F100" i="55"/>
  <c r="P100" i="55"/>
  <c r="O100" i="55"/>
  <c r="J100" i="55"/>
  <c r="K98" i="18"/>
  <c r="D100" i="55" s="1"/>
  <c r="B99" i="18"/>
  <c r="G100" i="55" l="1"/>
  <c r="H100" i="55" s="1"/>
  <c r="I100" i="55" s="1"/>
  <c r="A101" i="55"/>
  <c r="M99" i="18"/>
  <c r="K100" i="55"/>
  <c r="N100" i="55"/>
  <c r="M100" i="55"/>
  <c r="L100" i="55"/>
  <c r="R100" i="55"/>
  <c r="T100" i="55"/>
  <c r="U100" i="55"/>
  <c r="S100" i="55"/>
  <c r="Q100" i="55"/>
  <c r="L99" i="18"/>
  <c r="O99" i="18"/>
  <c r="A100" i="18"/>
  <c r="D100" i="18" s="1"/>
  <c r="B102" i="55" s="1"/>
  <c r="N99" i="18"/>
  <c r="R98" i="18"/>
  <c r="C99" i="18"/>
  <c r="E100" i="18" l="1"/>
  <c r="C102" i="55" s="1"/>
  <c r="E101" i="55"/>
  <c r="F101" i="55"/>
  <c r="P101" i="55"/>
  <c r="J101" i="55"/>
  <c r="O101" i="55"/>
  <c r="K99" i="18"/>
  <c r="D101" i="55" s="1"/>
  <c r="B100" i="18"/>
  <c r="G101" i="55" l="1"/>
  <c r="H101" i="55" s="1"/>
  <c r="I101" i="55" s="1"/>
  <c r="A102" i="55"/>
  <c r="M100" i="18"/>
  <c r="N101" i="55"/>
  <c r="L101" i="55"/>
  <c r="M101" i="55"/>
  <c r="K101" i="55"/>
  <c r="R101" i="55"/>
  <c r="T101" i="55"/>
  <c r="U101" i="55"/>
  <c r="S101" i="55"/>
  <c r="Q101" i="55"/>
  <c r="O100" i="18"/>
  <c r="L100" i="18"/>
  <c r="A101" i="18"/>
  <c r="D101" i="18" s="1"/>
  <c r="B103" i="55" s="1"/>
  <c r="N100" i="18"/>
  <c r="R99" i="18"/>
  <c r="C100" i="18"/>
  <c r="E102" i="55" l="1"/>
  <c r="E101" i="18"/>
  <c r="C103" i="55" s="1"/>
  <c r="F102" i="55"/>
  <c r="P102" i="55"/>
  <c r="J102" i="55"/>
  <c r="O102" i="55"/>
  <c r="K100" i="18"/>
  <c r="D102" i="55" s="1"/>
  <c r="B101" i="18"/>
  <c r="G102" i="55" l="1"/>
  <c r="H102" i="55" s="1"/>
  <c r="I102" i="55" s="1"/>
  <c r="A103" i="55"/>
  <c r="M101" i="18"/>
  <c r="K102" i="55"/>
  <c r="N102" i="55"/>
  <c r="M102" i="55"/>
  <c r="L102" i="55"/>
  <c r="R102" i="55"/>
  <c r="T102" i="55"/>
  <c r="U102" i="55"/>
  <c r="S102" i="55"/>
  <c r="Q102" i="55"/>
  <c r="L101" i="18"/>
  <c r="O101" i="18"/>
  <c r="A102" i="18"/>
  <c r="D102" i="18" s="1"/>
  <c r="B104" i="55" s="1"/>
  <c r="N101" i="18"/>
  <c r="R100" i="18"/>
  <c r="E102" i="18"/>
  <c r="C101" i="18"/>
  <c r="E103" i="55" l="1"/>
  <c r="C104" i="55"/>
  <c r="F103" i="55"/>
  <c r="P103" i="55"/>
  <c r="J103" i="55"/>
  <c r="O103" i="55"/>
  <c r="K101" i="18"/>
  <c r="D103" i="55" s="1"/>
  <c r="B102" i="18"/>
  <c r="G103" i="55" l="1"/>
  <c r="H103" i="55" s="1"/>
  <c r="I103" i="55" s="1"/>
  <c r="A104" i="55"/>
  <c r="M102" i="18"/>
  <c r="L103" i="55"/>
  <c r="M103" i="55"/>
  <c r="K103" i="55"/>
  <c r="N103" i="55"/>
  <c r="R103" i="55"/>
  <c r="T103" i="55"/>
  <c r="U103" i="55"/>
  <c r="S103" i="55"/>
  <c r="Q103" i="55"/>
  <c r="O102" i="18"/>
  <c r="L102" i="18"/>
  <c r="A103" i="18"/>
  <c r="D103" i="18" s="1"/>
  <c r="B105" i="55" s="1"/>
  <c r="N102" i="18"/>
  <c r="R101" i="18"/>
  <c r="E103" i="18"/>
  <c r="C102" i="18"/>
  <c r="E104" i="55" l="1"/>
  <c r="F104" i="55"/>
  <c r="C105" i="55"/>
  <c r="P104" i="55"/>
  <c r="J104" i="55"/>
  <c r="O104" i="55"/>
  <c r="K102" i="18"/>
  <c r="D104" i="55" s="1"/>
  <c r="B103" i="18"/>
  <c r="G104" i="55" l="1"/>
  <c r="H104" i="55" s="1"/>
  <c r="I104" i="55" s="1"/>
  <c r="A105" i="55"/>
  <c r="M103" i="18"/>
  <c r="N104" i="55"/>
  <c r="L104" i="55"/>
  <c r="M104" i="55"/>
  <c r="K104" i="55"/>
  <c r="R104" i="55"/>
  <c r="T104" i="55"/>
  <c r="U104" i="55"/>
  <c r="S104" i="55"/>
  <c r="Q104" i="55"/>
  <c r="L103" i="18"/>
  <c r="O103" i="18"/>
  <c r="A104" i="18"/>
  <c r="D104" i="18" s="1"/>
  <c r="B106" i="55" s="1"/>
  <c r="N103" i="18"/>
  <c r="R102" i="18"/>
  <c r="C103" i="18"/>
  <c r="E104" i="18" l="1"/>
  <c r="C106" i="55" s="1"/>
  <c r="E105" i="55"/>
  <c r="F105" i="55"/>
  <c r="P105" i="55"/>
  <c r="O105" i="55"/>
  <c r="J105" i="55"/>
  <c r="K103" i="18"/>
  <c r="D105" i="55" s="1"/>
  <c r="B104" i="18"/>
  <c r="G105" i="55" l="1"/>
  <c r="H105" i="55" s="1"/>
  <c r="I105" i="55" s="1"/>
  <c r="A106" i="55"/>
  <c r="M104" i="18"/>
  <c r="N105" i="55"/>
  <c r="L105" i="55"/>
  <c r="M105" i="55"/>
  <c r="K105" i="55"/>
  <c r="T105" i="55"/>
  <c r="U105" i="55"/>
  <c r="R105" i="55"/>
  <c r="S105" i="55"/>
  <c r="Q105" i="55"/>
  <c r="O104" i="18"/>
  <c r="L104" i="18"/>
  <c r="A105" i="18"/>
  <c r="D105" i="18" s="1"/>
  <c r="B107" i="55" s="1"/>
  <c r="R103" i="18"/>
  <c r="C104" i="18"/>
  <c r="E105" i="18" l="1"/>
  <c r="C107" i="55" s="1"/>
  <c r="F106" i="55"/>
  <c r="P106" i="55"/>
  <c r="J106" i="55"/>
  <c r="O106" i="55"/>
  <c r="K104" i="18"/>
  <c r="D106" i="55" s="1"/>
  <c r="B105" i="18"/>
  <c r="A107" i="55" l="1"/>
  <c r="M105" i="18"/>
  <c r="N106" i="55"/>
  <c r="L106" i="55"/>
  <c r="M106" i="55"/>
  <c r="K106" i="55"/>
  <c r="R106" i="55"/>
  <c r="U106" i="55"/>
  <c r="T106" i="55"/>
  <c r="S106" i="55"/>
  <c r="Q106" i="55"/>
  <c r="L105" i="18"/>
  <c r="O105" i="18"/>
  <c r="A106" i="18"/>
  <c r="D106" i="18" s="1"/>
  <c r="B108" i="55" s="1"/>
  <c r="N105" i="18"/>
  <c r="R104" i="18"/>
  <c r="E106" i="18"/>
  <c r="C105" i="18"/>
  <c r="E107" i="55" l="1"/>
  <c r="C108" i="55"/>
  <c r="F107" i="55"/>
  <c r="P107" i="55"/>
  <c r="O107" i="55"/>
  <c r="J107" i="55"/>
  <c r="K105" i="18"/>
  <c r="D107" i="55" s="1"/>
  <c r="B106" i="18"/>
  <c r="G107" i="55" l="1"/>
  <c r="H107" i="55" s="1"/>
  <c r="I107" i="55" s="1"/>
  <c r="A108" i="55"/>
  <c r="M106" i="18"/>
  <c r="N107" i="55"/>
  <c r="L107" i="55"/>
  <c r="M107" i="55"/>
  <c r="K107" i="55"/>
  <c r="T107" i="55"/>
  <c r="U107" i="55"/>
  <c r="R107" i="55"/>
  <c r="S107" i="55"/>
  <c r="Q107" i="55"/>
  <c r="O106" i="18"/>
  <c r="L106" i="18"/>
  <c r="A107" i="18"/>
  <c r="D107" i="18" s="1"/>
  <c r="B109" i="55" s="1"/>
  <c r="N106" i="18"/>
  <c r="R105" i="18"/>
  <c r="C106" i="18"/>
  <c r="E107" i="18" l="1"/>
  <c r="C109" i="55" s="1"/>
  <c r="E108" i="55"/>
  <c r="F108" i="55"/>
  <c r="P108" i="55"/>
  <c r="O108" i="55"/>
  <c r="J108" i="55"/>
  <c r="K106" i="18"/>
  <c r="D108" i="55" s="1"/>
  <c r="B107" i="18"/>
  <c r="G108" i="55" l="1"/>
  <c r="H108" i="55" s="1"/>
  <c r="I108" i="55" s="1"/>
  <c r="A109" i="55"/>
  <c r="M107" i="18"/>
  <c r="N108" i="55"/>
  <c r="L108" i="55"/>
  <c r="M108" i="55"/>
  <c r="K108" i="55"/>
  <c r="T108" i="55"/>
  <c r="R108" i="55"/>
  <c r="U108" i="55"/>
  <c r="S108" i="55"/>
  <c r="Q108" i="55"/>
  <c r="L107" i="18"/>
  <c r="O107" i="18"/>
  <c r="A108" i="18"/>
  <c r="D108" i="18" s="1"/>
  <c r="B110" i="55" s="1"/>
  <c r="R106" i="18"/>
  <c r="C107" i="18"/>
  <c r="E108" i="18" l="1"/>
  <c r="C110" i="55" s="1"/>
  <c r="F109" i="55"/>
  <c r="P109" i="55"/>
  <c r="J109" i="55"/>
  <c r="O109" i="55"/>
  <c r="K107" i="18"/>
  <c r="D109" i="55" s="1"/>
  <c r="B108" i="18"/>
  <c r="A110" i="55" l="1"/>
  <c r="M108" i="18"/>
  <c r="K109" i="55"/>
  <c r="N109" i="55"/>
  <c r="M109" i="55"/>
  <c r="L109" i="55"/>
  <c r="T109" i="55"/>
  <c r="R109" i="55"/>
  <c r="U109" i="55"/>
  <c r="S109" i="55"/>
  <c r="Q109" i="55"/>
  <c r="O108" i="18"/>
  <c r="L108" i="18"/>
  <c r="A109" i="18"/>
  <c r="D109" i="18" s="1"/>
  <c r="B111" i="55" s="1"/>
  <c r="R107" i="18"/>
  <c r="C108" i="18"/>
  <c r="E109" i="18"/>
  <c r="F110" i="55" l="1"/>
  <c r="C111" i="55"/>
  <c r="P110" i="55"/>
  <c r="J110" i="55"/>
  <c r="O110" i="55"/>
  <c r="K108" i="18"/>
  <c r="D110" i="55" s="1"/>
  <c r="B109" i="18"/>
  <c r="A111" i="55" l="1"/>
  <c r="M109" i="18"/>
  <c r="N110" i="55"/>
  <c r="M110" i="55"/>
  <c r="L110" i="55"/>
  <c r="K110" i="55"/>
  <c r="R110" i="55"/>
  <c r="T110" i="55"/>
  <c r="U110" i="55"/>
  <c r="S110" i="55"/>
  <c r="Q110" i="55"/>
  <c r="L109" i="18"/>
  <c r="O109" i="18"/>
  <c r="A110" i="18"/>
  <c r="D110" i="18" s="1"/>
  <c r="B112" i="55" s="1"/>
  <c r="R108" i="18"/>
  <c r="E110" i="18"/>
  <c r="C109" i="18"/>
  <c r="C112" i="55" l="1"/>
  <c r="F111" i="55"/>
  <c r="P111" i="55"/>
  <c r="O111" i="55"/>
  <c r="J111" i="55"/>
  <c r="K109" i="18"/>
  <c r="D111" i="55" s="1"/>
  <c r="B110" i="18"/>
  <c r="A112" i="55" l="1"/>
  <c r="L110" i="18"/>
  <c r="M110" i="18"/>
  <c r="N111" i="55"/>
  <c r="L111" i="55"/>
  <c r="M111" i="55"/>
  <c r="K111" i="55"/>
  <c r="O110" i="18"/>
  <c r="A111" i="18"/>
  <c r="D111" i="18" s="1"/>
  <c r="B113" i="55" s="1"/>
  <c r="R109" i="18"/>
  <c r="C110" i="18"/>
  <c r="E111" i="18" l="1"/>
  <c r="C113" i="55" s="1"/>
  <c r="F112" i="55"/>
  <c r="P112" i="55"/>
  <c r="O112" i="55"/>
  <c r="J112" i="55"/>
  <c r="K110" i="18"/>
  <c r="D112" i="55" s="1"/>
  <c r="B111" i="18"/>
  <c r="A113" i="55" l="1"/>
  <c r="M111" i="18"/>
  <c r="L111" i="18"/>
  <c r="O111" i="18"/>
  <c r="A112" i="18"/>
  <c r="D112" i="18" s="1"/>
  <c r="B114" i="55" s="1"/>
  <c r="R110" i="18"/>
  <c r="C111" i="18"/>
  <c r="E112" i="18" l="1"/>
  <c r="C114" i="55" s="1"/>
  <c r="F113" i="55"/>
  <c r="P113" i="55"/>
  <c r="J113" i="55"/>
  <c r="O113" i="55"/>
  <c r="K111" i="18"/>
  <c r="D113" i="55" s="1"/>
  <c r="B112" i="18"/>
  <c r="A114" i="55" l="1"/>
  <c r="M112" i="18"/>
  <c r="N113" i="55"/>
  <c r="M113" i="55"/>
  <c r="L113" i="55"/>
  <c r="K113" i="55"/>
  <c r="R113" i="55"/>
  <c r="D29" i="59" s="1"/>
  <c r="L112" i="18"/>
  <c r="O112" i="18"/>
  <c r="A113" i="18"/>
  <c r="D113" i="18" s="1"/>
  <c r="B115" i="55" s="1"/>
  <c r="R111" i="18"/>
  <c r="C112" i="18"/>
  <c r="E113" i="18" l="1"/>
  <c r="C115" i="55" s="1"/>
  <c r="F114" i="55"/>
  <c r="P114" i="55"/>
  <c r="J114" i="55"/>
  <c r="O114" i="55"/>
  <c r="K112" i="18"/>
  <c r="D114" i="55" s="1"/>
  <c r="B113" i="18"/>
  <c r="A115" i="55" l="1"/>
  <c r="M113" i="18"/>
  <c r="N114" i="55"/>
  <c r="L114" i="55"/>
  <c r="M114" i="55"/>
  <c r="K114" i="55"/>
  <c r="R114" i="55"/>
  <c r="D30" i="59" s="1"/>
  <c r="L113" i="18"/>
  <c r="O113" i="18"/>
  <c r="A114" i="18"/>
  <c r="D114" i="18" s="1"/>
  <c r="B116" i="55" s="1"/>
  <c r="R112" i="18"/>
  <c r="C113" i="18"/>
  <c r="F115" i="55" l="1"/>
  <c r="E114" i="18"/>
  <c r="P115" i="55"/>
  <c r="J115" i="55"/>
  <c r="O115" i="55"/>
  <c r="K113" i="18"/>
  <c r="D115" i="55" s="1"/>
  <c r="B114" i="18"/>
  <c r="A116" i="55" l="1"/>
  <c r="M114" i="18"/>
  <c r="L115" i="55"/>
  <c r="K115" i="55"/>
  <c r="N115" i="55"/>
  <c r="M115" i="55"/>
  <c r="R115" i="55"/>
  <c r="T115" i="55"/>
  <c r="U115" i="55"/>
  <c r="S115" i="55"/>
  <c r="Q115" i="55"/>
  <c r="C116" i="55"/>
  <c r="O114" i="18"/>
  <c r="L114" i="18"/>
  <c r="A115" i="18"/>
  <c r="D115" i="18" s="1"/>
  <c r="B117" i="55" s="1"/>
  <c r="R113" i="18"/>
  <c r="C114" i="18"/>
  <c r="E115" i="18" l="1"/>
  <c r="C117" i="55" s="1"/>
  <c r="F116" i="55"/>
  <c r="P116" i="55"/>
  <c r="J116" i="55"/>
  <c r="O116" i="55"/>
  <c r="K114" i="18"/>
  <c r="D116" i="55" s="1"/>
  <c r="B115" i="18"/>
  <c r="A117" i="55" l="1"/>
  <c r="M115" i="18"/>
  <c r="M116" i="55"/>
  <c r="L116" i="55"/>
  <c r="K116" i="55"/>
  <c r="N116" i="55"/>
  <c r="R116" i="55"/>
  <c r="S116" i="55"/>
  <c r="T116" i="55"/>
  <c r="U116" i="55"/>
  <c r="Q116" i="55"/>
  <c r="L115" i="18"/>
  <c r="O115" i="18"/>
  <c r="A116" i="18"/>
  <c r="D116" i="18" s="1"/>
  <c r="B118" i="55" s="1"/>
  <c r="R114" i="18"/>
  <c r="E116" i="18"/>
  <c r="C115" i="18"/>
  <c r="F117" i="55" l="1"/>
  <c r="C118" i="55"/>
  <c r="P117" i="55"/>
  <c r="J117" i="55"/>
  <c r="O117" i="55"/>
  <c r="K115" i="18"/>
  <c r="D117" i="55" s="1"/>
  <c r="B116" i="18"/>
  <c r="A118" i="55" l="1"/>
  <c r="M116" i="18"/>
  <c r="K117" i="55"/>
  <c r="N117" i="55"/>
  <c r="L117" i="55"/>
  <c r="M117" i="55"/>
  <c r="R117" i="55"/>
  <c r="T117" i="55"/>
  <c r="U117" i="55"/>
  <c r="S117" i="55"/>
  <c r="Q117" i="55"/>
  <c r="O116" i="18"/>
  <c r="L116" i="18"/>
  <c r="A117" i="18"/>
  <c r="D117" i="18" s="1"/>
  <c r="B119" i="55" s="1"/>
  <c r="R115" i="18"/>
  <c r="E117" i="18"/>
  <c r="C116" i="18"/>
  <c r="C119" i="55" l="1"/>
  <c r="F118" i="55"/>
  <c r="P118" i="55"/>
  <c r="O118" i="55"/>
  <c r="J118" i="55"/>
  <c r="K116" i="18"/>
  <c r="D118" i="55" s="1"/>
  <c r="B117" i="18"/>
  <c r="A119" i="55" l="1"/>
  <c r="M117" i="18"/>
  <c r="N118" i="55"/>
  <c r="M118" i="55"/>
  <c r="L118" i="55"/>
  <c r="K118" i="55"/>
  <c r="R118" i="55"/>
  <c r="S118" i="55"/>
  <c r="T118" i="55"/>
  <c r="U118" i="55"/>
  <c r="Q118" i="55"/>
  <c r="L117" i="18"/>
  <c r="O117" i="18"/>
  <c r="A118" i="18"/>
  <c r="D118" i="18" s="1"/>
  <c r="B120" i="55" s="1"/>
  <c r="R116" i="18"/>
  <c r="E118" i="18"/>
  <c r="C117" i="18"/>
  <c r="F119" i="55" l="1"/>
  <c r="C120" i="55"/>
  <c r="P119" i="55"/>
  <c r="J119" i="55"/>
  <c r="O119" i="55"/>
  <c r="K117" i="18"/>
  <c r="D119" i="55" s="1"/>
  <c r="B118" i="18"/>
  <c r="A120" i="55" l="1"/>
  <c r="M118" i="18"/>
  <c r="N119" i="55"/>
  <c r="L119" i="55"/>
  <c r="M119" i="55"/>
  <c r="K119" i="55"/>
  <c r="R119" i="55"/>
  <c r="T119" i="55"/>
  <c r="S119" i="55"/>
  <c r="U119" i="55"/>
  <c r="Q119" i="55"/>
  <c r="O118" i="18"/>
  <c r="L118" i="18"/>
  <c r="A119" i="18"/>
  <c r="D119" i="18" s="1"/>
  <c r="B121" i="55" s="1"/>
  <c r="R117" i="18"/>
  <c r="C118" i="18"/>
  <c r="E119" i="18"/>
  <c r="C121" i="55" l="1"/>
  <c r="F120" i="55"/>
  <c r="P120" i="55"/>
  <c r="J120" i="55"/>
  <c r="O120" i="55"/>
  <c r="K118" i="18"/>
  <c r="D120" i="55" s="1"/>
  <c r="B119" i="18"/>
  <c r="A121" i="55" l="1"/>
  <c r="M119" i="18"/>
  <c r="K120" i="55"/>
  <c r="N120" i="55"/>
  <c r="L120" i="55"/>
  <c r="M120" i="55"/>
  <c r="R120" i="55"/>
  <c r="T120" i="55"/>
  <c r="U120" i="55"/>
  <c r="S120" i="55"/>
  <c r="Q120" i="55"/>
  <c r="L119" i="18"/>
  <c r="O119" i="18"/>
  <c r="A120" i="18"/>
  <c r="D120" i="18" s="1"/>
  <c r="B122" i="55" s="1"/>
  <c r="R118" i="18"/>
  <c r="C119" i="18"/>
  <c r="F121" i="55" l="1"/>
  <c r="E120" i="18"/>
  <c r="C122" i="55" s="1"/>
  <c r="P121" i="55"/>
  <c r="O121" i="55"/>
  <c r="J121" i="55"/>
  <c r="K119" i="18"/>
  <c r="D121" i="55" s="1"/>
  <c r="B120" i="18"/>
  <c r="A122" i="55" l="1"/>
  <c r="M120" i="18"/>
  <c r="K121" i="55"/>
  <c r="N121" i="55"/>
  <c r="L121" i="55"/>
  <c r="M121" i="55"/>
  <c r="R121" i="55"/>
  <c r="T121" i="55"/>
  <c r="U121" i="55"/>
  <c r="S121" i="55"/>
  <c r="Q121" i="55"/>
  <c r="O120" i="18"/>
  <c r="L120" i="18"/>
  <c r="A121" i="18"/>
  <c r="D121" i="18" s="1"/>
  <c r="B123" i="55" s="1"/>
  <c r="R119" i="18"/>
  <c r="E121" i="18"/>
  <c r="C120" i="18"/>
  <c r="C123" i="55" l="1"/>
  <c r="F122" i="55"/>
  <c r="P122" i="55"/>
  <c r="J122" i="55"/>
  <c r="O122" i="55"/>
  <c r="K120" i="18"/>
  <c r="D122" i="55" s="1"/>
  <c r="B121" i="18"/>
  <c r="A123" i="55" l="1"/>
  <c r="M121" i="18"/>
  <c r="N122" i="55"/>
  <c r="M122" i="55"/>
  <c r="L122" i="55"/>
  <c r="K122" i="55"/>
  <c r="R122" i="55"/>
  <c r="T122" i="55"/>
  <c r="U122" i="55"/>
  <c r="S122" i="55"/>
  <c r="Q122" i="55"/>
  <c r="L121" i="18"/>
  <c r="O121" i="18"/>
  <c r="A122" i="18"/>
  <c r="D122" i="18" s="1"/>
  <c r="B124" i="55" s="1"/>
  <c r="R120" i="18"/>
  <c r="E122" i="18"/>
  <c r="C121" i="18"/>
  <c r="F123" i="55" l="1"/>
  <c r="C124" i="55"/>
  <c r="P123" i="55"/>
  <c r="J123" i="55"/>
  <c r="O123" i="55"/>
  <c r="K121" i="18"/>
  <c r="D123" i="55" s="1"/>
  <c r="B122" i="18"/>
  <c r="A124" i="55" l="1"/>
  <c r="M122" i="18"/>
  <c r="N123" i="55"/>
  <c r="M123" i="55"/>
  <c r="L123" i="55"/>
  <c r="K123" i="55"/>
  <c r="T123" i="55"/>
  <c r="U123" i="55"/>
  <c r="R123" i="55"/>
  <c r="S123" i="55"/>
  <c r="Q123" i="55"/>
  <c r="O122" i="18"/>
  <c r="L122" i="18"/>
  <c r="A123" i="18"/>
  <c r="D123" i="18" s="1"/>
  <c r="B125" i="55" s="1"/>
  <c r="R121" i="18"/>
  <c r="C122" i="18"/>
  <c r="E123" i="18" l="1"/>
  <c r="C125" i="55" s="1"/>
  <c r="F124" i="55"/>
  <c r="P124" i="55"/>
  <c r="J124" i="55"/>
  <c r="O124" i="55"/>
  <c r="K122" i="18"/>
  <c r="D124" i="55" s="1"/>
  <c r="B123" i="18"/>
  <c r="A125" i="55" l="1"/>
  <c r="M123" i="18"/>
  <c r="N124" i="55"/>
  <c r="L124" i="55"/>
  <c r="M124" i="55"/>
  <c r="K124" i="55"/>
  <c r="R124" i="55"/>
  <c r="T124" i="55"/>
  <c r="U124" i="55"/>
  <c r="S124" i="55"/>
  <c r="Q124" i="55"/>
  <c r="L123" i="18"/>
  <c r="O123" i="18"/>
  <c r="A124" i="18"/>
  <c r="D124" i="18" s="1"/>
  <c r="B126" i="55" s="1"/>
  <c r="R122" i="18"/>
  <c r="C123" i="18"/>
  <c r="E124" i="18"/>
  <c r="F125" i="55" l="1"/>
  <c r="C126" i="55"/>
  <c r="P125" i="55"/>
  <c r="O125" i="55"/>
  <c r="J125" i="55"/>
  <c r="K123" i="18"/>
  <c r="D125" i="55" s="1"/>
  <c r="B124" i="18"/>
  <c r="A126" i="55" l="1"/>
  <c r="M124" i="18"/>
  <c r="M125" i="55"/>
  <c r="K125" i="55"/>
  <c r="N125" i="55"/>
  <c r="L125" i="55"/>
  <c r="R125" i="55"/>
  <c r="T125" i="55"/>
  <c r="S125" i="55"/>
  <c r="U125" i="55"/>
  <c r="Q125" i="55"/>
  <c r="O124" i="18"/>
  <c r="L124" i="18"/>
  <c r="A125" i="18"/>
  <c r="D125" i="18" s="1"/>
  <c r="B127" i="55" s="1"/>
  <c r="N124" i="18"/>
  <c r="R123" i="18"/>
  <c r="C124" i="18"/>
  <c r="E126" i="55" l="1"/>
  <c r="E125" i="18"/>
  <c r="C127" i="55" s="1"/>
  <c r="F126" i="55"/>
  <c r="P126" i="55"/>
  <c r="J126" i="55"/>
  <c r="O126" i="55"/>
  <c r="B125" i="18"/>
  <c r="C125" i="18" s="1"/>
  <c r="K125" i="18" s="1"/>
  <c r="K124" i="18"/>
  <c r="D126" i="55" s="1"/>
  <c r="G126" i="55" l="1"/>
  <c r="H126" i="55" s="1"/>
  <c r="I126" i="55" s="1"/>
  <c r="N125" i="18"/>
  <c r="A126" i="18"/>
  <c r="D126" i="18" s="1"/>
  <c r="B128" i="55" s="1"/>
  <c r="A127" i="55"/>
  <c r="M125" i="18"/>
  <c r="M126" i="55"/>
  <c r="K126" i="55"/>
  <c r="L126" i="55"/>
  <c r="N126" i="55"/>
  <c r="R126" i="55"/>
  <c r="T126" i="55"/>
  <c r="U126" i="55"/>
  <c r="S126" i="55"/>
  <c r="Q126" i="55"/>
  <c r="L125" i="18"/>
  <c r="O125" i="18"/>
  <c r="R125" i="18"/>
  <c r="D127" i="55"/>
  <c r="R124" i="18"/>
  <c r="B126" i="18"/>
  <c r="E126" i="18"/>
  <c r="F127" i="55" l="1"/>
  <c r="N126" i="18"/>
  <c r="C128" i="55"/>
  <c r="O126" i="18"/>
  <c r="A127" i="18"/>
  <c r="D127" i="18" s="1"/>
  <c r="B129" i="55" s="1"/>
  <c r="A128" i="55"/>
  <c r="M126" i="18"/>
  <c r="P127" i="55"/>
  <c r="J127" i="55"/>
  <c r="O127" i="55"/>
  <c r="L126" i="18"/>
  <c r="E127" i="55"/>
  <c r="C126" i="18"/>
  <c r="K126" i="18" s="1"/>
  <c r="F128" i="55" l="1"/>
  <c r="G127" i="55"/>
  <c r="H127" i="55" s="1"/>
  <c r="I127" i="55" s="1"/>
  <c r="N127" i="55"/>
  <c r="M127" i="55"/>
  <c r="L127" i="55"/>
  <c r="K127" i="55"/>
  <c r="R127" i="55"/>
  <c r="T127" i="55"/>
  <c r="U127" i="55"/>
  <c r="S127" i="55"/>
  <c r="Q127" i="55"/>
  <c r="P128" i="55"/>
  <c r="O128" i="55"/>
  <c r="J128" i="55"/>
  <c r="E128" i="55"/>
  <c r="R126" i="18"/>
  <c r="D128" i="55"/>
  <c r="B127" i="18"/>
  <c r="E127" i="18"/>
  <c r="O4" i="13"/>
  <c r="G128" i="55" l="1"/>
  <c r="H128" i="55" s="1"/>
  <c r="I128" i="55" s="1"/>
  <c r="R128" i="55"/>
  <c r="U128" i="55"/>
  <c r="T128" i="55"/>
  <c r="S128" i="55"/>
  <c r="Q128" i="55"/>
  <c r="N127" i="18"/>
  <c r="C129" i="55"/>
  <c r="O127" i="18"/>
  <c r="A128" i="18"/>
  <c r="D128" i="18" s="1"/>
  <c r="B130" i="55" s="1"/>
  <c r="A129" i="55"/>
  <c r="M127" i="18"/>
  <c r="N128" i="55"/>
  <c r="M128" i="55"/>
  <c r="L128" i="55"/>
  <c r="K128" i="55"/>
  <c r="L127" i="18"/>
  <c r="X62" i="23"/>
  <c r="AF62" i="23"/>
  <c r="AK62" i="23" s="1"/>
  <c r="C127" i="18"/>
  <c r="K127" i="18" s="1"/>
  <c r="E129" i="55" l="1"/>
  <c r="P129" i="55"/>
  <c r="J129" i="55"/>
  <c r="O129" i="55"/>
  <c r="F129" i="55"/>
  <c r="R127" i="18"/>
  <c r="D129" i="55"/>
  <c r="AF60" i="30"/>
  <c r="AK60" i="30" s="1"/>
  <c r="X60" i="30"/>
  <c r="E128" i="18"/>
  <c r="B128" i="18"/>
  <c r="G129" i="55" l="1"/>
  <c r="H129" i="55" s="1"/>
  <c r="T129" i="55" s="1"/>
  <c r="A129" i="18"/>
  <c r="D129" i="18" s="1"/>
  <c r="B131" i="55" s="1"/>
  <c r="M128" i="18"/>
  <c r="A130" i="55"/>
  <c r="L128" i="18"/>
  <c r="C130" i="55"/>
  <c r="O128" i="18"/>
  <c r="N129" i="55"/>
  <c r="L129" i="55"/>
  <c r="M129" i="55"/>
  <c r="K129" i="55"/>
  <c r="Q129" i="55"/>
  <c r="N128" i="18"/>
  <c r="AF105" i="30"/>
  <c r="AK105" i="30" s="1"/>
  <c r="X105" i="30"/>
  <c r="AF163" i="30"/>
  <c r="AK163" i="30" s="1"/>
  <c r="X163" i="30"/>
  <c r="C128" i="18"/>
  <c r="K128" i="18" s="1"/>
  <c r="S129" i="55" l="1"/>
  <c r="R129" i="55" s="1"/>
  <c r="D31" i="59" s="1"/>
  <c r="F130" i="55"/>
  <c r="I129" i="55"/>
  <c r="U129" i="55" s="1"/>
  <c r="E130" i="55"/>
  <c r="P130" i="55"/>
  <c r="J130" i="55"/>
  <c r="O130" i="55"/>
  <c r="R128" i="18"/>
  <c r="D130" i="55"/>
  <c r="AF211" i="30"/>
  <c r="AK211" i="30" s="1"/>
  <c r="X211" i="30"/>
  <c r="B129" i="18"/>
  <c r="M129" i="18" s="1"/>
  <c r="E129" i="18"/>
  <c r="Q130" i="55" l="1"/>
  <c r="G130" i="55"/>
  <c r="H130" i="55" s="1"/>
  <c r="K130" i="55"/>
  <c r="N130" i="55"/>
  <c r="L130" i="55"/>
  <c r="M130" i="55"/>
  <c r="N129" i="18"/>
  <c r="C131" i="55"/>
  <c r="O129" i="18"/>
  <c r="F131" i="55" s="1"/>
  <c r="A130" i="18"/>
  <c r="D130" i="18" s="1"/>
  <c r="B132" i="55" s="1"/>
  <c r="A131" i="55"/>
  <c r="L129" i="18"/>
  <c r="C129" i="18"/>
  <c r="K129" i="18" s="1"/>
  <c r="I130" i="55" l="1"/>
  <c r="P131" i="55"/>
  <c r="O131" i="55"/>
  <c r="J131" i="55"/>
  <c r="E131" i="55"/>
  <c r="G131" i="55" s="1"/>
  <c r="H131" i="55" s="1"/>
  <c r="R129" i="18"/>
  <c r="D131" i="55"/>
  <c r="E130" i="18"/>
  <c r="B130" i="18"/>
  <c r="S131" i="55" l="1"/>
  <c r="Q131" i="55"/>
  <c r="C132" i="55"/>
  <c r="O130" i="18"/>
  <c r="N131" i="55"/>
  <c r="M131" i="55"/>
  <c r="L131" i="55"/>
  <c r="K131" i="55"/>
  <c r="R131" i="55"/>
  <c r="D33" i="59" s="1"/>
  <c r="A131" i="18"/>
  <c r="D131" i="18" s="1"/>
  <c r="B133" i="55" s="1"/>
  <c r="A132" i="55"/>
  <c r="M130" i="18"/>
  <c r="L130" i="18"/>
  <c r="T131" i="55"/>
  <c r="I131" i="55"/>
  <c r="N130" i="18"/>
  <c r="C130" i="18"/>
  <c r="K130" i="18" s="1"/>
  <c r="E132" i="55" l="1"/>
  <c r="P132" i="55"/>
  <c r="J132" i="55"/>
  <c r="O132" i="55"/>
  <c r="F132" i="55"/>
  <c r="R130" i="18"/>
  <c r="D132" i="55"/>
  <c r="U131" i="55"/>
  <c r="E131" i="18"/>
  <c r="B131" i="18"/>
  <c r="R132" i="55" l="1"/>
  <c r="D34" i="59" s="1"/>
  <c r="Q132" i="55"/>
  <c r="G132" i="55"/>
  <c r="S132" i="55" s="1"/>
  <c r="C133" i="55"/>
  <c r="O131" i="18"/>
  <c r="N132" i="55"/>
  <c r="L132" i="55"/>
  <c r="M132" i="55"/>
  <c r="K132" i="55"/>
  <c r="A132" i="18"/>
  <c r="D132" i="18" s="1"/>
  <c r="B134" i="55" s="1"/>
  <c r="A133" i="55"/>
  <c r="M131" i="18"/>
  <c r="L131" i="18"/>
  <c r="N131" i="18"/>
  <c r="C131" i="18"/>
  <c r="K131" i="18" s="1"/>
  <c r="H132" i="55" l="1"/>
  <c r="I132" i="55" s="1"/>
  <c r="P133" i="55"/>
  <c r="O133" i="55"/>
  <c r="J133" i="55"/>
  <c r="F133" i="55"/>
  <c r="E133" i="55"/>
  <c r="R131" i="18"/>
  <c r="D133" i="55"/>
  <c r="E132" i="18"/>
  <c r="B132" i="18"/>
  <c r="M132" i="18" s="1"/>
  <c r="T132" i="55" l="1"/>
  <c r="G133" i="55"/>
  <c r="H133" i="55" s="1"/>
  <c r="I133" i="55" s="1"/>
  <c r="C134" i="55"/>
  <c r="O132" i="18"/>
  <c r="F134" i="55" s="1"/>
  <c r="N133" i="55"/>
  <c r="M133" i="55"/>
  <c r="L133" i="55"/>
  <c r="K133" i="55"/>
  <c r="R133" i="55"/>
  <c r="T133" i="55"/>
  <c r="U133" i="55"/>
  <c r="S133" i="55"/>
  <c r="Q133" i="55"/>
  <c r="A133" i="18"/>
  <c r="D133" i="18" s="1"/>
  <c r="B135" i="55" s="1"/>
  <c r="A134" i="55"/>
  <c r="L132" i="18"/>
  <c r="U132" i="55"/>
  <c r="N132" i="18"/>
  <c r="C132" i="18"/>
  <c r="K132" i="18" s="1"/>
  <c r="E134" i="55" l="1"/>
  <c r="G134" i="55" s="1"/>
  <c r="H134" i="55" s="1"/>
  <c r="I134" i="55" s="1"/>
  <c r="P134" i="55"/>
  <c r="O134" i="55"/>
  <c r="J134" i="55"/>
  <c r="R132" i="18"/>
  <c r="D134" i="55"/>
  <c r="B133" i="18"/>
  <c r="E133" i="18"/>
  <c r="C135" i="55" l="1"/>
  <c r="O133" i="18"/>
  <c r="A134" i="18"/>
  <c r="D134" i="18" s="1"/>
  <c r="B136" i="55" s="1"/>
  <c r="A135" i="55"/>
  <c r="M133" i="18"/>
  <c r="N134" i="55"/>
  <c r="M134" i="55"/>
  <c r="L134" i="55"/>
  <c r="K134" i="55"/>
  <c r="R134" i="55"/>
  <c r="T134" i="55"/>
  <c r="U134" i="55"/>
  <c r="S134" i="55"/>
  <c r="Q134" i="55"/>
  <c r="L133" i="18"/>
  <c r="N133" i="18"/>
  <c r="C133" i="18"/>
  <c r="K133" i="18" s="1"/>
  <c r="E135" i="55" l="1"/>
  <c r="P135" i="55"/>
  <c r="J135" i="55"/>
  <c r="O135" i="55"/>
  <c r="F135" i="55"/>
  <c r="R133" i="18"/>
  <c r="D135" i="55"/>
  <c r="B134" i="18"/>
  <c r="E134" i="18"/>
  <c r="G135" i="55" l="1"/>
  <c r="H135" i="55" s="1"/>
  <c r="I135" i="55" s="1"/>
  <c r="C136" i="55"/>
  <c r="O134" i="18"/>
  <c r="A135" i="18"/>
  <c r="D135" i="18" s="1"/>
  <c r="B137" i="55" s="1"/>
  <c r="A136" i="55"/>
  <c r="M134" i="18"/>
  <c r="L134" i="18"/>
  <c r="N135" i="55"/>
  <c r="M135" i="55"/>
  <c r="L135" i="55"/>
  <c r="K135" i="55"/>
  <c r="R135" i="55"/>
  <c r="T135" i="55"/>
  <c r="U135" i="55"/>
  <c r="S135" i="55"/>
  <c r="Q135" i="55"/>
  <c r="N134" i="18"/>
  <c r="C134" i="18"/>
  <c r="K134" i="18" s="1"/>
  <c r="E136" i="55" l="1"/>
  <c r="P136" i="55"/>
  <c r="J136" i="55"/>
  <c r="O136" i="55"/>
  <c r="F136" i="55"/>
  <c r="R134" i="18"/>
  <c r="D136" i="55"/>
  <c r="B135" i="18"/>
  <c r="E135" i="18"/>
  <c r="N135" i="18" l="1"/>
  <c r="C137" i="55"/>
  <c r="O135" i="18"/>
  <c r="A136" i="18"/>
  <c r="D136" i="18" s="1"/>
  <c r="B138" i="55" s="1"/>
  <c r="A137" i="55"/>
  <c r="M135" i="18"/>
  <c r="N136" i="55"/>
  <c r="M136" i="55"/>
  <c r="L136" i="55"/>
  <c r="K136" i="55"/>
  <c r="R136" i="55"/>
  <c r="T136" i="55"/>
  <c r="U136" i="55"/>
  <c r="S136" i="55"/>
  <c r="Q136" i="55"/>
  <c r="G136" i="55"/>
  <c r="H136" i="55" s="1"/>
  <c r="I136" i="55" s="1"/>
  <c r="L135" i="18"/>
  <c r="C135" i="18"/>
  <c r="K135" i="18" s="1"/>
  <c r="P137" i="55" l="1"/>
  <c r="O137" i="55"/>
  <c r="J137" i="55"/>
  <c r="F137" i="55"/>
  <c r="E137" i="55"/>
  <c r="R135" i="18"/>
  <c r="D137" i="55"/>
  <c r="E136" i="18"/>
  <c r="B136" i="18"/>
  <c r="G137" i="55" l="1"/>
  <c r="H137" i="55" s="1"/>
  <c r="I137" i="55" s="1"/>
  <c r="A137" i="18"/>
  <c r="A138" i="55"/>
  <c r="M136" i="18"/>
  <c r="C138" i="55"/>
  <c r="O136" i="18"/>
  <c r="N137" i="55"/>
  <c r="L137" i="55"/>
  <c r="M137" i="55"/>
  <c r="K137" i="55"/>
  <c r="R137" i="55"/>
  <c r="T137" i="55"/>
  <c r="U137" i="55"/>
  <c r="S137" i="55"/>
  <c r="Q137" i="55"/>
  <c r="L136" i="18"/>
  <c r="N136" i="18"/>
  <c r="D137" i="18"/>
  <c r="B139" i="55" s="1"/>
  <c r="C136" i="18"/>
  <c r="K136" i="18" s="1"/>
  <c r="E138" i="55" l="1"/>
  <c r="F138" i="55"/>
  <c r="P138" i="55"/>
  <c r="J138" i="55"/>
  <c r="O138" i="55"/>
  <c r="R136" i="18"/>
  <c r="D138" i="55"/>
  <c r="B137" i="18"/>
  <c r="E137" i="18"/>
  <c r="G138" i="55" l="1"/>
  <c r="H138" i="55" s="1"/>
  <c r="I138" i="55" s="1"/>
  <c r="A138" i="18"/>
  <c r="A139" i="55"/>
  <c r="M137" i="18"/>
  <c r="C139" i="55"/>
  <c r="O137" i="18"/>
  <c r="M138" i="55"/>
  <c r="L138" i="55"/>
  <c r="K138" i="55"/>
  <c r="N138" i="55"/>
  <c r="R138" i="55"/>
  <c r="T138" i="55"/>
  <c r="U138" i="55"/>
  <c r="S138" i="55"/>
  <c r="Q138" i="55"/>
  <c r="L137" i="18"/>
  <c r="N137" i="18"/>
  <c r="C137" i="18"/>
  <c r="K137" i="18" s="1"/>
  <c r="D138" i="18"/>
  <c r="B140" i="55" s="1"/>
  <c r="E139" i="55" l="1"/>
  <c r="F139" i="55"/>
  <c r="P139" i="55"/>
  <c r="J139" i="55"/>
  <c r="O139" i="55"/>
  <c r="R137" i="18"/>
  <c r="D139" i="55"/>
  <c r="B138" i="18"/>
  <c r="E138" i="18"/>
  <c r="G139" i="55" l="1"/>
  <c r="H139" i="55" s="1"/>
  <c r="I139" i="55" s="1"/>
  <c r="A139" i="18"/>
  <c r="A140" i="55"/>
  <c r="M138" i="18"/>
  <c r="C140" i="55"/>
  <c r="O138" i="18"/>
  <c r="K139" i="55"/>
  <c r="N139" i="55"/>
  <c r="L139" i="55"/>
  <c r="M139" i="55"/>
  <c r="T139" i="55"/>
  <c r="U139" i="55"/>
  <c r="R139" i="55"/>
  <c r="S139" i="55"/>
  <c r="Q139" i="55"/>
  <c r="L138" i="18"/>
  <c r="C138" i="18"/>
  <c r="K138" i="18" s="1"/>
  <c r="D139" i="18"/>
  <c r="B141" i="55" s="1"/>
  <c r="F140" i="55" l="1"/>
  <c r="P140" i="55"/>
  <c r="J140" i="55"/>
  <c r="O140" i="55"/>
  <c r="R138" i="18"/>
  <c r="D140" i="55"/>
  <c r="B139" i="18"/>
  <c r="E139" i="18"/>
  <c r="A140" i="18" l="1"/>
  <c r="A141" i="55"/>
  <c r="M139" i="18"/>
  <c r="C141" i="55"/>
  <c r="O139" i="18"/>
  <c r="L140" i="55"/>
  <c r="K140" i="55"/>
  <c r="M140" i="55"/>
  <c r="N140" i="55"/>
  <c r="R140" i="55"/>
  <c r="S140" i="55"/>
  <c r="T140" i="55"/>
  <c r="U140" i="55"/>
  <c r="Q140" i="55"/>
  <c r="L139" i="18"/>
  <c r="N139" i="18"/>
  <c r="C139" i="18"/>
  <c r="K139" i="18" s="1"/>
  <c r="D140" i="18"/>
  <c r="B142" i="55" s="1"/>
  <c r="E141" i="55" l="1"/>
  <c r="F141" i="55"/>
  <c r="P141" i="55"/>
  <c r="O141" i="55"/>
  <c r="J141" i="55"/>
  <c r="R139" i="18"/>
  <c r="D141" i="55"/>
  <c r="E140" i="18"/>
  <c r="B140" i="18"/>
  <c r="G141" i="55" l="1"/>
  <c r="H141" i="55" s="1"/>
  <c r="I141" i="55" s="1"/>
  <c r="C142" i="55"/>
  <c r="O140" i="18"/>
  <c r="A141" i="18"/>
  <c r="D141" i="18" s="1"/>
  <c r="B143" i="55" s="1"/>
  <c r="A142" i="55"/>
  <c r="M140" i="18"/>
  <c r="N141" i="55"/>
  <c r="L141" i="55"/>
  <c r="M141" i="55"/>
  <c r="K141" i="55"/>
  <c r="T141" i="55"/>
  <c r="R141" i="55"/>
  <c r="S141" i="55"/>
  <c r="U141" i="55"/>
  <c r="Q141" i="55"/>
  <c r="L140" i="18"/>
  <c r="N140" i="18"/>
  <c r="C140" i="18"/>
  <c r="K140" i="18" s="1"/>
  <c r="E142" i="55" l="1"/>
  <c r="P142" i="55"/>
  <c r="J142" i="55"/>
  <c r="O142" i="55"/>
  <c r="F142" i="55"/>
  <c r="R140" i="18"/>
  <c r="D142" i="55"/>
  <c r="B141" i="18"/>
  <c r="E141" i="18"/>
  <c r="G142" i="55" l="1"/>
  <c r="H142" i="55" s="1"/>
  <c r="I142" i="55" s="1"/>
  <c r="A142" i="18"/>
  <c r="A143" i="55"/>
  <c r="M141" i="18"/>
  <c r="C143" i="55"/>
  <c r="O141" i="18"/>
  <c r="L141" i="18"/>
  <c r="N142" i="55"/>
  <c r="L142" i="55"/>
  <c r="M142" i="55"/>
  <c r="K142" i="55"/>
  <c r="R142" i="55"/>
  <c r="T142" i="55"/>
  <c r="U142" i="55"/>
  <c r="S142" i="55"/>
  <c r="Q142" i="55"/>
  <c r="C141" i="18"/>
  <c r="K141" i="18" s="1"/>
  <c r="D142" i="18"/>
  <c r="B144" i="55" s="1"/>
  <c r="F143" i="55" l="1"/>
  <c r="P143" i="55"/>
  <c r="J143" i="55"/>
  <c r="O143" i="55"/>
  <c r="R141" i="18"/>
  <c r="D143" i="55"/>
  <c r="B142" i="18"/>
  <c r="E142" i="18"/>
  <c r="C144" i="55" l="1"/>
  <c r="O142" i="18"/>
  <c r="A143" i="18"/>
  <c r="D143" i="18" s="1"/>
  <c r="B145" i="55" s="1"/>
  <c r="A144" i="55"/>
  <c r="M142" i="18"/>
  <c r="N143" i="55"/>
  <c r="M143" i="55"/>
  <c r="L143" i="55"/>
  <c r="K143" i="55"/>
  <c r="R143" i="55"/>
  <c r="T143" i="55"/>
  <c r="U143" i="55"/>
  <c r="S143" i="55"/>
  <c r="Q143" i="55"/>
  <c r="L142" i="18"/>
  <c r="C142" i="18"/>
  <c r="K142" i="18" s="1"/>
  <c r="P144" i="55" l="1"/>
  <c r="O144" i="55"/>
  <c r="J144" i="55"/>
  <c r="F144" i="55"/>
  <c r="R142" i="18"/>
  <c r="D144" i="55"/>
  <c r="B143" i="18"/>
  <c r="E143" i="18"/>
  <c r="C145" i="55" l="1"/>
  <c r="O143" i="18"/>
  <c r="A144" i="18"/>
  <c r="D144" i="18" s="1"/>
  <c r="B146" i="55" s="1"/>
  <c r="A145" i="55"/>
  <c r="M143" i="18"/>
  <c r="L143" i="18"/>
  <c r="N144" i="55"/>
  <c r="L144" i="55"/>
  <c r="K144" i="55"/>
  <c r="M144" i="55"/>
  <c r="R144" i="55"/>
  <c r="T144" i="55"/>
  <c r="U144" i="55"/>
  <c r="S144" i="55"/>
  <c r="Q144" i="55"/>
  <c r="C143" i="18"/>
  <c r="K143" i="18" s="1"/>
  <c r="P145" i="55" l="1"/>
  <c r="O145" i="55"/>
  <c r="J145" i="55"/>
  <c r="F145" i="55"/>
  <c r="R143" i="18"/>
  <c r="D145" i="55"/>
  <c r="E144" i="18"/>
  <c r="B144" i="18"/>
  <c r="A145" i="18" l="1"/>
  <c r="A146" i="55"/>
  <c r="M144" i="18"/>
  <c r="C146" i="55"/>
  <c r="O144" i="18"/>
  <c r="N145" i="55"/>
  <c r="M145" i="55"/>
  <c r="L145" i="55"/>
  <c r="K145" i="55"/>
  <c r="R145" i="55"/>
  <c r="T145" i="55"/>
  <c r="U145" i="55"/>
  <c r="S145" i="55"/>
  <c r="Q145" i="55"/>
  <c r="L144" i="18"/>
  <c r="C144" i="18"/>
  <c r="K144" i="18" s="1"/>
  <c r="D145" i="18"/>
  <c r="B147" i="55" s="1"/>
  <c r="F146" i="55" l="1"/>
  <c r="P146" i="55"/>
  <c r="J146" i="55"/>
  <c r="O146" i="55"/>
  <c r="R144" i="18"/>
  <c r="D146" i="55"/>
  <c r="B145" i="18"/>
  <c r="E145" i="18"/>
  <c r="A146" i="18" l="1"/>
  <c r="A147" i="55"/>
  <c r="M145" i="18"/>
  <c r="C147" i="55"/>
  <c r="O145" i="18"/>
  <c r="N146" i="55"/>
  <c r="M146" i="55"/>
  <c r="L146" i="55"/>
  <c r="K146" i="55"/>
  <c r="R146" i="55"/>
  <c r="T146" i="55"/>
  <c r="U146" i="55"/>
  <c r="S146" i="55"/>
  <c r="Q146" i="55"/>
  <c r="L145" i="18"/>
  <c r="D146" i="18"/>
  <c r="B148" i="55" s="1"/>
  <c r="C145" i="18"/>
  <c r="K145" i="18" s="1"/>
  <c r="F147" i="55" l="1"/>
  <c r="P147" i="55"/>
  <c r="O147" i="55"/>
  <c r="J147" i="55"/>
  <c r="R145" i="18"/>
  <c r="D147" i="55"/>
  <c r="E146" i="18"/>
  <c r="B146" i="18"/>
  <c r="A147" i="18" l="1"/>
  <c r="L146" i="18"/>
  <c r="A148" i="55"/>
  <c r="M146" i="18"/>
  <c r="O146" i="18"/>
  <c r="C148" i="55"/>
  <c r="N147" i="55"/>
  <c r="M147" i="55"/>
  <c r="L147" i="55"/>
  <c r="K147" i="55"/>
  <c r="C146" i="18"/>
  <c r="K146" i="18" s="1"/>
  <c r="D147" i="18"/>
  <c r="B149" i="55" s="1"/>
  <c r="F148" i="55" l="1"/>
  <c r="P148" i="55"/>
  <c r="J148" i="55"/>
  <c r="O148" i="55"/>
  <c r="R146" i="18"/>
  <c r="D148" i="55"/>
  <c r="E147" i="18"/>
  <c r="B147" i="18"/>
  <c r="A148" i="18" l="1"/>
  <c r="A149" i="55"/>
  <c r="M147" i="18"/>
  <c r="C149" i="55"/>
  <c r="O147" i="18"/>
  <c r="L147" i="18"/>
  <c r="D148" i="18"/>
  <c r="B150" i="55" s="1"/>
  <c r="C147" i="18"/>
  <c r="K147" i="18" s="1"/>
  <c r="F149" i="55" l="1"/>
  <c r="P149" i="55"/>
  <c r="J149" i="55"/>
  <c r="O149" i="55"/>
  <c r="R147" i="18"/>
  <c r="D149" i="55"/>
  <c r="E148" i="18"/>
  <c r="B148" i="18"/>
  <c r="A149" i="18" l="1"/>
  <c r="A150" i="55"/>
  <c r="M148" i="18"/>
  <c r="C150" i="55"/>
  <c r="O148" i="18"/>
  <c r="N149" i="55"/>
  <c r="M149" i="55"/>
  <c r="L149" i="55"/>
  <c r="K149" i="55"/>
  <c r="R149" i="55"/>
  <c r="D37" i="59" s="1"/>
  <c r="L148" i="18"/>
  <c r="C148" i="18"/>
  <c r="K148" i="18" s="1"/>
  <c r="D149" i="18"/>
  <c r="B151" i="55" s="1"/>
  <c r="F150" i="55" l="1"/>
  <c r="P150" i="55"/>
  <c r="J150" i="55"/>
  <c r="O150" i="55"/>
  <c r="R148" i="18"/>
  <c r="D150" i="55"/>
  <c r="B149" i="18"/>
  <c r="E149" i="18"/>
  <c r="A150" i="18" l="1"/>
  <c r="A151" i="55"/>
  <c r="M149" i="18"/>
  <c r="C151" i="55"/>
  <c r="O149" i="18"/>
  <c r="N150" i="55"/>
  <c r="L150" i="55"/>
  <c r="M150" i="55"/>
  <c r="K150" i="55"/>
  <c r="R150" i="55"/>
  <c r="D38" i="59" s="1"/>
  <c r="L149" i="18"/>
  <c r="C149" i="18"/>
  <c r="K149" i="18" s="1"/>
  <c r="D150" i="18"/>
  <c r="B152" i="55" s="1"/>
  <c r="F151" i="55" l="1"/>
  <c r="P151" i="55"/>
  <c r="O151" i="55"/>
  <c r="J151" i="55"/>
  <c r="R149" i="18"/>
  <c r="D151" i="55"/>
  <c r="B150" i="18"/>
  <c r="E150" i="18"/>
  <c r="A151" i="18" l="1"/>
  <c r="D151" i="18" s="1"/>
  <c r="B153" i="55" s="1"/>
  <c r="A152" i="55"/>
  <c r="M150" i="18"/>
  <c r="C152" i="55"/>
  <c r="O150" i="18"/>
  <c r="N151" i="55"/>
  <c r="L151" i="55"/>
  <c r="M151" i="55"/>
  <c r="K151" i="55"/>
  <c r="R151" i="55"/>
  <c r="T151" i="55"/>
  <c r="S151" i="55"/>
  <c r="U151" i="55"/>
  <c r="Q151" i="55"/>
  <c r="L150" i="18"/>
  <c r="C150" i="18"/>
  <c r="K150" i="18" s="1"/>
  <c r="F152" i="55" l="1"/>
  <c r="P152" i="55"/>
  <c r="O152" i="55"/>
  <c r="J152" i="55"/>
  <c r="R150" i="18"/>
  <c r="D152" i="55"/>
  <c r="B151" i="18"/>
  <c r="E151" i="18"/>
  <c r="C153" i="55" l="1"/>
  <c r="O151" i="18"/>
  <c r="A152" i="18"/>
  <c r="D152" i="18" s="1"/>
  <c r="B154" i="55" s="1"/>
  <c r="A153" i="55"/>
  <c r="M151" i="18"/>
  <c r="N152" i="55"/>
  <c r="K152" i="55"/>
  <c r="L152" i="55"/>
  <c r="M152" i="55"/>
  <c r="R152" i="55"/>
  <c r="T152" i="55"/>
  <c r="U152" i="55"/>
  <c r="S152" i="55"/>
  <c r="Q152" i="55"/>
  <c r="L151" i="18"/>
  <c r="C151" i="18"/>
  <c r="K151" i="18" s="1"/>
  <c r="F153" i="55" l="1"/>
  <c r="P153" i="55"/>
  <c r="O153" i="55"/>
  <c r="J153" i="55"/>
  <c r="R151" i="18"/>
  <c r="D153" i="55"/>
  <c r="E152" i="18"/>
  <c r="B152" i="18"/>
  <c r="A153" i="18" l="1"/>
  <c r="D153" i="18" s="1"/>
  <c r="B155" i="55" s="1"/>
  <c r="A154" i="55"/>
  <c r="M152" i="18"/>
  <c r="C154" i="55"/>
  <c r="O152" i="18"/>
  <c r="L152" i="18"/>
  <c r="N153" i="55"/>
  <c r="L153" i="55"/>
  <c r="M153" i="55"/>
  <c r="K153" i="55"/>
  <c r="U153" i="55"/>
  <c r="R153" i="55"/>
  <c r="T153" i="55"/>
  <c r="S153" i="55"/>
  <c r="Q153" i="55"/>
  <c r="C152" i="18"/>
  <c r="K152" i="18" s="1"/>
  <c r="F154" i="55" l="1"/>
  <c r="P154" i="55"/>
  <c r="J154" i="55"/>
  <c r="O154" i="55"/>
  <c r="R152" i="18"/>
  <c r="D154" i="55"/>
  <c r="B153" i="18"/>
  <c r="E153" i="18"/>
  <c r="C155" i="55" l="1"/>
  <c r="O153" i="18"/>
  <c r="A154" i="18"/>
  <c r="D154" i="18" s="1"/>
  <c r="B156" i="55" s="1"/>
  <c r="A155" i="55"/>
  <c r="M153" i="18"/>
  <c r="M154" i="55"/>
  <c r="N154" i="55"/>
  <c r="L154" i="55"/>
  <c r="K154" i="55"/>
  <c r="U154" i="55"/>
  <c r="T154" i="55"/>
  <c r="R154" i="55"/>
  <c r="S154" i="55"/>
  <c r="Q154" i="55"/>
  <c r="L153" i="18"/>
  <c r="C153" i="18"/>
  <c r="K153" i="18" s="1"/>
  <c r="F155" i="55" l="1"/>
  <c r="P155" i="55"/>
  <c r="J155" i="55"/>
  <c r="O155" i="55"/>
  <c r="R153" i="18"/>
  <c r="D155" i="55"/>
  <c r="B154" i="18"/>
  <c r="E154" i="18"/>
  <c r="C156" i="55" l="1"/>
  <c r="O154" i="18"/>
  <c r="A155" i="18"/>
  <c r="A156" i="55"/>
  <c r="M154" i="18"/>
  <c r="L154" i="18"/>
  <c r="N155" i="55"/>
  <c r="M155" i="55"/>
  <c r="L155" i="55"/>
  <c r="K155" i="55"/>
  <c r="R155" i="55"/>
  <c r="T155" i="55"/>
  <c r="U155" i="55"/>
  <c r="S155" i="55"/>
  <c r="Q155" i="55"/>
  <c r="D155" i="18"/>
  <c r="B157" i="55" s="1"/>
  <c r="C154" i="18"/>
  <c r="K154" i="18" s="1"/>
  <c r="F156" i="55" l="1"/>
  <c r="P156" i="55"/>
  <c r="O156" i="55"/>
  <c r="J156" i="55"/>
  <c r="R154" i="18"/>
  <c r="D156" i="55"/>
  <c r="B155" i="18"/>
  <c r="E155" i="18"/>
  <c r="A156" i="18" l="1"/>
  <c r="D156" i="18" s="1"/>
  <c r="B158" i="55" s="1"/>
  <c r="A157" i="55"/>
  <c r="M155" i="18"/>
  <c r="C157" i="55"/>
  <c r="O155" i="18"/>
  <c r="N156" i="55"/>
  <c r="L156" i="55"/>
  <c r="M156" i="55"/>
  <c r="K156" i="55"/>
  <c r="R156" i="55"/>
  <c r="T156" i="55"/>
  <c r="U156" i="55"/>
  <c r="S156" i="55"/>
  <c r="Q156" i="55"/>
  <c r="L155" i="18"/>
  <c r="C155" i="18"/>
  <c r="K155" i="18" s="1"/>
  <c r="F157" i="55" l="1"/>
  <c r="P157" i="55"/>
  <c r="J157" i="55"/>
  <c r="O157" i="55"/>
  <c r="R155" i="18"/>
  <c r="D157" i="55"/>
  <c r="E156" i="18"/>
  <c r="B156" i="18"/>
  <c r="C158" i="55" l="1"/>
  <c r="O156" i="18"/>
  <c r="A157" i="18"/>
  <c r="D157" i="18" s="1"/>
  <c r="B159" i="55" s="1"/>
  <c r="A158" i="55"/>
  <c r="M156" i="18"/>
  <c r="N157" i="55"/>
  <c r="L157" i="55"/>
  <c r="M157" i="55"/>
  <c r="K157" i="55"/>
  <c r="R157" i="55"/>
  <c r="T157" i="55"/>
  <c r="U157" i="55"/>
  <c r="S157" i="55"/>
  <c r="Q157" i="55"/>
  <c r="L156" i="18"/>
  <c r="C156" i="18"/>
  <c r="K156" i="18" s="1"/>
  <c r="F158" i="55" l="1"/>
  <c r="P158" i="55"/>
  <c r="O158" i="55"/>
  <c r="J158" i="55"/>
  <c r="R156" i="18"/>
  <c r="D158" i="55"/>
  <c r="B157" i="18"/>
  <c r="E157" i="18"/>
  <c r="A158" i="18" l="1"/>
  <c r="A159" i="55"/>
  <c r="M157" i="18"/>
  <c r="C159" i="55"/>
  <c r="O157" i="18"/>
  <c r="L157" i="18"/>
  <c r="N158" i="55"/>
  <c r="M158" i="55"/>
  <c r="L158" i="55"/>
  <c r="K158" i="55"/>
  <c r="R158" i="55"/>
  <c r="T158" i="55"/>
  <c r="U158" i="55"/>
  <c r="S158" i="55"/>
  <c r="Q158" i="55"/>
  <c r="D158" i="18"/>
  <c r="B160" i="55" s="1"/>
  <c r="C157" i="18"/>
  <c r="K157" i="18" s="1"/>
  <c r="F159" i="55" l="1"/>
  <c r="P159" i="55"/>
  <c r="O159" i="55"/>
  <c r="J159" i="55"/>
  <c r="R157" i="18"/>
  <c r="D159" i="55"/>
  <c r="B158" i="18"/>
  <c r="E158" i="18"/>
  <c r="A159" i="18" l="1"/>
  <c r="D159" i="18" s="1"/>
  <c r="B161" i="55" s="1"/>
  <c r="A160" i="55"/>
  <c r="M158" i="18"/>
  <c r="O158" i="18"/>
  <c r="C160" i="55"/>
  <c r="K159" i="55"/>
  <c r="M159" i="55"/>
  <c r="L159" i="55"/>
  <c r="N159" i="55"/>
  <c r="R159" i="55"/>
  <c r="T159" i="55"/>
  <c r="U159" i="55"/>
  <c r="S159" i="55"/>
  <c r="Q159" i="55"/>
  <c r="L158" i="18"/>
  <c r="C158" i="18"/>
  <c r="K158" i="18" s="1"/>
  <c r="F160" i="55" l="1"/>
  <c r="P160" i="55"/>
  <c r="O160" i="55"/>
  <c r="J160" i="55"/>
  <c r="R158" i="18"/>
  <c r="D160" i="55"/>
  <c r="B159" i="18"/>
  <c r="E159" i="18"/>
  <c r="A160" i="18" l="1"/>
  <c r="A161" i="55"/>
  <c r="M159" i="18"/>
  <c r="C161" i="55"/>
  <c r="O159" i="18"/>
  <c r="L160" i="55"/>
  <c r="K160" i="55"/>
  <c r="M160" i="55"/>
  <c r="N160" i="55"/>
  <c r="R160" i="55"/>
  <c r="T160" i="55"/>
  <c r="U160" i="55"/>
  <c r="S160" i="55"/>
  <c r="Q160" i="55"/>
  <c r="L159" i="18"/>
  <c r="N159" i="18"/>
  <c r="C159" i="18"/>
  <c r="K159" i="18" s="1"/>
  <c r="D160" i="18"/>
  <c r="B162" i="55" s="1"/>
  <c r="E161" i="55" l="1"/>
  <c r="F161" i="55"/>
  <c r="P161" i="55"/>
  <c r="O161" i="55"/>
  <c r="J161" i="55"/>
  <c r="R159" i="18"/>
  <c r="D161" i="55"/>
  <c r="E160" i="18"/>
  <c r="B160" i="18"/>
  <c r="G161" i="55" l="1"/>
  <c r="H161" i="55" s="1"/>
  <c r="I161" i="55" s="1"/>
  <c r="A161" i="18"/>
  <c r="A162" i="55"/>
  <c r="M160" i="18"/>
  <c r="C162" i="55"/>
  <c r="O160" i="18"/>
  <c r="M161" i="55"/>
  <c r="K161" i="55"/>
  <c r="L161" i="55"/>
  <c r="N161" i="55"/>
  <c r="R161" i="55"/>
  <c r="T161" i="55"/>
  <c r="U161" i="55"/>
  <c r="S161" i="55"/>
  <c r="Q161" i="55"/>
  <c r="L160" i="18"/>
  <c r="N160" i="18"/>
  <c r="D161" i="18"/>
  <c r="B163" i="55" s="1"/>
  <c r="C160" i="18"/>
  <c r="K160" i="18" s="1"/>
  <c r="E162" i="55" l="1"/>
  <c r="F162" i="55"/>
  <c r="P162" i="55"/>
  <c r="J162" i="55"/>
  <c r="O162" i="55"/>
  <c r="R160" i="18"/>
  <c r="D162" i="55"/>
  <c r="B161" i="18"/>
  <c r="E161" i="18"/>
  <c r="G162" i="55" l="1"/>
  <c r="H162" i="55" s="1"/>
  <c r="I162" i="55" s="1"/>
  <c r="N161" i="18"/>
  <c r="C163" i="55"/>
  <c r="O161" i="18"/>
  <c r="A162" i="18"/>
  <c r="D162" i="18" s="1"/>
  <c r="B164" i="55" s="1"/>
  <c r="A163" i="55"/>
  <c r="M161" i="18"/>
  <c r="N162" i="55"/>
  <c r="L162" i="55"/>
  <c r="M162" i="55"/>
  <c r="K162" i="55"/>
  <c r="R162" i="55"/>
  <c r="T162" i="55"/>
  <c r="U162" i="55"/>
  <c r="S162" i="55"/>
  <c r="Q162" i="55"/>
  <c r="L161" i="18"/>
  <c r="C161" i="18"/>
  <c r="K161" i="18" s="1"/>
  <c r="F163" i="55" l="1"/>
  <c r="P163" i="55"/>
  <c r="O163" i="55"/>
  <c r="J163" i="55"/>
  <c r="E163" i="55"/>
  <c r="R161" i="18"/>
  <c r="D163" i="55"/>
  <c r="E162" i="18"/>
  <c r="B162" i="18"/>
  <c r="G163" i="55" l="1"/>
  <c r="H163" i="55" s="1"/>
  <c r="I163" i="55" s="1"/>
  <c r="C164" i="55"/>
  <c r="O162" i="18"/>
  <c r="A163" i="18"/>
  <c r="D163" i="18" s="1"/>
  <c r="B165" i="55" s="1"/>
  <c r="A164" i="55"/>
  <c r="M162" i="18"/>
  <c r="L162" i="18"/>
  <c r="K163" i="55"/>
  <c r="N163" i="55"/>
  <c r="M163" i="55"/>
  <c r="L163" i="55"/>
  <c r="R163" i="55"/>
  <c r="T163" i="55"/>
  <c r="U163" i="55"/>
  <c r="S163" i="55"/>
  <c r="Q163" i="55"/>
  <c r="N162" i="18"/>
  <c r="C162" i="18"/>
  <c r="K162" i="18" s="1"/>
  <c r="F164" i="55" l="1"/>
  <c r="E164" i="55"/>
  <c r="P164" i="55"/>
  <c r="J164" i="55"/>
  <c r="O164" i="55"/>
  <c r="R162" i="18"/>
  <c r="D164" i="55"/>
  <c r="E163" i="18"/>
  <c r="B163" i="18"/>
  <c r="G164" i="55" l="1"/>
  <c r="H164" i="55" s="1"/>
  <c r="I164" i="55" s="1"/>
  <c r="A164" i="18"/>
  <c r="A165" i="55"/>
  <c r="M163" i="18"/>
  <c r="C165" i="55"/>
  <c r="O163" i="18"/>
  <c r="N164" i="55"/>
  <c r="K164" i="55"/>
  <c r="M164" i="55"/>
  <c r="L164" i="55"/>
  <c r="R164" i="55"/>
  <c r="T164" i="55"/>
  <c r="U164" i="55"/>
  <c r="S164" i="55"/>
  <c r="Q164" i="55"/>
  <c r="L163" i="18"/>
  <c r="N163" i="18"/>
  <c r="C163" i="18"/>
  <c r="K163" i="18" s="1"/>
  <c r="D164" i="18"/>
  <c r="B166" i="55" s="1"/>
  <c r="F165" i="55" l="1"/>
  <c r="E165" i="55"/>
  <c r="P165" i="55"/>
  <c r="Q165" i="55" s="1"/>
  <c r="J165" i="55"/>
  <c r="O165" i="55"/>
  <c r="R163" i="18"/>
  <c r="D165" i="55"/>
  <c r="E164" i="18"/>
  <c r="B164" i="18"/>
  <c r="G165" i="55" l="1"/>
  <c r="H165" i="55" s="1"/>
  <c r="T165" i="55" s="1"/>
  <c r="C166" i="55"/>
  <c r="O164" i="18"/>
  <c r="A165" i="18"/>
  <c r="D165" i="18" s="1"/>
  <c r="B167" i="55" s="1"/>
  <c r="A166" i="55"/>
  <c r="L164" i="18"/>
  <c r="M164" i="18"/>
  <c r="N165" i="55"/>
  <c r="L165" i="55"/>
  <c r="M165" i="55"/>
  <c r="K165" i="55"/>
  <c r="N164" i="18"/>
  <c r="C164" i="18"/>
  <c r="K164" i="18" s="1"/>
  <c r="S165" i="55" l="1"/>
  <c r="R165" i="55" s="1"/>
  <c r="D39" i="59" s="1"/>
  <c r="I165" i="55"/>
  <c r="U165" i="55" s="1"/>
  <c r="P166" i="55"/>
  <c r="O166" i="55"/>
  <c r="J166" i="55"/>
  <c r="F166" i="55"/>
  <c r="E166" i="55"/>
  <c r="R164" i="18"/>
  <c r="D166" i="55"/>
  <c r="B165" i="18"/>
  <c r="E165" i="18"/>
  <c r="G166" i="55" l="1"/>
  <c r="H166" i="55" s="1"/>
  <c r="I166" i="55" s="1"/>
  <c r="Q166" i="55"/>
  <c r="A166" i="18"/>
  <c r="D166" i="18" s="1"/>
  <c r="B168" i="55" s="1"/>
  <c r="A167" i="55"/>
  <c r="L165" i="18"/>
  <c r="N166" i="55"/>
  <c r="L166" i="55"/>
  <c r="M166" i="55"/>
  <c r="K166" i="55"/>
  <c r="C167" i="55"/>
  <c r="O165" i="18"/>
  <c r="M165" i="18"/>
  <c r="N165" i="18"/>
  <c r="C165" i="18"/>
  <c r="K165" i="18" s="1"/>
  <c r="E167" i="55" l="1"/>
  <c r="F167" i="55"/>
  <c r="P167" i="55"/>
  <c r="O167" i="55"/>
  <c r="J167" i="55"/>
  <c r="R165" i="18"/>
  <c r="D167" i="55"/>
  <c r="B166" i="18"/>
  <c r="E166" i="18"/>
  <c r="R167" i="55" l="1"/>
  <c r="D41" i="59" s="1"/>
  <c r="Q167" i="55"/>
  <c r="G167" i="55"/>
  <c r="H167" i="55" s="1"/>
  <c r="A167" i="18"/>
  <c r="D167" i="18" s="1"/>
  <c r="B169" i="55" s="1"/>
  <c r="A168" i="55"/>
  <c r="M166" i="18"/>
  <c r="C168" i="55"/>
  <c r="O166" i="18"/>
  <c r="N167" i="55"/>
  <c r="L167" i="55"/>
  <c r="M167" i="55"/>
  <c r="K167" i="55"/>
  <c r="L166" i="18"/>
  <c r="C166" i="18"/>
  <c r="K166" i="18" s="1"/>
  <c r="S167" i="55" l="1"/>
  <c r="F168" i="55"/>
  <c r="P168" i="55"/>
  <c r="J168" i="55"/>
  <c r="O168" i="55"/>
  <c r="R166" i="18"/>
  <c r="D168" i="55"/>
  <c r="T167" i="55"/>
  <c r="I167" i="55"/>
  <c r="B167" i="18"/>
  <c r="E167" i="18"/>
  <c r="R168" i="55" l="1"/>
  <c r="D42" i="59" s="1"/>
  <c r="A168" i="18"/>
  <c r="D168" i="18" s="1"/>
  <c r="B170" i="55" s="1"/>
  <c r="A169" i="55"/>
  <c r="M167" i="18"/>
  <c r="N168" i="55"/>
  <c r="L168" i="55"/>
  <c r="M168" i="55"/>
  <c r="K168" i="55"/>
  <c r="C169" i="55"/>
  <c r="O167" i="18"/>
  <c r="L167" i="18"/>
  <c r="U167" i="55"/>
  <c r="C167" i="18"/>
  <c r="K167" i="18" s="1"/>
  <c r="F169" i="55" l="1"/>
  <c r="P169" i="55"/>
  <c r="O169" i="55"/>
  <c r="J169" i="55"/>
  <c r="R167" i="18"/>
  <c r="D169" i="55"/>
  <c r="E168" i="18"/>
  <c r="B168" i="18"/>
  <c r="C170" i="55" l="1"/>
  <c r="O168" i="18"/>
  <c r="A169" i="18"/>
  <c r="D169" i="18" s="1"/>
  <c r="B171" i="55" s="1"/>
  <c r="A170" i="55"/>
  <c r="M168" i="18"/>
  <c r="N169" i="55"/>
  <c r="M169" i="55"/>
  <c r="L169" i="55"/>
  <c r="K169" i="55"/>
  <c r="R169" i="55"/>
  <c r="T169" i="55"/>
  <c r="U169" i="55"/>
  <c r="S169" i="55"/>
  <c r="Q169" i="55"/>
  <c r="L168" i="18"/>
  <c r="C168" i="18"/>
  <c r="K168" i="18" s="1"/>
  <c r="P170" i="55" l="1"/>
  <c r="O170" i="55"/>
  <c r="J170" i="55"/>
  <c r="F170" i="55"/>
  <c r="R168" i="18"/>
  <c r="D170" i="55"/>
  <c r="B169" i="18"/>
  <c r="E169" i="18"/>
  <c r="A170" i="18" l="1"/>
  <c r="D170" i="18" s="1"/>
  <c r="B172" i="55" s="1"/>
  <c r="A171" i="55"/>
  <c r="M169" i="18"/>
  <c r="C171" i="55"/>
  <c r="O169" i="18"/>
  <c r="L169" i="18"/>
  <c r="N170" i="55"/>
  <c r="M170" i="55"/>
  <c r="L170" i="55"/>
  <c r="K170" i="55"/>
  <c r="R170" i="55"/>
  <c r="T170" i="55"/>
  <c r="U170" i="55"/>
  <c r="S170" i="55"/>
  <c r="Q170" i="55"/>
  <c r="C169" i="18"/>
  <c r="K169" i="18" s="1"/>
  <c r="F171" i="55" l="1"/>
  <c r="P171" i="55"/>
  <c r="O171" i="55"/>
  <c r="J171" i="55"/>
  <c r="R169" i="18"/>
  <c r="D171" i="55"/>
  <c r="E170" i="18"/>
  <c r="B170" i="18"/>
  <c r="A171" i="18" l="1"/>
  <c r="D171" i="18" s="1"/>
  <c r="B173" i="55" s="1"/>
  <c r="A172" i="55"/>
  <c r="M170" i="18"/>
  <c r="C172" i="55"/>
  <c r="O170" i="18"/>
  <c r="N171" i="55"/>
  <c r="K171" i="55"/>
  <c r="M171" i="55"/>
  <c r="L171" i="55"/>
  <c r="T171" i="55"/>
  <c r="U171" i="55"/>
  <c r="R171" i="55"/>
  <c r="S171" i="55"/>
  <c r="Q171" i="55"/>
  <c r="L170" i="18"/>
  <c r="C170" i="18"/>
  <c r="K170" i="18" s="1"/>
  <c r="F172" i="55" l="1"/>
  <c r="P172" i="55"/>
  <c r="J172" i="55"/>
  <c r="O172" i="55"/>
  <c r="R170" i="18"/>
  <c r="D172" i="55"/>
  <c r="B171" i="18"/>
  <c r="E171" i="18"/>
  <c r="A172" i="18" l="1"/>
  <c r="D172" i="18" s="1"/>
  <c r="B174" i="55" s="1"/>
  <c r="A173" i="55"/>
  <c r="M171" i="18"/>
  <c r="C173" i="55"/>
  <c r="O171" i="18"/>
  <c r="N172" i="55"/>
  <c r="M172" i="55"/>
  <c r="L172" i="55"/>
  <c r="K172" i="55"/>
  <c r="R172" i="55"/>
  <c r="T172" i="55"/>
  <c r="U172" i="55"/>
  <c r="S172" i="55"/>
  <c r="Q172" i="55"/>
  <c r="L171" i="18"/>
  <c r="C171" i="18"/>
  <c r="K171" i="18" s="1"/>
  <c r="F173" i="55" l="1"/>
  <c r="P173" i="55"/>
  <c r="O173" i="55"/>
  <c r="J173" i="55"/>
  <c r="R171" i="18"/>
  <c r="D173" i="55"/>
  <c r="E172" i="18"/>
  <c r="B172" i="18"/>
  <c r="C174" i="55" l="1"/>
  <c r="O172" i="18"/>
  <c r="A173" i="18"/>
  <c r="D173" i="18" s="1"/>
  <c r="B175" i="55" s="1"/>
  <c r="A174" i="55"/>
  <c r="M172" i="18"/>
  <c r="N173" i="55"/>
  <c r="L173" i="55"/>
  <c r="K173" i="55"/>
  <c r="M173" i="55"/>
  <c r="T173" i="55"/>
  <c r="S173" i="55"/>
  <c r="R173" i="55"/>
  <c r="U173" i="55"/>
  <c r="Q173" i="55"/>
  <c r="L172" i="18"/>
  <c r="C172" i="18"/>
  <c r="K172" i="18" s="1"/>
  <c r="P174" i="55" l="1"/>
  <c r="O174" i="55"/>
  <c r="J174" i="55"/>
  <c r="F174" i="55"/>
  <c r="R172" i="18"/>
  <c r="D174" i="55"/>
  <c r="B173" i="18"/>
  <c r="E173" i="18"/>
  <c r="A174" i="18" l="1"/>
  <c r="A175" i="55"/>
  <c r="M173" i="18"/>
  <c r="C175" i="55"/>
  <c r="O173" i="18"/>
  <c r="N174" i="55"/>
  <c r="L174" i="55"/>
  <c r="M174" i="55"/>
  <c r="K174" i="55"/>
  <c r="R174" i="55"/>
  <c r="T174" i="55"/>
  <c r="S174" i="55"/>
  <c r="U174" i="55"/>
  <c r="Q174" i="55"/>
  <c r="L173" i="18"/>
  <c r="C173" i="18"/>
  <c r="K173" i="18" s="1"/>
  <c r="D174" i="18"/>
  <c r="B176" i="55" s="1"/>
  <c r="F175" i="55" l="1"/>
  <c r="P175" i="55"/>
  <c r="J175" i="55"/>
  <c r="O175" i="55"/>
  <c r="R173" i="18"/>
  <c r="D175" i="55"/>
  <c r="E174" i="18"/>
  <c r="B174" i="18"/>
  <c r="C176" i="55" l="1"/>
  <c r="O174" i="18"/>
  <c r="A175" i="18"/>
  <c r="D175" i="18" s="1"/>
  <c r="B177" i="55" s="1"/>
  <c r="A176" i="55"/>
  <c r="M174" i="18"/>
  <c r="M175" i="55"/>
  <c r="N175" i="55"/>
  <c r="L175" i="55"/>
  <c r="K175" i="55"/>
  <c r="R175" i="55"/>
  <c r="S175" i="55"/>
  <c r="T175" i="55"/>
  <c r="U175" i="55"/>
  <c r="Q175" i="55"/>
  <c r="L174" i="18"/>
  <c r="C174" i="18"/>
  <c r="K174" i="18" s="1"/>
  <c r="P176" i="55" l="1"/>
  <c r="J176" i="55"/>
  <c r="O176" i="55"/>
  <c r="F176" i="55"/>
  <c r="R174" i="18"/>
  <c r="D176" i="55"/>
  <c r="B175" i="18"/>
  <c r="E175" i="18"/>
  <c r="C177" i="55" l="1"/>
  <c r="O175" i="18"/>
  <c r="A176" i="18"/>
  <c r="D176" i="18" s="1"/>
  <c r="B178" i="55" s="1"/>
  <c r="A177" i="55"/>
  <c r="M175" i="18"/>
  <c r="L175" i="18"/>
  <c r="N176" i="55"/>
  <c r="M176" i="55"/>
  <c r="L176" i="55"/>
  <c r="K176" i="55"/>
  <c r="R176" i="55"/>
  <c r="U176" i="55"/>
  <c r="S176" i="55"/>
  <c r="T176" i="55"/>
  <c r="Q176" i="55"/>
  <c r="C175" i="18"/>
  <c r="K175" i="18" s="1"/>
  <c r="P177" i="55" l="1"/>
  <c r="J177" i="55"/>
  <c r="O177" i="55"/>
  <c r="F177" i="55"/>
  <c r="R175" i="18"/>
  <c r="D177" i="55"/>
  <c r="E176" i="18"/>
  <c r="B176" i="18"/>
  <c r="C178" i="55" l="1"/>
  <c r="O176" i="18"/>
  <c r="A177" i="18"/>
  <c r="D177" i="18" s="1"/>
  <c r="B179" i="55" s="1"/>
  <c r="A178" i="55"/>
  <c r="M176" i="18"/>
  <c r="N177" i="55"/>
  <c r="L177" i="55"/>
  <c r="M177" i="55"/>
  <c r="K177" i="55"/>
  <c r="R177" i="55"/>
  <c r="T177" i="55"/>
  <c r="U177" i="55"/>
  <c r="S177" i="55"/>
  <c r="Q177" i="55"/>
  <c r="L176" i="18"/>
  <c r="C176" i="18"/>
  <c r="K176" i="18" s="1"/>
  <c r="P178" i="55" l="1"/>
  <c r="O178" i="55"/>
  <c r="J178" i="55"/>
  <c r="F178" i="55"/>
  <c r="R176" i="18"/>
  <c r="D178" i="55"/>
  <c r="B177" i="18"/>
  <c r="E177" i="18"/>
  <c r="C179" i="55" l="1"/>
  <c r="O177" i="18"/>
  <c r="A178" i="18"/>
  <c r="D178" i="18" s="1"/>
  <c r="B180" i="55" s="1"/>
  <c r="A179" i="55"/>
  <c r="M177" i="18"/>
  <c r="L177" i="18"/>
  <c r="K178" i="55"/>
  <c r="N178" i="55"/>
  <c r="L178" i="55"/>
  <c r="M178" i="55"/>
  <c r="R178" i="55"/>
  <c r="T178" i="55"/>
  <c r="U178" i="55"/>
  <c r="S178" i="55"/>
  <c r="Q178" i="55"/>
  <c r="C177" i="18"/>
  <c r="K177" i="18" s="1"/>
  <c r="P179" i="55" l="1"/>
  <c r="O179" i="55"/>
  <c r="J179" i="55"/>
  <c r="F179" i="55"/>
  <c r="R177" i="18"/>
  <c r="D179" i="55"/>
  <c r="E178" i="18"/>
  <c r="B178" i="18"/>
  <c r="A179" i="18" l="1"/>
  <c r="A180" i="55"/>
  <c r="M178" i="18"/>
  <c r="C180" i="55"/>
  <c r="O178" i="18"/>
  <c r="N179" i="55"/>
  <c r="L179" i="55"/>
  <c r="M179" i="55"/>
  <c r="K179" i="55"/>
  <c r="R179" i="55"/>
  <c r="T179" i="55"/>
  <c r="U179" i="55"/>
  <c r="S179" i="55"/>
  <c r="Q179" i="55"/>
  <c r="L178" i="18"/>
  <c r="C178" i="18"/>
  <c r="K178" i="18" s="1"/>
  <c r="D179" i="18"/>
  <c r="B181" i="55" s="1"/>
  <c r="F180" i="55" l="1"/>
  <c r="P180" i="55"/>
  <c r="O180" i="55"/>
  <c r="J180" i="55"/>
  <c r="R178" i="18"/>
  <c r="D180" i="55"/>
  <c r="E179" i="18"/>
  <c r="B179" i="18"/>
  <c r="C181" i="55" l="1"/>
  <c r="O179" i="18"/>
  <c r="A180" i="18"/>
  <c r="A181" i="55"/>
  <c r="M179" i="18"/>
  <c r="N180" i="55"/>
  <c r="L180" i="55"/>
  <c r="M180" i="55"/>
  <c r="K180" i="55"/>
  <c r="R180" i="55"/>
  <c r="T180" i="55"/>
  <c r="U180" i="55"/>
  <c r="S180" i="55"/>
  <c r="Q180" i="55"/>
  <c r="L179" i="18"/>
  <c r="D180" i="18"/>
  <c r="B182" i="55" s="1"/>
  <c r="C179" i="18"/>
  <c r="K179" i="18" s="1"/>
  <c r="P181" i="55" l="1"/>
  <c r="J181" i="55"/>
  <c r="O181" i="55"/>
  <c r="F181" i="55"/>
  <c r="R179" i="18"/>
  <c r="D181" i="55"/>
  <c r="E180" i="18"/>
  <c r="B180" i="18"/>
  <c r="A181" i="18" l="1"/>
  <c r="D181" i="18" s="1"/>
  <c r="B183" i="55" s="1"/>
  <c r="A182" i="55"/>
  <c r="M180" i="18"/>
  <c r="C182" i="55"/>
  <c r="O180" i="18"/>
  <c r="L180" i="18"/>
  <c r="N181" i="55"/>
  <c r="M181" i="55"/>
  <c r="L181" i="55"/>
  <c r="K181" i="55"/>
  <c r="T181" i="55"/>
  <c r="U181" i="55"/>
  <c r="S181" i="55"/>
  <c r="R181" i="55"/>
  <c r="Q181" i="55"/>
  <c r="C180" i="18"/>
  <c r="K180" i="18" s="1"/>
  <c r="F182" i="55" l="1"/>
  <c r="P182" i="55"/>
  <c r="J182" i="55"/>
  <c r="O182" i="55"/>
  <c r="R180" i="18"/>
  <c r="D182" i="55"/>
  <c r="E181" i="18"/>
  <c r="B181" i="18"/>
  <c r="A182" i="18" l="1"/>
  <c r="A183" i="55"/>
  <c r="M181" i="18"/>
  <c r="C183" i="55"/>
  <c r="O181" i="18"/>
  <c r="N182" i="55"/>
  <c r="M182" i="55"/>
  <c r="L182" i="55"/>
  <c r="K182" i="55"/>
  <c r="T182" i="55"/>
  <c r="U182" i="55"/>
  <c r="S182" i="55"/>
  <c r="R182" i="55"/>
  <c r="Q182" i="55"/>
  <c r="L181" i="18"/>
  <c r="C181" i="18"/>
  <c r="K181" i="18" s="1"/>
  <c r="D182" i="18"/>
  <c r="B184" i="55" s="1"/>
  <c r="F183" i="55" l="1"/>
  <c r="P183" i="55"/>
  <c r="O183" i="55"/>
  <c r="J183" i="55"/>
  <c r="R181" i="18"/>
  <c r="D183" i="55"/>
  <c r="B182" i="18"/>
  <c r="E182" i="18"/>
  <c r="C184" i="55" l="1"/>
  <c r="O182" i="18"/>
  <c r="A183" i="18"/>
  <c r="L182" i="18"/>
  <c r="M182" i="18"/>
  <c r="A184" i="55"/>
  <c r="N183" i="55"/>
  <c r="M183" i="55"/>
  <c r="L183" i="55"/>
  <c r="K183" i="55"/>
  <c r="D183" i="18"/>
  <c r="B185" i="55" s="1"/>
  <c r="C182" i="18"/>
  <c r="K182" i="18" s="1"/>
  <c r="F184" i="55" l="1"/>
  <c r="P184" i="55"/>
  <c r="J184" i="55"/>
  <c r="O184" i="55"/>
  <c r="R182" i="18"/>
  <c r="D184" i="55"/>
  <c r="B183" i="18"/>
  <c r="E183" i="18"/>
  <c r="C185" i="55" l="1"/>
  <c r="O183" i="18"/>
  <c r="A184" i="18"/>
  <c r="D184" i="18" s="1"/>
  <c r="B186" i="55" s="1"/>
  <c r="A185" i="55"/>
  <c r="M183" i="18"/>
  <c r="L183" i="18"/>
  <c r="C183" i="18"/>
  <c r="K183" i="18" s="1"/>
  <c r="F185" i="55" l="1"/>
  <c r="P185" i="55"/>
  <c r="J185" i="55"/>
  <c r="O185" i="55"/>
  <c r="R183" i="18"/>
  <c r="D185" i="55"/>
  <c r="E184" i="18"/>
  <c r="B184" i="18"/>
  <c r="R185" i="55" l="1"/>
  <c r="D45" i="59" s="1"/>
  <c r="C186" i="55"/>
  <c r="O184" i="18"/>
  <c r="A185" i="18"/>
  <c r="D185" i="18" s="1"/>
  <c r="B187" i="55" s="1"/>
  <c r="A186" i="55"/>
  <c r="M184" i="18"/>
  <c r="N185" i="55"/>
  <c r="M185" i="55"/>
  <c r="L185" i="55"/>
  <c r="K185" i="55"/>
  <c r="L184" i="18"/>
  <c r="C184" i="18"/>
  <c r="K184" i="18" s="1"/>
  <c r="F186" i="55" l="1"/>
  <c r="P186" i="55"/>
  <c r="O186" i="55"/>
  <c r="J186" i="55"/>
  <c r="R184" i="18"/>
  <c r="D186" i="55"/>
  <c r="B185" i="18"/>
  <c r="E185" i="18"/>
  <c r="R186" i="55" l="1"/>
  <c r="D46" i="59" s="1"/>
  <c r="C187" i="55"/>
  <c r="O185" i="18"/>
  <c r="A186" i="18"/>
  <c r="D186" i="18" s="1"/>
  <c r="B188" i="55" s="1"/>
  <c r="A187" i="55"/>
  <c r="M185" i="18"/>
  <c r="K186" i="55"/>
  <c r="L186" i="55"/>
  <c r="N186" i="55"/>
  <c r="M186" i="55"/>
  <c r="L185" i="18"/>
  <c r="C185" i="18"/>
  <c r="K185" i="18" s="1"/>
  <c r="F187" i="55" l="1"/>
  <c r="P187" i="55"/>
  <c r="J187" i="55"/>
  <c r="O187" i="55"/>
  <c r="R185" i="18"/>
  <c r="D187" i="55"/>
  <c r="B186" i="18"/>
  <c r="E186" i="18"/>
  <c r="C188" i="55" l="1"/>
  <c r="O186" i="18"/>
  <c r="A187" i="18"/>
  <c r="D187" i="18" s="1"/>
  <c r="B189" i="55" s="1"/>
  <c r="A188" i="55"/>
  <c r="M186" i="18"/>
  <c r="K187" i="55"/>
  <c r="N187" i="55"/>
  <c r="L187" i="55"/>
  <c r="M187" i="55"/>
  <c r="T187" i="55"/>
  <c r="U187" i="55"/>
  <c r="R187" i="55"/>
  <c r="S187" i="55"/>
  <c r="Q187" i="55"/>
  <c r="L186" i="18"/>
  <c r="C186" i="18"/>
  <c r="K186" i="18" s="1"/>
  <c r="F188" i="55" l="1"/>
  <c r="P188" i="55"/>
  <c r="J188" i="55"/>
  <c r="O188" i="55"/>
  <c r="R186" i="18"/>
  <c r="D188" i="55"/>
  <c r="E187" i="18"/>
  <c r="B187" i="18"/>
  <c r="L187" i="18" s="1"/>
  <c r="A188" i="18" l="1"/>
  <c r="A189" i="55"/>
  <c r="M187" i="18"/>
  <c r="C189" i="55"/>
  <c r="O187" i="18"/>
  <c r="N188" i="55"/>
  <c r="M188" i="55"/>
  <c r="L188" i="55"/>
  <c r="K188" i="55"/>
  <c r="R188" i="55"/>
  <c r="S188" i="55"/>
  <c r="T188" i="55"/>
  <c r="U188" i="55"/>
  <c r="Q188" i="55"/>
  <c r="C187" i="18"/>
  <c r="K187" i="18" s="1"/>
  <c r="D188" i="18"/>
  <c r="B190" i="55" s="1"/>
  <c r="F189" i="55" l="1"/>
  <c r="P189" i="55"/>
  <c r="J189" i="55"/>
  <c r="O189" i="55"/>
  <c r="R187" i="18"/>
  <c r="D189" i="55"/>
  <c r="E188" i="18"/>
  <c r="B188" i="18"/>
  <c r="A189" i="18" l="1"/>
  <c r="A190" i="55"/>
  <c r="M188" i="18"/>
  <c r="L188" i="18"/>
  <c r="C190" i="55"/>
  <c r="O188" i="18"/>
  <c r="R189" i="55"/>
  <c r="T189" i="55"/>
  <c r="S189" i="55"/>
  <c r="U189" i="55"/>
  <c r="Q189" i="55"/>
  <c r="N189" i="55"/>
  <c r="K189" i="55"/>
  <c r="M189" i="55"/>
  <c r="L189" i="55"/>
  <c r="D189" i="18"/>
  <c r="B191" i="55" s="1"/>
  <c r="C188" i="18"/>
  <c r="K188" i="18" s="1"/>
  <c r="F190" i="55" l="1"/>
  <c r="P190" i="55"/>
  <c r="J190" i="55"/>
  <c r="O190" i="55"/>
  <c r="R188" i="18"/>
  <c r="D190" i="55"/>
  <c r="B189" i="18"/>
  <c r="E189" i="18"/>
  <c r="C191" i="55" l="1"/>
  <c r="O189" i="18"/>
  <c r="A190" i="18"/>
  <c r="A191" i="55"/>
  <c r="M189" i="18"/>
  <c r="R190" i="55"/>
  <c r="T190" i="55"/>
  <c r="U190" i="55"/>
  <c r="S190" i="55"/>
  <c r="Q190" i="55"/>
  <c r="K190" i="55"/>
  <c r="N190" i="55"/>
  <c r="M190" i="55"/>
  <c r="L190" i="55"/>
  <c r="L189" i="18"/>
  <c r="D190" i="18"/>
  <c r="B192" i="55" s="1"/>
  <c r="C189" i="18"/>
  <c r="K189" i="18" s="1"/>
  <c r="F191" i="55" l="1"/>
  <c r="P191" i="55"/>
  <c r="O191" i="55"/>
  <c r="J191" i="55"/>
  <c r="R189" i="18"/>
  <c r="D191" i="55"/>
  <c r="B190" i="18"/>
  <c r="E190" i="18"/>
  <c r="C192" i="55" l="1"/>
  <c r="O190" i="18"/>
  <c r="A191" i="18"/>
  <c r="D191" i="18" s="1"/>
  <c r="B193" i="55" s="1"/>
  <c r="A192" i="55"/>
  <c r="M190" i="18"/>
  <c r="L190" i="18"/>
  <c r="N191" i="55"/>
  <c r="M191" i="55"/>
  <c r="L191" i="55"/>
  <c r="K191" i="55"/>
  <c r="R191" i="55"/>
  <c r="T191" i="55"/>
  <c r="U191" i="55"/>
  <c r="S191" i="55"/>
  <c r="Q191" i="55"/>
  <c r="C190" i="18"/>
  <c r="K190" i="18" s="1"/>
  <c r="F192" i="55" l="1"/>
  <c r="P192" i="55"/>
  <c r="J192" i="55"/>
  <c r="O192" i="55"/>
  <c r="R190" i="18"/>
  <c r="D192" i="55"/>
  <c r="E191" i="18"/>
  <c r="B191" i="18"/>
  <c r="L191" i="18" s="1"/>
  <c r="C193" i="55" l="1"/>
  <c r="O191" i="18"/>
  <c r="A192" i="18"/>
  <c r="D192" i="18" s="1"/>
  <c r="B194" i="55" s="1"/>
  <c r="A193" i="55"/>
  <c r="M191" i="18"/>
  <c r="K192" i="55"/>
  <c r="L192" i="55"/>
  <c r="N192" i="55"/>
  <c r="M192" i="55"/>
  <c r="R192" i="55"/>
  <c r="T192" i="55"/>
  <c r="U192" i="55"/>
  <c r="S192" i="55"/>
  <c r="Q192" i="55"/>
  <c r="C191" i="18"/>
  <c r="K191" i="18" s="1"/>
  <c r="F193" i="55" l="1"/>
  <c r="P193" i="55"/>
  <c r="J193" i="55"/>
  <c r="O193" i="55"/>
  <c r="R191" i="18"/>
  <c r="D193" i="55"/>
  <c r="E192" i="18"/>
  <c r="B192" i="18"/>
  <c r="C194" i="55" l="1"/>
  <c r="O192" i="18"/>
  <c r="A193" i="18"/>
  <c r="D193" i="18" s="1"/>
  <c r="B195" i="55" s="1"/>
  <c r="A194" i="55"/>
  <c r="M192" i="18"/>
  <c r="L192" i="18"/>
  <c r="L193" i="55"/>
  <c r="N193" i="55"/>
  <c r="M193" i="55"/>
  <c r="K193" i="55"/>
  <c r="R193" i="55"/>
  <c r="T193" i="55"/>
  <c r="U193" i="55"/>
  <c r="S193" i="55"/>
  <c r="Q193" i="55"/>
  <c r="C192" i="18"/>
  <c r="K192" i="18" s="1"/>
  <c r="F194" i="55" l="1"/>
  <c r="P194" i="55"/>
  <c r="J194" i="55"/>
  <c r="O194" i="55"/>
  <c r="R192" i="18"/>
  <c r="D194" i="55"/>
  <c r="B193" i="18"/>
  <c r="L193" i="18" s="1"/>
  <c r="E193" i="18"/>
  <c r="C195" i="55" l="1"/>
  <c r="O193" i="18"/>
  <c r="A194" i="18"/>
  <c r="D194" i="18" s="1"/>
  <c r="B196" i="55" s="1"/>
  <c r="A195" i="55"/>
  <c r="M193" i="18"/>
  <c r="R194" i="55"/>
  <c r="T194" i="55"/>
  <c r="U194" i="55"/>
  <c r="S194" i="55"/>
  <c r="Q194" i="55"/>
  <c r="N194" i="55"/>
  <c r="L194" i="55"/>
  <c r="M194" i="55"/>
  <c r="K194" i="55"/>
  <c r="C193" i="18"/>
  <c r="K193" i="18" s="1"/>
  <c r="F195" i="55" l="1"/>
  <c r="P195" i="55"/>
  <c r="J195" i="55"/>
  <c r="O195" i="55"/>
  <c r="R193" i="18"/>
  <c r="D195" i="55"/>
  <c r="E194" i="18"/>
  <c r="B194" i="18"/>
  <c r="A195" i="18" l="1"/>
  <c r="A196" i="55"/>
  <c r="M194" i="18"/>
  <c r="L194" i="18"/>
  <c r="C196" i="55"/>
  <c r="O194" i="18"/>
  <c r="R195" i="55"/>
  <c r="T195" i="55"/>
  <c r="U195" i="55"/>
  <c r="S195" i="55"/>
  <c r="Q195" i="55"/>
  <c r="K195" i="55"/>
  <c r="N195" i="55"/>
  <c r="M195" i="55"/>
  <c r="L195" i="55"/>
  <c r="D195" i="18"/>
  <c r="B197" i="55" s="1"/>
  <c r="C194" i="18"/>
  <c r="K194" i="18" s="1"/>
  <c r="F196" i="55" l="1"/>
  <c r="P196" i="55"/>
  <c r="O196" i="55"/>
  <c r="J196" i="55"/>
  <c r="R194" i="18"/>
  <c r="D196" i="55"/>
  <c r="B195" i="18"/>
  <c r="E195" i="18"/>
  <c r="C197" i="55" l="1"/>
  <c r="O195" i="18"/>
  <c r="N196" i="55"/>
  <c r="K196" i="55"/>
  <c r="L196" i="55"/>
  <c r="M196" i="55"/>
  <c r="R196" i="55"/>
  <c r="T196" i="55"/>
  <c r="U196" i="55"/>
  <c r="S196" i="55"/>
  <c r="Q196" i="55"/>
  <c r="A196" i="18"/>
  <c r="D196" i="18" s="1"/>
  <c r="B198" i="55" s="1"/>
  <c r="A197" i="55"/>
  <c r="M195" i="18"/>
  <c r="L195" i="18"/>
  <c r="C195" i="18"/>
  <c r="K195" i="18" s="1"/>
  <c r="F197" i="55" l="1"/>
  <c r="P197" i="55"/>
  <c r="O197" i="55"/>
  <c r="J197" i="55"/>
  <c r="R195" i="18"/>
  <c r="D197" i="55"/>
  <c r="E196" i="18"/>
  <c r="B196" i="18"/>
  <c r="A197" i="18" l="1"/>
  <c r="D197" i="18" s="1"/>
  <c r="B199" i="55" s="1"/>
  <c r="A198" i="55"/>
  <c r="M196" i="18"/>
  <c r="C198" i="55"/>
  <c r="O196" i="18"/>
  <c r="R197" i="55"/>
  <c r="U197" i="55"/>
  <c r="S197" i="55"/>
  <c r="T197" i="55"/>
  <c r="Q197" i="55"/>
  <c r="N197" i="55"/>
  <c r="M197" i="55"/>
  <c r="L197" i="55"/>
  <c r="K197" i="55"/>
  <c r="L196" i="18"/>
  <c r="C196" i="18"/>
  <c r="K196" i="18" s="1"/>
  <c r="F198" i="55" l="1"/>
  <c r="P198" i="55"/>
  <c r="J198" i="55"/>
  <c r="O198" i="55"/>
  <c r="R196" i="18"/>
  <c r="D198" i="55"/>
  <c r="B197" i="18"/>
  <c r="L197" i="18" s="1"/>
  <c r="E197" i="18"/>
  <c r="A198" i="18" l="1"/>
  <c r="A199" i="55"/>
  <c r="M197" i="18"/>
  <c r="C199" i="55"/>
  <c r="O197" i="18"/>
  <c r="K198" i="55"/>
  <c r="N198" i="55"/>
  <c r="L198" i="55"/>
  <c r="M198" i="55"/>
  <c r="R198" i="55"/>
  <c r="U198" i="55"/>
  <c r="T198" i="55"/>
  <c r="S198" i="55"/>
  <c r="Q198" i="55"/>
  <c r="D198" i="18"/>
  <c r="B200" i="55" s="1"/>
  <c r="C197" i="18"/>
  <c r="K197" i="18" s="1"/>
  <c r="F199" i="55" l="1"/>
  <c r="P199" i="55"/>
  <c r="O199" i="55"/>
  <c r="J199" i="55"/>
  <c r="R197" i="18"/>
  <c r="D199" i="55"/>
  <c r="E198" i="18"/>
  <c r="B198" i="18"/>
  <c r="C200" i="55" l="1"/>
  <c r="O198" i="18"/>
  <c r="K199" i="55"/>
  <c r="N199" i="55"/>
  <c r="M199" i="55"/>
  <c r="L199" i="55"/>
  <c r="A199" i="18"/>
  <c r="D199" i="18" s="1"/>
  <c r="B201" i="55" s="1"/>
  <c r="A200" i="55"/>
  <c r="M198" i="18"/>
  <c r="L198" i="18"/>
  <c r="T199" i="55"/>
  <c r="U199" i="55"/>
  <c r="R199" i="55"/>
  <c r="S199" i="55"/>
  <c r="Q199" i="55"/>
  <c r="C198" i="18"/>
  <c r="K198" i="18" s="1"/>
  <c r="F200" i="55" l="1"/>
  <c r="P200" i="55"/>
  <c r="O200" i="55"/>
  <c r="J200" i="55"/>
  <c r="R198" i="18"/>
  <c r="D200" i="55"/>
  <c r="B199" i="18"/>
  <c r="E199" i="18"/>
  <c r="A200" i="18" l="1"/>
  <c r="D200" i="18" s="1"/>
  <c r="B202" i="55" s="1"/>
  <c r="A201" i="55"/>
  <c r="M199" i="18"/>
  <c r="M200" i="55"/>
  <c r="L200" i="55"/>
  <c r="K200" i="55"/>
  <c r="N200" i="55"/>
  <c r="C201" i="55"/>
  <c r="O199" i="18"/>
  <c r="R200" i="55"/>
  <c r="T200" i="55"/>
  <c r="U200" i="55"/>
  <c r="S200" i="55"/>
  <c r="Q200" i="55"/>
  <c r="L199" i="18"/>
  <c r="C199" i="18"/>
  <c r="K199" i="18" s="1"/>
  <c r="F201" i="55" l="1"/>
  <c r="P201" i="55"/>
  <c r="J201" i="55"/>
  <c r="O201" i="55"/>
  <c r="R199" i="18"/>
  <c r="D201" i="55"/>
  <c r="B200" i="18"/>
  <c r="E200" i="18"/>
  <c r="C202" i="55" l="1"/>
  <c r="O200" i="18"/>
  <c r="A201" i="18"/>
  <c r="D201" i="18" s="1"/>
  <c r="B203" i="55" s="1"/>
  <c r="L200" i="18"/>
  <c r="M200" i="18"/>
  <c r="A202" i="55"/>
  <c r="M201" i="55"/>
  <c r="K201" i="55"/>
  <c r="N201" i="55"/>
  <c r="L201" i="55"/>
  <c r="C200" i="18"/>
  <c r="K200" i="18" s="1"/>
  <c r="P202" i="55" l="1"/>
  <c r="O202" i="55"/>
  <c r="J202" i="55"/>
  <c r="F202" i="55"/>
  <c r="R200" i="18"/>
  <c r="D202" i="55"/>
  <c r="B201" i="18"/>
  <c r="L201" i="18" s="1"/>
  <c r="E201" i="18"/>
  <c r="A202" i="18" l="1"/>
  <c r="A203" i="55"/>
  <c r="N202" i="55"/>
  <c r="M202" i="55"/>
  <c r="L202" i="55"/>
  <c r="K202" i="55"/>
  <c r="C203" i="55"/>
  <c r="O201" i="18"/>
  <c r="M201" i="18"/>
  <c r="C201" i="18"/>
  <c r="K201" i="18" s="1"/>
  <c r="D202" i="18"/>
  <c r="B204" i="55" s="1"/>
  <c r="F203" i="55" l="1"/>
  <c r="P203" i="55"/>
  <c r="J203" i="55"/>
  <c r="O203" i="55"/>
  <c r="R201" i="18"/>
  <c r="D203" i="55"/>
  <c r="E202" i="18"/>
  <c r="B202" i="18"/>
  <c r="R203" i="55" l="1"/>
  <c r="D49" i="59" s="1"/>
  <c r="C204" i="55"/>
  <c r="O202" i="18"/>
  <c r="A203" i="18"/>
  <c r="D203" i="18" s="1"/>
  <c r="B205" i="55" s="1"/>
  <c r="A204" i="55"/>
  <c r="M202" i="18"/>
  <c r="L202" i="18"/>
  <c r="L203" i="55"/>
  <c r="K203" i="55"/>
  <c r="N203" i="55"/>
  <c r="M203" i="55"/>
  <c r="C202" i="18"/>
  <c r="K202" i="18" s="1"/>
  <c r="F204" i="55" l="1"/>
  <c r="P204" i="55"/>
  <c r="O204" i="55"/>
  <c r="J204" i="55"/>
  <c r="R202" i="18"/>
  <c r="D204" i="55"/>
  <c r="B203" i="18"/>
  <c r="L203" i="18" s="1"/>
  <c r="E203" i="18"/>
  <c r="R204" i="55" l="1"/>
  <c r="D50" i="59" s="1"/>
  <c r="C205" i="55"/>
  <c r="O203" i="18"/>
  <c r="A204" i="18"/>
  <c r="D204" i="18" s="1"/>
  <c r="B206" i="55" s="1"/>
  <c r="A205" i="55"/>
  <c r="M203" i="18"/>
  <c r="N204" i="55"/>
  <c r="L204" i="55"/>
  <c r="M204" i="55"/>
  <c r="K204" i="55"/>
  <c r="C203" i="18"/>
  <c r="K203" i="18" s="1"/>
  <c r="F205" i="55" l="1"/>
  <c r="P205" i="55"/>
  <c r="O205" i="55"/>
  <c r="J205" i="55"/>
  <c r="R203" i="18"/>
  <c r="D205" i="55"/>
  <c r="B204" i="18"/>
  <c r="E204" i="18"/>
  <c r="C206" i="55" l="1"/>
  <c r="O204" i="18"/>
  <c r="A205" i="18"/>
  <c r="D205" i="18" s="1"/>
  <c r="B207" i="55" s="1"/>
  <c r="A206" i="55"/>
  <c r="M204" i="18"/>
  <c r="L204" i="18"/>
  <c r="N205" i="55"/>
  <c r="M205" i="55"/>
  <c r="L205" i="55"/>
  <c r="K205" i="55"/>
  <c r="T205" i="55"/>
  <c r="R205" i="55"/>
  <c r="U205" i="55"/>
  <c r="S205" i="55"/>
  <c r="Q205" i="55"/>
  <c r="C204" i="18"/>
  <c r="K204" i="18" s="1"/>
  <c r="F206" i="55" l="1"/>
  <c r="P206" i="55"/>
  <c r="O206" i="55"/>
  <c r="J206" i="55"/>
  <c r="R204" i="18"/>
  <c r="D206" i="55"/>
  <c r="B205" i="18"/>
  <c r="L205" i="18" s="1"/>
  <c r="E205" i="18"/>
  <c r="C207" i="55" l="1"/>
  <c r="O205" i="18"/>
  <c r="A206" i="18"/>
  <c r="A207" i="55"/>
  <c r="M205" i="18"/>
  <c r="N206" i="55"/>
  <c r="M206" i="55"/>
  <c r="L206" i="55"/>
  <c r="K206" i="55"/>
  <c r="R206" i="55"/>
  <c r="T206" i="55"/>
  <c r="U206" i="55"/>
  <c r="S206" i="55"/>
  <c r="Q206" i="55"/>
  <c r="D206" i="18"/>
  <c r="B208" i="55" s="1"/>
  <c r="C205" i="18"/>
  <c r="K205" i="18" s="1"/>
  <c r="P207" i="55" l="1"/>
  <c r="J207" i="55"/>
  <c r="O207" i="55"/>
  <c r="F207" i="55"/>
  <c r="R205" i="18"/>
  <c r="D207" i="55"/>
  <c r="B206" i="18"/>
  <c r="E206" i="18"/>
  <c r="C208" i="55" l="1"/>
  <c r="O206" i="18"/>
  <c r="A207" i="18"/>
  <c r="D207" i="18" s="1"/>
  <c r="B209" i="55" s="1"/>
  <c r="A208" i="55"/>
  <c r="M206" i="18"/>
  <c r="L206" i="18"/>
  <c r="M207" i="55"/>
  <c r="N207" i="55"/>
  <c r="L207" i="55"/>
  <c r="K207" i="55"/>
  <c r="R207" i="55"/>
  <c r="T207" i="55"/>
  <c r="U207" i="55"/>
  <c r="S207" i="55"/>
  <c r="Q207" i="55"/>
  <c r="C206" i="18"/>
  <c r="K206" i="18" s="1"/>
  <c r="F208" i="55" l="1"/>
  <c r="P208" i="55"/>
  <c r="J208" i="55"/>
  <c r="O208" i="55"/>
  <c r="R206" i="18"/>
  <c r="D208" i="55"/>
  <c r="E207" i="18"/>
  <c r="B207" i="18"/>
  <c r="C209" i="55" l="1"/>
  <c r="O207" i="18"/>
  <c r="A208" i="18"/>
  <c r="D208" i="18" s="1"/>
  <c r="B210" i="55" s="1"/>
  <c r="A209" i="55"/>
  <c r="M207" i="18"/>
  <c r="R208" i="55"/>
  <c r="S208" i="55"/>
  <c r="T208" i="55"/>
  <c r="U208" i="55"/>
  <c r="Q208" i="55"/>
  <c r="N208" i="55"/>
  <c r="M208" i="55"/>
  <c r="L208" i="55"/>
  <c r="K208" i="55"/>
  <c r="L207" i="18"/>
  <c r="C207" i="18"/>
  <c r="K207" i="18" s="1"/>
  <c r="P209" i="55" l="1"/>
  <c r="J209" i="55"/>
  <c r="O209" i="55"/>
  <c r="F209" i="55"/>
  <c r="R207" i="18"/>
  <c r="D209" i="55"/>
  <c r="B208" i="18"/>
  <c r="L208" i="18" s="1"/>
  <c r="E208" i="18"/>
  <c r="C210" i="55" l="1"/>
  <c r="O208" i="18"/>
  <c r="A209" i="18"/>
  <c r="D209" i="18" s="1"/>
  <c r="B211" i="55" s="1"/>
  <c r="A210" i="55"/>
  <c r="M208" i="18"/>
  <c r="N209" i="55"/>
  <c r="M209" i="55"/>
  <c r="L209" i="55"/>
  <c r="K209" i="55"/>
  <c r="R209" i="55"/>
  <c r="T209" i="55"/>
  <c r="U209" i="55"/>
  <c r="S209" i="55"/>
  <c r="Q209" i="55"/>
  <c r="C208" i="18"/>
  <c r="K208" i="18" s="1"/>
  <c r="F210" i="55" l="1"/>
  <c r="P210" i="55"/>
  <c r="J210" i="55"/>
  <c r="O210" i="55"/>
  <c r="R208" i="18"/>
  <c r="D210" i="55"/>
  <c r="B209" i="18"/>
  <c r="E209" i="18"/>
  <c r="A210" i="18" l="1"/>
  <c r="A211" i="55"/>
  <c r="M209" i="18"/>
  <c r="L209" i="18"/>
  <c r="C211" i="55"/>
  <c r="O209" i="18"/>
  <c r="M210" i="55"/>
  <c r="N210" i="55"/>
  <c r="L210" i="55"/>
  <c r="K210" i="55"/>
  <c r="R210" i="55"/>
  <c r="T210" i="55"/>
  <c r="U210" i="55"/>
  <c r="S210" i="55"/>
  <c r="Q210" i="55"/>
  <c r="C209" i="18"/>
  <c r="K209" i="18" s="1"/>
  <c r="D210" i="18"/>
  <c r="B212" i="55" s="1"/>
  <c r="F211" i="55" l="1"/>
  <c r="P211" i="55"/>
  <c r="O211" i="55"/>
  <c r="J211" i="55"/>
  <c r="R209" i="18"/>
  <c r="D211" i="55"/>
  <c r="B210" i="18"/>
  <c r="E210" i="18"/>
  <c r="A211" i="18" l="1"/>
  <c r="A212" i="55"/>
  <c r="M210" i="18"/>
  <c r="C212" i="55"/>
  <c r="O210" i="18"/>
  <c r="N211" i="55"/>
  <c r="L211" i="55"/>
  <c r="M211" i="55"/>
  <c r="K211" i="55"/>
  <c r="R211" i="55"/>
  <c r="T211" i="55"/>
  <c r="U211" i="55"/>
  <c r="S211" i="55"/>
  <c r="Q211" i="55"/>
  <c r="L210" i="18"/>
  <c r="C210" i="18"/>
  <c r="K210" i="18" s="1"/>
  <c r="D211" i="18"/>
  <c r="B213" i="55" s="1"/>
  <c r="F212" i="55" l="1"/>
  <c r="P212" i="55"/>
  <c r="O212" i="55"/>
  <c r="J212" i="55"/>
  <c r="R210" i="18"/>
  <c r="D212" i="55"/>
  <c r="E211" i="18"/>
  <c r="B211" i="18"/>
  <c r="A212" i="18" l="1"/>
  <c r="A213" i="55"/>
  <c r="M211" i="18"/>
  <c r="C213" i="55"/>
  <c r="O211" i="18"/>
  <c r="L211" i="18"/>
  <c r="K212" i="55"/>
  <c r="N212" i="55"/>
  <c r="M212" i="55"/>
  <c r="L212" i="55"/>
  <c r="R212" i="55"/>
  <c r="T212" i="55"/>
  <c r="U212" i="55"/>
  <c r="S212" i="55"/>
  <c r="Q212" i="55"/>
  <c r="C211" i="18"/>
  <c r="K211" i="18" s="1"/>
  <c r="D212" i="18"/>
  <c r="B214" i="55" s="1"/>
  <c r="F213" i="55" l="1"/>
  <c r="P213" i="55"/>
  <c r="J213" i="55"/>
  <c r="O213" i="55"/>
  <c r="R211" i="18"/>
  <c r="D213" i="55"/>
  <c r="B212" i="18"/>
  <c r="E212" i="18"/>
  <c r="C214" i="55" l="1"/>
  <c r="O212" i="18"/>
  <c r="A213" i="18"/>
  <c r="D213" i="18" s="1"/>
  <c r="B215" i="55" s="1"/>
  <c r="A214" i="55"/>
  <c r="M212" i="18"/>
  <c r="L213" i="55"/>
  <c r="M213" i="55"/>
  <c r="N213" i="55"/>
  <c r="K213" i="55"/>
  <c r="R213" i="55"/>
  <c r="T213" i="55"/>
  <c r="U213" i="55"/>
  <c r="S213" i="55"/>
  <c r="Q213" i="55"/>
  <c r="L212" i="18"/>
  <c r="C212" i="18"/>
  <c r="K212" i="18" s="1"/>
  <c r="F214" i="55" l="1"/>
  <c r="P214" i="55"/>
  <c r="O214" i="55"/>
  <c r="J214" i="55"/>
  <c r="R212" i="18"/>
  <c r="D214" i="55"/>
  <c r="B213" i="18"/>
  <c r="E213" i="18"/>
  <c r="C215" i="55" l="1"/>
  <c r="O213" i="18"/>
  <c r="A214" i="18"/>
  <c r="D214" i="18" s="1"/>
  <c r="B216" i="55" s="1"/>
  <c r="A215" i="55"/>
  <c r="M213" i="18"/>
  <c r="N214" i="55"/>
  <c r="L214" i="55"/>
  <c r="M214" i="55"/>
  <c r="K214" i="55"/>
  <c r="L213" i="18"/>
  <c r="R214" i="55"/>
  <c r="T214" i="55"/>
  <c r="U214" i="55"/>
  <c r="S214" i="55"/>
  <c r="Q214" i="55"/>
  <c r="C213" i="18"/>
  <c r="K213" i="18" s="1"/>
  <c r="F215" i="55" l="1"/>
  <c r="P215" i="55"/>
  <c r="O215" i="55"/>
  <c r="J215" i="55"/>
  <c r="R213" i="18"/>
  <c r="D215" i="55"/>
  <c r="B214" i="18"/>
  <c r="E214" i="18"/>
  <c r="C216" i="55" l="1"/>
  <c r="O214" i="18"/>
  <c r="A215" i="18"/>
  <c r="D215" i="18" s="1"/>
  <c r="B217" i="55" s="1"/>
  <c r="A216" i="55"/>
  <c r="M214" i="18"/>
  <c r="K215" i="55"/>
  <c r="N215" i="55"/>
  <c r="L215" i="55"/>
  <c r="M215" i="55"/>
  <c r="T215" i="55"/>
  <c r="U215" i="55"/>
  <c r="R215" i="55"/>
  <c r="S215" i="55"/>
  <c r="Q215" i="55"/>
  <c r="L214" i="18"/>
  <c r="C214" i="18"/>
  <c r="K214" i="18" s="1"/>
  <c r="F216" i="55" l="1"/>
  <c r="P216" i="55"/>
  <c r="J216" i="55"/>
  <c r="O216" i="55"/>
  <c r="R214" i="18"/>
  <c r="D216" i="55"/>
  <c r="E215" i="18"/>
  <c r="B215" i="18"/>
  <c r="L215" i="18" s="1"/>
  <c r="A216" i="18" l="1"/>
  <c r="D216" i="18" s="1"/>
  <c r="B218" i="55" s="1"/>
  <c r="A217" i="55"/>
  <c r="M215" i="18"/>
  <c r="C217" i="55"/>
  <c r="O215" i="18"/>
  <c r="M216" i="55"/>
  <c r="K216" i="55"/>
  <c r="N216" i="55"/>
  <c r="L216" i="55"/>
  <c r="R216" i="55"/>
  <c r="T216" i="55"/>
  <c r="U216" i="55"/>
  <c r="S216" i="55"/>
  <c r="Q216" i="55"/>
  <c r="C215" i="18"/>
  <c r="K215" i="18" s="1"/>
  <c r="F217" i="55" l="1"/>
  <c r="P217" i="55"/>
  <c r="J217" i="55"/>
  <c r="O217" i="55"/>
  <c r="R215" i="18"/>
  <c r="D217" i="55"/>
  <c r="B216" i="18"/>
  <c r="E216" i="18"/>
  <c r="A217" i="18" l="1"/>
  <c r="A218" i="55"/>
  <c r="M216" i="18"/>
  <c r="L216" i="18"/>
  <c r="C218" i="55"/>
  <c r="O216" i="18"/>
  <c r="L217" i="55"/>
  <c r="M217" i="55"/>
  <c r="K217" i="55"/>
  <c r="N217" i="55"/>
  <c r="T217" i="55"/>
  <c r="R217" i="55"/>
  <c r="S217" i="55"/>
  <c r="U217" i="55"/>
  <c r="Q217" i="55"/>
  <c r="C216" i="18"/>
  <c r="K216" i="18" s="1"/>
  <c r="D217" i="18"/>
  <c r="B219" i="55" s="1"/>
  <c r="F218" i="55" l="1"/>
  <c r="P218" i="55"/>
  <c r="O218" i="55"/>
  <c r="J218" i="55"/>
  <c r="R216" i="18"/>
  <c r="D218" i="55"/>
  <c r="B217" i="18"/>
  <c r="E217" i="18"/>
  <c r="C219" i="55" l="1"/>
  <c r="O217" i="18"/>
  <c r="A218" i="18"/>
  <c r="D218" i="18" s="1"/>
  <c r="B220" i="55" s="1"/>
  <c r="A219" i="55"/>
  <c r="M217" i="18"/>
  <c r="N218" i="55"/>
  <c r="M218" i="55"/>
  <c r="L218" i="55"/>
  <c r="K218" i="55"/>
  <c r="R218" i="55"/>
  <c r="T218" i="55"/>
  <c r="S218" i="55"/>
  <c r="U218" i="55"/>
  <c r="Q218" i="55"/>
  <c r="L217" i="18"/>
  <c r="C217" i="18"/>
  <c r="K217" i="18" s="1"/>
  <c r="F219" i="55" l="1"/>
  <c r="P219" i="55"/>
  <c r="J219" i="55"/>
  <c r="O219" i="55"/>
  <c r="R217" i="18"/>
  <c r="D219" i="55"/>
  <c r="B218" i="18"/>
  <c r="E218" i="18"/>
  <c r="A219" i="18" l="1"/>
  <c r="L218" i="18"/>
  <c r="M218" i="18"/>
  <c r="A220" i="55"/>
  <c r="O218" i="18"/>
  <c r="C220" i="55"/>
  <c r="M219" i="55"/>
  <c r="K219" i="55"/>
  <c r="N219" i="55"/>
  <c r="L219" i="55"/>
  <c r="D219" i="18"/>
  <c r="B221" i="55" s="1"/>
  <c r="C218" i="18"/>
  <c r="K218" i="18" s="1"/>
  <c r="F220" i="55" l="1"/>
  <c r="P220" i="55"/>
  <c r="J220" i="55"/>
  <c r="O220" i="55"/>
  <c r="R218" i="18"/>
  <c r="D220" i="55"/>
  <c r="E219" i="18"/>
  <c r="B219" i="18"/>
  <c r="L219" i="18" s="1"/>
  <c r="A220" i="18" l="1"/>
  <c r="A221" i="55"/>
  <c r="M219" i="18"/>
  <c r="C221" i="55"/>
  <c r="O219" i="18"/>
  <c r="N219" i="18"/>
  <c r="E221" i="55" s="1"/>
  <c r="C219" i="18"/>
  <c r="K219" i="18" s="1"/>
  <c r="D220" i="18"/>
  <c r="B222" i="55" s="1"/>
  <c r="F221" i="55" l="1"/>
  <c r="G221" i="55" s="1"/>
  <c r="P221" i="55"/>
  <c r="Q221" i="55" s="1"/>
  <c r="O221" i="55"/>
  <c r="J221" i="55"/>
  <c r="R219" i="18"/>
  <c r="D221" i="55"/>
  <c r="B220" i="18"/>
  <c r="E220" i="18"/>
  <c r="N220" i="18" l="1"/>
  <c r="C222" i="55"/>
  <c r="O220" i="18"/>
  <c r="N221" i="55"/>
  <c r="M221" i="55"/>
  <c r="L221" i="55"/>
  <c r="K221" i="55"/>
  <c r="A221" i="18"/>
  <c r="D221" i="18" s="1"/>
  <c r="B223" i="55" s="1"/>
  <c r="A222" i="55"/>
  <c r="M220" i="18"/>
  <c r="L220" i="18"/>
  <c r="R221" i="55"/>
  <c r="D53" i="59" s="1"/>
  <c r="H221" i="55"/>
  <c r="T221" i="55" s="1"/>
  <c r="S221" i="55"/>
  <c r="C220" i="18"/>
  <c r="K220" i="18" s="1"/>
  <c r="F222" i="55" l="1"/>
  <c r="P222" i="55"/>
  <c r="J222" i="55"/>
  <c r="O222" i="55"/>
  <c r="E222" i="55"/>
  <c r="R220" i="18"/>
  <c r="D222" i="55"/>
  <c r="I221" i="55"/>
  <c r="U221" i="55" s="1"/>
  <c r="B221" i="18"/>
  <c r="E221" i="18"/>
  <c r="G222" i="55" l="1"/>
  <c r="H222" i="55" s="1"/>
  <c r="T222" i="55" s="1"/>
  <c r="A222" i="18"/>
  <c r="D222" i="18" s="1"/>
  <c r="B224" i="55" s="1"/>
  <c r="A223" i="55"/>
  <c r="M221" i="18"/>
  <c r="L221" i="18"/>
  <c r="N222" i="55"/>
  <c r="L222" i="55"/>
  <c r="M222" i="55"/>
  <c r="K222" i="55"/>
  <c r="Q222" i="55"/>
  <c r="C223" i="55"/>
  <c r="O221" i="18"/>
  <c r="R222" i="55"/>
  <c r="D54" i="59" s="1"/>
  <c r="C221" i="18"/>
  <c r="K221" i="18" s="1"/>
  <c r="S222" i="55" l="1"/>
  <c r="I222" i="55"/>
  <c r="U222" i="55" s="1"/>
  <c r="F223" i="55"/>
  <c r="P223" i="55"/>
  <c r="J223" i="55"/>
  <c r="O223" i="55"/>
  <c r="R221" i="18"/>
  <c r="D223" i="55"/>
  <c r="B222" i="18"/>
  <c r="E222" i="18"/>
  <c r="C224" i="55" l="1"/>
  <c r="O222" i="18"/>
  <c r="N223" i="55"/>
  <c r="L223" i="55"/>
  <c r="M223" i="55"/>
  <c r="K223" i="55"/>
  <c r="A223" i="18"/>
  <c r="D223" i="18" s="1"/>
  <c r="B225" i="55" s="1"/>
  <c r="A224" i="55"/>
  <c r="M222" i="18"/>
  <c r="R223" i="55"/>
  <c r="S223" i="55"/>
  <c r="T223" i="55"/>
  <c r="U223" i="55"/>
  <c r="Q223" i="55"/>
  <c r="L222" i="18"/>
  <c r="N222" i="18"/>
  <c r="C222" i="18"/>
  <c r="K222" i="18" s="1"/>
  <c r="E224" i="55" l="1"/>
  <c r="F224" i="55"/>
  <c r="P224" i="55"/>
  <c r="J224" i="55"/>
  <c r="O224" i="55"/>
  <c r="R222" i="18"/>
  <c r="D224" i="55"/>
  <c r="E223" i="18"/>
  <c r="B223" i="18"/>
  <c r="L223" i="18" s="1"/>
  <c r="G224" i="55" l="1"/>
  <c r="H224" i="55" s="1"/>
  <c r="I224" i="55" s="1"/>
  <c r="C225" i="55"/>
  <c r="O223" i="18"/>
  <c r="N224" i="55"/>
  <c r="M224" i="55"/>
  <c r="L224" i="55"/>
  <c r="K224" i="55"/>
  <c r="A224" i="18"/>
  <c r="D224" i="18" s="1"/>
  <c r="B226" i="55" s="1"/>
  <c r="A225" i="55"/>
  <c r="M223" i="18"/>
  <c r="R224" i="55"/>
  <c r="U224" i="55"/>
  <c r="S224" i="55"/>
  <c r="T224" i="55"/>
  <c r="Q224" i="55"/>
  <c r="C223" i="18"/>
  <c r="K223" i="18" s="1"/>
  <c r="F225" i="55" l="1"/>
  <c r="P225" i="55"/>
  <c r="J225" i="55"/>
  <c r="O225" i="55"/>
  <c r="R223" i="18"/>
  <c r="D225" i="55"/>
  <c r="E224" i="18"/>
  <c r="B224" i="18"/>
  <c r="A225" i="18" l="1"/>
  <c r="A226" i="55"/>
  <c r="M224" i="18"/>
  <c r="L224" i="18"/>
  <c r="C226" i="55"/>
  <c r="O224" i="18"/>
  <c r="N225" i="55"/>
  <c r="M225" i="55"/>
  <c r="L225" i="55"/>
  <c r="K225" i="55"/>
  <c r="R225" i="55"/>
  <c r="T225" i="55"/>
  <c r="U225" i="55"/>
  <c r="S225" i="55"/>
  <c r="Q225" i="55"/>
  <c r="C224" i="18"/>
  <c r="K224" i="18" s="1"/>
  <c r="D225" i="18"/>
  <c r="B227" i="55" s="1"/>
  <c r="F226" i="55" l="1"/>
  <c r="P226" i="55"/>
  <c r="O226" i="55"/>
  <c r="J226" i="55"/>
  <c r="R224" i="18"/>
  <c r="D226" i="55"/>
  <c r="B225" i="18"/>
  <c r="E225" i="18"/>
  <c r="C227" i="55" l="1"/>
  <c r="O225" i="18"/>
  <c r="A226" i="18"/>
  <c r="D226" i="18" s="1"/>
  <c r="B228" i="55" s="1"/>
  <c r="A227" i="55"/>
  <c r="M225" i="18"/>
  <c r="R226" i="55"/>
  <c r="T226" i="55"/>
  <c r="U226" i="55"/>
  <c r="S226" i="55"/>
  <c r="Q226" i="55"/>
  <c r="L226" i="55"/>
  <c r="M226" i="55"/>
  <c r="K226" i="55"/>
  <c r="N226" i="55"/>
  <c r="L225" i="18"/>
  <c r="C225" i="18"/>
  <c r="K225" i="18" s="1"/>
  <c r="P227" i="55" l="1"/>
  <c r="O227" i="55"/>
  <c r="J227" i="55"/>
  <c r="F227" i="55"/>
  <c r="R225" i="18"/>
  <c r="D227" i="55"/>
  <c r="B226" i="18"/>
  <c r="L226" i="18" s="1"/>
  <c r="E226" i="18"/>
  <c r="C228" i="55" l="1"/>
  <c r="O226" i="18"/>
  <c r="A227" i="18"/>
  <c r="A228" i="55"/>
  <c r="M226" i="18"/>
  <c r="L227" i="55"/>
  <c r="N227" i="55"/>
  <c r="M227" i="55"/>
  <c r="K227" i="55"/>
  <c r="R227" i="55"/>
  <c r="T227" i="55"/>
  <c r="U227" i="55"/>
  <c r="S227" i="55"/>
  <c r="Q227" i="55"/>
  <c r="C226" i="18"/>
  <c r="K226" i="18" s="1"/>
  <c r="D227" i="18"/>
  <c r="B229" i="55" s="1"/>
  <c r="F228" i="55" l="1"/>
  <c r="P228" i="55"/>
  <c r="J228" i="55"/>
  <c r="O228" i="55"/>
  <c r="R226" i="18"/>
  <c r="D228" i="55"/>
  <c r="E227" i="18"/>
  <c r="B227" i="18"/>
  <c r="R228" i="55" l="1"/>
  <c r="T228" i="55"/>
  <c r="U228" i="55"/>
  <c r="S228" i="55"/>
  <c r="Q228" i="55"/>
  <c r="A228" i="18"/>
  <c r="D228" i="18" s="1"/>
  <c r="B230" i="55" s="1"/>
  <c r="A229" i="55"/>
  <c r="M227" i="18"/>
  <c r="L227" i="18"/>
  <c r="K228" i="55"/>
  <c r="L228" i="55"/>
  <c r="N228" i="55"/>
  <c r="M228" i="55"/>
  <c r="C229" i="55"/>
  <c r="O227" i="18"/>
  <c r="C227" i="18"/>
  <c r="K227" i="18" s="1"/>
  <c r="F229" i="55" l="1"/>
  <c r="P229" i="55"/>
  <c r="J229" i="55"/>
  <c r="O229" i="55"/>
  <c r="R227" i="18"/>
  <c r="D229" i="55"/>
  <c r="E228" i="18"/>
  <c r="B228" i="18"/>
  <c r="A229" i="18" l="1"/>
  <c r="A230" i="55"/>
  <c r="M228" i="18"/>
  <c r="C230" i="55"/>
  <c r="O228" i="18"/>
  <c r="N229" i="55"/>
  <c r="L229" i="55"/>
  <c r="M229" i="55"/>
  <c r="K229" i="55"/>
  <c r="R229" i="55"/>
  <c r="T229" i="55"/>
  <c r="U229" i="55"/>
  <c r="S229" i="55"/>
  <c r="Q229" i="55"/>
  <c r="L228" i="18"/>
  <c r="C228" i="18"/>
  <c r="K228" i="18" s="1"/>
  <c r="D229" i="18"/>
  <c r="B231" i="55" s="1"/>
  <c r="F230" i="55" l="1"/>
  <c r="P230" i="55"/>
  <c r="J230" i="55"/>
  <c r="O230" i="55"/>
  <c r="R228" i="18"/>
  <c r="D230" i="55"/>
  <c r="B229" i="18"/>
  <c r="L229" i="18" s="1"/>
  <c r="E229" i="18"/>
  <c r="C231" i="55" l="1"/>
  <c r="O229" i="18"/>
  <c r="A230" i="18"/>
  <c r="A231" i="55"/>
  <c r="M229" i="18"/>
  <c r="N230" i="55"/>
  <c r="M230" i="55"/>
  <c r="L230" i="55"/>
  <c r="K230" i="55"/>
  <c r="R230" i="55"/>
  <c r="T230" i="55"/>
  <c r="U230" i="55"/>
  <c r="S230" i="55"/>
  <c r="Q230" i="55"/>
  <c r="D230" i="18"/>
  <c r="B232" i="55" s="1"/>
  <c r="C229" i="18"/>
  <c r="K229" i="18" s="1"/>
  <c r="F231" i="55" l="1"/>
  <c r="P231" i="55"/>
  <c r="O231" i="55"/>
  <c r="J231" i="55"/>
  <c r="R229" i="18"/>
  <c r="D231" i="55"/>
  <c r="B230" i="18"/>
  <c r="E230" i="18"/>
  <c r="C232" i="55" l="1"/>
  <c r="O230" i="18"/>
  <c r="A231" i="18"/>
  <c r="D231" i="18" s="1"/>
  <c r="B233" i="55" s="1"/>
  <c r="A232" i="55"/>
  <c r="M230" i="18"/>
  <c r="L230" i="18"/>
  <c r="M231" i="55"/>
  <c r="K231" i="55"/>
  <c r="N231" i="55"/>
  <c r="L231" i="55"/>
  <c r="T231" i="55"/>
  <c r="R231" i="55"/>
  <c r="U231" i="55"/>
  <c r="S231" i="55"/>
  <c r="Q231" i="55"/>
  <c r="C230" i="18"/>
  <c r="K230" i="18" s="1"/>
  <c r="F232" i="55" l="1"/>
  <c r="P232" i="55"/>
  <c r="J232" i="55"/>
  <c r="O232" i="55"/>
  <c r="R230" i="18"/>
  <c r="D232" i="55"/>
  <c r="E231" i="18"/>
  <c r="B231" i="18"/>
  <c r="L231" i="18" s="1"/>
  <c r="A232" i="18" l="1"/>
  <c r="A233" i="55"/>
  <c r="M231" i="18"/>
  <c r="C233" i="55"/>
  <c r="O231" i="18"/>
  <c r="N232" i="55"/>
  <c r="M232" i="55"/>
  <c r="K232" i="55"/>
  <c r="L232" i="55"/>
  <c r="R232" i="55"/>
  <c r="T232" i="55"/>
  <c r="U232" i="55"/>
  <c r="S232" i="55"/>
  <c r="Q232" i="55"/>
  <c r="C231" i="18"/>
  <c r="K231" i="18" s="1"/>
  <c r="D232" i="18"/>
  <c r="B234" i="55" s="1"/>
  <c r="F233" i="55" l="1"/>
  <c r="P233" i="55"/>
  <c r="J233" i="55"/>
  <c r="O233" i="55"/>
  <c r="R231" i="18"/>
  <c r="D233" i="55"/>
  <c r="B232" i="18"/>
  <c r="E232" i="18"/>
  <c r="C234" i="55" l="1"/>
  <c r="O232" i="18"/>
  <c r="A233" i="18"/>
  <c r="D233" i="18" s="1"/>
  <c r="B235" i="55" s="1"/>
  <c r="A234" i="55"/>
  <c r="M232" i="18"/>
  <c r="L232" i="18"/>
  <c r="N233" i="55"/>
  <c r="L233" i="55"/>
  <c r="M233" i="55"/>
  <c r="K233" i="55"/>
  <c r="R233" i="55"/>
  <c r="T233" i="55"/>
  <c r="U233" i="55"/>
  <c r="S233" i="55"/>
  <c r="Q233" i="55"/>
  <c r="C232" i="18"/>
  <c r="K232" i="18" s="1"/>
  <c r="F234" i="55" l="1"/>
  <c r="P234" i="55"/>
  <c r="J234" i="55"/>
  <c r="O234" i="55"/>
  <c r="R232" i="18"/>
  <c r="D234" i="55"/>
  <c r="B233" i="18"/>
  <c r="E233" i="18"/>
  <c r="C235" i="55" l="1"/>
  <c r="O233" i="18"/>
  <c r="A234" i="18"/>
  <c r="D234" i="18" s="1"/>
  <c r="B236" i="55" s="1"/>
  <c r="A235" i="55"/>
  <c r="M233" i="18"/>
  <c r="L233" i="18"/>
  <c r="M234" i="55"/>
  <c r="L234" i="55"/>
  <c r="K234" i="55"/>
  <c r="N234" i="55"/>
  <c r="R234" i="55"/>
  <c r="T234" i="55"/>
  <c r="U234" i="55"/>
  <c r="S234" i="55"/>
  <c r="Q234" i="55"/>
  <c r="C233" i="18"/>
  <c r="K233" i="18" s="1"/>
  <c r="F235" i="55" l="1"/>
  <c r="P235" i="55"/>
  <c r="J235" i="55"/>
  <c r="O235" i="55"/>
  <c r="R233" i="18"/>
  <c r="D235" i="55"/>
  <c r="B234" i="18"/>
  <c r="E234" i="18"/>
  <c r="C236" i="55" l="1"/>
  <c r="O234" i="18"/>
  <c r="A235" i="18"/>
  <c r="D235" i="18" s="1"/>
  <c r="B237" i="55" s="1"/>
  <c r="A236" i="55"/>
  <c r="M234" i="18"/>
  <c r="N235" i="55"/>
  <c r="M235" i="55"/>
  <c r="L235" i="55"/>
  <c r="K235" i="55"/>
  <c r="R235" i="55"/>
  <c r="T235" i="55"/>
  <c r="U235" i="55"/>
  <c r="S235" i="55"/>
  <c r="Q235" i="55"/>
  <c r="L234" i="18"/>
  <c r="C234" i="18"/>
  <c r="K234" i="18" s="1"/>
  <c r="F236" i="55" l="1"/>
  <c r="P236" i="55"/>
  <c r="J236" i="55"/>
  <c r="O236" i="55"/>
  <c r="R234" i="18"/>
  <c r="D236" i="55"/>
  <c r="E235" i="18"/>
  <c r="B235" i="18"/>
  <c r="C237" i="55" l="1"/>
  <c r="O235" i="18"/>
  <c r="A236" i="18"/>
  <c r="D236" i="18" s="1"/>
  <c r="B238" i="55" s="1"/>
  <c r="A237" i="55"/>
  <c r="M235" i="18"/>
  <c r="L235" i="18"/>
  <c r="M236" i="55"/>
  <c r="N236" i="55"/>
  <c r="L236" i="55"/>
  <c r="K236" i="55"/>
  <c r="R236" i="55"/>
  <c r="T236" i="55"/>
  <c r="U236" i="55"/>
  <c r="S236" i="55"/>
  <c r="Q236" i="55"/>
  <c r="C235" i="18"/>
  <c r="K235" i="18" s="1"/>
  <c r="P237" i="55" l="1"/>
  <c r="O237" i="55"/>
  <c r="J237" i="55"/>
  <c r="F237" i="55"/>
  <c r="R235" i="18"/>
  <c r="D237" i="55"/>
  <c r="B236" i="18"/>
  <c r="E236" i="18"/>
  <c r="C238" i="55" l="1"/>
  <c r="O236" i="18"/>
  <c r="A237" i="18"/>
  <c r="A238" i="55"/>
  <c r="M236" i="18"/>
  <c r="L236" i="18"/>
  <c r="N237" i="55"/>
  <c r="L237" i="55"/>
  <c r="M237" i="55"/>
  <c r="K237" i="55"/>
  <c r="D237" i="18"/>
  <c r="B239" i="55" s="1"/>
  <c r="C236" i="18"/>
  <c r="K236" i="18" s="1"/>
  <c r="P238" i="55" l="1"/>
  <c r="O238" i="55"/>
  <c r="J238" i="55"/>
  <c r="F238" i="55"/>
  <c r="R236" i="18"/>
  <c r="D238" i="55"/>
  <c r="B237" i="18"/>
  <c r="E237" i="18"/>
  <c r="C239" i="55" l="1"/>
  <c r="O237" i="18"/>
  <c r="A238" i="18"/>
  <c r="D238" i="18" s="1"/>
  <c r="B240" i="55" s="1"/>
  <c r="A239" i="55"/>
  <c r="N238" i="55"/>
  <c r="L238" i="55"/>
  <c r="M238" i="55"/>
  <c r="K238" i="55"/>
  <c r="M237" i="18"/>
  <c r="L237" i="18"/>
  <c r="N237" i="18"/>
  <c r="C237" i="18"/>
  <c r="K237" i="18" s="1"/>
  <c r="E239" i="55" l="1"/>
  <c r="P239" i="55"/>
  <c r="O239" i="55"/>
  <c r="J239" i="55"/>
  <c r="F239" i="55"/>
  <c r="R237" i="18"/>
  <c r="D239" i="55"/>
  <c r="B238" i="18"/>
  <c r="E238" i="18"/>
  <c r="R239" i="55" l="1"/>
  <c r="D57" i="59" s="1"/>
  <c r="Q239" i="55"/>
  <c r="G239" i="55"/>
  <c r="H239" i="55" s="1"/>
  <c r="T239" i="55" s="1"/>
  <c r="C240" i="55"/>
  <c r="O238" i="18"/>
  <c r="A239" i="18"/>
  <c r="D239" i="18" s="1"/>
  <c r="B241" i="55" s="1"/>
  <c r="A240" i="55"/>
  <c r="M238" i="18"/>
  <c r="K239" i="55"/>
  <c r="N239" i="55"/>
  <c r="L239" i="55"/>
  <c r="M239" i="55"/>
  <c r="L238" i="18"/>
  <c r="C238" i="18"/>
  <c r="K238" i="18" s="1"/>
  <c r="S239" i="55" l="1"/>
  <c r="P240" i="55"/>
  <c r="J240" i="55"/>
  <c r="O240" i="55"/>
  <c r="F240" i="55"/>
  <c r="R238" i="18"/>
  <c r="D240" i="55"/>
  <c r="I239" i="55"/>
  <c r="U239" i="55" s="1"/>
  <c r="E239" i="18"/>
  <c r="B239" i="18"/>
  <c r="R240" i="55" l="1"/>
  <c r="D58" i="59" s="1"/>
  <c r="A240" i="18"/>
  <c r="D240" i="18" s="1"/>
  <c r="B242" i="55" s="1"/>
  <c r="A241" i="55"/>
  <c r="M239" i="18"/>
  <c r="C241" i="55"/>
  <c r="O239" i="18"/>
  <c r="L240" i="55"/>
  <c r="K240" i="55"/>
  <c r="N240" i="55"/>
  <c r="M240" i="55"/>
  <c r="L239" i="18"/>
  <c r="C239" i="18"/>
  <c r="K239" i="18" s="1"/>
  <c r="F241" i="55" l="1"/>
  <c r="P241" i="55"/>
  <c r="J241" i="55"/>
  <c r="O241" i="55"/>
  <c r="R239" i="18"/>
  <c r="D241" i="55"/>
  <c r="B240" i="18"/>
  <c r="E240" i="18"/>
  <c r="C242" i="55" l="1"/>
  <c r="O240" i="18"/>
  <c r="A241" i="18"/>
  <c r="A242" i="55"/>
  <c r="M240" i="18"/>
  <c r="K241" i="55"/>
  <c r="N241" i="55"/>
  <c r="M241" i="55"/>
  <c r="L241" i="55"/>
  <c r="R241" i="55"/>
  <c r="T241" i="55"/>
  <c r="U241" i="55"/>
  <c r="S241" i="55"/>
  <c r="Q241" i="55"/>
  <c r="L240" i="18"/>
  <c r="D241" i="18"/>
  <c r="B243" i="55" s="1"/>
  <c r="C240" i="18"/>
  <c r="K240" i="18" s="1"/>
  <c r="P242" i="55" l="1"/>
  <c r="J242" i="55"/>
  <c r="O242" i="55"/>
  <c r="F242" i="55"/>
  <c r="R240" i="18"/>
  <c r="D242" i="55"/>
  <c r="B241" i="18"/>
  <c r="E241" i="18"/>
  <c r="A242" i="18" l="1"/>
  <c r="A243" i="55"/>
  <c r="M241" i="18"/>
  <c r="C243" i="55"/>
  <c r="O241" i="18"/>
  <c r="N242" i="55"/>
  <c r="M242" i="55"/>
  <c r="L242" i="55"/>
  <c r="K242" i="55"/>
  <c r="R242" i="55"/>
  <c r="T242" i="55"/>
  <c r="U242" i="55"/>
  <c r="S242" i="55"/>
  <c r="Q242" i="55"/>
  <c r="L241" i="18"/>
  <c r="D242" i="18"/>
  <c r="B244" i="55" s="1"/>
  <c r="C241" i="18"/>
  <c r="K241" i="18" s="1"/>
  <c r="F243" i="55" l="1"/>
  <c r="P243" i="55"/>
  <c r="O243" i="55"/>
  <c r="J243" i="55"/>
  <c r="R241" i="18"/>
  <c r="D243" i="55"/>
  <c r="B242" i="18"/>
  <c r="E242" i="18"/>
  <c r="C244" i="55" l="1"/>
  <c r="O242" i="18"/>
  <c r="A243" i="18"/>
  <c r="D243" i="18" s="1"/>
  <c r="B245" i="55" s="1"/>
  <c r="A244" i="55"/>
  <c r="M242" i="18"/>
  <c r="L243" i="55"/>
  <c r="N243" i="55"/>
  <c r="K243" i="55"/>
  <c r="M243" i="55"/>
  <c r="R243" i="55"/>
  <c r="T243" i="55"/>
  <c r="U243" i="55"/>
  <c r="S243" i="55"/>
  <c r="Q243" i="55"/>
  <c r="L242" i="18"/>
  <c r="C242" i="18"/>
  <c r="K242" i="18" s="1"/>
  <c r="P244" i="55" l="1"/>
  <c r="J244" i="55"/>
  <c r="O244" i="55"/>
  <c r="F244" i="55"/>
  <c r="R242" i="18"/>
  <c r="D244" i="55"/>
  <c r="E243" i="18"/>
  <c r="B243" i="18"/>
  <c r="C245" i="55" l="1"/>
  <c r="O243" i="18"/>
  <c r="A244" i="18"/>
  <c r="A245" i="55"/>
  <c r="M243" i="18"/>
  <c r="L243" i="18"/>
  <c r="M244" i="55"/>
  <c r="K244" i="55"/>
  <c r="N244" i="55"/>
  <c r="L244" i="55"/>
  <c r="R244" i="55"/>
  <c r="T244" i="55"/>
  <c r="U244" i="55"/>
  <c r="S244" i="55"/>
  <c r="Q244" i="55"/>
  <c r="D244" i="18"/>
  <c r="B246" i="55" s="1"/>
  <c r="C243" i="18"/>
  <c r="K243" i="18" s="1"/>
  <c r="P245" i="55" l="1"/>
  <c r="O245" i="55"/>
  <c r="J245" i="55"/>
  <c r="F245" i="55"/>
  <c r="R243" i="18"/>
  <c r="D245" i="55"/>
  <c r="B244" i="18"/>
  <c r="E244" i="18"/>
  <c r="C246" i="55" l="1"/>
  <c r="O244" i="18"/>
  <c r="A245" i="18"/>
  <c r="D245" i="18" s="1"/>
  <c r="B247" i="55" s="1"/>
  <c r="A246" i="55"/>
  <c r="M244" i="18"/>
  <c r="N245" i="55"/>
  <c r="M245" i="55"/>
  <c r="L245" i="55"/>
  <c r="K245" i="55"/>
  <c r="R245" i="55"/>
  <c r="T245" i="55"/>
  <c r="U245" i="55"/>
  <c r="S245" i="55"/>
  <c r="Q245" i="55"/>
  <c r="L244" i="18"/>
  <c r="C244" i="18"/>
  <c r="K244" i="18" s="1"/>
  <c r="P246" i="55" l="1"/>
  <c r="O246" i="55"/>
  <c r="J246" i="55"/>
  <c r="F246" i="55"/>
  <c r="R244" i="18"/>
  <c r="D246" i="55"/>
  <c r="B245" i="18"/>
  <c r="E245" i="18"/>
  <c r="A246" i="18" l="1"/>
  <c r="D246" i="18" s="1"/>
  <c r="B248" i="55" s="1"/>
  <c r="A247" i="55"/>
  <c r="M245" i="18"/>
  <c r="C247" i="55"/>
  <c r="O245" i="18"/>
  <c r="L245" i="18"/>
  <c r="N246" i="55"/>
  <c r="L246" i="55"/>
  <c r="M246" i="55"/>
  <c r="K246" i="55"/>
  <c r="R246" i="55"/>
  <c r="T246" i="55"/>
  <c r="U246" i="55"/>
  <c r="S246" i="55"/>
  <c r="Q246" i="55"/>
  <c r="C245" i="18"/>
  <c r="K245" i="18" s="1"/>
  <c r="F247" i="55" l="1"/>
  <c r="P247" i="55"/>
  <c r="J247" i="55"/>
  <c r="O247" i="55"/>
  <c r="R245" i="18"/>
  <c r="D247" i="55"/>
  <c r="E246" i="18"/>
  <c r="B246" i="18"/>
  <c r="C248" i="55" l="1"/>
  <c r="O246" i="18"/>
  <c r="A247" i="18"/>
  <c r="D247" i="18" s="1"/>
  <c r="B249" i="55" s="1"/>
  <c r="A248" i="55"/>
  <c r="M246" i="18"/>
  <c r="K247" i="55"/>
  <c r="N247" i="55"/>
  <c r="M247" i="55"/>
  <c r="L247" i="55"/>
  <c r="T247" i="55"/>
  <c r="R247" i="55"/>
  <c r="S247" i="55"/>
  <c r="U247" i="55"/>
  <c r="Q247" i="55"/>
  <c r="L246" i="18"/>
  <c r="C246" i="18"/>
  <c r="K246" i="18" s="1"/>
  <c r="P248" i="55" l="1"/>
  <c r="J248" i="55"/>
  <c r="O248" i="55"/>
  <c r="F248" i="55"/>
  <c r="R246" i="18"/>
  <c r="D248" i="55"/>
  <c r="E247" i="18"/>
  <c r="B247" i="18"/>
  <c r="A248" i="18" l="1"/>
  <c r="A249" i="55"/>
  <c r="M247" i="18"/>
  <c r="C249" i="55"/>
  <c r="O247" i="18"/>
  <c r="L247" i="18"/>
  <c r="L248" i="55"/>
  <c r="K248" i="55"/>
  <c r="M248" i="55"/>
  <c r="N248" i="55"/>
  <c r="S248" i="55"/>
  <c r="R248" i="55"/>
  <c r="T248" i="55"/>
  <c r="U248" i="55"/>
  <c r="Q248" i="55"/>
  <c r="C247" i="18"/>
  <c r="K247" i="18" s="1"/>
  <c r="D248" i="18"/>
  <c r="B250" i="55" s="1"/>
  <c r="F249" i="55" l="1"/>
  <c r="P249" i="55"/>
  <c r="J249" i="55"/>
  <c r="O249" i="55"/>
  <c r="R247" i="18"/>
  <c r="D249" i="55"/>
  <c r="E248" i="18"/>
  <c r="B248" i="18"/>
  <c r="C250" i="55" l="1"/>
  <c r="O248" i="18"/>
  <c r="A249" i="18"/>
  <c r="A250" i="55"/>
  <c r="M248" i="18"/>
  <c r="M249" i="55"/>
  <c r="N249" i="55"/>
  <c r="K249" i="55"/>
  <c r="L249" i="55"/>
  <c r="R249" i="55"/>
  <c r="S249" i="55"/>
  <c r="U249" i="55"/>
  <c r="T249" i="55"/>
  <c r="Q249" i="55"/>
  <c r="L248" i="18"/>
  <c r="C248" i="18"/>
  <c r="K248" i="18" s="1"/>
  <c r="D249" i="18"/>
  <c r="B251" i="55" s="1"/>
  <c r="P250" i="55" l="1"/>
  <c r="O250" i="55"/>
  <c r="J250" i="55"/>
  <c r="F250" i="55"/>
  <c r="R248" i="18"/>
  <c r="D250" i="55"/>
  <c r="E249" i="18"/>
  <c r="B249" i="18"/>
  <c r="A250" i="18" l="1"/>
  <c r="D250" i="18" s="1"/>
  <c r="B252" i="55" s="1"/>
  <c r="A251" i="55"/>
  <c r="M249" i="18"/>
  <c r="C251" i="55"/>
  <c r="O249" i="18"/>
  <c r="N250" i="55"/>
  <c r="L250" i="55"/>
  <c r="M250" i="55"/>
  <c r="K250" i="55"/>
  <c r="R250" i="55"/>
  <c r="T250" i="55"/>
  <c r="U250" i="55"/>
  <c r="S250" i="55"/>
  <c r="Q250" i="55"/>
  <c r="L249" i="18"/>
  <c r="C249" i="18"/>
  <c r="K249" i="18" s="1"/>
  <c r="F251" i="55" l="1"/>
  <c r="P251" i="55"/>
  <c r="J251" i="55"/>
  <c r="O251" i="55"/>
  <c r="R249" i="18"/>
  <c r="D251" i="55"/>
  <c r="E250" i="18"/>
  <c r="B250" i="18"/>
  <c r="C252" i="55" l="1"/>
  <c r="O250" i="18"/>
  <c r="A251" i="18"/>
  <c r="D251" i="18" s="1"/>
  <c r="B253" i="55" s="1"/>
  <c r="A252" i="55"/>
  <c r="M250" i="18"/>
  <c r="N251" i="55"/>
  <c r="L251" i="55"/>
  <c r="M251" i="55"/>
  <c r="K251" i="55"/>
  <c r="R251" i="55"/>
  <c r="T251" i="55"/>
  <c r="U251" i="55"/>
  <c r="S251" i="55"/>
  <c r="Q251" i="55"/>
  <c r="L250" i="18"/>
  <c r="C250" i="18"/>
  <c r="K250" i="18" s="1"/>
  <c r="P252" i="55" l="1"/>
  <c r="O252" i="55"/>
  <c r="J252" i="55"/>
  <c r="F252" i="55"/>
  <c r="R250" i="18"/>
  <c r="D252" i="55"/>
  <c r="E251" i="18"/>
  <c r="B251" i="18"/>
  <c r="A252" i="18" l="1"/>
  <c r="D252" i="18" s="1"/>
  <c r="B254" i="55" s="1"/>
  <c r="A253" i="55"/>
  <c r="M251" i="18"/>
  <c r="C253" i="55"/>
  <c r="O251" i="18"/>
  <c r="L251" i="18"/>
  <c r="N252" i="55"/>
  <c r="L252" i="55"/>
  <c r="M252" i="55"/>
  <c r="K252" i="55"/>
  <c r="R252" i="55"/>
  <c r="T252" i="55"/>
  <c r="U252" i="55"/>
  <c r="S252" i="55"/>
  <c r="Q252" i="55"/>
  <c r="C251" i="18"/>
  <c r="K251" i="18" s="1"/>
  <c r="F253" i="55" l="1"/>
  <c r="P253" i="55"/>
  <c r="O253" i="55"/>
  <c r="J253" i="55"/>
  <c r="R251" i="18"/>
  <c r="D253" i="55"/>
  <c r="E252" i="18"/>
  <c r="B252" i="18"/>
  <c r="A253" i="18" l="1"/>
  <c r="A254" i="55"/>
  <c r="M252" i="18"/>
  <c r="C254" i="55"/>
  <c r="O252" i="18"/>
  <c r="N253" i="55"/>
  <c r="M253" i="55"/>
  <c r="K253" i="55"/>
  <c r="L253" i="55"/>
  <c r="R253" i="55"/>
  <c r="T253" i="55"/>
  <c r="U253" i="55"/>
  <c r="S253" i="55"/>
  <c r="Q253" i="55"/>
  <c r="L252" i="18"/>
  <c r="C252" i="18"/>
  <c r="K252" i="18" s="1"/>
  <c r="D253" i="18"/>
  <c r="B255" i="55" s="1"/>
  <c r="F254" i="55" l="1"/>
  <c r="P254" i="55"/>
  <c r="O254" i="55"/>
  <c r="J254" i="55"/>
  <c r="R252" i="18"/>
  <c r="D254" i="55"/>
  <c r="B253" i="18"/>
  <c r="E253" i="18"/>
  <c r="N253" i="18" l="1"/>
  <c r="C255" i="55"/>
  <c r="O253" i="18"/>
  <c r="A254" i="18"/>
  <c r="D254" i="18" s="1"/>
  <c r="B256" i="55" s="1"/>
  <c r="A255" i="55"/>
  <c r="M253" i="18"/>
  <c r="N254" i="55"/>
  <c r="M254" i="55"/>
  <c r="K254" i="55"/>
  <c r="L254" i="55"/>
  <c r="R254" i="55"/>
  <c r="T254" i="55"/>
  <c r="U254" i="55"/>
  <c r="S254" i="55"/>
  <c r="Q254" i="55"/>
  <c r="L253" i="18"/>
  <c r="C253" i="18"/>
  <c r="K253" i="18" s="1"/>
  <c r="P255" i="55" l="1"/>
  <c r="J255" i="55"/>
  <c r="O255" i="55"/>
  <c r="F255" i="55"/>
  <c r="E255" i="55"/>
  <c r="R253" i="18"/>
  <c r="D255" i="55"/>
  <c r="B254" i="18"/>
  <c r="E254" i="18"/>
  <c r="G255" i="55" l="1"/>
  <c r="H255" i="55" s="1"/>
  <c r="N254" i="18"/>
  <c r="O254" i="18"/>
  <c r="C256" i="55"/>
  <c r="A255" i="18"/>
  <c r="D255" i="18" s="1"/>
  <c r="B257" i="55" s="1"/>
  <c r="A256" i="55"/>
  <c r="M254" i="18"/>
  <c r="L254" i="18"/>
  <c r="N255" i="55"/>
  <c r="K255" i="55"/>
  <c r="M255" i="55"/>
  <c r="L255" i="55"/>
  <c r="C254" i="18"/>
  <c r="K254" i="18" s="1"/>
  <c r="I255" i="55" l="1"/>
  <c r="F256" i="55"/>
  <c r="P256" i="55"/>
  <c r="J256" i="55"/>
  <c r="O256" i="55"/>
  <c r="E256" i="55"/>
  <c r="R254" i="18"/>
  <c r="D256" i="55"/>
  <c r="E255" i="18"/>
  <c r="B255" i="18"/>
  <c r="G256" i="55" l="1"/>
  <c r="H256" i="55" s="1"/>
  <c r="I256" i="55" s="1"/>
  <c r="A256" i="18"/>
  <c r="A257" i="55"/>
  <c r="M255" i="18"/>
  <c r="C257" i="55"/>
  <c r="O255" i="18"/>
  <c r="Q256" i="55"/>
  <c r="L255" i="18"/>
  <c r="N255" i="18"/>
  <c r="C255" i="18"/>
  <c r="K255" i="18" s="1"/>
  <c r="D256" i="18"/>
  <c r="B258" i="55" s="1"/>
  <c r="E257" i="55" l="1"/>
  <c r="F257" i="55"/>
  <c r="P257" i="55"/>
  <c r="J257" i="55"/>
  <c r="O257" i="55"/>
  <c r="R255" i="18"/>
  <c r="D257" i="55"/>
  <c r="B256" i="18"/>
  <c r="E256" i="18"/>
  <c r="Q257" i="55" l="1"/>
  <c r="G257" i="55"/>
  <c r="H257" i="55" s="1"/>
  <c r="I257" i="55" s="1"/>
  <c r="A257" i="18"/>
  <c r="A258" i="55"/>
  <c r="M256" i="18"/>
  <c r="N256" i="18"/>
  <c r="C258" i="55"/>
  <c r="O256" i="18"/>
  <c r="N257" i="55"/>
  <c r="M257" i="55"/>
  <c r="L257" i="55"/>
  <c r="K257" i="55"/>
  <c r="R257" i="55"/>
  <c r="D61" i="59" s="1"/>
  <c r="L256" i="18"/>
  <c r="C256" i="18"/>
  <c r="K256" i="18" s="1"/>
  <c r="D257" i="18"/>
  <c r="B259" i="55" s="1"/>
  <c r="S257" i="55" l="1"/>
  <c r="E258" i="55"/>
  <c r="F258" i="55"/>
  <c r="P258" i="55"/>
  <c r="O258" i="55"/>
  <c r="J258" i="55"/>
  <c r="R256" i="18"/>
  <c r="D258" i="55"/>
  <c r="U257" i="55"/>
  <c r="T257" i="55"/>
  <c r="E257" i="18"/>
  <c r="B257" i="18"/>
  <c r="Q258" i="55" l="1"/>
  <c r="L258" i="55"/>
  <c r="M258" i="55"/>
  <c r="K258" i="55"/>
  <c r="N258" i="55"/>
  <c r="R258" i="55"/>
  <c r="D62" i="59" s="1"/>
  <c r="A258" i="18"/>
  <c r="D258" i="18" s="1"/>
  <c r="B260" i="55" s="1"/>
  <c r="A259" i="55"/>
  <c r="M257" i="18"/>
  <c r="G258" i="55"/>
  <c r="C259" i="55"/>
  <c r="O257" i="18"/>
  <c r="L257" i="18"/>
  <c r="C257" i="18"/>
  <c r="K257" i="18" s="1"/>
  <c r="H258" i="55" l="1"/>
  <c r="T258" i="55" s="1"/>
  <c r="S258" i="55"/>
  <c r="F259" i="55"/>
  <c r="P259" i="55"/>
  <c r="O259" i="55"/>
  <c r="J259" i="55"/>
  <c r="R257" i="18"/>
  <c r="D259" i="55"/>
  <c r="B258" i="18"/>
  <c r="E258" i="18"/>
  <c r="I258" i="55" l="1"/>
  <c r="U258" i="55" s="1"/>
  <c r="A259" i="18"/>
  <c r="A260" i="55"/>
  <c r="M258" i="18"/>
  <c r="N259" i="55"/>
  <c r="K259" i="55"/>
  <c r="L259" i="55"/>
  <c r="M259" i="55"/>
  <c r="R259" i="55"/>
  <c r="T259" i="55"/>
  <c r="U259" i="55"/>
  <c r="S259" i="55"/>
  <c r="Q259" i="55"/>
  <c r="N258" i="18"/>
  <c r="C260" i="55"/>
  <c r="O258" i="18"/>
  <c r="L258" i="18"/>
  <c r="D259" i="18"/>
  <c r="B261" i="55" s="1"/>
  <c r="C258" i="18"/>
  <c r="K258" i="18" s="1"/>
  <c r="F260" i="55" l="1"/>
  <c r="P260" i="55"/>
  <c r="O260" i="55"/>
  <c r="J260" i="55"/>
  <c r="E260" i="55"/>
  <c r="R258" i="18"/>
  <c r="D260" i="55"/>
  <c r="B259" i="18"/>
  <c r="E259" i="18"/>
  <c r="G260" i="55" l="1"/>
  <c r="H260" i="55" s="1"/>
  <c r="I260" i="55" s="1"/>
  <c r="C261" i="55"/>
  <c r="O259" i="18"/>
  <c r="A260" i="18"/>
  <c r="D260" i="18" s="1"/>
  <c r="B262" i="55" s="1"/>
  <c r="A261" i="55"/>
  <c r="M259" i="18"/>
  <c r="N260" i="55"/>
  <c r="M260" i="55"/>
  <c r="L260" i="55"/>
  <c r="K260" i="55"/>
  <c r="R260" i="55"/>
  <c r="T260" i="55"/>
  <c r="U260" i="55"/>
  <c r="S260" i="55"/>
  <c r="Q260" i="55"/>
  <c r="L259" i="18"/>
  <c r="C259" i="18"/>
  <c r="K259" i="18" s="1"/>
  <c r="F261" i="55" l="1"/>
  <c r="P261" i="55"/>
  <c r="O261" i="55"/>
  <c r="J261" i="55"/>
  <c r="R259" i="18"/>
  <c r="D261" i="55"/>
  <c r="B260" i="18"/>
  <c r="E260" i="18"/>
  <c r="O260" i="18" l="1"/>
  <c r="C262" i="55"/>
  <c r="A261" i="18"/>
  <c r="D261" i="18" s="1"/>
  <c r="B263" i="55" s="1"/>
  <c r="A262" i="55"/>
  <c r="M260" i="18"/>
  <c r="L260" i="18"/>
  <c r="N261" i="55"/>
  <c r="L261" i="55"/>
  <c r="M261" i="55"/>
  <c r="K261" i="55"/>
  <c r="U261" i="55"/>
  <c r="R261" i="55"/>
  <c r="T261" i="55"/>
  <c r="S261" i="55"/>
  <c r="Q261" i="55"/>
  <c r="C260" i="18"/>
  <c r="K260" i="18" s="1"/>
  <c r="F262" i="55" l="1"/>
  <c r="P262" i="55"/>
  <c r="O262" i="55"/>
  <c r="J262" i="55"/>
  <c r="R260" i="18"/>
  <c r="D262" i="55"/>
  <c r="B261" i="18"/>
  <c r="E261" i="18"/>
  <c r="A262" i="18" l="1"/>
  <c r="D262" i="18" s="1"/>
  <c r="B264" i="55" s="1"/>
  <c r="A263" i="55"/>
  <c r="M261" i="18"/>
  <c r="C263" i="55"/>
  <c r="O261" i="18"/>
  <c r="N262" i="55"/>
  <c r="L262" i="55"/>
  <c r="M262" i="55"/>
  <c r="K262" i="55"/>
  <c r="T262" i="55"/>
  <c r="U262" i="55"/>
  <c r="R262" i="55"/>
  <c r="S262" i="55"/>
  <c r="Q262" i="55"/>
  <c r="L261" i="18"/>
  <c r="C261" i="18"/>
  <c r="K261" i="18" s="1"/>
  <c r="F263" i="55" l="1"/>
  <c r="P263" i="55"/>
  <c r="J263" i="55"/>
  <c r="O263" i="55"/>
  <c r="R261" i="18"/>
  <c r="D263" i="55"/>
  <c r="B262" i="18"/>
  <c r="E262" i="18"/>
  <c r="A263" i="18" l="1"/>
  <c r="D263" i="18" s="1"/>
  <c r="B265" i="55" s="1"/>
  <c r="A264" i="55"/>
  <c r="M262" i="18"/>
  <c r="C264" i="55"/>
  <c r="O262" i="18"/>
  <c r="K263" i="55"/>
  <c r="N263" i="55"/>
  <c r="L263" i="55"/>
  <c r="M263" i="55"/>
  <c r="T263" i="55"/>
  <c r="U263" i="55"/>
  <c r="S263" i="55"/>
  <c r="R263" i="55"/>
  <c r="Q263" i="55"/>
  <c r="L262" i="18"/>
  <c r="C262" i="18"/>
  <c r="K262" i="18" s="1"/>
  <c r="F264" i="55" l="1"/>
  <c r="P264" i="55"/>
  <c r="O264" i="55"/>
  <c r="J264" i="55"/>
  <c r="R262" i="18"/>
  <c r="D264" i="55"/>
  <c r="E263" i="18"/>
  <c r="B263" i="18"/>
  <c r="A264" i="18" l="1"/>
  <c r="A265" i="55"/>
  <c r="M263" i="18"/>
  <c r="C265" i="55"/>
  <c r="O263" i="18"/>
  <c r="N264" i="55"/>
  <c r="L264" i="55"/>
  <c r="M264" i="55"/>
  <c r="K264" i="55"/>
  <c r="R264" i="55"/>
  <c r="T264" i="55"/>
  <c r="U264" i="55"/>
  <c r="S264" i="55"/>
  <c r="Q264" i="55"/>
  <c r="L263" i="18"/>
  <c r="D264" i="18"/>
  <c r="B266" i="55" s="1"/>
  <c r="C263" i="18"/>
  <c r="K263" i="18" s="1"/>
  <c r="F265" i="55" l="1"/>
  <c r="P265" i="55"/>
  <c r="O265" i="55"/>
  <c r="J265" i="55"/>
  <c r="R263" i="18"/>
  <c r="D265" i="55"/>
  <c r="B264" i="18"/>
  <c r="E264" i="18"/>
  <c r="C266" i="55" l="1"/>
  <c r="O264" i="18"/>
  <c r="A265" i="18"/>
  <c r="D265" i="18" s="1"/>
  <c r="B267" i="55" s="1"/>
  <c r="A266" i="55"/>
  <c r="M264" i="18"/>
  <c r="N265" i="55"/>
  <c r="L265" i="55"/>
  <c r="M265" i="55"/>
  <c r="K265" i="55"/>
  <c r="R265" i="55"/>
  <c r="T265" i="55"/>
  <c r="S265" i="55"/>
  <c r="U265" i="55"/>
  <c r="Q265" i="55"/>
  <c r="L264" i="18"/>
  <c r="C264" i="18"/>
  <c r="K264" i="18" s="1"/>
  <c r="F266" i="55" l="1"/>
  <c r="P266" i="55"/>
  <c r="J266" i="55"/>
  <c r="O266" i="55"/>
  <c r="R264" i="18"/>
  <c r="D266" i="55"/>
  <c r="E265" i="18"/>
  <c r="B265" i="18"/>
  <c r="A266" i="18" l="1"/>
  <c r="A267" i="55"/>
  <c r="M265" i="18"/>
  <c r="C267" i="55"/>
  <c r="O265" i="18"/>
  <c r="L265" i="18"/>
  <c r="N266" i="55"/>
  <c r="M266" i="55"/>
  <c r="L266" i="55"/>
  <c r="K266" i="55"/>
  <c r="R266" i="55"/>
  <c r="T266" i="55"/>
  <c r="S266" i="55"/>
  <c r="U266" i="55"/>
  <c r="Q266" i="55"/>
  <c r="D266" i="18"/>
  <c r="B268" i="55" s="1"/>
  <c r="C265" i="18"/>
  <c r="K265" i="18" s="1"/>
  <c r="F267" i="55" l="1"/>
  <c r="P267" i="55"/>
  <c r="J267" i="55"/>
  <c r="O267" i="55"/>
  <c r="R265" i="18"/>
  <c r="D267" i="55"/>
  <c r="E266" i="18"/>
  <c r="B266" i="18"/>
  <c r="C268" i="55" l="1"/>
  <c r="O266" i="18"/>
  <c r="A267" i="18"/>
  <c r="A268" i="55"/>
  <c r="M266" i="18"/>
  <c r="N267" i="55"/>
  <c r="M267" i="55"/>
  <c r="L267" i="55"/>
  <c r="K267" i="55"/>
  <c r="R267" i="55"/>
  <c r="S267" i="55"/>
  <c r="T267" i="55"/>
  <c r="U267" i="55"/>
  <c r="Q267" i="55"/>
  <c r="L266" i="18"/>
  <c r="C266" i="18"/>
  <c r="K266" i="18" s="1"/>
  <c r="D267" i="18"/>
  <c r="B269" i="55" s="1"/>
  <c r="F268" i="55" l="1"/>
  <c r="P268" i="55"/>
  <c r="J268" i="55"/>
  <c r="O268" i="55"/>
  <c r="R266" i="18"/>
  <c r="D268" i="55"/>
  <c r="E267" i="18"/>
  <c r="B267" i="18"/>
  <c r="A268" i="18" l="1"/>
  <c r="D268" i="18" s="1"/>
  <c r="B270" i="55" s="1"/>
  <c r="A269" i="55"/>
  <c r="M267" i="18"/>
  <c r="C269" i="55"/>
  <c r="O267" i="18"/>
  <c r="L267" i="18"/>
  <c r="N268" i="55"/>
  <c r="L268" i="55"/>
  <c r="M268" i="55"/>
  <c r="K268" i="55"/>
  <c r="R268" i="55"/>
  <c r="U268" i="55"/>
  <c r="S268" i="55"/>
  <c r="T268" i="55"/>
  <c r="Q268" i="55"/>
  <c r="N267" i="18"/>
  <c r="C267" i="18"/>
  <c r="K267" i="18" s="1"/>
  <c r="E269" i="55" l="1"/>
  <c r="F269" i="55"/>
  <c r="P269" i="55"/>
  <c r="O269" i="55"/>
  <c r="J269" i="55"/>
  <c r="R267" i="18"/>
  <c r="D269" i="55"/>
  <c r="B268" i="18"/>
  <c r="E268" i="18"/>
  <c r="N268" i="18" l="1"/>
  <c r="C270" i="55"/>
  <c r="O268" i="18"/>
  <c r="A269" i="18"/>
  <c r="A270" i="55"/>
  <c r="M268" i="18"/>
  <c r="M269" i="55"/>
  <c r="N269" i="55"/>
  <c r="K269" i="55"/>
  <c r="L269" i="55"/>
  <c r="R269" i="55"/>
  <c r="T269" i="55"/>
  <c r="U269" i="55"/>
  <c r="S269" i="55"/>
  <c r="Q269" i="55"/>
  <c r="G269" i="55"/>
  <c r="H269" i="55" s="1"/>
  <c r="I269" i="55" s="1"/>
  <c r="L268" i="18"/>
  <c r="C268" i="18"/>
  <c r="K268" i="18" s="1"/>
  <c r="D269" i="18"/>
  <c r="B271" i="55" s="1"/>
  <c r="F270" i="55" l="1"/>
  <c r="P270" i="55"/>
  <c r="J270" i="55"/>
  <c r="O270" i="55"/>
  <c r="E270" i="55"/>
  <c r="R268" i="18"/>
  <c r="D270" i="55"/>
  <c r="B269" i="18"/>
  <c r="E269" i="18"/>
  <c r="G270" i="55" l="1"/>
  <c r="H270" i="55" s="1"/>
  <c r="I270" i="55" s="1"/>
  <c r="N269" i="18"/>
  <c r="C271" i="55"/>
  <c r="O269" i="18"/>
  <c r="A270" i="18"/>
  <c r="D270" i="18" s="1"/>
  <c r="B272" i="55" s="1"/>
  <c r="A271" i="55"/>
  <c r="M269" i="18"/>
  <c r="L269" i="18"/>
  <c r="N270" i="55"/>
  <c r="L270" i="55"/>
  <c r="M270" i="55"/>
  <c r="K270" i="55"/>
  <c r="R270" i="55"/>
  <c r="T270" i="55"/>
  <c r="U270" i="55"/>
  <c r="S270" i="55"/>
  <c r="Q270" i="55"/>
  <c r="C269" i="18"/>
  <c r="K269" i="18" s="1"/>
  <c r="F271" i="55" l="1"/>
  <c r="P271" i="55"/>
  <c r="J271" i="55"/>
  <c r="O271" i="55"/>
  <c r="E271" i="55"/>
  <c r="R269" i="18"/>
  <c r="D271" i="55"/>
  <c r="E270" i="18"/>
  <c r="B270" i="18"/>
  <c r="G271" i="55" l="1"/>
  <c r="H271" i="55" s="1"/>
  <c r="I271" i="55" s="1"/>
  <c r="C272" i="55"/>
  <c r="O270" i="18"/>
  <c r="A271" i="18"/>
  <c r="D271" i="18" s="1"/>
  <c r="B273" i="55" s="1"/>
  <c r="A272" i="55"/>
  <c r="M270" i="18"/>
  <c r="N271" i="55"/>
  <c r="M271" i="55"/>
  <c r="L271" i="55"/>
  <c r="K271" i="55"/>
  <c r="R271" i="55"/>
  <c r="T271" i="55"/>
  <c r="U271" i="55"/>
  <c r="S271" i="55"/>
  <c r="Q271" i="55"/>
  <c r="L270" i="18"/>
  <c r="N270" i="18"/>
  <c r="C270" i="18"/>
  <c r="K270" i="18" s="1"/>
  <c r="E272" i="55" l="1"/>
  <c r="F272" i="55"/>
  <c r="P272" i="55"/>
  <c r="J272" i="55"/>
  <c r="O272" i="55"/>
  <c r="R270" i="18"/>
  <c r="D272" i="55"/>
  <c r="B271" i="18"/>
  <c r="E271" i="18"/>
  <c r="G272" i="55" l="1"/>
  <c r="H272" i="55" s="1"/>
  <c r="I272" i="55" s="1"/>
  <c r="C273" i="55"/>
  <c r="O271" i="18"/>
  <c r="A272" i="18"/>
  <c r="D272" i="18" s="1"/>
  <c r="B274" i="55" s="1"/>
  <c r="A273" i="55"/>
  <c r="M271" i="18"/>
  <c r="L271" i="18"/>
  <c r="L272" i="55"/>
  <c r="M272" i="55"/>
  <c r="K272" i="55"/>
  <c r="N272" i="55"/>
  <c r="R272" i="55"/>
  <c r="T272" i="55"/>
  <c r="U272" i="55"/>
  <c r="S272" i="55"/>
  <c r="Q272" i="55"/>
  <c r="N271" i="18"/>
  <c r="C271" i="18"/>
  <c r="K271" i="18" s="1"/>
  <c r="P273" i="55" l="1"/>
  <c r="Q273" i="55" s="1"/>
  <c r="J273" i="55"/>
  <c r="O273" i="55"/>
  <c r="E273" i="55"/>
  <c r="F273" i="55"/>
  <c r="R271" i="18"/>
  <c r="D273" i="55"/>
  <c r="E272" i="18"/>
  <c r="B272" i="18"/>
  <c r="C274" i="55" l="1"/>
  <c r="O272" i="18"/>
  <c r="A273" i="18"/>
  <c r="D273" i="18" s="1"/>
  <c r="B275" i="55" s="1"/>
  <c r="A274" i="55"/>
  <c r="M272" i="18"/>
  <c r="L272" i="18"/>
  <c r="G273" i="55"/>
  <c r="N273" i="55"/>
  <c r="L273" i="55"/>
  <c r="M273" i="55"/>
  <c r="K273" i="55"/>
  <c r="N272" i="18"/>
  <c r="C272" i="18"/>
  <c r="K272" i="18" s="1"/>
  <c r="E274" i="55" l="1"/>
  <c r="F274" i="55"/>
  <c r="H273" i="55"/>
  <c r="S273" i="55"/>
  <c r="R273" i="55" s="1"/>
  <c r="D63" i="59" s="1"/>
  <c r="P274" i="55"/>
  <c r="O274" i="55"/>
  <c r="J274" i="55"/>
  <c r="R272" i="18"/>
  <c r="D274" i="55"/>
  <c r="E273" i="18"/>
  <c r="B273" i="18"/>
  <c r="L273" i="18" s="1"/>
  <c r="Q274" i="55" l="1"/>
  <c r="G274" i="55"/>
  <c r="H274" i="55" s="1"/>
  <c r="I274" i="55" s="1"/>
  <c r="M273" i="18"/>
  <c r="C275" i="55"/>
  <c r="O273" i="18"/>
  <c r="K274" i="55"/>
  <c r="N274" i="55"/>
  <c r="L274" i="55"/>
  <c r="M274" i="55"/>
  <c r="A274" i="18"/>
  <c r="D274" i="18" s="1"/>
  <c r="B276" i="55" s="1"/>
  <c r="A275" i="55"/>
  <c r="T273" i="55"/>
  <c r="I273" i="55"/>
  <c r="U273" i="55" s="1"/>
  <c r="N273" i="18"/>
  <c r="E275" i="55" s="1"/>
  <c r="C273" i="18"/>
  <c r="K273" i="18" s="1"/>
  <c r="F275" i="55" l="1"/>
  <c r="P275" i="55"/>
  <c r="Q275" i="55" s="1"/>
  <c r="O275" i="55"/>
  <c r="J275" i="55"/>
  <c r="R273" i="18"/>
  <c r="D275" i="55"/>
  <c r="E274" i="18"/>
  <c r="B274" i="18"/>
  <c r="R275" i="55" l="1"/>
  <c r="D65" i="59" s="1"/>
  <c r="G275" i="55"/>
  <c r="H275" i="55" s="1"/>
  <c r="A275" i="18"/>
  <c r="D275" i="18" s="1"/>
  <c r="B277" i="55" s="1"/>
  <c r="A276" i="55"/>
  <c r="M274" i="18"/>
  <c r="L274" i="18"/>
  <c r="C276" i="55"/>
  <c r="O274" i="18"/>
  <c r="L275" i="55"/>
  <c r="M275" i="55"/>
  <c r="N275" i="55"/>
  <c r="K275" i="55"/>
  <c r="C274" i="18"/>
  <c r="K274" i="18" s="1"/>
  <c r="S275" i="55" l="1"/>
  <c r="F276" i="55"/>
  <c r="P276" i="55"/>
  <c r="J276" i="55"/>
  <c r="O276" i="55"/>
  <c r="R274" i="18"/>
  <c r="D276" i="55"/>
  <c r="I275" i="55"/>
  <c r="T275" i="55"/>
  <c r="E275" i="18"/>
  <c r="B275" i="18"/>
  <c r="R276" i="55" l="1"/>
  <c r="D66" i="59" s="1"/>
  <c r="A276" i="18"/>
  <c r="D276" i="18" s="1"/>
  <c r="B278" i="55" s="1"/>
  <c r="A277" i="55"/>
  <c r="M275" i="18"/>
  <c r="C277" i="55"/>
  <c r="O275" i="18"/>
  <c r="L276" i="55"/>
  <c r="K276" i="55"/>
  <c r="N276" i="55"/>
  <c r="M276" i="55"/>
  <c r="L275" i="18"/>
  <c r="U275" i="55"/>
  <c r="N275" i="18"/>
  <c r="C275" i="18"/>
  <c r="K275" i="18" s="1"/>
  <c r="E277" i="55" l="1"/>
  <c r="F277" i="55"/>
  <c r="P277" i="55"/>
  <c r="J277" i="55"/>
  <c r="O277" i="55"/>
  <c r="R275" i="18"/>
  <c r="D277" i="55"/>
  <c r="E276" i="18"/>
  <c r="B276" i="18"/>
  <c r="G277" i="55" l="1"/>
  <c r="H277" i="55" s="1"/>
  <c r="I277" i="55" s="1"/>
  <c r="C278" i="55"/>
  <c r="O276" i="18"/>
  <c r="N277" i="55"/>
  <c r="M277" i="55"/>
  <c r="L277" i="55"/>
  <c r="K277" i="55"/>
  <c r="A277" i="18"/>
  <c r="D277" i="18" s="1"/>
  <c r="B279" i="55" s="1"/>
  <c r="A278" i="55"/>
  <c r="M276" i="18"/>
  <c r="R277" i="55"/>
  <c r="T277" i="55"/>
  <c r="U277" i="55"/>
  <c r="S277" i="55"/>
  <c r="Q277" i="55"/>
  <c r="L276" i="18"/>
  <c r="N276" i="18"/>
  <c r="C276" i="18"/>
  <c r="K276" i="18" s="1"/>
  <c r="E278" i="55" l="1"/>
  <c r="P278" i="55"/>
  <c r="O278" i="55"/>
  <c r="J278" i="55"/>
  <c r="F278" i="55"/>
  <c r="R276" i="18"/>
  <c r="D278" i="55"/>
  <c r="B277" i="18"/>
  <c r="E277" i="18"/>
  <c r="G278" i="55" l="1"/>
  <c r="H278" i="55" s="1"/>
  <c r="I278" i="55" s="1"/>
  <c r="C279" i="55"/>
  <c r="O277" i="18"/>
  <c r="A278" i="18"/>
  <c r="A279" i="55"/>
  <c r="M277" i="18"/>
  <c r="L277" i="18"/>
  <c r="N278" i="55"/>
  <c r="M278" i="55"/>
  <c r="L278" i="55"/>
  <c r="K278" i="55"/>
  <c r="R278" i="55"/>
  <c r="U278" i="55"/>
  <c r="T278" i="55"/>
  <c r="S278" i="55"/>
  <c r="Q278" i="55"/>
  <c r="D278" i="18"/>
  <c r="B280" i="55" s="1"/>
  <c r="C277" i="18"/>
  <c r="K277" i="18" s="1"/>
  <c r="P279" i="55" l="1"/>
  <c r="O279" i="55"/>
  <c r="J279" i="55"/>
  <c r="F279" i="55"/>
  <c r="R277" i="18"/>
  <c r="D279" i="55"/>
  <c r="B278" i="18"/>
  <c r="E278" i="18"/>
  <c r="C280" i="55" l="1"/>
  <c r="O278" i="18"/>
  <c r="A279" i="18"/>
  <c r="D279" i="18" s="1"/>
  <c r="B281" i="55" s="1"/>
  <c r="A280" i="55"/>
  <c r="M278" i="18"/>
  <c r="N279" i="55"/>
  <c r="M279" i="55"/>
  <c r="L279" i="55"/>
  <c r="K279" i="55"/>
  <c r="T279" i="55"/>
  <c r="R279" i="55"/>
  <c r="S279" i="55"/>
  <c r="U279" i="55"/>
  <c r="Q279" i="55"/>
  <c r="L278" i="18"/>
  <c r="C278" i="18"/>
  <c r="K278" i="18" s="1"/>
  <c r="P280" i="55" l="1"/>
  <c r="J280" i="55"/>
  <c r="O280" i="55"/>
  <c r="F280" i="55"/>
  <c r="R278" i="18"/>
  <c r="D280" i="55"/>
  <c r="B279" i="18"/>
  <c r="E279" i="18"/>
  <c r="C281" i="55" l="1"/>
  <c r="O279" i="18"/>
  <c r="A280" i="18"/>
  <c r="A281" i="55"/>
  <c r="M279" i="18"/>
  <c r="L280" i="55"/>
  <c r="K280" i="55"/>
  <c r="M280" i="55"/>
  <c r="N280" i="55"/>
  <c r="R280" i="55"/>
  <c r="T280" i="55"/>
  <c r="U280" i="55"/>
  <c r="S280" i="55"/>
  <c r="Q280" i="55"/>
  <c r="L279" i="18"/>
  <c r="D280" i="18"/>
  <c r="B282" i="55" s="1"/>
  <c r="C279" i="18"/>
  <c r="K279" i="18" s="1"/>
  <c r="P281" i="55" l="1"/>
  <c r="J281" i="55"/>
  <c r="O281" i="55"/>
  <c r="F281" i="55"/>
  <c r="R279" i="18"/>
  <c r="D281" i="55"/>
  <c r="E280" i="18"/>
  <c r="B280" i="18"/>
  <c r="A281" i="18" l="1"/>
  <c r="A282" i="55"/>
  <c r="M280" i="18"/>
  <c r="C282" i="55"/>
  <c r="O280" i="18"/>
  <c r="L280" i="18"/>
  <c r="M281" i="55"/>
  <c r="N281" i="55"/>
  <c r="L281" i="55"/>
  <c r="K281" i="55"/>
  <c r="R281" i="55"/>
  <c r="T281" i="55"/>
  <c r="U281" i="55"/>
  <c r="S281" i="55"/>
  <c r="Q281" i="55"/>
  <c r="C280" i="18"/>
  <c r="K280" i="18" s="1"/>
  <c r="D281" i="18"/>
  <c r="B283" i="55" s="1"/>
  <c r="F282" i="55" l="1"/>
  <c r="P282" i="55"/>
  <c r="J282" i="55"/>
  <c r="O282" i="55"/>
  <c r="R280" i="18"/>
  <c r="D282" i="55"/>
  <c r="E281" i="18"/>
  <c r="B281" i="18"/>
  <c r="A282" i="18" l="1"/>
  <c r="A283" i="55"/>
  <c r="M281" i="18"/>
  <c r="C283" i="55"/>
  <c r="O281" i="18"/>
  <c r="N282" i="55"/>
  <c r="L282" i="55"/>
  <c r="M282" i="55"/>
  <c r="K282" i="55"/>
  <c r="R282" i="55"/>
  <c r="T282" i="55"/>
  <c r="U282" i="55"/>
  <c r="S282" i="55"/>
  <c r="Q282" i="55"/>
  <c r="L281" i="18"/>
  <c r="C281" i="18"/>
  <c r="K281" i="18" s="1"/>
  <c r="D282" i="18"/>
  <c r="B284" i="55" s="1"/>
  <c r="F283" i="55" l="1"/>
  <c r="P283" i="55"/>
  <c r="J283" i="55"/>
  <c r="O283" i="55"/>
  <c r="R281" i="18"/>
  <c r="D283" i="55"/>
  <c r="B282" i="18"/>
  <c r="E282" i="18"/>
  <c r="A283" i="18" l="1"/>
  <c r="A284" i="55"/>
  <c r="M282" i="18"/>
  <c r="C284" i="55"/>
  <c r="O282" i="18"/>
  <c r="N283" i="55"/>
  <c r="M283" i="55"/>
  <c r="L283" i="55"/>
  <c r="K283" i="55"/>
  <c r="R283" i="55"/>
  <c r="T283" i="55"/>
  <c r="U283" i="55"/>
  <c r="S283" i="55"/>
  <c r="Q283" i="55"/>
  <c r="L282" i="18"/>
  <c r="C282" i="18"/>
  <c r="K282" i="18" s="1"/>
  <c r="D283" i="18"/>
  <c r="B285" i="55" s="1"/>
  <c r="F284" i="55" l="1"/>
  <c r="P284" i="55"/>
  <c r="O284" i="55"/>
  <c r="J284" i="55"/>
  <c r="R282" i="18"/>
  <c r="D284" i="55"/>
  <c r="E283" i="18"/>
  <c r="B283" i="18"/>
  <c r="A284" i="18" l="1"/>
  <c r="A285" i="55"/>
  <c r="M283" i="18"/>
  <c r="C285" i="55"/>
  <c r="O283" i="18"/>
  <c r="N284" i="55"/>
  <c r="M284" i="55"/>
  <c r="L284" i="55"/>
  <c r="K284" i="55"/>
  <c r="R284" i="55"/>
  <c r="T284" i="55"/>
  <c r="U284" i="55"/>
  <c r="S284" i="55"/>
  <c r="Q284" i="55"/>
  <c r="L283" i="18"/>
  <c r="D284" i="18"/>
  <c r="B286" i="55" s="1"/>
  <c r="C283" i="18"/>
  <c r="K283" i="18" s="1"/>
  <c r="F285" i="55" l="1"/>
  <c r="P285" i="55"/>
  <c r="J285" i="55"/>
  <c r="O285" i="55"/>
  <c r="R283" i="18"/>
  <c r="D285" i="55"/>
  <c r="E284" i="18"/>
  <c r="B284" i="18"/>
  <c r="A285" i="18" l="1"/>
  <c r="D285" i="18" s="1"/>
  <c r="B287" i="55" s="1"/>
  <c r="A286" i="55"/>
  <c r="M284" i="18"/>
  <c r="C286" i="55"/>
  <c r="O284" i="18"/>
  <c r="M285" i="55"/>
  <c r="K285" i="55"/>
  <c r="N285" i="55"/>
  <c r="L285" i="55"/>
  <c r="R285" i="55"/>
  <c r="T285" i="55"/>
  <c r="U285" i="55"/>
  <c r="S285" i="55"/>
  <c r="Q285" i="55"/>
  <c r="L284" i="18"/>
  <c r="C284" i="18"/>
  <c r="K284" i="18" s="1"/>
  <c r="F286" i="55" l="1"/>
  <c r="P286" i="55"/>
  <c r="O286" i="55"/>
  <c r="J286" i="55"/>
  <c r="R284" i="18"/>
  <c r="D286" i="55"/>
  <c r="E285" i="18"/>
  <c r="B285" i="18"/>
  <c r="A286" i="18" l="1"/>
  <c r="A287" i="55"/>
  <c r="M285" i="18"/>
  <c r="C287" i="55"/>
  <c r="O285" i="18"/>
  <c r="N286" i="55"/>
  <c r="K286" i="55"/>
  <c r="M286" i="55"/>
  <c r="L286" i="55"/>
  <c r="R286" i="55"/>
  <c r="T286" i="55"/>
  <c r="U286" i="55"/>
  <c r="S286" i="55"/>
  <c r="Q286" i="55"/>
  <c r="L285" i="18"/>
  <c r="D286" i="18"/>
  <c r="B288" i="55" s="1"/>
  <c r="C285" i="18"/>
  <c r="K285" i="18" s="1"/>
  <c r="F287" i="55" l="1"/>
  <c r="P287" i="55"/>
  <c r="O287" i="55"/>
  <c r="J287" i="55"/>
  <c r="R285" i="18"/>
  <c r="D287" i="55"/>
  <c r="E286" i="18"/>
  <c r="B286" i="18"/>
  <c r="A287" i="18" l="1"/>
  <c r="A288" i="55"/>
  <c r="M286" i="18"/>
  <c r="C288" i="55"/>
  <c r="O286" i="18"/>
  <c r="N287" i="55"/>
  <c r="L287" i="55"/>
  <c r="M287" i="55"/>
  <c r="K287" i="55"/>
  <c r="R287" i="55"/>
  <c r="T287" i="55"/>
  <c r="U287" i="55"/>
  <c r="S287" i="55"/>
  <c r="Q287" i="55"/>
  <c r="L286" i="18"/>
  <c r="C286" i="18"/>
  <c r="K286" i="18" s="1"/>
  <c r="D287" i="18"/>
  <c r="B289" i="55" s="1"/>
  <c r="F288" i="55" l="1"/>
  <c r="P288" i="55"/>
  <c r="J288" i="55"/>
  <c r="O288" i="55"/>
  <c r="R286" i="18"/>
  <c r="D288" i="55"/>
  <c r="E287" i="18"/>
  <c r="B287" i="18"/>
  <c r="A288" i="18" l="1"/>
  <c r="A289" i="55"/>
  <c r="M287" i="18"/>
  <c r="C289" i="55"/>
  <c r="O287" i="18"/>
  <c r="N288" i="55"/>
  <c r="L288" i="55"/>
  <c r="M288" i="55"/>
  <c r="K288" i="55"/>
  <c r="R288" i="55"/>
  <c r="T288" i="55"/>
  <c r="U288" i="55"/>
  <c r="S288" i="55"/>
  <c r="Q288" i="55"/>
  <c r="L287" i="18"/>
  <c r="N287" i="18"/>
  <c r="C287" i="18"/>
  <c r="K287" i="18" s="1"/>
  <c r="D288" i="18"/>
  <c r="B290" i="55" s="1"/>
  <c r="E289" i="55" l="1"/>
  <c r="F289" i="55"/>
  <c r="P289" i="55"/>
  <c r="J289" i="55"/>
  <c r="O289" i="55"/>
  <c r="R287" i="18"/>
  <c r="D289" i="55"/>
  <c r="E288" i="18"/>
  <c r="B288" i="18"/>
  <c r="G289" i="55" l="1"/>
  <c r="H289" i="55" s="1"/>
  <c r="I289" i="55" s="1"/>
  <c r="A289" i="18"/>
  <c r="A290" i="55"/>
  <c r="M288" i="18"/>
  <c r="C290" i="55"/>
  <c r="O288" i="18"/>
  <c r="N289" i="55"/>
  <c r="L289" i="55"/>
  <c r="M289" i="55"/>
  <c r="K289" i="55"/>
  <c r="R289" i="55"/>
  <c r="T289" i="55"/>
  <c r="U289" i="55"/>
  <c r="S289" i="55"/>
  <c r="Q289" i="55"/>
  <c r="L288" i="18"/>
  <c r="N288" i="18"/>
  <c r="D289" i="18"/>
  <c r="B291" i="55" s="1"/>
  <c r="C288" i="18"/>
  <c r="K288" i="18" s="1"/>
  <c r="E290" i="55" l="1"/>
  <c r="F290" i="55"/>
  <c r="P290" i="55"/>
  <c r="J290" i="55"/>
  <c r="O290" i="55"/>
  <c r="R288" i="18"/>
  <c r="D290" i="55"/>
  <c r="E289" i="18"/>
  <c r="B289" i="18"/>
  <c r="G290" i="55" l="1"/>
  <c r="H290" i="55" s="1"/>
  <c r="I290" i="55" s="1"/>
  <c r="A290" i="18"/>
  <c r="A291" i="55"/>
  <c r="M289" i="18"/>
  <c r="C291" i="55"/>
  <c r="O289" i="18"/>
  <c r="N290" i="55"/>
  <c r="M290" i="55"/>
  <c r="L290" i="55"/>
  <c r="K290" i="55"/>
  <c r="R290" i="55"/>
  <c r="T290" i="55"/>
  <c r="U290" i="55"/>
  <c r="S290" i="55"/>
  <c r="Q290" i="55"/>
  <c r="L289" i="18"/>
  <c r="N289" i="18"/>
  <c r="C289" i="18"/>
  <c r="K289" i="18" s="1"/>
  <c r="D290" i="18"/>
  <c r="B292" i="55" s="1"/>
  <c r="E291" i="55" l="1"/>
  <c r="F291" i="55"/>
  <c r="P291" i="55"/>
  <c r="J291" i="55"/>
  <c r="O291" i="55"/>
  <c r="R289" i="18"/>
  <c r="D291" i="55"/>
  <c r="E290" i="18"/>
  <c r="B290" i="18"/>
  <c r="G291" i="55" l="1"/>
  <c r="H291" i="55" s="1"/>
  <c r="A291" i="18"/>
  <c r="D291" i="18" s="1"/>
  <c r="B293" i="55" s="1"/>
  <c r="L290" i="18"/>
  <c r="M290" i="18"/>
  <c r="A292" i="55"/>
  <c r="O290" i="18"/>
  <c r="C292" i="55"/>
  <c r="K291" i="55"/>
  <c r="N291" i="55"/>
  <c r="M291" i="55"/>
  <c r="L291" i="55"/>
  <c r="N290" i="18"/>
  <c r="C290" i="18"/>
  <c r="K290" i="18" s="1"/>
  <c r="I291" i="55" l="1"/>
  <c r="E292" i="55"/>
  <c r="F292" i="55"/>
  <c r="P292" i="55"/>
  <c r="J292" i="55"/>
  <c r="O292" i="55"/>
  <c r="R290" i="18"/>
  <c r="D292" i="55"/>
  <c r="B291" i="18"/>
  <c r="E291" i="18"/>
  <c r="Q292" i="55" l="1"/>
  <c r="G292" i="55"/>
  <c r="H292" i="55" s="1"/>
  <c r="I292" i="55" s="1"/>
  <c r="C293" i="55"/>
  <c r="O291" i="18"/>
  <c r="A292" i="18"/>
  <c r="D292" i="18" s="1"/>
  <c r="B294" i="55" s="1"/>
  <c r="A293" i="55"/>
  <c r="M291" i="18"/>
  <c r="L291" i="18"/>
  <c r="N291" i="18"/>
  <c r="C291" i="18"/>
  <c r="K291" i="18" s="1"/>
  <c r="F293" i="55" l="1"/>
  <c r="E293" i="55"/>
  <c r="P293" i="55"/>
  <c r="J293" i="55"/>
  <c r="O293" i="55"/>
  <c r="R291" i="18"/>
  <c r="D293" i="55"/>
  <c r="E292" i="18"/>
  <c r="B292" i="18"/>
  <c r="R293" i="55" l="1"/>
  <c r="D69" i="59" s="1"/>
  <c r="Q293" i="55"/>
  <c r="G293" i="55"/>
  <c r="H293" i="55" s="1"/>
  <c r="I293" i="55" s="1"/>
  <c r="A293" i="18"/>
  <c r="D293" i="18" s="1"/>
  <c r="B295" i="55" s="1"/>
  <c r="A294" i="55"/>
  <c r="M292" i="18"/>
  <c r="C294" i="55"/>
  <c r="O292" i="18"/>
  <c r="N293" i="55"/>
  <c r="L293" i="55"/>
  <c r="K293" i="55"/>
  <c r="M293" i="55"/>
  <c r="L292" i="18"/>
  <c r="N292" i="18"/>
  <c r="C292" i="18"/>
  <c r="K292" i="18" s="1"/>
  <c r="S293" i="55" l="1"/>
  <c r="F294" i="55"/>
  <c r="P294" i="55"/>
  <c r="O294" i="55"/>
  <c r="J294" i="55"/>
  <c r="E294" i="55"/>
  <c r="R292" i="18"/>
  <c r="D294" i="55"/>
  <c r="U293" i="55"/>
  <c r="T293" i="55"/>
  <c r="E293" i="18"/>
  <c r="B293" i="18"/>
  <c r="G294" i="55" l="1"/>
  <c r="S294" i="55" s="1"/>
  <c r="Q294" i="55"/>
  <c r="N294" i="55"/>
  <c r="L294" i="55"/>
  <c r="M294" i="55"/>
  <c r="K294" i="55"/>
  <c r="A294" i="18"/>
  <c r="D294" i="18" s="1"/>
  <c r="B296" i="55" s="1"/>
  <c r="A295" i="55"/>
  <c r="M293" i="18"/>
  <c r="R294" i="55"/>
  <c r="D70" i="59" s="1"/>
  <c r="C295" i="55"/>
  <c r="O293" i="18"/>
  <c r="L293" i="18"/>
  <c r="C293" i="18"/>
  <c r="K293" i="18" s="1"/>
  <c r="H294" i="55" l="1"/>
  <c r="I294" i="55" s="1"/>
  <c r="P295" i="55"/>
  <c r="O295" i="55"/>
  <c r="J295" i="55"/>
  <c r="F295" i="55"/>
  <c r="R293" i="18"/>
  <c r="D295" i="55"/>
  <c r="E294" i="18"/>
  <c r="B294" i="18"/>
  <c r="T294" i="55" l="1"/>
  <c r="C296" i="55"/>
  <c r="O294" i="18"/>
  <c r="A295" i="18"/>
  <c r="D295" i="18" s="1"/>
  <c r="B297" i="55" s="1"/>
  <c r="A296" i="55"/>
  <c r="M294" i="18"/>
  <c r="M295" i="55"/>
  <c r="K295" i="55"/>
  <c r="L295" i="55"/>
  <c r="N295" i="55"/>
  <c r="T295" i="55"/>
  <c r="R295" i="55"/>
  <c r="S295" i="55"/>
  <c r="U295" i="55"/>
  <c r="Q295" i="55"/>
  <c r="L294" i="18"/>
  <c r="U294" i="55"/>
  <c r="C294" i="18"/>
  <c r="K294" i="18" s="1"/>
  <c r="F296" i="55" l="1"/>
  <c r="P296" i="55"/>
  <c r="J296" i="55"/>
  <c r="O296" i="55"/>
  <c r="R294" i="18"/>
  <c r="D296" i="55"/>
  <c r="B295" i="18"/>
  <c r="E295" i="18"/>
  <c r="A296" i="18" l="1"/>
  <c r="A297" i="55"/>
  <c r="M295" i="18"/>
  <c r="C297" i="55"/>
  <c r="O295" i="18"/>
  <c r="L295" i="18"/>
  <c r="N296" i="55"/>
  <c r="M296" i="55"/>
  <c r="L296" i="55"/>
  <c r="K296" i="55"/>
  <c r="R296" i="55"/>
  <c r="S296" i="55"/>
  <c r="T296" i="55"/>
  <c r="U296" i="55"/>
  <c r="Q296" i="55"/>
  <c r="D296" i="18"/>
  <c r="B298" i="55" s="1"/>
  <c r="C295" i="18"/>
  <c r="K295" i="18" s="1"/>
  <c r="F297" i="55" l="1"/>
  <c r="P297" i="55"/>
  <c r="J297" i="55"/>
  <c r="O297" i="55"/>
  <c r="R295" i="18"/>
  <c r="D297" i="55"/>
  <c r="E296" i="18"/>
  <c r="B296" i="18"/>
  <c r="O296" i="18" l="1"/>
  <c r="C298" i="55"/>
  <c r="A297" i="18"/>
  <c r="A298" i="55"/>
  <c r="M296" i="18"/>
  <c r="L297" i="55"/>
  <c r="M297" i="55"/>
  <c r="N297" i="55"/>
  <c r="K297" i="55"/>
  <c r="R297" i="55"/>
  <c r="S297" i="55"/>
  <c r="T297" i="55"/>
  <c r="U297" i="55"/>
  <c r="Q297" i="55"/>
  <c r="L296" i="18"/>
  <c r="D297" i="18"/>
  <c r="B299" i="55" s="1"/>
  <c r="C296" i="18"/>
  <c r="K296" i="18" s="1"/>
  <c r="F298" i="55" l="1"/>
  <c r="P298" i="55"/>
  <c r="O298" i="55"/>
  <c r="J298" i="55"/>
  <c r="R296" i="18"/>
  <c r="D298" i="55"/>
  <c r="E297" i="18"/>
  <c r="B297" i="18"/>
  <c r="A298" i="18" l="1"/>
  <c r="D298" i="18" s="1"/>
  <c r="B300" i="55" s="1"/>
  <c r="A299" i="55"/>
  <c r="M297" i="18"/>
  <c r="C299" i="55"/>
  <c r="O297" i="18"/>
  <c r="L297" i="18"/>
  <c r="K298" i="55"/>
  <c r="N298" i="55"/>
  <c r="L298" i="55"/>
  <c r="M298" i="55"/>
  <c r="R298" i="55"/>
  <c r="T298" i="55"/>
  <c r="U298" i="55"/>
  <c r="S298" i="55"/>
  <c r="Q298" i="55"/>
  <c r="C297" i="18"/>
  <c r="K297" i="18" s="1"/>
  <c r="F299" i="55" l="1"/>
  <c r="P299" i="55"/>
  <c r="J299" i="55"/>
  <c r="O299" i="55"/>
  <c r="R297" i="18"/>
  <c r="D299" i="55"/>
  <c r="E298" i="18"/>
  <c r="B298" i="18"/>
  <c r="A299" i="18" l="1"/>
  <c r="D299" i="18" s="1"/>
  <c r="B301" i="55" s="1"/>
  <c r="A300" i="55"/>
  <c r="M298" i="18"/>
  <c r="C300" i="55"/>
  <c r="O298" i="18"/>
  <c r="K299" i="55"/>
  <c r="N299" i="55"/>
  <c r="L299" i="55"/>
  <c r="M299" i="55"/>
  <c r="R299" i="55"/>
  <c r="T299" i="55"/>
  <c r="U299" i="55"/>
  <c r="S299" i="55"/>
  <c r="Q299" i="55"/>
  <c r="L298" i="18"/>
  <c r="C298" i="18"/>
  <c r="K298" i="18" s="1"/>
  <c r="F300" i="55" l="1"/>
  <c r="P300" i="55"/>
  <c r="O300" i="55"/>
  <c r="J300" i="55"/>
  <c r="R298" i="18"/>
  <c r="D300" i="55"/>
  <c r="E299" i="18"/>
  <c r="B299" i="18"/>
  <c r="C301" i="55" l="1"/>
  <c r="O299" i="18"/>
  <c r="A300" i="18"/>
  <c r="D300" i="18" s="1"/>
  <c r="B302" i="55" s="1"/>
  <c r="A301" i="55"/>
  <c r="M299" i="18"/>
  <c r="N300" i="55"/>
  <c r="L300" i="55"/>
  <c r="M300" i="55"/>
  <c r="K300" i="55"/>
  <c r="R300" i="55"/>
  <c r="T300" i="55"/>
  <c r="U300" i="55"/>
  <c r="S300" i="55"/>
  <c r="Q300" i="55"/>
  <c r="L299" i="18"/>
  <c r="C299" i="18"/>
  <c r="K299" i="18" s="1"/>
  <c r="F301" i="55" l="1"/>
  <c r="P301" i="55"/>
  <c r="O301" i="55"/>
  <c r="J301" i="55"/>
  <c r="R299" i="18"/>
  <c r="D301" i="55"/>
  <c r="E300" i="18"/>
  <c r="B300" i="18"/>
  <c r="C302" i="55" l="1"/>
  <c r="O300" i="18"/>
  <c r="A301" i="18"/>
  <c r="D301" i="18" s="1"/>
  <c r="B303" i="55" s="1"/>
  <c r="A302" i="55"/>
  <c r="M300" i="18"/>
  <c r="N301" i="55"/>
  <c r="M301" i="55"/>
  <c r="L301" i="55"/>
  <c r="K301" i="55"/>
  <c r="R301" i="55"/>
  <c r="T301" i="55"/>
  <c r="U301" i="55"/>
  <c r="S301" i="55"/>
  <c r="Q301" i="55"/>
  <c r="L300" i="18"/>
  <c r="C300" i="18"/>
  <c r="K300" i="18" s="1"/>
  <c r="F302" i="55" l="1"/>
  <c r="P302" i="55"/>
  <c r="O302" i="55"/>
  <c r="J302" i="55"/>
  <c r="R300" i="18"/>
  <c r="D302" i="55"/>
  <c r="E301" i="18"/>
  <c r="B301" i="18"/>
  <c r="A302" i="18" l="1"/>
  <c r="A303" i="55"/>
  <c r="M301" i="18"/>
  <c r="O301" i="18"/>
  <c r="C303" i="55"/>
  <c r="L301" i="18"/>
  <c r="N302" i="55"/>
  <c r="M302" i="55"/>
  <c r="L302" i="55"/>
  <c r="K302" i="55"/>
  <c r="R302" i="55"/>
  <c r="T302" i="55"/>
  <c r="U302" i="55"/>
  <c r="S302" i="55"/>
  <c r="Q302" i="55"/>
  <c r="D302" i="18"/>
  <c r="B304" i="55" s="1"/>
  <c r="C301" i="18"/>
  <c r="K301" i="18" s="1"/>
  <c r="F303" i="55" l="1"/>
  <c r="P303" i="55"/>
  <c r="J303" i="55"/>
  <c r="O303" i="55"/>
  <c r="R301" i="18"/>
  <c r="D303" i="55"/>
  <c r="B302" i="18"/>
  <c r="E302" i="18"/>
  <c r="A303" i="18" l="1"/>
  <c r="A304" i="55"/>
  <c r="M302" i="18"/>
  <c r="O302" i="18"/>
  <c r="C304" i="55"/>
  <c r="N303" i="55"/>
  <c r="L303" i="55"/>
  <c r="K303" i="55"/>
  <c r="M303" i="55"/>
  <c r="R303" i="55"/>
  <c r="T303" i="55"/>
  <c r="U303" i="55"/>
  <c r="S303" i="55"/>
  <c r="Q303" i="55"/>
  <c r="L302" i="18"/>
  <c r="D303" i="18"/>
  <c r="B305" i="55" s="1"/>
  <c r="C302" i="18"/>
  <c r="K302" i="18" s="1"/>
  <c r="F304" i="55" l="1"/>
  <c r="P304" i="55"/>
  <c r="J304" i="55"/>
  <c r="O304" i="55"/>
  <c r="R302" i="18"/>
  <c r="D304" i="55"/>
  <c r="B303" i="18"/>
  <c r="E303" i="18"/>
  <c r="A304" i="18" l="1"/>
  <c r="D304" i="18" s="1"/>
  <c r="B306" i="55" s="1"/>
  <c r="A305" i="55"/>
  <c r="M303" i="18"/>
  <c r="C305" i="55"/>
  <c r="O303" i="18"/>
  <c r="M304" i="55"/>
  <c r="N304" i="55"/>
  <c r="L304" i="55"/>
  <c r="K304" i="55"/>
  <c r="R304" i="55"/>
  <c r="T304" i="55"/>
  <c r="U304" i="55"/>
  <c r="S304" i="55"/>
  <c r="Q304" i="55"/>
  <c r="L303" i="18"/>
  <c r="C303" i="18"/>
  <c r="K303" i="18" s="1"/>
  <c r="F305" i="55" l="1"/>
  <c r="P305" i="55"/>
  <c r="O305" i="55"/>
  <c r="J305" i="55"/>
  <c r="R303" i="18"/>
  <c r="D305" i="55"/>
  <c r="B304" i="18"/>
  <c r="E304" i="18"/>
  <c r="A305" i="18" l="1"/>
  <c r="A306" i="55"/>
  <c r="M304" i="18"/>
  <c r="C306" i="55"/>
  <c r="O304" i="18"/>
  <c r="N305" i="55"/>
  <c r="M305" i="55"/>
  <c r="L305" i="55"/>
  <c r="K305" i="55"/>
  <c r="R305" i="55"/>
  <c r="U305" i="55"/>
  <c r="T305" i="55"/>
  <c r="S305" i="55"/>
  <c r="Q305" i="55"/>
  <c r="L304" i="18"/>
  <c r="N304" i="18"/>
  <c r="D305" i="18"/>
  <c r="B307" i="55" s="1"/>
  <c r="C304" i="18"/>
  <c r="K304" i="18" s="1"/>
  <c r="E306" i="55" l="1"/>
  <c r="F306" i="55"/>
  <c r="P306" i="55"/>
  <c r="O306" i="55"/>
  <c r="J306" i="55"/>
  <c r="R304" i="18"/>
  <c r="D306" i="55"/>
  <c r="E305" i="18"/>
  <c r="B305" i="18"/>
  <c r="G306" i="55" l="1"/>
  <c r="H306" i="55" s="1"/>
  <c r="I306" i="55" s="1"/>
  <c r="A306" i="18"/>
  <c r="A307" i="55"/>
  <c r="M305" i="18"/>
  <c r="C307" i="55"/>
  <c r="O305" i="18"/>
  <c r="N306" i="55"/>
  <c r="L306" i="55"/>
  <c r="M306" i="55"/>
  <c r="K306" i="55"/>
  <c r="R306" i="55"/>
  <c r="T306" i="55"/>
  <c r="U306" i="55"/>
  <c r="S306" i="55"/>
  <c r="Q306" i="55"/>
  <c r="L305" i="18"/>
  <c r="N305" i="18"/>
  <c r="D306" i="18"/>
  <c r="B308" i="55" s="1"/>
  <c r="C305" i="18"/>
  <c r="K305" i="18" s="1"/>
  <c r="E307" i="55" l="1"/>
  <c r="F307" i="55"/>
  <c r="P307" i="55"/>
  <c r="J307" i="55"/>
  <c r="O307" i="55"/>
  <c r="R305" i="18"/>
  <c r="D307" i="55"/>
  <c r="E306" i="18"/>
  <c r="B306" i="18"/>
  <c r="G307" i="55" l="1"/>
  <c r="H307" i="55" s="1"/>
  <c r="I307" i="55" s="1"/>
  <c r="A307" i="18"/>
  <c r="A308" i="55"/>
  <c r="M306" i="18"/>
  <c r="C308" i="55"/>
  <c r="O306" i="18"/>
  <c r="M307" i="55"/>
  <c r="K307" i="55"/>
  <c r="N307" i="55"/>
  <c r="L307" i="55"/>
  <c r="T307" i="55"/>
  <c r="R307" i="55"/>
  <c r="U307" i="55"/>
  <c r="S307" i="55"/>
  <c r="Q307" i="55"/>
  <c r="L306" i="18"/>
  <c r="N306" i="18"/>
  <c r="D307" i="18"/>
  <c r="B309" i="55" s="1"/>
  <c r="C306" i="18"/>
  <c r="K306" i="18" s="1"/>
  <c r="E308" i="55" l="1"/>
  <c r="F308" i="55"/>
  <c r="P308" i="55"/>
  <c r="O308" i="55"/>
  <c r="J308" i="55"/>
  <c r="R306" i="18"/>
  <c r="D308" i="55"/>
  <c r="B307" i="18"/>
  <c r="E307" i="18"/>
  <c r="G308" i="55" l="1"/>
  <c r="H308" i="55" s="1"/>
  <c r="I308" i="55" s="1"/>
  <c r="C309" i="55"/>
  <c r="O307" i="18"/>
  <c r="A308" i="18"/>
  <c r="D308" i="18" s="1"/>
  <c r="B310" i="55" s="1"/>
  <c r="A309" i="55"/>
  <c r="M307" i="18"/>
  <c r="K308" i="55"/>
  <c r="N308" i="55"/>
  <c r="L308" i="55"/>
  <c r="M308" i="55"/>
  <c r="R308" i="55"/>
  <c r="T308" i="55"/>
  <c r="U308" i="55"/>
  <c r="S308" i="55"/>
  <c r="Q308" i="55"/>
  <c r="L307" i="18"/>
  <c r="C307" i="18"/>
  <c r="K307" i="18" s="1"/>
  <c r="P309" i="55" l="1"/>
  <c r="Q309" i="55" s="1"/>
  <c r="O309" i="55"/>
  <c r="J309" i="55"/>
  <c r="F309" i="55"/>
  <c r="R307" i="18"/>
  <c r="D309" i="55"/>
  <c r="B308" i="18"/>
  <c r="E308" i="18"/>
  <c r="C310" i="55" l="1"/>
  <c r="O308" i="18"/>
  <c r="A309" i="18"/>
  <c r="A310" i="55"/>
  <c r="M308" i="18"/>
  <c r="L308" i="18"/>
  <c r="K309" i="55"/>
  <c r="N309" i="55"/>
  <c r="L309" i="55"/>
  <c r="M309" i="55"/>
  <c r="C308" i="18"/>
  <c r="K308" i="18" s="1"/>
  <c r="D309" i="18"/>
  <c r="B311" i="55" s="1"/>
  <c r="P310" i="55" l="1"/>
  <c r="J310" i="55"/>
  <c r="O310" i="55"/>
  <c r="F310" i="55"/>
  <c r="R308" i="18"/>
  <c r="D310" i="55"/>
  <c r="E309" i="18"/>
  <c r="B309" i="18"/>
  <c r="A310" i="18" l="1"/>
  <c r="D310" i="18" s="1"/>
  <c r="B312" i="55" s="1"/>
  <c r="A311" i="55"/>
  <c r="M309" i="18"/>
  <c r="C311" i="55"/>
  <c r="O309" i="18"/>
  <c r="N310" i="55"/>
  <c r="L310" i="55"/>
  <c r="M310" i="55"/>
  <c r="K310" i="55"/>
  <c r="L309" i="18"/>
  <c r="C309" i="18"/>
  <c r="K309" i="18" s="1"/>
  <c r="F311" i="55" l="1"/>
  <c r="P311" i="55"/>
  <c r="J311" i="55"/>
  <c r="O311" i="55"/>
  <c r="R309" i="18"/>
  <c r="D311" i="55"/>
  <c r="B310" i="18"/>
  <c r="E310" i="18"/>
  <c r="R311" i="55" l="1"/>
  <c r="D73" i="59" s="1"/>
  <c r="C312" i="55"/>
  <c r="O310" i="18"/>
  <c r="A311" i="18"/>
  <c r="D311" i="18" s="1"/>
  <c r="B313" i="55" s="1"/>
  <c r="A312" i="55"/>
  <c r="M310" i="18"/>
  <c r="K311" i="55"/>
  <c r="L311" i="55"/>
  <c r="N311" i="55"/>
  <c r="M311" i="55"/>
  <c r="L310" i="18"/>
  <c r="C310" i="18"/>
  <c r="K310" i="18" s="1"/>
  <c r="P312" i="55" l="1"/>
  <c r="O312" i="55"/>
  <c r="J312" i="55"/>
  <c r="F312" i="55"/>
  <c r="R310" i="18"/>
  <c r="D312" i="55"/>
  <c r="B311" i="18"/>
  <c r="E311" i="18"/>
  <c r="R312" i="55" l="1"/>
  <c r="D74" i="59" s="1"/>
  <c r="A312" i="18"/>
  <c r="A313" i="55"/>
  <c r="M311" i="18"/>
  <c r="C313" i="55"/>
  <c r="O311" i="18"/>
  <c r="M312" i="55"/>
  <c r="N312" i="55"/>
  <c r="L312" i="55"/>
  <c r="K312" i="55"/>
  <c r="L311" i="18"/>
  <c r="D312" i="18"/>
  <c r="B314" i="55" s="1"/>
  <c r="C311" i="18"/>
  <c r="K311" i="18" s="1"/>
  <c r="F313" i="55" l="1"/>
  <c r="P313" i="55"/>
  <c r="J313" i="55"/>
  <c r="O313" i="55"/>
  <c r="R311" i="18"/>
  <c r="D313" i="55"/>
  <c r="B312" i="18"/>
  <c r="E312" i="18"/>
  <c r="A313" i="18" l="1"/>
  <c r="D313" i="18" s="1"/>
  <c r="B315" i="55" s="1"/>
  <c r="A314" i="55"/>
  <c r="M312" i="18"/>
  <c r="C314" i="55"/>
  <c r="O312" i="18"/>
  <c r="N313" i="55"/>
  <c r="L313" i="55"/>
  <c r="M313" i="55"/>
  <c r="K313" i="55"/>
  <c r="R313" i="55"/>
  <c r="T313" i="55"/>
  <c r="S313" i="55"/>
  <c r="U313" i="55"/>
  <c r="Q313" i="55"/>
  <c r="L312" i="18"/>
  <c r="C312" i="18"/>
  <c r="K312" i="18" s="1"/>
  <c r="F314" i="55" l="1"/>
  <c r="P314" i="55"/>
  <c r="J314" i="55"/>
  <c r="O314" i="55"/>
  <c r="R312" i="18"/>
  <c r="D314" i="55"/>
  <c r="E313" i="18"/>
  <c r="B313" i="18"/>
  <c r="C315" i="55" l="1"/>
  <c r="O313" i="18"/>
  <c r="A314" i="18"/>
  <c r="D314" i="18" s="1"/>
  <c r="B316" i="55" s="1"/>
  <c r="A315" i="55"/>
  <c r="M313" i="18"/>
  <c r="N314" i="55"/>
  <c r="M314" i="55"/>
  <c r="L314" i="55"/>
  <c r="K314" i="55"/>
  <c r="R314" i="55"/>
  <c r="T314" i="55"/>
  <c r="S314" i="55"/>
  <c r="U314" i="55"/>
  <c r="Q314" i="55"/>
  <c r="L313" i="18"/>
  <c r="C313" i="18"/>
  <c r="K313" i="18" s="1"/>
  <c r="P315" i="55" l="1"/>
  <c r="J315" i="55"/>
  <c r="O315" i="55"/>
  <c r="F315" i="55"/>
  <c r="R313" i="18"/>
  <c r="D315" i="55"/>
  <c r="E314" i="18"/>
  <c r="B314" i="18"/>
  <c r="C316" i="55" l="1"/>
  <c r="O314" i="18"/>
  <c r="A315" i="18"/>
  <c r="D315" i="18" s="1"/>
  <c r="B317" i="55" s="1"/>
  <c r="A316" i="55"/>
  <c r="M314" i="18"/>
  <c r="L314" i="18"/>
  <c r="N315" i="55"/>
  <c r="K315" i="55"/>
  <c r="M315" i="55"/>
  <c r="L315" i="55"/>
  <c r="R315" i="55"/>
  <c r="S315" i="55"/>
  <c r="U315" i="55"/>
  <c r="T315" i="55"/>
  <c r="Q315" i="55"/>
  <c r="C314" i="18"/>
  <c r="K314" i="18" s="1"/>
  <c r="P316" i="55" l="1"/>
  <c r="J316" i="55"/>
  <c r="O316" i="55"/>
  <c r="F316" i="55"/>
  <c r="R314" i="18"/>
  <c r="D316" i="55"/>
  <c r="B315" i="18"/>
  <c r="E315" i="18"/>
  <c r="C317" i="55" l="1"/>
  <c r="O315" i="18"/>
  <c r="A316" i="18"/>
  <c r="D316" i="18" s="1"/>
  <c r="B318" i="55" s="1"/>
  <c r="A317" i="55"/>
  <c r="M315" i="18"/>
  <c r="M316" i="55"/>
  <c r="K316" i="55"/>
  <c r="N316" i="55"/>
  <c r="L316" i="55"/>
  <c r="R316" i="55"/>
  <c r="U316" i="55"/>
  <c r="S316" i="55"/>
  <c r="T316" i="55"/>
  <c r="Q316" i="55"/>
  <c r="L315" i="18"/>
  <c r="C315" i="18"/>
  <c r="K315" i="18" s="1"/>
  <c r="P317" i="55" l="1"/>
  <c r="O317" i="55"/>
  <c r="J317" i="55"/>
  <c r="F317" i="55"/>
  <c r="R315" i="18"/>
  <c r="D317" i="55"/>
  <c r="B316" i="18"/>
  <c r="E316" i="18"/>
  <c r="C318" i="55" l="1"/>
  <c r="O316" i="18"/>
  <c r="A317" i="18"/>
  <c r="D317" i="18" s="1"/>
  <c r="B319" i="55" s="1"/>
  <c r="A318" i="55"/>
  <c r="M316" i="18"/>
  <c r="L316" i="18"/>
  <c r="N317" i="55"/>
  <c r="M317" i="55"/>
  <c r="L317" i="55"/>
  <c r="K317" i="55"/>
  <c r="R317" i="55"/>
  <c r="T317" i="55"/>
  <c r="U317" i="55"/>
  <c r="S317" i="55"/>
  <c r="Q317" i="55"/>
  <c r="C316" i="18"/>
  <c r="K316" i="18" s="1"/>
  <c r="P318" i="55" l="1"/>
  <c r="O318" i="55"/>
  <c r="J318" i="55"/>
  <c r="F318" i="55"/>
  <c r="R316" i="18"/>
  <c r="D318" i="55"/>
  <c r="E317" i="18"/>
  <c r="B317" i="18"/>
  <c r="C319" i="55" l="1"/>
  <c r="O317" i="18"/>
  <c r="A318" i="18"/>
  <c r="A319" i="55"/>
  <c r="M317" i="18"/>
  <c r="N318" i="55"/>
  <c r="K318" i="55"/>
  <c r="M318" i="55"/>
  <c r="L318" i="55"/>
  <c r="R318" i="55"/>
  <c r="T318" i="55"/>
  <c r="U318" i="55"/>
  <c r="S318" i="55"/>
  <c r="Q318" i="55"/>
  <c r="L317" i="18"/>
  <c r="C317" i="18"/>
  <c r="K317" i="18" s="1"/>
  <c r="D318" i="18"/>
  <c r="B320" i="55" s="1"/>
  <c r="P319" i="55" l="1"/>
  <c r="O319" i="55"/>
  <c r="J319" i="55"/>
  <c r="F319" i="55"/>
  <c r="R317" i="18"/>
  <c r="D319" i="55"/>
  <c r="B318" i="18"/>
  <c r="E318" i="18"/>
  <c r="C320" i="55" l="1"/>
  <c r="O318" i="18"/>
  <c r="A319" i="18"/>
  <c r="D319" i="18" s="1"/>
  <c r="B321" i="55" s="1"/>
  <c r="A320" i="55"/>
  <c r="M318" i="18"/>
  <c r="L318" i="18"/>
  <c r="N319" i="55"/>
  <c r="M319" i="55"/>
  <c r="L319" i="55"/>
  <c r="K319" i="55"/>
  <c r="R319" i="55"/>
  <c r="T319" i="55"/>
  <c r="U319" i="55"/>
  <c r="S319" i="55"/>
  <c r="Q319" i="55"/>
  <c r="C318" i="18"/>
  <c r="K318" i="18" s="1"/>
  <c r="P320" i="55" l="1"/>
  <c r="O320" i="55"/>
  <c r="J320" i="55"/>
  <c r="F320" i="55"/>
  <c r="R318" i="18"/>
  <c r="D320" i="55"/>
  <c r="B319" i="18"/>
  <c r="E319" i="18"/>
  <c r="C321" i="55" l="1"/>
  <c r="O319" i="18"/>
  <c r="A320" i="18"/>
  <c r="D320" i="18" s="1"/>
  <c r="B322" i="55" s="1"/>
  <c r="A321" i="55"/>
  <c r="M319" i="18"/>
  <c r="M320" i="55"/>
  <c r="K320" i="55"/>
  <c r="N320" i="55"/>
  <c r="L320" i="55"/>
  <c r="R320" i="55"/>
  <c r="T320" i="55"/>
  <c r="U320" i="55"/>
  <c r="S320" i="55"/>
  <c r="Q320" i="55"/>
  <c r="L319" i="18"/>
  <c r="C319" i="18"/>
  <c r="K319" i="18" s="1"/>
  <c r="P321" i="55" l="1"/>
  <c r="O321" i="55"/>
  <c r="J321" i="55"/>
  <c r="F321" i="55"/>
  <c r="R319" i="18"/>
  <c r="D321" i="55"/>
  <c r="E320" i="18"/>
  <c r="B320" i="18"/>
  <c r="C322" i="55" l="1"/>
  <c r="O320" i="18"/>
  <c r="A321" i="18"/>
  <c r="D321" i="18" s="1"/>
  <c r="B323" i="55" s="1"/>
  <c r="A322" i="55"/>
  <c r="M320" i="18"/>
  <c r="L320" i="18"/>
  <c r="L321" i="55"/>
  <c r="K321" i="55"/>
  <c r="N321" i="55"/>
  <c r="M321" i="55"/>
  <c r="R321" i="55"/>
  <c r="U321" i="55"/>
  <c r="S321" i="55"/>
  <c r="T321" i="55"/>
  <c r="Q321" i="55"/>
  <c r="C320" i="18"/>
  <c r="K320" i="18" s="1"/>
  <c r="P322" i="55" l="1"/>
  <c r="J322" i="55"/>
  <c r="O322" i="55"/>
  <c r="F322" i="55"/>
  <c r="R320" i="18"/>
  <c r="D322" i="55"/>
  <c r="E321" i="18"/>
  <c r="B321" i="18"/>
  <c r="A322" i="18" l="1"/>
  <c r="A323" i="55"/>
  <c r="M321" i="18"/>
  <c r="C323" i="55"/>
  <c r="O321" i="18"/>
  <c r="K322" i="55"/>
  <c r="N322" i="55"/>
  <c r="L322" i="55"/>
  <c r="M322" i="55"/>
  <c r="R322" i="55"/>
  <c r="T322" i="55"/>
  <c r="U322" i="55"/>
  <c r="S322" i="55"/>
  <c r="Q322" i="55"/>
  <c r="L321" i="18"/>
  <c r="C321" i="18"/>
  <c r="K321" i="18" s="1"/>
  <c r="D322" i="18"/>
  <c r="B324" i="55" s="1"/>
  <c r="F323" i="55" l="1"/>
  <c r="P323" i="55"/>
  <c r="J323" i="55"/>
  <c r="O323" i="55"/>
  <c r="R321" i="18"/>
  <c r="D323" i="55"/>
  <c r="E322" i="18"/>
  <c r="B322" i="18"/>
  <c r="A323" i="18" l="1"/>
  <c r="A324" i="55"/>
  <c r="M322" i="18"/>
  <c r="C324" i="55"/>
  <c r="O322" i="18"/>
  <c r="M323" i="55"/>
  <c r="K323" i="55"/>
  <c r="N323" i="55"/>
  <c r="L323" i="55"/>
  <c r="T323" i="55"/>
  <c r="R323" i="55"/>
  <c r="S323" i="55"/>
  <c r="U323" i="55"/>
  <c r="Q323" i="55"/>
  <c r="L322" i="18"/>
  <c r="N322" i="18"/>
  <c r="C322" i="18"/>
  <c r="K322" i="18" s="1"/>
  <c r="D323" i="18"/>
  <c r="B325" i="55" s="1"/>
  <c r="E324" i="55" l="1"/>
  <c r="F324" i="55"/>
  <c r="P324" i="55"/>
  <c r="J324" i="55"/>
  <c r="O324" i="55"/>
  <c r="R322" i="18"/>
  <c r="D324" i="55"/>
  <c r="B323" i="18"/>
  <c r="E323" i="18"/>
  <c r="G324" i="55" l="1"/>
  <c r="H324" i="55" s="1"/>
  <c r="I324" i="55" s="1"/>
  <c r="C325" i="55"/>
  <c r="O323" i="18"/>
  <c r="A324" i="18"/>
  <c r="A325" i="55"/>
  <c r="M323" i="18"/>
  <c r="L324" i="55"/>
  <c r="M324" i="55"/>
  <c r="N324" i="55"/>
  <c r="K324" i="55"/>
  <c r="T324" i="55"/>
  <c r="U324" i="55"/>
  <c r="R324" i="55"/>
  <c r="S324" i="55"/>
  <c r="Q324" i="55"/>
  <c r="L323" i="18"/>
  <c r="N323" i="18"/>
  <c r="C323" i="18"/>
  <c r="K323" i="18" s="1"/>
  <c r="D324" i="18"/>
  <c r="B326" i="55" s="1"/>
  <c r="E325" i="55" l="1"/>
  <c r="P325" i="55"/>
  <c r="J325" i="55"/>
  <c r="O325" i="55"/>
  <c r="F325" i="55"/>
  <c r="R323" i="18"/>
  <c r="D325" i="55"/>
  <c r="B324" i="18"/>
  <c r="E324" i="18"/>
  <c r="G325" i="55" l="1"/>
  <c r="H325" i="55" s="1"/>
  <c r="I325" i="55" s="1"/>
  <c r="C326" i="55"/>
  <c r="O324" i="18"/>
  <c r="A325" i="18"/>
  <c r="A326" i="55"/>
  <c r="M324" i="18"/>
  <c r="L324" i="18"/>
  <c r="K325" i="55"/>
  <c r="N325" i="55"/>
  <c r="M325" i="55"/>
  <c r="L325" i="55"/>
  <c r="T325" i="55"/>
  <c r="U325" i="55"/>
  <c r="S325" i="55"/>
  <c r="R325" i="55"/>
  <c r="Q325" i="55"/>
  <c r="N324" i="18"/>
  <c r="D325" i="18"/>
  <c r="B327" i="55" s="1"/>
  <c r="C324" i="18"/>
  <c r="K324" i="18" s="1"/>
  <c r="E326" i="55" l="1"/>
  <c r="P326" i="55"/>
  <c r="O326" i="55"/>
  <c r="J326" i="55"/>
  <c r="F326" i="55"/>
  <c r="R324" i="18"/>
  <c r="D326" i="55"/>
  <c r="B325" i="18"/>
  <c r="E325" i="18"/>
  <c r="G326" i="55" l="1"/>
  <c r="H326" i="55" s="1"/>
  <c r="I326" i="55" s="1"/>
  <c r="C327" i="55"/>
  <c r="O325" i="18"/>
  <c r="A326" i="18"/>
  <c r="D326" i="18" s="1"/>
  <c r="B328" i="55" s="1"/>
  <c r="A327" i="55"/>
  <c r="M325" i="18"/>
  <c r="N326" i="55"/>
  <c r="M326" i="55"/>
  <c r="L326" i="55"/>
  <c r="K326" i="55"/>
  <c r="R326" i="55"/>
  <c r="T326" i="55"/>
  <c r="U326" i="55"/>
  <c r="S326" i="55"/>
  <c r="Q326" i="55"/>
  <c r="L325" i="18"/>
  <c r="C325" i="18"/>
  <c r="K325" i="18" s="1"/>
  <c r="F327" i="55" l="1"/>
  <c r="P327" i="55"/>
  <c r="Q327" i="55" s="1"/>
  <c r="R327" i="55" s="1"/>
  <c r="D75" i="59" s="1"/>
  <c r="J327" i="55"/>
  <c r="O327" i="55"/>
  <c r="R325" i="18"/>
  <c r="D327" i="55"/>
  <c r="B326" i="18"/>
  <c r="E326" i="18"/>
  <c r="A327" i="18" l="1"/>
  <c r="A328" i="55"/>
  <c r="L326" i="18"/>
  <c r="M326" i="18"/>
  <c r="O326" i="18"/>
  <c r="C328" i="55"/>
  <c r="M327" i="55"/>
  <c r="N327" i="55"/>
  <c r="L327" i="55"/>
  <c r="K327" i="55"/>
  <c r="D327" i="18"/>
  <c r="B329" i="55" s="1"/>
  <c r="C326" i="18"/>
  <c r="K326" i="18" s="1"/>
  <c r="F328" i="55" l="1"/>
  <c r="P328" i="55"/>
  <c r="O328" i="55"/>
  <c r="J328" i="55"/>
  <c r="R326" i="18"/>
  <c r="D328" i="55"/>
  <c r="B327" i="18"/>
  <c r="E327" i="18"/>
  <c r="A328" i="18" l="1"/>
  <c r="D328" i="18" s="1"/>
  <c r="B330" i="55" s="1"/>
  <c r="A329" i="55"/>
  <c r="M327" i="18"/>
  <c r="C329" i="55"/>
  <c r="O327" i="18"/>
  <c r="L327" i="18"/>
  <c r="C327" i="18"/>
  <c r="K327" i="18" s="1"/>
  <c r="P329" i="55" l="1"/>
  <c r="J329" i="55"/>
  <c r="O329" i="55"/>
  <c r="F329" i="55"/>
  <c r="R327" i="18"/>
  <c r="D329" i="55"/>
  <c r="B328" i="18"/>
  <c r="E328" i="18"/>
  <c r="R329" i="55" l="1"/>
  <c r="D77" i="59" s="1"/>
  <c r="A329" i="18"/>
  <c r="A330" i="55"/>
  <c r="M328" i="18"/>
  <c r="C330" i="55"/>
  <c r="O328" i="18"/>
  <c r="N329" i="55"/>
  <c r="M329" i="55"/>
  <c r="L329" i="55"/>
  <c r="K329" i="55"/>
  <c r="L328" i="18"/>
  <c r="D329" i="18"/>
  <c r="B331" i="55" s="1"/>
  <c r="C328" i="18"/>
  <c r="K328" i="18" s="1"/>
  <c r="F330" i="55" l="1"/>
  <c r="P330" i="55"/>
  <c r="O330" i="55"/>
  <c r="J330" i="55"/>
  <c r="R328" i="18"/>
  <c r="D330" i="55"/>
  <c r="E329" i="18"/>
  <c r="B329" i="18"/>
  <c r="A330" i="18" l="1"/>
  <c r="A331" i="55"/>
  <c r="M329" i="18"/>
  <c r="C331" i="55"/>
  <c r="O329" i="18"/>
  <c r="N330" i="55"/>
  <c r="L330" i="55"/>
  <c r="M330" i="55"/>
  <c r="K330" i="55"/>
  <c r="R330" i="55"/>
  <c r="D78" i="59" s="1"/>
  <c r="L329" i="18"/>
  <c r="C329" i="18"/>
  <c r="K329" i="18" s="1"/>
  <c r="D330" i="18"/>
  <c r="B332" i="55" s="1"/>
  <c r="F331" i="55" l="1"/>
  <c r="P331" i="55"/>
  <c r="O331" i="55"/>
  <c r="J331" i="55"/>
  <c r="R329" i="18"/>
  <c r="D331" i="55"/>
  <c r="E330" i="18"/>
  <c r="B330" i="18"/>
  <c r="A331" i="18" l="1"/>
  <c r="A332" i="55"/>
  <c r="M330" i="18"/>
  <c r="C332" i="55"/>
  <c r="O330" i="18"/>
  <c r="N331" i="55"/>
  <c r="L331" i="55"/>
  <c r="M331" i="55"/>
  <c r="K331" i="55"/>
  <c r="R331" i="55"/>
  <c r="T331" i="55"/>
  <c r="U331" i="55"/>
  <c r="S331" i="55"/>
  <c r="Q331" i="55"/>
  <c r="L330" i="18"/>
  <c r="C330" i="18"/>
  <c r="K330" i="18" s="1"/>
  <c r="D331" i="18"/>
  <c r="B333" i="55" s="1"/>
  <c r="F332" i="55" l="1"/>
  <c r="P332" i="55"/>
  <c r="J332" i="55"/>
  <c r="O332" i="55"/>
  <c r="R330" i="18"/>
  <c r="D332" i="55"/>
  <c r="E331" i="18"/>
  <c r="B331" i="18"/>
  <c r="O331" i="18" l="1"/>
  <c r="C333" i="55"/>
  <c r="A332" i="18"/>
  <c r="A333" i="55"/>
  <c r="M331" i="18"/>
  <c r="N332" i="55"/>
  <c r="M332" i="55"/>
  <c r="L332" i="55"/>
  <c r="K332" i="55"/>
  <c r="R332" i="55"/>
  <c r="T332" i="55"/>
  <c r="U332" i="55"/>
  <c r="S332" i="55"/>
  <c r="Q332" i="55"/>
  <c r="L331" i="18"/>
  <c r="C331" i="18"/>
  <c r="K331" i="18" s="1"/>
  <c r="D332" i="18"/>
  <c r="B334" i="55" s="1"/>
  <c r="F333" i="55" l="1"/>
  <c r="P333" i="55"/>
  <c r="J333" i="55"/>
  <c r="O333" i="55"/>
  <c r="R331" i="18"/>
  <c r="D333" i="55"/>
  <c r="E332" i="18"/>
  <c r="B332" i="18"/>
  <c r="A333" i="18" l="1"/>
  <c r="A334" i="55"/>
  <c r="M332" i="18"/>
  <c r="O332" i="18"/>
  <c r="C334" i="55"/>
  <c r="L332" i="18"/>
  <c r="N333" i="55"/>
  <c r="L333" i="55"/>
  <c r="M333" i="55"/>
  <c r="K333" i="55"/>
  <c r="R333" i="55"/>
  <c r="T333" i="55"/>
  <c r="U333" i="55"/>
  <c r="S333" i="55"/>
  <c r="Q333" i="55"/>
  <c r="C332" i="18"/>
  <c r="K332" i="18" s="1"/>
  <c r="D333" i="18"/>
  <c r="B335" i="55" s="1"/>
  <c r="F334" i="55" l="1"/>
  <c r="P334" i="55"/>
  <c r="O334" i="55"/>
  <c r="J334" i="55"/>
  <c r="R332" i="18"/>
  <c r="D334" i="55"/>
  <c r="E333" i="18"/>
  <c r="B333" i="18"/>
  <c r="C335" i="55" l="1"/>
  <c r="O333" i="18"/>
  <c r="A334" i="18"/>
  <c r="D334" i="18" s="1"/>
  <c r="B336" i="55" s="1"/>
  <c r="A335" i="55"/>
  <c r="M333" i="18"/>
  <c r="N334" i="55"/>
  <c r="L334" i="55"/>
  <c r="M334" i="55"/>
  <c r="K334" i="55"/>
  <c r="R334" i="55"/>
  <c r="T334" i="55"/>
  <c r="U334" i="55"/>
  <c r="S334" i="55"/>
  <c r="Q334" i="55"/>
  <c r="L333" i="18"/>
  <c r="C333" i="18"/>
  <c r="K333" i="18" s="1"/>
  <c r="F335" i="55" l="1"/>
  <c r="P335" i="55"/>
  <c r="J335" i="55"/>
  <c r="O335" i="55"/>
  <c r="R333" i="18"/>
  <c r="D335" i="55"/>
  <c r="B334" i="18"/>
  <c r="E334" i="18"/>
  <c r="A335" i="18" l="1"/>
  <c r="D335" i="18" s="1"/>
  <c r="B337" i="55" s="1"/>
  <c r="A336" i="55"/>
  <c r="M334" i="18"/>
  <c r="C336" i="55"/>
  <c r="O334" i="18"/>
  <c r="L334" i="18"/>
  <c r="N335" i="55"/>
  <c r="M335" i="55"/>
  <c r="L335" i="55"/>
  <c r="K335" i="55"/>
  <c r="R335" i="55"/>
  <c r="T335" i="55"/>
  <c r="U335" i="55"/>
  <c r="S335" i="55"/>
  <c r="Q335" i="55"/>
  <c r="C334" i="18"/>
  <c r="K334" i="18" s="1"/>
  <c r="F336" i="55" l="1"/>
  <c r="P336" i="55"/>
  <c r="J336" i="55"/>
  <c r="O336" i="55"/>
  <c r="R334" i="18"/>
  <c r="D336" i="55"/>
  <c r="E335" i="18"/>
  <c r="B335" i="18"/>
  <c r="A336" i="18" l="1"/>
  <c r="A337" i="55"/>
  <c r="M335" i="18"/>
  <c r="C337" i="55"/>
  <c r="O335" i="18"/>
  <c r="N336" i="55"/>
  <c r="L336" i="55"/>
  <c r="M336" i="55"/>
  <c r="K336" i="55"/>
  <c r="R336" i="55"/>
  <c r="T336" i="55"/>
  <c r="U336" i="55"/>
  <c r="S336" i="55"/>
  <c r="Q336" i="55"/>
  <c r="L335" i="18"/>
  <c r="D336" i="18"/>
  <c r="B338" i="55" s="1"/>
  <c r="C335" i="18"/>
  <c r="K335" i="18" s="1"/>
  <c r="F337" i="55" l="1"/>
  <c r="P337" i="55"/>
  <c r="O337" i="55"/>
  <c r="J337" i="55"/>
  <c r="R335" i="18"/>
  <c r="D337" i="55"/>
  <c r="B336" i="18"/>
  <c r="E336" i="18"/>
  <c r="A337" i="18" l="1"/>
  <c r="D337" i="18" s="1"/>
  <c r="B339" i="55" s="1"/>
  <c r="A338" i="55"/>
  <c r="M336" i="18"/>
  <c r="C338" i="55"/>
  <c r="O336" i="18"/>
  <c r="N337" i="55"/>
  <c r="M337" i="55"/>
  <c r="K337" i="55"/>
  <c r="L337" i="55"/>
  <c r="T337" i="55"/>
  <c r="U337" i="55"/>
  <c r="R337" i="55"/>
  <c r="S337" i="55"/>
  <c r="Q337" i="55"/>
  <c r="L336" i="18"/>
  <c r="C336" i="18"/>
  <c r="K336" i="18" s="1"/>
  <c r="F338" i="55" l="1"/>
  <c r="P338" i="55"/>
  <c r="O338" i="55"/>
  <c r="J338" i="55"/>
  <c r="R336" i="18"/>
  <c r="D338" i="55"/>
  <c r="B337" i="18"/>
  <c r="E337" i="18"/>
  <c r="A338" i="18" l="1"/>
  <c r="D338" i="18" s="1"/>
  <c r="B340" i="55" s="1"/>
  <c r="A339" i="55"/>
  <c r="M337" i="18"/>
  <c r="C339" i="55"/>
  <c r="O337" i="18"/>
  <c r="K338" i="55"/>
  <c r="L338" i="55"/>
  <c r="N338" i="55"/>
  <c r="M338" i="55"/>
  <c r="T338" i="55"/>
  <c r="U338" i="55"/>
  <c r="R338" i="55"/>
  <c r="S338" i="55"/>
  <c r="Q338" i="55"/>
  <c r="L337" i="18"/>
  <c r="C337" i="18"/>
  <c r="K337" i="18" s="1"/>
  <c r="F339" i="55" l="1"/>
  <c r="P339" i="55"/>
  <c r="J339" i="55"/>
  <c r="O339" i="55"/>
  <c r="R337" i="18"/>
  <c r="D339" i="55"/>
  <c r="B338" i="18"/>
  <c r="E338" i="18"/>
  <c r="A339" i="18" l="1"/>
  <c r="D339" i="18" s="1"/>
  <c r="B341" i="55" s="1"/>
  <c r="A340" i="55"/>
  <c r="M338" i="18"/>
  <c r="O338" i="18"/>
  <c r="C340" i="55"/>
  <c r="N339" i="55"/>
  <c r="M339" i="55"/>
  <c r="L339" i="55"/>
  <c r="K339" i="55"/>
  <c r="R339" i="55"/>
  <c r="T339" i="55"/>
  <c r="S339" i="55"/>
  <c r="U339" i="55"/>
  <c r="Q339" i="55"/>
  <c r="L338" i="18"/>
  <c r="C338" i="18"/>
  <c r="K338" i="18" s="1"/>
  <c r="F340" i="55" l="1"/>
  <c r="P340" i="55"/>
  <c r="O340" i="55"/>
  <c r="J340" i="55"/>
  <c r="R338" i="18"/>
  <c r="D340" i="55"/>
  <c r="B339" i="18"/>
  <c r="E339" i="18"/>
  <c r="A340" i="18" l="1"/>
  <c r="D340" i="18" s="1"/>
  <c r="B342" i="55" s="1"/>
  <c r="A341" i="55"/>
  <c r="M339" i="18"/>
  <c r="C341" i="55"/>
  <c r="O339" i="18"/>
  <c r="N340" i="55"/>
  <c r="L340" i="55"/>
  <c r="K340" i="55"/>
  <c r="M340" i="55"/>
  <c r="R340" i="55"/>
  <c r="S340" i="55"/>
  <c r="T340" i="55"/>
  <c r="U340" i="55"/>
  <c r="Q340" i="55"/>
  <c r="L339" i="18"/>
  <c r="C339" i="18"/>
  <c r="K339" i="18" s="1"/>
  <c r="F341" i="55" l="1"/>
  <c r="P341" i="55"/>
  <c r="O341" i="55"/>
  <c r="J341" i="55"/>
  <c r="R339" i="18"/>
  <c r="D341" i="55"/>
  <c r="B340" i="18"/>
  <c r="E340" i="18"/>
  <c r="A341" i="18" l="1"/>
  <c r="D341" i="18" s="1"/>
  <c r="B343" i="55" s="1"/>
  <c r="A342" i="55"/>
  <c r="M340" i="18"/>
  <c r="C342" i="55"/>
  <c r="O340" i="18"/>
  <c r="K341" i="55"/>
  <c r="N341" i="55"/>
  <c r="M341" i="55"/>
  <c r="L341" i="55"/>
  <c r="R341" i="55"/>
  <c r="U341" i="55"/>
  <c r="S341" i="55"/>
  <c r="T341" i="55"/>
  <c r="Q341" i="55"/>
  <c r="L340" i="18"/>
  <c r="N340" i="18"/>
  <c r="C340" i="18"/>
  <c r="K340" i="18" s="1"/>
  <c r="E342" i="55" l="1"/>
  <c r="F342" i="55"/>
  <c r="P342" i="55"/>
  <c r="J342" i="55"/>
  <c r="O342" i="55"/>
  <c r="R340" i="18"/>
  <c r="D342" i="55"/>
  <c r="B341" i="18"/>
  <c r="E341" i="18"/>
  <c r="G342" i="55" l="1"/>
  <c r="H342" i="55" s="1"/>
  <c r="I342" i="55" s="1"/>
  <c r="C343" i="55"/>
  <c r="O341" i="18"/>
  <c r="A342" i="18"/>
  <c r="A343" i="55"/>
  <c r="M341" i="18"/>
  <c r="N342" i="55"/>
  <c r="L342" i="55"/>
  <c r="M342" i="55"/>
  <c r="K342" i="55"/>
  <c r="R342" i="55"/>
  <c r="T342" i="55"/>
  <c r="U342" i="55"/>
  <c r="S342" i="55"/>
  <c r="Q342" i="55"/>
  <c r="L341" i="18"/>
  <c r="N341" i="18"/>
  <c r="D342" i="18"/>
  <c r="B344" i="55" s="1"/>
  <c r="C341" i="18"/>
  <c r="K341" i="18" s="1"/>
  <c r="E343" i="55" l="1"/>
  <c r="F343" i="55"/>
  <c r="P343" i="55"/>
  <c r="O343" i="55"/>
  <c r="J343" i="55"/>
  <c r="R341" i="18"/>
  <c r="D343" i="55"/>
  <c r="B342" i="18"/>
  <c r="E342" i="18"/>
  <c r="G343" i="55" l="1"/>
  <c r="H343" i="55" s="1"/>
  <c r="I343" i="55" s="1"/>
  <c r="C344" i="55"/>
  <c r="O342" i="18"/>
  <c r="A343" i="18"/>
  <c r="D343" i="18" s="1"/>
  <c r="B345" i="55" s="1"/>
  <c r="A344" i="55"/>
  <c r="M342" i="18"/>
  <c r="L342" i="18"/>
  <c r="N343" i="55"/>
  <c r="M343" i="55"/>
  <c r="L343" i="55"/>
  <c r="K343" i="55"/>
  <c r="R343" i="55"/>
  <c r="T343" i="55"/>
  <c r="U343" i="55"/>
  <c r="S343" i="55"/>
  <c r="Q343" i="55"/>
  <c r="C342" i="18"/>
  <c r="K342" i="18" s="1"/>
  <c r="F344" i="55" l="1"/>
  <c r="P344" i="55"/>
  <c r="J344" i="55"/>
  <c r="O344" i="55"/>
  <c r="R342" i="18"/>
  <c r="D344" i="55"/>
  <c r="B343" i="18"/>
  <c r="E343" i="18"/>
  <c r="A344" i="18" l="1"/>
  <c r="D344" i="18" s="1"/>
  <c r="B346" i="55" s="1"/>
  <c r="A345" i="55"/>
  <c r="M343" i="18"/>
  <c r="C345" i="55"/>
  <c r="O343" i="18"/>
  <c r="N344" i="55"/>
  <c r="K344" i="55"/>
  <c r="M344" i="55"/>
  <c r="L344" i="55"/>
  <c r="R344" i="55"/>
  <c r="T344" i="55"/>
  <c r="U344" i="55"/>
  <c r="S344" i="55"/>
  <c r="Q344" i="55"/>
  <c r="L343" i="18"/>
  <c r="C343" i="18"/>
  <c r="K343" i="18" s="1"/>
  <c r="F345" i="55" l="1"/>
  <c r="P345" i="55"/>
  <c r="Q345" i="55" s="1"/>
  <c r="J345" i="55"/>
  <c r="O345" i="55"/>
  <c r="R343" i="18"/>
  <c r="D345" i="55"/>
  <c r="E344" i="18"/>
  <c r="B344" i="18"/>
  <c r="A345" i="18" l="1"/>
  <c r="M344" i="18"/>
  <c r="A346" i="55"/>
  <c r="L344" i="18"/>
  <c r="C346" i="55"/>
  <c r="O344" i="18"/>
  <c r="N345" i="55"/>
  <c r="L345" i="55"/>
  <c r="M345" i="55"/>
  <c r="K345" i="55"/>
  <c r="D345" i="18"/>
  <c r="B347" i="55" s="1"/>
  <c r="C344" i="18"/>
  <c r="K344" i="18" s="1"/>
  <c r="F346" i="55" l="1"/>
  <c r="P346" i="55"/>
  <c r="O346" i="55"/>
  <c r="J346" i="55"/>
  <c r="R344" i="18"/>
  <c r="D346" i="55"/>
  <c r="B345" i="18"/>
  <c r="E345" i="18"/>
  <c r="C347" i="55" l="1"/>
  <c r="O345" i="18"/>
  <c r="A346" i="18"/>
  <c r="A347" i="55"/>
  <c r="M345" i="18"/>
  <c r="K346" i="55"/>
  <c r="L346" i="55"/>
  <c r="N346" i="55"/>
  <c r="M346" i="55"/>
  <c r="L345" i="18"/>
  <c r="C345" i="18"/>
  <c r="K345" i="18" s="1"/>
  <c r="D346" i="18"/>
  <c r="B348" i="55" s="1"/>
  <c r="P347" i="55" l="1"/>
  <c r="J347" i="55"/>
  <c r="O347" i="55"/>
  <c r="F347" i="55"/>
  <c r="R345" i="18"/>
  <c r="D347" i="55"/>
  <c r="B346" i="18"/>
  <c r="E346" i="18"/>
  <c r="R347" i="55" l="1"/>
  <c r="D81" i="59" s="1"/>
  <c r="A347" i="18"/>
  <c r="D347" i="18" s="1"/>
  <c r="B349" i="55" s="1"/>
  <c r="A348" i="55"/>
  <c r="M346" i="18"/>
  <c r="C348" i="55"/>
  <c r="O346" i="18"/>
  <c r="N347" i="55"/>
  <c r="L347" i="55"/>
  <c r="M347" i="55"/>
  <c r="K347" i="55"/>
  <c r="L346" i="18"/>
  <c r="C346" i="18"/>
  <c r="K346" i="18" s="1"/>
  <c r="F348" i="55" l="1"/>
  <c r="P348" i="55"/>
  <c r="J348" i="55"/>
  <c r="O348" i="55"/>
  <c r="R346" i="18"/>
  <c r="D348" i="55"/>
  <c r="B347" i="18"/>
  <c r="E347" i="18"/>
  <c r="R348" i="55" l="1"/>
  <c r="D82" i="59" s="1"/>
  <c r="C349" i="55"/>
  <c r="O347" i="18"/>
  <c r="A348" i="18"/>
  <c r="D348" i="18" s="1"/>
  <c r="B350" i="55" s="1"/>
  <c r="A349" i="55"/>
  <c r="M347" i="18"/>
  <c r="N348" i="55"/>
  <c r="L348" i="55"/>
  <c r="M348" i="55"/>
  <c r="K348" i="55"/>
  <c r="L347" i="18"/>
  <c r="C347" i="18"/>
  <c r="K347" i="18" s="1"/>
  <c r="P349" i="55" l="1"/>
  <c r="O349" i="55"/>
  <c r="J349" i="55"/>
  <c r="F349" i="55"/>
  <c r="R347" i="18"/>
  <c r="D349" i="55"/>
  <c r="B348" i="18"/>
  <c r="E348" i="18"/>
  <c r="A349" i="18" l="1"/>
  <c r="D349" i="18" s="1"/>
  <c r="B351" i="55" s="1"/>
  <c r="A350" i="55"/>
  <c r="M348" i="18"/>
  <c r="C350" i="55"/>
  <c r="O348" i="18"/>
  <c r="N349" i="55"/>
  <c r="M349" i="55"/>
  <c r="L349" i="55"/>
  <c r="K349" i="55"/>
  <c r="R349" i="55"/>
  <c r="T349" i="55"/>
  <c r="U349" i="55"/>
  <c r="S349" i="55"/>
  <c r="Q349" i="55"/>
  <c r="L348" i="18"/>
  <c r="C348" i="18"/>
  <c r="K348" i="18" s="1"/>
  <c r="F350" i="55" l="1"/>
  <c r="P350" i="55"/>
  <c r="O350" i="55"/>
  <c r="J350" i="55"/>
  <c r="R348" i="18"/>
  <c r="D350" i="55"/>
  <c r="E349" i="18"/>
  <c r="B349" i="18"/>
  <c r="A350" i="18" l="1"/>
  <c r="A351" i="55"/>
  <c r="M349" i="18"/>
  <c r="C351" i="55"/>
  <c r="O349" i="18"/>
  <c r="L350" i="55"/>
  <c r="K350" i="55"/>
  <c r="N350" i="55"/>
  <c r="M350" i="55"/>
  <c r="R350" i="55"/>
  <c r="T350" i="55"/>
  <c r="U350" i="55"/>
  <c r="S350" i="55"/>
  <c r="Q350" i="55"/>
  <c r="L349" i="18"/>
  <c r="C349" i="18"/>
  <c r="K349" i="18" s="1"/>
  <c r="D350" i="18"/>
  <c r="B352" i="55" s="1"/>
  <c r="F351" i="55" l="1"/>
  <c r="P351" i="55"/>
  <c r="O351" i="55"/>
  <c r="J351" i="55"/>
  <c r="R349" i="18"/>
  <c r="D351" i="55"/>
  <c r="B350" i="18"/>
  <c r="E350" i="18"/>
  <c r="C352" i="55" l="1"/>
  <c r="O350" i="18"/>
  <c r="A351" i="18"/>
  <c r="D351" i="18" s="1"/>
  <c r="B353" i="55" s="1"/>
  <c r="A352" i="55"/>
  <c r="M350" i="18"/>
  <c r="N351" i="55"/>
  <c r="M351" i="55"/>
  <c r="L351" i="55"/>
  <c r="K351" i="55"/>
  <c r="R351" i="55"/>
  <c r="T351" i="55"/>
  <c r="U351" i="55"/>
  <c r="S351" i="55"/>
  <c r="Q351" i="55"/>
  <c r="L350" i="18"/>
  <c r="C350" i="18"/>
  <c r="K350" i="18" s="1"/>
  <c r="P352" i="55" l="1"/>
  <c r="O352" i="55"/>
  <c r="J352" i="55"/>
  <c r="F352" i="55"/>
  <c r="R350" i="18"/>
  <c r="D352" i="55"/>
  <c r="E351" i="18"/>
  <c r="B351" i="18"/>
  <c r="C353" i="55" l="1"/>
  <c r="O351" i="18"/>
  <c r="A352" i="18"/>
  <c r="A353" i="55"/>
  <c r="M351" i="18"/>
  <c r="L351" i="18"/>
  <c r="N352" i="55"/>
  <c r="M352" i="55"/>
  <c r="L352" i="55"/>
  <c r="K352" i="55"/>
  <c r="R352" i="55"/>
  <c r="T352" i="55"/>
  <c r="U352" i="55"/>
  <c r="S352" i="55"/>
  <c r="Q352" i="55"/>
  <c r="D352" i="18"/>
  <c r="B354" i="55" s="1"/>
  <c r="C351" i="18"/>
  <c r="K351" i="18" s="1"/>
  <c r="P353" i="55" l="1"/>
  <c r="J353" i="55"/>
  <c r="O353" i="55"/>
  <c r="F353" i="55"/>
  <c r="R351" i="18"/>
  <c r="D353" i="55"/>
  <c r="E352" i="18"/>
  <c r="B352" i="18"/>
  <c r="A353" i="18" l="1"/>
  <c r="A354" i="55"/>
  <c r="M352" i="18"/>
  <c r="C354" i="55"/>
  <c r="O352" i="18"/>
  <c r="N353" i="55"/>
  <c r="M353" i="55"/>
  <c r="L353" i="55"/>
  <c r="K353" i="55"/>
  <c r="R353" i="55"/>
  <c r="U353" i="55"/>
  <c r="T353" i="55"/>
  <c r="S353" i="55"/>
  <c r="Q353" i="55"/>
  <c r="L352" i="18"/>
  <c r="C352" i="18"/>
  <c r="K352" i="18" s="1"/>
  <c r="D353" i="18"/>
  <c r="B355" i="55" s="1"/>
  <c r="F354" i="55" l="1"/>
  <c r="P354" i="55"/>
  <c r="J354" i="55"/>
  <c r="O354" i="55"/>
  <c r="R352" i="18"/>
  <c r="D354" i="55"/>
  <c r="E353" i="18"/>
  <c r="B353" i="18"/>
  <c r="C355" i="55" l="1"/>
  <c r="O353" i="18"/>
  <c r="A354" i="18"/>
  <c r="A355" i="55"/>
  <c r="M353" i="18"/>
  <c r="L354" i="55"/>
  <c r="M354" i="55"/>
  <c r="N354" i="55"/>
  <c r="K354" i="55"/>
  <c r="R354" i="55"/>
  <c r="T354" i="55"/>
  <c r="U354" i="55"/>
  <c r="S354" i="55"/>
  <c r="Q354" i="55"/>
  <c r="L353" i="18"/>
  <c r="C353" i="18"/>
  <c r="K353" i="18" s="1"/>
  <c r="D354" i="18"/>
  <c r="B356" i="55" s="1"/>
  <c r="P355" i="55" l="1"/>
  <c r="O355" i="55"/>
  <c r="J355" i="55"/>
  <c r="F355" i="55"/>
  <c r="R353" i="18"/>
  <c r="D355" i="55"/>
  <c r="B354" i="18"/>
  <c r="E354" i="18"/>
  <c r="C356" i="55" l="1"/>
  <c r="O354" i="18"/>
  <c r="A355" i="18"/>
  <c r="A356" i="55"/>
  <c r="M354" i="18"/>
  <c r="L354" i="18"/>
  <c r="N355" i="55"/>
  <c r="M355" i="55"/>
  <c r="K355" i="55"/>
  <c r="L355" i="55"/>
  <c r="T355" i="55"/>
  <c r="R355" i="55"/>
  <c r="U355" i="55"/>
  <c r="S355" i="55"/>
  <c r="Q355" i="55"/>
  <c r="C354" i="18"/>
  <c r="K354" i="18" s="1"/>
  <c r="D355" i="18"/>
  <c r="B357" i="55" s="1"/>
  <c r="P356" i="55" l="1"/>
  <c r="O356" i="55"/>
  <c r="J356" i="55"/>
  <c r="F356" i="55"/>
  <c r="R354" i="18"/>
  <c r="D356" i="55"/>
  <c r="B355" i="18"/>
  <c r="E355" i="18"/>
  <c r="C357" i="55" l="1"/>
  <c r="O355" i="18"/>
  <c r="A356" i="18"/>
  <c r="A357" i="55"/>
  <c r="M355" i="18"/>
  <c r="M356" i="55"/>
  <c r="N356" i="55"/>
  <c r="K356" i="55"/>
  <c r="L356" i="55"/>
  <c r="R356" i="55"/>
  <c r="T356" i="55"/>
  <c r="U356" i="55"/>
  <c r="S356" i="55"/>
  <c r="Q356" i="55"/>
  <c r="L355" i="18"/>
  <c r="D356" i="18"/>
  <c r="B358" i="55" s="1"/>
  <c r="C355" i="18"/>
  <c r="K355" i="18" s="1"/>
  <c r="P357" i="55" l="1"/>
  <c r="J357" i="55"/>
  <c r="O357" i="55"/>
  <c r="F357" i="55"/>
  <c r="R355" i="18"/>
  <c r="D357" i="55"/>
  <c r="B356" i="18"/>
  <c r="E356" i="18"/>
  <c r="C358" i="55" l="1"/>
  <c r="O356" i="18"/>
  <c r="A357" i="18"/>
  <c r="A358" i="55"/>
  <c r="M356" i="18"/>
  <c r="L356" i="18"/>
  <c r="M357" i="55"/>
  <c r="N357" i="55"/>
  <c r="L357" i="55"/>
  <c r="K357" i="55"/>
  <c r="T357" i="55"/>
  <c r="S357" i="55"/>
  <c r="U357" i="55"/>
  <c r="R357" i="55"/>
  <c r="Q357" i="55"/>
  <c r="C356" i="18"/>
  <c r="K356" i="18" s="1"/>
  <c r="D357" i="18"/>
  <c r="B359" i="55" s="1"/>
  <c r="P358" i="55" l="1"/>
  <c r="J358" i="55"/>
  <c r="O358" i="55"/>
  <c r="F358" i="55"/>
  <c r="R356" i="18"/>
  <c r="D358" i="55"/>
  <c r="B357" i="18"/>
  <c r="E357" i="18"/>
  <c r="C359" i="55" l="1"/>
  <c r="O357" i="18"/>
  <c r="A358" i="18"/>
  <c r="D358" i="18" s="1"/>
  <c r="B360" i="55" s="1"/>
  <c r="A359" i="55"/>
  <c r="M357" i="18"/>
  <c r="N358" i="55"/>
  <c r="L358" i="55"/>
  <c r="M358" i="55"/>
  <c r="K358" i="55"/>
  <c r="R358" i="55"/>
  <c r="T358" i="55"/>
  <c r="S358" i="55"/>
  <c r="U358" i="55"/>
  <c r="Q358" i="55"/>
  <c r="L357" i="18"/>
  <c r="C357" i="18"/>
  <c r="K357" i="18" s="1"/>
  <c r="P359" i="55" l="1"/>
  <c r="J359" i="55"/>
  <c r="O359" i="55"/>
  <c r="F359" i="55"/>
  <c r="R357" i="18"/>
  <c r="D359" i="55"/>
  <c r="B358" i="18"/>
  <c r="E358" i="18"/>
  <c r="N358" i="18" l="1"/>
  <c r="C360" i="55"/>
  <c r="O358" i="18"/>
  <c r="A359" i="18"/>
  <c r="D359" i="18" s="1"/>
  <c r="B361" i="55" s="1"/>
  <c r="A360" i="55"/>
  <c r="M358" i="18"/>
  <c r="L358" i="18"/>
  <c r="N359" i="55"/>
  <c r="L359" i="55"/>
  <c r="M359" i="55"/>
  <c r="K359" i="55"/>
  <c r="R359" i="55"/>
  <c r="S359" i="55"/>
  <c r="U359" i="55"/>
  <c r="T359" i="55"/>
  <c r="Q359" i="55"/>
  <c r="C358" i="18"/>
  <c r="K358" i="18" s="1"/>
  <c r="P360" i="55" l="1"/>
  <c r="J360" i="55"/>
  <c r="O360" i="55"/>
  <c r="F360" i="55"/>
  <c r="E360" i="55"/>
  <c r="R358" i="18"/>
  <c r="D360" i="55"/>
  <c r="B359" i="18"/>
  <c r="E359" i="18"/>
  <c r="G360" i="55" l="1"/>
  <c r="H360" i="55" s="1"/>
  <c r="I360" i="55" s="1"/>
  <c r="N359" i="18"/>
  <c r="C361" i="55"/>
  <c r="O359" i="18"/>
  <c r="A360" i="18"/>
  <c r="D360" i="18" s="1"/>
  <c r="B362" i="55" s="1"/>
  <c r="A361" i="55"/>
  <c r="M359" i="18"/>
  <c r="N360" i="55"/>
  <c r="L360" i="55"/>
  <c r="M360" i="55"/>
  <c r="K360" i="55"/>
  <c r="R360" i="55"/>
  <c r="U360" i="55"/>
  <c r="S360" i="55"/>
  <c r="T360" i="55"/>
  <c r="Q360" i="55"/>
  <c r="L359" i="18"/>
  <c r="C359" i="18"/>
  <c r="K359" i="18" s="1"/>
  <c r="P361" i="55" l="1"/>
  <c r="J361" i="55"/>
  <c r="O361" i="55"/>
  <c r="F361" i="55"/>
  <c r="E361" i="55"/>
  <c r="R359" i="18"/>
  <c r="D361" i="55"/>
  <c r="B360" i="18"/>
  <c r="E360" i="18"/>
  <c r="G361" i="55" l="1"/>
  <c r="H361" i="55" s="1"/>
  <c r="I361" i="55" s="1"/>
  <c r="C362" i="55"/>
  <c r="O360" i="18"/>
  <c r="A361" i="18"/>
  <c r="D361" i="18" s="1"/>
  <c r="B363" i="55" s="1"/>
  <c r="A362" i="55"/>
  <c r="M360" i="18"/>
  <c r="L360" i="18"/>
  <c r="L361" i="55"/>
  <c r="M361" i="55"/>
  <c r="K361" i="55"/>
  <c r="N361" i="55"/>
  <c r="R361" i="55"/>
  <c r="T361" i="55"/>
  <c r="U361" i="55"/>
  <c r="S361" i="55"/>
  <c r="Q361" i="55"/>
  <c r="C360" i="18"/>
  <c r="K360" i="18" s="1"/>
  <c r="F362" i="55" l="1"/>
  <c r="P362" i="55"/>
  <c r="J362" i="55"/>
  <c r="O362" i="55"/>
  <c r="R360" i="18"/>
  <c r="D362" i="55"/>
  <c r="B361" i="18"/>
  <c r="E361" i="18"/>
  <c r="C363" i="55" l="1"/>
  <c r="O361" i="18"/>
  <c r="A362" i="18"/>
  <c r="A363" i="55"/>
  <c r="M361" i="18"/>
  <c r="M362" i="55"/>
  <c r="N362" i="55"/>
  <c r="K362" i="55"/>
  <c r="L362" i="55"/>
  <c r="R362" i="55"/>
  <c r="T362" i="55"/>
  <c r="U362" i="55"/>
  <c r="S362" i="55"/>
  <c r="Q362" i="55"/>
  <c r="L361" i="18"/>
  <c r="D362" i="18"/>
  <c r="B364" i="55" s="1"/>
  <c r="C361" i="18"/>
  <c r="K361" i="18" s="1"/>
  <c r="F363" i="55" l="1"/>
  <c r="P363" i="55"/>
  <c r="Q363" i="55" s="1"/>
  <c r="R363" i="55" s="1"/>
  <c r="D83" i="59" s="1"/>
  <c r="O363" i="55"/>
  <c r="J363" i="55"/>
  <c r="R361" i="18"/>
  <c r="D363" i="55"/>
  <c r="E362" i="18"/>
  <c r="B362" i="18"/>
  <c r="O362" i="18" l="1"/>
  <c r="C364" i="55"/>
  <c r="A363" i="18"/>
  <c r="A364" i="55"/>
  <c r="M362" i="18"/>
  <c r="L362" i="18"/>
  <c r="N363" i="55"/>
  <c r="M363" i="55"/>
  <c r="L363" i="55"/>
  <c r="K363" i="55"/>
  <c r="C362" i="18"/>
  <c r="K362" i="18" s="1"/>
  <c r="D363" i="18"/>
  <c r="B365" i="55" s="1"/>
  <c r="F364" i="55" l="1"/>
  <c r="P364" i="55"/>
  <c r="O364" i="55"/>
  <c r="J364" i="55"/>
  <c r="R362" i="18"/>
  <c r="D364" i="55"/>
  <c r="E363" i="18"/>
  <c r="B363" i="18"/>
  <c r="C365" i="55" l="1"/>
  <c r="O363" i="18"/>
  <c r="A364" i="18"/>
  <c r="D364" i="18" s="1"/>
  <c r="B366" i="55" s="1"/>
  <c r="A365" i="55"/>
  <c r="M363" i="18"/>
  <c r="L363" i="18"/>
  <c r="N363" i="18"/>
  <c r="C363" i="18"/>
  <c r="K363" i="18" s="1"/>
  <c r="E365" i="55" l="1"/>
  <c r="F365" i="55"/>
  <c r="P365" i="55"/>
  <c r="J365" i="55"/>
  <c r="O365" i="55"/>
  <c r="R363" i="18"/>
  <c r="D365" i="55"/>
  <c r="B364" i="18"/>
  <c r="E364" i="18"/>
  <c r="G365" i="55" l="1"/>
  <c r="H365" i="55" s="1"/>
  <c r="T365" i="55" s="1"/>
  <c r="R365" i="55"/>
  <c r="D85" i="59" s="1"/>
  <c r="Q365" i="55"/>
  <c r="C366" i="55"/>
  <c r="O364" i="18"/>
  <c r="A365" i="18"/>
  <c r="D365" i="18" s="1"/>
  <c r="B367" i="55" s="1"/>
  <c r="A366" i="55"/>
  <c r="M364" i="18"/>
  <c r="N365" i="55"/>
  <c r="L365" i="55"/>
  <c r="M365" i="55"/>
  <c r="K365" i="55"/>
  <c r="L364" i="18"/>
  <c r="N364" i="18"/>
  <c r="C364" i="18"/>
  <c r="K364" i="18" s="1"/>
  <c r="S365" i="55" l="1"/>
  <c r="F366" i="55"/>
  <c r="P366" i="55"/>
  <c r="O366" i="55"/>
  <c r="J366" i="55"/>
  <c r="E366" i="55"/>
  <c r="Q366" i="55" s="1"/>
  <c r="R364" i="18"/>
  <c r="D366" i="55"/>
  <c r="I365" i="55"/>
  <c r="U365" i="55" s="1"/>
  <c r="B365" i="18"/>
  <c r="E365" i="18"/>
  <c r="G366" i="55" l="1"/>
  <c r="S366" i="55" s="1"/>
  <c r="R366" i="55"/>
  <c r="D86" i="59" s="1"/>
  <c r="A366" i="18"/>
  <c r="D366" i="18" s="1"/>
  <c r="B368" i="55" s="1"/>
  <c r="A367" i="55"/>
  <c r="M365" i="18"/>
  <c r="N366" i="55"/>
  <c r="M366" i="55"/>
  <c r="L366" i="55"/>
  <c r="K366" i="55"/>
  <c r="C367" i="55"/>
  <c r="O365" i="18"/>
  <c r="L365" i="18"/>
  <c r="C365" i="18"/>
  <c r="K365" i="18" s="1"/>
  <c r="H366" i="55" l="1"/>
  <c r="T366" i="55" s="1"/>
  <c r="F367" i="55"/>
  <c r="P367" i="55"/>
  <c r="J367" i="55"/>
  <c r="O367" i="55"/>
  <c r="R365" i="18"/>
  <c r="D367" i="55"/>
  <c r="B366" i="18"/>
  <c r="E366" i="18"/>
  <c r="I366" i="55" l="1"/>
  <c r="U366" i="55" s="1"/>
  <c r="A367" i="18"/>
  <c r="A368" i="55"/>
  <c r="M366" i="18"/>
  <c r="C368" i="55"/>
  <c r="O366" i="18"/>
  <c r="L367" i="55"/>
  <c r="K367" i="55"/>
  <c r="N367" i="55"/>
  <c r="M367" i="55"/>
  <c r="R367" i="55"/>
  <c r="T367" i="55"/>
  <c r="U367" i="55"/>
  <c r="S367" i="55"/>
  <c r="Q367" i="55"/>
  <c r="L366" i="18"/>
  <c r="C366" i="18"/>
  <c r="K366" i="18" s="1"/>
  <c r="D367" i="18"/>
  <c r="B369" i="55" s="1"/>
  <c r="F368" i="55" l="1"/>
  <c r="P368" i="55"/>
  <c r="O368" i="55"/>
  <c r="J368" i="55"/>
  <c r="R366" i="18"/>
  <c r="D368" i="55"/>
  <c r="E367" i="18"/>
  <c r="B367" i="18"/>
  <c r="C369" i="55" l="1"/>
  <c r="O367" i="18"/>
  <c r="A368" i="18"/>
  <c r="D368" i="18" s="1"/>
  <c r="B370" i="55" s="1"/>
  <c r="A369" i="55"/>
  <c r="M367" i="18"/>
  <c r="N368" i="55"/>
  <c r="M368" i="55"/>
  <c r="L368" i="55"/>
  <c r="K368" i="55"/>
  <c r="R368" i="55"/>
  <c r="T368" i="55"/>
  <c r="U368" i="55"/>
  <c r="S368" i="55"/>
  <c r="Q368" i="55"/>
  <c r="L367" i="18"/>
  <c r="C367" i="18"/>
  <c r="K367" i="18" s="1"/>
  <c r="F369" i="55" l="1"/>
  <c r="P369" i="55"/>
  <c r="O369" i="55"/>
  <c r="J369" i="55"/>
  <c r="R367" i="18"/>
  <c r="D369" i="55"/>
  <c r="E368" i="18"/>
  <c r="B368" i="18"/>
  <c r="O368" i="18" l="1"/>
  <c r="C370" i="55"/>
  <c r="A369" i="18"/>
  <c r="D369" i="18" s="1"/>
  <c r="B371" i="55" s="1"/>
  <c r="A370" i="55"/>
  <c r="M368" i="18"/>
  <c r="L368" i="18"/>
  <c r="K369" i="55"/>
  <c r="N369" i="55"/>
  <c r="L369" i="55"/>
  <c r="M369" i="55"/>
  <c r="U369" i="55"/>
  <c r="S369" i="55"/>
  <c r="R369" i="55"/>
  <c r="T369" i="55"/>
  <c r="Q369" i="55"/>
  <c r="C368" i="18"/>
  <c r="K368" i="18" s="1"/>
  <c r="F370" i="55" l="1"/>
  <c r="P370" i="55"/>
  <c r="O370" i="55"/>
  <c r="J370" i="55"/>
  <c r="R368" i="18"/>
  <c r="D370" i="55"/>
  <c r="B369" i="18"/>
  <c r="E369" i="18"/>
  <c r="C371" i="55" l="1"/>
  <c r="O369" i="18"/>
  <c r="A370" i="18"/>
  <c r="D370" i="18" s="1"/>
  <c r="B372" i="55" s="1"/>
  <c r="A371" i="55"/>
  <c r="M369" i="18"/>
  <c r="N370" i="55"/>
  <c r="L370" i="55"/>
  <c r="M370" i="55"/>
  <c r="K370" i="55"/>
  <c r="R370" i="55"/>
  <c r="T370" i="55"/>
  <c r="U370" i="55"/>
  <c r="S370" i="55"/>
  <c r="Q370" i="55"/>
  <c r="L369" i="18"/>
  <c r="C369" i="18"/>
  <c r="K369" i="18" s="1"/>
  <c r="F371" i="55" l="1"/>
  <c r="P371" i="55"/>
  <c r="O371" i="55"/>
  <c r="J371" i="55"/>
  <c r="R369" i="18"/>
  <c r="D371" i="55"/>
  <c r="B370" i="18"/>
  <c r="E370" i="18"/>
  <c r="C372" i="55" l="1"/>
  <c r="O370" i="18"/>
  <c r="A371" i="18"/>
  <c r="D371" i="18" s="1"/>
  <c r="B373" i="55" s="1"/>
  <c r="A372" i="55"/>
  <c r="M370" i="18"/>
  <c r="L370" i="18"/>
  <c r="L371" i="55"/>
  <c r="M371" i="55"/>
  <c r="N371" i="55"/>
  <c r="K371" i="55"/>
  <c r="T371" i="55"/>
  <c r="R371" i="55"/>
  <c r="S371" i="55"/>
  <c r="U371" i="55"/>
  <c r="Q371" i="55"/>
  <c r="C370" i="18"/>
  <c r="K370" i="18" s="1"/>
  <c r="F372" i="55" l="1"/>
  <c r="P372" i="55"/>
  <c r="J372" i="55"/>
  <c r="O372" i="55"/>
  <c r="R370" i="18"/>
  <c r="D372" i="55"/>
  <c r="E371" i="18"/>
  <c r="B371" i="18"/>
  <c r="A372" i="18" l="1"/>
  <c r="A373" i="55"/>
  <c r="M371" i="18"/>
  <c r="C373" i="55"/>
  <c r="O371" i="18"/>
  <c r="N372" i="55"/>
  <c r="L372" i="55"/>
  <c r="K372" i="55"/>
  <c r="M372" i="55"/>
  <c r="T372" i="55"/>
  <c r="U372" i="55"/>
  <c r="R372" i="55"/>
  <c r="S372" i="55"/>
  <c r="Q372" i="55"/>
  <c r="L371" i="18"/>
  <c r="C371" i="18"/>
  <c r="K371" i="18" s="1"/>
  <c r="D372" i="18"/>
  <c r="B374" i="55" s="1"/>
  <c r="F373" i="55" l="1"/>
  <c r="P373" i="55"/>
  <c r="O373" i="55"/>
  <c r="J373" i="55"/>
  <c r="R371" i="18"/>
  <c r="D373" i="55"/>
  <c r="B372" i="18"/>
  <c r="E372" i="18"/>
  <c r="A373" i="18" l="1"/>
  <c r="A374" i="55"/>
  <c r="M372" i="18"/>
  <c r="C374" i="55"/>
  <c r="O372" i="18"/>
  <c r="K373" i="55"/>
  <c r="L373" i="55"/>
  <c r="M373" i="55"/>
  <c r="N373" i="55"/>
  <c r="R373" i="55"/>
  <c r="T373" i="55"/>
  <c r="U373" i="55"/>
  <c r="S373" i="55"/>
  <c r="Q373" i="55"/>
  <c r="L372" i="18"/>
  <c r="C372" i="18"/>
  <c r="K372" i="18" s="1"/>
  <c r="D373" i="18"/>
  <c r="B375" i="55" s="1"/>
  <c r="F374" i="55" l="1"/>
  <c r="P374" i="55"/>
  <c r="O374" i="55"/>
  <c r="J374" i="55"/>
  <c r="R372" i="18"/>
  <c r="D374" i="55"/>
  <c r="E373" i="18"/>
  <c r="B373" i="18"/>
  <c r="A374" i="18" l="1"/>
  <c r="D374" i="18" s="1"/>
  <c r="B376" i="55" s="1"/>
  <c r="A375" i="55"/>
  <c r="M373" i="18"/>
  <c r="O373" i="18"/>
  <c r="C375" i="55"/>
  <c r="N374" i="55"/>
  <c r="M374" i="55"/>
  <c r="L374" i="55"/>
  <c r="K374" i="55"/>
  <c r="R374" i="55"/>
  <c r="T374" i="55"/>
  <c r="U374" i="55"/>
  <c r="S374" i="55"/>
  <c r="Q374" i="55"/>
  <c r="L373" i="18"/>
  <c r="C373" i="18"/>
  <c r="K373" i="18" s="1"/>
  <c r="F375" i="55" l="1"/>
  <c r="P375" i="55"/>
  <c r="J375" i="55"/>
  <c r="O375" i="55"/>
  <c r="R373" i="18"/>
  <c r="D375" i="55"/>
  <c r="B374" i="18"/>
  <c r="E374" i="18"/>
  <c r="C376" i="55" l="1"/>
  <c r="O374" i="18"/>
  <c r="N375" i="55"/>
  <c r="M375" i="55"/>
  <c r="L375" i="55"/>
  <c r="K375" i="55"/>
  <c r="A375" i="18"/>
  <c r="D375" i="18" s="1"/>
  <c r="B377" i="55" s="1"/>
  <c r="A376" i="55"/>
  <c r="M374" i="18"/>
  <c r="R375" i="55"/>
  <c r="T375" i="55"/>
  <c r="U375" i="55"/>
  <c r="S375" i="55"/>
  <c r="Q375" i="55"/>
  <c r="L374" i="18"/>
  <c r="C374" i="18"/>
  <c r="K374" i="18" s="1"/>
  <c r="F376" i="55" l="1"/>
  <c r="P376" i="55"/>
  <c r="O376" i="55"/>
  <c r="J376" i="55"/>
  <c r="R374" i="18"/>
  <c r="D376" i="55"/>
  <c r="E375" i="18"/>
  <c r="B375" i="18"/>
  <c r="A376" i="18" l="1"/>
  <c r="A377" i="55"/>
  <c r="M375" i="18"/>
  <c r="C377" i="55"/>
  <c r="O375" i="18"/>
  <c r="N376" i="55"/>
  <c r="L376" i="55"/>
  <c r="M376" i="55"/>
  <c r="K376" i="55"/>
  <c r="R376" i="55"/>
  <c r="T376" i="55"/>
  <c r="U376" i="55"/>
  <c r="S376" i="55"/>
  <c r="Q376" i="55"/>
  <c r="L375" i="18"/>
  <c r="C375" i="18"/>
  <c r="K375" i="18" s="1"/>
  <c r="D376" i="18"/>
  <c r="B378" i="55" s="1"/>
  <c r="F377" i="55" l="1"/>
  <c r="P377" i="55"/>
  <c r="O377" i="55"/>
  <c r="J377" i="55"/>
  <c r="R375" i="18"/>
  <c r="D377" i="55"/>
  <c r="E376" i="18"/>
  <c r="B376" i="18"/>
  <c r="C378" i="55" l="1"/>
  <c r="O376" i="18"/>
  <c r="A377" i="18"/>
  <c r="A378" i="55"/>
  <c r="M376" i="18"/>
  <c r="N377" i="55"/>
  <c r="L377" i="55"/>
  <c r="M377" i="55"/>
  <c r="K377" i="55"/>
  <c r="R377" i="55"/>
  <c r="T377" i="55"/>
  <c r="U377" i="55"/>
  <c r="S377" i="55"/>
  <c r="Q377" i="55"/>
  <c r="L376" i="18"/>
  <c r="C376" i="18"/>
  <c r="K376" i="18" s="1"/>
  <c r="D377" i="18"/>
  <c r="B379" i="55" s="1"/>
  <c r="F378" i="55" l="1"/>
  <c r="P378" i="55"/>
  <c r="O378" i="55"/>
  <c r="J378" i="55"/>
  <c r="R376" i="18"/>
  <c r="D378" i="55"/>
  <c r="E377" i="18"/>
  <c r="B377" i="18"/>
  <c r="A378" i="18" l="1"/>
  <c r="A379" i="55"/>
  <c r="M377" i="18"/>
  <c r="C379" i="55"/>
  <c r="O377" i="18"/>
  <c r="L377" i="18"/>
  <c r="N378" i="55"/>
  <c r="M378" i="55"/>
  <c r="L378" i="55"/>
  <c r="K378" i="55"/>
  <c r="R378" i="55"/>
  <c r="U378" i="55"/>
  <c r="S378" i="55"/>
  <c r="T378" i="55"/>
  <c r="Q378" i="55"/>
  <c r="N377" i="18"/>
  <c r="D378" i="18"/>
  <c r="B380" i="55" s="1"/>
  <c r="C377" i="18"/>
  <c r="K377" i="18" s="1"/>
  <c r="E379" i="55" l="1"/>
  <c r="F379" i="55"/>
  <c r="P379" i="55"/>
  <c r="J379" i="55"/>
  <c r="O379" i="55"/>
  <c r="R377" i="18"/>
  <c r="D379" i="55"/>
  <c r="B378" i="18"/>
  <c r="E378" i="18"/>
  <c r="C380" i="55" l="1"/>
  <c r="O378" i="18"/>
  <c r="A379" i="18"/>
  <c r="D379" i="18" s="1"/>
  <c r="B381" i="55" s="1"/>
  <c r="A380" i="55"/>
  <c r="M378" i="18"/>
  <c r="N379" i="55"/>
  <c r="M379" i="55"/>
  <c r="L379" i="55"/>
  <c r="K379" i="55"/>
  <c r="R379" i="55"/>
  <c r="T379" i="55"/>
  <c r="U379" i="55"/>
  <c r="S379" i="55"/>
  <c r="Q379" i="55"/>
  <c r="G379" i="55"/>
  <c r="H379" i="55" s="1"/>
  <c r="I379" i="55" s="1"/>
  <c r="L378" i="18"/>
  <c r="N378" i="18"/>
  <c r="C378" i="18"/>
  <c r="K378" i="18" s="1"/>
  <c r="E380" i="55" l="1"/>
  <c r="F380" i="55"/>
  <c r="P380" i="55"/>
  <c r="J380" i="55"/>
  <c r="O380" i="55"/>
  <c r="R378" i="18"/>
  <c r="D380" i="55"/>
  <c r="E379" i="18"/>
  <c r="B379" i="18"/>
  <c r="G380" i="55" l="1"/>
  <c r="H380" i="55" s="1"/>
  <c r="I380" i="55" s="1"/>
  <c r="C381" i="55"/>
  <c r="O379" i="18"/>
  <c r="A380" i="18"/>
  <c r="D380" i="18" s="1"/>
  <c r="B382" i="55" s="1"/>
  <c r="A381" i="55"/>
  <c r="M379" i="18"/>
  <c r="L379" i="18"/>
  <c r="N380" i="55"/>
  <c r="M380" i="55"/>
  <c r="L380" i="55"/>
  <c r="K380" i="55"/>
  <c r="R380" i="55"/>
  <c r="T380" i="55"/>
  <c r="U380" i="55"/>
  <c r="S380" i="55"/>
  <c r="Q380" i="55"/>
  <c r="C379" i="18"/>
  <c r="K379" i="18" s="1"/>
  <c r="P381" i="55" l="1"/>
  <c r="J381" i="55"/>
  <c r="O381" i="55"/>
  <c r="F381" i="55"/>
  <c r="R379" i="18"/>
  <c r="D381" i="55"/>
  <c r="E380" i="18"/>
  <c r="B380" i="18"/>
  <c r="A381" i="18" l="1"/>
  <c r="A382" i="55"/>
  <c r="L380" i="18"/>
  <c r="M380" i="18"/>
  <c r="C382" i="55"/>
  <c r="O380" i="18"/>
  <c r="N381" i="55"/>
  <c r="L381" i="55"/>
  <c r="M381" i="55"/>
  <c r="K381" i="55"/>
  <c r="C380" i="18"/>
  <c r="K380" i="18" s="1"/>
  <c r="D381" i="18"/>
  <c r="B383" i="55" s="1"/>
  <c r="F382" i="55" l="1"/>
  <c r="P382" i="55"/>
  <c r="J382" i="55"/>
  <c r="O382" i="55"/>
  <c r="R380" i="18"/>
  <c r="D382" i="55"/>
  <c r="B381" i="18"/>
  <c r="E381" i="18"/>
  <c r="C383" i="55" l="1"/>
  <c r="O381" i="18"/>
  <c r="A382" i="18"/>
  <c r="A383" i="55"/>
  <c r="L382" i="55"/>
  <c r="M382" i="55"/>
  <c r="N382" i="55"/>
  <c r="K382" i="55"/>
  <c r="L381" i="18"/>
  <c r="M381" i="18"/>
  <c r="C381" i="18"/>
  <c r="K381" i="18" s="1"/>
  <c r="D382" i="18"/>
  <c r="B384" i="55" s="1"/>
  <c r="P383" i="55" l="1"/>
  <c r="O383" i="55"/>
  <c r="J383" i="55"/>
  <c r="F383" i="55"/>
  <c r="R381" i="18"/>
  <c r="D383" i="55"/>
  <c r="B382" i="18"/>
  <c r="E382" i="18"/>
  <c r="R383" i="55" l="1"/>
  <c r="D89" i="59" s="1"/>
  <c r="C384" i="55"/>
  <c r="O382" i="18"/>
  <c r="A383" i="18"/>
  <c r="D383" i="18" s="1"/>
  <c r="B385" i="55" s="1"/>
  <c r="A384" i="55"/>
  <c r="M382" i="18"/>
  <c r="L383" i="55"/>
  <c r="N383" i="55"/>
  <c r="M383" i="55"/>
  <c r="K383" i="55"/>
  <c r="L382" i="18"/>
  <c r="C382" i="18"/>
  <c r="K382" i="18" s="1"/>
  <c r="P384" i="55" l="1"/>
  <c r="O384" i="55"/>
  <c r="J384" i="55"/>
  <c r="F384" i="55"/>
  <c r="R382" i="18"/>
  <c r="D384" i="55"/>
  <c r="E383" i="18"/>
  <c r="B383" i="18"/>
  <c r="R384" i="55" l="1"/>
  <c r="D90" i="59" s="1"/>
  <c r="A384" i="18"/>
  <c r="D384" i="18" s="1"/>
  <c r="B386" i="55" s="1"/>
  <c r="A385" i="55"/>
  <c r="M383" i="18"/>
  <c r="C385" i="55"/>
  <c r="O383" i="18"/>
  <c r="N384" i="55"/>
  <c r="L384" i="55"/>
  <c r="M384" i="55"/>
  <c r="K384" i="55"/>
  <c r="L383" i="18"/>
  <c r="C383" i="18"/>
  <c r="K383" i="18" s="1"/>
  <c r="F385" i="55" l="1"/>
  <c r="P385" i="55"/>
  <c r="J385" i="55"/>
  <c r="O385" i="55"/>
  <c r="R383" i="18"/>
  <c r="D385" i="55"/>
  <c r="B384" i="18"/>
  <c r="E384" i="18"/>
  <c r="C386" i="55" l="1"/>
  <c r="O384" i="18"/>
  <c r="A385" i="18"/>
  <c r="D385" i="18" s="1"/>
  <c r="B387" i="55" s="1"/>
  <c r="A386" i="55"/>
  <c r="M384" i="18"/>
  <c r="N385" i="55"/>
  <c r="M385" i="55"/>
  <c r="L385" i="55"/>
  <c r="K385" i="55"/>
  <c r="R385" i="55"/>
  <c r="T385" i="55"/>
  <c r="U385" i="55"/>
  <c r="S385" i="55"/>
  <c r="Q385" i="55"/>
  <c r="L384" i="18"/>
  <c r="C384" i="18"/>
  <c r="K384" i="18" s="1"/>
  <c r="P386" i="55" l="1"/>
  <c r="O386" i="55"/>
  <c r="J386" i="55"/>
  <c r="F386" i="55"/>
  <c r="R384" i="18"/>
  <c r="D386" i="55"/>
  <c r="E385" i="18"/>
  <c r="B385" i="18"/>
  <c r="A386" i="18" l="1"/>
  <c r="A387" i="55"/>
  <c r="C387" i="55"/>
  <c r="O385" i="18"/>
  <c r="L385" i="18"/>
  <c r="K386" i="55"/>
  <c r="M386" i="55"/>
  <c r="L386" i="55"/>
  <c r="N386" i="55"/>
  <c r="R386" i="55"/>
  <c r="T386" i="55"/>
  <c r="U386" i="55"/>
  <c r="S386" i="55"/>
  <c r="Q386" i="55"/>
  <c r="M385" i="18"/>
  <c r="D386" i="18"/>
  <c r="B388" i="55" s="1"/>
  <c r="C385" i="18"/>
  <c r="K385" i="18" s="1"/>
  <c r="F387" i="55" l="1"/>
  <c r="P387" i="55"/>
  <c r="J387" i="55"/>
  <c r="O387" i="55"/>
  <c r="R385" i="18"/>
  <c r="D387" i="55"/>
  <c r="B386" i="18"/>
  <c r="E386" i="18"/>
  <c r="C388" i="55" l="1"/>
  <c r="O386" i="18"/>
  <c r="A387" i="18"/>
  <c r="D387" i="18" s="1"/>
  <c r="B389" i="55" s="1"/>
  <c r="A388" i="55"/>
  <c r="M386" i="18"/>
  <c r="N387" i="55"/>
  <c r="K387" i="55"/>
  <c r="M387" i="55"/>
  <c r="L387" i="55"/>
  <c r="T387" i="55"/>
  <c r="R387" i="55"/>
  <c r="S387" i="55"/>
  <c r="U387" i="55"/>
  <c r="Q387" i="55"/>
  <c r="L386" i="18"/>
  <c r="C386" i="18"/>
  <c r="K386" i="18" s="1"/>
  <c r="P388" i="55" l="1"/>
  <c r="O388" i="55"/>
  <c r="J388" i="55"/>
  <c r="F388" i="55"/>
  <c r="R386" i="18"/>
  <c r="D388" i="55"/>
  <c r="E387" i="18"/>
  <c r="B387" i="18"/>
  <c r="A388" i="18" l="1"/>
  <c r="D388" i="18" s="1"/>
  <c r="B390" i="55" s="1"/>
  <c r="A389" i="55"/>
  <c r="M387" i="18"/>
  <c r="C389" i="55"/>
  <c r="O387" i="18"/>
  <c r="L387" i="18"/>
  <c r="N388" i="55"/>
  <c r="L388" i="55"/>
  <c r="K388" i="55"/>
  <c r="M388" i="55"/>
  <c r="R388" i="55"/>
  <c r="S388" i="55"/>
  <c r="T388" i="55"/>
  <c r="U388" i="55"/>
  <c r="Q388" i="55"/>
  <c r="C387" i="18"/>
  <c r="K387" i="18" s="1"/>
  <c r="F389" i="55" l="1"/>
  <c r="P389" i="55"/>
  <c r="O389" i="55"/>
  <c r="J389" i="55"/>
  <c r="R387" i="18"/>
  <c r="D389" i="55"/>
  <c r="B388" i="18"/>
  <c r="E388" i="18"/>
  <c r="C390" i="55" l="1"/>
  <c r="O388" i="18"/>
  <c r="A389" i="18"/>
  <c r="D389" i="18" s="1"/>
  <c r="B391" i="55" s="1"/>
  <c r="A390" i="55"/>
  <c r="M388" i="18"/>
  <c r="N389" i="55"/>
  <c r="M389" i="55"/>
  <c r="L389" i="55"/>
  <c r="K389" i="55"/>
  <c r="R389" i="55"/>
  <c r="T389" i="55"/>
  <c r="S389" i="55"/>
  <c r="U389" i="55"/>
  <c r="Q389" i="55"/>
  <c r="L388" i="18"/>
  <c r="C388" i="18"/>
  <c r="K388" i="18" s="1"/>
  <c r="P390" i="55" l="1"/>
  <c r="J390" i="55"/>
  <c r="O390" i="55"/>
  <c r="F390" i="55"/>
  <c r="R388" i="18"/>
  <c r="D390" i="55"/>
  <c r="E389" i="18"/>
  <c r="B389" i="18"/>
  <c r="C391" i="55" l="1"/>
  <c r="O389" i="18"/>
  <c r="A390" i="18"/>
  <c r="D390" i="18" s="1"/>
  <c r="B392" i="55" s="1"/>
  <c r="A391" i="55"/>
  <c r="M389" i="18"/>
  <c r="K390" i="55"/>
  <c r="N390" i="55"/>
  <c r="L390" i="55"/>
  <c r="M390" i="55"/>
  <c r="R390" i="55"/>
  <c r="T390" i="55"/>
  <c r="U390" i="55"/>
  <c r="S390" i="55"/>
  <c r="Q390" i="55"/>
  <c r="L389" i="18"/>
  <c r="C389" i="18"/>
  <c r="K389" i="18" s="1"/>
  <c r="P391" i="55" l="1"/>
  <c r="J391" i="55"/>
  <c r="O391" i="55"/>
  <c r="F391" i="55"/>
  <c r="R389" i="18"/>
  <c r="D391" i="55"/>
  <c r="B390" i="18"/>
  <c r="E390" i="18"/>
  <c r="A391" i="18" l="1"/>
  <c r="A392" i="55"/>
  <c r="M390" i="18"/>
  <c r="C392" i="55"/>
  <c r="O390" i="18"/>
  <c r="L390" i="18"/>
  <c r="N391" i="55"/>
  <c r="M391" i="55"/>
  <c r="L391" i="55"/>
  <c r="K391" i="55"/>
  <c r="R391" i="55"/>
  <c r="T391" i="55"/>
  <c r="U391" i="55"/>
  <c r="S391" i="55"/>
  <c r="Q391" i="55"/>
  <c r="D391" i="18"/>
  <c r="B393" i="55" s="1"/>
  <c r="C390" i="18"/>
  <c r="K390" i="18" s="1"/>
  <c r="F392" i="55" l="1"/>
  <c r="P392" i="55"/>
  <c r="J392" i="55"/>
  <c r="O392" i="55"/>
  <c r="R390" i="18"/>
  <c r="D392" i="55"/>
  <c r="E391" i="18"/>
  <c r="B391" i="18"/>
  <c r="A392" i="18" l="1"/>
  <c r="A393" i="55"/>
  <c r="M391" i="18"/>
  <c r="C393" i="55"/>
  <c r="O391" i="18"/>
  <c r="M392" i="55"/>
  <c r="L392" i="55"/>
  <c r="K392" i="55"/>
  <c r="N392" i="55"/>
  <c r="R392" i="55"/>
  <c r="T392" i="55"/>
  <c r="U392" i="55"/>
  <c r="S392" i="55"/>
  <c r="Q392" i="55"/>
  <c r="L391" i="18"/>
  <c r="C391" i="18"/>
  <c r="K391" i="18" s="1"/>
  <c r="D392" i="18"/>
  <c r="B394" i="55" s="1"/>
  <c r="F393" i="55" l="1"/>
  <c r="P393" i="55"/>
  <c r="J393" i="55"/>
  <c r="O393" i="55"/>
  <c r="R391" i="18"/>
  <c r="D393" i="55"/>
  <c r="E392" i="18"/>
  <c r="B392" i="18"/>
  <c r="A393" i="18" l="1"/>
  <c r="A394" i="55"/>
  <c r="M392" i="18"/>
  <c r="C394" i="55"/>
  <c r="O392" i="18"/>
  <c r="N393" i="55"/>
  <c r="M393" i="55"/>
  <c r="L393" i="55"/>
  <c r="K393" i="55"/>
  <c r="R393" i="55"/>
  <c r="T393" i="55"/>
  <c r="U393" i="55"/>
  <c r="S393" i="55"/>
  <c r="Q393" i="55"/>
  <c r="L392" i="18"/>
  <c r="D393" i="18"/>
  <c r="B395" i="55" s="1"/>
  <c r="C392" i="18"/>
  <c r="K392" i="18" s="1"/>
  <c r="F394" i="55" l="1"/>
  <c r="P394" i="55"/>
  <c r="O394" i="55"/>
  <c r="J394" i="55"/>
  <c r="R392" i="18"/>
  <c r="D394" i="55"/>
  <c r="B393" i="18"/>
  <c r="E393" i="18"/>
  <c r="A394" i="18" l="1"/>
  <c r="D394" i="18" s="1"/>
  <c r="B396" i="55" s="1"/>
  <c r="A395" i="55"/>
  <c r="M393" i="18"/>
  <c r="C395" i="55"/>
  <c r="O393" i="18"/>
  <c r="N394" i="55"/>
  <c r="L394" i="55"/>
  <c r="M394" i="55"/>
  <c r="K394" i="55"/>
  <c r="R394" i="55"/>
  <c r="T394" i="55"/>
  <c r="U394" i="55"/>
  <c r="S394" i="55"/>
  <c r="Q394" i="55"/>
  <c r="L393" i="18"/>
  <c r="C393" i="18"/>
  <c r="K393" i="18" s="1"/>
  <c r="F395" i="55" l="1"/>
  <c r="P395" i="55"/>
  <c r="O395" i="55"/>
  <c r="J395" i="55"/>
  <c r="R393" i="18"/>
  <c r="D395" i="55"/>
  <c r="B394" i="18"/>
  <c r="E394" i="18"/>
  <c r="C396" i="55" l="1"/>
  <c r="O394" i="18"/>
  <c r="A395" i="18"/>
  <c r="D395" i="18" s="1"/>
  <c r="B397" i="55" s="1"/>
  <c r="A396" i="55"/>
  <c r="M394" i="18"/>
  <c r="K395" i="55"/>
  <c r="N395" i="55"/>
  <c r="L395" i="55"/>
  <c r="M395" i="55"/>
  <c r="R395" i="55"/>
  <c r="T395" i="55"/>
  <c r="U395" i="55"/>
  <c r="S395" i="55"/>
  <c r="Q395" i="55"/>
  <c r="L394" i="18"/>
  <c r="C394" i="18"/>
  <c r="K394" i="18" s="1"/>
  <c r="P396" i="55" l="1"/>
  <c r="O396" i="55"/>
  <c r="J396" i="55"/>
  <c r="F396" i="55"/>
  <c r="R394" i="18"/>
  <c r="D396" i="55"/>
  <c r="E395" i="18"/>
  <c r="B395" i="18"/>
  <c r="C397" i="55" l="1"/>
  <c r="O395" i="18"/>
  <c r="A396" i="18"/>
  <c r="A397" i="55"/>
  <c r="M395" i="18"/>
  <c r="L395" i="18"/>
  <c r="N396" i="55"/>
  <c r="L396" i="55"/>
  <c r="M396" i="55"/>
  <c r="K396" i="55"/>
  <c r="R396" i="55"/>
  <c r="T396" i="55"/>
  <c r="U396" i="55"/>
  <c r="S396" i="55"/>
  <c r="Q396" i="55"/>
  <c r="C395" i="18"/>
  <c r="K395" i="18" s="1"/>
  <c r="D396" i="18"/>
  <c r="B398" i="55" s="1"/>
  <c r="P397" i="55" l="1"/>
  <c r="J397" i="55"/>
  <c r="O397" i="55"/>
  <c r="F397" i="55"/>
  <c r="R395" i="18"/>
  <c r="D397" i="55"/>
  <c r="E396" i="18"/>
  <c r="B396" i="18"/>
  <c r="A397" i="18" l="1"/>
  <c r="A398" i="55"/>
  <c r="M396" i="18"/>
  <c r="C398" i="55"/>
  <c r="O396" i="18"/>
  <c r="M397" i="55"/>
  <c r="K397" i="55"/>
  <c r="N397" i="55"/>
  <c r="L397" i="55"/>
  <c r="R397" i="55"/>
  <c r="U397" i="55"/>
  <c r="T397" i="55"/>
  <c r="S397" i="55"/>
  <c r="Q397" i="55"/>
  <c r="L396" i="18"/>
  <c r="D397" i="18"/>
  <c r="B399" i="55" s="1"/>
  <c r="C396" i="18"/>
  <c r="K396" i="18" s="1"/>
  <c r="F398" i="55" l="1"/>
  <c r="P398" i="55"/>
  <c r="J398" i="55"/>
  <c r="O398" i="55"/>
  <c r="R396" i="18"/>
  <c r="D398" i="55"/>
  <c r="B397" i="18"/>
  <c r="E397" i="18"/>
  <c r="C399" i="55" l="1"/>
  <c r="O397" i="18"/>
  <c r="A398" i="18"/>
  <c r="D398" i="18" s="1"/>
  <c r="B400" i="55" s="1"/>
  <c r="A399" i="55"/>
  <c r="M397" i="18"/>
  <c r="K398" i="55"/>
  <c r="L398" i="55"/>
  <c r="M398" i="55"/>
  <c r="N398" i="55"/>
  <c r="T398" i="55"/>
  <c r="U398" i="55"/>
  <c r="R398" i="55"/>
  <c r="S398" i="55"/>
  <c r="Q398" i="55"/>
  <c r="L397" i="18"/>
  <c r="C397" i="18"/>
  <c r="K397" i="18" s="1"/>
  <c r="P399" i="55" l="1"/>
  <c r="J399" i="55"/>
  <c r="O399" i="55"/>
  <c r="F399" i="55"/>
  <c r="R397" i="18"/>
  <c r="D399" i="55"/>
  <c r="E398" i="18"/>
  <c r="B398" i="18"/>
  <c r="A399" i="18" l="1"/>
  <c r="L398" i="18"/>
  <c r="M398" i="18"/>
  <c r="A400" i="55"/>
  <c r="C400" i="55"/>
  <c r="O398" i="18"/>
  <c r="N399" i="55"/>
  <c r="L399" i="55"/>
  <c r="M399" i="55"/>
  <c r="K399" i="55"/>
  <c r="D399" i="18"/>
  <c r="B401" i="55" s="1"/>
  <c r="C398" i="18"/>
  <c r="K398" i="18" s="1"/>
  <c r="P400" i="55" l="1"/>
  <c r="O400" i="55"/>
  <c r="J400" i="55"/>
  <c r="F400" i="55"/>
  <c r="R398" i="18"/>
  <c r="D400" i="55"/>
  <c r="E399" i="18"/>
  <c r="B399" i="18"/>
  <c r="C401" i="55" l="1"/>
  <c r="O399" i="18"/>
  <c r="A400" i="18"/>
  <c r="D400" i="18" s="1"/>
  <c r="B402" i="55" s="1"/>
  <c r="A401" i="55"/>
  <c r="M399" i="18"/>
  <c r="L399" i="18"/>
  <c r="C399" i="18"/>
  <c r="K399" i="18" s="1"/>
  <c r="F401" i="55" l="1"/>
  <c r="P401" i="55"/>
  <c r="J401" i="55"/>
  <c r="O401" i="55"/>
  <c r="R399" i="18"/>
  <c r="D401" i="55"/>
  <c r="E400" i="18"/>
  <c r="B400" i="18"/>
  <c r="R401" i="55" l="1"/>
  <c r="D93" i="59" s="1"/>
  <c r="A401" i="18"/>
  <c r="A402" i="55"/>
  <c r="M400" i="18"/>
  <c r="C402" i="55"/>
  <c r="O400" i="18"/>
  <c r="N401" i="55"/>
  <c r="M401" i="55"/>
  <c r="L401" i="55"/>
  <c r="K401" i="55"/>
  <c r="L400" i="18"/>
  <c r="D401" i="18"/>
  <c r="B403" i="55" s="1"/>
  <c r="C400" i="18"/>
  <c r="K400" i="18" s="1"/>
  <c r="F402" i="55" l="1"/>
  <c r="P402" i="55"/>
  <c r="O402" i="55"/>
  <c r="J402" i="55"/>
  <c r="R400" i="18"/>
  <c r="D402" i="55"/>
  <c r="E401" i="18"/>
  <c r="B401" i="18"/>
  <c r="C403" i="55" l="1"/>
  <c r="O401" i="18"/>
  <c r="A402" i="18"/>
  <c r="A403" i="55"/>
  <c r="M401" i="18"/>
  <c r="N402" i="55"/>
  <c r="L402" i="55"/>
  <c r="M402" i="55"/>
  <c r="K402" i="55"/>
  <c r="R402" i="55"/>
  <c r="D94" i="59" s="1"/>
  <c r="L401" i="18"/>
  <c r="D402" i="18"/>
  <c r="B404" i="55" s="1"/>
  <c r="C401" i="18"/>
  <c r="K401" i="18" s="1"/>
  <c r="F403" i="55" l="1"/>
  <c r="P403" i="55"/>
  <c r="J403" i="55"/>
  <c r="O403" i="55"/>
  <c r="R401" i="18"/>
  <c r="D403" i="55"/>
  <c r="E402" i="18"/>
  <c r="B402" i="18"/>
  <c r="C404" i="55" l="1"/>
  <c r="O402" i="18"/>
  <c r="A403" i="18"/>
  <c r="D403" i="18" s="1"/>
  <c r="B405" i="55" s="1"/>
  <c r="A404" i="55"/>
  <c r="M402" i="18"/>
  <c r="N403" i="55"/>
  <c r="L403" i="55"/>
  <c r="M403" i="55"/>
  <c r="K403" i="55"/>
  <c r="T403" i="55"/>
  <c r="U403" i="55"/>
  <c r="R403" i="55"/>
  <c r="S403" i="55"/>
  <c r="Q403" i="55"/>
  <c r="L402" i="18"/>
  <c r="C402" i="18"/>
  <c r="K402" i="18" s="1"/>
  <c r="F404" i="55" l="1"/>
  <c r="P404" i="55"/>
  <c r="J404" i="55"/>
  <c r="O404" i="55"/>
  <c r="R402" i="18"/>
  <c r="D404" i="55"/>
  <c r="E403" i="18"/>
  <c r="B403" i="18"/>
  <c r="A404" i="18" l="1"/>
  <c r="A405" i="55"/>
  <c r="M403" i="18"/>
  <c r="O403" i="18"/>
  <c r="C405" i="55"/>
  <c r="L403" i="18"/>
  <c r="N404" i="55"/>
  <c r="L404" i="55"/>
  <c r="M404" i="55"/>
  <c r="K404" i="55"/>
  <c r="T404" i="55"/>
  <c r="R404" i="55"/>
  <c r="U404" i="55"/>
  <c r="S404" i="55"/>
  <c r="Q404" i="55"/>
  <c r="C403" i="18"/>
  <c r="K403" i="18" s="1"/>
  <c r="D404" i="18"/>
  <c r="B406" i="55" s="1"/>
  <c r="F405" i="55" l="1"/>
  <c r="P405" i="55"/>
  <c r="J405" i="55"/>
  <c r="O405" i="55"/>
  <c r="R403" i="18"/>
  <c r="D405" i="55"/>
  <c r="B404" i="18"/>
  <c r="E404" i="18"/>
  <c r="O404" i="18" l="1"/>
  <c r="C406" i="55"/>
  <c r="A405" i="18"/>
  <c r="D405" i="18" s="1"/>
  <c r="B407" i="55" s="1"/>
  <c r="A406" i="55"/>
  <c r="M404" i="18"/>
  <c r="L405" i="55"/>
  <c r="M405" i="55"/>
  <c r="K405" i="55"/>
  <c r="N405" i="55"/>
  <c r="R405" i="55"/>
  <c r="T405" i="55"/>
  <c r="S405" i="55"/>
  <c r="U405" i="55"/>
  <c r="Q405" i="55"/>
  <c r="L404" i="18"/>
  <c r="C404" i="18"/>
  <c r="K404" i="18" s="1"/>
  <c r="F406" i="55" l="1"/>
  <c r="P406" i="55"/>
  <c r="O406" i="55"/>
  <c r="J406" i="55"/>
  <c r="R404" i="18"/>
  <c r="D406" i="55"/>
  <c r="B405" i="18"/>
  <c r="E405" i="18"/>
  <c r="C407" i="55" l="1"/>
  <c r="O405" i="18"/>
  <c r="A406" i="18"/>
  <c r="D406" i="18" s="1"/>
  <c r="B408" i="55" s="1"/>
  <c r="A407" i="55"/>
  <c r="M405" i="18"/>
  <c r="L405" i="18"/>
  <c r="N406" i="55"/>
  <c r="L406" i="55"/>
  <c r="M406" i="55"/>
  <c r="K406" i="55"/>
  <c r="R406" i="55"/>
  <c r="S406" i="55"/>
  <c r="T406" i="55"/>
  <c r="U406" i="55"/>
  <c r="Q406" i="55"/>
  <c r="C405" i="18"/>
  <c r="K405" i="18" s="1"/>
  <c r="F407" i="55" l="1"/>
  <c r="P407" i="55"/>
  <c r="O407" i="55"/>
  <c r="J407" i="55"/>
  <c r="R405" i="18"/>
  <c r="D407" i="55"/>
  <c r="B406" i="18"/>
  <c r="E406" i="18"/>
  <c r="C408" i="55" l="1"/>
  <c r="O406" i="18"/>
  <c r="A407" i="18"/>
  <c r="D407" i="18" s="1"/>
  <c r="B409" i="55" s="1"/>
  <c r="A408" i="55"/>
  <c r="M406" i="18"/>
  <c r="N407" i="55"/>
  <c r="L407" i="55"/>
  <c r="M407" i="55"/>
  <c r="K407" i="55"/>
  <c r="R407" i="55"/>
  <c r="S407" i="55"/>
  <c r="T407" i="55"/>
  <c r="U407" i="55"/>
  <c r="Q407" i="55"/>
  <c r="L406" i="18"/>
  <c r="C406" i="18"/>
  <c r="K406" i="18" s="1"/>
  <c r="F408" i="55" l="1"/>
  <c r="P408" i="55"/>
  <c r="O408" i="55"/>
  <c r="J408" i="55"/>
  <c r="R406" i="18"/>
  <c r="D408" i="55"/>
  <c r="B407" i="18"/>
  <c r="E407" i="18"/>
  <c r="C409" i="55" l="1"/>
  <c r="O407" i="18"/>
  <c r="A408" i="18"/>
  <c r="D408" i="18" s="1"/>
  <c r="B410" i="55" s="1"/>
  <c r="A409" i="55"/>
  <c r="M407" i="18"/>
  <c r="L407" i="18"/>
  <c r="N408" i="55"/>
  <c r="L408" i="55"/>
  <c r="M408" i="55"/>
  <c r="K408" i="55"/>
  <c r="R408" i="55"/>
  <c r="T408" i="55"/>
  <c r="U408" i="55"/>
  <c r="S408" i="55"/>
  <c r="Q408" i="55"/>
  <c r="C407" i="18"/>
  <c r="K407" i="18" s="1"/>
  <c r="F409" i="55" l="1"/>
  <c r="P409" i="55"/>
  <c r="O409" i="55"/>
  <c r="J409" i="55"/>
  <c r="R407" i="18"/>
  <c r="D409" i="55"/>
  <c r="B408" i="18"/>
  <c r="E408" i="18"/>
  <c r="C410" i="55" l="1"/>
  <c r="O408" i="18"/>
  <c r="A409" i="18"/>
  <c r="D409" i="18" s="1"/>
  <c r="B411" i="55" s="1"/>
  <c r="A410" i="55"/>
  <c r="M408" i="18"/>
  <c r="L409" i="55"/>
  <c r="N409" i="55"/>
  <c r="M409" i="55"/>
  <c r="K409" i="55"/>
  <c r="R409" i="55"/>
  <c r="T409" i="55"/>
  <c r="U409" i="55"/>
  <c r="S409" i="55"/>
  <c r="Q409" i="55"/>
  <c r="L408" i="18"/>
  <c r="C408" i="18"/>
  <c r="K408" i="18" s="1"/>
  <c r="F410" i="55" l="1"/>
  <c r="P410" i="55"/>
  <c r="O410" i="55"/>
  <c r="J410" i="55"/>
  <c r="R408" i="18"/>
  <c r="D410" i="55"/>
  <c r="E409" i="18"/>
  <c r="B409" i="18"/>
  <c r="C411" i="55" l="1"/>
  <c r="O409" i="18"/>
  <c r="A410" i="18"/>
  <c r="D410" i="18" s="1"/>
  <c r="B412" i="55" s="1"/>
  <c r="A411" i="55"/>
  <c r="M409" i="18"/>
  <c r="L409" i="18"/>
  <c r="N410" i="55"/>
  <c r="K410" i="55"/>
  <c r="M410" i="55"/>
  <c r="L410" i="55"/>
  <c r="R410" i="55"/>
  <c r="T410" i="55"/>
  <c r="U410" i="55"/>
  <c r="S410" i="55"/>
  <c r="Q410" i="55"/>
  <c r="C409" i="18"/>
  <c r="K409" i="18" s="1"/>
  <c r="F411" i="55" l="1"/>
  <c r="P411" i="55"/>
  <c r="O411" i="55"/>
  <c r="J411" i="55"/>
  <c r="R409" i="18"/>
  <c r="D411" i="55"/>
  <c r="B410" i="18"/>
  <c r="E410" i="18"/>
  <c r="C412" i="55" l="1"/>
  <c r="O410" i="18"/>
  <c r="A411" i="18"/>
  <c r="A412" i="55"/>
  <c r="M410" i="18"/>
  <c r="N411" i="55"/>
  <c r="K411" i="55"/>
  <c r="M411" i="55"/>
  <c r="L411" i="55"/>
  <c r="R411" i="55"/>
  <c r="T411" i="55"/>
  <c r="U411" i="55"/>
  <c r="S411" i="55"/>
  <c r="Q411" i="55"/>
  <c r="L410" i="18"/>
  <c r="C410" i="18"/>
  <c r="K410" i="18" s="1"/>
  <c r="D411" i="18"/>
  <c r="B413" i="55" s="1"/>
  <c r="F412" i="55" l="1"/>
  <c r="P412" i="55"/>
  <c r="J412" i="55"/>
  <c r="O412" i="55"/>
  <c r="R410" i="18"/>
  <c r="D412" i="55"/>
  <c r="B411" i="18"/>
  <c r="E411" i="18"/>
  <c r="C413" i="55" l="1"/>
  <c r="O411" i="18"/>
  <c r="A412" i="18"/>
  <c r="D412" i="18" s="1"/>
  <c r="B414" i="55" s="1"/>
  <c r="A413" i="55"/>
  <c r="M411" i="18"/>
  <c r="L411" i="18"/>
  <c r="L412" i="55"/>
  <c r="N412" i="55"/>
  <c r="K412" i="55"/>
  <c r="M412" i="55"/>
  <c r="R412" i="55"/>
  <c r="T412" i="55"/>
  <c r="U412" i="55"/>
  <c r="S412" i="55"/>
  <c r="Q412" i="55"/>
  <c r="C411" i="18"/>
  <c r="K411" i="18" s="1"/>
  <c r="F413" i="55" l="1"/>
  <c r="P413" i="55"/>
  <c r="O413" i="55"/>
  <c r="J413" i="55"/>
  <c r="R411" i="18"/>
  <c r="D413" i="55"/>
  <c r="E412" i="18"/>
  <c r="B412" i="18"/>
  <c r="A413" i="18" l="1"/>
  <c r="A414" i="55"/>
  <c r="M412" i="18"/>
  <c r="C414" i="55"/>
  <c r="O412" i="18"/>
  <c r="N413" i="55"/>
  <c r="M413" i="55"/>
  <c r="L413" i="55"/>
  <c r="K413" i="55"/>
  <c r="T413" i="55"/>
  <c r="U413" i="55"/>
  <c r="S413" i="55"/>
  <c r="R413" i="55"/>
  <c r="Q413" i="55"/>
  <c r="L412" i="18"/>
  <c r="N412" i="18"/>
  <c r="C412" i="18"/>
  <c r="K412" i="18" s="1"/>
  <c r="D413" i="18"/>
  <c r="B415" i="55" s="1"/>
  <c r="E414" i="55" l="1"/>
  <c r="F414" i="55"/>
  <c r="P414" i="55"/>
  <c r="J414" i="55"/>
  <c r="O414" i="55"/>
  <c r="R412" i="18"/>
  <c r="D414" i="55"/>
  <c r="E413" i="18"/>
  <c r="B413" i="18"/>
  <c r="G414" i="55" l="1"/>
  <c r="H414" i="55" s="1"/>
  <c r="I414" i="55" s="1"/>
  <c r="A414" i="18"/>
  <c r="A415" i="55"/>
  <c r="M413" i="18"/>
  <c r="C415" i="55"/>
  <c r="O413" i="18"/>
  <c r="M414" i="55"/>
  <c r="N414" i="55"/>
  <c r="L414" i="55"/>
  <c r="K414" i="55"/>
  <c r="R414" i="55"/>
  <c r="T414" i="55"/>
  <c r="U414" i="55"/>
  <c r="S414" i="55"/>
  <c r="Q414" i="55"/>
  <c r="L413" i="18"/>
  <c r="D414" i="18"/>
  <c r="B416" i="55" s="1"/>
  <c r="C413" i="18"/>
  <c r="K413" i="18" s="1"/>
  <c r="F415" i="55" l="1"/>
  <c r="P415" i="55"/>
  <c r="J415" i="55"/>
  <c r="O415" i="55"/>
  <c r="R413" i="18"/>
  <c r="D415" i="55"/>
  <c r="B414" i="18"/>
  <c r="E414" i="18"/>
  <c r="A415" i="18" l="1"/>
  <c r="D415" i="18" s="1"/>
  <c r="B417" i="55" s="1"/>
  <c r="A416" i="55"/>
  <c r="M414" i="18"/>
  <c r="C416" i="55"/>
  <c r="O414" i="18"/>
  <c r="N415" i="55"/>
  <c r="M415" i="55"/>
  <c r="L415" i="55"/>
  <c r="K415" i="55"/>
  <c r="R415" i="55"/>
  <c r="T415" i="55"/>
  <c r="U415" i="55"/>
  <c r="S415" i="55"/>
  <c r="Q415" i="55"/>
  <c r="L414" i="18"/>
  <c r="C414" i="18"/>
  <c r="K414" i="18" s="1"/>
  <c r="F416" i="55" l="1"/>
  <c r="P416" i="55"/>
  <c r="J416" i="55"/>
  <c r="O416" i="55"/>
  <c r="R414" i="18"/>
  <c r="D416" i="55"/>
  <c r="B415" i="18"/>
  <c r="E415" i="18"/>
  <c r="A416" i="18" l="1"/>
  <c r="A417" i="55"/>
  <c r="M415" i="18"/>
  <c r="C417" i="55"/>
  <c r="O415" i="18"/>
  <c r="N416" i="55"/>
  <c r="M416" i="55"/>
  <c r="L416" i="55"/>
  <c r="K416" i="55"/>
  <c r="R416" i="55"/>
  <c r="T416" i="55"/>
  <c r="U416" i="55"/>
  <c r="S416" i="55"/>
  <c r="Q416" i="55"/>
  <c r="L415" i="18"/>
  <c r="D416" i="18"/>
  <c r="B418" i="55" s="1"/>
  <c r="C415" i="18"/>
  <c r="K415" i="18" s="1"/>
  <c r="F417" i="55" l="1"/>
  <c r="P417" i="55"/>
  <c r="J417" i="55"/>
  <c r="O417" i="55"/>
  <c r="R415" i="18"/>
  <c r="D417" i="55"/>
  <c r="E416" i="18"/>
  <c r="B416" i="18"/>
  <c r="A417" i="18" l="1"/>
  <c r="D417" i="18" s="1"/>
  <c r="B419" i="55" s="1"/>
  <c r="L416" i="18"/>
  <c r="M416" i="18"/>
  <c r="A418" i="55"/>
  <c r="C418" i="55"/>
  <c r="O416" i="18"/>
  <c r="N417" i="55"/>
  <c r="L417" i="55"/>
  <c r="M417" i="55"/>
  <c r="K417" i="55"/>
  <c r="C416" i="18"/>
  <c r="K416" i="18" s="1"/>
  <c r="F418" i="55" l="1"/>
  <c r="P418" i="55"/>
  <c r="O418" i="55"/>
  <c r="J418" i="55"/>
  <c r="R416" i="18"/>
  <c r="D418" i="55"/>
  <c r="B417" i="18"/>
  <c r="E417" i="18"/>
  <c r="C419" i="55" l="1"/>
  <c r="O417" i="18"/>
  <c r="A418" i="18"/>
  <c r="A419" i="55"/>
  <c r="L417" i="18"/>
  <c r="M417" i="18"/>
  <c r="N418" i="55"/>
  <c r="L418" i="55"/>
  <c r="K418" i="55"/>
  <c r="M418" i="55"/>
  <c r="D418" i="18"/>
  <c r="B420" i="55" s="1"/>
  <c r="C417" i="18"/>
  <c r="K417" i="18" s="1"/>
  <c r="P419" i="55" l="1"/>
  <c r="J419" i="55"/>
  <c r="O419" i="55"/>
  <c r="F419" i="55"/>
  <c r="R417" i="18"/>
  <c r="D419" i="55"/>
  <c r="B418" i="18"/>
  <c r="E418" i="18"/>
  <c r="R419" i="55" l="1"/>
  <c r="D97" i="59" s="1"/>
  <c r="C420" i="55"/>
  <c r="O418" i="18"/>
  <c r="A419" i="18"/>
  <c r="A420" i="55"/>
  <c r="M418" i="18"/>
  <c r="N419" i="55"/>
  <c r="K419" i="55"/>
  <c r="L419" i="55"/>
  <c r="M419" i="55"/>
  <c r="L418" i="18"/>
  <c r="D419" i="18"/>
  <c r="B421" i="55" s="1"/>
  <c r="C418" i="18"/>
  <c r="K418" i="18" s="1"/>
  <c r="P420" i="55" l="1"/>
  <c r="J420" i="55"/>
  <c r="O420" i="55"/>
  <c r="F420" i="55"/>
  <c r="R418" i="18"/>
  <c r="D420" i="55"/>
  <c r="B419" i="18"/>
  <c r="E419" i="18"/>
  <c r="R420" i="55" l="1"/>
  <c r="D98" i="59" s="1"/>
  <c r="A420" i="18"/>
  <c r="D420" i="18" s="1"/>
  <c r="B422" i="55" s="1"/>
  <c r="A421" i="55"/>
  <c r="M419" i="18"/>
  <c r="C421" i="55"/>
  <c r="O419" i="18"/>
  <c r="M420" i="55"/>
  <c r="L420" i="55"/>
  <c r="K420" i="55"/>
  <c r="N420" i="55"/>
  <c r="L419" i="18"/>
  <c r="C419" i="18"/>
  <c r="K419" i="18" s="1"/>
  <c r="F421" i="55" l="1"/>
  <c r="P421" i="55"/>
  <c r="O421" i="55"/>
  <c r="J421" i="55"/>
  <c r="R419" i="18"/>
  <c r="D421" i="55"/>
  <c r="E420" i="18"/>
  <c r="B420" i="18"/>
  <c r="A421" i="18" l="1"/>
  <c r="A422" i="55"/>
  <c r="M420" i="18"/>
  <c r="C422" i="55"/>
  <c r="O420" i="18"/>
  <c r="K421" i="55"/>
  <c r="M421" i="55"/>
  <c r="L421" i="55"/>
  <c r="N421" i="55"/>
  <c r="R421" i="55"/>
  <c r="T421" i="55"/>
  <c r="S421" i="55"/>
  <c r="U421" i="55"/>
  <c r="Q421" i="55"/>
  <c r="L420" i="18"/>
  <c r="C420" i="18"/>
  <c r="K420" i="18" s="1"/>
  <c r="D421" i="18"/>
  <c r="B423" i="55" s="1"/>
  <c r="F422" i="55" l="1"/>
  <c r="P422" i="55"/>
  <c r="J422" i="55"/>
  <c r="O422" i="55"/>
  <c r="R420" i="18"/>
  <c r="D422" i="55"/>
  <c r="E421" i="18"/>
  <c r="B421" i="18"/>
  <c r="A422" i="18" l="1"/>
  <c r="A423" i="55"/>
  <c r="M421" i="18"/>
  <c r="C423" i="55"/>
  <c r="O421" i="18"/>
  <c r="N422" i="55"/>
  <c r="M422" i="55"/>
  <c r="L422" i="55"/>
  <c r="K422" i="55"/>
  <c r="R422" i="55"/>
  <c r="S422" i="55"/>
  <c r="T422" i="55"/>
  <c r="U422" i="55"/>
  <c r="Q422" i="55"/>
  <c r="L421" i="18"/>
  <c r="D422" i="18"/>
  <c r="B424" i="55" s="1"/>
  <c r="C421" i="18"/>
  <c r="K421" i="18" s="1"/>
  <c r="F423" i="55" l="1"/>
  <c r="P423" i="55"/>
  <c r="J423" i="55"/>
  <c r="O423" i="55"/>
  <c r="R421" i="18"/>
  <c r="D423" i="55"/>
  <c r="B422" i="18"/>
  <c r="E422" i="18"/>
  <c r="A423" i="18" l="1"/>
  <c r="D423" i="18" s="1"/>
  <c r="B425" i="55" s="1"/>
  <c r="A424" i="55"/>
  <c r="M422" i="18"/>
  <c r="C424" i="55"/>
  <c r="O422" i="18"/>
  <c r="N423" i="55"/>
  <c r="M423" i="55"/>
  <c r="L423" i="55"/>
  <c r="K423" i="55"/>
  <c r="R423" i="55"/>
  <c r="S423" i="55"/>
  <c r="T423" i="55"/>
  <c r="U423" i="55"/>
  <c r="Q423" i="55"/>
  <c r="L422" i="18"/>
  <c r="C422" i="18"/>
  <c r="K422" i="18" s="1"/>
  <c r="F424" i="55" l="1"/>
  <c r="P424" i="55"/>
  <c r="O424" i="55"/>
  <c r="J424" i="55"/>
  <c r="R422" i="18"/>
  <c r="D424" i="55"/>
  <c r="B423" i="18"/>
  <c r="E423" i="18"/>
  <c r="C425" i="55" l="1"/>
  <c r="O423" i="18"/>
  <c r="A424" i="18"/>
  <c r="D424" i="18" s="1"/>
  <c r="B426" i="55" s="1"/>
  <c r="A425" i="55"/>
  <c r="M423" i="18"/>
  <c r="N424" i="55"/>
  <c r="M424" i="55"/>
  <c r="L424" i="55"/>
  <c r="K424" i="55"/>
  <c r="R424" i="55"/>
  <c r="T424" i="55"/>
  <c r="U424" i="55"/>
  <c r="S424" i="55"/>
  <c r="Q424" i="55"/>
  <c r="L423" i="18"/>
  <c r="C423" i="18"/>
  <c r="K423" i="18" s="1"/>
  <c r="P425" i="55" l="1"/>
  <c r="J425" i="55"/>
  <c r="O425" i="55"/>
  <c r="F425" i="55"/>
  <c r="R423" i="18"/>
  <c r="D425" i="55"/>
  <c r="E424" i="18"/>
  <c r="B424" i="18"/>
  <c r="C426" i="55" l="1"/>
  <c r="O424" i="18"/>
  <c r="A425" i="18"/>
  <c r="D425" i="18" s="1"/>
  <c r="B427" i="55" s="1"/>
  <c r="A426" i="55"/>
  <c r="M424" i="18"/>
  <c r="L424" i="18"/>
  <c r="N425" i="55"/>
  <c r="M425" i="55"/>
  <c r="L425" i="55"/>
  <c r="K425" i="55"/>
  <c r="R425" i="55"/>
  <c r="T425" i="55"/>
  <c r="U425" i="55"/>
  <c r="S425" i="55"/>
  <c r="Q425" i="55"/>
  <c r="C424" i="18"/>
  <c r="K424" i="18" s="1"/>
  <c r="P426" i="55" l="1"/>
  <c r="O426" i="55"/>
  <c r="J426" i="55"/>
  <c r="F426" i="55"/>
  <c r="R424" i="18"/>
  <c r="D426" i="55"/>
  <c r="B425" i="18"/>
  <c r="E425" i="18"/>
  <c r="A426" i="18" l="1"/>
  <c r="D426" i="18" s="1"/>
  <c r="B428" i="55" s="1"/>
  <c r="A427" i="55"/>
  <c r="M425" i="18"/>
  <c r="C427" i="55"/>
  <c r="O425" i="18"/>
  <c r="N426" i="55"/>
  <c r="L426" i="55"/>
  <c r="M426" i="55"/>
  <c r="K426" i="55"/>
  <c r="R426" i="55"/>
  <c r="T426" i="55"/>
  <c r="U426" i="55"/>
  <c r="S426" i="55"/>
  <c r="Q426" i="55"/>
  <c r="L425" i="18"/>
  <c r="C425" i="18"/>
  <c r="K425" i="18" s="1"/>
  <c r="F427" i="55" l="1"/>
  <c r="P427" i="55"/>
  <c r="O427" i="55"/>
  <c r="J427" i="55"/>
  <c r="R425" i="18"/>
  <c r="D427" i="55"/>
  <c r="E426" i="18"/>
  <c r="B426" i="18"/>
  <c r="A427" i="18" l="1"/>
  <c r="A428" i="55"/>
  <c r="M426" i="18"/>
  <c r="C428" i="55"/>
  <c r="O426" i="18"/>
  <c r="K427" i="55"/>
  <c r="N427" i="55"/>
  <c r="M427" i="55"/>
  <c r="L427" i="55"/>
  <c r="R427" i="55"/>
  <c r="T427" i="55"/>
  <c r="U427" i="55"/>
  <c r="S427" i="55"/>
  <c r="Q427" i="55"/>
  <c r="L426" i="18"/>
  <c r="D427" i="18"/>
  <c r="B429" i="55" s="1"/>
  <c r="C426" i="18"/>
  <c r="K426" i="18" s="1"/>
  <c r="F428" i="55" l="1"/>
  <c r="P428" i="55"/>
  <c r="O428" i="55"/>
  <c r="J428" i="55"/>
  <c r="R426" i="18"/>
  <c r="D428" i="55"/>
  <c r="B427" i="18"/>
  <c r="E427" i="18"/>
  <c r="A428" i="18" l="1"/>
  <c r="A429" i="55"/>
  <c r="M427" i="18"/>
  <c r="C429" i="55"/>
  <c r="O427" i="18"/>
  <c r="L428" i="55"/>
  <c r="N428" i="55"/>
  <c r="M428" i="55"/>
  <c r="K428" i="55"/>
  <c r="R428" i="55"/>
  <c r="U428" i="55"/>
  <c r="T428" i="55"/>
  <c r="S428" i="55"/>
  <c r="Q428" i="55"/>
  <c r="L427" i="18"/>
  <c r="C427" i="18"/>
  <c r="K427" i="18" s="1"/>
  <c r="D428" i="18"/>
  <c r="B430" i="55" s="1"/>
  <c r="F429" i="55" l="1"/>
  <c r="P429" i="55"/>
  <c r="J429" i="55"/>
  <c r="O429" i="55"/>
  <c r="R427" i="18"/>
  <c r="D429" i="55"/>
  <c r="E428" i="18"/>
  <c r="B428" i="18"/>
  <c r="A429" i="18" l="1"/>
  <c r="A430" i="55"/>
  <c r="M428" i="18"/>
  <c r="N429" i="55"/>
  <c r="M429" i="55"/>
  <c r="L429" i="55"/>
  <c r="K429" i="55"/>
  <c r="C430" i="55"/>
  <c r="O428" i="18"/>
  <c r="L428" i="18"/>
  <c r="R429" i="55"/>
  <c r="T429" i="55"/>
  <c r="U429" i="55"/>
  <c r="S429" i="55"/>
  <c r="Q429" i="55"/>
  <c r="C428" i="18"/>
  <c r="K428" i="18" s="1"/>
  <c r="D429" i="18"/>
  <c r="B431" i="55" s="1"/>
  <c r="F430" i="55" l="1"/>
  <c r="P430" i="55"/>
  <c r="J430" i="55"/>
  <c r="O430" i="55"/>
  <c r="R428" i="18"/>
  <c r="D430" i="55"/>
  <c r="E429" i="18"/>
  <c r="B429" i="18"/>
  <c r="C431" i="55" l="1"/>
  <c r="O429" i="18"/>
  <c r="A430" i="18"/>
  <c r="D430" i="18" s="1"/>
  <c r="B432" i="55" s="1"/>
  <c r="A431" i="55"/>
  <c r="M429" i="18"/>
  <c r="R430" i="55"/>
  <c r="T430" i="55"/>
  <c r="U430" i="55"/>
  <c r="S430" i="55"/>
  <c r="Q430" i="55"/>
  <c r="N430" i="55"/>
  <c r="L430" i="55"/>
  <c r="M430" i="55"/>
  <c r="K430" i="55"/>
  <c r="L429" i="18"/>
  <c r="C429" i="18"/>
  <c r="K429" i="18" s="1"/>
  <c r="F431" i="55" l="1"/>
  <c r="P431" i="55"/>
  <c r="J431" i="55"/>
  <c r="O431" i="55"/>
  <c r="R429" i="18"/>
  <c r="D431" i="55"/>
  <c r="B430" i="18"/>
  <c r="L430" i="18" s="1"/>
  <c r="E430" i="18"/>
  <c r="C432" i="55" l="1"/>
  <c r="O430" i="18"/>
  <c r="N431" i="55"/>
  <c r="L431" i="55"/>
  <c r="M431" i="55"/>
  <c r="K431" i="55"/>
  <c r="A431" i="18"/>
  <c r="D431" i="18" s="1"/>
  <c r="B433" i="55" s="1"/>
  <c r="A432" i="55"/>
  <c r="M430" i="18"/>
  <c r="R431" i="55"/>
  <c r="T431" i="55"/>
  <c r="U431" i="55"/>
  <c r="S431" i="55"/>
  <c r="Q431" i="55"/>
  <c r="C430" i="18"/>
  <c r="K430" i="18" s="1"/>
  <c r="F432" i="55" l="1"/>
  <c r="P432" i="55"/>
  <c r="J432" i="55"/>
  <c r="O432" i="55"/>
  <c r="R430" i="18"/>
  <c r="D432" i="55"/>
  <c r="B431" i="18"/>
  <c r="E431" i="18"/>
  <c r="T432" i="55" l="1"/>
  <c r="U432" i="55"/>
  <c r="S432" i="55"/>
  <c r="R432" i="55"/>
  <c r="Q432" i="55"/>
  <c r="N431" i="18"/>
  <c r="C433" i="55"/>
  <c r="O431" i="18"/>
  <c r="A432" i="18"/>
  <c r="D432" i="18" s="1"/>
  <c r="B434" i="55" s="1"/>
  <c r="A433" i="55"/>
  <c r="M431" i="18"/>
  <c r="L431" i="18"/>
  <c r="M432" i="55"/>
  <c r="L432" i="55"/>
  <c r="K432" i="55"/>
  <c r="N432" i="55"/>
  <c r="C431" i="18"/>
  <c r="K431" i="18" s="1"/>
  <c r="E433" i="55" l="1"/>
  <c r="F433" i="55"/>
  <c r="P433" i="55"/>
  <c r="O433" i="55"/>
  <c r="J433" i="55"/>
  <c r="R431" i="18"/>
  <c r="D433" i="55"/>
  <c r="B432" i="18"/>
  <c r="E432" i="18"/>
  <c r="G433" i="55" l="1"/>
  <c r="H433" i="55" s="1"/>
  <c r="I433" i="55" s="1"/>
  <c r="C434" i="55"/>
  <c r="O432" i="18"/>
  <c r="N433" i="55"/>
  <c r="M433" i="55"/>
  <c r="L433" i="55"/>
  <c r="K433" i="55"/>
  <c r="T433" i="55"/>
  <c r="S433" i="55"/>
  <c r="U433" i="55"/>
  <c r="R433" i="55"/>
  <c r="Q433" i="55"/>
  <c r="A433" i="18"/>
  <c r="D433" i="18" s="1"/>
  <c r="B435" i="55" s="1"/>
  <c r="A434" i="55"/>
  <c r="M432" i="18"/>
  <c r="L432" i="18"/>
  <c r="C432" i="18"/>
  <c r="K432" i="18" s="1"/>
  <c r="F434" i="55" l="1"/>
  <c r="P434" i="55"/>
  <c r="O434" i="55"/>
  <c r="J434" i="55"/>
  <c r="R432" i="18"/>
  <c r="D434" i="55"/>
  <c r="B433" i="18"/>
  <c r="E433" i="18"/>
  <c r="C435" i="55" l="1"/>
  <c r="O433" i="18"/>
  <c r="A434" i="18"/>
  <c r="A435" i="55"/>
  <c r="M433" i="18"/>
  <c r="R434" i="55"/>
  <c r="T434" i="55"/>
  <c r="U434" i="55"/>
  <c r="S434" i="55"/>
  <c r="Q434" i="55"/>
  <c r="M434" i="55"/>
  <c r="K434" i="55"/>
  <c r="N434" i="55"/>
  <c r="L434" i="55"/>
  <c r="L433" i="18"/>
  <c r="D434" i="18"/>
  <c r="B436" i="55" s="1"/>
  <c r="C433" i="18"/>
  <c r="K433" i="18" s="1"/>
  <c r="F435" i="55" l="1"/>
  <c r="P435" i="55"/>
  <c r="O435" i="55"/>
  <c r="J435" i="55"/>
  <c r="R433" i="18"/>
  <c r="D435" i="55"/>
  <c r="E434" i="18"/>
  <c r="B434" i="18"/>
  <c r="A435" i="18" l="1"/>
  <c r="L434" i="18"/>
  <c r="M434" i="18"/>
  <c r="A436" i="55"/>
  <c r="N435" i="55"/>
  <c r="M435" i="55"/>
  <c r="L435" i="55"/>
  <c r="K435" i="55"/>
  <c r="O434" i="18"/>
  <c r="C436" i="55"/>
  <c r="C434" i="18"/>
  <c r="K434" i="18" s="1"/>
  <c r="D435" i="18"/>
  <c r="B437" i="55" s="1"/>
  <c r="P436" i="55" l="1"/>
  <c r="O436" i="55"/>
  <c r="J436" i="55"/>
  <c r="F436" i="55"/>
  <c r="R434" i="18"/>
  <c r="D436" i="55"/>
  <c r="E435" i="18"/>
  <c r="B435" i="18"/>
  <c r="C437" i="55" l="1"/>
  <c r="O435" i="18"/>
  <c r="A436" i="18"/>
  <c r="D436" i="18" s="1"/>
  <c r="B438" i="55" s="1"/>
  <c r="A437" i="55"/>
  <c r="M435" i="18"/>
  <c r="L435" i="18"/>
  <c r="C435" i="18"/>
  <c r="K435" i="18" s="1"/>
  <c r="F437" i="55" l="1"/>
  <c r="P437" i="55"/>
  <c r="O437" i="55"/>
  <c r="J437" i="55"/>
  <c r="R435" i="18"/>
  <c r="D437" i="55"/>
  <c r="B436" i="18"/>
  <c r="L436" i="18" s="1"/>
  <c r="E436" i="18"/>
  <c r="R437" i="55" l="1"/>
  <c r="D101" i="59" s="1"/>
  <c r="N437" i="55"/>
  <c r="M437" i="55"/>
  <c r="L437" i="55"/>
  <c r="K437" i="55"/>
  <c r="A437" i="18"/>
  <c r="D437" i="18" s="1"/>
  <c r="B439" i="55" s="1"/>
  <c r="A438" i="55"/>
  <c r="M436" i="18"/>
  <c r="C438" i="55"/>
  <c r="O436" i="18"/>
  <c r="C436" i="18"/>
  <c r="K436" i="18" s="1"/>
  <c r="F438" i="55" l="1"/>
  <c r="P438" i="55"/>
  <c r="J438" i="55"/>
  <c r="O438" i="55"/>
  <c r="R436" i="18"/>
  <c r="D438" i="55"/>
  <c r="B437" i="18"/>
  <c r="E437" i="18"/>
  <c r="C439" i="55" l="1"/>
  <c r="O437" i="18"/>
  <c r="A438" i="18"/>
  <c r="D438" i="18" s="1"/>
  <c r="B440" i="55" s="1"/>
  <c r="A439" i="55"/>
  <c r="M437" i="18"/>
  <c r="L437" i="18"/>
  <c r="N438" i="55"/>
  <c r="L438" i="55"/>
  <c r="M438" i="55"/>
  <c r="K438" i="55"/>
  <c r="R438" i="55"/>
  <c r="D102" i="59" s="1"/>
  <c r="C437" i="18"/>
  <c r="K437" i="18" s="1"/>
  <c r="F439" i="55" l="1"/>
  <c r="P439" i="55"/>
  <c r="O439" i="55"/>
  <c r="J439" i="55"/>
  <c r="R437" i="18"/>
  <c r="D439" i="55"/>
  <c r="B438" i="18"/>
  <c r="E438" i="18"/>
  <c r="C440" i="55" l="1"/>
  <c r="O438" i="18"/>
  <c r="A439" i="18"/>
  <c r="A440" i="55"/>
  <c r="M438" i="18"/>
  <c r="N439" i="55"/>
  <c r="L439" i="55"/>
  <c r="M439" i="55"/>
  <c r="K439" i="55"/>
  <c r="R439" i="55"/>
  <c r="S439" i="55"/>
  <c r="T439" i="55"/>
  <c r="U439" i="55"/>
  <c r="Q439" i="55"/>
  <c r="L438" i="18"/>
  <c r="D439" i="18"/>
  <c r="B441" i="55" s="1"/>
  <c r="C438" i="18"/>
  <c r="K438" i="18" s="1"/>
  <c r="F440" i="55" l="1"/>
  <c r="P440" i="55"/>
  <c r="J440" i="55"/>
  <c r="O440" i="55"/>
  <c r="R438" i="18"/>
  <c r="D440" i="55"/>
  <c r="B439" i="18"/>
  <c r="L439" i="18" s="1"/>
  <c r="E439" i="18"/>
  <c r="C441" i="55" l="1"/>
  <c r="O439" i="18"/>
  <c r="A440" i="18"/>
  <c r="D440" i="18" s="1"/>
  <c r="B442" i="55" s="1"/>
  <c r="A441" i="55"/>
  <c r="M439" i="18"/>
  <c r="R440" i="55"/>
  <c r="T440" i="55"/>
  <c r="U440" i="55"/>
  <c r="S440" i="55"/>
  <c r="Q440" i="55"/>
  <c r="N440" i="55"/>
  <c r="M440" i="55"/>
  <c r="L440" i="55"/>
  <c r="K440" i="55"/>
  <c r="C439" i="18"/>
  <c r="K439" i="18" s="1"/>
  <c r="F441" i="55" l="1"/>
  <c r="P441" i="55"/>
  <c r="J441" i="55"/>
  <c r="O441" i="55"/>
  <c r="R439" i="18"/>
  <c r="D441" i="55"/>
  <c r="E440" i="18"/>
  <c r="B440" i="18"/>
  <c r="C442" i="55" l="1"/>
  <c r="O440" i="18"/>
  <c r="N441" i="55"/>
  <c r="M441" i="55"/>
  <c r="L441" i="55"/>
  <c r="K441" i="55"/>
  <c r="A441" i="18"/>
  <c r="D441" i="18" s="1"/>
  <c r="B443" i="55" s="1"/>
  <c r="A442" i="55"/>
  <c r="M440" i="18"/>
  <c r="L440" i="18"/>
  <c r="R441" i="55"/>
  <c r="T441" i="55"/>
  <c r="U441" i="55"/>
  <c r="S441" i="55"/>
  <c r="Q441" i="55"/>
  <c r="C440" i="18"/>
  <c r="K440" i="18" s="1"/>
  <c r="F442" i="55" l="1"/>
  <c r="P442" i="55"/>
  <c r="O442" i="55"/>
  <c r="J442" i="55"/>
  <c r="R440" i="18"/>
  <c r="D442" i="55"/>
  <c r="E441" i="18"/>
  <c r="B441" i="18"/>
  <c r="A442" i="18" l="1"/>
  <c r="D442" i="18" s="1"/>
  <c r="B444" i="55" s="1"/>
  <c r="A443" i="55"/>
  <c r="M441" i="18"/>
  <c r="C443" i="55"/>
  <c r="O441" i="18"/>
  <c r="N442" i="55"/>
  <c r="L442" i="55"/>
  <c r="K442" i="55"/>
  <c r="M442" i="55"/>
  <c r="R442" i="55"/>
  <c r="T442" i="55"/>
  <c r="U442" i="55"/>
  <c r="S442" i="55"/>
  <c r="Q442" i="55"/>
  <c r="L441" i="18"/>
  <c r="C441" i="18"/>
  <c r="K441" i="18" s="1"/>
  <c r="F443" i="55" l="1"/>
  <c r="P443" i="55"/>
  <c r="J443" i="55"/>
  <c r="O443" i="55"/>
  <c r="R441" i="18"/>
  <c r="D443" i="55"/>
  <c r="B442" i="18"/>
  <c r="E442" i="18"/>
  <c r="A443" i="18" l="1"/>
  <c r="D443" i="18" s="1"/>
  <c r="B445" i="55" s="1"/>
  <c r="A444" i="55"/>
  <c r="M442" i="18"/>
  <c r="R443" i="55"/>
  <c r="T443" i="55"/>
  <c r="S443" i="55"/>
  <c r="U443" i="55"/>
  <c r="Q443" i="55"/>
  <c r="C444" i="55"/>
  <c r="O442" i="18"/>
  <c r="N443" i="55"/>
  <c r="K443" i="55"/>
  <c r="M443" i="55"/>
  <c r="L443" i="55"/>
  <c r="L442" i="18"/>
  <c r="C442" i="18"/>
  <c r="K442" i="18" s="1"/>
  <c r="F444" i="55" l="1"/>
  <c r="P444" i="55"/>
  <c r="J444" i="55"/>
  <c r="O444" i="55"/>
  <c r="R442" i="18"/>
  <c r="D444" i="55"/>
  <c r="B443" i="18"/>
  <c r="E443" i="18"/>
  <c r="R444" i="55" l="1"/>
  <c r="S444" i="55"/>
  <c r="T444" i="55"/>
  <c r="U444" i="55"/>
  <c r="Q444" i="55"/>
  <c r="C445" i="55"/>
  <c r="O443" i="18"/>
  <c r="A444" i="18"/>
  <c r="D444" i="18" s="1"/>
  <c r="B446" i="55" s="1"/>
  <c r="A445" i="55"/>
  <c r="M443" i="18"/>
  <c r="M444" i="55"/>
  <c r="K444" i="55"/>
  <c r="N444" i="55"/>
  <c r="L444" i="55"/>
  <c r="L443" i="18"/>
  <c r="C443" i="18"/>
  <c r="K443" i="18" s="1"/>
  <c r="F445" i="55" l="1"/>
  <c r="P445" i="55"/>
  <c r="O445" i="55"/>
  <c r="J445" i="55"/>
  <c r="R443" i="18"/>
  <c r="D445" i="55"/>
  <c r="B444" i="18"/>
  <c r="L444" i="18" s="1"/>
  <c r="E444" i="18"/>
  <c r="A445" i="18" l="1"/>
  <c r="D445" i="18" s="1"/>
  <c r="B447" i="55" s="1"/>
  <c r="A446" i="55"/>
  <c r="M444" i="18"/>
  <c r="C446" i="55"/>
  <c r="O444" i="18"/>
  <c r="N445" i="55"/>
  <c r="L445" i="55"/>
  <c r="M445" i="55"/>
  <c r="K445" i="55"/>
  <c r="R445" i="55"/>
  <c r="U445" i="55"/>
  <c r="S445" i="55"/>
  <c r="T445" i="55"/>
  <c r="Q445" i="55"/>
  <c r="C444" i="18"/>
  <c r="K444" i="18" s="1"/>
  <c r="F446" i="55" l="1"/>
  <c r="P446" i="55"/>
  <c r="J446" i="55"/>
  <c r="O446" i="55"/>
  <c r="R444" i="18"/>
  <c r="D446" i="55"/>
  <c r="B445" i="18"/>
  <c r="E445" i="18"/>
  <c r="A446" i="18" l="1"/>
  <c r="D446" i="18" s="1"/>
  <c r="B448" i="55" s="1"/>
  <c r="A447" i="55"/>
  <c r="M445" i="18"/>
  <c r="L445" i="18"/>
  <c r="N446" i="55"/>
  <c r="M446" i="55"/>
  <c r="L446" i="55"/>
  <c r="K446" i="55"/>
  <c r="T446" i="55"/>
  <c r="U446" i="55"/>
  <c r="R446" i="55"/>
  <c r="S446" i="55"/>
  <c r="Q446" i="55"/>
  <c r="O445" i="18"/>
  <c r="C447" i="55"/>
  <c r="C445" i="18"/>
  <c r="K445" i="18" s="1"/>
  <c r="P447" i="55" l="1"/>
  <c r="J447" i="55"/>
  <c r="O447" i="55"/>
  <c r="F447" i="55"/>
  <c r="R445" i="18"/>
  <c r="D447" i="55"/>
  <c r="B446" i="18"/>
  <c r="E446" i="18"/>
  <c r="C448" i="55" l="1"/>
  <c r="O446" i="18"/>
  <c r="A447" i="18"/>
  <c r="D447" i="18" s="1"/>
  <c r="B449" i="55" s="1"/>
  <c r="A448" i="55"/>
  <c r="M446" i="18"/>
  <c r="R447" i="55"/>
  <c r="T447" i="55"/>
  <c r="U447" i="55"/>
  <c r="S447" i="55"/>
  <c r="Q447" i="55"/>
  <c r="N447" i="55"/>
  <c r="L447" i="55"/>
  <c r="M447" i="55"/>
  <c r="K447" i="55"/>
  <c r="L446" i="18"/>
  <c r="C446" i="18"/>
  <c r="K446" i="18" s="1"/>
  <c r="F448" i="55" l="1"/>
  <c r="P448" i="55"/>
  <c r="O448" i="55"/>
  <c r="J448" i="55"/>
  <c r="R446" i="18"/>
  <c r="D448" i="55"/>
  <c r="B447" i="18"/>
  <c r="L447" i="18" s="1"/>
  <c r="E447" i="18"/>
  <c r="C449" i="55" l="1"/>
  <c r="O447" i="18"/>
  <c r="A448" i="18"/>
  <c r="D448" i="18" s="1"/>
  <c r="B450" i="55" s="1"/>
  <c r="A449" i="55"/>
  <c r="M447" i="18"/>
  <c r="N448" i="55"/>
  <c r="M448" i="55"/>
  <c r="L448" i="55"/>
  <c r="K448" i="55"/>
  <c r="R448" i="55"/>
  <c r="T448" i="55"/>
  <c r="U448" i="55"/>
  <c r="S448" i="55"/>
  <c r="Q448" i="55"/>
  <c r="C447" i="18"/>
  <c r="K447" i="18" s="1"/>
  <c r="F449" i="55" l="1"/>
  <c r="P449" i="55"/>
  <c r="J449" i="55"/>
  <c r="O449" i="55"/>
  <c r="R447" i="18"/>
  <c r="D449" i="55"/>
  <c r="B448" i="18"/>
  <c r="E448" i="18"/>
  <c r="C450" i="55" l="1"/>
  <c r="O448" i="18"/>
  <c r="A449" i="18"/>
  <c r="D449" i="18" s="1"/>
  <c r="B451" i="55" s="1"/>
  <c r="A450" i="55"/>
  <c r="M448" i="18"/>
  <c r="L448" i="18"/>
  <c r="N449" i="55"/>
  <c r="M449" i="55"/>
  <c r="L449" i="55"/>
  <c r="K449" i="55"/>
  <c r="R449" i="55"/>
  <c r="T449" i="55"/>
  <c r="S449" i="55"/>
  <c r="U449" i="55"/>
  <c r="Q449" i="55"/>
  <c r="C448" i="18"/>
  <c r="K448" i="18" s="1"/>
  <c r="F450" i="55" l="1"/>
  <c r="P450" i="55"/>
  <c r="J450" i="55"/>
  <c r="O450" i="55"/>
  <c r="R448" i="18"/>
  <c r="D450" i="55"/>
  <c r="B449" i="18"/>
  <c r="E449" i="18"/>
  <c r="C451" i="55" l="1"/>
  <c r="O449" i="18"/>
  <c r="A450" i="18"/>
  <c r="D450" i="18" s="1"/>
  <c r="B452" i="55" s="1"/>
  <c r="A451" i="55"/>
  <c r="M449" i="18"/>
  <c r="N450" i="55"/>
  <c r="M450" i="55"/>
  <c r="L450" i="55"/>
  <c r="K450" i="55"/>
  <c r="R450" i="55"/>
  <c r="T450" i="55"/>
  <c r="U450" i="55"/>
  <c r="S450" i="55"/>
  <c r="Q450" i="55"/>
  <c r="L449" i="18"/>
  <c r="C449" i="18"/>
  <c r="K449" i="18" s="1"/>
  <c r="F451" i="55" l="1"/>
  <c r="P451" i="55"/>
  <c r="J451" i="55"/>
  <c r="O451" i="55"/>
  <c r="R449" i="18"/>
  <c r="D451" i="55"/>
  <c r="B450" i="18"/>
  <c r="E450" i="18"/>
  <c r="A451" i="18" l="1"/>
  <c r="A452" i="55"/>
  <c r="M450" i="18"/>
  <c r="C452" i="55"/>
  <c r="O450" i="18"/>
  <c r="K451" i="55"/>
  <c r="N451" i="55"/>
  <c r="M451" i="55"/>
  <c r="L451" i="55"/>
  <c r="L450" i="18"/>
  <c r="R451" i="55"/>
  <c r="T451" i="55"/>
  <c r="S451" i="55"/>
  <c r="U451" i="55"/>
  <c r="Q451" i="55"/>
  <c r="C450" i="18"/>
  <c r="K450" i="18" s="1"/>
  <c r="D451" i="18"/>
  <c r="B453" i="55" s="1"/>
  <c r="F452" i="55" l="1"/>
  <c r="P452" i="55"/>
  <c r="J452" i="55"/>
  <c r="O452" i="55"/>
  <c r="R450" i="18"/>
  <c r="D452" i="55"/>
  <c r="B451" i="18"/>
  <c r="E451" i="18"/>
  <c r="A452" i="18" l="1"/>
  <c r="A453" i="55"/>
  <c r="M451" i="18"/>
  <c r="C453" i="55"/>
  <c r="O451" i="18"/>
  <c r="N452" i="55"/>
  <c r="M452" i="55"/>
  <c r="L452" i="55"/>
  <c r="K452" i="55"/>
  <c r="R452" i="55"/>
  <c r="T452" i="55"/>
  <c r="U452" i="55"/>
  <c r="S452" i="55"/>
  <c r="Q452" i="55"/>
  <c r="L451" i="18"/>
  <c r="C451" i="18"/>
  <c r="K451" i="18" s="1"/>
  <c r="D452" i="18"/>
  <c r="B454" i="55" s="1"/>
  <c r="F453" i="55" l="1"/>
  <c r="P453" i="55"/>
  <c r="O453" i="55"/>
  <c r="J453" i="55"/>
  <c r="R451" i="18"/>
  <c r="D453" i="55"/>
  <c r="E452" i="18"/>
  <c r="B452" i="18"/>
  <c r="C454" i="55" l="1"/>
  <c r="O452" i="18"/>
  <c r="A453" i="18"/>
  <c r="A454" i="55"/>
  <c r="M452" i="18"/>
  <c r="L452" i="18"/>
  <c r="N453" i="55"/>
  <c r="M453" i="55"/>
  <c r="L453" i="55"/>
  <c r="K453" i="55"/>
  <c r="C452" i="18"/>
  <c r="K452" i="18" s="1"/>
  <c r="D453" i="18"/>
  <c r="B455" i="55" s="1"/>
  <c r="F454" i="55" l="1"/>
  <c r="P454" i="55"/>
  <c r="O454" i="55"/>
  <c r="J454" i="55"/>
  <c r="R452" i="18"/>
  <c r="D454" i="55"/>
  <c r="B453" i="18"/>
  <c r="M453" i="18" s="1"/>
  <c r="E453" i="18"/>
  <c r="C455" i="55" l="1"/>
  <c r="O453" i="18"/>
  <c r="F455" i="55" s="1"/>
  <c r="A454" i="18"/>
  <c r="D454" i="18" s="1"/>
  <c r="B456" i="55" s="1"/>
  <c r="A455" i="55"/>
  <c r="N454" i="55"/>
  <c r="L454" i="55"/>
  <c r="M454" i="55"/>
  <c r="K454" i="55"/>
  <c r="L453" i="18"/>
  <c r="C453" i="18"/>
  <c r="K453" i="18" s="1"/>
  <c r="P455" i="55" l="1"/>
  <c r="R455" i="55" s="1"/>
  <c r="D105" i="59" s="1"/>
  <c r="O455" i="55"/>
  <c r="J455" i="55"/>
  <c r="R453" i="18"/>
  <c r="D455" i="55"/>
  <c r="E454" i="18"/>
  <c r="B454" i="18"/>
  <c r="A455" i="18" l="1"/>
  <c r="A456" i="55"/>
  <c r="M454" i="18"/>
  <c r="C456" i="55"/>
  <c r="O454" i="18"/>
  <c r="L455" i="55"/>
  <c r="N455" i="55"/>
  <c r="M455" i="55"/>
  <c r="K455" i="55"/>
  <c r="L454" i="18"/>
  <c r="C454" i="18"/>
  <c r="K454" i="18" s="1"/>
  <c r="D455" i="18"/>
  <c r="B457" i="55" s="1"/>
  <c r="F456" i="55" l="1"/>
  <c r="P456" i="55"/>
  <c r="J456" i="55"/>
  <c r="O456" i="55"/>
  <c r="R454" i="18"/>
  <c r="D456" i="55"/>
  <c r="B455" i="18"/>
  <c r="E455" i="18"/>
  <c r="R456" i="55" l="1"/>
  <c r="D106" i="59" s="1"/>
  <c r="C457" i="55"/>
  <c r="O455" i="18"/>
  <c r="A456" i="18"/>
  <c r="D456" i="18" s="1"/>
  <c r="B458" i="55" s="1"/>
  <c r="A457" i="55"/>
  <c r="M455" i="18"/>
  <c r="N456" i="55"/>
  <c r="M456" i="55"/>
  <c r="K456" i="55"/>
  <c r="L456" i="55"/>
  <c r="L455" i="18"/>
  <c r="C455" i="18"/>
  <c r="K455" i="18" s="1"/>
  <c r="F457" i="55" l="1"/>
  <c r="P457" i="55"/>
  <c r="O457" i="55"/>
  <c r="J457" i="55"/>
  <c r="R455" i="18"/>
  <c r="D457" i="55"/>
  <c r="B456" i="18"/>
  <c r="L456" i="18" s="1"/>
  <c r="E456" i="18"/>
  <c r="C458" i="55" l="1"/>
  <c r="O456" i="18"/>
  <c r="N457" i="55"/>
  <c r="M457" i="55"/>
  <c r="L457" i="55"/>
  <c r="K457" i="55"/>
  <c r="A457" i="18"/>
  <c r="D457" i="18" s="1"/>
  <c r="B459" i="55" s="1"/>
  <c r="A458" i="55"/>
  <c r="M456" i="18"/>
  <c r="R457" i="55"/>
  <c r="T457" i="55"/>
  <c r="U457" i="55"/>
  <c r="S457" i="55"/>
  <c r="Q457" i="55"/>
  <c r="C456" i="18"/>
  <c r="K456" i="18" s="1"/>
  <c r="F458" i="55" l="1"/>
  <c r="P458" i="55"/>
  <c r="J458" i="55"/>
  <c r="O458" i="55"/>
  <c r="R456" i="18"/>
  <c r="D458" i="55"/>
  <c r="B457" i="18"/>
  <c r="E457" i="18"/>
  <c r="C459" i="55" l="1"/>
  <c r="O457" i="18"/>
  <c r="A458" i="18"/>
  <c r="D458" i="18" s="1"/>
  <c r="B460" i="55" s="1"/>
  <c r="A459" i="55"/>
  <c r="M457" i="18"/>
  <c r="L457" i="18"/>
  <c r="M458" i="55"/>
  <c r="L458" i="55"/>
  <c r="N458" i="55"/>
  <c r="K458" i="55"/>
  <c r="R458" i="55"/>
  <c r="T458" i="55"/>
  <c r="U458" i="55"/>
  <c r="S458" i="55"/>
  <c r="Q458" i="55"/>
  <c r="C457" i="18"/>
  <c r="K457" i="18" s="1"/>
  <c r="F459" i="55" l="1"/>
  <c r="P459" i="55"/>
  <c r="O459" i="55"/>
  <c r="J459" i="55"/>
  <c r="R457" i="18"/>
  <c r="D459" i="55"/>
  <c r="B458" i="18"/>
  <c r="E458" i="18"/>
  <c r="A459" i="18" l="1"/>
  <c r="D459" i="18" s="1"/>
  <c r="B461" i="55" s="1"/>
  <c r="A460" i="55"/>
  <c r="M458" i="18"/>
  <c r="M459" i="55"/>
  <c r="N459" i="55"/>
  <c r="L459" i="55"/>
  <c r="K459" i="55"/>
  <c r="C460" i="55"/>
  <c r="O458" i="18"/>
  <c r="R459" i="55"/>
  <c r="T459" i="55"/>
  <c r="U459" i="55"/>
  <c r="S459" i="55"/>
  <c r="Q459" i="55"/>
  <c r="L458" i="18"/>
  <c r="C458" i="18"/>
  <c r="K458" i="18" s="1"/>
  <c r="F460" i="55" l="1"/>
  <c r="P460" i="55"/>
  <c r="O460" i="55"/>
  <c r="J460" i="55"/>
  <c r="R458" i="18"/>
  <c r="D460" i="55"/>
  <c r="B459" i="18"/>
  <c r="E459" i="18"/>
  <c r="A460" i="18" l="1"/>
  <c r="A461" i="55"/>
  <c r="M459" i="18"/>
  <c r="C461" i="55"/>
  <c r="O459" i="18"/>
  <c r="L459" i="18"/>
  <c r="N460" i="55"/>
  <c r="M460" i="55"/>
  <c r="K460" i="55"/>
  <c r="L460" i="55"/>
  <c r="R460" i="55"/>
  <c r="U460" i="55"/>
  <c r="T460" i="55"/>
  <c r="S460" i="55"/>
  <c r="Q460" i="55"/>
  <c r="D460" i="18"/>
  <c r="B462" i="55" s="1"/>
  <c r="C459" i="18"/>
  <c r="K459" i="18" s="1"/>
  <c r="F461" i="55" l="1"/>
  <c r="P461" i="55"/>
  <c r="J461" i="55"/>
  <c r="O461" i="55"/>
  <c r="R459" i="18"/>
  <c r="D461" i="55"/>
  <c r="B460" i="18"/>
  <c r="E460" i="18"/>
  <c r="C462" i="55" l="1"/>
  <c r="O460" i="18"/>
  <c r="A461" i="18"/>
  <c r="D461" i="18" s="1"/>
  <c r="B463" i="55" s="1"/>
  <c r="A462" i="55"/>
  <c r="M460" i="18"/>
  <c r="L461" i="55"/>
  <c r="M461" i="55"/>
  <c r="N461" i="55"/>
  <c r="K461" i="55"/>
  <c r="R461" i="55"/>
  <c r="S461" i="55"/>
  <c r="T461" i="55"/>
  <c r="U461" i="55"/>
  <c r="Q461" i="55"/>
  <c r="L460" i="18"/>
  <c r="C460" i="18"/>
  <c r="K460" i="18" s="1"/>
  <c r="F462" i="55" l="1"/>
  <c r="P462" i="55"/>
  <c r="O462" i="55"/>
  <c r="J462" i="55"/>
  <c r="R460" i="18"/>
  <c r="D462" i="55"/>
  <c r="B461" i="18"/>
  <c r="L461" i="18" s="1"/>
  <c r="E461" i="18"/>
  <c r="A462" i="18" l="1"/>
  <c r="D462" i="18" s="1"/>
  <c r="B464" i="55" s="1"/>
  <c r="A463" i="55"/>
  <c r="M461" i="18"/>
  <c r="C463" i="55"/>
  <c r="O461" i="18"/>
  <c r="L462" i="55"/>
  <c r="N462" i="55"/>
  <c r="M462" i="55"/>
  <c r="K462" i="55"/>
  <c r="R462" i="55"/>
  <c r="T462" i="55"/>
  <c r="U462" i="55"/>
  <c r="S462" i="55"/>
  <c r="Q462" i="55"/>
  <c r="C461" i="18"/>
  <c r="K461" i="18" s="1"/>
  <c r="F463" i="55" l="1"/>
  <c r="P463" i="55"/>
  <c r="J463" i="55"/>
  <c r="O463" i="55"/>
  <c r="R461" i="18"/>
  <c r="D463" i="55"/>
  <c r="B462" i="18"/>
  <c r="E462" i="18"/>
  <c r="C464" i="55" l="1"/>
  <c r="O462" i="18"/>
  <c r="A463" i="18"/>
  <c r="D463" i="18" s="1"/>
  <c r="B465" i="55" s="1"/>
  <c r="A464" i="55"/>
  <c r="M462" i="18"/>
  <c r="L462" i="18"/>
  <c r="L463" i="55"/>
  <c r="K463" i="55"/>
  <c r="N463" i="55"/>
  <c r="M463" i="55"/>
  <c r="R463" i="55"/>
  <c r="T463" i="55"/>
  <c r="U463" i="55"/>
  <c r="S463" i="55"/>
  <c r="Q463" i="55"/>
  <c r="C462" i="18"/>
  <c r="K462" i="18" s="1"/>
  <c r="P464" i="55" l="1"/>
  <c r="J464" i="55"/>
  <c r="O464" i="55"/>
  <c r="F464" i="55"/>
  <c r="R462" i="18"/>
  <c r="D464" i="55"/>
  <c r="E463" i="18"/>
  <c r="B463" i="18"/>
  <c r="A464" i="18" l="1"/>
  <c r="A465" i="55"/>
  <c r="M463" i="18"/>
  <c r="C465" i="55"/>
  <c r="O463" i="18"/>
  <c r="R464" i="55"/>
  <c r="T464" i="55"/>
  <c r="U464" i="55"/>
  <c r="S464" i="55"/>
  <c r="Q464" i="55"/>
  <c r="L464" i="55"/>
  <c r="M464" i="55"/>
  <c r="K464" i="55"/>
  <c r="N464" i="55"/>
  <c r="L463" i="18"/>
  <c r="D464" i="18"/>
  <c r="B466" i="55" s="1"/>
  <c r="C463" i="18"/>
  <c r="K463" i="18" s="1"/>
  <c r="F465" i="55" l="1"/>
  <c r="P465" i="55"/>
  <c r="O465" i="55"/>
  <c r="J465" i="55"/>
  <c r="R463" i="18"/>
  <c r="D465" i="55"/>
  <c r="B464" i="18"/>
  <c r="E464" i="18"/>
  <c r="A465" i="18" l="1"/>
  <c r="D465" i="18" s="1"/>
  <c r="B467" i="55" s="1"/>
  <c r="A466" i="55"/>
  <c r="M464" i="18"/>
  <c r="C466" i="55"/>
  <c r="O464" i="18"/>
  <c r="L464" i="18"/>
  <c r="K465" i="55"/>
  <c r="L465" i="55"/>
  <c r="N465" i="55"/>
  <c r="M465" i="55"/>
  <c r="R465" i="55"/>
  <c r="T465" i="55"/>
  <c r="S465" i="55"/>
  <c r="U465" i="55"/>
  <c r="Q465" i="55"/>
  <c r="C464" i="18"/>
  <c r="K464" i="18" s="1"/>
  <c r="F466" i="55" l="1"/>
  <c r="P466" i="55"/>
  <c r="O466" i="55"/>
  <c r="J466" i="55"/>
  <c r="R464" i="18"/>
  <c r="D466" i="55"/>
  <c r="B465" i="18"/>
  <c r="E465" i="18"/>
  <c r="C467" i="55" l="1"/>
  <c r="O465" i="18"/>
  <c r="A466" i="18"/>
  <c r="D466" i="18" s="1"/>
  <c r="B468" i="55" s="1"/>
  <c r="A467" i="55"/>
  <c r="M465" i="18"/>
  <c r="M466" i="55"/>
  <c r="N466" i="55"/>
  <c r="L466" i="55"/>
  <c r="K466" i="55"/>
  <c r="R466" i="55"/>
  <c r="T466" i="55"/>
  <c r="U466" i="55"/>
  <c r="S466" i="55"/>
  <c r="Q466" i="55"/>
  <c r="L465" i="18"/>
  <c r="C465" i="18"/>
  <c r="K465" i="18" s="1"/>
  <c r="F467" i="55" l="1"/>
  <c r="P467" i="55"/>
  <c r="J467" i="55"/>
  <c r="O467" i="55"/>
  <c r="R465" i="18"/>
  <c r="D467" i="55"/>
  <c r="B466" i="18"/>
  <c r="E466" i="18"/>
  <c r="C468" i="55" l="1"/>
  <c r="O466" i="18"/>
  <c r="A467" i="18"/>
  <c r="D467" i="18" s="1"/>
  <c r="B469" i="55" s="1"/>
  <c r="A468" i="55"/>
  <c r="M466" i="18"/>
  <c r="L466" i="18"/>
  <c r="N467" i="55"/>
  <c r="L467" i="55"/>
  <c r="M467" i="55"/>
  <c r="K467" i="55"/>
  <c r="R467" i="55"/>
  <c r="T467" i="55"/>
  <c r="U467" i="55"/>
  <c r="S467" i="55"/>
  <c r="Q467" i="55"/>
  <c r="C466" i="18"/>
  <c r="K466" i="18" s="1"/>
  <c r="F468" i="55" l="1"/>
  <c r="P468" i="55"/>
  <c r="O468" i="55"/>
  <c r="J468" i="55"/>
  <c r="R466" i="18"/>
  <c r="D468" i="55"/>
  <c r="B467" i="18"/>
  <c r="E467" i="18"/>
  <c r="C469" i="55" l="1"/>
  <c r="O467" i="18"/>
  <c r="A468" i="18"/>
  <c r="D468" i="18" s="1"/>
  <c r="B470" i="55" s="1"/>
  <c r="A469" i="55"/>
  <c r="M467" i="18"/>
  <c r="N468" i="55"/>
  <c r="L468" i="55"/>
  <c r="M468" i="55"/>
  <c r="K468" i="55"/>
  <c r="L467" i="18"/>
  <c r="R468" i="55"/>
  <c r="T468" i="55"/>
  <c r="U468" i="55"/>
  <c r="S468" i="55"/>
  <c r="Q468" i="55"/>
  <c r="C467" i="18"/>
  <c r="K467" i="18" s="1"/>
  <c r="F469" i="55" l="1"/>
  <c r="P469" i="55"/>
  <c r="J469" i="55"/>
  <c r="O469" i="55"/>
  <c r="R467" i="18"/>
  <c r="D469" i="55"/>
  <c r="E468" i="18"/>
  <c r="B468" i="18"/>
  <c r="C470" i="55" l="1"/>
  <c r="O468" i="18"/>
  <c r="A469" i="18"/>
  <c r="A470" i="55"/>
  <c r="M468" i="18"/>
  <c r="N469" i="55"/>
  <c r="M469" i="55"/>
  <c r="K469" i="55"/>
  <c r="L469" i="55"/>
  <c r="R469" i="55"/>
  <c r="T469" i="55"/>
  <c r="U469" i="55"/>
  <c r="S469" i="55"/>
  <c r="Q469" i="55"/>
  <c r="L468" i="18"/>
  <c r="D469" i="18"/>
  <c r="B471" i="55" s="1"/>
  <c r="C468" i="18"/>
  <c r="K468" i="18" s="1"/>
  <c r="F470" i="55" l="1"/>
  <c r="P470" i="55"/>
  <c r="J470" i="55"/>
  <c r="O470" i="55"/>
  <c r="R468" i="18"/>
  <c r="D470" i="55"/>
  <c r="B469" i="18"/>
  <c r="E469" i="18"/>
  <c r="C471" i="55" l="1"/>
  <c r="O469" i="18"/>
  <c r="A470" i="18"/>
  <c r="D470" i="18" s="1"/>
  <c r="B472" i="55" s="1"/>
  <c r="A471" i="55"/>
  <c r="M469" i="18"/>
  <c r="L469" i="18"/>
  <c r="N470" i="55"/>
  <c r="M470" i="55"/>
  <c r="L470" i="55"/>
  <c r="K470" i="55"/>
  <c r="R470" i="55"/>
  <c r="T470" i="55"/>
  <c r="U470" i="55"/>
  <c r="S470" i="55"/>
  <c r="Q470" i="55"/>
  <c r="C469" i="18"/>
  <c r="K469" i="18" s="1"/>
  <c r="P471" i="55" l="1"/>
  <c r="J471" i="55"/>
  <c r="O471" i="55"/>
  <c r="F471" i="55"/>
  <c r="R469" i="18"/>
  <c r="D471" i="55"/>
  <c r="E470" i="18"/>
  <c r="B470" i="18"/>
  <c r="C472" i="55" l="1"/>
  <c r="O470" i="18"/>
  <c r="N471" i="55"/>
  <c r="M471" i="55"/>
  <c r="L471" i="55"/>
  <c r="K471" i="55"/>
  <c r="A471" i="18"/>
  <c r="D471" i="18" s="1"/>
  <c r="B473" i="55" s="1"/>
  <c r="A472" i="55"/>
  <c r="M470" i="18"/>
  <c r="L470" i="18"/>
  <c r="C470" i="18"/>
  <c r="K470" i="18" s="1"/>
  <c r="F472" i="55" l="1"/>
  <c r="P472" i="55"/>
  <c r="O472" i="55"/>
  <c r="J472" i="55"/>
  <c r="R470" i="18"/>
  <c r="D472" i="55"/>
  <c r="B471" i="18"/>
  <c r="E471" i="18"/>
  <c r="C473" i="55" l="1"/>
  <c r="O471" i="18"/>
  <c r="A472" i="18"/>
  <c r="D472" i="18" s="1"/>
  <c r="B474" i="55" s="1"/>
  <c r="A473" i="55"/>
  <c r="M471" i="18"/>
  <c r="L471" i="18"/>
  <c r="C471" i="18"/>
  <c r="K471" i="18" s="1"/>
  <c r="F473" i="55" l="1"/>
  <c r="P473" i="55"/>
  <c r="J473" i="55"/>
  <c r="O473" i="55"/>
  <c r="R471" i="18"/>
  <c r="D473" i="55"/>
  <c r="B472" i="18"/>
  <c r="E472" i="18"/>
  <c r="R473" i="55" l="1"/>
  <c r="D109" i="59" s="1"/>
  <c r="C474" i="55"/>
  <c r="O472" i="18"/>
  <c r="A473" i="18"/>
  <c r="D473" i="18" s="1"/>
  <c r="B475" i="55" s="1"/>
  <c r="A474" i="55"/>
  <c r="M472" i="18"/>
  <c r="N473" i="55"/>
  <c r="M473" i="55"/>
  <c r="L473" i="55"/>
  <c r="K473" i="55"/>
  <c r="L472" i="18"/>
  <c r="C472" i="18"/>
  <c r="K472" i="18" s="1"/>
  <c r="F474" i="55" l="1"/>
  <c r="P474" i="55"/>
  <c r="J474" i="55"/>
  <c r="O474" i="55"/>
  <c r="R472" i="18"/>
  <c r="D474" i="55"/>
  <c r="B473" i="18"/>
  <c r="E473" i="18"/>
  <c r="R474" i="55" l="1"/>
  <c r="D110" i="59" s="1"/>
  <c r="A474" i="18"/>
  <c r="D474" i="18" s="1"/>
  <c r="B476" i="55" s="1"/>
  <c r="A475" i="55"/>
  <c r="M473" i="18"/>
  <c r="C475" i="55"/>
  <c r="O473" i="18"/>
  <c r="K474" i="55"/>
  <c r="M474" i="55"/>
  <c r="L474" i="55"/>
  <c r="N474" i="55"/>
  <c r="L473" i="18"/>
  <c r="C473" i="18"/>
  <c r="K473" i="18" s="1"/>
  <c r="P475" i="55" l="1"/>
  <c r="J475" i="55"/>
  <c r="O475" i="55"/>
  <c r="F475" i="55"/>
  <c r="R473" i="18"/>
  <c r="D475" i="55"/>
  <c r="B474" i="18"/>
  <c r="E474" i="18"/>
  <c r="A475" i="18" l="1"/>
  <c r="A476" i="55"/>
  <c r="M474" i="18"/>
  <c r="R475" i="55"/>
  <c r="T475" i="55"/>
  <c r="U475" i="55"/>
  <c r="S475" i="55"/>
  <c r="Q475" i="55"/>
  <c r="C476" i="55"/>
  <c r="O474" i="18"/>
  <c r="M475" i="55"/>
  <c r="K475" i="55"/>
  <c r="L475" i="55"/>
  <c r="N475" i="55"/>
  <c r="L474" i="18"/>
  <c r="D475" i="18"/>
  <c r="B477" i="55" s="1"/>
  <c r="C474" i="18"/>
  <c r="K474" i="18" s="1"/>
  <c r="P476" i="55" l="1"/>
  <c r="O476" i="55"/>
  <c r="J476" i="55"/>
  <c r="F476" i="55"/>
  <c r="R474" i="18"/>
  <c r="D476" i="55"/>
  <c r="B475" i="18"/>
  <c r="E475" i="18"/>
  <c r="O475" i="18" l="1"/>
  <c r="C477" i="55"/>
  <c r="M476" i="55"/>
  <c r="N476" i="55"/>
  <c r="L476" i="55"/>
  <c r="K476" i="55"/>
  <c r="A476" i="18"/>
  <c r="D476" i="18" s="1"/>
  <c r="B478" i="55" s="1"/>
  <c r="A477" i="55"/>
  <c r="M475" i="18"/>
  <c r="R476" i="55"/>
  <c r="T476" i="55"/>
  <c r="U476" i="55"/>
  <c r="S476" i="55"/>
  <c r="Q476" i="55"/>
  <c r="L475" i="18"/>
  <c r="C475" i="18"/>
  <c r="K475" i="18" s="1"/>
  <c r="F477" i="55" l="1"/>
  <c r="P477" i="55"/>
  <c r="O477" i="55"/>
  <c r="J477" i="55"/>
  <c r="R475" i="18"/>
  <c r="D477" i="55"/>
  <c r="B476" i="18"/>
  <c r="E476" i="18"/>
  <c r="O476" i="18" l="1"/>
  <c r="C478" i="55"/>
  <c r="A477" i="18"/>
  <c r="D477" i="18" s="1"/>
  <c r="B479" i="55" s="1"/>
  <c r="A478" i="55"/>
  <c r="M476" i="18"/>
  <c r="L476" i="18"/>
  <c r="N477" i="55"/>
  <c r="L477" i="55"/>
  <c r="M477" i="55"/>
  <c r="K477" i="55"/>
  <c r="R477" i="55"/>
  <c r="T477" i="55"/>
  <c r="U477" i="55"/>
  <c r="S477" i="55"/>
  <c r="Q477" i="55"/>
  <c r="C476" i="18"/>
  <c r="K476" i="18" s="1"/>
  <c r="F478" i="55" l="1"/>
  <c r="P478" i="55"/>
  <c r="J478" i="55"/>
  <c r="O478" i="55"/>
  <c r="R476" i="18"/>
  <c r="D478" i="55"/>
  <c r="B477" i="18"/>
  <c r="E477" i="18"/>
  <c r="C479" i="55" l="1"/>
  <c r="O477" i="18"/>
  <c r="A478" i="18"/>
  <c r="D478" i="18" s="1"/>
  <c r="B480" i="55" s="1"/>
  <c r="A479" i="55"/>
  <c r="M477" i="18"/>
  <c r="N478" i="55"/>
  <c r="L478" i="55"/>
  <c r="M478" i="55"/>
  <c r="K478" i="55"/>
  <c r="T478" i="55"/>
  <c r="U478" i="55"/>
  <c r="R478" i="55"/>
  <c r="S478" i="55"/>
  <c r="Q478" i="55"/>
  <c r="L477" i="18"/>
  <c r="C477" i="18"/>
  <c r="K477" i="18" s="1"/>
  <c r="F479" i="55" l="1"/>
  <c r="P479" i="55"/>
  <c r="O479" i="55"/>
  <c r="J479" i="55"/>
  <c r="R477" i="18"/>
  <c r="D479" i="55"/>
  <c r="B478" i="18"/>
  <c r="E478" i="18"/>
  <c r="A479" i="18" l="1"/>
  <c r="A480" i="55"/>
  <c r="M478" i="18"/>
  <c r="N479" i="55"/>
  <c r="L479" i="55"/>
  <c r="M479" i="55"/>
  <c r="K479" i="55"/>
  <c r="C480" i="55"/>
  <c r="O478" i="18"/>
  <c r="L478" i="18"/>
  <c r="T479" i="55"/>
  <c r="R479" i="55"/>
  <c r="U479" i="55"/>
  <c r="S479" i="55"/>
  <c r="Q479" i="55"/>
  <c r="D479" i="18"/>
  <c r="B481" i="55" s="1"/>
  <c r="C478" i="18"/>
  <c r="K478" i="18" s="1"/>
  <c r="F480" i="55" l="1"/>
  <c r="P480" i="55"/>
  <c r="O480" i="55"/>
  <c r="J480" i="55"/>
  <c r="R478" i="18"/>
  <c r="D480" i="55"/>
  <c r="B479" i="18"/>
  <c r="E479" i="18"/>
  <c r="C481" i="55" l="1"/>
  <c r="O479" i="18"/>
  <c r="A480" i="18"/>
  <c r="D480" i="18" s="1"/>
  <c r="B482" i="55" s="1"/>
  <c r="A481" i="55"/>
  <c r="M479" i="18"/>
  <c r="N480" i="55"/>
  <c r="M480" i="55"/>
  <c r="L480" i="55"/>
  <c r="K480" i="55"/>
  <c r="R480" i="55"/>
  <c r="T480" i="55"/>
  <c r="U480" i="55"/>
  <c r="S480" i="55"/>
  <c r="Q480" i="55"/>
  <c r="L479" i="18"/>
  <c r="C479" i="18"/>
  <c r="K479" i="18" s="1"/>
  <c r="F481" i="55" l="1"/>
  <c r="P481" i="55"/>
  <c r="O481" i="55"/>
  <c r="J481" i="55"/>
  <c r="R479" i="18"/>
  <c r="D481" i="55"/>
  <c r="B480" i="18"/>
  <c r="L480" i="18" s="1"/>
  <c r="E480" i="18"/>
  <c r="C482" i="55" l="1"/>
  <c r="O480" i="18"/>
  <c r="A481" i="18"/>
  <c r="D481" i="18" s="1"/>
  <c r="B483" i="55" s="1"/>
  <c r="A482" i="55"/>
  <c r="M480" i="18"/>
  <c r="M481" i="55"/>
  <c r="L481" i="55"/>
  <c r="K481" i="55"/>
  <c r="N481" i="55"/>
  <c r="R481" i="55"/>
  <c r="T481" i="55"/>
  <c r="S481" i="55"/>
  <c r="U481" i="55"/>
  <c r="Q481" i="55"/>
  <c r="C480" i="18"/>
  <c r="K480" i="18" s="1"/>
  <c r="F482" i="55" l="1"/>
  <c r="P482" i="55"/>
  <c r="O482" i="55"/>
  <c r="J482" i="55"/>
  <c r="R480" i="18"/>
  <c r="D482" i="55"/>
  <c r="B481" i="18"/>
  <c r="E481" i="18"/>
  <c r="C483" i="55" l="1"/>
  <c r="O481" i="18"/>
  <c r="A482" i="18"/>
  <c r="A483" i="55"/>
  <c r="M481" i="18"/>
  <c r="L481" i="18"/>
  <c r="N482" i="55"/>
  <c r="L482" i="55"/>
  <c r="K482" i="55"/>
  <c r="M482" i="55"/>
  <c r="R482" i="55"/>
  <c r="T482" i="55"/>
  <c r="U482" i="55"/>
  <c r="S482" i="55"/>
  <c r="Q482" i="55"/>
  <c r="D482" i="18"/>
  <c r="B484" i="55" s="1"/>
  <c r="C481" i="18"/>
  <c r="K481" i="18" s="1"/>
  <c r="F483" i="55" l="1"/>
  <c r="P483" i="55"/>
  <c r="O483" i="55"/>
  <c r="J483" i="55"/>
  <c r="R481" i="18"/>
  <c r="D483" i="55"/>
  <c r="B482" i="18"/>
  <c r="E482" i="18"/>
  <c r="A483" i="18" l="1"/>
  <c r="A484" i="55"/>
  <c r="M482" i="18"/>
  <c r="C484" i="55"/>
  <c r="O482" i="18"/>
  <c r="K483" i="55"/>
  <c r="N483" i="55"/>
  <c r="M483" i="55"/>
  <c r="L483" i="55"/>
  <c r="R483" i="55"/>
  <c r="T483" i="55"/>
  <c r="U483" i="55"/>
  <c r="S483" i="55"/>
  <c r="Q483" i="55"/>
  <c r="L482" i="18"/>
  <c r="C482" i="18"/>
  <c r="K482" i="18" s="1"/>
  <c r="D483" i="18"/>
  <c r="B485" i="55" s="1"/>
  <c r="F484" i="55" l="1"/>
  <c r="P484" i="55"/>
  <c r="O484" i="55"/>
  <c r="J484" i="55"/>
  <c r="R482" i="18"/>
  <c r="D484" i="55"/>
  <c r="B483" i="18"/>
  <c r="E483" i="18"/>
  <c r="C485" i="55" l="1"/>
  <c r="O483" i="18"/>
  <c r="N484" i="55"/>
  <c r="L484" i="55"/>
  <c r="M484" i="55"/>
  <c r="K484" i="55"/>
  <c r="A484" i="18"/>
  <c r="D484" i="18" s="1"/>
  <c r="B486" i="55" s="1"/>
  <c r="A485" i="55"/>
  <c r="M483" i="18"/>
  <c r="R484" i="55"/>
  <c r="T484" i="55"/>
  <c r="U484" i="55"/>
  <c r="S484" i="55"/>
  <c r="Q484" i="55"/>
  <c r="L483" i="18"/>
  <c r="C483" i="18"/>
  <c r="K483" i="18" s="1"/>
  <c r="F485" i="55" l="1"/>
  <c r="P485" i="55"/>
  <c r="O485" i="55"/>
  <c r="J485" i="55"/>
  <c r="R483" i="18"/>
  <c r="D485" i="55"/>
  <c r="B484" i="18"/>
  <c r="E484" i="18"/>
  <c r="A485" i="18" l="1"/>
  <c r="A486" i="55"/>
  <c r="M484" i="18"/>
  <c r="N485" i="55"/>
  <c r="L485" i="55"/>
  <c r="M485" i="55"/>
  <c r="K485" i="55"/>
  <c r="C486" i="55"/>
  <c r="O484" i="18"/>
  <c r="L484" i="18"/>
  <c r="R485" i="55"/>
  <c r="T485" i="55"/>
  <c r="U485" i="55"/>
  <c r="S485" i="55"/>
  <c r="Q485" i="55"/>
  <c r="C484" i="18"/>
  <c r="K484" i="18" s="1"/>
  <c r="D485" i="18"/>
  <c r="B487" i="55" s="1"/>
  <c r="F486" i="55" l="1"/>
  <c r="P486" i="55"/>
  <c r="J486" i="55"/>
  <c r="O486" i="55"/>
  <c r="R484" i="18"/>
  <c r="D486" i="55"/>
  <c r="E485" i="18"/>
  <c r="B485" i="18"/>
  <c r="A486" i="18" l="1"/>
  <c r="D486" i="18" s="1"/>
  <c r="B488" i="55" s="1"/>
  <c r="A487" i="55"/>
  <c r="M485" i="18"/>
  <c r="C487" i="55"/>
  <c r="O485" i="18"/>
  <c r="R486" i="55"/>
  <c r="T486" i="55"/>
  <c r="U486" i="55"/>
  <c r="S486" i="55"/>
  <c r="Q486" i="55"/>
  <c r="K486" i="55"/>
  <c r="N486" i="55"/>
  <c r="M486" i="55"/>
  <c r="L486" i="55"/>
  <c r="L485" i="18"/>
  <c r="C485" i="18"/>
  <c r="K485" i="18" s="1"/>
  <c r="P487" i="55" l="1"/>
  <c r="O487" i="55"/>
  <c r="J487" i="55"/>
  <c r="F487" i="55"/>
  <c r="R485" i="18"/>
  <c r="D487" i="55"/>
  <c r="B486" i="18"/>
  <c r="E486" i="18"/>
  <c r="A487" i="18" l="1"/>
  <c r="A488" i="55"/>
  <c r="M486" i="18"/>
  <c r="C488" i="55"/>
  <c r="O486" i="18"/>
  <c r="N487" i="55"/>
  <c r="M487" i="55"/>
  <c r="L487" i="55"/>
  <c r="K487" i="55"/>
  <c r="R487" i="55"/>
  <c r="T487" i="55"/>
  <c r="U487" i="55"/>
  <c r="S487" i="55"/>
  <c r="Q487" i="55"/>
  <c r="L486" i="18"/>
  <c r="C486" i="18"/>
  <c r="K486" i="18" s="1"/>
  <c r="D487" i="18"/>
  <c r="B489" i="55" s="1"/>
  <c r="F488" i="55" l="1"/>
  <c r="P488" i="55"/>
  <c r="J488" i="55"/>
  <c r="O488" i="55"/>
  <c r="R486" i="18"/>
  <c r="D488" i="55"/>
  <c r="B487" i="18"/>
  <c r="E487" i="18"/>
  <c r="C489" i="55" l="1"/>
  <c r="O487" i="18"/>
  <c r="A488" i="18"/>
  <c r="A489" i="55"/>
  <c r="M487" i="18"/>
  <c r="M488" i="55"/>
  <c r="N488" i="55"/>
  <c r="L488" i="55"/>
  <c r="K488" i="55"/>
  <c r="R488" i="55"/>
  <c r="T488" i="55"/>
  <c r="U488" i="55"/>
  <c r="S488" i="55"/>
  <c r="Q488" i="55"/>
  <c r="L487" i="18"/>
  <c r="D488" i="18"/>
  <c r="B490" i="55" s="1"/>
  <c r="C487" i="18"/>
  <c r="K487" i="18" s="1"/>
  <c r="P489" i="55" l="1"/>
  <c r="J489" i="55"/>
  <c r="O489" i="55"/>
  <c r="F489" i="55"/>
  <c r="R487" i="18"/>
  <c r="D489" i="55"/>
  <c r="B488" i="18"/>
  <c r="E488" i="18"/>
  <c r="A489" i="18" l="1"/>
  <c r="A490" i="55"/>
  <c r="L488" i="18"/>
  <c r="M488" i="18"/>
  <c r="C490" i="55"/>
  <c r="O488" i="18"/>
  <c r="N489" i="55"/>
  <c r="M489" i="55"/>
  <c r="K489" i="55"/>
  <c r="L489" i="55"/>
  <c r="D489" i="18"/>
  <c r="B491" i="55" s="1"/>
  <c r="C488" i="18"/>
  <c r="K488" i="18" s="1"/>
  <c r="F490" i="55" l="1"/>
  <c r="P490" i="55"/>
  <c r="J490" i="55"/>
  <c r="O490" i="55"/>
  <c r="R488" i="18"/>
  <c r="D490" i="55"/>
  <c r="B489" i="18"/>
  <c r="E489" i="18"/>
  <c r="C491" i="55" l="1"/>
  <c r="O489" i="18"/>
  <c r="A490" i="18"/>
  <c r="A491" i="55"/>
  <c r="M489" i="18"/>
  <c r="N490" i="55"/>
  <c r="L490" i="55"/>
  <c r="M490" i="55"/>
  <c r="K490" i="55"/>
  <c r="L489" i="18"/>
  <c r="D490" i="18"/>
  <c r="B492" i="55" s="1"/>
  <c r="C489" i="18"/>
  <c r="K489" i="18" s="1"/>
  <c r="F491" i="55" l="1"/>
  <c r="P491" i="55"/>
  <c r="J491" i="55"/>
  <c r="O491" i="55"/>
  <c r="R489" i="18"/>
  <c r="D491" i="55"/>
  <c r="B490" i="18"/>
  <c r="E490" i="18"/>
  <c r="R491" i="55" l="1"/>
  <c r="D113" i="59" s="1"/>
  <c r="C492" i="55"/>
  <c r="O490" i="18"/>
  <c r="A491" i="18"/>
  <c r="D491" i="18" s="1"/>
  <c r="B493" i="55" s="1"/>
  <c r="A492" i="55"/>
  <c r="M490" i="18"/>
  <c r="N491" i="55"/>
  <c r="M491" i="55"/>
  <c r="K491" i="55"/>
  <c r="L491" i="55"/>
  <c r="L490" i="18"/>
  <c r="C490" i="18"/>
  <c r="K490" i="18" s="1"/>
  <c r="F492" i="55" l="1"/>
  <c r="P492" i="55"/>
  <c r="J492" i="55"/>
  <c r="O492" i="55"/>
  <c r="R490" i="18"/>
  <c r="D492" i="55"/>
  <c r="B491" i="18"/>
  <c r="E491" i="18"/>
  <c r="R492" i="55" l="1"/>
  <c r="D114" i="59" s="1"/>
  <c r="A492" i="18"/>
  <c r="A493" i="55"/>
  <c r="M491" i="18"/>
  <c r="N492" i="55"/>
  <c r="L492" i="55"/>
  <c r="M492" i="55"/>
  <c r="K492" i="55"/>
  <c r="C493" i="55"/>
  <c r="O491" i="18"/>
  <c r="L491" i="18"/>
  <c r="D492" i="18"/>
  <c r="B494" i="55" s="1"/>
  <c r="C491" i="18"/>
  <c r="K491" i="18" s="1"/>
  <c r="F493" i="55" l="1"/>
  <c r="P493" i="55"/>
  <c r="O493" i="55"/>
  <c r="J493" i="55"/>
  <c r="R491" i="18"/>
  <c r="D493" i="55"/>
  <c r="B492" i="18"/>
  <c r="E492" i="18"/>
  <c r="C494" i="55" l="1"/>
  <c r="O492" i="18"/>
  <c r="A493" i="18"/>
  <c r="D493" i="18" s="1"/>
  <c r="B495" i="55" s="1"/>
  <c r="A494" i="55"/>
  <c r="M492" i="18"/>
  <c r="N493" i="55"/>
  <c r="L493" i="55"/>
  <c r="M493" i="55"/>
  <c r="K493" i="55"/>
  <c r="R493" i="55"/>
  <c r="T493" i="55"/>
  <c r="U493" i="55"/>
  <c r="S493" i="55"/>
  <c r="Q493" i="55"/>
  <c r="L492" i="18"/>
  <c r="C492" i="18"/>
  <c r="K492" i="18" s="1"/>
  <c r="F494" i="55" l="1"/>
  <c r="P494" i="55"/>
  <c r="J494" i="55"/>
  <c r="O494" i="55"/>
  <c r="R492" i="18"/>
  <c r="D494" i="55"/>
  <c r="E493" i="18"/>
  <c r="B493" i="18"/>
  <c r="C495" i="55" l="1"/>
  <c r="O493" i="18"/>
  <c r="A494" i="18"/>
  <c r="D494" i="18" s="1"/>
  <c r="B496" i="55" s="1"/>
  <c r="A495" i="55"/>
  <c r="M493" i="18"/>
  <c r="M494" i="55"/>
  <c r="N494" i="55"/>
  <c r="L494" i="55"/>
  <c r="K494" i="55"/>
  <c r="L493" i="18"/>
  <c r="R494" i="55"/>
  <c r="T494" i="55"/>
  <c r="U494" i="55"/>
  <c r="S494" i="55"/>
  <c r="Q494" i="55"/>
  <c r="C493" i="18"/>
  <c r="K493" i="18" s="1"/>
  <c r="F495" i="55" l="1"/>
  <c r="P495" i="55"/>
  <c r="O495" i="55"/>
  <c r="J495" i="55"/>
  <c r="R493" i="18"/>
  <c r="D495" i="55"/>
  <c r="B494" i="18"/>
  <c r="E494" i="18"/>
  <c r="C496" i="55" l="1"/>
  <c r="O494" i="18"/>
  <c r="A495" i="18"/>
  <c r="A496" i="55"/>
  <c r="M494" i="18"/>
  <c r="R495" i="55"/>
  <c r="T495" i="55"/>
  <c r="U495" i="55"/>
  <c r="S495" i="55"/>
  <c r="Q495" i="55"/>
  <c r="N495" i="55"/>
  <c r="M495" i="55"/>
  <c r="L495" i="55"/>
  <c r="K495" i="55"/>
  <c r="L494" i="18"/>
  <c r="D495" i="18"/>
  <c r="B497" i="55" s="1"/>
  <c r="C494" i="18"/>
  <c r="K494" i="18" s="1"/>
  <c r="F496" i="55" l="1"/>
  <c r="P496" i="55"/>
  <c r="J496" i="55"/>
  <c r="O496" i="55"/>
  <c r="R494" i="18"/>
  <c r="D496" i="55"/>
  <c r="B495" i="18"/>
  <c r="E495" i="18"/>
  <c r="C497" i="55" l="1"/>
  <c r="O495" i="18"/>
  <c r="A496" i="18"/>
  <c r="D496" i="18" s="1"/>
  <c r="B498" i="55" s="1"/>
  <c r="A497" i="55"/>
  <c r="M495" i="18"/>
  <c r="N496" i="55"/>
  <c r="M496" i="55"/>
  <c r="L496" i="55"/>
  <c r="K496" i="55"/>
  <c r="L495" i="18"/>
  <c r="R496" i="55"/>
  <c r="T496" i="55"/>
  <c r="U496" i="55"/>
  <c r="S496" i="55"/>
  <c r="Q496" i="55"/>
  <c r="C495" i="18"/>
  <c r="K495" i="18" s="1"/>
  <c r="F497" i="55" l="1"/>
  <c r="P497" i="55"/>
  <c r="O497" i="55"/>
  <c r="J497" i="55"/>
  <c r="R495" i="18"/>
  <c r="D497" i="55"/>
  <c r="B496" i="18"/>
  <c r="E496" i="18"/>
  <c r="C498" i="55" l="1"/>
  <c r="O496" i="18"/>
  <c r="A497" i="18"/>
  <c r="D497" i="18" s="1"/>
  <c r="B499" i="55" s="1"/>
  <c r="A498" i="55"/>
  <c r="M496" i="18"/>
  <c r="R497" i="55"/>
  <c r="T497" i="55"/>
  <c r="S497" i="55"/>
  <c r="U497" i="55"/>
  <c r="Q497" i="55"/>
  <c r="N497" i="55"/>
  <c r="L497" i="55"/>
  <c r="K497" i="55"/>
  <c r="M497" i="55"/>
  <c r="L496" i="18"/>
  <c r="C496" i="18"/>
  <c r="K496" i="18" s="1"/>
  <c r="F498" i="55" l="1"/>
  <c r="P498" i="55"/>
  <c r="J498" i="55"/>
  <c r="O498" i="55"/>
  <c r="R496" i="18"/>
  <c r="D498" i="55"/>
  <c r="E497" i="18"/>
  <c r="B497" i="18"/>
  <c r="A498" i="18" l="1"/>
  <c r="A499" i="55"/>
  <c r="M497" i="18"/>
  <c r="C499" i="55"/>
  <c r="O497" i="18"/>
  <c r="N498" i="55"/>
  <c r="L498" i="55"/>
  <c r="M498" i="55"/>
  <c r="K498" i="55"/>
  <c r="R498" i="55"/>
  <c r="S498" i="55"/>
  <c r="T498" i="55"/>
  <c r="U498" i="55"/>
  <c r="Q498" i="55"/>
  <c r="L497" i="18"/>
  <c r="D498" i="18"/>
  <c r="B500" i="55" s="1"/>
  <c r="C497" i="18"/>
  <c r="K497" i="18" s="1"/>
  <c r="F499" i="55" l="1"/>
  <c r="P499" i="55"/>
  <c r="J499" i="55"/>
  <c r="O499" i="55"/>
  <c r="R497" i="18"/>
  <c r="D499" i="55"/>
  <c r="B498" i="18"/>
  <c r="E498" i="18"/>
  <c r="C500" i="55" l="1"/>
  <c r="O498" i="18"/>
  <c r="A499" i="18"/>
  <c r="D499" i="18" s="1"/>
  <c r="B501" i="55" s="1"/>
  <c r="A500" i="55"/>
  <c r="M498" i="18"/>
  <c r="N499" i="55"/>
  <c r="M499" i="55"/>
  <c r="L499" i="55"/>
  <c r="K499" i="55"/>
  <c r="R499" i="55"/>
  <c r="S499" i="55"/>
  <c r="U499" i="55"/>
  <c r="T499" i="55"/>
  <c r="Q499" i="55"/>
  <c r="L498" i="18"/>
  <c r="C498" i="18"/>
  <c r="K498" i="18" s="1"/>
  <c r="P500" i="55" l="1"/>
  <c r="J500" i="55"/>
  <c r="O500" i="55"/>
  <c r="F500" i="55"/>
  <c r="R498" i="18"/>
  <c r="D500" i="55"/>
  <c r="B499" i="18"/>
  <c r="E499" i="18"/>
  <c r="C501" i="55" l="1"/>
  <c r="O499" i="18"/>
  <c r="A500" i="18"/>
  <c r="D500" i="18" s="1"/>
  <c r="B502" i="55" s="1"/>
  <c r="A501" i="55"/>
  <c r="M499" i="18"/>
  <c r="L499" i="18"/>
  <c r="N500" i="55"/>
  <c r="M500" i="55"/>
  <c r="L500" i="55"/>
  <c r="K500" i="55"/>
  <c r="R500" i="55"/>
  <c r="T500" i="55"/>
  <c r="U500" i="55"/>
  <c r="S500" i="55"/>
  <c r="Q500" i="55"/>
  <c r="C499" i="18"/>
  <c r="K499" i="18" s="1"/>
  <c r="F501" i="55" l="1"/>
  <c r="P501" i="55"/>
  <c r="J501" i="55"/>
  <c r="O501" i="55"/>
  <c r="R499" i="18"/>
  <c r="D501" i="55"/>
  <c r="B500" i="18"/>
  <c r="E500" i="18"/>
  <c r="C502" i="55" l="1"/>
  <c r="O500" i="18"/>
  <c r="A501" i="18"/>
  <c r="D501" i="18" s="1"/>
  <c r="B503" i="55" s="1"/>
  <c r="A502" i="55"/>
  <c r="M500" i="18"/>
  <c r="M501" i="55"/>
  <c r="L501" i="55"/>
  <c r="N501" i="55"/>
  <c r="K501" i="55"/>
  <c r="R501" i="55"/>
  <c r="T501" i="55"/>
  <c r="U501" i="55"/>
  <c r="S501" i="55"/>
  <c r="Q501" i="55"/>
  <c r="L500" i="18"/>
  <c r="C500" i="18"/>
  <c r="K500" i="18" s="1"/>
  <c r="F502" i="55" l="1"/>
  <c r="P502" i="55"/>
  <c r="J502" i="55"/>
  <c r="O502" i="55"/>
  <c r="R500" i="18"/>
  <c r="D502" i="55"/>
  <c r="B501" i="18"/>
  <c r="L501" i="18" s="1"/>
  <c r="E501" i="18"/>
  <c r="C503" i="55" l="1"/>
  <c r="O501" i="18"/>
  <c r="A502" i="18"/>
  <c r="A503" i="55"/>
  <c r="M501" i="18"/>
  <c r="N502" i="55"/>
  <c r="L502" i="55"/>
  <c r="M502" i="55"/>
  <c r="K502" i="55"/>
  <c r="R502" i="55"/>
  <c r="T502" i="55"/>
  <c r="U502" i="55"/>
  <c r="S502" i="55"/>
  <c r="Q502" i="55"/>
  <c r="C501" i="18"/>
  <c r="K501" i="18" s="1"/>
  <c r="D502" i="18"/>
  <c r="B504" i="55" s="1"/>
  <c r="F503" i="55" l="1"/>
  <c r="P503" i="55"/>
  <c r="J503" i="55"/>
  <c r="O503" i="55"/>
  <c r="R501" i="18"/>
  <c r="D503" i="55"/>
  <c r="E502" i="18"/>
  <c r="B502" i="18"/>
  <c r="N503" i="55" l="1"/>
  <c r="L503" i="55"/>
  <c r="M503" i="55"/>
  <c r="K503" i="55"/>
  <c r="A503" i="18"/>
  <c r="D503" i="18" s="1"/>
  <c r="B505" i="55" s="1"/>
  <c r="A504" i="55"/>
  <c r="M502" i="18"/>
  <c r="L502" i="18"/>
  <c r="C504" i="55"/>
  <c r="O502" i="18"/>
  <c r="R503" i="55"/>
  <c r="T503" i="55"/>
  <c r="U503" i="55"/>
  <c r="S503" i="55"/>
  <c r="Q503" i="55"/>
  <c r="C502" i="18"/>
  <c r="K502" i="18" s="1"/>
  <c r="F504" i="55" l="1"/>
  <c r="P504" i="55"/>
  <c r="O504" i="55"/>
  <c r="J504" i="55"/>
  <c r="R502" i="18"/>
  <c r="D504" i="55"/>
  <c r="B503" i="18"/>
  <c r="L503" i="18" s="1"/>
  <c r="E503" i="18"/>
  <c r="C505" i="55" l="1"/>
  <c r="O503" i="18"/>
  <c r="A504" i="18"/>
  <c r="A505" i="55"/>
  <c r="M503" i="18"/>
  <c r="N504" i="55"/>
  <c r="M504" i="55"/>
  <c r="L504" i="55"/>
  <c r="K504" i="55"/>
  <c r="R504" i="55"/>
  <c r="T504" i="55"/>
  <c r="U504" i="55"/>
  <c r="S504" i="55"/>
  <c r="Q504" i="55"/>
  <c r="C503" i="18"/>
  <c r="K503" i="18" s="1"/>
  <c r="D504" i="18"/>
  <c r="B506" i="55" s="1"/>
  <c r="F505" i="55" l="1"/>
  <c r="P505" i="55"/>
  <c r="O505" i="55"/>
  <c r="J505" i="55"/>
  <c r="R503" i="18"/>
  <c r="D505" i="55"/>
  <c r="B504" i="18"/>
  <c r="E504" i="18"/>
  <c r="C506" i="55" l="1"/>
  <c r="O504" i="18"/>
  <c r="N505" i="55"/>
  <c r="M505" i="55"/>
  <c r="L505" i="55"/>
  <c r="K505" i="55"/>
  <c r="A505" i="18"/>
  <c r="D505" i="18" s="1"/>
  <c r="B507" i="55" s="1"/>
  <c r="A506" i="55"/>
  <c r="M504" i="18"/>
  <c r="L504" i="18"/>
  <c r="R505" i="55"/>
  <c r="T505" i="55"/>
  <c r="U505" i="55"/>
  <c r="S505" i="55"/>
  <c r="Q505" i="55"/>
  <c r="C504" i="18"/>
  <c r="K504" i="18" s="1"/>
  <c r="F506" i="55" l="1"/>
  <c r="P506" i="55"/>
  <c r="J506" i="55"/>
  <c r="O506" i="55"/>
  <c r="R504" i="18"/>
  <c r="D506" i="55"/>
  <c r="B505" i="18"/>
  <c r="L505" i="18" s="1"/>
  <c r="E505" i="18"/>
  <c r="C507" i="55" l="1"/>
  <c r="O505" i="18"/>
  <c r="A506" i="18"/>
  <c r="D506" i="18" s="1"/>
  <c r="B508" i="55" s="1"/>
  <c r="A507" i="55"/>
  <c r="M505" i="18"/>
  <c r="N506" i="55"/>
  <c r="K506" i="55"/>
  <c r="M506" i="55"/>
  <c r="L506" i="55"/>
  <c r="R506" i="55"/>
  <c r="T506" i="55"/>
  <c r="U506" i="55"/>
  <c r="S506" i="55"/>
  <c r="Q506" i="55"/>
  <c r="C505" i="18"/>
  <c r="K505" i="18" s="1"/>
  <c r="P507" i="55" l="1"/>
  <c r="J507" i="55"/>
  <c r="O507" i="55"/>
  <c r="F507" i="55"/>
  <c r="R505" i="18"/>
  <c r="D507" i="55"/>
  <c r="E506" i="18"/>
  <c r="B506" i="18"/>
  <c r="O506" i="18" l="1"/>
  <c r="C508" i="55"/>
  <c r="A507" i="18"/>
  <c r="L506" i="18"/>
  <c r="M506" i="18"/>
  <c r="A508" i="55"/>
  <c r="L507" i="55"/>
  <c r="M507" i="55"/>
  <c r="N507" i="55"/>
  <c r="K507" i="55"/>
  <c r="C506" i="18"/>
  <c r="K506" i="18" s="1"/>
  <c r="D507" i="18"/>
  <c r="B509" i="55" s="1"/>
  <c r="F508" i="55" l="1"/>
  <c r="P508" i="55"/>
  <c r="J508" i="55"/>
  <c r="O508" i="55"/>
  <c r="R506" i="18"/>
  <c r="D508" i="55"/>
  <c r="B507" i="18"/>
  <c r="L507" i="18" s="1"/>
  <c r="E507" i="18"/>
  <c r="A508" i="18" l="1"/>
  <c r="A509" i="55"/>
  <c r="M507" i="18"/>
  <c r="C509" i="55"/>
  <c r="O507" i="18"/>
  <c r="C507" i="18"/>
  <c r="K507" i="18" s="1"/>
  <c r="D508" i="18"/>
  <c r="B510" i="55" s="1"/>
  <c r="F509" i="55" l="1"/>
  <c r="P509" i="55"/>
  <c r="J509" i="55"/>
  <c r="O509" i="55"/>
  <c r="R507" i="18"/>
  <c r="D509" i="55"/>
  <c r="B508" i="18"/>
  <c r="E508" i="18"/>
  <c r="N508" i="18" l="1"/>
  <c r="C510" i="55"/>
  <c r="O508" i="18"/>
  <c r="A509" i="18"/>
  <c r="D509" i="18" s="1"/>
  <c r="B511" i="55" s="1"/>
  <c r="A510" i="55"/>
  <c r="M508" i="18"/>
  <c r="L508" i="18"/>
  <c r="N509" i="55"/>
  <c r="L509" i="55"/>
  <c r="M509" i="55"/>
  <c r="K509" i="55"/>
  <c r="R509" i="55"/>
  <c r="D117" i="59" s="1"/>
  <c r="C508" i="18"/>
  <c r="K508" i="18" s="1"/>
  <c r="F510" i="55" l="1"/>
  <c r="E510" i="55"/>
  <c r="P510" i="55"/>
  <c r="O510" i="55"/>
  <c r="J510" i="55"/>
  <c r="R508" i="18"/>
  <c r="D510" i="55"/>
  <c r="B509" i="18"/>
  <c r="E509" i="18"/>
  <c r="Q510" i="55" l="1"/>
  <c r="G510" i="55"/>
  <c r="A510" i="18"/>
  <c r="D510" i="18" s="1"/>
  <c r="B512" i="55" s="1"/>
  <c r="A511" i="55"/>
  <c r="M509" i="18"/>
  <c r="C511" i="55"/>
  <c r="O509" i="18"/>
  <c r="M510" i="55"/>
  <c r="K510" i="55"/>
  <c r="N510" i="55"/>
  <c r="L510" i="55"/>
  <c r="L509" i="18"/>
  <c r="R510" i="55"/>
  <c r="D118" i="59" s="1"/>
  <c r="C509" i="18"/>
  <c r="K509" i="18" s="1"/>
  <c r="H510" i="55" l="1"/>
  <c r="S510" i="55"/>
  <c r="F511" i="55"/>
  <c r="P511" i="55"/>
  <c r="J511" i="55"/>
  <c r="O511" i="55"/>
  <c r="R509" i="18"/>
  <c r="D511" i="55"/>
  <c r="B510" i="18"/>
  <c r="E510" i="18"/>
  <c r="T510" i="55" l="1"/>
  <c r="I510" i="55"/>
  <c r="U510" i="55" s="1"/>
  <c r="N510" i="18"/>
  <c r="C512" i="55"/>
  <c r="O510" i="18"/>
  <c r="A511" i="18"/>
  <c r="D511" i="18" s="1"/>
  <c r="B513" i="55" s="1"/>
  <c r="A512" i="55"/>
  <c r="M510" i="18"/>
  <c r="T511" i="55"/>
  <c r="U511" i="55"/>
  <c r="R511" i="55"/>
  <c r="S511" i="55"/>
  <c r="Q511" i="55"/>
  <c r="N511" i="55"/>
  <c r="M511" i="55"/>
  <c r="L511" i="55"/>
  <c r="K511" i="55"/>
  <c r="L510" i="18"/>
  <c r="C510" i="18"/>
  <c r="K510" i="18" s="1"/>
  <c r="E512" i="55" l="1"/>
  <c r="F512" i="55"/>
  <c r="P512" i="55"/>
  <c r="O512" i="55"/>
  <c r="J512" i="55"/>
  <c r="R510" i="18"/>
  <c r="D512" i="55"/>
  <c r="B511" i="18"/>
  <c r="L511" i="18" s="1"/>
  <c r="E511" i="18"/>
  <c r="G512" i="55" l="1"/>
  <c r="H512" i="55" s="1"/>
  <c r="I512" i="55" s="1"/>
  <c r="C513" i="55"/>
  <c r="O511" i="18"/>
  <c r="A512" i="18"/>
  <c r="D512" i="18" s="1"/>
  <c r="B514" i="55" s="1"/>
  <c r="A513" i="55"/>
  <c r="M511" i="18"/>
  <c r="L512" i="55"/>
  <c r="M512" i="55"/>
  <c r="K512" i="55"/>
  <c r="N512" i="55"/>
  <c r="T512" i="55"/>
  <c r="U512" i="55"/>
  <c r="S512" i="55"/>
  <c r="R512" i="55"/>
  <c r="Q512" i="55"/>
  <c r="C511" i="18"/>
  <c r="K511" i="18" s="1"/>
  <c r="F513" i="55" l="1"/>
  <c r="P513" i="55"/>
  <c r="O513" i="55"/>
  <c r="J513" i="55"/>
  <c r="R511" i="18"/>
  <c r="D513" i="55"/>
  <c r="B512" i="18"/>
  <c r="E512" i="18"/>
  <c r="A513" i="18" l="1"/>
  <c r="A514" i="55"/>
  <c r="M512" i="18"/>
  <c r="L512" i="18"/>
  <c r="C514" i="55"/>
  <c r="O512" i="18"/>
  <c r="N513" i="55"/>
  <c r="M513" i="55"/>
  <c r="L513" i="55"/>
  <c r="K513" i="55"/>
  <c r="T513" i="55"/>
  <c r="S513" i="55"/>
  <c r="R513" i="55"/>
  <c r="U513" i="55"/>
  <c r="Q513" i="55"/>
  <c r="C512" i="18"/>
  <c r="K512" i="18" s="1"/>
  <c r="D513" i="18"/>
  <c r="B515" i="55" s="1"/>
  <c r="P514" i="55" l="1"/>
  <c r="O514" i="55"/>
  <c r="J514" i="55"/>
  <c r="F514" i="55"/>
  <c r="R512" i="18"/>
  <c r="D514" i="55"/>
  <c r="E513" i="18"/>
  <c r="B513" i="18"/>
  <c r="A514" i="18" l="1"/>
  <c r="A515" i="55"/>
  <c r="M513" i="18"/>
  <c r="C515" i="55"/>
  <c r="O513" i="18"/>
  <c r="N514" i="55"/>
  <c r="L514" i="55"/>
  <c r="M514" i="55"/>
  <c r="K514" i="55"/>
  <c r="R514" i="55"/>
  <c r="T514" i="55"/>
  <c r="U514" i="55"/>
  <c r="S514" i="55"/>
  <c r="Q514" i="55"/>
  <c r="L513" i="18"/>
  <c r="D514" i="18"/>
  <c r="B516" i="55" s="1"/>
  <c r="C513" i="18"/>
  <c r="K513" i="18" s="1"/>
  <c r="F515" i="55" l="1"/>
  <c r="P515" i="55"/>
  <c r="J515" i="55"/>
  <c r="O515" i="55"/>
  <c r="R513" i="18"/>
  <c r="D515" i="55"/>
  <c r="E514" i="18"/>
  <c r="B514" i="18"/>
  <c r="A515" i="18" l="1"/>
  <c r="A516" i="55"/>
  <c r="M514" i="18"/>
  <c r="C516" i="55"/>
  <c r="O514" i="18"/>
  <c r="K515" i="55"/>
  <c r="N515" i="55"/>
  <c r="M515" i="55"/>
  <c r="L515" i="55"/>
  <c r="R515" i="55"/>
  <c r="S515" i="55"/>
  <c r="U515" i="55"/>
  <c r="T515" i="55"/>
  <c r="Q515" i="55"/>
  <c r="L514" i="18"/>
  <c r="C514" i="18"/>
  <c r="K514" i="18" s="1"/>
  <c r="D515" i="18"/>
  <c r="B517" i="55" s="1"/>
  <c r="F516" i="55" l="1"/>
  <c r="P516" i="55"/>
  <c r="J516" i="55"/>
  <c r="O516" i="55"/>
  <c r="R514" i="18"/>
  <c r="D516" i="55"/>
  <c r="B515" i="18"/>
  <c r="E515" i="18"/>
  <c r="C517" i="55" l="1"/>
  <c r="O515" i="18"/>
  <c r="A516" i="18"/>
  <c r="A517" i="55"/>
  <c r="M515" i="18"/>
  <c r="L516" i="55"/>
  <c r="M516" i="55"/>
  <c r="K516" i="55"/>
  <c r="N516" i="55"/>
  <c r="R516" i="55"/>
  <c r="T516" i="55"/>
  <c r="U516" i="55"/>
  <c r="S516" i="55"/>
  <c r="Q516" i="55"/>
  <c r="L515" i="18"/>
  <c r="D516" i="18"/>
  <c r="B518" i="55" s="1"/>
  <c r="C515" i="18"/>
  <c r="K515" i="18" s="1"/>
  <c r="F517" i="55" l="1"/>
  <c r="P517" i="55"/>
  <c r="O517" i="55"/>
  <c r="J517" i="55"/>
  <c r="R515" i="18"/>
  <c r="D517" i="55"/>
  <c r="E516" i="18"/>
  <c r="B516" i="18"/>
  <c r="L516" i="18" s="1"/>
  <c r="A517" i="18" l="1"/>
  <c r="A518" i="55"/>
  <c r="M516" i="18"/>
  <c r="C518" i="55"/>
  <c r="O516" i="18"/>
  <c r="N517" i="55"/>
  <c r="M517" i="55"/>
  <c r="L517" i="55"/>
  <c r="K517" i="55"/>
  <c r="R517" i="55"/>
  <c r="T517" i="55"/>
  <c r="U517" i="55"/>
  <c r="S517" i="55"/>
  <c r="Q517" i="55"/>
  <c r="C516" i="18"/>
  <c r="K516" i="18" s="1"/>
  <c r="D517" i="18"/>
  <c r="B519" i="55" s="1"/>
  <c r="F518" i="55" l="1"/>
  <c r="P518" i="55"/>
  <c r="O518" i="55"/>
  <c r="J518" i="55"/>
  <c r="R516" i="18"/>
  <c r="D518" i="55"/>
  <c r="B517" i="18"/>
  <c r="E517" i="18"/>
  <c r="A518" i="18" l="1"/>
  <c r="A519" i="55"/>
  <c r="M517" i="18"/>
  <c r="L517" i="18"/>
  <c r="R518" i="55"/>
  <c r="T518" i="55"/>
  <c r="U518" i="55"/>
  <c r="S518" i="55"/>
  <c r="Q518" i="55"/>
  <c r="O517" i="18"/>
  <c r="C519" i="55"/>
  <c r="L518" i="55"/>
  <c r="N518" i="55"/>
  <c r="K518" i="55"/>
  <c r="M518" i="55"/>
  <c r="C517" i="18"/>
  <c r="K517" i="18" s="1"/>
  <c r="D518" i="18"/>
  <c r="B520" i="55" s="1"/>
  <c r="P519" i="55" l="1"/>
  <c r="J519" i="55"/>
  <c r="O519" i="55"/>
  <c r="F519" i="55"/>
  <c r="R517" i="18"/>
  <c r="D519" i="55"/>
  <c r="B518" i="18"/>
  <c r="E518" i="18"/>
  <c r="A519" i="18" l="1"/>
  <c r="D519" i="18" s="1"/>
  <c r="B521" i="55" s="1"/>
  <c r="A520" i="55"/>
  <c r="M518" i="18"/>
  <c r="O518" i="18"/>
  <c r="C520" i="55"/>
  <c r="R519" i="55"/>
  <c r="T519" i="55"/>
  <c r="U519" i="55"/>
  <c r="S519" i="55"/>
  <c r="Q519" i="55"/>
  <c r="M519" i="55"/>
  <c r="K519" i="55"/>
  <c r="N519" i="55"/>
  <c r="L519" i="55"/>
  <c r="L518" i="18"/>
  <c r="C518" i="18"/>
  <c r="K518" i="18" s="1"/>
  <c r="F520" i="55" l="1"/>
  <c r="P520" i="55"/>
  <c r="J520" i="55"/>
  <c r="O520" i="55"/>
  <c r="R518" i="18"/>
  <c r="D520" i="55"/>
  <c r="E519" i="18"/>
  <c r="B519" i="18"/>
  <c r="A520" i="18" l="1"/>
  <c r="D520" i="18" s="1"/>
  <c r="B522" i="55" s="1"/>
  <c r="A521" i="55"/>
  <c r="M519" i="18"/>
  <c r="L519" i="18"/>
  <c r="C521" i="55"/>
  <c r="O519" i="18"/>
  <c r="N520" i="55"/>
  <c r="K520" i="55"/>
  <c r="L520" i="55"/>
  <c r="M520" i="55"/>
  <c r="R520" i="55"/>
  <c r="U520" i="55"/>
  <c r="T520" i="55"/>
  <c r="S520" i="55"/>
  <c r="Q520" i="55"/>
  <c r="C519" i="18"/>
  <c r="K519" i="18" s="1"/>
  <c r="F521" i="55" l="1"/>
  <c r="P521" i="55"/>
  <c r="J521" i="55"/>
  <c r="O521" i="55"/>
  <c r="R519" i="18"/>
  <c r="D521" i="55"/>
  <c r="E520" i="18"/>
  <c r="B520" i="18"/>
  <c r="L520" i="18" s="1"/>
  <c r="C522" i="55" l="1"/>
  <c r="O520" i="18"/>
  <c r="N521" i="55"/>
  <c r="L521" i="55"/>
  <c r="K521" i="55"/>
  <c r="M521" i="55"/>
  <c r="T521" i="55"/>
  <c r="U521" i="55"/>
  <c r="R521" i="55"/>
  <c r="S521" i="55"/>
  <c r="Q521" i="55"/>
  <c r="A521" i="18"/>
  <c r="D521" i="18" s="1"/>
  <c r="B523" i="55" s="1"/>
  <c r="A522" i="55"/>
  <c r="M520" i="18"/>
  <c r="C520" i="18"/>
  <c r="K520" i="18" s="1"/>
  <c r="F522" i="55" l="1"/>
  <c r="P522" i="55"/>
  <c r="J522" i="55"/>
  <c r="O522" i="55"/>
  <c r="R520" i="18"/>
  <c r="D522" i="55"/>
  <c r="B521" i="18"/>
  <c r="E521" i="18"/>
  <c r="A522" i="18" l="1"/>
  <c r="D522" i="18" s="1"/>
  <c r="B524" i="55" s="1"/>
  <c r="A523" i="55"/>
  <c r="M521" i="18"/>
  <c r="L521" i="18"/>
  <c r="C523" i="55"/>
  <c r="O521" i="18"/>
  <c r="N522" i="55"/>
  <c r="L522" i="55"/>
  <c r="M522" i="55"/>
  <c r="K522" i="55"/>
  <c r="T522" i="55"/>
  <c r="U522" i="55"/>
  <c r="R522" i="55"/>
  <c r="S522" i="55"/>
  <c r="Q522" i="55"/>
  <c r="C521" i="18"/>
  <c r="K521" i="18" s="1"/>
  <c r="F523" i="55" l="1"/>
  <c r="P523" i="55"/>
  <c r="J523" i="55"/>
  <c r="O523" i="55"/>
  <c r="R521" i="18"/>
  <c r="D523" i="55"/>
  <c r="B522" i="18"/>
  <c r="L522" i="18" s="1"/>
  <c r="E522" i="18"/>
  <c r="C524" i="55" l="1"/>
  <c r="O522" i="18"/>
  <c r="R523" i="55"/>
  <c r="T523" i="55"/>
  <c r="U523" i="55"/>
  <c r="S523" i="55"/>
  <c r="Q523" i="55"/>
  <c r="A523" i="18"/>
  <c r="D523" i="18" s="1"/>
  <c r="B525" i="55" s="1"/>
  <c r="A524" i="55"/>
  <c r="M522" i="18"/>
  <c r="N523" i="55"/>
  <c r="L523" i="55"/>
  <c r="M523" i="55"/>
  <c r="K523" i="55"/>
  <c r="C522" i="18"/>
  <c r="K522" i="18" s="1"/>
  <c r="P524" i="55" l="1"/>
  <c r="J524" i="55"/>
  <c r="O524" i="55"/>
  <c r="F524" i="55"/>
  <c r="R522" i="18"/>
  <c r="D524" i="55"/>
  <c r="B523" i="18"/>
  <c r="E523" i="18"/>
  <c r="C525" i="55" l="1"/>
  <c r="O523" i="18"/>
  <c r="A524" i="18"/>
  <c r="D524" i="18" s="1"/>
  <c r="B526" i="55" s="1"/>
  <c r="A525" i="55"/>
  <c r="M523" i="18"/>
  <c r="L523" i="18"/>
  <c r="N524" i="55"/>
  <c r="L524" i="55"/>
  <c r="K524" i="55"/>
  <c r="M524" i="55"/>
  <c r="R524" i="55"/>
  <c r="T524" i="55"/>
  <c r="U524" i="55"/>
  <c r="S524" i="55"/>
  <c r="Q524" i="55"/>
  <c r="C523" i="18"/>
  <c r="K523" i="18" s="1"/>
  <c r="F525" i="55" l="1"/>
  <c r="P525" i="55"/>
  <c r="O525" i="55"/>
  <c r="J525" i="55"/>
  <c r="R523" i="18"/>
  <c r="D525" i="55"/>
  <c r="E524" i="18"/>
  <c r="B524" i="18"/>
  <c r="C526" i="55" l="1"/>
  <c r="O524" i="18"/>
  <c r="A525" i="18"/>
  <c r="D525" i="18" s="1"/>
  <c r="B527" i="55" s="1"/>
  <c r="A526" i="55"/>
  <c r="M524" i="18"/>
  <c r="L524" i="18"/>
  <c r="M525" i="55"/>
  <c r="N525" i="55"/>
  <c r="L525" i="55"/>
  <c r="K525" i="55"/>
  <c r="C524" i="18"/>
  <c r="K524" i="18" s="1"/>
  <c r="F526" i="55" l="1"/>
  <c r="P526" i="55"/>
  <c r="J526" i="55"/>
  <c r="O526" i="55"/>
  <c r="R524" i="18"/>
  <c r="D526" i="55"/>
  <c r="B525" i="18"/>
  <c r="L525" i="18" s="1"/>
  <c r="E525" i="18"/>
  <c r="A526" i="18" l="1"/>
  <c r="A527" i="55"/>
  <c r="M525" i="18"/>
  <c r="N525" i="18"/>
  <c r="E527" i="55" s="1"/>
  <c r="C527" i="55"/>
  <c r="O525" i="18"/>
  <c r="L526" i="55"/>
  <c r="N526" i="55"/>
  <c r="M526" i="55"/>
  <c r="K526" i="55"/>
  <c r="D526" i="18"/>
  <c r="B528" i="55" s="1"/>
  <c r="C525" i="18"/>
  <c r="K525" i="18" s="1"/>
  <c r="F527" i="55" l="1"/>
  <c r="G527" i="55" s="1"/>
  <c r="P527" i="55"/>
  <c r="Q527" i="55" s="1"/>
  <c r="O527" i="55"/>
  <c r="J527" i="55"/>
  <c r="R525" i="18"/>
  <c r="D527" i="55"/>
  <c r="B526" i="18"/>
  <c r="E526" i="18"/>
  <c r="H527" i="55" l="1"/>
  <c r="I527" i="55" s="1"/>
  <c r="U527" i="55" s="1"/>
  <c r="S527" i="55"/>
  <c r="A527" i="18"/>
  <c r="D527" i="18" s="1"/>
  <c r="B529" i="55" s="1"/>
  <c r="A528" i="55"/>
  <c r="M526" i="18"/>
  <c r="L526" i="18"/>
  <c r="C528" i="55"/>
  <c r="O526" i="18"/>
  <c r="N527" i="55"/>
  <c r="L527" i="55"/>
  <c r="M527" i="55"/>
  <c r="K527" i="55"/>
  <c r="R527" i="55"/>
  <c r="D121" i="59" s="1"/>
  <c r="C526" i="18"/>
  <c r="K526" i="18" s="1"/>
  <c r="T527" i="55" l="1"/>
  <c r="F528" i="55"/>
  <c r="P528" i="55"/>
  <c r="O528" i="55"/>
  <c r="J528" i="55"/>
  <c r="R526" i="18"/>
  <c r="D528" i="55"/>
  <c r="B527" i="18"/>
  <c r="E527" i="18"/>
  <c r="R528" i="55" l="1"/>
  <c r="D122" i="59" s="1"/>
  <c r="A528" i="18"/>
  <c r="A529" i="55"/>
  <c r="C529" i="55"/>
  <c r="O527" i="18"/>
  <c r="M527" i="18"/>
  <c r="N528" i="55"/>
  <c r="L528" i="55"/>
  <c r="M528" i="55"/>
  <c r="K528" i="55"/>
  <c r="L527" i="18"/>
  <c r="D528" i="18"/>
  <c r="B530" i="55" s="1"/>
  <c r="C527" i="18"/>
  <c r="K527" i="18" s="1"/>
  <c r="P529" i="55" l="1"/>
  <c r="O529" i="55"/>
  <c r="J529" i="55"/>
  <c r="F529" i="55"/>
  <c r="R527" i="18"/>
  <c r="D529" i="55"/>
  <c r="E528" i="18"/>
  <c r="B528" i="18"/>
  <c r="A529" i="18" l="1"/>
  <c r="A530" i="55"/>
  <c r="M528" i="18"/>
  <c r="C530" i="55"/>
  <c r="O528" i="18"/>
  <c r="K529" i="55"/>
  <c r="M529" i="55"/>
  <c r="N529" i="55"/>
  <c r="L529" i="55"/>
  <c r="R529" i="55"/>
  <c r="T529" i="55"/>
  <c r="S529" i="55"/>
  <c r="U529" i="55"/>
  <c r="Q529" i="55"/>
  <c r="L528" i="18"/>
  <c r="C528" i="18"/>
  <c r="K528" i="18" s="1"/>
  <c r="D529" i="18"/>
  <c r="B531" i="55" s="1"/>
  <c r="F530" i="55" l="1"/>
  <c r="P530" i="55"/>
  <c r="J530" i="55"/>
  <c r="O530" i="55"/>
  <c r="R528" i="18"/>
  <c r="D530" i="55"/>
  <c r="B529" i="18"/>
  <c r="L529" i="18" s="1"/>
  <c r="E529" i="18"/>
  <c r="C531" i="55" l="1"/>
  <c r="O529" i="18"/>
  <c r="A530" i="18"/>
  <c r="D530" i="18" s="1"/>
  <c r="B532" i="55" s="1"/>
  <c r="A531" i="55"/>
  <c r="M529" i="18"/>
  <c r="N530" i="55"/>
  <c r="M530" i="55"/>
  <c r="L530" i="55"/>
  <c r="K530" i="55"/>
  <c r="R530" i="55"/>
  <c r="T530" i="55"/>
  <c r="U530" i="55"/>
  <c r="S530" i="55"/>
  <c r="Q530" i="55"/>
  <c r="C529" i="18"/>
  <c r="K529" i="18" s="1"/>
  <c r="F531" i="55" l="1"/>
  <c r="P531" i="55"/>
  <c r="J531" i="55"/>
  <c r="O531" i="55"/>
  <c r="R529" i="18"/>
  <c r="D531" i="55"/>
  <c r="B530" i="18"/>
  <c r="E530" i="18"/>
  <c r="C532" i="55" l="1"/>
  <c r="O530" i="18"/>
  <c r="A531" i="18"/>
  <c r="D531" i="18" s="1"/>
  <c r="B533" i="55" s="1"/>
  <c r="A532" i="55"/>
  <c r="M530" i="18"/>
  <c r="L530" i="18"/>
  <c r="N531" i="55"/>
  <c r="M531" i="55"/>
  <c r="L531" i="55"/>
  <c r="K531" i="55"/>
  <c r="R531" i="55"/>
  <c r="S531" i="55"/>
  <c r="T531" i="55"/>
  <c r="U531" i="55"/>
  <c r="Q531" i="55"/>
  <c r="C530" i="18"/>
  <c r="K530" i="18" s="1"/>
  <c r="F532" i="55" l="1"/>
  <c r="P532" i="55"/>
  <c r="J532" i="55"/>
  <c r="O532" i="55"/>
  <c r="R530" i="18"/>
  <c r="D532" i="55"/>
  <c r="B531" i="18"/>
  <c r="L531" i="18" s="1"/>
  <c r="E531" i="18"/>
  <c r="C533" i="55" l="1"/>
  <c r="O531" i="18"/>
  <c r="R532" i="55"/>
  <c r="T532" i="55"/>
  <c r="U532" i="55"/>
  <c r="S532" i="55"/>
  <c r="Q532" i="55"/>
  <c r="A532" i="18"/>
  <c r="D532" i="18" s="1"/>
  <c r="B534" i="55" s="1"/>
  <c r="A533" i="55"/>
  <c r="M531" i="18"/>
  <c r="N532" i="55"/>
  <c r="L532" i="55"/>
  <c r="M532" i="55"/>
  <c r="K532" i="55"/>
  <c r="C531" i="18"/>
  <c r="K531" i="18" s="1"/>
  <c r="F533" i="55" l="1"/>
  <c r="P533" i="55"/>
  <c r="O533" i="55"/>
  <c r="J533" i="55"/>
  <c r="R531" i="18"/>
  <c r="D533" i="55"/>
  <c r="E532" i="18"/>
  <c r="B532" i="18"/>
  <c r="A533" i="18" l="1"/>
  <c r="A534" i="55"/>
  <c r="M532" i="18"/>
  <c r="L532" i="18"/>
  <c r="C534" i="55"/>
  <c r="O532" i="18"/>
  <c r="M533" i="55"/>
  <c r="N533" i="55"/>
  <c r="L533" i="55"/>
  <c r="K533" i="55"/>
  <c r="R533" i="55"/>
  <c r="T533" i="55"/>
  <c r="U533" i="55"/>
  <c r="S533" i="55"/>
  <c r="Q533" i="55"/>
  <c r="C532" i="18"/>
  <c r="K532" i="18" s="1"/>
  <c r="D533" i="18"/>
  <c r="B535" i="55" s="1"/>
  <c r="F534" i="55" l="1"/>
  <c r="P534" i="55"/>
  <c r="J534" i="55"/>
  <c r="O534" i="55"/>
  <c r="R532" i="18"/>
  <c r="D534" i="55"/>
  <c r="B533" i="18"/>
  <c r="E533" i="18"/>
  <c r="C535" i="55" l="1"/>
  <c r="O533" i="18"/>
  <c r="A534" i="18"/>
  <c r="A535" i="55"/>
  <c r="M533" i="18"/>
  <c r="N534" i="55"/>
  <c r="L534" i="55"/>
  <c r="K534" i="55"/>
  <c r="M534" i="55"/>
  <c r="R534" i="55"/>
  <c r="T534" i="55"/>
  <c r="U534" i="55"/>
  <c r="S534" i="55"/>
  <c r="Q534" i="55"/>
  <c r="L533" i="18"/>
  <c r="D534" i="18"/>
  <c r="B536" i="55" s="1"/>
  <c r="C533" i="18"/>
  <c r="K533" i="18" s="1"/>
  <c r="P535" i="55" l="1"/>
  <c r="O535" i="55"/>
  <c r="J535" i="55"/>
  <c r="F535" i="55"/>
  <c r="R533" i="18"/>
  <c r="D535" i="55"/>
  <c r="E534" i="18"/>
  <c r="B534" i="18"/>
  <c r="A535" i="18" l="1"/>
  <c r="A536" i="55"/>
  <c r="M534" i="18"/>
  <c r="C536" i="55"/>
  <c r="O534" i="18"/>
  <c r="L534" i="18"/>
  <c r="N535" i="55"/>
  <c r="L535" i="55"/>
  <c r="K535" i="55"/>
  <c r="M535" i="55"/>
  <c r="R535" i="55"/>
  <c r="T535" i="55"/>
  <c r="U535" i="55"/>
  <c r="S535" i="55"/>
  <c r="Q535" i="55"/>
  <c r="C534" i="18"/>
  <c r="K534" i="18" s="1"/>
  <c r="D535" i="18"/>
  <c r="B537" i="55" s="1"/>
  <c r="F536" i="55" l="1"/>
  <c r="P536" i="55"/>
  <c r="O536" i="55"/>
  <c r="J536" i="55"/>
  <c r="R534" i="18"/>
  <c r="D536" i="55"/>
  <c r="B535" i="18"/>
  <c r="E535" i="18"/>
  <c r="C537" i="55" l="1"/>
  <c r="O535" i="18"/>
  <c r="A536" i="18"/>
  <c r="D536" i="18" s="1"/>
  <c r="B538" i="55" s="1"/>
  <c r="A537" i="55"/>
  <c r="M535" i="18"/>
  <c r="N536" i="55"/>
  <c r="M536" i="55"/>
  <c r="L536" i="55"/>
  <c r="K536" i="55"/>
  <c r="R536" i="55"/>
  <c r="T536" i="55"/>
  <c r="U536" i="55"/>
  <c r="S536" i="55"/>
  <c r="Q536" i="55"/>
  <c r="L535" i="18"/>
  <c r="C535" i="18"/>
  <c r="K535" i="18" s="1"/>
  <c r="P537" i="55" l="1"/>
  <c r="J537" i="55"/>
  <c r="O537" i="55"/>
  <c r="F537" i="55"/>
  <c r="R535" i="18"/>
  <c r="D537" i="55"/>
  <c r="B536" i="18"/>
  <c r="E536" i="18"/>
  <c r="C538" i="55" l="1"/>
  <c r="O536" i="18"/>
  <c r="A537" i="18"/>
  <c r="D537" i="18" s="1"/>
  <c r="B539" i="55" s="1"/>
  <c r="A538" i="55"/>
  <c r="M536" i="18"/>
  <c r="L536" i="18"/>
  <c r="M537" i="55"/>
  <c r="K537" i="55"/>
  <c r="N537" i="55"/>
  <c r="L537" i="55"/>
  <c r="R537" i="55"/>
  <c r="U537" i="55"/>
  <c r="T537" i="55"/>
  <c r="S537" i="55"/>
  <c r="Q537" i="55"/>
  <c r="C536" i="18"/>
  <c r="K536" i="18" s="1"/>
  <c r="P538" i="55" l="1"/>
  <c r="O538" i="55"/>
  <c r="J538" i="55"/>
  <c r="F538" i="55"/>
  <c r="R536" i="18"/>
  <c r="D538" i="55"/>
  <c r="E537" i="18"/>
  <c r="B537" i="18"/>
  <c r="A538" i="18" l="1"/>
  <c r="A539" i="55"/>
  <c r="M537" i="18"/>
  <c r="C539" i="55"/>
  <c r="O537" i="18"/>
  <c r="L538" i="55"/>
  <c r="N538" i="55"/>
  <c r="M538" i="55"/>
  <c r="K538" i="55"/>
  <c r="R538" i="55"/>
  <c r="T538" i="55"/>
  <c r="U538" i="55"/>
  <c r="S538" i="55"/>
  <c r="Q538" i="55"/>
  <c r="L537" i="18"/>
  <c r="D538" i="18"/>
  <c r="B540" i="55" s="1"/>
  <c r="C537" i="18"/>
  <c r="K537" i="18" s="1"/>
  <c r="F539" i="55" l="1"/>
  <c r="P539" i="55"/>
  <c r="J539" i="55"/>
  <c r="O539" i="55"/>
  <c r="R537" i="18"/>
  <c r="D539" i="55"/>
  <c r="B538" i="18"/>
  <c r="E538" i="18"/>
  <c r="A539" i="18" l="1"/>
  <c r="D539" i="18" s="1"/>
  <c r="B541" i="55" s="1"/>
  <c r="A540" i="55"/>
  <c r="M538" i="18"/>
  <c r="C540" i="55"/>
  <c r="O538" i="18"/>
  <c r="N539" i="55"/>
  <c r="M539" i="55"/>
  <c r="L539" i="55"/>
  <c r="K539" i="55"/>
  <c r="R539" i="55"/>
  <c r="T539" i="55"/>
  <c r="U539" i="55"/>
  <c r="S539" i="55"/>
  <c r="Q539" i="55"/>
  <c r="L538" i="18"/>
  <c r="C538" i="18"/>
  <c r="K538" i="18" s="1"/>
  <c r="F540" i="55" l="1"/>
  <c r="P540" i="55"/>
  <c r="O540" i="55"/>
  <c r="J540" i="55"/>
  <c r="R538" i="18"/>
  <c r="D540" i="55"/>
  <c r="B539" i="18"/>
  <c r="L539" i="18" s="1"/>
  <c r="E539" i="18"/>
  <c r="C541" i="55" l="1"/>
  <c r="O539" i="18"/>
  <c r="A540" i="18"/>
  <c r="A541" i="55"/>
  <c r="M539" i="18"/>
  <c r="M540" i="55"/>
  <c r="N540" i="55"/>
  <c r="L540" i="55"/>
  <c r="K540" i="55"/>
  <c r="R540" i="55"/>
  <c r="T540" i="55"/>
  <c r="U540" i="55"/>
  <c r="S540" i="55"/>
  <c r="Q540" i="55"/>
  <c r="D540" i="18"/>
  <c r="B542" i="55" s="1"/>
  <c r="C539" i="18"/>
  <c r="K539" i="18" s="1"/>
  <c r="P541" i="55" l="1"/>
  <c r="J541" i="55"/>
  <c r="O541" i="55"/>
  <c r="F541" i="55"/>
  <c r="R539" i="18"/>
  <c r="D541" i="55"/>
  <c r="E540" i="18"/>
  <c r="B540" i="18"/>
  <c r="A541" i="18" l="1"/>
  <c r="A542" i="55"/>
  <c r="M540" i="18"/>
  <c r="L540" i="18"/>
  <c r="C542" i="55"/>
  <c r="O540" i="18"/>
  <c r="K541" i="55"/>
  <c r="M541" i="55"/>
  <c r="N541" i="55"/>
  <c r="L541" i="55"/>
  <c r="T541" i="55"/>
  <c r="S541" i="55"/>
  <c r="U541" i="55"/>
  <c r="R541" i="55"/>
  <c r="Q541" i="55"/>
  <c r="C540" i="18"/>
  <c r="K540" i="18" s="1"/>
  <c r="D541" i="18"/>
  <c r="B543" i="55" s="1"/>
  <c r="F542" i="55" l="1"/>
  <c r="P542" i="55"/>
  <c r="O542" i="55"/>
  <c r="J542" i="55"/>
  <c r="R540" i="18"/>
  <c r="D542" i="55"/>
  <c r="E541" i="18"/>
  <c r="B541" i="18"/>
  <c r="A542" i="18" l="1"/>
  <c r="D542" i="18" s="1"/>
  <c r="B544" i="55" s="1"/>
  <c r="A543" i="55"/>
  <c r="M541" i="18"/>
  <c r="C543" i="55"/>
  <c r="O541" i="18"/>
  <c r="N542" i="55"/>
  <c r="L542" i="55"/>
  <c r="M542" i="55"/>
  <c r="K542" i="55"/>
  <c r="R542" i="55"/>
  <c r="T542" i="55"/>
  <c r="U542" i="55"/>
  <c r="S542" i="55"/>
  <c r="Q542" i="55"/>
  <c r="L541" i="18"/>
  <c r="C541" i="18"/>
  <c r="K541" i="18" s="1"/>
  <c r="F543" i="55" l="1"/>
  <c r="P543" i="55"/>
  <c r="J543" i="55"/>
  <c r="O543" i="55"/>
  <c r="R541" i="18"/>
  <c r="D543" i="55"/>
  <c r="B542" i="18"/>
  <c r="E542" i="18"/>
  <c r="O542" i="18" l="1"/>
  <c r="C544" i="55"/>
  <c r="A543" i="18"/>
  <c r="A544" i="55"/>
  <c r="L542" i="18"/>
  <c r="M542" i="18"/>
  <c r="N543" i="55"/>
  <c r="M543" i="55"/>
  <c r="L543" i="55"/>
  <c r="K543" i="55"/>
  <c r="D543" i="18"/>
  <c r="B545" i="55" s="1"/>
  <c r="C542" i="18"/>
  <c r="K542" i="18" s="1"/>
  <c r="F544" i="55" l="1"/>
  <c r="P544" i="55"/>
  <c r="J544" i="55"/>
  <c r="O544" i="55"/>
  <c r="R542" i="18"/>
  <c r="D544" i="55"/>
  <c r="B543" i="18"/>
  <c r="E543" i="18"/>
  <c r="N543" i="18" l="1"/>
  <c r="C545" i="55"/>
  <c r="O543" i="18"/>
  <c r="A544" i="18"/>
  <c r="A545" i="55"/>
  <c r="M543" i="18"/>
  <c r="L543" i="18"/>
  <c r="C543" i="18"/>
  <c r="K543" i="18" s="1"/>
  <c r="D544" i="18"/>
  <c r="B546" i="55" s="1"/>
  <c r="F545" i="55" l="1"/>
  <c r="P545" i="55"/>
  <c r="J545" i="55"/>
  <c r="O545" i="55"/>
  <c r="E545" i="55"/>
  <c r="R543" i="18"/>
  <c r="D545" i="55"/>
  <c r="E544" i="18"/>
  <c r="B544" i="18"/>
  <c r="G545" i="55" l="1"/>
  <c r="H545" i="55" s="1"/>
  <c r="T545" i="55" s="1"/>
  <c r="C546" i="55"/>
  <c r="O544" i="18"/>
  <c r="A545" i="18"/>
  <c r="D545" i="18" s="1"/>
  <c r="B547" i="55" s="1"/>
  <c r="A546" i="55"/>
  <c r="M544" i="18"/>
  <c r="L545" i="55"/>
  <c r="M545" i="55"/>
  <c r="K545" i="55"/>
  <c r="N545" i="55"/>
  <c r="Q545" i="55"/>
  <c r="L544" i="18"/>
  <c r="R545" i="55"/>
  <c r="D125" i="59" s="1"/>
  <c r="N544" i="18"/>
  <c r="C544" i="18"/>
  <c r="K544" i="18" s="1"/>
  <c r="I545" i="55" l="1"/>
  <c r="U545" i="55" s="1"/>
  <c r="S545" i="55"/>
  <c r="F546" i="55"/>
  <c r="P546" i="55"/>
  <c r="O546" i="55"/>
  <c r="J546" i="55"/>
  <c r="E546" i="55"/>
  <c r="R544" i="18"/>
  <c r="D546" i="55"/>
  <c r="B545" i="18"/>
  <c r="E545" i="18"/>
  <c r="G546" i="55" l="1"/>
  <c r="H546" i="55" s="1"/>
  <c r="T546" i="55" s="1"/>
  <c r="Q546" i="55"/>
  <c r="A546" i="18"/>
  <c r="D546" i="18" s="1"/>
  <c r="B548" i="55" s="1"/>
  <c r="A547" i="55"/>
  <c r="M546" i="55"/>
  <c r="N546" i="55"/>
  <c r="L546" i="55"/>
  <c r="K546" i="55"/>
  <c r="R546" i="55"/>
  <c r="D126" i="59" s="1"/>
  <c r="M545" i="18"/>
  <c r="C547" i="55"/>
  <c r="O545" i="18"/>
  <c r="L545" i="18"/>
  <c r="C545" i="18"/>
  <c r="K545" i="18" s="1"/>
  <c r="S546" i="55" l="1"/>
  <c r="F547" i="55"/>
  <c r="P547" i="55"/>
  <c r="O547" i="55"/>
  <c r="J547" i="55"/>
  <c r="R545" i="18"/>
  <c r="D547" i="55"/>
  <c r="I546" i="55"/>
  <c r="U546" i="55" s="1"/>
  <c r="E546" i="18"/>
  <c r="B546" i="18"/>
  <c r="C548" i="55" l="1"/>
  <c r="O546" i="18"/>
  <c r="A547" i="18"/>
  <c r="D547" i="18" s="1"/>
  <c r="B549" i="55" s="1"/>
  <c r="A548" i="55"/>
  <c r="M546" i="18"/>
  <c r="N547" i="55"/>
  <c r="L547" i="55"/>
  <c r="K547" i="55"/>
  <c r="M547" i="55"/>
  <c r="R547" i="55"/>
  <c r="T547" i="55"/>
  <c r="S547" i="55"/>
  <c r="U547" i="55"/>
  <c r="Q547" i="55"/>
  <c r="L546" i="18"/>
  <c r="C546" i="18"/>
  <c r="K546" i="18" s="1"/>
  <c r="F548" i="55" l="1"/>
  <c r="P548" i="55"/>
  <c r="O548" i="55"/>
  <c r="J548" i="55"/>
  <c r="R546" i="18"/>
  <c r="D548" i="55"/>
  <c r="B547" i="18"/>
  <c r="E547" i="18"/>
  <c r="O547" i="18" l="1"/>
  <c r="C549" i="55"/>
  <c r="A548" i="18"/>
  <c r="D548" i="18" s="1"/>
  <c r="B550" i="55" s="1"/>
  <c r="A549" i="55"/>
  <c r="M547" i="18"/>
  <c r="L547" i="18"/>
  <c r="K548" i="55"/>
  <c r="N548" i="55"/>
  <c r="L548" i="55"/>
  <c r="M548" i="55"/>
  <c r="R548" i="55"/>
  <c r="T548" i="55"/>
  <c r="U548" i="55"/>
  <c r="S548" i="55"/>
  <c r="Q548" i="55"/>
  <c r="C547" i="18"/>
  <c r="K547" i="18" s="1"/>
  <c r="F549" i="55" l="1"/>
  <c r="P549" i="55"/>
  <c r="O549" i="55"/>
  <c r="J549" i="55"/>
  <c r="R547" i="18"/>
  <c r="D549" i="55"/>
  <c r="B548" i="18"/>
  <c r="E548" i="18"/>
  <c r="O548" i="18" l="1"/>
  <c r="C550" i="55"/>
  <c r="A549" i="18"/>
  <c r="D549" i="18" s="1"/>
  <c r="B551" i="55" s="1"/>
  <c r="A550" i="55"/>
  <c r="M548" i="18"/>
  <c r="M549" i="55"/>
  <c r="N549" i="55"/>
  <c r="L549" i="55"/>
  <c r="K549" i="55"/>
  <c r="R549" i="55"/>
  <c r="U549" i="55"/>
  <c r="T549" i="55"/>
  <c r="S549" i="55"/>
  <c r="Q549" i="55"/>
  <c r="L548" i="18"/>
  <c r="C548" i="18"/>
  <c r="K548" i="18" s="1"/>
  <c r="F550" i="55" l="1"/>
  <c r="P550" i="55"/>
  <c r="J550" i="55"/>
  <c r="O550" i="55"/>
  <c r="R548" i="18"/>
  <c r="D550" i="55"/>
  <c r="B549" i="18"/>
  <c r="E549" i="18"/>
  <c r="A550" i="18" l="1"/>
  <c r="D550" i="18" s="1"/>
  <c r="B552" i="55" s="1"/>
  <c r="A551" i="55"/>
  <c r="M549" i="18"/>
  <c r="C551" i="55"/>
  <c r="O549" i="18"/>
  <c r="L549" i="18"/>
  <c r="K550" i="55"/>
  <c r="N550" i="55"/>
  <c r="L550" i="55"/>
  <c r="M550" i="55"/>
  <c r="R550" i="55"/>
  <c r="T550" i="55"/>
  <c r="U550" i="55"/>
  <c r="S550" i="55"/>
  <c r="Q550" i="55"/>
  <c r="C549" i="18"/>
  <c r="K549" i="18" s="1"/>
  <c r="F551" i="55" l="1"/>
  <c r="P551" i="55"/>
  <c r="O551" i="55"/>
  <c r="J551" i="55"/>
  <c r="R549" i="18"/>
  <c r="D551" i="55"/>
  <c r="B550" i="18"/>
  <c r="E550" i="18"/>
  <c r="C552" i="55" l="1"/>
  <c r="O550" i="18"/>
  <c r="A551" i="18"/>
  <c r="D551" i="18" s="1"/>
  <c r="B553" i="55" s="1"/>
  <c r="A552" i="55"/>
  <c r="M550" i="18"/>
  <c r="N551" i="55"/>
  <c r="L551" i="55"/>
  <c r="M551" i="55"/>
  <c r="K551" i="55"/>
  <c r="R551" i="55"/>
  <c r="T551" i="55"/>
  <c r="S551" i="55"/>
  <c r="U551" i="55"/>
  <c r="Q551" i="55"/>
  <c r="L550" i="18"/>
  <c r="C550" i="18"/>
  <c r="K550" i="18" s="1"/>
  <c r="F552" i="55" l="1"/>
  <c r="P552" i="55"/>
  <c r="O552" i="55"/>
  <c r="J552" i="55"/>
  <c r="R550" i="18"/>
  <c r="D552" i="55"/>
  <c r="E551" i="18"/>
  <c r="B551" i="18"/>
  <c r="C553" i="55" l="1"/>
  <c r="O551" i="18"/>
  <c r="A552" i="18"/>
  <c r="D552" i="18" s="1"/>
  <c r="B554" i="55" s="1"/>
  <c r="A553" i="55"/>
  <c r="M551" i="18"/>
  <c r="N552" i="55"/>
  <c r="L552" i="55"/>
  <c r="M552" i="55"/>
  <c r="K552" i="55"/>
  <c r="R552" i="55"/>
  <c r="S552" i="55"/>
  <c r="T552" i="55"/>
  <c r="U552" i="55"/>
  <c r="Q552" i="55"/>
  <c r="L551" i="18"/>
  <c r="C551" i="18"/>
  <c r="K551" i="18" s="1"/>
  <c r="F553" i="55" l="1"/>
  <c r="P553" i="55"/>
  <c r="O553" i="55"/>
  <c r="J553" i="55"/>
  <c r="R551" i="18"/>
  <c r="D553" i="55"/>
  <c r="E552" i="18"/>
  <c r="B552" i="18"/>
  <c r="A553" i="18" l="1"/>
  <c r="A554" i="55"/>
  <c r="M552" i="18"/>
  <c r="C554" i="55"/>
  <c r="O552" i="18"/>
  <c r="L552" i="18"/>
  <c r="N553" i="55"/>
  <c r="L553" i="55"/>
  <c r="M553" i="55"/>
  <c r="K553" i="55"/>
  <c r="R553" i="55"/>
  <c r="U553" i="55"/>
  <c r="T553" i="55"/>
  <c r="S553" i="55"/>
  <c r="Q553" i="55"/>
  <c r="C552" i="18"/>
  <c r="K552" i="18" s="1"/>
  <c r="D553" i="18"/>
  <c r="B555" i="55" s="1"/>
  <c r="F554" i="55" l="1"/>
  <c r="P554" i="55"/>
  <c r="O554" i="55"/>
  <c r="J554" i="55"/>
  <c r="R552" i="18"/>
  <c r="D554" i="55"/>
  <c r="B553" i="18"/>
  <c r="E553" i="18"/>
  <c r="A554" i="18" l="1"/>
  <c r="D554" i="18" s="1"/>
  <c r="B556" i="55" s="1"/>
  <c r="A555" i="55"/>
  <c r="M553" i="18"/>
  <c r="C555" i="55"/>
  <c r="O553" i="18"/>
  <c r="L554" i="55"/>
  <c r="M554" i="55"/>
  <c r="N554" i="55"/>
  <c r="K554" i="55"/>
  <c r="T554" i="55"/>
  <c r="U554" i="55"/>
  <c r="R554" i="55"/>
  <c r="S554" i="55"/>
  <c r="Q554" i="55"/>
  <c r="L553" i="18"/>
  <c r="C553" i="18"/>
  <c r="K553" i="18" s="1"/>
  <c r="F555" i="55" l="1"/>
  <c r="P555" i="55"/>
  <c r="J555" i="55"/>
  <c r="O555" i="55"/>
  <c r="R553" i="18"/>
  <c r="D555" i="55"/>
  <c r="E554" i="18"/>
  <c r="B554" i="18"/>
  <c r="A555" i="18" l="1"/>
  <c r="A556" i="55"/>
  <c r="M554" i="18"/>
  <c r="C556" i="55"/>
  <c r="O554" i="18"/>
  <c r="N555" i="55"/>
  <c r="M555" i="55"/>
  <c r="K555" i="55"/>
  <c r="L555" i="55"/>
  <c r="R555" i="55"/>
  <c r="S555" i="55"/>
  <c r="T555" i="55"/>
  <c r="U555" i="55"/>
  <c r="Q555" i="55"/>
  <c r="L554" i="18"/>
  <c r="C554" i="18"/>
  <c r="K554" i="18" s="1"/>
  <c r="D555" i="18"/>
  <c r="B557" i="55" s="1"/>
  <c r="F556" i="55" l="1"/>
  <c r="P556" i="55"/>
  <c r="O556" i="55"/>
  <c r="J556" i="55"/>
  <c r="R554" i="18"/>
  <c r="D556" i="55"/>
  <c r="B555" i="18"/>
  <c r="E555" i="18"/>
  <c r="A556" i="18" l="1"/>
  <c r="A557" i="55"/>
  <c r="M555" i="18"/>
  <c r="C557" i="55"/>
  <c r="O555" i="18"/>
  <c r="N556" i="55"/>
  <c r="M556" i="55"/>
  <c r="K556" i="55"/>
  <c r="L556" i="55"/>
  <c r="R556" i="55"/>
  <c r="T556" i="55"/>
  <c r="S556" i="55"/>
  <c r="U556" i="55"/>
  <c r="Q556" i="55"/>
  <c r="L555" i="18"/>
  <c r="D556" i="18"/>
  <c r="B558" i="55" s="1"/>
  <c r="C555" i="18"/>
  <c r="K555" i="18" s="1"/>
  <c r="F557" i="55" l="1"/>
  <c r="P557" i="55"/>
  <c r="J557" i="55"/>
  <c r="O557" i="55"/>
  <c r="R555" i="18"/>
  <c r="D557" i="55"/>
  <c r="B556" i="18"/>
  <c r="E556" i="18"/>
  <c r="C558" i="55" l="1"/>
  <c r="O556" i="18"/>
  <c r="A557" i="18"/>
  <c r="D557" i="18" s="1"/>
  <c r="B559" i="55" s="1"/>
  <c r="A558" i="55"/>
  <c r="M556" i="18"/>
  <c r="N557" i="55"/>
  <c r="M557" i="55"/>
  <c r="L557" i="55"/>
  <c r="K557" i="55"/>
  <c r="R557" i="55"/>
  <c r="T557" i="55"/>
  <c r="S557" i="55"/>
  <c r="U557" i="55"/>
  <c r="Q557" i="55"/>
  <c r="L556" i="18"/>
  <c r="C556" i="18"/>
  <c r="K556" i="18" s="1"/>
  <c r="F558" i="55" l="1"/>
  <c r="P558" i="55"/>
  <c r="O558" i="55"/>
  <c r="J558" i="55"/>
  <c r="R556" i="18"/>
  <c r="D558" i="55"/>
  <c r="B557" i="18"/>
  <c r="E557" i="18"/>
  <c r="A558" i="18" l="1"/>
  <c r="D558" i="18" s="1"/>
  <c r="B560" i="55" s="1"/>
  <c r="A559" i="55"/>
  <c r="M557" i="18"/>
  <c r="C559" i="55"/>
  <c r="O557" i="18"/>
  <c r="K558" i="55"/>
  <c r="N558" i="55"/>
  <c r="L558" i="55"/>
  <c r="M558" i="55"/>
  <c r="R558" i="55"/>
  <c r="T558" i="55"/>
  <c r="U558" i="55"/>
  <c r="S558" i="55"/>
  <c r="Q558" i="55"/>
  <c r="L557" i="18"/>
  <c r="C557" i="18"/>
  <c r="K557" i="18" s="1"/>
  <c r="F559" i="55" l="1"/>
  <c r="P559" i="55"/>
  <c r="O559" i="55"/>
  <c r="J559" i="55"/>
  <c r="R557" i="18"/>
  <c r="D559" i="55"/>
  <c r="E558" i="18"/>
  <c r="B558" i="18"/>
  <c r="A559" i="18" l="1"/>
  <c r="D559" i="18" s="1"/>
  <c r="B561" i="55" s="1"/>
  <c r="A560" i="55"/>
  <c r="M558" i="18"/>
  <c r="C560" i="55"/>
  <c r="O558" i="18"/>
  <c r="M559" i="55"/>
  <c r="L559" i="55"/>
  <c r="N559" i="55"/>
  <c r="K559" i="55"/>
  <c r="R559" i="55"/>
  <c r="S559" i="55"/>
  <c r="T559" i="55"/>
  <c r="U559" i="55"/>
  <c r="Q559" i="55"/>
  <c r="L558" i="18"/>
  <c r="C558" i="18"/>
  <c r="K558" i="18" s="1"/>
  <c r="F560" i="55" l="1"/>
  <c r="P560" i="55"/>
  <c r="J560" i="55"/>
  <c r="O560" i="55"/>
  <c r="R558" i="18"/>
  <c r="D560" i="55"/>
  <c r="B559" i="18"/>
  <c r="E559" i="18"/>
  <c r="A560" i="18" l="1"/>
  <c r="D560" i="18" s="1"/>
  <c r="B562" i="55" s="1"/>
  <c r="A561" i="55"/>
  <c r="M559" i="18"/>
  <c r="C561" i="55"/>
  <c r="O559" i="18"/>
  <c r="K560" i="55"/>
  <c r="N560" i="55"/>
  <c r="M560" i="55"/>
  <c r="L560" i="55"/>
  <c r="R560" i="55"/>
  <c r="T560" i="55"/>
  <c r="U560" i="55"/>
  <c r="S560" i="55"/>
  <c r="Q560" i="55"/>
  <c r="L559" i="18"/>
  <c r="C559" i="18"/>
  <c r="K559" i="18" s="1"/>
  <c r="F561" i="55" l="1"/>
  <c r="P561" i="55"/>
  <c r="J561" i="55"/>
  <c r="O561" i="55"/>
  <c r="R559" i="18"/>
  <c r="D561" i="55"/>
  <c r="B560" i="18"/>
  <c r="E560" i="18"/>
  <c r="C562" i="55" l="1"/>
  <c r="O560" i="18"/>
  <c r="A561" i="18"/>
  <c r="M560" i="18"/>
  <c r="A562" i="55"/>
  <c r="L560" i="18"/>
  <c r="N561" i="55"/>
  <c r="M561" i="55"/>
  <c r="L561" i="55"/>
  <c r="K561" i="55"/>
  <c r="D561" i="18"/>
  <c r="B563" i="55" s="1"/>
  <c r="C560" i="18"/>
  <c r="K560" i="18" s="1"/>
  <c r="P562" i="55" l="1"/>
  <c r="J562" i="55"/>
  <c r="O562" i="55"/>
  <c r="F562" i="55"/>
  <c r="R560" i="18"/>
  <c r="D562" i="55"/>
  <c r="B561" i="18"/>
  <c r="E561" i="18"/>
  <c r="C563" i="55" l="1"/>
  <c r="O561" i="18"/>
  <c r="A562" i="18"/>
  <c r="A563" i="55"/>
  <c r="M561" i="18"/>
  <c r="L561" i="18"/>
  <c r="N562" i="55"/>
  <c r="M562" i="55"/>
  <c r="L562" i="55"/>
  <c r="K562" i="55"/>
  <c r="C561" i="18"/>
  <c r="K561" i="18" s="1"/>
  <c r="D562" i="18"/>
  <c r="B564" i="55" s="1"/>
  <c r="P563" i="55" l="1"/>
  <c r="J563" i="55"/>
  <c r="O563" i="55"/>
  <c r="F563" i="55"/>
  <c r="R561" i="18"/>
  <c r="D563" i="55"/>
  <c r="B562" i="18"/>
  <c r="E562" i="18"/>
  <c r="R563" i="55" l="1"/>
  <c r="D129" i="59" s="1"/>
  <c r="C564" i="55"/>
  <c r="O562" i="18"/>
  <c r="A563" i="18"/>
  <c r="D563" i="18" s="1"/>
  <c r="B565" i="55" s="1"/>
  <c r="A564" i="55"/>
  <c r="M562" i="18"/>
  <c r="N563" i="55"/>
  <c r="M563" i="55"/>
  <c r="L563" i="55"/>
  <c r="K563" i="55"/>
  <c r="L562" i="18"/>
  <c r="C562" i="18"/>
  <c r="K562" i="18" s="1"/>
  <c r="P564" i="55" l="1"/>
  <c r="O564" i="55"/>
  <c r="J564" i="55"/>
  <c r="F564" i="55"/>
  <c r="R562" i="18"/>
  <c r="D564" i="55"/>
  <c r="B563" i="18"/>
  <c r="E563" i="18"/>
  <c r="R564" i="55" l="1"/>
  <c r="D130" i="59" s="1"/>
  <c r="C565" i="55"/>
  <c r="O563" i="18"/>
  <c r="A564" i="18"/>
  <c r="D564" i="18" s="1"/>
  <c r="B566" i="55" s="1"/>
  <c r="A565" i="55"/>
  <c r="M563" i="18"/>
  <c r="N564" i="55"/>
  <c r="M564" i="55"/>
  <c r="L564" i="55"/>
  <c r="K564" i="55"/>
  <c r="L563" i="18"/>
  <c r="C563" i="18"/>
  <c r="K563" i="18" s="1"/>
  <c r="P565" i="55" l="1"/>
  <c r="O565" i="55"/>
  <c r="J565" i="55"/>
  <c r="F565" i="55"/>
  <c r="R563" i="18"/>
  <c r="D565" i="55"/>
  <c r="B564" i="18"/>
  <c r="E564" i="18"/>
  <c r="A565" i="18" l="1"/>
  <c r="D565" i="18" s="1"/>
  <c r="B567" i="55" s="1"/>
  <c r="A566" i="55"/>
  <c r="M564" i="18"/>
  <c r="C566" i="55"/>
  <c r="O564" i="18"/>
  <c r="M565" i="55"/>
  <c r="N565" i="55"/>
  <c r="L565" i="55"/>
  <c r="K565" i="55"/>
  <c r="R565" i="55"/>
  <c r="S565" i="55"/>
  <c r="T565" i="55"/>
  <c r="U565" i="55"/>
  <c r="Q565" i="55"/>
  <c r="L564" i="18"/>
  <c r="C564" i="18"/>
  <c r="K564" i="18" s="1"/>
  <c r="F566" i="55" l="1"/>
  <c r="P566" i="55"/>
  <c r="O566" i="55"/>
  <c r="J566" i="55"/>
  <c r="R564" i="18"/>
  <c r="D566" i="55"/>
  <c r="B565" i="18"/>
  <c r="E565" i="18"/>
  <c r="A566" i="18" l="1"/>
  <c r="A567" i="55"/>
  <c r="M565" i="18"/>
  <c r="C567" i="55"/>
  <c r="O565" i="18"/>
  <c r="N566" i="55"/>
  <c r="M566" i="55"/>
  <c r="K566" i="55"/>
  <c r="L566" i="55"/>
  <c r="R566" i="55"/>
  <c r="T566" i="55"/>
  <c r="U566" i="55"/>
  <c r="S566" i="55"/>
  <c r="Q566" i="55"/>
  <c r="L565" i="18"/>
  <c r="C565" i="18"/>
  <c r="K565" i="18" s="1"/>
  <c r="D566" i="18"/>
  <c r="B568" i="55" s="1"/>
  <c r="F567" i="55" l="1"/>
  <c r="P567" i="55"/>
  <c r="J567" i="55"/>
  <c r="O567" i="55"/>
  <c r="R565" i="18"/>
  <c r="D567" i="55"/>
  <c r="B566" i="18"/>
  <c r="E566" i="18"/>
  <c r="A567" i="18" l="1"/>
  <c r="A568" i="55"/>
  <c r="M566" i="18"/>
  <c r="C568" i="55"/>
  <c r="O566" i="18"/>
  <c r="M567" i="55"/>
  <c r="N567" i="55"/>
  <c r="L567" i="55"/>
  <c r="K567" i="55"/>
  <c r="R567" i="55"/>
  <c r="T567" i="55"/>
  <c r="U567" i="55"/>
  <c r="S567" i="55"/>
  <c r="Q567" i="55"/>
  <c r="L566" i="18"/>
  <c r="D567" i="18"/>
  <c r="B569" i="55" s="1"/>
  <c r="C566" i="18"/>
  <c r="K566" i="18" s="1"/>
  <c r="F568" i="55" l="1"/>
  <c r="P568" i="55"/>
  <c r="J568" i="55"/>
  <c r="O568" i="55"/>
  <c r="R566" i="18"/>
  <c r="D568" i="55"/>
  <c r="B567" i="18"/>
  <c r="E567" i="18"/>
  <c r="A568" i="18" l="1"/>
  <c r="A569" i="55"/>
  <c r="M567" i="18"/>
  <c r="C569" i="55"/>
  <c r="O567" i="18"/>
  <c r="N568" i="55"/>
  <c r="M568" i="55"/>
  <c r="L568" i="55"/>
  <c r="K568" i="55"/>
  <c r="R568" i="55"/>
  <c r="T568" i="55"/>
  <c r="U568" i="55"/>
  <c r="S568" i="55"/>
  <c r="Q568" i="55"/>
  <c r="L567" i="18"/>
  <c r="D568" i="18"/>
  <c r="B570" i="55" s="1"/>
  <c r="C567" i="18"/>
  <c r="K567" i="18" s="1"/>
  <c r="F569" i="55" l="1"/>
  <c r="P569" i="55"/>
  <c r="O569" i="55"/>
  <c r="J569" i="55"/>
  <c r="R567" i="18"/>
  <c r="D569" i="55"/>
  <c r="E568" i="18"/>
  <c r="B568" i="18"/>
  <c r="C570" i="55" l="1"/>
  <c r="O568" i="18"/>
  <c r="A569" i="18"/>
  <c r="D569" i="18" s="1"/>
  <c r="B571" i="55" s="1"/>
  <c r="A570" i="55"/>
  <c r="M568" i="18"/>
  <c r="L569" i="55"/>
  <c r="N569" i="55"/>
  <c r="K569" i="55"/>
  <c r="M569" i="55"/>
  <c r="R569" i="55"/>
  <c r="T569" i="55"/>
  <c r="U569" i="55"/>
  <c r="S569" i="55"/>
  <c r="Q569" i="55"/>
  <c r="L568" i="18"/>
  <c r="C568" i="18"/>
  <c r="K568" i="18" s="1"/>
  <c r="P570" i="55" l="1"/>
  <c r="O570" i="55"/>
  <c r="J570" i="55"/>
  <c r="F570" i="55"/>
  <c r="R568" i="18"/>
  <c r="D570" i="55"/>
  <c r="E569" i="18"/>
  <c r="B569" i="18"/>
  <c r="A570" i="18" l="1"/>
  <c r="D570" i="18" s="1"/>
  <c r="B572" i="55" s="1"/>
  <c r="A571" i="55"/>
  <c r="M569" i="18"/>
  <c r="C571" i="55"/>
  <c r="O569" i="18"/>
  <c r="L569" i="18"/>
  <c r="N570" i="55"/>
  <c r="M570" i="55"/>
  <c r="K570" i="55"/>
  <c r="L570" i="55"/>
  <c r="R570" i="55"/>
  <c r="T570" i="55"/>
  <c r="U570" i="55"/>
  <c r="S570" i="55"/>
  <c r="Q570" i="55"/>
  <c r="C569" i="18"/>
  <c r="K569" i="18" s="1"/>
  <c r="F571" i="55" l="1"/>
  <c r="P571" i="55"/>
  <c r="J571" i="55"/>
  <c r="O571" i="55"/>
  <c r="R569" i="18"/>
  <c r="D571" i="55"/>
  <c r="B570" i="18"/>
  <c r="E570" i="18"/>
  <c r="C572" i="55" l="1"/>
  <c r="O570" i="18"/>
  <c r="A571" i="18"/>
  <c r="D571" i="18" s="1"/>
  <c r="B573" i="55" s="1"/>
  <c r="A572" i="55"/>
  <c r="M570" i="18"/>
  <c r="N571" i="55"/>
  <c r="M571" i="55"/>
  <c r="L571" i="55"/>
  <c r="K571" i="55"/>
  <c r="R571" i="55"/>
  <c r="S571" i="55"/>
  <c r="T571" i="55"/>
  <c r="U571" i="55"/>
  <c r="Q571" i="55"/>
  <c r="L570" i="18"/>
  <c r="C570" i="18"/>
  <c r="K570" i="18" s="1"/>
  <c r="P572" i="55" l="1"/>
  <c r="O572" i="55"/>
  <c r="J572" i="55"/>
  <c r="F572" i="55"/>
  <c r="R570" i="18"/>
  <c r="D572" i="55"/>
  <c r="B571" i="18"/>
  <c r="E571" i="18"/>
  <c r="C573" i="55" l="1"/>
  <c r="O571" i="18"/>
  <c r="A572" i="18"/>
  <c r="D572" i="18" s="1"/>
  <c r="B574" i="55" s="1"/>
  <c r="A573" i="55"/>
  <c r="M571" i="18"/>
  <c r="L571" i="18"/>
  <c r="N572" i="55"/>
  <c r="M572" i="55"/>
  <c r="L572" i="55"/>
  <c r="K572" i="55"/>
  <c r="R572" i="55"/>
  <c r="T572" i="55"/>
  <c r="S572" i="55"/>
  <c r="U572" i="55"/>
  <c r="Q572" i="55"/>
  <c r="C571" i="18"/>
  <c r="K571" i="18" s="1"/>
  <c r="P573" i="55" l="1"/>
  <c r="J573" i="55"/>
  <c r="O573" i="55"/>
  <c r="F573" i="55"/>
  <c r="R571" i="18"/>
  <c r="D573" i="55"/>
  <c r="B572" i="18"/>
  <c r="E572" i="18"/>
  <c r="C574" i="55" l="1"/>
  <c r="O572" i="18"/>
  <c r="A573" i="18"/>
  <c r="D573" i="18" s="1"/>
  <c r="B575" i="55" s="1"/>
  <c r="A574" i="55"/>
  <c r="M572" i="18"/>
  <c r="N573" i="55"/>
  <c r="M573" i="55"/>
  <c r="L573" i="55"/>
  <c r="K573" i="55"/>
  <c r="R573" i="55"/>
  <c r="T573" i="55"/>
  <c r="S573" i="55"/>
  <c r="U573" i="55"/>
  <c r="Q573" i="55"/>
  <c r="L572" i="18"/>
  <c r="C572" i="18"/>
  <c r="K572" i="18" s="1"/>
  <c r="P574" i="55" l="1"/>
  <c r="J574" i="55"/>
  <c r="O574" i="55"/>
  <c r="F574" i="55"/>
  <c r="R572" i="18"/>
  <c r="D574" i="55"/>
  <c r="E573" i="18"/>
  <c r="B573" i="18"/>
  <c r="A574" i="18" l="1"/>
  <c r="A575" i="55"/>
  <c r="M573" i="18"/>
  <c r="C575" i="55"/>
  <c r="O573" i="18"/>
  <c r="L573" i="18"/>
  <c r="N574" i="55"/>
  <c r="L574" i="55"/>
  <c r="M574" i="55"/>
  <c r="K574" i="55"/>
  <c r="R574" i="55"/>
  <c r="U574" i="55"/>
  <c r="T574" i="55"/>
  <c r="S574" i="55"/>
  <c r="Q574" i="55"/>
  <c r="C573" i="18"/>
  <c r="K573" i="18" s="1"/>
  <c r="D574" i="18"/>
  <c r="B576" i="55" s="1"/>
  <c r="F575" i="55" l="1"/>
  <c r="P575" i="55"/>
  <c r="J575" i="55"/>
  <c r="O575" i="55"/>
  <c r="R573" i="18"/>
  <c r="D575" i="55"/>
  <c r="B574" i="18"/>
  <c r="E574" i="18"/>
  <c r="A575" i="18" l="1"/>
  <c r="D575" i="18" s="1"/>
  <c r="B577" i="55" s="1"/>
  <c r="A576" i="55"/>
  <c r="M574" i="18"/>
  <c r="C576" i="55"/>
  <c r="O574" i="18"/>
  <c r="K575" i="55"/>
  <c r="N575" i="55"/>
  <c r="M575" i="55"/>
  <c r="L575" i="55"/>
  <c r="R575" i="55"/>
  <c r="U575" i="55"/>
  <c r="S575" i="55"/>
  <c r="T575" i="55"/>
  <c r="Q575" i="55"/>
  <c r="L574" i="18"/>
  <c r="C574" i="18"/>
  <c r="K574" i="18" s="1"/>
  <c r="F576" i="55" l="1"/>
  <c r="P576" i="55"/>
  <c r="J576" i="55"/>
  <c r="O576" i="55"/>
  <c r="R574" i="18"/>
  <c r="D576" i="55"/>
  <c r="E575" i="18"/>
  <c r="B575" i="18"/>
  <c r="C577" i="55" l="1"/>
  <c r="O575" i="18"/>
  <c r="A576" i="18"/>
  <c r="D576" i="18" s="1"/>
  <c r="B578" i="55" s="1"/>
  <c r="A577" i="55"/>
  <c r="M575" i="18"/>
  <c r="N576" i="55"/>
  <c r="L576" i="55"/>
  <c r="M576" i="55"/>
  <c r="K576" i="55"/>
  <c r="T576" i="55"/>
  <c r="U576" i="55"/>
  <c r="R576" i="55"/>
  <c r="S576" i="55"/>
  <c r="Q576" i="55"/>
  <c r="L575" i="18"/>
  <c r="C575" i="18"/>
  <c r="K575" i="18" s="1"/>
  <c r="P577" i="55" l="1"/>
  <c r="J577" i="55"/>
  <c r="O577" i="55"/>
  <c r="F577" i="55"/>
  <c r="R575" i="18"/>
  <c r="D577" i="55"/>
  <c r="B576" i="18"/>
  <c r="E576" i="18"/>
  <c r="N576" i="18" l="1"/>
  <c r="C578" i="55"/>
  <c r="O576" i="18"/>
  <c r="A577" i="18"/>
  <c r="D577" i="18" s="1"/>
  <c r="B579" i="55" s="1"/>
  <c r="A578" i="55"/>
  <c r="M576" i="18"/>
  <c r="L576" i="18"/>
  <c r="L577" i="55"/>
  <c r="M577" i="55"/>
  <c r="N577" i="55"/>
  <c r="K577" i="55"/>
  <c r="R577" i="55"/>
  <c r="T577" i="55"/>
  <c r="U577" i="55"/>
  <c r="S577" i="55"/>
  <c r="Q577" i="55"/>
  <c r="C576" i="18"/>
  <c r="K576" i="18" s="1"/>
  <c r="P578" i="55" l="1"/>
  <c r="O578" i="55"/>
  <c r="J578" i="55"/>
  <c r="F578" i="55"/>
  <c r="E578" i="55"/>
  <c r="R576" i="18"/>
  <c r="D578" i="55"/>
  <c r="B577" i="18"/>
  <c r="E577" i="18"/>
  <c r="G578" i="55" l="1"/>
  <c r="H578" i="55" s="1"/>
  <c r="I578" i="55" s="1"/>
  <c r="C579" i="55"/>
  <c r="O577" i="18"/>
  <c r="A578" i="18"/>
  <c r="D578" i="18" s="1"/>
  <c r="B580" i="55" s="1"/>
  <c r="A579" i="55"/>
  <c r="M577" i="18"/>
  <c r="N578" i="55"/>
  <c r="M578" i="55"/>
  <c r="L578" i="55"/>
  <c r="K578" i="55"/>
  <c r="R578" i="55"/>
  <c r="T578" i="55"/>
  <c r="U578" i="55"/>
  <c r="S578" i="55"/>
  <c r="Q578" i="55"/>
  <c r="L577" i="18"/>
  <c r="N577" i="18"/>
  <c r="C577" i="18"/>
  <c r="K577" i="18" s="1"/>
  <c r="E579" i="55" l="1"/>
  <c r="P579" i="55"/>
  <c r="J579" i="55"/>
  <c r="O579" i="55"/>
  <c r="F579" i="55"/>
  <c r="R577" i="18"/>
  <c r="D579" i="55"/>
  <c r="B578" i="18"/>
  <c r="E578" i="18"/>
  <c r="G579" i="55" l="1"/>
  <c r="H579" i="55" s="1"/>
  <c r="A579" i="18"/>
  <c r="D579" i="18" s="1"/>
  <c r="B581" i="55" s="1"/>
  <c r="A580" i="55"/>
  <c r="L578" i="18"/>
  <c r="M578" i="18"/>
  <c r="N578" i="18"/>
  <c r="O578" i="18"/>
  <c r="C580" i="55"/>
  <c r="N579" i="55"/>
  <c r="M579" i="55"/>
  <c r="L579" i="55"/>
  <c r="K579" i="55"/>
  <c r="C578" i="18"/>
  <c r="K578" i="18" s="1"/>
  <c r="I579" i="55" l="1"/>
  <c r="E580" i="55"/>
  <c r="F580" i="55"/>
  <c r="P580" i="55"/>
  <c r="J580" i="55"/>
  <c r="O580" i="55"/>
  <c r="R578" i="18"/>
  <c r="D580" i="55"/>
  <c r="B579" i="18"/>
  <c r="E579" i="18"/>
  <c r="Q580" i="55" l="1"/>
  <c r="G580" i="55"/>
  <c r="H580" i="55" s="1"/>
  <c r="C581" i="55"/>
  <c r="O579" i="18"/>
  <c r="A580" i="18"/>
  <c r="A581" i="55"/>
  <c r="M579" i="18"/>
  <c r="L579" i="18"/>
  <c r="N579" i="18"/>
  <c r="D580" i="18"/>
  <c r="B582" i="55" s="1"/>
  <c r="C579" i="18"/>
  <c r="K579" i="18" s="1"/>
  <c r="I580" i="55" l="1"/>
  <c r="E581" i="55"/>
  <c r="F581" i="55"/>
  <c r="P581" i="55"/>
  <c r="O581" i="55"/>
  <c r="J581" i="55"/>
  <c r="R579" i="18"/>
  <c r="D581" i="55"/>
  <c r="E580" i="18"/>
  <c r="B580" i="18"/>
  <c r="M580" i="18" s="1"/>
  <c r="Q581" i="55" l="1"/>
  <c r="G581" i="55"/>
  <c r="H581" i="55" s="1"/>
  <c r="C582" i="55"/>
  <c r="O580" i="18"/>
  <c r="F582" i="55" s="1"/>
  <c r="N581" i="55"/>
  <c r="M581" i="55"/>
  <c r="L581" i="55"/>
  <c r="K581" i="55"/>
  <c r="R581" i="55"/>
  <c r="D133" i="59" s="1"/>
  <c r="A581" i="18"/>
  <c r="D581" i="18" s="1"/>
  <c r="B583" i="55" s="1"/>
  <c r="A582" i="55"/>
  <c r="L580" i="18"/>
  <c r="C580" i="18"/>
  <c r="K580" i="18" s="1"/>
  <c r="S581" i="55" l="1"/>
  <c r="P582" i="55"/>
  <c r="R582" i="55" s="1"/>
  <c r="D134" i="59" s="1"/>
  <c r="O582" i="55"/>
  <c r="J582" i="55"/>
  <c r="R580" i="18"/>
  <c r="D582" i="55"/>
  <c r="I581" i="55"/>
  <c r="T581" i="55"/>
  <c r="B581" i="18"/>
  <c r="E581" i="18"/>
  <c r="C583" i="55" l="1"/>
  <c r="O581" i="18"/>
  <c r="A582" i="18"/>
  <c r="D582" i="18" s="1"/>
  <c r="B584" i="55" s="1"/>
  <c r="A583" i="55"/>
  <c r="M581" i="18"/>
  <c r="N582" i="55"/>
  <c r="L582" i="55"/>
  <c r="M582" i="55"/>
  <c r="K582" i="55"/>
  <c r="L581" i="18"/>
  <c r="U581" i="55"/>
  <c r="C581" i="18"/>
  <c r="K581" i="18" s="1"/>
  <c r="D583" i="55" s="1"/>
  <c r="F583" i="55" l="1"/>
  <c r="P583" i="55"/>
  <c r="J583" i="55"/>
  <c r="O583" i="55"/>
  <c r="R581" i="18"/>
  <c r="E582" i="18"/>
  <c r="B582" i="18"/>
  <c r="C584" i="55" l="1"/>
  <c r="O582" i="18"/>
  <c r="A583" i="18"/>
  <c r="A584" i="55"/>
  <c r="M582" i="18"/>
  <c r="N583" i="55"/>
  <c r="M583" i="55"/>
  <c r="L583" i="55"/>
  <c r="K583" i="55"/>
  <c r="R583" i="55"/>
  <c r="T583" i="55"/>
  <c r="U583" i="55"/>
  <c r="S583" i="55"/>
  <c r="Q583" i="55"/>
  <c r="L582" i="18"/>
  <c r="N582" i="18"/>
  <c r="C582" i="18"/>
  <c r="K582" i="18" s="1"/>
  <c r="D584" i="55" s="1"/>
  <c r="D583" i="18"/>
  <c r="B585" i="55" s="1"/>
  <c r="E584" i="55" l="1"/>
  <c r="F584" i="55"/>
  <c r="P584" i="55"/>
  <c r="O584" i="55"/>
  <c r="J584" i="55"/>
  <c r="R582" i="18"/>
  <c r="B583" i="18"/>
  <c r="E583" i="18"/>
  <c r="G584" i="55" l="1"/>
  <c r="H584" i="55" s="1"/>
  <c r="I584" i="55" s="1"/>
  <c r="A584" i="18"/>
  <c r="D584" i="18" s="1"/>
  <c r="B586" i="55" s="1"/>
  <c r="A585" i="55"/>
  <c r="M583" i="18"/>
  <c r="C585" i="55"/>
  <c r="O583" i="18"/>
  <c r="L583" i="18"/>
  <c r="M584" i="55"/>
  <c r="L584" i="55"/>
  <c r="N584" i="55"/>
  <c r="K584" i="55"/>
  <c r="R584" i="55"/>
  <c r="T584" i="55"/>
  <c r="U584" i="55"/>
  <c r="S584" i="55"/>
  <c r="Q584" i="55"/>
  <c r="C583" i="18"/>
  <c r="K583" i="18" s="1"/>
  <c r="D585" i="55" s="1"/>
  <c r="F585" i="55" l="1"/>
  <c r="P585" i="55"/>
  <c r="O585" i="55"/>
  <c r="J585" i="55"/>
  <c r="R583" i="18"/>
  <c r="B584" i="18"/>
  <c r="E584" i="18"/>
  <c r="C586" i="55" l="1"/>
  <c r="O584" i="18"/>
  <c r="A585" i="18"/>
  <c r="D585" i="18" s="1"/>
  <c r="B587" i="55" s="1"/>
  <c r="A586" i="55"/>
  <c r="M584" i="18"/>
  <c r="N585" i="55"/>
  <c r="M585" i="55"/>
  <c r="L585" i="55"/>
  <c r="K585" i="55"/>
  <c r="R585" i="55"/>
  <c r="U585" i="55"/>
  <c r="S585" i="55"/>
  <c r="T585" i="55"/>
  <c r="Q585" i="55"/>
  <c r="L584" i="18"/>
  <c r="C584" i="18"/>
  <c r="K584" i="18" s="1"/>
  <c r="D586" i="55" s="1"/>
  <c r="F586" i="55" l="1"/>
  <c r="P586" i="55"/>
  <c r="J586" i="55"/>
  <c r="O586" i="55"/>
  <c r="R584" i="18"/>
  <c r="B585" i="18"/>
  <c r="E585" i="18"/>
  <c r="C587" i="55" l="1"/>
  <c r="O585" i="18"/>
  <c r="A586" i="18"/>
  <c r="D586" i="18" s="1"/>
  <c r="B588" i="55" s="1"/>
  <c r="A587" i="55"/>
  <c r="M585" i="18"/>
  <c r="L585" i="18"/>
  <c r="N586" i="55"/>
  <c r="L586" i="55"/>
  <c r="M586" i="55"/>
  <c r="K586" i="55"/>
  <c r="T586" i="55"/>
  <c r="U586" i="55"/>
  <c r="S586" i="55"/>
  <c r="R586" i="55"/>
  <c r="Q586" i="55"/>
  <c r="C585" i="18"/>
  <c r="K585" i="18" s="1"/>
  <c r="D587" i="55" s="1"/>
  <c r="F587" i="55" l="1"/>
  <c r="P587" i="55"/>
  <c r="O587" i="55"/>
  <c r="J587" i="55"/>
  <c r="R585" i="18"/>
  <c r="E586" i="18"/>
  <c r="B586" i="18"/>
  <c r="A587" i="18" l="1"/>
  <c r="D587" i="18" s="1"/>
  <c r="B589" i="55" s="1"/>
  <c r="A588" i="55"/>
  <c r="M586" i="18"/>
  <c r="C588" i="55"/>
  <c r="O586" i="18"/>
  <c r="L586" i="18"/>
  <c r="N587" i="55"/>
  <c r="M587" i="55"/>
  <c r="K587" i="55"/>
  <c r="L587" i="55"/>
  <c r="S587" i="55"/>
  <c r="R587" i="55"/>
  <c r="T587" i="55"/>
  <c r="U587" i="55"/>
  <c r="Q587" i="55"/>
  <c r="C586" i="18"/>
  <c r="K586" i="18" s="1"/>
  <c r="D588" i="55" s="1"/>
  <c r="F588" i="55" l="1"/>
  <c r="P588" i="55"/>
  <c r="J588" i="55"/>
  <c r="O588" i="55"/>
  <c r="R586" i="18"/>
  <c r="E587" i="18"/>
  <c r="B587" i="18"/>
  <c r="A588" i="18" l="1"/>
  <c r="D588" i="18" s="1"/>
  <c r="B590" i="55" s="1"/>
  <c r="A589" i="55"/>
  <c r="M587" i="18"/>
  <c r="C589" i="55"/>
  <c r="O587" i="18"/>
  <c r="K588" i="55"/>
  <c r="N588" i="55"/>
  <c r="L588" i="55"/>
  <c r="M588" i="55"/>
  <c r="R588" i="55"/>
  <c r="T588" i="55"/>
  <c r="S588" i="55"/>
  <c r="U588" i="55"/>
  <c r="Q588" i="55"/>
  <c r="L587" i="18"/>
  <c r="C587" i="18"/>
  <c r="K587" i="18" s="1"/>
  <c r="D589" i="55" s="1"/>
  <c r="F589" i="55" l="1"/>
  <c r="P589" i="55"/>
  <c r="J589" i="55"/>
  <c r="O589" i="55"/>
  <c r="R587" i="18"/>
  <c r="E588" i="18"/>
  <c r="B588" i="18"/>
  <c r="A589" i="18" l="1"/>
  <c r="D589" i="18" s="1"/>
  <c r="B591" i="55" s="1"/>
  <c r="A590" i="55"/>
  <c r="M588" i="18"/>
  <c r="C590" i="55"/>
  <c r="O588" i="18"/>
  <c r="N589" i="55"/>
  <c r="M589" i="55"/>
  <c r="L589" i="55"/>
  <c r="K589" i="55"/>
  <c r="R589" i="55"/>
  <c r="T589" i="55"/>
  <c r="U589" i="55"/>
  <c r="S589" i="55"/>
  <c r="Q589" i="55"/>
  <c r="L588" i="18"/>
  <c r="C588" i="18"/>
  <c r="K588" i="18" s="1"/>
  <c r="D590" i="55" s="1"/>
  <c r="F590" i="55" l="1"/>
  <c r="P590" i="55"/>
  <c r="O590" i="55"/>
  <c r="J590" i="55"/>
  <c r="R588" i="18"/>
  <c r="B589" i="18"/>
  <c r="E589" i="18"/>
  <c r="C591" i="55" l="1"/>
  <c r="O589" i="18"/>
  <c r="A590" i="18"/>
  <c r="D590" i="18" s="1"/>
  <c r="B592" i="55" s="1"/>
  <c r="A591" i="55"/>
  <c r="M589" i="18"/>
  <c r="M590" i="55"/>
  <c r="N590" i="55"/>
  <c r="L590" i="55"/>
  <c r="K590" i="55"/>
  <c r="R590" i="55"/>
  <c r="T590" i="55"/>
  <c r="U590" i="55"/>
  <c r="S590" i="55"/>
  <c r="Q590" i="55"/>
  <c r="L589" i="18"/>
  <c r="C589" i="18"/>
  <c r="K589" i="18" s="1"/>
  <c r="D591" i="55" s="1"/>
  <c r="F591" i="55" l="1"/>
  <c r="P591" i="55"/>
  <c r="O591" i="55"/>
  <c r="J591" i="55"/>
  <c r="R589" i="18"/>
  <c r="E590" i="18"/>
  <c r="B590" i="18"/>
  <c r="A591" i="18" l="1"/>
  <c r="A592" i="55"/>
  <c r="M590" i="18"/>
  <c r="O590" i="18"/>
  <c r="C592" i="55"/>
  <c r="L590" i="18"/>
  <c r="N591" i="55"/>
  <c r="M591" i="55"/>
  <c r="L591" i="55"/>
  <c r="K591" i="55"/>
  <c r="R591" i="55"/>
  <c r="T591" i="55"/>
  <c r="U591" i="55"/>
  <c r="S591" i="55"/>
  <c r="Q591" i="55"/>
  <c r="C590" i="18"/>
  <c r="K590" i="18" s="1"/>
  <c r="D592" i="55" s="1"/>
  <c r="D591" i="18"/>
  <c r="B593" i="55" s="1"/>
  <c r="F592" i="55" l="1"/>
  <c r="P592" i="55"/>
  <c r="J592" i="55"/>
  <c r="O592" i="55"/>
  <c r="R590" i="18"/>
  <c r="B591" i="18"/>
  <c r="E591" i="18"/>
  <c r="C593" i="55" l="1"/>
  <c r="O591" i="18"/>
  <c r="A592" i="18"/>
  <c r="D592" i="18" s="1"/>
  <c r="B594" i="55" s="1"/>
  <c r="A593" i="55"/>
  <c r="M591" i="18"/>
  <c r="N592" i="55"/>
  <c r="K592" i="55"/>
  <c r="M592" i="55"/>
  <c r="L592" i="55"/>
  <c r="R592" i="55"/>
  <c r="T592" i="55"/>
  <c r="U592" i="55"/>
  <c r="S592" i="55"/>
  <c r="Q592" i="55"/>
  <c r="L591" i="18"/>
  <c r="C591" i="18"/>
  <c r="K591" i="18" s="1"/>
  <c r="D593" i="55" s="1"/>
  <c r="F593" i="55" l="1"/>
  <c r="P593" i="55"/>
  <c r="J593" i="55"/>
  <c r="O593" i="55"/>
  <c r="R591" i="18"/>
  <c r="B592" i="18"/>
  <c r="E592" i="18"/>
  <c r="C594" i="55" l="1"/>
  <c r="O592" i="18"/>
  <c r="A593" i="18"/>
  <c r="A594" i="55"/>
  <c r="M592" i="18"/>
  <c r="L592" i="18"/>
  <c r="N593" i="55"/>
  <c r="K593" i="55"/>
  <c r="M593" i="55"/>
  <c r="L593" i="55"/>
  <c r="R593" i="55"/>
  <c r="T593" i="55"/>
  <c r="U593" i="55"/>
  <c r="S593" i="55"/>
  <c r="Q593" i="55"/>
  <c r="D593" i="18"/>
  <c r="B595" i="55" s="1"/>
  <c r="C592" i="18"/>
  <c r="K592" i="18" s="1"/>
  <c r="D594" i="55" s="1"/>
  <c r="F594" i="55" l="1"/>
  <c r="P594" i="55"/>
  <c r="O594" i="55"/>
  <c r="J594" i="55"/>
  <c r="R592" i="18"/>
  <c r="B593" i="18"/>
  <c r="E593" i="18"/>
  <c r="N593" i="18" l="1"/>
  <c r="C595" i="55"/>
  <c r="O593" i="18"/>
  <c r="A594" i="18"/>
  <c r="D594" i="18" s="1"/>
  <c r="B596" i="55" s="1"/>
  <c r="A595" i="55"/>
  <c r="M593" i="18"/>
  <c r="K594" i="55"/>
  <c r="M594" i="55"/>
  <c r="N594" i="55"/>
  <c r="L594" i="55"/>
  <c r="R594" i="55"/>
  <c r="T594" i="55"/>
  <c r="S594" i="55"/>
  <c r="U594" i="55"/>
  <c r="Q594" i="55"/>
  <c r="L593" i="18"/>
  <c r="C593" i="18"/>
  <c r="K593" i="18" s="1"/>
  <c r="D595" i="55" s="1"/>
  <c r="F595" i="55" l="1"/>
  <c r="P595" i="55"/>
  <c r="J595" i="55"/>
  <c r="O595" i="55"/>
  <c r="E595" i="55"/>
  <c r="R593" i="18"/>
  <c r="E594" i="18"/>
  <c r="B594" i="18"/>
  <c r="G595" i="55" l="1"/>
  <c r="H595" i="55" s="1"/>
  <c r="I595" i="55" s="1"/>
  <c r="C596" i="55"/>
  <c r="O594" i="18"/>
  <c r="A595" i="18"/>
  <c r="D595" i="18" s="1"/>
  <c r="B597" i="55" s="1"/>
  <c r="A596" i="55"/>
  <c r="M594" i="18"/>
  <c r="L594" i="18"/>
  <c r="N595" i="55"/>
  <c r="M595" i="55"/>
  <c r="L595" i="55"/>
  <c r="K595" i="55"/>
  <c r="R595" i="55"/>
  <c r="T595" i="55"/>
  <c r="U595" i="55"/>
  <c r="S595" i="55"/>
  <c r="Q595" i="55"/>
  <c r="N594" i="18"/>
  <c r="C594" i="18"/>
  <c r="K594" i="18" s="1"/>
  <c r="D596" i="55" s="1"/>
  <c r="F596" i="55" l="1"/>
  <c r="E596" i="55"/>
  <c r="P596" i="55"/>
  <c r="J596" i="55"/>
  <c r="O596" i="55"/>
  <c r="R594" i="18"/>
  <c r="E595" i="18"/>
  <c r="B595" i="18"/>
  <c r="G596" i="55" l="1"/>
  <c r="H596" i="55" s="1"/>
  <c r="I596" i="55" s="1"/>
  <c r="A596" i="18"/>
  <c r="A597" i="55"/>
  <c r="M595" i="18"/>
  <c r="C597" i="55"/>
  <c r="O595" i="18"/>
  <c r="K596" i="55"/>
  <c r="N596" i="55"/>
  <c r="M596" i="55"/>
  <c r="L596" i="55"/>
  <c r="R596" i="55"/>
  <c r="T596" i="55"/>
  <c r="U596" i="55"/>
  <c r="S596" i="55"/>
  <c r="Q596" i="55"/>
  <c r="L595" i="18"/>
  <c r="N595" i="18"/>
  <c r="D596" i="18"/>
  <c r="B598" i="55" s="1"/>
  <c r="C595" i="18"/>
  <c r="K595" i="18" s="1"/>
  <c r="D597" i="55" s="1"/>
  <c r="E597" i="55" l="1"/>
  <c r="F597" i="55"/>
  <c r="P597" i="55"/>
  <c r="O597" i="55"/>
  <c r="J597" i="55"/>
  <c r="R595" i="18"/>
  <c r="B596" i="18"/>
  <c r="E596" i="18"/>
  <c r="G597" i="55" l="1"/>
  <c r="H597" i="55" s="1"/>
  <c r="N596" i="18"/>
  <c r="C598" i="55"/>
  <c r="O596" i="18"/>
  <c r="A597" i="18"/>
  <c r="D597" i="18" s="1"/>
  <c r="B599" i="55" s="1"/>
  <c r="A598" i="55"/>
  <c r="M596" i="18"/>
  <c r="L596" i="18"/>
  <c r="N597" i="55"/>
  <c r="M597" i="55"/>
  <c r="L597" i="55"/>
  <c r="K597" i="55"/>
  <c r="C596" i="18"/>
  <c r="K596" i="18" s="1"/>
  <c r="D598" i="55" s="1"/>
  <c r="I597" i="55" l="1"/>
  <c r="P598" i="55"/>
  <c r="J598" i="55"/>
  <c r="O598" i="55"/>
  <c r="F598" i="55"/>
  <c r="E598" i="55"/>
  <c r="R596" i="18"/>
  <c r="B597" i="18"/>
  <c r="E597" i="18"/>
  <c r="G598" i="55" l="1"/>
  <c r="H598" i="55" s="1"/>
  <c r="A598" i="18"/>
  <c r="D598" i="18" s="1"/>
  <c r="B600" i="55" s="1"/>
  <c r="A599" i="55"/>
  <c r="M597" i="18"/>
  <c r="N597" i="18"/>
  <c r="C599" i="55"/>
  <c r="O597" i="18"/>
  <c r="L598" i="55"/>
  <c r="K598" i="55"/>
  <c r="N598" i="55"/>
  <c r="M598" i="55"/>
  <c r="Q598" i="55"/>
  <c r="L597" i="18"/>
  <c r="C597" i="18"/>
  <c r="K597" i="18" s="1"/>
  <c r="D599" i="55" s="1"/>
  <c r="F599" i="55" l="1"/>
  <c r="I598" i="55"/>
  <c r="E599" i="55"/>
  <c r="P599" i="55"/>
  <c r="O599" i="55"/>
  <c r="J599" i="55"/>
  <c r="R597" i="18"/>
  <c r="B598" i="18"/>
  <c r="E598" i="18"/>
  <c r="G599" i="55" l="1"/>
  <c r="H599" i="55" s="1"/>
  <c r="T599" i="55" s="1"/>
  <c r="Q599" i="55"/>
  <c r="C600" i="55"/>
  <c r="O598" i="18"/>
  <c r="A599" i="18"/>
  <c r="D599" i="18" s="1"/>
  <c r="B601" i="55" s="1"/>
  <c r="A600" i="55"/>
  <c r="M598" i="18"/>
  <c r="M599" i="55"/>
  <c r="K599" i="55"/>
  <c r="N599" i="55"/>
  <c r="L599" i="55"/>
  <c r="R599" i="55"/>
  <c r="D137" i="59" s="1"/>
  <c r="L598" i="18"/>
  <c r="C598" i="18"/>
  <c r="K598" i="18" s="1"/>
  <c r="D600" i="55" s="1"/>
  <c r="S599" i="55" l="1"/>
  <c r="I599" i="55"/>
  <c r="U599" i="55" s="1"/>
  <c r="P600" i="55"/>
  <c r="J600" i="55"/>
  <c r="O600" i="55"/>
  <c r="F600" i="55"/>
  <c r="R598" i="18"/>
  <c r="B599" i="18"/>
  <c r="E599" i="18"/>
  <c r="R600" i="55" l="1"/>
  <c r="D138" i="59" s="1"/>
  <c r="C601" i="55"/>
  <c r="O599" i="18"/>
  <c r="N600" i="55"/>
  <c r="M600" i="55"/>
  <c r="K600" i="55"/>
  <c r="L600" i="55"/>
  <c r="A600" i="18"/>
  <c r="D600" i="18" s="1"/>
  <c r="B602" i="55" s="1"/>
  <c r="A601" i="55"/>
  <c r="M599" i="18"/>
  <c r="L599" i="18"/>
  <c r="C599" i="18"/>
  <c r="K599" i="18" s="1"/>
  <c r="D601" i="55" s="1"/>
  <c r="F601" i="55" l="1"/>
  <c r="P601" i="55"/>
  <c r="J601" i="55"/>
  <c r="O601" i="55"/>
  <c r="R599" i="18"/>
  <c r="E600" i="18"/>
  <c r="B600" i="18"/>
  <c r="A601" i="18" l="1"/>
  <c r="A602" i="55"/>
  <c r="M600" i="18"/>
  <c r="C602" i="55"/>
  <c r="O600" i="18"/>
  <c r="M601" i="55"/>
  <c r="N601" i="55"/>
  <c r="L601" i="55"/>
  <c r="K601" i="55"/>
  <c r="R601" i="55"/>
  <c r="U601" i="55"/>
  <c r="T601" i="55"/>
  <c r="S601" i="55"/>
  <c r="Q601" i="55"/>
  <c r="L600" i="18"/>
  <c r="C600" i="18"/>
  <c r="K600" i="18" s="1"/>
  <c r="D602" i="55" s="1"/>
  <c r="D601" i="18"/>
  <c r="B603" i="55" s="1"/>
  <c r="F602" i="55" l="1"/>
  <c r="P602" i="55"/>
  <c r="J602" i="55"/>
  <c r="O602" i="55"/>
  <c r="R600" i="18"/>
  <c r="B601" i="18"/>
  <c r="E601" i="18"/>
  <c r="C603" i="55" l="1"/>
  <c r="O601" i="18"/>
  <c r="N602" i="55"/>
  <c r="M602" i="55"/>
  <c r="L602" i="55"/>
  <c r="K602" i="55"/>
  <c r="R602" i="55"/>
  <c r="T602" i="55"/>
  <c r="U602" i="55"/>
  <c r="S602" i="55"/>
  <c r="Q602" i="55"/>
  <c r="A602" i="18"/>
  <c r="D602" i="18" s="1"/>
  <c r="B604" i="55" s="1"/>
  <c r="A603" i="55"/>
  <c r="M601" i="18"/>
  <c r="L601" i="18"/>
  <c r="C601" i="18"/>
  <c r="K601" i="18" s="1"/>
  <c r="D603" i="55" s="1"/>
  <c r="P603" i="55" l="1"/>
  <c r="J603" i="55"/>
  <c r="O603" i="55"/>
  <c r="F603" i="55"/>
  <c r="R601" i="18"/>
  <c r="E602" i="18"/>
  <c r="B602" i="18"/>
  <c r="C604" i="55" l="1"/>
  <c r="O602" i="18"/>
  <c r="A603" i="18"/>
  <c r="D603" i="18" s="1"/>
  <c r="B605" i="55" s="1"/>
  <c r="A604" i="55"/>
  <c r="M602" i="18"/>
  <c r="L602" i="18"/>
  <c r="K603" i="55"/>
  <c r="N603" i="55"/>
  <c r="M603" i="55"/>
  <c r="L603" i="55"/>
  <c r="R603" i="55"/>
  <c r="S603" i="55"/>
  <c r="T603" i="55"/>
  <c r="U603" i="55"/>
  <c r="Q603" i="55"/>
  <c r="C602" i="18"/>
  <c r="K602" i="18" s="1"/>
  <c r="D604" i="55" s="1"/>
  <c r="F604" i="55" l="1"/>
  <c r="P604" i="55"/>
  <c r="J604" i="55"/>
  <c r="O604" i="55"/>
  <c r="R602" i="18"/>
  <c r="B603" i="18"/>
  <c r="E603" i="18"/>
  <c r="N604" i="55" l="1"/>
  <c r="L604" i="55"/>
  <c r="M604" i="55"/>
  <c r="K604" i="55"/>
  <c r="C605" i="55"/>
  <c r="O603" i="18"/>
  <c r="R604" i="55"/>
  <c r="T604" i="55"/>
  <c r="S604" i="55"/>
  <c r="U604" i="55"/>
  <c r="Q604" i="55"/>
  <c r="A604" i="18"/>
  <c r="D604" i="18" s="1"/>
  <c r="B606" i="55" s="1"/>
  <c r="A605" i="55"/>
  <c r="M603" i="18"/>
  <c r="L603" i="18"/>
  <c r="C603" i="18"/>
  <c r="K603" i="18" s="1"/>
  <c r="D605" i="55" s="1"/>
  <c r="F605" i="55" l="1"/>
  <c r="P605" i="55"/>
  <c r="J605" i="55"/>
  <c r="O605" i="55"/>
  <c r="R603" i="18"/>
  <c r="B604" i="18"/>
  <c r="E604" i="18"/>
  <c r="C606" i="55" l="1"/>
  <c r="O604" i="18"/>
  <c r="A605" i="18"/>
  <c r="D605" i="18" s="1"/>
  <c r="B607" i="55" s="1"/>
  <c r="A606" i="55"/>
  <c r="M604" i="18"/>
  <c r="L604" i="18"/>
  <c r="N605" i="55"/>
  <c r="M605" i="55"/>
  <c r="L605" i="55"/>
  <c r="K605" i="55"/>
  <c r="T605" i="55"/>
  <c r="U605" i="55"/>
  <c r="S605" i="55"/>
  <c r="R605" i="55"/>
  <c r="Q605" i="55"/>
  <c r="C604" i="18"/>
  <c r="K604" i="18" s="1"/>
  <c r="D606" i="55" s="1"/>
  <c r="F606" i="55" l="1"/>
  <c r="P606" i="55"/>
  <c r="O606" i="55"/>
  <c r="J606" i="55"/>
  <c r="R604" i="18"/>
  <c r="B605" i="18"/>
  <c r="E605" i="18"/>
  <c r="C607" i="55" l="1"/>
  <c r="O605" i="18"/>
  <c r="A606" i="18"/>
  <c r="D606" i="18" s="1"/>
  <c r="B608" i="55" s="1"/>
  <c r="A607" i="55"/>
  <c r="M605" i="18"/>
  <c r="R606" i="55"/>
  <c r="T606" i="55"/>
  <c r="U606" i="55"/>
  <c r="S606" i="55"/>
  <c r="Q606" i="55"/>
  <c r="N606" i="55"/>
  <c r="M606" i="55"/>
  <c r="L606" i="55"/>
  <c r="K606" i="55"/>
  <c r="L605" i="18"/>
  <c r="C605" i="18"/>
  <c r="K605" i="18" s="1"/>
  <c r="D607" i="55" s="1"/>
  <c r="F607" i="55" l="1"/>
  <c r="P607" i="55"/>
  <c r="O607" i="55"/>
  <c r="J607" i="55"/>
  <c r="R605" i="18"/>
  <c r="B606" i="18"/>
  <c r="E606" i="18"/>
  <c r="C608" i="55" l="1"/>
  <c r="O606" i="18"/>
  <c r="A607" i="18"/>
  <c r="D607" i="18" s="1"/>
  <c r="B609" i="55" s="1"/>
  <c r="A608" i="55"/>
  <c r="M606" i="18"/>
  <c r="L606" i="18"/>
  <c r="M607" i="55"/>
  <c r="N607" i="55"/>
  <c r="L607" i="55"/>
  <c r="K607" i="55"/>
  <c r="R607" i="55"/>
  <c r="S607" i="55"/>
  <c r="U607" i="55"/>
  <c r="T607" i="55"/>
  <c r="Q607" i="55"/>
  <c r="C606" i="18"/>
  <c r="K606" i="18" s="1"/>
  <c r="D608" i="55" s="1"/>
  <c r="F608" i="55" l="1"/>
  <c r="P608" i="55"/>
  <c r="J608" i="55"/>
  <c r="O608" i="55"/>
  <c r="R606" i="18"/>
  <c r="B607" i="18"/>
  <c r="E607" i="18"/>
  <c r="C609" i="55" l="1"/>
  <c r="O607" i="18"/>
  <c r="M608" i="55"/>
  <c r="L608" i="55"/>
  <c r="N608" i="55"/>
  <c r="K608" i="55"/>
  <c r="T608" i="55"/>
  <c r="S608" i="55"/>
  <c r="R608" i="55"/>
  <c r="U608" i="55"/>
  <c r="Q608" i="55"/>
  <c r="A608" i="18"/>
  <c r="D608" i="18" s="1"/>
  <c r="B610" i="55" s="1"/>
  <c r="A609" i="55"/>
  <c r="M607" i="18"/>
  <c r="L607" i="18"/>
  <c r="C607" i="18"/>
  <c r="K607" i="18" s="1"/>
  <c r="D609" i="55" s="1"/>
  <c r="P609" i="55" l="1"/>
  <c r="J609" i="55"/>
  <c r="O609" i="55"/>
  <c r="F609" i="55"/>
  <c r="R607" i="18"/>
  <c r="E608" i="18"/>
  <c r="B608" i="18"/>
  <c r="C610" i="55" l="1"/>
  <c r="O608" i="18"/>
  <c r="A609" i="18"/>
  <c r="D609" i="18" s="1"/>
  <c r="B611" i="55" s="1"/>
  <c r="A610" i="55"/>
  <c r="M608" i="18"/>
  <c r="L608" i="18"/>
  <c r="N609" i="55"/>
  <c r="L609" i="55"/>
  <c r="M609" i="55"/>
  <c r="K609" i="55"/>
  <c r="R609" i="55"/>
  <c r="S609" i="55"/>
  <c r="T609" i="55"/>
  <c r="U609" i="55"/>
  <c r="Q609" i="55"/>
  <c r="C608" i="18"/>
  <c r="K608" i="18" s="1"/>
  <c r="D610" i="55" s="1"/>
  <c r="F610" i="55" l="1"/>
  <c r="P610" i="55"/>
  <c r="O610" i="55"/>
  <c r="J610" i="55"/>
  <c r="R608" i="18"/>
  <c r="B609" i="18"/>
  <c r="E609" i="18"/>
  <c r="A610" i="18" l="1"/>
  <c r="A611" i="55"/>
  <c r="M609" i="18"/>
  <c r="C611" i="55"/>
  <c r="O609" i="18"/>
  <c r="K610" i="55"/>
  <c r="L610" i="55"/>
  <c r="M610" i="55"/>
  <c r="N610" i="55"/>
  <c r="R610" i="55"/>
  <c r="T610" i="55"/>
  <c r="U610" i="55"/>
  <c r="S610" i="55"/>
  <c r="Q610" i="55"/>
  <c r="L609" i="18"/>
  <c r="D610" i="18"/>
  <c r="B612" i="55" s="1"/>
  <c r="C609" i="18"/>
  <c r="K609" i="18" s="1"/>
  <c r="D611" i="55" s="1"/>
  <c r="F611" i="55" l="1"/>
  <c r="P611" i="55"/>
  <c r="J611" i="55"/>
  <c r="O611" i="55"/>
  <c r="R609" i="18"/>
  <c r="B610" i="18"/>
  <c r="E610" i="18"/>
  <c r="N610" i="18" l="1"/>
  <c r="C612" i="55"/>
  <c r="O610" i="18"/>
  <c r="A611" i="18"/>
  <c r="D611" i="18" s="1"/>
  <c r="B613" i="55" s="1"/>
  <c r="A612" i="55"/>
  <c r="M610" i="18"/>
  <c r="L611" i="55"/>
  <c r="K611" i="55"/>
  <c r="M611" i="55"/>
  <c r="N611" i="55"/>
  <c r="R611" i="55"/>
  <c r="T611" i="55"/>
  <c r="U611" i="55"/>
  <c r="S611" i="55"/>
  <c r="Q611" i="55"/>
  <c r="L610" i="18"/>
  <c r="C610" i="18"/>
  <c r="K610" i="18" s="1"/>
  <c r="D612" i="55" s="1"/>
  <c r="F612" i="55" l="1"/>
  <c r="E612" i="55"/>
  <c r="P612" i="55"/>
  <c r="O612" i="55"/>
  <c r="J612" i="55"/>
  <c r="R610" i="18"/>
  <c r="B611" i="18"/>
  <c r="E611" i="18"/>
  <c r="G612" i="55" l="1"/>
  <c r="H612" i="55" s="1"/>
  <c r="I612" i="55" s="1"/>
  <c r="N611" i="18"/>
  <c r="C613" i="55"/>
  <c r="O611" i="18"/>
  <c r="A612" i="18"/>
  <c r="D612" i="18" s="1"/>
  <c r="B614" i="55" s="1"/>
  <c r="A613" i="55"/>
  <c r="M611" i="18"/>
  <c r="L611" i="18"/>
  <c r="M612" i="55"/>
  <c r="K612" i="55"/>
  <c r="N612" i="55"/>
  <c r="L612" i="55"/>
  <c r="R612" i="55"/>
  <c r="T612" i="55"/>
  <c r="U612" i="55"/>
  <c r="S612" i="55"/>
  <c r="Q612" i="55"/>
  <c r="C611" i="18"/>
  <c r="K611" i="18" s="1"/>
  <c r="D613" i="55" s="1"/>
  <c r="F613" i="55" l="1"/>
  <c r="E613" i="55"/>
  <c r="P613" i="55"/>
  <c r="J613" i="55"/>
  <c r="O613" i="55"/>
  <c r="R611" i="18"/>
  <c r="E612" i="18"/>
  <c r="B612" i="18"/>
  <c r="G613" i="55" l="1"/>
  <c r="H613" i="55" s="1"/>
  <c r="I613" i="55" s="1"/>
  <c r="A613" i="18"/>
  <c r="A614" i="55"/>
  <c r="M612" i="18"/>
  <c r="C614" i="55"/>
  <c r="O612" i="18"/>
  <c r="N613" i="55"/>
  <c r="K613" i="55"/>
  <c r="L613" i="55"/>
  <c r="M613" i="55"/>
  <c r="T613" i="55"/>
  <c r="U613" i="55"/>
  <c r="R613" i="55"/>
  <c r="S613" i="55"/>
  <c r="Q613" i="55"/>
  <c r="L612" i="18"/>
  <c r="N612" i="18"/>
  <c r="C612" i="18"/>
  <c r="K612" i="18" s="1"/>
  <c r="D614" i="55" s="1"/>
  <c r="D613" i="18"/>
  <c r="B615" i="55" s="1"/>
  <c r="E614" i="55" l="1"/>
  <c r="F614" i="55"/>
  <c r="P614" i="55"/>
  <c r="J614" i="55"/>
  <c r="O614" i="55"/>
  <c r="R612" i="18"/>
  <c r="B613" i="18"/>
  <c r="E613" i="18"/>
  <c r="G614" i="55" l="1"/>
  <c r="H614" i="55" s="1"/>
  <c r="I614" i="55" s="1"/>
  <c r="A614" i="18"/>
  <c r="A615" i="55"/>
  <c r="M613" i="18"/>
  <c r="N613" i="18"/>
  <c r="C615" i="55"/>
  <c r="O613" i="18"/>
  <c r="R614" i="55"/>
  <c r="T614" i="55"/>
  <c r="U614" i="55"/>
  <c r="S614" i="55"/>
  <c r="Q614" i="55"/>
  <c r="N614" i="55"/>
  <c r="M614" i="55"/>
  <c r="L614" i="55"/>
  <c r="K614" i="55"/>
  <c r="L613" i="18"/>
  <c r="C613" i="18"/>
  <c r="K613" i="18" s="1"/>
  <c r="D615" i="55" s="1"/>
  <c r="D614" i="18"/>
  <c r="B616" i="55" s="1"/>
  <c r="F615" i="55" l="1"/>
  <c r="E615" i="55"/>
  <c r="P615" i="55"/>
  <c r="O615" i="55"/>
  <c r="J615" i="55"/>
  <c r="R613" i="18"/>
  <c r="E614" i="18"/>
  <c r="B614" i="18"/>
  <c r="G615" i="55" l="1"/>
  <c r="H615" i="55" s="1"/>
  <c r="T615" i="55" s="1"/>
  <c r="C616" i="55"/>
  <c r="O614" i="18"/>
  <c r="A615" i="18"/>
  <c r="D615" i="18" s="1"/>
  <c r="B617" i="55" s="1"/>
  <c r="L614" i="18"/>
  <c r="M614" i="18"/>
  <c r="A616" i="55"/>
  <c r="K615" i="55"/>
  <c r="N615" i="55"/>
  <c r="M615" i="55"/>
  <c r="L615" i="55"/>
  <c r="Q615" i="55"/>
  <c r="R615" i="55" s="1"/>
  <c r="D139" i="59" s="1"/>
  <c r="C614" i="18"/>
  <c r="K614" i="18" s="1"/>
  <c r="D616" i="55" s="1"/>
  <c r="S615" i="55" l="1"/>
  <c r="I615" i="55"/>
  <c r="U615" i="55" s="1"/>
  <c r="F616" i="55"/>
  <c r="P616" i="55"/>
  <c r="O616" i="55"/>
  <c r="J616" i="55"/>
  <c r="R614" i="18"/>
  <c r="E615" i="18"/>
  <c r="B615" i="18"/>
  <c r="A616" i="18" l="1"/>
  <c r="A617" i="55"/>
  <c r="M615" i="18"/>
  <c r="C617" i="55"/>
  <c r="O615" i="18"/>
  <c r="L615" i="18"/>
  <c r="N615" i="18"/>
  <c r="C615" i="18"/>
  <c r="K615" i="18" s="1"/>
  <c r="D617" i="55" s="1"/>
  <c r="D616" i="18"/>
  <c r="B618" i="55" s="1"/>
  <c r="E617" i="55" l="1"/>
  <c r="F617" i="55"/>
  <c r="P617" i="55"/>
  <c r="O617" i="55"/>
  <c r="J617" i="55"/>
  <c r="R615" i="18"/>
  <c r="E616" i="18"/>
  <c r="B616" i="18"/>
  <c r="Q617" i="55" l="1"/>
  <c r="G617" i="55"/>
  <c r="S617" i="55" s="1"/>
  <c r="N617" i="55"/>
  <c r="L617" i="55"/>
  <c r="M617" i="55"/>
  <c r="K617" i="55"/>
  <c r="C618" i="55"/>
  <c r="O616" i="18"/>
  <c r="A617" i="18"/>
  <c r="D617" i="18" s="1"/>
  <c r="B619" i="55" s="1"/>
  <c r="A618" i="55"/>
  <c r="M616" i="18"/>
  <c r="L616" i="18"/>
  <c r="R617" i="55"/>
  <c r="D141" i="59" s="1"/>
  <c r="N616" i="18"/>
  <c r="C616" i="18"/>
  <c r="K616" i="18" s="1"/>
  <c r="D618" i="55" s="1"/>
  <c r="H617" i="55" l="1"/>
  <c r="I617" i="55" s="1"/>
  <c r="U617" i="55" s="1"/>
  <c r="E618" i="55"/>
  <c r="F618" i="55"/>
  <c r="P618" i="55"/>
  <c r="J618" i="55"/>
  <c r="O618" i="55"/>
  <c r="R616" i="18"/>
  <c r="B617" i="18"/>
  <c r="E617" i="18"/>
  <c r="T617" i="55" l="1"/>
  <c r="Q618" i="55"/>
  <c r="R618" i="55"/>
  <c r="D142" i="59" s="1"/>
  <c r="G618" i="55"/>
  <c r="H618" i="55" s="1"/>
  <c r="A618" i="18"/>
  <c r="D618" i="18" s="1"/>
  <c r="B620" i="55" s="1"/>
  <c r="A619" i="55"/>
  <c r="N618" i="55"/>
  <c r="K618" i="55"/>
  <c r="L618" i="55"/>
  <c r="M618" i="55"/>
  <c r="M617" i="18"/>
  <c r="C619" i="55"/>
  <c r="O617" i="18"/>
  <c r="L617" i="18"/>
  <c r="C617" i="18"/>
  <c r="K617" i="18" s="1"/>
  <c r="D619" i="55" s="1"/>
  <c r="S618" i="55" l="1"/>
  <c r="F619" i="55"/>
  <c r="P619" i="55"/>
  <c r="J619" i="55"/>
  <c r="O619" i="55"/>
  <c r="I618" i="55"/>
  <c r="U618" i="55" s="1"/>
  <c r="T618" i="55"/>
  <c r="R617" i="18"/>
  <c r="B618" i="18"/>
  <c r="E618" i="18"/>
  <c r="A619" i="18" l="1"/>
  <c r="A620" i="55"/>
  <c r="M618" i="18"/>
  <c r="C620" i="55"/>
  <c r="O618" i="18"/>
  <c r="N619" i="55"/>
  <c r="K619" i="55"/>
  <c r="M619" i="55"/>
  <c r="L619" i="55"/>
  <c r="L618" i="18"/>
  <c r="R619" i="55"/>
  <c r="S619" i="55"/>
  <c r="T619" i="55"/>
  <c r="U619" i="55"/>
  <c r="Q619" i="55"/>
  <c r="D619" i="18"/>
  <c r="B621" i="55" s="1"/>
  <c r="C618" i="18"/>
  <c r="K618" i="18" s="1"/>
  <c r="D620" i="55" s="1"/>
  <c r="F620" i="55" l="1"/>
  <c r="P620" i="55"/>
  <c r="J620" i="55"/>
  <c r="O620" i="55"/>
  <c r="R618" i="18"/>
  <c r="B619" i="18"/>
  <c r="E619" i="18"/>
  <c r="C621" i="55" l="1"/>
  <c r="O619" i="18"/>
  <c r="A620" i="18"/>
  <c r="D620" i="18" s="1"/>
  <c r="B622" i="55" s="1"/>
  <c r="A621" i="55"/>
  <c r="M619" i="18"/>
  <c r="N620" i="55"/>
  <c r="M620" i="55"/>
  <c r="L620" i="55"/>
  <c r="K620" i="55"/>
  <c r="R620" i="55"/>
  <c r="S620" i="55"/>
  <c r="T620" i="55"/>
  <c r="U620" i="55"/>
  <c r="Q620" i="55"/>
  <c r="L619" i="18"/>
  <c r="C619" i="18"/>
  <c r="K619" i="18" s="1"/>
  <c r="D621" i="55" s="1"/>
  <c r="F621" i="55" l="1"/>
  <c r="P621" i="55"/>
  <c r="J621" i="55"/>
  <c r="O621" i="55"/>
  <c r="R619" i="18"/>
  <c r="B620" i="18"/>
  <c r="L620" i="18" s="1"/>
  <c r="E620" i="18"/>
  <c r="O620" i="18" l="1"/>
  <c r="C622" i="55"/>
  <c r="N621" i="55"/>
  <c r="L621" i="55"/>
  <c r="M621" i="55"/>
  <c r="K621" i="55"/>
  <c r="A621" i="18"/>
  <c r="D621" i="18" s="1"/>
  <c r="B623" i="55" s="1"/>
  <c r="A622" i="55"/>
  <c r="M620" i="18"/>
  <c r="R621" i="55"/>
  <c r="T621" i="55"/>
  <c r="S621" i="55"/>
  <c r="U621" i="55"/>
  <c r="Q621" i="55"/>
  <c r="C620" i="18"/>
  <c r="K620" i="18" s="1"/>
  <c r="D622" i="55" s="1"/>
  <c r="F622" i="55" l="1"/>
  <c r="P622" i="55"/>
  <c r="J622" i="55"/>
  <c r="O622" i="55"/>
  <c r="R620" i="18"/>
  <c r="B621" i="18"/>
  <c r="E621" i="18"/>
  <c r="C623" i="55" l="1"/>
  <c r="O621" i="18"/>
  <c r="A622" i="18"/>
  <c r="D622" i="18" s="1"/>
  <c r="B624" i="55" s="1"/>
  <c r="A623" i="55"/>
  <c r="M621" i="18"/>
  <c r="L621" i="18"/>
  <c r="K622" i="55"/>
  <c r="L622" i="55"/>
  <c r="M622" i="55"/>
  <c r="N622" i="55"/>
  <c r="R622" i="55"/>
  <c r="T622" i="55"/>
  <c r="U622" i="55"/>
  <c r="S622" i="55"/>
  <c r="Q622" i="55"/>
  <c r="C621" i="18"/>
  <c r="K621" i="18" s="1"/>
  <c r="D623" i="55" s="1"/>
  <c r="F623" i="55" l="1"/>
  <c r="P623" i="55"/>
  <c r="O623" i="55"/>
  <c r="J623" i="55"/>
  <c r="R621" i="18"/>
  <c r="B622" i="18"/>
  <c r="L622" i="18" s="1"/>
  <c r="E622" i="18"/>
  <c r="C624" i="55" l="1"/>
  <c r="O622" i="18"/>
  <c r="A623" i="18"/>
  <c r="D623" i="18" s="1"/>
  <c r="B625" i="55" s="1"/>
  <c r="A624" i="55"/>
  <c r="M622" i="18"/>
  <c r="N623" i="55"/>
  <c r="M623" i="55"/>
  <c r="L623" i="55"/>
  <c r="K623" i="55"/>
  <c r="R623" i="55"/>
  <c r="T623" i="55"/>
  <c r="U623" i="55"/>
  <c r="S623" i="55"/>
  <c r="Q623" i="55"/>
  <c r="C622" i="18"/>
  <c r="K622" i="18" s="1"/>
  <c r="D624" i="55" s="1"/>
  <c r="F624" i="55" l="1"/>
  <c r="P624" i="55"/>
  <c r="O624" i="55"/>
  <c r="J624" i="55"/>
  <c r="R622" i="18"/>
  <c r="E623" i="18"/>
  <c r="B623" i="18"/>
  <c r="A624" i="18" l="1"/>
  <c r="D624" i="18" s="1"/>
  <c r="B626" i="55" s="1"/>
  <c r="A625" i="55"/>
  <c r="M623" i="18"/>
  <c r="L623" i="18"/>
  <c r="L624" i="55"/>
  <c r="M624" i="55"/>
  <c r="K624" i="55"/>
  <c r="N624" i="55"/>
  <c r="C625" i="55"/>
  <c r="O623" i="18"/>
  <c r="R624" i="55"/>
  <c r="T624" i="55"/>
  <c r="U624" i="55"/>
  <c r="S624" i="55"/>
  <c r="Q624" i="55"/>
  <c r="C623" i="18"/>
  <c r="K623" i="18" s="1"/>
  <c r="D625" i="55" s="1"/>
  <c r="F625" i="55" l="1"/>
  <c r="P625" i="55"/>
  <c r="O625" i="55"/>
  <c r="J625" i="55"/>
  <c r="R623" i="18"/>
  <c r="B624" i="18"/>
  <c r="L624" i="18" s="1"/>
  <c r="E624" i="18"/>
  <c r="C626" i="55" l="1"/>
  <c r="O624" i="18"/>
  <c r="A625" i="18"/>
  <c r="A626" i="55"/>
  <c r="M624" i="18"/>
  <c r="L625" i="55"/>
  <c r="N625" i="55"/>
  <c r="K625" i="55"/>
  <c r="M625" i="55"/>
  <c r="R625" i="55"/>
  <c r="T625" i="55"/>
  <c r="U625" i="55"/>
  <c r="S625" i="55"/>
  <c r="Q625" i="55"/>
  <c r="C624" i="18"/>
  <c r="K624" i="18" s="1"/>
  <c r="D626" i="55" s="1"/>
  <c r="D625" i="18"/>
  <c r="B627" i="55" s="1"/>
  <c r="F626" i="55" l="1"/>
  <c r="P626" i="55"/>
  <c r="J626" i="55"/>
  <c r="O626" i="55"/>
  <c r="R624" i="18"/>
  <c r="B625" i="18"/>
  <c r="E625" i="18"/>
  <c r="C627" i="55" l="1"/>
  <c r="O625" i="18"/>
  <c r="N626" i="55"/>
  <c r="M626" i="55"/>
  <c r="L626" i="55"/>
  <c r="K626" i="55"/>
  <c r="A626" i="18"/>
  <c r="D626" i="18" s="1"/>
  <c r="B628" i="55" s="1"/>
  <c r="A627" i="55"/>
  <c r="M625" i="18"/>
  <c r="L625" i="18"/>
  <c r="R626" i="55"/>
  <c r="S626" i="55"/>
  <c r="T626" i="55"/>
  <c r="U626" i="55"/>
  <c r="Q626" i="55"/>
  <c r="C625" i="18"/>
  <c r="K625" i="18" s="1"/>
  <c r="D627" i="55" s="1"/>
  <c r="F627" i="55" l="1"/>
  <c r="P627" i="55"/>
  <c r="J627" i="55"/>
  <c r="O627" i="55"/>
  <c r="R625" i="18"/>
  <c r="E626" i="18"/>
  <c r="B626" i="18"/>
  <c r="A627" i="18" l="1"/>
  <c r="A628" i="55"/>
  <c r="M626" i="18"/>
  <c r="C628" i="55"/>
  <c r="O626" i="18"/>
  <c r="L626" i="18"/>
  <c r="L627" i="55"/>
  <c r="K627" i="55"/>
  <c r="M627" i="55"/>
  <c r="N627" i="55"/>
  <c r="R627" i="55"/>
  <c r="T627" i="55"/>
  <c r="S627" i="55"/>
  <c r="U627" i="55"/>
  <c r="Q627" i="55"/>
  <c r="C626" i="18"/>
  <c r="K626" i="18" s="1"/>
  <c r="D628" i="55" s="1"/>
  <c r="D627" i="18"/>
  <c r="B629" i="55" s="1"/>
  <c r="F628" i="55" l="1"/>
  <c r="P628" i="55"/>
  <c r="O628" i="55"/>
  <c r="J628" i="55"/>
  <c r="R626" i="18"/>
  <c r="B627" i="18"/>
  <c r="E627" i="18"/>
  <c r="C629" i="55" l="1"/>
  <c r="O627" i="18"/>
  <c r="A628" i="18"/>
  <c r="D628" i="18" s="1"/>
  <c r="B630" i="55" s="1"/>
  <c r="A629" i="55"/>
  <c r="M627" i="18"/>
  <c r="N628" i="55"/>
  <c r="L628" i="55"/>
  <c r="M628" i="55"/>
  <c r="K628" i="55"/>
  <c r="R628" i="55"/>
  <c r="S628" i="55"/>
  <c r="U628" i="55"/>
  <c r="T628" i="55"/>
  <c r="Q628" i="55"/>
  <c r="L627" i="18"/>
  <c r="C627" i="18"/>
  <c r="K627" i="18" s="1"/>
  <c r="D629" i="55" s="1"/>
  <c r="F629" i="55" l="1"/>
  <c r="P629" i="55"/>
  <c r="J629" i="55"/>
  <c r="O629" i="55"/>
  <c r="R627" i="18"/>
  <c r="B628" i="18"/>
  <c r="L628" i="18" s="1"/>
  <c r="E628" i="18"/>
  <c r="N628" i="18" l="1"/>
  <c r="E630" i="55" s="1"/>
  <c r="C630" i="55"/>
  <c r="O628" i="18"/>
  <c r="N629" i="55"/>
  <c r="M629" i="55"/>
  <c r="L629" i="55"/>
  <c r="K629" i="55"/>
  <c r="A629" i="18"/>
  <c r="D629" i="18" s="1"/>
  <c r="B631" i="55" s="1"/>
  <c r="A630" i="55"/>
  <c r="M628" i="18"/>
  <c r="R629" i="55"/>
  <c r="T629" i="55"/>
  <c r="U629" i="55"/>
  <c r="S629" i="55"/>
  <c r="Q629" i="55"/>
  <c r="C628" i="18"/>
  <c r="K628" i="18" s="1"/>
  <c r="D630" i="55" s="1"/>
  <c r="F630" i="55" l="1"/>
  <c r="G630" i="55" s="1"/>
  <c r="H630" i="55" s="1"/>
  <c r="I630" i="55" s="1"/>
  <c r="P630" i="55"/>
  <c r="O630" i="55"/>
  <c r="J630" i="55"/>
  <c r="R628" i="18"/>
  <c r="B629" i="18"/>
  <c r="E629" i="18"/>
  <c r="A630" i="18" l="1"/>
  <c r="D630" i="18" s="1"/>
  <c r="B632" i="55" s="1"/>
  <c r="A631" i="55"/>
  <c r="M629" i="18"/>
  <c r="L629" i="18"/>
  <c r="C631" i="55"/>
  <c r="O629" i="18"/>
  <c r="R630" i="55"/>
  <c r="T630" i="55"/>
  <c r="U630" i="55"/>
  <c r="S630" i="55"/>
  <c r="Q630" i="55"/>
  <c r="M630" i="55"/>
  <c r="N630" i="55"/>
  <c r="L630" i="55"/>
  <c r="K630" i="55"/>
  <c r="N629" i="18"/>
  <c r="C629" i="18"/>
  <c r="K629" i="18" s="1"/>
  <c r="D631" i="55" s="1"/>
  <c r="E631" i="55" l="1"/>
  <c r="P631" i="55"/>
  <c r="J631" i="55"/>
  <c r="O631" i="55"/>
  <c r="F631" i="55"/>
  <c r="R629" i="18"/>
  <c r="E630" i="18"/>
  <c r="B630" i="18"/>
  <c r="G631" i="55" l="1"/>
  <c r="H631" i="55" s="1"/>
  <c r="I631" i="55" s="1"/>
  <c r="C632" i="55"/>
  <c r="O630" i="18"/>
  <c r="N631" i="55"/>
  <c r="M631" i="55"/>
  <c r="L631" i="55"/>
  <c r="K631" i="55"/>
  <c r="R631" i="55"/>
  <c r="S631" i="55"/>
  <c r="T631" i="55"/>
  <c r="U631" i="55"/>
  <c r="Q631" i="55"/>
  <c r="A631" i="18"/>
  <c r="D631" i="18" s="1"/>
  <c r="B633" i="55" s="1"/>
  <c r="A632" i="55"/>
  <c r="M630" i="18"/>
  <c r="L630" i="18"/>
  <c r="N630" i="18"/>
  <c r="C630" i="18"/>
  <c r="K630" i="18" s="1"/>
  <c r="D632" i="55" s="1"/>
  <c r="F632" i="55" l="1"/>
  <c r="E632" i="55"/>
  <c r="P632" i="55"/>
  <c r="J632" i="55"/>
  <c r="O632" i="55"/>
  <c r="R630" i="18"/>
  <c r="E631" i="18"/>
  <c r="B631" i="18"/>
  <c r="G632" i="55" l="1"/>
  <c r="H632" i="55" s="1"/>
  <c r="I632" i="55" s="1"/>
  <c r="A632" i="18"/>
  <c r="A633" i="55"/>
  <c r="M631" i="18"/>
  <c r="C633" i="55"/>
  <c r="O631" i="18"/>
  <c r="M632" i="55"/>
  <c r="N632" i="55"/>
  <c r="L632" i="55"/>
  <c r="K632" i="55"/>
  <c r="R632" i="55"/>
  <c r="S632" i="55"/>
  <c r="T632" i="55"/>
  <c r="U632" i="55"/>
  <c r="Q632" i="55"/>
  <c r="L631" i="18"/>
  <c r="C631" i="18"/>
  <c r="K631" i="18" s="1"/>
  <c r="D633" i="55" s="1"/>
  <c r="D632" i="18"/>
  <c r="B634" i="55" s="1"/>
  <c r="F633" i="55" l="1"/>
  <c r="P633" i="55"/>
  <c r="Q633" i="55" s="1"/>
  <c r="O633" i="55"/>
  <c r="J633" i="55"/>
  <c r="R631" i="18"/>
  <c r="E632" i="18"/>
  <c r="B632" i="18"/>
  <c r="C634" i="55" l="1"/>
  <c r="O632" i="18"/>
  <c r="A633" i="18"/>
  <c r="L632" i="18"/>
  <c r="M632" i="18"/>
  <c r="A634" i="55"/>
  <c r="N633" i="55"/>
  <c r="M633" i="55"/>
  <c r="L633" i="55"/>
  <c r="K633" i="55"/>
  <c r="D633" i="18"/>
  <c r="B635" i="55" s="1"/>
  <c r="C632" i="18"/>
  <c r="K632" i="18" s="1"/>
  <c r="D634" i="55" s="1"/>
  <c r="F634" i="55" l="1"/>
  <c r="P634" i="55"/>
  <c r="O634" i="55"/>
  <c r="J634" i="55"/>
  <c r="R632" i="18"/>
  <c r="B633" i="18"/>
  <c r="E633" i="18"/>
  <c r="C635" i="55" l="1"/>
  <c r="O633" i="18"/>
  <c r="A634" i="18"/>
  <c r="D634" i="18" s="1"/>
  <c r="B636" i="55" s="1"/>
  <c r="A635" i="55"/>
  <c r="M633" i="18"/>
  <c r="N634" i="55"/>
  <c r="L634" i="55"/>
  <c r="M634" i="55"/>
  <c r="K634" i="55"/>
  <c r="L633" i="18"/>
  <c r="C633" i="18"/>
  <c r="K633" i="18" s="1"/>
  <c r="D635" i="55" s="1"/>
  <c r="P635" i="55" l="1"/>
  <c r="J635" i="55"/>
  <c r="O635" i="55"/>
  <c r="F635" i="55"/>
  <c r="R633" i="18"/>
  <c r="E634" i="18"/>
  <c r="B634" i="18"/>
  <c r="R635" i="55" l="1"/>
  <c r="D145" i="59" s="1"/>
  <c r="A635" i="18"/>
  <c r="A636" i="55"/>
  <c r="M634" i="18"/>
  <c r="C636" i="55"/>
  <c r="O634" i="18"/>
  <c r="L634" i="18"/>
  <c r="N635" i="55"/>
  <c r="M635" i="55"/>
  <c r="L635" i="55"/>
  <c r="K635" i="55"/>
  <c r="D635" i="18"/>
  <c r="B637" i="55" s="1"/>
  <c r="C634" i="18"/>
  <c r="K634" i="18" s="1"/>
  <c r="D636" i="55" s="1"/>
  <c r="F636" i="55" l="1"/>
  <c r="P636" i="55"/>
  <c r="J636" i="55"/>
  <c r="O636" i="55"/>
  <c r="R634" i="18"/>
  <c r="B635" i="18"/>
  <c r="E635" i="18"/>
  <c r="R636" i="55" l="1"/>
  <c r="D146" i="59" s="1"/>
  <c r="A636" i="18"/>
  <c r="D636" i="18" s="1"/>
  <c r="B638" i="55" s="1"/>
  <c r="A637" i="55"/>
  <c r="N636" i="55"/>
  <c r="M636" i="55"/>
  <c r="L636" i="55"/>
  <c r="K636" i="55"/>
  <c r="M635" i="18"/>
  <c r="N635" i="18"/>
  <c r="C637" i="55"/>
  <c r="O635" i="18"/>
  <c r="L635" i="18"/>
  <c r="C635" i="18"/>
  <c r="K635" i="18" s="1"/>
  <c r="D637" i="55" s="1"/>
  <c r="F637" i="55" l="1"/>
  <c r="E637" i="55"/>
  <c r="P637" i="55"/>
  <c r="O637" i="55"/>
  <c r="J637" i="55"/>
  <c r="R635" i="18"/>
  <c r="E636" i="18"/>
  <c r="B636" i="18"/>
  <c r="G637" i="55" l="1"/>
  <c r="H637" i="55" s="1"/>
  <c r="I637" i="55" s="1"/>
  <c r="C638" i="55"/>
  <c r="O636" i="18"/>
  <c r="N637" i="55"/>
  <c r="M637" i="55"/>
  <c r="L637" i="55"/>
  <c r="K637" i="55"/>
  <c r="R637" i="55"/>
  <c r="T637" i="55"/>
  <c r="U637" i="55"/>
  <c r="S637" i="55"/>
  <c r="Q637" i="55"/>
  <c r="A637" i="18"/>
  <c r="D637" i="18" s="1"/>
  <c r="B639" i="55" s="1"/>
  <c r="A638" i="55"/>
  <c r="M636" i="18"/>
  <c r="L636" i="18"/>
  <c r="C636" i="18"/>
  <c r="K636" i="18" s="1"/>
  <c r="D638" i="55" s="1"/>
  <c r="F638" i="55" l="1"/>
  <c r="P638" i="55"/>
  <c r="J638" i="55"/>
  <c r="O638" i="55"/>
  <c r="R636" i="18"/>
  <c r="B637" i="18"/>
  <c r="E637" i="18"/>
  <c r="A638" i="18" l="1"/>
  <c r="D638" i="18" s="1"/>
  <c r="B640" i="55" s="1"/>
  <c r="A639" i="55"/>
  <c r="M637" i="18"/>
  <c r="C639" i="55"/>
  <c r="O637" i="18"/>
  <c r="K638" i="55"/>
  <c r="L638" i="55"/>
  <c r="N638" i="55"/>
  <c r="M638" i="55"/>
  <c r="R638" i="55"/>
  <c r="T638" i="55"/>
  <c r="U638" i="55"/>
  <c r="S638" i="55"/>
  <c r="Q638" i="55"/>
  <c r="L637" i="18"/>
  <c r="C637" i="18"/>
  <c r="K637" i="18" s="1"/>
  <c r="D639" i="55" s="1"/>
  <c r="F639" i="55" l="1"/>
  <c r="P639" i="55"/>
  <c r="J639" i="55"/>
  <c r="O639" i="55"/>
  <c r="R637" i="18"/>
  <c r="B638" i="18"/>
  <c r="E638" i="18"/>
  <c r="C640" i="55" l="1"/>
  <c r="O638" i="18"/>
  <c r="A639" i="18"/>
  <c r="D639" i="18" s="1"/>
  <c r="B641" i="55" s="1"/>
  <c r="A640" i="55"/>
  <c r="M638" i="18"/>
  <c r="R639" i="55"/>
  <c r="S639" i="55"/>
  <c r="T639" i="55"/>
  <c r="U639" i="55"/>
  <c r="Q639" i="55"/>
  <c r="K639" i="55"/>
  <c r="M639" i="55"/>
  <c r="N639" i="55"/>
  <c r="L639" i="55"/>
  <c r="L638" i="18"/>
  <c r="C638" i="18"/>
  <c r="K638" i="18" s="1"/>
  <c r="D640" i="55" s="1"/>
  <c r="F640" i="55" l="1"/>
  <c r="P640" i="55"/>
  <c r="J640" i="55"/>
  <c r="O640" i="55"/>
  <c r="R638" i="18"/>
  <c r="B639" i="18"/>
  <c r="L639" i="18" s="1"/>
  <c r="E639" i="18"/>
  <c r="C641" i="55" l="1"/>
  <c r="O639" i="18"/>
  <c r="N640" i="55"/>
  <c r="L640" i="55"/>
  <c r="M640" i="55"/>
  <c r="K640" i="55"/>
  <c r="A640" i="18"/>
  <c r="D640" i="18" s="1"/>
  <c r="B642" i="55" s="1"/>
  <c r="A641" i="55"/>
  <c r="M639" i="18"/>
  <c r="T640" i="55"/>
  <c r="R640" i="55"/>
  <c r="U640" i="55"/>
  <c r="S640" i="55"/>
  <c r="Q640" i="55"/>
  <c r="C639" i="18"/>
  <c r="K639" i="18" s="1"/>
  <c r="D641" i="55" s="1"/>
  <c r="F641" i="55" l="1"/>
  <c r="P641" i="55"/>
  <c r="J641" i="55"/>
  <c r="O641" i="55"/>
  <c r="R639" i="18"/>
  <c r="B640" i="18"/>
  <c r="E640" i="18"/>
  <c r="C642" i="55" l="1"/>
  <c r="O640" i="18"/>
  <c r="A641" i="18"/>
  <c r="D641" i="18" s="1"/>
  <c r="B643" i="55" s="1"/>
  <c r="A642" i="55"/>
  <c r="M640" i="18"/>
  <c r="L640" i="18"/>
  <c r="N641" i="55"/>
  <c r="M641" i="55"/>
  <c r="L641" i="55"/>
  <c r="K641" i="55"/>
  <c r="R641" i="55"/>
  <c r="T641" i="55"/>
  <c r="U641" i="55"/>
  <c r="S641" i="55"/>
  <c r="Q641" i="55"/>
  <c r="C640" i="18"/>
  <c r="K640" i="18" s="1"/>
  <c r="D642" i="55" s="1"/>
  <c r="F642" i="55" l="1"/>
  <c r="P642" i="55"/>
  <c r="O642" i="55"/>
  <c r="J642" i="55"/>
  <c r="R640" i="18"/>
  <c r="B641" i="18"/>
  <c r="E641" i="18"/>
  <c r="C643" i="55" l="1"/>
  <c r="O641" i="18"/>
  <c r="A642" i="18"/>
  <c r="A643" i="55"/>
  <c r="M641" i="18"/>
  <c r="N642" i="55"/>
  <c r="L642" i="55"/>
  <c r="M642" i="55"/>
  <c r="K642" i="55"/>
  <c r="R642" i="55"/>
  <c r="T642" i="55"/>
  <c r="U642" i="55"/>
  <c r="S642" i="55"/>
  <c r="Q642" i="55"/>
  <c r="L641" i="18"/>
  <c r="C641" i="18"/>
  <c r="K641" i="18" s="1"/>
  <c r="D643" i="55" s="1"/>
  <c r="D642" i="18"/>
  <c r="B644" i="55" s="1"/>
  <c r="P643" i="55" l="1"/>
  <c r="J643" i="55"/>
  <c r="O643" i="55"/>
  <c r="F643" i="55"/>
  <c r="R641" i="18"/>
  <c r="B642" i="18"/>
  <c r="E642" i="18"/>
  <c r="A643" i="18" l="1"/>
  <c r="A644" i="55"/>
  <c r="M642" i="18"/>
  <c r="C644" i="55"/>
  <c r="O642" i="18"/>
  <c r="L642" i="18"/>
  <c r="N643" i="55"/>
  <c r="L643" i="55"/>
  <c r="M643" i="55"/>
  <c r="K643" i="55"/>
  <c r="R643" i="55"/>
  <c r="T643" i="55"/>
  <c r="U643" i="55"/>
  <c r="S643" i="55"/>
  <c r="Q643" i="55"/>
  <c r="C642" i="18"/>
  <c r="K642" i="18" s="1"/>
  <c r="D644" i="55" s="1"/>
  <c r="D643" i="18"/>
  <c r="B645" i="55" s="1"/>
  <c r="F644" i="55" l="1"/>
  <c r="P644" i="55"/>
  <c r="O644" i="55"/>
  <c r="J644" i="55"/>
  <c r="R642" i="18"/>
  <c r="E643" i="18"/>
  <c r="B643" i="18"/>
  <c r="A644" i="18" l="1"/>
  <c r="A645" i="55"/>
  <c r="M643" i="18"/>
  <c r="C645" i="55"/>
  <c r="O643" i="18"/>
  <c r="M644" i="55"/>
  <c r="K644" i="55"/>
  <c r="N644" i="55"/>
  <c r="L644" i="55"/>
  <c r="R644" i="55"/>
  <c r="T644" i="55"/>
  <c r="U644" i="55"/>
  <c r="S644" i="55"/>
  <c r="Q644" i="55"/>
  <c r="L643" i="18"/>
  <c r="C643" i="18"/>
  <c r="K643" i="18" s="1"/>
  <c r="D645" i="55" s="1"/>
  <c r="D644" i="18"/>
  <c r="B646" i="55" s="1"/>
  <c r="F645" i="55" l="1"/>
  <c r="P645" i="55"/>
  <c r="O645" i="55"/>
  <c r="J645" i="55"/>
  <c r="R643" i="18"/>
  <c r="B644" i="18"/>
  <c r="E644" i="18"/>
  <c r="A645" i="18" l="1"/>
  <c r="A646" i="55"/>
  <c r="M644" i="18"/>
  <c r="N644" i="18"/>
  <c r="C646" i="55"/>
  <c r="O644" i="18"/>
  <c r="N645" i="55"/>
  <c r="M645" i="55"/>
  <c r="L645" i="55"/>
  <c r="K645" i="55"/>
  <c r="R645" i="55"/>
  <c r="U645" i="55"/>
  <c r="T645" i="55"/>
  <c r="S645" i="55"/>
  <c r="Q645" i="55"/>
  <c r="L644" i="18"/>
  <c r="C644" i="18"/>
  <c r="K644" i="18" s="1"/>
  <c r="D646" i="55" s="1"/>
  <c r="D645" i="18"/>
  <c r="B647" i="55" s="1"/>
  <c r="F646" i="55" l="1"/>
  <c r="E646" i="55"/>
  <c r="P646" i="55"/>
  <c r="O646" i="55"/>
  <c r="J646" i="55"/>
  <c r="R644" i="18"/>
  <c r="B645" i="18"/>
  <c r="E645" i="18"/>
  <c r="G646" i="55" l="1"/>
  <c r="H646" i="55" s="1"/>
  <c r="I646" i="55" s="1"/>
  <c r="A646" i="18"/>
  <c r="A647" i="55"/>
  <c r="M645" i="18"/>
  <c r="C647" i="55"/>
  <c r="O645" i="18"/>
  <c r="N646" i="55"/>
  <c r="L646" i="55"/>
  <c r="M646" i="55"/>
  <c r="K646" i="55"/>
  <c r="T646" i="55"/>
  <c r="R646" i="55"/>
  <c r="S646" i="55"/>
  <c r="U646" i="55"/>
  <c r="Q646" i="55"/>
  <c r="L645" i="18"/>
  <c r="N645" i="18"/>
  <c r="D646" i="18"/>
  <c r="B648" i="55" s="1"/>
  <c r="C645" i="18"/>
  <c r="K645" i="18" s="1"/>
  <c r="D647" i="55" s="1"/>
  <c r="E647" i="55" l="1"/>
  <c r="F647" i="55"/>
  <c r="P647" i="55"/>
  <c r="J647" i="55"/>
  <c r="O647" i="55"/>
  <c r="R645" i="18"/>
  <c r="B646" i="18"/>
  <c r="E646" i="18"/>
  <c r="G647" i="55" l="1"/>
  <c r="H647" i="55" s="1"/>
  <c r="I647" i="55" s="1"/>
  <c r="A647" i="18"/>
  <c r="D647" i="18" s="1"/>
  <c r="B649" i="55" s="1"/>
  <c r="A648" i="55"/>
  <c r="M646" i="18"/>
  <c r="N646" i="18"/>
  <c r="C648" i="55"/>
  <c r="O646" i="18"/>
  <c r="K647" i="55"/>
  <c r="M647" i="55"/>
  <c r="N647" i="55"/>
  <c r="L647" i="55"/>
  <c r="R647" i="55"/>
  <c r="U647" i="55"/>
  <c r="S647" i="55"/>
  <c r="T647" i="55"/>
  <c r="Q647" i="55"/>
  <c r="L646" i="18"/>
  <c r="C646" i="18"/>
  <c r="K646" i="18" s="1"/>
  <c r="D648" i="55" s="1"/>
  <c r="F648" i="55" l="1"/>
  <c r="E648" i="55"/>
  <c r="P648" i="55"/>
  <c r="J648" i="55"/>
  <c r="O648" i="55"/>
  <c r="R646" i="18"/>
  <c r="B647" i="18"/>
  <c r="E647" i="18"/>
  <c r="G648" i="55" l="1"/>
  <c r="H648" i="55" s="1"/>
  <c r="I648" i="55" s="1"/>
  <c r="A648" i="18"/>
  <c r="A649" i="55"/>
  <c r="M647" i="18"/>
  <c r="N647" i="18"/>
  <c r="C649" i="55"/>
  <c r="O647" i="18"/>
  <c r="N648" i="55"/>
  <c r="L648" i="55"/>
  <c r="M648" i="55"/>
  <c r="K648" i="55"/>
  <c r="R648" i="55"/>
  <c r="S648" i="55"/>
  <c r="T648" i="55"/>
  <c r="U648" i="55"/>
  <c r="Q648" i="55"/>
  <c r="L647" i="18"/>
  <c r="D648" i="18"/>
  <c r="B650" i="55" s="1"/>
  <c r="C647" i="18"/>
  <c r="K647" i="18" s="1"/>
  <c r="D649" i="55" s="1"/>
  <c r="F649" i="55" l="1"/>
  <c r="E649" i="55"/>
  <c r="P649" i="55"/>
  <c r="J649" i="55"/>
  <c r="O649" i="55"/>
  <c r="R647" i="18"/>
  <c r="E648" i="18"/>
  <c r="B648" i="18"/>
  <c r="G649" i="55" l="1"/>
  <c r="H649" i="55" s="1"/>
  <c r="I649" i="55" s="1"/>
  <c r="A649" i="18"/>
  <c r="D649" i="18" s="1"/>
  <c r="B651" i="55" s="1"/>
  <c r="A650" i="55"/>
  <c r="M648" i="18"/>
  <c r="C650" i="55"/>
  <c r="O648" i="18"/>
  <c r="N649" i="55"/>
  <c r="L649" i="55"/>
  <c r="M649" i="55"/>
  <c r="K649" i="55"/>
  <c r="R649" i="55"/>
  <c r="T649" i="55"/>
  <c r="U649" i="55"/>
  <c r="S649" i="55"/>
  <c r="Q649" i="55"/>
  <c r="L648" i="18"/>
  <c r="C648" i="18"/>
  <c r="K648" i="18" s="1"/>
  <c r="D650" i="55" s="1"/>
  <c r="F650" i="55" l="1"/>
  <c r="P650" i="55"/>
  <c r="O650" i="55"/>
  <c r="J650" i="55"/>
  <c r="R648" i="18"/>
  <c r="B649" i="18"/>
  <c r="E649" i="18"/>
  <c r="A650" i="18" l="1"/>
  <c r="D650" i="18" s="1"/>
  <c r="B652" i="55" s="1"/>
  <c r="A651" i="55"/>
  <c r="M649" i="18"/>
  <c r="L650" i="55"/>
  <c r="K650" i="55"/>
  <c r="N650" i="55"/>
  <c r="M650" i="55"/>
  <c r="N649" i="18"/>
  <c r="C651" i="55"/>
  <c r="O649" i="18"/>
  <c r="R650" i="55"/>
  <c r="T650" i="55"/>
  <c r="U650" i="55"/>
  <c r="S650" i="55"/>
  <c r="Q650" i="55"/>
  <c r="L649" i="18"/>
  <c r="C649" i="18"/>
  <c r="K649" i="18" s="1"/>
  <c r="D651" i="55" s="1"/>
  <c r="E651" i="55" l="1"/>
  <c r="F651" i="55"/>
  <c r="P651" i="55"/>
  <c r="Q651" i="55" s="1"/>
  <c r="R651" i="55" s="1"/>
  <c r="D147" i="59" s="1"/>
  <c r="O651" i="55"/>
  <c r="J651" i="55"/>
  <c r="R649" i="18"/>
  <c r="B650" i="18"/>
  <c r="E650" i="18"/>
  <c r="G651" i="55" l="1"/>
  <c r="H651" i="55" s="1"/>
  <c r="I651" i="55" s="1"/>
  <c r="A651" i="18"/>
  <c r="D651" i="18" s="1"/>
  <c r="B653" i="55" s="1"/>
  <c r="L650" i="18"/>
  <c r="M650" i="18"/>
  <c r="A652" i="55"/>
  <c r="O650" i="18"/>
  <c r="C652" i="55"/>
  <c r="M651" i="55"/>
  <c r="N651" i="55"/>
  <c r="L651" i="55"/>
  <c r="K651" i="55"/>
  <c r="C650" i="18"/>
  <c r="K650" i="18" s="1"/>
  <c r="D652" i="55" s="1"/>
  <c r="P652" i="55" l="1"/>
  <c r="O652" i="55"/>
  <c r="J652" i="55"/>
  <c r="F652" i="55"/>
  <c r="R650" i="18"/>
  <c r="B651" i="18"/>
  <c r="L651" i="18" s="1"/>
  <c r="E651" i="18"/>
  <c r="C653" i="55" l="1"/>
  <c r="O651" i="18"/>
  <c r="A652" i="18"/>
  <c r="D652" i="18" s="1"/>
  <c r="B654" i="55" s="1"/>
  <c r="A653" i="55"/>
  <c r="M651" i="18"/>
  <c r="C651" i="18"/>
  <c r="K651" i="18" s="1"/>
  <c r="D653" i="55" s="1"/>
  <c r="F653" i="55" l="1"/>
  <c r="P653" i="55"/>
  <c r="J653" i="55"/>
  <c r="O653" i="55"/>
  <c r="R651" i="18"/>
  <c r="B652" i="18"/>
  <c r="E652" i="18"/>
  <c r="R653" i="55" l="1"/>
  <c r="D149" i="59" s="1"/>
  <c r="A653" i="18"/>
  <c r="D653" i="18" s="1"/>
  <c r="B655" i="55" s="1"/>
  <c r="A654" i="55"/>
  <c r="M652" i="18"/>
  <c r="L652" i="18"/>
  <c r="C654" i="55"/>
  <c r="O652" i="18"/>
  <c r="L653" i="55"/>
  <c r="N653" i="55"/>
  <c r="K653" i="55"/>
  <c r="M653" i="55"/>
  <c r="C652" i="18"/>
  <c r="K652" i="18" s="1"/>
  <c r="D654" i="55" s="1"/>
  <c r="F654" i="55" l="1"/>
  <c r="P654" i="55"/>
  <c r="O654" i="55"/>
  <c r="J654" i="55"/>
  <c r="R652" i="18"/>
  <c r="B653" i="18"/>
  <c r="E653" i="18"/>
  <c r="A654" i="18" l="1"/>
  <c r="A655" i="55"/>
  <c r="M653" i="18"/>
  <c r="C655" i="55"/>
  <c r="O653" i="18"/>
  <c r="N654" i="55"/>
  <c r="M654" i="55"/>
  <c r="L654" i="55"/>
  <c r="K654" i="55"/>
  <c r="R654" i="55"/>
  <c r="D150" i="59" s="1"/>
  <c r="L653" i="18"/>
  <c r="C653" i="18"/>
  <c r="K653" i="18" s="1"/>
  <c r="D655" i="55" s="1"/>
  <c r="D654" i="18"/>
  <c r="B656" i="55" s="1"/>
  <c r="F655" i="55" l="1"/>
  <c r="P655" i="55"/>
  <c r="O655" i="55"/>
  <c r="J655" i="55"/>
  <c r="R653" i="18"/>
  <c r="B654" i="18"/>
  <c r="E654" i="18"/>
  <c r="A655" i="18" l="1"/>
  <c r="A656" i="55"/>
  <c r="C656" i="55"/>
  <c r="O654" i="18"/>
  <c r="M655" i="55"/>
  <c r="N655" i="55"/>
  <c r="L655" i="55"/>
  <c r="K655" i="55"/>
  <c r="R655" i="55"/>
  <c r="S655" i="55"/>
  <c r="T655" i="55"/>
  <c r="U655" i="55"/>
  <c r="Q655" i="55"/>
  <c r="M654" i="18"/>
  <c r="L654" i="18"/>
  <c r="D655" i="18"/>
  <c r="B657" i="55" s="1"/>
  <c r="C654" i="18"/>
  <c r="K654" i="18" s="1"/>
  <c r="D656" i="55" s="1"/>
  <c r="F656" i="55" l="1"/>
  <c r="P656" i="55"/>
  <c r="J656" i="55"/>
  <c r="O656" i="55"/>
  <c r="R654" i="18"/>
  <c r="B655" i="18"/>
  <c r="E655" i="18"/>
  <c r="A656" i="18" l="1"/>
  <c r="D656" i="18" s="1"/>
  <c r="B658" i="55" s="1"/>
  <c r="A657" i="55"/>
  <c r="M655" i="18"/>
  <c r="C657" i="55"/>
  <c r="O655" i="18"/>
  <c r="N656" i="55"/>
  <c r="M656" i="55"/>
  <c r="L656" i="55"/>
  <c r="K656" i="55"/>
  <c r="R656" i="55"/>
  <c r="T656" i="55"/>
  <c r="S656" i="55"/>
  <c r="U656" i="55"/>
  <c r="Q656" i="55"/>
  <c r="L655" i="18"/>
  <c r="C655" i="18"/>
  <c r="K655" i="18" s="1"/>
  <c r="D657" i="55" s="1"/>
  <c r="F657" i="55" l="1"/>
  <c r="P657" i="55"/>
  <c r="J657" i="55"/>
  <c r="O657" i="55"/>
  <c r="R655" i="18"/>
  <c r="B656" i="18"/>
  <c r="E656" i="18"/>
  <c r="C658" i="55" l="1"/>
  <c r="O656" i="18"/>
  <c r="A657" i="18"/>
  <c r="A658" i="55"/>
  <c r="M656" i="18"/>
  <c r="M657" i="55"/>
  <c r="N657" i="55"/>
  <c r="L657" i="55"/>
  <c r="K657" i="55"/>
  <c r="R657" i="55"/>
  <c r="S657" i="55"/>
  <c r="T657" i="55"/>
  <c r="U657" i="55"/>
  <c r="Q657" i="55"/>
  <c r="L656" i="18"/>
  <c r="D657" i="18"/>
  <c r="B659" i="55" s="1"/>
  <c r="C656" i="18"/>
  <c r="K656" i="18" s="1"/>
  <c r="D658" i="55" s="1"/>
  <c r="F658" i="55" l="1"/>
  <c r="P658" i="55"/>
  <c r="J658" i="55"/>
  <c r="O658" i="55"/>
  <c r="R656" i="18"/>
  <c r="B657" i="18"/>
  <c r="E657" i="18"/>
  <c r="C659" i="55" l="1"/>
  <c r="O657" i="18"/>
  <c r="A658" i="18"/>
  <c r="D658" i="18" s="1"/>
  <c r="B660" i="55" s="1"/>
  <c r="A659" i="55"/>
  <c r="M657" i="18"/>
  <c r="L657" i="18"/>
  <c r="N658" i="55"/>
  <c r="L658" i="55"/>
  <c r="M658" i="55"/>
  <c r="K658" i="55"/>
  <c r="R658" i="55"/>
  <c r="U658" i="55"/>
  <c r="T658" i="55"/>
  <c r="S658" i="55"/>
  <c r="Q658" i="55"/>
  <c r="C657" i="18"/>
  <c r="K657" i="18" s="1"/>
  <c r="D659" i="55" s="1"/>
  <c r="F659" i="55" l="1"/>
  <c r="P659" i="55"/>
  <c r="J659" i="55"/>
  <c r="O659" i="55"/>
  <c r="R657" i="18"/>
  <c r="B658" i="18"/>
  <c r="E658" i="18"/>
  <c r="C660" i="55" l="1"/>
  <c r="O658" i="18"/>
  <c r="A659" i="18"/>
  <c r="D659" i="18" s="1"/>
  <c r="B661" i="55" s="1"/>
  <c r="A660" i="55"/>
  <c r="M658" i="18"/>
  <c r="N659" i="55"/>
  <c r="M659" i="55"/>
  <c r="L659" i="55"/>
  <c r="K659" i="55"/>
  <c r="R659" i="55"/>
  <c r="T659" i="55"/>
  <c r="U659" i="55"/>
  <c r="S659" i="55"/>
  <c r="Q659" i="55"/>
  <c r="L658" i="18"/>
  <c r="C658" i="18"/>
  <c r="K658" i="18" s="1"/>
  <c r="D660" i="55" s="1"/>
  <c r="F660" i="55" l="1"/>
  <c r="P660" i="55"/>
  <c r="O660" i="55"/>
  <c r="J660" i="55"/>
  <c r="R658" i="18"/>
  <c r="E659" i="18"/>
  <c r="B659" i="18"/>
  <c r="C661" i="55" l="1"/>
  <c r="O659" i="18"/>
  <c r="A660" i="18"/>
  <c r="D660" i="18" s="1"/>
  <c r="B662" i="55" s="1"/>
  <c r="A661" i="55"/>
  <c r="M659" i="18"/>
  <c r="N660" i="55"/>
  <c r="L660" i="55"/>
  <c r="K660" i="55"/>
  <c r="M660" i="55"/>
  <c r="R660" i="55"/>
  <c r="T660" i="55"/>
  <c r="U660" i="55"/>
  <c r="S660" i="55"/>
  <c r="Q660" i="55"/>
  <c r="L659" i="18"/>
  <c r="C659" i="18"/>
  <c r="K659" i="18" s="1"/>
  <c r="D661" i="55" s="1"/>
  <c r="F661" i="55" l="1"/>
  <c r="P661" i="55"/>
  <c r="O661" i="55"/>
  <c r="J661" i="55"/>
  <c r="R659" i="18"/>
  <c r="E660" i="18"/>
  <c r="B660" i="18"/>
  <c r="A661" i="18" l="1"/>
  <c r="D661" i="18" s="1"/>
  <c r="B663" i="55" s="1"/>
  <c r="A662" i="55"/>
  <c r="M660" i="18"/>
  <c r="C662" i="55"/>
  <c r="O660" i="18"/>
  <c r="N661" i="55"/>
  <c r="M661" i="55"/>
  <c r="L661" i="55"/>
  <c r="K661" i="55"/>
  <c r="R661" i="55"/>
  <c r="T661" i="55"/>
  <c r="U661" i="55"/>
  <c r="S661" i="55"/>
  <c r="Q661" i="55"/>
  <c r="L660" i="18"/>
  <c r="C660" i="18"/>
  <c r="K660" i="18" s="1"/>
  <c r="D662" i="55" s="1"/>
  <c r="F662" i="55" l="1"/>
  <c r="P662" i="55"/>
  <c r="J662" i="55"/>
  <c r="O662" i="55"/>
  <c r="R660" i="18"/>
  <c r="B661" i="18"/>
  <c r="E661" i="18"/>
  <c r="C663" i="55" l="1"/>
  <c r="O661" i="18"/>
  <c r="A662" i="18"/>
  <c r="D662" i="18" s="1"/>
  <c r="B664" i="55" s="1"/>
  <c r="A663" i="55"/>
  <c r="M661" i="18"/>
  <c r="N662" i="55"/>
  <c r="M662" i="55"/>
  <c r="L662" i="55"/>
  <c r="K662" i="55"/>
  <c r="R662" i="55"/>
  <c r="T662" i="55"/>
  <c r="U662" i="55"/>
  <c r="S662" i="55"/>
  <c r="Q662" i="55"/>
  <c r="L661" i="18"/>
  <c r="C661" i="18"/>
  <c r="K661" i="18" s="1"/>
  <c r="D663" i="55" s="1"/>
  <c r="F663" i="55" l="1"/>
  <c r="P663" i="55"/>
  <c r="J663" i="55"/>
  <c r="O663" i="55"/>
  <c r="R661" i="18"/>
  <c r="E662" i="18"/>
  <c r="B662" i="18"/>
  <c r="C664" i="55" l="1"/>
  <c r="O662" i="18"/>
  <c r="A663" i="18"/>
  <c r="D663" i="18" s="1"/>
  <c r="B665" i="55" s="1"/>
  <c r="A664" i="55"/>
  <c r="M662" i="18"/>
  <c r="L662" i="18"/>
  <c r="N663" i="55"/>
  <c r="M663" i="55"/>
  <c r="L663" i="55"/>
  <c r="K663" i="55"/>
  <c r="R663" i="55"/>
  <c r="S663" i="55"/>
  <c r="T663" i="55"/>
  <c r="U663" i="55"/>
  <c r="Q663" i="55"/>
  <c r="C662" i="18"/>
  <c r="K662" i="18" s="1"/>
  <c r="D664" i="55" s="1"/>
  <c r="F664" i="55" l="1"/>
  <c r="P664" i="55"/>
  <c r="O664" i="55"/>
  <c r="J664" i="55"/>
  <c r="R662" i="18"/>
  <c r="B663" i="18"/>
  <c r="E663" i="18"/>
  <c r="A664" i="18" l="1"/>
  <c r="A665" i="55"/>
  <c r="M663" i="18"/>
  <c r="C665" i="55"/>
  <c r="O663" i="18"/>
  <c r="N664" i="55"/>
  <c r="M664" i="55"/>
  <c r="L664" i="55"/>
  <c r="K664" i="55"/>
  <c r="R664" i="55"/>
  <c r="S664" i="55"/>
  <c r="T664" i="55"/>
  <c r="U664" i="55"/>
  <c r="Q664" i="55"/>
  <c r="L663" i="18"/>
  <c r="C663" i="18"/>
  <c r="K663" i="18" s="1"/>
  <c r="D665" i="55" s="1"/>
  <c r="D664" i="18"/>
  <c r="B666" i="55" s="1"/>
  <c r="F665" i="55" l="1"/>
  <c r="P665" i="55"/>
  <c r="O665" i="55"/>
  <c r="J665" i="55"/>
  <c r="R663" i="18"/>
  <c r="E664" i="18"/>
  <c r="B664" i="18"/>
  <c r="C666" i="55" l="1"/>
  <c r="O664" i="18"/>
  <c r="A665" i="18"/>
  <c r="A666" i="55"/>
  <c r="M664" i="18"/>
  <c r="M665" i="55"/>
  <c r="N665" i="55"/>
  <c r="L665" i="55"/>
  <c r="K665" i="55"/>
  <c r="T665" i="55"/>
  <c r="R665" i="55"/>
  <c r="S665" i="55"/>
  <c r="U665" i="55"/>
  <c r="Q665" i="55"/>
  <c r="L664" i="18"/>
  <c r="N664" i="18"/>
  <c r="C664" i="18"/>
  <c r="K664" i="18" s="1"/>
  <c r="D666" i="55" s="1"/>
  <c r="D665" i="18"/>
  <c r="B667" i="55" s="1"/>
  <c r="E666" i="55" l="1"/>
  <c r="F666" i="55"/>
  <c r="P666" i="55"/>
  <c r="O666" i="55"/>
  <c r="J666" i="55"/>
  <c r="R664" i="18"/>
  <c r="B665" i="18"/>
  <c r="E665" i="18"/>
  <c r="G666" i="55" l="1"/>
  <c r="H666" i="55" s="1"/>
  <c r="I666" i="55" s="1"/>
  <c r="A666" i="18"/>
  <c r="A667" i="55"/>
  <c r="M665" i="18"/>
  <c r="C667" i="55"/>
  <c r="O665" i="18"/>
  <c r="L665" i="18"/>
  <c r="N666" i="55"/>
  <c r="L666" i="55"/>
  <c r="M666" i="55"/>
  <c r="K666" i="55"/>
  <c r="R666" i="55"/>
  <c r="T666" i="55"/>
  <c r="U666" i="55"/>
  <c r="S666" i="55"/>
  <c r="Q666" i="55"/>
  <c r="C665" i="18"/>
  <c r="K665" i="18" s="1"/>
  <c r="D667" i="55" s="1"/>
  <c r="D666" i="18"/>
  <c r="B668" i="55" s="1"/>
  <c r="F667" i="55" l="1"/>
  <c r="P667" i="55"/>
  <c r="O667" i="55"/>
  <c r="J667" i="55"/>
  <c r="R665" i="18"/>
  <c r="B666" i="18"/>
  <c r="E666" i="18"/>
  <c r="C668" i="55" l="1"/>
  <c r="O666" i="18"/>
  <c r="A667" i="18"/>
  <c r="D667" i="18" s="1"/>
  <c r="B669" i="55" s="1"/>
  <c r="A668" i="55"/>
  <c r="M666" i="18"/>
  <c r="N667" i="55"/>
  <c r="L667" i="55"/>
  <c r="M667" i="55"/>
  <c r="K667" i="55"/>
  <c r="R667" i="55"/>
  <c r="T667" i="55"/>
  <c r="U667" i="55"/>
  <c r="S667" i="55"/>
  <c r="Q667" i="55"/>
  <c r="L666" i="18"/>
  <c r="C666" i="18"/>
  <c r="K666" i="18" s="1"/>
  <c r="D668" i="55" s="1"/>
  <c r="F668" i="55" l="1"/>
  <c r="P668" i="55"/>
  <c r="J668" i="55"/>
  <c r="O668" i="55"/>
  <c r="R666" i="18"/>
  <c r="B667" i="18"/>
  <c r="E667" i="18"/>
  <c r="C669" i="55" l="1"/>
  <c r="O667" i="18"/>
  <c r="A668" i="18"/>
  <c r="D668" i="18" s="1"/>
  <c r="B670" i="55" s="1"/>
  <c r="A669" i="55"/>
  <c r="M667" i="18"/>
  <c r="L667" i="18"/>
  <c r="N668" i="55"/>
  <c r="M668" i="55"/>
  <c r="L668" i="55"/>
  <c r="K668" i="55"/>
  <c r="T668" i="55"/>
  <c r="R668" i="55"/>
  <c r="U668" i="55"/>
  <c r="S668" i="55"/>
  <c r="Q668" i="55"/>
  <c r="C667" i="18"/>
  <c r="K667" i="18" s="1"/>
  <c r="D669" i="55" s="1"/>
  <c r="P669" i="55" l="1"/>
  <c r="O669" i="55"/>
  <c r="J669" i="55"/>
  <c r="F669" i="55"/>
  <c r="R667" i="18"/>
  <c r="B668" i="18"/>
  <c r="E668" i="18"/>
  <c r="C670" i="55" l="1"/>
  <c r="O668" i="18"/>
  <c r="A669" i="18"/>
  <c r="A670" i="55"/>
  <c r="L668" i="18"/>
  <c r="M668" i="18"/>
  <c r="L669" i="55"/>
  <c r="K669" i="55"/>
  <c r="M669" i="55"/>
  <c r="N669" i="55"/>
  <c r="D669" i="18"/>
  <c r="B671" i="55" s="1"/>
  <c r="C668" i="18"/>
  <c r="K668" i="18" s="1"/>
  <c r="D670" i="55" s="1"/>
  <c r="P670" i="55" l="1"/>
  <c r="O670" i="55"/>
  <c r="J670" i="55"/>
  <c r="F670" i="55"/>
  <c r="R668" i="18"/>
  <c r="B669" i="18"/>
  <c r="E669" i="18"/>
  <c r="C671" i="55" l="1"/>
  <c r="O669" i="18"/>
  <c r="A670" i="18"/>
  <c r="A671" i="55"/>
  <c r="M669" i="18"/>
  <c r="N670" i="55"/>
  <c r="L670" i="55"/>
  <c r="M670" i="55"/>
  <c r="K670" i="55"/>
  <c r="L669" i="18"/>
  <c r="C669" i="18"/>
  <c r="K669" i="18" s="1"/>
  <c r="D671" i="55" s="1"/>
  <c r="D670" i="18"/>
  <c r="B672" i="55" s="1"/>
  <c r="P671" i="55" l="1"/>
  <c r="J671" i="55"/>
  <c r="O671" i="55"/>
  <c r="F671" i="55"/>
  <c r="R669" i="18"/>
  <c r="B670" i="18"/>
  <c r="E670" i="18"/>
  <c r="R671" i="55" l="1"/>
  <c r="D153" i="59" s="1"/>
  <c r="A671" i="18"/>
  <c r="D671" i="18" s="1"/>
  <c r="B673" i="55" s="1"/>
  <c r="A672" i="55"/>
  <c r="M670" i="18"/>
  <c r="C672" i="55"/>
  <c r="O670" i="18"/>
  <c r="L671" i="55"/>
  <c r="N671" i="55"/>
  <c r="M671" i="55"/>
  <c r="K671" i="55"/>
  <c r="L670" i="18"/>
  <c r="C670" i="18"/>
  <c r="K670" i="18" s="1"/>
  <c r="D672" i="55" s="1"/>
  <c r="F672" i="55" l="1"/>
  <c r="P672" i="55"/>
  <c r="J672" i="55"/>
  <c r="O672" i="55"/>
  <c r="R670" i="18"/>
  <c r="E671" i="18"/>
  <c r="B671" i="18"/>
  <c r="R672" i="55" l="1"/>
  <c r="D154" i="59" s="1"/>
  <c r="C673" i="55"/>
  <c r="O671" i="18"/>
  <c r="A672" i="18"/>
  <c r="D672" i="18" s="1"/>
  <c r="B674" i="55" s="1"/>
  <c r="A673" i="55"/>
  <c r="N672" i="55"/>
  <c r="K672" i="55"/>
  <c r="L672" i="55"/>
  <c r="M672" i="55"/>
  <c r="M671" i="18"/>
  <c r="L671" i="18"/>
  <c r="C671" i="18"/>
  <c r="K671" i="18" s="1"/>
  <c r="D673" i="55" s="1"/>
  <c r="P673" i="55" l="1"/>
  <c r="J673" i="55"/>
  <c r="O673" i="55"/>
  <c r="F673" i="55"/>
  <c r="R671" i="18"/>
  <c r="B672" i="18"/>
  <c r="E672" i="18"/>
  <c r="C674" i="55" l="1"/>
  <c r="O672" i="18"/>
  <c r="A673" i="18"/>
  <c r="D673" i="18" s="1"/>
  <c r="B675" i="55" s="1"/>
  <c r="A674" i="55"/>
  <c r="M672" i="18"/>
  <c r="L672" i="18"/>
  <c r="N673" i="55"/>
  <c r="M673" i="55"/>
  <c r="L673" i="55"/>
  <c r="K673" i="55"/>
  <c r="R673" i="55"/>
  <c r="T673" i="55"/>
  <c r="U673" i="55"/>
  <c r="S673" i="55"/>
  <c r="Q673" i="55"/>
  <c r="C672" i="18"/>
  <c r="K672" i="18" s="1"/>
  <c r="D674" i="55" s="1"/>
  <c r="P674" i="55" l="1"/>
  <c r="J674" i="55"/>
  <c r="O674" i="55"/>
  <c r="F674" i="55"/>
  <c r="R672" i="18"/>
  <c r="B673" i="18"/>
  <c r="E673" i="18"/>
  <c r="C675" i="55" l="1"/>
  <c r="O673" i="18"/>
  <c r="A674" i="18"/>
  <c r="D674" i="18" s="1"/>
  <c r="B676" i="55" s="1"/>
  <c r="A675" i="55"/>
  <c r="M673" i="18"/>
  <c r="N674" i="55"/>
  <c r="L674" i="55"/>
  <c r="M674" i="55"/>
  <c r="K674" i="55"/>
  <c r="R674" i="55"/>
  <c r="S674" i="55"/>
  <c r="U674" i="55"/>
  <c r="T674" i="55"/>
  <c r="Q674" i="55"/>
  <c r="L673" i="18"/>
  <c r="C673" i="18"/>
  <c r="K673" i="18" s="1"/>
  <c r="D675" i="55" s="1"/>
  <c r="P675" i="55" l="1"/>
  <c r="J675" i="55"/>
  <c r="O675" i="55"/>
  <c r="F675" i="55"/>
  <c r="R673" i="18"/>
  <c r="E674" i="18"/>
  <c r="B674" i="18"/>
  <c r="C676" i="55" l="1"/>
  <c r="O674" i="18"/>
  <c r="A675" i="18"/>
  <c r="D675" i="18" s="1"/>
  <c r="B677" i="55" s="1"/>
  <c r="A676" i="55"/>
  <c r="M674" i="18"/>
  <c r="N675" i="55"/>
  <c r="M675" i="55"/>
  <c r="L675" i="55"/>
  <c r="K675" i="55"/>
  <c r="R675" i="55"/>
  <c r="T675" i="55"/>
  <c r="S675" i="55"/>
  <c r="U675" i="55"/>
  <c r="Q675" i="55"/>
  <c r="L674" i="18"/>
  <c r="C674" i="18"/>
  <c r="K674" i="18" s="1"/>
  <c r="D676" i="55" s="1"/>
  <c r="P676" i="55" l="1"/>
  <c r="J676" i="55"/>
  <c r="O676" i="55"/>
  <c r="F676" i="55"/>
  <c r="R674" i="18"/>
  <c r="B675" i="18"/>
  <c r="E675" i="18"/>
  <c r="A676" i="18" l="1"/>
  <c r="A677" i="55"/>
  <c r="M675" i="18"/>
  <c r="C677" i="55"/>
  <c r="O675" i="18"/>
  <c r="L675" i="18"/>
  <c r="N676" i="55"/>
  <c r="L676" i="55"/>
  <c r="M676" i="55"/>
  <c r="K676" i="55"/>
  <c r="R676" i="55"/>
  <c r="U676" i="55"/>
  <c r="S676" i="55"/>
  <c r="T676" i="55"/>
  <c r="Q676" i="55"/>
  <c r="D676" i="18"/>
  <c r="B678" i="55" s="1"/>
  <c r="C675" i="18"/>
  <c r="K675" i="18" s="1"/>
  <c r="D677" i="55" s="1"/>
  <c r="F677" i="55" l="1"/>
  <c r="P677" i="55"/>
  <c r="J677" i="55"/>
  <c r="O677" i="55"/>
  <c r="R675" i="18"/>
  <c r="B676" i="18"/>
  <c r="E676" i="18"/>
  <c r="A677" i="18" l="1"/>
  <c r="D677" i="18" s="1"/>
  <c r="B679" i="55" s="1"/>
  <c r="A678" i="55"/>
  <c r="M676" i="18"/>
  <c r="C678" i="55"/>
  <c r="O676" i="18"/>
  <c r="N677" i="55"/>
  <c r="L677" i="55"/>
  <c r="M677" i="55"/>
  <c r="K677" i="55"/>
  <c r="T677" i="55"/>
  <c r="U677" i="55"/>
  <c r="R677" i="55"/>
  <c r="S677" i="55"/>
  <c r="Q677" i="55"/>
  <c r="L676" i="18"/>
  <c r="C676" i="18"/>
  <c r="K676" i="18" s="1"/>
  <c r="D678" i="55" s="1"/>
  <c r="F678" i="55" l="1"/>
  <c r="P678" i="55"/>
  <c r="O678" i="55"/>
  <c r="J678" i="55"/>
  <c r="R676" i="18"/>
  <c r="E677" i="18"/>
  <c r="B677" i="18"/>
  <c r="C679" i="55" l="1"/>
  <c r="O677" i="18"/>
  <c r="A678" i="18"/>
  <c r="D678" i="18" s="1"/>
  <c r="B680" i="55" s="1"/>
  <c r="A679" i="55"/>
  <c r="M677" i="18"/>
  <c r="N678" i="55"/>
  <c r="L678" i="55"/>
  <c r="K678" i="55"/>
  <c r="M678" i="55"/>
  <c r="T678" i="55"/>
  <c r="U678" i="55"/>
  <c r="R678" i="55"/>
  <c r="S678" i="55"/>
  <c r="Q678" i="55"/>
  <c r="L677" i="18"/>
  <c r="C677" i="18"/>
  <c r="K677" i="18" s="1"/>
  <c r="D679" i="55" s="1"/>
  <c r="P679" i="55" l="1"/>
  <c r="O679" i="55"/>
  <c r="J679" i="55"/>
  <c r="F679" i="55"/>
  <c r="R677" i="18"/>
  <c r="E678" i="18"/>
  <c r="B678" i="18"/>
  <c r="A679" i="18" l="1"/>
  <c r="A680" i="55"/>
  <c r="M678" i="18"/>
  <c r="C680" i="55"/>
  <c r="O678" i="18"/>
  <c r="L678" i="18"/>
  <c r="N679" i="55"/>
  <c r="M679" i="55"/>
  <c r="L679" i="55"/>
  <c r="K679" i="55"/>
  <c r="S679" i="55"/>
  <c r="T679" i="55"/>
  <c r="R679" i="55"/>
  <c r="U679" i="55"/>
  <c r="Q679" i="55"/>
  <c r="C678" i="18"/>
  <c r="K678" i="18" s="1"/>
  <c r="D680" i="55" s="1"/>
  <c r="D679" i="18"/>
  <c r="B681" i="55" s="1"/>
  <c r="F680" i="55" l="1"/>
  <c r="P680" i="55"/>
  <c r="J680" i="55"/>
  <c r="O680" i="55"/>
  <c r="R678" i="18"/>
  <c r="B679" i="18"/>
  <c r="E679" i="18"/>
  <c r="A680" i="18" l="1"/>
  <c r="A681" i="55"/>
  <c r="M679" i="18"/>
  <c r="C681" i="55"/>
  <c r="O679" i="18"/>
  <c r="N680" i="55"/>
  <c r="M680" i="55"/>
  <c r="L680" i="55"/>
  <c r="K680" i="55"/>
  <c r="R680" i="55"/>
  <c r="S680" i="55"/>
  <c r="T680" i="55"/>
  <c r="U680" i="55"/>
  <c r="Q680" i="55"/>
  <c r="L679" i="18"/>
  <c r="C679" i="18"/>
  <c r="K679" i="18" s="1"/>
  <c r="D681" i="55" s="1"/>
  <c r="D680" i="18"/>
  <c r="B682" i="55" s="1"/>
  <c r="F681" i="55" l="1"/>
  <c r="P681" i="55"/>
  <c r="O681" i="55"/>
  <c r="J681" i="55"/>
  <c r="R679" i="18"/>
  <c r="B680" i="18"/>
  <c r="E680" i="18"/>
  <c r="C682" i="55" l="1"/>
  <c r="O680" i="18"/>
  <c r="A681" i="18"/>
  <c r="D681" i="18" s="1"/>
  <c r="B683" i="55" s="1"/>
  <c r="A682" i="55"/>
  <c r="M680" i="18"/>
  <c r="K681" i="55"/>
  <c r="N681" i="55"/>
  <c r="M681" i="55"/>
  <c r="L681" i="55"/>
  <c r="R681" i="55"/>
  <c r="T681" i="55"/>
  <c r="U681" i="55"/>
  <c r="S681" i="55"/>
  <c r="Q681" i="55"/>
  <c r="L680" i="18"/>
  <c r="C680" i="18"/>
  <c r="K680" i="18" s="1"/>
  <c r="D682" i="55" s="1"/>
  <c r="P682" i="55" l="1"/>
  <c r="O682" i="55"/>
  <c r="J682" i="55"/>
  <c r="F682" i="55"/>
  <c r="R680" i="18"/>
  <c r="E681" i="18"/>
  <c r="B681" i="18"/>
  <c r="C683" i="55" l="1"/>
  <c r="O681" i="18"/>
  <c r="A682" i="18"/>
  <c r="D682" i="18" s="1"/>
  <c r="B684" i="55" s="1"/>
  <c r="A683" i="55"/>
  <c r="M681" i="18"/>
  <c r="L681" i="18"/>
  <c r="N682" i="55"/>
  <c r="K682" i="55"/>
  <c r="L682" i="55"/>
  <c r="M682" i="55"/>
  <c r="R682" i="55"/>
  <c r="T682" i="55"/>
  <c r="U682" i="55"/>
  <c r="S682" i="55"/>
  <c r="Q682" i="55"/>
  <c r="C681" i="18"/>
  <c r="K681" i="18" s="1"/>
  <c r="D683" i="55" s="1"/>
  <c r="P683" i="55" l="1"/>
  <c r="O683" i="55"/>
  <c r="J683" i="55"/>
  <c r="F683" i="55"/>
  <c r="R681" i="18"/>
  <c r="E682" i="18"/>
  <c r="B682" i="18"/>
  <c r="C684" i="55" l="1"/>
  <c r="O682" i="18"/>
  <c r="A683" i="18"/>
  <c r="A684" i="55"/>
  <c r="M682" i="18"/>
  <c r="M683" i="55"/>
  <c r="L683" i="55"/>
  <c r="N683" i="55"/>
  <c r="K683" i="55"/>
  <c r="R683" i="55"/>
  <c r="S683" i="55"/>
  <c r="T683" i="55"/>
  <c r="U683" i="55"/>
  <c r="Q683" i="55"/>
  <c r="L682" i="18"/>
  <c r="D683" i="18"/>
  <c r="B685" i="55" s="1"/>
  <c r="C682" i="18"/>
  <c r="K682" i="18" s="1"/>
  <c r="D684" i="55" s="1"/>
  <c r="P684" i="55" l="1"/>
  <c r="O684" i="55"/>
  <c r="J684" i="55"/>
  <c r="F684" i="55"/>
  <c r="R682" i="18"/>
  <c r="B683" i="18"/>
  <c r="E683" i="18"/>
  <c r="A684" i="18" l="1"/>
  <c r="A685" i="55"/>
  <c r="M683" i="18"/>
  <c r="N683" i="18"/>
  <c r="C685" i="55"/>
  <c r="O683" i="18"/>
  <c r="L683" i="18"/>
  <c r="M684" i="55"/>
  <c r="N684" i="55"/>
  <c r="K684" i="55"/>
  <c r="L684" i="55"/>
  <c r="R684" i="55"/>
  <c r="T684" i="55"/>
  <c r="U684" i="55"/>
  <c r="S684" i="55"/>
  <c r="Q684" i="55"/>
  <c r="D684" i="18"/>
  <c r="B686" i="55" s="1"/>
  <c r="C683" i="18"/>
  <c r="K683" i="18" s="1"/>
  <c r="D685" i="55" s="1"/>
  <c r="F685" i="55" l="1"/>
  <c r="E685" i="55"/>
  <c r="P685" i="55"/>
  <c r="J685" i="55"/>
  <c r="O685" i="55"/>
  <c r="R683" i="18"/>
  <c r="E684" i="18"/>
  <c r="B684" i="18"/>
  <c r="G685" i="55" l="1"/>
  <c r="H685" i="55" s="1"/>
  <c r="I685" i="55" s="1"/>
  <c r="A685" i="18"/>
  <c r="A686" i="55"/>
  <c r="M684" i="18"/>
  <c r="C686" i="55"/>
  <c r="O684" i="18"/>
  <c r="K685" i="55"/>
  <c r="M685" i="55"/>
  <c r="L685" i="55"/>
  <c r="N685" i="55"/>
  <c r="R685" i="55"/>
  <c r="T685" i="55"/>
  <c r="U685" i="55"/>
  <c r="S685" i="55"/>
  <c r="Q685" i="55"/>
  <c r="L684" i="18"/>
  <c r="N684" i="18"/>
  <c r="C684" i="18"/>
  <c r="K684" i="18" s="1"/>
  <c r="D686" i="55" s="1"/>
  <c r="D685" i="18"/>
  <c r="B687" i="55" s="1"/>
  <c r="E686" i="55" l="1"/>
  <c r="F686" i="55"/>
  <c r="P686" i="55"/>
  <c r="J686" i="55"/>
  <c r="O686" i="55"/>
  <c r="R684" i="18"/>
  <c r="B685" i="18"/>
  <c r="E685" i="18"/>
  <c r="G686" i="55" l="1"/>
  <c r="H686" i="55" s="1"/>
  <c r="I686" i="55" s="1"/>
  <c r="A686" i="18"/>
  <c r="A687" i="55"/>
  <c r="M685" i="18"/>
  <c r="C687" i="55"/>
  <c r="O685" i="18"/>
  <c r="N686" i="55"/>
  <c r="M686" i="55"/>
  <c r="L686" i="55"/>
  <c r="K686" i="55"/>
  <c r="R686" i="55"/>
  <c r="T686" i="55"/>
  <c r="U686" i="55"/>
  <c r="S686" i="55"/>
  <c r="Q686" i="55"/>
  <c r="L685" i="18"/>
  <c r="C685" i="18"/>
  <c r="K685" i="18" s="1"/>
  <c r="D687" i="55" s="1"/>
  <c r="D686" i="18"/>
  <c r="B688" i="55" s="1"/>
  <c r="F687" i="55" l="1"/>
  <c r="P687" i="55"/>
  <c r="J687" i="55"/>
  <c r="O687" i="55"/>
  <c r="R685" i="18"/>
  <c r="B686" i="18"/>
  <c r="E686" i="18"/>
  <c r="O686" i="18" l="1"/>
  <c r="C688" i="55"/>
  <c r="A687" i="18"/>
  <c r="D687" i="18" s="1"/>
  <c r="B689" i="55" s="1"/>
  <c r="A688" i="55"/>
  <c r="L686" i="18"/>
  <c r="M686" i="18"/>
  <c r="N687" i="55"/>
  <c r="M687" i="55"/>
  <c r="L687" i="55"/>
  <c r="K687" i="55"/>
  <c r="C686" i="18"/>
  <c r="K686" i="18" s="1"/>
  <c r="D688" i="55" s="1"/>
  <c r="F688" i="55" l="1"/>
  <c r="P688" i="55"/>
  <c r="O688" i="55"/>
  <c r="J688" i="55"/>
  <c r="R686" i="18"/>
  <c r="B687" i="18"/>
  <c r="E687" i="18"/>
  <c r="C689" i="55" l="1"/>
  <c r="O687" i="18"/>
  <c r="A688" i="18"/>
  <c r="D688" i="18" s="1"/>
  <c r="B690" i="55" s="1"/>
  <c r="A689" i="55"/>
  <c r="M687" i="18"/>
  <c r="L687" i="18"/>
  <c r="C687" i="18"/>
  <c r="K687" i="18" s="1"/>
  <c r="D689" i="55" s="1"/>
  <c r="F689" i="55" l="1"/>
  <c r="P689" i="55"/>
  <c r="O689" i="55"/>
  <c r="J689" i="55"/>
  <c r="R687" i="18"/>
  <c r="B688" i="18"/>
  <c r="E688" i="18"/>
  <c r="R689" i="55" l="1"/>
  <c r="D157" i="59" s="1"/>
  <c r="C690" i="55"/>
  <c r="O688" i="18"/>
  <c r="A689" i="18"/>
  <c r="D689" i="18" s="1"/>
  <c r="B691" i="55" s="1"/>
  <c r="A690" i="55"/>
  <c r="M688" i="18"/>
  <c r="N689" i="55"/>
  <c r="M689" i="55"/>
  <c r="L689" i="55"/>
  <c r="K689" i="55"/>
  <c r="L688" i="18"/>
  <c r="C688" i="18"/>
  <c r="K688" i="18" s="1"/>
  <c r="D690" i="55" s="1"/>
  <c r="F690" i="55" l="1"/>
  <c r="P690" i="55"/>
  <c r="J690" i="55"/>
  <c r="O690" i="55"/>
  <c r="R688" i="18"/>
  <c r="B689" i="18"/>
  <c r="E689" i="18"/>
  <c r="R690" i="55" l="1"/>
  <c r="D158" i="59" s="1"/>
  <c r="C691" i="55"/>
  <c r="O689" i="18"/>
  <c r="A690" i="18"/>
  <c r="D690" i="18" s="1"/>
  <c r="B692" i="55" s="1"/>
  <c r="A691" i="55"/>
  <c r="M689" i="18"/>
  <c r="N690" i="55"/>
  <c r="M690" i="55"/>
  <c r="L690" i="55"/>
  <c r="K690" i="55"/>
  <c r="L689" i="18"/>
  <c r="C689" i="18"/>
  <c r="K689" i="18" s="1"/>
  <c r="D691" i="55" s="1"/>
  <c r="F691" i="55" l="1"/>
  <c r="P691" i="55"/>
  <c r="O691" i="55"/>
  <c r="J691" i="55"/>
  <c r="R689" i="18"/>
  <c r="B690" i="18"/>
  <c r="E690" i="18"/>
  <c r="C692" i="55" l="1"/>
  <c r="O690" i="18"/>
  <c r="A691" i="18"/>
  <c r="D691" i="18" s="1"/>
  <c r="B693" i="55" s="1"/>
  <c r="A692" i="55"/>
  <c r="M690" i="18"/>
  <c r="K691" i="55"/>
  <c r="M691" i="55"/>
  <c r="N691" i="55"/>
  <c r="L691" i="55"/>
  <c r="R691" i="55"/>
  <c r="T691" i="55"/>
  <c r="U691" i="55"/>
  <c r="S691" i="55"/>
  <c r="Q691" i="55"/>
  <c r="L690" i="18"/>
  <c r="C690" i="18"/>
  <c r="K690" i="18" s="1"/>
  <c r="D692" i="55" s="1"/>
  <c r="F692" i="55" l="1"/>
  <c r="P692" i="55"/>
  <c r="J692" i="55"/>
  <c r="O692" i="55"/>
  <c r="R690" i="18"/>
  <c r="E691" i="18"/>
  <c r="B691" i="18"/>
  <c r="A692" i="18" l="1"/>
  <c r="A693" i="55"/>
  <c r="M691" i="18"/>
  <c r="O691" i="18"/>
  <c r="C693" i="55"/>
  <c r="L691" i="18"/>
  <c r="N692" i="55"/>
  <c r="M692" i="55"/>
  <c r="L692" i="55"/>
  <c r="K692" i="55"/>
  <c r="R692" i="55"/>
  <c r="T692" i="55"/>
  <c r="U692" i="55"/>
  <c r="S692" i="55"/>
  <c r="Q692" i="55"/>
  <c r="C691" i="18"/>
  <c r="K691" i="18" s="1"/>
  <c r="D693" i="55" s="1"/>
  <c r="D692" i="18"/>
  <c r="B694" i="55" s="1"/>
  <c r="F693" i="55" l="1"/>
  <c r="P693" i="55"/>
  <c r="O693" i="55"/>
  <c r="J693" i="55"/>
  <c r="R691" i="18"/>
  <c r="B692" i="18"/>
  <c r="E692" i="18"/>
  <c r="C694" i="55" l="1"/>
  <c r="O692" i="18"/>
  <c r="A693" i="18"/>
  <c r="D693" i="18" s="1"/>
  <c r="B695" i="55" s="1"/>
  <c r="A694" i="55"/>
  <c r="M692" i="18"/>
  <c r="N693" i="55"/>
  <c r="M693" i="55"/>
  <c r="L693" i="55"/>
  <c r="K693" i="55"/>
  <c r="R693" i="55"/>
  <c r="U693" i="55"/>
  <c r="T693" i="55"/>
  <c r="S693" i="55"/>
  <c r="Q693" i="55"/>
  <c r="L692" i="18"/>
  <c r="C692" i="18"/>
  <c r="K692" i="18" s="1"/>
  <c r="D694" i="55" s="1"/>
  <c r="F694" i="55" l="1"/>
  <c r="P694" i="55"/>
  <c r="O694" i="55"/>
  <c r="J694" i="55"/>
  <c r="R692" i="18"/>
  <c r="B693" i="18"/>
  <c r="E693" i="18"/>
  <c r="C695" i="55" l="1"/>
  <c r="O693" i="18"/>
  <c r="A694" i="18"/>
  <c r="D694" i="18" s="1"/>
  <c r="B696" i="55" s="1"/>
  <c r="A695" i="55"/>
  <c r="M693" i="18"/>
  <c r="L693" i="18"/>
  <c r="N694" i="55"/>
  <c r="M694" i="55"/>
  <c r="L694" i="55"/>
  <c r="K694" i="55"/>
  <c r="R694" i="55"/>
  <c r="T694" i="55"/>
  <c r="S694" i="55"/>
  <c r="U694" i="55"/>
  <c r="Q694" i="55"/>
  <c r="C693" i="18"/>
  <c r="K693" i="18" s="1"/>
  <c r="D695" i="55" s="1"/>
  <c r="F695" i="55" l="1"/>
  <c r="P695" i="55"/>
  <c r="J695" i="55"/>
  <c r="O695" i="55"/>
  <c r="R693" i="18"/>
  <c r="B694" i="18"/>
  <c r="E694" i="18"/>
  <c r="C696" i="55" l="1"/>
  <c r="O694" i="18"/>
  <c r="A695" i="18"/>
  <c r="D695" i="18" s="1"/>
  <c r="B697" i="55" s="1"/>
  <c r="A696" i="55"/>
  <c r="M694" i="18"/>
  <c r="N695" i="55"/>
  <c r="M695" i="55"/>
  <c r="L695" i="55"/>
  <c r="K695" i="55"/>
  <c r="R695" i="55"/>
  <c r="U695" i="55"/>
  <c r="S695" i="55"/>
  <c r="T695" i="55"/>
  <c r="Q695" i="55"/>
  <c r="L694" i="18"/>
  <c r="C694" i="18"/>
  <c r="K694" i="18" s="1"/>
  <c r="D696" i="55" s="1"/>
  <c r="F696" i="55" l="1"/>
  <c r="P696" i="55"/>
  <c r="J696" i="55"/>
  <c r="O696" i="55"/>
  <c r="R694" i="18"/>
  <c r="E695" i="18"/>
  <c r="B695" i="18"/>
  <c r="C697" i="55" l="1"/>
  <c r="O695" i="18"/>
  <c r="A696" i="18"/>
  <c r="D696" i="18" s="1"/>
  <c r="B698" i="55" s="1"/>
  <c r="A697" i="55"/>
  <c r="M695" i="18"/>
  <c r="M696" i="55"/>
  <c r="K696" i="55"/>
  <c r="N696" i="55"/>
  <c r="L696" i="55"/>
  <c r="R696" i="55"/>
  <c r="S696" i="55"/>
  <c r="T696" i="55"/>
  <c r="U696" i="55"/>
  <c r="Q696" i="55"/>
  <c r="L695" i="18"/>
  <c r="C695" i="18"/>
  <c r="K695" i="18" s="1"/>
  <c r="D697" i="55" s="1"/>
  <c r="F697" i="55" l="1"/>
  <c r="P697" i="55"/>
  <c r="O697" i="55"/>
  <c r="J697" i="55"/>
  <c r="R695" i="18"/>
  <c r="B696" i="18"/>
  <c r="E696" i="18"/>
  <c r="C698" i="55" l="1"/>
  <c r="O696" i="18"/>
  <c r="A697" i="18"/>
  <c r="D697" i="18" s="1"/>
  <c r="B699" i="55" s="1"/>
  <c r="A698" i="55"/>
  <c r="M696" i="18"/>
  <c r="L696" i="18"/>
  <c r="L697" i="55"/>
  <c r="K697" i="55"/>
  <c r="N697" i="55"/>
  <c r="M697" i="55"/>
  <c r="R697" i="55"/>
  <c r="T697" i="55"/>
  <c r="U697" i="55"/>
  <c r="S697" i="55"/>
  <c r="Q697" i="55"/>
  <c r="C696" i="18"/>
  <c r="K696" i="18" s="1"/>
  <c r="D698" i="55" s="1"/>
  <c r="F698" i="55" l="1"/>
  <c r="P698" i="55"/>
  <c r="O698" i="55"/>
  <c r="J698" i="55"/>
  <c r="R696" i="18"/>
  <c r="B697" i="18"/>
  <c r="E697" i="18"/>
  <c r="C699" i="55" l="1"/>
  <c r="O697" i="18"/>
  <c r="A698" i="18"/>
  <c r="D698" i="18" s="1"/>
  <c r="B700" i="55" s="1"/>
  <c r="A699" i="55"/>
  <c r="M697" i="18"/>
  <c r="N698" i="55"/>
  <c r="M698" i="55"/>
  <c r="L698" i="55"/>
  <c r="K698" i="55"/>
  <c r="R698" i="55"/>
  <c r="T698" i="55"/>
  <c r="U698" i="55"/>
  <c r="S698" i="55"/>
  <c r="Q698" i="55"/>
  <c r="L697" i="18"/>
  <c r="C697" i="18"/>
  <c r="K697" i="18" s="1"/>
  <c r="D699" i="55" s="1"/>
  <c r="F699" i="55" l="1"/>
  <c r="P699" i="55"/>
  <c r="J699" i="55"/>
  <c r="O699" i="55"/>
  <c r="R697" i="18"/>
  <c r="B698" i="18"/>
  <c r="E698" i="18"/>
  <c r="O698" i="18" l="1"/>
  <c r="C700" i="55"/>
  <c r="A699" i="18"/>
  <c r="D699" i="18" s="1"/>
  <c r="B701" i="55" s="1"/>
  <c r="A700" i="55"/>
  <c r="M698" i="18"/>
  <c r="N699" i="55"/>
  <c r="M699" i="55"/>
  <c r="L699" i="55"/>
  <c r="K699" i="55"/>
  <c r="R699" i="55"/>
  <c r="S699" i="55"/>
  <c r="T699" i="55"/>
  <c r="U699" i="55"/>
  <c r="Q699" i="55"/>
  <c r="L698" i="18"/>
  <c r="C698" i="18"/>
  <c r="K698" i="18" s="1"/>
  <c r="D700" i="55" s="1"/>
  <c r="F700" i="55" l="1"/>
  <c r="P700" i="55"/>
  <c r="O700" i="55"/>
  <c r="J700" i="55"/>
  <c r="R698" i="18"/>
  <c r="B699" i="18"/>
  <c r="E699" i="18"/>
  <c r="C701" i="55" l="1"/>
  <c r="O699" i="18"/>
  <c r="A700" i="18"/>
  <c r="D700" i="18" s="1"/>
  <c r="B702" i="55" s="1"/>
  <c r="A701" i="55"/>
  <c r="M699" i="18"/>
  <c r="L699" i="18"/>
  <c r="M700" i="55"/>
  <c r="K700" i="55"/>
  <c r="N700" i="55"/>
  <c r="L700" i="55"/>
  <c r="T700" i="55"/>
  <c r="R700" i="55"/>
  <c r="U700" i="55"/>
  <c r="S700" i="55"/>
  <c r="Q700" i="55"/>
  <c r="C699" i="18"/>
  <c r="K699" i="18" s="1"/>
  <c r="D701" i="55" s="1"/>
  <c r="F701" i="55" l="1"/>
  <c r="P701" i="55"/>
  <c r="O701" i="55"/>
  <c r="J701" i="55"/>
  <c r="R699" i="18"/>
  <c r="B700" i="18"/>
  <c r="E700" i="18"/>
  <c r="C702" i="55" l="1"/>
  <c r="O700" i="18"/>
  <c r="A701" i="18"/>
  <c r="A702" i="55"/>
  <c r="M700" i="18"/>
  <c r="N701" i="55"/>
  <c r="M701" i="55"/>
  <c r="K701" i="55"/>
  <c r="L701" i="55"/>
  <c r="R701" i="55"/>
  <c r="S701" i="55"/>
  <c r="T701" i="55"/>
  <c r="U701" i="55"/>
  <c r="Q701" i="55"/>
  <c r="L700" i="18"/>
  <c r="D701" i="18"/>
  <c r="B703" i="55" s="1"/>
  <c r="C700" i="18"/>
  <c r="K700" i="18" s="1"/>
  <c r="D702" i="55" s="1"/>
  <c r="F702" i="55" l="1"/>
  <c r="P702" i="55"/>
  <c r="O702" i="55"/>
  <c r="J702" i="55"/>
  <c r="R700" i="18"/>
  <c r="B701" i="18"/>
  <c r="E701" i="18"/>
  <c r="C703" i="55" l="1"/>
  <c r="O701" i="18"/>
  <c r="A702" i="18"/>
  <c r="D702" i="18" s="1"/>
  <c r="B704" i="55" s="1"/>
  <c r="A703" i="55"/>
  <c r="M701" i="18"/>
  <c r="N702" i="55"/>
  <c r="M702" i="55"/>
  <c r="L702" i="55"/>
  <c r="K702" i="55"/>
  <c r="R702" i="55"/>
  <c r="U702" i="55"/>
  <c r="T702" i="55"/>
  <c r="S702" i="55"/>
  <c r="Q702" i="55"/>
  <c r="L701" i="18"/>
  <c r="C701" i="18"/>
  <c r="K701" i="18" s="1"/>
  <c r="D703" i="55" s="1"/>
  <c r="F703" i="55" l="1"/>
  <c r="P703" i="55"/>
  <c r="O703" i="55"/>
  <c r="J703" i="55"/>
  <c r="R701" i="18"/>
  <c r="E702" i="18"/>
  <c r="B702" i="18"/>
  <c r="A703" i="18" l="1"/>
  <c r="A704" i="55"/>
  <c r="M702" i="18"/>
  <c r="C704" i="55"/>
  <c r="O702" i="18"/>
  <c r="L702" i="18"/>
  <c r="N703" i="55"/>
  <c r="L703" i="55"/>
  <c r="M703" i="55"/>
  <c r="K703" i="55"/>
  <c r="R703" i="55"/>
  <c r="T703" i="55"/>
  <c r="U703" i="55"/>
  <c r="S703" i="55"/>
  <c r="Q703" i="55"/>
  <c r="C702" i="18"/>
  <c r="K702" i="18" s="1"/>
  <c r="D704" i="55" s="1"/>
  <c r="D703" i="18"/>
  <c r="B705" i="55" s="1"/>
  <c r="F704" i="55" l="1"/>
  <c r="P704" i="55"/>
  <c r="J704" i="55"/>
  <c r="O704" i="55"/>
  <c r="R702" i="18"/>
  <c r="B703" i="18"/>
  <c r="E703" i="18"/>
  <c r="C705" i="55" l="1"/>
  <c r="O703" i="18"/>
  <c r="A704" i="18"/>
  <c r="A705" i="55"/>
  <c r="M703" i="18"/>
  <c r="L704" i="55"/>
  <c r="N704" i="55"/>
  <c r="M704" i="55"/>
  <c r="K704" i="55"/>
  <c r="R704" i="55"/>
  <c r="T704" i="55"/>
  <c r="U704" i="55"/>
  <c r="S704" i="55"/>
  <c r="Q704" i="55"/>
  <c r="L703" i="18"/>
  <c r="D704" i="18"/>
  <c r="B706" i="55" s="1"/>
  <c r="C703" i="18"/>
  <c r="K703" i="18" s="1"/>
  <c r="D705" i="55" s="1"/>
  <c r="P705" i="55" l="1"/>
  <c r="O705" i="55"/>
  <c r="J705" i="55"/>
  <c r="F705" i="55"/>
  <c r="R703" i="18"/>
  <c r="E704" i="18"/>
  <c r="B704" i="18"/>
  <c r="A705" i="18" l="1"/>
  <c r="A706" i="55"/>
  <c r="M704" i="18"/>
  <c r="L704" i="18"/>
  <c r="C706" i="55"/>
  <c r="O704" i="18"/>
  <c r="L705" i="55"/>
  <c r="N705" i="55"/>
  <c r="M705" i="55"/>
  <c r="K705" i="55"/>
  <c r="D705" i="18"/>
  <c r="B707" i="55" s="1"/>
  <c r="C704" i="18"/>
  <c r="K704" i="18" s="1"/>
  <c r="D706" i="55" s="1"/>
  <c r="F706" i="55" l="1"/>
  <c r="P706" i="55"/>
  <c r="J706" i="55"/>
  <c r="O706" i="55"/>
  <c r="R704" i="18"/>
  <c r="E705" i="18"/>
  <c r="B705" i="18"/>
  <c r="A706" i="18" l="1"/>
  <c r="A707" i="55"/>
  <c r="M705" i="18"/>
  <c r="C707" i="55"/>
  <c r="O705" i="18"/>
  <c r="N706" i="55"/>
  <c r="L706" i="55"/>
  <c r="M706" i="55"/>
  <c r="K706" i="55"/>
  <c r="L705" i="18"/>
  <c r="C705" i="18"/>
  <c r="K705" i="18" s="1"/>
  <c r="D707" i="55" s="1"/>
  <c r="D706" i="18"/>
  <c r="B708" i="55" s="1"/>
  <c r="F707" i="55" l="1"/>
  <c r="P707" i="55"/>
  <c r="O707" i="55"/>
  <c r="J707" i="55"/>
  <c r="R705" i="18"/>
  <c r="B706" i="18"/>
  <c r="E706" i="18"/>
  <c r="R707" i="55" l="1"/>
  <c r="D161" i="59" s="1"/>
  <c r="C708" i="55"/>
  <c r="O706" i="18"/>
  <c r="A707" i="18"/>
  <c r="D707" i="18" s="1"/>
  <c r="B709" i="55" s="1"/>
  <c r="A708" i="55"/>
  <c r="M706" i="18"/>
  <c r="N707" i="55"/>
  <c r="M707" i="55"/>
  <c r="L707" i="55"/>
  <c r="K707" i="55"/>
  <c r="L706" i="18"/>
  <c r="C706" i="18"/>
  <c r="K706" i="18" s="1"/>
  <c r="D708" i="55" s="1"/>
  <c r="P708" i="55" l="1"/>
  <c r="O708" i="55"/>
  <c r="J708" i="55"/>
  <c r="F708" i="55"/>
  <c r="R706" i="18"/>
  <c r="B707" i="18"/>
  <c r="E707" i="18"/>
  <c r="R708" i="55" l="1"/>
  <c r="D162" i="59" s="1"/>
  <c r="A708" i="18"/>
  <c r="A709" i="55"/>
  <c r="M707" i="18"/>
  <c r="C709" i="55"/>
  <c r="O707" i="18"/>
  <c r="N708" i="55"/>
  <c r="M708" i="55"/>
  <c r="L708" i="55"/>
  <c r="K708" i="55"/>
  <c r="L707" i="18"/>
  <c r="D708" i="18"/>
  <c r="B710" i="55" s="1"/>
  <c r="C707" i="18"/>
  <c r="K707" i="18" s="1"/>
  <c r="D709" i="55" s="1"/>
  <c r="F709" i="55" l="1"/>
  <c r="P709" i="55"/>
  <c r="O709" i="55"/>
  <c r="J709" i="55"/>
  <c r="R707" i="18"/>
  <c r="B708" i="18"/>
  <c r="E708" i="18"/>
  <c r="C710" i="55" l="1"/>
  <c r="O708" i="18"/>
  <c r="A709" i="18"/>
  <c r="D709" i="18" s="1"/>
  <c r="B711" i="55" s="1"/>
  <c r="A710" i="55"/>
  <c r="M708" i="18"/>
  <c r="N709" i="55"/>
  <c r="M709" i="55"/>
  <c r="L709" i="55"/>
  <c r="K709" i="55"/>
  <c r="R709" i="55"/>
  <c r="T709" i="55"/>
  <c r="U709" i="55"/>
  <c r="S709" i="55"/>
  <c r="Q709" i="55"/>
  <c r="L708" i="18"/>
  <c r="C708" i="18"/>
  <c r="K708" i="18" s="1"/>
  <c r="D710" i="55" s="1"/>
  <c r="P710" i="55" l="1"/>
  <c r="J710" i="55"/>
  <c r="O710" i="55"/>
  <c r="F710" i="55"/>
  <c r="R708" i="18"/>
  <c r="B709" i="18"/>
  <c r="E709" i="18"/>
  <c r="C711" i="55" l="1"/>
  <c r="O709" i="18"/>
  <c r="A710" i="18"/>
  <c r="D710" i="18" s="1"/>
  <c r="B712" i="55" s="1"/>
  <c r="A711" i="55"/>
  <c r="M709" i="18"/>
  <c r="L709" i="18"/>
  <c r="N710" i="55"/>
  <c r="M710" i="55"/>
  <c r="L710" i="55"/>
  <c r="K710" i="55"/>
  <c r="T710" i="55"/>
  <c r="R710" i="55"/>
  <c r="U710" i="55"/>
  <c r="S710" i="55"/>
  <c r="Q710" i="55"/>
  <c r="C709" i="18"/>
  <c r="K709" i="18" s="1"/>
  <c r="D711" i="55" s="1"/>
  <c r="P711" i="55" l="1"/>
  <c r="J711" i="55"/>
  <c r="O711" i="55"/>
  <c r="F711" i="55"/>
  <c r="R709" i="18"/>
  <c r="B710" i="18"/>
  <c r="E710" i="18"/>
  <c r="C712" i="55" l="1"/>
  <c r="O710" i="18"/>
  <c r="A711" i="18"/>
  <c r="A712" i="55"/>
  <c r="M710" i="18"/>
  <c r="N711" i="55"/>
  <c r="M711" i="55"/>
  <c r="L711" i="55"/>
  <c r="K711" i="55"/>
  <c r="R711" i="55"/>
  <c r="S711" i="55"/>
  <c r="T711" i="55"/>
  <c r="U711" i="55"/>
  <c r="Q711" i="55"/>
  <c r="L710" i="18"/>
  <c r="D711" i="18"/>
  <c r="B713" i="55" s="1"/>
  <c r="C710" i="18"/>
  <c r="K710" i="18" s="1"/>
  <c r="D712" i="55" s="1"/>
  <c r="P712" i="55" l="1"/>
  <c r="O712" i="55"/>
  <c r="J712" i="55"/>
  <c r="F712" i="55"/>
  <c r="R710" i="18"/>
  <c r="E711" i="18"/>
  <c r="B711" i="18"/>
  <c r="C713" i="55" l="1"/>
  <c r="O711" i="18"/>
  <c r="A712" i="18"/>
  <c r="A713" i="55"/>
  <c r="M711" i="18"/>
  <c r="L711" i="18"/>
  <c r="N712" i="55"/>
  <c r="L712" i="55"/>
  <c r="M712" i="55"/>
  <c r="K712" i="55"/>
  <c r="R712" i="55"/>
  <c r="S712" i="55"/>
  <c r="T712" i="55"/>
  <c r="U712" i="55"/>
  <c r="Q712" i="55"/>
  <c r="D712" i="18"/>
  <c r="B714" i="55" s="1"/>
  <c r="C711" i="18"/>
  <c r="K711" i="18" s="1"/>
  <c r="D713" i="55" s="1"/>
  <c r="P713" i="55" l="1"/>
  <c r="O713" i="55"/>
  <c r="J713" i="55"/>
  <c r="F713" i="55"/>
  <c r="R711" i="18"/>
  <c r="B712" i="18"/>
  <c r="E712" i="18"/>
  <c r="C714" i="55" l="1"/>
  <c r="O712" i="18"/>
  <c r="A713" i="18"/>
  <c r="D713" i="18" s="1"/>
  <c r="B715" i="55" s="1"/>
  <c r="A714" i="55"/>
  <c r="M712" i="18"/>
  <c r="M713" i="55"/>
  <c r="K713" i="55"/>
  <c r="N713" i="55"/>
  <c r="L713" i="55"/>
  <c r="R713" i="55"/>
  <c r="T713" i="55"/>
  <c r="S713" i="55"/>
  <c r="U713" i="55"/>
  <c r="Q713" i="55"/>
  <c r="L712" i="18"/>
  <c r="C712" i="18"/>
  <c r="K712" i="18" s="1"/>
  <c r="D714" i="55" s="1"/>
  <c r="P714" i="55" l="1"/>
  <c r="O714" i="55"/>
  <c r="J714" i="55"/>
  <c r="F714" i="55"/>
  <c r="R712" i="18"/>
  <c r="B713" i="18"/>
  <c r="E713" i="18"/>
  <c r="A714" i="18" l="1"/>
  <c r="A715" i="55"/>
  <c r="M713" i="18"/>
  <c r="C715" i="55"/>
  <c r="O713" i="18"/>
  <c r="L713" i="18"/>
  <c r="N714" i="55"/>
  <c r="M714" i="55"/>
  <c r="L714" i="55"/>
  <c r="K714" i="55"/>
  <c r="R714" i="55"/>
  <c r="T714" i="55"/>
  <c r="U714" i="55"/>
  <c r="S714" i="55"/>
  <c r="Q714" i="55"/>
  <c r="C713" i="18"/>
  <c r="K713" i="18" s="1"/>
  <c r="D715" i="55" s="1"/>
  <c r="D714" i="18"/>
  <c r="B716" i="55" s="1"/>
  <c r="F715" i="55" l="1"/>
  <c r="P715" i="55"/>
  <c r="O715" i="55"/>
  <c r="J715" i="55"/>
  <c r="R713" i="18"/>
  <c r="B714" i="18"/>
  <c r="E714" i="18"/>
  <c r="A715" i="18" l="1"/>
  <c r="A716" i="55"/>
  <c r="M714" i="18"/>
  <c r="C716" i="55"/>
  <c r="O714" i="18"/>
  <c r="M715" i="55"/>
  <c r="N715" i="55"/>
  <c r="L715" i="55"/>
  <c r="K715" i="55"/>
  <c r="R715" i="55"/>
  <c r="T715" i="55"/>
  <c r="U715" i="55"/>
  <c r="S715" i="55"/>
  <c r="Q715" i="55"/>
  <c r="L714" i="18"/>
  <c r="D715" i="18"/>
  <c r="B717" i="55" s="1"/>
  <c r="C714" i="18"/>
  <c r="K714" i="18" s="1"/>
  <c r="D716" i="55" s="1"/>
  <c r="F716" i="55" l="1"/>
  <c r="P716" i="55"/>
  <c r="O716" i="55"/>
  <c r="J716" i="55"/>
  <c r="R714" i="18"/>
  <c r="E715" i="18"/>
  <c r="B715" i="18"/>
  <c r="A716" i="18" l="1"/>
  <c r="D716" i="18" s="1"/>
  <c r="B718" i="55" s="1"/>
  <c r="A717" i="55"/>
  <c r="M715" i="18"/>
  <c r="C717" i="55"/>
  <c r="O715" i="18"/>
  <c r="K716" i="55"/>
  <c r="M716" i="55"/>
  <c r="N716" i="55"/>
  <c r="L716" i="55"/>
  <c r="R716" i="55"/>
  <c r="T716" i="55"/>
  <c r="U716" i="55"/>
  <c r="S716" i="55"/>
  <c r="Q716" i="55"/>
  <c r="L715" i="18"/>
  <c r="C715" i="18"/>
  <c r="K715" i="18" s="1"/>
  <c r="D717" i="55" s="1"/>
  <c r="F717" i="55" l="1"/>
  <c r="P717" i="55"/>
  <c r="J717" i="55"/>
  <c r="O717" i="55"/>
  <c r="R715" i="18"/>
  <c r="B716" i="18"/>
  <c r="E716" i="18"/>
  <c r="C718" i="55" l="1"/>
  <c r="O716" i="18"/>
  <c r="A717" i="18"/>
  <c r="D717" i="18" s="1"/>
  <c r="B719" i="55" s="1"/>
  <c r="A718" i="55"/>
  <c r="M716" i="18"/>
  <c r="M717" i="55"/>
  <c r="K717" i="55"/>
  <c r="N717" i="55"/>
  <c r="L717" i="55"/>
  <c r="R717" i="55"/>
  <c r="T717" i="55"/>
  <c r="U717" i="55"/>
  <c r="S717" i="55"/>
  <c r="Q717" i="55"/>
  <c r="L716" i="18"/>
  <c r="C716" i="18"/>
  <c r="K716" i="18" s="1"/>
  <c r="D718" i="55" s="1"/>
  <c r="P718" i="55" l="1"/>
  <c r="J718" i="55"/>
  <c r="O718" i="55"/>
  <c r="F718" i="55"/>
  <c r="R716" i="18"/>
  <c r="E717" i="18"/>
  <c r="B717" i="18"/>
  <c r="C719" i="55" l="1"/>
  <c r="O717" i="18"/>
  <c r="A718" i="18"/>
  <c r="D718" i="18" s="1"/>
  <c r="B720" i="55" s="1"/>
  <c r="A719" i="55"/>
  <c r="M717" i="18"/>
  <c r="L717" i="18"/>
  <c r="N718" i="55"/>
  <c r="L718" i="55"/>
  <c r="M718" i="55"/>
  <c r="K718" i="55"/>
  <c r="R718" i="55"/>
  <c r="S718" i="55"/>
  <c r="T718" i="55"/>
  <c r="U718" i="55"/>
  <c r="Q718" i="55"/>
  <c r="C717" i="18"/>
  <c r="K717" i="18" s="1"/>
  <c r="D719" i="55" s="1"/>
  <c r="P719" i="55" l="1"/>
  <c r="O719" i="55"/>
  <c r="J719" i="55"/>
  <c r="F719" i="55"/>
  <c r="R717" i="18"/>
  <c r="E718" i="18"/>
  <c r="B718" i="18"/>
  <c r="C720" i="55" l="1"/>
  <c r="O718" i="18"/>
  <c r="A719" i="18"/>
  <c r="D719" i="18" s="1"/>
  <c r="B721" i="55" s="1"/>
  <c r="A720" i="55"/>
  <c r="M718" i="18"/>
  <c r="N719" i="55"/>
  <c r="M719" i="55"/>
  <c r="L719" i="55"/>
  <c r="K719" i="55"/>
  <c r="R719" i="55"/>
  <c r="T719" i="55"/>
  <c r="S719" i="55"/>
  <c r="U719" i="55"/>
  <c r="Q719" i="55"/>
  <c r="L718" i="18"/>
  <c r="N718" i="18"/>
  <c r="C718" i="18"/>
  <c r="K718" i="18" s="1"/>
  <c r="D720" i="55" s="1"/>
  <c r="E720" i="55" l="1"/>
  <c r="P720" i="55"/>
  <c r="O720" i="55"/>
  <c r="J720" i="55"/>
  <c r="F720" i="55"/>
  <c r="R718" i="18"/>
  <c r="B719" i="18"/>
  <c r="E719" i="18"/>
  <c r="G720" i="55" l="1"/>
  <c r="H720" i="55" s="1"/>
  <c r="I720" i="55" s="1"/>
  <c r="A720" i="18"/>
  <c r="A721" i="55"/>
  <c r="M719" i="18"/>
  <c r="C721" i="55"/>
  <c r="O719" i="18"/>
  <c r="L719" i="18"/>
  <c r="L720" i="55"/>
  <c r="K720" i="55"/>
  <c r="M720" i="55"/>
  <c r="N720" i="55"/>
  <c r="R720" i="55"/>
  <c r="T720" i="55"/>
  <c r="S720" i="55"/>
  <c r="U720" i="55"/>
  <c r="Q720" i="55"/>
  <c r="C719" i="18"/>
  <c r="K719" i="18" s="1"/>
  <c r="D721" i="55" s="1"/>
  <c r="D720" i="18"/>
  <c r="B722" i="55" s="1"/>
  <c r="F721" i="55" l="1"/>
  <c r="P721" i="55"/>
  <c r="J721" i="55"/>
  <c r="O721" i="55"/>
  <c r="R719" i="18"/>
  <c r="B720" i="18"/>
  <c r="E720" i="18"/>
  <c r="A721" i="18" l="1"/>
  <c r="D721" i="18" s="1"/>
  <c r="B723" i="55" s="1"/>
  <c r="A722" i="55"/>
  <c r="M720" i="18"/>
  <c r="N720" i="18"/>
  <c r="C722" i="55"/>
  <c r="O720" i="18"/>
  <c r="N721" i="55"/>
  <c r="L721" i="55"/>
  <c r="K721" i="55"/>
  <c r="M721" i="55"/>
  <c r="R721" i="55"/>
  <c r="T721" i="55"/>
  <c r="U721" i="55"/>
  <c r="S721" i="55"/>
  <c r="Q721" i="55"/>
  <c r="L720" i="18"/>
  <c r="C720" i="18"/>
  <c r="K720" i="18" s="1"/>
  <c r="D722" i="55" s="1"/>
  <c r="F722" i="55" l="1"/>
  <c r="E722" i="55"/>
  <c r="P722" i="55"/>
  <c r="O722" i="55"/>
  <c r="J722" i="55"/>
  <c r="R720" i="18"/>
  <c r="E721" i="18"/>
  <c r="B721" i="18"/>
  <c r="G722" i="55" l="1"/>
  <c r="H722" i="55" s="1"/>
  <c r="I722" i="55" s="1"/>
  <c r="C723" i="55"/>
  <c r="O721" i="18"/>
  <c r="A722" i="18"/>
  <c r="D722" i="18" s="1"/>
  <c r="B724" i="55" s="1"/>
  <c r="A723" i="55"/>
  <c r="M721" i="18"/>
  <c r="N722" i="55"/>
  <c r="L722" i="55"/>
  <c r="K722" i="55"/>
  <c r="M722" i="55"/>
  <c r="R722" i="55"/>
  <c r="T722" i="55"/>
  <c r="U722" i="55"/>
  <c r="S722" i="55"/>
  <c r="Q722" i="55"/>
  <c r="L721" i="18"/>
  <c r="C721" i="18"/>
  <c r="K721" i="18" s="1"/>
  <c r="D723" i="55" s="1"/>
  <c r="P723" i="55" l="1"/>
  <c r="J723" i="55"/>
  <c r="O723" i="55"/>
  <c r="F723" i="55"/>
  <c r="R721" i="18"/>
  <c r="B722" i="18"/>
  <c r="E722" i="18"/>
  <c r="A723" i="18" l="1"/>
  <c r="L722" i="18"/>
  <c r="M722" i="18"/>
  <c r="A724" i="55"/>
  <c r="O722" i="18"/>
  <c r="C724" i="55"/>
  <c r="N723" i="55"/>
  <c r="M723" i="55"/>
  <c r="L723" i="55"/>
  <c r="K723" i="55"/>
  <c r="D723" i="18"/>
  <c r="B725" i="55" s="1"/>
  <c r="C722" i="18"/>
  <c r="K722" i="18" s="1"/>
  <c r="D724" i="55" s="1"/>
  <c r="P724" i="55" l="1"/>
  <c r="J724" i="55"/>
  <c r="O724" i="55"/>
  <c r="F724" i="55"/>
  <c r="R722" i="18"/>
  <c r="E723" i="18"/>
  <c r="B723" i="18"/>
  <c r="A724" i="18" l="1"/>
  <c r="D724" i="18" s="1"/>
  <c r="B726" i="55" s="1"/>
  <c r="A725" i="55"/>
  <c r="M723" i="18"/>
  <c r="C725" i="55"/>
  <c r="O723" i="18"/>
  <c r="L723" i="18"/>
  <c r="C723" i="18"/>
  <c r="K723" i="18" s="1"/>
  <c r="D725" i="55" s="1"/>
  <c r="F725" i="55" l="1"/>
  <c r="P725" i="55"/>
  <c r="O725" i="55"/>
  <c r="J725" i="55"/>
  <c r="R723" i="18"/>
  <c r="B724" i="18"/>
  <c r="E724" i="18"/>
  <c r="A725" i="18" l="1"/>
  <c r="D725" i="18" s="1"/>
  <c r="B727" i="55" s="1"/>
  <c r="A726" i="55"/>
  <c r="C726" i="55"/>
  <c r="O724" i="18"/>
  <c r="N725" i="55"/>
  <c r="M725" i="55"/>
  <c r="K725" i="55"/>
  <c r="L725" i="55"/>
  <c r="R725" i="55"/>
  <c r="D165" i="59" s="1"/>
  <c r="M724" i="18"/>
  <c r="L724" i="18"/>
  <c r="C724" i="18"/>
  <c r="K724" i="18" s="1"/>
  <c r="D726" i="55" s="1"/>
  <c r="F726" i="55" l="1"/>
  <c r="P726" i="55"/>
  <c r="J726" i="55"/>
  <c r="O726" i="55"/>
  <c r="R724" i="18"/>
  <c r="E725" i="18"/>
  <c r="B725" i="18"/>
  <c r="R726" i="55" l="1"/>
  <c r="D166" i="59" s="1"/>
  <c r="A726" i="18"/>
  <c r="D726" i="18" s="1"/>
  <c r="B728" i="55" s="1"/>
  <c r="A727" i="55"/>
  <c r="M725" i="18"/>
  <c r="C727" i="55"/>
  <c r="O725" i="18"/>
  <c r="N726" i="55"/>
  <c r="M726" i="55"/>
  <c r="L726" i="55"/>
  <c r="K726" i="55"/>
  <c r="L725" i="18"/>
  <c r="C725" i="18"/>
  <c r="K725" i="18" s="1"/>
  <c r="D727" i="55" s="1"/>
  <c r="F727" i="55" l="1"/>
  <c r="P727" i="55"/>
  <c r="O727" i="55"/>
  <c r="J727" i="55"/>
  <c r="R725" i="18"/>
  <c r="B726" i="18"/>
  <c r="E726" i="18"/>
  <c r="C728" i="55" l="1"/>
  <c r="O726" i="18"/>
  <c r="A727" i="18"/>
  <c r="D727" i="18" s="1"/>
  <c r="B729" i="55" s="1"/>
  <c r="A728" i="55"/>
  <c r="M726" i="18"/>
  <c r="N727" i="55"/>
  <c r="K727" i="55"/>
  <c r="L727" i="55"/>
  <c r="M727" i="55"/>
  <c r="R727" i="55"/>
  <c r="S727" i="55"/>
  <c r="T727" i="55"/>
  <c r="U727" i="55"/>
  <c r="Q727" i="55"/>
  <c r="L726" i="18"/>
  <c r="C726" i="18"/>
  <c r="K726" i="18" s="1"/>
  <c r="D728" i="55" s="1"/>
  <c r="F728" i="55" l="1"/>
  <c r="P728" i="55"/>
  <c r="J728" i="55"/>
  <c r="O728" i="55"/>
  <c r="R726" i="18"/>
  <c r="B727" i="18"/>
  <c r="E727" i="18"/>
  <c r="C729" i="55" l="1"/>
  <c r="O727" i="18"/>
  <c r="A728" i="18"/>
  <c r="D728" i="18" s="1"/>
  <c r="B730" i="55" s="1"/>
  <c r="A729" i="55"/>
  <c r="M727" i="18"/>
  <c r="L727" i="18"/>
  <c r="N728" i="55"/>
  <c r="M728" i="55"/>
  <c r="L728" i="55"/>
  <c r="K728" i="55"/>
  <c r="R728" i="55"/>
  <c r="S728" i="55"/>
  <c r="T728" i="55"/>
  <c r="U728" i="55"/>
  <c r="Q728" i="55"/>
  <c r="C727" i="18"/>
  <c r="K727" i="18" s="1"/>
  <c r="D729" i="55" s="1"/>
  <c r="F729" i="55" l="1"/>
  <c r="P729" i="55"/>
  <c r="J729" i="55"/>
  <c r="O729" i="55"/>
  <c r="R727" i="18"/>
  <c r="B728" i="18"/>
  <c r="E728" i="18"/>
  <c r="O728" i="18" l="1"/>
  <c r="C730" i="55"/>
  <c r="A729" i="18"/>
  <c r="A730" i="55"/>
  <c r="M728" i="18"/>
  <c r="N729" i="55"/>
  <c r="L729" i="55"/>
  <c r="M729" i="55"/>
  <c r="K729" i="55"/>
  <c r="T729" i="55"/>
  <c r="R729" i="55"/>
  <c r="S729" i="55"/>
  <c r="U729" i="55"/>
  <c r="Q729" i="55"/>
  <c r="L728" i="18"/>
  <c r="D729" i="18"/>
  <c r="B731" i="55" s="1"/>
  <c r="C728" i="18"/>
  <c r="K728" i="18" s="1"/>
  <c r="D730" i="55" s="1"/>
  <c r="F730" i="55" l="1"/>
  <c r="P730" i="55"/>
  <c r="J730" i="55"/>
  <c r="O730" i="55"/>
  <c r="R728" i="18"/>
  <c r="B729" i="18"/>
  <c r="E729" i="18"/>
  <c r="C731" i="55" l="1"/>
  <c r="O729" i="18"/>
  <c r="A730" i="18"/>
  <c r="D730" i="18" s="1"/>
  <c r="B732" i="55" s="1"/>
  <c r="A731" i="55"/>
  <c r="M729" i="18"/>
  <c r="L729" i="18"/>
  <c r="N730" i="55"/>
  <c r="L730" i="55"/>
  <c r="M730" i="55"/>
  <c r="K730" i="55"/>
  <c r="R730" i="55"/>
  <c r="T730" i="55"/>
  <c r="U730" i="55"/>
  <c r="S730" i="55"/>
  <c r="Q730" i="55"/>
  <c r="C729" i="18"/>
  <c r="K729" i="18" s="1"/>
  <c r="D731" i="55" s="1"/>
  <c r="F731" i="55" l="1"/>
  <c r="P731" i="55"/>
  <c r="J731" i="55"/>
  <c r="O731" i="55"/>
  <c r="R729" i="18"/>
  <c r="B730" i="18"/>
  <c r="E730" i="18"/>
  <c r="A731" i="18" l="1"/>
  <c r="A732" i="55"/>
  <c r="M730" i="18"/>
  <c r="C732" i="55"/>
  <c r="O730" i="18"/>
  <c r="M731" i="55"/>
  <c r="L731" i="55"/>
  <c r="N731" i="55"/>
  <c r="K731" i="55"/>
  <c r="S731" i="55"/>
  <c r="R731" i="55"/>
  <c r="T731" i="55"/>
  <c r="U731" i="55"/>
  <c r="Q731" i="55"/>
  <c r="L730" i="18"/>
  <c r="D731" i="18"/>
  <c r="B733" i="55" s="1"/>
  <c r="C730" i="18"/>
  <c r="K730" i="18" s="1"/>
  <c r="D732" i="55" s="1"/>
  <c r="F732" i="55" l="1"/>
  <c r="P732" i="55"/>
  <c r="O732" i="55"/>
  <c r="J732" i="55"/>
  <c r="R730" i="18"/>
  <c r="B731" i="18"/>
  <c r="E731" i="18"/>
  <c r="C733" i="55" l="1"/>
  <c r="O731" i="18"/>
  <c r="A732" i="18"/>
  <c r="D732" i="18" s="1"/>
  <c r="B734" i="55" s="1"/>
  <c r="A733" i="55"/>
  <c r="M731" i="18"/>
  <c r="N732" i="55"/>
  <c r="K732" i="55"/>
  <c r="L732" i="55"/>
  <c r="M732" i="55"/>
  <c r="T732" i="55"/>
  <c r="U732" i="55"/>
  <c r="R732" i="55"/>
  <c r="S732" i="55"/>
  <c r="Q732" i="55"/>
  <c r="L731" i="18"/>
  <c r="C731" i="18"/>
  <c r="K731" i="18" s="1"/>
  <c r="D733" i="55" s="1"/>
  <c r="F733" i="55" l="1"/>
  <c r="P733" i="55"/>
  <c r="O733" i="55"/>
  <c r="J733" i="55"/>
  <c r="R731" i="18"/>
  <c r="B732" i="18"/>
  <c r="E732" i="18"/>
  <c r="C734" i="55" l="1"/>
  <c r="O732" i="18"/>
  <c r="A733" i="18"/>
  <c r="D733" i="18" s="1"/>
  <c r="B735" i="55" s="1"/>
  <c r="A734" i="55"/>
  <c r="M732" i="18"/>
  <c r="L732" i="18"/>
  <c r="N733" i="55"/>
  <c r="L733" i="55"/>
  <c r="M733" i="55"/>
  <c r="K733" i="55"/>
  <c r="R733" i="55"/>
  <c r="T733" i="55"/>
  <c r="U733" i="55"/>
  <c r="S733" i="55"/>
  <c r="Q733" i="55"/>
  <c r="C732" i="18"/>
  <c r="K732" i="18" s="1"/>
  <c r="D734" i="55" s="1"/>
  <c r="F734" i="55" l="1"/>
  <c r="P734" i="55"/>
  <c r="O734" i="55"/>
  <c r="J734" i="55"/>
  <c r="R732" i="18"/>
  <c r="E733" i="18"/>
  <c r="B733" i="18"/>
  <c r="A734" i="18" l="1"/>
  <c r="A735" i="55"/>
  <c r="M733" i="18"/>
  <c r="O733" i="18"/>
  <c r="C735" i="55"/>
  <c r="L734" i="55"/>
  <c r="K734" i="55"/>
  <c r="N734" i="55"/>
  <c r="M734" i="55"/>
  <c r="R734" i="55"/>
  <c r="T734" i="55"/>
  <c r="U734" i="55"/>
  <c r="S734" i="55"/>
  <c r="Q734" i="55"/>
  <c r="L733" i="18"/>
  <c r="C733" i="18"/>
  <c r="K733" i="18" s="1"/>
  <c r="D734" i="18"/>
  <c r="B736" i="55" s="1"/>
  <c r="F735" i="55" l="1"/>
  <c r="P735" i="55"/>
  <c r="O735" i="55"/>
  <c r="J735" i="55"/>
  <c r="R733" i="18"/>
  <c r="D735" i="55"/>
  <c r="B734" i="18"/>
  <c r="E734" i="18"/>
  <c r="A735" i="18" l="1"/>
  <c r="A736" i="55"/>
  <c r="M734" i="18"/>
  <c r="C736" i="55"/>
  <c r="O734" i="18"/>
  <c r="L735" i="55"/>
  <c r="N735" i="55"/>
  <c r="M735" i="55"/>
  <c r="K735" i="55"/>
  <c r="R735" i="55"/>
  <c r="T735" i="55"/>
  <c r="U735" i="55"/>
  <c r="S735" i="55"/>
  <c r="Q735" i="55"/>
  <c r="L734" i="18"/>
  <c r="D735" i="18"/>
  <c r="B737" i="55" s="1"/>
  <c r="C734" i="18"/>
  <c r="K734" i="18" s="1"/>
  <c r="F736" i="55" l="1"/>
  <c r="P736" i="55"/>
  <c r="O736" i="55"/>
  <c r="J736" i="55"/>
  <c r="R734" i="18"/>
  <c r="D736" i="55"/>
  <c r="E735" i="18"/>
  <c r="B735" i="18"/>
  <c r="C737" i="55" l="1"/>
  <c r="O735" i="18"/>
  <c r="A736" i="18"/>
  <c r="D736" i="18" s="1"/>
  <c r="B738" i="55" s="1"/>
  <c r="A737" i="55"/>
  <c r="M735" i="18"/>
  <c r="N736" i="55"/>
  <c r="M736" i="55"/>
  <c r="L736" i="55"/>
  <c r="K736" i="55"/>
  <c r="R736" i="55"/>
  <c r="T736" i="55"/>
  <c r="U736" i="55"/>
  <c r="S736" i="55"/>
  <c r="Q736" i="55"/>
  <c r="L735" i="18"/>
  <c r="C735" i="18"/>
  <c r="K735" i="18" s="1"/>
  <c r="F737" i="55" l="1"/>
  <c r="P737" i="55"/>
  <c r="J737" i="55"/>
  <c r="O737" i="55"/>
  <c r="R735" i="18"/>
  <c r="D737" i="55"/>
  <c r="E736" i="18"/>
  <c r="B736" i="18"/>
  <c r="A737" i="18" l="1"/>
  <c r="A738" i="55"/>
  <c r="M736" i="18"/>
  <c r="C738" i="55"/>
  <c r="O736" i="18"/>
  <c r="L736" i="18"/>
  <c r="N737" i="55"/>
  <c r="M737" i="55"/>
  <c r="L737" i="55"/>
  <c r="K737" i="55"/>
  <c r="R737" i="55"/>
  <c r="T737" i="55"/>
  <c r="U737" i="55"/>
  <c r="S737" i="55"/>
  <c r="Q737" i="55"/>
  <c r="N736" i="18"/>
  <c r="C736" i="18"/>
  <c r="K736" i="18" s="1"/>
  <c r="D737" i="18"/>
  <c r="B739" i="55" s="1"/>
  <c r="E738" i="55" l="1"/>
  <c r="F738" i="55"/>
  <c r="P738" i="55"/>
  <c r="J738" i="55"/>
  <c r="O738" i="55"/>
  <c r="R736" i="18"/>
  <c r="D738" i="55"/>
  <c r="E737" i="18"/>
  <c r="B737" i="18"/>
  <c r="G738" i="55" l="1"/>
  <c r="H738" i="55" s="1"/>
  <c r="I738" i="55" s="1"/>
  <c r="A738" i="18"/>
  <c r="A739" i="55"/>
  <c r="M737" i="18"/>
  <c r="C739" i="55"/>
  <c r="O737" i="18"/>
  <c r="N738" i="55"/>
  <c r="M738" i="55"/>
  <c r="L738" i="55"/>
  <c r="K738" i="55"/>
  <c r="R738" i="55"/>
  <c r="T738" i="55"/>
  <c r="S738" i="55"/>
  <c r="U738" i="55"/>
  <c r="Q738" i="55"/>
  <c r="L737" i="18"/>
  <c r="N737" i="18"/>
  <c r="C737" i="18"/>
  <c r="K737" i="18" s="1"/>
  <c r="D738" i="18"/>
  <c r="B740" i="55" s="1"/>
  <c r="E739" i="55" l="1"/>
  <c r="F739" i="55"/>
  <c r="P739" i="55"/>
  <c r="O739" i="55"/>
  <c r="J739" i="55"/>
  <c r="R737" i="18"/>
  <c r="D739" i="55"/>
  <c r="E738" i="18"/>
  <c r="B738" i="18"/>
  <c r="G739" i="55" l="1"/>
  <c r="H739" i="55" s="1"/>
  <c r="I739" i="55" s="1"/>
  <c r="A739" i="18"/>
  <c r="A740" i="55"/>
  <c r="M738" i="18"/>
  <c r="C740" i="55"/>
  <c r="O738" i="18"/>
  <c r="N739" i="55"/>
  <c r="M739" i="55"/>
  <c r="L739" i="55"/>
  <c r="K739" i="55"/>
  <c r="R739" i="55"/>
  <c r="U739" i="55"/>
  <c r="S739" i="55"/>
  <c r="T739" i="55"/>
  <c r="Q739" i="55"/>
  <c r="L738" i="18"/>
  <c r="N738" i="18"/>
  <c r="D739" i="18"/>
  <c r="B741" i="55" s="1"/>
  <c r="C738" i="18"/>
  <c r="K738" i="18" s="1"/>
  <c r="E740" i="55" l="1"/>
  <c r="F740" i="55"/>
  <c r="P740" i="55"/>
  <c r="O740" i="55"/>
  <c r="J740" i="55"/>
  <c r="R738" i="18"/>
  <c r="D740" i="55"/>
  <c r="B739" i="18"/>
  <c r="E739" i="18"/>
  <c r="G740" i="55" l="1"/>
  <c r="H740" i="55" s="1"/>
  <c r="I740" i="55" s="1"/>
  <c r="A740" i="18"/>
  <c r="A741" i="55"/>
  <c r="M739" i="18"/>
  <c r="C741" i="55"/>
  <c r="O739" i="18"/>
  <c r="N740" i="55"/>
  <c r="L740" i="55"/>
  <c r="M740" i="55"/>
  <c r="K740" i="55"/>
  <c r="R740" i="55"/>
  <c r="S740" i="55"/>
  <c r="T740" i="55"/>
  <c r="U740" i="55"/>
  <c r="Q740" i="55"/>
  <c r="L739" i="18"/>
  <c r="C739" i="18"/>
  <c r="K739" i="18" s="1"/>
  <c r="D740" i="18"/>
  <c r="B742" i="55" s="1"/>
  <c r="F741" i="55" l="1"/>
  <c r="P741" i="55"/>
  <c r="Q741" i="55" s="1"/>
  <c r="O741" i="55"/>
  <c r="J741" i="55"/>
  <c r="R739" i="18"/>
  <c r="D741" i="55"/>
  <c r="E740" i="18"/>
  <c r="B740" i="18"/>
  <c r="C742" i="55" l="1"/>
  <c r="O740" i="18"/>
  <c r="A741" i="18"/>
  <c r="A742" i="55"/>
  <c r="L740" i="18"/>
  <c r="M740" i="18"/>
  <c r="M741" i="55"/>
  <c r="N741" i="55"/>
  <c r="L741" i="55"/>
  <c r="K741" i="55"/>
  <c r="C740" i="18"/>
  <c r="K740" i="18" s="1"/>
  <c r="D741" i="18"/>
  <c r="B743" i="55" s="1"/>
  <c r="P742" i="55" l="1"/>
  <c r="J742" i="55"/>
  <c r="O742" i="55"/>
  <c r="F742" i="55"/>
  <c r="R740" i="18"/>
  <c r="D742" i="55"/>
  <c r="E741" i="18"/>
  <c r="B741" i="18"/>
  <c r="C743" i="55" l="1"/>
  <c r="O741" i="18"/>
  <c r="A742" i="18"/>
  <c r="A743" i="55"/>
  <c r="M741" i="18"/>
  <c r="N742" i="55"/>
  <c r="L742" i="55"/>
  <c r="M742" i="55"/>
  <c r="K742" i="55"/>
  <c r="L741" i="18"/>
  <c r="C741" i="18"/>
  <c r="K741" i="18" s="1"/>
  <c r="D742" i="18"/>
  <c r="B744" i="55" s="1"/>
  <c r="P743" i="55" l="1"/>
  <c r="J743" i="55"/>
  <c r="O743" i="55"/>
  <c r="F743" i="55"/>
  <c r="R743" i="55" s="1"/>
  <c r="D169" i="59" s="1"/>
  <c r="R741" i="18"/>
  <c r="D743" i="55"/>
  <c r="E742" i="18"/>
  <c r="B742" i="18"/>
  <c r="C744" i="55" l="1"/>
  <c r="O742" i="18"/>
  <c r="A743" i="18"/>
  <c r="A744" i="55"/>
  <c r="M742" i="18"/>
  <c r="N743" i="55"/>
  <c r="K743" i="55"/>
  <c r="M743" i="55"/>
  <c r="L743" i="55"/>
  <c r="L742" i="18"/>
  <c r="C742" i="18"/>
  <c r="K742" i="18" s="1"/>
  <c r="D743" i="18"/>
  <c r="B745" i="55" s="1"/>
  <c r="P744" i="55" l="1"/>
  <c r="O744" i="55"/>
  <c r="J744" i="55"/>
  <c r="F744" i="55"/>
  <c r="R744" i="55" s="1"/>
  <c r="D170" i="59" s="1"/>
  <c r="R742" i="18"/>
  <c r="D744" i="55"/>
  <c r="B743" i="18"/>
  <c r="E743" i="18"/>
  <c r="A744" i="18" l="1"/>
  <c r="A745" i="55"/>
  <c r="M743" i="18"/>
  <c r="C745" i="55"/>
  <c r="O743" i="18"/>
  <c r="N744" i="55"/>
  <c r="L744" i="55"/>
  <c r="M744" i="55"/>
  <c r="K744" i="55"/>
  <c r="L743" i="18"/>
  <c r="C743" i="18"/>
  <c r="K743" i="18" s="1"/>
  <c r="D744" i="18"/>
  <c r="B746" i="55" s="1"/>
  <c r="F745" i="55" l="1"/>
  <c r="P745" i="55"/>
  <c r="O745" i="55"/>
  <c r="J745" i="55"/>
  <c r="R743" i="18"/>
  <c r="D745" i="55"/>
  <c r="E744" i="18"/>
  <c r="B744" i="18"/>
  <c r="C746" i="55" l="1"/>
  <c r="O744" i="18"/>
  <c r="A745" i="18"/>
  <c r="D745" i="18" s="1"/>
  <c r="B747" i="55" s="1"/>
  <c r="A746" i="55"/>
  <c r="M744" i="18"/>
  <c r="N745" i="55"/>
  <c r="L745" i="55"/>
  <c r="K745" i="55"/>
  <c r="M745" i="55"/>
  <c r="R745" i="55"/>
  <c r="T745" i="55"/>
  <c r="U745" i="55"/>
  <c r="S745" i="55"/>
  <c r="Q745" i="55"/>
  <c r="L744" i="18"/>
  <c r="C744" i="18"/>
  <c r="K744" i="18" s="1"/>
  <c r="P746" i="55" l="1"/>
  <c r="J746" i="55"/>
  <c r="O746" i="55"/>
  <c r="F746" i="55"/>
  <c r="R744" i="18"/>
  <c r="D746" i="55"/>
  <c r="B745" i="18"/>
  <c r="E745" i="18"/>
  <c r="A746" i="18" l="1"/>
  <c r="A747" i="55"/>
  <c r="M745" i="18"/>
  <c r="C747" i="55"/>
  <c r="O745" i="18"/>
  <c r="L745" i="18"/>
  <c r="N746" i="55"/>
  <c r="M746" i="55"/>
  <c r="L746" i="55"/>
  <c r="K746" i="55"/>
  <c r="R746" i="55"/>
  <c r="T746" i="55"/>
  <c r="U746" i="55"/>
  <c r="S746" i="55"/>
  <c r="Q746" i="55"/>
  <c r="D746" i="18"/>
  <c r="B748" i="55" s="1"/>
  <c r="C745" i="18"/>
  <c r="K745" i="18" s="1"/>
  <c r="F747" i="55" l="1"/>
  <c r="P747" i="55"/>
  <c r="J747" i="55"/>
  <c r="O747" i="55"/>
  <c r="R745" i="18"/>
  <c r="D747" i="55"/>
  <c r="B746" i="18"/>
  <c r="E746" i="18"/>
  <c r="A747" i="18" l="1"/>
  <c r="A748" i="55"/>
  <c r="M746" i="18"/>
  <c r="C748" i="55"/>
  <c r="O746" i="18"/>
  <c r="N747" i="55"/>
  <c r="L747" i="55"/>
  <c r="M747" i="55"/>
  <c r="K747" i="55"/>
  <c r="R747" i="55"/>
  <c r="S747" i="55"/>
  <c r="T747" i="55"/>
  <c r="U747" i="55"/>
  <c r="Q747" i="55"/>
  <c r="L746" i="18"/>
  <c r="B747" i="18"/>
  <c r="E747" i="18"/>
  <c r="D747" i="18"/>
  <c r="B749" i="55" s="1"/>
  <c r="C746" i="18"/>
  <c r="K746" i="18" s="1"/>
  <c r="F748" i="55" l="1"/>
  <c r="C749" i="55"/>
  <c r="O747" i="18"/>
  <c r="A748" i="18"/>
  <c r="A749" i="55"/>
  <c r="M747" i="18"/>
  <c r="L747" i="18"/>
  <c r="P748" i="55"/>
  <c r="O748" i="55"/>
  <c r="J748" i="55"/>
  <c r="R746" i="18"/>
  <c r="D748" i="55"/>
  <c r="C747" i="18"/>
  <c r="K747" i="18" s="1"/>
  <c r="R748" i="55" l="1"/>
  <c r="T748" i="55"/>
  <c r="S748" i="55"/>
  <c r="U748" i="55"/>
  <c r="Q748" i="55"/>
  <c r="M748" i="55"/>
  <c r="N748" i="55"/>
  <c r="L748" i="55"/>
  <c r="K748" i="55"/>
  <c r="P749" i="55"/>
  <c r="O749" i="55"/>
  <c r="J749" i="55"/>
  <c r="F749" i="55"/>
  <c r="R747" i="18"/>
  <c r="D749" i="55"/>
  <c r="B748" i="18"/>
  <c r="L748" i="18" s="1"/>
  <c r="D748" i="18"/>
  <c r="B750" i="55" s="1"/>
  <c r="E748" i="18"/>
  <c r="J152" i="7"/>
  <c r="AF151" i="10" s="1"/>
  <c r="J147" i="7"/>
  <c r="AF146" i="10" s="1"/>
  <c r="J129" i="7"/>
  <c r="AF128" i="10" s="1"/>
  <c r="J86" i="7"/>
  <c r="AF85" i="10" s="1"/>
  <c r="J85" i="7"/>
  <c r="AF84" i="10" s="1"/>
  <c r="J84" i="7"/>
  <c r="AF83" i="10" s="1"/>
  <c r="J16" i="7"/>
  <c r="AF16" i="10" s="1"/>
  <c r="AC28" i="19"/>
  <c r="AH28" i="19" s="1"/>
  <c r="AC11" i="19"/>
  <c r="AH11" i="19" s="1"/>
  <c r="AG16" i="10" l="1"/>
  <c r="AI16" i="10" s="1"/>
  <c r="R749" i="55"/>
  <c r="S749" i="55"/>
  <c r="T749" i="55"/>
  <c r="U749" i="55"/>
  <c r="Q749" i="55"/>
  <c r="C750" i="55"/>
  <c r="O748" i="18"/>
  <c r="A749" i="18"/>
  <c r="A750" i="55"/>
  <c r="M748" i="18"/>
  <c r="N749" i="55"/>
  <c r="M749" i="55"/>
  <c r="L749" i="55"/>
  <c r="K749" i="55"/>
  <c r="AG83" i="10"/>
  <c r="AI83" i="10" s="1"/>
  <c r="AG84" i="10"/>
  <c r="AI84" i="10" s="1"/>
  <c r="AG85" i="10"/>
  <c r="AI85" i="10" s="1"/>
  <c r="AG146" i="10"/>
  <c r="AI146" i="10" s="1"/>
  <c r="AG151" i="10"/>
  <c r="AI151" i="10" s="1"/>
  <c r="AG128" i="10"/>
  <c r="AI128" i="10" s="1"/>
  <c r="E4" i="52"/>
  <c r="AT6" i="52" s="1"/>
  <c r="CM5" i="52" s="1"/>
  <c r="C748" i="18"/>
  <c r="K748" i="18" s="1"/>
  <c r="U58" i="47"/>
  <c r="AF58" i="47"/>
  <c r="AK58" i="47" s="1"/>
  <c r="X58" i="47"/>
  <c r="AK265" i="25"/>
  <c r="R293" i="25" l="1" a="1"/>
  <c r="R293" i="25" s="1"/>
  <c r="AB293" i="25" s="1"/>
  <c r="AT33" i="52"/>
  <c r="F750" i="55"/>
  <c r="P750" i="55"/>
  <c r="J750" i="55"/>
  <c r="O750" i="55"/>
  <c r="R748" i="18"/>
  <c r="D750" i="55"/>
  <c r="CJ15" i="52"/>
  <c r="AJ146" i="10"/>
  <c r="AK146" i="10"/>
  <c r="AK16" i="10"/>
  <c r="AJ16" i="10"/>
  <c r="AJ151" i="10"/>
  <c r="AK151" i="10"/>
  <c r="AJ85" i="10"/>
  <c r="AK85" i="10"/>
  <c r="AJ84" i="10"/>
  <c r="AK84" i="10"/>
  <c r="AK83" i="10"/>
  <c r="AJ83" i="10"/>
  <c r="AK128" i="10"/>
  <c r="AJ128" i="10"/>
  <c r="P12" i="52"/>
  <c r="BE22" i="52" s="1"/>
  <c r="P11" i="52"/>
  <c r="BE16" i="52" s="1"/>
  <c r="H11" i="52"/>
  <c r="H9" i="52"/>
  <c r="O9" i="52" s="1"/>
  <c r="H12" i="52"/>
  <c r="H4" i="52"/>
  <c r="P4" i="52"/>
  <c r="P9" i="52"/>
  <c r="AA290" i="44"/>
  <c r="AF290" i="44" s="1"/>
  <c r="AA256" i="44"/>
  <c r="AF256" i="44" s="1"/>
  <c r="AA293" i="44"/>
  <c r="AF293" i="44" s="1"/>
  <c r="AA259" i="44"/>
  <c r="AF259" i="44" s="1"/>
  <c r="AA253" i="44"/>
  <c r="AF253" i="44" s="1"/>
  <c r="X253" i="44"/>
  <c r="E749" i="18"/>
  <c r="D749" i="18"/>
  <c r="B751" i="55" s="1"/>
  <c r="B749" i="18"/>
  <c r="P8" i="52"/>
  <c r="H8" i="52"/>
  <c r="O8" i="52" s="1"/>
  <c r="P7" i="52"/>
  <c r="H7" i="52"/>
  <c r="P6" i="52"/>
  <c r="BE17" i="52" s="1"/>
  <c r="R201" i="32" s="1" a="1"/>
  <c r="R201" i="32" s="1"/>
  <c r="AB201" i="32" s="1"/>
  <c r="AF201" i="32" s="1"/>
  <c r="AJ201" i="32" s="1"/>
  <c r="H6" i="52"/>
  <c r="X293" i="44"/>
  <c r="X259" i="44"/>
  <c r="AF58" i="43"/>
  <c r="AK58" i="43" s="1"/>
  <c r="AT35" i="52" l="1"/>
  <c r="C751" i="55"/>
  <c r="O749" i="18"/>
  <c r="N750" i="55"/>
  <c r="L750" i="55"/>
  <c r="M750" i="55"/>
  <c r="K750" i="55"/>
  <c r="A750" i="18"/>
  <c r="A751" i="55"/>
  <c r="M749" i="18"/>
  <c r="L749" i="18"/>
  <c r="R750" i="55"/>
  <c r="U750" i="55"/>
  <c r="T750" i="55"/>
  <c r="S750" i="55"/>
  <c r="Q750" i="55"/>
  <c r="AF293" i="25"/>
  <c r="AJ293" i="25" s="1"/>
  <c r="BE8" i="52"/>
  <c r="R413" i="35" s="1" a="1"/>
  <c r="R413" i="35" s="1"/>
  <c r="AB413" i="35" s="1"/>
  <c r="AF413" i="35" s="1"/>
  <c r="AJ413" i="35" s="1"/>
  <c r="O7" i="52"/>
  <c r="BD8" i="52" s="1"/>
  <c r="AW8" i="52"/>
  <c r="O4" i="52"/>
  <c r="O12" i="52"/>
  <c r="BD22" i="52" s="1"/>
  <c r="R305" i="46" s="1" a="1"/>
  <c r="R305" i="46" s="1"/>
  <c r="AB305" i="46" s="1"/>
  <c r="AF305" i="46" s="1"/>
  <c r="AJ305" i="46" s="1"/>
  <c r="AW22" i="52"/>
  <c r="AW20" i="52"/>
  <c r="O6" i="52"/>
  <c r="BD17" i="52" s="1"/>
  <c r="R200" i="32" s="1" a="1"/>
  <c r="R200" i="32" s="1"/>
  <c r="AB200" i="32" s="1"/>
  <c r="AW17" i="52"/>
  <c r="R193" i="32" s="1" a="1"/>
  <c r="R193" i="32" s="1"/>
  <c r="AB193" i="32" s="1"/>
  <c r="O11" i="52"/>
  <c r="BD16" i="52" s="1"/>
  <c r="R210" i="43" s="1" a="1"/>
  <c r="R210" i="43" s="1"/>
  <c r="AB210" i="43" s="1"/>
  <c r="AF210" i="43" s="1"/>
  <c r="AJ210" i="43" s="1"/>
  <c r="AW16" i="52"/>
  <c r="L12" i="52"/>
  <c r="BA22" i="52" s="1"/>
  <c r="N12" i="52"/>
  <c r="BC22" i="52" s="1"/>
  <c r="K12" i="52"/>
  <c r="AZ22" i="52" s="1"/>
  <c r="M12" i="52"/>
  <c r="BB22" i="52" s="1"/>
  <c r="J12" i="52"/>
  <c r="AY22" i="52" s="1"/>
  <c r="I12" i="52"/>
  <c r="AX22" i="52" s="1"/>
  <c r="L9" i="52"/>
  <c r="N9" i="52"/>
  <c r="K9" i="52"/>
  <c r="M9" i="52"/>
  <c r="J9" i="52"/>
  <c r="I9" i="52"/>
  <c r="L11" i="52"/>
  <c r="BA16" i="52" s="1"/>
  <c r="N11" i="52"/>
  <c r="BC16" i="52" s="1"/>
  <c r="K11" i="52"/>
  <c r="AZ16" i="52" s="1"/>
  <c r="M11" i="52"/>
  <c r="BB16" i="52" s="1"/>
  <c r="J11" i="52"/>
  <c r="AY16" i="52" s="1"/>
  <c r="N6" i="52"/>
  <c r="BC17" i="52" s="1"/>
  <c r="R199" i="32" s="1" a="1"/>
  <c r="R199" i="32" s="1"/>
  <c r="AB199" i="32" s="1"/>
  <c r="AF199" i="32" s="1"/>
  <c r="AJ199" i="32" s="1"/>
  <c r="K6" i="52"/>
  <c r="AZ17" i="52" s="1"/>
  <c r="R196" i="32" s="1" a="1"/>
  <c r="R196" i="32" s="1"/>
  <c r="AB196" i="32" s="1"/>
  <c r="AF196" i="32" s="1"/>
  <c r="AJ196" i="32" s="1"/>
  <c r="M6" i="52"/>
  <c r="BB17" i="52" s="1"/>
  <c r="R198" i="32" s="1" a="1"/>
  <c r="R198" i="32" s="1"/>
  <c r="AB198" i="32" s="1"/>
  <c r="AF198" i="32" s="1"/>
  <c r="AJ198" i="32" s="1"/>
  <c r="J6" i="52"/>
  <c r="AY17" i="52" s="1"/>
  <c r="R195" i="32" s="1" a="1"/>
  <c r="R195" i="32" s="1"/>
  <c r="AB195" i="32" s="1"/>
  <c r="L6" i="52"/>
  <c r="BA17" i="52" s="1"/>
  <c r="R197" i="32" s="1" a="1"/>
  <c r="R197" i="32" s="1"/>
  <c r="AB197" i="32" s="1"/>
  <c r="AF197" i="32" s="1"/>
  <c r="AJ197" i="32" s="1"/>
  <c r="I6" i="52"/>
  <c r="AX17" i="52" s="1"/>
  <c r="R194" i="32" s="1" a="1"/>
  <c r="R194" i="32" s="1"/>
  <c r="AB194" i="32" s="1"/>
  <c r="AF194" i="32" s="1"/>
  <c r="AJ194" i="32" s="1"/>
  <c r="N7" i="52"/>
  <c r="K7" i="52"/>
  <c r="M7" i="52"/>
  <c r="J7" i="52"/>
  <c r="L7" i="52"/>
  <c r="N8" i="52"/>
  <c r="K8" i="52"/>
  <c r="M8" i="52"/>
  <c r="J8" i="52"/>
  <c r="L8" i="52"/>
  <c r="I8" i="52"/>
  <c r="N4" i="52"/>
  <c r="K4" i="52"/>
  <c r="M4" i="52"/>
  <c r="J4" i="52"/>
  <c r="L4" i="52"/>
  <c r="N38" i="18"/>
  <c r="E40" i="55" s="1"/>
  <c r="CJ6" i="52"/>
  <c r="R236" i="23" a="1"/>
  <c r="R236" i="23" s="1"/>
  <c r="N2" i="18"/>
  <c r="E4" i="55" s="1"/>
  <c r="N14" i="18"/>
  <c r="E16" i="55" s="1"/>
  <c r="R249" i="23" a="1"/>
  <c r="R249" i="23" s="1"/>
  <c r="AB249" i="23" s="1"/>
  <c r="X287" i="44"/>
  <c r="AA287" i="44"/>
  <c r="AF287" i="44" s="1"/>
  <c r="K95" i="13"/>
  <c r="U299" i="44" s="1"/>
  <c r="U290" i="44"/>
  <c r="R299" i="44" s="1"/>
  <c r="U253" i="44"/>
  <c r="R262" i="44" s="1"/>
  <c r="K94" i="13"/>
  <c r="U265" i="44" s="1"/>
  <c r="U256" i="44"/>
  <c r="R265" i="44" s="1"/>
  <c r="C749" i="18"/>
  <c r="K749" i="18" s="1"/>
  <c r="AF106" i="26"/>
  <c r="AK106" i="26" s="1"/>
  <c r="AF262" i="44"/>
  <c r="AK262" i="44" s="1"/>
  <c r="U287" i="44"/>
  <c r="R296" i="44" s="1"/>
  <c r="X125" i="47"/>
  <c r="U125" i="47"/>
  <c r="AF125" i="47"/>
  <c r="AK125" i="47" s="1"/>
  <c r="L94" i="13"/>
  <c r="M94" i="13" s="1"/>
  <c r="U268" i="44" s="1"/>
  <c r="U259" i="44"/>
  <c r="R268" i="44" s="1"/>
  <c r="L95" i="13"/>
  <c r="M95" i="13" s="1"/>
  <c r="U302" i="44" s="1"/>
  <c r="U293" i="44"/>
  <c r="R302" i="44" s="1"/>
  <c r="AF58" i="38"/>
  <c r="AK58" i="38" s="1"/>
  <c r="X58" i="38"/>
  <c r="AF59" i="32"/>
  <c r="AK59" i="32" s="1"/>
  <c r="X59" i="32"/>
  <c r="X59" i="46"/>
  <c r="AF59" i="46"/>
  <c r="AK59" i="46" s="1"/>
  <c r="AF105" i="31"/>
  <c r="AK105" i="31" s="1"/>
  <c r="X105" i="31"/>
  <c r="X58" i="37"/>
  <c r="AF58" i="37"/>
  <c r="AK58" i="37" s="1"/>
  <c r="AF121" i="35"/>
  <c r="AK121" i="35" s="1"/>
  <c r="X121" i="35"/>
  <c r="AF324" i="29"/>
  <c r="AK324" i="29" s="1"/>
  <c r="X324" i="29"/>
  <c r="AF162" i="38"/>
  <c r="AK162" i="38" s="1"/>
  <c r="X162" i="38"/>
  <c r="AF59" i="28"/>
  <c r="AK59" i="28" s="1"/>
  <c r="X59" i="28"/>
  <c r="AF59" i="31"/>
  <c r="AK59" i="31" s="1"/>
  <c r="X59" i="31"/>
  <c r="AF105" i="27"/>
  <c r="AK105" i="27" s="1"/>
  <c r="X105" i="27"/>
  <c r="X59" i="40"/>
  <c r="AF59" i="40"/>
  <c r="AK59" i="40" s="1"/>
  <c r="X59" i="33"/>
  <c r="AF59" i="33"/>
  <c r="AK59" i="33" s="1"/>
  <c r="X273" i="29"/>
  <c r="AF273" i="29"/>
  <c r="AK273" i="29" s="1"/>
  <c r="X58" i="43"/>
  <c r="X58" i="25"/>
  <c r="AF58" i="25"/>
  <c r="AK58" i="25" s="1"/>
  <c r="X58" i="44"/>
  <c r="AF58" i="44"/>
  <c r="AK58" i="44" s="1"/>
  <c r="U58" i="25"/>
  <c r="X219" i="44"/>
  <c r="AF219" i="44"/>
  <c r="AK219" i="44" s="1"/>
  <c r="AF118" i="43"/>
  <c r="AK118" i="43" s="1"/>
  <c r="X118" i="43"/>
  <c r="P751" i="55" l="1"/>
  <c r="O751" i="55"/>
  <c r="J751" i="55"/>
  <c r="F751" i="55"/>
  <c r="R749" i="18"/>
  <c r="D751" i="55"/>
  <c r="AF193" i="32"/>
  <c r="AB227" i="32"/>
  <c r="AC19" i="32" s="1"/>
  <c r="AF195" i="32"/>
  <c r="AJ195" i="32" s="1"/>
  <c r="AF200" i="32"/>
  <c r="AJ200" i="32" s="1"/>
  <c r="G16" i="55"/>
  <c r="Q4" i="55"/>
  <c r="G4" i="55"/>
  <c r="G40" i="55"/>
  <c r="Q40" i="55"/>
  <c r="BC8" i="52"/>
  <c r="AX8" i="52"/>
  <c r="AX33" i="52" s="1"/>
  <c r="AY8" i="52"/>
  <c r="BA8" i="52"/>
  <c r="BB8" i="52"/>
  <c r="AZ8" i="52"/>
  <c r="AF249" i="23"/>
  <c r="AJ249" i="23" s="1"/>
  <c r="AB236" i="23"/>
  <c r="N633" i="18"/>
  <c r="E635" i="55" s="1"/>
  <c r="B750" i="18"/>
  <c r="D750" i="18"/>
  <c r="B752" i="55" s="1"/>
  <c r="E750" i="18"/>
  <c r="X106" i="26"/>
  <c r="U106" i="26"/>
  <c r="U262" i="44"/>
  <c r="X262" i="44"/>
  <c r="AF211" i="31"/>
  <c r="AK211" i="31" s="1"/>
  <c r="X155" i="33"/>
  <c r="AF155" i="33"/>
  <c r="AK155" i="33" s="1"/>
  <c r="AF221" i="46"/>
  <c r="AK221" i="46" s="1"/>
  <c r="X221" i="46"/>
  <c r="U58" i="43"/>
  <c r="AF180" i="29"/>
  <c r="AK180" i="29" s="1"/>
  <c r="X180" i="29"/>
  <c r="U58" i="38"/>
  <c r="U59" i="31"/>
  <c r="AF159" i="35"/>
  <c r="AK159" i="35" s="1"/>
  <c r="X159" i="35"/>
  <c r="U121" i="35"/>
  <c r="AF162" i="37"/>
  <c r="AK162" i="37" s="1"/>
  <c r="X162" i="37"/>
  <c r="AF105" i="32"/>
  <c r="AK105" i="32" s="1"/>
  <c r="X105" i="32"/>
  <c r="X105" i="28"/>
  <c r="AF105" i="28"/>
  <c r="AK105" i="28" s="1"/>
  <c r="AF109" i="25"/>
  <c r="AK109" i="25" s="1"/>
  <c r="X109" i="25"/>
  <c r="U59" i="28"/>
  <c r="X104" i="38"/>
  <c r="AF104" i="38"/>
  <c r="AK104" i="38" s="1"/>
  <c r="X122" i="46"/>
  <c r="AF122" i="46"/>
  <c r="AK122" i="46" s="1"/>
  <c r="X158" i="31"/>
  <c r="AF158" i="31"/>
  <c r="AK158" i="31" s="1"/>
  <c r="U58" i="37"/>
  <c r="AF296" i="44"/>
  <c r="AK296" i="44" s="1"/>
  <c r="X296" i="44"/>
  <c r="AF210" i="38"/>
  <c r="AK210" i="38" s="1"/>
  <c r="X210" i="38"/>
  <c r="X104" i="37"/>
  <c r="AF104" i="37"/>
  <c r="AK104" i="37" s="1"/>
  <c r="AF59" i="29"/>
  <c r="AK59" i="29" s="1"/>
  <c r="X59" i="29"/>
  <c r="U59" i="32"/>
  <c r="X110" i="40"/>
  <c r="AF110" i="40"/>
  <c r="AK110" i="40" s="1"/>
  <c r="U59" i="40"/>
  <c r="U105" i="31"/>
  <c r="X59" i="35"/>
  <c r="AF59" i="35"/>
  <c r="AK59" i="35" s="1"/>
  <c r="X123" i="36"/>
  <c r="AF123" i="36"/>
  <c r="AK123" i="36" s="1"/>
  <c r="U105" i="27"/>
  <c r="U162" i="38"/>
  <c r="U59" i="46"/>
  <c r="X218" i="40"/>
  <c r="AF218" i="40"/>
  <c r="AK218" i="40" s="1"/>
  <c r="X180" i="46"/>
  <c r="AF180" i="46"/>
  <c r="AK180" i="46" s="1"/>
  <c r="U221" i="46"/>
  <c r="U180" i="46"/>
  <c r="U118" i="43"/>
  <c r="U58" i="44"/>
  <c r="U219" i="44"/>
  <c r="U218" i="40"/>
  <c r="AF218" i="25"/>
  <c r="AK218" i="25" s="1"/>
  <c r="X218" i="25"/>
  <c r="C752" i="55" l="1"/>
  <c r="O750" i="18"/>
  <c r="N751" i="55"/>
  <c r="M751" i="55"/>
  <c r="K751" i="55"/>
  <c r="L751" i="55"/>
  <c r="R751" i="55"/>
  <c r="T751" i="55"/>
  <c r="U751" i="55"/>
  <c r="S751" i="55"/>
  <c r="Q751" i="55"/>
  <c r="A752" i="55"/>
  <c r="M750" i="18"/>
  <c r="L750" i="18"/>
  <c r="AJ193" i="32"/>
  <c r="AJ227" i="32" s="1"/>
  <c r="AC21" i="32" s="1"/>
  <c r="AF227" i="32"/>
  <c r="AC20" i="32" s="1"/>
  <c r="H40" i="55"/>
  <c r="Q635" i="55"/>
  <c r="G635" i="55"/>
  <c r="H16" i="55"/>
  <c r="I16" i="55" s="1"/>
  <c r="R239" i="23" a="1"/>
  <c r="R239" i="23" s="1"/>
  <c r="AB239" i="23" s="1"/>
  <c r="AF239" i="23" s="1"/>
  <c r="AJ239" i="23" s="1"/>
  <c r="N5" i="18"/>
  <c r="E7" i="55" s="1"/>
  <c r="G7" i="55" s="1"/>
  <c r="H7" i="55" s="1"/>
  <c r="I7" i="55" s="1"/>
  <c r="N10" i="18"/>
  <c r="E12" i="55" s="1"/>
  <c r="G12" i="55" s="1"/>
  <c r="H12" i="55" s="1"/>
  <c r="I12" i="55" s="1"/>
  <c r="R244" i="23" a="1"/>
  <c r="R244" i="23" s="1"/>
  <c r="AB244" i="23" s="1"/>
  <c r="AF244" i="23" s="1"/>
  <c r="AJ244" i="23" s="1"/>
  <c r="N11" i="18"/>
  <c r="E13" i="55" s="1"/>
  <c r="G13" i="55" s="1"/>
  <c r="H13" i="55" s="1"/>
  <c r="I13" i="55" s="1"/>
  <c r="R245" i="23" a="1"/>
  <c r="R245" i="23" s="1"/>
  <c r="AB245" i="23" s="1"/>
  <c r="AF245" i="23" s="1"/>
  <c r="AJ245" i="23" s="1"/>
  <c r="R247" i="23" a="1"/>
  <c r="R247" i="23" s="1"/>
  <c r="AB247" i="23" s="1"/>
  <c r="AF247" i="23" s="1"/>
  <c r="AJ247" i="23" s="1"/>
  <c r="N12" i="18"/>
  <c r="E14" i="55" s="1"/>
  <c r="G14" i="55" s="1"/>
  <c r="N9" i="18"/>
  <c r="E11" i="55" s="1"/>
  <c r="G11" i="55" s="1"/>
  <c r="H11" i="55" s="1"/>
  <c r="I11" i="55" s="1"/>
  <c r="R243" i="23" a="1"/>
  <c r="R243" i="23" s="1"/>
  <c r="AB243" i="23" s="1"/>
  <c r="AF243" i="23" s="1"/>
  <c r="AJ243" i="23" s="1"/>
  <c r="R242" i="23" a="1"/>
  <c r="R242" i="23" s="1"/>
  <c r="AB242" i="23" s="1"/>
  <c r="AF242" i="23" s="1"/>
  <c r="AJ242" i="23" s="1"/>
  <c r="N8" i="18"/>
  <c r="E10" i="55" s="1"/>
  <c r="G10" i="55" s="1"/>
  <c r="N7" i="18"/>
  <c r="E9" i="55" s="1"/>
  <c r="G9" i="55" s="1"/>
  <c r="H9" i="55" s="1"/>
  <c r="I9" i="55" s="1"/>
  <c r="R241" i="23" a="1"/>
  <c r="R241" i="23" s="1"/>
  <c r="AB241" i="23" s="1"/>
  <c r="AF241" i="23" s="1"/>
  <c r="AJ241" i="23" s="1"/>
  <c r="N221" i="18"/>
  <c r="E223" i="55" s="1"/>
  <c r="G223" i="55" s="1"/>
  <c r="H223" i="55" s="1"/>
  <c r="I223" i="55" s="1"/>
  <c r="A751" i="18"/>
  <c r="N214" i="18"/>
  <c r="E216" i="55" s="1"/>
  <c r="N218" i="18"/>
  <c r="E220" i="55" s="1"/>
  <c r="AF236" i="23"/>
  <c r="N215" i="18"/>
  <c r="E217" i="55" s="1"/>
  <c r="G217" i="55" s="1"/>
  <c r="H4" i="55"/>
  <c r="N138" i="18"/>
  <c r="E140" i="55" s="1"/>
  <c r="G140" i="55" s="1"/>
  <c r="N580" i="18"/>
  <c r="E582" i="55" s="1"/>
  <c r="C750" i="18"/>
  <c r="K750" i="18" s="1"/>
  <c r="CJ22" i="52"/>
  <c r="X211" i="31"/>
  <c r="U211" i="31"/>
  <c r="X208" i="33"/>
  <c r="AF208" i="33"/>
  <c r="AK208" i="33" s="1"/>
  <c r="R200" i="43" a="1"/>
  <c r="R200" i="43" s="1"/>
  <c r="AB200" i="43" s="1"/>
  <c r="AF200" i="43" s="1"/>
  <c r="AJ200" i="43" s="1"/>
  <c r="R204" i="43" a="1"/>
  <c r="R204" i="43" s="1"/>
  <c r="AB204" i="43" s="1"/>
  <c r="CJ5" i="52"/>
  <c r="U180" i="29"/>
  <c r="U109" i="25"/>
  <c r="U105" i="32"/>
  <c r="X163" i="25"/>
  <c r="AF163" i="25"/>
  <c r="AK163" i="25" s="1"/>
  <c r="AF233" i="29"/>
  <c r="AK233" i="29" s="1"/>
  <c r="X233" i="29"/>
  <c r="AF161" i="40"/>
  <c r="AK161" i="40" s="1"/>
  <c r="X161" i="40"/>
  <c r="X59" i="36"/>
  <c r="AF59" i="36"/>
  <c r="AK59" i="36" s="1"/>
  <c r="U104" i="38"/>
  <c r="U296" i="44"/>
  <c r="X122" i="29"/>
  <c r="AF122" i="29"/>
  <c r="AK122" i="29" s="1"/>
  <c r="U110" i="40"/>
  <c r="AF210" i="37"/>
  <c r="AK210" i="37" s="1"/>
  <c r="X210" i="37"/>
  <c r="U122" i="46"/>
  <c r="U158" i="31"/>
  <c r="U105" i="28"/>
  <c r="U159" i="35"/>
  <c r="U59" i="35"/>
  <c r="U210" i="38"/>
  <c r="AF212" i="35"/>
  <c r="AK212" i="35" s="1"/>
  <c r="X212" i="35"/>
  <c r="U104" i="37"/>
  <c r="X58" i="41"/>
  <c r="AF58" i="41"/>
  <c r="AK58" i="41" s="1"/>
  <c r="U218" i="25"/>
  <c r="F752" i="55" l="1"/>
  <c r="P752" i="55"/>
  <c r="J752" i="55"/>
  <c r="O752" i="55"/>
  <c r="R750" i="18"/>
  <c r="D752" i="55"/>
  <c r="I4" i="55"/>
  <c r="I40" i="55"/>
  <c r="Q582" i="55"/>
  <c r="G582" i="55"/>
  <c r="H635" i="55"/>
  <c r="S635" i="55"/>
  <c r="H10" i="55"/>
  <c r="I10" i="55" s="1"/>
  <c r="H217" i="55"/>
  <c r="I217" i="55" s="1"/>
  <c r="Q220" i="55"/>
  <c r="G220" i="55"/>
  <c r="H14" i="55"/>
  <c r="I14" i="55" s="1"/>
  <c r="Q219" i="55"/>
  <c r="R219" i="55" s="1"/>
  <c r="D51" i="59" s="1"/>
  <c r="G216" i="55"/>
  <c r="H140" i="55"/>
  <c r="I140" i="55" s="1"/>
  <c r="R214" i="43" a="1"/>
  <c r="R214" i="43" s="1"/>
  <c r="AB214" i="43" s="1"/>
  <c r="N627" i="18"/>
  <c r="E629" i="55" s="1"/>
  <c r="G629" i="55" s="1"/>
  <c r="H629" i="55" s="1"/>
  <c r="I629" i="55" s="1"/>
  <c r="N13" i="18"/>
  <c r="E15" i="55" s="1"/>
  <c r="G15" i="55" s="1"/>
  <c r="R248" i="23" a="1"/>
  <c r="R248" i="23" s="1"/>
  <c r="AB248" i="23" s="1"/>
  <c r="AF248" i="23" s="1"/>
  <c r="AJ248" i="23" s="1"/>
  <c r="N153" i="18"/>
  <c r="E155" i="55" s="1"/>
  <c r="G155" i="55" s="1"/>
  <c r="H155" i="55" s="1"/>
  <c r="I155" i="55" s="1"/>
  <c r="N154" i="18"/>
  <c r="E156" i="55" s="1"/>
  <c r="G156" i="55" s="1"/>
  <c r="H156" i="55" s="1"/>
  <c r="I156" i="55" s="1"/>
  <c r="N151" i="18"/>
  <c r="E153" i="55" s="1"/>
  <c r="G153" i="55" s="1"/>
  <c r="N407" i="18"/>
  <c r="E409" i="55" s="1"/>
  <c r="G409" i="55" s="1"/>
  <c r="N155" i="18"/>
  <c r="E157" i="55" s="1"/>
  <c r="G157" i="55" s="1"/>
  <c r="N156" i="18"/>
  <c r="E158" i="55" s="1"/>
  <c r="G158" i="55" s="1"/>
  <c r="N152" i="18"/>
  <c r="E154" i="55" s="1"/>
  <c r="G154" i="55" s="1"/>
  <c r="H154" i="55" s="1"/>
  <c r="I154" i="55" s="1"/>
  <c r="N511" i="18"/>
  <c r="E513" i="55" s="1"/>
  <c r="G513" i="55" s="1"/>
  <c r="N509" i="18"/>
  <c r="E511" i="55" s="1"/>
  <c r="G511" i="55" s="1"/>
  <c r="H511" i="55" s="1"/>
  <c r="I511" i="55" s="1"/>
  <c r="N227" i="18"/>
  <c r="E229" i="55" s="1"/>
  <c r="G229" i="55" s="1"/>
  <c r="N514" i="18"/>
  <c r="E516" i="55" s="1"/>
  <c r="G516" i="55" s="1"/>
  <c r="N513" i="18"/>
  <c r="E515" i="55" s="1"/>
  <c r="G515" i="55" s="1"/>
  <c r="H515" i="55" s="1"/>
  <c r="I515" i="55" s="1"/>
  <c r="AJ236" i="23"/>
  <c r="N216" i="18"/>
  <c r="E218" i="55" s="1"/>
  <c r="G218" i="55" s="1"/>
  <c r="N376" i="18"/>
  <c r="E378" i="55" s="1"/>
  <c r="N217" i="18"/>
  <c r="E219" i="55" s="1"/>
  <c r="G219" i="55" s="1"/>
  <c r="N148" i="18"/>
  <c r="E150" i="55" s="1"/>
  <c r="N142" i="18"/>
  <c r="E144" i="55" s="1"/>
  <c r="N144" i="18"/>
  <c r="E146" i="55" s="1"/>
  <c r="G146" i="55" s="1"/>
  <c r="N592" i="18"/>
  <c r="E594" i="55" s="1"/>
  <c r="N143" i="18"/>
  <c r="E145" i="55" s="1"/>
  <c r="G145" i="55" s="1"/>
  <c r="N141" i="18"/>
  <c r="E143" i="55" s="1"/>
  <c r="G143" i="55" s="1"/>
  <c r="H143" i="55" s="1"/>
  <c r="I143" i="55" s="1"/>
  <c r="N145" i="18"/>
  <c r="E147" i="55" s="1"/>
  <c r="G147" i="55" s="1"/>
  <c r="N150" i="18"/>
  <c r="E152" i="55" s="1"/>
  <c r="G152" i="55" s="1"/>
  <c r="N146" i="18"/>
  <c r="E148" i="55" s="1"/>
  <c r="N147" i="18"/>
  <c r="E149" i="55" s="1"/>
  <c r="N648" i="18"/>
  <c r="E650" i="55" s="1"/>
  <c r="G650" i="55" s="1"/>
  <c r="CI4" i="52"/>
  <c r="D751" i="18"/>
  <c r="B753" i="55" s="1"/>
  <c r="B751" i="18"/>
  <c r="L751" i="18" s="1"/>
  <c r="E751" i="18"/>
  <c r="CM6" i="52"/>
  <c r="R203" i="43" a="1"/>
  <c r="R203" i="43" s="1"/>
  <c r="AB203" i="43" s="1"/>
  <c r="AF203" i="43" s="1"/>
  <c r="AJ203" i="43" s="1"/>
  <c r="R295" i="46" a="1"/>
  <c r="R295" i="46" s="1"/>
  <c r="R205" i="43" a="1"/>
  <c r="R205" i="43" s="1"/>
  <c r="AB205" i="43" s="1"/>
  <c r="AF205" i="43" s="1"/>
  <c r="AJ205" i="43" s="1"/>
  <c r="R209" i="43" a="1"/>
  <c r="R209" i="43" s="1"/>
  <c r="AB209" i="43" s="1"/>
  <c r="AF209" i="43" s="1"/>
  <c r="AJ209" i="43" s="1"/>
  <c r="R213" i="43" a="1"/>
  <c r="R213" i="43" s="1"/>
  <c r="AB213" i="43" s="1"/>
  <c r="AF213" i="43" s="1"/>
  <c r="AJ213" i="43" s="1"/>
  <c r="R206" i="43" a="1"/>
  <c r="R206" i="43" s="1"/>
  <c r="AB206" i="43" s="1"/>
  <c r="AF206" i="43" s="1"/>
  <c r="AJ206" i="43" s="1"/>
  <c r="R207" i="43" a="1"/>
  <c r="R207" i="43" s="1"/>
  <c r="AB207" i="43" s="1"/>
  <c r="AF207" i="43" s="1"/>
  <c r="AJ207" i="43" s="1"/>
  <c r="R211" i="43" a="1"/>
  <c r="R211" i="43" s="1"/>
  <c r="AB211" i="43" s="1"/>
  <c r="AF211" i="43" s="1"/>
  <c r="AJ211" i="43" s="1"/>
  <c r="R212" i="43" a="1"/>
  <c r="R212" i="43" s="1"/>
  <c r="AB212" i="43" s="1"/>
  <c r="AF212" i="43" s="1"/>
  <c r="AJ212" i="43" s="1"/>
  <c r="R208" i="43" a="1"/>
  <c r="R208" i="43" s="1"/>
  <c r="AB208" i="43" s="1"/>
  <c r="AF208" i="43" s="1"/>
  <c r="AJ208" i="43" s="1"/>
  <c r="N696" i="18"/>
  <c r="E698" i="55" s="1"/>
  <c r="G698" i="55" s="1"/>
  <c r="H698" i="55" s="1"/>
  <c r="I698" i="55" s="1"/>
  <c r="N695" i="18"/>
  <c r="E697" i="55" s="1"/>
  <c r="G697" i="55" s="1"/>
  <c r="H697" i="55" s="1"/>
  <c r="I697" i="55" s="1"/>
  <c r="AF204" i="43"/>
  <c r="CJ25" i="52"/>
  <c r="N474" i="18"/>
  <c r="E476" i="55" s="1"/>
  <c r="G476" i="55" s="1"/>
  <c r="H476" i="55" s="1"/>
  <c r="I476" i="55" s="1"/>
  <c r="N408" i="18"/>
  <c r="E410" i="55" s="1"/>
  <c r="G410" i="55" s="1"/>
  <c r="H410" i="55" s="1"/>
  <c r="I410" i="55" s="1"/>
  <c r="N406" i="18"/>
  <c r="E408" i="55" s="1"/>
  <c r="G408" i="55" s="1"/>
  <c r="N545" i="18"/>
  <c r="E547" i="55" s="1"/>
  <c r="G547" i="55" s="1"/>
  <c r="H547" i="55" s="1"/>
  <c r="I547" i="55" s="1"/>
  <c r="N548" i="18"/>
  <c r="E550" i="55" s="1"/>
  <c r="G550" i="55" s="1"/>
  <c r="N547" i="18"/>
  <c r="E549" i="55" s="1"/>
  <c r="G549" i="55" s="1"/>
  <c r="U161" i="40"/>
  <c r="U163" i="25"/>
  <c r="AF159" i="36"/>
  <c r="AK159" i="36" s="1"/>
  <c r="X159" i="36"/>
  <c r="U233" i="29"/>
  <c r="U212" i="35"/>
  <c r="AF104" i="41"/>
  <c r="AK104" i="41" s="1"/>
  <c r="X104" i="41"/>
  <c r="X157" i="41"/>
  <c r="AF157" i="41"/>
  <c r="AK157" i="41" s="1"/>
  <c r="U58" i="41"/>
  <c r="AF634" i="41"/>
  <c r="AK634" i="41" s="1"/>
  <c r="X634" i="41"/>
  <c r="AF422" i="41"/>
  <c r="AK422" i="41" s="1"/>
  <c r="X422" i="41"/>
  <c r="C753" i="55" l="1"/>
  <c r="O751" i="18"/>
  <c r="M752" i="55"/>
  <c r="L752" i="55"/>
  <c r="K752" i="55"/>
  <c r="N752" i="55"/>
  <c r="A753" i="55"/>
  <c r="M751" i="18"/>
  <c r="R752" i="55"/>
  <c r="T752" i="55"/>
  <c r="U752" i="55"/>
  <c r="S752" i="55"/>
  <c r="Q752" i="55"/>
  <c r="AB295" i="46"/>
  <c r="AF295" i="46" s="1"/>
  <c r="AJ295" i="46" s="1"/>
  <c r="I635" i="55"/>
  <c r="U635" i="55" s="1"/>
  <c r="T635" i="55"/>
  <c r="G149" i="55"/>
  <c r="Q149" i="55"/>
  <c r="Q381" i="55"/>
  <c r="G378" i="55"/>
  <c r="H229" i="55"/>
  <c r="I229" i="55" s="1"/>
  <c r="G148" i="55"/>
  <c r="Q148" i="55"/>
  <c r="H218" i="55"/>
  <c r="I218" i="55" s="1"/>
  <c r="H152" i="55"/>
  <c r="I152" i="55" s="1"/>
  <c r="H220" i="55"/>
  <c r="I220" i="55" s="1"/>
  <c r="H147" i="55"/>
  <c r="H513" i="55"/>
  <c r="I513" i="55" s="1"/>
  <c r="H15" i="55"/>
  <c r="H549" i="55"/>
  <c r="I549" i="55" s="1"/>
  <c r="H145" i="55"/>
  <c r="I145" i="55" s="1"/>
  <c r="G594" i="55"/>
  <c r="Q597" i="55"/>
  <c r="H158" i="55"/>
  <c r="I158" i="55" s="1"/>
  <c r="H146" i="55"/>
  <c r="I146" i="55" s="1"/>
  <c r="Q147" i="55"/>
  <c r="R147" i="55" s="1"/>
  <c r="D35" i="59" s="1"/>
  <c r="G144" i="55"/>
  <c r="H157" i="55"/>
  <c r="I157" i="55" s="1"/>
  <c r="H408" i="55"/>
  <c r="I408" i="55" s="1"/>
  <c r="G150" i="55"/>
  <c r="Q150" i="55"/>
  <c r="H409" i="55"/>
  <c r="I409" i="55" s="1"/>
  <c r="H216" i="55"/>
  <c r="I216" i="55" s="1"/>
  <c r="H550" i="55"/>
  <c r="I550" i="55" s="1"/>
  <c r="S219" i="55"/>
  <c r="H219" i="55"/>
  <c r="H153" i="55"/>
  <c r="I153" i="55" s="1"/>
  <c r="H582" i="55"/>
  <c r="S582" i="55"/>
  <c r="H650" i="55"/>
  <c r="S651" i="55"/>
  <c r="H516" i="55"/>
  <c r="I516" i="55" s="1"/>
  <c r="AC24" i="43"/>
  <c r="N697" i="18"/>
  <c r="E699" i="55" s="1"/>
  <c r="G699" i="55" s="1"/>
  <c r="H699" i="55" s="1"/>
  <c r="I699" i="55" s="1"/>
  <c r="R416" i="35" a="1"/>
  <c r="R416" i="35" s="1"/>
  <c r="AB416" i="35" s="1"/>
  <c r="AF416" i="35" s="1"/>
  <c r="AJ416" i="35" s="1"/>
  <c r="N411" i="18"/>
  <c r="E413" i="55" s="1"/>
  <c r="G413" i="55" s="1"/>
  <c r="R262" i="40" a="1"/>
  <c r="R262" i="40" s="1"/>
  <c r="AB262" i="40" s="1"/>
  <c r="N698" i="18"/>
  <c r="E700" i="55" s="1"/>
  <c r="R309" i="46" a="1"/>
  <c r="R309" i="46" s="1"/>
  <c r="AB309" i="46" s="1"/>
  <c r="N157" i="18"/>
  <c r="E159" i="55" s="1"/>
  <c r="G159" i="55" s="1"/>
  <c r="N158" i="18"/>
  <c r="E160" i="55" s="1"/>
  <c r="N409" i="18"/>
  <c r="E411" i="55" s="1"/>
  <c r="G411" i="55" s="1"/>
  <c r="AF214" i="43"/>
  <c r="AJ214" i="43" s="1"/>
  <c r="N149" i="18"/>
  <c r="E151" i="55" s="1"/>
  <c r="G151" i="55" s="1"/>
  <c r="H151" i="55" s="1"/>
  <c r="I151" i="55" s="1"/>
  <c r="CJ26" i="52"/>
  <c r="N542" i="18"/>
  <c r="E544" i="55" s="1"/>
  <c r="O753" i="55"/>
  <c r="A752" i="18"/>
  <c r="R402" i="35" a="1"/>
  <c r="R402" i="35" s="1"/>
  <c r="AB402" i="35" s="1"/>
  <c r="AF402" i="35" s="1"/>
  <c r="N480" i="18"/>
  <c r="E482" i="55" s="1"/>
  <c r="G482" i="55" s="1"/>
  <c r="H482" i="55" s="1"/>
  <c r="I482" i="55" s="1"/>
  <c r="N483" i="18"/>
  <c r="E485" i="55" s="1"/>
  <c r="G485" i="55" s="1"/>
  <c r="H485" i="55" s="1"/>
  <c r="I485" i="55" s="1"/>
  <c r="N517" i="18"/>
  <c r="E519" i="55" s="1"/>
  <c r="G519" i="55" s="1"/>
  <c r="H519" i="55" s="1"/>
  <c r="I519" i="55" s="1"/>
  <c r="N486" i="18"/>
  <c r="E488" i="55" s="1"/>
  <c r="G488" i="55" s="1"/>
  <c r="H488" i="55" s="1"/>
  <c r="I488" i="55" s="1"/>
  <c r="N516" i="18"/>
  <c r="E518" i="55" s="1"/>
  <c r="G518" i="55" s="1"/>
  <c r="H518" i="55" s="1"/>
  <c r="I518" i="55" s="1"/>
  <c r="N523" i="18"/>
  <c r="E525" i="55" s="1"/>
  <c r="G525" i="55" s="1"/>
  <c r="N448" i="18"/>
  <c r="E450" i="55" s="1"/>
  <c r="N652" i="18"/>
  <c r="E654" i="55" s="1"/>
  <c r="N410" i="18"/>
  <c r="E412" i="55" s="1"/>
  <c r="N518" i="18"/>
  <c r="E520" i="55" s="1"/>
  <c r="N522" i="18"/>
  <c r="E524" i="55" s="1"/>
  <c r="G524" i="55" s="1"/>
  <c r="H524" i="55" s="1"/>
  <c r="I524" i="55" s="1"/>
  <c r="N651" i="18"/>
  <c r="E653" i="55" s="1"/>
  <c r="N485" i="18"/>
  <c r="E487" i="55" s="1"/>
  <c r="G487" i="55" s="1"/>
  <c r="N520" i="18"/>
  <c r="E522" i="55" s="1"/>
  <c r="N524" i="18"/>
  <c r="E526" i="55" s="1"/>
  <c r="N484" i="18"/>
  <c r="E486" i="55" s="1"/>
  <c r="N450" i="18"/>
  <c r="E452" i="55" s="1"/>
  <c r="G452" i="55" s="1"/>
  <c r="N519" i="18"/>
  <c r="E521" i="55" s="1"/>
  <c r="G521" i="55" s="1"/>
  <c r="N521" i="18"/>
  <c r="E523" i="55" s="1"/>
  <c r="G523" i="55" s="1"/>
  <c r="H523" i="55" s="1"/>
  <c r="I523" i="55" s="1"/>
  <c r="N515" i="18"/>
  <c r="E517" i="55" s="1"/>
  <c r="G517" i="55" s="1"/>
  <c r="N512" i="18"/>
  <c r="E514" i="55" s="1"/>
  <c r="G514" i="55" s="1"/>
  <c r="H514" i="55" s="1"/>
  <c r="I514" i="55" s="1"/>
  <c r="R248" i="40" a="1"/>
  <c r="R248" i="40" s="1"/>
  <c r="C751" i="18"/>
  <c r="K751" i="18" s="1"/>
  <c r="N185" i="18"/>
  <c r="E187" i="55" s="1"/>
  <c r="G187" i="55" s="1"/>
  <c r="R307" i="46" a="1"/>
  <c r="R307" i="46" s="1"/>
  <c r="AB307" i="46" s="1"/>
  <c r="AF307" i="46" s="1"/>
  <c r="AJ307" i="46" s="1"/>
  <c r="R410" i="35" a="1"/>
  <c r="R410" i="35" s="1"/>
  <c r="AB410" i="35" s="1"/>
  <c r="AF410" i="35" s="1"/>
  <c r="AJ410" i="35" s="1"/>
  <c r="R298" i="46" a="1"/>
  <c r="R298" i="46" s="1"/>
  <c r="AB298" i="46" s="1"/>
  <c r="AF298" i="46" s="1"/>
  <c r="R405" i="35" a="1"/>
  <c r="R405" i="35" s="1"/>
  <c r="AB405" i="35" s="1"/>
  <c r="AF405" i="35" s="1"/>
  <c r="AJ405" i="35" s="1"/>
  <c r="R253" i="40" a="1"/>
  <c r="R253" i="40" s="1"/>
  <c r="AB253" i="40" s="1"/>
  <c r="AF253" i="40" s="1"/>
  <c r="AJ253" i="40" s="1"/>
  <c r="R409" i="35" a="1"/>
  <c r="R409" i="35" s="1"/>
  <c r="AB409" i="35" s="1"/>
  <c r="AF409" i="35" s="1"/>
  <c r="AJ409" i="35" s="1"/>
  <c r="N187" i="18"/>
  <c r="E189" i="55" s="1"/>
  <c r="G189" i="55" s="1"/>
  <c r="H189" i="55" s="1"/>
  <c r="I189" i="55" s="1"/>
  <c r="AB237" i="43"/>
  <c r="R301" i="46" a="1"/>
  <c r="R301" i="46" s="1"/>
  <c r="AB301" i="46" s="1"/>
  <c r="AF301" i="46" s="1"/>
  <c r="AJ301" i="46" s="1"/>
  <c r="R411" i="35" a="1"/>
  <c r="R411" i="35" s="1"/>
  <c r="AB411" i="35" s="1"/>
  <c r="AF411" i="35" s="1"/>
  <c r="AJ411" i="35" s="1"/>
  <c r="R303" i="46" a="1"/>
  <c r="R303" i="46" s="1"/>
  <c r="AB303" i="46" s="1"/>
  <c r="AF303" i="46" s="1"/>
  <c r="AJ303" i="46" s="1"/>
  <c r="R251" i="40" a="1"/>
  <c r="R251" i="40" s="1"/>
  <c r="AB251" i="40" s="1"/>
  <c r="AF251" i="40" s="1"/>
  <c r="AJ251" i="40" s="1"/>
  <c r="R302" i="46" a="1"/>
  <c r="R302" i="46" s="1"/>
  <c r="AB302" i="46" s="1"/>
  <c r="AF302" i="46" s="1"/>
  <c r="AJ302" i="46" s="1"/>
  <c r="R304" i="46" a="1"/>
  <c r="R304" i="46" s="1"/>
  <c r="AB304" i="46" s="1"/>
  <c r="AF304" i="46" s="1"/>
  <c r="AJ304" i="46" s="1"/>
  <c r="R300" i="46" a="1"/>
  <c r="R300" i="46" s="1"/>
  <c r="AB300" i="46" s="1"/>
  <c r="AF300" i="46" s="1"/>
  <c r="AJ300" i="46" s="1"/>
  <c r="R256" i="40" a="1"/>
  <c r="R256" i="40" s="1"/>
  <c r="AB256" i="40" s="1"/>
  <c r="AF256" i="40" s="1"/>
  <c r="AJ256" i="40" s="1"/>
  <c r="R257" i="40" a="1"/>
  <c r="R257" i="40" s="1"/>
  <c r="AB257" i="40" s="1"/>
  <c r="AF257" i="40" s="1"/>
  <c r="AJ257" i="40" s="1"/>
  <c r="R255" i="40" a="1"/>
  <c r="R255" i="40" s="1"/>
  <c r="AB255" i="40" s="1"/>
  <c r="AF255" i="40" s="1"/>
  <c r="AJ255" i="40" s="1"/>
  <c r="R415" i="35" a="1"/>
  <c r="R415" i="35" s="1"/>
  <c r="AB415" i="35" s="1"/>
  <c r="AF415" i="35" s="1"/>
  <c r="AJ415" i="35" s="1"/>
  <c r="R254" i="40" a="1"/>
  <c r="R254" i="40" s="1"/>
  <c r="AB254" i="40" s="1"/>
  <c r="AF254" i="40" s="1"/>
  <c r="AJ254" i="40" s="1"/>
  <c r="R412" i="35" a="1"/>
  <c r="R412" i="35" s="1"/>
  <c r="AB412" i="35" s="1"/>
  <c r="AF412" i="35" s="1"/>
  <c r="AJ412" i="35" s="1"/>
  <c r="R308" i="46" a="1"/>
  <c r="R308" i="46" s="1"/>
  <c r="AB308" i="46" s="1"/>
  <c r="AF308" i="46" s="1"/>
  <c r="AJ308" i="46" s="1"/>
  <c r="R260" i="40" a="1"/>
  <c r="R260" i="40" s="1"/>
  <c r="AB260" i="40" s="1"/>
  <c r="AF260" i="40" s="1"/>
  <c r="AJ260" i="40" s="1"/>
  <c r="R259" i="40" a="1"/>
  <c r="R259" i="40" s="1"/>
  <c r="AB259" i="40" s="1"/>
  <c r="AF259" i="40" s="1"/>
  <c r="AJ259" i="40" s="1"/>
  <c r="R414" i="35" a="1"/>
  <c r="R414" i="35" s="1"/>
  <c r="AB414" i="35" s="1"/>
  <c r="AF414" i="35" s="1"/>
  <c r="AJ414" i="35" s="1"/>
  <c r="N188" i="18"/>
  <c r="E190" i="55" s="1"/>
  <c r="G190" i="55" s="1"/>
  <c r="H190" i="55" s="1"/>
  <c r="I190" i="55" s="1"/>
  <c r="R261" i="40" a="1"/>
  <c r="R261" i="40" s="1"/>
  <c r="AB261" i="40" s="1"/>
  <c r="AF261" i="40" s="1"/>
  <c r="AJ261" i="40" s="1"/>
  <c r="R407" i="35" a="1"/>
  <c r="R407" i="35" s="1"/>
  <c r="AB407" i="35" s="1"/>
  <c r="AF407" i="35" s="1"/>
  <c r="AJ407" i="35" s="1"/>
  <c r="R306" i="46" a="1"/>
  <c r="R306" i="46" s="1"/>
  <c r="AB306" i="46" s="1"/>
  <c r="AF306" i="46" s="1"/>
  <c r="AJ306" i="46" s="1"/>
  <c r="R252" i="40" a="1"/>
  <c r="R252" i="40" s="1"/>
  <c r="AB252" i="40" s="1"/>
  <c r="AF252" i="40" s="1"/>
  <c r="AJ252" i="40" s="1"/>
  <c r="R299" i="46" a="1"/>
  <c r="R299" i="46" s="1"/>
  <c r="AB299" i="46" s="1"/>
  <c r="AF299" i="46" s="1"/>
  <c r="AJ299" i="46" s="1"/>
  <c r="CJ4" i="52"/>
  <c r="R408" i="35" a="1"/>
  <c r="R408" i="35" s="1"/>
  <c r="AB408" i="35" s="1"/>
  <c r="AF408" i="35" s="1"/>
  <c r="AJ408" i="35" s="1"/>
  <c r="R406" i="35" a="1"/>
  <c r="R406" i="35" s="1"/>
  <c r="AJ204" i="43"/>
  <c r="N186" i="18"/>
  <c r="E188" i="55" s="1"/>
  <c r="G188" i="55" s="1"/>
  <c r="N443" i="18"/>
  <c r="E445" i="55" s="1"/>
  <c r="G445" i="55" s="1"/>
  <c r="N442" i="18"/>
  <c r="E444" i="55" s="1"/>
  <c r="G444" i="55" s="1"/>
  <c r="H444" i="55" s="1"/>
  <c r="I444" i="55" s="1"/>
  <c r="N444" i="18"/>
  <c r="E446" i="55" s="1"/>
  <c r="G446" i="55" s="1"/>
  <c r="H446" i="55" s="1"/>
  <c r="I446" i="55" s="1"/>
  <c r="N445" i="18"/>
  <c r="E447" i="55" s="1"/>
  <c r="G447" i="55" s="1"/>
  <c r="H447" i="55" s="1"/>
  <c r="I447" i="55" s="1"/>
  <c r="N440" i="18"/>
  <c r="E442" i="55" s="1"/>
  <c r="G442" i="55" s="1"/>
  <c r="H442" i="55" s="1"/>
  <c r="I442" i="55" s="1"/>
  <c r="N441" i="18"/>
  <c r="E443" i="55" s="1"/>
  <c r="G443" i="55" s="1"/>
  <c r="N366" i="18"/>
  <c r="E368" i="55" s="1"/>
  <c r="G368" i="55" s="1"/>
  <c r="U157" i="41"/>
  <c r="X210" i="41"/>
  <c r="AF210" i="41"/>
  <c r="AK210" i="41" s="1"/>
  <c r="U104" i="41"/>
  <c r="AF581" i="41"/>
  <c r="AK581" i="41" s="1"/>
  <c r="X581" i="41"/>
  <c r="X533" i="41"/>
  <c r="AF533" i="41"/>
  <c r="AK533" i="41" s="1"/>
  <c r="U634" i="41"/>
  <c r="AF321" i="41"/>
  <c r="AK321" i="41" s="1"/>
  <c r="X321" i="41"/>
  <c r="U422" i="41"/>
  <c r="AF369" i="41"/>
  <c r="AK369" i="41" s="1"/>
  <c r="X369" i="41"/>
  <c r="P753" i="55" l="1"/>
  <c r="J753" i="55"/>
  <c r="F753" i="55"/>
  <c r="R751" i="18"/>
  <c r="D753" i="55"/>
  <c r="AB248" i="40"/>
  <c r="AF248" i="40" s="1"/>
  <c r="I147" i="55"/>
  <c r="I650" i="55"/>
  <c r="U651" i="55" s="1"/>
  <c r="T651" i="55"/>
  <c r="I582" i="55"/>
  <c r="T582" i="55"/>
  <c r="I219" i="55"/>
  <c r="U219" i="55" s="1"/>
  <c r="T219" i="55"/>
  <c r="I15" i="55"/>
  <c r="H443" i="55"/>
  <c r="I443" i="55" s="1"/>
  <c r="H517" i="55"/>
  <c r="I517" i="55" s="1"/>
  <c r="G654" i="55"/>
  <c r="Q654" i="55"/>
  <c r="H159" i="55"/>
  <c r="I159" i="55" s="1"/>
  <c r="H144" i="55"/>
  <c r="I144" i="55" s="1"/>
  <c r="G450" i="55"/>
  <c r="G700" i="55"/>
  <c r="G160" i="55"/>
  <c r="H452" i="55"/>
  <c r="I452" i="55" s="1"/>
  <c r="Q489" i="55"/>
  <c r="G486" i="55"/>
  <c r="H148" i="55"/>
  <c r="G412" i="55"/>
  <c r="G544" i="55"/>
  <c r="Q544" i="55"/>
  <c r="H445" i="55"/>
  <c r="I445" i="55" s="1"/>
  <c r="Q526" i="55"/>
  <c r="G526" i="55"/>
  <c r="H413" i="55"/>
  <c r="I413" i="55" s="1"/>
  <c r="S147" i="55"/>
  <c r="H521" i="55"/>
  <c r="I521" i="55" s="1"/>
  <c r="H525" i="55"/>
  <c r="H188" i="55"/>
  <c r="I188" i="55" s="1"/>
  <c r="G522" i="55"/>
  <c r="S525" i="55" s="1"/>
  <c r="Q525" i="55"/>
  <c r="S150" i="55"/>
  <c r="H150" i="55"/>
  <c r="T150" i="55" s="1"/>
  <c r="H487" i="55"/>
  <c r="I487" i="55" s="1"/>
  <c r="H594" i="55"/>
  <c r="S597" i="55"/>
  <c r="R597" i="55" s="1"/>
  <c r="D135" i="59" s="1"/>
  <c r="H378" i="55"/>
  <c r="I378" i="55" s="1"/>
  <c r="H368" i="55"/>
  <c r="I368" i="55" s="1"/>
  <c r="H187" i="55"/>
  <c r="I187" i="55" s="1"/>
  <c r="Q653" i="55"/>
  <c r="G653" i="55"/>
  <c r="G520" i="55"/>
  <c r="H411" i="55"/>
  <c r="I411" i="55" s="1"/>
  <c r="H149" i="55"/>
  <c r="T149" i="55" s="1"/>
  <c r="S149" i="55"/>
  <c r="AF237" i="43"/>
  <c r="AF309" i="46"/>
  <c r="AJ309" i="46" s="1"/>
  <c r="N193" i="18"/>
  <c r="E195" i="55" s="1"/>
  <c r="G195" i="55" s="1"/>
  <c r="H195" i="55" s="1"/>
  <c r="I195" i="55" s="1"/>
  <c r="AF262" i="40"/>
  <c r="AJ262" i="40" s="1"/>
  <c r="AJ237" i="43"/>
  <c r="N446" i="18"/>
  <c r="E448" i="55" s="1"/>
  <c r="N482" i="18"/>
  <c r="E484" i="55" s="1"/>
  <c r="N447" i="18"/>
  <c r="E449" i="55" s="1"/>
  <c r="G449" i="55" s="1"/>
  <c r="N481" i="18"/>
  <c r="E483" i="55" s="1"/>
  <c r="G483" i="55" s="1"/>
  <c r="H483" i="55" s="1"/>
  <c r="I483" i="55" s="1"/>
  <c r="N476" i="18"/>
  <c r="E478" i="55" s="1"/>
  <c r="G478" i="55" s="1"/>
  <c r="H478" i="55" s="1"/>
  <c r="I478" i="55" s="1"/>
  <c r="N477" i="18"/>
  <c r="E479" i="55" s="1"/>
  <c r="G479" i="55" s="1"/>
  <c r="H479" i="55" s="1"/>
  <c r="I479" i="55" s="1"/>
  <c r="N479" i="18"/>
  <c r="E481" i="55" s="1"/>
  <c r="G481" i="55" s="1"/>
  <c r="H481" i="55" s="1"/>
  <c r="I481" i="55" s="1"/>
  <c r="N449" i="18"/>
  <c r="E451" i="55" s="1"/>
  <c r="G451" i="55" s="1"/>
  <c r="H451" i="55" s="1"/>
  <c r="I451" i="55" s="1"/>
  <c r="N475" i="18"/>
  <c r="E477" i="55" s="1"/>
  <c r="G477" i="55" s="1"/>
  <c r="N478" i="18"/>
  <c r="E480" i="55" s="1"/>
  <c r="G480" i="55" s="1"/>
  <c r="N184" i="18"/>
  <c r="E186" i="55" s="1"/>
  <c r="N181" i="18"/>
  <c r="E183" i="55" s="1"/>
  <c r="G183" i="55" s="1"/>
  <c r="N180" i="18"/>
  <c r="E182" i="55" s="1"/>
  <c r="G182" i="55" s="1"/>
  <c r="N179" i="18"/>
  <c r="E181" i="55" s="1"/>
  <c r="G181" i="55" s="1"/>
  <c r="N182" i="18"/>
  <c r="E184" i="55" s="1"/>
  <c r="N178" i="18"/>
  <c r="E180" i="55" s="1"/>
  <c r="N183" i="18"/>
  <c r="E185" i="55" s="1"/>
  <c r="N413" i="18"/>
  <c r="E415" i="55" s="1"/>
  <c r="N414" i="18"/>
  <c r="E416" i="55" s="1"/>
  <c r="G416" i="55" s="1"/>
  <c r="H416" i="55" s="1"/>
  <c r="I416" i="55" s="1"/>
  <c r="B752" i="18"/>
  <c r="D752" i="18"/>
  <c r="B754" i="55" s="1"/>
  <c r="E752" i="18"/>
  <c r="AJ402" i="35"/>
  <c r="AJ298" i="46"/>
  <c r="AB406" i="35"/>
  <c r="U210" i="41"/>
  <c r="X263" i="41"/>
  <c r="AF263" i="41"/>
  <c r="AK263" i="41" s="1"/>
  <c r="AF687" i="41"/>
  <c r="AK687" i="41" s="1"/>
  <c r="X687" i="41"/>
  <c r="U533" i="41"/>
  <c r="U581" i="41"/>
  <c r="AF475" i="41"/>
  <c r="AK475" i="41" s="1"/>
  <c r="X475" i="41"/>
  <c r="U369" i="41"/>
  <c r="U321" i="41"/>
  <c r="A754" i="55" l="1"/>
  <c r="M752" i="18"/>
  <c r="L752" i="18"/>
  <c r="C754" i="55"/>
  <c r="O752" i="18"/>
  <c r="M753" i="55"/>
  <c r="N753" i="55"/>
  <c r="K753" i="55"/>
  <c r="L753" i="55"/>
  <c r="T753" i="55"/>
  <c r="U753" i="55"/>
  <c r="R753" i="55"/>
  <c r="S753" i="55"/>
  <c r="Q753" i="55"/>
  <c r="AJ248" i="40"/>
  <c r="I149" i="55"/>
  <c r="U149" i="55" s="1"/>
  <c r="Q453" i="55"/>
  <c r="I594" i="55"/>
  <c r="U597" i="55" s="1"/>
  <c r="T597" i="55"/>
  <c r="U582" i="55"/>
  <c r="I148" i="55"/>
  <c r="R525" i="55"/>
  <c r="D119" i="59" s="1"/>
  <c r="T147" i="55"/>
  <c r="U147" i="55"/>
  <c r="G184" i="55"/>
  <c r="Q184" i="55"/>
  <c r="H653" i="55"/>
  <c r="T653" i="55" s="1"/>
  <c r="S653" i="55"/>
  <c r="G415" i="55"/>
  <c r="Q417" i="55"/>
  <c r="H450" i="55"/>
  <c r="I450" i="55" s="1"/>
  <c r="Q185" i="55"/>
  <c r="G185" i="55"/>
  <c r="H480" i="55"/>
  <c r="I480" i="55" s="1"/>
  <c r="H526" i="55"/>
  <c r="H486" i="55"/>
  <c r="I486" i="55" s="1"/>
  <c r="H181" i="55"/>
  <c r="I181" i="55" s="1"/>
  <c r="H522" i="55"/>
  <c r="I522" i="55" s="1"/>
  <c r="H449" i="55"/>
  <c r="I449" i="55" s="1"/>
  <c r="H477" i="55"/>
  <c r="I477" i="55" s="1"/>
  <c r="H182" i="55"/>
  <c r="I182" i="55" s="1"/>
  <c r="G484" i="55"/>
  <c r="H183" i="55"/>
  <c r="S654" i="55"/>
  <c r="H654" i="55"/>
  <c r="T654" i="55" s="1"/>
  <c r="I525" i="55"/>
  <c r="H544" i="55"/>
  <c r="G186" i="55"/>
  <c r="Q186" i="55"/>
  <c r="G448" i="55"/>
  <c r="H520" i="55"/>
  <c r="I520" i="55" s="1"/>
  <c r="H160" i="55"/>
  <c r="I160" i="55" s="1"/>
  <c r="I150" i="55"/>
  <c r="U150" i="55" s="1"/>
  <c r="H412" i="55"/>
  <c r="I412" i="55" s="1"/>
  <c r="Q183" i="55"/>
  <c r="R183" i="55" s="1"/>
  <c r="D43" i="59" s="1"/>
  <c r="G180" i="55"/>
  <c r="H700" i="55"/>
  <c r="I700" i="55" s="1"/>
  <c r="A753" i="18"/>
  <c r="O754" i="55"/>
  <c r="C752" i="18"/>
  <c r="K752" i="18" s="1"/>
  <c r="AF406" i="35"/>
  <c r="U263" i="41"/>
  <c r="U687" i="41"/>
  <c r="U475" i="41"/>
  <c r="F754" i="55" l="1"/>
  <c r="P754" i="55"/>
  <c r="J754" i="55"/>
  <c r="R752" i="18"/>
  <c r="D754" i="55"/>
  <c r="T525" i="55"/>
  <c r="I653" i="55"/>
  <c r="U653" i="55" s="1"/>
  <c r="U525" i="55"/>
  <c r="I183" i="55"/>
  <c r="S186" i="55"/>
  <c r="H186" i="55"/>
  <c r="T186" i="55" s="1"/>
  <c r="H484" i="55"/>
  <c r="I484" i="55" s="1"/>
  <c r="H415" i="55"/>
  <c r="I415" i="55" s="1"/>
  <c r="H180" i="55"/>
  <c r="I180" i="55" s="1"/>
  <c r="I544" i="55"/>
  <c r="I526" i="55"/>
  <c r="I654" i="55"/>
  <c r="U654" i="55" s="1"/>
  <c r="S183" i="55"/>
  <c r="H448" i="55"/>
  <c r="I448" i="55" s="1"/>
  <c r="H184" i="55"/>
  <c r="I184" i="55" s="1"/>
  <c r="H185" i="55"/>
  <c r="T185" i="55" s="1"/>
  <c r="S185" i="55"/>
  <c r="N546" i="18"/>
  <c r="E548" i="55" s="1"/>
  <c r="G548" i="55" s="1"/>
  <c r="B753" i="18"/>
  <c r="D753" i="18"/>
  <c r="B755" i="55" s="1"/>
  <c r="E753" i="18"/>
  <c r="AJ406" i="35"/>
  <c r="R719" i="41" a="1"/>
  <c r="R719" i="41" s="1"/>
  <c r="K754" i="55" l="1"/>
  <c r="L754" i="55"/>
  <c r="M754" i="55"/>
  <c r="N754" i="55"/>
  <c r="T754" i="55"/>
  <c r="U754" i="55"/>
  <c r="S754" i="55"/>
  <c r="R754" i="55"/>
  <c r="Q754" i="55"/>
  <c r="C755" i="55"/>
  <c r="O753" i="18"/>
  <c r="A755" i="55"/>
  <c r="M753" i="18"/>
  <c r="L753" i="18"/>
  <c r="AB719" i="41"/>
  <c r="AF719" i="41" s="1"/>
  <c r="U183" i="55"/>
  <c r="T183" i="55"/>
  <c r="I185" i="55"/>
  <c r="U185" i="55" s="1"/>
  <c r="H548" i="55"/>
  <c r="I548" i="55" s="1"/>
  <c r="I186" i="55"/>
  <c r="U186" i="55" s="1"/>
  <c r="A754" i="18"/>
  <c r="C753" i="18"/>
  <c r="K753" i="18" s="1"/>
  <c r="F755" i="55" l="1"/>
  <c r="P755" i="55"/>
  <c r="J755" i="55"/>
  <c r="O755" i="55"/>
  <c r="R753" i="18"/>
  <c r="D755" i="55"/>
  <c r="D754" i="18"/>
  <c r="B756" i="55" s="1"/>
  <c r="E754" i="18"/>
  <c r="B754" i="18"/>
  <c r="L754" i="18" s="1"/>
  <c r="AJ719" i="41"/>
  <c r="A756" i="55" l="1"/>
  <c r="O756" i="55" s="1"/>
  <c r="M754" i="18"/>
  <c r="N755" i="55"/>
  <c r="K755" i="55"/>
  <c r="M755" i="55"/>
  <c r="L755" i="55"/>
  <c r="C756" i="55"/>
  <c r="O754" i="18"/>
  <c r="R755" i="55"/>
  <c r="S755" i="55"/>
  <c r="T755" i="55"/>
  <c r="U755" i="55"/>
  <c r="Q755" i="55"/>
  <c r="A755" i="18"/>
  <c r="N754" i="18"/>
  <c r="E756" i="55" s="1"/>
  <c r="C754" i="18"/>
  <c r="K754" i="18" s="1"/>
  <c r="F756" i="55" l="1"/>
  <c r="G756" i="55" s="1"/>
  <c r="P756" i="55"/>
  <c r="J756" i="55"/>
  <c r="R754" i="18"/>
  <c r="D756" i="55"/>
  <c r="E755" i="18"/>
  <c r="D755" i="18"/>
  <c r="B757" i="55" s="1"/>
  <c r="B755" i="18"/>
  <c r="AC20" i="43"/>
  <c r="AC19" i="43"/>
  <c r="A757" i="55" l="1"/>
  <c r="M755" i="18"/>
  <c r="L755" i="18"/>
  <c r="C757" i="55"/>
  <c r="O755" i="18"/>
  <c r="K756" i="55"/>
  <c r="N756" i="55"/>
  <c r="M756" i="55"/>
  <c r="L756" i="55"/>
  <c r="R756" i="55"/>
  <c r="S756" i="55"/>
  <c r="T756" i="55"/>
  <c r="U756" i="55"/>
  <c r="Q756" i="55"/>
  <c r="H756" i="55"/>
  <c r="I756" i="55" s="1"/>
  <c r="A756" i="18"/>
  <c r="O757" i="55"/>
  <c r="N755" i="18"/>
  <c r="C755" i="18"/>
  <c r="K755" i="18" s="1"/>
  <c r="AC21" i="43"/>
  <c r="AC23" i="43" s="1"/>
  <c r="AC25" i="43" s="1"/>
  <c r="E757" i="55" l="1"/>
  <c r="F757" i="55"/>
  <c r="P757" i="55"/>
  <c r="J757" i="55"/>
  <c r="R755" i="18"/>
  <c r="D757" i="55"/>
  <c r="E756" i="18"/>
  <c r="D756" i="18"/>
  <c r="B758" i="55" s="1"/>
  <c r="B756" i="18"/>
  <c r="G757" i="55" l="1"/>
  <c r="H757" i="55" s="1"/>
  <c r="I757" i="55" s="1"/>
  <c r="A758" i="55"/>
  <c r="M756" i="18"/>
  <c r="C758" i="55"/>
  <c r="O756" i="18"/>
  <c r="N757" i="55"/>
  <c r="L757" i="55"/>
  <c r="M757" i="55"/>
  <c r="K757" i="55"/>
  <c r="R757" i="55"/>
  <c r="T757" i="55"/>
  <c r="U757" i="55"/>
  <c r="S757" i="55"/>
  <c r="Q757" i="55"/>
  <c r="L756" i="18"/>
  <c r="A757" i="18"/>
  <c r="O758" i="55"/>
  <c r="N756" i="18"/>
  <c r="C756" i="18"/>
  <c r="K756" i="18" s="1"/>
  <c r="E758" i="55" l="1"/>
  <c r="F758" i="55"/>
  <c r="P758" i="55"/>
  <c r="J758" i="55"/>
  <c r="R756" i="18"/>
  <c r="D758" i="55"/>
  <c r="E757" i="18"/>
  <c r="D757" i="18"/>
  <c r="B759" i="55" s="1"/>
  <c r="B757" i="18"/>
  <c r="G758" i="55" l="1"/>
  <c r="H758" i="55" s="1"/>
  <c r="I758" i="55" s="1"/>
  <c r="A759" i="55"/>
  <c r="M757" i="18"/>
  <c r="K758" i="55"/>
  <c r="N758" i="55"/>
  <c r="M758" i="55"/>
  <c r="L758" i="55"/>
  <c r="R758" i="55"/>
  <c r="T758" i="55"/>
  <c r="U758" i="55"/>
  <c r="S758" i="55"/>
  <c r="Q758" i="55"/>
  <c r="C759" i="55"/>
  <c r="O757" i="18"/>
  <c r="L757" i="18"/>
  <c r="A758" i="18"/>
  <c r="N757" i="18"/>
  <c r="O759" i="55"/>
  <c r="C757" i="18"/>
  <c r="K757" i="18" s="1"/>
  <c r="E759" i="55" l="1"/>
  <c r="F759" i="55"/>
  <c r="P759" i="55"/>
  <c r="Q759" i="55" s="1"/>
  <c r="R759" i="55" s="1"/>
  <c r="D171" i="59" s="1"/>
  <c r="J759" i="55"/>
  <c r="R757" i="18"/>
  <c r="D759" i="55"/>
  <c r="B758" i="18"/>
  <c r="D758" i="18"/>
  <c r="B760" i="55" s="1"/>
  <c r="E758" i="18"/>
  <c r="G759" i="55" l="1"/>
  <c r="H759" i="55" s="1"/>
  <c r="T759" i="55" s="1"/>
  <c r="O758" i="18"/>
  <c r="C760" i="55"/>
  <c r="N759" i="55"/>
  <c r="M759" i="55"/>
  <c r="L759" i="55"/>
  <c r="K759" i="55"/>
  <c r="A760" i="55"/>
  <c r="P760" i="55" s="1"/>
  <c r="L758" i="18"/>
  <c r="M758" i="18"/>
  <c r="A759" i="18"/>
  <c r="N758" i="18"/>
  <c r="C758" i="18"/>
  <c r="K758" i="18" s="1"/>
  <c r="S759" i="55" l="1"/>
  <c r="J760" i="55"/>
  <c r="I759" i="55"/>
  <c r="U759" i="55" s="1"/>
  <c r="F760" i="55"/>
  <c r="E760" i="55"/>
  <c r="Q760" i="55" s="1"/>
  <c r="O760" i="55"/>
  <c r="R758" i="18"/>
  <c r="D760" i="55"/>
  <c r="E759" i="18"/>
  <c r="B759" i="18"/>
  <c r="D759" i="18"/>
  <c r="B761" i="55" s="1"/>
  <c r="X107" i="44"/>
  <c r="AF107" i="44"/>
  <c r="AK107" i="44" s="1"/>
  <c r="AF162" i="44"/>
  <c r="AK162" i="44" s="1"/>
  <c r="N654" i="18"/>
  <c r="E656" i="55" s="1"/>
  <c r="G656" i="55" s="1"/>
  <c r="H656" i="55" s="1"/>
  <c r="I656" i="55" s="1"/>
  <c r="G760" i="55" l="1"/>
  <c r="H760" i="55" s="1"/>
  <c r="A761" i="55"/>
  <c r="M759" i="18"/>
  <c r="C761" i="55"/>
  <c r="O759" i="18"/>
  <c r="L759" i="18"/>
  <c r="A760" i="18"/>
  <c r="O761" i="55"/>
  <c r="N759" i="18"/>
  <c r="N553" i="18"/>
  <c r="E555" i="55" s="1"/>
  <c r="G555" i="55" s="1"/>
  <c r="H555" i="55" s="1"/>
  <c r="I555" i="55" s="1"/>
  <c r="N550" i="18"/>
  <c r="E552" i="55" s="1"/>
  <c r="G552" i="55" s="1"/>
  <c r="H552" i="55" s="1"/>
  <c r="I552" i="55" s="1"/>
  <c r="N618" i="18"/>
  <c r="E620" i="55" s="1"/>
  <c r="G620" i="55" s="1"/>
  <c r="H620" i="55" s="1"/>
  <c r="I620" i="55" s="1"/>
  <c r="N552" i="18"/>
  <c r="E554" i="55" s="1"/>
  <c r="G554" i="55" s="1"/>
  <c r="N556" i="18"/>
  <c r="E558" i="55" s="1"/>
  <c r="C759" i="18"/>
  <c r="K759" i="18" s="1"/>
  <c r="X162" i="44"/>
  <c r="N585" i="18"/>
  <c r="E587" i="55" s="1"/>
  <c r="G587" i="55" s="1"/>
  <c r="H587" i="55" s="1"/>
  <c r="I587" i="55" s="1"/>
  <c r="N588" i="18"/>
  <c r="E590" i="55" s="1"/>
  <c r="G590" i="55" s="1"/>
  <c r="N584" i="18"/>
  <c r="E586" i="55" s="1"/>
  <c r="G586" i="55" s="1"/>
  <c r="H586" i="55" s="1"/>
  <c r="I586" i="55" s="1"/>
  <c r="N583" i="18"/>
  <c r="E585" i="55" s="1"/>
  <c r="G585" i="55" s="1"/>
  <c r="H585" i="55" s="1"/>
  <c r="I585" i="55" s="1"/>
  <c r="N581" i="18"/>
  <c r="E583" i="55" s="1"/>
  <c r="G583" i="55" s="1"/>
  <c r="R315" i="44" a="1"/>
  <c r="R315" i="44" s="1"/>
  <c r="AB315" i="44" s="1"/>
  <c r="R723" i="41" a="1"/>
  <c r="R723" i="41" s="1"/>
  <c r="E761" i="55" l="1"/>
  <c r="F761" i="55"/>
  <c r="P761" i="55"/>
  <c r="J761" i="55"/>
  <c r="R759" i="18"/>
  <c r="D761" i="55"/>
  <c r="I760" i="55"/>
  <c r="H554" i="55"/>
  <c r="I554" i="55" s="1"/>
  <c r="H583" i="55"/>
  <c r="G558" i="55"/>
  <c r="H590" i="55"/>
  <c r="I590" i="55" s="1"/>
  <c r="N554" i="18"/>
  <c r="E556" i="55" s="1"/>
  <c r="N586" i="18"/>
  <c r="E588" i="55" s="1"/>
  <c r="G588" i="55" s="1"/>
  <c r="H588" i="55" s="1"/>
  <c r="I588" i="55" s="1"/>
  <c r="N555" i="18"/>
  <c r="E557" i="55" s="1"/>
  <c r="G557" i="55" s="1"/>
  <c r="H557" i="55" s="1"/>
  <c r="I557" i="55" s="1"/>
  <c r="N587" i="18"/>
  <c r="E589" i="55" s="1"/>
  <c r="G589" i="55" s="1"/>
  <c r="H589" i="55" s="1"/>
  <c r="I589" i="55" s="1"/>
  <c r="R725" i="41" a="1"/>
  <c r="R725" i="41" s="1"/>
  <c r="AB725" i="41" s="1"/>
  <c r="AF725" i="41" s="1"/>
  <c r="AJ725" i="41" s="1"/>
  <c r="R730" i="41" a="1"/>
  <c r="R730" i="41" s="1"/>
  <c r="AB730" i="41" s="1"/>
  <c r="AF730" i="41" s="1"/>
  <c r="AJ730" i="41" s="1"/>
  <c r="R726" i="41" a="1"/>
  <c r="R726" i="41" s="1"/>
  <c r="AB726" i="41" s="1"/>
  <c r="N557" i="18"/>
  <c r="E559" i="55" s="1"/>
  <c r="G559" i="55" s="1"/>
  <c r="N589" i="18"/>
  <c r="E591" i="55" s="1"/>
  <c r="G591" i="55" s="1"/>
  <c r="H591" i="55" s="1"/>
  <c r="I591" i="55" s="1"/>
  <c r="R727" i="41" a="1"/>
  <c r="R727" i="41" s="1"/>
  <c r="AB727" i="41" s="1"/>
  <c r="AF727" i="41" s="1"/>
  <c r="AJ727" i="41" s="1"/>
  <c r="N558" i="18"/>
  <c r="E560" i="55" s="1"/>
  <c r="G560" i="55" s="1"/>
  <c r="H560" i="55" s="1"/>
  <c r="I560" i="55" s="1"/>
  <c r="R728" i="41" a="1"/>
  <c r="R728" i="41" s="1"/>
  <c r="AB728" i="41" s="1"/>
  <c r="AF728" i="41" s="1"/>
  <c r="AJ728" i="41" s="1"/>
  <c r="N551" i="18"/>
  <c r="E553" i="55" s="1"/>
  <c r="G553" i="55" s="1"/>
  <c r="H553" i="55" s="1"/>
  <c r="I553" i="55" s="1"/>
  <c r="R724" i="41" a="1"/>
  <c r="R724" i="41" s="1"/>
  <c r="AB724" i="41" s="1"/>
  <c r="AF724" i="41" s="1"/>
  <c r="AJ724" i="41" s="1"/>
  <c r="R722" i="41" a="1"/>
  <c r="R722" i="41" s="1"/>
  <c r="AB722" i="41" s="1"/>
  <c r="AF722" i="41" s="1"/>
  <c r="AJ722" i="41" s="1"/>
  <c r="N549" i="18"/>
  <c r="E551" i="55" s="1"/>
  <c r="G551" i="55" s="1"/>
  <c r="R731" i="41" a="1"/>
  <c r="R731" i="41" s="1"/>
  <c r="AB731" i="41" s="1"/>
  <c r="AF731" i="41" s="1"/>
  <c r="AJ731" i="41" s="1"/>
  <c r="D760" i="18"/>
  <c r="B762" i="55" s="1"/>
  <c r="B760" i="18"/>
  <c r="A762" i="55" s="1"/>
  <c r="E760" i="18"/>
  <c r="AF315" i="44"/>
  <c r="AB723" i="41"/>
  <c r="Q761" i="55" l="1"/>
  <c r="G761" i="55"/>
  <c r="S761" i="55" s="1"/>
  <c r="J762" i="55"/>
  <c r="P762" i="55"/>
  <c r="N761" i="55"/>
  <c r="M761" i="55"/>
  <c r="L761" i="55"/>
  <c r="K761" i="55"/>
  <c r="C762" i="55"/>
  <c r="O760" i="18"/>
  <c r="R761" i="55"/>
  <c r="D173" i="59" s="1"/>
  <c r="M760" i="18"/>
  <c r="L760" i="18"/>
  <c r="I583" i="55"/>
  <c r="H558" i="55"/>
  <c r="I558" i="55" s="1"/>
  <c r="Q561" i="55"/>
  <c r="H559" i="55"/>
  <c r="I559" i="55" s="1"/>
  <c r="G556" i="55"/>
  <c r="H551" i="55"/>
  <c r="N590" i="18"/>
  <c r="E592" i="55" s="1"/>
  <c r="R733" i="41" a="1"/>
  <c r="R733" i="41" s="1"/>
  <c r="N591" i="18"/>
  <c r="E593" i="55" s="1"/>
  <c r="G593" i="55" s="1"/>
  <c r="H593" i="55" s="1"/>
  <c r="I593" i="55" s="1"/>
  <c r="R732" i="41" a="1"/>
  <c r="R732" i="41" s="1"/>
  <c r="AB732" i="41" s="1"/>
  <c r="AF732" i="41" s="1"/>
  <c r="AJ732" i="41" s="1"/>
  <c r="A761" i="18"/>
  <c r="N760" i="18"/>
  <c r="C760" i="18"/>
  <c r="K760" i="18" s="1"/>
  <c r="AF723" i="41"/>
  <c r="AJ315" i="44"/>
  <c r="AF726" i="41"/>
  <c r="AJ726" i="41" s="1"/>
  <c r="H761" i="55" l="1"/>
  <c r="I761" i="55" s="1"/>
  <c r="U761" i="55" s="1"/>
  <c r="F762" i="55"/>
  <c r="R762" i="55" s="1"/>
  <c r="D174" i="59" s="1"/>
  <c r="E762" i="55"/>
  <c r="Q762" i="55" s="1"/>
  <c r="K762" i="55"/>
  <c r="N762" i="55"/>
  <c r="L762" i="55"/>
  <c r="M762" i="55"/>
  <c r="R760" i="18"/>
  <c r="D762" i="55"/>
  <c r="AB733" i="41"/>
  <c r="AF733" i="41" s="1"/>
  <c r="AJ733" i="41" s="1"/>
  <c r="G592" i="55"/>
  <c r="H556" i="55"/>
  <c r="I556" i="55" s="1"/>
  <c r="I551" i="55"/>
  <c r="O762" i="55"/>
  <c r="D761" i="18"/>
  <c r="B763" i="55" s="1"/>
  <c r="B761" i="18"/>
  <c r="E761" i="18"/>
  <c r="AJ723" i="41"/>
  <c r="T761" i="55" l="1"/>
  <c r="G762" i="55"/>
  <c r="H762" i="55" s="1"/>
  <c r="C763" i="55"/>
  <c r="O761" i="18"/>
  <c r="A763" i="55"/>
  <c r="O763" i="55" s="1"/>
  <c r="M761" i="18"/>
  <c r="L761" i="18"/>
  <c r="H592" i="55"/>
  <c r="A762" i="18"/>
  <c r="C761" i="18"/>
  <c r="K761" i="18" s="1"/>
  <c r="S762" i="55" l="1"/>
  <c r="F763" i="55"/>
  <c r="P763" i="55"/>
  <c r="J763" i="55"/>
  <c r="R761" i="18"/>
  <c r="D763" i="55"/>
  <c r="I592" i="55"/>
  <c r="I762" i="55"/>
  <c r="T762" i="55"/>
  <c r="B762" i="18"/>
  <c r="E762" i="18"/>
  <c r="D762" i="18"/>
  <c r="B764" i="55" s="1"/>
  <c r="A764" i="55" l="1"/>
  <c r="O764" i="55" s="1"/>
  <c r="M762" i="18"/>
  <c r="C764" i="55"/>
  <c r="O762" i="18"/>
  <c r="N763" i="55"/>
  <c r="M763" i="55"/>
  <c r="L763" i="55"/>
  <c r="K763" i="55"/>
  <c r="R763" i="55"/>
  <c r="T763" i="55"/>
  <c r="U763" i="55"/>
  <c r="S763" i="55"/>
  <c r="Q763" i="55"/>
  <c r="L762" i="18"/>
  <c r="U762" i="55"/>
  <c r="A763" i="18"/>
  <c r="N762" i="18"/>
  <c r="C762" i="18"/>
  <c r="K762" i="18" s="1"/>
  <c r="X58" i="26"/>
  <c r="E764" i="55" l="1"/>
  <c r="F764" i="55"/>
  <c r="P764" i="55"/>
  <c r="J764" i="55"/>
  <c r="R762" i="18"/>
  <c r="D764" i="55"/>
  <c r="B763" i="18"/>
  <c r="E763" i="18"/>
  <c r="D763" i="18"/>
  <c r="B765" i="55" s="1"/>
  <c r="U58" i="26"/>
  <c r="AF58" i="26"/>
  <c r="AK58" i="26" s="1"/>
  <c r="G764" i="55" l="1"/>
  <c r="H764" i="55" s="1"/>
  <c r="I764" i="55" s="1"/>
  <c r="O763" i="18"/>
  <c r="C765" i="55"/>
  <c r="A765" i="55"/>
  <c r="O765" i="55" s="1"/>
  <c r="M763" i="18"/>
  <c r="N764" i="55"/>
  <c r="M764" i="55"/>
  <c r="L764" i="55"/>
  <c r="K764" i="55"/>
  <c r="R764" i="55"/>
  <c r="T764" i="55"/>
  <c r="U764" i="55"/>
  <c r="S764" i="55"/>
  <c r="Q764" i="55"/>
  <c r="L763" i="18"/>
  <c r="A764" i="18"/>
  <c r="C763" i="18"/>
  <c r="K763" i="18" s="1"/>
  <c r="F765" i="55" l="1"/>
  <c r="P765" i="55"/>
  <c r="J765" i="55"/>
  <c r="R763" i="18"/>
  <c r="D765" i="55"/>
  <c r="N285" i="18"/>
  <c r="E287" i="55" s="1"/>
  <c r="G287" i="55" s="1"/>
  <c r="H287" i="55" s="1"/>
  <c r="I287" i="55" s="1"/>
  <c r="N286" i="18"/>
  <c r="E288" i="55" s="1"/>
  <c r="N74" i="18"/>
  <c r="E76" i="55" s="1"/>
  <c r="D764" i="18"/>
  <c r="B766" i="55" s="1"/>
  <c r="E764" i="18"/>
  <c r="B764" i="18"/>
  <c r="O764" i="18" l="1"/>
  <c r="C766" i="55"/>
  <c r="A766" i="55"/>
  <c r="M764" i="18"/>
  <c r="L764" i="18"/>
  <c r="K765" i="55"/>
  <c r="N765" i="55"/>
  <c r="M765" i="55"/>
  <c r="L765" i="55"/>
  <c r="R765" i="55"/>
  <c r="T765" i="55"/>
  <c r="U765" i="55"/>
  <c r="S765" i="55"/>
  <c r="Q765" i="55"/>
  <c r="G76" i="55"/>
  <c r="Q76" i="55"/>
  <c r="G288" i="55"/>
  <c r="Q291" i="55"/>
  <c r="R291" i="55" s="1"/>
  <c r="D67" i="59" s="1"/>
  <c r="A765" i="18"/>
  <c r="O766" i="55"/>
  <c r="C764" i="18"/>
  <c r="K764" i="18" s="1"/>
  <c r="F766" i="55" l="1"/>
  <c r="P766" i="55"/>
  <c r="J766" i="55"/>
  <c r="R764" i="18"/>
  <c r="D766" i="55"/>
  <c r="H288" i="55"/>
  <c r="S291" i="55"/>
  <c r="H76" i="55"/>
  <c r="B765" i="18"/>
  <c r="D765" i="18"/>
  <c r="B767" i="55" s="1"/>
  <c r="E765" i="18"/>
  <c r="C767" i="55" l="1"/>
  <c r="O765" i="18"/>
  <c r="A767" i="55"/>
  <c r="M765" i="18"/>
  <c r="L766" i="55"/>
  <c r="M766" i="55"/>
  <c r="K766" i="55"/>
  <c r="N766" i="55"/>
  <c r="R766" i="55"/>
  <c r="S766" i="55"/>
  <c r="T766" i="55"/>
  <c r="U766" i="55"/>
  <c r="Q766" i="55"/>
  <c r="L765" i="18"/>
  <c r="I288" i="55"/>
  <c r="U291" i="55" s="1"/>
  <c r="T291" i="55"/>
  <c r="I76" i="55"/>
  <c r="A766" i="18"/>
  <c r="O767" i="55"/>
  <c r="C765" i="18"/>
  <c r="K765" i="18" s="1"/>
  <c r="F767" i="55" l="1"/>
  <c r="P767" i="55"/>
  <c r="J767" i="55"/>
  <c r="R765" i="18"/>
  <c r="D767" i="55"/>
  <c r="D766" i="18"/>
  <c r="B768" i="55" s="1"/>
  <c r="E766" i="18"/>
  <c r="B766" i="18"/>
  <c r="C768" i="55" l="1"/>
  <c r="O766" i="18"/>
  <c r="A768" i="55"/>
  <c r="O768" i="55" s="1"/>
  <c r="M766" i="18"/>
  <c r="L766" i="18"/>
  <c r="L767" i="55"/>
  <c r="K767" i="55"/>
  <c r="N767" i="55"/>
  <c r="M767" i="55"/>
  <c r="R767" i="55"/>
  <c r="T767" i="55"/>
  <c r="U767" i="55"/>
  <c r="S767" i="55"/>
  <c r="Q767" i="55"/>
  <c r="A767" i="18"/>
  <c r="C766" i="18"/>
  <c r="K766" i="18" s="1"/>
  <c r="AF59" i="27"/>
  <c r="AK59" i="27" s="1"/>
  <c r="X59" i="27"/>
  <c r="F768" i="55" l="1"/>
  <c r="P768" i="55"/>
  <c r="J768" i="55"/>
  <c r="R766" i="18"/>
  <c r="D768" i="55"/>
  <c r="E767" i="18"/>
  <c r="B767" i="18"/>
  <c r="D767" i="18"/>
  <c r="B769" i="55" s="1"/>
  <c r="N119" i="18"/>
  <c r="E121" i="55" s="1"/>
  <c r="G121" i="55" s="1"/>
  <c r="H121" i="55" s="1"/>
  <c r="I121" i="55" s="1"/>
  <c r="CJ19" i="52"/>
  <c r="N117" i="18"/>
  <c r="E119" i="55" s="1"/>
  <c r="G119" i="55" s="1"/>
  <c r="N118" i="18"/>
  <c r="E120" i="55" s="1"/>
  <c r="G120" i="55" s="1"/>
  <c r="H120" i="55" s="1"/>
  <c r="I120" i="55" s="1"/>
  <c r="N120" i="18"/>
  <c r="E122" i="55" s="1"/>
  <c r="G122" i="55" s="1"/>
  <c r="H122" i="55" s="1"/>
  <c r="I122" i="55" s="1"/>
  <c r="U59" i="27"/>
  <c r="C769" i="55" l="1"/>
  <c r="O767" i="18"/>
  <c r="A769" i="55"/>
  <c r="M767" i="18"/>
  <c r="K768" i="55"/>
  <c r="N768" i="55"/>
  <c r="M768" i="55"/>
  <c r="L768" i="55"/>
  <c r="R768" i="55"/>
  <c r="S768" i="55"/>
  <c r="T768" i="55"/>
  <c r="U768" i="55"/>
  <c r="Q768" i="55"/>
  <c r="L767" i="18"/>
  <c r="H119" i="55"/>
  <c r="I119" i="55" s="1"/>
  <c r="N121" i="18"/>
  <c r="E123" i="55" s="1"/>
  <c r="G123" i="55" s="1"/>
  <c r="N122" i="18"/>
  <c r="E124" i="55" s="1"/>
  <c r="N123" i="18"/>
  <c r="E125" i="55" s="1"/>
  <c r="G125" i="55" s="1"/>
  <c r="A768" i="18"/>
  <c r="O769" i="55"/>
  <c r="N111" i="18"/>
  <c r="E113" i="55" s="1"/>
  <c r="N115" i="18"/>
  <c r="E117" i="55" s="1"/>
  <c r="G117" i="55" s="1"/>
  <c r="N107" i="18"/>
  <c r="E109" i="55" s="1"/>
  <c r="N116" i="18"/>
  <c r="E118" i="55" s="1"/>
  <c r="G118" i="55" s="1"/>
  <c r="H118" i="55" s="1"/>
  <c r="I118" i="55" s="1"/>
  <c r="N104" i="18"/>
  <c r="E106" i="55" s="1"/>
  <c r="N109" i="18"/>
  <c r="E111" i="55" s="1"/>
  <c r="G111" i="55" s="1"/>
  <c r="N113" i="18"/>
  <c r="E115" i="55" s="1"/>
  <c r="G115" i="55" s="1"/>
  <c r="H115" i="55" s="1"/>
  <c r="I115" i="55" s="1"/>
  <c r="N112" i="18"/>
  <c r="E114" i="55" s="1"/>
  <c r="N108" i="18"/>
  <c r="E110" i="55" s="1"/>
  <c r="G110" i="55" s="1"/>
  <c r="H110" i="55" s="1"/>
  <c r="I110" i="55" s="1"/>
  <c r="N110" i="18"/>
  <c r="E112" i="55" s="1"/>
  <c r="N114" i="18"/>
  <c r="E116" i="55" s="1"/>
  <c r="G116" i="55" s="1"/>
  <c r="H116" i="55" s="1"/>
  <c r="I116" i="55" s="1"/>
  <c r="C767" i="18"/>
  <c r="K767" i="18" s="1"/>
  <c r="F769" i="55" l="1"/>
  <c r="J769" i="55"/>
  <c r="P769" i="55"/>
  <c r="R767" i="18"/>
  <c r="D769" i="55"/>
  <c r="G109" i="55"/>
  <c r="S111" i="55" s="1"/>
  <c r="Q111" i="55"/>
  <c r="H117" i="55"/>
  <c r="I117" i="55" s="1"/>
  <c r="G113" i="55"/>
  <c r="Q113" i="55"/>
  <c r="H125" i="55"/>
  <c r="I125" i="55" s="1"/>
  <c r="G124" i="55"/>
  <c r="H123" i="55"/>
  <c r="I123" i="55" s="1"/>
  <c r="H111" i="55"/>
  <c r="G112" i="55"/>
  <c r="Q112" i="55"/>
  <c r="Q114" i="55"/>
  <c r="G114" i="55"/>
  <c r="G106" i="55"/>
  <c r="B768" i="18"/>
  <c r="E768" i="18"/>
  <c r="D768" i="18"/>
  <c r="B770" i="55" s="1"/>
  <c r="R111" i="55" l="1"/>
  <c r="D27" i="59" s="1"/>
  <c r="C770" i="55"/>
  <c r="O768" i="18"/>
  <c r="A770" i="55"/>
  <c r="O770" i="55" s="1"/>
  <c r="M768" i="18"/>
  <c r="L768" i="18"/>
  <c r="R769" i="55"/>
  <c r="T769" i="55"/>
  <c r="U769" i="55"/>
  <c r="S769" i="55"/>
  <c r="Q769" i="55"/>
  <c r="K769" i="55"/>
  <c r="N769" i="55"/>
  <c r="L769" i="55"/>
  <c r="M769" i="55"/>
  <c r="I111" i="55"/>
  <c r="H113" i="55"/>
  <c r="T113" i="55" s="1"/>
  <c r="S113" i="55"/>
  <c r="H106" i="55"/>
  <c r="I106" i="55" s="1"/>
  <c r="H124" i="55"/>
  <c r="I124" i="55" s="1"/>
  <c r="S114" i="55"/>
  <c r="H114" i="55"/>
  <c r="T114" i="55" s="1"/>
  <c r="H112" i="55"/>
  <c r="H109" i="55"/>
  <c r="T111" i="55" s="1"/>
  <c r="A769" i="18"/>
  <c r="C768" i="18"/>
  <c r="K768" i="18" s="1"/>
  <c r="F770" i="55" l="1"/>
  <c r="P770" i="55"/>
  <c r="J770" i="55"/>
  <c r="R768" i="18"/>
  <c r="D770" i="55"/>
  <c r="I109" i="55"/>
  <c r="U111" i="55" s="1"/>
  <c r="I113" i="55"/>
  <c r="U113" i="55" s="1"/>
  <c r="I112" i="55"/>
  <c r="I114" i="55"/>
  <c r="U114" i="55" s="1"/>
  <c r="B769" i="18"/>
  <c r="D769" i="18"/>
  <c r="B771" i="55" s="1"/>
  <c r="E769" i="18"/>
  <c r="A771" i="55" l="1"/>
  <c r="M769" i="18"/>
  <c r="N770" i="55"/>
  <c r="M770" i="55"/>
  <c r="L770" i="55"/>
  <c r="K770" i="55"/>
  <c r="C771" i="55"/>
  <c r="O769" i="18"/>
  <c r="R770" i="55"/>
  <c r="T770" i="55"/>
  <c r="U770" i="55"/>
  <c r="S770" i="55"/>
  <c r="Q770" i="55"/>
  <c r="L769" i="18"/>
  <c r="A770" i="18"/>
  <c r="O771" i="55"/>
  <c r="C769" i="18"/>
  <c r="K769" i="18" s="1"/>
  <c r="F771" i="55" l="1"/>
  <c r="P771" i="55"/>
  <c r="J771" i="55"/>
  <c r="R769" i="18"/>
  <c r="D771" i="55"/>
  <c r="E770" i="18"/>
  <c r="B770" i="18"/>
  <c r="D770" i="18"/>
  <c r="B772" i="55" s="1"/>
  <c r="AC23" i="27"/>
  <c r="AC25" i="27" s="1"/>
  <c r="A772" i="55" l="1"/>
  <c r="M770" i="18"/>
  <c r="O770" i="18"/>
  <c r="C772" i="55"/>
  <c r="N771" i="55"/>
  <c r="M771" i="55"/>
  <c r="L771" i="55"/>
  <c r="K771" i="55"/>
  <c r="R771" i="55"/>
  <c r="S771" i="55"/>
  <c r="T771" i="55"/>
  <c r="U771" i="55"/>
  <c r="Q771" i="55"/>
  <c r="L770" i="18"/>
  <c r="A771" i="18"/>
  <c r="O772" i="55"/>
  <c r="C770" i="18"/>
  <c r="K770" i="18" s="1"/>
  <c r="F772" i="55" l="1"/>
  <c r="P772" i="55"/>
  <c r="J772" i="55"/>
  <c r="R770" i="18"/>
  <c r="D772" i="55"/>
  <c r="E771" i="18"/>
  <c r="B771" i="18"/>
  <c r="D771" i="18"/>
  <c r="B773" i="55" s="1"/>
  <c r="A773" i="55" l="1"/>
  <c r="M771" i="18"/>
  <c r="C773" i="55"/>
  <c r="O771" i="18"/>
  <c r="N772" i="55"/>
  <c r="L772" i="55"/>
  <c r="M772" i="55"/>
  <c r="K772" i="55"/>
  <c r="R772" i="55"/>
  <c r="S772" i="55"/>
  <c r="T772" i="55"/>
  <c r="U772" i="55"/>
  <c r="Q772" i="55"/>
  <c r="L771" i="18"/>
  <c r="A772" i="18"/>
  <c r="O773" i="55"/>
  <c r="N771" i="18"/>
  <c r="C771" i="18"/>
  <c r="K771" i="18" s="1"/>
  <c r="E773" i="55" l="1"/>
  <c r="F773" i="55"/>
  <c r="P773" i="55"/>
  <c r="J773" i="55"/>
  <c r="R771" i="18"/>
  <c r="D773" i="55"/>
  <c r="D772" i="18"/>
  <c r="B774" i="55" s="1"/>
  <c r="E772" i="18"/>
  <c r="B772" i="18"/>
  <c r="L772" i="18" s="1"/>
  <c r="G773" i="55" l="1"/>
  <c r="H773" i="55" s="1"/>
  <c r="I773" i="55" s="1"/>
  <c r="R773" i="55"/>
  <c r="T773" i="55"/>
  <c r="S773" i="55"/>
  <c r="U773" i="55"/>
  <c r="Q773" i="55"/>
  <c r="K773" i="55"/>
  <c r="M773" i="55"/>
  <c r="N773" i="55"/>
  <c r="L773" i="55"/>
  <c r="A774" i="55"/>
  <c r="M772" i="18"/>
  <c r="C774" i="55"/>
  <c r="O772" i="18"/>
  <c r="A773" i="18"/>
  <c r="N772" i="18"/>
  <c r="E774" i="55" s="1"/>
  <c r="C772" i="18"/>
  <c r="K772" i="18" s="1"/>
  <c r="F774" i="55" l="1"/>
  <c r="G774" i="55" s="1"/>
  <c r="P774" i="55"/>
  <c r="J774" i="55"/>
  <c r="O774" i="55"/>
  <c r="R772" i="18"/>
  <c r="D774" i="55"/>
  <c r="B773" i="18"/>
  <c r="E773" i="18"/>
  <c r="D773" i="18"/>
  <c r="B775" i="55" s="1"/>
  <c r="AF105" i="34"/>
  <c r="AK105" i="34" s="1"/>
  <c r="U158" i="34"/>
  <c r="X158" i="34"/>
  <c r="AF158" i="34"/>
  <c r="AK158" i="34" s="1"/>
  <c r="AF59" i="34"/>
  <c r="AK59" i="34" s="1"/>
  <c r="X59" i="34"/>
  <c r="U59" i="34"/>
  <c r="A775" i="55" l="1"/>
  <c r="M773" i="18"/>
  <c r="L773" i="18"/>
  <c r="N774" i="55"/>
  <c r="M774" i="55"/>
  <c r="L774" i="55"/>
  <c r="K774" i="55"/>
  <c r="C775" i="55"/>
  <c r="O773" i="18"/>
  <c r="R774" i="55"/>
  <c r="T774" i="55"/>
  <c r="U774" i="55"/>
  <c r="S774" i="55"/>
  <c r="Q774" i="55"/>
  <c r="H774" i="55"/>
  <c r="I774" i="55" s="1"/>
  <c r="A774" i="18"/>
  <c r="R180" i="50" a="1"/>
  <c r="R180" i="50" s="1"/>
  <c r="N773" i="18"/>
  <c r="O775" i="55"/>
  <c r="C773" i="18"/>
  <c r="K773" i="18" s="1"/>
  <c r="U105" i="34"/>
  <c r="X264" i="34"/>
  <c r="X105" i="34"/>
  <c r="U211" i="34"/>
  <c r="E775" i="55" l="1"/>
  <c r="F775" i="55"/>
  <c r="P775" i="55"/>
  <c r="J775" i="55"/>
  <c r="R773" i="18"/>
  <c r="D775" i="55"/>
  <c r="N766" i="18"/>
  <c r="E768" i="55" s="1"/>
  <c r="G768" i="55" s="1"/>
  <c r="H768" i="55" s="1"/>
  <c r="I768" i="55" s="1"/>
  <c r="N768" i="18"/>
  <c r="E770" i="55" s="1"/>
  <c r="G770" i="55" s="1"/>
  <c r="H770" i="55" s="1"/>
  <c r="I770" i="55" s="1"/>
  <c r="N767" i="18"/>
  <c r="E769" i="55" s="1"/>
  <c r="G769" i="55" s="1"/>
  <c r="R187" i="50" a="1"/>
  <c r="R187" i="50" s="1"/>
  <c r="AB187" i="50" s="1"/>
  <c r="AF187" i="50" s="1"/>
  <c r="AJ187" i="50" s="1"/>
  <c r="R188" i="50" a="1"/>
  <c r="R188" i="50" s="1"/>
  <c r="AB188" i="50" s="1"/>
  <c r="AF188" i="50" s="1"/>
  <c r="AJ188" i="50" s="1"/>
  <c r="N724" i="18"/>
  <c r="E726" i="55" s="1"/>
  <c r="N729" i="18"/>
  <c r="E731" i="55" s="1"/>
  <c r="G731" i="55" s="1"/>
  <c r="H731" i="55" s="1"/>
  <c r="I731" i="55" s="1"/>
  <c r="CJ21" i="52"/>
  <c r="AB180" i="50"/>
  <c r="AC24" i="50"/>
  <c r="N723" i="18"/>
  <c r="E725" i="55" s="1"/>
  <c r="B774" i="18"/>
  <c r="D774" i="18"/>
  <c r="B776" i="55" s="1"/>
  <c r="E774" i="18"/>
  <c r="N728" i="18"/>
  <c r="E730" i="55" s="1"/>
  <c r="G730" i="55" s="1"/>
  <c r="H730" i="55" s="1"/>
  <c r="I730" i="55" s="1"/>
  <c r="N730" i="18"/>
  <c r="E732" i="55" s="1"/>
  <c r="G732" i="55" s="1"/>
  <c r="N732" i="18"/>
  <c r="E734" i="55" s="1"/>
  <c r="G734" i="55" s="1"/>
  <c r="H734" i="55" s="1"/>
  <c r="I734" i="55" s="1"/>
  <c r="N731" i="18"/>
  <c r="E733" i="55" s="1"/>
  <c r="G733" i="55" s="1"/>
  <c r="N733" i="18"/>
  <c r="E735" i="55" s="1"/>
  <c r="G735" i="55" s="1"/>
  <c r="H735" i="55" s="1"/>
  <c r="I735" i="55" s="1"/>
  <c r="AF264" i="34"/>
  <c r="AK264" i="34" s="1"/>
  <c r="U264" i="34"/>
  <c r="X211" i="34"/>
  <c r="AF211" i="34"/>
  <c r="AK211" i="34" s="1"/>
  <c r="G775" i="55" l="1"/>
  <c r="H775" i="55" s="1"/>
  <c r="I775" i="55" s="1"/>
  <c r="A776" i="55"/>
  <c r="M774" i="18"/>
  <c r="N775" i="55"/>
  <c r="M775" i="55"/>
  <c r="L775" i="55"/>
  <c r="K775" i="55"/>
  <c r="R775" i="55"/>
  <c r="T775" i="55"/>
  <c r="U775" i="55"/>
  <c r="S775" i="55"/>
  <c r="Q775" i="55"/>
  <c r="C776" i="55"/>
  <c r="O774" i="18"/>
  <c r="L774" i="18"/>
  <c r="H733" i="55"/>
  <c r="I733" i="55" s="1"/>
  <c r="H769" i="55"/>
  <c r="I769" i="55" s="1"/>
  <c r="H732" i="55"/>
  <c r="I732" i="55" s="1"/>
  <c r="G726" i="55"/>
  <c r="Q726" i="55"/>
  <c r="Q725" i="55"/>
  <c r="G725" i="55"/>
  <c r="N726" i="18"/>
  <c r="E728" i="55" s="1"/>
  <c r="G728" i="55" s="1"/>
  <c r="H728" i="55" s="1"/>
  <c r="I728" i="55" s="1"/>
  <c r="R191" i="50" a="1"/>
  <c r="R191" i="50" s="1"/>
  <c r="AB191" i="50" s="1"/>
  <c r="AF191" i="50" s="1"/>
  <c r="AJ191" i="50" s="1"/>
  <c r="N769" i="18"/>
  <c r="E771" i="55" s="1"/>
  <c r="G771" i="55" s="1"/>
  <c r="N764" i="18"/>
  <c r="E766" i="55" s="1"/>
  <c r="G766" i="55" s="1"/>
  <c r="H766" i="55" s="1"/>
  <c r="I766" i="55" s="1"/>
  <c r="N763" i="18"/>
  <c r="E765" i="55" s="1"/>
  <c r="G765" i="55" s="1"/>
  <c r="N761" i="18"/>
  <c r="E763" i="55" s="1"/>
  <c r="G763" i="55" s="1"/>
  <c r="N770" i="18"/>
  <c r="E772" i="55" s="1"/>
  <c r="N765" i="18"/>
  <c r="E767" i="55" s="1"/>
  <c r="G767" i="55" s="1"/>
  <c r="R183" i="50" a="1"/>
  <c r="R183" i="50" s="1"/>
  <c r="AB183" i="50" s="1"/>
  <c r="AF183" i="50" s="1"/>
  <c r="AJ183" i="50" s="1"/>
  <c r="R193" i="50" a="1"/>
  <c r="R193" i="50" s="1"/>
  <c r="AB193" i="50" s="1"/>
  <c r="AF193" i="50" s="1"/>
  <c r="AJ193" i="50" s="1"/>
  <c r="A775" i="18"/>
  <c r="N719" i="18"/>
  <c r="E721" i="55" s="1"/>
  <c r="N722" i="18"/>
  <c r="E724" i="55" s="1"/>
  <c r="R186" i="50" a="1"/>
  <c r="R186" i="50" s="1"/>
  <c r="AB186" i="50" s="1"/>
  <c r="AF186" i="50" s="1"/>
  <c r="AJ186" i="50" s="1"/>
  <c r="N691" i="18"/>
  <c r="E693" i="55" s="1"/>
  <c r="G693" i="55" s="1"/>
  <c r="R204" i="47" a="1"/>
  <c r="R204" i="47" s="1"/>
  <c r="AB204" i="47" s="1"/>
  <c r="AF204" i="47" s="1"/>
  <c r="AJ204" i="47" s="1"/>
  <c r="R206" i="47" a="1"/>
  <c r="R206" i="47" s="1"/>
  <c r="AB206" i="47" s="1"/>
  <c r="AF206" i="47" s="1"/>
  <c r="AJ206" i="47" s="1"/>
  <c r="N692" i="18"/>
  <c r="E694" i="55" s="1"/>
  <c r="G694" i="55" s="1"/>
  <c r="H694" i="55" s="1"/>
  <c r="I694" i="55" s="1"/>
  <c r="N682" i="18"/>
  <c r="E684" i="55" s="1"/>
  <c r="R195" i="47" a="1"/>
  <c r="R195" i="47" s="1"/>
  <c r="N685" i="18"/>
  <c r="E687" i="55" s="1"/>
  <c r="G687" i="55" s="1"/>
  <c r="R198" i="47" a="1"/>
  <c r="R198" i="47" s="1"/>
  <c r="AB198" i="47" s="1"/>
  <c r="AF198" i="47" s="1"/>
  <c r="AJ198" i="47" s="1"/>
  <c r="N694" i="18"/>
  <c r="E696" i="55" s="1"/>
  <c r="G696" i="55" s="1"/>
  <c r="R208" i="47" a="1"/>
  <c r="R208" i="47" s="1"/>
  <c r="AB208" i="47" s="1"/>
  <c r="AF208" i="47" s="1"/>
  <c r="AJ208" i="47" s="1"/>
  <c r="AF180" i="50"/>
  <c r="N686" i="18"/>
  <c r="E688" i="55" s="1"/>
  <c r="N689" i="18"/>
  <c r="E691" i="55" s="1"/>
  <c r="G691" i="55" s="1"/>
  <c r="R202" i="47" a="1"/>
  <c r="R202" i="47" s="1"/>
  <c r="AB202" i="47" s="1"/>
  <c r="AF202" i="47" s="1"/>
  <c r="AJ202" i="47" s="1"/>
  <c r="R203" i="47" a="1"/>
  <c r="R203" i="47" s="1"/>
  <c r="AB203" i="47" s="1"/>
  <c r="AF203" i="47" s="1"/>
  <c r="AJ203" i="47" s="1"/>
  <c r="N690" i="18"/>
  <c r="E692" i="55" s="1"/>
  <c r="G692" i="55" s="1"/>
  <c r="H692" i="55" s="1"/>
  <c r="I692" i="55" s="1"/>
  <c r="N371" i="18"/>
  <c r="E373" i="55" s="1"/>
  <c r="G373" i="55" s="1"/>
  <c r="R185" i="50" a="1"/>
  <c r="R185" i="50" s="1"/>
  <c r="AB185" i="50" s="1"/>
  <c r="AF185" i="50" s="1"/>
  <c r="AJ185" i="50" s="1"/>
  <c r="N721" i="18"/>
  <c r="E723" i="55" s="1"/>
  <c r="G723" i="55" s="1"/>
  <c r="N688" i="18"/>
  <c r="E690" i="55" s="1"/>
  <c r="R201" i="47" a="1"/>
  <c r="R201" i="47" s="1"/>
  <c r="AB201" i="47" s="1"/>
  <c r="AF201" i="47" s="1"/>
  <c r="AJ201" i="47" s="1"/>
  <c r="R200" i="47" a="1"/>
  <c r="R200" i="47" s="1"/>
  <c r="AB200" i="47" s="1"/>
  <c r="AF200" i="47" s="1"/>
  <c r="AJ200" i="47" s="1"/>
  <c r="N687" i="18"/>
  <c r="E689" i="55" s="1"/>
  <c r="R189" i="50" a="1"/>
  <c r="R189" i="50" s="1"/>
  <c r="AB189" i="50" s="1"/>
  <c r="AF189" i="50" s="1"/>
  <c r="AJ189" i="50" s="1"/>
  <c r="N725" i="18"/>
  <c r="E727" i="55" s="1"/>
  <c r="G727" i="55" s="1"/>
  <c r="N693" i="18"/>
  <c r="E695" i="55" s="1"/>
  <c r="G695" i="55" s="1"/>
  <c r="H695" i="55" s="1"/>
  <c r="I695" i="55" s="1"/>
  <c r="R207" i="47" a="1"/>
  <c r="R207" i="47" s="1"/>
  <c r="AB207" i="47" s="1"/>
  <c r="AF207" i="47" s="1"/>
  <c r="AJ207" i="47" s="1"/>
  <c r="R192" i="50" a="1"/>
  <c r="R192" i="50" s="1"/>
  <c r="AB192" i="50" s="1"/>
  <c r="AF192" i="50" s="1"/>
  <c r="AJ192" i="50" s="1"/>
  <c r="N727" i="18"/>
  <c r="E729" i="55" s="1"/>
  <c r="G729" i="55" s="1"/>
  <c r="N774" i="18"/>
  <c r="O776" i="55"/>
  <c r="C774" i="18"/>
  <c r="K774" i="18" s="1"/>
  <c r="N365" i="18"/>
  <c r="E367" i="55" s="1"/>
  <c r="G367" i="55" s="1"/>
  <c r="N368" i="18"/>
  <c r="E370" i="55" s="1"/>
  <c r="G370" i="55" s="1"/>
  <c r="H370" i="55" s="1"/>
  <c r="I370" i="55" s="1"/>
  <c r="N367" i="18"/>
  <c r="E369" i="55" s="1"/>
  <c r="G369" i="55" s="1"/>
  <c r="N370" i="18"/>
  <c r="E372" i="55" s="1"/>
  <c r="G372" i="55" s="1"/>
  <c r="H372" i="55" s="1"/>
  <c r="I372" i="55" s="1"/>
  <c r="N372" i="18"/>
  <c r="E374" i="55" s="1"/>
  <c r="G374" i="55" s="1"/>
  <c r="N369" i="18"/>
  <c r="E371" i="55" s="1"/>
  <c r="G371" i="55" s="1"/>
  <c r="H371" i="55" s="1"/>
  <c r="I371" i="55" s="1"/>
  <c r="E776" i="55" l="1"/>
  <c r="F776" i="55"/>
  <c r="J776" i="55"/>
  <c r="P776" i="55"/>
  <c r="R774" i="18"/>
  <c r="D776" i="55"/>
  <c r="H367" i="55"/>
  <c r="I367" i="55" s="1"/>
  <c r="H696" i="55"/>
  <c r="I696" i="55" s="1"/>
  <c r="G690" i="55"/>
  <c r="Q690" i="55"/>
  <c r="H725" i="55"/>
  <c r="T725" i="55" s="1"/>
  <c r="S725" i="55"/>
  <c r="H763" i="55"/>
  <c r="G721" i="55"/>
  <c r="S723" i="55" s="1"/>
  <c r="Q723" i="55"/>
  <c r="R723" i="55" s="1"/>
  <c r="D163" i="59" s="1"/>
  <c r="H723" i="55"/>
  <c r="H687" i="55"/>
  <c r="H767" i="55"/>
  <c r="I767" i="55" s="1"/>
  <c r="H729" i="55"/>
  <c r="I729" i="55" s="1"/>
  <c r="H373" i="55"/>
  <c r="I373" i="55" s="1"/>
  <c r="Q687" i="55"/>
  <c r="R687" i="55" s="1"/>
  <c r="D155" i="59" s="1"/>
  <c r="G684" i="55"/>
  <c r="H684" i="55" s="1"/>
  <c r="I684" i="55" s="1"/>
  <c r="G772" i="55"/>
  <c r="H726" i="55"/>
  <c r="T726" i="55" s="1"/>
  <c r="S726" i="55"/>
  <c r="H765" i="55"/>
  <c r="I765" i="55" s="1"/>
  <c r="H693" i="55"/>
  <c r="I693" i="55" s="1"/>
  <c r="H771" i="55"/>
  <c r="I771" i="55" s="1"/>
  <c r="H374" i="55"/>
  <c r="I374" i="55" s="1"/>
  <c r="H727" i="55"/>
  <c r="I727" i="55" s="1"/>
  <c r="H691" i="55"/>
  <c r="I691" i="55" s="1"/>
  <c r="Q688" i="55"/>
  <c r="G688" i="55"/>
  <c r="H369" i="55"/>
  <c r="I369" i="55" s="1"/>
  <c r="Q689" i="55"/>
  <c r="G689" i="55"/>
  <c r="Q724" i="55"/>
  <c r="G724" i="55"/>
  <c r="N373" i="18"/>
  <c r="E375" i="55" s="1"/>
  <c r="G375" i="55" s="1"/>
  <c r="H375" i="55" s="1"/>
  <c r="I375" i="55" s="1"/>
  <c r="N374" i="18"/>
  <c r="E376" i="55" s="1"/>
  <c r="N375" i="18"/>
  <c r="E377" i="55" s="1"/>
  <c r="G377" i="55" s="1"/>
  <c r="N339" i="18"/>
  <c r="E341" i="55" s="1"/>
  <c r="G341" i="55" s="1"/>
  <c r="N734" i="18"/>
  <c r="E736" i="55" s="1"/>
  <c r="R209" i="47" a="1"/>
  <c r="R209" i="47" s="1"/>
  <c r="AB209" i="47" s="1"/>
  <c r="N735" i="18"/>
  <c r="E737" i="55" s="1"/>
  <c r="G737" i="55" s="1"/>
  <c r="H737" i="55" s="1"/>
  <c r="I737" i="55" s="1"/>
  <c r="R199" i="47" a="1"/>
  <c r="R199" i="47" s="1"/>
  <c r="AB199" i="47" s="1"/>
  <c r="AF199" i="47" s="1"/>
  <c r="AJ199" i="47" s="1"/>
  <c r="CJ23" i="52"/>
  <c r="N362" i="18"/>
  <c r="E364" i="55" s="1"/>
  <c r="AB195" i="47"/>
  <c r="AB217" i="50"/>
  <c r="AC19" i="50" s="1"/>
  <c r="AJ180" i="50"/>
  <c r="AJ217" i="50" s="1"/>
  <c r="AC21" i="50" s="1"/>
  <c r="AC23" i="50" s="1"/>
  <c r="AC25" i="50" s="1"/>
  <c r="AF217" i="50"/>
  <c r="AC20" i="50" s="1"/>
  <c r="N342" i="18"/>
  <c r="E344" i="55" s="1"/>
  <c r="G344" i="55" s="1"/>
  <c r="E775" i="18"/>
  <c r="B775" i="18"/>
  <c r="D775" i="18"/>
  <c r="B777" i="55" s="1"/>
  <c r="G776" i="55" l="1"/>
  <c r="H776" i="55" s="1"/>
  <c r="I776" i="55" s="1"/>
  <c r="C777" i="55"/>
  <c r="O775" i="18"/>
  <c r="K776" i="55"/>
  <c r="N776" i="55"/>
  <c r="M776" i="55"/>
  <c r="L776" i="55"/>
  <c r="A777" i="55"/>
  <c r="M775" i="18"/>
  <c r="T776" i="55"/>
  <c r="R776" i="55"/>
  <c r="U776" i="55"/>
  <c r="S776" i="55"/>
  <c r="Q776" i="55"/>
  <c r="L775" i="18"/>
  <c r="I763" i="55"/>
  <c r="I687" i="55"/>
  <c r="U687" i="55" s="1"/>
  <c r="T687" i="55"/>
  <c r="S687" i="55"/>
  <c r="I723" i="55"/>
  <c r="S689" i="55"/>
  <c r="H689" i="55"/>
  <c r="T689" i="55" s="1"/>
  <c r="G736" i="55"/>
  <c r="I725" i="55"/>
  <c r="U725" i="55" s="1"/>
  <c r="H341" i="55"/>
  <c r="I341" i="55" s="1"/>
  <c r="H688" i="55"/>
  <c r="H344" i="55"/>
  <c r="I344" i="55" s="1"/>
  <c r="H377" i="55"/>
  <c r="I377" i="55" s="1"/>
  <c r="I726" i="55"/>
  <c r="U726" i="55" s="1"/>
  <c r="S690" i="55"/>
  <c r="H690" i="55"/>
  <c r="T690" i="55" s="1"/>
  <c r="H772" i="55"/>
  <c r="I772" i="55" s="1"/>
  <c r="G364" i="55"/>
  <c r="Q364" i="55"/>
  <c r="H724" i="55"/>
  <c r="G376" i="55"/>
  <c r="H721" i="55"/>
  <c r="I721" i="55" s="1"/>
  <c r="AF209" i="47"/>
  <c r="AJ209" i="47" s="1"/>
  <c r="A776" i="18"/>
  <c r="AF195" i="47"/>
  <c r="AJ195" i="47" s="1"/>
  <c r="N775" i="18"/>
  <c r="C775" i="18"/>
  <c r="K775" i="18" s="1"/>
  <c r="S364" i="55" l="1"/>
  <c r="E777" i="55"/>
  <c r="P777" i="55"/>
  <c r="Q777" i="55" s="1"/>
  <c r="J777" i="55"/>
  <c r="F777" i="55"/>
  <c r="R775" i="18"/>
  <c r="D777" i="55"/>
  <c r="U723" i="55"/>
  <c r="T723" i="55"/>
  <c r="I724" i="55"/>
  <c r="H364" i="55"/>
  <c r="I364" i="55" s="1"/>
  <c r="I688" i="55"/>
  <c r="I690" i="55"/>
  <c r="U690" i="55" s="1"/>
  <c r="H376" i="55"/>
  <c r="I376" i="55" s="1"/>
  <c r="H736" i="55"/>
  <c r="I689" i="55"/>
  <c r="U689" i="55" s="1"/>
  <c r="O777" i="55"/>
  <c r="D776" i="18"/>
  <c r="B778" i="55" s="1"/>
  <c r="E776" i="18"/>
  <c r="B776" i="18"/>
  <c r="G777" i="55" l="1"/>
  <c r="H777" i="55" s="1"/>
  <c r="T777" i="55" s="1"/>
  <c r="M776" i="18"/>
  <c r="A778" i="55"/>
  <c r="L776" i="18"/>
  <c r="C778" i="55"/>
  <c r="O776" i="18"/>
  <c r="N777" i="55"/>
  <c r="K777" i="55"/>
  <c r="L777" i="55"/>
  <c r="M777" i="55"/>
  <c r="I736" i="55"/>
  <c r="A777" i="18"/>
  <c r="N776" i="18"/>
  <c r="C776" i="18"/>
  <c r="K776" i="18" s="1"/>
  <c r="S777" i="55" l="1"/>
  <c r="R777" i="55" s="1"/>
  <c r="D175" i="59" s="1"/>
  <c r="I777" i="55"/>
  <c r="U777" i="55" s="1"/>
  <c r="F778" i="55"/>
  <c r="E778" i="55"/>
  <c r="P778" i="55"/>
  <c r="J778" i="55"/>
  <c r="O778" i="55"/>
  <c r="R776" i="18"/>
  <c r="D778" i="55"/>
  <c r="D777" i="18"/>
  <c r="B779" i="55" s="1"/>
  <c r="E777" i="18"/>
  <c r="B777" i="18"/>
  <c r="G778" i="55" l="1"/>
  <c r="H778" i="55" s="1"/>
  <c r="Q778" i="55"/>
  <c r="R778" i="55" s="1"/>
  <c r="D176" i="59" s="1"/>
  <c r="A779" i="55"/>
  <c r="O779" i="55" s="1"/>
  <c r="M777" i="18"/>
  <c r="C779" i="55"/>
  <c r="O777" i="18"/>
  <c r="N778" i="55"/>
  <c r="L778" i="55"/>
  <c r="M778" i="55"/>
  <c r="K778" i="55"/>
  <c r="L777" i="18"/>
  <c r="A778" i="18"/>
  <c r="N777" i="18"/>
  <c r="C777" i="18"/>
  <c r="K777" i="18" s="1"/>
  <c r="F779" i="55" l="1"/>
  <c r="E779" i="55"/>
  <c r="P779" i="55"/>
  <c r="J779" i="55"/>
  <c r="R777" i="18"/>
  <c r="D779" i="55"/>
  <c r="I778" i="55"/>
  <c r="E778" i="18"/>
  <c r="D778" i="18"/>
  <c r="B780" i="55" s="1"/>
  <c r="B778" i="18"/>
  <c r="U477" i="31"/>
  <c r="X477" i="31"/>
  <c r="AF477" i="31"/>
  <c r="AK477" i="31" s="1"/>
  <c r="AF322" i="31"/>
  <c r="AK322" i="31" s="1"/>
  <c r="U322" i="31"/>
  <c r="X322" i="31"/>
  <c r="X371" i="31"/>
  <c r="U371" i="31"/>
  <c r="AF371" i="31"/>
  <c r="AK371" i="31" s="1"/>
  <c r="U424" i="31"/>
  <c r="X424" i="31"/>
  <c r="AF424" i="31"/>
  <c r="AK424" i="31" s="1"/>
  <c r="Q779" i="55" l="1"/>
  <c r="R779" i="55"/>
  <c r="D177" i="59" s="1"/>
  <c r="G779" i="55"/>
  <c r="H779" i="55" s="1"/>
  <c r="C780" i="55"/>
  <c r="O778" i="18"/>
  <c r="N779" i="55"/>
  <c r="M779" i="55"/>
  <c r="L779" i="55"/>
  <c r="K779" i="55"/>
  <c r="A780" i="55"/>
  <c r="O780" i="55" s="1"/>
  <c r="M778" i="18"/>
  <c r="L778" i="18"/>
  <c r="A779" i="18"/>
  <c r="N778" i="18"/>
  <c r="C778" i="18"/>
  <c r="K778" i="18" s="1"/>
  <c r="N263" i="18"/>
  <c r="E265" i="55" s="1"/>
  <c r="G265" i="55" s="1"/>
  <c r="N260" i="18"/>
  <c r="E262" i="55" s="1"/>
  <c r="G262" i="55" s="1"/>
  <c r="H262" i="55" s="1"/>
  <c r="I262" i="55" s="1"/>
  <c r="N261" i="18"/>
  <c r="E263" i="55" s="1"/>
  <c r="G263" i="55" s="1"/>
  <c r="H263" i="55" s="1"/>
  <c r="I263" i="55" s="1"/>
  <c r="N259" i="18"/>
  <c r="E261" i="55" s="1"/>
  <c r="G261" i="55" s="1"/>
  <c r="H261" i="55" s="1"/>
  <c r="I261" i="55" s="1"/>
  <c r="N264" i="18"/>
  <c r="E266" i="55" s="1"/>
  <c r="G266" i="55" s="1"/>
  <c r="N266" i="18"/>
  <c r="E268" i="55" s="1"/>
  <c r="S779" i="55" l="1"/>
  <c r="P780" i="55"/>
  <c r="J780" i="55"/>
  <c r="E780" i="55"/>
  <c r="F780" i="55"/>
  <c r="R778" i="18"/>
  <c r="D780" i="55"/>
  <c r="I779" i="55"/>
  <c r="T779" i="55"/>
  <c r="H265" i="55"/>
  <c r="I265" i="55" s="1"/>
  <c r="G268" i="55"/>
  <c r="H266" i="55"/>
  <c r="I266" i="55" s="1"/>
  <c r="N265" i="18"/>
  <c r="E267" i="55" s="1"/>
  <c r="G267" i="55" s="1"/>
  <c r="H267" i="55" s="1"/>
  <c r="I267" i="55" s="1"/>
  <c r="N262" i="18"/>
  <c r="E264" i="55" s="1"/>
  <c r="G264" i="55" s="1"/>
  <c r="H264" i="55" s="1"/>
  <c r="I264" i="55" s="1"/>
  <c r="N257" i="18"/>
  <c r="E259" i="55" s="1"/>
  <c r="G259" i="55" s="1"/>
  <c r="N614" i="18"/>
  <c r="E616" i="55" s="1"/>
  <c r="CJ20" i="52"/>
  <c r="N650" i="18"/>
  <c r="E652" i="55" s="1"/>
  <c r="R311" i="44" a="1"/>
  <c r="R311" i="44" s="1"/>
  <c r="AB311" i="44" s="1"/>
  <c r="AF311" i="44" s="1"/>
  <c r="AJ311" i="44" s="1"/>
  <c r="N626" i="18"/>
  <c r="E628" i="55" s="1"/>
  <c r="N653" i="18"/>
  <c r="E655" i="55" s="1"/>
  <c r="G655" i="55" s="1"/>
  <c r="H655" i="55" s="1"/>
  <c r="I655" i="55" s="1"/>
  <c r="N658" i="18"/>
  <c r="E660" i="55" s="1"/>
  <c r="G660" i="55" s="1"/>
  <c r="H660" i="55" s="1"/>
  <c r="I660" i="55" s="1"/>
  <c r="N657" i="18"/>
  <c r="E659" i="55" s="1"/>
  <c r="G659" i="55" s="1"/>
  <c r="H659" i="55" s="1"/>
  <c r="I659" i="55" s="1"/>
  <c r="N660" i="18"/>
  <c r="E662" i="55" s="1"/>
  <c r="G662" i="55" s="1"/>
  <c r="H662" i="55" s="1"/>
  <c r="I662" i="55" s="1"/>
  <c r="N656" i="18"/>
  <c r="E658" i="55" s="1"/>
  <c r="G658" i="55" s="1"/>
  <c r="H658" i="55" s="1"/>
  <c r="I658" i="55" s="1"/>
  <c r="N655" i="18"/>
  <c r="E657" i="55" s="1"/>
  <c r="G657" i="55" s="1"/>
  <c r="N659" i="18"/>
  <c r="E661" i="55" s="1"/>
  <c r="G661" i="55" s="1"/>
  <c r="D779" i="18"/>
  <c r="B781" i="55" s="1"/>
  <c r="E779" i="18"/>
  <c r="B779" i="18"/>
  <c r="AA54" i="30"/>
  <c r="AF54" i="30" s="1"/>
  <c r="AA99" i="30"/>
  <c r="AF99" i="30" s="1"/>
  <c r="R780" i="55" l="1"/>
  <c r="D178" i="59" s="1"/>
  <c r="G780" i="55"/>
  <c r="H780" i="55" s="1"/>
  <c r="Q780" i="55"/>
  <c r="C781" i="55"/>
  <c r="O779" i="18"/>
  <c r="A781" i="55"/>
  <c r="O781" i="55" s="1"/>
  <c r="M779" i="18"/>
  <c r="K780" i="55"/>
  <c r="M780" i="55"/>
  <c r="L780" i="55"/>
  <c r="N780" i="55"/>
  <c r="L779" i="18"/>
  <c r="U779" i="55"/>
  <c r="H657" i="55"/>
  <c r="I657" i="55" s="1"/>
  <c r="H259" i="55"/>
  <c r="Q616" i="55"/>
  <c r="G616" i="55"/>
  <c r="H661" i="55"/>
  <c r="I661" i="55" s="1"/>
  <c r="H268" i="55"/>
  <c r="I268" i="55" s="1"/>
  <c r="G628" i="55"/>
  <c r="G652" i="55"/>
  <c r="Q652" i="55"/>
  <c r="N662" i="18"/>
  <c r="E664" i="55" s="1"/>
  <c r="R325" i="44" a="1"/>
  <c r="R325" i="44" s="1"/>
  <c r="AB325" i="44" s="1"/>
  <c r="N663" i="18"/>
  <c r="E665" i="55" s="1"/>
  <c r="G665" i="55" s="1"/>
  <c r="N83" i="18"/>
  <c r="E85" i="55" s="1"/>
  <c r="G85" i="55" s="1"/>
  <c r="H85" i="55" s="1"/>
  <c r="I85" i="55" s="1"/>
  <c r="N84" i="18"/>
  <c r="E86" i="55" s="1"/>
  <c r="G86" i="55" s="1"/>
  <c r="N338" i="18"/>
  <c r="E340" i="55" s="1"/>
  <c r="N85" i="18"/>
  <c r="E87" i="55" s="1"/>
  <c r="G87" i="55" s="1"/>
  <c r="H87" i="55" s="1"/>
  <c r="I87" i="55" s="1"/>
  <c r="N329" i="18"/>
  <c r="E331" i="55" s="1"/>
  <c r="G331" i="55" s="1"/>
  <c r="R324" i="44" a="1"/>
  <c r="R324" i="44" s="1"/>
  <c r="AB324" i="44" s="1"/>
  <c r="AF324" i="44" s="1"/>
  <c r="AJ324" i="44" s="1"/>
  <c r="N625" i="18"/>
  <c r="E627" i="55" s="1"/>
  <c r="G627" i="55" s="1"/>
  <c r="H627" i="55" s="1"/>
  <c r="I627" i="55" s="1"/>
  <c r="N661" i="18"/>
  <c r="E663" i="55" s="1"/>
  <c r="G663" i="55" s="1"/>
  <c r="H663" i="55" s="1"/>
  <c r="I663" i="55" s="1"/>
  <c r="A780" i="18"/>
  <c r="R323" i="44" a="1"/>
  <c r="R323" i="44" s="1"/>
  <c r="AB323" i="44" s="1"/>
  <c r="AF323" i="44" s="1"/>
  <c r="AJ323" i="44" s="1"/>
  <c r="N623" i="18"/>
  <c r="E625" i="55" s="1"/>
  <c r="G625" i="55" s="1"/>
  <c r="H625" i="55" s="1"/>
  <c r="I625" i="55" s="1"/>
  <c r="R320" i="44" a="1"/>
  <c r="R320" i="44" s="1"/>
  <c r="AB320" i="44" s="1"/>
  <c r="AF320" i="44" s="1"/>
  <c r="AJ320" i="44" s="1"/>
  <c r="R317" i="44" a="1"/>
  <c r="R317" i="44" s="1"/>
  <c r="AB317" i="44" s="1"/>
  <c r="AF317" i="44" s="1"/>
  <c r="AJ317" i="44" s="1"/>
  <c r="N620" i="18"/>
  <c r="E622" i="55" s="1"/>
  <c r="G622" i="55" s="1"/>
  <c r="H622" i="55" s="1"/>
  <c r="I622" i="55" s="1"/>
  <c r="N80" i="18"/>
  <c r="E82" i="55" s="1"/>
  <c r="G82" i="55" s="1"/>
  <c r="H82" i="55" s="1"/>
  <c r="I82" i="55" s="1"/>
  <c r="R322" i="44" a="1"/>
  <c r="R322" i="44" s="1"/>
  <c r="AB322" i="44" s="1"/>
  <c r="AF322" i="44" s="1"/>
  <c r="AJ322" i="44" s="1"/>
  <c r="N624" i="18"/>
  <c r="E626" i="55" s="1"/>
  <c r="G626" i="55" s="1"/>
  <c r="H626" i="55" s="1"/>
  <c r="I626" i="55" s="1"/>
  <c r="N617" i="18"/>
  <c r="E619" i="55" s="1"/>
  <c r="G619" i="55" s="1"/>
  <c r="H619" i="55" s="1"/>
  <c r="I619" i="55" s="1"/>
  <c r="R314" i="44" a="1"/>
  <c r="R314" i="44" s="1"/>
  <c r="AB314" i="44" s="1"/>
  <c r="AF314" i="44" s="1"/>
  <c r="AJ314" i="44" s="1"/>
  <c r="N76" i="18"/>
  <c r="E78" i="55" s="1"/>
  <c r="R316" i="44" a="1"/>
  <c r="R316" i="44" s="1"/>
  <c r="AB316" i="44" s="1"/>
  <c r="AF316" i="44" s="1"/>
  <c r="AJ316" i="44" s="1"/>
  <c r="N619" i="18"/>
  <c r="E621" i="55" s="1"/>
  <c r="G621" i="55" s="1"/>
  <c r="R318" i="44" a="1"/>
  <c r="R318" i="44" s="1"/>
  <c r="AB318" i="44" s="1"/>
  <c r="AF318" i="44" s="1"/>
  <c r="AJ318" i="44" s="1"/>
  <c r="N621" i="18"/>
  <c r="E623" i="55" s="1"/>
  <c r="G623" i="55" s="1"/>
  <c r="H623" i="55" s="1"/>
  <c r="I623" i="55" s="1"/>
  <c r="N622" i="18"/>
  <c r="E624" i="55" s="1"/>
  <c r="G624" i="55" s="1"/>
  <c r="H624" i="55" s="1"/>
  <c r="I624" i="55" s="1"/>
  <c r="R319" i="44" a="1"/>
  <c r="R319" i="44" s="1"/>
  <c r="AB319" i="44" s="1"/>
  <c r="AF319" i="44" s="1"/>
  <c r="AJ319" i="44" s="1"/>
  <c r="N73" i="18"/>
  <c r="E75" i="55" s="1"/>
  <c r="G75" i="55" s="1"/>
  <c r="N779" i="18"/>
  <c r="N250" i="18"/>
  <c r="E252" i="55" s="1"/>
  <c r="N251" i="18"/>
  <c r="E253" i="55" s="1"/>
  <c r="G253" i="55" s="1"/>
  <c r="N70" i="18"/>
  <c r="E72" i="55" s="1"/>
  <c r="N252" i="18"/>
  <c r="E254" i="55" s="1"/>
  <c r="G254" i="55" s="1"/>
  <c r="N75" i="18"/>
  <c r="E77" i="55" s="1"/>
  <c r="C779" i="18"/>
  <c r="K779" i="18" s="1"/>
  <c r="S780" i="55" l="1"/>
  <c r="F781" i="55"/>
  <c r="E781" i="55"/>
  <c r="P781" i="55"/>
  <c r="J781" i="55"/>
  <c r="R779" i="18"/>
  <c r="D781" i="55"/>
  <c r="I259" i="55"/>
  <c r="I780" i="55"/>
  <c r="T780" i="55"/>
  <c r="H621" i="55"/>
  <c r="I621" i="55" s="1"/>
  <c r="H665" i="55"/>
  <c r="I665" i="55" s="1"/>
  <c r="H254" i="55"/>
  <c r="G72" i="55"/>
  <c r="Q75" i="55"/>
  <c r="R75" i="55" s="1"/>
  <c r="D19" i="59" s="1"/>
  <c r="G78" i="55"/>
  <c r="Q78" i="55"/>
  <c r="Q77" i="55"/>
  <c r="G77" i="55"/>
  <c r="H253" i="55"/>
  <c r="I253" i="55" s="1"/>
  <c r="G664" i="55"/>
  <c r="H616" i="55"/>
  <c r="H652" i="55"/>
  <c r="H75" i="55"/>
  <c r="H331" i="55"/>
  <c r="I331" i="55" s="1"/>
  <c r="Q255" i="55"/>
  <c r="R255" i="55" s="1"/>
  <c r="D59" i="59" s="1"/>
  <c r="G252" i="55"/>
  <c r="H252" i="55" s="1"/>
  <c r="I252" i="55" s="1"/>
  <c r="G340" i="55"/>
  <c r="H628" i="55"/>
  <c r="I628" i="55" s="1"/>
  <c r="H86" i="55"/>
  <c r="I86" i="55" s="1"/>
  <c r="AF325" i="44"/>
  <c r="AJ325" i="44" s="1"/>
  <c r="N77" i="18"/>
  <c r="E79" i="55" s="1"/>
  <c r="G79" i="55" s="1"/>
  <c r="H79" i="55" s="1"/>
  <c r="I79" i="55" s="1"/>
  <c r="N78" i="18"/>
  <c r="E80" i="55" s="1"/>
  <c r="G80" i="55" s="1"/>
  <c r="H80" i="55" s="1"/>
  <c r="I80" i="55" s="1"/>
  <c r="N79" i="18"/>
  <c r="E81" i="55" s="1"/>
  <c r="G81" i="55" s="1"/>
  <c r="H81" i="55" s="1"/>
  <c r="I81" i="55" s="1"/>
  <c r="N81" i="18"/>
  <c r="E83" i="55" s="1"/>
  <c r="G83" i="55" s="1"/>
  <c r="H83" i="55" s="1"/>
  <c r="I83" i="55" s="1"/>
  <c r="N82" i="18"/>
  <c r="E84" i="55" s="1"/>
  <c r="G84" i="55" s="1"/>
  <c r="H84" i="55" s="1"/>
  <c r="I84" i="55" s="1"/>
  <c r="E780" i="18"/>
  <c r="B780" i="18"/>
  <c r="D780" i="18"/>
  <c r="B782" i="55" s="1"/>
  <c r="S76" i="55" l="1"/>
  <c r="G781" i="55"/>
  <c r="H781" i="55" s="1"/>
  <c r="I781" i="55" s="1"/>
  <c r="A782" i="55"/>
  <c r="M780" i="18"/>
  <c r="K781" i="55"/>
  <c r="N781" i="55"/>
  <c r="L781" i="55"/>
  <c r="M781" i="55"/>
  <c r="C782" i="55"/>
  <c r="O780" i="18"/>
  <c r="R781" i="55"/>
  <c r="T781" i="55"/>
  <c r="U781" i="55"/>
  <c r="S781" i="55"/>
  <c r="Q781" i="55"/>
  <c r="L780" i="18"/>
  <c r="T255" i="55"/>
  <c r="I254" i="55"/>
  <c r="U255" i="55" s="1"/>
  <c r="I616" i="55"/>
  <c r="U780" i="55"/>
  <c r="I75" i="55"/>
  <c r="I652" i="55"/>
  <c r="H78" i="55"/>
  <c r="T78" i="55" s="1"/>
  <c r="S78" i="55"/>
  <c r="H72" i="55"/>
  <c r="T75" i="55" s="1"/>
  <c r="S255" i="55"/>
  <c r="S75" i="55"/>
  <c r="H664" i="55"/>
  <c r="I664" i="55" s="1"/>
  <c r="H340" i="55"/>
  <c r="I340" i="55" s="1"/>
  <c r="S77" i="55"/>
  <c r="H77" i="55"/>
  <c r="I77" i="55" s="1"/>
  <c r="A781" i="18"/>
  <c r="O782" i="55"/>
  <c r="N780" i="18"/>
  <c r="C780" i="18"/>
  <c r="K780" i="18" s="1"/>
  <c r="AC23" i="31"/>
  <c r="AC25" i="31" s="1"/>
  <c r="E782" i="55" l="1"/>
  <c r="F782" i="55"/>
  <c r="P782" i="55"/>
  <c r="J782" i="55"/>
  <c r="R780" i="18"/>
  <c r="D782" i="55"/>
  <c r="I78" i="55"/>
  <c r="U78" i="55" s="1"/>
  <c r="I72" i="55"/>
  <c r="U75" i="55" s="1"/>
  <c r="U77" i="55"/>
  <c r="T77" i="55"/>
  <c r="B781" i="18"/>
  <c r="L781" i="18" s="1"/>
  <c r="D781" i="18"/>
  <c r="B783" i="55" s="1"/>
  <c r="E781" i="18"/>
  <c r="H136" i="30"/>
  <c r="G782" i="55" l="1"/>
  <c r="H782" i="55" s="1"/>
  <c r="R782" i="55"/>
  <c r="T782" i="55"/>
  <c r="U782" i="55"/>
  <c r="S782" i="55"/>
  <c r="Q782" i="55"/>
  <c r="A783" i="55"/>
  <c r="M781" i="18"/>
  <c r="C783" i="55"/>
  <c r="O781" i="18"/>
  <c r="N782" i="55"/>
  <c r="L782" i="55"/>
  <c r="K782" i="55"/>
  <c r="M782" i="55"/>
  <c r="A782" i="18"/>
  <c r="N781" i="18"/>
  <c r="E783" i="55" s="1"/>
  <c r="C781" i="18"/>
  <c r="K781" i="18" s="1"/>
  <c r="AA157" i="30"/>
  <c r="AF157" i="30" s="1"/>
  <c r="I782" i="55" l="1"/>
  <c r="F783" i="55"/>
  <c r="G783" i="55" s="1"/>
  <c r="H783" i="55" s="1"/>
  <c r="I783" i="55" s="1"/>
  <c r="P783" i="55"/>
  <c r="J783" i="55"/>
  <c r="O783" i="55"/>
  <c r="R781" i="18"/>
  <c r="D783" i="55"/>
  <c r="B782" i="18"/>
  <c r="D782" i="18"/>
  <c r="B784" i="55" s="1"/>
  <c r="E782" i="18"/>
  <c r="AA205" i="30"/>
  <c r="AF205" i="30" s="1"/>
  <c r="A784" i="55" l="1"/>
  <c r="M782" i="18"/>
  <c r="L782" i="18"/>
  <c r="K783" i="55"/>
  <c r="N783" i="55"/>
  <c r="M783" i="55"/>
  <c r="L783" i="55"/>
  <c r="C784" i="55"/>
  <c r="O782" i="18"/>
  <c r="R783" i="55"/>
  <c r="T783" i="55"/>
  <c r="U783" i="55"/>
  <c r="S783" i="55"/>
  <c r="Q783" i="55"/>
  <c r="A783" i="18"/>
  <c r="R739" i="41" a="1"/>
  <c r="R739" i="41" s="1"/>
  <c r="AB739" i="41" s="1"/>
  <c r="AF739" i="41" s="1"/>
  <c r="AJ739" i="41" s="1"/>
  <c r="N782" i="18"/>
  <c r="O784" i="55"/>
  <c r="N225" i="18"/>
  <c r="E227" i="55" s="1"/>
  <c r="G227" i="55" s="1"/>
  <c r="H227" i="55" s="1"/>
  <c r="I227" i="55" s="1"/>
  <c r="C782" i="18"/>
  <c r="K782" i="18" s="1"/>
  <c r="E784" i="55" l="1"/>
  <c r="F784" i="55"/>
  <c r="P784" i="55"/>
  <c r="J784" i="55"/>
  <c r="R782" i="18"/>
  <c r="D784" i="55"/>
  <c r="E783" i="18"/>
  <c r="D783" i="18"/>
  <c r="B785" i="55" s="1"/>
  <c r="B783" i="18"/>
  <c r="G784" i="55" l="1"/>
  <c r="H784" i="55" s="1"/>
  <c r="I784" i="55" s="1"/>
  <c r="A785" i="55"/>
  <c r="O785" i="55" s="1"/>
  <c r="M783" i="18"/>
  <c r="L784" i="55"/>
  <c r="N784" i="55"/>
  <c r="K784" i="55"/>
  <c r="M784" i="55"/>
  <c r="R784" i="55"/>
  <c r="T784" i="55"/>
  <c r="U784" i="55"/>
  <c r="S784" i="55"/>
  <c r="Q784" i="55"/>
  <c r="C785" i="55"/>
  <c r="O783" i="18"/>
  <c r="L783" i="18"/>
  <c r="A784" i="18"/>
  <c r="N783" i="18"/>
  <c r="E785" i="55" s="1"/>
  <c r="C783" i="18"/>
  <c r="K783" i="18" s="1"/>
  <c r="F785" i="55" l="1"/>
  <c r="G785" i="55" s="1"/>
  <c r="H785" i="55" s="1"/>
  <c r="I785" i="55" s="1"/>
  <c r="P785" i="55"/>
  <c r="J785" i="55"/>
  <c r="R783" i="18"/>
  <c r="D785" i="55"/>
  <c r="B784" i="18"/>
  <c r="E784" i="18"/>
  <c r="D784" i="18"/>
  <c r="B786" i="55" s="1"/>
  <c r="A786" i="55" l="1"/>
  <c r="O786" i="55" s="1"/>
  <c r="M784" i="18"/>
  <c r="R785" i="55"/>
  <c r="S785" i="55"/>
  <c r="T785" i="55"/>
  <c r="U785" i="55"/>
  <c r="Q785" i="55"/>
  <c r="C786" i="55"/>
  <c r="O784" i="18"/>
  <c r="K785" i="55"/>
  <c r="N785" i="55"/>
  <c r="M785" i="55"/>
  <c r="L785" i="55"/>
  <c r="L784" i="18"/>
  <c r="A785" i="18"/>
  <c r="N784" i="18"/>
  <c r="C784" i="18"/>
  <c r="K784" i="18" s="1"/>
  <c r="F786" i="55" l="1"/>
  <c r="E786" i="55"/>
  <c r="P786" i="55"/>
  <c r="J786" i="55"/>
  <c r="R784" i="18"/>
  <c r="D786" i="55"/>
  <c r="B785" i="18"/>
  <c r="E785" i="18"/>
  <c r="D785" i="18"/>
  <c r="B787" i="55" s="1"/>
  <c r="G786" i="55" l="1"/>
  <c r="H786" i="55" s="1"/>
  <c r="I786" i="55" s="1"/>
  <c r="C787" i="55"/>
  <c r="O785" i="18"/>
  <c r="A787" i="55"/>
  <c r="O787" i="55" s="1"/>
  <c r="M785" i="18"/>
  <c r="N786" i="55"/>
  <c r="M786" i="55"/>
  <c r="K786" i="55"/>
  <c r="L786" i="55"/>
  <c r="T786" i="55"/>
  <c r="R786" i="55"/>
  <c r="S786" i="55"/>
  <c r="U786" i="55"/>
  <c r="Q786" i="55"/>
  <c r="L785" i="18"/>
  <c r="A786" i="18"/>
  <c r="L28" i="13"/>
  <c r="M28" i="13" s="1"/>
  <c r="U111" i="30" s="1"/>
  <c r="L27" i="13"/>
  <c r="M27" i="13" s="1"/>
  <c r="U66" i="30" s="1"/>
  <c r="N785" i="18"/>
  <c r="C785" i="18"/>
  <c r="K785" i="18" s="1"/>
  <c r="X102" i="30"/>
  <c r="X57" i="30"/>
  <c r="E787" i="55" l="1"/>
  <c r="P787" i="55"/>
  <c r="J787" i="55"/>
  <c r="F787" i="55"/>
  <c r="R785" i="18"/>
  <c r="D787" i="55"/>
  <c r="U102" i="30"/>
  <c r="R111" i="30" s="1"/>
  <c r="U57" i="30"/>
  <c r="R66" i="30" s="1"/>
  <c r="AA102" i="30"/>
  <c r="AF102" i="30" s="1"/>
  <c r="AA57" i="30"/>
  <c r="AF57" i="30" s="1"/>
  <c r="K27" i="13"/>
  <c r="U63" i="30" s="1"/>
  <c r="U54" i="30"/>
  <c r="R63" i="30" s="1"/>
  <c r="B786" i="18"/>
  <c r="D786" i="18"/>
  <c r="B788" i="55" s="1"/>
  <c r="E786" i="18"/>
  <c r="H32" i="33"/>
  <c r="G787" i="55" l="1"/>
  <c r="H787" i="55" s="1"/>
  <c r="I787" i="55" s="1"/>
  <c r="C788" i="55"/>
  <c r="O786" i="18"/>
  <c r="A788" i="55"/>
  <c r="M786" i="18"/>
  <c r="L786" i="18"/>
  <c r="N787" i="55"/>
  <c r="L787" i="55"/>
  <c r="M787" i="55"/>
  <c r="K787" i="55"/>
  <c r="U787" i="55"/>
  <c r="S787" i="55"/>
  <c r="T787" i="55"/>
  <c r="R787" i="55"/>
  <c r="Q787" i="55"/>
  <c r="N561" i="18"/>
  <c r="E563" i="55" s="1"/>
  <c r="R268" i="40" a="1"/>
  <c r="R268" i="40" s="1"/>
  <c r="AB268" i="40" s="1"/>
  <c r="AF268" i="40" s="1"/>
  <c r="AJ268" i="40" s="1"/>
  <c r="A787" i="18"/>
  <c r="X50" i="33"/>
  <c r="X53" i="33"/>
  <c r="X149" i="33"/>
  <c r="X202" i="33"/>
  <c r="K28" i="13"/>
  <c r="U108" i="30" s="1"/>
  <c r="U99" i="30"/>
  <c r="R108" i="30" s="1"/>
  <c r="N786" i="18"/>
  <c r="C786" i="18"/>
  <c r="K786" i="18" s="1"/>
  <c r="E788" i="55" l="1"/>
  <c r="P788" i="55"/>
  <c r="J788" i="55"/>
  <c r="F788" i="55"/>
  <c r="R786" i="18"/>
  <c r="D788" i="55"/>
  <c r="Q563" i="55"/>
  <c r="G563" i="55"/>
  <c r="O788" i="55"/>
  <c r="D787" i="18"/>
  <c r="B789" i="55" s="1"/>
  <c r="E787" i="18"/>
  <c r="B787" i="18"/>
  <c r="L787" i="18" s="1"/>
  <c r="AA50" i="33"/>
  <c r="AF50" i="33" s="1"/>
  <c r="AA149" i="33"/>
  <c r="AF149" i="33" s="1"/>
  <c r="AA202" i="33"/>
  <c r="AF202" i="33" s="1"/>
  <c r="AA53" i="33"/>
  <c r="AF53" i="33" s="1"/>
  <c r="AA146" i="33"/>
  <c r="AF146" i="33" s="1"/>
  <c r="X146" i="33"/>
  <c r="G788" i="55" l="1"/>
  <c r="H788" i="55" s="1"/>
  <c r="I788" i="55" s="1"/>
  <c r="C789" i="55"/>
  <c r="O787" i="18"/>
  <c r="N788" i="55"/>
  <c r="M788" i="55"/>
  <c r="L788" i="55"/>
  <c r="K788" i="55"/>
  <c r="R788" i="55"/>
  <c r="T788" i="55"/>
  <c r="S788" i="55"/>
  <c r="U788" i="55"/>
  <c r="Q788" i="55"/>
  <c r="A789" i="55"/>
  <c r="M787" i="18"/>
  <c r="H563" i="55"/>
  <c r="T563" i="55" s="1"/>
  <c r="S563" i="55"/>
  <c r="N345" i="18"/>
  <c r="E347" i="55" s="1"/>
  <c r="N703" i="18"/>
  <c r="E705" i="55" s="1"/>
  <c r="G705" i="55" s="1"/>
  <c r="A788" i="18"/>
  <c r="N700" i="18"/>
  <c r="E702" i="55" s="1"/>
  <c r="N666" i="18"/>
  <c r="E668" i="55" s="1"/>
  <c r="N665" i="18"/>
  <c r="E667" i="55" s="1"/>
  <c r="K44" i="13"/>
  <c r="U158" i="33" s="1"/>
  <c r="U149" i="33"/>
  <c r="R158" i="33" s="1"/>
  <c r="U50" i="33"/>
  <c r="R59" i="33" s="1"/>
  <c r="K43" i="13"/>
  <c r="U62" i="33" s="1"/>
  <c r="U53" i="33"/>
  <c r="R62" i="33" s="1"/>
  <c r="N787" i="18"/>
  <c r="E789" i="55" s="1"/>
  <c r="C787" i="18"/>
  <c r="K787" i="18" s="1"/>
  <c r="U59" i="33"/>
  <c r="X199" i="33"/>
  <c r="AA199" i="33"/>
  <c r="AF199" i="33" s="1"/>
  <c r="U146" i="33"/>
  <c r="R155" i="33" s="1"/>
  <c r="U155" i="33"/>
  <c r="F789" i="55" l="1"/>
  <c r="G789" i="55" s="1"/>
  <c r="H789" i="55" s="1"/>
  <c r="I789" i="55" s="1"/>
  <c r="P789" i="55"/>
  <c r="J789" i="55"/>
  <c r="R787" i="18"/>
  <c r="D789" i="55"/>
  <c r="G667" i="55"/>
  <c r="Q669" i="55"/>
  <c r="G668" i="55"/>
  <c r="H705" i="55"/>
  <c r="I705" i="55" s="1"/>
  <c r="G702" i="55"/>
  <c r="G347" i="55"/>
  <c r="Q347" i="55"/>
  <c r="I563" i="55"/>
  <c r="U563" i="55" s="1"/>
  <c r="O789" i="55"/>
  <c r="N741" i="18"/>
  <c r="E743" i="55" s="1"/>
  <c r="R314" i="46" a="1"/>
  <c r="R314" i="46" s="1"/>
  <c r="AB314" i="46" s="1"/>
  <c r="AF314" i="46" s="1"/>
  <c r="AJ314" i="46" s="1"/>
  <c r="R313" i="46" a="1"/>
  <c r="R313" i="46" s="1"/>
  <c r="R315" i="46" a="1"/>
  <c r="R315" i="46" s="1"/>
  <c r="AB315" i="46" s="1"/>
  <c r="AF315" i="46" s="1"/>
  <c r="AJ315" i="46" s="1"/>
  <c r="N307" i="18"/>
  <c r="E309" i="55" s="1"/>
  <c r="G309" i="55" s="1"/>
  <c r="N309" i="18"/>
  <c r="E311" i="55" s="1"/>
  <c r="N310" i="18"/>
  <c r="E312" i="55" s="1"/>
  <c r="N308" i="18"/>
  <c r="E310" i="55" s="1"/>
  <c r="R215" i="47" a="1"/>
  <c r="R215" i="47" s="1"/>
  <c r="AB215" i="47" s="1"/>
  <c r="AF215" i="47" s="1"/>
  <c r="AJ215" i="47" s="1"/>
  <c r="N701" i="18"/>
  <c r="E703" i="55" s="1"/>
  <c r="G703" i="55" s="1"/>
  <c r="H703" i="55" s="1"/>
  <c r="I703" i="55" s="1"/>
  <c r="K45" i="13"/>
  <c r="U211" i="33" s="1"/>
  <c r="U202" i="33"/>
  <c r="R211" i="33" s="1"/>
  <c r="D788" i="18"/>
  <c r="B790" i="55" s="1"/>
  <c r="E788" i="18"/>
  <c r="B788" i="18"/>
  <c r="R208" i="33"/>
  <c r="C790" i="55" l="1"/>
  <c r="O788" i="18"/>
  <c r="R789" i="55"/>
  <c r="T789" i="55"/>
  <c r="U789" i="55"/>
  <c r="S789" i="55"/>
  <c r="Q789" i="55"/>
  <c r="N789" i="55"/>
  <c r="M789" i="55"/>
  <c r="L789" i="55"/>
  <c r="K789" i="55"/>
  <c r="A790" i="55"/>
  <c r="M788" i="18"/>
  <c r="L788" i="18"/>
  <c r="AB313" i="46"/>
  <c r="AF313" i="46" s="1"/>
  <c r="AJ313" i="46" s="1"/>
  <c r="AC24" i="46"/>
  <c r="Q705" i="55"/>
  <c r="S309" i="55"/>
  <c r="R309" i="55" s="1"/>
  <c r="D71" i="59" s="1"/>
  <c r="H309" i="55"/>
  <c r="G311" i="55"/>
  <c r="Q311" i="55"/>
  <c r="H347" i="55"/>
  <c r="T347" i="55" s="1"/>
  <c r="S347" i="55"/>
  <c r="H702" i="55"/>
  <c r="I702" i="55" s="1"/>
  <c r="H668" i="55"/>
  <c r="I668" i="55" s="1"/>
  <c r="Q743" i="55"/>
  <c r="G743" i="55"/>
  <c r="G310" i="55"/>
  <c r="Q310" i="55"/>
  <c r="G312" i="55"/>
  <c r="Q312" i="55"/>
  <c r="H667" i="55"/>
  <c r="I667" i="55" s="1"/>
  <c r="R328" i="46" a="1"/>
  <c r="R328" i="46" s="1"/>
  <c r="AB328" i="46" s="1"/>
  <c r="AF328" i="46" s="1"/>
  <c r="AJ328" i="46" s="1"/>
  <c r="N717" i="18"/>
  <c r="E719" i="55" s="1"/>
  <c r="G719" i="55" s="1"/>
  <c r="N321" i="18"/>
  <c r="E323" i="55" s="1"/>
  <c r="G323" i="55" s="1"/>
  <c r="H323" i="55" s="1"/>
  <c r="I323" i="55" s="1"/>
  <c r="R327" i="46" a="1"/>
  <c r="R327" i="46" s="1"/>
  <c r="AB327" i="46" s="1"/>
  <c r="AF327" i="46" s="1"/>
  <c r="AJ327" i="46" s="1"/>
  <c r="N716" i="18"/>
  <c r="E718" i="55" s="1"/>
  <c r="G718" i="55" s="1"/>
  <c r="H718" i="55" s="1"/>
  <c r="I718" i="55" s="1"/>
  <c r="N343" i="18"/>
  <c r="E345" i="55" s="1"/>
  <c r="G345" i="55" s="1"/>
  <c r="S345" i="55" s="1"/>
  <c r="N344" i="18"/>
  <c r="E346" i="55" s="1"/>
  <c r="N320" i="18"/>
  <c r="E322" i="55" s="1"/>
  <c r="G322" i="55" s="1"/>
  <c r="H322" i="55" s="1"/>
  <c r="I322" i="55" s="1"/>
  <c r="R317" i="46" a="1"/>
  <c r="R317" i="46" s="1"/>
  <c r="AB317" i="46" s="1"/>
  <c r="AF317" i="46" s="1"/>
  <c r="AJ317" i="46" s="1"/>
  <c r="R319" i="46" a="1"/>
  <c r="R319" i="46" s="1"/>
  <c r="AB319" i="46" s="1"/>
  <c r="AF319" i="46" s="1"/>
  <c r="AJ319" i="46" s="1"/>
  <c r="N713" i="18"/>
  <c r="E715" i="55" s="1"/>
  <c r="G715" i="55" s="1"/>
  <c r="H715" i="55" s="1"/>
  <c r="I715" i="55" s="1"/>
  <c r="N318" i="18"/>
  <c r="E320" i="55" s="1"/>
  <c r="G320" i="55" s="1"/>
  <c r="A789" i="18"/>
  <c r="N699" i="18"/>
  <c r="E701" i="55" s="1"/>
  <c r="G701" i="55" s="1"/>
  <c r="R316" i="46" a="1"/>
  <c r="R316" i="46" s="1"/>
  <c r="AB316" i="46" s="1"/>
  <c r="N788" i="18"/>
  <c r="E790" i="55" s="1"/>
  <c r="N325" i="18"/>
  <c r="E327" i="55" s="1"/>
  <c r="G327" i="55" s="1"/>
  <c r="C788" i="18"/>
  <c r="K788" i="18" s="1"/>
  <c r="F790" i="55" l="1"/>
  <c r="G790" i="55" s="1"/>
  <c r="P790" i="55"/>
  <c r="J790" i="55"/>
  <c r="R788" i="18"/>
  <c r="D790" i="55"/>
  <c r="I309" i="55"/>
  <c r="U309" i="55" s="1"/>
  <c r="T309" i="55"/>
  <c r="H701" i="55"/>
  <c r="G346" i="55"/>
  <c r="H346" i="55" s="1"/>
  <c r="Q346" i="55"/>
  <c r="I347" i="55"/>
  <c r="U347" i="55" s="1"/>
  <c r="S312" i="55"/>
  <c r="H312" i="55"/>
  <c r="H345" i="55"/>
  <c r="R345" i="55"/>
  <c r="D79" i="59" s="1"/>
  <c r="H310" i="55"/>
  <c r="H719" i="55"/>
  <c r="I719" i="55" s="1"/>
  <c r="H327" i="55"/>
  <c r="S327" i="55"/>
  <c r="H320" i="55"/>
  <c r="I320" i="55" s="1"/>
  <c r="S743" i="55"/>
  <c r="H743" i="55"/>
  <c r="T743" i="55" s="1"/>
  <c r="S311" i="55"/>
  <c r="H311" i="55"/>
  <c r="O790" i="55"/>
  <c r="R326" i="46" a="1"/>
  <c r="R326" i="46" s="1"/>
  <c r="AB326" i="46" s="1"/>
  <c r="AF326" i="46" s="1"/>
  <c r="AJ326" i="46" s="1"/>
  <c r="R318" i="46" a="1"/>
  <c r="R318" i="46" s="1"/>
  <c r="AB318" i="46" s="1"/>
  <c r="AF318" i="46" s="1"/>
  <c r="AJ318" i="46" s="1"/>
  <c r="N715" i="18"/>
  <c r="E717" i="55" s="1"/>
  <c r="G717" i="55" s="1"/>
  <c r="N319" i="18"/>
  <c r="E321" i="55" s="1"/>
  <c r="G321" i="55" s="1"/>
  <c r="H321" i="55" s="1"/>
  <c r="I321" i="55" s="1"/>
  <c r="N357" i="18"/>
  <c r="E359" i="55" s="1"/>
  <c r="G359" i="55" s="1"/>
  <c r="N742" i="18"/>
  <c r="E744" i="55" s="1"/>
  <c r="R217" i="47" a="1"/>
  <c r="R217" i="47" s="1"/>
  <c r="AB217" i="47" s="1"/>
  <c r="N743" i="18"/>
  <c r="E745" i="55" s="1"/>
  <c r="G745" i="55" s="1"/>
  <c r="N356" i="18"/>
  <c r="E358" i="55" s="1"/>
  <c r="N714" i="18"/>
  <c r="E716" i="55" s="1"/>
  <c r="G716" i="55" s="1"/>
  <c r="H716" i="55" s="1"/>
  <c r="I716" i="55" s="1"/>
  <c r="N740" i="18"/>
  <c r="E742" i="55" s="1"/>
  <c r="R214" i="47" a="1"/>
  <c r="R214" i="47" s="1"/>
  <c r="AB214" i="47" s="1"/>
  <c r="AF214" i="47" s="1"/>
  <c r="AJ214" i="47" s="1"/>
  <c r="N712" i="18"/>
  <c r="E714" i="55" s="1"/>
  <c r="G714" i="55" s="1"/>
  <c r="H714" i="55" s="1"/>
  <c r="I714" i="55" s="1"/>
  <c r="R325" i="46" a="1"/>
  <c r="R325" i="46" s="1"/>
  <c r="AB325" i="46" s="1"/>
  <c r="AF325" i="46" s="1"/>
  <c r="AJ325" i="46" s="1"/>
  <c r="R322" i="46" a="1"/>
  <c r="R322" i="46" s="1"/>
  <c r="AB322" i="46" s="1"/>
  <c r="AF322" i="46" s="1"/>
  <c r="AJ322" i="46" s="1"/>
  <c r="R320" i="46" a="1"/>
  <c r="R320" i="46" s="1"/>
  <c r="AB320" i="46" s="1"/>
  <c r="AF320" i="46" s="1"/>
  <c r="AJ320" i="46" s="1"/>
  <c r="R324" i="46" a="1"/>
  <c r="R324" i="46" s="1"/>
  <c r="AB324" i="46" s="1"/>
  <c r="AF324" i="46" s="1"/>
  <c r="AJ324" i="46" s="1"/>
  <c r="N311" i="18"/>
  <c r="E313" i="55" s="1"/>
  <c r="G313" i="55" s="1"/>
  <c r="N317" i="18"/>
  <c r="E319" i="55" s="1"/>
  <c r="G319" i="55" s="1"/>
  <c r="H319" i="55" s="1"/>
  <c r="I319" i="55" s="1"/>
  <c r="N312" i="18"/>
  <c r="E314" i="55" s="1"/>
  <c r="G314" i="55" s="1"/>
  <c r="N315" i="18"/>
  <c r="E317" i="55" s="1"/>
  <c r="G317" i="55" s="1"/>
  <c r="N348" i="18"/>
  <c r="E350" i="55" s="1"/>
  <c r="G350" i="55" s="1"/>
  <c r="N349" i="18"/>
  <c r="E351" i="55" s="1"/>
  <c r="G351" i="55" s="1"/>
  <c r="R321" i="46" a="1"/>
  <c r="R321" i="46" s="1"/>
  <c r="AB321" i="46" s="1"/>
  <c r="AF321" i="46" s="1"/>
  <c r="AJ321" i="46" s="1"/>
  <c r="N314" i="18"/>
  <c r="E316" i="55" s="1"/>
  <c r="G316" i="55" s="1"/>
  <c r="N316" i="18"/>
  <c r="E318" i="55" s="1"/>
  <c r="G318" i="55" s="1"/>
  <c r="H318" i="55" s="1"/>
  <c r="I318" i="55" s="1"/>
  <c r="N313" i="18"/>
  <c r="E315" i="55" s="1"/>
  <c r="G315" i="55" s="1"/>
  <c r="H315" i="55" s="1"/>
  <c r="I315" i="55" s="1"/>
  <c r="R213" i="47" a="1"/>
  <c r="R213" i="47" s="1"/>
  <c r="N739" i="18"/>
  <c r="E741" i="55" s="1"/>
  <c r="G741" i="55" s="1"/>
  <c r="R216" i="47" a="1"/>
  <c r="R216" i="47" s="1"/>
  <c r="AB216" i="47" s="1"/>
  <c r="AF216" i="47" s="1"/>
  <c r="AJ216" i="47" s="1"/>
  <c r="N702" i="18"/>
  <c r="E704" i="55" s="1"/>
  <c r="AF316" i="46"/>
  <c r="AJ316" i="46" s="1"/>
  <c r="N336" i="18"/>
  <c r="E338" i="55" s="1"/>
  <c r="G338" i="55" s="1"/>
  <c r="N337" i="18"/>
  <c r="E339" i="55" s="1"/>
  <c r="G339" i="55" s="1"/>
  <c r="D789" i="18"/>
  <c r="B791" i="55" s="1"/>
  <c r="B789" i="18"/>
  <c r="L789" i="18" s="1"/>
  <c r="E789" i="18"/>
  <c r="N350" i="18"/>
  <c r="E352" i="55" s="1"/>
  <c r="G352" i="55" s="1"/>
  <c r="H352" i="55" s="1"/>
  <c r="I352" i="55" s="1"/>
  <c r="N351" i="18"/>
  <c r="E353" i="55" s="1"/>
  <c r="G353" i="55" s="1"/>
  <c r="N355" i="18"/>
  <c r="E357" i="55" s="1"/>
  <c r="G357" i="55" s="1"/>
  <c r="H357" i="55" s="1"/>
  <c r="I357" i="55" s="1"/>
  <c r="A791" i="55" l="1"/>
  <c r="M789" i="18"/>
  <c r="N790" i="55"/>
  <c r="K790" i="55"/>
  <c r="L790" i="55"/>
  <c r="M790" i="55"/>
  <c r="C791" i="55"/>
  <c r="O789" i="18"/>
  <c r="R790" i="55"/>
  <c r="T790" i="55"/>
  <c r="U790" i="55"/>
  <c r="S790" i="55"/>
  <c r="Q790" i="55"/>
  <c r="AB213" i="47"/>
  <c r="AF213" i="47" s="1"/>
  <c r="AJ213" i="47" s="1"/>
  <c r="AC24" i="47"/>
  <c r="I312" i="55"/>
  <c r="U312" i="55" s="1"/>
  <c r="T312" i="55"/>
  <c r="I310" i="55"/>
  <c r="I346" i="55"/>
  <c r="I701" i="55"/>
  <c r="I327" i="55"/>
  <c r="U327" i="55" s="1"/>
  <c r="T327" i="55"/>
  <c r="I311" i="55"/>
  <c r="U311" i="55" s="1"/>
  <c r="T311" i="55"/>
  <c r="I345" i="55"/>
  <c r="U345" i="55" s="1"/>
  <c r="T345" i="55"/>
  <c r="H313" i="55"/>
  <c r="I313" i="55" s="1"/>
  <c r="H359" i="55"/>
  <c r="I359" i="55" s="1"/>
  <c r="Q744" i="55"/>
  <c r="G744" i="55"/>
  <c r="I743" i="55"/>
  <c r="U743" i="55" s="1"/>
  <c r="H351" i="55"/>
  <c r="I351" i="55" s="1"/>
  <c r="G704" i="55"/>
  <c r="H350" i="55"/>
  <c r="I350" i="55" s="1"/>
  <c r="H790" i="55"/>
  <c r="I790" i="55" s="1"/>
  <c r="H741" i="55"/>
  <c r="T741" i="55" s="1"/>
  <c r="S741" i="55"/>
  <c r="R741" i="55" s="1"/>
  <c r="D167" i="59" s="1"/>
  <c r="H314" i="55"/>
  <c r="I314" i="55" s="1"/>
  <c r="G742" i="55"/>
  <c r="Q742" i="55"/>
  <c r="H353" i="55"/>
  <c r="I353" i="55" s="1"/>
  <c r="G358" i="55"/>
  <c r="H745" i="55"/>
  <c r="I745" i="55" s="1"/>
  <c r="H717" i="55"/>
  <c r="I717" i="55" s="1"/>
  <c r="H338" i="55"/>
  <c r="I338" i="55" s="1"/>
  <c r="H316" i="55"/>
  <c r="I316" i="55" s="1"/>
  <c r="H317" i="55"/>
  <c r="I317" i="55" s="1"/>
  <c r="H339" i="55"/>
  <c r="I339" i="55" s="1"/>
  <c r="R228" i="47" a="1"/>
  <c r="R228" i="47" s="1"/>
  <c r="AB228" i="47" s="1"/>
  <c r="AF228" i="47" s="1"/>
  <c r="AJ228" i="47" s="1"/>
  <c r="N753" i="18"/>
  <c r="E755" i="55" s="1"/>
  <c r="G755" i="55" s="1"/>
  <c r="H755" i="55" s="1"/>
  <c r="I755" i="55" s="1"/>
  <c r="N353" i="18"/>
  <c r="E355" i="55" s="1"/>
  <c r="G355" i="55" s="1"/>
  <c r="H355" i="55" s="1"/>
  <c r="I355" i="55" s="1"/>
  <c r="N346" i="18"/>
  <c r="E348" i="55" s="1"/>
  <c r="N347" i="18"/>
  <c r="E349" i="55" s="1"/>
  <c r="G349" i="55" s="1"/>
  <c r="H349" i="55" s="1"/>
  <c r="I349" i="55" s="1"/>
  <c r="N354" i="18"/>
  <c r="E356" i="55" s="1"/>
  <c r="G356" i="55" s="1"/>
  <c r="AF217" i="47"/>
  <c r="AJ217" i="47" s="1"/>
  <c r="R227" i="47" a="1"/>
  <c r="R227" i="47" s="1"/>
  <c r="AB227" i="47" s="1"/>
  <c r="AF227" i="47" s="1"/>
  <c r="AJ227" i="47" s="1"/>
  <c r="N752" i="18"/>
  <c r="E754" i="55" s="1"/>
  <c r="N352" i="18"/>
  <c r="E354" i="55" s="1"/>
  <c r="G354" i="55" s="1"/>
  <c r="H354" i="55" s="1"/>
  <c r="I354" i="55" s="1"/>
  <c r="AB332" i="46"/>
  <c r="AC19" i="46" s="1"/>
  <c r="A790" i="18"/>
  <c r="AJ332" i="46"/>
  <c r="AC21" i="46" s="1"/>
  <c r="AC23" i="46" s="1"/>
  <c r="AC25" i="46" s="1"/>
  <c r="AF332" i="46"/>
  <c r="AC20" i="46" s="1"/>
  <c r="N708" i="18"/>
  <c r="E710" i="55" s="1"/>
  <c r="G710" i="55" s="1"/>
  <c r="H710" i="55" s="1"/>
  <c r="I710" i="55" s="1"/>
  <c r="N710" i="18"/>
  <c r="E712" i="55" s="1"/>
  <c r="G712" i="55" s="1"/>
  <c r="N744" i="18"/>
  <c r="E746" i="55" s="1"/>
  <c r="G746" i="55" s="1"/>
  <c r="H746" i="55" s="1"/>
  <c r="I746" i="55" s="1"/>
  <c r="N711" i="18"/>
  <c r="E713" i="55" s="1"/>
  <c r="G713" i="55" s="1"/>
  <c r="N789" i="18"/>
  <c r="E791" i="55" s="1"/>
  <c r="N330" i="18"/>
  <c r="E332" i="55" s="1"/>
  <c r="G332" i="55" s="1"/>
  <c r="N331" i="18"/>
  <c r="E333" i="55" s="1"/>
  <c r="G333" i="55" s="1"/>
  <c r="H333" i="55" s="1"/>
  <c r="I333" i="55" s="1"/>
  <c r="N333" i="18"/>
  <c r="E335" i="55" s="1"/>
  <c r="G335" i="55" s="1"/>
  <c r="H335" i="55" s="1"/>
  <c r="I335" i="55" s="1"/>
  <c r="N332" i="18"/>
  <c r="E334" i="55" s="1"/>
  <c r="G334" i="55" s="1"/>
  <c r="H334" i="55" s="1"/>
  <c r="I334" i="55" s="1"/>
  <c r="N334" i="18"/>
  <c r="E336" i="55" s="1"/>
  <c r="G336" i="55" s="1"/>
  <c r="H336" i="55" s="1"/>
  <c r="I336" i="55" s="1"/>
  <c r="N328" i="18"/>
  <c r="E330" i="55" s="1"/>
  <c r="N335" i="18"/>
  <c r="E337" i="55" s="1"/>
  <c r="G337" i="55" s="1"/>
  <c r="C789" i="18"/>
  <c r="K789" i="18" s="1"/>
  <c r="F791" i="55" l="1"/>
  <c r="G791" i="55" s="1"/>
  <c r="H791" i="55" s="1"/>
  <c r="I791" i="55" s="1"/>
  <c r="P791" i="55"/>
  <c r="J791" i="55"/>
  <c r="R789" i="18"/>
  <c r="D791" i="55"/>
  <c r="I741" i="55"/>
  <c r="U741" i="55" s="1"/>
  <c r="H742" i="55"/>
  <c r="I742" i="55" s="1"/>
  <c r="H704" i="55"/>
  <c r="T705" i="55" s="1"/>
  <c r="S705" i="55"/>
  <c r="R705" i="55" s="1"/>
  <c r="D159" i="59" s="1"/>
  <c r="G348" i="55"/>
  <c r="Q348" i="55"/>
  <c r="G330" i="55"/>
  <c r="Q330" i="55"/>
  <c r="H744" i="55"/>
  <c r="S744" i="55"/>
  <c r="H713" i="55"/>
  <c r="I713" i="55" s="1"/>
  <c r="G754" i="55"/>
  <c r="H358" i="55"/>
  <c r="I358" i="55" s="1"/>
  <c r="H332" i="55"/>
  <c r="I332" i="55" s="1"/>
  <c r="H356" i="55"/>
  <c r="I356" i="55" s="1"/>
  <c r="H712" i="55"/>
  <c r="I712" i="55" s="1"/>
  <c r="H337" i="55"/>
  <c r="I337" i="55" s="1"/>
  <c r="O791" i="55"/>
  <c r="N749" i="18"/>
  <c r="E751" i="55" s="1"/>
  <c r="G751" i="55" s="1"/>
  <c r="H751" i="55" s="1"/>
  <c r="I751" i="55" s="1"/>
  <c r="N746" i="18"/>
  <c r="E748" i="55" s="1"/>
  <c r="G748" i="55" s="1"/>
  <c r="H748" i="55" s="1"/>
  <c r="I748" i="55" s="1"/>
  <c r="N751" i="18"/>
  <c r="E753" i="55" s="1"/>
  <c r="G753" i="55" s="1"/>
  <c r="R226" i="47" a="1"/>
  <c r="R226" i="47" s="1"/>
  <c r="AB226" i="47" s="1"/>
  <c r="AF226" i="47" s="1"/>
  <c r="AJ226" i="47" s="1"/>
  <c r="N750" i="18"/>
  <c r="E752" i="55" s="1"/>
  <c r="G752" i="55" s="1"/>
  <c r="H752" i="55" s="1"/>
  <c r="I752" i="55" s="1"/>
  <c r="R225" i="47" a="1"/>
  <c r="R225" i="47" s="1"/>
  <c r="AB225" i="47" s="1"/>
  <c r="AF225" i="47" s="1"/>
  <c r="AJ225" i="47" s="1"/>
  <c r="N745" i="18"/>
  <c r="E747" i="55" s="1"/>
  <c r="G747" i="55" s="1"/>
  <c r="H747" i="55" s="1"/>
  <c r="I747" i="55" s="1"/>
  <c r="N747" i="18"/>
  <c r="E749" i="55" s="1"/>
  <c r="G749" i="55" s="1"/>
  <c r="N748" i="18"/>
  <c r="E750" i="55" s="1"/>
  <c r="G750" i="55" s="1"/>
  <c r="H750" i="55" s="1"/>
  <c r="I750" i="55" s="1"/>
  <c r="R222" i="47" a="1"/>
  <c r="R222" i="47" s="1"/>
  <c r="AB222" i="47" s="1"/>
  <c r="AF222" i="47" s="1"/>
  <c r="AJ222" i="47" s="1"/>
  <c r="R218" i="47" a="1"/>
  <c r="R218" i="47" s="1"/>
  <c r="AB218" i="47" s="1"/>
  <c r="N704" i="18"/>
  <c r="E706" i="55" s="1"/>
  <c r="R224" i="47" a="1"/>
  <c r="R224" i="47" s="1"/>
  <c r="AB224" i="47" s="1"/>
  <c r="AF224" i="47" s="1"/>
  <c r="AJ224" i="47" s="1"/>
  <c r="N709" i="18"/>
  <c r="E711" i="55" s="1"/>
  <c r="G711" i="55" s="1"/>
  <c r="H711" i="55" s="1"/>
  <c r="I711" i="55" s="1"/>
  <c r="R220" i="47" a="1"/>
  <c r="R220" i="47" s="1"/>
  <c r="AB220" i="47" s="1"/>
  <c r="AF220" i="47" s="1"/>
  <c r="AJ220" i="47" s="1"/>
  <c r="N706" i="18"/>
  <c r="E708" i="55" s="1"/>
  <c r="R219" i="47" a="1"/>
  <c r="R219" i="47" s="1"/>
  <c r="AB219" i="47" s="1"/>
  <c r="AF219" i="47" s="1"/>
  <c r="AJ219" i="47" s="1"/>
  <c r="N705" i="18"/>
  <c r="E707" i="55" s="1"/>
  <c r="R221" i="47" a="1"/>
  <c r="R221" i="47" s="1"/>
  <c r="AB221" i="47" s="1"/>
  <c r="AF221" i="47" s="1"/>
  <c r="AJ221" i="47" s="1"/>
  <c r="N707" i="18"/>
  <c r="E709" i="55" s="1"/>
  <c r="G709" i="55" s="1"/>
  <c r="D790" i="18"/>
  <c r="B792" i="55" s="1"/>
  <c r="E790" i="18"/>
  <c r="B790" i="18"/>
  <c r="A792" i="55" l="1"/>
  <c r="M790" i="18"/>
  <c r="L790" i="18"/>
  <c r="C792" i="55"/>
  <c r="O790" i="18"/>
  <c r="K791" i="55"/>
  <c r="N791" i="55"/>
  <c r="M791" i="55"/>
  <c r="L791" i="55"/>
  <c r="R791" i="55"/>
  <c r="T791" i="55"/>
  <c r="U791" i="55"/>
  <c r="S791" i="55"/>
  <c r="Q791" i="55"/>
  <c r="I704" i="55"/>
  <c r="U705" i="55" s="1"/>
  <c r="I744" i="55"/>
  <c r="U744" i="55" s="1"/>
  <c r="T744" i="55"/>
  <c r="H753" i="55"/>
  <c r="I753" i="55" s="1"/>
  <c r="H754" i="55"/>
  <c r="I754" i="55" s="1"/>
  <c r="G708" i="55"/>
  <c r="Q708" i="55"/>
  <c r="S330" i="55"/>
  <c r="H330" i="55"/>
  <c r="T330" i="55" s="1"/>
  <c r="Q706" i="55"/>
  <c r="G706" i="55"/>
  <c r="H348" i="55"/>
  <c r="S348" i="55"/>
  <c r="H709" i="55"/>
  <c r="I709" i="55" s="1"/>
  <c r="H749" i="55"/>
  <c r="I749" i="55" s="1"/>
  <c r="Q707" i="55"/>
  <c r="G707" i="55"/>
  <c r="O792" i="55"/>
  <c r="A791" i="18"/>
  <c r="AF218" i="47"/>
  <c r="AB232" i="47"/>
  <c r="AC19" i="47" s="1"/>
  <c r="N790" i="18"/>
  <c r="C790" i="18"/>
  <c r="K790" i="18" s="1"/>
  <c r="E792" i="55" l="1"/>
  <c r="F792" i="55"/>
  <c r="J792" i="55"/>
  <c r="P792" i="55"/>
  <c r="R790" i="18"/>
  <c r="D792" i="55"/>
  <c r="I348" i="55"/>
  <c r="T348" i="55"/>
  <c r="H706" i="55"/>
  <c r="S707" i="55"/>
  <c r="H707" i="55"/>
  <c r="T707" i="55" s="1"/>
  <c r="I330" i="55"/>
  <c r="U330" i="55" s="1"/>
  <c r="H708" i="55"/>
  <c r="S708" i="55"/>
  <c r="AJ218" i="47"/>
  <c r="AJ232" i="47" s="1"/>
  <c r="AC21" i="47" s="1"/>
  <c r="AC23" i="47" s="1"/>
  <c r="AC25" i="47" s="1"/>
  <c r="AF232" i="47"/>
  <c r="AC20" i="47" s="1"/>
  <c r="B791" i="18"/>
  <c r="L791" i="18" s="1"/>
  <c r="D791" i="18"/>
  <c r="B793" i="55" s="1"/>
  <c r="E791" i="18"/>
  <c r="AA154" i="30"/>
  <c r="AF154" i="30" s="1"/>
  <c r="G792" i="55" l="1"/>
  <c r="H792" i="55" s="1"/>
  <c r="I792" i="55" s="1"/>
  <c r="R792" i="55"/>
  <c r="T792" i="55"/>
  <c r="U792" i="55"/>
  <c r="S792" i="55"/>
  <c r="Q792" i="55"/>
  <c r="K792" i="55"/>
  <c r="N792" i="55"/>
  <c r="M792" i="55"/>
  <c r="L792" i="55"/>
  <c r="C793" i="55"/>
  <c r="O791" i="18"/>
  <c r="A793" i="55"/>
  <c r="O793" i="55" s="1"/>
  <c r="M791" i="18"/>
  <c r="I708" i="55"/>
  <c r="U708" i="55" s="1"/>
  <c r="T708" i="55"/>
  <c r="U348" i="55"/>
  <c r="I707" i="55"/>
  <c r="U707" i="55" s="1"/>
  <c r="I706" i="55"/>
  <c r="A792" i="18"/>
  <c r="X154" i="30"/>
  <c r="U154" i="30"/>
  <c r="R163" i="30" s="1"/>
  <c r="N791" i="18"/>
  <c r="E793" i="55" s="1"/>
  <c r="C791" i="18"/>
  <c r="K791" i="18" s="1"/>
  <c r="F793" i="55" l="1"/>
  <c r="G793" i="55" s="1"/>
  <c r="J793" i="55"/>
  <c r="P793" i="55"/>
  <c r="R791" i="18"/>
  <c r="D793" i="55"/>
  <c r="AA202" i="30"/>
  <c r="AF202" i="30" s="1"/>
  <c r="X202" i="30"/>
  <c r="AA160" i="30"/>
  <c r="AF160" i="30" s="1"/>
  <c r="U163" i="30"/>
  <c r="K29" i="13"/>
  <c r="U166" i="30" s="1"/>
  <c r="U157" i="30"/>
  <c r="R166" i="30" s="1"/>
  <c r="AA208" i="30"/>
  <c r="AF208" i="30" s="1"/>
  <c r="U211" i="30"/>
  <c r="B792" i="18"/>
  <c r="D792" i="18"/>
  <c r="B794" i="55" s="1"/>
  <c r="E792" i="18"/>
  <c r="X208" i="30"/>
  <c r="X160" i="30"/>
  <c r="C794" i="55" l="1"/>
  <c r="O792" i="18"/>
  <c r="A794" i="55"/>
  <c r="M792" i="18"/>
  <c r="L792" i="18"/>
  <c r="R793" i="55"/>
  <c r="S793" i="55"/>
  <c r="T793" i="55"/>
  <c r="U793" i="55"/>
  <c r="Q793" i="55"/>
  <c r="K793" i="55"/>
  <c r="N793" i="55"/>
  <c r="M793" i="55"/>
  <c r="L793" i="55"/>
  <c r="H793" i="55"/>
  <c r="I793" i="55" s="1"/>
  <c r="A793" i="18"/>
  <c r="U202" i="30"/>
  <c r="R211" i="30" s="1"/>
  <c r="K30" i="13"/>
  <c r="U214" i="30" s="1"/>
  <c r="U205" i="30"/>
  <c r="R214" i="30" s="1"/>
  <c r="N792" i="18"/>
  <c r="C792" i="18"/>
  <c r="K792" i="18" s="1"/>
  <c r="L29" i="13"/>
  <c r="M29" i="13" s="1"/>
  <c r="U169" i="30" s="1"/>
  <c r="U160" i="30"/>
  <c r="R169" i="30" s="1"/>
  <c r="U208" i="30"/>
  <c r="R217" i="30" s="1"/>
  <c r="L30" i="13"/>
  <c r="M30" i="13" s="1"/>
  <c r="U217" i="30" s="1"/>
  <c r="E794" i="55" l="1"/>
  <c r="J794" i="55"/>
  <c r="P794" i="55"/>
  <c r="F794" i="55"/>
  <c r="R792" i="18"/>
  <c r="D794" i="55"/>
  <c r="O794" i="55"/>
  <c r="R737" i="41" a="1"/>
  <c r="R737" i="41" s="1"/>
  <c r="AC24" i="41" s="1"/>
  <c r="R738" i="41" a="1"/>
  <c r="R738" i="41" s="1"/>
  <c r="AB738" i="41" s="1"/>
  <c r="AF738" i="41" s="1"/>
  <c r="AJ738" i="41" s="1"/>
  <c r="N224" i="18"/>
  <c r="E226" i="55" s="1"/>
  <c r="G226" i="55" s="1"/>
  <c r="B793" i="18"/>
  <c r="D793" i="18"/>
  <c r="B795" i="55" s="1"/>
  <c r="E793" i="18"/>
  <c r="G794" i="55" l="1"/>
  <c r="H794" i="55" s="1"/>
  <c r="I794" i="55" s="1"/>
  <c r="R794" i="55"/>
  <c r="U794" i="55"/>
  <c r="T794" i="55"/>
  <c r="S794" i="55"/>
  <c r="Q794" i="55"/>
  <c r="L794" i="55"/>
  <c r="K794" i="55"/>
  <c r="N794" i="55"/>
  <c r="M794" i="55"/>
  <c r="C795" i="55"/>
  <c r="O793" i="18"/>
  <c r="A795" i="55"/>
  <c r="M793" i="18"/>
  <c r="L793" i="18"/>
  <c r="H226" i="55"/>
  <c r="I226" i="55" s="1"/>
  <c r="R752" i="41" a="1"/>
  <c r="R752" i="41" s="1"/>
  <c r="AB752" i="41" s="1"/>
  <c r="AF752" i="41" s="1"/>
  <c r="AJ752" i="41" s="1"/>
  <c r="N609" i="18"/>
  <c r="E611" i="55" s="1"/>
  <c r="G611" i="55" s="1"/>
  <c r="H611" i="55" s="1"/>
  <c r="I611" i="55" s="1"/>
  <c r="N598" i="18"/>
  <c r="E600" i="55" s="1"/>
  <c r="R741" i="41" a="1"/>
  <c r="R741" i="41" s="1"/>
  <c r="AB741" i="41" s="1"/>
  <c r="N599" i="18"/>
  <c r="E601" i="55" s="1"/>
  <c r="G601" i="55" s="1"/>
  <c r="R751" i="41" a="1"/>
  <c r="R751" i="41" s="1"/>
  <c r="AB751" i="41" s="1"/>
  <c r="AF751" i="41" s="1"/>
  <c r="AJ751" i="41" s="1"/>
  <c r="N608" i="18"/>
  <c r="E610" i="55" s="1"/>
  <c r="A794" i="18"/>
  <c r="R740" i="41" a="1"/>
  <c r="R740" i="41" s="1"/>
  <c r="AB740" i="41" s="1"/>
  <c r="AF740" i="41" s="1"/>
  <c r="AJ740" i="41" s="1"/>
  <c r="N574" i="18"/>
  <c r="E576" i="55" s="1"/>
  <c r="N575" i="18"/>
  <c r="E577" i="55" s="1"/>
  <c r="G577" i="55" s="1"/>
  <c r="AB737" i="41"/>
  <c r="N600" i="18"/>
  <c r="E602" i="55" s="1"/>
  <c r="G602" i="55" s="1"/>
  <c r="H602" i="55" s="1"/>
  <c r="I602" i="55" s="1"/>
  <c r="N605" i="18"/>
  <c r="E607" i="55" s="1"/>
  <c r="G607" i="55" s="1"/>
  <c r="N604" i="18"/>
  <c r="E606" i="55" s="1"/>
  <c r="G606" i="55" s="1"/>
  <c r="H606" i="55" s="1"/>
  <c r="I606" i="55" s="1"/>
  <c r="N602" i="18"/>
  <c r="E604" i="55" s="1"/>
  <c r="G604" i="55" s="1"/>
  <c r="H604" i="55" s="1"/>
  <c r="I604" i="55" s="1"/>
  <c r="N603" i="18"/>
  <c r="E605" i="55" s="1"/>
  <c r="G605" i="55" s="1"/>
  <c r="H605" i="55" s="1"/>
  <c r="I605" i="55" s="1"/>
  <c r="N793" i="18"/>
  <c r="C793" i="18"/>
  <c r="K793" i="18" s="1"/>
  <c r="AX15" i="5"/>
  <c r="BC15" i="5" s="1"/>
  <c r="F795" i="55" l="1"/>
  <c r="E795" i="55"/>
  <c r="P795" i="55"/>
  <c r="Q795" i="55" s="1"/>
  <c r="R795" i="55" s="1"/>
  <c r="D179" i="59" s="1"/>
  <c r="J795" i="55"/>
  <c r="R793" i="18"/>
  <c r="D795" i="55"/>
  <c r="G610" i="55"/>
  <c r="H601" i="55"/>
  <c r="I601" i="55" s="1"/>
  <c r="H607" i="55"/>
  <c r="I607" i="55" s="1"/>
  <c r="G576" i="55"/>
  <c r="S579" i="55" s="1"/>
  <c r="Q579" i="55"/>
  <c r="R579" i="55" s="1"/>
  <c r="D131" i="59" s="1"/>
  <c r="G600" i="55"/>
  <c r="Q600" i="55"/>
  <c r="H577" i="55"/>
  <c r="I577" i="55" s="1"/>
  <c r="O795" i="55"/>
  <c r="R750" i="41" a="1"/>
  <c r="R750" i="41" s="1"/>
  <c r="AB750" i="41" s="1"/>
  <c r="AF750" i="41" s="1"/>
  <c r="AJ750" i="41" s="1"/>
  <c r="N601" i="18"/>
  <c r="E603" i="55" s="1"/>
  <c r="G603" i="55" s="1"/>
  <c r="N607" i="18"/>
  <c r="E609" i="55" s="1"/>
  <c r="G609" i="55" s="1"/>
  <c r="H609" i="55" s="1"/>
  <c r="I609" i="55" s="1"/>
  <c r="R749" i="41" a="1"/>
  <c r="R749" i="41" s="1"/>
  <c r="AB749" i="41" s="1"/>
  <c r="AF749" i="41" s="1"/>
  <c r="AJ749" i="41" s="1"/>
  <c r="AF741" i="41"/>
  <c r="AJ741" i="41" s="1"/>
  <c r="N606" i="18"/>
  <c r="E608" i="55" s="1"/>
  <c r="G608" i="55" s="1"/>
  <c r="H608" i="55" s="1"/>
  <c r="I608" i="55" s="1"/>
  <c r="R742" i="41" a="1"/>
  <c r="R742" i="41" s="1"/>
  <c r="AB742" i="41" s="1"/>
  <c r="AF742" i="41" s="1"/>
  <c r="AJ742" i="41" s="1"/>
  <c r="R743" i="41" a="1"/>
  <c r="R743" i="41" s="1"/>
  <c r="AB743" i="41" s="1"/>
  <c r="AF743" i="41" s="1"/>
  <c r="AJ743" i="41" s="1"/>
  <c r="R748" i="41" a="1"/>
  <c r="R748" i="41" s="1"/>
  <c r="AB748" i="41" s="1"/>
  <c r="AF748" i="41" s="1"/>
  <c r="AJ748" i="41" s="1"/>
  <c r="R744" i="41" a="1"/>
  <c r="R744" i="41" s="1"/>
  <c r="AB744" i="41" s="1"/>
  <c r="AF744" i="41" s="1"/>
  <c r="AJ744" i="41" s="1"/>
  <c r="R745" i="41" a="1"/>
  <c r="R745" i="41" s="1"/>
  <c r="AB745" i="41" s="1"/>
  <c r="AF745" i="41" s="1"/>
  <c r="AJ745" i="41" s="1"/>
  <c r="R746" i="41" a="1"/>
  <c r="R746" i="41" s="1"/>
  <c r="AB746" i="41" s="1"/>
  <c r="AF746" i="41" s="1"/>
  <c r="AJ746" i="41" s="1"/>
  <c r="AF737" i="41"/>
  <c r="AN14" i="22"/>
  <c r="X204" i="26"/>
  <c r="AA201" i="26"/>
  <c r="AF201" i="26" s="1"/>
  <c r="X201" i="26"/>
  <c r="B794" i="18"/>
  <c r="D794" i="18"/>
  <c r="B796" i="55" s="1"/>
  <c r="E794" i="18"/>
  <c r="H32" i="29"/>
  <c r="G795" i="55" l="1"/>
  <c r="H795" i="55" s="1"/>
  <c r="T795" i="55" s="1"/>
  <c r="O794" i="18"/>
  <c r="C796" i="55"/>
  <c r="N795" i="55"/>
  <c r="M795" i="55"/>
  <c r="L795" i="55"/>
  <c r="K795" i="55"/>
  <c r="A796" i="55"/>
  <c r="P796" i="55" s="1"/>
  <c r="L794" i="18"/>
  <c r="M794" i="18"/>
  <c r="J796" i="55"/>
  <c r="S600" i="55"/>
  <c r="H600" i="55"/>
  <c r="H576" i="55"/>
  <c r="I576" i="55" s="1"/>
  <c r="U579" i="55" s="1"/>
  <c r="H603" i="55"/>
  <c r="I603" i="55" s="1"/>
  <c r="H610" i="55"/>
  <c r="I610" i="55" s="1"/>
  <c r="A795" i="18"/>
  <c r="N360" i="18"/>
  <c r="E362" i="55" s="1"/>
  <c r="N326" i="18"/>
  <c r="E328" i="55" s="1"/>
  <c r="AB756" i="41"/>
  <c r="AC19" i="41" s="1"/>
  <c r="AJ737" i="41"/>
  <c r="AJ756" i="41" s="1"/>
  <c r="AC21" i="41" s="1"/>
  <c r="AC23" i="41" s="1"/>
  <c r="AC25" i="41" s="1"/>
  <c r="AF756" i="41"/>
  <c r="AC20" i="41" s="1"/>
  <c r="AS14" i="22"/>
  <c r="X53" i="29"/>
  <c r="K16" i="13"/>
  <c r="U213" i="26" s="1"/>
  <c r="U204" i="26"/>
  <c r="R213" i="26" s="1"/>
  <c r="X116" i="29"/>
  <c r="K15" i="13"/>
  <c r="N794" i="18"/>
  <c r="C794" i="18"/>
  <c r="K794" i="18" s="1"/>
  <c r="N381" i="18"/>
  <c r="E383" i="55" s="1"/>
  <c r="AA204" i="26"/>
  <c r="AF204" i="26" s="1"/>
  <c r="I795" i="55" l="1"/>
  <c r="U795" i="55" s="1"/>
  <c r="S795" i="55"/>
  <c r="O796" i="55"/>
  <c r="F796" i="55"/>
  <c r="E796" i="55"/>
  <c r="Q796" i="55" s="1"/>
  <c r="R794" i="18"/>
  <c r="D796" i="55"/>
  <c r="I600" i="55"/>
  <c r="T600" i="55"/>
  <c r="T579" i="55"/>
  <c r="G362" i="55"/>
  <c r="Q383" i="55"/>
  <c r="G383" i="55"/>
  <c r="Q328" i="55"/>
  <c r="G328" i="55"/>
  <c r="W14" i="52"/>
  <c r="BL15" i="52" s="1"/>
  <c r="AT14" i="22"/>
  <c r="N394" i="18"/>
  <c r="E396" i="55" s="1"/>
  <c r="N361" i="18"/>
  <c r="E363" i="55" s="1"/>
  <c r="G363" i="55" s="1"/>
  <c r="N327" i="18"/>
  <c r="E329" i="55" s="1"/>
  <c r="BA86" i="22"/>
  <c r="N88" i="18"/>
  <c r="E90" i="55" s="1"/>
  <c r="E795" i="18"/>
  <c r="D795" i="18"/>
  <c r="B797" i="55" s="1"/>
  <c r="B795" i="18"/>
  <c r="AA53" i="29"/>
  <c r="AF53" i="29" s="1"/>
  <c r="AA116" i="29"/>
  <c r="AF116" i="29" s="1"/>
  <c r="G796" i="55" l="1"/>
  <c r="H796" i="55" s="1"/>
  <c r="A797" i="55"/>
  <c r="P797" i="55" s="1"/>
  <c r="M795" i="18"/>
  <c r="C797" i="55"/>
  <c r="O795" i="18"/>
  <c r="L795" i="18"/>
  <c r="U600" i="55"/>
  <c r="H328" i="55"/>
  <c r="G90" i="55"/>
  <c r="G396" i="55"/>
  <c r="S383" i="55"/>
  <c r="H383" i="55"/>
  <c r="T383" i="55" s="1"/>
  <c r="G329" i="55"/>
  <c r="S328" i="55" s="1"/>
  <c r="Q329" i="55"/>
  <c r="H363" i="55"/>
  <c r="S363" i="55"/>
  <c r="H362" i="55"/>
  <c r="I362" i="55" s="1"/>
  <c r="Z14" i="52"/>
  <c r="BO15" i="52" s="1"/>
  <c r="AI14" i="52"/>
  <c r="BX15" i="52" s="1"/>
  <c r="R255" i="23" a="1"/>
  <c r="R255" i="23" s="1"/>
  <c r="AB255" i="23" s="1"/>
  <c r="N20" i="18"/>
  <c r="E22" i="55" s="1"/>
  <c r="AJ14" i="52"/>
  <c r="BY15" i="52" s="1"/>
  <c r="A796" i="18"/>
  <c r="AC23" i="33"/>
  <c r="AC25" i="33" s="1"/>
  <c r="N395" i="18"/>
  <c r="E397" i="55" s="1"/>
  <c r="G397" i="55" s="1"/>
  <c r="BB86" i="22"/>
  <c r="AT86" i="22"/>
  <c r="K21" i="13"/>
  <c r="U62" i="29" s="1"/>
  <c r="U53" i="29"/>
  <c r="R62" i="29" s="1"/>
  <c r="K22" i="13"/>
  <c r="U125" i="29" s="1"/>
  <c r="U116" i="29"/>
  <c r="R125" i="29" s="1"/>
  <c r="J797" i="55"/>
  <c r="O797" i="55"/>
  <c r="N795" i="18"/>
  <c r="N89" i="18"/>
  <c r="E91" i="55" s="1"/>
  <c r="G91" i="55" s="1"/>
  <c r="C795" i="18"/>
  <c r="K795" i="18" s="1"/>
  <c r="E797" i="55" l="1"/>
  <c r="Q797" i="55" s="1"/>
  <c r="W31" i="52"/>
  <c r="Z31" i="52" s="1"/>
  <c r="F797" i="55"/>
  <c r="R797" i="55" s="1"/>
  <c r="D181" i="59" s="1"/>
  <c r="R795" i="18"/>
  <c r="D797" i="55"/>
  <c r="AD14" i="52"/>
  <c r="BS15" i="52" s="1"/>
  <c r="AE14" i="52"/>
  <c r="BT15" i="52" s="1"/>
  <c r="AF14" i="52"/>
  <c r="BU15" i="52" s="1"/>
  <c r="AH14" i="52"/>
  <c r="BW15" i="52" s="1"/>
  <c r="AB14" i="52"/>
  <c r="BQ15" i="52" s="1"/>
  <c r="AC14" i="52"/>
  <c r="BR15" i="52" s="1"/>
  <c r="I796" i="55"/>
  <c r="I328" i="55"/>
  <c r="I363" i="55"/>
  <c r="U363" i="55" s="1"/>
  <c r="T363" i="55"/>
  <c r="H397" i="55"/>
  <c r="I397" i="55" s="1"/>
  <c r="I383" i="55"/>
  <c r="U383" i="55" s="1"/>
  <c r="H329" i="55"/>
  <c r="T329" i="55" s="1"/>
  <c r="S329" i="55"/>
  <c r="H396" i="55"/>
  <c r="I396" i="55" s="1"/>
  <c r="Q399" i="55"/>
  <c r="R399" i="55" s="1"/>
  <c r="D91" i="59" s="1"/>
  <c r="Q93" i="55"/>
  <c r="H90" i="55"/>
  <c r="I90" i="55" s="1"/>
  <c r="G22" i="55"/>
  <c r="Q22" i="55"/>
  <c r="H91" i="55"/>
  <c r="S93" i="55"/>
  <c r="N797" i="55"/>
  <c r="M797" i="55"/>
  <c r="L797" i="55"/>
  <c r="K797" i="55"/>
  <c r="R269" i="23" a="1"/>
  <c r="R269" i="23" s="1"/>
  <c r="AB269" i="23" s="1"/>
  <c r="AF269" i="23" s="1"/>
  <c r="AJ269" i="23" s="1"/>
  <c r="N33" i="18"/>
  <c r="E35" i="55" s="1"/>
  <c r="G35" i="55" s="1"/>
  <c r="AF255" i="23"/>
  <c r="AJ255" i="23" s="1"/>
  <c r="R268" i="23" a="1"/>
  <c r="R268" i="23" s="1"/>
  <c r="AB268" i="23" s="1"/>
  <c r="AF268" i="23" s="1"/>
  <c r="AJ268" i="23" s="1"/>
  <c r="N32" i="18"/>
  <c r="E34" i="55" s="1"/>
  <c r="AG14" i="52"/>
  <c r="BV15" i="52" s="1"/>
  <c r="R264" i="23" s="1" a="1"/>
  <c r="R264" i="23" s="1"/>
  <c r="AB264" i="23" s="1"/>
  <c r="AF264" i="23" s="1"/>
  <c r="AJ264" i="23" s="1"/>
  <c r="BP86" i="22"/>
  <c r="BY86" i="22" s="1"/>
  <c r="AN86" i="22"/>
  <c r="BA87" i="22"/>
  <c r="AT87" i="22" s="1"/>
  <c r="B796" i="18"/>
  <c r="D796" i="18"/>
  <c r="B798" i="55" s="1"/>
  <c r="E796" i="18"/>
  <c r="AI31" i="52" l="1"/>
  <c r="AJ31" i="52"/>
  <c r="G797" i="55"/>
  <c r="H797" i="55" s="1"/>
  <c r="A798" i="55"/>
  <c r="P798" i="55" s="1"/>
  <c r="M796" i="18"/>
  <c r="C798" i="55"/>
  <c r="O796" i="18"/>
  <c r="L796" i="18"/>
  <c r="R93" i="55"/>
  <c r="D23" i="59" s="1"/>
  <c r="I91" i="55"/>
  <c r="U93" i="55" s="1"/>
  <c r="T93" i="55"/>
  <c r="I329" i="55"/>
  <c r="U329" i="55" s="1"/>
  <c r="G34" i="55"/>
  <c r="H35" i="55"/>
  <c r="I35" i="55" s="1"/>
  <c r="H22" i="55"/>
  <c r="AG31" i="52"/>
  <c r="R258" i="23" a="1"/>
  <c r="R258" i="23" s="1"/>
  <c r="AB258" i="23" s="1"/>
  <c r="AF258" i="23" s="1"/>
  <c r="AJ258" i="23" s="1"/>
  <c r="N23" i="18"/>
  <c r="E25" i="55" s="1"/>
  <c r="G25" i="55" s="1"/>
  <c r="BP87" i="22"/>
  <c r="BY87" i="22" s="1"/>
  <c r="BY88" i="22" s="1"/>
  <c r="BY89" i="22" s="1"/>
  <c r="W32" i="52"/>
  <c r="AC31" i="52"/>
  <c r="AD31" i="52"/>
  <c r="AE31" i="52"/>
  <c r="AF31" i="52"/>
  <c r="AH31" i="52"/>
  <c r="AB31" i="52"/>
  <c r="A797" i="18"/>
  <c r="N405" i="18"/>
  <c r="E407" i="55" s="1"/>
  <c r="G407" i="55" s="1"/>
  <c r="N404" i="18"/>
  <c r="E406" i="55" s="1"/>
  <c r="G406" i="55" s="1"/>
  <c r="AN87" i="22"/>
  <c r="BB87" i="22"/>
  <c r="AB86" i="22"/>
  <c r="F21" i="13" s="1"/>
  <c r="G21" i="13" s="1"/>
  <c r="AA50" i="29"/>
  <c r="AF50" i="29" s="1"/>
  <c r="X50" i="29"/>
  <c r="N796" i="18"/>
  <c r="J798" i="55"/>
  <c r="C796" i="18"/>
  <c r="K796" i="18" s="1"/>
  <c r="AC23" i="26"/>
  <c r="AC25" i="26" s="1"/>
  <c r="AX17" i="5"/>
  <c r="BC17" i="5" s="1"/>
  <c r="O798" i="55" l="1"/>
  <c r="S797" i="55"/>
  <c r="E798" i="55"/>
  <c r="Q798" i="55" s="1"/>
  <c r="F798" i="55"/>
  <c r="R798" i="55" s="1"/>
  <c r="D182" i="59" s="1"/>
  <c r="R796" i="18"/>
  <c r="D798" i="55"/>
  <c r="I797" i="55"/>
  <c r="T797" i="55"/>
  <c r="I22" i="55"/>
  <c r="H25" i="55"/>
  <c r="I25" i="55" s="1"/>
  <c r="H406" i="55"/>
  <c r="I406" i="55" s="1"/>
  <c r="H407" i="55"/>
  <c r="I407" i="55" s="1"/>
  <c r="H34" i="55"/>
  <c r="I34" i="55" s="1"/>
  <c r="N798" i="55"/>
  <c r="M798" i="55"/>
  <c r="L798" i="55"/>
  <c r="K798" i="55"/>
  <c r="N177" i="18"/>
  <c r="E179" i="55" s="1"/>
  <c r="G179" i="55" s="1"/>
  <c r="H179" i="55" s="1"/>
  <c r="I179" i="55" s="1"/>
  <c r="N176" i="18"/>
  <c r="E178" i="55" s="1"/>
  <c r="Z32" i="52"/>
  <c r="AI32" i="52"/>
  <c r="AJ32" i="52"/>
  <c r="N167" i="18"/>
  <c r="E169" i="55" s="1"/>
  <c r="G169" i="55" s="1"/>
  <c r="N174" i="18"/>
  <c r="E176" i="55" s="1"/>
  <c r="G176" i="55" s="1"/>
  <c r="N166" i="18"/>
  <c r="E168" i="55" s="1"/>
  <c r="N401" i="18"/>
  <c r="E403" i="55" s="1"/>
  <c r="G403" i="55" s="1"/>
  <c r="H403" i="55" s="1"/>
  <c r="I403" i="55" s="1"/>
  <c r="N403" i="18"/>
  <c r="E405" i="55" s="1"/>
  <c r="G405" i="55" s="1"/>
  <c r="N398" i="18"/>
  <c r="E400" i="55" s="1"/>
  <c r="N402" i="18"/>
  <c r="E404" i="55" s="1"/>
  <c r="G404" i="55" s="1"/>
  <c r="N400" i="18"/>
  <c r="E402" i="55" s="1"/>
  <c r="N397" i="18"/>
  <c r="E399" i="55" s="1"/>
  <c r="G399" i="55" s="1"/>
  <c r="N396" i="18"/>
  <c r="E398" i="55" s="1"/>
  <c r="G398" i="55" s="1"/>
  <c r="H398" i="55" s="1"/>
  <c r="I398" i="55" s="1"/>
  <c r="N399" i="18"/>
  <c r="E401" i="55" s="1"/>
  <c r="AN16" i="22"/>
  <c r="U59" i="29"/>
  <c r="U50" i="29"/>
  <c r="R59" i="29" s="1"/>
  <c r="AB87" i="22"/>
  <c r="F22" i="13" s="1"/>
  <c r="G22" i="13" s="1"/>
  <c r="AA113" i="29"/>
  <c r="AF113" i="29" s="1"/>
  <c r="X113" i="29"/>
  <c r="D797" i="18"/>
  <c r="B799" i="55" s="1"/>
  <c r="B797" i="18"/>
  <c r="L797" i="18" s="1"/>
  <c r="E797" i="18"/>
  <c r="C799" i="55" l="1"/>
  <c r="O797" i="18"/>
  <c r="G798" i="55"/>
  <c r="H798" i="55" s="1"/>
  <c r="A799" i="55"/>
  <c r="P799" i="55" s="1"/>
  <c r="M797" i="18"/>
  <c r="U797" i="55"/>
  <c r="S399" i="55"/>
  <c r="H399" i="55"/>
  <c r="H169" i="55"/>
  <c r="I169" i="55" s="1"/>
  <c r="H176" i="55"/>
  <c r="I176" i="55" s="1"/>
  <c r="G401" i="55"/>
  <c r="Q401" i="55"/>
  <c r="G402" i="55"/>
  <c r="Q402" i="55"/>
  <c r="H404" i="55"/>
  <c r="I404" i="55" s="1"/>
  <c r="G400" i="55"/>
  <c r="Q400" i="55"/>
  <c r="H405" i="55"/>
  <c r="I405" i="55" s="1"/>
  <c r="G178" i="55"/>
  <c r="Q168" i="55"/>
  <c r="G168" i="55"/>
  <c r="AG32" i="52"/>
  <c r="N175" i="18"/>
  <c r="E177" i="55" s="1"/>
  <c r="G177" i="55" s="1"/>
  <c r="H177" i="55" s="1"/>
  <c r="I177" i="55" s="1"/>
  <c r="AB32" i="52"/>
  <c r="AC32" i="52"/>
  <c r="AD32" i="52"/>
  <c r="AF32" i="52"/>
  <c r="AE32" i="52"/>
  <c r="AH32" i="52"/>
  <c r="N172" i="18"/>
  <c r="E174" i="55" s="1"/>
  <c r="G174" i="55" s="1"/>
  <c r="H174" i="55" s="1"/>
  <c r="I174" i="55" s="1"/>
  <c r="N170" i="18"/>
  <c r="E172" i="55" s="1"/>
  <c r="G172" i="55" s="1"/>
  <c r="N171" i="18"/>
  <c r="E173" i="55" s="1"/>
  <c r="G173" i="55" s="1"/>
  <c r="N169" i="18"/>
  <c r="E171" i="55" s="1"/>
  <c r="G171" i="55" s="1"/>
  <c r="N173" i="18"/>
  <c r="E175" i="55" s="1"/>
  <c r="G175" i="55" s="1"/>
  <c r="H175" i="55" s="1"/>
  <c r="I175" i="55" s="1"/>
  <c r="N168" i="18"/>
  <c r="E170" i="55" s="1"/>
  <c r="G170" i="55" s="1"/>
  <c r="A798" i="18"/>
  <c r="U113" i="29"/>
  <c r="R122" i="29" s="1"/>
  <c r="U122" i="29"/>
  <c r="AS16" i="22"/>
  <c r="X318" i="29"/>
  <c r="X267" i="29"/>
  <c r="N797" i="18"/>
  <c r="E799" i="55" s="1"/>
  <c r="C797" i="18"/>
  <c r="K797" i="18" s="1"/>
  <c r="H246" i="29"/>
  <c r="AA318" i="29"/>
  <c r="AF318" i="29" s="1"/>
  <c r="F799" i="55" l="1"/>
  <c r="G799" i="55" s="1"/>
  <c r="H799" i="55" s="1"/>
  <c r="I799" i="55" s="1"/>
  <c r="R799" i="55"/>
  <c r="T799" i="55"/>
  <c r="U799" i="55"/>
  <c r="S799" i="55"/>
  <c r="Q799" i="55"/>
  <c r="S798" i="55"/>
  <c r="R797" i="18"/>
  <c r="D799" i="55"/>
  <c r="I798" i="55"/>
  <c r="T798" i="55"/>
  <c r="I399" i="55"/>
  <c r="U399" i="55" s="1"/>
  <c r="T399" i="55"/>
  <c r="H170" i="55"/>
  <c r="I170" i="55" s="1"/>
  <c r="H178" i="55"/>
  <c r="I178" i="55" s="1"/>
  <c r="H168" i="55"/>
  <c r="S168" i="55"/>
  <c r="H401" i="55"/>
  <c r="T401" i="55" s="1"/>
  <c r="S401" i="55"/>
  <c r="H173" i="55"/>
  <c r="I173" i="55" s="1"/>
  <c r="H171" i="55"/>
  <c r="I171" i="55" s="1"/>
  <c r="H400" i="55"/>
  <c r="H172" i="55"/>
  <c r="I172" i="55" s="1"/>
  <c r="H402" i="55"/>
  <c r="T402" i="55" s="1"/>
  <c r="S402" i="55"/>
  <c r="J799" i="55"/>
  <c r="O799" i="55"/>
  <c r="AT16" i="22"/>
  <c r="BA90" i="22" s="1"/>
  <c r="AC23" i="28"/>
  <c r="AC25" i="28" s="1"/>
  <c r="K25" i="13"/>
  <c r="U276" i="29" s="1"/>
  <c r="U267" i="29"/>
  <c r="R276" i="29" s="1"/>
  <c r="B798" i="18"/>
  <c r="D798" i="18"/>
  <c r="B800" i="55" s="1"/>
  <c r="E798" i="18"/>
  <c r="AA267" i="29"/>
  <c r="AF267" i="29" s="1"/>
  <c r="C800" i="55" l="1"/>
  <c r="O798" i="18"/>
  <c r="A800" i="55"/>
  <c r="P800" i="55" s="1"/>
  <c r="M798" i="18"/>
  <c r="L798" i="18"/>
  <c r="T168" i="55"/>
  <c r="I400" i="55"/>
  <c r="I401" i="55"/>
  <c r="U401" i="55" s="1"/>
  <c r="U798" i="55"/>
  <c r="I168" i="55"/>
  <c r="I402" i="55"/>
  <c r="U402" i="55" s="1"/>
  <c r="N799" i="55"/>
  <c r="M799" i="55"/>
  <c r="L799" i="55"/>
  <c r="K799" i="55"/>
  <c r="A799" i="18"/>
  <c r="AT90" i="22"/>
  <c r="BB90" i="22"/>
  <c r="K26" i="13"/>
  <c r="U327" i="29" s="1"/>
  <c r="U318" i="29"/>
  <c r="R327" i="29" s="1"/>
  <c r="N798" i="18"/>
  <c r="J800" i="55"/>
  <c r="O800" i="55"/>
  <c r="N190" i="18"/>
  <c r="E192" i="55" s="1"/>
  <c r="G192" i="55" s="1"/>
  <c r="H192" i="55" s="1"/>
  <c r="I192" i="55" s="1"/>
  <c r="C798" i="18"/>
  <c r="K798" i="18" s="1"/>
  <c r="E800" i="55" l="1"/>
  <c r="F800" i="55"/>
  <c r="R800" i="55"/>
  <c r="T800" i="55"/>
  <c r="U800" i="55"/>
  <c r="S800" i="55"/>
  <c r="Q800" i="55"/>
  <c r="R798" i="18"/>
  <c r="D800" i="55"/>
  <c r="U168" i="55"/>
  <c r="N800" i="55"/>
  <c r="M800" i="55"/>
  <c r="L800" i="55"/>
  <c r="K800" i="55"/>
  <c r="BP90" i="22"/>
  <c r="BY90" i="22" s="1"/>
  <c r="W35" i="52"/>
  <c r="BA91" i="22"/>
  <c r="AT91" i="22" s="1"/>
  <c r="AN90" i="22"/>
  <c r="N191" i="18"/>
  <c r="E193" i="55" s="1"/>
  <c r="G193" i="55" s="1"/>
  <c r="D799" i="18"/>
  <c r="B801" i="55" s="1"/>
  <c r="E799" i="18"/>
  <c r="B799" i="18"/>
  <c r="G800" i="55" l="1"/>
  <c r="H800" i="55" s="1"/>
  <c r="I800" i="55" s="1"/>
  <c r="A801" i="55"/>
  <c r="P801" i="55" s="1"/>
  <c r="M799" i="18"/>
  <c r="C801" i="55"/>
  <c r="O799" i="18"/>
  <c r="L799" i="18"/>
  <c r="H193" i="55"/>
  <c r="I193" i="55" s="1"/>
  <c r="BP91" i="22"/>
  <c r="W36" i="52"/>
  <c r="Z35" i="52"/>
  <c r="AI35" i="52"/>
  <c r="AJ35" i="52"/>
  <c r="A800" i="18"/>
  <c r="AB90" i="22"/>
  <c r="F25" i="13" s="1"/>
  <c r="G25" i="13" s="1"/>
  <c r="AA264" i="29"/>
  <c r="AF264" i="29" s="1"/>
  <c r="X264" i="29"/>
  <c r="AN91" i="22"/>
  <c r="BB91" i="22"/>
  <c r="N799" i="18"/>
  <c r="C799" i="18"/>
  <c r="K799" i="18" s="1"/>
  <c r="J801" i="55" l="1"/>
  <c r="BY91" i="22"/>
  <c r="CI9" i="22" s="1"/>
  <c r="E801" i="55"/>
  <c r="F801" i="55"/>
  <c r="R801" i="55"/>
  <c r="T801" i="55"/>
  <c r="U801" i="55"/>
  <c r="S801" i="55"/>
  <c r="Q801" i="55"/>
  <c r="R799" i="18"/>
  <c r="D801" i="55"/>
  <c r="N801" i="55"/>
  <c r="M801" i="55"/>
  <c r="L801" i="55"/>
  <c r="K801" i="55"/>
  <c r="O801" i="55"/>
  <c r="AG35" i="52"/>
  <c r="AF35" i="52"/>
  <c r="AD35" i="52"/>
  <c r="AB35" i="52"/>
  <c r="AE35" i="52"/>
  <c r="AC35" i="52"/>
  <c r="AH35" i="52"/>
  <c r="AI36" i="52"/>
  <c r="Z36" i="52"/>
  <c r="AG36" i="52" s="1"/>
  <c r="AJ36" i="52"/>
  <c r="AB91" i="22"/>
  <c r="F26" i="13" s="1"/>
  <c r="G26" i="13" s="1"/>
  <c r="X315" i="29"/>
  <c r="AA315" i="29"/>
  <c r="AF315" i="29" s="1"/>
  <c r="U264" i="29"/>
  <c r="R273" i="29" s="1"/>
  <c r="U273" i="29"/>
  <c r="D800" i="18"/>
  <c r="B802" i="55" s="1"/>
  <c r="E800" i="18"/>
  <c r="B800" i="18"/>
  <c r="G801" i="55" l="1"/>
  <c r="H801" i="55" s="1"/>
  <c r="I801" i="55" s="1"/>
  <c r="O800" i="18"/>
  <c r="C802" i="55"/>
  <c r="A802" i="55"/>
  <c r="P802" i="55" s="1"/>
  <c r="M800" i="18"/>
  <c r="L800" i="18"/>
  <c r="BO4" i="52"/>
  <c r="N526" i="18"/>
  <c r="E528" i="55" s="1"/>
  <c r="N527" i="18"/>
  <c r="E529" i="55" s="1"/>
  <c r="G529" i="55" s="1"/>
  <c r="AB36" i="52"/>
  <c r="AH36" i="52"/>
  <c r="AC36" i="52"/>
  <c r="AD36" i="52"/>
  <c r="AF36" i="52"/>
  <c r="AE36" i="52"/>
  <c r="A801" i="18"/>
  <c r="U315" i="29"/>
  <c r="R324" i="29" s="1"/>
  <c r="U324" i="29"/>
  <c r="N528" i="18"/>
  <c r="E530" i="55" s="1"/>
  <c r="G530" i="55" s="1"/>
  <c r="H530" i="55" s="1"/>
  <c r="I530" i="55" s="1"/>
  <c r="N531" i="18"/>
  <c r="E533" i="55" s="1"/>
  <c r="G533" i="55" s="1"/>
  <c r="H533" i="55" s="1"/>
  <c r="I533" i="55" s="1"/>
  <c r="N189" i="18"/>
  <c r="E191" i="55" s="1"/>
  <c r="G191" i="55" s="1"/>
  <c r="O802" i="55"/>
  <c r="J802" i="55"/>
  <c r="N800" i="18"/>
  <c r="C800" i="18"/>
  <c r="K800" i="18" s="1"/>
  <c r="R358" i="29" l="1" a="1"/>
  <c r="R358" i="29" s="1"/>
  <c r="AB358" i="29" s="1"/>
  <c r="AF358" i="29" s="1"/>
  <c r="AJ358" i="29" s="1"/>
  <c r="E802" i="55"/>
  <c r="F802" i="55"/>
  <c r="U802" i="55"/>
  <c r="R802" i="55"/>
  <c r="T802" i="55"/>
  <c r="S802" i="55"/>
  <c r="Q802" i="55"/>
  <c r="R800" i="18"/>
  <c r="D802" i="55"/>
  <c r="H191" i="55"/>
  <c r="H529" i="55"/>
  <c r="I529" i="55" s="1"/>
  <c r="Q528" i="55"/>
  <c r="G528" i="55"/>
  <c r="N802" i="55"/>
  <c r="L802" i="55"/>
  <c r="M802" i="55"/>
  <c r="K802" i="55"/>
  <c r="N530" i="18"/>
  <c r="E532" i="55" s="1"/>
  <c r="G532" i="55" s="1"/>
  <c r="N533" i="18"/>
  <c r="E535" i="55" s="1"/>
  <c r="G535" i="55" s="1"/>
  <c r="H535" i="55" s="1"/>
  <c r="I535" i="55" s="1"/>
  <c r="N201" i="18"/>
  <c r="E203" i="55" s="1"/>
  <c r="N506" i="18"/>
  <c r="E508" i="55" s="1"/>
  <c r="N507" i="18"/>
  <c r="E509" i="55" s="1"/>
  <c r="N192" i="18"/>
  <c r="E194" i="55" s="1"/>
  <c r="G194" i="55" s="1"/>
  <c r="B801" i="18"/>
  <c r="D801" i="18"/>
  <c r="B803" i="55" s="1"/>
  <c r="E801" i="18"/>
  <c r="G802" i="55" l="1"/>
  <c r="H802" i="55" s="1"/>
  <c r="I802" i="55" s="1"/>
  <c r="C803" i="55"/>
  <c r="O801" i="18"/>
  <c r="A803" i="55"/>
  <c r="P803" i="55" s="1"/>
  <c r="M801" i="18"/>
  <c r="L801" i="18"/>
  <c r="H532" i="55"/>
  <c r="I532" i="55" s="1"/>
  <c r="H194" i="55"/>
  <c r="I194" i="55" s="1"/>
  <c r="G509" i="55"/>
  <c r="Q509" i="55"/>
  <c r="H528" i="55"/>
  <c r="S528" i="55"/>
  <c r="G508" i="55"/>
  <c r="Q508" i="55"/>
  <c r="G203" i="55"/>
  <c r="Q203" i="55"/>
  <c r="I191" i="55"/>
  <c r="N197" i="18"/>
  <c r="E199" i="55" s="1"/>
  <c r="G199" i="55" s="1"/>
  <c r="H199" i="55" s="1"/>
  <c r="I199" i="55" s="1"/>
  <c r="A802" i="18"/>
  <c r="N196" i="18"/>
  <c r="E198" i="55" s="1"/>
  <c r="N195" i="18"/>
  <c r="E197" i="55" s="1"/>
  <c r="G197" i="55" s="1"/>
  <c r="N198" i="18"/>
  <c r="E200" i="55" s="1"/>
  <c r="G200" i="55" s="1"/>
  <c r="N502" i="18"/>
  <c r="E504" i="55" s="1"/>
  <c r="N505" i="18"/>
  <c r="E507" i="55" s="1"/>
  <c r="G507" i="55" s="1"/>
  <c r="N503" i="18"/>
  <c r="E505" i="55" s="1"/>
  <c r="G505" i="55" s="1"/>
  <c r="N504" i="18"/>
  <c r="E506" i="55" s="1"/>
  <c r="G506" i="55" s="1"/>
  <c r="N194" i="18"/>
  <c r="E196" i="55" s="1"/>
  <c r="C801" i="18"/>
  <c r="K801" i="18" s="1"/>
  <c r="J803" i="55" l="1"/>
  <c r="O803" i="55"/>
  <c r="F803" i="55"/>
  <c r="T803" i="55"/>
  <c r="U803" i="55"/>
  <c r="R803" i="55"/>
  <c r="S803" i="55"/>
  <c r="Q803" i="55"/>
  <c r="R801" i="18"/>
  <c r="D803" i="55"/>
  <c r="T528" i="55"/>
  <c r="H508" i="55"/>
  <c r="H200" i="55"/>
  <c r="I200" i="55" s="1"/>
  <c r="G196" i="55"/>
  <c r="I528" i="55"/>
  <c r="H197" i="55"/>
  <c r="I197" i="55" s="1"/>
  <c r="G198" i="55"/>
  <c r="Q201" i="55"/>
  <c r="H509" i="55"/>
  <c r="T509" i="55" s="1"/>
  <c r="S509" i="55"/>
  <c r="H506" i="55"/>
  <c r="I506" i="55" s="1"/>
  <c r="H507" i="55"/>
  <c r="H505" i="55"/>
  <c r="I505" i="55" s="1"/>
  <c r="S203" i="55"/>
  <c r="H203" i="55"/>
  <c r="T203" i="55" s="1"/>
  <c r="G504" i="55"/>
  <c r="S507" i="55" s="1"/>
  <c r="Q507" i="55"/>
  <c r="R507" i="55" s="1"/>
  <c r="D115" i="59" s="1"/>
  <c r="N803" i="55"/>
  <c r="M803" i="55"/>
  <c r="L803" i="55"/>
  <c r="K803" i="55"/>
  <c r="D802" i="18"/>
  <c r="B804" i="55" s="1"/>
  <c r="E802" i="18"/>
  <c r="B802" i="18"/>
  <c r="AX18" i="5"/>
  <c r="BC18" i="5" l="1"/>
  <c r="H33" i="30" s="1"/>
  <c r="C804" i="55"/>
  <c r="O802" i="18"/>
  <c r="A804" i="55"/>
  <c r="P804" i="55" s="1"/>
  <c r="M802" i="18"/>
  <c r="L802" i="18"/>
  <c r="I509" i="55"/>
  <c r="U509" i="55" s="1"/>
  <c r="I507" i="55"/>
  <c r="U528" i="55"/>
  <c r="I508" i="55"/>
  <c r="H196" i="55"/>
  <c r="I196" i="55" s="1"/>
  <c r="H504" i="55"/>
  <c r="I504" i="55" s="1"/>
  <c r="I203" i="55"/>
  <c r="U203" i="55" s="1"/>
  <c r="H198" i="55"/>
  <c r="I198" i="55" s="1"/>
  <c r="A803" i="18"/>
  <c r="AC23" i="38"/>
  <c r="AC25" i="38" s="1"/>
  <c r="AC20" i="38"/>
  <c r="N802" i="18"/>
  <c r="C802" i="18"/>
  <c r="K802" i="18" s="1"/>
  <c r="AN17" i="22" l="1"/>
  <c r="AS17" i="22" s="1"/>
  <c r="AT17" i="22" s="1"/>
  <c r="E804" i="55"/>
  <c r="F804" i="55"/>
  <c r="J804" i="55"/>
  <c r="L804" i="55" s="1"/>
  <c r="O804" i="55"/>
  <c r="T804" i="55"/>
  <c r="U804" i="55"/>
  <c r="S804" i="55"/>
  <c r="R804" i="55"/>
  <c r="Q804" i="55"/>
  <c r="R802" i="18"/>
  <c r="D804" i="55"/>
  <c r="T507" i="55"/>
  <c r="U507" i="55"/>
  <c r="B803" i="18"/>
  <c r="E803" i="18"/>
  <c r="D803" i="18"/>
  <c r="B805" i="55" s="1"/>
  <c r="G804" i="55" l="1"/>
  <c r="H804" i="55" s="1"/>
  <c r="I804" i="55" s="1"/>
  <c r="M804" i="55"/>
  <c r="N804" i="55"/>
  <c r="C805" i="55"/>
  <c r="O803" i="18"/>
  <c r="A805" i="55"/>
  <c r="P805" i="55" s="1"/>
  <c r="M803" i="18"/>
  <c r="K804" i="55"/>
  <c r="L803" i="18"/>
  <c r="A804" i="18"/>
  <c r="BA92" i="22"/>
  <c r="N803" i="18"/>
  <c r="C803" i="18"/>
  <c r="K803" i="18" s="1"/>
  <c r="X53" i="36"/>
  <c r="X117" i="36"/>
  <c r="E805" i="55" l="1"/>
  <c r="F805" i="55"/>
  <c r="T805" i="55"/>
  <c r="U805" i="55"/>
  <c r="R805" i="55"/>
  <c r="S805" i="55"/>
  <c r="Q805" i="55"/>
  <c r="R803" i="18"/>
  <c r="D805" i="55"/>
  <c r="O805" i="55"/>
  <c r="J805" i="55"/>
  <c r="AT92" i="22"/>
  <c r="BB92" i="22"/>
  <c r="AA53" i="36"/>
  <c r="AF53" i="36" s="1"/>
  <c r="AA117" i="36"/>
  <c r="AF117" i="36" s="1"/>
  <c r="X153" i="36"/>
  <c r="AA153" i="36"/>
  <c r="AF153" i="36" s="1"/>
  <c r="B804" i="18"/>
  <c r="D804" i="18"/>
  <c r="B806" i="55" s="1"/>
  <c r="E804" i="18"/>
  <c r="G805" i="55" l="1"/>
  <c r="H805" i="55" s="1"/>
  <c r="I805" i="55" s="1"/>
  <c r="A806" i="55"/>
  <c r="P806" i="55" s="1"/>
  <c r="M804" i="18"/>
  <c r="C806" i="55"/>
  <c r="O804" i="18"/>
  <c r="L804" i="18"/>
  <c r="N805" i="55"/>
  <c r="M805" i="55"/>
  <c r="L805" i="55"/>
  <c r="K805" i="55"/>
  <c r="BP92" i="22"/>
  <c r="BY92" i="22" s="1"/>
  <c r="W37" i="52"/>
  <c r="A805" i="18"/>
  <c r="BA93" i="22"/>
  <c r="AT93" i="22" s="1"/>
  <c r="AN92" i="22"/>
  <c r="L60" i="13"/>
  <c r="M60" i="13" s="1"/>
  <c r="U65" i="36" s="1"/>
  <c r="N417" i="18"/>
  <c r="E419" i="55" s="1"/>
  <c r="X120" i="36"/>
  <c r="U156" i="36"/>
  <c r="R165" i="36" s="1"/>
  <c r="C804" i="18"/>
  <c r="K804" i="18" s="1"/>
  <c r="X56" i="36"/>
  <c r="X156" i="36"/>
  <c r="F806" i="55" l="1"/>
  <c r="R806" i="55"/>
  <c r="T806" i="55"/>
  <c r="U806" i="55"/>
  <c r="S806" i="55"/>
  <c r="Q806" i="55"/>
  <c r="R804" i="18"/>
  <c r="D806" i="55"/>
  <c r="G419" i="55"/>
  <c r="Q419" i="55"/>
  <c r="J806" i="55"/>
  <c r="O806" i="55"/>
  <c r="R422" i="35" a="1"/>
  <c r="R422" i="35" s="1"/>
  <c r="AB422" i="35" s="1"/>
  <c r="AF422" i="35" s="1"/>
  <c r="AJ422" i="35" s="1"/>
  <c r="BP93" i="22"/>
  <c r="W38" i="52"/>
  <c r="BL9" i="52" s="1"/>
  <c r="R261" i="30" s="1" a="1"/>
  <c r="R261" i="30" s="1"/>
  <c r="Z37" i="52"/>
  <c r="AJ37" i="52"/>
  <c r="AI37" i="52"/>
  <c r="AN93" i="22"/>
  <c r="AB92" i="22"/>
  <c r="F27" i="13" s="1"/>
  <c r="G27" i="13" s="1"/>
  <c r="X51" i="30"/>
  <c r="AA51" i="30"/>
  <c r="AF51" i="30" s="1"/>
  <c r="BB93" i="22"/>
  <c r="U56" i="36"/>
  <c r="R65" i="36" s="1"/>
  <c r="L62" i="13"/>
  <c r="M62" i="13" s="1"/>
  <c r="U165" i="36" s="1"/>
  <c r="AA50" i="36"/>
  <c r="AF50" i="36" s="1"/>
  <c r="X50" i="36"/>
  <c r="AA56" i="36"/>
  <c r="AF56" i="36" s="1"/>
  <c r="AA156" i="36"/>
  <c r="AF156" i="36" s="1"/>
  <c r="X114" i="36"/>
  <c r="AA114" i="36"/>
  <c r="AF114" i="36" s="1"/>
  <c r="AA120" i="36"/>
  <c r="AF120" i="36" s="1"/>
  <c r="B805" i="18"/>
  <c r="L805" i="18" s="1"/>
  <c r="D805" i="18"/>
  <c r="B807" i="55" s="1"/>
  <c r="E805" i="18"/>
  <c r="AX33" i="5"/>
  <c r="BC33" i="5" s="1"/>
  <c r="AN32" i="22" s="1"/>
  <c r="BY93" i="22" l="1"/>
  <c r="BY94" i="22" s="1"/>
  <c r="BY95" i="22" s="1"/>
  <c r="CI10" i="22" s="1"/>
  <c r="O805" i="18"/>
  <c r="C807" i="55"/>
  <c r="A807" i="55"/>
  <c r="P807" i="55" s="1"/>
  <c r="M805" i="18"/>
  <c r="AB261" i="30"/>
  <c r="AC24" i="30"/>
  <c r="H419" i="55"/>
  <c r="T419" i="55" s="1"/>
  <c r="S419" i="55"/>
  <c r="N806" i="55"/>
  <c r="M806" i="55"/>
  <c r="L806" i="55"/>
  <c r="K806" i="55"/>
  <c r="AG37" i="52"/>
  <c r="N236" i="18"/>
  <c r="E238" i="55" s="1"/>
  <c r="AB37" i="52"/>
  <c r="AD37" i="52"/>
  <c r="AC37" i="52"/>
  <c r="AE37" i="52"/>
  <c r="AH37" i="52"/>
  <c r="AF37" i="52"/>
  <c r="Z38" i="52"/>
  <c r="AG38" i="52" s="1"/>
  <c r="AJ38" i="52"/>
  <c r="BY9" i="52" s="1"/>
  <c r="R274" i="30" s="1" a="1"/>
  <c r="R274" i="30" s="1"/>
  <c r="AB274" i="30" s="1"/>
  <c r="AI38" i="52"/>
  <c r="BX9" i="52" s="1"/>
  <c r="R273" i="30" s="1" a="1"/>
  <c r="R273" i="30" s="1"/>
  <c r="AB273" i="30" s="1"/>
  <c r="A806" i="18"/>
  <c r="U51" i="30"/>
  <c r="R60" i="30" s="1"/>
  <c r="U60" i="30"/>
  <c r="N223" i="18"/>
  <c r="E225" i="55" s="1"/>
  <c r="G225" i="55" s="1"/>
  <c r="AS32" i="22"/>
  <c r="AB93" i="22"/>
  <c r="F28" i="13" s="1"/>
  <c r="G28" i="13" s="1"/>
  <c r="X96" i="30"/>
  <c r="AA96" i="30"/>
  <c r="AF96" i="30" s="1"/>
  <c r="X150" i="36"/>
  <c r="AA150" i="36"/>
  <c r="AF150" i="36" s="1"/>
  <c r="U50" i="36"/>
  <c r="R59" i="36" s="1"/>
  <c r="U59" i="36"/>
  <c r="U114" i="36"/>
  <c r="R123" i="36" s="1"/>
  <c r="U123" i="36"/>
  <c r="U120" i="36"/>
  <c r="R129" i="36" s="1"/>
  <c r="L61" i="13"/>
  <c r="M61" i="13" s="1"/>
  <c r="U129" i="36" s="1"/>
  <c r="X204" i="37"/>
  <c r="X156" i="37"/>
  <c r="U53" i="36"/>
  <c r="R62" i="36" s="1"/>
  <c r="K60" i="13"/>
  <c r="U62" i="36" s="1"/>
  <c r="K61" i="13"/>
  <c r="U126" i="36" s="1"/>
  <c r="U117" i="36"/>
  <c r="R126" i="36" s="1"/>
  <c r="J807" i="55"/>
  <c r="O807" i="55"/>
  <c r="N805" i="18"/>
  <c r="E807" i="55" s="1"/>
  <c r="C805" i="18"/>
  <c r="K805" i="18" s="1"/>
  <c r="F807" i="55" l="1"/>
  <c r="G807" i="55" s="1"/>
  <c r="H807" i="55" s="1"/>
  <c r="I807" i="55" s="1"/>
  <c r="T807" i="55"/>
  <c r="U807" i="55"/>
  <c r="R807" i="55"/>
  <c r="S807" i="55"/>
  <c r="Q807" i="55"/>
  <c r="R805" i="18"/>
  <c r="D807" i="55"/>
  <c r="AF261" i="30"/>
  <c r="AJ261" i="30" s="1"/>
  <c r="AF273" i="30"/>
  <c r="AF274" i="30"/>
  <c r="AJ274" i="30" s="1"/>
  <c r="Q238" i="55"/>
  <c r="G238" i="55"/>
  <c r="H225" i="55"/>
  <c r="I419" i="55"/>
  <c r="U419" i="55" s="1"/>
  <c r="N807" i="55"/>
  <c r="M807" i="55"/>
  <c r="L807" i="55"/>
  <c r="K807" i="55"/>
  <c r="BO9" i="52"/>
  <c r="R264" i="30" s="1" a="1"/>
  <c r="R264" i="30" s="1"/>
  <c r="AB264" i="30" s="1"/>
  <c r="AF264" i="30" s="1"/>
  <c r="AJ264" i="30" s="1"/>
  <c r="BV9" i="52"/>
  <c r="R271" i="30" s="1" a="1"/>
  <c r="R271" i="30" s="1"/>
  <c r="AB271" i="30" s="1"/>
  <c r="AF271" i="30" s="1"/>
  <c r="AJ271" i="30" s="1"/>
  <c r="N249" i="18"/>
  <c r="E251" i="55" s="1"/>
  <c r="G251" i="55" s="1"/>
  <c r="H251" i="55" s="1"/>
  <c r="I251" i="55" s="1"/>
  <c r="N559" i="18"/>
  <c r="E561" i="55" s="1"/>
  <c r="G561" i="55" s="1"/>
  <c r="N560" i="18"/>
  <c r="E562" i="55" s="1"/>
  <c r="R267" i="40" a="1"/>
  <c r="R267" i="40" s="1"/>
  <c r="AB267" i="40" s="1"/>
  <c r="AF267" i="40" s="1"/>
  <c r="AJ267" i="40" s="1"/>
  <c r="N248" i="18"/>
  <c r="E250" i="55" s="1"/>
  <c r="G250" i="55" s="1"/>
  <c r="N453" i="18"/>
  <c r="E455" i="55" s="1"/>
  <c r="AT32" i="22"/>
  <c r="BA130" i="22" s="1"/>
  <c r="AF38" i="52"/>
  <c r="BU9" i="52" s="1"/>
  <c r="R270" i="30" s="1" a="1"/>
  <c r="R270" i="30" s="1"/>
  <c r="AB270" i="30" s="1"/>
  <c r="AF270" i="30" s="1"/>
  <c r="AJ270" i="30" s="1"/>
  <c r="AH38" i="52"/>
  <c r="BW9" i="52" s="1"/>
  <c r="R272" i="30" s="1" a="1"/>
  <c r="R272" i="30" s="1"/>
  <c r="AB272" i="30" s="1"/>
  <c r="AF272" i="30" s="1"/>
  <c r="AJ272" i="30" s="1"/>
  <c r="AB38" i="52"/>
  <c r="N240" i="18" s="1"/>
  <c r="E242" i="55" s="1"/>
  <c r="G242" i="55" s="1"/>
  <c r="AC38" i="52"/>
  <c r="BR9" i="52" s="1"/>
  <c r="R267" i="30" s="1" a="1"/>
  <c r="R267" i="30" s="1"/>
  <c r="AB267" i="30" s="1"/>
  <c r="AF267" i="30" s="1"/>
  <c r="AJ267" i="30" s="1"/>
  <c r="AD38" i="52"/>
  <c r="BS9" i="52" s="1"/>
  <c r="R268" i="30" s="1" a="1"/>
  <c r="R268" i="30" s="1"/>
  <c r="AB268" i="30" s="1"/>
  <c r="AF268" i="30" s="1"/>
  <c r="AJ268" i="30" s="1"/>
  <c r="AE38" i="52"/>
  <c r="BT9" i="52" s="1"/>
  <c r="R269" i="30" s="1" a="1"/>
  <c r="R269" i="30" s="1"/>
  <c r="AB269" i="30" s="1"/>
  <c r="AF269" i="30" s="1"/>
  <c r="AJ269" i="30" s="1"/>
  <c r="N199" i="18"/>
  <c r="E201" i="55" s="1"/>
  <c r="G201" i="55" s="1"/>
  <c r="N532" i="18"/>
  <c r="E534" i="55" s="1"/>
  <c r="G534" i="55" s="1"/>
  <c r="R266" i="40" a="1"/>
  <c r="R266" i="40" s="1"/>
  <c r="AC24" i="40" s="1"/>
  <c r="N529" i="18"/>
  <c r="E531" i="55" s="1"/>
  <c r="G531" i="55" s="1"/>
  <c r="N235" i="18"/>
  <c r="E237" i="55" s="1"/>
  <c r="G237" i="55" s="1"/>
  <c r="U105" i="30"/>
  <c r="U96" i="30"/>
  <c r="R105" i="30" s="1"/>
  <c r="N234" i="18"/>
  <c r="E236" i="55" s="1"/>
  <c r="G236" i="55" s="1"/>
  <c r="U150" i="36"/>
  <c r="R159" i="36" s="1"/>
  <c r="U159" i="36"/>
  <c r="K62" i="13"/>
  <c r="U162" i="36" s="1"/>
  <c r="U153" i="36"/>
  <c r="R162" i="36" s="1"/>
  <c r="D806" i="18"/>
  <c r="B808" i="55" s="1"/>
  <c r="E806" i="18"/>
  <c r="B806" i="18"/>
  <c r="H135" i="37"/>
  <c r="AA156" i="37"/>
  <c r="AF156" i="37" s="1"/>
  <c r="A808" i="55" l="1"/>
  <c r="P808" i="55" s="1"/>
  <c r="M806" i="18"/>
  <c r="L806" i="18"/>
  <c r="C808" i="55"/>
  <c r="O806" i="18"/>
  <c r="AJ273" i="30"/>
  <c r="Q455" i="55"/>
  <c r="G455" i="55"/>
  <c r="H250" i="55"/>
  <c r="I250" i="55" s="1"/>
  <c r="H237" i="55"/>
  <c r="H531" i="55"/>
  <c r="H534" i="55"/>
  <c r="I534" i="55" s="1"/>
  <c r="S201" i="55"/>
  <c r="R201" i="55" s="1"/>
  <c r="D47" i="59" s="1"/>
  <c r="H201" i="55"/>
  <c r="T201" i="55" s="1"/>
  <c r="H236" i="55"/>
  <c r="I236" i="55" s="1"/>
  <c r="H561" i="55"/>
  <c r="T561" i="55" s="1"/>
  <c r="S561" i="55"/>
  <c r="R561" i="55" s="1"/>
  <c r="D127" i="59" s="1"/>
  <c r="I225" i="55"/>
  <c r="Q562" i="55"/>
  <c r="G562" i="55"/>
  <c r="H238" i="55"/>
  <c r="I238" i="55" s="1"/>
  <c r="H242" i="55"/>
  <c r="I242" i="55" s="1"/>
  <c r="BQ9" i="52"/>
  <c r="N243" i="18"/>
  <c r="E245" i="55" s="1"/>
  <c r="G245" i="55" s="1"/>
  <c r="N247" i="18"/>
  <c r="E249" i="55" s="1"/>
  <c r="G249" i="55" s="1"/>
  <c r="H249" i="55" s="1"/>
  <c r="I249" i="55" s="1"/>
  <c r="N428" i="18"/>
  <c r="E430" i="55" s="1"/>
  <c r="R435" i="35" a="1"/>
  <c r="R435" i="35" s="1"/>
  <c r="AB435" i="35" s="1"/>
  <c r="AF435" i="35" s="1"/>
  <c r="AJ435" i="35" s="1"/>
  <c r="N429" i="18"/>
  <c r="E431" i="55" s="1"/>
  <c r="G431" i="55" s="1"/>
  <c r="H431" i="55" s="1"/>
  <c r="I431" i="55" s="1"/>
  <c r="R281" i="40" a="1"/>
  <c r="R281" i="40" s="1"/>
  <c r="AB281" i="40" s="1"/>
  <c r="AF281" i="40" s="1"/>
  <c r="AJ281" i="40" s="1"/>
  <c r="N573" i="18"/>
  <c r="E575" i="55" s="1"/>
  <c r="G575" i="55" s="1"/>
  <c r="N242" i="18"/>
  <c r="E244" i="55" s="1"/>
  <c r="G244" i="55" s="1"/>
  <c r="N203" i="18"/>
  <c r="E205" i="55" s="1"/>
  <c r="G205" i="55" s="1"/>
  <c r="R421" i="35" a="1"/>
  <c r="R421" i="35" s="1"/>
  <c r="AB421" i="35" s="1"/>
  <c r="AF421" i="35" s="1"/>
  <c r="AJ421" i="35" s="1"/>
  <c r="N416" i="18"/>
  <c r="E418" i="55" s="1"/>
  <c r="R280" i="40" a="1"/>
  <c r="R280" i="40" s="1"/>
  <c r="AB280" i="40" s="1"/>
  <c r="AF280" i="40" s="1"/>
  <c r="AJ280" i="40" s="1"/>
  <c r="N572" i="18"/>
  <c r="E574" i="55" s="1"/>
  <c r="N238" i="18"/>
  <c r="E240" i="55" s="1"/>
  <c r="N239" i="18"/>
  <c r="E241" i="55" s="1"/>
  <c r="G241" i="55" s="1"/>
  <c r="N562" i="18"/>
  <c r="E564" i="55" s="1"/>
  <c r="R270" i="40" a="1"/>
  <c r="R270" i="40" s="1"/>
  <c r="AB270" i="40" s="1"/>
  <c r="AF270" i="40" s="1"/>
  <c r="AJ270" i="40" s="1"/>
  <c r="N563" i="18"/>
  <c r="E565" i="55" s="1"/>
  <c r="G565" i="55" s="1"/>
  <c r="H565" i="55" s="1"/>
  <c r="I565" i="55" s="1"/>
  <c r="R434" i="35" a="1"/>
  <c r="R434" i="35" s="1"/>
  <c r="AB434" i="35" s="1"/>
  <c r="AF434" i="35" s="1"/>
  <c r="AJ434" i="35" s="1"/>
  <c r="R424" i="35" a="1"/>
  <c r="R424" i="35" s="1"/>
  <c r="AB424" i="35" s="1"/>
  <c r="AF424" i="35" s="1"/>
  <c r="AJ424" i="35" s="1"/>
  <c r="N419" i="18"/>
  <c r="E421" i="55" s="1"/>
  <c r="G421" i="55" s="1"/>
  <c r="N246" i="18"/>
  <c r="E248" i="55" s="1"/>
  <c r="G248" i="55" s="1"/>
  <c r="N426" i="18"/>
  <c r="E428" i="55" s="1"/>
  <c r="G428" i="55" s="1"/>
  <c r="H428" i="55" s="1"/>
  <c r="I428" i="55" s="1"/>
  <c r="R432" i="35" a="1"/>
  <c r="R432" i="35" s="1"/>
  <c r="AB432" i="35" s="1"/>
  <c r="AF432" i="35" s="1"/>
  <c r="AJ432" i="35" s="1"/>
  <c r="N202" i="18"/>
  <c r="E204" i="55" s="1"/>
  <c r="N415" i="18"/>
  <c r="E417" i="55" s="1"/>
  <c r="G417" i="55" s="1"/>
  <c r="R420" i="35" a="1"/>
  <c r="R420" i="35" s="1"/>
  <c r="N423" i="18"/>
  <c r="E425" i="55" s="1"/>
  <c r="G425" i="55" s="1"/>
  <c r="R433" i="35" a="1"/>
  <c r="R433" i="35" s="1"/>
  <c r="AB433" i="35" s="1"/>
  <c r="AF433" i="35" s="1"/>
  <c r="AJ433" i="35" s="1"/>
  <c r="N421" i="18"/>
  <c r="E423" i="55" s="1"/>
  <c r="G423" i="55" s="1"/>
  <c r="H423" i="55" s="1"/>
  <c r="I423" i="55" s="1"/>
  <c r="R426" i="35" a="1"/>
  <c r="R426" i="35" s="1"/>
  <c r="AB426" i="35" s="1"/>
  <c r="AF426" i="35" s="1"/>
  <c r="AJ426" i="35" s="1"/>
  <c r="N244" i="18"/>
  <c r="E246" i="55" s="1"/>
  <c r="G246" i="55" s="1"/>
  <c r="H246" i="55" s="1"/>
  <c r="I246" i="55" s="1"/>
  <c r="N418" i="18"/>
  <c r="E420" i="55" s="1"/>
  <c r="R423" i="35" a="1"/>
  <c r="R423" i="35" s="1"/>
  <c r="AB423" i="35" s="1"/>
  <c r="AF423" i="35" s="1"/>
  <c r="AJ423" i="35" s="1"/>
  <c r="N422" i="18"/>
  <c r="E424" i="55" s="1"/>
  <c r="G424" i="55" s="1"/>
  <c r="H424" i="55" s="1"/>
  <c r="I424" i="55" s="1"/>
  <c r="R427" i="35" a="1"/>
  <c r="R427" i="35" s="1"/>
  <c r="AB427" i="35" s="1"/>
  <c r="AF427" i="35" s="1"/>
  <c r="AJ427" i="35" s="1"/>
  <c r="N425" i="18"/>
  <c r="E427" i="55" s="1"/>
  <c r="G427" i="55" s="1"/>
  <c r="H427" i="55" s="1"/>
  <c r="I427" i="55" s="1"/>
  <c r="R431" i="35" a="1"/>
  <c r="R431" i="35" s="1"/>
  <c r="AB431" i="35" s="1"/>
  <c r="AF431" i="35" s="1"/>
  <c r="AJ431" i="35" s="1"/>
  <c r="N420" i="18"/>
  <c r="E422" i="55" s="1"/>
  <c r="G422" i="55" s="1"/>
  <c r="H422" i="55" s="1"/>
  <c r="I422" i="55" s="1"/>
  <c r="R425" i="35" a="1"/>
  <c r="R425" i="35" s="1"/>
  <c r="AB425" i="35" s="1"/>
  <c r="AF425" i="35" s="1"/>
  <c r="AJ425" i="35" s="1"/>
  <c r="R269" i="40" a="1"/>
  <c r="R269" i="40" s="1"/>
  <c r="AB269" i="40" s="1"/>
  <c r="AF269" i="40" s="1"/>
  <c r="AJ269" i="40" s="1"/>
  <c r="O808" i="55"/>
  <c r="A807" i="18"/>
  <c r="N538" i="18"/>
  <c r="E540" i="55" s="1"/>
  <c r="N541" i="18"/>
  <c r="E543" i="55" s="1"/>
  <c r="G543" i="55" s="1"/>
  <c r="N535" i="18"/>
  <c r="E537" i="55" s="1"/>
  <c r="G537" i="55" s="1"/>
  <c r="H537" i="55" s="1"/>
  <c r="I537" i="55" s="1"/>
  <c r="AB266" i="40"/>
  <c r="N536" i="18"/>
  <c r="E538" i="55" s="1"/>
  <c r="R279" i="40" a="1"/>
  <c r="R279" i="40" s="1"/>
  <c r="AB279" i="40" s="1"/>
  <c r="AF279" i="40" s="1"/>
  <c r="AJ279" i="40" s="1"/>
  <c r="N564" i="18"/>
  <c r="E566" i="55" s="1"/>
  <c r="G566" i="55" s="1"/>
  <c r="N540" i="18"/>
  <c r="E542" i="55" s="1"/>
  <c r="G542" i="55" s="1"/>
  <c r="H542" i="55" s="1"/>
  <c r="I542" i="55" s="1"/>
  <c r="N231" i="18"/>
  <c r="E233" i="55" s="1"/>
  <c r="G233" i="55" s="1"/>
  <c r="N229" i="18"/>
  <c r="E231" i="55" s="1"/>
  <c r="G231" i="55" s="1"/>
  <c r="H231" i="55" s="1"/>
  <c r="I231" i="55" s="1"/>
  <c r="AT130" i="22"/>
  <c r="BB130" i="22"/>
  <c r="N233" i="18"/>
  <c r="E235" i="55" s="1"/>
  <c r="G235" i="55" s="1"/>
  <c r="H235" i="55" s="1"/>
  <c r="I235" i="55" s="1"/>
  <c r="N228" i="18"/>
  <c r="E230" i="55" s="1"/>
  <c r="G230" i="55" s="1"/>
  <c r="N230" i="18"/>
  <c r="E232" i="55" s="1"/>
  <c r="N232" i="18"/>
  <c r="N226" i="18"/>
  <c r="E228" i="55" s="1"/>
  <c r="G228" i="55" s="1"/>
  <c r="N456" i="18"/>
  <c r="E458" i="55" s="1"/>
  <c r="G458" i="55" s="1"/>
  <c r="H458" i="55" s="1"/>
  <c r="I458" i="55" s="1"/>
  <c r="C806" i="18"/>
  <c r="K806" i="18" s="1"/>
  <c r="AA204" i="37"/>
  <c r="AF204" i="37" s="1"/>
  <c r="E234" i="55" l="1"/>
  <c r="G234" i="55" s="1"/>
  <c r="S237" i="55" s="1"/>
  <c r="F808" i="55"/>
  <c r="U808" i="55"/>
  <c r="T808" i="55"/>
  <c r="R808" i="55"/>
  <c r="S808" i="55"/>
  <c r="Q808" i="55"/>
  <c r="R806" i="18"/>
  <c r="D808" i="55"/>
  <c r="N241" i="18"/>
  <c r="E243" i="55" s="1"/>
  <c r="G243" i="55" s="1"/>
  <c r="H243" i="55" s="1"/>
  <c r="I243" i="55" s="1"/>
  <c r="R266" i="30" a="1"/>
  <c r="R266" i="30" s="1"/>
  <c r="AB266" i="30" s="1"/>
  <c r="I561" i="55"/>
  <c r="U561" i="55" s="1"/>
  <c r="I201" i="55"/>
  <c r="U201" i="55" s="1"/>
  <c r="H543" i="55"/>
  <c r="G204" i="55"/>
  <c r="Q204" i="55"/>
  <c r="G540" i="55"/>
  <c r="Q240" i="55"/>
  <c r="G240" i="55"/>
  <c r="G430" i="55"/>
  <c r="H430" i="55" s="1"/>
  <c r="I430" i="55" s="1"/>
  <c r="G574" i="55"/>
  <c r="H248" i="55"/>
  <c r="I248" i="55" s="1"/>
  <c r="H421" i="55"/>
  <c r="I421" i="55" s="1"/>
  <c r="Q418" i="55"/>
  <c r="G418" i="55"/>
  <c r="H233" i="55"/>
  <c r="I233" i="55" s="1"/>
  <c r="I531" i="55"/>
  <c r="H245" i="55"/>
  <c r="I245" i="55" s="1"/>
  <c r="G232" i="55"/>
  <c r="H566" i="55"/>
  <c r="I566" i="55" s="1"/>
  <c r="H205" i="55"/>
  <c r="I205" i="55" s="1"/>
  <c r="I237" i="55"/>
  <c r="H228" i="55"/>
  <c r="Q420" i="55"/>
  <c r="G420" i="55"/>
  <c r="G538" i="55"/>
  <c r="H425" i="55"/>
  <c r="I425" i="55" s="1"/>
  <c r="H244" i="55"/>
  <c r="I244" i="55" s="1"/>
  <c r="H230" i="55"/>
  <c r="I230" i="55" s="1"/>
  <c r="H575" i="55"/>
  <c r="I575" i="55" s="1"/>
  <c r="G564" i="55"/>
  <c r="Q564" i="55"/>
  <c r="H455" i="55"/>
  <c r="T455" i="55" s="1"/>
  <c r="S455" i="55"/>
  <c r="H417" i="55"/>
  <c r="T417" i="55" s="1"/>
  <c r="S417" i="55"/>
  <c r="R417" i="55" s="1"/>
  <c r="D95" i="59" s="1"/>
  <c r="H241" i="55"/>
  <c r="I241" i="55" s="1"/>
  <c r="H562" i="55"/>
  <c r="J808" i="55"/>
  <c r="N568" i="18"/>
  <c r="E570" i="55" s="1"/>
  <c r="G570" i="55" s="1"/>
  <c r="H570" i="55" s="1"/>
  <c r="I570" i="55" s="1"/>
  <c r="N566" i="18"/>
  <c r="E568" i="55" s="1"/>
  <c r="G568" i="55" s="1"/>
  <c r="H568" i="55" s="1"/>
  <c r="I568" i="55" s="1"/>
  <c r="N465" i="18"/>
  <c r="E467" i="55" s="1"/>
  <c r="G467" i="55" s="1"/>
  <c r="H467" i="55" s="1"/>
  <c r="I467" i="55" s="1"/>
  <c r="N569" i="18"/>
  <c r="E571" i="55" s="1"/>
  <c r="G571" i="55" s="1"/>
  <c r="H571" i="55" s="1"/>
  <c r="I571" i="55" s="1"/>
  <c r="N571" i="18"/>
  <c r="E573" i="55" s="1"/>
  <c r="G573" i="55" s="1"/>
  <c r="H573" i="55" s="1"/>
  <c r="I573" i="55" s="1"/>
  <c r="N565" i="18"/>
  <c r="E567" i="55" s="1"/>
  <c r="G567" i="55" s="1"/>
  <c r="H567" i="55" s="1"/>
  <c r="I567" i="55" s="1"/>
  <c r="N570" i="18"/>
  <c r="E572" i="55" s="1"/>
  <c r="G572" i="55" s="1"/>
  <c r="H572" i="55" s="1"/>
  <c r="I572" i="55" s="1"/>
  <c r="N454" i="18"/>
  <c r="E456" i="55" s="1"/>
  <c r="N455" i="18"/>
  <c r="E457" i="55" s="1"/>
  <c r="G457" i="55" s="1"/>
  <c r="N452" i="18"/>
  <c r="E454" i="55" s="1"/>
  <c r="R278" i="40" a="1"/>
  <c r="R278" i="40" s="1"/>
  <c r="AB278" i="40" s="1"/>
  <c r="AF278" i="40" s="1"/>
  <c r="AJ278" i="40" s="1"/>
  <c r="N439" i="18"/>
  <c r="E441" i="55" s="1"/>
  <c r="G441" i="55" s="1"/>
  <c r="N567" i="18"/>
  <c r="E569" i="55" s="1"/>
  <c r="G569" i="55" s="1"/>
  <c r="H569" i="55" s="1"/>
  <c r="I569" i="55" s="1"/>
  <c r="N245" i="18"/>
  <c r="E247" i="55" s="1"/>
  <c r="G247" i="55" s="1"/>
  <c r="H247" i="55" s="1"/>
  <c r="I247" i="55" s="1"/>
  <c r="BP130" i="22"/>
  <c r="BY130" i="22" s="1"/>
  <c r="W75" i="52"/>
  <c r="N204" i="18"/>
  <c r="E206" i="55" s="1"/>
  <c r="G206" i="55" s="1"/>
  <c r="R275" i="40" a="1"/>
  <c r="R275" i="40" s="1"/>
  <c r="AB275" i="40" s="1"/>
  <c r="AF275" i="40" s="1"/>
  <c r="AJ275" i="40" s="1"/>
  <c r="AB420" i="35"/>
  <c r="AC24" i="35"/>
  <c r="R272" i="40" a="1"/>
  <c r="R272" i="40" s="1"/>
  <c r="AB272" i="40" s="1"/>
  <c r="AF272" i="40" s="1"/>
  <c r="AJ272" i="40" s="1"/>
  <c r="N427" i="18"/>
  <c r="E429" i="55" s="1"/>
  <c r="G429" i="55" s="1"/>
  <c r="N451" i="18"/>
  <c r="E453" i="55" s="1"/>
  <c r="G453" i="55" s="1"/>
  <c r="R273" i="40" a="1"/>
  <c r="R273" i="40" s="1"/>
  <c r="AB273" i="40" s="1"/>
  <c r="AF273" i="40" s="1"/>
  <c r="AJ273" i="40" s="1"/>
  <c r="AF266" i="40"/>
  <c r="AJ266" i="40" s="1"/>
  <c r="R277" i="40" a="1"/>
  <c r="R277" i="40" s="1"/>
  <c r="AB277" i="40" s="1"/>
  <c r="AF277" i="40" s="1"/>
  <c r="AJ277" i="40" s="1"/>
  <c r="N539" i="18"/>
  <c r="E541" i="55" s="1"/>
  <c r="G541" i="55" s="1"/>
  <c r="H541" i="55" s="1"/>
  <c r="I541" i="55" s="1"/>
  <c r="R271" i="40" a="1"/>
  <c r="R271" i="40" s="1"/>
  <c r="AB271" i="40" s="1"/>
  <c r="AF271" i="40" s="1"/>
  <c r="AJ271" i="40" s="1"/>
  <c r="N534" i="18"/>
  <c r="E536" i="55" s="1"/>
  <c r="G536" i="55" s="1"/>
  <c r="R274" i="40" a="1"/>
  <c r="R274" i="40" s="1"/>
  <c r="AB274" i="40" s="1"/>
  <c r="AF274" i="40" s="1"/>
  <c r="AJ274" i="40" s="1"/>
  <c r="N537" i="18"/>
  <c r="E539" i="55" s="1"/>
  <c r="G539" i="55" s="1"/>
  <c r="H539" i="55" s="1"/>
  <c r="I539" i="55" s="1"/>
  <c r="BA131" i="22"/>
  <c r="AT131" i="22" s="1"/>
  <c r="AN130" i="22"/>
  <c r="AB130" i="22" s="1"/>
  <c r="F65" i="13" s="1"/>
  <c r="G65" i="13" s="1"/>
  <c r="N438" i="18"/>
  <c r="E440" i="55" s="1"/>
  <c r="G440" i="55" s="1"/>
  <c r="H440" i="55" s="1"/>
  <c r="I440" i="55" s="1"/>
  <c r="N430" i="18"/>
  <c r="E432" i="55" s="1"/>
  <c r="N432" i="18"/>
  <c r="E434" i="55" s="1"/>
  <c r="G434" i="55" s="1"/>
  <c r="H434" i="55" s="1"/>
  <c r="I434" i="55" s="1"/>
  <c r="E807" i="18"/>
  <c r="D807" i="18"/>
  <c r="B809" i="55" s="1"/>
  <c r="B807" i="18"/>
  <c r="Q237" i="55" l="1"/>
  <c r="R237" i="55" s="1"/>
  <c r="D55" i="59" s="1"/>
  <c r="C809" i="55"/>
  <c r="O807" i="18"/>
  <c r="A809" i="55"/>
  <c r="P809" i="55" s="1"/>
  <c r="M807" i="18"/>
  <c r="L807" i="18"/>
  <c r="AF266" i="30"/>
  <c r="AB280" i="30"/>
  <c r="AC19" i="30" s="1"/>
  <c r="I417" i="55"/>
  <c r="U417" i="55" s="1"/>
  <c r="I543" i="55"/>
  <c r="I455" i="55"/>
  <c r="U455" i="55" s="1"/>
  <c r="H538" i="55"/>
  <c r="I538" i="55" s="1"/>
  <c r="S240" i="55"/>
  <c r="H240" i="55"/>
  <c r="H429" i="55"/>
  <c r="I429" i="55" s="1"/>
  <c r="H418" i="55"/>
  <c r="H457" i="55"/>
  <c r="I457" i="55" s="1"/>
  <c r="H420" i="55"/>
  <c r="T420" i="55" s="1"/>
  <c r="S420" i="55"/>
  <c r="Q435" i="55"/>
  <c r="R435" i="55" s="1"/>
  <c r="D99" i="59" s="1"/>
  <c r="G432" i="55"/>
  <c r="I562" i="55"/>
  <c r="H564" i="55"/>
  <c r="T564" i="55" s="1"/>
  <c r="S564" i="55"/>
  <c r="H232" i="55"/>
  <c r="I232" i="55" s="1"/>
  <c r="Q543" i="55"/>
  <c r="R543" i="55" s="1"/>
  <c r="D123" i="59" s="1"/>
  <c r="H536" i="55"/>
  <c r="H540" i="55"/>
  <c r="I540" i="55" s="1"/>
  <c r="H206" i="55"/>
  <c r="I206" i="55" s="1"/>
  <c r="Q454" i="55"/>
  <c r="G454" i="55"/>
  <c r="Q456" i="55"/>
  <c r="G456" i="55"/>
  <c r="H453" i="55"/>
  <c r="S453" i="55"/>
  <c r="R453" i="55" s="1"/>
  <c r="D103" i="59" s="1"/>
  <c r="I228" i="55"/>
  <c r="S204" i="55"/>
  <c r="H204" i="55"/>
  <c r="H234" i="55"/>
  <c r="T237" i="55" s="1"/>
  <c r="H574" i="55"/>
  <c r="I574" i="55" s="1"/>
  <c r="S543" i="55"/>
  <c r="H441" i="55"/>
  <c r="I441" i="55" s="1"/>
  <c r="N808" i="55"/>
  <c r="M808" i="55"/>
  <c r="L808" i="55"/>
  <c r="K808" i="55"/>
  <c r="AI75" i="52"/>
  <c r="Z75" i="52"/>
  <c r="AJ75" i="52"/>
  <c r="BP131" i="22"/>
  <c r="W76" i="52"/>
  <c r="AF420" i="35"/>
  <c r="N457" i="18"/>
  <c r="E459" i="55" s="1"/>
  <c r="G459" i="55" s="1"/>
  <c r="N458" i="18"/>
  <c r="E460" i="55" s="1"/>
  <c r="G460" i="55" s="1"/>
  <c r="H460" i="55" s="1"/>
  <c r="I460" i="55" s="1"/>
  <c r="N459" i="18"/>
  <c r="E461" i="55" s="1"/>
  <c r="G461" i="55" s="1"/>
  <c r="N460" i="18"/>
  <c r="E462" i="55" s="1"/>
  <c r="G462" i="55" s="1"/>
  <c r="O809" i="55"/>
  <c r="A808" i="18"/>
  <c r="AB285" i="40"/>
  <c r="AC19" i="40" s="1"/>
  <c r="AJ285" i="40"/>
  <c r="AC21" i="40" s="1"/>
  <c r="AC23" i="40" s="1"/>
  <c r="AC25" i="40" s="1"/>
  <c r="AF285" i="40"/>
  <c r="AC20" i="40" s="1"/>
  <c r="AN131" i="22"/>
  <c r="BB131" i="22"/>
  <c r="N435" i="18"/>
  <c r="E437" i="55" s="1"/>
  <c r="N433" i="18"/>
  <c r="E435" i="55" s="1"/>
  <c r="G435" i="55" s="1"/>
  <c r="N437" i="18"/>
  <c r="E439" i="55" s="1"/>
  <c r="G439" i="55" s="1"/>
  <c r="N434" i="18"/>
  <c r="E436" i="55" s="1"/>
  <c r="N436" i="18"/>
  <c r="E438" i="55" s="1"/>
  <c r="J809" i="55"/>
  <c r="N463" i="18"/>
  <c r="E465" i="55" s="1"/>
  <c r="G465" i="55" s="1"/>
  <c r="C807" i="18"/>
  <c r="K807" i="18" s="1"/>
  <c r="BY131" i="22" l="1"/>
  <c r="CI17" i="22" s="1"/>
  <c r="F809" i="55"/>
  <c r="R809" i="55"/>
  <c r="S809" i="55"/>
  <c r="T809" i="55"/>
  <c r="U809" i="55"/>
  <c r="Q809" i="55"/>
  <c r="R807" i="18"/>
  <c r="D809" i="55"/>
  <c r="I234" i="55"/>
  <c r="U237" i="55" s="1"/>
  <c r="I420" i="55"/>
  <c r="U420" i="55" s="1"/>
  <c r="I564" i="55"/>
  <c r="U564" i="55" s="1"/>
  <c r="AJ266" i="30"/>
  <c r="AJ280" i="30" s="1"/>
  <c r="AC21" i="30" s="1"/>
  <c r="AC23" i="30" s="1"/>
  <c r="AC25" i="30" s="1"/>
  <c r="AF280" i="30"/>
  <c r="AC20" i="30" s="1"/>
  <c r="T543" i="55"/>
  <c r="I453" i="55"/>
  <c r="U453" i="55" s="1"/>
  <c r="T453" i="55"/>
  <c r="U543" i="55"/>
  <c r="T240" i="55"/>
  <c r="I204" i="55"/>
  <c r="U204" i="55" s="1"/>
  <c r="T204" i="55"/>
  <c r="H435" i="55"/>
  <c r="S435" i="55"/>
  <c r="I418" i="55"/>
  <c r="Q437" i="55"/>
  <c r="G437" i="55"/>
  <c r="H465" i="55"/>
  <c r="I465" i="55" s="1"/>
  <c r="H459" i="55"/>
  <c r="I459" i="55" s="1"/>
  <c r="H432" i="55"/>
  <c r="I432" i="55" s="1"/>
  <c r="H461" i="55"/>
  <c r="I461" i="55" s="1"/>
  <c r="I536" i="55"/>
  <c r="I240" i="55"/>
  <c r="Q438" i="55"/>
  <c r="G438" i="55"/>
  <c r="S456" i="55"/>
  <c r="H456" i="55"/>
  <c r="Q436" i="55"/>
  <c r="G436" i="55"/>
  <c r="H439" i="55"/>
  <c r="I439" i="55" s="1"/>
  <c r="H462" i="55"/>
  <c r="I462" i="55" s="1"/>
  <c r="H454" i="55"/>
  <c r="N809" i="55"/>
  <c r="M809" i="55"/>
  <c r="L809" i="55"/>
  <c r="K809" i="55"/>
  <c r="AG75" i="52"/>
  <c r="AJ420" i="35"/>
  <c r="Z76" i="52"/>
  <c r="AG76" i="52" s="1"/>
  <c r="AI76" i="52"/>
  <c r="AJ76" i="52"/>
  <c r="AB75" i="52"/>
  <c r="AC75" i="52"/>
  <c r="AD75" i="52"/>
  <c r="AH75" i="52"/>
  <c r="AE75" i="52"/>
  <c r="AF75" i="52"/>
  <c r="AB131" i="22"/>
  <c r="F66" i="13" s="1"/>
  <c r="G66" i="13" s="1"/>
  <c r="AC23" i="36"/>
  <c r="AC25" i="36" s="1"/>
  <c r="D808" i="18"/>
  <c r="B810" i="55" s="1"/>
  <c r="B808" i="18"/>
  <c r="E808" i="18"/>
  <c r="A810" i="55" l="1"/>
  <c r="P810" i="55" s="1"/>
  <c r="M808" i="18"/>
  <c r="C810" i="55"/>
  <c r="O808" i="18"/>
  <c r="L808" i="18"/>
  <c r="I456" i="55"/>
  <c r="U456" i="55" s="1"/>
  <c r="T456" i="55"/>
  <c r="U240" i="55"/>
  <c r="I435" i="55"/>
  <c r="U435" i="55" s="1"/>
  <c r="T435" i="55"/>
  <c r="H438" i="55"/>
  <c r="T438" i="55" s="1"/>
  <c r="S438" i="55"/>
  <c r="I454" i="55"/>
  <c r="H437" i="55"/>
  <c r="T437" i="55" s="1"/>
  <c r="S437" i="55"/>
  <c r="H436" i="55"/>
  <c r="BO5" i="52"/>
  <c r="AB76" i="52"/>
  <c r="AF76" i="52"/>
  <c r="AC76" i="52"/>
  <c r="AD76" i="52"/>
  <c r="AE76" i="52"/>
  <c r="AH76" i="52"/>
  <c r="A809" i="18"/>
  <c r="J810" i="55"/>
  <c r="O810" i="55"/>
  <c r="C808" i="18"/>
  <c r="K808" i="18" s="1"/>
  <c r="R263" i="37" l="1" a="1"/>
  <c r="R263" i="37" s="1"/>
  <c r="AB263" i="37" s="1"/>
  <c r="AF263" i="37" s="1"/>
  <c r="AJ263" i="37" s="1"/>
  <c r="F810" i="55"/>
  <c r="T810" i="55"/>
  <c r="R810" i="55"/>
  <c r="U810" i="55"/>
  <c r="S810" i="55"/>
  <c r="Q810" i="55"/>
  <c r="R808" i="18"/>
  <c r="D810" i="55"/>
  <c r="I437" i="55"/>
  <c r="U437" i="55" s="1"/>
  <c r="I436" i="55"/>
  <c r="I438" i="55"/>
  <c r="U438" i="55" s="1"/>
  <c r="N810" i="55"/>
  <c r="L810" i="55"/>
  <c r="M810" i="55"/>
  <c r="K810" i="55"/>
  <c r="D809" i="18"/>
  <c r="B811" i="55" s="1"/>
  <c r="B809" i="18"/>
  <c r="E809" i="18"/>
  <c r="C811" i="55" l="1"/>
  <c r="O809" i="18"/>
  <c r="A811" i="55"/>
  <c r="P811" i="55" s="1"/>
  <c r="M809" i="18"/>
  <c r="L809" i="18"/>
  <c r="A810" i="18"/>
  <c r="C809" i="18"/>
  <c r="K809" i="18" s="1"/>
  <c r="J811" i="55" l="1"/>
  <c r="K811" i="55" s="1"/>
  <c r="O811" i="55"/>
  <c r="F811" i="55"/>
  <c r="R811" i="55"/>
  <c r="T811" i="55"/>
  <c r="U811" i="55"/>
  <c r="S811" i="55"/>
  <c r="Q811" i="55"/>
  <c r="R809" i="18"/>
  <c r="D811" i="55"/>
  <c r="B810" i="18"/>
  <c r="E810" i="18"/>
  <c r="D810" i="18"/>
  <c r="B812" i="55" s="1"/>
  <c r="M811" i="55" l="1"/>
  <c r="L811" i="55"/>
  <c r="N811" i="55"/>
  <c r="C812" i="55"/>
  <c r="O810" i="18"/>
  <c r="A812" i="55"/>
  <c r="P812" i="55" s="1"/>
  <c r="M810" i="18"/>
  <c r="L810" i="18"/>
  <c r="A811" i="18"/>
  <c r="AA153" i="37"/>
  <c r="AF153" i="37" s="1"/>
  <c r="X153" i="37"/>
  <c r="AA159" i="37"/>
  <c r="AF159" i="37" s="1"/>
  <c r="AA201" i="37"/>
  <c r="AF201" i="37" s="1"/>
  <c r="L66" i="13"/>
  <c r="M66" i="13" s="1"/>
  <c r="U216" i="37" s="1"/>
  <c r="L65" i="13"/>
  <c r="M65" i="13" s="1"/>
  <c r="U168" i="37" s="1"/>
  <c r="C810" i="18"/>
  <c r="K810" i="18" s="1"/>
  <c r="X207" i="37"/>
  <c r="X159" i="37"/>
  <c r="F812" i="55" l="1"/>
  <c r="R812" i="55"/>
  <c r="T812" i="55"/>
  <c r="U812" i="55"/>
  <c r="S812" i="55"/>
  <c r="Q812" i="55"/>
  <c r="J812" i="55"/>
  <c r="L812" i="55" s="1"/>
  <c r="O812" i="55"/>
  <c r="R810" i="18"/>
  <c r="D812" i="55"/>
  <c r="U159" i="37"/>
  <c r="R168" i="37" s="1"/>
  <c r="U207" i="37"/>
  <c r="R216" i="37" s="1"/>
  <c r="AA207" i="37"/>
  <c r="AF207" i="37" s="1"/>
  <c r="U162" i="37"/>
  <c r="U153" i="37"/>
  <c r="R162" i="37" s="1"/>
  <c r="AA98" i="44"/>
  <c r="AF98" i="44" s="1"/>
  <c r="X98" i="44"/>
  <c r="U159" i="44"/>
  <c r="R168" i="44" s="1"/>
  <c r="X201" i="37"/>
  <c r="U210" i="37"/>
  <c r="L91" i="13"/>
  <c r="M91" i="13" s="1"/>
  <c r="U113" i="44" s="1"/>
  <c r="K65" i="13"/>
  <c r="U165" i="37" s="1"/>
  <c r="U156" i="37"/>
  <c r="R165" i="37" s="1"/>
  <c r="B811" i="18"/>
  <c r="D811" i="18"/>
  <c r="B813" i="55" s="1"/>
  <c r="E811" i="18"/>
  <c r="X104" i="44"/>
  <c r="X159" i="44"/>
  <c r="N812" i="55" l="1"/>
  <c r="M812" i="55"/>
  <c r="K812" i="55"/>
  <c r="A813" i="55"/>
  <c r="P813" i="55" s="1"/>
  <c r="M811" i="18"/>
  <c r="C813" i="55"/>
  <c r="O811" i="18"/>
  <c r="L811" i="18"/>
  <c r="A812" i="18"/>
  <c r="U104" i="44"/>
  <c r="R113" i="44" s="1"/>
  <c r="U107" i="44"/>
  <c r="U98" i="44"/>
  <c r="R107" i="44" s="1"/>
  <c r="AA153" i="44"/>
  <c r="AF153" i="44" s="1"/>
  <c r="X153" i="44"/>
  <c r="AA104" i="44"/>
  <c r="AF104" i="44" s="1"/>
  <c r="L92" i="13"/>
  <c r="M92" i="13" s="1"/>
  <c r="U168" i="44" s="1"/>
  <c r="AA159" i="44"/>
  <c r="AF159" i="44" s="1"/>
  <c r="K91" i="13"/>
  <c r="U110" i="44" s="1"/>
  <c r="U101" i="44"/>
  <c r="R110" i="44" s="1"/>
  <c r="U201" i="37"/>
  <c r="R210" i="37" s="1"/>
  <c r="K66" i="13"/>
  <c r="U213" i="37" s="1"/>
  <c r="U204" i="37"/>
  <c r="R213" i="37" s="1"/>
  <c r="N487" i="18"/>
  <c r="E489" i="55" s="1"/>
  <c r="G489" i="55" s="1"/>
  <c r="U162" i="44"/>
  <c r="C811" i="18"/>
  <c r="K811" i="18" s="1"/>
  <c r="J813" i="55" l="1"/>
  <c r="O813" i="55"/>
  <c r="F813" i="55"/>
  <c r="R811" i="18"/>
  <c r="D813" i="55"/>
  <c r="S489" i="55"/>
  <c r="R489" i="55" s="1"/>
  <c r="D111" i="59" s="1"/>
  <c r="H489" i="55"/>
  <c r="N813" i="55"/>
  <c r="M813" i="55"/>
  <c r="L813" i="55"/>
  <c r="K813" i="55"/>
  <c r="R331" i="44" a="1"/>
  <c r="R331" i="44" s="1"/>
  <c r="AB331" i="44" s="1"/>
  <c r="AF331" i="44" s="1"/>
  <c r="AJ331" i="44" s="1"/>
  <c r="N669" i="18"/>
  <c r="E671" i="55" s="1"/>
  <c r="N489" i="18"/>
  <c r="E491" i="55" s="1"/>
  <c r="N462" i="18"/>
  <c r="E464" i="55" s="1"/>
  <c r="G464" i="55" s="1"/>
  <c r="H464" i="55" s="1"/>
  <c r="I464" i="55" s="1"/>
  <c r="N668" i="18"/>
  <c r="E670" i="55" s="1"/>
  <c r="N632" i="18"/>
  <c r="E634" i="55" s="1"/>
  <c r="U153" i="44"/>
  <c r="R162" i="44" s="1"/>
  <c r="K92" i="13"/>
  <c r="U165" i="44" s="1"/>
  <c r="U156" i="44"/>
  <c r="R165" i="44" s="1"/>
  <c r="N461" i="18"/>
  <c r="E463" i="55" s="1"/>
  <c r="G463" i="55" s="1"/>
  <c r="E812" i="18"/>
  <c r="B812" i="18"/>
  <c r="D812" i="18"/>
  <c r="B814" i="55" s="1"/>
  <c r="A814" i="55" l="1"/>
  <c r="P814" i="55" s="1"/>
  <c r="L812" i="18"/>
  <c r="M812" i="18"/>
  <c r="C814" i="55"/>
  <c r="O812" i="18"/>
  <c r="I489" i="55"/>
  <c r="U489" i="55" s="1"/>
  <c r="T489" i="55"/>
  <c r="G491" i="55"/>
  <c r="Q491" i="55"/>
  <c r="H463" i="55"/>
  <c r="Q634" i="55"/>
  <c r="G634" i="55"/>
  <c r="Q671" i="55"/>
  <c r="G671" i="55"/>
  <c r="G670" i="55"/>
  <c r="Q670" i="55"/>
  <c r="R330" i="44" a="1"/>
  <c r="R330" i="44" s="1"/>
  <c r="AB330" i="44" s="1"/>
  <c r="AF330" i="44" s="1"/>
  <c r="AJ330" i="44" s="1"/>
  <c r="N631" i="18"/>
  <c r="E633" i="55" s="1"/>
  <c r="G633" i="55" s="1"/>
  <c r="N667" i="18"/>
  <c r="E669" i="55" s="1"/>
  <c r="G669" i="55" s="1"/>
  <c r="J814" i="55"/>
  <c r="A813" i="18"/>
  <c r="R329" i="44" a="1"/>
  <c r="R329" i="44" s="1"/>
  <c r="AB329" i="44" s="1"/>
  <c r="N642" i="18"/>
  <c r="E644" i="55" s="1"/>
  <c r="G644" i="55" s="1"/>
  <c r="H644" i="55" s="1"/>
  <c r="I644" i="55" s="1"/>
  <c r="N492" i="18"/>
  <c r="E494" i="55" s="1"/>
  <c r="G494" i="55" s="1"/>
  <c r="H494" i="55" s="1"/>
  <c r="I494" i="55" s="1"/>
  <c r="N473" i="18"/>
  <c r="E475" i="55" s="1"/>
  <c r="G475" i="55" s="1"/>
  <c r="H475" i="55" s="1"/>
  <c r="I475" i="55" s="1"/>
  <c r="N472" i="18"/>
  <c r="E474" i="55" s="1"/>
  <c r="C812" i="18"/>
  <c r="K812" i="18" s="1"/>
  <c r="F814" i="55" l="1"/>
  <c r="R812" i="18"/>
  <c r="D814" i="55"/>
  <c r="H634" i="55"/>
  <c r="H670" i="55"/>
  <c r="Q474" i="55"/>
  <c r="G474" i="55"/>
  <c r="S671" i="55"/>
  <c r="H671" i="55"/>
  <c r="T671" i="55" s="1"/>
  <c r="H669" i="55"/>
  <c r="S669" i="55"/>
  <c r="R669" i="55" s="1"/>
  <c r="D151" i="59" s="1"/>
  <c r="I463" i="55"/>
  <c r="H633" i="55"/>
  <c r="S633" i="55"/>
  <c r="R633" i="55" s="1"/>
  <c r="D143" i="59" s="1"/>
  <c r="H491" i="55"/>
  <c r="T491" i="55" s="1"/>
  <c r="S491" i="55"/>
  <c r="N814" i="55"/>
  <c r="L814" i="55"/>
  <c r="M814" i="55"/>
  <c r="K814" i="55"/>
  <c r="O814" i="55"/>
  <c r="R344" i="44" a="1"/>
  <c r="R344" i="44" s="1"/>
  <c r="AB344" i="44" s="1"/>
  <c r="AF344" i="44" s="1"/>
  <c r="AJ344" i="44" s="1"/>
  <c r="N681" i="18"/>
  <c r="E683" i="55" s="1"/>
  <c r="G683" i="55" s="1"/>
  <c r="H683" i="55" s="1"/>
  <c r="I683" i="55" s="1"/>
  <c r="R343" i="44" a="1"/>
  <c r="R343" i="44" s="1"/>
  <c r="AB343" i="44" s="1"/>
  <c r="AF343" i="44" s="1"/>
  <c r="AJ343" i="44" s="1"/>
  <c r="N680" i="18"/>
  <c r="E682" i="55" s="1"/>
  <c r="N490" i="18"/>
  <c r="E492" i="55" s="1"/>
  <c r="N491" i="18"/>
  <c r="E493" i="55" s="1"/>
  <c r="G493" i="55" s="1"/>
  <c r="H493" i="55" s="1"/>
  <c r="I493" i="55" s="1"/>
  <c r="R333" i="44" a="1"/>
  <c r="R333" i="44" s="1"/>
  <c r="AB333" i="44" s="1"/>
  <c r="AF333" i="44" s="1"/>
  <c r="AJ333" i="44" s="1"/>
  <c r="N671" i="18"/>
  <c r="E673" i="55" s="1"/>
  <c r="G673" i="55" s="1"/>
  <c r="H673" i="55" s="1"/>
  <c r="I673" i="55" s="1"/>
  <c r="N670" i="18"/>
  <c r="E672" i="55" s="1"/>
  <c r="N643" i="18"/>
  <c r="E645" i="55" s="1"/>
  <c r="G645" i="55" s="1"/>
  <c r="R332" i="44" a="1"/>
  <c r="R332" i="44" s="1"/>
  <c r="AB332" i="44" s="1"/>
  <c r="AF332" i="44" s="1"/>
  <c r="AJ332" i="44" s="1"/>
  <c r="N634" i="18"/>
  <c r="E636" i="55" s="1"/>
  <c r="AC23" i="44"/>
  <c r="N470" i="18"/>
  <c r="E472" i="55" s="1"/>
  <c r="N638" i="18"/>
  <c r="E640" i="55" s="1"/>
  <c r="G640" i="55" s="1"/>
  <c r="N466" i="18"/>
  <c r="E468" i="55" s="1"/>
  <c r="N471" i="18"/>
  <c r="E473" i="55" s="1"/>
  <c r="N637" i="18"/>
  <c r="E639" i="55" s="1"/>
  <c r="G639" i="55" s="1"/>
  <c r="N467" i="18"/>
  <c r="E469" i="55" s="1"/>
  <c r="G469" i="55" s="1"/>
  <c r="N468" i="18"/>
  <c r="E470" i="55" s="1"/>
  <c r="G470" i="55" s="1"/>
  <c r="H470" i="55" s="1"/>
  <c r="I470" i="55" s="1"/>
  <c r="N464" i="18"/>
  <c r="E466" i="55" s="1"/>
  <c r="AF329" i="44"/>
  <c r="N469" i="18"/>
  <c r="E471" i="55" s="1"/>
  <c r="G471" i="55" s="1"/>
  <c r="D813" i="18"/>
  <c r="B815" i="55" s="1"/>
  <c r="E813" i="18"/>
  <c r="B813" i="18"/>
  <c r="L813" i="18" s="1"/>
  <c r="C815" i="55" l="1"/>
  <c r="O813" i="18"/>
  <c r="A815" i="55"/>
  <c r="P815" i="55" s="1"/>
  <c r="M813" i="18"/>
  <c r="I669" i="55"/>
  <c r="U669" i="55" s="1"/>
  <c r="T669" i="55"/>
  <c r="I634" i="55"/>
  <c r="I633" i="55"/>
  <c r="U633" i="55" s="1"/>
  <c r="T633" i="55"/>
  <c r="G473" i="55"/>
  <c r="Q473" i="55"/>
  <c r="I491" i="55"/>
  <c r="U491" i="55" s="1"/>
  <c r="I671" i="55"/>
  <c r="U671" i="55" s="1"/>
  <c r="H474" i="55"/>
  <c r="T474" i="55" s="1"/>
  <c r="S474" i="55"/>
  <c r="G682" i="55"/>
  <c r="G472" i="55"/>
  <c r="Q472" i="55"/>
  <c r="Q636" i="55"/>
  <c r="G636" i="55"/>
  <c r="G466" i="55"/>
  <c r="H645" i="55"/>
  <c r="I645" i="55" s="1"/>
  <c r="I670" i="55"/>
  <c r="G468" i="55"/>
  <c r="Q471" i="55"/>
  <c r="R471" i="55" s="1"/>
  <c r="D107" i="59" s="1"/>
  <c r="Q492" i="55"/>
  <c r="G492" i="55"/>
  <c r="H640" i="55"/>
  <c r="I640" i="55" s="1"/>
  <c r="H471" i="55"/>
  <c r="Q672" i="55"/>
  <c r="G672" i="55"/>
  <c r="H469" i="55"/>
  <c r="I469" i="55" s="1"/>
  <c r="H639" i="55"/>
  <c r="I639" i="55" s="1"/>
  <c r="R342" i="44" a="1"/>
  <c r="R342" i="44" s="1"/>
  <c r="AB342" i="44" s="1"/>
  <c r="AF342" i="44" s="1"/>
  <c r="AJ342" i="44" s="1"/>
  <c r="N679" i="18"/>
  <c r="E681" i="55" s="1"/>
  <c r="G681" i="55" s="1"/>
  <c r="N673" i="18"/>
  <c r="E675" i="55" s="1"/>
  <c r="G675" i="55" s="1"/>
  <c r="H675" i="55" s="1"/>
  <c r="I675" i="55" s="1"/>
  <c r="N678" i="18"/>
  <c r="E680" i="55" s="1"/>
  <c r="G680" i="55" s="1"/>
  <c r="H680" i="55" s="1"/>
  <c r="I680" i="55" s="1"/>
  <c r="R341" i="44" a="1"/>
  <c r="R341" i="44" s="1"/>
  <c r="AB341" i="44" s="1"/>
  <c r="AF341" i="44" s="1"/>
  <c r="AJ341" i="44" s="1"/>
  <c r="R336" i="44" a="1"/>
  <c r="R336" i="44" s="1"/>
  <c r="AB336" i="44" s="1"/>
  <c r="AF336" i="44" s="1"/>
  <c r="AJ336" i="44" s="1"/>
  <c r="N674" i="18"/>
  <c r="E676" i="55" s="1"/>
  <c r="G676" i="55" s="1"/>
  <c r="H676" i="55" s="1"/>
  <c r="I676" i="55" s="1"/>
  <c r="R335" i="44" a="1"/>
  <c r="R335" i="44" s="1"/>
  <c r="AB335" i="44" s="1"/>
  <c r="AF335" i="44" s="1"/>
  <c r="AJ335" i="44" s="1"/>
  <c r="N677" i="18"/>
  <c r="E679" i="55" s="1"/>
  <c r="G679" i="55" s="1"/>
  <c r="H679" i="55" s="1"/>
  <c r="I679" i="55" s="1"/>
  <c r="N639" i="18"/>
  <c r="E641" i="55" s="1"/>
  <c r="G641" i="55" s="1"/>
  <c r="N675" i="18"/>
  <c r="E677" i="55" s="1"/>
  <c r="G677" i="55" s="1"/>
  <c r="R338" i="44" a="1"/>
  <c r="R338" i="44" s="1"/>
  <c r="AB338" i="44" s="1"/>
  <c r="AF338" i="44" s="1"/>
  <c r="AJ338" i="44" s="1"/>
  <c r="N676" i="18"/>
  <c r="E678" i="55" s="1"/>
  <c r="G678" i="55" s="1"/>
  <c r="H678" i="55" s="1"/>
  <c r="I678" i="55" s="1"/>
  <c r="N672" i="18"/>
  <c r="E674" i="55" s="1"/>
  <c r="G674" i="55" s="1"/>
  <c r="H674" i="55" s="1"/>
  <c r="I674" i="55" s="1"/>
  <c r="O815" i="55"/>
  <c r="A814" i="18"/>
  <c r="N640" i="18"/>
  <c r="E642" i="55" s="1"/>
  <c r="G642" i="55" s="1"/>
  <c r="H642" i="55" s="1"/>
  <c r="I642" i="55" s="1"/>
  <c r="R337" i="44" a="1"/>
  <c r="R337" i="44" s="1"/>
  <c r="AB337" i="44" s="1"/>
  <c r="AF337" i="44" s="1"/>
  <c r="AJ337" i="44" s="1"/>
  <c r="R340" i="44" a="1"/>
  <c r="R340" i="44" s="1"/>
  <c r="AB340" i="44" s="1"/>
  <c r="AF340" i="44" s="1"/>
  <c r="AJ340" i="44" s="1"/>
  <c r="N636" i="18"/>
  <c r="E638" i="55" s="1"/>
  <c r="G638" i="55" s="1"/>
  <c r="H638" i="55" s="1"/>
  <c r="I638" i="55" s="1"/>
  <c r="N641" i="18"/>
  <c r="E643" i="55" s="1"/>
  <c r="G643" i="55" s="1"/>
  <c r="H643" i="55" s="1"/>
  <c r="I643" i="55" s="1"/>
  <c r="R334" i="44" a="1"/>
  <c r="R334" i="44" s="1"/>
  <c r="AB334" i="44" s="1"/>
  <c r="AF334" i="44" s="1"/>
  <c r="AJ334" i="44" s="1"/>
  <c r="AJ329" i="44"/>
  <c r="C813" i="18"/>
  <c r="K813" i="18" s="1"/>
  <c r="F815" i="55" l="1"/>
  <c r="R815" i="55" s="1"/>
  <c r="D185" i="59" s="1"/>
  <c r="J815" i="55"/>
  <c r="M815" i="55" s="1"/>
  <c r="R813" i="18"/>
  <c r="D815" i="55"/>
  <c r="I471" i="55"/>
  <c r="S636" i="55"/>
  <c r="H636" i="55"/>
  <c r="H681" i="55"/>
  <c r="I681" i="55" s="1"/>
  <c r="H492" i="55"/>
  <c r="S492" i="55"/>
  <c r="H472" i="55"/>
  <c r="H468" i="55"/>
  <c r="T471" i="55" s="1"/>
  <c r="H682" i="55"/>
  <c r="I682" i="55" s="1"/>
  <c r="I474" i="55"/>
  <c r="U474" i="55" s="1"/>
  <c r="H641" i="55"/>
  <c r="I641" i="55" s="1"/>
  <c r="H677" i="55"/>
  <c r="I677" i="55" s="1"/>
  <c r="S672" i="55"/>
  <c r="H672" i="55"/>
  <c r="S471" i="55"/>
  <c r="H466" i="55"/>
  <c r="H473" i="55"/>
  <c r="T473" i="55" s="1"/>
  <c r="S473" i="55"/>
  <c r="N815" i="55"/>
  <c r="L815" i="55"/>
  <c r="AJ348" i="44"/>
  <c r="AC20" i="44" s="1"/>
  <c r="AC22" i="44" s="1"/>
  <c r="AC24" i="44" s="1"/>
  <c r="AB348" i="44"/>
  <c r="AC18" i="44" s="1"/>
  <c r="AF348" i="44"/>
  <c r="AC19" i="44" s="1"/>
  <c r="B814" i="18"/>
  <c r="D814" i="18"/>
  <c r="B816" i="55" s="1"/>
  <c r="E814" i="18"/>
  <c r="K815" i="55" l="1"/>
  <c r="A816" i="55"/>
  <c r="P816" i="55" s="1"/>
  <c r="M814" i="18"/>
  <c r="L814" i="18"/>
  <c r="C816" i="55"/>
  <c r="O814" i="18"/>
  <c r="I468" i="55"/>
  <c r="U471" i="55" s="1"/>
  <c r="I636" i="55"/>
  <c r="T636" i="55"/>
  <c r="I466" i="55"/>
  <c r="I492" i="55"/>
  <c r="U492" i="55" s="1"/>
  <c r="T492" i="55"/>
  <c r="I672" i="55"/>
  <c r="T672" i="55"/>
  <c r="I473" i="55"/>
  <c r="U473" i="55" s="1"/>
  <c r="I472" i="55"/>
  <c r="A815" i="18"/>
  <c r="N814" i="18"/>
  <c r="J816" i="55"/>
  <c r="C814" i="18"/>
  <c r="K814" i="18" s="1"/>
  <c r="O816" i="55" l="1"/>
  <c r="E816" i="55"/>
  <c r="Q816" i="55" s="1"/>
  <c r="F816" i="55"/>
  <c r="R816" i="55" s="1"/>
  <c r="D186" i="59" s="1"/>
  <c r="R814" i="18"/>
  <c r="D816" i="55"/>
  <c r="U672" i="55"/>
  <c r="U636" i="55"/>
  <c r="N816" i="55"/>
  <c r="L816" i="55"/>
  <c r="M816" i="55"/>
  <c r="K816" i="55"/>
  <c r="E815" i="18"/>
  <c r="B815" i="18"/>
  <c r="D815" i="18"/>
  <c r="B817" i="55" s="1"/>
  <c r="G816" i="55" l="1"/>
  <c r="H816" i="55" s="1"/>
  <c r="T816" i="55" s="1"/>
  <c r="C817" i="55"/>
  <c r="O815" i="18"/>
  <c r="A817" i="55"/>
  <c r="P817" i="55" s="1"/>
  <c r="M815" i="18"/>
  <c r="L815" i="18"/>
  <c r="A816" i="18"/>
  <c r="N815" i="18"/>
  <c r="C815" i="18"/>
  <c r="K815" i="18" s="1"/>
  <c r="J817" i="55" l="1"/>
  <c r="N817" i="55" s="1"/>
  <c r="O817" i="55"/>
  <c r="E817" i="55"/>
  <c r="S816" i="55"/>
  <c r="U817" i="55"/>
  <c r="R817" i="55"/>
  <c r="T817" i="55"/>
  <c r="S817" i="55"/>
  <c r="Q817" i="55"/>
  <c r="F817" i="55"/>
  <c r="R815" i="18"/>
  <c r="D817" i="55"/>
  <c r="I816" i="55"/>
  <c r="U816" i="55" s="1"/>
  <c r="B816" i="18"/>
  <c r="L816" i="18" s="1"/>
  <c r="D816" i="18"/>
  <c r="B818" i="55" s="1"/>
  <c r="E816" i="18"/>
  <c r="K817" i="55" l="1"/>
  <c r="M817" i="55"/>
  <c r="L817" i="55"/>
  <c r="G817" i="55"/>
  <c r="H817" i="55" s="1"/>
  <c r="I817" i="55" s="1"/>
  <c r="C818" i="55"/>
  <c r="O816" i="18"/>
  <c r="A818" i="55"/>
  <c r="P818" i="55" s="1"/>
  <c r="M816" i="18"/>
  <c r="A817" i="18"/>
  <c r="N816" i="18"/>
  <c r="E818" i="55" s="1"/>
  <c r="C816" i="18"/>
  <c r="K816" i="18" s="1"/>
  <c r="U818" i="55" l="1"/>
  <c r="R818" i="55"/>
  <c r="T818" i="55"/>
  <c r="S818" i="55"/>
  <c r="Q818" i="55"/>
  <c r="O818" i="55"/>
  <c r="J818" i="55"/>
  <c r="M818" i="55" s="1"/>
  <c r="F818" i="55"/>
  <c r="G818" i="55" s="1"/>
  <c r="H818" i="55" s="1"/>
  <c r="I818" i="55" s="1"/>
  <c r="R816" i="18"/>
  <c r="D818" i="55"/>
  <c r="E817" i="18"/>
  <c r="B817" i="18"/>
  <c r="D817" i="18"/>
  <c r="B819" i="55" s="1"/>
  <c r="N818" i="55" l="1"/>
  <c r="A819" i="55"/>
  <c r="P819" i="55" s="1"/>
  <c r="M817" i="18"/>
  <c r="L817" i="18"/>
  <c r="C819" i="55"/>
  <c r="O817" i="18"/>
  <c r="K818" i="55"/>
  <c r="L818" i="55"/>
  <c r="A818" i="18"/>
  <c r="N817" i="18"/>
  <c r="O819" i="55"/>
  <c r="C817" i="18"/>
  <c r="K817" i="18" s="1"/>
  <c r="E819" i="55" l="1"/>
  <c r="J819" i="55"/>
  <c r="F819" i="55"/>
  <c r="R819" i="55"/>
  <c r="T819" i="55"/>
  <c r="U819" i="55"/>
  <c r="S819" i="55"/>
  <c r="Q819" i="55"/>
  <c r="R817" i="18"/>
  <c r="D819" i="55"/>
  <c r="N819" i="55"/>
  <c r="M819" i="55"/>
  <c r="L819" i="55"/>
  <c r="K819" i="55"/>
  <c r="D818" i="18"/>
  <c r="B820" i="55" s="1"/>
  <c r="E818" i="18"/>
  <c r="B818" i="18"/>
  <c r="G819" i="55" l="1"/>
  <c r="H819" i="55" s="1"/>
  <c r="I819" i="55" s="1"/>
  <c r="A820" i="55"/>
  <c r="P820" i="55" s="1"/>
  <c r="M818" i="18"/>
  <c r="C820" i="55"/>
  <c r="O818" i="18"/>
  <c r="L818" i="18"/>
  <c r="A819" i="18"/>
  <c r="O820" i="55"/>
  <c r="N818" i="18"/>
  <c r="C818" i="18"/>
  <c r="K818" i="18" s="1"/>
  <c r="F820" i="55" l="1"/>
  <c r="E820" i="55"/>
  <c r="T820" i="55"/>
  <c r="U820" i="55"/>
  <c r="R820" i="55"/>
  <c r="S820" i="55"/>
  <c r="Q820" i="55"/>
  <c r="R818" i="18"/>
  <c r="D820" i="55"/>
  <c r="J820" i="55"/>
  <c r="B819" i="18"/>
  <c r="D819" i="18"/>
  <c r="B821" i="55" s="1"/>
  <c r="E819" i="18"/>
  <c r="G820" i="55" l="1"/>
  <c r="H820" i="55" s="1"/>
  <c r="I820" i="55" s="1"/>
  <c r="C821" i="55"/>
  <c r="O819" i="18"/>
  <c r="A821" i="55"/>
  <c r="P821" i="55" s="1"/>
  <c r="M819" i="18"/>
  <c r="L819" i="18"/>
  <c r="N820" i="55"/>
  <c r="M820" i="55"/>
  <c r="L820" i="55"/>
  <c r="K820" i="55"/>
  <c r="A820" i="18"/>
  <c r="N819" i="18"/>
  <c r="C819" i="18"/>
  <c r="K819" i="18" s="1"/>
  <c r="E821" i="55" l="1"/>
  <c r="O821" i="55"/>
  <c r="T821" i="55"/>
  <c r="U821" i="55"/>
  <c r="R821" i="55"/>
  <c r="S821" i="55"/>
  <c r="Q821" i="55"/>
  <c r="F821" i="55"/>
  <c r="J821" i="55"/>
  <c r="M821" i="55" s="1"/>
  <c r="R819" i="18"/>
  <c r="D821" i="55"/>
  <c r="D820" i="18"/>
  <c r="B822" i="55" s="1"/>
  <c r="E820" i="18"/>
  <c r="B820" i="18"/>
  <c r="L820" i="18" s="1"/>
  <c r="G821" i="55" l="1"/>
  <c r="H821" i="55" s="1"/>
  <c r="I821" i="55" s="1"/>
  <c r="N821" i="55"/>
  <c r="C822" i="55"/>
  <c r="O820" i="18"/>
  <c r="A822" i="55"/>
  <c r="P822" i="55" s="1"/>
  <c r="M820" i="18"/>
  <c r="K821" i="55"/>
  <c r="L821" i="55"/>
  <c r="A821" i="18"/>
  <c r="N820" i="18"/>
  <c r="E822" i="55" s="1"/>
  <c r="C820" i="18"/>
  <c r="K820" i="18" s="1"/>
  <c r="J822" i="55" l="1"/>
  <c r="K822" i="55" s="1"/>
  <c r="O822" i="55"/>
  <c r="R822" i="55"/>
  <c r="T822" i="55"/>
  <c r="U822" i="55"/>
  <c r="S822" i="55"/>
  <c r="Q822" i="55"/>
  <c r="F822" i="55"/>
  <c r="G822" i="55" s="1"/>
  <c r="H822" i="55" s="1"/>
  <c r="I822" i="55" s="1"/>
  <c r="R820" i="18"/>
  <c r="D822" i="55"/>
  <c r="N822" i="55"/>
  <c r="M822" i="55"/>
  <c r="L822" i="55"/>
  <c r="D821" i="18"/>
  <c r="B823" i="55" s="1"/>
  <c r="E821" i="18"/>
  <c r="B821" i="18"/>
  <c r="A823" i="55" l="1"/>
  <c r="P823" i="55" s="1"/>
  <c r="M821" i="18"/>
  <c r="L821" i="18"/>
  <c r="C823" i="55"/>
  <c r="O821" i="18"/>
  <c r="A822" i="18"/>
  <c r="J823" i="55"/>
  <c r="O823" i="55"/>
  <c r="N821" i="18"/>
  <c r="C821" i="18"/>
  <c r="K821" i="18" s="1"/>
  <c r="E823" i="55" l="1"/>
  <c r="F823" i="55"/>
  <c r="R823" i="55"/>
  <c r="T823" i="55"/>
  <c r="U823" i="55"/>
  <c r="S823" i="55"/>
  <c r="Q823" i="55"/>
  <c r="R821" i="18"/>
  <c r="D823" i="55"/>
  <c r="N823" i="55"/>
  <c r="M823" i="55"/>
  <c r="L823" i="55"/>
  <c r="K823" i="55"/>
  <c r="B822" i="18"/>
  <c r="E822" i="18"/>
  <c r="D822" i="18"/>
  <c r="B824" i="55" s="1"/>
  <c r="G823" i="55" l="1"/>
  <c r="H823" i="55" s="1"/>
  <c r="I823" i="55" s="1"/>
  <c r="C824" i="55"/>
  <c r="O822" i="18"/>
  <c r="A824" i="55"/>
  <c r="P824" i="55" s="1"/>
  <c r="M822" i="18"/>
  <c r="L822" i="18"/>
  <c r="A823" i="18"/>
  <c r="N822" i="18"/>
  <c r="C822" i="18"/>
  <c r="K822" i="18" s="1"/>
  <c r="O824" i="55" l="1"/>
  <c r="J824" i="55"/>
  <c r="M824" i="55" s="1"/>
  <c r="E824" i="55"/>
  <c r="U824" i="55"/>
  <c r="R824" i="55"/>
  <c r="S824" i="55"/>
  <c r="T824" i="55"/>
  <c r="Q824" i="55"/>
  <c r="F824" i="55"/>
  <c r="R822" i="18"/>
  <c r="D824" i="55"/>
  <c r="N824" i="55"/>
  <c r="D823" i="18"/>
  <c r="B825" i="55" s="1"/>
  <c r="E823" i="18"/>
  <c r="B823" i="18"/>
  <c r="L823" i="18" s="1"/>
  <c r="K824" i="55" l="1"/>
  <c r="L824" i="55"/>
  <c r="G824" i="55"/>
  <c r="H824" i="55" s="1"/>
  <c r="I824" i="55" s="1"/>
  <c r="A825" i="55"/>
  <c r="P825" i="55" s="1"/>
  <c r="M823" i="18"/>
  <c r="C825" i="55"/>
  <c r="O823" i="18"/>
  <c r="A824" i="18"/>
  <c r="N823" i="18"/>
  <c r="E825" i="55" s="1"/>
  <c r="J825" i="55"/>
  <c r="O825" i="55"/>
  <c r="C823" i="18"/>
  <c r="K823" i="18" s="1"/>
  <c r="F825" i="55" l="1"/>
  <c r="G825" i="55" s="1"/>
  <c r="H825" i="55" s="1"/>
  <c r="I825" i="55" s="1"/>
  <c r="R825" i="55"/>
  <c r="S825" i="55"/>
  <c r="T825" i="55"/>
  <c r="U825" i="55"/>
  <c r="Q825" i="55"/>
  <c r="R823" i="18"/>
  <c r="D825" i="55"/>
  <c r="N825" i="55"/>
  <c r="M825" i="55"/>
  <c r="L825" i="55"/>
  <c r="K825" i="55"/>
  <c r="B824" i="18"/>
  <c r="E824" i="18"/>
  <c r="D824" i="18"/>
  <c r="B826" i="55" s="1"/>
  <c r="C826" i="55" l="1"/>
  <c r="O824" i="18"/>
  <c r="A826" i="55"/>
  <c r="P826" i="55" s="1"/>
  <c r="M824" i="18"/>
  <c r="L824" i="18"/>
  <c r="A825" i="18"/>
  <c r="N824" i="18"/>
  <c r="C824" i="18"/>
  <c r="K824" i="18" s="1"/>
  <c r="O826" i="55" l="1"/>
  <c r="J826" i="55"/>
  <c r="L826" i="55" s="1"/>
  <c r="E826" i="55"/>
  <c r="T826" i="55"/>
  <c r="R826" i="55"/>
  <c r="U826" i="55"/>
  <c r="S826" i="55"/>
  <c r="Q826" i="55"/>
  <c r="F826" i="55"/>
  <c r="R824" i="18"/>
  <c r="D826" i="55"/>
  <c r="N826" i="55"/>
  <c r="E825" i="18"/>
  <c r="D825" i="18"/>
  <c r="B827" i="55" s="1"/>
  <c r="B825" i="18"/>
  <c r="L825" i="18" s="1"/>
  <c r="G826" i="55" l="1"/>
  <c r="H826" i="55" s="1"/>
  <c r="I826" i="55" s="1"/>
  <c r="K826" i="55"/>
  <c r="M826" i="55"/>
  <c r="A827" i="55"/>
  <c r="P827" i="55" s="1"/>
  <c r="M825" i="18"/>
  <c r="C827" i="55"/>
  <c r="O825" i="18"/>
  <c r="A826" i="18"/>
  <c r="J827" i="55"/>
  <c r="N825" i="18"/>
  <c r="E827" i="55" s="1"/>
  <c r="C825" i="18"/>
  <c r="K825" i="18" s="1"/>
  <c r="O827" i="55" l="1"/>
  <c r="F827" i="55"/>
  <c r="G827" i="55" s="1"/>
  <c r="H827" i="55" s="1"/>
  <c r="I827" i="55" s="1"/>
  <c r="R827" i="55"/>
  <c r="T827" i="55"/>
  <c r="U827" i="55"/>
  <c r="S827" i="55"/>
  <c r="Q827" i="55"/>
  <c r="R825" i="18"/>
  <c r="D827" i="55"/>
  <c r="N827" i="55"/>
  <c r="M827" i="55"/>
  <c r="L827" i="55"/>
  <c r="K827" i="55"/>
  <c r="D826" i="18"/>
  <c r="B828" i="55" s="1"/>
  <c r="E826" i="18"/>
  <c r="B826" i="18"/>
  <c r="A828" i="55" l="1"/>
  <c r="P828" i="55" s="1"/>
  <c r="M826" i="18"/>
  <c r="L826" i="18"/>
  <c r="C828" i="55"/>
  <c r="O826" i="18"/>
  <c r="A827" i="18"/>
  <c r="O828" i="55"/>
  <c r="J828" i="55"/>
  <c r="N826" i="18"/>
  <c r="C826" i="18"/>
  <c r="K826" i="18" s="1"/>
  <c r="E828" i="55" l="1"/>
  <c r="F828" i="55"/>
  <c r="R828" i="55"/>
  <c r="U828" i="55"/>
  <c r="S828" i="55"/>
  <c r="T828" i="55"/>
  <c r="Q828" i="55"/>
  <c r="R826" i="18"/>
  <c r="D828" i="55"/>
  <c r="N828" i="55"/>
  <c r="M828" i="55"/>
  <c r="L828" i="55"/>
  <c r="K828" i="55"/>
  <c r="D827" i="18"/>
  <c r="B829" i="55" s="1"/>
  <c r="E827" i="18"/>
  <c r="B827" i="18"/>
  <c r="G828" i="55" l="1"/>
  <c r="H828" i="55" s="1"/>
  <c r="I828" i="55" s="1"/>
  <c r="A829" i="55"/>
  <c r="P829" i="55" s="1"/>
  <c r="M827" i="18"/>
  <c r="C829" i="55"/>
  <c r="O827" i="18"/>
  <c r="L827" i="18"/>
  <c r="A828" i="18"/>
  <c r="J829" i="55"/>
  <c r="O829" i="55"/>
  <c r="N827" i="18"/>
  <c r="C827" i="18"/>
  <c r="K827" i="18" s="1"/>
  <c r="F829" i="55" l="1"/>
  <c r="E829" i="55"/>
  <c r="T829" i="55"/>
  <c r="U829" i="55"/>
  <c r="R829" i="55"/>
  <c r="S829" i="55"/>
  <c r="Q829" i="55"/>
  <c r="R827" i="18"/>
  <c r="D829" i="55"/>
  <c r="N829" i="55"/>
  <c r="L829" i="55"/>
  <c r="M829" i="55"/>
  <c r="K829" i="55"/>
  <c r="B828" i="18"/>
  <c r="D828" i="18"/>
  <c r="B830" i="55" s="1"/>
  <c r="E828" i="18"/>
  <c r="G829" i="55" l="1"/>
  <c r="H829" i="55" s="1"/>
  <c r="I829" i="55" s="1"/>
  <c r="C830" i="55"/>
  <c r="O828" i="18"/>
  <c r="A830" i="55"/>
  <c r="P830" i="55" s="1"/>
  <c r="M828" i="18"/>
  <c r="L828" i="18"/>
  <c r="A829" i="18"/>
  <c r="N828" i="18"/>
  <c r="C828" i="18"/>
  <c r="K828" i="18" s="1"/>
  <c r="J830" i="55" l="1"/>
  <c r="L830" i="55" s="1"/>
  <c r="O830" i="55"/>
  <c r="E830" i="55"/>
  <c r="U830" i="55"/>
  <c r="T830" i="55"/>
  <c r="R830" i="55"/>
  <c r="S830" i="55"/>
  <c r="Q830" i="55"/>
  <c r="F830" i="55"/>
  <c r="R828" i="18"/>
  <c r="D830" i="55"/>
  <c r="N830" i="55"/>
  <c r="M830" i="55"/>
  <c r="D829" i="18"/>
  <c r="B831" i="55" s="1"/>
  <c r="E829" i="18"/>
  <c r="B829" i="18"/>
  <c r="K830" i="55" l="1"/>
  <c r="A831" i="55"/>
  <c r="P831" i="55" s="1"/>
  <c r="Q831" i="55" s="1"/>
  <c r="R831" i="55" s="1"/>
  <c r="D187" i="59" s="1"/>
  <c r="M829" i="18"/>
  <c r="C831" i="55"/>
  <c r="O829" i="18"/>
  <c r="G830" i="55"/>
  <c r="H830" i="55" s="1"/>
  <c r="I830" i="55" s="1"/>
  <c r="L829" i="18"/>
  <c r="A830" i="18"/>
  <c r="J831" i="55"/>
  <c r="O831" i="55"/>
  <c r="N829" i="18"/>
  <c r="C829" i="18"/>
  <c r="K829" i="18" s="1"/>
  <c r="E831" i="55" l="1"/>
  <c r="F831" i="55"/>
  <c r="R829" i="18"/>
  <c r="D831" i="55"/>
  <c r="N831" i="55"/>
  <c r="M831" i="55"/>
  <c r="L831" i="55"/>
  <c r="K831" i="55"/>
  <c r="D830" i="18"/>
  <c r="B832" i="55" s="1"/>
  <c r="B830" i="18"/>
  <c r="E830" i="18"/>
  <c r="G831" i="55" l="1"/>
  <c r="H831" i="55" s="1"/>
  <c r="T831" i="55" s="1"/>
  <c r="C832" i="55"/>
  <c r="O830" i="18"/>
  <c r="L830" i="18"/>
  <c r="M830" i="18"/>
  <c r="A832" i="55"/>
  <c r="P832" i="55" s="1"/>
  <c r="A831" i="18"/>
  <c r="N830" i="18"/>
  <c r="C830" i="18"/>
  <c r="K830" i="18" s="1"/>
  <c r="E832" i="55" l="1"/>
  <c r="Q832" i="55" s="1"/>
  <c r="O832" i="55"/>
  <c r="J832" i="55"/>
  <c r="I831" i="55"/>
  <c r="U831" i="55" s="1"/>
  <c r="S831" i="55"/>
  <c r="F832" i="55"/>
  <c r="R830" i="18"/>
  <c r="D832" i="55"/>
  <c r="D831" i="18"/>
  <c r="B833" i="55" s="1"/>
  <c r="E831" i="18"/>
  <c r="B831" i="18"/>
  <c r="G832" i="55" l="1"/>
  <c r="H832" i="55" s="1"/>
  <c r="A833" i="55"/>
  <c r="P833" i="55" s="1"/>
  <c r="M831" i="18"/>
  <c r="C833" i="55"/>
  <c r="O831" i="18"/>
  <c r="L831" i="18"/>
  <c r="A832" i="18"/>
  <c r="O833" i="55"/>
  <c r="N831" i="18"/>
  <c r="C831" i="18"/>
  <c r="K831" i="18" s="1"/>
  <c r="J833" i="55" l="1"/>
  <c r="E833" i="55"/>
  <c r="Q833" i="55" s="1"/>
  <c r="F833" i="55"/>
  <c r="R833" i="55" s="1"/>
  <c r="D189" i="59" s="1"/>
  <c r="R831" i="18"/>
  <c r="D833" i="55"/>
  <c r="I832" i="55"/>
  <c r="N833" i="55"/>
  <c r="M833" i="55"/>
  <c r="L833" i="55"/>
  <c r="K833" i="55"/>
  <c r="B832" i="18"/>
  <c r="D832" i="18"/>
  <c r="B834" i="55" s="1"/>
  <c r="E832" i="18"/>
  <c r="G833" i="55" l="1"/>
  <c r="H833" i="55" s="1"/>
  <c r="A834" i="55"/>
  <c r="P834" i="55" s="1"/>
  <c r="M832" i="18"/>
  <c r="C834" i="55"/>
  <c r="O832" i="18"/>
  <c r="L832" i="18"/>
  <c r="A833" i="18"/>
  <c r="N832" i="18"/>
  <c r="C832" i="18"/>
  <c r="K832" i="18" s="1"/>
  <c r="O834" i="55" l="1"/>
  <c r="E834" i="55"/>
  <c r="Q834" i="55" s="1"/>
  <c r="J834" i="55"/>
  <c r="K834" i="55" s="1"/>
  <c r="S833" i="55"/>
  <c r="F834" i="55"/>
  <c r="R834" i="55" s="1"/>
  <c r="D190" i="59" s="1"/>
  <c r="R832" i="18"/>
  <c r="D834" i="55"/>
  <c r="I833" i="55"/>
  <c r="T833" i="55"/>
  <c r="N834" i="55"/>
  <c r="M834" i="55"/>
  <c r="L834" i="55"/>
  <c r="B833" i="18"/>
  <c r="D833" i="18"/>
  <c r="B835" i="55" s="1"/>
  <c r="E833" i="18"/>
  <c r="G834" i="55" l="1"/>
  <c r="H834" i="55" s="1"/>
  <c r="C835" i="55"/>
  <c r="O833" i="18"/>
  <c r="A835" i="55"/>
  <c r="P835" i="55" s="1"/>
  <c r="M833" i="18"/>
  <c r="L833" i="18"/>
  <c r="U833" i="55"/>
  <c r="A834" i="18"/>
  <c r="N833" i="18"/>
  <c r="C833" i="18"/>
  <c r="K833" i="18" s="1"/>
  <c r="E835" i="55" l="1"/>
  <c r="O835" i="55"/>
  <c r="J835" i="55"/>
  <c r="N835" i="55" s="1"/>
  <c r="S834" i="55"/>
  <c r="F835" i="55"/>
  <c r="T835" i="55"/>
  <c r="R835" i="55"/>
  <c r="S835" i="55"/>
  <c r="U835" i="55"/>
  <c r="Q835" i="55"/>
  <c r="R833" i="18"/>
  <c r="D835" i="55"/>
  <c r="I834" i="55"/>
  <c r="T834" i="55"/>
  <c r="B834" i="18"/>
  <c r="L834" i="18" s="1"/>
  <c r="D834" i="18"/>
  <c r="B836" i="55" s="1"/>
  <c r="E834" i="18"/>
  <c r="K835" i="55" l="1"/>
  <c r="M835" i="55"/>
  <c r="L835" i="55"/>
  <c r="G835" i="55"/>
  <c r="H835" i="55" s="1"/>
  <c r="I835" i="55" s="1"/>
  <c r="C836" i="55"/>
  <c r="O834" i="18"/>
  <c r="A836" i="55"/>
  <c r="P836" i="55" s="1"/>
  <c r="M834" i="18"/>
  <c r="U834" i="55"/>
  <c r="A835" i="18"/>
  <c r="N834" i="18"/>
  <c r="E836" i="55" s="1"/>
  <c r="C834" i="18"/>
  <c r="K834" i="18" s="1"/>
  <c r="J836" i="55" l="1"/>
  <c r="F836" i="55"/>
  <c r="G836" i="55" s="1"/>
  <c r="H836" i="55" s="1"/>
  <c r="I836" i="55" s="1"/>
  <c r="O836" i="55"/>
  <c r="T836" i="55"/>
  <c r="U836" i="55"/>
  <c r="R836" i="55"/>
  <c r="S836" i="55"/>
  <c r="Q836" i="55"/>
  <c r="R834" i="18"/>
  <c r="D836" i="55"/>
  <c r="N836" i="55"/>
  <c r="M836" i="55"/>
  <c r="L836" i="55"/>
  <c r="K836" i="55"/>
  <c r="B835" i="18"/>
  <c r="D835" i="18"/>
  <c r="B837" i="55" s="1"/>
  <c r="E835" i="18"/>
  <c r="C837" i="55" l="1"/>
  <c r="O835" i="18"/>
  <c r="A837" i="55"/>
  <c r="P837" i="55" s="1"/>
  <c r="M835" i="18"/>
  <c r="L835" i="18"/>
  <c r="A836" i="18"/>
  <c r="C835" i="18"/>
  <c r="K835" i="18" s="1"/>
  <c r="F837" i="55" l="1"/>
  <c r="O837" i="55"/>
  <c r="J837" i="55"/>
  <c r="K837" i="55" s="1"/>
  <c r="T837" i="55"/>
  <c r="U837" i="55"/>
  <c r="R837" i="55"/>
  <c r="S837" i="55"/>
  <c r="Q837" i="55"/>
  <c r="R835" i="18"/>
  <c r="D837" i="55"/>
  <c r="M837" i="55"/>
  <c r="B836" i="18"/>
  <c r="D836" i="18"/>
  <c r="B838" i="55" s="1"/>
  <c r="E836" i="18"/>
  <c r="N837" i="55" l="1"/>
  <c r="L837" i="55"/>
  <c r="O836" i="18"/>
  <c r="C838" i="55"/>
  <c r="A838" i="55"/>
  <c r="P838" i="55" s="1"/>
  <c r="M836" i="18"/>
  <c r="L836" i="18"/>
  <c r="A837" i="18"/>
  <c r="N836" i="18"/>
  <c r="C836" i="18"/>
  <c r="K836" i="18" s="1"/>
  <c r="J838" i="55" l="1"/>
  <c r="M838" i="55" s="1"/>
  <c r="O838" i="55"/>
  <c r="F838" i="55"/>
  <c r="E838" i="55"/>
  <c r="R838" i="55"/>
  <c r="T838" i="55"/>
  <c r="U838" i="55"/>
  <c r="S838" i="55"/>
  <c r="Q838" i="55"/>
  <c r="R836" i="18"/>
  <c r="D838" i="55"/>
  <c r="N838" i="55"/>
  <c r="L838" i="55"/>
  <c r="E837" i="18"/>
  <c r="D837" i="18"/>
  <c r="B839" i="55" s="1"/>
  <c r="B837" i="18"/>
  <c r="K838" i="55" l="1"/>
  <c r="G838" i="55"/>
  <c r="H838" i="55" s="1"/>
  <c r="I838" i="55" s="1"/>
  <c r="A839" i="55"/>
  <c r="P839" i="55" s="1"/>
  <c r="M837" i="18"/>
  <c r="C839" i="55"/>
  <c r="O837" i="18"/>
  <c r="L837" i="18"/>
  <c r="A838" i="18"/>
  <c r="J839" i="55"/>
  <c r="N837" i="18"/>
  <c r="C837" i="18"/>
  <c r="K837" i="18" s="1"/>
  <c r="O839" i="55" l="1"/>
  <c r="E839" i="55"/>
  <c r="F839" i="55"/>
  <c r="T839" i="55"/>
  <c r="U839" i="55"/>
  <c r="R839" i="55"/>
  <c r="S839" i="55"/>
  <c r="Q839" i="55"/>
  <c r="R837" i="18"/>
  <c r="D839" i="55"/>
  <c r="N839" i="55"/>
  <c r="M839" i="55"/>
  <c r="L839" i="55"/>
  <c r="K839" i="55"/>
  <c r="D838" i="18"/>
  <c r="B840" i="55" s="1"/>
  <c r="B838" i="18"/>
  <c r="E838" i="18"/>
  <c r="C840" i="55" l="1"/>
  <c r="O838" i="18"/>
  <c r="A840" i="55"/>
  <c r="P840" i="55" s="1"/>
  <c r="M838" i="18"/>
  <c r="G839" i="55"/>
  <c r="H839" i="55" s="1"/>
  <c r="I839" i="55" s="1"/>
  <c r="L838" i="18"/>
  <c r="A839" i="18"/>
  <c r="C838" i="18"/>
  <c r="K838" i="18" s="1"/>
  <c r="O840" i="55" l="1"/>
  <c r="J840" i="55"/>
  <c r="M840" i="55" s="1"/>
  <c r="F840" i="55"/>
  <c r="U840" i="55"/>
  <c r="R840" i="55"/>
  <c r="T840" i="55"/>
  <c r="S840" i="55"/>
  <c r="Q840" i="55"/>
  <c r="R838" i="18"/>
  <c r="D840" i="55"/>
  <c r="N840" i="55"/>
  <c r="L840" i="55"/>
  <c r="E839" i="18"/>
  <c r="B839" i="18"/>
  <c r="D839" i="18"/>
  <c r="B841" i="55" s="1"/>
  <c r="K840" i="55" l="1"/>
  <c r="A841" i="55"/>
  <c r="P841" i="55" s="1"/>
  <c r="M839" i="18"/>
  <c r="C841" i="55"/>
  <c r="O839" i="18"/>
  <c r="L839" i="18"/>
  <c r="A840" i="18"/>
  <c r="O841" i="55"/>
  <c r="J841" i="55"/>
  <c r="N839" i="18"/>
  <c r="C839" i="18"/>
  <c r="K839" i="18" s="1"/>
  <c r="E841" i="55" l="1"/>
  <c r="F841" i="55"/>
  <c r="R841" i="55"/>
  <c r="T841" i="55"/>
  <c r="U841" i="55"/>
  <c r="S841" i="55"/>
  <c r="Q841" i="55"/>
  <c r="R839" i="18"/>
  <c r="D841" i="55"/>
  <c r="N841" i="55"/>
  <c r="L841" i="55"/>
  <c r="M841" i="55"/>
  <c r="K841" i="55"/>
  <c r="B840" i="18"/>
  <c r="E840" i="18"/>
  <c r="D840" i="18"/>
  <c r="B842" i="55" s="1"/>
  <c r="G841" i="55" l="1"/>
  <c r="H841" i="55" s="1"/>
  <c r="I841" i="55" s="1"/>
  <c r="C842" i="55"/>
  <c r="O840" i="18"/>
  <c r="A842" i="55"/>
  <c r="P842" i="55" s="1"/>
  <c r="M840" i="18"/>
  <c r="L840" i="18"/>
  <c r="A841" i="18"/>
  <c r="C840" i="18"/>
  <c r="K840" i="18" s="1"/>
  <c r="J842" i="55" l="1"/>
  <c r="O842" i="55"/>
  <c r="F842" i="55"/>
  <c r="T842" i="55"/>
  <c r="R842" i="55"/>
  <c r="U842" i="55"/>
  <c r="S842" i="55"/>
  <c r="Q842" i="55"/>
  <c r="R840" i="18"/>
  <c r="D842" i="55"/>
  <c r="N842" i="55"/>
  <c r="M842" i="55"/>
  <c r="L842" i="55"/>
  <c r="K842" i="55"/>
  <c r="B841" i="18"/>
  <c r="D841" i="18"/>
  <c r="B843" i="55" s="1"/>
  <c r="E841" i="18"/>
  <c r="C843" i="55" l="1"/>
  <c r="O841" i="18"/>
  <c r="A843" i="55"/>
  <c r="P843" i="55" s="1"/>
  <c r="M841" i="18"/>
  <c r="L841" i="18"/>
  <c r="A842" i="18"/>
  <c r="C841" i="18"/>
  <c r="K841" i="18" s="1"/>
  <c r="F843" i="55" l="1"/>
  <c r="O843" i="55"/>
  <c r="J843" i="55"/>
  <c r="K843" i="55" s="1"/>
  <c r="R843" i="55"/>
  <c r="T843" i="55"/>
  <c r="U843" i="55"/>
  <c r="S843" i="55"/>
  <c r="Q843" i="55"/>
  <c r="R841" i="18"/>
  <c r="D843" i="55"/>
  <c r="D842" i="18"/>
  <c r="B844" i="55" s="1"/>
  <c r="E842" i="18"/>
  <c r="B842" i="18"/>
  <c r="M843" i="55" l="1"/>
  <c r="N843" i="55"/>
  <c r="L843" i="55"/>
  <c r="A844" i="55"/>
  <c r="P844" i="55" s="1"/>
  <c r="M842" i="18"/>
  <c r="C844" i="55"/>
  <c r="O842" i="18"/>
  <c r="L842" i="18"/>
  <c r="A843" i="18"/>
  <c r="C842" i="18"/>
  <c r="K842" i="18" s="1"/>
  <c r="O844" i="55" l="1"/>
  <c r="J844" i="55"/>
  <c r="L844" i="55" s="1"/>
  <c r="F844" i="55"/>
  <c r="R844" i="55"/>
  <c r="U844" i="55"/>
  <c r="T844" i="55"/>
  <c r="S844" i="55"/>
  <c r="Q844" i="55"/>
  <c r="R842" i="18"/>
  <c r="D844" i="55"/>
  <c r="N844" i="55"/>
  <c r="M844" i="55"/>
  <c r="D843" i="18"/>
  <c r="B845" i="55" s="1"/>
  <c r="E843" i="18"/>
  <c r="B843" i="18"/>
  <c r="K844" i="55" l="1"/>
  <c r="A845" i="55"/>
  <c r="P845" i="55" s="1"/>
  <c r="M843" i="18"/>
  <c r="C845" i="55"/>
  <c r="O843" i="18"/>
  <c r="L843" i="18"/>
  <c r="A844" i="18"/>
  <c r="J845" i="55"/>
  <c r="O845" i="55"/>
  <c r="C843" i="18"/>
  <c r="K843" i="18" s="1"/>
  <c r="F845" i="55" l="1"/>
  <c r="R845" i="55"/>
  <c r="U845" i="55"/>
  <c r="S845" i="55"/>
  <c r="T845" i="55"/>
  <c r="Q845" i="55"/>
  <c r="R843" i="18"/>
  <c r="D845" i="55"/>
  <c r="N845" i="55"/>
  <c r="M845" i="55"/>
  <c r="L845" i="55"/>
  <c r="K845" i="55"/>
  <c r="D844" i="18"/>
  <c r="B846" i="55" s="1"/>
  <c r="B844" i="18"/>
  <c r="E844" i="18"/>
  <c r="C846" i="55" l="1"/>
  <c r="O844" i="18"/>
  <c r="A846" i="55"/>
  <c r="P846" i="55" s="1"/>
  <c r="M844" i="18"/>
  <c r="L844" i="18"/>
  <c r="A845" i="18"/>
  <c r="C844" i="18"/>
  <c r="K844" i="18" s="1"/>
  <c r="J846" i="55" l="1"/>
  <c r="O846" i="55"/>
  <c r="F846" i="55"/>
  <c r="U846" i="55"/>
  <c r="R846" i="55"/>
  <c r="S846" i="55"/>
  <c r="T846" i="55"/>
  <c r="Q846" i="55"/>
  <c r="R844" i="18"/>
  <c r="D846" i="55"/>
  <c r="N846" i="55"/>
  <c r="M846" i="55"/>
  <c r="L846" i="55"/>
  <c r="K846" i="55"/>
  <c r="B845" i="18"/>
  <c r="D845" i="18"/>
  <c r="B847" i="55" s="1"/>
  <c r="E845" i="18"/>
  <c r="C847" i="55" l="1"/>
  <c r="O845" i="18"/>
  <c r="A847" i="55"/>
  <c r="P847" i="55" s="1"/>
  <c r="M845" i="18"/>
  <c r="L845" i="18"/>
  <c r="A846" i="18"/>
  <c r="C845" i="18"/>
  <c r="K845" i="18" s="1"/>
  <c r="O847" i="55" l="1"/>
  <c r="J847" i="55"/>
  <c r="L847" i="55" s="1"/>
  <c r="F847" i="55"/>
  <c r="R847" i="55"/>
  <c r="S847" i="55"/>
  <c r="U847" i="55"/>
  <c r="T847" i="55"/>
  <c r="Q847" i="55"/>
  <c r="R845" i="18"/>
  <c r="D847" i="55"/>
  <c r="D846" i="18"/>
  <c r="B848" i="55" s="1"/>
  <c r="E846" i="18"/>
  <c r="B846" i="18"/>
  <c r="M847" i="55" l="1"/>
  <c r="N847" i="55"/>
  <c r="K847" i="55"/>
  <c r="A848" i="55"/>
  <c r="P848" i="55" s="1"/>
  <c r="M846" i="18"/>
  <c r="C848" i="55"/>
  <c r="O846" i="18"/>
  <c r="L846" i="18"/>
  <c r="A847" i="18"/>
  <c r="O848" i="55"/>
  <c r="J848" i="55"/>
  <c r="C846" i="18"/>
  <c r="K846" i="18" s="1"/>
  <c r="F848" i="55" l="1"/>
  <c r="T848" i="55"/>
  <c r="R848" i="55"/>
  <c r="U848" i="55"/>
  <c r="S848" i="55"/>
  <c r="Q848" i="55"/>
  <c r="R846" i="18"/>
  <c r="D848" i="55"/>
  <c r="N848" i="55"/>
  <c r="M848" i="55"/>
  <c r="L848" i="55"/>
  <c r="K848" i="55"/>
  <c r="E847" i="18"/>
  <c r="B847" i="18"/>
  <c r="D847" i="18"/>
  <c r="B849" i="55" s="1"/>
  <c r="A849" i="55" l="1"/>
  <c r="P849" i="55" s="1"/>
  <c r="M847" i="18"/>
  <c r="C849" i="55"/>
  <c r="O847" i="18"/>
  <c r="L847" i="18"/>
  <c r="A848" i="18"/>
  <c r="J849" i="55"/>
  <c r="O849" i="55"/>
  <c r="C847" i="18"/>
  <c r="K847" i="18" s="1"/>
  <c r="F849" i="55" l="1"/>
  <c r="R847" i="18"/>
  <c r="D849" i="55"/>
  <c r="N849" i="55"/>
  <c r="M849" i="55"/>
  <c r="L849" i="55"/>
  <c r="K849" i="55"/>
  <c r="D848" i="18"/>
  <c r="B850" i="55" s="1"/>
  <c r="E848" i="18"/>
  <c r="B848" i="18"/>
  <c r="C850" i="55" l="1"/>
  <c r="O848" i="18"/>
  <c r="L848" i="18"/>
  <c r="M848" i="18"/>
  <c r="A850" i="55"/>
  <c r="P850" i="55" s="1"/>
  <c r="A849" i="18"/>
  <c r="N848" i="18"/>
  <c r="C848" i="18"/>
  <c r="K848" i="18" s="1"/>
  <c r="E850" i="55" l="1"/>
  <c r="Q850" i="55" s="1"/>
  <c r="J850" i="55"/>
  <c r="K850" i="55" s="1"/>
  <c r="O850" i="55"/>
  <c r="F850" i="55"/>
  <c r="R848" i="18"/>
  <c r="D850" i="55"/>
  <c r="L850" i="55"/>
  <c r="M850" i="55"/>
  <c r="E849" i="18"/>
  <c r="B849" i="18"/>
  <c r="L849" i="18" s="1"/>
  <c r="D849" i="18"/>
  <c r="B851" i="55" s="1"/>
  <c r="N850" i="55" l="1"/>
  <c r="G850" i="55"/>
  <c r="H850" i="55" s="1"/>
  <c r="A851" i="55"/>
  <c r="P851" i="55" s="1"/>
  <c r="M849" i="18"/>
  <c r="C851" i="55"/>
  <c r="O849" i="18"/>
  <c r="A850" i="18"/>
  <c r="N849" i="18"/>
  <c r="E851" i="55" s="1"/>
  <c r="O851" i="55"/>
  <c r="C849" i="18"/>
  <c r="K849" i="18" s="1"/>
  <c r="J851" i="55" l="1"/>
  <c r="F851" i="55"/>
  <c r="R851" i="55" s="1"/>
  <c r="D193" i="59" s="1"/>
  <c r="R849" i="18"/>
  <c r="D851" i="55"/>
  <c r="I850" i="55"/>
  <c r="Q851" i="55"/>
  <c r="N851" i="55"/>
  <c r="M851" i="55"/>
  <c r="L851" i="55"/>
  <c r="K851" i="55"/>
  <c r="B850" i="18"/>
  <c r="D850" i="18"/>
  <c r="B852" i="55" s="1"/>
  <c r="E850" i="18"/>
  <c r="G851" i="55" l="1"/>
  <c r="H851" i="55" s="1"/>
  <c r="A852" i="55"/>
  <c r="P852" i="55" s="1"/>
  <c r="M850" i="18"/>
  <c r="L850" i="18"/>
  <c r="C852" i="55"/>
  <c r="O850" i="18"/>
  <c r="A851" i="18"/>
  <c r="J852" i="55"/>
  <c r="O852" i="55"/>
  <c r="C850" i="18"/>
  <c r="K850" i="18" s="1"/>
  <c r="S851" i="55" l="1"/>
  <c r="F852" i="55"/>
  <c r="R852" i="55" s="1"/>
  <c r="D194" i="59" s="1"/>
  <c r="R850" i="18"/>
  <c r="D852" i="55"/>
  <c r="I851" i="55"/>
  <c r="T851" i="55"/>
  <c r="N852" i="55"/>
  <c r="M852" i="55"/>
  <c r="L852" i="55"/>
  <c r="K852" i="55"/>
  <c r="B851" i="18"/>
  <c r="E851" i="18"/>
  <c r="D851" i="18"/>
  <c r="B853" i="55" s="1"/>
  <c r="C853" i="55" l="1"/>
  <c r="O851" i="18"/>
  <c r="A853" i="55"/>
  <c r="P853" i="55" s="1"/>
  <c r="M851" i="18"/>
  <c r="L851" i="18"/>
  <c r="U851" i="55"/>
  <c r="A852" i="18"/>
  <c r="N851" i="18"/>
  <c r="C851" i="18"/>
  <c r="K851" i="18" s="1"/>
  <c r="E853" i="55" l="1"/>
  <c r="O853" i="55"/>
  <c r="J853" i="55"/>
  <c r="L853" i="55" s="1"/>
  <c r="T853" i="55"/>
  <c r="U853" i="55"/>
  <c r="R853" i="55"/>
  <c r="S853" i="55"/>
  <c r="Q853" i="55"/>
  <c r="F853" i="55"/>
  <c r="R851" i="18"/>
  <c r="D853" i="55"/>
  <c r="N853" i="55"/>
  <c r="B852" i="18"/>
  <c r="E852" i="18"/>
  <c r="D852" i="18"/>
  <c r="B854" i="55" s="1"/>
  <c r="G853" i="55" l="1"/>
  <c r="H853" i="55" s="1"/>
  <c r="I853" i="55" s="1"/>
  <c r="M853" i="55"/>
  <c r="K853" i="55"/>
  <c r="C854" i="55"/>
  <c r="O852" i="18"/>
  <c r="A854" i="55"/>
  <c r="P854" i="55" s="1"/>
  <c r="M852" i="18"/>
  <c r="L852" i="18"/>
  <c r="A853" i="18"/>
  <c r="C852" i="18"/>
  <c r="K852" i="18" s="1"/>
  <c r="O854" i="55" l="1"/>
  <c r="R854" i="55"/>
  <c r="U854" i="55"/>
  <c r="T854" i="55"/>
  <c r="S854" i="55"/>
  <c r="Q854" i="55"/>
  <c r="F854" i="55"/>
  <c r="R852" i="18"/>
  <c r="D854" i="55"/>
  <c r="J854" i="55"/>
  <c r="E853" i="18"/>
  <c r="D853" i="18"/>
  <c r="B855" i="55" s="1"/>
  <c r="B853" i="18"/>
  <c r="C855" i="55" l="1"/>
  <c r="O853" i="18"/>
  <c r="A855" i="55"/>
  <c r="P855" i="55" s="1"/>
  <c r="M853" i="18"/>
  <c r="L853" i="18"/>
  <c r="N854" i="55"/>
  <c r="M854" i="55"/>
  <c r="L854" i="55"/>
  <c r="K854" i="55"/>
  <c r="A854" i="18"/>
  <c r="C853" i="18"/>
  <c r="K853" i="18" s="1"/>
  <c r="J855" i="55" l="1"/>
  <c r="L855" i="55" s="1"/>
  <c r="O855" i="55"/>
  <c r="T855" i="55"/>
  <c r="R855" i="55"/>
  <c r="U855" i="55"/>
  <c r="S855" i="55"/>
  <c r="Q855" i="55"/>
  <c r="F855" i="55"/>
  <c r="R853" i="18"/>
  <c r="D855" i="55"/>
  <c r="N855" i="55"/>
  <c r="M855" i="55"/>
  <c r="D854" i="18"/>
  <c r="B856" i="55" s="1"/>
  <c r="B854" i="18"/>
  <c r="L854" i="18" s="1"/>
  <c r="E854" i="18"/>
  <c r="K855" i="55" l="1"/>
  <c r="C856" i="55"/>
  <c r="O854" i="18"/>
  <c r="A856" i="55"/>
  <c r="P856" i="55" s="1"/>
  <c r="M854" i="18"/>
  <c r="A855" i="18"/>
  <c r="C854" i="18"/>
  <c r="K854" i="18" s="1"/>
  <c r="O856" i="55" l="1"/>
  <c r="J856" i="55"/>
  <c r="L856" i="55" s="1"/>
  <c r="U856" i="55"/>
  <c r="T856" i="55"/>
  <c r="R856" i="55"/>
  <c r="S856" i="55"/>
  <c r="Q856" i="55"/>
  <c r="F856" i="55"/>
  <c r="R854" i="18"/>
  <c r="D856" i="55"/>
  <c r="N856" i="55"/>
  <c r="M856" i="55"/>
  <c r="B855" i="18"/>
  <c r="D855" i="18"/>
  <c r="B857" i="55" s="1"/>
  <c r="E855" i="18"/>
  <c r="K856" i="55" l="1"/>
  <c r="C857" i="55"/>
  <c r="O855" i="18"/>
  <c r="A857" i="55"/>
  <c r="P857" i="55" s="1"/>
  <c r="M855" i="18"/>
  <c r="L855" i="18"/>
  <c r="A856" i="18"/>
  <c r="C855" i="18"/>
  <c r="K855" i="18" s="1"/>
  <c r="O857" i="55" l="1"/>
  <c r="J857" i="55"/>
  <c r="L857" i="55" s="1"/>
  <c r="R857" i="55"/>
  <c r="T857" i="55"/>
  <c r="S857" i="55"/>
  <c r="U857" i="55"/>
  <c r="Q857" i="55"/>
  <c r="F857" i="55"/>
  <c r="R855" i="18"/>
  <c r="D857" i="55"/>
  <c r="N857" i="55"/>
  <c r="M857" i="55"/>
  <c r="B856" i="18"/>
  <c r="E856" i="18"/>
  <c r="D856" i="18"/>
  <c r="B858" i="55" s="1"/>
  <c r="K857" i="55" l="1"/>
  <c r="C858" i="55"/>
  <c r="O856" i="18"/>
  <c r="A858" i="55"/>
  <c r="P858" i="55" s="1"/>
  <c r="M856" i="18"/>
  <c r="L856" i="18"/>
  <c r="A857" i="18"/>
  <c r="C856" i="18"/>
  <c r="K856" i="18" s="1"/>
  <c r="J858" i="55" l="1"/>
  <c r="K858" i="55" s="1"/>
  <c r="O858" i="55"/>
  <c r="T858" i="55"/>
  <c r="R858" i="55"/>
  <c r="U858" i="55"/>
  <c r="S858" i="55"/>
  <c r="Q858" i="55"/>
  <c r="F858" i="55"/>
  <c r="R856" i="18"/>
  <c r="D858" i="55"/>
  <c r="N858" i="55"/>
  <c r="M858" i="55"/>
  <c r="L858" i="55"/>
  <c r="E857" i="18"/>
  <c r="D857" i="18"/>
  <c r="B859" i="55" s="1"/>
  <c r="B857" i="18"/>
  <c r="A859" i="55" l="1"/>
  <c r="P859" i="55" s="1"/>
  <c r="M857" i="18"/>
  <c r="C859" i="55"/>
  <c r="O857" i="18"/>
  <c r="L857" i="18"/>
  <c r="A858" i="18"/>
  <c r="C857" i="18"/>
  <c r="K857" i="18" s="1"/>
  <c r="J859" i="55" l="1"/>
  <c r="K859" i="55" s="1"/>
  <c r="O859" i="55"/>
  <c r="F859" i="55"/>
  <c r="R859" i="55"/>
  <c r="T859" i="55"/>
  <c r="U859" i="55"/>
  <c r="S859" i="55"/>
  <c r="Q859" i="55"/>
  <c r="R857" i="18"/>
  <c r="D859" i="55"/>
  <c r="N859" i="55"/>
  <c r="M859" i="55"/>
  <c r="L859" i="55"/>
  <c r="D858" i="18"/>
  <c r="B860" i="55" s="1"/>
  <c r="E858" i="18"/>
  <c r="B858" i="18"/>
  <c r="A860" i="55" l="1"/>
  <c r="P860" i="55" s="1"/>
  <c r="M858" i="18"/>
  <c r="C860" i="55"/>
  <c r="O858" i="18"/>
  <c r="L858" i="18"/>
  <c r="A859" i="18"/>
  <c r="O860" i="55"/>
  <c r="J860" i="55"/>
  <c r="C858" i="18"/>
  <c r="K858" i="18" s="1"/>
  <c r="F860" i="55" l="1"/>
  <c r="R860" i="55"/>
  <c r="T860" i="55"/>
  <c r="U860" i="55"/>
  <c r="S860" i="55"/>
  <c r="Q860" i="55"/>
  <c r="R858" i="18"/>
  <c r="D860" i="55"/>
  <c r="N860" i="55"/>
  <c r="M860" i="55"/>
  <c r="L860" i="55"/>
  <c r="K860" i="55"/>
  <c r="B859" i="18"/>
  <c r="D859" i="18"/>
  <c r="B861" i="55" s="1"/>
  <c r="E859" i="18"/>
  <c r="C861" i="55" l="1"/>
  <c r="O859" i="18"/>
  <c r="A861" i="55"/>
  <c r="P861" i="55" s="1"/>
  <c r="M859" i="18"/>
  <c r="L859" i="18"/>
  <c r="A860" i="18"/>
  <c r="C859" i="18"/>
  <c r="K859" i="18" s="1"/>
  <c r="O861" i="55" l="1"/>
  <c r="T861" i="55"/>
  <c r="U861" i="55"/>
  <c r="R861" i="55"/>
  <c r="S861" i="55"/>
  <c r="Q861" i="55"/>
  <c r="J861" i="55"/>
  <c r="L861" i="55" s="1"/>
  <c r="F861" i="55"/>
  <c r="R859" i="18"/>
  <c r="D861" i="55"/>
  <c r="B860" i="18"/>
  <c r="L860" i="18" s="1"/>
  <c r="D860" i="18"/>
  <c r="B862" i="55" s="1"/>
  <c r="E860" i="18"/>
  <c r="N861" i="55" l="1"/>
  <c r="M861" i="55"/>
  <c r="C862" i="55"/>
  <c r="O860" i="18"/>
  <c r="A862" i="55"/>
  <c r="P862" i="55" s="1"/>
  <c r="M860" i="18"/>
  <c r="K861" i="55"/>
  <c r="A861" i="18"/>
  <c r="N860" i="18"/>
  <c r="E862" i="55" s="1"/>
  <c r="C860" i="18"/>
  <c r="K860" i="18" s="1"/>
  <c r="O862" i="55" l="1"/>
  <c r="J862" i="55"/>
  <c r="M862" i="55" s="1"/>
  <c r="U862" i="55"/>
  <c r="T862" i="55"/>
  <c r="R862" i="55"/>
  <c r="S862" i="55"/>
  <c r="Q862" i="55"/>
  <c r="F862" i="55"/>
  <c r="G862" i="55" s="1"/>
  <c r="H862" i="55" s="1"/>
  <c r="I862" i="55" s="1"/>
  <c r="R860" i="18"/>
  <c r="D862" i="55"/>
  <c r="L862" i="55"/>
  <c r="E861" i="18"/>
  <c r="B861" i="18"/>
  <c r="D861" i="18"/>
  <c r="B863" i="55" s="1"/>
  <c r="N862" i="55" l="1"/>
  <c r="K862" i="55"/>
  <c r="A863" i="55"/>
  <c r="P863" i="55" s="1"/>
  <c r="M861" i="18"/>
  <c r="L861" i="18"/>
  <c r="C863" i="55"/>
  <c r="O861" i="18"/>
  <c r="A862" i="18"/>
  <c r="N861" i="18"/>
  <c r="C861" i="18"/>
  <c r="K861" i="18" s="1"/>
  <c r="E863" i="55" l="1"/>
  <c r="F863" i="55"/>
  <c r="O863" i="55"/>
  <c r="J863" i="55"/>
  <c r="L863" i="55" s="1"/>
  <c r="T863" i="55"/>
  <c r="U863" i="55"/>
  <c r="S863" i="55"/>
  <c r="R863" i="55"/>
  <c r="Q863" i="55"/>
  <c r="R861" i="18"/>
  <c r="D863" i="55"/>
  <c r="D862" i="18"/>
  <c r="B864" i="55" s="1"/>
  <c r="B862" i="18"/>
  <c r="E862" i="18"/>
  <c r="N863" i="55" l="1"/>
  <c r="G863" i="55"/>
  <c r="H863" i="55" s="1"/>
  <c r="I863" i="55" s="1"/>
  <c r="M863" i="55"/>
  <c r="K863" i="55"/>
  <c r="C864" i="55"/>
  <c r="O862" i="18"/>
  <c r="A864" i="55"/>
  <c r="P864" i="55" s="1"/>
  <c r="M862" i="18"/>
  <c r="L862" i="18"/>
  <c r="A863" i="18"/>
  <c r="N862" i="18"/>
  <c r="C862" i="18"/>
  <c r="K862" i="18" s="1"/>
  <c r="O864" i="55" l="1"/>
  <c r="J864" i="55"/>
  <c r="L864" i="55" s="1"/>
  <c r="E864" i="55"/>
  <c r="T864" i="55"/>
  <c r="U864" i="55"/>
  <c r="S864" i="55"/>
  <c r="R864" i="55"/>
  <c r="Q864" i="55"/>
  <c r="F864" i="55"/>
  <c r="R862" i="18"/>
  <c r="D864" i="55"/>
  <c r="N864" i="55"/>
  <c r="E863" i="18"/>
  <c r="D863" i="18"/>
  <c r="B865" i="55" s="1"/>
  <c r="B863" i="18"/>
  <c r="L863" i="18" s="1"/>
  <c r="K864" i="55" l="1"/>
  <c r="M864" i="55"/>
  <c r="G864" i="55"/>
  <c r="H864" i="55" s="1"/>
  <c r="I864" i="55" s="1"/>
  <c r="A865" i="55"/>
  <c r="P865" i="55" s="1"/>
  <c r="M863" i="18"/>
  <c r="C865" i="55"/>
  <c r="O863" i="18"/>
  <c r="A864" i="18"/>
  <c r="N863" i="18"/>
  <c r="E865" i="55" s="1"/>
  <c r="J865" i="55"/>
  <c r="O865" i="55"/>
  <c r="C863" i="18"/>
  <c r="K863" i="18" s="1"/>
  <c r="F865" i="55" l="1"/>
  <c r="G865" i="55" s="1"/>
  <c r="H865" i="55" s="1"/>
  <c r="I865" i="55" s="1"/>
  <c r="T865" i="55"/>
  <c r="U865" i="55"/>
  <c r="R865" i="55"/>
  <c r="S865" i="55"/>
  <c r="Q865" i="55"/>
  <c r="R863" i="18"/>
  <c r="D865" i="55"/>
  <c r="N865" i="55"/>
  <c r="L865" i="55"/>
  <c r="M865" i="55"/>
  <c r="K865" i="55"/>
  <c r="B864" i="18"/>
  <c r="D864" i="18"/>
  <c r="B866" i="55" s="1"/>
  <c r="E864" i="18"/>
  <c r="C866" i="55" l="1"/>
  <c r="O864" i="18"/>
  <c r="A866" i="55"/>
  <c r="P866" i="55" s="1"/>
  <c r="M864" i="18"/>
  <c r="L864" i="18"/>
  <c r="A865" i="18"/>
  <c r="N864" i="18"/>
  <c r="C864" i="18"/>
  <c r="K864" i="18" s="1"/>
  <c r="E866" i="55" l="1"/>
  <c r="J866" i="55"/>
  <c r="K866" i="55" s="1"/>
  <c r="O866" i="55"/>
  <c r="R866" i="55"/>
  <c r="U866" i="55"/>
  <c r="T866" i="55"/>
  <c r="S866" i="55"/>
  <c r="Q866" i="55"/>
  <c r="F866" i="55"/>
  <c r="R864" i="18"/>
  <c r="D866" i="55"/>
  <c r="M866" i="55"/>
  <c r="D865" i="18"/>
  <c r="B867" i="55" s="1"/>
  <c r="B865" i="18"/>
  <c r="E865" i="18"/>
  <c r="G866" i="55" l="1"/>
  <c r="H866" i="55" s="1"/>
  <c r="I866" i="55" s="1"/>
  <c r="L866" i="55"/>
  <c r="N866" i="55"/>
  <c r="C867" i="55"/>
  <c r="O865" i="18"/>
  <c r="A867" i="55"/>
  <c r="P867" i="55" s="1"/>
  <c r="Q867" i="55" s="1"/>
  <c r="R867" i="55" s="1"/>
  <c r="D195" i="59" s="1"/>
  <c r="M865" i="18"/>
  <c r="L865" i="18"/>
  <c r="A866" i="18"/>
  <c r="N865" i="18"/>
  <c r="C865" i="18"/>
  <c r="K865" i="18" s="1"/>
  <c r="J867" i="55" l="1"/>
  <c r="O867" i="55"/>
  <c r="E867" i="55"/>
  <c r="F867" i="55"/>
  <c r="R865" i="18"/>
  <c r="D867" i="55"/>
  <c r="N867" i="55"/>
  <c r="M867" i="55"/>
  <c r="L867" i="55"/>
  <c r="K867" i="55"/>
  <c r="D866" i="18"/>
  <c r="B868" i="55" s="1"/>
  <c r="B866" i="18"/>
  <c r="E866" i="18"/>
  <c r="G867" i="55" l="1"/>
  <c r="H867" i="55" s="1"/>
  <c r="T867" i="55" s="1"/>
  <c r="L866" i="18"/>
  <c r="M866" i="18"/>
  <c r="A868" i="55"/>
  <c r="P868" i="55" s="1"/>
  <c r="O866" i="18"/>
  <c r="C868" i="55"/>
  <c r="A867" i="18"/>
  <c r="N866" i="18"/>
  <c r="C866" i="18"/>
  <c r="K866" i="18" s="1"/>
  <c r="J868" i="55" l="1"/>
  <c r="E868" i="55"/>
  <c r="Q868" i="55" s="1"/>
  <c r="O868" i="55"/>
  <c r="S867" i="55"/>
  <c r="I867" i="55"/>
  <c r="U867" i="55" s="1"/>
  <c r="F868" i="55"/>
  <c r="R866" i="18"/>
  <c r="D868" i="55"/>
  <c r="E867" i="18"/>
  <c r="D867" i="18"/>
  <c r="B869" i="55" s="1"/>
  <c r="B867" i="18"/>
  <c r="G868" i="55" l="1"/>
  <c r="H868" i="55" s="1"/>
  <c r="C869" i="55"/>
  <c r="O867" i="18"/>
  <c r="A869" i="55"/>
  <c r="P869" i="55" s="1"/>
  <c r="M867" i="18"/>
  <c r="L867" i="18"/>
  <c r="A868" i="18"/>
  <c r="N867" i="18"/>
  <c r="C867" i="18"/>
  <c r="K867" i="18" s="1"/>
  <c r="E869" i="55" l="1"/>
  <c r="Q869" i="55" s="1"/>
  <c r="F869" i="55"/>
  <c r="R869" i="55" s="1"/>
  <c r="D197" i="59" s="1"/>
  <c r="J869" i="55"/>
  <c r="N869" i="55" s="1"/>
  <c r="O869" i="55"/>
  <c r="R867" i="18"/>
  <c r="D869" i="55"/>
  <c r="I868" i="55"/>
  <c r="D868" i="18"/>
  <c r="B870" i="55" s="1"/>
  <c r="B868" i="18"/>
  <c r="E868" i="18"/>
  <c r="K869" i="55" l="1"/>
  <c r="M869" i="55"/>
  <c r="L869" i="55"/>
  <c r="G869" i="55"/>
  <c r="H869" i="55" s="1"/>
  <c r="A870" i="55"/>
  <c r="P870" i="55" s="1"/>
  <c r="M868" i="18"/>
  <c r="C870" i="55"/>
  <c r="O868" i="18"/>
  <c r="L868" i="18"/>
  <c r="A869" i="18"/>
  <c r="N868" i="18"/>
  <c r="C868" i="18"/>
  <c r="K868" i="18" s="1"/>
  <c r="O870" i="55" l="1"/>
  <c r="E870" i="55"/>
  <c r="Q870" i="55" s="1"/>
  <c r="S869" i="55"/>
  <c r="J870" i="55"/>
  <c r="N870" i="55" s="1"/>
  <c r="F870" i="55"/>
  <c r="R870" i="55" s="1"/>
  <c r="D198" i="59" s="1"/>
  <c r="R868" i="18"/>
  <c r="D870" i="55"/>
  <c r="I869" i="55"/>
  <c r="T869" i="55"/>
  <c r="M870" i="55"/>
  <c r="K870" i="55"/>
  <c r="E869" i="18"/>
  <c r="D869" i="18"/>
  <c r="B871" i="55" s="1"/>
  <c r="B869" i="18"/>
  <c r="L870" i="55" l="1"/>
  <c r="G870" i="55"/>
  <c r="H870" i="55" s="1"/>
  <c r="A871" i="55"/>
  <c r="P871" i="55" s="1"/>
  <c r="M869" i="18"/>
  <c r="C871" i="55"/>
  <c r="O869" i="18"/>
  <c r="L869" i="18"/>
  <c r="U869" i="55"/>
  <c r="A870" i="18"/>
  <c r="J871" i="55"/>
  <c r="N869" i="18"/>
  <c r="C869" i="18"/>
  <c r="K869" i="18" s="1"/>
  <c r="O871" i="55" l="1"/>
  <c r="S870" i="55"/>
  <c r="E871" i="55"/>
  <c r="F871" i="55"/>
  <c r="R871" i="55"/>
  <c r="U871" i="55"/>
  <c r="T871" i="55"/>
  <c r="S871" i="55"/>
  <c r="Q871" i="55"/>
  <c r="R869" i="18"/>
  <c r="D871" i="55"/>
  <c r="I870" i="55"/>
  <c r="T870" i="55"/>
  <c r="N871" i="55"/>
  <c r="M871" i="55"/>
  <c r="L871" i="55"/>
  <c r="K871" i="55"/>
  <c r="B870" i="18"/>
  <c r="D870" i="18"/>
  <c r="B872" i="55" s="1"/>
  <c r="E870" i="18"/>
  <c r="G871" i="55" l="1"/>
  <c r="H871" i="55" s="1"/>
  <c r="I871" i="55" s="1"/>
  <c r="C872" i="55"/>
  <c r="O870" i="18"/>
  <c r="A872" i="55"/>
  <c r="P872" i="55" s="1"/>
  <c r="M870" i="18"/>
  <c r="L870" i="18"/>
  <c r="U870" i="55"/>
  <c r="A871" i="18"/>
  <c r="N870" i="18"/>
  <c r="C870" i="18"/>
  <c r="K870" i="18" s="1"/>
  <c r="J872" i="55" l="1"/>
  <c r="O872" i="55"/>
  <c r="F872" i="55"/>
  <c r="E872" i="55"/>
  <c r="U872" i="55"/>
  <c r="R872" i="55"/>
  <c r="T872" i="55"/>
  <c r="S872" i="55"/>
  <c r="Q872" i="55"/>
  <c r="R870" i="18"/>
  <c r="D872" i="55"/>
  <c r="N872" i="55"/>
  <c r="M872" i="55"/>
  <c r="L872" i="55"/>
  <c r="K872" i="55"/>
  <c r="B871" i="18"/>
  <c r="E871" i="18"/>
  <c r="D871" i="18"/>
  <c r="B873" i="55" s="1"/>
  <c r="G872" i="55" l="1"/>
  <c r="H872" i="55" s="1"/>
  <c r="C873" i="55"/>
  <c r="O871" i="18"/>
  <c r="A873" i="55"/>
  <c r="P873" i="55" s="1"/>
  <c r="M871" i="18"/>
  <c r="L871" i="18"/>
  <c r="A872" i="18"/>
  <c r="N871" i="18"/>
  <c r="C871" i="18"/>
  <c r="K871" i="18" s="1"/>
  <c r="O873" i="55" l="1"/>
  <c r="J873" i="55"/>
  <c r="N873" i="55" s="1"/>
  <c r="I872" i="55"/>
  <c r="F873" i="55"/>
  <c r="E873" i="55"/>
  <c r="R873" i="55"/>
  <c r="S873" i="55"/>
  <c r="T873" i="55"/>
  <c r="U873" i="55"/>
  <c r="Q873" i="55"/>
  <c r="R871" i="18"/>
  <c r="D873" i="55"/>
  <c r="B872" i="18"/>
  <c r="D872" i="18"/>
  <c r="B874" i="55" s="1"/>
  <c r="E872" i="18"/>
  <c r="K873" i="55" l="1"/>
  <c r="L873" i="55"/>
  <c r="M873" i="55"/>
  <c r="G873" i="55"/>
  <c r="H873" i="55" s="1"/>
  <c r="I873" i="55" s="1"/>
  <c r="C874" i="55"/>
  <c r="O872" i="18"/>
  <c r="A874" i="55"/>
  <c r="P874" i="55" s="1"/>
  <c r="M872" i="18"/>
  <c r="L872" i="18"/>
  <c r="A873" i="18"/>
  <c r="N872" i="18"/>
  <c r="C872" i="18"/>
  <c r="K872" i="18" s="1"/>
  <c r="O874" i="55" l="1"/>
  <c r="J874" i="55"/>
  <c r="L874" i="55" s="1"/>
  <c r="E874" i="55"/>
  <c r="F874" i="55"/>
  <c r="T874" i="55"/>
  <c r="R874" i="55"/>
  <c r="U874" i="55"/>
  <c r="S874" i="55"/>
  <c r="Q874" i="55"/>
  <c r="R872" i="18"/>
  <c r="D874" i="55"/>
  <c r="N874" i="55"/>
  <c r="E873" i="18"/>
  <c r="B873" i="18"/>
  <c r="D873" i="18"/>
  <c r="B875" i="55" s="1"/>
  <c r="K874" i="55" l="1"/>
  <c r="M874" i="55"/>
  <c r="G874" i="55"/>
  <c r="H874" i="55" s="1"/>
  <c r="I874" i="55" s="1"/>
  <c r="A875" i="55"/>
  <c r="P875" i="55" s="1"/>
  <c r="M873" i="18"/>
  <c r="C875" i="55"/>
  <c r="O873" i="18"/>
  <c r="L873" i="18"/>
  <c r="A874" i="18"/>
  <c r="N873" i="18"/>
  <c r="O875" i="55"/>
  <c r="J875" i="55"/>
  <c r="C873" i="18"/>
  <c r="K873" i="18" s="1"/>
  <c r="E875" i="55" l="1"/>
  <c r="F875" i="55"/>
  <c r="R875" i="55"/>
  <c r="T875" i="55"/>
  <c r="U875" i="55"/>
  <c r="S875" i="55"/>
  <c r="Q875" i="55"/>
  <c r="R873" i="18"/>
  <c r="D875" i="55"/>
  <c r="N875" i="55"/>
  <c r="M875" i="55"/>
  <c r="L875" i="55"/>
  <c r="K875" i="55"/>
  <c r="D874" i="18"/>
  <c r="B876" i="55" s="1"/>
  <c r="B874" i="18"/>
  <c r="E874" i="18"/>
  <c r="G875" i="55" l="1"/>
  <c r="H875" i="55" s="1"/>
  <c r="I875" i="55" s="1"/>
  <c r="C876" i="55"/>
  <c r="O874" i="18"/>
  <c r="A876" i="55"/>
  <c r="P876" i="55" s="1"/>
  <c r="M874" i="18"/>
  <c r="L874" i="18"/>
  <c r="A875" i="18"/>
  <c r="N874" i="18"/>
  <c r="O876" i="55"/>
  <c r="C874" i="18"/>
  <c r="K874" i="18" s="1"/>
  <c r="J876" i="55" l="1"/>
  <c r="K876" i="55" s="1"/>
  <c r="F876" i="55"/>
  <c r="E876" i="55"/>
  <c r="R876" i="55"/>
  <c r="U876" i="55"/>
  <c r="T876" i="55"/>
  <c r="S876" i="55"/>
  <c r="Q876" i="55"/>
  <c r="R874" i="18"/>
  <c r="D876" i="55"/>
  <c r="N876" i="55"/>
  <c r="L876" i="55"/>
  <c r="M876" i="55"/>
  <c r="D875" i="18"/>
  <c r="B877" i="55" s="1"/>
  <c r="B875" i="18"/>
  <c r="E875" i="18"/>
  <c r="G876" i="55" l="1"/>
  <c r="H876" i="55" s="1"/>
  <c r="I876" i="55" s="1"/>
  <c r="C877" i="55"/>
  <c r="O875" i="18"/>
  <c r="A877" i="55"/>
  <c r="P877" i="55" s="1"/>
  <c r="M875" i="18"/>
  <c r="L875" i="18"/>
  <c r="A876" i="18"/>
  <c r="N875" i="18"/>
  <c r="C875" i="18"/>
  <c r="K875" i="18" s="1"/>
  <c r="J877" i="55" l="1"/>
  <c r="O877" i="55"/>
  <c r="F877" i="55"/>
  <c r="E877" i="55"/>
  <c r="T877" i="55"/>
  <c r="R877" i="55"/>
  <c r="U877" i="55"/>
  <c r="S877" i="55"/>
  <c r="Q877" i="55"/>
  <c r="R875" i="18"/>
  <c r="D877" i="55"/>
  <c r="N877" i="55"/>
  <c r="L877" i="55"/>
  <c r="M877" i="55"/>
  <c r="K877" i="55"/>
  <c r="B876" i="18"/>
  <c r="D876" i="18"/>
  <c r="B878" i="55" s="1"/>
  <c r="E876" i="18"/>
  <c r="G877" i="55" l="1"/>
  <c r="H877" i="55" s="1"/>
  <c r="I877" i="55" s="1"/>
  <c r="C878" i="55"/>
  <c r="O876" i="18"/>
  <c r="A878" i="55"/>
  <c r="P878" i="55" s="1"/>
  <c r="M876" i="18"/>
  <c r="L876" i="18"/>
  <c r="A877" i="18"/>
  <c r="N876" i="18"/>
  <c r="C876" i="18"/>
  <c r="K876" i="18" s="1"/>
  <c r="O878" i="55" l="1"/>
  <c r="J878" i="55"/>
  <c r="M878" i="55" s="1"/>
  <c r="F878" i="55"/>
  <c r="E878" i="55"/>
  <c r="U878" i="55"/>
  <c r="R878" i="55"/>
  <c r="T878" i="55"/>
  <c r="S878" i="55"/>
  <c r="Q878" i="55"/>
  <c r="R876" i="18"/>
  <c r="D878" i="55"/>
  <c r="N878" i="55"/>
  <c r="E877" i="18"/>
  <c r="B877" i="18"/>
  <c r="D877" i="18"/>
  <c r="B879" i="55" s="1"/>
  <c r="K878" i="55" l="1"/>
  <c r="L878" i="55"/>
  <c r="G878" i="55"/>
  <c r="H878" i="55" s="1"/>
  <c r="I878" i="55" s="1"/>
  <c r="A879" i="55"/>
  <c r="P879" i="55" s="1"/>
  <c r="M877" i="18"/>
  <c r="O877" i="18"/>
  <c r="C879" i="55"/>
  <c r="L877" i="18"/>
  <c r="A878" i="18"/>
  <c r="N877" i="18"/>
  <c r="C877" i="18"/>
  <c r="K877" i="18" s="1"/>
  <c r="O879" i="55" l="1"/>
  <c r="J879" i="55"/>
  <c r="K879" i="55" s="1"/>
  <c r="E879" i="55"/>
  <c r="F879" i="55"/>
  <c r="T879" i="55"/>
  <c r="R879" i="55"/>
  <c r="S879" i="55"/>
  <c r="U879" i="55"/>
  <c r="Q879" i="55"/>
  <c r="R877" i="18"/>
  <c r="D879" i="55"/>
  <c r="N879" i="55"/>
  <c r="D878" i="18"/>
  <c r="B880" i="55" s="1"/>
  <c r="E878" i="18"/>
  <c r="B878" i="18"/>
  <c r="L879" i="55" l="1"/>
  <c r="M879" i="55"/>
  <c r="A880" i="55"/>
  <c r="P880" i="55" s="1"/>
  <c r="M878" i="18"/>
  <c r="O878" i="18"/>
  <c r="C880" i="55"/>
  <c r="G879" i="55"/>
  <c r="H879" i="55" s="1"/>
  <c r="I879" i="55" s="1"/>
  <c r="L878" i="18"/>
  <c r="A879" i="18"/>
  <c r="O880" i="55"/>
  <c r="N878" i="18"/>
  <c r="C878" i="18"/>
  <c r="K878" i="18" s="1"/>
  <c r="J880" i="55" l="1"/>
  <c r="K880" i="55" s="1"/>
  <c r="E880" i="55"/>
  <c r="F880" i="55"/>
  <c r="T880" i="55"/>
  <c r="R880" i="55"/>
  <c r="U880" i="55"/>
  <c r="S880" i="55"/>
  <c r="Q880" i="55"/>
  <c r="R878" i="18"/>
  <c r="D880" i="55"/>
  <c r="N880" i="55"/>
  <c r="M880" i="55"/>
  <c r="L880" i="55"/>
  <c r="D879" i="18"/>
  <c r="B881" i="55" s="1"/>
  <c r="B879" i="18"/>
  <c r="E879" i="18"/>
  <c r="G880" i="55" l="1"/>
  <c r="H880" i="55" s="1"/>
  <c r="I880" i="55" s="1"/>
  <c r="C881" i="55"/>
  <c r="O879" i="18"/>
  <c r="A881" i="55"/>
  <c r="P881" i="55" s="1"/>
  <c r="M879" i="18"/>
  <c r="L879" i="18"/>
  <c r="A880" i="18"/>
  <c r="N879" i="18"/>
  <c r="C879" i="18"/>
  <c r="K879" i="18" s="1"/>
  <c r="E881" i="55" l="1"/>
  <c r="O881" i="55"/>
  <c r="J881" i="55"/>
  <c r="L881" i="55" s="1"/>
  <c r="F881" i="55"/>
  <c r="T881" i="55"/>
  <c r="U881" i="55"/>
  <c r="S881" i="55"/>
  <c r="R881" i="55"/>
  <c r="Q881" i="55"/>
  <c r="R879" i="18"/>
  <c r="D881" i="55"/>
  <c r="N881" i="55"/>
  <c r="D880" i="18"/>
  <c r="B882" i="55" s="1"/>
  <c r="B880" i="18"/>
  <c r="E880" i="18"/>
  <c r="K881" i="55" l="1"/>
  <c r="M881" i="55"/>
  <c r="G881" i="55"/>
  <c r="H881" i="55" s="1"/>
  <c r="I881" i="55" s="1"/>
  <c r="C882" i="55"/>
  <c r="O880" i="18"/>
  <c r="A882" i="55"/>
  <c r="P882" i="55" s="1"/>
  <c r="M880" i="18"/>
  <c r="L880" i="18"/>
  <c r="A881" i="18"/>
  <c r="N880" i="18"/>
  <c r="C880" i="18"/>
  <c r="K880" i="18" s="1"/>
  <c r="J882" i="55" l="1"/>
  <c r="O882" i="55"/>
  <c r="F882" i="55"/>
  <c r="E882" i="55"/>
  <c r="R882" i="55"/>
  <c r="S882" i="55"/>
  <c r="T882" i="55"/>
  <c r="U882" i="55"/>
  <c r="Q882" i="55"/>
  <c r="R880" i="18"/>
  <c r="D882" i="55"/>
  <c r="N882" i="55"/>
  <c r="M882" i="55"/>
  <c r="L882" i="55"/>
  <c r="K882" i="55"/>
  <c r="B881" i="18"/>
  <c r="E881" i="18"/>
  <c r="D881" i="18"/>
  <c r="B883" i="55" s="1"/>
  <c r="G882" i="55" l="1"/>
  <c r="H882" i="55" s="1"/>
  <c r="I882" i="55" s="1"/>
  <c r="C883" i="55"/>
  <c r="O881" i="18"/>
  <c r="A883" i="55"/>
  <c r="P883" i="55" s="1"/>
  <c r="M881" i="18"/>
  <c r="L881" i="18"/>
  <c r="A882" i="18"/>
  <c r="N881" i="18"/>
  <c r="C881" i="18"/>
  <c r="K881" i="18" s="1"/>
  <c r="J883" i="55" l="1"/>
  <c r="O883" i="55"/>
  <c r="F883" i="55"/>
  <c r="E883" i="55"/>
  <c r="R883" i="55"/>
  <c r="S883" i="55"/>
  <c r="T883" i="55"/>
  <c r="U883" i="55"/>
  <c r="Q883" i="55"/>
  <c r="R881" i="18"/>
  <c r="D883" i="55"/>
  <c r="N883" i="55"/>
  <c r="M883" i="55"/>
  <c r="L883" i="55"/>
  <c r="K883" i="55"/>
  <c r="B882" i="18"/>
  <c r="D882" i="18"/>
  <c r="B884" i="55" s="1"/>
  <c r="E882" i="18"/>
  <c r="G883" i="55" l="1"/>
  <c r="H883" i="55" s="1"/>
  <c r="I883" i="55" s="1"/>
  <c r="C884" i="55"/>
  <c r="O882" i="18"/>
  <c r="A884" i="55"/>
  <c r="P884" i="55" s="1"/>
  <c r="M882" i="18"/>
  <c r="L882" i="18"/>
  <c r="A883" i="18"/>
  <c r="N882" i="18"/>
  <c r="C882" i="18"/>
  <c r="K882" i="18" s="1"/>
  <c r="O884" i="55" l="1"/>
  <c r="J884" i="55"/>
  <c r="M884" i="55" s="1"/>
  <c r="F884" i="55"/>
  <c r="E884" i="55"/>
  <c r="U884" i="55"/>
  <c r="T884" i="55"/>
  <c r="R884" i="55"/>
  <c r="S884" i="55"/>
  <c r="Q884" i="55"/>
  <c r="R882" i="18"/>
  <c r="D884" i="55"/>
  <c r="N884" i="55"/>
  <c r="E883" i="18"/>
  <c r="B883" i="18"/>
  <c r="D883" i="18"/>
  <c r="B885" i="55" s="1"/>
  <c r="K884" i="55" l="1"/>
  <c r="L884" i="55"/>
  <c r="G884" i="55"/>
  <c r="H884" i="55" s="1"/>
  <c r="I884" i="55" s="1"/>
  <c r="A885" i="55"/>
  <c r="P885" i="55" s="1"/>
  <c r="Q885" i="55" s="1"/>
  <c r="M883" i="18"/>
  <c r="C885" i="55"/>
  <c r="O883" i="18"/>
  <c r="L883" i="18"/>
  <c r="A884" i="18"/>
  <c r="O885" i="55"/>
  <c r="C883" i="18"/>
  <c r="K883" i="18" s="1"/>
  <c r="J885" i="55" l="1"/>
  <c r="F885" i="55"/>
  <c r="R883" i="18"/>
  <c r="D885" i="55"/>
  <c r="N885" i="55"/>
  <c r="M885" i="55"/>
  <c r="L885" i="55"/>
  <c r="K885" i="55"/>
  <c r="D884" i="18"/>
  <c r="B886" i="55" s="1"/>
  <c r="E884" i="18"/>
  <c r="B884" i="18"/>
  <c r="A886" i="55" l="1"/>
  <c r="P886" i="55" s="1"/>
  <c r="M884" i="18"/>
  <c r="L884" i="18"/>
  <c r="C886" i="55"/>
  <c r="O884" i="18"/>
  <c r="A885" i="18"/>
  <c r="J886" i="55"/>
  <c r="O886" i="55"/>
  <c r="C884" i="18"/>
  <c r="K884" i="18" s="1"/>
  <c r="F886" i="55" l="1"/>
  <c r="R884" i="18"/>
  <c r="D886" i="55"/>
  <c r="N886" i="55"/>
  <c r="L886" i="55"/>
  <c r="M886" i="55"/>
  <c r="K886" i="55"/>
  <c r="E885" i="18"/>
  <c r="D885" i="18"/>
  <c r="B887" i="55" s="1"/>
  <c r="B885" i="18"/>
  <c r="A887" i="55" s="1"/>
  <c r="P887" i="55" s="1"/>
  <c r="C887" i="55" l="1"/>
  <c r="O885" i="18"/>
  <c r="M885" i="18"/>
  <c r="L885" i="18"/>
  <c r="A886" i="18"/>
  <c r="N885" i="18"/>
  <c r="C885" i="18"/>
  <c r="K885" i="18" s="1"/>
  <c r="E887" i="55" l="1"/>
  <c r="Q887" i="55" s="1"/>
  <c r="F887" i="55"/>
  <c r="R887" i="55" s="1"/>
  <c r="D201" i="59" s="1"/>
  <c r="R885" i="18"/>
  <c r="D887" i="55"/>
  <c r="J887" i="55"/>
  <c r="O887" i="55"/>
  <c r="B886" i="18"/>
  <c r="E886" i="18"/>
  <c r="D886" i="18"/>
  <c r="B888" i="55" s="1"/>
  <c r="G887" i="55" l="1"/>
  <c r="H887" i="55" s="1"/>
  <c r="T887" i="55" s="1"/>
  <c r="C888" i="55"/>
  <c r="O886" i="18"/>
  <c r="A888" i="55"/>
  <c r="P888" i="55" s="1"/>
  <c r="M886" i="18"/>
  <c r="L886" i="18"/>
  <c r="N887" i="55"/>
  <c r="M887" i="55"/>
  <c r="L887" i="55"/>
  <c r="K887" i="55"/>
  <c r="A887" i="18"/>
  <c r="C886" i="18"/>
  <c r="K886" i="18" s="1"/>
  <c r="S887" i="55" l="1"/>
  <c r="F888" i="55"/>
  <c r="R888" i="55" s="1"/>
  <c r="D202" i="59" s="1"/>
  <c r="O888" i="55"/>
  <c r="R886" i="18"/>
  <c r="D888" i="55"/>
  <c r="I887" i="55"/>
  <c r="U887" i="55" s="1"/>
  <c r="J888" i="55"/>
  <c r="E887" i="18"/>
  <c r="D887" i="18"/>
  <c r="B889" i="55" s="1"/>
  <c r="B887" i="18"/>
  <c r="A889" i="55" l="1"/>
  <c r="P889" i="55" s="1"/>
  <c r="M887" i="18"/>
  <c r="C889" i="55"/>
  <c r="O887" i="18"/>
  <c r="L887" i="18"/>
  <c r="N888" i="55"/>
  <c r="L888" i="55"/>
  <c r="M888" i="55"/>
  <c r="K888" i="55"/>
  <c r="A888" i="18"/>
  <c r="J889" i="55"/>
  <c r="O889" i="55"/>
  <c r="C887" i="18"/>
  <c r="K887" i="18" s="1"/>
  <c r="F889" i="55" l="1"/>
  <c r="R889" i="55"/>
  <c r="T889" i="55"/>
  <c r="U889" i="55"/>
  <c r="S889" i="55"/>
  <c r="Q889" i="55"/>
  <c r="R887" i="18"/>
  <c r="D889" i="55"/>
  <c r="N889" i="55"/>
  <c r="L889" i="55"/>
  <c r="M889" i="55"/>
  <c r="K889" i="55"/>
  <c r="B888" i="18"/>
  <c r="E888" i="18"/>
  <c r="D888" i="18"/>
  <c r="B890" i="55" s="1"/>
  <c r="C890" i="55" l="1"/>
  <c r="O888" i="18"/>
  <c r="A890" i="55"/>
  <c r="P890" i="55" s="1"/>
  <c r="M888" i="18"/>
  <c r="L888" i="18"/>
  <c r="A889" i="18"/>
  <c r="C888" i="18"/>
  <c r="K888" i="18" s="1"/>
  <c r="J890" i="55" l="1"/>
  <c r="K890" i="55" s="1"/>
  <c r="O890" i="55"/>
  <c r="T890" i="55"/>
  <c r="R890" i="55"/>
  <c r="U890" i="55"/>
  <c r="S890" i="55"/>
  <c r="Q890" i="55"/>
  <c r="F890" i="55"/>
  <c r="R888" i="18"/>
  <c r="D890" i="55"/>
  <c r="N890" i="55"/>
  <c r="M890" i="55"/>
  <c r="L890" i="55"/>
  <c r="B889" i="18"/>
  <c r="D889" i="18"/>
  <c r="B891" i="55" s="1"/>
  <c r="E889" i="18"/>
  <c r="C891" i="55" l="1"/>
  <c r="O889" i="18"/>
  <c r="A891" i="55"/>
  <c r="P891" i="55" s="1"/>
  <c r="M889" i="18"/>
  <c r="L889" i="18"/>
  <c r="A890" i="18"/>
  <c r="C889" i="18"/>
  <c r="K889" i="18" s="1"/>
  <c r="O891" i="55" l="1"/>
  <c r="J891" i="55"/>
  <c r="L891" i="55" s="1"/>
  <c r="R891" i="55"/>
  <c r="T891" i="55"/>
  <c r="U891" i="55"/>
  <c r="S891" i="55"/>
  <c r="Q891" i="55"/>
  <c r="F891" i="55"/>
  <c r="R889" i="18"/>
  <c r="D891" i="55"/>
  <c r="N891" i="55"/>
  <c r="M891" i="55"/>
  <c r="D890" i="18"/>
  <c r="B892" i="55" s="1"/>
  <c r="B890" i="18"/>
  <c r="E890" i="18"/>
  <c r="K891" i="55" l="1"/>
  <c r="C892" i="55"/>
  <c r="O890" i="18"/>
  <c r="A892" i="55"/>
  <c r="P892" i="55" s="1"/>
  <c r="M890" i="18"/>
  <c r="L890" i="18"/>
  <c r="A891" i="18"/>
  <c r="C890" i="18"/>
  <c r="K890" i="18" s="1"/>
  <c r="J892" i="55" l="1"/>
  <c r="O892" i="55"/>
  <c r="R892" i="55"/>
  <c r="U892" i="55"/>
  <c r="T892" i="55"/>
  <c r="S892" i="55"/>
  <c r="Q892" i="55"/>
  <c r="F892" i="55"/>
  <c r="R890" i="18"/>
  <c r="D892" i="55"/>
  <c r="N892" i="55"/>
  <c r="L892" i="55"/>
  <c r="M892" i="55"/>
  <c r="K892" i="55"/>
  <c r="B891" i="18"/>
  <c r="E891" i="18"/>
  <c r="D891" i="18"/>
  <c r="B893" i="55" s="1"/>
  <c r="C893" i="55" l="1"/>
  <c r="O891" i="18"/>
  <c r="A893" i="55"/>
  <c r="P893" i="55" s="1"/>
  <c r="M891" i="18"/>
  <c r="L891" i="18"/>
  <c r="A892" i="18"/>
  <c r="C891" i="18"/>
  <c r="K891" i="18" s="1"/>
  <c r="O893" i="55" l="1"/>
  <c r="J893" i="55"/>
  <c r="L893" i="55" s="1"/>
  <c r="U893" i="55"/>
  <c r="R893" i="55"/>
  <c r="T893" i="55"/>
  <c r="S893" i="55"/>
  <c r="Q893" i="55"/>
  <c r="F893" i="55"/>
  <c r="R891" i="18"/>
  <c r="D893" i="55"/>
  <c r="N893" i="55"/>
  <c r="M893" i="55"/>
  <c r="B892" i="18"/>
  <c r="D892" i="18"/>
  <c r="B894" i="55" s="1"/>
  <c r="E892" i="18"/>
  <c r="K893" i="55" l="1"/>
  <c r="A894" i="55"/>
  <c r="P894" i="55" s="1"/>
  <c r="M892" i="18"/>
  <c r="C894" i="55"/>
  <c r="O892" i="18"/>
  <c r="L892" i="18"/>
  <c r="A893" i="18"/>
  <c r="J894" i="55"/>
  <c r="O894" i="55"/>
  <c r="C892" i="18"/>
  <c r="K892" i="18" s="1"/>
  <c r="F894" i="55" l="1"/>
  <c r="U894" i="55"/>
  <c r="R894" i="55"/>
  <c r="T894" i="55"/>
  <c r="S894" i="55"/>
  <c r="Q894" i="55"/>
  <c r="R892" i="18"/>
  <c r="D894" i="55"/>
  <c r="N894" i="55"/>
  <c r="L894" i="55"/>
  <c r="M894" i="55"/>
  <c r="K894" i="55"/>
  <c r="B893" i="18"/>
  <c r="D893" i="18"/>
  <c r="B895" i="55" s="1"/>
  <c r="E893" i="18"/>
  <c r="C895" i="55" l="1"/>
  <c r="O893" i="18"/>
  <c r="A895" i="55"/>
  <c r="P895" i="55" s="1"/>
  <c r="M893" i="18"/>
  <c r="L893" i="18"/>
  <c r="A894" i="18"/>
  <c r="C893" i="18"/>
  <c r="K893" i="18" s="1"/>
  <c r="F895" i="55" l="1"/>
  <c r="J895" i="55"/>
  <c r="K895" i="55" s="1"/>
  <c r="O895" i="55"/>
  <c r="R895" i="55"/>
  <c r="T895" i="55"/>
  <c r="U895" i="55"/>
  <c r="S895" i="55"/>
  <c r="Q895" i="55"/>
  <c r="R893" i="18"/>
  <c r="D895" i="55"/>
  <c r="D894" i="18"/>
  <c r="B896" i="55" s="1"/>
  <c r="E894" i="18"/>
  <c r="B894" i="18"/>
  <c r="N895" i="55" l="1"/>
  <c r="L895" i="55"/>
  <c r="M895" i="55"/>
  <c r="C896" i="55"/>
  <c r="O894" i="18"/>
  <c r="A896" i="55"/>
  <c r="P896" i="55" s="1"/>
  <c r="M894" i="18"/>
  <c r="L894" i="18"/>
  <c r="A895" i="18"/>
  <c r="C894" i="18"/>
  <c r="K894" i="18" s="1"/>
  <c r="J896" i="55" l="1"/>
  <c r="K896" i="55" s="1"/>
  <c r="O896" i="55"/>
  <c r="F896" i="55"/>
  <c r="R896" i="55"/>
  <c r="T896" i="55"/>
  <c r="U896" i="55"/>
  <c r="S896" i="55"/>
  <c r="Q896" i="55"/>
  <c r="R894" i="18"/>
  <c r="D896" i="55"/>
  <c r="N896" i="55"/>
  <c r="M896" i="55"/>
  <c r="L896" i="55"/>
  <c r="D895" i="18"/>
  <c r="B897" i="55" s="1"/>
  <c r="E895" i="18"/>
  <c r="B895" i="18"/>
  <c r="A897" i="55" l="1"/>
  <c r="P897" i="55" s="1"/>
  <c r="M895" i="18"/>
  <c r="C897" i="55"/>
  <c r="O895" i="18"/>
  <c r="L895" i="18"/>
  <c r="A896" i="18"/>
  <c r="O897" i="55"/>
  <c r="C895" i="18"/>
  <c r="K895" i="18" s="1"/>
  <c r="F897" i="55" l="1"/>
  <c r="J897" i="55"/>
  <c r="K897" i="55" s="1"/>
  <c r="T897" i="55"/>
  <c r="U897" i="55"/>
  <c r="R897" i="55"/>
  <c r="S897" i="55"/>
  <c r="Q897" i="55"/>
  <c r="R895" i="18"/>
  <c r="D897" i="55"/>
  <c r="N897" i="55"/>
  <c r="M897" i="55"/>
  <c r="L897" i="55"/>
  <c r="D896" i="18"/>
  <c r="B898" i="55" s="1"/>
  <c r="B896" i="18"/>
  <c r="E896" i="18"/>
  <c r="A898" i="55" l="1"/>
  <c r="P898" i="55" s="1"/>
  <c r="M896" i="18"/>
  <c r="L896" i="18"/>
  <c r="C898" i="55"/>
  <c r="O896" i="18"/>
  <c r="O898" i="55"/>
  <c r="A897" i="18"/>
  <c r="J898" i="55"/>
  <c r="C896" i="18"/>
  <c r="K896" i="18" s="1"/>
  <c r="F898" i="55" l="1"/>
  <c r="R898" i="55"/>
  <c r="T898" i="55"/>
  <c r="U898" i="55"/>
  <c r="S898" i="55"/>
  <c r="Q898" i="55"/>
  <c r="R896" i="18"/>
  <c r="D898" i="55"/>
  <c r="N898" i="55"/>
  <c r="L898" i="55"/>
  <c r="M898" i="55"/>
  <c r="K898" i="55"/>
  <c r="E897" i="18"/>
  <c r="D897" i="18"/>
  <c r="B899" i="55" s="1"/>
  <c r="B897" i="18"/>
  <c r="A899" i="55" l="1"/>
  <c r="P899" i="55" s="1"/>
  <c r="M897" i="18"/>
  <c r="C899" i="55"/>
  <c r="O897" i="18"/>
  <c r="L897" i="18"/>
  <c r="A898" i="18"/>
  <c r="C897" i="18"/>
  <c r="K897" i="18" s="1"/>
  <c r="O899" i="55" l="1"/>
  <c r="J899" i="55"/>
  <c r="L899" i="55" s="1"/>
  <c r="F899" i="55"/>
  <c r="R899" i="55"/>
  <c r="T899" i="55"/>
  <c r="U899" i="55"/>
  <c r="S899" i="55"/>
  <c r="Q899" i="55"/>
  <c r="R897" i="18"/>
  <c r="D899" i="55"/>
  <c r="N899" i="55"/>
  <c r="M899" i="55"/>
  <c r="B898" i="18"/>
  <c r="D898" i="18"/>
  <c r="B900" i="55" s="1"/>
  <c r="E898" i="18"/>
  <c r="K899" i="55" l="1"/>
  <c r="C900" i="55"/>
  <c r="O898" i="18"/>
  <c r="A900" i="55"/>
  <c r="P900" i="55" s="1"/>
  <c r="M898" i="18"/>
  <c r="L898" i="18"/>
  <c r="A899" i="18"/>
  <c r="N898" i="18"/>
  <c r="C898" i="18"/>
  <c r="K898" i="18" s="1"/>
  <c r="E900" i="55" l="1"/>
  <c r="J900" i="55"/>
  <c r="M900" i="55" s="1"/>
  <c r="O900" i="55"/>
  <c r="R900" i="55"/>
  <c r="T900" i="55"/>
  <c r="U900" i="55"/>
  <c r="S900" i="55"/>
  <c r="Q900" i="55"/>
  <c r="F900" i="55"/>
  <c r="R898" i="18"/>
  <c r="D900" i="55"/>
  <c r="N900" i="55"/>
  <c r="D899" i="18"/>
  <c r="B901" i="55" s="1"/>
  <c r="B899" i="18"/>
  <c r="E899" i="18"/>
  <c r="K900" i="55" l="1"/>
  <c r="L900" i="55"/>
  <c r="G900" i="55"/>
  <c r="H900" i="55" s="1"/>
  <c r="I900" i="55" s="1"/>
  <c r="C901" i="55"/>
  <c r="O899" i="18"/>
  <c r="A901" i="55"/>
  <c r="P901" i="55" s="1"/>
  <c r="M899" i="18"/>
  <c r="L899" i="18"/>
  <c r="A900" i="18"/>
  <c r="N899" i="18"/>
  <c r="C899" i="18"/>
  <c r="K899" i="18" s="1"/>
  <c r="O901" i="55" l="1"/>
  <c r="J901" i="55"/>
  <c r="K901" i="55" s="1"/>
  <c r="E901" i="55"/>
  <c r="R901" i="55"/>
  <c r="S901" i="55"/>
  <c r="T901" i="55"/>
  <c r="U901" i="55"/>
  <c r="Q901" i="55"/>
  <c r="F901" i="55"/>
  <c r="R899" i="18"/>
  <c r="D901" i="55"/>
  <c r="N901" i="55"/>
  <c r="B900" i="18"/>
  <c r="D900" i="18"/>
  <c r="B902" i="55" s="1"/>
  <c r="E900" i="18"/>
  <c r="M901" i="55" l="1"/>
  <c r="L901" i="55"/>
  <c r="G901" i="55"/>
  <c r="H901" i="55" s="1"/>
  <c r="I901" i="55" s="1"/>
  <c r="C902" i="55"/>
  <c r="O900" i="18"/>
  <c r="A902" i="55"/>
  <c r="P902" i="55" s="1"/>
  <c r="M900" i="18"/>
  <c r="L900" i="18"/>
  <c r="A901" i="18"/>
  <c r="N900" i="18"/>
  <c r="C900" i="18"/>
  <c r="K900" i="18" s="1"/>
  <c r="E902" i="55" l="1"/>
  <c r="J902" i="55"/>
  <c r="M902" i="55" s="1"/>
  <c r="O902" i="55"/>
  <c r="R902" i="55"/>
  <c r="T902" i="55"/>
  <c r="U902" i="55"/>
  <c r="S902" i="55"/>
  <c r="Q902" i="55"/>
  <c r="F902" i="55"/>
  <c r="R900" i="18"/>
  <c r="D902" i="55"/>
  <c r="N902" i="55"/>
  <c r="B901" i="18"/>
  <c r="D901" i="18"/>
  <c r="B903" i="55" s="1"/>
  <c r="E901" i="18"/>
  <c r="G902" i="55" l="1"/>
  <c r="H902" i="55" s="1"/>
  <c r="I902" i="55" s="1"/>
  <c r="K902" i="55"/>
  <c r="L902" i="55"/>
  <c r="C903" i="55"/>
  <c r="O901" i="18"/>
  <c r="A903" i="55"/>
  <c r="P903" i="55" s="1"/>
  <c r="Q903" i="55" s="1"/>
  <c r="R903" i="55" s="1"/>
  <c r="D203" i="59" s="1"/>
  <c r="M901" i="18"/>
  <c r="L901" i="18"/>
  <c r="A902" i="18"/>
  <c r="N901" i="18"/>
  <c r="C901" i="18"/>
  <c r="K901" i="18" s="1"/>
  <c r="E903" i="55" l="1"/>
  <c r="O903" i="55"/>
  <c r="J903" i="55"/>
  <c r="N903" i="55" s="1"/>
  <c r="F903" i="55"/>
  <c r="R901" i="18"/>
  <c r="D903" i="55"/>
  <c r="K903" i="55"/>
  <c r="B902" i="18"/>
  <c r="D902" i="18"/>
  <c r="B904" i="55" s="1"/>
  <c r="E902" i="18"/>
  <c r="L903" i="55" l="1"/>
  <c r="M903" i="55"/>
  <c r="G903" i="55"/>
  <c r="H903" i="55" s="1"/>
  <c r="I903" i="55" s="1"/>
  <c r="U903" i="55" s="1"/>
  <c r="C904" i="55"/>
  <c r="O902" i="18"/>
  <c r="A904" i="55"/>
  <c r="P904" i="55" s="1"/>
  <c r="L902" i="18"/>
  <c r="M902" i="18"/>
  <c r="A903" i="18"/>
  <c r="N902" i="18"/>
  <c r="C902" i="18"/>
  <c r="K902" i="18" s="1"/>
  <c r="O904" i="55" l="1"/>
  <c r="J904" i="55"/>
  <c r="E904" i="55"/>
  <c r="Q904" i="55" s="1"/>
  <c r="S903" i="55"/>
  <c r="F904" i="55"/>
  <c r="T903" i="55"/>
  <c r="R902" i="18"/>
  <c r="D904" i="55"/>
  <c r="D903" i="18"/>
  <c r="B905" i="55" s="1"/>
  <c r="E903" i="18"/>
  <c r="B903" i="18"/>
  <c r="G904" i="55" l="1"/>
  <c r="H904" i="55" s="1"/>
  <c r="A905" i="55"/>
  <c r="P905" i="55" s="1"/>
  <c r="M903" i="18"/>
  <c r="C905" i="55"/>
  <c r="O903" i="18"/>
  <c r="L903" i="18"/>
  <c r="A904" i="18"/>
  <c r="O905" i="55"/>
  <c r="J905" i="55"/>
  <c r="N903" i="18"/>
  <c r="C903" i="18"/>
  <c r="K903" i="18" s="1"/>
  <c r="E905" i="55" l="1"/>
  <c r="Q905" i="55" s="1"/>
  <c r="F905" i="55"/>
  <c r="R905" i="55" s="1"/>
  <c r="D205" i="59" s="1"/>
  <c r="R903" i="18"/>
  <c r="D905" i="55"/>
  <c r="I904" i="55"/>
  <c r="N905" i="55"/>
  <c r="M905" i="55"/>
  <c r="L905" i="55"/>
  <c r="K905" i="55"/>
  <c r="B904" i="18"/>
  <c r="A906" i="55" s="1"/>
  <c r="P906" i="55" s="1"/>
  <c r="D904" i="18"/>
  <c r="B906" i="55" s="1"/>
  <c r="E904" i="18"/>
  <c r="M904" i="18" l="1"/>
  <c r="G905" i="55"/>
  <c r="H905" i="55" s="1"/>
  <c r="I905" i="55" s="1"/>
  <c r="U905" i="55" s="1"/>
  <c r="C906" i="55"/>
  <c r="O904" i="18"/>
  <c r="L904" i="18"/>
  <c r="A905" i="18"/>
  <c r="N904" i="18"/>
  <c r="O906" i="55"/>
  <c r="J906" i="55"/>
  <c r="C904" i="18"/>
  <c r="K904" i="18" s="1"/>
  <c r="S905" i="55" l="1"/>
  <c r="E906" i="55"/>
  <c r="Q906" i="55" s="1"/>
  <c r="F906" i="55"/>
  <c r="R906" i="55" s="1"/>
  <c r="D206" i="59" s="1"/>
  <c r="R904" i="18"/>
  <c r="D906" i="55"/>
  <c r="T905" i="55"/>
  <c r="N906" i="55"/>
  <c r="L906" i="55"/>
  <c r="M906" i="55"/>
  <c r="K906" i="55"/>
  <c r="D905" i="18"/>
  <c r="B907" i="55" s="1"/>
  <c r="E905" i="18"/>
  <c r="B905" i="18"/>
  <c r="G906" i="55" l="1"/>
  <c r="H906" i="55" s="1"/>
  <c r="C907" i="55"/>
  <c r="O905" i="18"/>
  <c r="A907" i="55"/>
  <c r="P907" i="55" s="1"/>
  <c r="M905" i="18"/>
  <c r="L905" i="18"/>
  <c r="A906" i="18"/>
  <c r="N905" i="18"/>
  <c r="C905" i="18"/>
  <c r="K905" i="18" s="1"/>
  <c r="O907" i="55" l="1"/>
  <c r="J907" i="55"/>
  <c r="L907" i="55" s="1"/>
  <c r="E907" i="55"/>
  <c r="S906" i="55"/>
  <c r="F907" i="55"/>
  <c r="R907" i="55"/>
  <c r="T907" i="55"/>
  <c r="U907" i="55"/>
  <c r="S907" i="55"/>
  <c r="Q907" i="55"/>
  <c r="R905" i="18"/>
  <c r="D907" i="55"/>
  <c r="I906" i="55"/>
  <c r="T906" i="55"/>
  <c r="N907" i="55"/>
  <c r="M907" i="55"/>
  <c r="K907" i="55"/>
  <c r="B906" i="18"/>
  <c r="D906" i="18"/>
  <c r="B908" i="55" s="1"/>
  <c r="E906" i="18"/>
  <c r="G907" i="55" l="1"/>
  <c r="H907" i="55" s="1"/>
  <c r="I907" i="55" s="1"/>
  <c r="C908" i="55"/>
  <c r="O906" i="18"/>
  <c r="A908" i="55"/>
  <c r="P908" i="55" s="1"/>
  <c r="M906" i="18"/>
  <c r="L906" i="18"/>
  <c r="U906" i="55"/>
  <c r="A907" i="18"/>
  <c r="N906" i="18"/>
  <c r="J908" i="55"/>
  <c r="C906" i="18"/>
  <c r="K906" i="18" s="1"/>
  <c r="O908" i="55" l="1"/>
  <c r="F908" i="55"/>
  <c r="E908" i="55"/>
  <c r="R908" i="55"/>
  <c r="T908" i="55"/>
  <c r="U908" i="55"/>
  <c r="S908" i="55"/>
  <c r="Q908" i="55"/>
  <c r="R906" i="18"/>
  <c r="D908" i="55"/>
  <c r="N908" i="55"/>
  <c r="M908" i="55"/>
  <c r="L908" i="55"/>
  <c r="K908" i="55"/>
  <c r="B907" i="18"/>
  <c r="E907" i="18"/>
  <c r="D907" i="18"/>
  <c r="B909" i="55" s="1"/>
  <c r="G908" i="55" l="1"/>
  <c r="H908" i="55" s="1"/>
  <c r="O907" i="18"/>
  <c r="C909" i="55"/>
  <c r="A909" i="55"/>
  <c r="P909" i="55" s="1"/>
  <c r="M907" i="18"/>
  <c r="L907" i="18"/>
  <c r="A908" i="18"/>
  <c r="N907" i="18"/>
  <c r="C907" i="18"/>
  <c r="K907" i="18" s="1"/>
  <c r="J909" i="55" l="1"/>
  <c r="O909" i="55"/>
  <c r="E909" i="55"/>
  <c r="I908" i="55"/>
  <c r="F909" i="55"/>
  <c r="T909" i="55"/>
  <c r="R909" i="55"/>
  <c r="U909" i="55"/>
  <c r="S909" i="55"/>
  <c r="Q909" i="55"/>
  <c r="R907" i="18"/>
  <c r="D909" i="55"/>
  <c r="N909" i="55"/>
  <c r="M909" i="55"/>
  <c r="L909" i="55"/>
  <c r="K909" i="55"/>
  <c r="E908" i="18"/>
  <c r="D908" i="18"/>
  <c r="B910" i="55" s="1"/>
  <c r="B908" i="18"/>
  <c r="G909" i="55" l="1"/>
  <c r="H909" i="55" s="1"/>
  <c r="A910" i="55"/>
  <c r="P910" i="55" s="1"/>
  <c r="M908" i="18"/>
  <c r="O908" i="18"/>
  <c r="C910" i="55"/>
  <c r="L908" i="18"/>
  <c r="A909" i="18"/>
  <c r="N908" i="18"/>
  <c r="O910" i="55"/>
  <c r="C908" i="18"/>
  <c r="K908" i="18" s="1"/>
  <c r="J910" i="55" l="1"/>
  <c r="K910" i="55" s="1"/>
  <c r="E910" i="55"/>
  <c r="I909" i="55"/>
  <c r="F910" i="55"/>
  <c r="R910" i="55"/>
  <c r="T910" i="55"/>
  <c r="U910" i="55"/>
  <c r="S910" i="55"/>
  <c r="Q910" i="55"/>
  <c r="R908" i="18"/>
  <c r="D910" i="55"/>
  <c r="N910" i="55"/>
  <c r="L910" i="55"/>
  <c r="M910" i="55"/>
  <c r="D909" i="18"/>
  <c r="B911" i="55" s="1"/>
  <c r="E909" i="18"/>
  <c r="B909" i="18"/>
  <c r="G910" i="55" l="1"/>
  <c r="H910" i="55" s="1"/>
  <c r="I910" i="55" s="1"/>
  <c r="A911" i="55"/>
  <c r="P911" i="55" s="1"/>
  <c r="M909" i="18"/>
  <c r="C911" i="55"/>
  <c r="O909" i="18"/>
  <c r="L909" i="18"/>
  <c r="A910" i="18"/>
  <c r="J911" i="55"/>
  <c r="N909" i="18"/>
  <c r="C909" i="18"/>
  <c r="K909" i="18" s="1"/>
  <c r="O911" i="55" l="1"/>
  <c r="E911" i="55"/>
  <c r="F911" i="55"/>
  <c r="R911" i="55"/>
  <c r="S911" i="55"/>
  <c r="T911" i="55"/>
  <c r="U911" i="55"/>
  <c r="Q911" i="55"/>
  <c r="R909" i="18"/>
  <c r="D911" i="55"/>
  <c r="N911" i="55"/>
  <c r="M911" i="55"/>
  <c r="L911" i="55"/>
  <c r="K911" i="55"/>
  <c r="E910" i="18"/>
  <c r="D910" i="18"/>
  <c r="B912" i="55" s="1"/>
  <c r="B910" i="18"/>
  <c r="G911" i="55" l="1"/>
  <c r="H911" i="55" s="1"/>
  <c r="I911" i="55" s="1"/>
  <c r="A912" i="55"/>
  <c r="P912" i="55" s="1"/>
  <c r="M910" i="18"/>
  <c r="C912" i="55"/>
  <c r="O910" i="18"/>
  <c r="L910" i="18"/>
  <c r="A911" i="18"/>
  <c r="O912" i="55"/>
  <c r="J912" i="55"/>
  <c r="N910" i="18"/>
  <c r="C910" i="18"/>
  <c r="K910" i="18" s="1"/>
  <c r="E912" i="55" l="1"/>
  <c r="F912" i="55"/>
  <c r="U912" i="55"/>
  <c r="R912" i="55"/>
  <c r="S912" i="55"/>
  <c r="T912" i="55"/>
  <c r="Q912" i="55"/>
  <c r="R910" i="18"/>
  <c r="D912" i="55"/>
  <c r="N912" i="55"/>
  <c r="M912" i="55"/>
  <c r="L912" i="55"/>
  <c r="K912" i="55"/>
  <c r="B911" i="18"/>
  <c r="D911" i="18"/>
  <c r="B913" i="55" s="1"/>
  <c r="E911" i="18"/>
  <c r="C913" i="55" l="1"/>
  <c r="O911" i="18"/>
  <c r="A913" i="55"/>
  <c r="P913" i="55" s="1"/>
  <c r="M911" i="18"/>
  <c r="G912" i="55"/>
  <c r="H912" i="55" s="1"/>
  <c r="I912" i="55" s="1"/>
  <c r="L911" i="18"/>
  <c r="A912" i="18"/>
  <c r="N911" i="18"/>
  <c r="C911" i="18"/>
  <c r="K911" i="18" s="1"/>
  <c r="J913" i="55" l="1"/>
  <c r="K913" i="55" s="1"/>
  <c r="O913" i="55"/>
  <c r="F913" i="55"/>
  <c r="E913" i="55"/>
  <c r="T913" i="55"/>
  <c r="U913" i="55"/>
  <c r="R913" i="55"/>
  <c r="S913" i="55"/>
  <c r="Q913" i="55"/>
  <c r="R911" i="18"/>
  <c r="D913" i="55"/>
  <c r="N913" i="55"/>
  <c r="M913" i="55"/>
  <c r="B912" i="18"/>
  <c r="D912" i="18"/>
  <c r="B914" i="55" s="1"/>
  <c r="E912" i="18"/>
  <c r="L913" i="55" l="1"/>
  <c r="G913" i="55"/>
  <c r="H913" i="55" s="1"/>
  <c r="I913" i="55" s="1"/>
  <c r="C914" i="55"/>
  <c r="O912" i="18"/>
  <c r="A914" i="55"/>
  <c r="P914" i="55" s="1"/>
  <c r="M912" i="18"/>
  <c r="L912" i="18"/>
  <c r="A913" i="18"/>
  <c r="N912" i="18"/>
  <c r="C912" i="18"/>
  <c r="K912" i="18" s="1"/>
  <c r="J914" i="55" l="1"/>
  <c r="L914" i="55" s="1"/>
  <c r="F914" i="55"/>
  <c r="O914" i="55"/>
  <c r="E914" i="55"/>
  <c r="R914" i="55"/>
  <c r="T914" i="55"/>
  <c r="U914" i="55"/>
  <c r="S914" i="55"/>
  <c r="Q914" i="55"/>
  <c r="R912" i="18"/>
  <c r="D914" i="55"/>
  <c r="N914" i="55"/>
  <c r="M914" i="55"/>
  <c r="K914" i="55"/>
  <c r="B913" i="18"/>
  <c r="E913" i="18"/>
  <c r="D913" i="18"/>
  <c r="B915" i="55" s="1"/>
  <c r="G914" i="55" l="1"/>
  <c r="H914" i="55" s="1"/>
  <c r="I914" i="55" s="1"/>
  <c r="C915" i="55"/>
  <c r="O913" i="18"/>
  <c r="A915" i="55"/>
  <c r="P915" i="55" s="1"/>
  <c r="M913" i="18"/>
  <c r="L913" i="18"/>
  <c r="A914" i="18"/>
  <c r="N913" i="18"/>
  <c r="C913" i="18"/>
  <c r="K913" i="18" s="1"/>
  <c r="J915" i="55" l="1"/>
  <c r="M915" i="55" s="1"/>
  <c r="O915" i="55"/>
  <c r="F915" i="55"/>
  <c r="E915" i="55"/>
  <c r="T915" i="55"/>
  <c r="U915" i="55"/>
  <c r="S915" i="55"/>
  <c r="R915" i="55"/>
  <c r="Q915" i="55"/>
  <c r="R913" i="18"/>
  <c r="D915" i="55"/>
  <c r="N915" i="55"/>
  <c r="L915" i="55"/>
  <c r="K915" i="55"/>
  <c r="B914" i="18"/>
  <c r="E914" i="18"/>
  <c r="D914" i="18"/>
  <c r="B916" i="55" s="1"/>
  <c r="G915" i="55" l="1"/>
  <c r="H915" i="55" s="1"/>
  <c r="I915" i="55" s="1"/>
  <c r="C916" i="55"/>
  <c r="O914" i="18"/>
  <c r="A916" i="55"/>
  <c r="P916" i="55" s="1"/>
  <c r="M914" i="18"/>
  <c r="L914" i="18"/>
  <c r="A915" i="18"/>
  <c r="N914" i="18"/>
  <c r="C914" i="18"/>
  <c r="K914" i="18" s="1"/>
  <c r="J916" i="55" l="1"/>
  <c r="M916" i="55" s="1"/>
  <c r="O916" i="55"/>
  <c r="F916" i="55"/>
  <c r="E916" i="55"/>
  <c r="T916" i="55"/>
  <c r="U916" i="55"/>
  <c r="S916" i="55"/>
  <c r="R916" i="55"/>
  <c r="Q916" i="55"/>
  <c r="R914" i="18"/>
  <c r="D916" i="55"/>
  <c r="N916" i="55"/>
  <c r="L916" i="55"/>
  <c r="D915" i="18"/>
  <c r="B917" i="55" s="1"/>
  <c r="E915" i="18"/>
  <c r="B915" i="18"/>
  <c r="K916" i="55" l="1"/>
  <c r="G916" i="55"/>
  <c r="H916" i="55" s="1"/>
  <c r="I916" i="55" s="1"/>
  <c r="A917" i="55"/>
  <c r="P917" i="55" s="1"/>
  <c r="M915" i="18"/>
  <c r="C917" i="55"/>
  <c r="O915" i="18"/>
  <c r="L915" i="18"/>
  <c r="A916" i="18"/>
  <c r="J917" i="55"/>
  <c r="O917" i="55"/>
  <c r="N915" i="18"/>
  <c r="C915" i="18"/>
  <c r="K915" i="18" s="1"/>
  <c r="E917" i="55" l="1"/>
  <c r="F917" i="55"/>
  <c r="R917" i="55"/>
  <c r="S917" i="55"/>
  <c r="T917" i="55"/>
  <c r="U917" i="55"/>
  <c r="Q917" i="55"/>
  <c r="R915" i="18"/>
  <c r="D917" i="55"/>
  <c r="N917" i="55"/>
  <c r="M917" i="55"/>
  <c r="L917" i="55"/>
  <c r="K917" i="55"/>
  <c r="B916" i="18"/>
  <c r="D916" i="18"/>
  <c r="B918" i="55" s="1"/>
  <c r="E916" i="18"/>
  <c r="C918" i="55" l="1"/>
  <c r="O916" i="18"/>
  <c r="A918" i="55"/>
  <c r="P918" i="55" s="1"/>
  <c r="M916" i="18"/>
  <c r="G917" i="55"/>
  <c r="H917" i="55" s="1"/>
  <c r="I917" i="55" s="1"/>
  <c r="L916" i="18"/>
  <c r="A917" i="18"/>
  <c r="N916" i="18"/>
  <c r="C916" i="18"/>
  <c r="K916" i="18" s="1"/>
  <c r="J918" i="55" l="1"/>
  <c r="K918" i="55" s="1"/>
  <c r="O918" i="55"/>
  <c r="F918" i="55"/>
  <c r="E918" i="55"/>
  <c r="R918" i="55"/>
  <c r="S918" i="55"/>
  <c r="T918" i="55"/>
  <c r="U918" i="55"/>
  <c r="Q918" i="55"/>
  <c r="R916" i="18"/>
  <c r="D918" i="55"/>
  <c r="D917" i="18"/>
  <c r="B919" i="55" s="1"/>
  <c r="E917" i="18"/>
  <c r="B917" i="18"/>
  <c r="L918" i="55" l="1"/>
  <c r="N918" i="55"/>
  <c r="M918" i="55"/>
  <c r="G918" i="55"/>
  <c r="H918" i="55" s="1"/>
  <c r="I918" i="55" s="1"/>
  <c r="A919" i="55"/>
  <c r="P919" i="55" s="1"/>
  <c r="M917" i="18"/>
  <c r="C919" i="55"/>
  <c r="O917" i="18"/>
  <c r="L917" i="18"/>
  <c r="A918" i="18"/>
  <c r="J919" i="55"/>
  <c r="N917" i="18"/>
  <c r="C917" i="18"/>
  <c r="K917" i="18" s="1"/>
  <c r="O919" i="55" l="1"/>
  <c r="E919" i="55"/>
  <c r="F919" i="55"/>
  <c r="R919" i="55"/>
  <c r="T919" i="55"/>
  <c r="U919" i="55"/>
  <c r="S919" i="55"/>
  <c r="Q919" i="55"/>
  <c r="R917" i="18"/>
  <c r="D919" i="55"/>
  <c r="N919" i="55"/>
  <c r="L919" i="55"/>
  <c r="M919" i="55"/>
  <c r="K919" i="55"/>
  <c r="E918" i="18"/>
  <c r="D918" i="18"/>
  <c r="B920" i="55" s="1"/>
  <c r="B918" i="18"/>
  <c r="G919" i="55" l="1"/>
  <c r="H919" i="55" s="1"/>
  <c r="I919" i="55" s="1"/>
  <c r="A920" i="55"/>
  <c r="P920" i="55" s="1"/>
  <c r="M918" i="18"/>
  <c r="C920" i="55"/>
  <c r="O918" i="18"/>
  <c r="L918" i="18"/>
  <c r="A919" i="18"/>
  <c r="N918" i="18"/>
  <c r="O920" i="55"/>
  <c r="J920" i="55"/>
  <c r="C918" i="18"/>
  <c r="K918" i="18" s="1"/>
  <c r="E920" i="55" l="1"/>
  <c r="F920" i="55"/>
  <c r="R920" i="55"/>
  <c r="T920" i="55"/>
  <c r="U920" i="55"/>
  <c r="S920" i="55"/>
  <c r="Q920" i="55"/>
  <c r="R918" i="18"/>
  <c r="D920" i="55"/>
  <c r="N920" i="55"/>
  <c r="M920" i="55"/>
  <c r="L920" i="55"/>
  <c r="K920" i="55"/>
  <c r="E919" i="18"/>
  <c r="B919" i="18"/>
  <c r="D919" i="18"/>
  <c r="B921" i="55" s="1"/>
  <c r="G920" i="55" l="1"/>
  <c r="H920" i="55" s="1"/>
  <c r="I920" i="55" s="1"/>
  <c r="A921" i="55"/>
  <c r="P921" i="55" s="1"/>
  <c r="Q921" i="55" s="1"/>
  <c r="M919" i="18"/>
  <c r="C921" i="55"/>
  <c r="O919" i="18"/>
  <c r="L919" i="18"/>
  <c r="A920" i="18"/>
  <c r="N919" i="18"/>
  <c r="J921" i="55"/>
  <c r="O921" i="55"/>
  <c r="C919" i="18"/>
  <c r="K919" i="18" s="1"/>
  <c r="E921" i="55" l="1"/>
  <c r="F921" i="55"/>
  <c r="R919" i="18"/>
  <c r="D921" i="55"/>
  <c r="N921" i="55"/>
  <c r="M921" i="55"/>
  <c r="L921" i="55"/>
  <c r="K921" i="55"/>
  <c r="B920" i="18"/>
  <c r="D920" i="18"/>
  <c r="B922" i="55" s="1"/>
  <c r="E920" i="18"/>
  <c r="G921" i="55" l="1"/>
  <c r="H921" i="55" s="1"/>
  <c r="T921" i="55" s="1"/>
  <c r="A922" i="55"/>
  <c r="P922" i="55" s="1"/>
  <c r="L920" i="18"/>
  <c r="M920" i="18"/>
  <c r="C922" i="55"/>
  <c r="O920" i="18"/>
  <c r="A921" i="18"/>
  <c r="N920" i="18"/>
  <c r="O922" i="55"/>
  <c r="C920" i="18"/>
  <c r="K920" i="18" s="1"/>
  <c r="E922" i="55" l="1"/>
  <c r="Q922" i="55" s="1"/>
  <c r="I921" i="55"/>
  <c r="U921" i="55" s="1"/>
  <c r="S921" i="55"/>
  <c r="R921" i="55" s="1"/>
  <c r="D207" i="59" s="1"/>
  <c r="F922" i="55"/>
  <c r="R920" i="18"/>
  <c r="D922" i="55"/>
  <c r="J922" i="55"/>
  <c r="B921" i="18"/>
  <c r="A923" i="55" s="1"/>
  <c r="P923" i="55" s="1"/>
  <c r="E921" i="18"/>
  <c r="D921" i="18"/>
  <c r="B923" i="55" s="1"/>
  <c r="G922" i="55" l="1"/>
  <c r="H922" i="55" s="1"/>
  <c r="C923" i="55"/>
  <c r="O921" i="18"/>
  <c r="L921" i="18"/>
  <c r="M921" i="18"/>
  <c r="N922" i="55"/>
  <c r="L922" i="55"/>
  <c r="M922" i="55"/>
  <c r="K922" i="55"/>
  <c r="A922" i="18"/>
  <c r="N921" i="18"/>
  <c r="J923" i="55"/>
  <c r="O923" i="55"/>
  <c r="C921" i="18"/>
  <c r="K921" i="18" s="1"/>
  <c r="E923" i="55" l="1"/>
  <c r="Q923" i="55" s="1"/>
  <c r="F923" i="55"/>
  <c r="R923" i="55" s="1"/>
  <c r="D209" i="59" s="1"/>
  <c r="R921" i="18"/>
  <c r="D923" i="55"/>
  <c r="I922" i="55"/>
  <c r="N923" i="55"/>
  <c r="M923" i="55"/>
  <c r="L923" i="55"/>
  <c r="K923" i="55"/>
  <c r="E922" i="18"/>
  <c r="B922" i="18"/>
  <c r="D922" i="18"/>
  <c r="B924" i="55" s="1"/>
  <c r="G923" i="55" l="1"/>
  <c r="S923" i="55" s="1"/>
  <c r="C924" i="55"/>
  <c r="O922" i="18"/>
  <c r="A924" i="55"/>
  <c r="P924" i="55" s="1"/>
  <c r="M922" i="18"/>
  <c r="L922" i="18"/>
  <c r="A923" i="18"/>
  <c r="N922" i="18"/>
  <c r="C922" i="18"/>
  <c r="K922" i="18" s="1"/>
  <c r="E924" i="55" l="1"/>
  <c r="Q924" i="55" s="1"/>
  <c r="H923" i="55"/>
  <c r="I923" i="55" s="1"/>
  <c r="J924" i="55"/>
  <c r="N924" i="55" s="1"/>
  <c r="O924" i="55"/>
  <c r="F924" i="55"/>
  <c r="R924" i="55" s="1"/>
  <c r="D210" i="59" s="1"/>
  <c r="R922" i="18"/>
  <c r="D924" i="55"/>
  <c r="D923" i="18"/>
  <c r="B925" i="55" s="1"/>
  <c r="B923" i="18"/>
  <c r="E923" i="18"/>
  <c r="M924" i="55" l="1"/>
  <c r="L924" i="55"/>
  <c r="K924" i="55"/>
  <c r="T923" i="55"/>
  <c r="G924" i="55"/>
  <c r="H924" i="55" s="1"/>
  <c r="C925" i="55"/>
  <c r="O923" i="18"/>
  <c r="A925" i="55"/>
  <c r="P925" i="55" s="1"/>
  <c r="M923" i="18"/>
  <c r="L923" i="18"/>
  <c r="U923" i="55"/>
  <c r="A924" i="18"/>
  <c r="N923" i="18"/>
  <c r="C923" i="18"/>
  <c r="K923" i="18" s="1"/>
  <c r="O925" i="55" l="1"/>
  <c r="J925" i="55"/>
  <c r="N925" i="55" s="1"/>
  <c r="E925" i="55"/>
  <c r="S924" i="55"/>
  <c r="R925" i="55"/>
  <c r="T925" i="55"/>
  <c r="U925" i="55"/>
  <c r="S925" i="55"/>
  <c r="Q925" i="55"/>
  <c r="F925" i="55"/>
  <c r="R923" i="18"/>
  <c r="D925" i="55"/>
  <c r="I924" i="55"/>
  <c r="T924" i="55"/>
  <c r="K925" i="55"/>
  <c r="B924" i="18"/>
  <c r="L924" i="18" s="1"/>
  <c r="D924" i="18"/>
  <c r="B926" i="55" s="1"/>
  <c r="E924" i="18"/>
  <c r="M925" i="55" l="1"/>
  <c r="L925" i="55"/>
  <c r="G925" i="55"/>
  <c r="H925" i="55" s="1"/>
  <c r="I925" i="55" s="1"/>
  <c r="C926" i="55"/>
  <c r="O924" i="18"/>
  <c r="A926" i="55"/>
  <c r="P926" i="55" s="1"/>
  <c r="M924" i="18"/>
  <c r="U924" i="55"/>
  <c r="A925" i="18"/>
  <c r="N924" i="18"/>
  <c r="E926" i="55" s="1"/>
  <c r="C924" i="18"/>
  <c r="K924" i="18" s="1"/>
  <c r="J926" i="55" l="1"/>
  <c r="K926" i="55" s="1"/>
  <c r="O926" i="55"/>
  <c r="R926" i="55"/>
  <c r="T926" i="55"/>
  <c r="U926" i="55"/>
  <c r="S926" i="55"/>
  <c r="Q926" i="55"/>
  <c r="F926" i="55"/>
  <c r="G926" i="55" s="1"/>
  <c r="H926" i="55" s="1"/>
  <c r="R924" i="18"/>
  <c r="D926" i="55"/>
  <c r="N926" i="55"/>
  <c r="M926" i="55"/>
  <c r="L926" i="55"/>
  <c r="B925" i="18"/>
  <c r="D925" i="18"/>
  <c r="B927" i="55" s="1"/>
  <c r="E925" i="18"/>
  <c r="C927" i="55" l="1"/>
  <c r="O925" i="18"/>
  <c r="A927" i="55"/>
  <c r="P927" i="55" s="1"/>
  <c r="M925" i="18"/>
  <c r="L925" i="18"/>
  <c r="I926" i="55"/>
  <c r="A926" i="18"/>
  <c r="N925" i="18"/>
  <c r="C925" i="18"/>
  <c r="K925" i="18" s="1"/>
  <c r="E927" i="55" l="1"/>
  <c r="O927" i="55"/>
  <c r="J927" i="55"/>
  <c r="M927" i="55" s="1"/>
  <c r="R927" i="55"/>
  <c r="T927" i="55"/>
  <c r="U927" i="55"/>
  <c r="S927" i="55"/>
  <c r="Q927" i="55"/>
  <c r="F927" i="55"/>
  <c r="R925" i="18"/>
  <c r="D927" i="55"/>
  <c r="D926" i="18"/>
  <c r="B928" i="55" s="1"/>
  <c r="E926" i="18"/>
  <c r="B926" i="18"/>
  <c r="G927" i="55" l="1"/>
  <c r="H927" i="55" s="1"/>
  <c r="N927" i="55"/>
  <c r="L927" i="55"/>
  <c r="K927" i="55"/>
  <c r="A928" i="55"/>
  <c r="P928" i="55" s="1"/>
  <c r="M926" i="18"/>
  <c r="C928" i="55"/>
  <c r="O926" i="18"/>
  <c r="L926" i="18"/>
  <c r="A927" i="18"/>
  <c r="O928" i="55"/>
  <c r="J928" i="55"/>
  <c r="N926" i="18"/>
  <c r="C926" i="18"/>
  <c r="K926" i="18" s="1"/>
  <c r="I927" i="55" l="1"/>
  <c r="E928" i="55"/>
  <c r="F928" i="55"/>
  <c r="R928" i="55"/>
  <c r="T928" i="55"/>
  <c r="U928" i="55"/>
  <c r="S928" i="55"/>
  <c r="Q928" i="55"/>
  <c r="R926" i="18"/>
  <c r="D928" i="55"/>
  <c r="N928" i="55"/>
  <c r="L928" i="55"/>
  <c r="M928" i="55"/>
  <c r="K928" i="55"/>
  <c r="D927" i="18"/>
  <c r="B929" i="55" s="1"/>
  <c r="B927" i="18"/>
  <c r="E927" i="18"/>
  <c r="G928" i="55" l="1"/>
  <c r="H928" i="55" s="1"/>
  <c r="I928" i="55" s="1"/>
  <c r="C929" i="55"/>
  <c r="O927" i="18"/>
  <c r="A929" i="55"/>
  <c r="P929" i="55" s="1"/>
  <c r="M927" i="18"/>
  <c r="L927" i="18"/>
  <c r="A928" i="18"/>
  <c r="N927" i="18"/>
  <c r="C927" i="18"/>
  <c r="K927" i="18" s="1"/>
  <c r="O929" i="55" l="1"/>
  <c r="J929" i="55"/>
  <c r="M929" i="55" s="1"/>
  <c r="E929" i="55"/>
  <c r="T929" i="55"/>
  <c r="U929" i="55"/>
  <c r="R929" i="55"/>
  <c r="S929" i="55"/>
  <c r="Q929" i="55"/>
  <c r="F929" i="55"/>
  <c r="R927" i="18"/>
  <c r="D929" i="55"/>
  <c r="N929" i="55"/>
  <c r="E928" i="18"/>
  <c r="B928" i="18"/>
  <c r="D928" i="18"/>
  <c r="B930" i="55" s="1"/>
  <c r="K929" i="55" l="1"/>
  <c r="L929" i="55"/>
  <c r="A930" i="55"/>
  <c r="P930" i="55" s="1"/>
  <c r="M928" i="18"/>
  <c r="C930" i="55"/>
  <c r="O928" i="18"/>
  <c r="G929" i="55"/>
  <c r="H929" i="55" s="1"/>
  <c r="I929" i="55" s="1"/>
  <c r="L928" i="18"/>
  <c r="A929" i="18"/>
  <c r="O930" i="55"/>
  <c r="J930" i="55"/>
  <c r="N928" i="18"/>
  <c r="C928" i="18"/>
  <c r="K928" i="18" s="1"/>
  <c r="F930" i="55" l="1"/>
  <c r="E930" i="55"/>
  <c r="R930" i="55"/>
  <c r="T930" i="55"/>
  <c r="U930" i="55"/>
  <c r="S930" i="55"/>
  <c r="Q930" i="55"/>
  <c r="R928" i="18"/>
  <c r="D930" i="55"/>
  <c r="N930" i="55"/>
  <c r="M930" i="55"/>
  <c r="L930" i="55"/>
  <c r="K930" i="55"/>
  <c r="E929" i="18"/>
  <c r="D929" i="18"/>
  <c r="B931" i="55" s="1"/>
  <c r="B929" i="18"/>
  <c r="G930" i="55" l="1"/>
  <c r="H930" i="55" s="1"/>
  <c r="I930" i="55" s="1"/>
  <c r="A931" i="55"/>
  <c r="P931" i="55" s="1"/>
  <c r="M929" i="18"/>
  <c r="C931" i="55"/>
  <c r="O929" i="18"/>
  <c r="L929" i="18"/>
  <c r="A930" i="18"/>
  <c r="N929" i="18"/>
  <c r="O931" i="55"/>
  <c r="J931" i="55"/>
  <c r="C929" i="18"/>
  <c r="K929" i="18" s="1"/>
  <c r="F931" i="55" l="1"/>
  <c r="E931" i="55"/>
  <c r="T931" i="55"/>
  <c r="R931" i="55"/>
  <c r="S931" i="55"/>
  <c r="U931" i="55"/>
  <c r="Q931" i="55"/>
  <c r="R929" i="18"/>
  <c r="D931" i="55"/>
  <c r="N931" i="55"/>
  <c r="M931" i="55"/>
  <c r="L931" i="55"/>
  <c r="K931" i="55"/>
  <c r="B930" i="18"/>
  <c r="D930" i="18"/>
  <c r="B932" i="55" s="1"/>
  <c r="E930" i="18"/>
  <c r="G931" i="55" l="1"/>
  <c r="H931" i="55" s="1"/>
  <c r="I931" i="55" s="1"/>
  <c r="C932" i="55"/>
  <c r="O930" i="18"/>
  <c r="A932" i="55"/>
  <c r="P932" i="55" s="1"/>
  <c r="M930" i="18"/>
  <c r="L930" i="18"/>
  <c r="A931" i="18"/>
  <c r="N930" i="18"/>
  <c r="C930" i="18"/>
  <c r="K930" i="18" s="1"/>
  <c r="J932" i="55" l="1"/>
  <c r="L932" i="55" s="1"/>
  <c r="E932" i="55"/>
  <c r="O932" i="55"/>
  <c r="R932" i="55"/>
  <c r="T932" i="55"/>
  <c r="S932" i="55"/>
  <c r="U932" i="55"/>
  <c r="Q932" i="55"/>
  <c r="F932" i="55"/>
  <c r="R930" i="18"/>
  <c r="D932" i="55"/>
  <c r="N932" i="55"/>
  <c r="M932" i="55"/>
  <c r="B931" i="18"/>
  <c r="D931" i="18"/>
  <c r="B933" i="55" s="1"/>
  <c r="E931" i="18"/>
  <c r="K932" i="55" l="1"/>
  <c r="G932" i="55"/>
  <c r="H932" i="55" s="1"/>
  <c r="I932" i="55" s="1"/>
  <c r="C933" i="55"/>
  <c r="O931" i="18"/>
  <c r="A933" i="55"/>
  <c r="P933" i="55" s="1"/>
  <c r="M931" i="18"/>
  <c r="L931" i="18"/>
  <c r="A932" i="18"/>
  <c r="N931" i="18"/>
  <c r="C931" i="18"/>
  <c r="K931" i="18" s="1"/>
  <c r="E933" i="55" l="1"/>
  <c r="O933" i="55"/>
  <c r="J933" i="55"/>
  <c r="L933" i="55" s="1"/>
  <c r="R933" i="55"/>
  <c r="S933" i="55"/>
  <c r="T933" i="55"/>
  <c r="U933" i="55"/>
  <c r="Q933" i="55"/>
  <c r="F933" i="55"/>
  <c r="R931" i="18"/>
  <c r="D933" i="55"/>
  <c r="N933" i="55"/>
  <c r="B932" i="18"/>
  <c r="E932" i="18"/>
  <c r="D932" i="18"/>
  <c r="B934" i="55" s="1"/>
  <c r="M933" i="55" l="1"/>
  <c r="G933" i="55"/>
  <c r="H933" i="55" s="1"/>
  <c r="I933" i="55" s="1"/>
  <c r="K933" i="55"/>
  <c r="C934" i="55"/>
  <c r="O932" i="18"/>
  <c r="A934" i="55"/>
  <c r="P934" i="55" s="1"/>
  <c r="M932" i="18"/>
  <c r="L932" i="18"/>
  <c r="A933" i="18"/>
  <c r="N932" i="18"/>
  <c r="C932" i="18"/>
  <c r="K932" i="18" s="1"/>
  <c r="E934" i="55" l="1"/>
  <c r="J934" i="55"/>
  <c r="L934" i="55" s="1"/>
  <c r="O934" i="55"/>
  <c r="R934" i="55"/>
  <c r="U934" i="55"/>
  <c r="S934" i="55"/>
  <c r="T934" i="55"/>
  <c r="Q934" i="55"/>
  <c r="F934" i="55"/>
  <c r="R932" i="18"/>
  <c r="D934" i="55"/>
  <c r="B933" i="18"/>
  <c r="E933" i="18"/>
  <c r="D933" i="18"/>
  <c r="B935" i="55" s="1"/>
  <c r="N934" i="55" l="1"/>
  <c r="K934" i="55"/>
  <c r="M934" i="55"/>
  <c r="G934" i="55"/>
  <c r="H934" i="55" s="1"/>
  <c r="I934" i="55" s="1"/>
  <c r="C935" i="55"/>
  <c r="O933" i="18"/>
  <c r="A935" i="55"/>
  <c r="P935" i="55" s="1"/>
  <c r="M933" i="18"/>
  <c r="L933" i="18"/>
  <c r="A934" i="18"/>
  <c r="N933" i="18"/>
  <c r="C933" i="18"/>
  <c r="K933" i="18" s="1"/>
  <c r="E935" i="55" l="1"/>
  <c r="J935" i="55"/>
  <c r="K935" i="55" s="1"/>
  <c r="O935" i="55"/>
  <c r="R935" i="55"/>
  <c r="T935" i="55"/>
  <c r="U935" i="55"/>
  <c r="S935" i="55"/>
  <c r="Q935" i="55"/>
  <c r="F935" i="55"/>
  <c r="R933" i="18"/>
  <c r="D935" i="55"/>
  <c r="N935" i="55"/>
  <c r="B934" i="18"/>
  <c r="E934" i="18"/>
  <c r="D934" i="18"/>
  <c r="B936" i="55" s="1"/>
  <c r="G935" i="55" l="1"/>
  <c r="H935" i="55" s="1"/>
  <c r="I935" i="55" s="1"/>
  <c r="L935" i="55"/>
  <c r="M935" i="55"/>
  <c r="C936" i="55"/>
  <c r="O934" i="18"/>
  <c r="A936" i="55"/>
  <c r="P936" i="55" s="1"/>
  <c r="M934" i="18"/>
  <c r="L934" i="18"/>
  <c r="A935" i="18"/>
  <c r="N934" i="18"/>
  <c r="C934" i="18"/>
  <c r="K934" i="18" s="1"/>
  <c r="J936" i="55" l="1"/>
  <c r="O936" i="55"/>
  <c r="E936" i="55"/>
  <c r="R936" i="55"/>
  <c r="T936" i="55"/>
  <c r="U936" i="55"/>
  <c r="S936" i="55"/>
  <c r="Q936" i="55"/>
  <c r="F936" i="55"/>
  <c r="R934" i="18"/>
  <c r="D936" i="55"/>
  <c r="N936" i="55"/>
  <c r="M936" i="55"/>
  <c r="L936" i="55"/>
  <c r="K936" i="55"/>
  <c r="D935" i="18"/>
  <c r="B937" i="55" s="1"/>
  <c r="E935" i="18"/>
  <c r="B935" i="18"/>
  <c r="G936" i="55" l="1"/>
  <c r="H936" i="55" s="1"/>
  <c r="I936" i="55" s="1"/>
  <c r="A937" i="55"/>
  <c r="P937" i="55" s="1"/>
  <c r="M935" i="18"/>
  <c r="C937" i="55"/>
  <c r="O935" i="18"/>
  <c r="L935" i="18"/>
  <c r="A936" i="18"/>
  <c r="J937" i="55"/>
  <c r="O937" i="55"/>
  <c r="N935" i="18"/>
  <c r="C935" i="18"/>
  <c r="K935" i="18" s="1"/>
  <c r="E937" i="55" l="1"/>
  <c r="F937" i="55"/>
  <c r="T937" i="55"/>
  <c r="U937" i="55"/>
  <c r="S937" i="55"/>
  <c r="R937" i="55"/>
  <c r="Q937" i="55"/>
  <c r="R935" i="18"/>
  <c r="D937" i="55"/>
  <c r="N937" i="55"/>
  <c r="M937" i="55"/>
  <c r="L937" i="55"/>
  <c r="K937" i="55"/>
  <c r="E936" i="18"/>
  <c r="B936" i="18"/>
  <c r="D936" i="18"/>
  <c r="B938" i="55" s="1"/>
  <c r="G937" i="55" l="1"/>
  <c r="H937" i="55" s="1"/>
  <c r="I937" i="55" s="1"/>
  <c r="A938" i="55"/>
  <c r="P938" i="55" s="1"/>
  <c r="M936" i="18"/>
  <c r="C938" i="55"/>
  <c r="O936" i="18"/>
  <c r="L936" i="18"/>
  <c r="A937" i="18"/>
  <c r="N936" i="18"/>
  <c r="C936" i="18"/>
  <c r="K936" i="18" s="1"/>
  <c r="O938" i="55" l="1"/>
  <c r="J938" i="55"/>
  <c r="M938" i="55" s="1"/>
  <c r="E938" i="55"/>
  <c r="F938" i="55"/>
  <c r="T938" i="55"/>
  <c r="U938" i="55"/>
  <c r="R938" i="55"/>
  <c r="S938" i="55"/>
  <c r="Q938" i="55"/>
  <c r="R936" i="18"/>
  <c r="D938" i="55"/>
  <c r="N938" i="55"/>
  <c r="B937" i="18"/>
  <c r="E937" i="18"/>
  <c r="D937" i="18"/>
  <c r="B939" i="55" s="1"/>
  <c r="K938" i="55" l="1"/>
  <c r="L938" i="55"/>
  <c r="G938" i="55"/>
  <c r="H938" i="55" s="1"/>
  <c r="I938" i="55" s="1"/>
  <c r="C939" i="55"/>
  <c r="O937" i="18"/>
  <c r="A939" i="55"/>
  <c r="P939" i="55" s="1"/>
  <c r="Q939" i="55" s="1"/>
  <c r="R939" i="55" s="1"/>
  <c r="D211" i="59" s="1"/>
  <c r="M937" i="18"/>
  <c r="L937" i="18"/>
  <c r="A938" i="18"/>
  <c r="N937" i="18"/>
  <c r="C937" i="18"/>
  <c r="K937" i="18" s="1"/>
  <c r="E939" i="55" l="1"/>
  <c r="O939" i="55"/>
  <c r="J939" i="55"/>
  <c r="M939" i="55" s="1"/>
  <c r="F939" i="55"/>
  <c r="R937" i="18"/>
  <c r="D939" i="55"/>
  <c r="B938" i="18"/>
  <c r="E938" i="18"/>
  <c r="D938" i="18"/>
  <c r="B940" i="55" s="1"/>
  <c r="K939" i="55" l="1"/>
  <c r="L939" i="55"/>
  <c r="N939" i="55"/>
  <c r="G939" i="55"/>
  <c r="H939" i="55" s="1"/>
  <c r="O938" i="18"/>
  <c r="C940" i="55"/>
  <c r="L938" i="18"/>
  <c r="M938" i="18"/>
  <c r="A940" i="55"/>
  <c r="P940" i="55" s="1"/>
  <c r="A939" i="18"/>
  <c r="N938" i="18"/>
  <c r="C938" i="18"/>
  <c r="K938" i="18" s="1"/>
  <c r="E940" i="55" l="1"/>
  <c r="Q940" i="55" s="1"/>
  <c r="I939" i="55"/>
  <c r="U939" i="55" s="1"/>
  <c r="T939" i="55"/>
  <c r="S939" i="55"/>
  <c r="O940" i="55"/>
  <c r="F940" i="55"/>
  <c r="J940" i="55"/>
  <c r="R938" i="18"/>
  <c r="D940" i="55"/>
  <c r="D939" i="18"/>
  <c r="B941" i="55" s="1"/>
  <c r="E939" i="18"/>
  <c r="B939" i="18"/>
  <c r="G940" i="55" l="1"/>
  <c r="H940" i="55" s="1"/>
  <c r="A941" i="55"/>
  <c r="P941" i="55" s="1"/>
  <c r="M939" i="18"/>
  <c r="C941" i="55"/>
  <c r="O939" i="18"/>
  <c r="L939" i="18"/>
  <c r="A940" i="18"/>
  <c r="J941" i="55"/>
  <c r="O941" i="55"/>
  <c r="N939" i="18"/>
  <c r="C939" i="18"/>
  <c r="K939" i="18" s="1"/>
  <c r="E941" i="55" l="1"/>
  <c r="Q941" i="55" s="1"/>
  <c r="F941" i="55"/>
  <c r="R941" i="55" s="1"/>
  <c r="D213" i="59" s="1"/>
  <c r="R939" i="18"/>
  <c r="D941" i="55"/>
  <c r="I940" i="55"/>
  <c r="N941" i="55"/>
  <c r="M941" i="55"/>
  <c r="L941" i="55"/>
  <c r="K941" i="55"/>
  <c r="D940" i="18"/>
  <c r="B942" i="55" s="1"/>
  <c r="B940" i="18"/>
  <c r="E940" i="18"/>
  <c r="G941" i="55" l="1"/>
  <c r="H941" i="55" s="1"/>
  <c r="A942" i="55"/>
  <c r="P942" i="55" s="1"/>
  <c r="M940" i="18"/>
  <c r="C942" i="55"/>
  <c r="O940" i="18"/>
  <c r="L940" i="18"/>
  <c r="A941" i="18"/>
  <c r="O942" i="55"/>
  <c r="J942" i="55"/>
  <c r="N940" i="18"/>
  <c r="C940" i="18"/>
  <c r="K940" i="18" s="1"/>
  <c r="E942" i="55" l="1"/>
  <c r="Q942" i="55" s="1"/>
  <c r="S941" i="55"/>
  <c r="F942" i="55"/>
  <c r="R942" i="55" s="1"/>
  <c r="D214" i="59" s="1"/>
  <c r="R940" i="18"/>
  <c r="D942" i="55"/>
  <c r="I941" i="55"/>
  <c r="T941" i="55"/>
  <c r="N942" i="55"/>
  <c r="L942" i="55"/>
  <c r="M942" i="55"/>
  <c r="K942" i="55"/>
  <c r="D941" i="18"/>
  <c r="B943" i="55" s="1"/>
  <c r="B941" i="18"/>
  <c r="E941" i="18"/>
  <c r="G942" i="55" l="1"/>
  <c r="H942" i="55" s="1"/>
  <c r="I942" i="55" s="1"/>
  <c r="U942" i="55" s="1"/>
  <c r="C943" i="55"/>
  <c r="O941" i="18"/>
  <c r="A943" i="55"/>
  <c r="P943" i="55" s="1"/>
  <c r="M941" i="18"/>
  <c r="L941" i="18"/>
  <c r="U941" i="55"/>
  <c r="A942" i="18"/>
  <c r="N941" i="18"/>
  <c r="C941" i="18"/>
  <c r="K941" i="18" s="1"/>
  <c r="E943" i="55" l="1"/>
  <c r="J943" i="55"/>
  <c r="N943" i="55" s="1"/>
  <c r="S942" i="55"/>
  <c r="F943" i="55"/>
  <c r="T943" i="55"/>
  <c r="U943" i="55"/>
  <c r="R943" i="55"/>
  <c r="S943" i="55"/>
  <c r="Q943" i="55"/>
  <c r="O943" i="55"/>
  <c r="R941" i="18"/>
  <c r="D943" i="55"/>
  <c r="T942" i="55"/>
  <c r="E942" i="18"/>
  <c r="D942" i="18"/>
  <c r="B944" i="55" s="1"/>
  <c r="B942" i="18"/>
  <c r="K943" i="55" l="1"/>
  <c r="M943" i="55"/>
  <c r="L943" i="55"/>
  <c r="G943" i="55"/>
  <c r="H943" i="55" s="1"/>
  <c r="I943" i="55" s="1"/>
  <c r="A944" i="55"/>
  <c r="P944" i="55" s="1"/>
  <c r="M942" i="18"/>
  <c r="C944" i="55"/>
  <c r="O942" i="18"/>
  <c r="L942" i="18"/>
  <c r="A943" i="18"/>
  <c r="N942" i="18"/>
  <c r="O944" i="55"/>
  <c r="C942" i="18"/>
  <c r="K942" i="18" s="1"/>
  <c r="E944" i="55" l="1"/>
  <c r="J944" i="55"/>
  <c r="L944" i="55" s="1"/>
  <c r="F944" i="55"/>
  <c r="R944" i="55"/>
  <c r="U944" i="55"/>
  <c r="S944" i="55"/>
  <c r="T944" i="55"/>
  <c r="Q944" i="55"/>
  <c r="R942" i="18"/>
  <c r="D944" i="55"/>
  <c r="K944" i="55"/>
  <c r="B943" i="18"/>
  <c r="D943" i="18"/>
  <c r="B945" i="55" s="1"/>
  <c r="E943" i="18"/>
  <c r="G944" i="55" l="1"/>
  <c r="H944" i="55" s="1"/>
  <c r="I944" i="55" s="1"/>
  <c r="M944" i="55"/>
  <c r="N944" i="55"/>
  <c r="A945" i="55"/>
  <c r="P945" i="55" s="1"/>
  <c r="M943" i="18"/>
  <c r="C945" i="55"/>
  <c r="O943" i="18"/>
  <c r="L943" i="18"/>
  <c r="A944" i="18"/>
  <c r="N943" i="18"/>
  <c r="C943" i="18"/>
  <c r="K943" i="18" s="1"/>
  <c r="J945" i="55" l="1"/>
  <c r="O945" i="55"/>
  <c r="E945" i="55"/>
  <c r="F945" i="55"/>
  <c r="T945" i="55"/>
  <c r="U945" i="55"/>
  <c r="R945" i="55"/>
  <c r="S945" i="55"/>
  <c r="Q945" i="55"/>
  <c r="R943" i="18"/>
  <c r="D945" i="55"/>
  <c r="N945" i="55"/>
  <c r="M945" i="55"/>
  <c r="L945" i="55"/>
  <c r="K945" i="55"/>
  <c r="B944" i="18"/>
  <c r="E944" i="18"/>
  <c r="D944" i="18"/>
  <c r="B946" i="55" s="1"/>
  <c r="G945" i="55" l="1"/>
  <c r="H945" i="55" s="1"/>
  <c r="I945" i="55" s="1"/>
  <c r="C946" i="55"/>
  <c r="O944" i="18"/>
  <c r="A946" i="55"/>
  <c r="P946" i="55" s="1"/>
  <c r="M944" i="18"/>
  <c r="L944" i="18"/>
  <c r="A945" i="18"/>
  <c r="N944" i="18"/>
  <c r="C944" i="18"/>
  <c r="K944" i="18" s="1"/>
  <c r="J946" i="55" l="1"/>
  <c r="M946" i="55" s="1"/>
  <c r="O946" i="55"/>
  <c r="F946" i="55"/>
  <c r="E946" i="55"/>
  <c r="R946" i="55"/>
  <c r="T946" i="55"/>
  <c r="U946" i="55"/>
  <c r="S946" i="55"/>
  <c r="Q946" i="55"/>
  <c r="R944" i="18"/>
  <c r="D946" i="55"/>
  <c r="N946" i="55"/>
  <c r="L946" i="55"/>
  <c r="K946" i="55"/>
  <c r="B945" i="18"/>
  <c r="D945" i="18"/>
  <c r="B947" i="55" s="1"/>
  <c r="E945" i="18"/>
  <c r="G946" i="55" l="1"/>
  <c r="H946" i="55" s="1"/>
  <c r="I946" i="55" s="1"/>
  <c r="C947" i="55"/>
  <c r="O945" i="18"/>
  <c r="A947" i="55"/>
  <c r="P947" i="55" s="1"/>
  <c r="M945" i="18"/>
  <c r="L945" i="18"/>
  <c r="A946" i="18"/>
  <c r="N945" i="18"/>
  <c r="C945" i="18"/>
  <c r="K945" i="18" s="1"/>
  <c r="E947" i="55" l="1"/>
  <c r="J947" i="55"/>
  <c r="M947" i="55" s="1"/>
  <c r="O947" i="55"/>
  <c r="F947" i="55"/>
  <c r="R947" i="55"/>
  <c r="T947" i="55"/>
  <c r="U947" i="55"/>
  <c r="S947" i="55"/>
  <c r="Q947" i="55"/>
  <c r="R945" i="18"/>
  <c r="D947" i="55"/>
  <c r="N947" i="55"/>
  <c r="E946" i="18"/>
  <c r="D946" i="18"/>
  <c r="B948" i="55" s="1"/>
  <c r="B946" i="18"/>
  <c r="K947" i="55" l="1"/>
  <c r="L947" i="55"/>
  <c r="G947" i="55"/>
  <c r="H947" i="55" s="1"/>
  <c r="I947" i="55" s="1"/>
  <c r="A948" i="55"/>
  <c r="P948" i="55" s="1"/>
  <c r="M946" i="18"/>
  <c r="C948" i="55"/>
  <c r="O946" i="18"/>
  <c r="L946" i="18"/>
  <c r="A947" i="18"/>
  <c r="J948" i="55"/>
  <c r="N946" i="18"/>
  <c r="C946" i="18"/>
  <c r="K946" i="18" s="1"/>
  <c r="O948" i="55" l="1"/>
  <c r="E948" i="55"/>
  <c r="F948" i="55"/>
  <c r="R948" i="55"/>
  <c r="T948" i="55"/>
  <c r="U948" i="55"/>
  <c r="S948" i="55"/>
  <c r="Q948" i="55"/>
  <c r="R946" i="18"/>
  <c r="D948" i="55"/>
  <c r="N948" i="55"/>
  <c r="L948" i="55"/>
  <c r="M948" i="55"/>
  <c r="K948" i="55"/>
  <c r="D947" i="18"/>
  <c r="B949" i="55" s="1"/>
  <c r="E947" i="18"/>
  <c r="B947" i="18"/>
  <c r="C949" i="55" l="1"/>
  <c r="O947" i="18"/>
  <c r="A949" i="55"/>
  <c r="P949" i="55" s="1"/>
  <c r="M947" i="18"/>
  <c r="G948" i="55"/>
  <c r="H948" i="55" s="1"/>
  <c r="I948" i="55" s="1"/>
  <c r="L947" i="18"/>
  <c r="A948" i="18"/>
  <c r="N947" i="18"/>
  <c r="C947" i="18"/>
  <c r="K947" i="18" s="1"/>
  <c r="O949" i="55" l="1"/>
  <c r="J949" i="55"/>
  <c r="M949" i="55" s="1"/>
  <c r="F949" i="55"/>
  <c r="E949" i="55"/>
  <c r="R949" i="55"/>
  <c r="T949" i="55"/>
  <c r="U949" i="55"/>
  <c r="S949" i="55"/>
  <c r="Q949" i="55"/>
  <c r="R947" i="18"/>
  <c r="D949" i="55"/>
  <c r="N949" i="55"/>
  <c r="B948" i="18"/>
  <c r="D948" i="18"/>
  <c r="B950" i="55" s="1"/>
  <c r="E948" i="18"/>
  <c r="K949" i="55" l="1"/>
  <c r="L949" i="55"/>
  <c r="G949" i="55"/>
  <c r="H949" i="55" s="1"/>
  <c r="I949" i="55" s="1"/>
  <c r="C950" i="55"/>
  <c r="O948" i="18"/>
  <c r="A950" i="55"/>
  <c r="P950" i="55" s="1"/>
  <c r="M948" i="18"/>
  <c r="L948" i="18"/>
  <c r="A949" i="18"/>
  <c r="N948" i="18"/>
  <c r="C948" i="18"/>
  <c r="K948" i="18" s="1"/>
  <c r="J950" i="55" l="1"/>
  <c r="M950" i="55" s="1"/>
  <c r="O950" i="55"/>
  <c r="E950" i="55"/>
  <c r="F950" i="55"/>
  <c r="R950" i="55"/>
  <c r="T950" i="55"/>
  <c r="U950" i="55"/>
  <c r="S950" i="55"/>
  <c r="Q950" i="55"/>
  <c r="R948" i="18"/>
  <c r="D950" i="55"/>
  <c r="N950" i="55"/>
  <c r="L950" i="55"/>
  <c r="B949" i="18"/>
  <c r="D949" i="18"/>
  <c r="B951" i="55" s="1"/>
  <c r="E949" i="18"/>
  <c r="K950" i="55" l="1"/>
  <c r="G950" i="55"/>
  <c r="H950" i="55" s="1"/>
  <c r="I950" i="55" s="1"/>
  <c r="O949" i="18"/>
  <c r="C951" i="55"/>
  <c r="A951" i="55"/>
  <c r="P951" i="55" s="1"/>
  <c r="M949" i="18"/>
  <c r="L949" i="18"/>
  <c r="A950" i="18"/>
  <c r="N949" i="18"/>
  <c r="C949" i="18"/>
  <c r="K949" i="18" s="1"/>
  <c r="O951" i="55" l="1"/>
  <c r="J951" i="55"/>
  <c r="M951" i="55" s="1"/>
  <c r="F951" i="55"/>
  <c r="E951" i="55"/>
  <c r="R951" i="55"/>
  <c r="T951" i="55"/>
  <c r="U951" i="55"/>
  <c r="S951" i="55"/>
  <c r="Q951" i="55"/>
  <c r="R949" i="18"/>
  <c r="D951" i="55"/>
  <c r="N951" i="55"/>
  <c r="B950" i="18"/>
  <c r="D950" i="18"/>
  <c r="B952" i="55" s="1"/>
  <c r="E950" i="18"/>
  <c r="K951" i="55" l="1"/>
  <c r="L951" i="55"/>
  <c r="G951" i="55"/>
  <c r="H951" i="55" s="1"/>
  <c r="I951" i="55" s="1"/>
  <c r="O950" i="18"/>
  <c r="C952" i="55"/>
  <c r="A952" i="55"/>
  <c r="P952" i="55" s="1"/>
  <c r="M950" i="18"/>
  <c r="L950" i="18"/>
  <c r="A951" i="18"/>
  <c r="N950" i="18"/>
  <c r="C950" i="18"/>
  <c r="K950" i="18" s="1"/>
  <c r="O952" i="55" l="1"/>
  <c r="J952" i="55"/>
  <c r="M952" i="55" s="1"/>
  <c r="F952" i="55"/>
  <c r="E952" i="55"/>
  <c r="R952" i="55"/>
  <c r="T952" i="55"/>
  <c r="U952" i="55"/>
  <c r="S952" i="55"/>
  <c r="Q952" i="55"/>
  <c r="R950" i="18"/>
  <c r="D952" i="55"/>
  <c r="N952" i="55"/>
  <c r="B951" i="18"/>
  <c r="D951" i="18"/>
  <c r="B953" i="55" s="1"/>
  <c r="E951" i="18"/>
  <c r="K952" i="55" l="1"/>
  <c r="G952" i="55"/>
  <c r="H952" i="55" s="1"/>
  <c r="I952" i="55" s="1"/>
  <c r="L952" i="55"/>
  <c r="C953" i="55"/>
  <c r="O951" i="18"/>
  <c r="A953" i="55"/>
  <c r="P953" i="55" s="1"/>
  <c r="M951" i="18"/>
  <c r="L951" i="18"/>
  <c r="A952" i="18"/>
  <c r="N951" i="18"/>
  <c r="C951" i="18"/>
  <c r="K951" i="18" s="1"/>
  <c r="J953" i="55" l="1"/>
  <c r="L953" i="55" s="1"/>
  <c r="O953" i="55"/>
  <c r="F953" i="55"/>
  <c r="E953" i="55"/>
  <c r="R953" i="55"/>
  <c r="T953" i="55"/>
  <c r="U953" i="55"/>
  <c r="S953" i="55"/>
  <c r="Q953" i="55"/>
  <c r="R951" i="18"/>
  <c r="D953" i="55"/>
  <c r="N953" i="55"/>
  <c r="M953" i="55"/>
  <c r="K953" i="55"/>
  <c r="D952" i="18"/>
  <c r="B954" i="55" s="1"/>
  <c r="E952" i="18"/>
  <c r="B952" i="18"/>
  <c r="G953" i="55" l="1"/>
  <c r="H953" i="55" s="1"/>
  <c r="I953" i="55" s="1"/>
  <c r="C954" i="55"/>
  <c r="O952" i="18"/>
  <c r="A954" i="55"/>
  <c r="P954" i="55" s="1"/>
  <c r="M952" i="18"/>
  <c r="L952" i="18"/>
  <c r="A953" i="18"/>
  <c r="N952" i="18"/>
  <c r="C952" i="18"/>
  <c r="K952" i="18" s="1"/>
  <c r="J954" i="55" l="1"/>
  <c r="E954" i="55"/>
  <c r="O954" i="55"/>
  <c r="F954" i="55"/>
  <c r="R954" i="55"/>
  <c r="T954" i="55"/>
  <c r="U954" i="55"/>
  <c r="S954" i="55"/>
  <c r="Q954" i="55"/>
  <c r="R952" i="18"/>
  <c r="D954" i="55"/>
  <c r="N954" i="55"/>
  <c r="L954" i="55"/>
  <c r="M954" i="55"/>
  <c r="K954" i="55"/>
  <c r="B953" i="18"/>
  <c r="D953" i="18"/>
  <c r="B955" i="55" s="1"/>
  <c r="E953" i="18"/>
  <c r="G954" i="55" l="1"/>
  <c r="H954" i="55" s="1"/>
  <c r="I954" i="55" s="1"/>
  <c r="C955" i="55"/>
  <c r="O953" i="18"/>
  <c r="A955" i="55"/>
  <c r="P955" i="55" s="1"/>
  <c r="M953" i="18"/>
  <c r="L953" i="18"/>
  <c r="A954" i="18"/>
  <c r="N953" i="18"/>
  <c r="C953" i="18"/>
  <c r="K953" i="18" s="1"/>
  <c r="J955" i="55" l="1"/>
  <c r="M955" i="55" s="1"/>
  <c r="O955" i="55"/>
  <c r="F955" i="55"/>
  <c r="E955" i="55"/>
  <c r="R955" i="55"/>
  <c r="T955" i="55"/>
  <c r="U955" i="55"/>
  <c r="S955" i="55"/>
  <c r="Q955" i="55"/>
  <c r="R953" i="18"/>
  <c r="D955" i="55"/>
  <c r="E954" i="18"/>
  <c r="D954" i="18"/>
  <c r="B956" i="55" s="1"/>
  <c r="B954" i="18"/>
  <c r="L955" i="55" l="1"/>
  <c r="N955" i="55"/>
  <c r="K955" i="55"/>
  <c r="G955" i="55"/>
  <c r="H955" i="55" s="1"/>
  <c r="I955" i="55" s="1"/>
  <c r="A956" i="55"/>
  <c r="P956" i="55" s="1"/>
  <c r="M954" i="18"/>
  <c r="C956" i="55"/>
  <c r="O954" i="18"/>
  <c r="L954" i="18"/>
  <c r="A955" i="18"/>
  <c r="J956" i="55"/>
  <c r="N954" i="18"/>
  <c r="C954" i="18"/>
  <c r="K954" i="18" s="1"/>
  <c r="O956" i="55" l="1"/>
  <c r="E956" i="55"/>
  <c r="F956" i="55"/>
  <c r="R956" i="55"/>
  <c r="U956" i="55"/>
  <c r="T956" i="55"/>
  <c r="S956" i="55"/>
  <c r="Q956" i="55"/>
  <c r="R954" i="18"/>
  <c r="D956" i="55"/>
  <c r="N956" i="55"/>
  <c r="M956" i="55"/>
  <c r="L956" i="55"/>
  <c r="K956" i="55"/>
  <c r="B955" i="18"/>
  <c r="E955" i="18"/>
  <c r="D955" i="18"/>
  <c r="B957" i="55" s="1"/>
  <c r="G956" i="55" l="1"/>
  <c r="H956" i="55" s="1"/>
  <c r="I956" i="55" s="1"/>
  <c r="C957" i="55"/>
  <c r="O955" i="18"/>
  <c r="A957" i="55"/>
  <c r="P957" i="55" s="1"/>
  <c r="Q957" i="55" s="1"/>
  <c r="M955" i="18"/>
  <c r="L955" i="18"/>
  <c r="A956" i="18"/>
  <c r="N955" i="18"/>
  <c r="C955" i="18"/>
  <c r="K955" i="18" s="1"/>
  <c r="O957" i="55" l="1"/>
  <c r="J957" i="55"/>
  <c r="N957" i="55" s="1"/>
  <c r="E957" i="55"/>
  <c r="F957" i="55"/>
  <c r="R955" i="18"/>
  <c r="D957" i="55"/>
  <c r="M957" i="55"/>
  <c r="L957" i="55"/>
  <c r="K957" i="55"/>
  <c r="B956" i="18"/>
  <c r="D956" i="18"/>
  <c r="B958" i="55" s="1"/>
  <c r="E956" i="18"/>
  <c r="A958" i="55" l="1"/>
  <c r="P958" i="55" s="1"/>
  <c r="L956" i="18"/>
  <c r="M956" i="18"/>
  <c r="C958" i="55"/>
  <c r="O956" i="18"/>
  <c r="G957" i="55"/>
  <c r="A957" i="18"/>
  <c r="N956" i="18"/>
  <c r="J958" i="55"/>
  <c r="O958" i="55"/>
  <c r="C956" i="18"/>
  <c r="K956" i="18" s="1"/>
  <c r="E958" i="55" l="1"/>
  <c r="Q958" i="55" s="1"/>
  <c r="F958" i="55"/>
  <c r="H957" i="55"/>
  <c r="T957" i="55" s="1"/>
  <c r="S957" i="55"/>
  <c r="R957" i="55" s="1"/>
  <c r="D215" i="59" s="1"/>
  <c r="R956" i="18"/>
  <c r="D958" i="55"/>
  <c r="N958" i="55"/>
  <c r="L958" i="55"/>
  <c r="M958" i="55"/>
  <c r="K958" i="55"/>
  <c r="B957" i="18"/>
  <c r="A959" i="55" s="1"/>
  <c r="P959" i="55" s="1"/>
  <c r="D957" i="18"/>
  <c r="B959" i="55" s="1"/>
  <c r="E957" i="18"/>
  <c r="L957" i="18" l="1"/>
  <c r="G958" i="55"/>
  <c r="H958" i="55" s="1"/>
  <c r="I957" i="55"/>
  <c r="U957" i="55" s="1"/>
  <c r="M957" i="18"/>
  <c r="C959" i="55"/>
  <c r="O957" i="18"/>
  <c r="A958" i="18"/>
  <c r="N957" i="18"/>
  <c r="E959" i="55" s="1"/>
  <c r="O959" i="55"/>
  <c r="J959" i="55"/>
  <c r="C957" i="18"/>
  <c r="K957" i="18" s="1"/>
  <c r="F959" i="55" l="1"/>
  <c r="R959" i="55" s="1"/>
  <c r="D217" i="59" s="1"/>
  <c r="R957" i="18"/>
  <c r="D959" i="55"/>
  <c r="I958" i="55"/>
  <c r="Q959" i="55"/>
  <c r="N959" i="55"/>
  <c r="M959" i="55"/>
  <c r="L959" i="55"/>
  <c r="K959" i="55"/>
  <c r="D958" i="18"/>
  <c r="B960" i="55" s="1"/>
  <c r="E958" i="18"/>
  <c r="B958" i="18"/>
  <c r="G959" i="55" l="1"/>
  <c r="H959" i="55" s="1"/>
  <c r="I959" i="55" s="1"/>
  <c r="U959" i="55" s="1"/>
  <c r="A960" i="55"/>
  <c r="P960" i="55" s="1"/>
  <c r="M958" i="18"/>
  <c r="L958" i="18"/>
  <c r="C960" i="55"/>
  <c r="O958" i="18"/>
  <c r="A959" i="18"/>
  <c r="J960" i="55"/>
  <c r="O960" i="55"/>
  <c r="N958" i="18"/>
  <c r="C958" i="18"/>
  <c r="K958" i="18" s="1"/>
  <c r="E960" i="55" l="1"/>
  <c r="Q960" i="55" s="1"/>
  <c r="F960" i="55"/>
  <c r="R960" i="55" s="1"/>
  <c r="D218" i="59" s="1"/>
  <c r="S959" i="55"/>
  <c r="R958" i="18"/>
  <c r="D960" i="55"/>
  <c r="T959" i="55"/>
  <c r="N960" i="55"/>
  <c r="L960" i="55"/>
  <c r="M960" i="55"/>
  <c r="K960" i="55"/>
  <c r="D959" i="18"/>
  <c r="B961" i="55" s="1"/>
  <c r="E959" i="18"/>
  <c r="B959" i="18"/>
  <c r="G960" i="55" l="1"/>
  <c r="H960" i="55" s="1"/>
  <c r="C961" i="55"/>
  <c r="O959" i="18"/>
  <c r="A961" i="55"/>
  <c r="P961" i="55" s="1"/>
  <c r="M959" i="18"/>
  <c r="L959" i="18"/>
  <c r="A960" i="18"/>
  <c r="N959" i="18"/>
  <c r="C959" i="18"/>
  <c r="K959" i="18" s="1"/>
  <c r="O961" i="55" l="1"/>
  <c r="J961" i="55"/>
  <c r="S960" i="55"/>
  <c r="E961" i="55"/>
  <c r="F961" i="55"/>
  <c r="T961" i="55"/>
  <c r="U961" i="55"/>
  <c r="R961" i="55"/>
  <c r="S961" i="55"/>
  <c r="Q961" i="55"/>
  <c r="R959" i="18"/>
  <c r="D961" i="55"/>
  <c r="I960" i="55"/>
  <c r="T960" i="55"/>
  <c r="N961" i="55"/>
  <c r="L961" i="55"/>
  <c r="M961" i="55"/>
  <c r="K961" i="55"/>
  <c r="B960" i="18"/>
  <c r="D960" i="18"/>
  <c r="B962" i="55" s="1"/>
  <c r="E960" i="18"/>
  <c r="G961" i="55" l="1"/>
  <c r="H961" i="55" s="1"/>
  <c r="I961" i="55" s="1"/>
  <c r="C962" i="55"/>
  <c r="O960" i="18"/>
  <c r="A962" i="55"/>
  <c r="P962" i="55" s="1"/>
  <c r="M960" i="18"/>
  <c r="L960" i="18"/>
  <c r="U960" i="55"/>
  <c r="A961" i="18"/>
  <c r="N960" i="18"/>
  <c r="C960" i="18"/>
  <c r="K960" i="18" s="1"/>
  <c r="E962" i="55" l="1"/>
  <c r="J962" i="55"/>
  <c r="O962" i="55"/>
  <c r="R962" i="55"/>
  <c r="T962" i="55"/>
  <c r="U962" i="55"/>
  <c r="S962" i="55"/>
  <c r="Q962" i="55"/>
  <c r="F962" i="55"/>
  <c r="R960" i="18"/>
  <c r="D962" i="55"/>
  <c r="N962" i="55"/>
  <c r="M962" i="55"/>
  <c r="L962" i="55"/>
  <c r="K962" i="55"/>
  <c r="B961" i="18"/>
  <c r="D961" i="18"/>
  <c r="B963" i="55" s="1"/>
  <c r="E961" i="18"/>
  <c r="G962" i="55" l="1"/>
  <c r="H962" i="55" s="1"/>
  <c r="I962" i="55" s="1"/>
  <c r="C963" i="55"/>
  <c r="O961" i="18"/>
  <c r="A963" i="55"/>
  <c r="P963" i="55" s="1"/>
  <c r="M961" i="18"/>
  <c r="L961" i="18"/>
  <c r="A962" i="18"/>
  <c r="N961" i="18"/>
  <c r="C961" i="18"/>
  <c r="K961" i="18" s="1"/>
  <c r="J963" i="55" l="1"/>
  <c r="L963" i="55" s="1"/>
  <c r="O963" i="55"/>
  <c r="E963" i="55"/>
  <c r="T963" i="55"/>
  <c r="R963" i="55"/>
  <c r="U963" i="55"/>
  <c r="S963" i="55"/>
  <c r="Q963" i="55"/>
  <c r="F963" i="55"/>
  <c r="R961" i="18"/>
  <c r="D963" i="55"/>
  <c r="N963" i="55"/>
  <c r="M963" i="55"/>
  <c r="E962" i="18"/>
  <c r="B962" i="18"/>
  <c r="D962" i="18"/>
  <c r="B964" i="55" s="1"/>
  <c r="K963" i="55" l="1"/>
  <c r="A964" i="55"/>
  <c r="P964" i="55" s="1"/>
  <c r="M962" i="18"/>
  <c r="C964" i="55"/>
  <c r="O962" i="18"/>
  <c r="G963" i="55"/>
  <c r="H963" i="55" s="1"/>
  <c r="I963" i="55" s="1"/>
  <c r="L962" i="18"/>
  <c r="A963" i="18"/>
  <c r="J964" i="55"/>
  <c r="O964" i="55"/>
  <c r="N962" i="18"/>
  <c r="C962" i="18"/>
  <c r="K962" i="18" s="1"/>
  <c r="F964" i="55" l="1"/>
  <c r="E964" i="55"/>
  <c r="T964" i="55"/>
  <c r="R964" i="55"/>
  <c r="U964" i="55"/>
  <c r="S964" i="55"/>
  <c r="Q964" i="55"/>
  <c r="R962" i="18"/>
  <c r="D964" i="55"/>
  <c r="N964" i="55"/>
  <c r="M964" i="55"/>
  <c r="L964" i="55"/>
  <c r="K964" i="55"/>
  <c r="E963" i="18"/>
  <c r="B963" i="18"/>
  <c r="D963" i="18"/>
  <c r="B965" i="55" s="1"/>
  <c r="G964" i="55" l="1"/>
  <c r="H964" i="55" s="1"/>
  <c r="I964" i="55" s="1"/>
  <c r="A965" i="55"/>
  <c r="P965" i="55" s="1"/>
  <c r="M963" i="18"/>
  <c r="C965" i="55"/>
  <c r="O963" i="18"/>
  <c r="L963" i="18"/>
  <c r="A964" i="18"/>
  <c r="O965" i="55"/>
  <c r="J965" i="55"/>
  <c r="N963" i="18"/>
  <c r="C963" i="18"/>
  <c r="K963" i="18" s="1"/>
  <c r="E965" i="55" l="1"/>
  <c r="F965" i="55"/>
  <c r="R965" i="55"/>
  <c r="T965" i="55"/>
  <c r="U965" i="55"/>
  <c r="S965" i="55"/>
  <c r="Q965" i="55"/>
  <c r="R963" i="18"/>
  <c r="D965" i="55"/>
  <c r="N965" i="55"/>
  <c r="M965" i="55"/>
  <c r="L965" i="55"/>
  <c r="K965" i="55"/>
  <c r="D964" i="18"/>
  <c r="B966" i="55" s="1"/>
  <c r="E964" i="18"/>
  <c r="B964" i="18"/>
  <c r="G965" i="55" l="1"/>
  <c r="H965" i="55" s="1"/>
  <c r="I965" i="55" s="1"/>
  <c r="A966" i="55"/>
  <c r="P966" i="55" s="1"/>
  <c r="M964" i="18"/>
  <c r="C966" i="55"/>
  <c r="O964" i="18"/>
  <c r="L964" i="18"/>
  <c r="A965" i="18"/>
  <c r="N964" i="18"/>
  <c r="O966" i="55"/>
  <c r="J966" i="55"/>
  <c r="C964" i="18"/>
  <c r="K964" i="18" s="1"/>
  <c r="F966" i="55" l="1"/>
  <c r="E966" i="55"/>
  <c r="R966" i="55"/>
  <c r="S966" i="55"/>
  <c r="T966" i="55"/>
  <c r="U966" i="55"/>
  <c r="Q966" i="55"/>
  <c r="R964" i="18"/>
  <c r="D966" i="55"/>
  <c r="N966" i="55"/>
  <c r="L966" i="55"/>
  <c r="M966" i="55"/>
  <c r="K966" i="55"/>
  <c r="B965" i="18"/>
  <c r="D965" i="18"/>
  <c r="B967" i="55" s="1"/>
  <c r="E965" i="18"/>
  <c r="G966" i="55" l="1"/>
  <c r="H966" i="55" s="1"/>
  <c r="I966" i="55" s="1"/>
  <c r="C967" i="55"/>
  <c r="O965" i="18"/>
  <c r="A967" i="55"/>
  <c r="P967" i="55" s="1"/>
  <c r="M965" i="18"/>
  <c r="L965" i="18"/>
  <c r="A966" i="18"/>
  <c r="N965" i="18"/>
  <c r="C965" i="18"/>
  <c r="K965" i="18" s="1"/>
  <c r="E967" i="55" l="1"/>
  <c r="J967" i="55"/>
  <c r="L967" i="55" s="1"/>
  <c r="O967" i="55"/>
  <c r="R967" i="55"/>
  <c r="T967" i="55"/>
  <c r="U967" i="55"/>
  <c r="S967" i="55"/>
  <c r="Q967" i="55"/>
  <c r="F967" i="55"/>
  <c r="R965" i="18"/>
  <c r="D967" i="55"/>
  <c r="N967" i="55"/>
  <c r="E966" i="18"/>
  <c r="B966" i="18"/>
  <c r="D966" i="18"/>
  <c r="B968" i="55" s="1"/>
  <c r="K967" i="55" l="1"/>
  <c r="M967" i="55"/>
  <c r="G967" i="55"/>
  <c r="H967" i="55" s="1"/>
  <c r="I967" i="55" s="1"/>
  <c r="A968" i="55"/>
  <c r="P968" i="55" s="1"/>
  <c r="M966" i="18"/>
  <c r="C968" i="55"/>
  <c r="O966" i="18"/>
  <c r="L966" i="18"/>
  <c r="A967" i="18"/>
  <c r="N966" i="18"/>
  <c r="O968" i="55"/>
  <c r="J968" i="55"/>
  <c r="C966" i="18"/>
  <c r="K966" i="18" s="1"/>
  <c r="E968" i="55" l="1"/>
  <c r="F968" i="55"/>
  <c r="R968" i="55"/>
  <c r="S968" i="55"/>
  <c r="T968" i="55"/>
  <c r="U968" i="55"/>
  <c r="Q968" i="55"/>
  <c r="R966" i="18"/>
  <c r="D968" i="55"/>
  <c r="N968" i="55"/>
  <c r="M968" i="55"/>
  <c r="L968" i="55"/>
  <c r="K968" i="55"/>
  <c r="B967" i="18"/>
  <c r="D967" i="18"/>
  <c r="B969" i="55" s="1"/>
  <c r="E967" i="18"/>
  <c r="G968" i="55" l="1"/>
  <c r="H968" i="55" s="1"/>
  <c r="I968" i="55" s="1"/>
  <c r="C969" i="55"/>
  <c r="O967" i="18"/>
  <c r="A969" i="55"/>
  <c r="P969" i="55" s="1"/>
  <c r="M967" i="18"/>
  <c r="L967" i="18"/>
  <c r="A968" i="18"/>
  <c r="N967" i="18"/>
  <c r="C967" i="18"/>
  <c r="K967" i="18" s="1"/>
  <c r="O969" i="55" l="1"/>
  <c r="E969" i="55"/>
  <c r="J969" i="55"/>
  <c r="L969" i="55" s="1"/>
  <c r="T969" i="55"/>
  <c r="R969" i="55"/>
  <c r="S969" i="55"/>
  <c r="U969" i="55"/>
  <c r="Q969" i="55"/>
  <c r="F969" i="55"/>
  <c r="R967" i="18"/>
  <c r="D969" i="55"/>
  <c r="N969" i="55"/>
  <c r="E968" i="18"/>
  <c r="B968" i="18"/>
  <c r="D968" i="18"/>
  <c r="B970" i="55" s="1"/>
  <c r="M969" i="55" l="1"/>
  <c r="K969" i="55"/>
  <c r="G969" i="55"/>
  <c r="H969" i="55" s="1"/>
  <c r="I969" i="55" s="1"/>
  <c r="A970" i="55"/>
  <c r="P970" i="55" s="1"/>
  <c r="M968" i="18"/>
  <c r="C970" i="55"/>
  <c r="O968" i="18"/>
  <c r="L968" i="18"/>
  <c r="A969" i="18"/>
  <c r="N968" i="18"/>
  <c r="O970" i="55"/>
  <c r="C968" i="18"/>
  <c r="K968" i="18" s="1"/>
  <c r="J970" i="55" l="1"/>
  <c r="F970" i="55"/>
  <c r="E970" i="55"/>
  <c r="T970" i="55"/>
  <c r="U970" i="55"/>
  <c r="R970" i="55"/>
  <c r="S970" i="55"/>
  <c r="Q970" i="55"/>
  <c r="R968" i="18"/>
  <c r="D970" i="55"/>
  <c r="N970" i="55"/>
  <c r="M970" i="55"/>
  <c r="L970" i="55"/>
  <c r="K970" i="55"/>
  <c r="B969" i="18"/>
  <c r="D969" i="18"/>
  <c r="B971" i="55" s="1"/>
  <c r="E969" i="18"/>
  <c r="G970" i="55" l="1"/>
  <c r="H970" i="55" s="1"/>
  <c r="I970" i="55" s="1"/>
  <c r="C971" i="55"/>
  <c r="O969" i="18"/>
  <c r="A971" i="55"/>
  <c r="P971" i="55" s="1"/>
  <c r="M969" i="18"/>
  <c r="L969" i="18"/>
  <c r="A970" i="18"/>
  <c r="N969" i="18"/>
  <c r="C969" i="18"/>
  <c r="K969" i="18" s="1"/>
  <c r="O971" i="55" l="1"/>
  <c r="J971" i="55"/>
  <c r="M971" i="55" s="1"/>
  <c r="E971" i="55"/>
  <c r="T971" i="55"/>
  <c r="U971" i="55"/>
  <c r="R971" i="55"/>
  <c r="S971" i="55"/>
  <c r="Q971" i="55"/>
  <c r="F971" i="55"/>
  <c r="R969" i="18"/>
  <c r="D971" i="55"/>
  <c r="N971" i="55"/>
  <c r="B970" i="18"/>
  <c r="D970" i="18"/>
  <c r="B972" i="55" s="1"/>
  <c r="E970" i="18"/>
  <c r="K971" i="55" l="1"/>
  <c r="L971" i="55"/>
  <c r="G971" i="55"/>
  <c r="H971" i="55" s="1"/>
  <c r="I971" i="55" s="1"/>
  <c r="C972" i="55"/>
  <c r="O970" i="18"/>
  <c r="A972" i="55"/>
  <c r="P972" i="55" s="1"/>
  <c r="M970" i="18"/>
  <c r="L970" i="18"/>
  <c r="A971" i="18"/>
  <c r="N970" i="18"/>
  <c r="C970" i="18"/>
  <c r="K970" i="18" s="1"/>
  <c r="J972" i="55" l="1"/>
  <c r="M972" i="55" s="1"/>
  <c r="O972" i="55"/>
  <c r="E972" i="55"/>
  <c r="R972" i="55"/>
  <c r="T972" i="55"/>
  <c r="U972" i="55"/>
  <c r="S972" i="55"/>
  <c r="Q972" i="55"/>
  <c r="F972" i="55"/>
  <c r="R970" i="18"/>
  <c r="D972" i="55"/>
  <c r="N972" i="55"/>
  <c r="L972" i="55"/>
  <c r="K972" i="55"/>
  <c r="D971" i="18"/>
  <c r="B973" i="55" s="1"/>
  <c r="B971" i="18"/>
  <c r="E971" i="18"/>
  <c r="G972" i="55" l="1"/>
  <c r="H972" i="55" s="1"/>
  <c r="I972" i="55" s="1"/>
  <c r="C973" i="55"/>
  <c r="O971" i="18"/>
  <c r="A973" i="55"/>
  <c r="P973" i="55" s="1"/>
  <c r="M971" i="18"/>
  <c r="L971" i="18"/>
  <c r="A972" i="18"/>
  <c r="N971" i="18"/>
  <c r="C971" i="18"/>
  <c r="K971" i="18" s="1"/>
  <c r="E973" i="55" l="1"/>
  <c r="O973" i="55"/>
  <c r="J973" i="55"/>
  <c r="L973" i="55" s="1"/>
  <c r="T973" i="55"/>
  <c r="R973" i="55"/>
  <c r="U973" i="55"/>
  <c r="S973" i="55"/>
  <c r="Q973" i="55"/>
  <c r="F973" i="55"/>
  <c r="R971" i="18"/>
  <c r="D973" i="55"/>
  <c r="E972" i="18"/>
  <c r="B972" i="18"/>
  <c r="D972" i="18"/>
  <c r="B974" i="55" s="1"/>
  <c r="N973" i="55" l="1"/>
  <c r="K973" i="55"/>
  <c r="M973" i="55"/>
  <c r="G973" i="55"/>
  <c r="H973" i="55" s="1"/>
  <c r="I973" i="55" s="1"/>
  <c r="A974" i="55"/>
  <c r="P974" i="55" s="1"/>
  <c r="M972" i="18"/>
  <c r="C974" i="55"/>
  <c r="O972" i="18"/>
  <c r="L972" i="18"/>
  <c r="A973" i="18"/>
  <c r="N972" i="18"/>
  <c r="C972" i="18"/>
  <c r="K972" i="18" s="1"/>
  <c r="J974" i="55" l="1"/>
  <c r="O974" i="55"/>
  <c r="F974" i="55"/>
  <c r="E974" i="55"/>
  <c r="R974" i="55"/>
  <c r="T974" i="55"/>
  <c r="U974" i="55"/>
  <c r="S974" i="55"/>
  <c r="Q974" i="55"/>
  <c r="R972" i="18"/>
  <c r="D974" i="55"/>
  <c r="N974" i="55"/>
  <c r="M974" i="55"/>
  <c r="L974" i="55"/>
  <c r="K974" i="55"/>
  <c r="B973" i="18"/>
  <c r="E973" i="18"/>
  <c r="D973" i="18"/>
  <c r="B975" i="55" s="1"/>
  <c r="G974" i="55" l="1"/>
  <c r="H974" i="55" s="1"/>
  <c r="I974" i="55" s="1"/>
  <c r="C975" i="55"/>
  <c r="O973" i="18"/>
  <c r="A975" i="55"/>
  <c r="P975" i="55" s="1"/>
  <c r="Q975" i="55" s="1"/>
  <c r="R975" i="55" s="1"/>
  <c r="D219" i="59" s="1"/>
  <c r="M973" i="18"/>
  <c r="L973" i="18"/>
  <c r="A974" i="18"/>
  <c r="N973" i="18"/>
  <c r="C973" i="18"/>
  <c r="K973" i="18" s="1"/>
  <c r="J975" i="55" l="1"/>
  <c r="O975" i="55"/>
  <c r="E975" i="55"/>
  <c r="F975" i="55"/>
  <c r="R973" i="18"/>
  <c r="D975" i="55"/>
  <c r="N975" i="55"/>
  <c r="M975" i="55"/>
  <c r="L975" i="55"/>
  <c r="K975" i="55"/>
  <c r="B974" i="18"/>
  <c r="E974" i="18"/>
  <c r="D974" i="18"/>
  <c r="B976" i="55" s="1"/>
  <c r="G975" i="55" l="1"/>
  <c r="S975" i="55" s="1"/>
  <c r="O974" i="18"/>
  <c r="C976" i="55"/>
  <c r="A976" i="55"/>
  <c r="P976" i="55" s="1"/>
  <c r="L974" i="18"/>
  <c r="M974" i="18"/>
  <c r="A975" i="18"/>
  <c r="N974" i="18"/>
  <c r="C974" i="18"/>
  <c r="K974" i="18" s="1"/>
  <c r="E976" i="55" l="1"/>
  <c r="Q976" i="55" s="1"/>
  <c r="O976" i="55"/>
  <c r="J976" i="55"/>
  <c r="H975" i="55"/>
  <c r="T975" i="55" s="1"/>
  <c r="F976" i="55"/>
  <c r="R974" i="18"/>
  <c r="D976" i="55"/>
  <c r="B975" i="18"/>
  <c r="D975" i="18"/>
  <c r="B977" i="55" s="1"/>
  <c r="E975" i="18"/>
  <c r="G976" i="55" l="1"/>
  <c r="H976" i="55" s="1"/>
  <c r="I976" i="55" s="1"/>
  <c r="I975" i="55"/>
  <c r="U975" i="55" s="1"/>
  <c r="A977" i="55"/>
  <c r="P977" i="55" s="1"/>
  <c r="M975" i="18"/>
  <c r="C977" i="55"/>
  <c r="O975" i="18"/>
  <c r="L975" i="18"/>
  <c r="A976" i="18"/>
  <c r="O977" i="55"/>
  <c r="J977" i="55"/>
  <c r="N975" i="18"/>
  <c r="C975" i="18"/>
  <c r="K975" i="18" s="1"/>
  <c r="E977" i="55" l="1"/>
  <c r="Q977" i="55" s="1"/>
  <c r="F977" i="55"/>
  <c r="R977" i="55" s="1"/>
  <c r="D221" i="59" s="1"/>
  <c r="R975" i="18"/>
  <c r="D977" i="55"/>
  <c r="N977" i="55"/>
  <c r="M977" i="55"/>
  <c r="L977" i="55"/>
  <c r="K977" i="55"/>
  <c r="B976" i="18"/>
  <c r="E976" i="18"/>
  <c r="D976" i="18"/>
  <c r="B978" i="55" s="1"/>
  <c r="G977" i="55" l="1"/>
  <c r="H977" i="55" s="1"/>
  <c r="C978" i="55"/>
  <c r="O976" i="18"/>
  <c r="A978" i="55"/>
  <c r="P978" i="55" s="1"/>
  <c r="M976" i="18"/>
  <c r="L976" i="18"/>
  <c r="A977" i="18"/>
  <c r="N976" i="18"/>
  <c r="C976" i="18"/>
  <c r="K976" i="18" s="1"/>
  <c r="E978" i="55" l="1"/>
  <c r="Q978" i="55" s="1"/>
  <c r="J978" i="55"/>
  <c r="M978" i="55" s="1"/>
  <c r="O978" i="55"/>
  <c r="S977" i="55"/>
  <c r="F978" i="55"/>
  <c r="R978" i="55" s="1"/>
  <c r="D222" i="59" s="1"/>
  <c r="R976" i="18"/>
  <c r="D978" i="55"/>
  <c r="I977" i="55"/>
  <c r="T977" i="55"/>
  <c r="N978" i="55"/>
  <c r="K978" i="55"/>
  <c r="B977" i="18"/>
  <c r="A979" i="55" s="1"/>
  <c r="P979" i="55" s="1"/>
  <c r="E977" i="18"/>
  <c r="D977" i="18"/>
  <c r="B979" i="55" s="1"/>
  <c r="L978" i="55" l="1"/>
  <c r="G978" i="55"/>
  <c r="S978" i="55" s="1"/>
  <c r="C979" i="55"/>
  <c r="O977" i="18"/>
  <c r="R979" i="55"/>
  <c r="T979" i="55"/>
  <c r="S979" i="55"/>
  <c r="U979" i="55"/>
  <c r="Q979" i="55"/>
  <c r="L977" i="18"/>
  <c r="M977" i="18"/>
  <c r="U977" i="55"/>
  <c r="A978" i="18"/>
  <c r="N977" i="18"/>
  <c r="J979" i="55"/>
  <c r="O979" i="55"/>
  <c r="C977" i="18"/>
  <c r="K977" i="18" s="1"/>
  <c r="H978" i="55" l="1"/>
  <c r="I978" i="55" s="1"/>
  <c r="U978" i="55" s="1"/>
  <c r="F979" i="55"/>
  <c r="E979" i="55"/>
  <c r="R977" i="18"/>
  <c r="D979" i="55"/>
  <c r="N979" i="55"/>
  <c r="L979" i="55"/>
  <c r="M979" i="55"/>
  <c r="K979" i="55"/>
  <c r="E978" i="18"/>
  <c r="D978" i="18"/>
  <c r="B980" i="55" s="1"/>
  <c r="B978" i="18"/>
  <c r="T978" i="55" l="1"/>
  <c r="G979" i="55"/>
  <c r="H979" i="55" s="1"/>
  <c r="I979" i="55" s="1"/>
  <c r="A980" i="55"/>
  <c r="P980" i="55" s="1"/>
  <c r="M978" i="18"/>
  <c r="C980" i="55"/>
  <c r="O978" i="18"/>
  <c r="L978" i="18"/>
  <c r="A979" i="18"/>
  <c r="J980" i="55"/>
  <c r="N978" i="18"/>
  <c r="C978" i="18"/>
  <c r="K978" i="18" s="1"/>
  <c r="O980" i="55" l="1"/>
  <c r="E980" i="55"/>
  <c r="F980" i="55"/>
  <c r="R980" i="55"/>
  <c r="T980" i="55"/>
  <c r="U980" i="55"/>
  <c r="S980" i="55"/>
  <c r="Q980" i="55"/>
  <c r="R978" i="18"/>
  <c r="D980" i="55"/>
  <c r="N980" i="55"/>
  <c r="M980" i="55"/>
  <c r="L980" i="55"/>
  <c r="K980" i="55"/>
  <c r="D979" i="18"/>
  <c r="B981" i="55" s="1"/>
  <c r="E979" i="18"/>
  <c r="B979" i="18"/>
  <c r="G980" i="55" l="1"/>
  <c r="H980" i="55" s="1"/>
  <c r="I980" i="55" s="1"/>
  <c r="O979" i="18"/>
  <c r="C981" i="55"/>
  <c r="A981" i="55"/>
  <c r="P981" i="55" s="1"/>
  <c r="M979" i="18"/>
  <c r="L979" i="18"/>
  <c r="A980" i="18"/>
  <c r="N979" i="18"/>
  <c r="C979" i="18"/>
  <c r="K979" i="18" s="1"/>
  <c r="O981" i="55" l="1"/>
  <c r="E981" i="55"/>
  <c r="J981" i="55"/>
  <c r="L981" i="55" s="1"/>
  <c r="F981" i="55"/>
  <c r="R981" i="55"/>
  <c r="T981" i="55"/>
  <c r="U981" i="55"/>
  <c r="S981" i="55"/>
  <c r="Q981" i="55"/>
  <c r="R979" i="18"/>
  <c r="D981" i="55"/>
  <c r="B980" i="18"/>
  <c r="E980" i="18"/>
  <c r="D980" i="18"/>
  <c r="B982" i="55" s="1"/>
  <c r="N981" i="55" l="1"/>
  <c r="K981" i="55"/>
  <c r="M981" i="55"/>
  <c r="G981" i="55"/>
  <c r="H981" i="55" s="1"/>
  <c r="I981" i="55" s="1"/>
  <c r="O980" i="18"/>
  <c r="C982" i="55"/>
  <c r="A982" i="55"/>
  <c r="P982" i="55" s="1"/>
  <c r="M980" i="18"/>
  <c r="L980" i="18"/>
  <c r="A981" i="18"/>
  <c r="N980" i="18"/>
  <c r="C980" i="18"/>
  <c r="K980" i="18" s="1"/>
  <c r="E982" i="55" l="1"/>
  <c r="J982" i="55"/>
  <c r="M982" i="55" s="1"/>
  <c r="F982" i="55"/>
  <c r="O982" i="55"/>
  <c r="R982" i="55"/>
  <c r="U982" i="55"/>
  <c r="T982" i="55"/>
  <c r="S982" i="55"/>
  <c r="Q982" i="55"/>
  <c r="R980" i="18"/>
  <c r="D982" i="55"/>
  <c r="N982" i="55"/>
  <c r="B981" i="18"/>
  <c r="D981" i="18"/>
  <c r="B983" i="55" s="1"/>
  <c r="E981" i="18"/>
  <c r="K982" i="55" l="1"/>
  <c r="L982" i="55"/>
  <c r="G982" i="55"/>
  <c r="H982" i="55" s="1"/>
  <c r="I982" i="55" s="1"/>
  <c r="C983" i="55"/>
  <c r="O981" i="18"/>
  <c r="A983" i="55"/>
  <c r="P983" i="55" s="1"/>
  <c r="M981" i="18"/>
  <c r="L981" i="18"/>
  <c r="A982" i="18"/>
  <c r="N981" i="18"/>
  <c r="C981" i="18"/>
  <c r="K981" i="18" s="1"/>
  <c r="J983" i="55" l="1"/>
  <c r="O983" i="55"/>
  <c r="F983" i="55"/>
  <c r="E983" i="55"/>
  <c r="R983" i="55"/>
  <c r="T983" i="55"/>
  <c r="U983" i="55"/>
  <c r="S983" i="55"/>
  <c r="Q983" i="55"/>
  <c r="R981" i="18"/>
  <c r="D983" i="55"/>
  <c r="N983" i="55"/>
  <c r="M983" i="55"/>
  <c r="L983" i="55"/>
  <c r="K983" i="55"/>
  <c r="E982" i="18"/>
  <c r="D982" i="18"/>
  <c r="B984" i="55" s="1"/>
  <c r="B982" i="18"/>
  <c r="G983" i="55" l="1"/>
  <c r="H983" i="55" s="1"/>
  <c r="I983" i="55" s="1"/>
  <c r="A983" i="18"/>
  <c r="A984" i="55"/>
  <c r="P984" i="55" s="1"/>
  <c r="M982" i="18"/>
  <c r="C984" i="55"/>
  <c r="O982" i="18"/>
  <c r="L982" i="18"/>
  <c r="B983" i="18"/>
  <c r="D983" i="18"/>
  <c r="B985" i="55" s="1"/>
  <c r="E983" i="18"/>
  <c r="N982" i="18"/>
  <c r="C982" i="18"/>
  <c r="K982" i="18" s="1"/>
  <c r="O984" i="55" l="1"/>
  <c r="J984" i="55"/>
  <c r="E984" i="55"/>
  <c r="F984" i="55"/>
  <c r="C985" i="55"/>
  <c r="O983" i="18"/>
  <c r="A985" i="55"/>
  <c r="P985" i="55" s="1"/>
  <c r="M983" i="18"/>
  <c r="L983" i="18"/>
  <c r="R984" i="55"/>
  <c r="T984" i="55"/>
  <c r="U984" i="55"/>
  <c r="S984" i="55"/>
  <c r="Q984" i="55"/>
  <c r="R982" i="18"/>
  <c r="D984" i="55"/>
  <c r="N984" i="55"/>
  <c r="L984" i="55"/>
  <c r="M984" i="55"/>
  <c r="K984" i="55"/>
  <c r="N983" i="18"/>
  <c r="A984" i="18"/>
  <c r="C983" i="18"/>
  <c r="K983" i="18" s="1"/>
  <c r="G984" i="55" l="1"/>
  <c r="H984" i="55" s="1"/>
  <c r="I984" i="55" s="1"/>
  <c r="E985" i="55"/>
  <c r="F985" i="55"/>
  <c r="R985" i="55"/>
  <c r="T985" i="55"/>
  <c r="U985" i="55"/>
  <c r="S985" i="55"/>
  <c r="Q985" i="55"/>
  <c r="R983" i="18"/>
  <c r="D985" i="55"/>
  <c r="E984" i="18"/>
  <c r="B984" i="18"/>
  <c r="D984" i="18"/>
  <c r="B986" i="55" s="1"/>
  <c r="J985" i="55"/>
  <c r="O985" i="55"/>
  <c r="G985" i="55" l="1"/>
  <c r="H985" i="55" s="1"/>
  <c r="I985" i="55" s="1"/>
  <c r="A986" i="55"/>
  <c r="M984" i="18"/>
  <c r="O984" i="18"/>
  <c r="C986" i="55"/>
  <c r="L984" i="18"/>
  <c r="N985" i="55"/>
  <c r="L985" i="55"/>
  <c r="M985" i="55"/>
  <c r="K985" i="55"/>
  <c r="C984" i="18"/>
  <c r="K984" i="18" s="1"/>
  <c r="A985" i="18"/>
  <c r="N984" i="18"/>
  <c r="E986" i="55" l="1"/>
  <c r="F986" i="55"/>
  <c r="P986" i="55"/>
  <c r="J986" i="55"/>
  <c r="O986" i="55"/>
  <c r="R984" i="18"/>
  <c r="D986" i="55"/>
  <c r="D985" i="18"/>
  <c r="B987" i="55" s="1"/>
  <c r="E985" i="18"/>
  <c r="B985" i="18"/>
  <c r="G986" i="55" l="1"/>
  <c r="H986" i="55" s="1"/>
  <c r="I986" i="55" s="1"/>
  <c r="C987" i="55"/>
  <c r="O985" i="18"/>
  <c r="A987" i="55"/>
  <c r="M985" i="18"/>
  <c r="K986" i="55"/>
  <c r="N986" i="55"/>
  <c r="M986" i="55"/>
  <c r="L986" i="55"/>
  <c r="R986" i="55"/>
  <c r="T986" i="55"/>
  <c r="U986" i="55"/>
  <c r="S986" i="55"/>
  <c r="Q986" i="55"/>
  <c r="L985" i="18"/>
  <c r="C985" i="18"/>
  <c r="K985" i="18" s="1"/>
  <c r="A986" i="18"/>
  <c r="N985" i="18"/>
  <c r="E987" i="55" l="1"/>
  <c r="F987" i="55"/>
  <c r="P987" i="55"/>
  <c r="J987" i="55"/>
  <c r="O987" i="55"/>
  <c r="R985" i="18"/>
  <c r="D987" i="55"/>
  <c r="B986" i="18"/>
  <c r="E986" i="18"/>
  <c r="D986" i="18"/>
  <c r="B988" i="55" s="1"/>
  <c r="G987" i="55" l="1"/>
  <c r="H987" i="55" s="1"/>
  <c r="I987" i="55" s="1"/>
  <c r="A988" i="55"/>
  <c r="M986" i="18"/>
  <c r="O986" i="18"/>
  <c r="C988" i="55"/>
  <c r="L986" i="18"/>
  <c r="N987" i="55"/>
  <c r="M987" i="55"/>
  <c r="K987" i="55"/>
  <c r="L987" i="55"/>
  <c r="R987" i="55"/>
  <c r="T987" i="55"/>
  <c r="U987" i="55"/>
  <c r="S987" i="55"/>
  <c r="Q987" i="55"/>
  <c r="N986" i="18"/>
  <c r="C986" i="18"/>
  <c r="K986" i="18" s="1"/>
  <c r="A987" i="18"/>
  <c r="E988" i="55" l="1"/>
  <c r="F988" i="55"/>
  <c r="P988" i="55"/>
  <c r="O988" i="55"/>
  <c r="J988" i="55"/>
  <c r="R986" i="18"/>
  <c r="D988" i="55"/>
  <c r="D987" i="18"/>
  <c r="B989" i="55" s="1"/>
  <c r="E987" i="18"/>
  <c r="B987" i="18"/>
  <c r="G988" i="55" l="1"/>
  <c r="H988" i="55" s="1"/>
  <c r="I988" i="55" s="1"/>
  <c r="C989" i="55"/>
  <c r="O987" i="18"/>
  <c r="A989" i="55"/>
  <c r="M987" i="18"/>
  <c r="N988" i="55"/>
  <c r="M988" i="55"/>
  <c r="L988" i="55"/>
  <c r="K988" i="55"/>
  <c r="R988" i="55"/>
  <c r="T988" i="55"/>
  <c r="U988" i="55"/>
  <c r="S988" i="55"/>
  <c r="Q988" i="55"/>
  <c r="L987" i="18"/>
  <c r="N987" i="18"/>
  <c r="A988" i="18"/>
  <c r="C987" i="18"/>
  <c r="K987" i="18" s="1"/>
  <c r="E989" i="55" l="1"/>
  <c r="F989" i="55"/>
  <c r="J989" i="55"/>
  <c r="O989" i="55"/>
  <c r="P989" i="55"/>
  <c r="R987" i="18"/>
  <c r="D989" i="55"/>
  <c r="B988" i="18"/>
  <c r="D988" i="18"/>
  <c r="B990" i="55" s="1"/>
  <c r="E988" i="18"/>
  <c r="G989" i="55" l="1"/>
  <c r="H989" i="55" s="1"/>
  <c r="I989" i="55" s="1"/>
  <c r="C990" i="55"/>
  <c r="O988" i="18"/>
  <c r="A990" i="55"/>
  <c r="M988" i="18"/>
  <c r="L988" i="18"/>
  <c r="T989" i="55"/>
  <c r="U989" i="55"/>
  <c r="R989" i="55"/>
  <c r="S989" i="55"/>
  <c r="Q989" i="55"/>
  <c r="K989" i="55"/>
  <c r="L989" i="55"/>
  <c r="N989" i="55"/>
  <c r="M989" i="55"/>
  <c r="N988" i="18"/>
  <c r="C988" i="18"/>
  <c r="K988" i="18" s="1"/>
  <c r="A989" i="18"/>
  <c r="F990" i="55" l="1"/>
  <c r="E990" i="55"/>
  <c r="P990" i="55"/>
  <c r="J990" i="55"/>
  <c r="O990" i="55"/>
  <c r="R988" i="18"/>
  <c r="D990" i="55"/>
  <c r="D989" i="18"/>
  <c r="B991" i="55" s="1"/>
  <c r="B989" i="18"/>
  <c r="E989" i="18"/>
  <c r="G990" i="55" l="1"/>
  <c r="H990" i="55" s="1"/>
  <c r="I990" i="55" s="1"/>
  <c r="N990" i="55"/>
  <c r="M990" i="55"/>
  <c r="K990" i="55"/>
  <c r="L990" i="55"/>
  <c r="R990" i="55"/>
  <c r="T990" i="55"/>
  <c r="S990" i="55"/>
  <c r="U990" i="55"/>
  <c r="Q990" i="55"/>
  <c r="C991" i="55"/>
  <c r="O989" i="18"/>
  <c r="A991" i="55"/>
  <c r="M989" i="18"/>
  <c r="L989" i="18"/>
  <c r="N989" i="18"/>
  <c r="A990" i="18"/>
  <c r="C989" i="18"/>
  <c r="K989" i="18" s="1"/>
  <c r="E991" i="55" l="1"/>
  <c r="J991" i="55"/>
  <c r="P991" i="55"/>
  <c r="O991" i="55"/>
  <c r="F991" i="55"/>
  <c r="R989" i="18"/>
  <c r="D991" i="55"/>
  <c r="B990" i="18"/>
  <c r="L990" i="18" s="1"/>
  <c r="D990" i="18"/>
  <c r="B992" i="55" s="1"/>
  <c r="E990" i="18"/>
  <c r="G991" i="55" l="1"/>
  <c r="H991" i="55" s="1"/>
  <c r="A992" i="55"/>
  <c r="M990" i="18"/>
  <c r="T991" i="55"/>
  <c r="S991" i="55"/>
  <c r="R991" i="55"/>
  <c r="U991" i="55"/>
  <c r="Q991" i="55"/>
  <c r="O990" i="18"/>
  <c r="C992" i="55"/>
  <c r="N991" i="55"/>
  <c r="L991" i="55"/>
  <c r="K991" i="55"/>
  <c r="M991" i="55"/>
  <c r="N990" i="18"/>
  <c r="E992" i="55" s="1"/>
  <c r="C990" i="18"/>
  <c r="K990" i="18" s="1"/>
  <c r="A991" i="18"/>
  <c r="K108" i="13"/>
  <c r="U64" i="66" s="1"/>
  <c r="F992" i="55" l="1"/>
  <c r="G992" i="55" s="1"/>
  <c r="J992" i="55"/>
  <c r="P992" i="55"/>
  <c r="O992" i="55"/>
  <c r="R990" i="18"/>
  <c r="D992" i="55"/>
  <c r="I991" i="55"/>
  <c r="N858" i="18"/>
  <c r="E860" i="55" s="1"/>
  <c r="G860" i="55" s="1"/>
  <c r="B991" i="18"/>
  <c r="D991" i="18"/>
  <c r="B993" i="55" s="1"/>
  <c r="E991" i="18"/>
  <c r="N812" i="18"/>
  <c r="E814" i="55" s="1"/>
  <c r="T992" i="55" l="1"/>
  <c r="U992" i="55"/>
  <c r="S992" i="55"/>
  <c r="R992" i="55"/>
  <c r="Q992" i="55"/>
  <c r="C993" i="55"/>
  <c r="O991" i="18"/>
  <c r="A993" i="55"/>
  <c r="M991" i="18"/>
  <c r="L991" i="18"/>
  <c r="M992" i="55"/>
  <c r="L992" i="55"/>
  <c r="K992" i="55"/>
  <c r="N992" i="55"/>
  <c r="G814" i="55"/>
  <c r="Q814" i="55"/>
  <c r="H860" i="55"/>
  <c r="I860" i="55" s="1"/>
  <c r="H992" i="55"/>
  <c r="N856" i="18"/>
  <c r="E858" i="55" s="1"/>
  <c r="G858" i="55" s="1"/>
  <c r="H858" i="55" s="1"/>
  <c r="I858" i="55" s="1"/>
  <c r="N859" i="18"/>
  <c r="E861" i="55" s="1"/>
  <c r="G861" i="55" s="1"/>
  <c r="H861" i="55" s="1"/>
  <c r="I861" i="55" s="1"/>
  <c r="A992" i="18"/>
  <c r="C991" i="18"/>
  <c r="K991" i="18" s="1"/>
  <c r="N991" i="18"/>
  <c r="N801" i="18"/>
  <c r="E803" i="55" s="1"/>
  <c r="G803" i="55" s="1"/>
  <c r="H803" i="55" s="1"/>
  <c r="I803" i="55" s="1"/>
  <c r="N813" i="18"/>
  <c r="E815" i="55" s="1"/>
  <c r="N810" i="18"/>
  <c r="E812" i="55" s="1"/>
  <c r="G812" i="55" s="1"/>
  <c r="E993" i="55" l="1"/>
  <c r="F993" i="55"/>
  <c r="J993" i="55"/>
  <c r="O993" i="55"/>
  <c r="P993" i="55"/>
  <c r="R991" i="18"/>
  <c r="D993" i="55"/>
  <c r="H812" i="55"/>
  <c r="I812" i="55" s="1"/>
  <c r="I992" i="55"/>
  <c r="Q815" i="55"/>
  <c r="G815" i="55"/>
  <c r="H814" i="55"/>
  <c r="N854" i="18"/>
  <c r="E856" i="55" s="1"/>
  <c r="G856" i="55" s="1"/>
  <c r="H856" i="55" s="1"/>
  <c r="I856" i="55" s="1"/>
  <c r="N855" i="18"/>
  <c r="E857" i="55" s="1"/>
  <c r="G857" i="55" s="1"/>
  <c r="N852" i="18"/>
  <c r="E854" i="55" s="1"/>
  <c r="G854" i="55" s="1"/>
  <c r="H854" i="55" s="1"/>
  <c r="I854" i="55" s="1"/>
  <c r="N857" i="18"/>
  <c r="E859" i="55" s="1"/>
  <c r="G859" i="55" s="1"/>
  <c r="H859" i="55" s="1"/>
  <c r="I859" i="55" s="1"/>
  <c r="N853" i="18"/>
  <c r="E855" i="55" s="1"/>
  <c r="G855" i="55" s="1"/>
  <c r="H855" i="55" s="1"/>
  <c r="I855" i="55" s="1"/>
  <c r="N850" i="18"/>
  <c r="E852" i="55" s="1"/>
  <c r="D992" i="18"/>
  <c r="B994" i="55" s="1"/>
  <c r="B992" i="18"/>
  <c r="E992" i="18"/>
  <c r="N808" i="18"/>
  <c r="E810" i="55" s="1"/>
  <c r="N806" i="18"/>
  <c r="E808" i="55" s="1"/>
  <c r="N807" i="18"/>
  <c r="E809" i="55" s="1"/>
  <c r="G809" i="55" s="1"/>
  <c r="N811" i="18"/>
  <c r="E813" i="55" s="1"/>
  <c r="G813" i="55" s="1"/>
  <c r="N809" i="18"/>
  <c r="E811" i="55" s="1"/>
  <c r="G811" i="55" s="1"/>
  <c r="H811" i="55" s="1"/>
  <c r="I811" i="55" s="1"/>
  <c r="N804" i="18"/>
  <c r="E806" i="55" s="1"/>
  <c r="G806" i="55" s="1"/>
  <c r="H806" i="55" s="1"/>
  <c r="I806" i="55" s="1"/>
  <c r="N993" i="55" l="1"/>
  <c r="M993" i="55"/>
  <c r="K993" i="55"/>
  <c r="L993" i="55"/>
  <c r="G993" i="55"/>
  <c r="A994" i="55"/>
  <c r="M992" i="18"/>
  <c r="L992" i="18"/>
  <c r="C994" i="55"/>
  <c r="O992" i="18"/>
  <c r="Q993" i="55"/>
  <c r="R993" i="55" s="1"/>
  <c r="D223" i="59" s="1"/>
  <c r="I814" i="55"/>
  <c r="G810" i="55"/>
  <c r="S813" i="55" s="1"/>
  <c r="Q813" i="55"/>
  <c r="S815" i="55"/>
  <c r="H815" i="55"/>
  <c r="Q852" i="55"/>
  <c r="G852" i="55"/>
  <c r="G808" i="55"/>
  <c r="H857" i="55"/>
  <c r="I857" i="55" s="1"/>
  <c r="H813" i="55"/>
  <c r="I813" i="55" s="1"/>
  <c r="H809" i="55"/>
  <c r="I809" i="55" s="1"/>
  <c r="A993" i="18"/>
  <c r="C992" i="18"/>
  <c r="K992" i="18" s="1"/>
  <c r="N992" i="18"/>
  <c r="J994" i="55" l="1"/>
  <c r="P994" i="55"/>
  <c r="O994" i="55"/>
  <c r="H993" i="55"/>
  <c r="S993" i="55"/>
  <c r="E994" i="55"/>
  <c r="F994" i="55"/>
  <c r="R992" i="18"/>
  <c r="D994" i="55"/>
  <c r="I815" i="55"/>
  <c r="U815" i="55" s="1"/>
  <c r="T815" i="55"/>
  <c r="R813" i="55"/>
  <c r="D183" i="59" s="1"/>
  <c r="H808" i="55"/>
  <c r="I808" i="55" s="1"/>
  <c r="S852" i="55"/>
  <c r="H852" i="55"/>
  <c r="H810" i="55"/>
  <c r="I810" i="55" s="1"/>
  <c r="U813" i="55" s="1"/>
  <c r="B993" i="18"/>
  <c r="L993" i="18" s="1"/>
  <c r="D993" i="18"/>
  <c r="B995" i="55" s="1"/>
  <c r="E993" i="18"/>
  <c r="AC23" i="65"/>
  <c r="AC25" i="65" s="1"/>
  <c r="AX60" i="5"/>
  <c r="G994" i="55" l="1"/>
  <c r="H994" i="55" s="1"/>
  <c r="I994" i="55" s="1"/>
  <c r="Q994" i="55"/>
  <c r="T993" i="55"/>
  <c r="I993" i="55"/>
  <c r="U993" i="55" s="1"/>
  <c r="M994" i="55"/>
  <c r="N994" i="55"/>
  <c r="K994" i="55"/>
  <c r="L994" i="55"/>
  <c r="C995" i="55"/>
  <c r="O993" i="18"/>
  <c r="A995" i="55"/>
  <c r="M993" i="18"/>
  <c r="T813" i="55"/>
  <c r="I852" i="55"/>
  <c r="T852" i="55"/>
  <c r="N993" i="18"/>
  <c r="E995" i="55" s="1"/>
  <c r="C993" i="18"/>
  <c r="K993" i="18" s="1"/>
  <c r="A994" i="18"/>
  <c r="AX89" i="5"/>
  <c r="AX90" i="5" s="1"/>
  <c r="BC60" i="5"/>
  <c r="P995" i="55" l="1"/>
  <c r="Q995" i="55" s="1"/>
  <c r="O995" i="55"/>
  <c r="J995" i="55"/>
  <c r="F995" i="55"/>
  <c r="G995" i="55" s="1"/>
  <c r="R993" i="18"/>
  <c r="D995" i="55"/>
  <c r="U852" i="55"/>
  <c r="B994" i="18"/>
  <c r="D994" i="18"/>
  <c r="B996" i="55" s="1"/>
  <c r="E994" i="18"/>
  <c r="AN59" i="22"/>
  <c r="R995" i="55" l="1"/>
  <c r="D225" i="59" s="1"/>
  <c r="K995" i="55"/>
  <c r="N995" i="55"/>
  <c r="M995" i="55"/>
  <c r="L995" i="55"/>
  <c r="C996" i="55"/>
  <c r="O994" i="18"/>
  <c r="A996" i="55"/>
  <c r="M994" i="18"/>
  <c r="L994" i="18"/>
  <c r="H995" i="55"/>
  <c r="I995" i="55" s="1"/>
  <c r="S995" i="55"/>
  <c r="BL3" i="22"/>
  <c r="N994" i="18"/>
  <c r="A995" i="18"/>
  <c r="C994" i="18"/>
  <c r="K994" i="18" s="1"/>
  <c r="AS59" i="22"/>
  <c r="J61" i="7"/>
  <c r="AF60" i="10" s="1"/>
  <c r="AG60" i="10" l="1"/>
  <c r="AI60" i="10"/>
  <c r="E996" i="55"/>
  <c r="J996" i="55"/>
  <c r="P996" i="55"/>
  <c r="O996" i="55"/>
  <c r="F996" i="55"/>
  <c r="AT59" i="22"/>
  <c r="BA173" i="22" s="1"/>
  <c r="AT173" i="22" s="1"/>
  <c r="CI29" i="22"/>
  <c r="R994" i="18"/>
  <c r="D996" i="55"/>
  <c r="U995" i="55"/>
  <c r="T995" i="55"/>
  <c r="D995" i="18"/>
  <c r="B997" i="55" s="1"/>
  <c r="B995" i="18"/>
  <c r="E995" i="18"/>
  <c r="BP173" i="22" l="1"/>
  <c r="BY173" i="22" s="1"/>
  <c r="BY174" i="22" s="1"/>
  <c r="BY175" i="22" s="1"/>
  <c r="BY176" i="22" s="1"/>
  <c r="BY177" i="22" s="1"/>
  <c r="BY178" i="22" s="1"/>
  <c r="BY179" i="22" s="1"/>
  <c r="BY180" i="22" s="1"/>
  <c r="BY181" i="22" s="1"/>
  <c r="BY182" i="22" s="1"/>
  <c r="CI26" i="22" s="1"/>
  <c r="AN173" i="22"/>
  <c r="AB173" i="22" s="1"/>
  <c r="G996" i="55"/>
  <c r="S996" i="55" s="1"/>
  <c r="Q996" i="55"/>
  <c r="W118" i="52"/>
  <c r="BM3" i="22"/>
  <c r="BN3" i="22" s="1"/>
  <c r="A997" i="55"/>
  <c r="M995" i="18"/>
  <c r="L995" i="18"/>
  <c r="R996" i="55"/>
  <c r="D226" i="59" s="1"/>
  <c r="C997" i="55"/>
  <c r="O995" i="18"/>
  <c r="N996" i="55"/>
  <c r="L996" i="55"/>
  <c r="M996" i="55"/>
  <c r="K996" i="55"/>
  <c r="BL6" i="52"/>
  <c r="R311" i="25" s="1" a="1"/>
  <c r="R311" i="25" s="1"/>
  <c r="BL5" i="52"/>
  <c r="R260" i="37" s="1" a="1"/>
  <c r="R260" i="37" s="1"/>
  <c r="BL4" i="52"/>
  <c r="N380" i="18"/>
  <c r="E382" i="55" s="1"/>
  <c r="N379" i="18"/>
  <c r="E381" i="55" s="1"/>
  <c r="G381" i="55" s="1"/>
  <c r="N995" i="18"/>
  <c r="C995" i="18"/>
  <c r="K995" i="18" s="1"/>
  <c r="A996" i="18"/>
  <c r="AK60" i="10"/>
  <c r="AJ60" i="10"/>
  <c r="R355" i="29" l="1" a="1"/>
  <c r="R355" i="29" s="1"/>
  <c r="AB355" i="29" s="1"/>
  <c r="AF355" i="29" s="1"/>
  <c r="AJ355" i="29" s="1"/>
  <c r="Z118" i="52"/>
  <c r="BO28" i="52" s="1"/>
  <c r="BO33" i="52" s="1"/>
  <c r="BL28" i="52"/>
  <c r="BL33" i="52" s="1"/>
  <c r="H996" i="55"/>
  <c r="I996" i="55" s="1"/>
  <c r="AJ118" i="52"/>
  <c r="BY28" i="52" s="1"/>
  <c r="F997" i="55"/>
  <c r="AI118" i="52"/>
  <c r="BX28" i="52" s="1"/>
  <c r="E997" i="55"/>
  <c r="O997" i="55"/>
  <c r="P997" i="55"/>
  <c r="J997" i="55"/>
  <c r="R995" i="18"/>
  <c r="D997" i="55"/>
  <c r="X49" i="66"/>
  <c r="AA49" i="66"/>
  <c r="AF49" i="66" s="1"/>
  <c r="AB260" i="37"/>
  <c r="AC24" i="37"/>
  <c r="AB311" i="25"/>
  <c r="AF311" i="25" s="1"/>
  <c r="AJ311" i="25" s="1"/>
  <c r="AC24" i="25"/>
  <c r="Q382" i="55"/>
  <c r="G382" i="55"/>
  <c r="H381" i="55"/>
  <c r="T381" i="55" s="1"/>
  <c r="S381" i="55"/>
  <c r="BY6" i="52"/>
  <c r="R324" i="25" s="1" a="1"/>
  <c r="R324" i="25" s="1"/>
  <c r="AB324" i="25" s="1"/>
  <c r="AF324" i="25" s="1"/>
  <c r="AJ324" i="25" s="1"/>
  <c r="BY5" i="52"/>
  <c r="R273" i="37" s="1" a="1"/>
  <c r="R273" i="37" s="1"/>
  <c r="AB273" i="37" s="1"/>
  <c r="AF273" i="37" s="1"/>
  <c r="BY4" i="52"/>
  <c r="AG118" i="52"/>
  <c r="BV28" i="52" s="1"/>
  <c r="BX6" i="52"/>
  <c r="R323" i="25" s="1" a="1"/>
  <c r="R323" i="25" s="1"/>
  <c r="AB323" i="25" s="1"/>
  <c r="AF323" i="25" s="1"/>
  <c r="AJ323" i="25" s="1"/>
  <c r="BX5" i="52"/>
  <c r="R272" i="37" s="1" a="1"/>
  <c r="R272" i="37" s="1"/>
  <c r="AB272" i="37" s="1"/>
  <c r="AF272" i="37" s="1"/>
  <c r="AJ272" i="37" s="1"/>
  <c r="BX4" i="52"/>
  <c r="N200" i="18"/>
  <c r="E202" i="55" s="1"/>
  <c r="N488" i="18"/>
  <c r="E490" i="55" s="1"/>
  <c r="N56" i="18"/>
  <c r="E58" i="55" s="1"/>
  <c r="N393" i="18"/>
  <c r="E395" i="55" s="1"/>
  <c r="G395" i="55" s="1"/>
  <c r="N392" i="18"/>
  <c r="E394" i="55" s="1"/>
  <c r="N383" i="18"/>
  <c r="E385" i="55" s="1"/>
  <c r="G385" i="55" s="1"/>
  <c r="N382" i="18"/>
  <c r="E384" i="55" s="1"/>
  <c r="N391" i="18"/>
  <c r="E393" i="55" s="1"/>
  <c r="G393" i="55" s="1"/>
  <c r="CI28" i="22"/>
  <c r="N883" i="18"/>
  <c r="E885" i="55" s="1"/>
  <c r="G885" i="55" s="1"/>
  <c r="D996" i="18"/>
  <c r="B998" i="55" s="1"/>
  <c r="B996" i="18"/>
  <c r="L996" i="18" s="1"/>
  <c r="E996" i="18"/>
  <c r="N847" i="18"/>
  <c r="E849" i="55" s="1"/>
  <c r="G849" i="55" s="1"/>
  <c r="N846" i="18"/>
  <c r="E848" i="55" s="1"/>
  <c r="G848" i="55" s="1"/>
  <c r="H848" i="55" s="1"/>
  <c r="I848" i="55" s="1"/>
  <c r="N835" i="18"/>
  <c r="E837" i="55" s="1"/>
  <c r="G837" i="55" s="1"/>
  <c r="N274" i="18"/>
  <c r="E276" i="55" s="1"/>
  <c r="H5" i="52"/>
  <c r="P5" i="52"/>
  <c r="BE6" i="52" s="1"/>
  <c r="AT45" i="52"/>
  <c r="AH118" i="52" l="1"/>
  <c r="BW28" i="52" s="1"/>
  <c r="AD118" i="52"/>
  <c r="BS28" i="52" s="1"/>
  <c r="AF118" i="52"/>
  <c r="BU28" i="52" s="1"/>
  <c r="AC118" i="52"/>
  <c r="BR28" i="52" s="1"/>
  <c r="AE118" i="52"/>
  <c r="BT28" i="52" s="1"/>
  <c r="AB118" i="52"/>
  <c r="BQ28" i="52" s="1"/>
  <c r="AC24" i="29"/>
  <c r="T996" i="55"/>
  <c r="R368" i="29" a="1"/>
  <c r="R368" i="29" s="1"/>
  <c r="AB368" i="29" s="1"/>
  <c r="AF368" i="29" s="1"/>
  <c r="BY33" i="52"/>
  <c r="R304" i="25" a="1"/>
  <c r="R304" i="25" s="1"/>
  <c r="AB304" i="25" s="1"/>
  <c r="AF304" i="25" s="1"/>
  <c r="AJ304" i="25" s="1"/>
  <c r="BE33" i="52"/>
  <c r="R367" i="29" a="1"/>
  <c r="R367" i="29" s="1"/>
  <c r="AB367" i="29" s="1"/>
  <c r="AF367" i="29" s="1"/>
  <c r="AJ367" i="29" s="1"/>
  <c r="BX33" i="52"/>
  <c r="R111" i="66" a="1"/>
  <c r="R111" i="66" s="1"/>
  <c r="AB111" i="66" s="1"/>
  <c r="AF111" i="66" s="1"/>
  <c r="AJ111" i="66" s="1"/>
  <c r="R114" i="63" a="1"/>
  <c r="R114" i="63" s="1"/>
  <c r="AB114" i="63" s="1"/>
  <c r="AF114" i="63" s="1"/>
  <c r="AJ114" i="63" s="1"/>
  <c r="R120" i="66" a="1"/>
  <c r="R120" i="66" s="1"/>
  <c r="AB120" i="66" s="1"/>
  <c r="AF120" i="66" s="1"/>
  <c r="R123" i="63" a="1"/>
  <c r="R123" i="63" s="1"/>
  <c r="AB123" i="63" s="1"/>
  <c r="AF123" i="63" s="1"/>
  <c r="AJ123" i="63" s="1"/>
  <c r="R108" i="66" a="1"/>
  <c r="R108" i="66" s="1"/>
  <c r="AB108" i="66" s="1"/>
  <c r="AF108" i="66" s="1"/>
  <c r="AJ108" i="66" s="1"/>
  <c r="R111" i="63" a="1"/>
  <c r="R111" i="63" s="1"/>
  <c r="R121" i="66" a="1"/>
  <c r="R121" i="66" s="1"/>
  <c r="AB121" i="66" s="1"/>
  <c r="AF121" i="66" s="1"/>
  <c r="AJ121" i="66" s="1"/>
  <c r="R124" i="63" a="1"/>
  <c r="R124" i="63" s="1"/>
  <c r="AB124" i="63" s="1"/>
  <c r="AF124" i="63" s="1"/>
  <c r="AJ124" i="63" s="1"/>
  <c r="N884" i="18"/>
  <c r="E886" i="55" s="1"/>
  <c r="G886" i="55" s="1"/>
  <c r="G997" i="55"/>
  <c r="H997" i="55" s="1"/>
  <c r="I997" i="55" s="1"/>
  <c r="M997" i="55"/>
  <c r="L997" i="55"/>
  <c r="K997" i="55"/>
  <c r="N997" i="55"/>
  <c r="R997" i="55"/>
  <c r="T997" i="55"/>
  <c r="U997" i="55"/>
  <c r="S997" i="55"/>
  <c r="Q997" i="55"/>
  <c r="C998" i="55"/>
  <c r="O996" i="18"/>
  <c r="A998" i="55"/>
  <c r="M996" i="18"/>
  <c r="F108" i="13"/>
  <c r="G108" i="13" s="1"/>
  <c r="U58" i="66" s="1"/>
  <c r="U49" i="66"/>
  <c r="R58" i="66" s="1"/>
  <c r="AJ273" i="37"/>
  <c r="AF260" i="37"/>
  <c r="AJ260" i="37" s="1"/>
  <c r="I381" i="55"/>
  <c r="U381" i="55" s="1"/>
  <c r="R381" i="55"/>
  <c r="D87" i="59" s="1"/>
  <c r="U996" i="55"/>
  <c r="H385" i="55"/>
  <c r="I385" i="55" s="1"/>
  <c r="Q490" i="55"/>
  <c r="G490" i="55"/>
  <c r="G202" i="55"/>
  <c r="Q202" i="55"/>
  <c r="G394" i="55"/>
  <c r="H849" i="55"/>
  <c r="Q384" i="55"/>
  <c r="G384" i="55"/>
  <c r="H395" i="55"/>
  <c r="I395" i="55" s="1"/>
  <c r="H885" i="55"/>
  <c r="S885" i="55"/>
  <c r="R885" i="55" s="1"/>
  <c r="D199" i="59" s="1"/>
  <c r="H837" i="55"/>
  <c r="I837" i="55" s="1"/>
  <c r="H393" i="55"/>
  <c r="I393" i="55" s="1"/>
  <c r="Q58" i="55"/>
  <c r="G58" i="55"/>
  <c r="H382" i="55"/>
  <c r="G276" i="55"/>
  <c r="Q276" i="55"/>
  <c r="O5" i="52"/>
  <c r="BD6" i="52" s="1"/>
  <c r="BD33" i="52" s="1"/>
  <c r="AW6" i="52"/>
  <c r="N212" i="18"/>
  <c r="E214" i="55" s="1"/>
  <c r="BT8" i="52"/>
  <c r="R428" i="35" s="1" a="1"/>
  <c r="R428" i="35" s="1"/>
  <c r="AB428" i="35" s="1"/>
  <c r="AF428" i="35" s="1"/>
  <c r="AJ428" i="35" s="1"/>
  <c r="BT5" i="52"/>
  <c r="R268" i="37" s="1" a="1"/>
  <c r="R268" i="37" s="1"/>
  <c r="AB268" i="37" s="1"/>
  <c r="AF268" i="37" s="1"/>
  <c r="AJ268" i="37" s="1"/>
  <c r="BT4" i="52"/>
  <c r="BU6" i="52"/>
  <c r="R320" i="25" s="1" a="1"/>
  <c r="R320" i="25" s="1"/>
  <c r="AB320" i="25" s="1"/>
  <c r="AF320" i="25" s="1"/>
  <c r="AJ320" i="25" s="1"/>
  <c r="BU5" i="52"/>
  <c r="R269" i="37" s="1" a="1"/>
  <c r="R269" i="37" s="1"/>
  <c r="AB269" i="37" s="1"/>
  <c r="AF269" i="37" s="1"/>
  <c r="AJ269" i="37" s="1"/>
  <c r="BU4" i="52"/>
  <c r="N897" i="18"/>
  <c r="E899" i="55" s="1"/>
  <c r="G899" i="55" s="1"/>
  <c r="N500" i="18"/>
  <c r="E502" i="55" s="1"/>
  <c r="BW6" i="52"/>
  <c r="R322" i="25" s="1" a="1"/>
  <c r="R322" i="25" s="1"/>
  <c r="AB322" i="25" s="1"/>
  <c r="AF322" i="25" s="1"/>
  <c r="AJ322" i="25" s="1"/>
  <c r="BW5" i="52"/>
  <c r="R271" i="37" s="1" a="1"/>
  <c r="R271" i="37" s="1"/>
  <c r="AB271" i="37" s="1"/>
  <c r="AF271" i="37" s="1"/>
  <c r="AJ271" i="37" s="1"/>
  <c r="BW4" i="52"/>
  <c r="N68" i="18"/>
  <c r="E70" i="55" s="1"/>
  <c r="G70" i="55" s="1"/>
  <c r="BV5" i="52"/>
  <c r="R270" i="37" s="1" a="1"/>
  <c r="R270" i="37" s="1"/>
  <c r="AB270" i="37" s="1"/>
  <c r="BV4" i="52"/>
  <c r="N213" i="18"/>
  <c r="E215" i="55" s="1"/>
  <c r="G215" i="55" s="1"/>
  <c r="H215" i="55" s="1"/>
  <c r="I215" i="55" s="1"/>
  <c r="BS5" i="52"/>
  <c r="R267" i="37" s="1" a="1"/>
  <c r="R267" i="37" s="1"/>
  <c r="AB267" i="37" s="1"/>
  <c r="AF267" i="37" s="1"/>
  <c r="AJ267" i="37" s="1"/>
  <c r="BS4" i="52"/>
  <c r="BR6" i="52"/>
  <c r="R317" i="25" s="1" a="1"/>
  <c r="R317" i="25" s="1"/>
  <c r="AB317" i="25" s="1"/>
  <c r="AF317" i="25" s="1"/>
  <c r="AJ317" i="25" s="1"/>
  <c r="BR5" i="52"/>
  <c r="R266" i="37" s="1" a="1"/>
  <c r="R266" i="37" s="1"/>
  <c r="AB266" i="37" s="1"/>
  <c r="AF266" i="37" s="1"/>
  <c r="AJ266" i="37" s="1"/>
  <c r="BR4" i="52"/>
  <c r="BQ6" i="52"/>
  <c r="R316" i="25" s="1" a="1"/>
  <c r="R316" i="25" s="1"/>
  <c r="AB316" i="25" s="1"/>
  <c r="AF316" i="25" s="1"/>
  <c r="AJ316" i="25" s="1"/>
  <c r="BQ5" i="52"/>
  <c r="R265" i="37" s="1" a="1"/>
  <c r="R265" i="37" s="1"/>
  <c r="AB265" i="37" s="1"/>
  <c r="AF265" i="37" s="1"/>
  <c r="AJ265" i="37" s="1"/>
  <c r="BQ4" i="52"/>
  <c r="N896" i="18"/>
  <c r="E898" i="55" s="1"/>
  <c r="N501" i="18"/>
  <c r="E503" i="55" s="1"/>
  <c r="G503" i="55" s="1"/>
  <c r="H503" i="55" s="1"/>
  <c r="I503" i="55" s="1"/>
  <c r="N69" i="18"/>
  <c r="E71" i="55" s="1"/>
  <c r="G71" i="55" s="1"/>
  <c r="H71" i="55" s="1"/>
  <c r="I71" i="55" s="1"/>
  <c r="N887" i="18"/>
  <c r="E889" i="55" s="1"/>
  <c r="G889" i="55" s="1"/>
  <c r="N390" i="18"/>
  <c r="E392" i="55" s="1"/>
  <c r="G392" i="55" s="1"/>
  <c r="H392" i="55" s="1"/>
  <c r="I392" i="55" s="1"/>
  <c r="N5" i="52"/>
  <c r="BC6" i="52" s="1"/>
  <c r="BC33" i="52" s="1"/>
  <c r="K5" i="52"/>
  <c r="AZ6" i="52" s="1"/>
  <c r="M5" i="52"/>
  <c r="BB6" i="52" s="1"/>
  <c r="J5" i="52"/>
  <c r="AY6" i="52" s="1"/>
  <c r="L5" i="52"/>
  <c r="BA6" i="52" s="1"/>
  <c r="N387" i="18"/>
  <c r="E389" i="55" s="1"/>
  <c r="G389" i="55" s="1"/>
  <c r="N389" i="18"/>
  <c r="E391" i="55" s="1"/>
  <c r="G391" i="55" s="1"/>
  <c r="R254" i="23" a="1"/>
  <c r="R254" i="23" s="1"/>
  <c r="AC24" i="23" s="1"/>
  <c r="N19" i="18"/>
  <c r="E21" i="55" s="1"/>
  <c r="G21" i="55" s="1"/>
  <c r="N386" i="18"/>
  <c r="E388" i="55" s="1"/>
  <c r="G388" i="55" s="1"/>
  <c r="N388" i="18"/>
  <c r="E390" i="55" s="1"/>
  <c r="G390" i="55" s="1"/>
  <c r="H390" i="55" s="1"/>
  <c r="I390" i="55" s="1"/>
  <c r="N385" i="18"/>
  <c r="E387" i="55" s="1"/>
  <c r="G387" i="55" s="1"/>
  <c r="H387" i="55" s="1"/>
  <c r="I387" i="55" s="1"/>
  <c r="N384" i="18"/>
  <c r="E386" i="55" s="1"/>
  <c r="G386" i="55" s="1"/>
  <c r="H386" i="55" s="1"/>
  <c r="I386" i="55" s="1"/>
  <c r="N294" i="18"/>
  <c r="E296" i="55" s="1"/>
  <c r="G296" i="55" s="1"/>
  <c r="N293" i="18"/>
  <c r="E295" i="55" s="1"/>
  <c r="G295" i="55" s="1"/>
  <c r="N296" i="18"/>
  <c r="E298" i="55" s="1"/>
  <c r="G298" i="55" s="1"/>
  <c r="N295" i="18"/>
  <c r="E297" i="55" s="1"/>
  <c r="G297" i="55" s="1"/>
  <c r="H297" i="55" s="1"/>
  <c r="I297" i="55" s="1"/>
  <c r="N299" i="18"/>
  <c r="E301" i="55" s="1"/>
  <c r="G301" i="55" s="1"/>
  <c r="N298" i="18"/>
  <c r="E300" i="55" s="1"/>
  <c r="G300" i="55" s="1"/>
  <c r="H300" i="55" s="1"/>
  <c r="I300" i="55" s="1"/>
  <c r="N297" i="18"/>
  <c r="E299" i="55" s="1"/>
  <c r="G299" i="55" s="1"/>
  <c r="H299" i="55" s="1"/>
  <c r="I299" i="55" s="1"/>
  <c r="N300" i="18"/>
  <c r="E302" i="55" s="1"/>
  <c r="G302" i="55" s="1"/>
  <c r="N886" i="18"/>
  <c r="E888" i="55" s="1"/>
  <c r="N996" i="18"/>
  <c r="E998" i="55" s="1"/>
  <c r="A997" i="18"/>
  <c r="C996" i="18"/>
  <c r="K996" i="18" s="1"/>
  <c r="N282" i="18"/>
  <c r="E284" i="55" s="1"/>
  <c r="G284" i="55" s="1"/>
  <c r="N36" i="18"/>
  <c r="E38" i="55" s="1"/>
  <c r="N840" i="18"/>
  <c r="E842" i="55" s="1"/>
  <c r="G842" i="55" s="1"/>
  <c r="H842" i="55" s="1"/>
  <c r="I842" i="55" s="1"/>
  <c r="N841" i="18"/>
  <c r="E843" i="55" s="1"/>
  <c r="G843" i="55" s="1"/>
  <c r="H843" i="55" s="1"/>
  <c r="I843" i="55" s="1"/>
  <c r="N842" i="18"/>
  <c r="E844" i="55" s="1"/>
  <c r="N838" i="18"/>
  <c r="E840" i="55" s="1"/>
  <c r="G840" i="55" s="1"/>
  <c r="H840" i="55" s="1"/>
  <c r="I840" i="55" s="1"/>
  <c r="N845" i="18"/>
  <c r="E847" i="55" s="1"/>
  <c r="G847" i="55" s="1"/>
  <c r="H847" i="55" s="1"/>
  <c r="I847" i="55" s="1"/>
  <c r="N843" i="18"/>
  <c r="E845" i="55" s="1"/>
  <c r="G845" i="55" s="1"/>
  <c r="N844" i="18"/>
  <c r="E846" i="55" s="1"/>
  <c r="N281" i="18"/>
  <c r="E283" i="55" s="1"/>
  <c r="G283" i="55" s="1"/>
  <c r="N277" i="18"/>
  <c r="E279" i="55" s="1"/>
  <c r="G279" i="55" s="1"/>
  <c r="H279" i="55" s="1"/>
  <c r="I279" i="55" s="1"/>
  <c r="N280" i="18"/>
  <c r="E282" i="55" s="1"/>
  <c r="G282" i="55" s="1"/>
  <c r="H282" i="55" s="1"/>
  <c r="I282" i="55" s="1"/>
  <c r="AJ368" i="29" l="1"/>
  <c r="R300" i="25" a="1"/>
  <c r="R300" i="25" s="1"/>
  <c r="AB300" i="25" s="1"/>
  <c r="AF300" i="25" s="1"/>
  <c r="AJ300" i="25" s="1"/>
  <c r="BA33" i="52"/>
  <c r="R298" i="25" a="1"/>
  <c r="R298" i="25" s="1"/>
  <c r="AB298" i="25" s="1"/>
  <c r="AF298" i="25" s="1"/>
  <c r="AJ298" i="25" s="1"/>
  <c r="AY33" i="52"/>
  <c r="R361" i="29" a="1"/>
  <c r="R361" i="29" s="1"/>
  <c r="AB361" i="29" s="1"/>
  <c r="AF361" i="29" s="1"/>
  <c r="AJ361" i="29" s="1"/>
  <c r="BR33" i="52"/>
  <c r="R301" i="25" a="1"/>
  <c r="R301" i="25" s="1"/>
  <c r="AB301" i="25" s="1"/>
  <c r="AF301" i="25" s="1"/>
  <c r="AJ301" i="25" s="1"/>
  <c r="BB33" i="52"/>
  <c r="R364" i="29" a="1"/>
  <c r="R364" i="29" s="1"/>
  <c r="AB364" i="29" s="1"/>
  <c r="AF364" i="29" s="1"/>
  <c r="AJ364" i="29" s="1"/>
  <c r="BU33" i="52"/>
  <c r="R366" i="29" a="1"/>
  <c r="R366" i="29" s="1"/>
  <c r="AB366" i="29" s="1"/>
  <c r="AF366" i="29" s="1"/>
  <c r="AJ366" i="29" s="1"/>
  <c r="BW33" i="52"/>
  <c r="R296" i="25" a="1"/>
  <c r="R296" i="25" s="1"/>
  <c r="AB296" i="25" s="1"/>
  <c r="AF296" i="25" s="1"/>
  <c r="AW33" i="52"/>
  <c r="R360" i="29" a="1"/>
  <c r="R360" i="29" s="1"/>
  <c r="AB360" i="29" s="1"/>
  <c r="AF360" i="29" s="1"/>
  <c r="AJ360" i="29" s="1"/>
  <c r="BQ33" i="52"/>
  <c r="R362" i="29" a="1"/>
  <c r="R362" i="29" s="1"/>
  <c r="AB362" i="29" s="1"/>
  <c r="AF362" i="29" s="1"/>
  <c r="AJ362" i="29" s="1"/>
  <c r="BS33" i="52"/>
  <c r="R363" i="29" a="1"/>
  <c r="R363" i="29" s="1"/>
  <c r="AB363" i="29" s="1"/>
  <c r="AF363" i="29" s="1"/>
  <c r="AJ363" i="29" s="1"/>
  <c r="BT33" i="52"/>
  <c r="R299" i="25" a="1"/>
  <c r="R299" i="25" s="1"/>
  <c r="AB299" i="25" s="1"/>
  <c r="AF299" i="25" s="1"/>
  <c r="AJ299" i="25" s="1"/>
  <c r="AZ33" i="52"/>
  <c r="R365" i="29" a="1"/>
  <c r="R365" i="29" s="1"/>
  <c r="AB365" i="29" s="1"/>
  <c r="AF365" i="29" s="1"/>
  <c r="AJ365" i="29" s="1"/>
  <c r="BV33" i="52"/>
  <c r="AC24" i="66"/>
  <c r="R119" i="66" a="1"/>
  <c r="R119" i="66" s="1"/>
  <c r="AB119" i="66" s="1"/>
  <c r="AF119" i="66" s="1"/>
  <c r="AJ119" i="66" s="1"/>
  <c r="R122" i="63" a="1"/>
  <c r="R122" i="63" s="1"/>
  <c r="AB122" i="63" s="1"/>
  <c r="AF122" i="63" s="1"/>
  <c r="AJ122" i="63" s="1"/>
  <c r="R114" i="66" a="1"/>
  <c r="R114" i="66" s="1"/>
  <c r="AB114" i="66" s="1"/>
  <c r="AF114" i="66" s="1"/>
  <c r="AJ114" i="66" s="1"/>
  <c r="R117" i="63" a="1"/>
  <c r="R117" i="63" s="1"/>
  <c r="AB117" i="63" s="1"/>
  <c r="AF117" i="63" s="1"/>
  <c r="AJ117" i="63" s="1"/>
  <c r="AB111" i="63"/>
  <c r="AC24" i="63"/>
  <c r="R118" i="66" a="1"/>
  <c r="R118" i="66" s="1"/>
  <c r="AB118" i="66" s="1"/>
  <c r="AF118" i="66" s="1"/>
  <c r="AJ118" i="66" s="1"/>
  <c r="R121" i="63" a="1"/>
  <c r="R121" i="63" s="1"/>
  <c r="AB121" i="63" s="1"/>
  <c r="AF121" i="63" s="1"/>
  <c r="AJ121" i="63" s="1"/>
  <c r="R115" i="66" a="1"/>
  <c r="R115" i="66" s="1"/>
  <c r="AB115" i="66" s="1"/>
  <c r="AF115" i="66" s="1"/>
  <c r="AJ115" i="66" s="1"/>
  <c r="R118" i="63" a="1"/>
  <c r="R118" i="63" s="1"/>
  <c r="AB118" i="63" s="1"/>
  <c r="AF118" i="63" s="1"/>
  <c r="AJ118" i="63" s="1"/>
  <c r="R113" i="66" a="1"/>
  <c r="R113" i="66" s="1"/>
  <c r="AB113" i="66" s="1"/>
  <c r="AF113" i="66" s="1"/>
  <c r="AJ113" i="66" s="1"/>
  <c r="R116" i="63" a="1"/>
  <c r="R116" i="63" s="1"/>
  <c r="AB116" i="63" s="1"/>
  <c r="AF116" i="63" s="1"/>
  <c r="AJ116" i="63" s="1"/>
  <c r="R116" i="66" a="1"/>
  <c r="R116" i="66" s="1"/>
  <c r="AB116" i="66" s="1"/>
  <c r="AF116" i="66" s="1"/>
  <c r="AJ116" i="66" s="1"/>
  <c r="R119" i="63" a="1"/>
  <c r="R119" i="63" s="1"/>
  <c r="AB119" i="63" s="1"/>
  <c r="AF119" i="63" s="1"/>
  <c r="AJ119" i="63" s="1"/>
  <c r="R117" i="66" a="1"/>
  <c r="R117" i="66" s="1"/>
  <c r="AB117" i="66" s="1"/>
  <c r="AF117" i="66" s="1"/>
  <c r="AJ117" i="66" s="1"/>
  <c r="R120" i="63" a="1"/>
  <c r="R120" i="63" s="1"/>
  <c r="AB120" i="63" s="1"/>
  <c r="AF120" i="63" s="1"/>
  <c r="AJ120" i="63" s="1"/>
  <c r="Q886" i="55"/>
  <c r="P998" i="55"/>
  <c r="O998" i="55"/>
  <c r="J998" i="55"/>
  <c r="F998" i="55"/>
  <c r="G998" i="55" s="1"/>
  <c r="H998" i="55" s="1"/>
  <c r="R996" i="18"/>
  <c r="D998" i="55"/>
  <c r="AJ120" i="66"/>
  <c r="AF270" i="37"/>
  <c r="AJ270" i="37" s="1"/>
  <c r="AJ279" i="37" s="1"/>
  <c r="AC21" i="37" s="1"/>
  <c r="AB279" i="37"/>
  <c r="AC19" i="37" s="1"/>
  <c r="N48" i="18"/>
  <c r="E50" i="55" s="1"/>
  <c r="G50" i="55" s="1"/>
  <c r="H50" i="55" s="1"/>
  <c r="I50" i="55" s="1"/>
  <c r="R303" i="25" a="1"/>
  <c r="R303" i="25" s="1"/>
  <c r="AB303" i="25" s="1"/>
  <c r="AF303" i="25" s="1"/>
  <c r="AJ303" i="25" s="1"/>
  <c r="N47" i="18"/>
  <c r="E49" i="55" s="1"/>
  <c r="G49" i="55" s="1"/>
  <c r="H49" i="55" s="1"/>
  <c r="I49" i="55" s="1"/>
  <c r="R302" i="25" a="1"/>
  <c r="R302" i="25" s="1"/>
  <c r="AB302" i="25" s="1"/>
  <c r="I885" i="55"/>
  <c r="U885" i="55" s="1"/>
  <c r="T885" i="55"/>
  <c r="I849" i="55"/>
  <c r="H899" i="55"/>
  <c r="I899" i="55" s="1"/>
  <c r="H886" i="55"/>
  <c r="I886" i="55" s="1"/>
  <c r="H276" i="55"/>
  <c r="S276" i="55"/>
  <c r="G844" i="55"/>
  <c r="G888" i="55"/>
  <c r="Q888" i="55"/>
  <c r="H302" i="55"/>
  <c r="I302" i="55" s="1"/>
  <c r="H889" i="55"/>
  <c r="I889" i="55" s="1"/>
  <c r="H283" i="55"/>
  <c r="I283" i="55" s="1"/>
  <c r="I382" i="55"/>
  <c r="H394" i="55"/>
  <c r="I394" i="55" s="1"/>
  <c r="H389" i="55"/>
  <c r="I389" i="55" s="1"/>
  <c r="H70" i="55"/>
  <c r="I70" i="55" s="1"/>
  <c r="Q849" i="55"/>
  <c r="G846" i="55"/>
  <c r="S849" i="55" s="1"/>
  <c r="G38" i="55"/>
  <c r="H301" i="55"/>
  <c r="I301" i="55" s="1"/>
  <c r="H58" i="55"/>
  <c r="I58" i="55" s="1"/>
  <c r="H295" i="55"/>
  <c r="H391" i="55"/>
  <c r="I391" i="55" s="1"/>
  <c r="H384" i="55"/>
  <c r="T384" i="55" s="1"/>
  <c r="S384" i="55"/>
  <c r="H202" i="55"/>
  <c r="H21" i="55"/>
  <c r="S21" i="55"/>
  <c r="R21" i="55" s="1"/>
  <c r="D7" i="59" s="1"/>
  <c r="H845" i="55"/>
  <c r="I845" i="55" s="1"/>
  <c r="H284" i="55"/>
  <c r="I284" i="55" s="1"/>
  <c r="H298" i="55"/>
  <c r="I298" i="55" s="1"/>
  <c r="H490" i="55"/>
  <c r="H388" i="55"/>
  <c r="I388" i="55" s="1"/>
  <c r="G214" i="55"/>
  <c r="H296" i="55"/>
  <c r="I296" i="55" s="1"/>
  <c r="G898" i="55"/>
  <c r="G502" i="55"/>
  <c r="N67" i="18"/>
  <c r="E69" i="55" s="1"/>
  <c r="G69" i="55" s="1"/>
  <c r="H69" i="55" s="1"/>
  <c r="I69" i="55" s="1"/>
  <c r="N424" i="18"/>
  <c r="E426" i="55" s="1"/>
  <c r="G426" i="55" s="1"/>
  <c r="R429" i="35" a="1"/>
  <c r="R429" i="35" s="1"/>
  <c r="AB429" i="35" s="1"/>
  <c r="N494" i="18"/>
  <c r="E496" i="55" s="1"/>
  <c r="G496" i="55" s="1"/>
  <c r="H496" i="55" s="1"/>
  <c r="I496" i="55" s="1"/>
  <c r="N210" i="18"/>
  <c r="E212" i="55" s="1"/>
  <c r="G212" i="55" s="1"/>
  <c r="N62" i="18"/>
  <c r="E64" i="55" s="1"/>
  <c r="G64" i="55" s="1"/>
  <c r="H64" i="55" s="1"/>
  <c r="I64" i="55" s="1"/>
  <c r="N498" i="18"/>
  <c r="E500" i="55" s="1"/>
  <c r="G500" i="55" s="1"/>
  <c r="N207" i="18"/>
  <c r="E209" i="55" s="1"/>
  <c r="G209" i="55" s="1"/>
  <c r="N495" i="18"/>
  <c r="E497" i="55" s="1"/>
  <c r="G497" i="55" s="1"/>
  <c r="H497" i="55" s="1"/>
  <c r="I497" i="55" s="1"/>
  <c r="N209" i="18"/>
  <c r="E211" i="55" s="1"/>
  <c r="G211" i="55" s="1"/>
  <c r="H211" i="55" s="1"/>
  <c r="I211" i="55" s="1"/>
  <c r="N497" i="18"/>
  <c r="E499" i="55" s="1"/>
  <c r="G499" i="55" s="1"/>
  <c r="H499" i="55" s="1"/>
  <c r="I499" i="55" s="1"/>
  <c r="N65" i="18"/>
  <c r="E67" i="55" s="1"/>
  <c r="G67" i="55" s="1"/>
  <c r="N206" i="18"/>
  <c r="E208" i="55" s="1"/>
  <c r="G208" i="55" s="1"/>
  <c r="N205" i="18"/>
  <c r="E207" i="55" s="1"/>
  <c r="G207" i="55" s="1"/>
  <c r="N493" i="18"/>
  <c r="E495" i="55" s="1"/>
  <c r="G495" i="55" s="1"/>
  <c r="H495" i="55" s="1"/>
  <c r="I495" i="55" s="1"/>
  <c r="N211" i="18"/>
  <c r="E213" i="55" s="1"/>
  <c r="G213" i="55" s="1"/>
  <c r="H213" i="55" s="1"/>
  <c r="I213" i="55" s="1"/>
  <c r="N208" i="18"/>
  <c r="E210" i="55" s="1"/>
  <c r="G210" i="55" s="1"/>
  <c r="H210" i="55" s="1"/>
  <c r="I210" i="55" s="1"/>
  <c r="N61" i="18"/>
  <c r="E63" i="55" s="1"/>
  <c r="G63" i="55" s="1"/>
  <c r="H63" i="55" s="1"/>
  <c r="I63" i="55" s="1"/>
  <c r="N499" i="18"/>
  <c r="E501" i="55" s="1"/>
  <c r="G501" i="55" s="1"/>
  <c r="N496" i="18"/>
  <c r="E498" i="55" s="1"/>
  <c r="G498" i="55" s="1"/>
  <c r="H498" i="55" s="1"/>
  <c r="I498" i="55" s="1"/>
  <c r="N49" i="18"/>
  <c r="E51" i="55" s="1"/>
  <c r="G51" i="55" s="1"/>
  <c r="N50" i="18"/>
  <c r="E52" i="55" s="1"/>
  <c r="N51" i="18"/>
  <c r="E53" i="55" s="1"/>
  <c r="G53" i="55" s="1"/>
  <c r="H53" i="55" s="1"/>
  <c r="I53" i="55" s="1"/>
  <c r="N303" i="18"/>
  <c r="E305" i="55" s="1"/>
  <c r="G305" i="55" s="1"/>
  <c r="AC21" i="34"/>
  <c r="AC23" i="34" s="1"/>
  <c r="AC25" i="34" s="1"/>
  <c r="N888" i="18"/>
  <c r="E890" i="55" s="1"/>
  <c r="G890" i="55" s="1"/>
  <c r="H890" i="55" s="1"/>
  <c r="I890" i="55" s="1"/>
  <c r="R267" i="23" a="1"/>
  <c r="R267" i="23" s="1"/>
  <c r="AB267" i="23" s="1"/>
  <c r="AF267" i="23" s="1"/>
  <c r="AJ267" i="23" s="1"/>
  <c r="N31" i="18"/>
  <c r="E33" i="55" s="1"/>
  <c r="G33" i="55" s="1"/>
  <c r="R257" i="23" a="1"/>
  <c r="R257" i="23" s="1"/>
  <c r="AB257" i="23" s="1"/>
  <c r="AF257" i="23" s="1"/>
  <c r="AJ257" i="23" s="1"/>
  <c r="N22" i="18"/>
  <c r="E24" i="55" s="1"/>
  <c r="AC19" i="34"/>
  <c r="N895" i="18"/>
  <c r="E897" i="55" s="1"/>
  <c r="G897" i="55" s="1"/>
  <c r="H897" i="55" s="1"/>
  <c r="I897" i="55" s="1"/>
  <c r="AC20" i="34"/>
  <c r="R266" i="23" a="1"/>
  <c r="R266" i="23" s="1"/>
  <c r="AB266" i="23" s="1"/>
  <c r="AF266" i="23" s="1"/>
  <c r="AJ266" i="23" s="1"/>
  <c r="N30" i="18"/>
  <c r="E32" i="55" s="1"/>
  <c r="G32" i="55" s="1"/>
  <c r="N894" i="18"/>
  <c r="E896" i="55" s="1"/>
  <c r="G896" i="55" s="1"/>
  <c r="H896" i="55" s="1"/>
  <c r="I896" i="55" s="1"/>
  <c r="N891" i="18"/>
  <c r="E893" i="55" s="1"/>
  <c r="G893" i="55" s="1"/>
  <c r="H893" i="55" s="1"/>
  <c r="I893" i="55" s="1"/>
  <c r="AB254" i="23"/>
  <c r="N302" i="18"/>
  <c r="E304" i="55" s="1"/>
  <c r="N301" i="18"/>
  <c r="E303" i="55" s="1"/>
  <c r="G303" i="55" s="1"/>
  <c r="D997" i="18"/>
  <c r="B999" i="55" s="1"/>
  <c r="B997" i="18"/>
  <c r="E997" i="18"/>
  <c r="N284" i="18"/>
  <c r="E286" i="55" s="1"/>
  <c r="N278" i="18"/>
  <c r="E280" i="55" s="1"/>
  <c r="G280" i="55" s="1"/>
  <c r="N46" i="18"/>
  <c r="E48" i="55" s="1"/>
  <c r="G48" i="55" s="1"/>
  <c r="H48" i="55" s="1"/>
  <c r="I48" i="55" s="1"/>
  <c r="N40" i="18"/>
  <c r="E42" i="55" s="1"/>
  <c r="N41" i="18"/>
  <c r="E43" i="55" s="1"/>
  <c r="G43" i="55" s="1"/>
  <c r="H43" i="55" s="1"/>
  <c r="I43" i="55" s="1"/>
  <c r="N42" i="18"/>
  <c r="E44" i="55" s="1"/>
  <c r="G44" i="55" s="1"/>
  <c r="H44" i="55" s="1"/>
  <c r="I44" i="55" s="1"/>
  <c r="N45" i="18"/>
  <c r="E47" i="55" s="1"/>
  <c r="G47" i="55" s="1"/>
  <c r="H47" i="55" s="1"/>
  <c r="I47" i="55" s="1"/>
  <c r="N43" i="18"/>
  <c r="E45" i="55" s="1"/>
  <c r="G45" i="55" s="1"/>
  <c r="H45" i="55" s="1"/>
  <c r="I45" i="55" s="1"/>
  <c r="N283" i="18"/>
  <c r="E285" i="55" s="1"/>
  <c r="G285" i="55" s="1"/>
  <c r="N279" i="18"/>
  <c r="E281" i="55" s="1"/>
  <c r="G281" i="55" s="1"/>
  <c r="N39" i="18"/>
  <c r="E41" i="55" s="1"/>
  <c r="N44" i="18"/>
  <c r="E46" i="55" s="1"/>
  <c r="G46" i="55" s="1"/>
  <c r="AT44" i="52"/>
  <c r="AJ374" i="29" l="1"/>
  <c r="AC21" i="29" s="1"/>
  <c r="AB374" i="29"/>
  <c r="AC19" i="29" s="1"/>
  <c r="AB127" i="66"/>
  <c r="AC19" i="66" s="1"/>
  <c r="AF111" i="63"/>
  <c r="AB130" i="63"/>
  <c r="AC19" i="63" s="1"/>
  <c r="AF127" i="66"/>
  <c r="AC20" i="66" s="1"/>
  <c r="AJ127" i="66"/>
  <c r="AC21" i="66" s="1"/>
  <c r="C999" i="55"/>
  <c r="O997" i="18"/>
  <c r="A999" i="55"/>
  <c r="M997" i="18"/>
  <c r="L997" i="18"/>
  <c r="N998" i="55"/>
  <c r="M998" i="55"/>
  <c r="L998" i="55"/>
  <c r="K998" i="55"/>
  <c r="R998" i="55"/>
  <c r="T998" i="55"/>
  <c r="U998" i="55"/>
  <c r="S998" i="55"/>
  <c r="Q998" i="55"/>
  <c r="AF374" i="29"/>
  <c r="AC20" i="29" s="1"/>
  <c r="AF279" i="37"/>
  <c r="AC20" i="37" s="1"/>
  <c r="AF302" i="25"/>
  <c r="AJ302" i="25" s="1"/>
  <c r="AB330" i="25"/>
  <c r="AC19" i="25" s="1"/>
  <c r="AJ296" i="25"/>
  <c r="I384" i="55"/>
  <c r="U384" i="55" s="1"/>
  <c r="I295" i="55"/>
  <c r="T276" i="55"/>
  <c r="I21" i="55"/>
  <c r="U21" i="55" s="1"/>
  <c r="T21" i="55"/>
  <c r="R849" i="55"/>
  <c r="D191" i="59" s="1"/>
  <c r="G42" i="55"/>
  <c r="Q42" i="55"/>
  <c r="H305" i="55"/>
  <c r="I305" i="55" s="1"/>
  <c r="H214" i="55"/>
  <c r="I214" i="55" s="1"/>
  <c r="H51" i="55"/>
  <c r="I51" i="55" s="1"/>
  <c r="H38" i="55"/>
  <c r="T39" i="55" s="1"/>
  <c r="S39" i="55"/>
  <c r="H208" i="55"/>
  <c r="I208" i="55" s="1"/>
  <c r="H898" i="55"/>
  <c r="I898" i="55" s="1"/>
  <c r="G41" i="55"/>
  <c r="Q41" i="55"/>
  <c r="G304" i="55"/>
  <c r="H281" i="55"/>
  <c r="I281" i="55" s="1"/>
  <c r="H285" i="55"/>
  <c r="I285" i="55" s="1"/>
  <c r="G52" i="55"/>
  <c r="Q24" i="55"/>
  <c r="G24" i="55"/>
  <c r="H500" i="55"/>
  <c r="I500" i="55" s="1"/>
  <c r="H280" i="55"/>
  <c r="I280" i="55" s="1"/>
  <c r="H207" i="55"/>
  <c r="I207" i="55" s="1"/>
  <c r="H212" i="55"/>
  <c r="I212" i="55" s="1"/>
  <c r="H846" i="55"/>
  <c r="I276" i="55"/>
  <c r="H33" i="55"/>
  <c r="I33" i="55" s="1"/>
  <c r="H46" i="55"/>
  <c r="I46" i="55" s="1"/>
  <c r="H501" i="55"/>
  <c r="I501" i="55" s="1"/>
  <c r="H502" i="55"/>
  <c r="I502" i="55" s="1"/>
  <c r="I490" i="55"/>
  <c r="G286" i="55"/>
  <c r="H32" i="55"/>
  <c r="I32" i="55" s="1"/>
  <c r="H303" i="55"/>
  <c r="I303" i="55" s="1"/>
  <c r="H426" i="55"/>
  <c r="I998" i="55"/>
  <c r="I202" i="55"/>
  <c r="S888" i="55"/>
  <c r="H888" i="55"/>
  <c r="H209" i="55"/>
  <c r="I209" i="55" s="1"/>
  <c r="H67" i="55"/>
  <c r="I67" i="55" s="1"/>
  <c r="H844" i="55"/>
  <c r="I844" i="55" s="1"/>
  <c r="AF429" i="35"/>
  <c r="AB439" i="35"/>
  <c r="AC19" i="35" s="1"/>
  <c r="R262" i="23" a="1"/>
  <c r="R262" i="23" s="1"/>
  <c r="AB262" i="23" s="1"/>
  <c r="AF262" i="23" s="1"/>
  <c r="AJ262" i="23" s="1"/>
  <c r="N27" i="18"/>
  <c r="E29" i="55" s="1"/>
  <c r="G29" i="55" s="1"/>
  <c r="R263" i="23" a="1"/>
  <c r="R263" i="23" s="1"/>
  <c r="AB263" i="23" s="1"/>
  <c r="AF263" i="23" s="1"/>
  <c r="AJ263" i="23" s="1"/>
  <c r="N28" i="18"/>
  <c r="E30" i="55" s="1"/>
  <c r="G30" i="55" s="1"/>
  <c r="N892" i="18"/>
  <c r="E894" i="55" s="1"/>
  <c r="G894" i="55" s="1"/>
  <c r="H894" i="55" s="1"/>
  <c r="I894" i="55" s="1"/>
  <c r="N893" i="18"/>
  <c r="E895" i="55" s="1"/>
  <c r="G895" i="55" s="1"/>
  <c r="H895" i="55" s="1"/>
  <c r="I895" i="55" s="1"/>
  <c r="R260" i="23" a="1"/>
  <c r="R260" i="23" s="1"/>
  <c r="AB260" i="23" s="1"/>
  <c r="AF260" i="23" s="1"/>
  <c r="AJ260" i="23" s="1"/>
  <c r="N25" i="18"/>
  <c r="E27" i="55" s="1"/>
  <c r="G27" i="55" s="1"/>
  <c r="H27" i="55" s="1"/>
  <c r="I27" i="55" s="1"/>
  <c r="N889" i="18"/>
  <c r="E891" i="55" s="1"/>
  <c r="G891" i="55" s="1"/>
  <c r="H891" i="55" s="1"/>
  <c r="I891" i="55" s="1"/>
  <c r="R261" i="23" a="1"/>
  <c r="R261" i="23" s="1"/>
  <c r="AB261" i="23" s="1"/>
  <c r="AF261" i="23" s="1"/>
  <c r="AJ261" i="23" s="1"/>
  <c r="N26" i="18"/>
  <c r="E28" i="55" s="1"/>
  <c r="G28" i="55" s="1"/>
  <c r="H28" i="55" s="1"/>
  <c r="I28" i="55" s="1"/>
  <c r="AF254" i="23"/>
  <c r="R265" i="23" a="1"/>
  <c r="R265" i="23" s="1"/>
  <c r="AB265" i="23" s="1"/>
  <c r="AF265" i="23" s="1"/>
  <c r="AJ265" i="23" s="1"/>
  <c r="N29" i="18"/>
  <c r="E31" i="55" s="1"/>
  <c r="G31" i="55" s="1"/>
  <c r="H31" i="55" s="1"/>
  <c r="I31" i="55" s="1"/>
  <c r="R259" i="23" a="1"/>
  <c r="R259" i="23" s="1"/>
  <c r="AB259" i="23" s="1"/>
  <c r="AF259" i="23" s="1"/>
  <c r="AJ259" i="23" s="1"/>
  <c r="N24" i="18"/>
  <c r="E26" i="55" s="1"/>
  <c r="G26" i="55" s="1"/>
  <c r="N890" i="18"/>
  <c r="E892" i="55" s="1"/>
  <c r="G892" i="55" s="1"/>
  <c r="N997" i="18"/>
  <c r="C997" i="18"/>
  <c r="K997" i="18" s="1"/>
  <c r="A998" i="18"/>
  <c r="AC23" i="32"/>
  <c r="AJ111" i="63" l="1"/>
  <c r="AJ130" i="63" s="1"/>
  <c r="AC21" i="63" s="1"/>
  <c r="AC23" i="63" s="1"/>
  <c r="AC25" i="63" s="1"/>
  <c r="AF130" i="63"/>
  <c r="AC20" i="63" s="1"/>
  <c r="E999" i="55"/>
  <c r="F999" i="55"/>
  <c r="P999" i="55"/>
  <c r="J999" i="55"/>
  <c r="O999" i="55"/>
  <c r="R997" i="18"/>
  <c r="D999" i="55"/>
  <c r="AF330" i="25"/>
  <c r="AC20" i="25" s="1"/>
  <c r="AJ330" i="25"/>
  <c r="AC21" i="25" s="1"/>
  <c r="AC23" i="25" s="1"/>
  <c r="AC25" i="25" s="1"/>
  <c r="AC25" i="32"/>
  <c r="I426" i="55"/>
  <c r="I38" i="55"/>
  <c r="U39" i="55" s="1"/>
  <c r="U276" i="55"/>
  <c r="I846" i="55"/>
  <c r="U849" i="55" s="1"/>
  <c r="T849" i="55"/>
  <c r="I888" i="55"/>
  <c r="T888" i="55"/>
  <c r="H304" i="55"/>
  <c r="I304" i="55" s="1"/>
  <c r="S41" i="55"/>
  <c r="H41" i="55"/>
  <c r="H892" i="55"/>
  <c r="I892" i="55" s="1"/>
  <c r="H26" i="55"/>
  <c r="I26" i="55" s="1"/>
  <c r="H52" i="55"/>
  <c r="I52" i="55" s="1"/>
  <c r="S24" i="55"/>
  <c r="H24" i="55"/>
  <c r="H30" i="55"/>
  <c r="I30" i="55" s="1"/>
  <c r="H29" i="55"/>
  <c r="I29" i="55" s="1"/>
  <c r="H286" i="55"/>
  <c r="H42" i="55"/>
  <c r="T42" i="55" s="1"/>
  <c r="S42" i="55"/>
  <c r="AC23" i="37"/>
  <c r="AC25" i="37" s="1"/>
  <c r="AC23" i="29"/>
  <c r="AC25" i="29" s="1"/>
  <c r="AJ429" i="35"/>
  <c r="AJ439" i="35" s="1"/>
  <c r="AC21" i="35" s="1"/>
  <c r="AC23" i="35" s="1"/>
  <c r="AC25" i="35" s="1"/>
  <c r="AF439" i="35"/>
  <c r="AC20" i="35" s="1"/>
  <c r="AC23" i="66"/>
  <c r="AC25" i="66" s="1"/>
  <c r="AB273" i="23"/>
  <c r="AC19" i="23" s="1"/>
  <c r="AJ254" i="23"/>
  <c r="AJ273" i="23" s="1"/>
  <c r="AC21" i="23" s="1"/>
  <c r="AC23" i="23" s="1"/>
  <c r="AC25" i="23" s="1"/>
  <c r="AF273" i="23"/>
  <c r="AC20" i="23" s="1"/>
  <c r="D998" i="18"/>
  <c r="B1000" i="55" s="1"/>
  <c r="E998" i="18"/>
  <c r="B998" i="18"/>
  <c r="G999" i="55" l="1"/>
  <c r="H999" i="55" s="1"/>
  <c r="A1000" i="55"/>
  <c r="M998" i="18"/>
  <c r="N999" i="55"/>
  <c r="M999" i="55"/>
  <c r="L999" i="55"/>
  <c r="K999" i="55"/>
  <c r="C1000" i="55"/>
  <c r="O998" i="18"/>
  <c r="R999" i="55"/>
  <c r="T999" i="55"/>
  <c r="U999" i="55"/>
  <c r="S999" i="55"/>
  <c r="Q999" i="55"/>
  <c r="L998" i="18"/>
  <c r="U888" i="55"/>
  <c r="I24" i="55"/>
  <c r="T24" i="55"/>
  <c r="T41" i="55"/>
  <c r="I42" i="55"/>
  <c r="U42" i="55" s="1"/>
  <c r="I286" i="55"/>
  <c r="I41" i="55"/>
  <c r="C998" i="18"/>
  <c r="K998" i="18" s="1"/>
  <c r="A999" i="18"/>
  <c r="N998" i="18"/>
  <c r="F1000" i="55" l="1"/>
  <c r="I999" i="55"/>
  <c r="E1000" i="55"/>
  <c r="O1000" i="55"/>
  <c r="J1000" i="55"/>
  <c r="P1000" i="55"/>
  <c r="R998" i="18"/>
  <c r="D1000" i="55"/>
  <c r="U41" i="55"/>
  <c r="U24" i="55"/>
  <c r="B999" i="18"/>
  <c r="L999" i="18" s="1"/>
  <c r="E999" i="18"/>
  <c r="D999" i="18"/>
  <c r="B1001" i="55" s="1"/>
  <c r="G1000" i="55" l="1"/>
  <c r="H1000" i="55" s="1"/>
  <c r="I1000" i="55" s="1"/>
  <c r="M1000" i="55"/>
  <c r="L1000" i="55"/>
  <c r="K1000" i="55"/>
  <c r="N1000" i="55"/>
  <c r="R1000" i="55"/>
  <c r="T1000" i="55"/>
  <c r="U1000" i="55"/>
  <c r="S1000" i="55"/>
  <c r="Q1000" i="55"/>
  <c r="C1001" i="55"/>
  <c r="O999" i="18"/>
  <c r="A1001" i="55"/>
  <c r="M999" i="18"/>
  <c r="N999" i="18"/>
  <c r="E1001" i="55" s="1"/>
  <c r="A1000" i="18"/>
  <c r="C999" i="18"/>
  <c r="K999" i="18" s="1"/>
  <c r="C181" i="10"/>
  <c r="H181" i="10"/>
  <c r="Q181" i="10"/>
  <c r="F1001" i="55" l="1"/>
  <c r="G1001" i="55" s="1"/>
  <c r="H1001" i="55" s="1"/>
  <c r="I1001" i="55" s="1"/>
  <c r="J1001" i="55"/>
  <c r="P1001" i="55"/>
  <c r="O1001" i="55"/>
  <c r="R999" i="18"/>
  <c r="D1001" i="55"/>
  <c r="B1000" i="18"/>
  <c r="D1000" i="18"/>
  <c r="B1002" i="55" s="1"/>
  <c r="E1000" i="18"/>
  <c r="T1001" i="55" l="1"/>
  <c r="R1001" i="55"/>
  <c r="S1001" i="55"/>
  <c r="U1001" i="55"/>
  <c r="Q1001" i="55"/>
  <c r="C1002" i="55"/>
  <c r="O1000" i="18"/>
  <c r="K1001" i="55"/>
  <c r="M1001" i="55"/>
  <c r="L1001" i="55"/>
  <c r="N1001" i="55"/>
  <c r="A1002" i="55"/>
  <c r="M1000" i="18"/>
  <c r="L1000" i="18"/>
  <c r="N1000" i="18"/>
  <c r="C1000" i="18"/>
  <c r="K1000" i="18" s="1"/>
  <c r="A1001" i="18"/>
  <c r="F1002" i="55" l="1"/>
  <c r="E1002" i="55"/>
  <c r="O1002" i="55"/>
  <c r="J1002" i="55"/>
  <c r="P1002" i="55"/>
  <c r="R1000" i="18"/>
  <c r="D1002" i="55"/>
  <c r="D1001" i="18"/>
  <c r="B1003" i="55" s="1"/>
  <c r="E1001" i="18"/>
  <c r="B1001" i="18"/>
  <c r="L1001" i="18" s="1"/>
  <c r="G1002" i="55" l="1"/>
  <c r="H1002" i="55" s="1"/>
  <c r="I1002" i="55" s="1"/>
  <c r="N1002" i="55"/>
  <c r="L1002" i="55"/>
  <c r="M1002" i="55"/>
  <c r="K1002" i="55"/>
  <c r="R1002" i="55"/>
  <c r="T1002" i="55"/>
  <c r="S1002" i="55"/>
  <c r="U1002" i="55"/>
  <c r="Q1002" i="55"/>
  <c r="A1003" i="55"/>
  <c r="M1001" i="18"/>
  <c r="C1003" i="55"/>
  <c r="O1001" i="18"/>
  <c r="A1002" i="18"/>
  <c r="C1001" i="18"/>
  <c r="K1001" i="18" s="1"/>
  <c r="N1001" i="18"/>
  <c r="E1003" i="55" s="1"/>
  <c r="P1003" i="55" l="1"/>
  <c r="J1003" i="55"/>
  <c r="O1003" i="55"/>
  <c r="F1003" i="55"/>
  <c r="G1003" i="55" s="1"/>
  <c r="H1003" i="55" s="1"/>
  <c r="I1003" i="55" s="1"/>
  <c r="R1001" i="18"/>
  <c r="D1003" i="55"/>
  <c r="E1002" i="18"/>
  <c r="D1002" i="18"/>
  <c r="B1004" i="55" s="1"/>
  <c r="B1002" i="18"/>
  <c r="A1004" i="55" l="1"/>
  <c r="M1002" i="18"/>
  <c r="L1002" i="18"/>
  <c r="L1003" i="55"/>
  <c r="M1003" i="55"/>
  <c r="N1003" i="55"/>
  <c r="K1003" i="55"/>
  <c r="C1004" i="55"/>
  <c r="O1002" i="18"/>
  <c r="R1003" i="55"/>
  <c r="U1003" i="55"/>
  <c r="T1003" i="55"/>
  <c r="S1003" i="55"/>
  <c r="Q1003" i="55"/>
  <c r="C1002" i="18"/>
  <c r="K1002" i="18" s="1"/>
  <c r="A1003" i="18"/>
  <c r="N1002" i="18"/>
  <c r="E1004" i="55" l="1"/>
  <c r="F1004" i="55"/>
  <c r="O1004" i="55"/>
  <c r="P1004" i="55"/>
  <c r="J1004" i="55"/>
  <c r="R1002" i="18"/>
  <c r="D1004" i="55"/>
  <c r="B1003" i="18"/>
  <c r="L1003" i="18" s="1"/>
  <c r="E1003" i="18"/>
  <c r="D1003" i="18"/>
  <c r="B1005" i="55" s="1"/>
  <c r="G1004" i="55" l="1"/>
  <c r="H1004" i="55" s="1"/>
  <c r="I1004" i="55" s="1"/>
  <c r="N1004" i="55"/>
  <c r="M1004" i="55"/>
  <c r="K1004" i="55"/>
  <c r="L1004" i="55"/>
  <c r="R1004" i="55"/>
  <c r="U1004" i="55"/>
  <c r="T1004" i="55"/>
  <c r="S1004" i="55"/>
  <c r="Q1004" i="55"/>
  <c r="C1005" i="55"/>
  <c r="O1003" i="18"/>
  <c r="A1005" i="55"/>
  <c r="M1003" i="18"/>
  <c r="N1003" i="18"/>
  <c r="E1005" i="55" s="1"/>
  <c r="A1004" i="18"/>
  <c r="C1003" i="18"/>
  <c r="K1003" i="18" s="1"/>
  <c r="F1005" i="55" l="1"/>
  <c r="G1005" i="55" s="1"/>
  <c r="H1005" i="55" s="1"/>
  <c r="I1005" i="55" s="1"/>
  <c r="O1005" i="55"/>
  <c r="P1005" i="55"/>
  <c r="J1005" i="55"/>
  <c r="R1003" i="18"/>
  <c r="D1005" i="55"/>
  <c r="D1004" i="18"/>
  <c r="B1006" i="55" s="1"/>
  <c r="E1004" i="18"/>
  <c r="B1004" i="18"/>
  <c r="M1005" i="55" l="1"/>
  <c r="L1005" i="55"/>
  <c r="K1005" i="55"/>
  <c r="N1005" i="55"/>
  <c r="T1005" i="55"/>
  <c r="U1005" i="55"/>
  <c r="R1005" i="55"/>
  <c r="S1005" i="55"/>
  <c r="Q1005" i="55"/>
  <c r="A1006" i="55"/>
  <c r="M1004" i="18"/>
  <c r="L1004" i="18"/>
  <c r="C1006" i="55"/>
  <c r="O1004" i="18"/>
  <c r="A1005" i="18"/>
  <c r="C1004" i="18"/>
  <c r="K1004" i="18" s="1"/>
  <c r="N1004" i="18"/>
  <c r="E1006" i="55" l="1"/>
  <c r="F1006" i="55"/>
  <c r="O1006" i="55"/>
  <c r="P1006" i="55"/>
  <c r="J1006" i="55"/>
  <c r="R1004" i="18"/>
  <c r="D1006" i="55"/>
  <c r="B1005" i="18"/>
  <c r="D1005" i="18"/>
  <c r="B1007" i="55" s="1"/>
  <c r="E1005" i="18"/>
  <c r="G1006" i="55" l="1"/>
  <c r="H1006" i="55" s="1"/>
  <c r="I1006" i="55" s="1"/>
  <c r="C1007" i="55"/>
  <c r="O1005" i="18"/>
  <c r="A1007" i="55"/>
  <c r="M1005" i="18"/>
  <c r="L1005" i="18"/>
  <c r="N1006" i="55"/>
  <c r="M1006" i="55"/>
  <c r="L1006" i="55"/>
  <c r="K1006" i="55"/>
  <c r="R1006" i="55"/>
  <c r="T1006" i="55"/>
  <c r="U1006" i="55"/>
  <c r="S1006" i="55"/>
  <c r="Q1006" i="55"/>
  <c r="N1005" i="18"/>
  <c r="C1005" i="18"/>
  <c r="K1005" i="18" s="1"/>
  <c r="A1006" i="18"/>
  <c r="E1007" i="55" l="1"/>
  <c r="P1007" i="55"/>
  <c r="J1007" i="55"/>
  <c r="O1007" i="55"/>
  <c r="F1007" i="55"/>
  <c r="R1005" i="18"/>
  <c r="D1007" i="55"/>
  <c r="B1006" i="18"/>
  <c r="D1006" i="18"/>
  <c r="B1008" i="55" s="1"/>
  <c r="E1006" i="18"/>
  <c r="A1008" i="55" l="1"/>
  <c r="M1006" i="18"/>
  <c r="C1008" i="55"/>
  <c r="O1006" i="18"/>
  <c r="M1007" i="55"/>
  <c r="L1007" i="55"/>
  <c r="K1007" i="55"/>
  <c r="N1007" i="55"/>
  <c r="R1007" i="55"/>
  <c r="T1007" i="55"/>
  <c r="U1007" i="55"/>
  <c r="S1007" i="55"/>
  <c r="Q1007" i="55"/>
  <c r="G1007" i="55"/>
  <c r="H1007" i="55" s="1"/>
  <c r="I1007" i="55" s="1"/>
  <c r="L1006" i="18"/>
  <c r="N1006" i="18"/>
  <c r="A1007" i="18"/>
  <c r="C1006" i="18"/>
  <c r="K1006" i="18" s="1"/>
  <c r="E1008" i="55" l="1"/>
  <c r="F1008" i="55"/>
  <c r="O1008" i="55"/>
  <c r="J1008" i="55"/>
  <c r="P1008" i="55"/>
  <c r="R1006" i="18"/>
  <c r="D1008" i="55"/>
  <c r="D1007" i="18"/>
  <c r="B1009" i="55" s="1"/>
  <c r="B1007" i="18"/>
  <c r="E1007" i="18"/>
  <c r="G1008" i="55" l="1"/>
  <c r="H1008" i="55" s="1"/>
  <c r="I1008" i="55" s="1"/>
  <c r="C1009" i="55"/>
  <c r="O1007" i="18"/>
  <c r="A1009" i="55"/>
  <c r="M1007" i="18"/>
  <c r="R1008" i="55"/>
  <c r="T1008" i="55"/>
  <c r="U1008" i="55"/>
  <c r="S1008" i="55"/>
  <c r="Q1008" i="55"/>
  <c r="L1008" i="55"/>
  <c r="M1008" i="55"/>
  <c r="K1008" i="55"/>
  <c r="N1008" i="55"/>
  <c r="L1007" i="18"/>
  <c r="N1007" i="18"/>
  <c r="A1008" i="18"/>
  <c r="C1007" i="18"/>
  <c r="K1007" i="18" s="1"/>
  <c r="E1009" i="55" l="1"/>
  <c r="J1009" i="55"/>
  <c r="P1009" i="55"/>
  <c r="O1009" i="55"/>
  <c r="F1009" i="55"/>
  <c r="R1007" i="18"/>
  <c r="D1009" i="55"/>
  <c r="B1008" i="18"/>
  <c r="E1008" i="18"/>
  <c r="D1008" i="18"/>
  <c r="B1010" i="55" s="1"/>
  <c r="G1009" i="55" l="1"/>
  <c r="H1009" i="55" s="1"/>
  <c r="I1009" i="55" s="1"/>
  <c r="C1010" i="55"/>
  <c r="O1008" i="18"/>
  <c r="A1010" i="55"/>
  <c r="M1008" i="18"/>
  <c r="R1009" i="55"/>
  <c r="T1009" i="55"/>
  <c r="U1009" i="55"/>
  <c r="S1009" i="55"/>
  <c r="Q1009" i="55"/>
  <c r="L1009" i="55"/>
  <c r="M1009" i="55"/>
  <c r="K1009" i="55"/>
  <c r="N1009" i="55"/>
  <c r="L1008" i="18"/>
  <c r="N1008" i="18"/>
  <c r="A1009" i="18"/>
  <c r="C1008" i="18"/>
  <c r="K1008" i="18" s="1"/>
  <c r="E1010" i="55" l="1"/>
  <c r="O1010" i="55"/>
  <c r="J1010" i="55"/>
  <c r="P1010" i="55"/>
  <c r="F1010" i="55"/>
  <c r="R1008" i="18"/>
  <c r="D1010" i="55"/>
  <c r="D1009" i="18"/>
  <c r="B1011" i="55" s="1"/>
  <c r="B1009" i="18"/>
  <c r="E1009" i="18"/>
  <c r="G1010" i="55" l="1"/>
  <c r="H1010" i="55" s="1"/>
  <c r="I1010" i="55" s="1"/>
  <c r="C1011" i="55"/>
  <c r="O1009" i="18"/>
  <c r="A1011" i="55"/>
  <c r="M1009" i="18"/>
  <c r="R1010" i="55"/>
  <c r="T1010" i="55"/>
  <c r="U1010" i="55"/>
  <c r="S1010" i="55"/>
  <c r="Q1010" i="55"/>
  <c r="N1010" i="55"/>
  <c r="L1010" i="55"/>
  <c r="K1010" i="55"/>
  <c r="M1010" i="55"/>
  <c r="L1009" i="18"/>
  <c r="C1009" i="18"/>
  <c r="K1009" i="18" s="1"/>
  <c r="A1010" i="18"/>
  <c r="N1009" i="18"/>
  <c r="E1011" i="55" l="1"/>
  <c r="P1011" i="55"/>
  <c r="J1011" i="55"/>
  <c r="O1011" i="55"/>
  <c r="F1011" i="55"/>
  <c r="R1009" i="18"/>
  <c r="D1011" i="55"/>
  <c r="B1010" i="18"/>
  <c r="D1010" i="18"/>
  <c r="B1012" i="55" s="1"/>
  <c r="E1010" i="18"/>
  <c r="G1011" i="55" l="1"/>
  <c r="S1011" i="55" s="1"/>
  <c r="A1012" i="55"/>
  <c r="P1012" i="55" s="1"/>
  <c r="L1010" i="18"/>
  <c r="M1010" i="18"/>
  <c r="Q1011" i="55"/>
  <c r="R1011" i="55" s="1"/>
  <c r="D227" i="59" s="1"/>
  <c r="M1011" i="55"/>
  <c r="L1011" i="55"/>
  <c r="K1011" i="55"/>
  <c r="N1011" i="55"/>
  <c r="O1010" i="18"/>
  <c r="C1012" i="55"/>
  <c r="J1012" i="55" s="1"/>
  <c r="N1010" i="18"/>
  <c r="C1010" i="18"/>
  <c r="K1010" i="18" s="1"/>
  <c r="A1011" i="18"/>
  <c r="H1011" i="55" l="1"/>
  <c r="T1011" i="55" s="1"/>
  <c r="E1012" i="55"/>
  <c r="Q1012" i="55" s="1"/>
  <c r="O1012" i="55"/>
  <c r="F1012" i="55"/>
  <c r="R1010" i="18"/>
  <c r="D1012" i="55"/>
  <c r="E1011" i="18"/>
  <c r="B1011" i="18"/>
  <c r="D1011" i="18"/>
  <c r="B1013" i="55" s="1"/>
  <c r="I1011" i="55" l="1"/>
  <c r="U1011" i="55" s="1"/>
  <c r="G1012" i="55"/>
  <c r="H1012" i="55" s="1"/>
  <c r="I1012" i="55" s="1"/>
  <c r="A1013" i="55"/>
  <c r="M1011" i="18"/>
  <c r="L1011" i="18"/>
  <c r="C1013" i="55"/>
  <c r="O1011" i="18"/>
  <c r="A1012" i="18"/>
  <c r="C1011" i="18"/>
  <c r="K1011" i="18" s="1"/>
  <c r="N1011" i="18"/>
  <c r="E1013" i="55" l="1"/>
  <c r="F1013" i="55"/>
  <c r="J1013" i="55"/>
  <c r="O1013" i="55"/>
  <c r="P1013" i="55"/>
  <c r="R1011" i="18"/>
  <c r="D1013" i="55"/>
  <c r="B1012" i="18"/>
  <c r="D1012" i="18"/>
  <c r="B1014" i="55" s="1"/>
  <c r="E1012" i="18"/>
  <c r="R1013" i="55" l="1"/>
  <c r="D229" i="59" s="1"/>
  <c r="Q1013" i="55"/>
  <c r="G1013" i="55"/>
  <c r="H1013" i="55" s="1"/>
  <c r="I1013" i="55" s="1"/>
  <c r="A1014" i="55"/>
  <c r="M1012" i="18"/>
  <c r="C1014" i="55"/>
  <c r="O1012" i="18"/>
  <c r="L1012" i="18"/>
  <c r="K1013" i="55"/>
  <c r="N1013" i="55"/>
  <c r="M1013" i="55"/>
  <c r="L1013" i="55"/>
  <c r="N1012" i="18"/>
  <c r="C1012" i="18"/>
  <c r="K1012" i="18" s="1"/>
  <c r="A1013" i="18"/>
  <c r="E1014" i="55" l="1"/>
  <c r="S1013" i="55"/>
  <c r="F1014" i="55"/>
  <c r="P1014" i="55"/>
  <c r="O1014" i="55"/>
  <c r="J1014" i="55"/>
  <c r="R1012" i="18"/>
  <c r="D1014" i="55"/>
  <c r="U1013" i="55"/>
  <c r="T1013" i="55"/>
  <c r="D1013" i="18"/>
  <c r="B1015" i="55" s="1"/>
  <c r="E1013" i="18"/>
  <c r="B1013" i="18"/>
  <c r="G1014" i="55" l="1"/>
  <c r="S1014" i="55" s="1"/>
  <c r="R1014" i="55"/>
  <c r="D230" i="59" s="1"/>
  <c r="K1014" i="55"/>
  <c r="M1014" i="55"/>
  <c r="N1014" i="55"/>
  <c r="L1014" i="55"/>
  <c r="Q1014" i="55"/>
  <c r="A1015" i="55"/>
  <c r="M1013" i="18"/>
  <c r="L1013" i="18"/>
  <c r="C1015" i="55"/>
  <c r="O1013" i="18"/>
  <c r="A1014" i="18"/>
  <c r="C1013" i="18"/>
  <c r="K1013" i="18" s="1"/>
  <c r="N1013" i="18"/>
  <c r="H1014" i="55" l="1"/>
  <c r="I1014" i="55" s="1"/>
  <c r="U1014" i="55" s="1"/>
  <c r="F1015" i="55"/>
  <c r="E1015" i="55"/>
  <c r="P1015" i="55"/>
  <c r="J1015" i="55"/>
  <c r="O1015" i="55"/>
  <c r="R1013" i="18"/>
  <c r="D1015" i="55"/>
  <c r="B1014" i="18"/>
  <c r="L1014" i="18" s="1"/>
  <c r="E1014" i="18"/>
  <c r="D1014" i="18"/>
  <c r="B1016" i="55" s="1"/>
  <c r="T1014" i="55" l="1"/>
  <c r="G1015" i="55"/>
  <c r="H1015" i="55" s="1"/>
  <c r="I1015" i="55" s="1"/>
  <c r="M1015" i="55"/>
  <c r="K1015" i="55"/>
  <c r="N1015" i="55"/>
  <c r="L1015" i="55"/>
  <c r="R1015" i="55"/>
  <c r="S1015" i="55"/>
  <c r="T1015" i="55"/>
  <c r="U1015" i="55"/>
  <c r="Q1015" i="55"/>
  <c r="O1014" i="18"/>
  <c r="C1016" i="55"/>
  <c r="A1016" i="55"/>
  <c r="M1014" i="18"/>
  <c r="N1014" i="18"/>
  <c r="E1016" i="55" s="1"/>
  <c r="A1015" i="18"/>
  <c r="C1014" i="18"/>
  <c r="K1014" i="18" s="1"/>
  <c r="F1016" i="55" l="1"/>
  <c r="G1016" i="55" s="1"/>
  <c r="H1016" i="55" s="1"/>
  <c r="P1016" i="55"/>
  <c r="J1016" i="55"/>
  <c r="O1016" i="55"/>
  <c r="R1014" i="18"/>
  <c r="D1016" i="55"/>
  <c r="B1015" i="18"/>
  <c r="E1015" i="18"/>
  <c r="D1015" i="18"/>
  <c r="B1017" i="55" s="1"/>
  <c r="O1015" i="18" l="1"/>
  <c r="C1017" i="55"/>
  <c r="A1017" i="55"/>
  <c r="M1015" i="18"/>
  <c r="L1015" i="18"/>
  <c r="M1016" i="55"/>
  <c r="L1016" i="55"/>
  <c r="N1016" i="55"/>
  <c r="K1016" i="55"/>
  <c r="U1016" i="55"/>
  <c r="R1016" i="55"/>
  <c r="T1016" i="55"/>
  <c r="S1016" i="55"/>
  <c r="Q1016" i="55"/>
  <c r="I1016" i="55"/>
  <c r="N1015" i="18"/>
  <c r="C1015" i="18"/>
  <c r="K1015" i="18" s="1"/>
  <c r="A1016" i="18"/>
  <c r="E1017" i="55" l="1"/>
  <c r="F1017" i="55"/>
  <c r="O1017" i="55"/>
  <c r="J1017" i="55"/>
  <c r="P1017" i="55"/>
  <c r="R1015" i="18"/>
  <c r="D1017" i="55"/>
  <c r="D1016" i="18"/>
  <c r="B1018" i="55" s="1"/>
  <c r="E1016" i="18"/>
  <c r="B1016" i="18"/>
  <c r="L1016" i="18" s="1"/>
  <c r="G1017" i="55" l="1"/>
  <c r="H1017" i="55" s="1"/>
  <c r="T1017" i="55"/>
  <c r="U1017" i="55"/>
  <c r="R1017" i="55"/>
  <c r="S1017" i="55"/>
  <c r="Q1017" i="55"/>
  <c r="N1017" i="55"/>
  <c r="M1017" i="55"/>
  <c r="K1017" i="55"/>
  <c r="L1017" i="55"/>
  <c r="A1018" i="55"/>
  <c r="M1016" i="18"/>
  <c r="O1016" i="18"/>
  <c r="C1018" i="55"/>
  <c r="A1017" i="18"/>
  <c r="C1016" i="18"/>
  <c r="K1016" i="18" s="1"/>
  <c r="N1016" i="18"/>
  <c r="E1018" i="55" s="1"/>
  <c r="I1017" i="55" l="1"/>
  <c r="F1018" i="55"/>
  <c r="G1018" i="55" s="1"/>
  <c r="H1018" i="55" s="1"/>
  <c r="I1018" i="55" s="1"/>
  <c r="J1018" i="55"/>
  <c r="O1018" i="55"/>
  <c r="P1018" i="55"/>
  <c r="R1016" i="18"/>
  <c r="D1018" i="55"/>
  <c r="B1017" i="18"/>
  <c r="D1017" i="18"/>
  <c r="B1019" i="55" s="1"/>
  <c r="E1017" i="18"/>
  <c r="A1019" i="55" l="1"/>
  <c r="M1017" i="18"/>
  <c r="L1017" i="18"/>
  <c r="T1018" i="55"/>
  <c r="U1018" i="55"/>
  <c r="R1018" i="55"/>
  <c r="S1018" i="55"/>
  <c r="Q1018" i="55"/>
  <c r="N1018" i="55"/>
  <c r="M1018" i="55"/>
  <c r="L1018" i="55"/>
  <c r="K1018" i="55"/>
  <c r="C1019" i="55"/>
  <c r="O1017" i="18"/>
  <c r="N1017" i="18"/>
  <c r="C1017" i="18"/>
  <c r="K1017" i="18" s="1"/>
  <c r="A1018" i="18"/>
  <c r="P1019" i="55" l="1"/>
  <c r="O1019" i="55"/>
  <c r="J1019" i="55"/>
  <c r="F1019" i="55"/>
  <c r="E1019" i="55"/>
  <c r="R1017" i="18"/>
  <c r="D1019" i="55"/>
  <c r="B1018" i="18"/>
  <c r="L1018" i="18" s="1"/>
  <c r="D1018" i="18"/>
  <c r="B1020" i="55" s="1"/>
  <c r="E1018" i="18"/>
  <c r="G1019" i="55" l="1"/>
  <c r="H1019" i="55" s="1"/>
  <c r="I1019" i="55" s="1"/>
  <c r="C1020" i="55"/>
  <c r="O1018" i="18"/>
  <c r="M1019" i="55"/>
  <c r="L1019" i="55"/>
  <c r="K1019" i="55"/>
  <c r="N1019" i="55"/>
  <c r="A1020" i="55"/>
  <c r="M1018" i="18"/>
  <c r="T1019" i="55"/>
  <c r="U1019" i="55"/>
  <c r="R1019" i="55"/>
  <c r="S1019" i="55"/>
  <c r="Q1019" i="55"/>
  <c r="N1018" i="18"/>
  <c r="E1020" i="55" s="1"/>
  <c r="C1018" i="18"/>
  <c r="K1018" i="18" s="1"/>
  <c r="A1019" i="18"/>
  <c r="F1020" i="55" l="1"/>
  <c r="G1020" i="55" s="1"/>
  <c r="H1020" i="55" s="1"/>
  <c r="I1020" i="55" s="1"/>
  <c r="O1020" i="55"/>
  <c r="P1020" i="55"/>
  <c r="J1020" i="55"/>
  <c r="R1018" i="18"/>
  <c r="D1020" i="55"/>
  <c r="B1019" i="18"/>
  <c r="E1019" i="18"/>
  <c r="D1019" i="18"/>
  <c r="B1021" i="55" s="1"/>
  <c r="C1021" i="55" l="1"/>
  <c r="O1019" i="18"/>
  <c r="A1021" i="55"/>
  <c r="M1019" i="18"/>
  <c r="L1019" i="18"/>
  <c r="N1020" i="55"/>
  <c r="L1020" i="55"/>
  <c r="M1020" i="55"/>
  <c r="K1020" i="55"/>
  <c r="T1020" i="55"/>
  <c r="U1020" i="55"/>
  <c r="R1020" i="55"/>
  <c r="S1020" i="55"/>
  <c r="Q1020" i="55"/>
  <c r="N1019" i="18"/>
  <c r="C1019" i="18"/>
  <c r="K1019" i="18" s="1"/>
  <c r="A1020" i="18"/>
  <c r="F1021" i="55" l="1"/>
  <c r="E1021" i="55"/>
  <c r="O1021" i="55"/>
  <c r="P1021" i="55"/>
  <c r="J1021" i="55"/>
  <c r="R1019" i="18"/>
  <c r="D1021" i="55"/>
  <c r="B1020" i="18"/>
  <c r="D1020" i="18"/>
  <c r="B1022" i="55" s="1"/>
  <c r="E1020" i="18"/>
  <c r="G1021" i="55" l="1"/>
  <c r="H1021" i="55" s="1"/>
  <c r="I1021" i="55" s="1"/>
  <c r="C1022" i="55"/>
  <c r="O1020" i="18"/>
  <c r="A1022" i="55"/>
  <c r="M1020" i="18"/>
  <c r="N1021" i="55"/>
  <c r="L1021" i="55"/>
  <c r="M1021" i="55"/>
  <c r="K1021" i="55"/>
  <c r="T1021" i="55"/>
  <c r="U1021" i="55"/>
  <c r="R1021" i="55"/>
  <c r="S1021" i="55"/>
  <c r="Q1021" i="55"/>
  <c r="L1020" i="18"/>
  <c r="N1020" i="18"/>
  <c r="C1020" i="18"/>
  <c r="K1020" i="18" s="1"/>
  <c r="A1021" i="18"/>
  <c r="F1022" i="55" l="1"/>
  <c r="E1022" i="55"/>
  <c r="O1022" i="55"/>
  <c r="P1022" i="55"/>
  <c r="J1022" i="55"/>
  <c r="R1020" i="18"/>
  <c r="D1022" i="55"/>
  <c r="B1021" i="18"/>
  <c r="D1021" i="18"/>
  <c r="B1023" i="55" s="1"/>
  <c r="E1021" i="18"/>
  <c r="G1022" i="55" l="1"/>
  <c r="H1022" i="55" s="1"/>
  <c r="I1022" i="55" s="1"/>
  <c r="A1023" i="55"/>
  <c r="M1021" i="18"/>
  <c r="C1023" i="55"/>
  <c r="O1021" i="18"/>
  <c r="L1021" i="18"/>
  <c r="L1022" i="55"/>
  <c r="K1022" i="55"/>
  <c r="N1022" i="55"/>
  <c r="M1022" i="55"/>
  <c r="R1022" i="55"/>
  <c r="U1022" i="55"/>
  <c r="S1022" i="55"/>
  <c r="T1022" i="55"/>
  <c r="Q1022" i="55"/>
  <c r="N1021" i="18"/>
  <c r="C1021" i="18"/>
  <c r="K1021" i="18" s="1"/>
  <c r="A1022" i="18"/>
  <c r="E1023" i="55" l="1"/>
  <c r="F1023" i="55"/>
  <c r="P1023" i="55"/>
  <c r="J1023" i="55"/>
  <c r="O1023" i="55"/>
  <c r="R1021" i="18"/>
  <c r="D1023" i="55"/>
  <c r="D1022" i="18"/>
  <c r="B1024" i="55" s="1"/>
  <c r="E1022" i="18"/>
  <c r="B1022" i="18"/>
  <c r="A1024" i="55" l="1"/>
  <c r="M1022" i="18"/>
  <c r="O1022" i="18"/>
  <c r="C1024" i="55"/>
  <c r="M1023" i="55"/>
  <c r="N1023" i="55"/>
  <c r="K1023" i="55"/>
  <c r="L1023" i="55"/>
  <c r="U1023" i="55"/>
  <c r="R1023" i="55"/>
  <c r="S1023" i="55"/>
  <c r="T1023" i="55"/>
  <c r="Q1023" i="55"/>
  <c r="G1023" i="55"/>
  <c r="H1023" i="55" s="1"/>
  <c r="I1023" i="55" s="1"/>
  <c r="L1022" i="18"/>
  <c r="N1022" i="18"/>
  <c r="C1022" i="18"/>
  <c r="K1022" i="18" s="1"/>
  <c r="A1023" i="18"/>
  <c r="E1024" i="55" l="1"/>
  <c r="F1024" i="55"/>
  <c r="O1024" i="55"/>
  <c r="J1024" i="55"/>
  <c r="P1024" i="55"/>
  <c r="R1022" i="18"/>
  <c r="D1024" i="55"/>
  <c r="E1023" i="18"/>
  <c r="D1023" i="18"/>
  <c r="B1025" i="55" s="1"/>
  <c r="B1023" i="18"/>
  <c r="G1024" i="55" l="1"/>
  <c r="H1024" i="55" s="1"/>
  <c r="I1024" i="55" s="1"/>
  <c r="A1025" i="55"/>
  <c r="M1023" i="18"/>
  <c r="C1025" i="55"/>
  <c r="O1023" i="18"/>
  <c r="T1024" i="55"/>
  <c r="U1024" i="55"/>
  <c r="R1024" i="55"/>
  <c r="S1024" i="55"/>
  <c r="Q1024" i="55"/>
  <c r="M1024" i="55"/>
  <c r="L1024" i="55"/>
  <c r="K1024" i="55"/>
  <c r="N1024" i="55"/>
  <c r="L1023" i="18"/>
  <c r="A1024" i="18"/>
  <c r="C1023" i="18"/>
  <c r="K1023" i="18" s="1"/>
  <c r="N1023" i="18"/>
  <c r="E1025" i="55" l="1"/>
  <c r="F1025" i="55"/>
  <c r="P1025" i="55"/>
  <c r="J1025" i="55"/>
  <c r="O1025" i="55"/>
  <c r="R1023" i="18"/>
  <c r="D1025" i="55"/>
  <c r="E1024" i="18"/>
  <c r="B1024" i="18"/>
  <c r="D1024" i="18"/>
  <c r="B1026" i="55" s="1"/>
  <c r="G1025" i="55" l="1"/>
  <c r="H1025" i="55" s="1"/>
  <c r="I1025" i="55" s="1"/>
  <c r="A1026" i="55"/>
  <c r="M1024" i="18"/>
  <c r="C1026" i="55"/>
  <c r="O1024" i="18"/>
  <c r="M1025" i="55"/>
  <c r="L1025" i="55"/>
  <c r="K1025" i="55"/>
  <c r="N1025" i="55"/>
  <c r="R1025" i="55"/>
  <c r="T1025" i="55"/>
  <c r="U1025" i="55"/>
  <c r="S1025" i="55"/>
  <c r="Q1025" i="55"/>
  <c r="L1024" i="18"/>
  <c r="A1025" i="18"/>
  <c r="C1024" i="18"/>
  <c r="K1024" i="18" s="1"/>
  <c r="N1024" i="18"/>
  <c r="E1026" i="55" l="1"/>
  <c r="F1026" i="55"/>
  <c r="O1026" i="55"/>
  <c r="J1026" i="55"/>
  <c r="P1026" i="55"/>
  <c r="R1024" i="18"/>
  <c r="D1026" i="55"/>
  <c r="B1025" i="18"/>
  <c r="D1025" i="18"/>
  <c r="B1027" i="55" s="1"/>
  <c r="E1025" i="18"/>
  <c r="G1026" i="55" l="1"/>
  <c r="H1026" i="55" s="1"/>
  <c r="I1026" i="55" s="1"/>
  <c r="C1027" i="55"/>
  <c r="O1025" i="18"/>
  <c r="A1027" i="55"/>
  <c r="M1025" i="18"/>
  <c r="R1026" i="55"/>
  <c r="T1026" i="55"/>
  <c r="U1026" i="55"/>
  <c r="S1026" i="55"/>
  <c r="Q1026" i="55"/>
  <c r="L1026" i="55"/>
  <c r="M1026" i="55"/>
  <c r="K1026" i="55"/>
  <c r="N1026" i="55"/>
  <c r="L1025" i="18"/>
  <c r="N1025" i="18"/>
  <c r="A1026" i="18"/>
  <c r="C1025" i="18"/>
  <c r="K1025" i="18" s="1"/>
  <c r="E1027" i="55" l="1"/>
  <c r="F1027" i="55"/>
  <c r="P1027" i="55"/>
  <c r="J1027" i="55"/>
  <c r="O1027" i="55"/>
  <c r="R1025" i="18"/>
  <c r="D1027" i="55"/>
  <c r="B1026" i="18"/>
  <c r="D1026" i="18"/>
  <c r="B1028" i="55" s="1"/>
  <c r="E1026" i="18"/>
  <c r="G1027" i="55" l="1"/>
  <c r="H1027" i="55" s="1"/>
  <c r="I1027" i="55" s="1"/>
  <c r="A1028" i="55"/>
  <c r="M1026" i="18"/>
  <c r="O1026" i="18"/>
  <c r="C1028" i="55"/>
  <c r="L1026" i="18"/>
  <c r="N1027" i="55"/>
  <c r="M1027" i="55"/>
  <c r="L1027" i="55"/>
  <c r="K1027" i="55"/>
  <c r="R1027" i="55"/>
  <c r="T1027" i="55"/>
  <c r="U1027" i="55"/>
  <c r="S1027" i="55"/>
  <c r="Q1027" i="55"/>
  <c r="N1026" i="18"/>
  <c r="C1026" i="18"/>
  <c r="K1026" i="18" s="1"/>
  <c r="A1027" i="18"/>
  <c r="E1028" i="55" l="1"/>
  <c r="F1028" i="55"/>
  <c r="P1028" i="55"/>
  <c r="O1028" i="55"/>
  <c r="J1028" i="55"/>
  <c r="R1026" i="18"/>
  <c r="D1028" i="55"/>
  <c r="B1027" i="18"/>
  <c r="E1027" i="18"/>
  <c r="D1027" i="18"/>
  <c r="B1029" i="55" s="1"/>
  <c r="G1028" i="55" l="1"/>
  <c r="H1028" i="55" s="1"/>
  <c r="I1028" i="55" s="1"/>
  <c r="A1029" i="55"/>
  <c r="M1027" i="18"/>
  <c r="C1029" i="55"/>
  <c r="O1027" i="18"/>
  <c r="N1028" i="55"/>
  <c r="M1028" i="55"/>
  <c r="L1028" i="55"/>
  <c r="K1028" i="55"/>
  <c r="U1028" i="55"/>
  <c r="R1028" i="55"/>
  <c r="T1028" i="55"/>
  <c r="S1028" i="55"/>
  <c r="Q1028" i="55"/>
  <c r="L1027" i="18"/>
  <c r="N1027" i="18"/>
  <c r="C1027" i="18"/>
  <c r="K1027" i="18" s="1"/>
  <c r="A1028" i="18"/>
  <c r="E1029" i="55" l="1"/>
  <c r="F1029" i="55"/>
  <c r="P1029" i="55"/>
  <c r="J1029" i="55"/>
  <c r="O1029" i="55"/>
  <c r="R1027" i="18"/>
  <c r="D1029" i="55"/>
  <c r="B1028" i="18"/>
  <c r="D1028" i="18"/>
  <c r="B1030" i="55" s="1"/>
  <c r="E1028" i="18"/>
  <c r="G1029" i="55" l="1"/>
  <c r="S1029" i="55" s="1"/>
  <c r="M1029" i="55"/>
  <c r="L1029" i="55"/>
  <c r="K1029" i="55"/>
  <c r="N1029" i="55"/>
  <c r="C1030" i="55"/>
  <c r="O1028" i="18"/>
  <c r="A1030" i="55"/>
  <c r="L1028" i="18"/>
  <c r="M1028" i="18"/>
  <c r="Q1029" i="55"/>
  <c r="N1028" i="18"/>
  <c r="C1028" i="18"/>
  <c r="K1028" i="18" s="1"/>
  <c r="A1029" i="18"/>
  <c r="H1029" i="55" l="1"/>
  <c r="T1029" i="55" s="1"/>
  <c r="R1029" i="55"/>
  <c r="D231" i="59" s="1"/>
  <c r="F1030" i="55"/>
  <c r="E1030" i="55"/>
  <c r="J1030" i="55"/>
  <c r="O1030" i="55"/>
  <c r="P1030" i="55"/>
  <c r="R1028" i="18"/>
  <c r="D1030" i="55"/>
  <c r="D1029" i="18"/>
  <c r="B1031" i="55" s="1"/>
  <c r="E1029" i="18"/>
  <c r="B1029" i="18"/>
  <c r="I1029" i="55" l="1"/>
  <c r="U1029" i="55" s="1"/>
  <c r="G1030" i="55"/>
  <c r="H1030" i="55" s="1"/>
  <c r="I1030" i="55" s="1"/>
  <c r="A1031" i="55"/>
  <c r="M1029" i="18"/>
  <c r="K1030" i="55"/>
  <c r="L1030" i="55"/>
  <c r="N1030" i="55"/>
  <c r="M1030" i="55"/>
  <c r="C1031" i="55"/>
  <c r="O1029" i="18"/>
  <c r="Q1030" i="55"/>
  <c r="L1029" i="18"/>
  <c r="A1030" i="18"/>
  <c r="C1029" i="18"/>
  <c r="K1029" i="18" s="1"/>
  <c r="N1029" i="18"/>
  <c r="F1031" i="55" l="1"/>
  <c r="E1031" i="55"/>
  <c r="P1031" i="55"/>
  <c r="J1031" i="55"/>
  <c r="O1031" i="55"/>
  <c r="R1029" i="18"/>
  <c r="D1031" i="55"/>
  <c r="E1030" i="18"/>
  <c r="B1030" i="18"/>
  <c r="L1030" i="18" s="1"/>
  <c r="D1030" i="18"/>
  <c r="B1032" i="55" s="1"/>
  <c r="R1031" i="55" l="1"/>
  <c r="D233" i="59" s="1"/>
  <c r="G1031" i="55"/>
  <c r="H1031" i="55" s="1"/>
  <c r="I1031" i="55" s="1"/>
  <c r="Q1031" i="55"/>
  <c r="C1032" i="55"/>
  <c r="O1030" i="18"/>
  <c r="K1031" i="55"/>
  <c r="N1031" i="55"/>
  <c r="M1031" i="55"/>
  <c r="L1031" i="55"/>
  <c r="A1032" i="55"/>
  <c r="M1030" i="18"/>
  <c r="C1030" i="18"/>
  <c r="K1030" i="18" s="1"/>
  <c r="A1031" i="18"/>
  <c r="N1030" i="18"/>
  <c r="E1032" i="55" s="1"/>
  <c r="S1031" i="55" l="1"/>
  <c r="O1032" i="55"/>
  <c r="P1032" i="55"/>
  <c r="Q1032" i="55" s="1"/>
  <c r="J1032" i="55"/>
  <c r="F1032" i="55"/>
  <c r="R1030" i="18"/>
  <c r="D1032" i="55"/>
  <c r="U1031" i="55"/>
  <c r="T1031" i="55"/>
  <c r="B1031" i="18"/>
  <c r="D1031" i="18"/>
  <c r="B1033" i="55" s="1"/>
  <c r="E1031" i="18"/>
  <c r="R1032" i="55" l="1"/>
  <c r="D234" i="59" s="1"/>
  <c r="G1032" i="55"/>
  <c r="H1032" i="55" s="1"/>
  <c r="I1032" i="55" s="1"/>
  <c r="A1033" i="55"/>
  <c r="M1031" i="18"/>
  <c r="L1031" i="18"/>
  <c r="C1033" i="55"/>
  <c r="O1031" i="18"/>
  <c r="M1032" i="55"/>
  <c r="L1032" i="55"/>
  <c r="N1032" i="55"/>
  <c r="K1032" i="55"/>
  <c r="N1031" i="18"/>
  <c r="A1032" i="18"/>
  <c r="C1031" i="18"/>
  <c r="K1031" i="18" s="1"/>
  <c r="S1032" i="55" l="1"/>
  <c r="E1033" i="55"/>
  <c r="F1033" i="55"/>
  <c r="O1033" i="55"/>
  <c r="P1033" i="55"/>
  <c r="J1033" i="55"/>
  <c r="R1031" i="18"/>
  <c r="D1033" i="55"/>
  <c r="U1032" i="55"/>
  <c r="T1032" i="55"/>
  <c r="B1032" i="18"/>
  <c r="L1032" i="18" s="1"/>
  <c r="D1032" i="18"/>
  <c r="B1034" i="55" s="1"/>
  <c r="E1032" i="18"/>
  <c r="G1033" i="55" l="1"/>
  <c r="H1033" i="55" s="1"/>
  <c r="I1033" i="55" s="1"/>
  <c r="R1033" i="55"/>
  <c r="T1033" i="55"/>
  <c r="U1033" i="55"/>
  <c r="S1033" i="55"/>
  <c r="Q1033" i="55"/>
  <c r="C1034" i="55"/>
  <c r="O1032" i="18"/>
  <c r="A1034" i="55"/>
  <c r="M1032" i="18"/>
  <c r="N1033" i="55"/>
  <c r="M1033" i="55"/>
  <c r="L1033" i="55"/>
  <c r="K1033" i="55"/>
  <c r="N1032" i="18"/>
  <c r="E1034" i="55" s="1"/>
  <c r="C1032" i="18"/>
  <c r="K1032" i="18" s="1"/>
  <c r="A1033" i="18"/>
  <c r="F1034" i="55" l="1"/>
  <c r="G1034" i="55" s="1"/>
  <c r="H1034" i="55" s="1"/>
  <c r="J1034" i="55"/>
  <c r="O1034" i="55"/>
  <c r="P1034" i="55"/>
  <c r="R1032" i="18"/>
  <c r="D1034" i="55"/>
  <c r="B1033" i="18"/>
  <c r="D1033" i="18"/>
  <c r="B1035" i="55" s="1"/>
  <c r="E1033" i="18"/>
  <c r="C1035" i="55" l="1"/>
  <c r="O1033" i="18"/>
  <c r="A1035" i="55"/>
  <c r="M1033" i="18"/>
  <c r="L1033" i="18"/>
  <c r="T1034" i="55"/>
  <c r="U1034" i="55"/>
  <c r="R1034" i="55"/>
  <c r="S1034" i="55"/>
  <c r="Q1034" i="55"/>
  <c r="N1034" i="55"/>
  <c r="M1034" i="55"/>
  <c r="L1034" i="55"/>
  <c r="K1034" i="55"/>
  <c r="I1034" i="55"/>
  <c r="N1033" i="18"/>
  <c r="A1034" i="18"/>
  <c r="C1033" i="18"/>
  <c r="K1033" i="18" s="1"/>
  <c r="E1035" i="55" l="1"/>
  <c r="F1035" i="55"/>
  <c r="O1035" i="55"/>
  <c r="P1035" i="55"/>
  <c r="J1035" i="55"/>
  <c r="R1033" i="18"/>
  <c r="D1035" i="55"/>
  <c r="D1034" i="18"/>
  <c r="B1036" i="55" s="1"/>
  <c r="E1034" i="18"/>
  <c r="B1034" i="18"/>
  <c r="G1035" i="55" l="1"/>
  <c r="H1035" i="55" s="1"/>
  <c r="I1035" i="55" s="1"/>
  <c r="A1036" i="55"/>
  <c r="M1034" i="18"/>
  <c r="C1036" i="55"/>
  <c r="O1034" i="18"/>
  <c r="M1035" i="55"/>
  <c r="N1035" i="55"/>
  <c r="K1035" i="55"/>
  <c r="L1035" i="55"/>
  <c r="T1035" i="55"/>
  <c r="U1035" i="55"/>
  <c r="R1035" i="55"/>
  <c r="S1035" i="55"/>
  <c r="Q1035" i="55"/>
  <c r="L1034" i="18"/>
  <c r="C1034" i="18"/>
  <c r="K1034" i="18" s="1"/>
  <c r="A1035" i="18"/>
  <c r="N1034" i="18"/>
  <c r="E1036" i="55" l="1"/>
  <c r="F1036" i="55"/>
  <c r="O1036" i="55"/>
  <c r="P1036" i="55"/>
  <c r="J1036" i="55"/>
  <c r="R1034" i="18"/>
  <c r="D1036" i="55"/>
  <c r="D1035" i="18"/>
  <c r="B1037" i="55" s="1"/>
  <c r="B1035" i="18"/>
  <c r="E1035" i="18"/>
  <c r="G1036" i="55" l="1"/>
  <c r="H1036" i="55" s="1"/>
  <c r="I1036" i="55" s="1"/>
  <c r="R1036" i="55"/>
  <c r="T1036" i="55"/>
  <c r="U1036" i="55"/>
  <c r="S1036" i="55"/>
  <c r="Q1036" i="55"/>
  <c r="K1036" i="55"/>
  <c r="N1036" i="55"/>
  <c r="M1036" i="55"/>
  <c r="L1036" i="55"/>
  <c r="C1037" i="55"/>
  <c r="O1035" i="18"/>
  <c r="A1037" i="55"/>
  <c r="M1035" i="18"/>
  <c r="L1035" i="18"/>
  <c r="N1035" i="18"/>
  <c r="C1035" i="18"/>
  <c r="K1035" i="18" s="1"/>
  <c r="A1036" i="18"/>
  <c r="E1037" i="55" l="1"/>
  <c r="P1037" i="55"/>
  <c r="O1037" i="55"/>
  <c r="J1037" i="55"/>
  <c r="F1037" i="55"/>
  <c r="R1035" i="18"/>
  <c r="D1037" i="55"/>
  <c r="E1036" i="18"/>
  <c r="D1036" i="18"/>
  <c r="B1038" i="55" s="1"/>
  <c r="B1036" i="18"/>
  <c r="L1036" i="18" s="1"/>
  <c r="G1037" i="55" l="1"/>
  <c r="H1037" i="55" s="1"/>
  <c r="I1037" i="55" s="1"/>
  <c r="N1037" i="55"/>
  <c r="M1037" i="55"/>
  <c r="K1037" i="55"/>
  <c r="L1037" i="55"/>
  <c r="R1037" i="55"/>
  <c r="T1037" i="55"/>
  <c r="U1037" i="55"/>
  <c r="S1037" i="55"/>
  <c r="Q1037" i="55"/>
  <c r="C1038" i="55"/>
  <c r="O1036" i="18"/>
  <c r="A1038" i="55"/>
  <c r="M1036" i="18"/>
  <c r="A1037" i="18"/>
  <c r="C1036" i="18"/>
  <c r="K1036" i="18" s="1"/>
  <c r="N1036" i="18"/>
  <c r="E1038" i="55" s="1"/>
  <c r="F1038" i="55" l="1"/>
  <c r="G1038" i="55" s="1"/>
  <c r="H1038" i="55" s="1"/>
  <c r="I1038" i="55" s="1"/>
  <c r="O1038" i="55"/>
  <c r="J1038" i="55"/>
  <c r="P1038" i="55"/>
  <c r="R1036" i="18"/>
  <c r="D1038" i="55"/>
  <c r="B1037" i="18"/>
  <c r="D1037" i="18"/>
  <c r="B1039" i="55" s="1"/>
  <c r="E1037" i="18"/>
  <c r="A1039" i="55" l="1"/>
  <c r="M1037" i="18"/>
  <c r="L1037" i="18"/>
  <c r="R1038" i="55"/>
  <c r="U1038" i="55"/>
  <c r="T1038" i="55"/>
  <c r="S1038" i="55"/>
  <c r="Q1038" i="55"/>
  <c r="C1039" i="55"/>
  <c r="O1037" i="18"/>
  <c r="N1038" i="55"/>
  <c r="L1038" i="55"/>
  <c r="M1038" i="55"/>
  <c r="K1038" i="55"/>
  <c r="N1037" i="18"/>
  <c r="A1038" i="18"/>
  <c r="C1037" i="18"/>
  <c r="K1037" i="18" s="1"/>
  <c r="F1039" i="55" l="1"/>
  <c r="E1039" i="55"/>
  <c r="P1039" i="55"/>
  <c r="J1039" i="55"/>
  <c r="O1039" i="55"/>
  <c r="R1037" i="18"/>
  <c r="D1039" i="55"/>
  <c r="B1038" i="18"/>
  <c r="D1038" i="18"/>
  <c r="B1040" i="55" s="1"/>
  <c r="E1038" i="18"/>
  <c r="G1039" i="55" l="1"/>
  <c r="H1039" i="55" s="1"/>
  <c r="I1039" i="55" s="1"/>
  <c r="C1040" i="55"/>
  <c r="O1038" i="18"/>
  <c r="R1039" i="55"/>
  <c r="T1039" i="55"/>
  <c r="S1039" i="55"/>
  <c r="U1039" i="55"/>
  <c r="Q1039" i="55"/>
  <c r="K1039" i="55"/>
  <c r="N1039" i="55"/>
  <c r="L1039" i="55"/>
  <c r="M1039" i="55"/>
  <c r="A1040" i="55"/>
  <c r="M1038" i="18"/>
  <c r="L1038" i="18"/>
  <c r="N1038" i="18"/>
  <c r="C1038" i="18"/>
  <c r="K1038" i="18" s="1"/>
  <c r="A1039" i="18"/>
  <c r="E1040" i="55" l="1"/>
  <c r="F1040" i="55"/>
  <c r="O1040" i="55"/>
  <c r="P1040" i="55"/>
  <c r="J1040" i="55"/>
  <c r="R1038" i="18"/>
  <c r="D1040" i="55"/>
  <c r="B1039" i="18"/>
  <c r="L1039" i="18" s="1"/>
  <c r="D1039" i="18"/>
  <c r="B1041" i="55" s="1"/>
  <c r="E1039" i="18"/>
  <c r="G1040" i="55" l="1"/>
  <c r="H1040" i="55" s="1"/>
  <c r="I1040" i="55" s="1"/>
  <c r="C1041" i="55"/>
  <c r="O1039" i="18"/>
  <c r="A1041" i="55"/>
  <c r="M1039" i="18"/>
  <c r="N1040" i="55"/>
  <c r="L1040" i="55"/>
  <c r="K1040" i="55"/>
  <c r="M1040" i="55"/>
  <c r="T1040" i="55"/>
  <c r="U1040" i="55"/>
  <c r="R1040" i="55"/>
  <c r="S1040" i="55"/>
  <c r="Q1040" i="55"/>
  <c r="N1039" i="18"/>
  <c r="E1041" i="55" s="1"/>
  <c r="C1039" i="18"/>
  <c r="K1039" i="18" s="1"/>
  <c r="A1040" i="18"/>
  <c r="O1041" i="55" l="1"/>
  <c r="J1041" i="55"/>
  <c r="P1041" i="55"/>
  <c r="F1041" i="55"/>
  <c r="G1041" i="55" s="1"/>
  <c r="H1041" i="55" s="1"/>
  <c r="I1041" i="55" s="1"/>
  <c r="R1039" i="18"/>
  <c r="D1041" i="55"/>
  <c r="B1040" i="18"/>
  <c r="D1040" i="18"/>
  <c r="B1042" i="55" s="1"/>
  <c r="E1040" i="18"/>
  <c r="C1042" i="55" l="1"/>
  <c r="O1040" i="18"/>
  <c r="A1042" i="55"/>
  <c r="M1040" i="18"/>
  <c r="L1040" i="18"/>
  <c r="R1041" i="55"/>
  <c r="T1041" i="55"/>
  <c r="U1041" i="55"/>
  <c r="S1041" i="55"/>
  <c r="Q1041" i="55"/>
  <c r="N1041" i="55"/>
  <c r="M1041" i="55"/>
  <c r="L1041" i="55"/>
  <c r="K1041" i="55"/>
  <c r="N1040" i="18"/>
  <c r="C1040" i="18"/>
  <c r="K1040" i="18" s="1"/>
  <c r="A1041" i="18"/>
  <c r="E1042" i="55" l="1"/>
  <c r="F1042" i="55"/>
  <c r="O1042" i="55"/>
  <c r="P1042" i="55"/>
  <c r="J1042" i="55"/>
  <c r="R1040" i="18"/>
  <c r="D1042" i="55"/>
  <c r="B1041" i="18"/>
  <c r="D1041" i="18"/>
  <c r="B1043" i="55" s="1"/>
  <c r="E1041" i="18"/>
  <c r="G1042" i="55" l="1"/>
  <c r="H1042" i="55" s="1"/>
  <c r="I1042" i="55" s="1"/>
  <c r="C1043" i="55"/>
  <c r="O1041" i="18"/>
  <c r="R1042" i="55"/>
  <c r="T1042" i="55"/>
  <c r="U1042" i="55"/>
  <c r="S1042" i="55"/>
  <c r="Q1042" i="55"/>
  <c r="A1043" i="55"/>
  <c r="M1041" i="18"/>
  <c r="N1042" i="55"/>
  <c r="M1042" i="55"/>
  <c r="L1042" i="55"/>
  <c r="K1042" i="55"/>
  <c r="L1041" i="18"/>
  <c r="N1041" i="18"/>
  <c r="C1041" i="18"/>
  <c r="K1041" i="18" s="1"/>
  <c r="A1042" i="18"/>
  <c r="E1043" i="55" l="1"/>
  <c r="O1043" i="55"/>
  <c r="J1043" i="55"/>
  <c r="P1043" i="55"/>
  <c r="F1043" i="55"/>
  <c r="R1041" i="18"/>
  <c r="D1043" i="55"/>
  <c r="B1042" i="18"/>
  <c r="D1042" i="18"/>
  <c r="B1044" i="55" s="1"/>
  <c r="E1042" i="18"/>
  <c r="G1043" i="55" l="1"/>
  <c r="H1043" i="55" s="1"/>
  <c r="I1043" i="55" s="1"/>
  <c r="C1044" i="55"/>
  <c r="O1042" i="18"/>
  <c r="A1044" i="55"/>
  <c r="M1042" i="18"/>
  <c r="L1042" i="18"/>
  <c r="N1043" i="55"/>
  <c r="M1043" i="55"/>
  <c r="L1043" i="55"/>
  <c r="K1043" i="55"/>
  <c r="R1043" i="55"/>
  <c r="T1043" i="55"/>
  <c r="U1043" i="55"/>
  <c r="S1043" i="55"/>
  <c r="Q1043" i="55"/>
  <c r="N1042" i="18"/>
  <c r="C1042" i="18"/>
  <c r="K1042" i="18" s="1"/>
  <c r="A1043" i="18"/>
  <c r="E1044" i="55" l="1"/>
  <c r="F1044" i="55"/>
  <c r="O1044" i="55"/>
  <c r="J1044" i="55"/>
  <c r="P1044" i="55"/>
  <c r="R1042" i="18"/>
  <c r="D1044" i="55"/>
  <c r="D1043" i="18"/>
  <c r="B1045" i="55" s="1"/>
  <c r="E1043" i="18"/>
  <c r="B1043" i="18"/>
  <c r="G1044" i="55" l="1"/>
  <c r="H1044" i="55" s="1"/>
  <c r="I1044" i="55" s="1"/>
  <c r="C1045" i="55"/>
  <c r="O1043" i="18"/>
  <c r="A1045" i="55"/>
  <c r="M1043" i="18"/>
  <c r="M1044" i="55"/>
  <c r="K1044" i="55"/>
  <c r="L1044" i="55"/>
  <c r="N1044" i="55"/>
  <c r="U1044" i="55"/>
  <c r="R1044" i="55"/>
  <c r="T1044" i="55"/>
  <c r="S1044" i="55"/>
  <c r="Q1044" i="55"/>
  <c r="L1043" i="18"/>
  <c r="C1043" i="18"/>
  <c r="K1043" i="18" s="1"/>
  <c r="A1044" i="18"/>
  <c r="N1043" i="18"/>
  <c r="E1045" i="55" l="1"/>
  <c r="P1045" i="55"/>
  <c r="O1045" i="55"/>
  <c r="J1045" i="55"/>
  <c r="F1045" i="55"/>
  <c r="R1043" i="18"/>
  <c r="D1045" i="55"/>
  <c r="B1044" i="18"/>
  <c r="D1044" i="18"/>
  <c r="B1046" i="55" s="1"/>
  <c r="E1044" i="18"/>
  <c r="G1045" i="55" l="1"/>
  <c r="H1045" i="55" s="1"/>
  <c r="I1045" i="55" s="1"/>
  <c r="C1046" i="55"/>
  <c r="O1044" i="18"/>
  <c r="A1046" i="55"/>
  <c r="M1044" i="18"/>
  <c r="N1045" i="55"/>
  <c r="L1045" i="55"/>
  <c r="M1045" i="55"/>
  <c r="K1045" i="55"/>
  <c r="L1044" i="18"/>
  <c r="T1045" i="55"/>
  <c r="U1045" i="55"/>
  <c r="S1045" i="55"/>
  <c r="R1045" i="55"/>
  <c r="Q1045" i="55"/>
  <c r="N1044" i="18"/>
  <c r="C1044" i="18"/>
  <c r="K1044" i="18" s="1"/>
  <c r="A1045" i="18"/>
  <c r="E1046" i="55" l="1"/>
  <c r="P1046" i="55"/>
  <c r="J1046" i="55"/>
  <c r="O1046" i="55"/>
  <c r="F1046" i="55"/>
  <c r="R1044" i="18"/>
  <c r="D1046" i="55"/>
  <c r="E1045" i="18"/>
  <c r="B1045" i="18"/>
  <c r="L1045" i="18" s="1"/>
  <c r="D1045" i="18"/>
  <c r="B1047" i="55" s="1"/>
  <c r="G1046" i="55" l="1"/>
  <c r="T1046" i="55"/>
  <c r="U1046" i="55"/>
  <c r="R1046" i="55"/>
  <c r="S1046" i="55"/>
  <c r="Q1046" i="55"/>
  <c r="C1047" i="55"/>
  <c r="O1045" i="18"/>
  <c r="N1046" i="55"/>
  <c r="L1046" i="55"/>
  <c r="K1046" i="55"/>
  <c r="M1046" i="55"/>
  <c r="C1045" i="18"/>
  <c r="K1045" i="18" s="1"/>
  <c r="D1047" i="55" s="1"/>
  <c r="A1047" i="55"/>
  <c r="M1045" i="18"/>
  <c r="C36" i="59"/>
  <c r="C12" i="59"/>
  <c r="C124" i="59"/>
  <c r="C20" i="59"/>
  <c r="C60" i="59"/>
  <c r="C172" i="59"/>
  <c r="C68" i="59"/>
  <c r="C132" i="59"/>
  <c r="C116" i="59"/>
  <c r="C92" i="59"/>
  <c r="C100" i="59"/>
  <c r="C108" i="59"/>
  <c r="C84" i="59"/>
  <c r="C44" i="59"/>
  <c r="C148" i="59"/>
  <c r="C156" i="59"/>
  <c r="C28" i="59"/>
  <c r="C4" i="59"/>
  <c r="C140" i="59"/>
  <c r="C76" i="59"/>
  <c r="C164" i="59"/>
  <c r="C52" i="59"/>
  <c r="G13" i="59"/>
  <c r="E149" i="59"/>
  <c r="G69" i="59"/>
  <c r="F37" i="59"/>
  <c r="F69" i="59"/>
  <c r="F5" i="59"/>
  <c r="E45" i="59"/>
  <c r="G45" i="59"/>
  <c r="C109" i="59"/>
  <c r="E165" i="59"/>
  <c r="F101" i="59"/>
  <c r="C5" i="59"/>
  <c r="C69" i="59"/>
  <c r="E117" i="59"/>
  <c r="C173" i="59"/>
  <c r="E29" i="59"/>
  <c r="C85" i="59"/>
  <c r="G77" i="59"/>
  <c r="G61" i="59"/>
  <c r="E133" i="59"/>
  <c r="C125" i="59"/>
  <c r="G125" i="59"/>
  <c r="C117" i="59"/>
  <c r="F21" i="59"/>
  <c r="C133" i="59"/>
  <c r="E77" i="59"/>
  <c r="F77" i="59"/>
  <c r="C29" i="59"/>
  <c r="F133" i="59"/>
  <c r="F93" i="59"/>
  <c r="F13" i="59"/>
  <c r="G109" i="59"/>
  <c r="G157" i="59"/>
  <c r="E93" i="59"/>
  <c r="G141" i="59"/>
  <c r="E141" i="59"/>
  <c r="E109" i="59"/>
  <c r="E53" i="59"/>
  <c r="F165" i="59"/>
  <c r="E157" i="59"/>
  <c r="G37" i="59"/>
  <c r="C61" i="59"/>
  <c r="F53" i="59"/>
  <c r="G101" i="59"/>
  <c r="F149" i="59"/>
  <c r="G117" i="59"/>
  <c r="E21" i="59"/>
  <c r="F29" i="59"/>
  <c r="E13" i="59"/>
  <c r="E101" i="59"/>
  <c r="E85" i="59"/>
  <c r="G85" i="59"/>
  <c r="C165" i="59"/>
  <c r="C141" i="59"/>
  <c r="E61" i="59"/>
  <c r="C157" i="59"/>
  <c r="F45" i="59"/>
  <c r="E125" i="59"/>
  <c r="C149" i="59"/>
  <c r="F141" i="59"/>
  <c r="G29" i="59"/>
  <c r="G53" i="59"/>
  <c r="F61" i="59"/>
  <c r="G149" i="59"/>
  <c r="G165" i="59"/>
  <c r="C77" i="59"/>
  <c r="G133" i="59"/>
  <c r="C21" i="59"/>
  <c r="F85" i="59"/>
  <c r="G93" i="59"/>
  <c r="C45" i="59"/>
  <c r="E37" i="59"/>
  <c r="E173" i="59"/>
  <c r="E5" i="59"/>
  <c r="E69" i="59"/>
  <c r="F157" i="59"/>
  <c r="C101" i="59"/>
  <c r="F125" i="59"/>
  <c r="F109" i="59"/>
  <c r="F117" i="59"/>
  <c r="G5" i="59"/>
  <c r="C37" i="59"/>
  <c r="C53" i="59"/>
  <c r="F173" i="59"/>
  <c r="G173" i="59"/>
  <c r="C93" i="59"/>
  <c r="G21" i="59"/>
  <c r="C13" i="59"/>
  <c r="E118" i="59"/>
  <c r="E126" i="59"/>
  <c r="F102" i="59"/>
  <c r="G86" i="59"/>
  <c r="E102" i="59"/>
  <c r="F110" i="59"/>
  <c r="G158" i="59"/>
  <c r="G134" i="59"/>
  <c r="G150" i="59"/>
  <c r="F70" i="59"/>
  <c r="C78" i="59"/>
  <c r="C14" i="59"/>
  <c r="G46" i="59"/>
  <c r="E30" i="59"/>
  <c r="F54" i="59"/>
  <c r="E38" i="59"/>
  <c r="C142" i="59"/>
  <c r="F6" i="59"/>
  <c r="C46" i="59"/>
  <c r="G30" i="59"/>
  <c r="G118" i="59"/>
  <c r="C134" i="59"/>
  <c r="C102" i="59"/>
  <c r="G6" i="59"/>
  <c r="E62" i="59"/>
  <c r="C150" i="59"/>
  <c r="G174" i="59"/>
  <c r="E14" i="59"/>
  <c r="G94" i="59"/>
  <c r="G70" i="59"/>
  <c r="F166" i="59"/>
  <c r="G14" i="59"/>
  <c r="F78" i="59"/>
  <c r="C6" i="59"/>
  <c r="C110" i="59"/>
  <c r="C30" i="59"/>
  <c r="E158" i="59"/>
  <c r="F14" i="59"/>
  <c r="C118" i="59"/>
  <c r="F174" i="59"/>
  <c r="E54" i="59"/>
  <c r="C62" i="59"/>
  <c r="E22" i="59"/>
  <c r="E150" i="59"/>
  <c r="G54" i="59"/>
  <c r="G110" i="59"/>
  <c r="F38" i="59"/>
  <c r="G22" i="59"/>
  <c r="G102" i="59"/>
  <c r="G166" i="59"/>
  <c r="C166" i="59"/>
  <c r="G38" i="59"/>
  <c r="E46" i="59"/>
  <c r="F158" i="59"/>
  <c r="E6" i="59"/>
  <c r="E78" i="59"/>
  <c r="E134" i="59"/>
  <c r="G78" i="59"/>
  <c r="C158" i="59"/>
  <c r="G142" i="59"/>
  <c r="E86" i="59"/>
  <c r="C70" i="59"/>
  <c r="F142" i="59"/>
  <c r="F62" i="59"/>
  <c r="E70" i="59"/>
  <c r="E110" i="59"/>
  <c r="C22" i="59"/>
  <c r="F118" i="59"/>
  <c r="E94" i="59"/>
  <c r="C38" i="59"/>
  <c r="F22" i="59"/>
  <c r="F94" i="59"/>
  <c r="F150" i="59"/>
  <c r="F126" i="59"/>
  <c r="E174" i="59"/>
  <c r="C94" i="59"/>
  <c r="G62" i="59"/>
  <c r="C126" i="59"/>
  <c r="C54" i="59"/>
  <c r="F30" i="59"/>
  <c r="G126" i="59"/>
  <c r="F46" i="59"/>
  <c r="F86" i="59"/>
  <c r="C86" i="59"/>
  <c r="E142" i="59"/>
  <c r="C174" i="59"/>
  <c r="E166" i="59"/>
  <c r="F134" i="59"/>
  <c r="F79" i="59"/>
  <c r="E55" i="59"/>
  <c r="E7" i="59"/>
  <c r="G39" i="59"/>
  <c r="C15" i="59"/>
  <c r="F31" i="59"/>
  <c r="G175" i="59"/>
  <c r="C127" i="59"/>
  <c r="E127" i="59"/>
  <c r="G87" i="59"/>
  <c r="F7" i="59"/>
  <c r="G79" i="59"/>
  <c r="C95" i="59"/>
  <c r="G119" i="59"/>
  <c r="G151" i="59"/>
  <c r="E15" i="59"/>
  <c r="C87" i="59"/>
  <c r="C23" i="59"/>
  <c r="G47" i="59"/>
  <c r="C167" i="59"/>
  <c r="G55" i="59"/>
  <c r="G23" i="59"/>
  <c r="F159" i="59"/>
  <c r="E167" i="59"/>
  <c r="F143" i="59"/>
  <c r="E119" i="59"/>
  <c r="E95" i="59"/>
  <c r="E111" i="59"/>
  <c r="F135" i="59"/>
  <c r="C175" i="59"/>
  <c r="C111" i="59"/>
  <c r="C151" i="59"/>
  <c r="E23" i="59"/>
  <c r="E143" i="59"/>
  <c r="E103" i="59"/>
  <c r="E79" i="59"/>
  <c r="E31" i="59"/>
  <c r="C71" i="59"/>
  <c r="F63" i="59"/>
  <c r="C7" i="59"/>
  <c r="G167" i="59"/>
  <c r="G135" i="59"/>
  <c r="C143" i="59"/>
  <c r="F167" i="59"/>
  <c r="F103" i="59"/>
  <c r="E175" i="59"/>
  <c r="F23" i="59"/>
  <c r="C39" i="59"/>
  <c r="G31" i="59"/>
  <c r="C135" i="59"/>
  <c r="E39" i="59"/>
  <c r="G71" i="59"/>
  <c r="C31" i="59"/>
  <c r="F71" i="59"/>
  <c r="F15" i="59"/>
  <c r="F175" i="59"/>
  <c r="G159" i="59"/>
  <c r="G63" i="59"/>
  <c r="F87" i="59"/>
  <c r="F47" i="59"/>
  <c r="E135" i="59"/>
  <c r="C55" i="59"/>
  <c r="E63" i="59"/>
  <c r="F119" i="59"/>
  <c r="C47" i="59"/>
  <c r="F55" i="59"/>
  <c r="C103" i="59"/>
  <c r="F39" i="59"/>
  <c r="G95" i="59"/>
  <c r="G111" i="59"/>
  <c r="G143" i="59"/>
  <c r="G103" i="59"/>
  <c r="G15" i="59"/>
  <c r="C119" i="59"/>
  <c r="F95" i="59"/>
  <c r="F151" i="59"/>
  <c r="C63" i="59"/>
  <c r="E159" i="59"/>
  <c r="G127" i="59"/>
  <c r="E47" i="59"/>
  <c r="C159" i="59"/>
  <c r="F127" i="59"/>
  <c r="E87" i="59"/>
  <c r="E71" i="59"/>
  <c r="E151" i="59"/>
  <c r="F111" i="59"/>
  <c r="C79" i="59"/>
  <c r="G7" i="59"/>
  <c r="C48" i="59"/>
  <c r="C144" i="59"/>
  <c r="C104" i="59"/>
  <c r="C32" i="59"/>
  <c r="C112" i="59"/>
  <c r="C40" i="59"/>
  <c r="C80" i="59"/>
  <c r="C24" i="59"/>
  <c r="C72" i="59"/>
  <c r="C96" i="59"/>
  <c r="C88" i="59"/>
  <c r="C120" i="59"/>
  <c r="C176" i="59"/>
  <c r="C8" i="59"/>
  <c r="C64" i="59"/>
  <c r="C168" i="59"/>
  <c r="C160" i="59"/>
  <c r="C136" i="59"/>
  <c r="C56" i="59"/>
  <c r="C16" i="59"/>
  <c r="C152" i="59"/>
  <c r="C128" i="59"/>
  <c r="G113" i="59"/>
  <c r="C113" i="59"/>
  <c r="E17" i="59"/>
  <c r="G145" i="59"/>
  <c r="C33" i="59"/>
  <c r="C89" i="59"/>
  <c r="F137" i="59"/>
  <c r="F57" i="59"/>
  <c r="F129" i="59"/>
  <c r="F65" i="59"/>
  <c r="E9" i="59"/>
  <c r="C145" i="59"/>
  <c r="E57" i="59"/>
  <c r="E41" i="59"/>
  <c r="C177" i="59"/>
  <c r="E153" i="59"/>
  <c r="C65" i="59"/>
  <c r="G89" i="59"/>
  <c r="C9" i="59"/>
  <c r="G73" i="59"/>
  <c r="E81" i="59"/>
  <c r="F169" i="59"/>
  <c r="G25" i="59"/>
  <c r="C97" i="59"/>
  <c r="C161" i="59"/>
  <c r="E145" i="59"/>
  <c r="E65" i="59"/>
  <c r="G129" i="59"/>
  <c r="F9" i="59"/>
  <c r="F145" i="59"/>
  <c r="E89" i="59"/>
  <c r="C17" i="59"/>
  <c r="G41" i="59"/>
  <c r="F105" i="59"/>
  <c r="G105" i="59"/>
  <c r="F49" i="59"/>
  <c r="G137" i="59"/>
  <c r="C49" i="59"/>
  <c r="E25" i="59"/>
  <c r="C81" i="59"/>
  <c r="E113" i="59"/>
  <c r="E129" i="59"/>
  <c r="C121" i="59"/>
  <c r="E49" i="59"/>
  <c r="C153" i="59"/>
  <c r="F161" i="59"/>
  <c r="G49" i="59"/>
  <c r="F25" i="59"/>
  <c r="E177" i="59"/>
  <c r="E97" i="59"/>
  <c r="F81" i="59"/>
  <c r="E169" i="59"/>
  <c r="F97" i="59"/>
  <c r="G9" i="59"/>
  <c r="E33" i="59"/>
  <c r="G65" i="59"/>
  <c r="F33" i="59"/>
  <c r="C169" i="59"/>
  <c r="C41" i="59"/>
  <c r="G121" i="59"/>
  <c r="G169" i="59"/>
  <c r="C129" i="59"/>
  <c r="F89" i="59"/>
  <c r="G57" i="59"/>
  <c r="G17" i="59"/>
  <c r="F153" i="59"/>
  <c r="E121" i="59"/>
  <c r="F41" i="59"/>
  <c r="F17" i="59"/>
  <c r="C137" i="59"/>
  <c r="C25" i="59"/>
  <c r="E161" i="59"/>
  <c r="G81" i="59"/>
  <c r="G153" i="59"/>
  <c r="C57" i="59"/>
  <c r="E73" i="59"/>
  <c r="G177" i="59"/>
  <c r="G161" i="59"/>
  <c r="G97" i="59"/>
  <c r="F121" i="59"/>
  <c r="F73" i="59"/>
  <c r="E105" i="59"/>
  <c r="E137" i="59"/>
  <c r="F113" i="59"/>
  <c r="G33" i="59"/>
  <c r="F177" i="59"/>
  <c r="C73" i="59"/>
  <c r="C105" i="59"/>
  <c r="G82" i="59"/>
  <c r="C146" i="59"/>
  <c r="C170" i="59"/>
  <c r="C74" i="59"/>
  <c r="F130" i="59"/>
  <c r="C34" i="59"/>
  <c r="G122" i="59"/>
  <c r="C114" i="59"/>
  <c r="G98" i="59"/>
  <c r="F66" i="59"/>
  <c r="F10" i="59"/>
  <c r="C98" i="59"/>
  <c r="C18" i="59"/>
  <c r="G170" i="59"/>
  <c r="F122" i="59"/>
  <c r="F98" i="59"/>
  <c r="G42" i="59"/>
  <c r="E178" i="59"/>
  <c r="E170" i="59"/>
  <c r="F138" i="59"/>
  <c r="E50" i="59"/>
  <c r="C162" i="59"/>
  <c r="F18" i="59"/>
  <c r="E130" i="59"/>
  <c r="F74" i="59"/>
  <c r="C138" i="59"/>
  <c r="G58" i="59"/>
  <c r="E162" i="59"/>
  <c r="C82" i="59"/>
  <c r="G178" i="59"/>
  <c r="G130" i="59"/>
  <c r="F82" i="59"/>
  <c r="C90" i="59"/>
  <c r="E10" i="59"/>
  <c r="F50" i="59"/>
  <c r="F162" i="59"/>
  <c r="C10" i="59"/>
  <c r="E122" i="59"/>
  <c r="E34" i="59"/>
  <c r="G18" i="59"/>
  <c r="G154" i="59"/>
  <c r="E114" i="59"/>
  <c r="E58" i="59"/>
  <c r="C178" i="59"/>
  <c r="E98" i="59"/>
  <c r="E146" i="59"/>
  <c r="C66" i="59"/>
  <c r="F178" i="59"/>
  <c r="C106" i="59"/>
  <c r="E74" i="59"/>
  <c r="G162" i="59"/>
  <c r="G114" i="59"/>
  <c r="G10" i="59"/>
  <c r="F42" i="59"/>
  <c r="E66" i="59"/>
  <c r="C122" i="59"/>
  <c r="F170" i="59"/>
  <c r="C42" i="59"/>
  <c r="F58" i="59"/>
  <c r="E154" i="59"/>
  <c r="E90" i="59"/>
  <c r="G106" i="59"/>
  <c r="E42" i="59"/>
  <c r="G66" i="59"/>
  <c r="F146" i="59"/>
  <c r="G34" i="59"/>
  <c r="C50" i="59"/>
  <c r="E106" i="59"/>
  <c r="G138" i="59"/>
  <c r="F34" i="59"/>
  <c r="F106" i="59"/>
  <c r="C58" i="59"/>
  <c r="C26" i="59"/>
  <c r="E138" i="59"/>
  <c r="L138" i="59" s="1"/>
  <c r="G74" i="59"/>
  <c r="E82" i="59"/>
  <c r="G26" i="59"/>
  <c r="E26" i="59"/>
  <c r="F90" i="59"/>
  <c r="C130" i="59"/>
  <c r="C154" i="59"/>
  <c r="G146" i="59"/>
  <c r="G50" i="59"/>
  <c r="G90" i="59"/>
  <c r="E18" i="59"/>
  <c r="L18" i="59" s="1"/>
  <c r="F114" i="59"/>
  <c r="F26" i="59"/>
  <c r="F154" i="59"/>
  <c r="T4" i="55"/>
  <c r="U4" i="55"/>
  <c r="G4" i="59" s="1"/>
  <c r="S148" i="55"/>
  <c r="S4" i="55"/>
  <c r="U148" i="55"/>
  <c r="T148" i="55"/>
  <c r="S544" i="55"/>
  <c r="T544" i="55"/>
  <c r="U544" i="55"/>
  <c r="T580" i="55"/>
  <c r="S112" i="55"/>
  <c r="U112" i="55"/>
  <c r="G28" i="59" s="1"/>
  <c r="T112" i="55"/>
  <c r="F28" i="59" s="1"/>
  <c r="U724" i="55"/>
  <c r="S652" i="55"/>
  <c r="U616" i="55"/>
  <c r="T724" i="55"/>
  <c r="U688" i="55"/>
  <c r="U256" i="55"/>
  <c r="T688" i="55"/>
  <c r="S256" i="55"/>
  <c r="S724" i="55"/>
  <c r="U364" i="55"/>
  <c r="S688" i="55"/>
  <c r="T616" i="55"/>
  <c r="U760" i="55"/>
  <c r="G172" i="59" s="1"/>
  <c r="T760" i="55"/>
  <c r="F172" i="59" s="1"/>
  <c r="T76" i="55"/>
  <c r="F20" i="59" s="1"/>
  <c r="S616" i="55"/>
  <c r="U76" i="55"/>
  <c r="G20" i="59" s="1"/>
  <c r="T652" i="55"/>
  <c r="T256" i="55"/>
  <c r="S760" i="55"/>
  <c r="U652" i="55"/>
  <c r="T364" i="55"/>
  <c r="T328" i="55"/>
  <c r="U328" i="55"/>
  <c r="S400" i="55"/>
  <c r="T400" i="55"/>
  <c r="U400" i="55"/>
  <c r="U184" i="55"/>
  <c r="S508" i="55"/>
  <c r="T508" i="55"/>
  <c r="F116" i="59" s="1"/>
  <c r="S184" i="55"/>
  <c r="S166" i="55"/>
  <c r="T346" i="55"/>
  <c r="F80" i="59" s="1"/>
  <c r="U562" i="55"/>
  <c r="G128" i="59" s="1"/>
  <c r="S238" i="55"/>
  <c r="S346" i="55"/>
  <c r="T598" i="55"/>
  <c r="F136" i="59" s="1"/>
  <c r="S562" i="55"/>
  <c r="U238" i="55"/>
  <c r="G56" i="59" s="1"/>
  <c r="T706" i="55"/>
  <c r="F160" i="59" s="1"/>
  <c r="U346" i="55"/>
  <c r="G80" i="59" s="1"/>
  <c r="T238" i="55"/>
  <c r="F56" i="59" s="1"/>
  <c r="S706" i="55"/>
  <c r="S598" i="55"/>
  <c r="U598" i="55"/>
  <c r="G136" i="59" s="1"/>
  <c r="T310" i="55"/>
  <c r="F72" i="59" s="1"/>
  <c r="T562" i="55"/>
  <c r="F128" i="59" s="1"/>
  <c r="U310" i="55"/>
  <c r="G72" i="59" s="1"/>
  <c r="T742" i="55"/>
  <c r="F168" i="59" s="1"/>
  <c r="S526" i="55"/>
  <c r="S742" i="55"/>
  <c r="U166" i="55"/>
  <c r="G40" i="59" s="1"/>
  <c r="S310" i="55"/>
  <c r="U742" i="55"/>
  <c r="G168" i="59" s="1"/>
  <c r="T166" i="55"/>
  <c r="F40" i="59" s="1"/>
  <c r="U706" i="55"/>
  <c r="G160" i="59" s="1"/>
  <c r="S670" i="55"/>
  <c r="S634" i="55"/>
  <c r="U454" i="55"/>
  <c r="G104" i="59" s="1"/>
  <c r="T634" i="55"/>
  <c r="F144" i="59" s="1"/>
  <c r="T670" i="55"/>
  <c r="F152" i="59" s="1"/>
  <c r="T454" i="55"/>
  <c r="F104" i="59" s="1"/>
  <c r="S454" i="55"/>
  <c r="U670" i="55"/>
  <c r="G152" i="59" s="1"/>
  <c r="U634" i="55"/>
  <c r="G144" i="59" s="1"/>
  <c r="U508" i="55"/>
  <c r="G116" i="59" s="1"/>
  <c r="S220" i="55"/>
  <c r="U472" i="55"/>
  <c r="U220" i="55"/>
  <c r="S436" i="55"/>
  <c r="T436" i="55"/>
  <c r="U436" i="55"/>
  <c r="S472" i="55"/>
  <c r="T472" i="55"/>
  <c r="T418" i="55"/>
  <c r="F96" i="59" s="1"/>
  <c r="U58" i="55"/>
  <c r="G16" i="59" s="1"/>
  <c r="S382" i="55"/>
  <c r="U490" i="55"/>
  <c r="G112" i="59" s="1"/>
  <c r="S490" i="55"/>
  <c r="U418" i="55"/>
  <c r="G96" i="59" s="1"/>
  <c r="S202" i="55"/>
  <c r="T490" i="55"/>
  <c r="F112" i="59" s="1"/>
  <c r="T382" i="55"/>
  <c r="F88" i="59" s="1"/>
  <c r="T58" i="55"/>
  <c r="F16" i="59" s="1"/>
  <c r="S274" i="55"/>
  <c r="R274" i="55" s="1"/>
  <c r="D64" i="59" s="1"/>
  <c r="S58" i="55"/>
  <c r="U202" i="55"/>
  <c r="G48" i="59" s="1"/>
  <c r="U382" i="55"/>
  <c r="G88" i="59" s="1"/>
  <c r="T274" i="55"/>
  <c r="F64" i="59" s="1"/>
  <c r="T202" i="55"/>
  <c r="F48" i="59" s="1"/>
  <c r="S418" i="55"/>
  <c r="T22" i="55"/>
  <c r="F8" i="59" s="1"/>
  <c r="S22" i="55"/>
  <c r="U274" i="55"/>
  <c r="G64" i="59" s="1"/>
  <c r="U22" i="55"/>
  <c r="C75" i="59"/>
  <c r="G131" i="59"/>
  <c r="F107" i="59"/>
  <c r="E155" i="59"/>
  <c r="C163" i="59"/>
  <c r="E115" i="59"/>
  <c r="G115" i="59"/>
  <c r="E91" i="59"/>
  <c r="C115" i="59"/>
  <c r="G51" i="59"/>
  <c r="F83" i="59"/>
  <c r="F11" i="59"/>
  <c r="G83" i="59"/>
  <c r="C83" i="59"/>
  <c r="G43" i="59"/>
  <c r="C91" i="59"/>
  <c r="C131" i="59"/>
  <c r="G147" i="59"/>
  <c r="G163" i="59"/>
  <c r="E35" i="59"/>
  <c r="E59" i="59"/>
  <c r="G11" i="59"/>
  <c r="C139" i="59"/>
  <c r="E179" i="59"/>
  <c r="F99" i="59"/>
  <c r="E123" i="59"/>
  <c r="F155" i="59"/>
  <c r="C19" i="59"/>
  <c r="E11" i="59"/>
  <c r="F51" i="59"/>
  <c r="C147" i="59"/>
  <c r="C171" i="59"/>
  <c r="G59" i="59"/>
  <c r="F171" i="59"/>
  <c r="F139" i="59"/>
  <c r="E131" i="59"/>
  <c r="E163" i="59"/>
  <c r="C59" i="59"/>
  <c r="C67" i="59"/>
  <c r="G99" i="59"/>
  <c r="F131" i="59"/>
  <c r="E27" i="59"/>
  <c r="C179" i="59"/>
  <c r="E83" i="59"/>
  <c r="G107" i="59"/>
  <c r="C155" i="59"/>
  <c r="F43" i="59"/>
  <c r="F35" i="59"/>
  <c r="G75" i="59"/>
  <c r="C99" i="59"/>
  <c r="G91" i="59"/>
  <c r="E147" i="59"/>
  <c r="G155" i="59"/>
  <c r="C43" i="59"/>
  <c r="F179" i="59"/>
  <c r="F123" i="59"/>
  <c r="F147" i="59"/>
  <c r="C11" i="59"/>
  <c r="C35" i="59"/>
  <c r="F91" i="59"/>
  <c r="G19" i="59"/>
  <c r="F19" i="59"/>
  <c r="C27" i="59"/>
  <c r="G27" i="59"/>
  <c r="G123" i="59"/>
  <c r="E107" i="59"/>
  <c r="C123" i="59"/>
  <c r="E51" i="59"/>
  <c r="E99" i="59"/>
  <c r="F67" i="59"/>
  <c r="G179" i="59"/>
  <c r="F27" i="59"/>
  <c r="G67" i="59"/>
  <c r="E67" i="59"/>
  <c r="F75" i="59"/>
  <c r="F115" i="59"/>
  <c r="G35" i="59"/>
  <c r="G171" i="59"/>
  <c r="E43" i="59"/>
  <c r="E171" i="59"/>
  <c r="L171" i="59" s="1"/>
  <c r="E139" i="59"/>
  <c r="E75" i="59"/>
  <c r="E19" i="59"/>
  <c r="F59" i="59"/>
  <c r="F163" i="59"/>
  <c r="C107" i="59"/>
  <c r="C51" i="59"/>
  <c r="G139" i="59"/>
  <c r="U292" i="55"/>
  <c r="U40" i="55"/>
  <c r="S40" i="55"/>
  <c r="T40" i="55"/>
  <c r="H1046" i="55"/>
  <c r="I1046" i="55" s="1"/>
  <c r="N1045" i="18"/>
  <c r="E1047" i="55" s="1"/>
  <c r="CI38" i="22"/>
  <c r="CI39" i="22" s="1"/>
  <c r="CI30" i="22"/>
  <c r="CN38" i="22"/>
  <c r="CN30" i="22"/>
  <c r="CM30" i="22"/>
  <c r="CM38" i="22"/>
  <c r="CL38" i="22"/>
  <c r="CL30" i="22"/>
  <c r="CO38" i="22"/>
  <c r="CO30" i="22"/>
  <c r="L69" i="59" l="1"/>
  <c r="L5" i="59"/>
  <c r="L95" i="59"/>
  <c r="L125" i="59"/>
  <c r="L113" i="59"/>
  <c r="L42" i="59"/>
  <c r="L173" i="59"/>
  <c r="L43" i="59"/>
  <c r="L121" i="59"/>
  <c r="L162" i="59"/>
  <c r="L49" i="59"/>
  <c r="L134" i="59"/>
  <c r="L47" i="59"/>
  <c r="L166" i="59"/>
  <c r="L85" i="59"/>
  <c r="L33" i="59"/>
  <c r="L89" i="59"/>
  <c r="L23" i="59"/>
  <c r="L74" i="59"/>
  <c r="L11" i="59"/>
  <c r="L98" i="59"/>
  <c r="L50" i="59"/>
  <c r="L177" i="59"/>
  <c r="L57" i="59"/>
  <c r="L63" i="59"/>
  <c r="L39" i="59"/>
  <c r="L7" i="59"/>
  <c r="L6" i="59"/>
  <c r="L21" i="59"/>
  <c r="L127" i="59"/>
  <c r="L179" i="59"/>
  <c r="L129" i="59"/>
  <c r="L123" i="59"/>
  <c r="L14" i="59"/>
  <c r="L133" i="59"/>
  <c r="L73" i="59"/>
  <c r="L135" i="59"/>
  <c r="L178" i="59"/>
  <c r="L81" i="59"/>
  <c r="L87" i="59"/>
  <c r="L103" i="59"/>
  <c r="L174" i="59"/>
  <c r="L61" i="59"/>
  <c r="L34" i="59"/>
  <c r="L142" i="59"/>
  <c r="L62" i="59"/>
  <c r="L122" i="59"/>
  <c r="L19" i="59"/>
  <c r="L130" i="59"/>
  <c r="L169" i="59"/>
  <c r="L159" i="59"/>
  <c r="L114" i="59"/>
  <c r="L51" i="59"/>
  <c r="L91" i="59"/>
  <c r="L25" i="59"/>
  <c r="L109" i="59"/>
  <c r="L67" i="59"/>
  <c r="L71" i="59"/>
  <c r="L22" i="59"/>
  <c r="L147" i="59"/>
  <c r="L155" i="59"/>
  <c r="L106" i="59"/>
  <c r="L161" i="59"/>
  <c r="L119" i="59"/>
  <c r="L55" i="59"/>
  <c r="L110" i="59"/>
  <c r="L93" i="59"/>
  <c r="L165" i="59"/>
  <c r="L66" i="59"/>
  <c r="L58" i="59"/>
  <c r="L170" i="59"/>
  <c r="L137" i="59"/>
  <c r="L9" i="59"/>
  <c r="L151" i="59"/>
  <c r="L31" i="59"/>
  <c r="L70" i="59"/>
  <c r="L46" i="59"/>
  <c r="L54" i="59"/>
  <c r="L102" i="59"/>
  <c r="L26" i="59"/>
  <c r="L105" i="59"/>
  <c r="L79" i="59"/>
  <c r="L167" i="59"/>
  <c r="L38" i="59"/>
  <c r="L45" i="59"/>
  <c r="L131" i="59"/>
  <c r="L82" i="59"/>
  <c r="L175" i="59"/>
  <c r="L143" i="59"/>
  <c r="L30" i="59"/>
  <c r="L126" i="59"/>
  <c r="L86" i="59"/>
  <c r="L158" i="59"/>
  <c r="L118" i="59"/>
  <c r="L157" i="59"/>
  <c r="L29" i="59"/>
  <c r="L163" i="59"/>
  <c r="L90" i="59"/>
  <c r="L75" i="59"/>
  <c r="L99" i="59"/>
  <c r="L59" i="59"/>
  <c r="L154" i="59"/>
  <c r="L153" i="59"/>
  <c r="L101" i="59"/>
  <c r="L53" i="59"/>
  <c r="L77" i="59"/>
  <c r="L117" i="59"/>
  <c r="L149" i="59"/>
  <c r="L65" i="59"/>
  <c r="L17" i="59"/>
  <c r="L94" i="59"/>
  <c r="L13" i="59"/>
  <c r="L139" i="59"/>
  <c r="L83" i="59"/>
  <c r="L35" i="59"/>
  <c r="L107" i="59"/>
  <c r="L27" i="59"/>
  <c r="L115" i="59"/>
  <c r="L146" i="59"/>
  <c r="L10" i="59"/>
  <c r="L97" i="59"/>
  <c r="L145" i="59"/>
  <c r="L41" i="59"/>
  <c r="L111" i="59"/>
  <c r="L15" i="59"/>
  <c r="L78" i="59"/>
  <c r="L150" i="59"/>
  <c r="L37" i="59"/>
  <c r="L141" i="59"/>
  <c r="F1047" i="55"/>
  <c r="G1047" i="55" s="1"/>
  <c r="R1045" i="18"/>
  <c r="M4" i="55"/>
  <c r="E5" i="58" s="1"/>
  <c r="AI5" i="55"/>
  <c r="AP5" i="55" s="1"/>
  <c r="AI18" i="55"/>
  <c r="AP18" i="55" s="1"/>
  <c r="AI10" i="55"/>
  <c r="AP10" i="55" s="1"/>
  <c r="AI11" i="55"/>
  <c r="AP11" i="55" s="1"/>
  <c r="M292" i="55"/>
  <c r="E11" i="58" s="1"/>
  <c r="M328" i="55"/>
  <c r="E12" i="58" s="1"/>
  <c r="M616" i="55"/>
  <c r="E22" i="58" s="1"/>
  <c r="AI6" i="55"/>
  <c r="AP6" i="55" s="1"/>
  <c r="AI9" i="55"/>
  <c r="AP9" i="55" s="1"/>
  <c r="M580" i="55"/>
  <c r="E21" i="58" s="1"/>
  <c r="M112" i="55"/>
  <c r="E9" i="58" s="1"/>
  <c r="M148" i="55"/>
  <c r="E10" i="58" s="1"/>
  <c r="M724" i="55"/>
  <c r="E25" i="58" s="1"/>
  <c r="M256" i="55"/>
  <c r="E7" i="58" s="1"/>
  <c r="N112" i="55"/>
  <c r="F9" i="58" s="1"/>
  <c r="I9" i="58" s="1"/>
  <c r="N76" i="55"/>
  <c r="F13" i="58" s="1"/>
  <c r="I13" i="58" s="1"/>
  <c r="L112" i="55"/>
  <c r="D9" i="58" s="1"/>
  <c r="K112" i="55"/>
  <c r="C9" i="58" s="1"/>
  <c r="K76" i="55"/>
  <c r="C13" i="58" s="1"/>
  <c r="AI13" i="55"/>
  <c r="AP13" i="55" s="1"/>
  <c r="AH13" i="55"/>
  <c r="AO13" i="55" s="1"/>
  <c r="N616" i="55"/>
  <c r="F22" i="58" s="1"/>
  <c r="I22" i="58" s="1"/>
  <c r="L76" i="55"/>
  <c r="D13" i="58" s="1"/>
  <c r="M40" i="55"/>
  <c r="E14" i="58" s="1"/>
  <c r="AI16" i="55"/>
  <c r="AP16" i="55" s="1"/>
  <c r="AI17" i="55"/>
  <c r="AP17" i="55" s="1"/>
  <c r="M652" i="55"/>
  <c r="E23" i="58" s="1"/>
  <c r="AI20" i="55"/>
  <c r="AP20" i="55" s="1"/>
  <c r="M688" i="55"/>
  <c r="E24" i="58" s="1"/>
  <c r="AI21" i="55"/>
  <c r="AP21" i="55" s="1"/>
  <c r="N724" i="55"/>
  <c r="F25" i="58" s="1"/>
  <c r="I25" i="58" s="1"/>
  <c r="N688" i="55"/>
  <c r="F24" i="58" s="1"/>
  <c r="I24" i="58" s="1"/>
  <c r="K688" i="55"/>
  <c r="C24" i="58" s="1"/>
  <c r="L724" i="55"/>
  <c r="D25" i="58" s="1"/>
  <c r="K724" i="55"/>
  <c r="C25" i="58" s="1"/>
  <c r="L688" i="55"/>
  <c r="D24" i="58" s="1"/>
  <c r="M760" i="55"/>
  <c r="E26" i="58" s="1"/>
  <c r="N760" i="55"/>
  <c r="F26" i="58" s="1"/>
  <c r="I26" i="58" s="1"/>
  <c r="N580" i="55"/>
  <c r="F21" i="58" s="1"/>
  <c r="I21" i="58" s="1"/>
  <c r="K760" i="55"/>
  <c r="C26" i="58" s="1"/>
  <c r="N328" i="55"/>
  <c r="F12" i="58" s="1"/>
  <c r="I12" i="58" s="1"/>
  <c r="M544" i="55"/>
  <c r="E20" i="58" s="1"/>
  <c r="K580" i="55"/>
  <c r="C21" i="58" s="1"/>
  <c r="L328" i="55"/>
  <c r="D12" i="58" s="1"/>
  <c r="AI12" i="55"/>
  <c r="AP12" i="55" s="1"/>
  <c r="K328" i="55"/>
  <c r="C12" i="58" s="1"/>
  <c r="M76" i="55"/>
  <c r="E13" i="58" s="1"/>
  <c r="M364" i="55"/>
  <c r="E15" i="58" s="1"/>
  <c r="N148" i="55"/>
  <c r="F10" i="58" s="1"/>
  <c r="I10" i="58" s="1"/>
  <c r="K148" i="55"/>
  <c r="C10" i="58" s="1"/>
  <c r="L148" i="55"/>
  <c r="D10" i="58" s="1"/>
  <c r="M184" i="55"/>
  <c r="E6" i="58" s="1"/>
  <c r="M472" i="55"/>
  <c r="E18" i="58" s="1"/>
  <c r="AI24" i="55"/>
  <c r="AP24" i="55" s="1"/>
  <c r="AI3" i="55"/>
  <c r="AP3" i="55" s="1"/>
  <c r="N544" i="55"/>
  <c r="F20" i="58" s="1"/>
  <c r="I20" i="58" s="1"/>
  <c r="N508" i="55"/>
  <c r="F19" i="58" s="1"/>
  <c r="I19" i="58" s="1"/>
  <c r="AI8" i="55"/>
  <c r="AP8" i="55" s="1"/>
  <c r="K400" i="55"/>
  <c r="C16" i="58" s="1"/>
  <c r="N220" i="55"/>
  <c r="F8" i="58" s="1"/>
  <c r="I8" i="58" s="1"/>
  <c r="AI23" i="55"/>
  <c r="AP23" i="55" s="1"/>
  <c r="AI7" i="55"/>
  <c r="AP7" i="55" s="1"/>
  <c r="K544" i="55"/>
  <c r="C20" i="58" s="1"/>
  <c r="L508" i="55"/>
  <c r="D19" i="58" s="1"/>
  <c r="K220" i="55"/>
  <c r="C8" i="58" s="1"/>
  <c r="M508" i="55"/>
  <c r="E19" i="58" s="1"/>
  <c r="L220" i="55"/>
  <c r="D8" i="58" s="1"/>
  <c r="M400" i="55"/>
  <c r="E16" i="58" s="1"/>
  <c r="L544" i="55"/>
  <c r="D20" i="58" s="1"/>
  <c r="M220" i="55"/>
  <c r="E8" i="58" s="1"/>
  <c r="N400" i="55"/>
  <c r="F16" i="58" s="1"/>
  <c r="I16" i="58" s="1"/>
  <c r="K508" i="55"/>
  <c r="C19" i="58" s="1"/>
  <c r="AI4" i="55"/>
  <c r="AP4" i="55" s="1"/>
  <c r="AI15" i="55"/>
  <c r="AP15" i="55" s="1"/>
  <c r="L436" i="55"/>
  <c r="D17" i="58" s="1"/>
  <c r="K616" i="55"/>
  <c r="C22" i="58" s="1"/>
  <c r="AI19" i="55"/>
  <c r="AP19" i="55" s="1"/>
  <c r="K652" i="55"/>
  <c r="C23" i="58" s="1"/>
  <c r="M436" i="55"/>
  <c r="E17" i="58" s="1"/>
  <c r="L652" i="55"/>
  <c r="D23" i="58" s="1"/>
  <c r="L616" i="55"/>
  <c r="D22" i="58" s="1"/>
  <c r="N436" i="55"/>
  <c r="F17" i="58" s="1"/>
  <c r="I17" i="58" s="1"/>
  <c r="K436" i="55"/>
  <c r="C17" i="58" s="1"/>
  <c r="N652" i="55"/>
  <c r="F23" i="58" s="1"/>
  <c r="I23" i="58" s="1"/>
  <c r="M868" i="55"/>
  <c r="E29" i="58" s="1"/>
  <c r="AI28" i="55"/>
  <c r="AP28" i="55" s="1"/>
  <c r="N904" i="55"/>
  <c r="F30" i="58" s="1"/>
  <c r="I30" i="58" s="1"/>
  <c r="M904" i="55"/>
  <c r="E30" i="58" s="1"/>
  <c r="K904" i="55"/>
  <c r="C30" i="58" s="1"/>
  <c r="AI29" i="55"/>
  <c r="AP29" i="55" s="1"/>
  <c r="N940" i="55"/>
  <c r="F31" i="58" s="1"/>
  <c r="I31" i="58" s="1"/>
  <c r="M940" i="55"/>
  <c r="E31" i="58" s="1"/>
  <c r="K940" i="55"/>
  <c r="C31" i="58" s="1"/>
  <c r="C221" i="59"/>
  <c r="C220" i="59"/>
  <c r="F221" i="59"/>
  <c r="C222" i="59"/>
  <c r="G222" i="59"/>
  <c r="E222" i="59"/>
  <c r="F222" i="59"/>
  <c r="G221" i="59"/>
  <c r="C223" i="59"/>
  <c r="F206" i="59"/>
  <c r="C206" i="59"/>
  <c r="AA29" i="55"/>
  <c r="E213" i="59"/>
  <c r="C216" i="59"/>
  <c r="E211" i="59"/>
  <c r="AA19" i="55"/>
  <c r="G213" i="59"/>
  <c r="C217" i="59"/>
  <c r="Z8" i="55"/>
  <c r="G190" i="59"/>
  <c r="AA10" i="55"/>
  <c r="C205" i="59"/>
  <c r="C218" i="59"/>
  <c r="G189" i="59"/>
  <c r="G195" i="59"/>
  <c r="E189" i="59"/>
  <c r="C197" i="59"/>
  <c r="F193" i="59"/>
  <c r="F181" i="59"/>
  <c r="Z17" i="55"/>
  <c r="F198" i="59"/>
  <c r="F189" i="59"/>
  <c r="E195" i="59"/>
  <c r="Z9" i="55"/>
  <c r="F218" i="59"/>
  <c r="F190" i="59"/>
  <c r="AB19" i="55"/>
  <c r="C188" i="59"/>
  <c r="C189" i="59"/>
  <c r="G206" i="59"/>
  <c r="C187" i="59"/>
  <c r="Z18" i="55"/>
  <c r="G193" i="59"/>
  <c r="AA23" i="55"/>
  <c r="AA21" i="55"/>
  <c r="C211" i="59"/>
  <c r="Z20" i="55"/>
  <c r="C215" i="59"/>
  <c r="G182" i="59"/>
  <c r="C209" i="59"/>
  <c r="F195" i="59"/>
  <c r="G217" i="59"/>
  <c r="C196" i="59"/>
  <c r="C182" i="59"/>
  <c r="C180" i="59"/>
  <c r="F217" i="59"/>
  <c r="F210" i="59"/>
  <c r="E206" i="59"/>
  <c r="AB18" i="55"/>
  <c r="Z13" i="55"/>
  <c r="C204" i="59"/>
  <c r="E181" i="59"/>
  <c r="AB21" i="55"/>
  <c r="G205" i="59"/>
  <c r="F197" i="59"/>
  <c r="Z23" i="55"/>
  <c r="C210" i="59"/>
  <c r="Z12" i="55"/>
  <c r="AA13" i="55"/>
  <c r="Z28" i="55"/>
  <c r="C198" i="59"/>
  <c r="F182" i="59"/>
  <c r="G181" i="59"/>
  <c r="AB28" i="55"/>
  <c r="F213" i="59"/>
  <c r="E190" i="59"/>
  <c r="AB29" i="55"/>
  <c r="G187" i="59"/>
  <c r="AA17" i="55"/>
  <c r="AB10" i="55"/>
  <c r="Z10" i="55"/>
  <c r="C213" i="59"/>
  <c r="C181" i="59"/>
  <c r="AA12" i="55"/>
  <c r="AB24" i="55"/>
  <c r="G198" i="59"/>
  <c r="Z24" i="55"/>
  <c r="E214" i="59"/>
  <c r="G218" i="59"/>
  <c r="C207" i="59"/>
  <c r="AA8" i="55"/>
  <c r="C193" i="59"/>
  <c r="G197" i="59"/>
  <c r="AB6" i="55"/>
  <c r="G210" i="59"/>
  <c r="C195" i="59"/>
  <c r="C208" i="59"/>
  <c r="AB15" i="55"/>
  <c r="E187" i="59"/>
  <c r="Z6" i="55"/>
  <c r="AA28" i="55"/>
  <c r="AA20" i="55"/>
  <c r="AB12" i="55"/>
  <c r="E210" i="59"/>
  <c r="E182" i="59"/>
  <c r="G214" i="59"/>
  <c r="AA6" i="55"/>
  <c r="AB17" i="55"/>
  <c r="Z15" i="55"/>
  <c r="AB13" i="55"/>
  <c r="E218" i="59"/>
  <c r="E217" i="59"/>
  <c r="AA15" i="55"/>
  <c r="F187" i="59"/>
  <c r="AB20" i="55"/>
  <c r="E193" i="59"/>
  <c r="F214" i="59"/>
  <c r="AA9" i="55"/>
  <c r="AB8" i="55"/>
  <c r="C190" i="59"/>
  <c r="E197" i="59"/>
  <c r="C212" i="59"/>
  <c r="Z29" i="55"/>
  <c r="AA24" i="55"/>
  <c r="AB23" i="55"/>
  <c r="E221" i="59"/>
  <c r="E198" i="59"/>
  <c r="C214" i="59"/>
  <c r="Z19" i="55"/>
  <c r="C219" i="59"/>
  <c r="AB9" i="55"/>
  <c r="AA18" i="55"/>
  <c r="Z21" i="55"/>
  <c r="F215" i="59"/>
  <c r="E219" i="59"/>
  <c r="F207" i="59"/>
  <c r="F209" i="59"/>
  <c r="G215" i="59"/>
  <c r="E207" i="59"/>
  <c r="E205" i="59"/>
  <c r="F211" i="59"/>
  <c r="E209" i="59"/>
  <c r="F205" i="59"/>
  <c r="E215" i="59"/>
  <c r="L215" i="59" s="1"/>
  <c r="F219" i="59"/>
  <c r="G207" i="59"/>
  <c r="AI30" i="55"/>
  <c r="AP30" i="55" s="1"/>
  <c r="G219" i="59"/>
  <c r="G209" i="59"/>
  <c r="G211" i="59"/>
  <c r="G186" i="59"/>
  <c r="AI25" i="55"/>
  <c r="AP25" i="55" s="1"/>
  <c r="E194" i="59"/>
  <c r="S814" i="55"/>
  <c r="C186" i="59"/>
  <c r="C185" i="59"/>
  <c r="C183" i="59"/>
  <c r="F223" i="59"/>
  <c r="E183" i="59"/>
  <c r="C194" i="59"/>
  <c r="C184" i="59"/>
  <c r="F186" i="59"/>
  <c r="G185" i="59"/>
  <c r="E185" i="59"/>
  <c r="E186" i="59"/>
  <c r="G223" i="59"/>
  <c r="N796" i="55"/>
  <c r="F27" i="58" s="1"/>
  <c r="I27" i="58" s="1"/>
  <c r="T814" i="55"/>
  <c r="F184" i="59" s="1"/>
  <c r="F194" i="59"/>
  <c r="G225" i="59"/>
  <c r="K796" i="55"/>
  <c r="C27" i="58" s="1"/>
  <c r="M796" i="55"/>
  <c r="E27" i="58" s="1"/>
  <c r="Z25" i="55"/>
  <c r="C224" i="59"/>
  <c r="U814" i="55"/>
  <c r="G184" i="59" s="1"/>
  <c r="F183" i="59"/>
  <c r="F185" i="59"/>
  <c r="T850" i="55"/>
  <c r="F192" i="59" s="1"/>
  <c r="AB25" i="55"/>
  <c r="S850" i="55"/>
  <c r="AA25" i="55"/>
  <c r="G183" i="59"/>
  <c r="G194" i="59"/>
  <c r="E226" i="59"/>
  <c r="U850" i="55"/>
  <c r="G192" i="59" s="1"/>
  <c r="F191" i="59"/>
  <c r="AI27" i="55"/>
  <c r="AP27" i="55" s="1"/>
  <c r="AI14" i="55"/>
  <c r="AP14" i="55" s="1"/>
  <c r="N4" i="55"/>
  <c r="F5" i="58" s="1"/>
  <c r="I5" i="58" s="1"/>
  <c r="K364" i="55"/>
  <c r="C15" i="58" s="1"/>
  <c r="N184" i="55"/>
  <c r="F6" i="58" s="1"/>
  <c r="I6" i="58" s="1"/>
  <c r="N868" i="55"/>
  <c r="F29" i="58" s="1"/>
  <c r="I29" i="58" s="1"/>
  <c r="N472" i="55"/>
  <c r="F18" i="58" s="1"/>
  <c r="I18" i="58" s="1"/>
  <c r="N364" i="55"/>
  <c r="F15" i="58" s="1"/>
  <c r="I15" i="58" s="1"/>
  <c r="N832" i="55"/>
  <c r="F28" i="58" s="1"/>
  <c r="I28" i="58" s="1"/>
  <c r="C200" i="59"/>
  <c r="Z22" i="55"/>
  <c r="F201" i="59"/>
  <c r="L832" i="55"/>
  <c r="D28" i="58" s="1"/>
  <c r="Z11" i="55"/>
  <c r="C192" i="59"/>
  <c r="E202" i="59"/>
  <c r="AI22" i="55"/>
  <c r="AP22" i="55" s="1"/>
  <c r="K4" i="55"/>
  <c r="C5" i="58" s="1"/>
  <c r="C203" i="59"/>
  <c r="L364" i="55"/>
  <c r="D15" i="58" s="1"/>
  <c r="C199" i="59"/>
  <c r="C201" i="59"/>
  <c r="AI26" i="55"/>
  <c r="AP26" i="55" s="1"/>
  <c r="G191" i="59"/>
  <c r="Z3" i="55"/>
  <c r="L184" i="55"/>
  <c r="D6" i="58" s="1"/>
  <c r="K256" i="55"/>
  <c r="C7" i="58" s="1"/>
  <c r="AB26" i="55"/>
  <c r="L400" i="55"/>
  <c r="D16" i="58" s="1"/>
  <c r="Z14" i="55"/>
  <c r="N256" i="55"/>
  <c r="F7" i="58" s="1"/>
  <c r="I7" i="58" s="1"/>
  <c r="Z7" i="55"/>
  <c r="G203" i="59"/>
  <c r="K292" i="55"/>
  <c r="C11" i="58" s="1"/>
  <c r="G201" i="59"/>
  <c r="E203" i="59"/>
  <c r="AB22" i="55"/>
  <c r="F202" i="59"/>
  <c r="C202" i="59"/>
  <c r="AA22" i="55"/>
  <c r="AA14" i="55"/>
  <c r="L256" i="55"/>
  <c r="D7" i="58" s="1"/>
  <c r="AB7" i="55"/>
  <c r="M832" i="55"/>
  <c r="E28" i="58" s="1"/>
  <c r="N40" i="55"/>
  <c r="F14" i="58" s="1"/>
  <c r="I14" i="58" s="1"/>
  <c r="AB14" i="55"/>
  <c r="E191" i="59"/>
  <c r="L40" i="55"/>
  <c r="D14" i="58" s="1"/>
  <c r="Z4" i="55"/>
  <c r="N292" i="55"/>
  <c r="F11" i="58" s="1"/>
  <c r="I11" i="58" s="1"/>
  <c r="C191" i="59"/>
  <c r="AA26" i="55"/>
  <c r="K868" i="55"/>
  <c r="C29" i="58" s="1"/>
  <c r="Z16" i="55"/>
  <c r="F203" i="59"/>
  <c r="L472" i="55"/>
  <c r="D18" i="58" s="1"/>
  <c r="K832" i="55"/>
  <c r="C28" i="58" s="1"/>
  <c r="L292" i="55"/>
  <c r="D11" i="58" s="1"/>
  <c r="Z5" i="55"/>
  <c r="K40" i="55"/>
  <c r="C14" i="58" s="1"/>
  <c r="L4" i="55"/>
  <c r="D5" i="58" s="1"/>
  <c r="Z27" i="55"/>
  <c r="AA3" i="55"/>
  <c r="S886" i="55"/>
  <c r="E201" i="59"/>
  <c r="Z26" i="55"/>
  <c r="G202" i="59"/>
  <c r="AA7" i="55"/>
  <c r="K184" i="55"/>
  <c r="C6" i="58" s="1"/>
  <c r="K472" i="55"/>
  <c r="C18" i="58" s="1"/>
  <c r="U886" i="55"/>
  <c r="G200" i="59" s="1"/>
  <c r="AB4" i="55"/>
  <c r="AA4" i="55"/>
  <c r="T886" i="55"/>
  <c r="F200" i="59" s="1"/>
  <c r="AB3" i="55"/>
  <c r="AB5" i="55"/>
  <c r="AB27" i="55"/>
  <c r="F199" i="59"/>
  <c r="AB11" i="55"/>
  <c r="AB16" i="55"/>
  <c r="AA11" i="55"/>
  <c r="AA16" i="55"/>
  <c r="AA27" i="55"/>
  <c r="AA5" i="55"/>
  <c r="E199" i="59"/>
  <c r="G199" i="59"/>
  <c r="N976" i="55"/>
  <c r="F32" i="58" s="1"/>
  <c r="I32" i="58" s="1"/>
  <c r="C227" i="59"/>
  <c r="M976" i="55"/>
  <c r="E32" i="58" s="1"/>
  <c r="E227" i="59"/>
  <c r="K976" i="55"/>
  <c r="C32" i="58" s="1"/>
  <c r="G227" i="59"/>
  <c r="F227" i="59"/>
  <c r="AI31" i="55"/>
  <c r="AP31" i="55" s="1"/>
  <c r="M1012" i="55"/>
  <c r="E33" i="58" s="1"/>
  <c r="N1012" i="55"/>
  <c r="F33" i="58" s="1"/>
  <c r="I33" i="58" s="1"/>
  <c r="P1047" i="55"/>
  <c r="O1047" i="55"/>
  <c r="J1047" i="55"/>
  <c r="AH11" i="55"/>
  <c r="AO11" i="55" s="1"/>
  <c r="E8" i="59"/>
  <c r="R22" i="55"/>
  <c r="D8" i="59" s="1"/>
  <c r="R166" i="55"/>
  <c r="D40" i="59" s="1"/>
  <c r="E40" i="59"/>
  <c r="R418" i="55"/>
  <c r="D96" i="59" s="1"/>
  <c r="E96" i="59"/>
  <c r="R220" i="55"/>
  <c r="E52" i="59"/>
  <c r="AD8" i="55"/>
  <c r="R706" i="55"/>
  <c r="D160" i="59" s="1"/>
  <c r="E160" i="59"/>
  <c r="R184" i="55"/>
  <c r="E44" i="59"/>
  <c r="AD3" i="55"/>
  <c r="R760" i="55"/>
  <c r="D172" i="59" s="1"/>
  <c r="E172" i="59"/>
  <c r="G84" i="59"/>
  <c r="AF22" i="55"/>
  <c r="R112" i="55"/>
  <c r="E28" i="59"/>
  <c r="F60" i="59"/>
  <c r="AE11" i="55"/>
  <c r="R724" i="55"/>
  <c r="D164" i="59" s="1"/>
  <c r="AD20" i="55"/>
  <c r="E164" i="59"/>
  <c r="F132" i="59"/>
  <c r="AE6" i="55"/>
  <c r="AE5" i="55"/>
  <c r="F12" i="59"/>
  <c r="R382" i="55"/>
  <c r="D88" i="59" s="1"/>
  <c r="E88" i="59"/>
  <c r="R310" i="55"/>
  <c r="D72" i="59" s="1"/>
  <c r="E72" i="59"/>
  <c r="R508" i="55"/>
  <c r="D116" i="59" s="1"/>
  <c r="E116" i="59"/>
  <c r="AD9" i="55"/>
  <c r="AE19" i="55"/>
  <c r="F148" i="59"/>
  <c r="R256" i="55"/>
  <c r="E60" i="59"/>
  <c r="G124" i="59"/>
  <c r="AF24" i="55"/>
  <c r="AF19" i="55"/>
  <c r="G148" i="59"/>
  <c r="G44" i="59"/>
  <c r="AF3" i="55"/>
  <c r="R364" i="55"/>
  <c r="D84" i="59" s="1"/>
  <c r="E84" i="59"/>
  <c r="AD22" i="55"/>
  <c r="F156" i="59"/>
  <c r="AE21" i="55"/>
  <c r="AE24" i="55"/>
  <c r="F124" i="59"/>
  <c r="R598" i="55"/>
  <c r="D136" i="59" s="1"/>
  <c r="E136" i="59"/>
  <c r="G12" i="59"/>
  <c r="AF5" i="55"/>
  <c r="R454" i="55"/>
  <c r="D104" i="59" s="1"/>
  <c r="E104" i="59"/>
  <c r="R742" i="55"/>
  <c r="D168" i="59" s="1"/>
  <c r="E168" i="59"/>
  <c r="G92" i="59"/>
  <c r="AF7" i="55"/>
  <c r="G60" i="59"/>
  <c r="AF11" i="55"/>
  <c r="R544" i="55"/>
  <c r="D124" i="59" s="1"/>
  <c r="E124" i="59"/>
  <c r="AD24" i="55"/>
  <c r="R490" i="55"/>
  <c r="D112" i="59" s="1"/>
  <c r="E112" i="59"/>
  <c r="G68" i="59"/>
  <c r="AF16" i="55"/>
  <c r="R58" i="55"/>
  <c r="D16" i="59" s="1"/>
  <c r="E16" i="59"/>
  <c r="F108" i="59"/>
  <c r="AE4" i="55"/>
  <c r="R526" i="55"/>
  <c r="D120" i="59" s="1"/>
  <c r="E120" i="59"/>
  <c r="R562" i="55"/>
  <c r="D128" i="59" s="1"/>
  <c r="E128" i="59"/>
  <c r="F92" i="59"/>
  <c r="AE7" i="55"/>
  <c r="R616" i="55"/>
  <c r="D140" i="59" s="1"/>
  <c r="AD15" i="55"/>
  <c r="E140" i="59"/>
  <c r="AF21" i="55"/>
  <c r="G156" i="59"/>
  <c r="F36" i="59"/>
  <c r="AE10" i="55"/>
  <c r="AD11" i="55"/>
  <c r="E64" i="59"/>
  <c r="L64" i="59" s="1"/>
  <c r="R472" i="55"/>
  <c r="D108" i="59" s="1"/>
  <c r="E108" i="59"/>
  <c r="AD4" i="55"/>
  <c r="R400" i="55"/>
  <c r="D92" i="59" s="1"/>
  <c r="E92" i="59"/>
  <c r="AD7" i="55"/>
  <c r="F164" i="59"/>
  <c r="AE20" i="55"/>
  <c r="G36" i="59"/>
  <c r="AF10" i="55"/>
  <c r="G100" i="59"/>
  <c r="AF23" i="55"/>
  <c r="R346" i="55"/>
  <c r="D80" i="59" s="1"/>
  <c r="E80" i="59"/>
  <c r="G76" i="59"/>
  <c r="AF17" i="55"/>
  <c r="G140" i="59"/>
  <c r="AF15" i="55"/>
  <c r="R4" i="55"/>
  <c r="E4" i="59"/>
  <c r="AD14" i="55"/>
  <c r="G108" i="59"/>
  <c r="AF4" i="55"/>
  <c r="AF14" i="55"/>
  <c r="G8" i="59"/>
  <c r="F100" i="59"/>
  <c r="AE23" i="55"/>
  <c r="R238" i="55"/>
  <c r="D56" i="59" s="1"/>
  <c r="E56" i="59"/>
  <c r="R328" i="55"/>
  <c r="D76" i="59" s="1"/>
  <c r="E76" i="59"/>
  <c r="AD17" i="55"/>
  <c r="R652" i="55"/>
  <c r="D148" i="59" s="1"/>
  <c r="AD19" i="55"/>
  <c r="E148" i="59"/>
  <c r="R148" i="55"/>
  <c r="E36" i="59"/>
  <c r="AD10" i="55"/>
  <c r="R436" i="55"/>
  <c r="D100" i="59" s="1"/>
  <c r="E100" i="59"/>
  <c r="AD23" i="55"/>
  <c r="R634" i="55"/>
  <c r="D144" i="59" s="1"/>
  <c r="E144" i="59"/>
  <c r="F76" i="59"/>
  <c r="AE17" i="55"/>
  <c r="F140" i="59"/>
  <c r="AE15" i="55"/>
  <c r="G164" i="59"/>
  <c r="AF20" i="55"/>
  <c r="R76" i="55"/>
  <c r="E20" i="59"/>
  <c r="R40" i="55"/>
  <c r="AD5" i="55"/>
  <c r="E12" i="59"/>
  <c r="R202" i="55"/>
  <c r="D48" i="59" s="1"/>
  <c r="E48" i="59"/>
  <c r="R670" i="55"/>
  <c r="D152" i="59" s="1"/>
  <c r="E152" i="59"/>
  <c r="F84" i="59"/>
  <c r="AE22" i="55"/>
  <c r="R688" i="55"/>
  <c r="D156" i="59" s="1"/>
  <c r="E156" i="59"/>
  <c r="AD21" i="55"/>
  <c r="F4" i="59"/>
  <c r="AE14" i="55"/>
  <c r="S94" i="55"/>
  <c r="S130" i="55"/>
  <c r="S580" i="55"/>
  <c r="R580" i="55" s="1"/>
  <c r="L580" i="55"/>
  <c r="L760" i="55"/>
  <c r="S778" i="55"/>
  <c r="S796" i="55"/>
  <c r="R796" i="55" s="1"/>
  <c r="L796" i="55"/>
  <c r="S868" i="55"/>
  <c r="R868" i="55" s="1"/>
  <c r="L868" i="55"/>
  <c r="S904" i="55"/>
  <c r="R904" i="55" s="1"/>
  <c r="L904" i="55"/>
  <c r="S922" i="55"/>
  <c r="S940" i="55"/>
  <c r="R940" i="55" s="1"/>
  <c r="L940" i="55"/>
  <c r="S958" i="55"/>
  <c r="S976" i="55"/>
  <c r="R976" i="55" s="1"/>
  <c r="L976" i="55"/>
  <c r="Z30" i="55"/>
  <c r="S832" i="55"/>
  <c r="R832" i="55" s="1"/>
  <c r="S292" i="55"/>
  <c r="R292" i="55" s="1"/>
  <c r="S994" i="55"/>
  <c r="S1012" i="55"/>
  <c r="R1012" i="55" s="1"/>
  <c r="L1012" i="55"/>
  <c r="S1030" i="55"/>
  <c r="L193" i="59" l="1"/>
  <c r="L194" i="59"/>
  <c r="L187" i="59"/>
  <c r="L207" i="59"/>
  <c r="L182" i="59"/>
  <c r="L210" i="59"/>
  <c r="L201" i="59"/>
  <c r="L205" i="59"/>
  <c r="L198" i="59"/>
  <c r="L206" i="59"/>
  <c r="L186" i="59"/>
  <c r="L218" i="59"/>
  <c r="L181" i="59"/>
  <c r="L213" i="59"/>
  <c r="L8" i="59"/>
  <c r="L227" i="59"/>
  <c r="L199" i="59"/>
  <c r="L222" i="59"/>
  <c r="L189" i="59"/>
  <c r="L197" i="59"/>
  <c r="L185" i="59"/>
  <c r="AG6" i="55"/>
  <c r="D132" i="59"/>
  <c r="AG29" i="55"/>
  <c r="D212" i="59"/>
  <c r="L56" i="59"/>
  <c r="L202" i="59"/>
  <c r="L209" i="59"/>
  <c r="L195" i="59"/>
  <c r="AG28" i="55"/>
  <c r="D204" i="59"/>
  <c r="AG16" i="55"/>
  <c r="AN16" i="55" s="1"/>
  <c r="D68" i="59"/>
  <c r="AG27" i="55"/>
  <c r="D196" i="59"/>
  <c r="AG31" i="55"/>
  <c r="D228" i="59"/>
  <c r="L203" i="59"/>
  <c r="L221" i="59"/>
  <c r="AG30" i="55"/>
  <c r="D220" i="59"/>
  <c r="AG26" i="55"/>
  <c r="D188" i="59"/>
  <c r="AG25" i="55"/>
  <c r="D180" i="59"/>
  <c r="L191" i="59"/>
  <c r="L217" i="59"/>
  <c r="L214" i="59"/>
  <c r="L190" i="59"/>
  <c r="L183" i="59"/>
  <c r="L219" i="59"/>
  <c r="L211" i="59"/>
  <c r="L72" i="59"/>
  <c r="L40" i="59"/>
  <c r="L140" i="59"/>
  <c r="L164" i="59"/>
  <c r="L92" i="59"/>
  <c r="L116" i="59"/>
  <c r="L156" i="59"/>
  <c r="M84" i="59"/>
  <c r="L108" i="59"/>
  <c r="L100" i="59"/>
  <c r="L124" i="59"/>
  <c r="L148" i="59"/>
  <c r="L172" i="59"/>
  <c r="L128" i="59"/>
  <c r="L152" i="59"/>
  <c r="L104" i="59"/>
  <c r="L80" i="59"/>
  <c r="L120" i="59"/>
  <c r="L168" i="59"/>
  <c r="L88" i="59"/>
  <c r="L112" i="59"/>
  <c r="L136" i="59"/>
  <c r="L160" i="59"/>
  <c r="L96" i="59"/>
  <c r="L144" i="59"/>
  <c r="L48" i="59"/>
  <c r="L16" i="59"/>
  <c r="AJ22" i="55"/>
  <c r="AJ10" i="55"/>
  <c r="AL20" i="55"/>
  <c r="AK24" i="55"/>
  <c r="H14" i="58"/>
  <c r="AK20" i="55"/>
  <c r="AK22" i="55"/>
  <c r="F231" i="59"/>
  <c r="K1012" i="55"/>
  <c r="C33" i="58" s="1"/>
  <c r="H1047" i="55"/>
  <c r="AA31" i="55" s="1"/>
  <c r="Z31" i="55"/>
  <c r="Z33" i="55" s="1"/>
  <c r="AK19" i="55"/>
  <c r="AK23" i="55"/>
  <c r="AL23" i="55"/>
  <c r="AL19" i="55"/>
  <c r="AL10" i="55"/>
  <c r="AJ3" i="55"/>
  <c r="AJ21" i="55"/>
  <c r="AJ23" i="55"/>
  <c r="AJ20" i="55"/>
  <c r="AJ5" i="55"/>
  <c r="AJ9" i="55"/>
  <c r="H28" i="58"/>
  <c r="H24" i="58"/>
  <c r="AK17" i="55"/>
  <c r="AK11" i="55"/>
  <c r="AK10" i="55"/>
  <c r="AK21" i="55"/>
  <c r="H12" i="58"/>
  <c r="AL14" i="55"/>
  <c r="AK15" i="55"/>
  <c r="AL4" i="55"/>
  <c r="AJ11" i="55"/>
  <c r="AL24" i="55"/>
  <c r="AL22" i="55"/>
  <c r="H10" i="58"/>
  <c r="AJ14" i="55"/>
  <c r="AK4" i="55"/>
  <c r="AK5" i="55"/>
  <c r="AK6" i="55"/>
  <c r="H17" i="58"/>
  <c r="G230" i="59"/>
  <c r="AJ19" i="55"/>
  <c r="C234" i="59"/>
  <c r="F230" i="59"/>
  <c r="G234" i="59"/>
  <c r="C230" i="59"/>
  <c r="H5" i="58"/>
  <c r="F234" i="59"/>
  <c r="F229" i="59"/>
  <c r="E233" i="59"/>
  <c r="E230" i="59"/>
  <c r="S1047" i="55"/>
  <c r="E235" i="59" s="1"/>
  <c r="G233" i="59"/>
  <c r="G229" i="59"/>
  <c r="I34" i="58"/>
  <c r="AL16" i="55"/>
  <c r="C228" i="59"/>
  <c r="C232" i="59"/>
  <c r="C231" i="59"/>
  <c r="AJ4" i="55"/>
  <c r="C233" i="59"/>
  <c r="H25" i="58"/>
  <c r="H16" i="58"/>
  <c r="AL21" i="55"/>
  <c r="R850" i="55"/>
  <c r="D192" i="59" s="1"/>
  <c r="E192" i="59"/>
  <c r="H23" i="58"/>
  <c r="H9" i="58"/>
  <c r="AJ17" i="55"/>
  <c r="H7" i="58"/>
  <c r="H15" i="58"/>
  <c r="H8" i="58"/>
  <c r="R814" i="55"/>
  <c r="D184" i="59" s="1"/>
  <c r="E184" i="59"/>
  <c r="H22" i="58"/>
  <c r="AL17" i="55"/>
  <c r="H20" i="58"/>
  <c r="R886" i="55"/>
  <c r="D200" i="59" s="1"/>
  <c r="E200" i="59"/>
  <c r="AJ7" i="55"/>
  <c r="AK14" i="55"/>
  <c r="AK7" i="55"/>
  <c r="AL3" i="55"/>
  <c r="K1047" i="55"/>
  <c r="N1047" i="55"/>
  <c r="L1047" i="55"/>
  <c r="M1047" i="55"/>
  <c r="H13" i="58"/>
  <c r="AJ8" i="55"/>
  <c r="H18" i="58"/>
  <c r="AL11" i="55"/>
  <c r="AL7" i="55"/>
  <c r="AL15" i="55"/>
  <c r="AJ15" i="55"/>
  <c r="AL5" i="55"/>
  <c r="AJ24" i="55"/>
  <c r="E223" i="59"/>
  <c r="L223" i="59" s="1"/>
  <c r="C225" i="59"/>
  <c r="E225" i="59"/>
  <c r="F226" i="59"/>
  <c r="C226" i="59"/>
  <c r="L226" i="59" s="1"/>
  <c r="F225" i="59"/>
  <c r="G226" i="59"/>
  <c r="C229" i="59"/>
  <c r="E229" i="59"/>
  <c r="E231" i="59"/>
  <c r="F233" i="59"/>
  <c r="E234" i="59"/>
  <c r="Q1047" i="55"/>
  <c r="R1047" i="55" s="1"/>
  <c r="D235" i="59" s="1"/>
  <c r="G231" i="59"/>
  <c r="H6" i="58"/>
  <c r="H11" i="58"/>
  <c r="H19" i="58"/>
  <c r="AH14" i="55"/>
  <c r="AO14" i="55" s="1"/>
  <c r="AG17" i="55"/>
  <c r="L76" i="59"/>
  <c r="AG5" i="55"/>
  <c r="D12" i="59"/>
  <c r="L12" i="59" s="1"/>
  <c r="AH8" i="55"/>
  <c r="AO8" i="55" s="1"/>
  <c r="AG7" i="55"/>
  <c r="AG15" i="55"/>
  <c r="AG22" i="55"/>
  <c r="AG20" i="55"/>
  <c r="AG23" i="55"/>
  <c r="AH23" i="55"/>
  <c r="AO23" i="55" s="1"/>
  <c r="AG9" i="55"/>
  <c r="AH21" i="55"/>
  <c r="AO21" i="55" s="1"/>
  <c r="AH4" i="55"/>
  <c r="AO4" i="55" s="1"/>
  <c r="AG14" i="55"/>
  <c r="D4" i="59"/>
  <c r="L4" i="59" s="1"/>
  <c r="AH17" i="55"/>
  <c r="AO17" i="55" s="1"/>
  <c r="AG4" i="55"/>
  <c r="AH16" i="55"/>
  <c r="AO16" i="55" s="1"/>
  <c r="AH15" i="55"/>
  <c r="AO15" i="55" s="1"/>
  <c r="AG3" i="55"/>
  <c r="D44" i="59"/>
  <c r="L44" i="59" s="1"/>
  <c r="AG21" i="55"/>
  <c r="AG10" i="55"/>
  <c r="D36" i="59"/>
  <c r="L36" i="59" s="1"/>
  <c r="AH24" i="55"/>
  <c r="AO24" i="55" s="1"/>
  <c r="AG18" i="55"/>
  <c r="AN18" i="55" s="1"/>
  <c r="D28" i="59"/>
  <c r="L28" i="59" s="1"/>
  <c r="AG8" i="55"/>
  <c r="D52" i="59"/>
  <c r="L52" i="59" s="1"/>
  <c r="AH5" i="55"/>
  <c r="AO5" i="55" s="1"/>
  <c r="AH20" i="55"/>
  <c r="AO20" i="55" s="1"/>
  <c r="AG12" i="55"/>
  <c r="AN12" i="55" s="1"/>
  <c r="D20" i="59"/>
  <c r="L20" i="59" s="1"/>
  <c r="AG24" i="55"/>
  <c r="AH6" i="55"/>
  <c r="AO6" i="55" s="1"/>
  <c r="AH22" i="55"/>
  <c r="AO22" i="55" s="1"/>
  <c r="AH9" i="55"/>
  <c r="AO9" i="55" s="1"/>
  <c r="AH7" i="55"/>
  <c r="AO7" i="55" s="1"/>
  <c r="AH3" i="55"/>
  <c r="AO3" i="55" s="1"/>
  <c r="AH19" i="55"/>
  <c r="AO19" i="55" s="1"/>
  <c r="AG19" i="55"/>
  <c r="AG11" i="55"/>
  <c r="D60" i="59"/>
  <c r="L60" i="59" s="1"/>
  <c r="AG13" i="55"/>
  <c r="AH10" i="55"/>
  <c r="AO10" i="55" s="1"/>
  <c r="D27" i="58"/>
  <c r="H27" i="58" s="1"/>
  <c r="D32" i="58"/>
  <c r="H32" i="58" s="1"/>
  <c r="AD13" i="55"/>
  <c r="AJ13" i="55" s="1"/>
  <c r="E176" i="59"/>
  <c r="D26" i="58"/>
  <c r="H26" i="58" s="1"/>
  <c r="R958" i="55"/>
  <c r="D216" i="59" s="1"/>
  <c r="E216" i="59"/>
  <c r="D21" i="58"/>
  <c r="H21" i="58" s="1"/>
  <c r="D29" i="58"/>
  <c r="H29" i="58" s="1"/>
  <c r="R130" i="55"/>
  <c r="D32" i="59" s="1"/>
  <c r="E32" i="59"/>
  <c r="E224" i="59"/>
  <c r="R994" i="55"/>
  <c r="D224" i="59" s="1"/>
  <c r="E232" i="59"/>
  <c r="R1030" i="55"/>
  <c r="D232" i="59" s="1"/>
  <c r="R922" i="55"/>
  <c r="D208" i="59" s="1"/>
  <c r="E208" i="59"/>
  <c r="R94" i="55"/>
  <c r="D24" i="59" s="1"/>
  <c r="E24" i="59"/>
  <c r="D33" i="58"/>
  <c r="D30" i="58"/>
  <c r="H30" i="58" s="1"/>
  <c r="T94" i="55"/>
  <c r="F24" i="59" s="1"/>
  <c r="T130" i="55"/>
  <c r="F32" i="59" s="1"/>
  <c r="T778" i="55"/>
  <c r="T796" i="55"/>
  <c r="T184" i="55"/>
  <c r="T526" i="55"/>
  <c r="T220" i="55"/>
  <c r="T832" i="55"/>
  <c r="T868" i="55"/>
  <c r="T904" i="55"/>
  <c r="T922" i="55"/>
  <c r="F208" i="59" s="1"/>
  <c r="T940" i="55"/>
  <c r="T958" i="55"/>
  <c r="F216" i="59" s="1"/>
  <c r="T976" i="55"/>
  <c r="F220" i="59" s="1"/>
  <c r="T292" i="55"/>
  <c r="T994" i="55"/>
  <c r="F224" i="59" s="1"/>
  <c r="T1012" i="55"/>
  <c r="T1030" i="55"/>
  <c r="F232" i="59" s="1"/>
  <c r="D31" i="58"/>
  <c r="H31" i="58" s="1"/>
  <c r="E68" i="59"/>
  <c r="AD16" i="55"/>
  <c r="AJ16" i="55" s="1"/>
  <c r="E196" i="59"/>
  <c r="AD27" i="55"/>
  <c r="AJ27" i="55" s="1"/>
  <c r="E180" i="59"/>
  <c r="AD25" i="55"/>
  <c r="AJ25" i="55" s="1"/>
  <c r="E220" i="59"/>
  <c r="AD30" i="55"/>
  <c r="AJ30" i="55" s="1"/>
  <c r="E188" i="59"/>
  <c r="AD26" i="55"/>
  <c r="AJ26" i="55" s="1"/>
  <c r="E132" i="59"/>
  <c r="AD6" i="55"/>
  <c r="AJ6" i="55" s="1"/>
  <c r="AD29" i="55"/>
  <c r="AJ29" i="55" s="1"/>
  <c r="E212" i="59"/>
  <c r="AD18" i="55"/>
  <c r="AJ18" i="55" s="1"/>
  <c r="AD12" i="55"/>
  <c r="AJ12" i="55" s="1"/>
  <c r="AA30" i="55"/>
  <c r="E228" i="59"/>
  <c r="E204" i="59"/>
  <c r="AD28" i="55"/>
  <c r="AJ28" i="55" s="1"/>
  <c r="L212" i="59" l="1"/>
  <c r="L196" i="59"/>
  <c r="L188" i="59"/>
  <c r="L231" i="59"/>
  <c r="L204" i="59"/>
  <c r="I1047" i="55"/>
  <c r="U1047" i="55" s="1"/>
  <c r="G235" i="59" s="1"/>
  <c r="T1047" i="55"/>
  <c r="F235" i="59" s="1"/>
  <c r="L233" i="59"/>
  <c r="L232" i="59"/>
  <c r="L216" i="59"/>
  <c r="L229" i="59"/>
  <c r="L225" i="59"/>
  <c r="L230" i="59"/>
  <c r="L234" i="59"/>
  <c r="L192" i="59"/>
  <c r="L220" i="59"/>
  <c r="L32" i="59"/>
  <c r="L224" i="59"/>
  <c r="L180" i="59"/>
  <c r="L228" i="59"/>
  <c r="L24" i="59"/>
  <c r="L84" i="59"/>
  <c r="L184" i="59"/>
  <c r="L208" i="59"/>
  <c r="L132" i="59"/>
  <c r="L176" i="59"/>
  <c r="L200" i="59"/>
  <c r="H33" i="58"/>
  <c r="H34" i="58" s="1"/>
  <c r="AD31" i="55"/>
  <c r="AJ31" i="55" s="1"/>
  <c r="H4" i="59"/>
  <c r="H5" i="59" s="1"/>
  <c r="C235" i="59"/>
  <c r="L235" i="59" s="1"/>
  <c r="AH27" i="55"/>
  <c r="AO27" i="55" s="1"/>
  <c r="AH26" i="55"/>
  <c r="AO26" i="55" s="1"/>
  <c r="AH25" i="55"/>
  <c r="AO25" i="55" s="1"/>
  <c r="AN22" i="55"/>
  <c r="AM22" i="55"/>
  <c r="AN11" i="55"/>
  <c r="AM11" i="55"/>
  <c r="AN8" i="55"/>
  <c r="AM8" i="55"/>
  <c r="AN15" i="55"/>
  <c r="AM15" i="55"/>
  <c r="AN19" i="55"/>
  <c r="AM19" i="55"/>
  <c r="AN9" i="55"/>
  <c r="AM9" i="55"/>
  <c r="AN7" i="55"/>
  <c r="AM7" i="55"/>
  <c r="AN3" i="55"/>
  <c r="AM3" i="55"/>
  <c r="AM24" i="55"/>
  <c r="AN24" i="55"/>
  <c r="AN4" i="55"/>
  <c r="AM4" i="55"/>
  <c r="AN13" i="55"/>
  <c r="AM13" i="55"/>
  <c r="AN10" i="55"/>
  <c r="AM10" i="55"/>
  <c r="AN23" i="55"/>
  <c r="AM23" i="55"/>
  <c r="AN5" i="55"/>
  <c r="AM5" i="55"/>
  <c r="AN21" i="55"/>
  <c r="AM21" i="55"/>
  <c r="AN14" i="55"/>
  <c r="AM14" i="55"/>
  <c r="AN20" i="55"/>
  <c r="AM20" i="55"/>
  <c r="AN17" i="55"/>
  <c r="AM17" i="55"/>
  <c r="AE12" i="55"/>
  <c r="AK12" i="55" s="1"/>
  <c r="AE30" i="55"/>
  <c r="AK30" i="55" s="1"/>
  <c r="AE18" i="55"/>
  <c r="AK18" i="55" s="1"/>
  <c r="F180" i="59"/>
  <c r="AE25" i="55"/>
  <c r="AK25" i="55" s="1"/>
  <c r="AH28" i="55"/>
  <c r="AO28" i="55" s="1"/>
  <c r="AH29" i="55"/>
  <c r="AO29" i="55" s="1"/>
  <c r="AE16" i="55"/>
  <c r="AK16" i="55" s="1"/>
  <c r="F68" i="59"/>
  <c r="AE13" i="55"/>
  <c r="AK13" i="55" s="1"/>
  <c r="F176" i="59"/>
  <c r="AH31" i="55"/>
  <c r="AO31" i="55" s="1"/>
  <c r="AH30" i="55"/>
  <c r="AO30" i="55" s="1"/>
  <c r="F52" i="59"/>
  <c r="AE8" i="55"/>
  <c r="AK8" i="55" s="1"/>
  <c r="F44" i="59"/>
  <c r="AE3" i="55"/>
  <c r="AK3" i="55" s="1"/>
  <c r="U94" i="55"/>
  <c r="G24" i="59" s="1"/>
  <c r="U130" i="55"/>
  <c r="G32" i="59" s="1"/>
  <c r="U580" i="55"/>
  <c r="U778" i="55"/>
  <c r="U796" i="55"/>
  <c r="U526" i="55"/>
  <c r="G120" i="59" s="1"/>
  <c r="U832" i="55"/>
  <c r="U868" i="55"/>
  <c r="U904" i="55"/>
  <c r="U922" i="55"/>
  <c r="G208" i="59" s="1"/>
  <c r="U940" i="55"/>
  <c r="U958" i="55"/>
  <c r="G216" i="59" s="1"/>
  <c r="U976" i="55"/>
  <c r="G220" i="59" s="1"/>
  <c r="U994" i="55"/>
  <c r="G224" i="59" s="1"/>
  <c r="U1012" i="55"/>
  <c r="U1030" i="55"/>
  <c r="G232" i="59" s="1"/>
  <c r="F204" i="59"/>
  <c r="AE28" i="55"/>
  <c r="AK28" i="55" s="1"/>
  <c r="AH18" i="55"/>
  <c r="F196" i="59"/>
  <c r="AE27" i="55"/>
  <c r="AK27" i="55" s="1"/>
  <c r="F120" i="59"/>
  <c r="AE9" i="55"/>
  <c r="AK9" i="55" s="1"/>
  <c r="AH12" i="55"/>
  <c r="F212" i="59"/>
  <c r="AE29" i="55"/>
  <c r="AK29" i="55" s="1"/>
  <c r="F188" i="59"/>
  <c r="AE26" i="55"/>
  <c r="AK26" i="55" s="1"/>
  <c r="J4" i="59"/>
  <c r="F228" i="59"/>
  <c r="AB30" i="55"/>
  <c r="L68" i="59"/>
  <c r="AE31" i="55" l="1"/>
  <c r="AK31" i="55" s="1"/>
  <c r="AB31" i="55"/>
  <c r="AF18" i="55"/>
  <c r="AL18" i="55" s="1"/>
  <c r="AF12" i="55"/>
  <c r="AL12" i="55" s="1"/>
  <c r="AF13" i="55"/>
  <c r="AL13" i="55" s="1"/>
  <c r="G176" i="59"/>
  <c r="G132" i="59"/>
  <c r="AF6" i="55"/>
  <c r="AL6" i="55" s="1"/>
  <c r="AF29" i="55"/>
  <c r="AL29" i="55" s="1"/>
  <c r="G212" i="59"/>
  <c r="G204" i="59"/>
  <c r="AF28" i="55"/>
  <c r="AL28" i="55" s="1"/>
  <c r="AO12" i="55"/>
  <c r="AM12" i="55"/>
  <c r="G196" i="59"/>
  <c r="AF27" i="55"/>
  <c r="AL27" i="55" s="1"/>
  <c r="AF30" i="55"/>
  <c r="AL30" i="55" s="1"/>
  <c r="G188" i="59"/>
  <c r="AF26" i="55"/>
  <c r="AL26" i="55" s="1"/>
  <c r="AO18" i="55"/>
  <c r="AM18" i="55"/>
  <c r="AF9" i="55"/>
  <c r="AL9" i="55" s="1"/>
  <c r="G180" i="59"/>
  <c r="AF25" i="55"/>
  <c r="AL25" i="55" s="1"/>
  <c r="AN27" i="55"/>
  <c r="AM27" i="55"/>
  <c r="G228" i="59"/>
  <c r="AF31" i="55"/>
  <c r="AM6" i="55"/>
  <c r="AN6" i="55"/>
  <c r="AM29" i="55"/>
  <c r="AN29" i="55"/>
  <c r="AN28" i="55"/>
  <c r="AM28" i="55"/>
  <c r="AM16" i="55"/>
  <c r="AN25" i="55"/>
  <c r="AM25" i="55"/>
  <c r="AF8" i="55"/>
  <c r="AL8" i="55" s="1"/>
  <c r="G52" i="59"/>
  <c r="AN31" i="55"/>
  <c r="AM31" i="55"/>
  <c r="AN26" i="55"/>
  <c r="AM26" i="55"/>
  <c r="AN30" i="55"/>
  <c r="AM30" i="55"/>
  <c r="AL31" i="55" l="1"/>
  <c r="G14" i="13"/>
  <c r="U159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tc={665A0C76-2F77-474B-8988-F8280B44F22D}</author>
    <author>tc={74F34398-F6CC-44B9-9E30-7D139EE039C1}</author>
    <author>tc={106449BB-7851-481A-B8BF-08477B7A2CDE}</author>
    <author>tc={2BD43C77-EA5C-497E-B411-AA7ECA439751}</author>
    <author>tc={C7610F6F-B561-467C-A719-D012691E1B30}</author>
    <author>tc={019949E4-FDBB-483E-A2C5-044648421C30}</author>
    <author>tc={CC0DEC9E-C6BC-4511-AD24-11ACCDBAAE09}</author>
    <author>tc={8AAA4788-A4DC-42F8-996C-6CF72368FBFF}</author>
    <author>tc={8C576FC2-C82D-4BED-82DC-89CBA7DB29AC}</author>
    <author>tc={7DF25197-310B-4A2B-A987-18E4A8B13D99}</author>
  </authors>
  <commentList>
    <comment ref="M23" authorId="0" shapeId="0" xr:uid="{665A0C76-2F77-474B-8988-F8280B44F22D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estimat</t>
      </text>
    </comment>
    <comment ref="M40" authorId="1" shapeId="0" xr:uid="{74F34398-F6CC-44B9-9E30-7D139EE039C1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citit in baza OD</t>
      </text>
    </comment>
    <comment ref="M61" authorId="2" shapeId="0" xr:uid="{106449BB-7851-481A-B8BF-08477B7A2CDE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citit in locatie</t>
      </text>
    </comment>
    <comment ref="E63" authorId="3" shapeId="0" xr:uid="{2BD43C77-EA5C-497E-B411-AA7ECA439751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Indexul afisat in anexa este gresitș este indexul corect de start</t>
      </text>
    </comment>
    <comment ref="M63" authorId="4" shapeId="0" xr:uid="{C7610F6F-B561-467C-A719-D012691E1B3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citit in locatie</t>
      </text>
    </comment>
    <comment ref="E64" authorId="5" shapeId="0" xr:uid="{019949E4-FDBB-483E-A2C5-044648421C3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Indexul afisat in anexa este gresitș este indexul corect de start</t>
      </text>
    </comment>
    <comment ref="E65" authorId="6" shapeId="0" xr:uid="{CC0DEC9E-C6BC-4511-AD24-11ACCDBAAE09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Indexul afisat in anexa este gresitș este indexul corect de start</t>
      </text>
    </comment>
    <comment ref="M66" authorId="7" shapeId="0" xr:uid="{8AAA4788-A4DC-42F8-996C-6CF72368FBFF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citit in locatie</t>
      </text>
    </comment>
    <comment ref="M67" authorId="8" shapeId="0" xr:uid="{8C576FC2-C82D-4BED-82DC-89CBA7DB29AC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estimat de Hidroelectrica</t>
      </text>
    </comment>
    <comment ref="M68" authorId="9" shapeId="0" xr:uid="{7DF25197-310B-4A2B-A987-18E4A8B13D99}">
      <text>
        <t>[Threaded comment]
Your version of Excel allows you to read this threaded comment; however, any edits to it will get removed if the file is opened in a newer version of Excel. Learn more: https://go.microsoft.com/fwlink/?linkid=870924
Comment:
    Index citit in locatie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tc={B00475A7-4EED-4DF6-9339-5DB189F3298B}</author>
    <author>tc={9076A18D-4D9C-9D40-9F44-FF227DAF7DC7}</author>
  </authors>
  <commentList>
    <comment ref="BA79" authorId="0" shapeId="0" xr:uid="{B00475A7-4EED-4DF6-9339-5DB189F3298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Formula schimbata
</t>
      </text>
    </comment>
    <comment ref="CY102" authorId="1" shapeId="0" xr:uid="{9076A18D-4D9C-9D40-9F44-FF227DAF7DC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formula avem scazut 1kWh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tc={41F8D455-CB15-4836-83D2-EB1ADF56FCE1}</author>
    <author>tc={5A710DC5-485C-4BDE-AAB4-EF1CFD3C5CD8}</author>
  </authors>
  <commentList>
    <comment ref="N152" authorId="0" shapeId="0" xr:uid="{41F8D455-CB15-4836-83D2-EB1ADF56FCE1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Formule schimbate in aprilie</t>
      </text>
    </comment>
    <comment ref="R152" authorId="1" shapeId="0" xr:uid="{5A710DC5-485C-4BDE-AAB4-EF1CFD3C5CD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Formule schimbate in aprilieș indecsi calculati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tc={96B232C6-4588-4225-BBAE-1200FAB74812}</author>
  </authors>
  <commentList>
    <comment ref="I140" authorId="0" shapeId="0" xr:uid="{96B232C6-4588-4225-BBAE-1200FAB74812}">
      <text>
        <t>[Threaded comment]
Your version of Excel allows you to read this threaded comment; however, any edits to it will get removed if the file is opened in a newer version of Excel. Learn more: https://go.microsoft.com/fwlink/?linkid=870924
Comment:
    17247 kWh reg din dec 2024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<sst xmlns="http://schemas.openxmlformats.org/spreadsheetml/2006/main" count="27963" uniqueCount="1505">
  <si>
    <t>RDSC</t>
  </si>
  <si>
    <t>RCSC</t>
  </si>
  <si>
    <t>RBPM</t>
  </si>
  <si>
    <t>RMEG</t>
  </si>
  <si>
    <t>RPMB</t>
  </si>
  <si>
    <t>RGSC</t>
  </si>
  <si>
    <t>RAMB</t>
  </si>
  <si>
    <t>RSMS</t>
  </si>
  <si>
    <t>RTIM</t>
  </si>
  <si>
    <t>RPSC</t>
  </si>
  <si>
    <t>RRPP</t>
  </si>
  <si>
    <t>RRVS</t>
  </si>
  <si>
    <t>RSEV</t>
  </si>
  <si>
    <t>RTJD</t>
  </si>
  <si>
    <t>RVUL</t>
  </si>
  <si>
    <t>RSCP</t>
  </si>
  <si>
    <t>RITS</t>
  </si>
  <si>
    <t>RSSC</t>
  </si>
  <si>
    <t>RNSS</t>
  </si>
  <si>
    <t>RFSC</t>
  </si>
  <si>
    <t>RTGU</t>
  </si>
  <si>
    <t>RGBM</t>
  </si>
  <si>
    <t>Aurora Mall Buzau SRL</t>
  </si>
  <si>
    <t>Iris Titan Shopping Center SRL</t>
  </si>
  <si>
    <t>Sibiu Shopping City 2 SRL</t>
  </si>
  <si>
    <t>NRE Sibiu Shopping City SRL</t>
  </si>
  <si>
    <t>Festival Shopping Center SRL</t>
  </si>
  <si>
    <t>Targu Mures Shopping City SRL</t>
  </si>
  <si>
    <t>Strada Ferdinand, nr. 38A, Ramnicu Valcea, jud. Valcea</t>
  </si>
  <si>
    <t>Strada Principala, nr. 4, loc. Varsatura, jud. Braila</t>
  </si>
  <si>
    <t>Strada DN1B, nr. FN, Blejoi, com. Blejoi jud. Prahova.</t>
  </si>
  <si>
    <t>Bulevardul. Decebal, nr. 79, loc. Piatra-Neamt, jud. Neamt</t>
  </si>
  <si>
    <t>Strada Careiului, nr. 17, loc. Satu Mare, jud. Satu Mare</t>
  </si>
  <si>
    <t>Calea Zarandului, nr. 87, Deva, jud. Hunedoara</t>
  </si>
  <si>
    <t>Bulevardul George Cosbuc, nr. 251, Galati, jud. Galati</t>
  </si>
  <si>
    <t>Strada Calea Sagului, nr. 100, Timisoara, jud. Timis</t>
  </si>
  <si>
    <t>Strada Termocentralei, nr. 10, loc. Targu Jiu, jud. Gorj</t>
  </si>
  <si>
    <t>Strada Mihail Sebastian, nr. 88D, Sector 5, Bucuresti</t>
  </si>
  <si>
    <t>Strada Lector, nr. 1-3A, Sibiu, jud. Sibiu</t>
  </si>
  <si>
    <t>Calea Floreasca, nr. 224-246, Sector 1, Bucuresti</t>
  </si>
  <si>
    <t>Bulevardul 1 Decembrie 1918, nr. 242, Targu Mures, jud. Mures</t>
  </si>
  <si>
    <t>Bulevardul Alexandru Lapusneanu, nr. 116C, loc. Constanta, jud. Constanta</t>
  </si>
  <si>
    <t>Bulevardul Unirii, nr. 180, loc. Buzau, jud. Buzau</t>
  </si>
  <si>
    <t>Calea Severinului, nr.61, Craiova, jud. Dolj</t>
  </si>
  <si>
    <t>Bulevardul Pierre de Coubertin, nr. 3-5, Sector 2, Bucuresti</t>
  </si>
  <si>
    <t>Bulevardul Mihai Viteazu, nr. 78, Drobeta-Turnu Severin, jud. Mehedinti</t>
  </si>
  <si>
    <t>Bulevardul 1 Decembrie 1918, nr. 33A, Sector 3, Bucuresti</t>
  </si>
  <si>
    <t>Sos. Sibiului, nr. 5, loc. Sibiu, jud. Sibiu</t>
  </si>
  <si>
    <t>Adresa</t>
  </si>
  <si>
    <t>DN65B, 117140, loc. Geamana, jud. Arges</t>
  </si>
  <si>
    <t>Ramnicu Valcea Shopping City SRL</t>
  </si>
  <si>
    <t>Braila Promenada Mall SRL</t>
  </si>
  <si>
    <t>Ploiesti Shopping City SRL</t>
  </si>
  <si>
    <t>Shopping City Piatra Neamt SRL</t>
  </si>
  <si>
    <t>Satu Mare Shopping City SRL</t>
  </si>
  <si>
    <t>Deva Shopping City SRL</t>
  </si>
  <si>
    <t>Galati Shopping City SRL</t>
  </si>
  <si>
    <t>Shopping City Timisoara SRL</t>
  </si>
  <si>
    <t>Targu Jiu Development SRL</t>
  </si>
  <si>
    <t>Vulcan Value Centre SRL</t>
  </si>
  <si>
    <t>Promenada Mall Bucuresti SRL</t>
  </si>
  <si>
    <t>Constanta Shopping City SRL</t>
  </si>
  <si>
    <t>General Building Management SRL</t>
  </si>
  <si>
    <t>Mega Mall Bucuresti SRL</t>
  </si>
  <si>
    <t>Severin Shopping Center SRL</t>
  </si>
  <si>
    <t>SPV</t>
  </si>
  <si>
    <t>Retail Park Pitesti SRL</t>
  </si>
  <si>
    <t>Contract ID</t>
  </si>
  <si>
    <t>Company ID</t>
  </si>
  <si>
    <t>-</t>
  </si>
  <si>
    <t>DEER_MN</t>
  </si>
  <si>
    <t>Energie activa 1</t>
  </si>
  <si>
    <t>Energie reactiva  1X</t>
  </si>
  <si>
    <t>Energie reactiva  3X</t>
  </si>
  <si>
    <t xml:space="preserve">Servicii Sistem </t>
  </si>
  <si>
    <t>Tarif de introducere en. el in retea (TL)</t>
  </si>
  <si>
    <t>Tarif de introducere en.el in retea (TG)</t>
  </si>
  <si>
    <t>Contributie pentru cogenerare</t>
  </si>
  <si>
    <t xml:space="preserve">Certificate verzi </t>
  </si>
  <si>
    <t>Acciza</t>
  </si>
  <si>
    <t>Tarif distributie SDI MT</t>
  </si>
  <si>
    <t>Tarif distributie SDI JT</t>
  </si>
  <si>
    <t>Energie activa 2</t>
  </si>
  <si>
    <t>Energie activa 3</t>
  </si>
  <si>
    <t>T1</t>
  </si>
  <si>
    <t>DEER_TN</t>
  </si>
  <si>
    <t>DEER_TS</t>
  </si>
  <si>
    <t>DEO</t>
  </si>
  <si>
    <t>PPC_M</t>
  </si>
  <si>
    <t>PPC_D</t>
  </si>
  <si>
    <t>PPC_B</t>
  </si>
  <si>
    <t>DELGAZ</t>
  </si>
  <si>
    <t>Tarif ID</t>
  </si>
  <si>
    <t>RON/kWh</t>
  </si>
  <si>
    <t>Billing Type</t>
  </si>
  <si>
    <t>Denumire servicii facturate</t>
  </si>
  <si>
    <t>ICOENG0001</t>
  </si>
  <si>
    <t>ICOENG0010</t>
  </si>
  <si>
    <t>ICOENG0012</t>
  </si>
  <si>
    <t>Regularizare Energie activa 1</t>
  </si>
  <si>
    <t>Regularizare Energie reactiva  1X</t>
  </si>
  <si>
    <t>Regularizare Energie reactiva  3X</t>
  </si>
  <si>
    <t xml:space="preserve">Regularizare Servicii Sistem </t>
  </si>
  <si>
    <t>Regularizare Tarif de introducere en. el in retea (TL)</t>
  </si>
  <si>
    <t>Regularizare Tarif de introducere en.el in retea (TG)</t>
  </si>
  <si>
    <t>Regularizare Contributie pentru cogenerare</t>
  </si>
  <si>
    <t xml:space="preserve">Regularizare Certificate verzi </t>
  </si>
  <si>
    <t>Regularizare Acciza</t>
  </si>
  <si>
    <t>Regularizare Tarif distributie SDI MT Ea1</t>
  </si>
  <si>
    <t>Regularizare Tarif distributie SDI JT Ea1</t>
  </si>
  <si>
    <t>Regularizare Energie activa 2</t>
  </si>
  <si>
    <t>Regularizare Energie activa 3</t>
  </si>
  <si>
    <t>Regularizare Tarif distributie SDI MT Ea3</t>
  </si>
  <si>
    <t>Regularizare Tarif distributie SDI JT Ea3</t>
  </si>
  <si>
    <t>OD Concesionar</t>
  </si>
  <si>
    <t>No</t>
  </si>
  <si>
    <t>New Energy Management SRL</t>
  </si>
  <si>
    <t>POD OD</t>
  </si>
  <si>
    <t>Serie contor OD</t>
  </si>
  <si>
    <t>SPV JT</t>
  </si>
  <si>
    <t>POD SDI</t>
  </si>
  <si>
    <t>Serie contor SDI Consum</t>
  </si>
  <si>
    <t>Serie contor SDI Producere</t>
  </si>
  <si>
    <t>Ramnicu Valcea Shopping City SRL 1</t>
  </si>
  <si>
    <t>Ramnicu Valcea Shopping City SRL 2</t>
  </si>
  <si>
    <t>Ramnicu Valcea Shopping City SRL 3</t>
  </si>
  <si>
    <t>Ramnicu Valcea Shopping City SRL 4</t>
  </si>
  <si>
    <t>59401070000220953171619201/1</t>
  </si>
  <si>
    <t>59401070000220953171619201/2</t>
  </si>
  <si>
    <t>59401070000220953171619201/3</t>
  </si>
  <si>
    <t>59401070000220953171619201/4</t>
  </si>
  <si>
    <t>59401070000220953171619201/5</t>
  </si>
  <si>
    <t>Braila Promenada Mall SRL 1</t>
  </si>
  <si>
    <t>Braila Promenada Mall SRL 2</t>
  </si>
  <si>
    <t>Braila Promenada Mall SRL 3</t>
  </si>
  <si>
    <t>Braila Promenada Mall SRL 4</t>
  </si>
  <si>
    <t>594030200001495040/1</t>
  </si>
  <si>
    <t>594030200001495040/2</t>
  </si>
  <si>
    <t>594030200001494937/1</t>
  </si>
  <si>
    <t>594030200001494937/2</t>
  </si>
  <si>
    <t>594030200001494937/3</t>
  </si>
  <si>
    <t>594030200001243351/1</t>
  </si>
  <si>
    <t>594030200001243351/2</t>
  </si>
  <si>
    <t>Ploiesti Shopping City SRL 1</t>
  </si>
  <si>
    <t>Ploiesti Shopping City SRL 2</t>
  </si>
  <si>
    <t>594030100003367652/1</t>
  </si>
  <si>
    <t>594030100003367652/2</t>
  </si>
  <si>
    <t>594030100003367652/3</t>
  </si>
  <si>
    <t>Shopping City Piatra Neamt SRL 1</t>
  </si>
  <si>
    <t>Shopping City Piatra Neamt SRL 2</t>
  </si>
  <si>
    <t>EMO3621722/1</t>
  </si>
  <si>
    <t>EMO3621722/2</t>
  </si>
  <si>
    <t>EMO3621722/3</t>
  </si>
  <si>
    <t>EMO3621722</t>
  </si>
  <si>
    <t>Satu Mare Shopping City SRL 1</t>
  </si>
  <si>
    <t>594040400001839968/1</t>
  </si>
  <si>
    <t>Satu Mare Shopping City SRL 2</t>
  </si>
  <si>
    <t>594040400001839968/2</t>
  </si>
  <si>
    <t>594040400001839968/3</t>
  </si>
  <si>
    <t>594040400001839968</t>
  </si>
  <si>
    <t>2865278</t>
  </si>
  <si>
    <t>RO005E532240390</t>
  </si>
  <si>
    <t>21G90290210102630</t>
  </si>
  <si>
    <t>RO005E532371182</t>
  </si>
  <si>
    <t>20G90290210095984</t>
  </si>
  <si>
    <t>RO005E532220590</t>
  </si>
  <si>
    <t>21G90290210104636</t>
  </si>
  <si>
    <t>Deva Shopping City SRL 1</t>
  </si>
  <si>
    <t>Deva Shopping City SRL 2</t>
  </si>
  <si>
    <t>Deva Shopping City SRL 3</t>
  </si>
  <si>
    <t>Deva Shopping City SRL 4</t>
  </si>
  <si>
    <t>Deva Shopping City SRL 5</t>
  </si>
  <si>
    <t>Deva Shopping City SRL 6</t>
  </si>
  <si>
    <t>RO005E532240390/2</t>
  </si>
  <si>
    <t>RO005E532240390/3</t>
  </si>
  <si>
    <t>RO005E532371182/1</t>
  </si>
  <si>
    <t>RO005E532371182/2</t>
  </si>
  <si>
    <t>RO005E532371182/3</t>
  </si>
  <si>
    <t>RO005E532220590/1</t>
  </si>
  <si>
    <t>RO005E532220590/2</t>
  </si>
  <si>
    <t>RO005E532220590/3</t>
  </si>
  <si>
    <t>RO005E532240390/1</t>
  </si>
  <si>
    <t>594030500002463001</t>
  </si>
  <si>
    <t>Galati Shopping City SRL 2</t>
  </si>
  <si>
    <t>594030500002463001/2</t>
  </si>
  <si>
    <t>Galati Shopping City SRL 3</t>
  </si>
  <si>
    <t>594030500002463001/3</t>
  </si>
  <si>
    <t>594030500002463001/5</t>
  </si>
  <si>
    <t>Galati Shopping City SRL 1</t>
  </si>
  <si>
    <t>594030500002463001/1</t>
  </si>
  <si>
    <t>Galati Shopping City SRL 4</t>
  </si>
  <si>
    <t>594030500002463001/4</t>
  </si>
  <si>
    <t>594030500002463001/6</t>
  </si>
  <si>
    <t>RO005E513396506</t>
  </si>
  <si>
    <t>15G90220110064560</t>
  </si>
  <si>
    <t>RO005E513431450</t>
  </si>
  <si>
    <t>15G90220110064591</t>
  </si>
  <si>
    <t>Shopping City Timisoara SRL 1</t>
  </si>
  <si>
    <t>Shopping City Timisoara SRL 2</t>
  </si>
  <si>
    <t>Shopping City Timisoara SRL 3</t>
  </si>
  <si>
    <t>Shopping City Timisoara SRL 4</t>
  </si>
  <si>
    <t>Shopping City Timisoara SRL 5 (Carrefour)</t>
  </si>
  <si>
    <t>Shopping City Timisoara SRL 6</t>
  </si>
  <si>
    <t>Shopping City Timisoara SRL 7</t>
  </si>
  <si>
    <t>Shopping City Timisoara SRL 8</t>
  </si>
  <si>
    <t>Shopping City Timisoara SRL 9</t>
  </si>
  <si>
    <t>Shopping City Timisoara SRL 10 (Carrefour)</t>
  </si>
  <si>
    <t>RO005E513396506/1</t>
  </si>
  <si>
    <t>RO005E513396506/2</t>
  </si>
  <si>
    <t>RO005E513396506/3</t>
  </si>
  <si>
    <t>RO005E513396506/4</t>
  </si>
  <si>
    <t>RO005E513396506/5</t>
  </si>
  <si>
    <t>RO005E513396506/6</t>
  </si>
  <si>
    <t>RO005E513431450/1</t>
  </si>
  <si>
    <t>RO005E513431450/2</t>
  </si>
  <si>
    <t>RO005E513431450/3</t>
  </si>
  <si>
    <t>RO005E513431450/4</t>
  </si>
  <si>
    <t>RO005E513431450/5</t>
  </si>
  <si>
    <t>RO005E513431450/6</t>
  </si>
  <si>
    <t>59401030000224144171589916</t>
  </si>
  <si>
    <t>262167</t>
  </si>
  <si>
    <t>Targu Jiu Development SRL 1</t>
  </si>
  <si>
    <t>59401030000224144171589916/1</t>
  </si>
  <si>
    <t>Targu Jiu Development SRL 2</t>
  </si>
  <si>
    <t>59401030000224144171589916/2</t>
  </si>
  <si>
    <t>59401030000224144171589916/3</t>
  </si>
  <si>
    <t>RO001E110054223</t>
  </si>
  <si>
    <t>Vulcan Value Centre SRL 1</t>
  </si>
  <si>
    <t>RO001E110054223/1</t>
  </si>
  <si>
    <t>Vulcan Value Centre SRL 2</t>
  </si>
  <si>
    <t>RO001E110054223/2</t>
  </si>
  <si>
    <t>Vulcan Value Centre SRL 3</t>
  </si>
  <si>
    <t>RO001E110054223/3</t>
  </si>
  <si>
    <t>RO001E110054223/4</t>
  </si>
  <si>
    <t>594020200002317122</t>
  </si>
  <si>
    <t>2758754</t>
  </si>
  <si>
    <t>Festival Shopping Center SRL 1</t>
  </si>
  <si>
    <t>594020200002317122/1</t>
  </si>
  <si>
    <t>Festival Shopping Center SRL 2</t>
  </si>
  <si>
    <t>594020200002317122/2</t>
  </si>
  <si>
    <t>Festival Shopping Center SRL 3</t>
  </si>
  <si>
    <t>594020200002317122/3</t>
  </si>
  <si>
    <t>Festival Shopping Center SRL 4</t>
  </si>
  <si>
    <t>594020200002317122/4</t>
  </si>
  <si>
    <t>Festival Shopping Center SRL 5</t>
  </si>
  <si>
    <t>594020200002317122/5</t>
  </si>
  <si>
    <t>594020200002317122/6</t>
  </si>
  <si>
    <t>RO001E110523303</t>
  </si>
  <si>
    <t>20G90290210096376</t>
  </si>
  <si>
    <t>Promenada Mall Bucuresti SRL 1</t>
  </si>
  <si>
    <t>RO001E110523303/1</t>
  </si>
  <si>
    <t>Promenada Mall Bucuresti SRL 2</t>
  </si>
  <si>
    <t>RO001E110523303/2</t>
  </si>
  <si>
    <t>Promenada Mall Bucuresti SRL 3</t>
  </si>
  <si>
    <t>RO001E110523303/3</t>
  </si>
  <si>
    <t>Promenada Mall Bucuresti SRL 4</t>
  </si>
  <si>
    <t>RO001E110523303/4</t>
  </si>
  <si>
    <t>RO001E110523303/5</t>
  </si>
  <si>
    <t>594020300002742631</t>
  </si>
  <si>
    <t>2886824</t>
  </si>
  <si>
    <t>Targu Mures Shopping City SRL 1</t>
  </si>
  <si>
    <t>594020300002742631/1</t>
  </si>
  <si>
    <t>Targu Mures Shopping City SRL 2</t>
  </si>
  <si>
    <t>594020300002742631/2</t>
  </si>
  <si>
    <t>Targu Mures Shopping City SRL 3</t>
  </si>
  <si>
    <t>594020300002742631/3</t>
  </si>
  <si>
    <t>594020300002742631/4</t>
  </si>
  <si>
    <t>RO002E212833624</t>
  </si>
  <si>
    <t>16G90220110070053</t>
  </si>
  <si>
    <t>Constanta Shopping City SRL 1</t>
  </si>
  <si>
    <t>RO002E212833624/1</t>
  </si>
  <si>
    <t>Constanta Shopping City SRL 2</t>
  </si>
  <si>
    <t>RO002E212833624/2</t>
  </si>
  <si>
    <t>Constanta Shopping City SRL 3</t>
  </si>
  <si>
    <t>RO002E212833624/3</t>
  </si>
  <si>
    <t>Constanta Shopping City SRL 4</t>
  </si>
  <si>
    <t>RO002E212833613</t>
  </si>
  <si>
    <t>16G90220110070042</t>
  </si>
  <si>
    <t>RO002E212833613/1</t>
  </si>
  <si>
    <t>RO002E212833613/2</t>
  </si>
  <si>
    <t>RO002E212833613/3</t>
  </si>
  <si>
    <t>594030300002113780</t>
  </si>
  <si>
    <t>Aurora Mall Buzau SRL 1</t>
  </si>
  <si>
    <t>594030300002113780/1</t>
  </si>
  <si>
    <t>Aurora Mall Buzau SRL 3</t>
  </si>
  <si>
    <t>594030300002113780/3</t>
  </si>
  <si>
    <t>594030300002113780/5</t>
  </si>
  <si>
    <t>Aurora Mall Buzau SRL 2</t>
  </si>
  <si>
    <t>594030300002113780/2</t>
  </si>
  <si>
    <t>Aurora Mall Buzau SRL 4</t>
  </si>
  <si>
    <t>594030300002113780/4</t>
  </si>
  <si>
    <t>594030300002113780/6</t>
  </si>
  <si>
    <t>59401010000363258971716818</t>
  </si>
  <si>
    <t>General Building Management SRL 1</t>
  </si>
  <si>
    <t>59401010000363258971716818/1</t>
  </si>
  <si>
    <t>General Building Management SRL 2</t>
  </si>
  <si>
    <t>59401010000363258971716818/2</t>
  </si>
  <si>
    <t>General Building Management SRL 3</t>
  </si>
  <si>
    <t>59401010000363258971716818/3</t>
  </si>
  <si>
    <t>59401010000363258971716818/4</t>
  </si>
  <si>
    <t>594010100003643714 71721547</t>
  </si>
  <si>
    <t>General Building Management SRL 4</t>
  </si>
  <si>
    <t>594010100003643714 71721547/1</t>
  </si>
  <si>
    <t>594010100003643714 71721547/2</t>
  </si>
  <si>
    <t>RO001E110047438</t>
  </si>
  <si>
    <t>21G90290210108244</t>
  </si>
  <si>
    <t>Mega Mall Bucuresti SRL 1</t>
  </si>
  <si>
    <t>RO001E110047438/1</t>
  </si>
  <si>
    <t>Mega Mall Bucuresti SRL 2</t>
  </si>
  <si>
    <t>RO001E110047438/2</t>
  </si>
  <si>
    <t>Mega Mall Bucuresti SRL 3</t>
  </si>
  <si>
    <t>RO001E110047438/3</t>
  </si>
  <si>
    <t>Mega Mall Bucuresti SRL 4</t>
  </si>
  <si>
    <t>RO001E110047438/4</t>
  </si>
  <si>
    <t>Mega Mall Bucuresti SRL 5</t>
  </si>
  <si>
    <t>RO001E110047438/5</t>
  </si>
  <si>
    <t>RO001E110047438/6</t>
  </si>
  <si>
    <t>RO001E110034580</t>
  </si>
  <si>
    <t>20G90290210095138</t>
  </si>
  <si>
    <t>Mega Mall Bucuresti SRL 6</t>
  </si>
  <si>
    <t>RO001E110034580/1</t>
  </si>
  <si>
    <t>Mega Mall Bucuresti SRL 7</t>
  </si>
  <si>
    <t>RO001E110034580/2</t>
  </si>
  <si>
    <t>Mega Mall Bucuresti SRL 8</t>
  </si>
  <si>
    <t>RO001E110034580/3</t>
  </si>
  <si>
    <t>Mega Mall Bucuresti SRL 9</t>
  </si>
  <si>
    <t>RO001E110034580/4</t>
  </si>
  <si>
    <t>RO001E110034580/5</t>
  </si>
  <si>
    <t>RO001E110105365</t>
  </si>
  <si>
    <t>Mega Mall Bucuresti SRL 10</t>
  </si>
  <si>
    <t>RO001E110105365/1</t>
  </si>
  <si>
    <t>Mega Mall Bucuresti SRL 11</t>
  </si>
  <si>
    <t>RO001E110105365/2</t>
  </si>
  <si>
    <t>Mega Mall Bucuresti SRL 12</t>
  </si>
  <si>
    <t>RO001E110105365/3</t>
  </si>
  <si>
    <t>Mega Mall Bucuresti SRL 13</t>
  </si>
  <si>
    <t>RO001E110105365/4</t>
  </si>
  <si>
    <t>RO001E110105365/5</t>
  </si>
  <si>
    <t>59401040000145272271526125</t>
  </si>
  <si>
    <t>Severin Shopping Center SRL 1</t>
  </si>
  <si>
    <t>59401040000145272271526125/1</t>
  </si>
  <si>
    <t>59401040000145272271526125/2</t>
  </si>
  <si>
    <t>59401040000153661371602579</t>
  </si>
  <si>
    <t>Severin Shopping Center SRL 2</t>
  </si>
  <si>
    <t>59401040000153661371602579/1</t>
  </si>
  <si>
    <t>59401040000153661371602579/2</t>
  </si>
  <si>
    <t>RO001E109430703</t>
  </si>
  <si>
    <t>Iris Titan Shopping Center SRL 1</t>
  </si>
  <si>
    <t>RO001E109430703/1</t>
  </si>
  <si>
    <t>RO001E109430703/2</t>
  </si>
  <si>
    <t>RO001E109430691</t>
  </si>
  <si>
    <t>Iris Titan Shopping Center SRL 2</t>
  </si>
  <si>
    <t>RO001E109430691/1</t>
  </si>
  <si>
    <t>RO001E109430691/2</t>
  </si>
  <si>
    <t>RO001E109430714</t>
  </si>
  <si>
    <t>20G90290210100725</t>
  </si>
  <si>
    <t>Iris Titan Shopping Center SRL 3</t>
  </si>
  <si>
    <t>RO001E109430714/1</t>
  </si>
  <si>
    <t>RO001E109430714/2</t>
  </si>
  <si>
    <t>RO001E109430736</t>
  </si>
  <si>
    <t>Iris Titan Shopping Center SRL 4</t>
  </si>
  <si>
    <t>RO001E109430736/1</t>
  </si>
  <si>
    <t>Iris Titan Shopping Center SRL 5</t>
  </si>
  <si>
    <t>RO001E109430736/2</t>
  </si>
  <si>
    <t>RO001E109430736/3</t>
  </si>
  <si>
    <t>594020200001925328</t>
  </si>
  <si>
    <t>NRE Sibiu Shopping City SRL 1</t>
  </si>
  <si>
    <t>594020200001925328/1</t>
  </si>
  <si>
    <t>NRE Sibiu Shopping City SRL 2</t>
  </si>
  <si>
    <t>594020200001925328/2</t>
  </si>
  <si>
    <t>594020200001925328/3</t>
  </si>
  <si>
    <t>594020200001926066</t>
  </si>
  <si>
    <t>NRE Sibiu Shopping City SRL 3</t>
  </si>
  <si>
    <t>594020200001926066/1</t>
  </si>
  <si>
    <t>594020200001926066/2</t>
  </si>
  <si>
    <t>594020200000000477</t>
  </si>
  <si>
    <t>NRE Sibiu Shopping City SRL 4</t>
  </si>
  <si>
    <t>594020200000000477/1</t>
  </si>
  <si>
    <t>594020200000000477/2</t>
  </si>
  <si>
    <t>594020200001926325</t>
  </si>
  <si>
    <t>Sibiu Shopping City 2 SRL 1</t>
  </si>
  <si>
    <t>594020200001926325/1</t>
  </si>
  <si>
    <t>594020200001926325/2</t>
  </si>
  <si>
    <t>594020200001926332</t>
  </si>
  <si>
    <t>Sibiu Shopping City 2 SRL 2</t>
  </si>
  <si>
    <t>594020200001926332/1</t>
  </si>
  <si>
    <t>594020200001926332/2</t>
  </si>
  <si>
    <t>20G90290210096408</t>
  </si>
  <si>
    <t>UCEUEDN18 510058547</t>
  </si>
  <si>
    <t>15G1457011065883</t>
  </si>
  <si>
    <t>594030200001495088</t>
  </si>
  <si>
    <t>594020200002260244</t>
  </si>
  <si>
    <t>59401030000225704671594029</t>
  </si>
  <si>
    <t>RO001E111222805</t>
  </si>
  <si>
    <t>RO001E110785943</t>
  </si>
  <si>
    <t>RO001E108898767</t>
  </si>
  <si>
    <t>59401040000171945071723445</t>
  </si>
  <si>
    <t>594020200001926035</t>
  </si>
  <si>
    <t>59401020000375096971448223</t>
  </si>
  <si>
    <t>59401020000375096971689655</t>
  </si>
  <si>
    <t>59401020000375096971689655/1</t>
  </si>
  <si>
    <t>59401020000375096971689655/2</t>
  </si>
  <si>
    <t>59401020000375096971689655/3</t>
  </si>
  <si>
    <t>59401020000375096971448223/1</t>
  </si>
  <si>
    <t>59401020000375096971448223/2</t>
  </si>
  <si>
    <t>59401020000375096971448223/3</t>
  </si>
  <si>
    <t>Retail Park Pitesti SRL 1</t>
  </si>
  <si>
    <t>Retail Park Pitesti SRL 2</t>
  </si>
  <si>
    <t>Retail Park Pitesti SRL 3</t>
  </si>
  <si>
    <t>Retail Park Pitesti SRL 4</t>
  </si>
  <si>
    <t>Cod loc de consum</t>
  </si>
  <si>
    <t>Interval start</t>
  </si>
  <si>
    <t>Interval stop</t>
  </si>
  <si>
    <t>Constanta</t>
  </si>
  <si>
    <t>Mod stabilire</t>
  </si>
  <si>
    <t>Index nou EA</t>
  </si>
  <si>
    <t>Index vechi EA</t>
  </si>
  <si>
    <t>Index nou ER</t>
  </si>
  <si>
    <t>Index vechi ER</t>
  </si>
  <si>
    <t>Index nou ERC</t>
  </si>
  <si>
    <t>Index vechi ERC</t>
  </si>
  <si>
    <t>Interval curent</t>
  </si>
  <si>
    <t>Total EA</t>
  </si>
  <si>
    <t>Total ER 1x</t>
  </si>
  <si>
    <t>Total ER 3x</t>
  </si>
  <si>
    <t>Total ERC 1x</t>
  </si>
  <si>
    <t>Total ERC 3x</t>
  </si>
  <si>
    <t>estimare</t>
  </si>
  <si>
    <t>21G90290210104559</t>
  </si>
  <si>
    <t>59401070000220953171619201</t>
  </si>
  <si>
    <t>73069405</t>
  </si>
  <si>
    <t>594030200001495040</t>
  </si>
  <si>
    <t>18101774357</t>
  </si>
  <si>
    <t>594030200001494937</t>
  </si>
  <si>
    <t>2789602</t>
  </si>
  <si>
    <t>594030200001243351</t>
  </si>
  <si>
    <t>18101774330</t>
  </si>
  <si>
    <t>594030100003367652</t>
  </si>
  <si>
    <t>20301781017</t>
  </si>
  <si>
    <t>Company ID/POD</t>
  </si>
  <si>
    <t>EA+</t>
  </si>
  <si>
    <t>EA-</t>
  </si>
  <si>
    <t>ER+</t>
  </si>
  <si>
    <t>Centrala</t>
  </si>
  <si>
    <t>Index vechi</t>
  </si>
  <si>
    <t>Index nou</t>
  </si>
  <si>
    <t>kWh</t>
  </si>
  <si>
    <t>kVarh</t>
  </si>
  <si>
    <t>Total EA+</t>
  </si>
  <si>
    <t>Total EA-</t>
  </si>
  <si>
    <t>Total ER+</t>
  </si>
  <si>
    <t>Total ER-</t>
  </si>
  <si>
    <t>2/22.12.2023</t>
  </si>
  <si>
    <t>23/28.02.2024</t>
  </si>
  <si>
    <t>6/22.12.2023</t>
  </si>
  <si>
    <t>27/28.02.2024</t>
  </si>
  <si>
    <t>11/22.12.2023</t>
  </si>
  <si>
    <t>32/28.02.2024</t>
  </si>
  <si>
    <t>7/22.12.2023</t>
  </si>
  <si>
    <t>28/28.02.2024</t>
  </si>
  <si>
    <t>4/22.12.2023</t>
  </si>
  <si>
    <t>25/28.02.2024</t>
  </si>
  <si>
    <t>3/22.12.2023</t>
  </si>
  <si>
    <t>24/28.02.2024</t>
  </si>
  <si>
    <t>1/22.12.2023</t>
  </si>
  <si>
    <t>22/28.02.2024</t>
  </si>
  <si>
    <t>5/22.12.2023</t>
  </si>
  <si>
    <t>26/28.02.2024</t>
  </si>
  <si>
    <t>9/22.12.2023</t>
  </si>
  <si>
    <t>30/28.02.2024</t>
  </si>
  <si>
    <t>8/22.12.2023</t>
  </si>
  <si>
    <t>29/28.02.2024</t>
  </si>
  <si>
    <t>10/22.12.2023</t>
  </si>
  <si>
    <t>31/28.02.2024</t>
  </si>
  <si>
    <t>15/31.01.2024</t>
  </si>
  <si>
    <t>36/28.02.2024</t>
  </si>
  <si>
    <t>14/31.01.2024</t>
  </si>
  <si>
    <t>35/28.02.2024</t>
  </si>
  <si>
    <t>19/31.01.2024</t>
  </si>
  <si>
    <t>40/28.02.2024</t>
  </si>
  <si>
    <t>17/31.01.2024</t>
  </si>
  <si>
    <t>38/28.02.2024</t>
  </si>
  <si>
    <t>16/31.01.2024</t>
  </si>
  <si>
    <t>37/28.02.2024</t>
  </si>
  <si>
    <t>12/31.01.2024</t>
  </si>
  <si>
    <t>33/28.02.2024</t>
  </si>
  <si>
    <t>18/31.01.2024</t>
  </si>
  <si>
    <t>39/28.02.2024</t>
  </si>
  <si>
    <t>13/31.01.2024</t>
  </si>
  <si>
    <t>34/28.02.2024</t>
  </si>
  <si>
    <t>20/28.02.2024</t>
  </si>
  <si>
    <t>41/28.02.2024</t>
  </si>
  <si>
    <t>21/28.02.2024</t>
  </si>
  <si>
    <t>42/28.02.2024</t>
  </si>
  <si>
    <t>NB3</t>
  </si>
  <si>
    <t>43/28.02.2024</t>
  </si>
  <si>
    <t>Contract distributie</t>
  </si>
  <si>
    <t>Contract furnizare</t>
  </si>
  <si>
    <t>594030100003367652/4</t>
  </si>
  <si>
    <t>RPSC_2</t>
  </si>
  <si>
    <t>Ploiesti Shopping City SRL 3</t>
  </si>
  <si>
    <t>Ploiesti Shopping City SRL 4</t>
  </si>
  <si>
    <t>594030100003367652/5</t>
  </si>
  <si>
    <t>594030100003367652/6</t>
  </si>
  <si>
    <t>RGSC_2</t>
  </si>
  <si>
    <t>RAMB_2</t>
  </si>
  <si>
    <t>SPV JT ID</t>
  </si>
  <si>
    <t>SPV PV ID</t>
  </si>
  <si>
    <t>ECPT</t>
  </si>
  <si>
    <t>EA1</t>
  </si>
  <si>
    <t>EA2</t>
  </si>
  <si>
    <t>EA3</t>
  </si>
  <si>
    <t>Contur intern</t>
  </si>
  <si>
    <t>Contur extern</t>
  </si>
  <si>
    <t>JT_SDI</t>
  </si>
  <si>
    <t>MT_SDI</t>
  </si>
  <si>
    <t>JT_OD</t>
  </si>
  <si>
    <t>MT_OD</t>
  </si>
  <si>
    <t>Tarif distributie</t>
  </si>
  <si>
    <t>UM</t>
  </si>
  <si>
    <t>POD</t>
  </si>
  <si>
    <t>RRVS_1</t>
  </si>
  <si>
    <t>RBPM_1</t>
  </si>
  <si>
    <t>RBPM_2</t>
  </si>
  <si>
    <t>RBPM_3</t>
  </si>
  <si>
    <t>RBPM_4</t>
  </si>
  <si>
    <t>RPSC_1</t>
  </si>
  <si>
    <t>RSCP_1</t>
  </si>
  <si>
    <t>RSMS_1</t>
  </si>
  <si>
    <t>RDSC_1</t>
  </si>
  <si>
    <t>RDSC_2</t>
  </si>
  <si>
    <t>RDSC_3</t>
  </si>
  <si>
    <t>RGSC_1</t>
  </si>
  <si>
    <t>RTIM_1</t>
  </si>
  <si>
    <t>RTIM_2</t>
  </si>
  <si>
    <t>RTJD_1</t>
  </si>
  <si>
    <t>RTJD_2</t>
  </si>
  <si>
    <t>RVUL_1</t>
  </si>
  <si>
    <t>RFSC_1</t>
  </si>
  <si>
    <t>RPMB_1</t>
  </si>
  <si>
    <t>RPMB_2</t>
  </si>
  <si>
    <t>RPMB_3</t>
  </si>
  <si>
    <t>RPMB_4</t>
  </si>
  <si>
    <t>RTGU_1</t>
  </si>
  <si>
    <t>RCSC_1</t>
  </si>
  <si>
    <t>RCSC_2</t>
  </si>
  <si>
    <t>RAMB_1</t>
  </si>
  <si>
    <t>RGBM_1</t>
  </si>
  <si>
    <t>RGBM_2</t>
  </si>
  <si>
    <t>RMEG_1</t>
  </si>
  <si>
    <t>RMEG_2</t>
  </si>
  <si>
    <t>RMEG_3</t>
  </si>
  <si>
    <t>RSEV_1</t>
  </si>
  <si>
    <t>RSEV_2</t>
  </si>
  <si>
    <t>RSEV_3</t>
  </si>
  <si>
    <t>RITS_1</t>
  </si>
  <si>
    <t>RITS_2</t>
  </si>
  <si>
    <t>RITS_3</t>
  </si>
  <si>
    <t>RITS_4</t>
  </si>
  <si>
    <t>RNSS_1</t>
  </si>
  <si>
    <t>RNSS_2</t>
  </si>
  <si>
    <t>RNSS_3</t>
  </si>
  <si>
    <t>RNSS_4</t>
  </si>
  <si>
    <t>RSSC_1</t>
  </si>
  <si>
    <t>RSSC_2</t>
  </si>
  <si>
    <t>RSSC_3</t>
  </si>
  <si>
    <t>RRPP_1</t>
  </si>
  <si>
    <t>RRPP_2</t>
  </si>
  <si>
    <t>RRVS_1.1</t>
  </si>
  <si>
    <t>RRVS_1.2</t>
  </si>
  <si>
    <t>RRVS_1.3</t>
  </si>
  <si>
    <t>RRVS_1.4</t>
  </si>
  <si>
    <t>RBPM_1.1</t>
  </si>
  <si>
    <t>RBPM_2.1</t>
  </si>
  <si>
    <t>RBPM_2.2</t>
  </si>
  <si>
    <t>RBPM_3.1</t>
  </si>
  <si>
    <t>RPSC_1.1</t>
  </si>
  <si>
    <t>RPSC_1.2</t>
  </si>
  <si>
    <t>RPSC_2.1</t>
  </si>
  <si>
    <t>RPSC_2.2</t>
  </si>
  <si>
    <t>RSCP_1.1</t>
  </si>
  <si>
    <t>RSCP_1.2</t>
  </si>
  <si>
    <t>RSMS_1.1</t>
  </si>
  <si>
    <t>RSMS_1.2</t>
  </si>
  <si>
    <t>RDSC_1.1</t>
  </si>
  <si>
    <t>RDSC_1.2</t>
  </si>
  <si>
    <t>RDSC_2.1</t>
  </si>
  <si>
    <t>RDSC_2.2</t>
  </si>
  <si>
    <t>RDSC_3.1</t>
  </si>
  <si>
    <t>RDSC_3.2</t>
  </si>
  <si>
    <t>RGSC_1.1</t>
  </si>
  <si>
    <t>RGSC_1.2</t>
  </si>
  <si>
    <t>RGSC_2.1</t>
  </si>
  <si>
    <t>RGSC_2.2</t>
  </si>
  <si>
    <t>RTIM_1.1</t>
  </si>
  <si>
    <t>RTIM_1.2</t>
  </si>
  <si>
    <t>RTIM_1.3</t>
  </si>
  <si>
    <t>RTIM_1.4</t>
  </si>
  <si>
    <t>RTIM_1.5</t>
  </si>
  <si>
    <t>RTIM_2.1</t>
  </si>
  <si>
    <t>RTIM_2.2</t>
  </si>
  <si>
    <t>RTIM_2.3</t>
  </si>
  <si>
    <t>RTIM_2.4</t>
  </si>
  <si>
    <t>RTIM_2.5</t>
  </si>
  <si>
    <t>RTJD_1.1</t>
  </si>
  <si>
    <t>RTJD_1.2</t>
  </si>
  <si>
    <t>RVUL_1.1</t>
  </si>
  <si>
    <t>RVUL_1.3</t>
  </si>
  <si>
    <t>RFSC_1.1</t>
  </si>
  <si>
    <t>RFSC_1.2</t>
  </si>
  <si>
    <t>RFSC_1.3</t>
  </si>
  <si>
    <t>RFSC_1.4</t>
  </si>
  <si>
    <t>RFSC_1.5</t>
  </si>
  <si>
    <t>RPMB_1.1</t>
  </si>
  <si>
    <t>RPMB_1.2</t>
  </si>
  <si>
    <t>RPMB_1.3</t>
  </si>
  <si>
    <t>RPMB_1.4</t>
  </si>
  <si>
    <t>RTGU_1.1</t>
  </si>
  <si>
    <t>RTGU_1.2</t>
  </si>
  <si>
    <t>RTGU_1.3</t>
  </si>
  <si>
    <t>RCSC_1.1</t>
  </si>
  <si>
    <t>RCSC_1.2</t>
  </si>
  <si>
    <t>RCSC_2.1</t>
  </si>
  <si>
    <t>RCSC_2.2</t>
  </si>
  <si>
    <t>RAMB_1.1</t>
  </si>
  <si>
    <t>RAMB_1.2</t>
  </si>
  <si>
    <t>RAMB_2.1</t>
  </si>
  <si>
    <t>RAMB_2.2</t>
  </si>
  <si>
    <t>RGBM_1.1</t>
  </si>
  <si>
    <t>RGBM_1.2</t>
  </si>
  <si>
    <t>RGBM_1.3</t>
  </si>
  <si>
    <t>RGBM_2.1</t>
  </si>
  <si>
    <t>RMEG_1.1</t>
  </si>
  <si>
    <t>RMEG_1.2</t>
  </si>
  <si>
    <t>RMEG_1.3</t>
  </si>
  <si>
    <t>RMEG_1.4</t>
  </si>
  <si>
    <t>RMEG_1.5</t>
  </si>
  <si>
    <t>RMEG_2.1</t>
  </si>
  <si>
    <t>RMEG_2.2</t>
  </si>
  <si>
    <t>RMEG_2.3</t>
  </si>
  <si>
    <t>RMEG_2.4</t>
  </si>
  <si>
    <t>RMEG_3.1</t>
  </si>
  <si>
    <t>RMEG_3.2</t>
  </si>
  <si>
    <t>RMEG_3.3</t>
  </si>
  <si>
    <t>RMEG_3.4</t>
  </si>
  <si>
    <t>RSEV_1.1</t>
  </si>
  <si>
    <t>RSEV_2.1</t>
  </si>
  <si>
    <t>RITS_1.1</t>
  </si>
  <si>
    <t>RITS_2.1</t>
  </si>
  <si>
    <t>RITS_3.1</t>
  </si>
  <si>
    <t>RITS_4.1</t>
  </si>
  <si>
    <t>RITS_4.2</t>
  </si>
  <si>
    <t>RNSS_1.1</t>
  </si>
  <si>
    <t>RNSS_1.2</t>
  </si>
  <si>
    <t>RNSS_2.1</t>
  </si>
  <si>
    <t>RNSS_3.1</t>
  </si>
  <si>
    <t>RSSC_1.1</t>
  </si>
  <si>
    <t>RSSC_2.1</t>
  </si>
  <si>
    <t>RRPP_1.1</t>
  </si>
  <si>
    <t>RRPP_1.2</t>
  </si>
  <si>
    <t>RRPP_2.1</t>
  </si>
  <si>
    <t>RRPP_2.2</t>
  </si>
  <si>
    <t>RRVS_1.1/PV</t>
  </si>
  <si>
    <t>RRVS_1.3/PV</t>
  </si>
  <si>
    <t>RBPM_2.1/PV</t>
  </si>
  <si>
    <t>RBPM_2.2/PV</t>
  </si>
  <si>
    <t>RPSC_1.2/PV</t>
  </si>
  <si>
    <t>RSCP_1.2/PV</t>
  </si>
  <si>
    <t>RSMS_1.2/PV</t>
  </si>
  <si>
    <t>RDSC_1.1/PV</t>
  </si>
  <si>
    <t>RDSC_1.2/PV</t>
  </si>
  <si>
    <t>RDSC_2.1/PV</t>
  </si>
  <si>
    <t>RDSC_3.1/PV</t>
  </si>
  <si>
    <t>RGSC_1.2/PV</t>
  </si>
  <si>
    <t>RGSC_2.2/PV</t>
  </si>
  <si>
    <t>RTIM_1.3/PV</t>
  </si>
  <si>
    <t>RTIM_2.3/PV</t>
  </si>
  <si>
    <t>RTJD_1.2/PV</t>
  </si>
  <si>
    <t>RVUL_1.2/PV</t>
  </si>
  <si>
    <t>RFSC_1.2/PV</t>
  </si>
  <si>
    <t>RPMB_1.1/PV</t>
  </si>
  <si>
    <t>RTGU_1.1/PV</t>
  </si>
  <si>
    <t>RCSC_1.2/PV</t>
  </si>
  <si>
    <t>RAMB_1.2/PV</t>
  </si>
  <si>
    <t>RAMB_2.2/PV</t>
  </si>
  <si>
    <t>RGBM_1.1/PV</t>
  </si>
  <si>
    <t>RGBM_1.2/PV</t>
  </si>
  <si>
    <t>RGBM_1.3/PV</t>
  </si>
  <si>
    <t>RMEG_1.2/PV</t>
  </si>
  <si>
    <t>RSEV_1.1/PV</t>
  </si>
  <si>
    <t>RSEV_2.1/PV</t>
  </si>
  <si>
    <t>RNSS_1.1/PV</t>
  </si>
  <si>
    <t>RNSS_1.2/PV</t>
  </si>
  <si>
    <t>RSSC_1.1/PV</t>
  </si>
  <si>
    <t>RSSC_2.1/PV</t>
  </si>
  <si>
    <t>ID</t>
  </si>
  <si>
    <t>ER</t>
  </si>
  <si>
    <t>Serie contor</t>
  </si>
  <si>
    <t>EA1/POD</t>
  </si>
  <si>
    <t>EA2/POD</t>
  </si>
  <si>
    <t>EA3/POD</t>
  </si>
  <si>
    <t>Verifica</t>
  </si>
  <si>
    <t>TOTAL</t>
  </si>
  <si>
    <t>Diferenta</t>
  </si>
  <si>
    <t>Verificare</t>
  </si>
  <si>
    <t>CPT NEM</t>
  </si>
  <si>
    <t>Tel:</t>
  </si>
  <si>
    <t>E-mail:</t>
  </si>
  <si>
    <t xml:space="preserve">nem.distributie@nepirockcastle.com </t>
  </si>
  <si>
    <t>Perioada de facturare</t>
  </si>
  <si>
    <t>Produse</t>
  </si>
  <si>
    <t>lei</t>
  </si>
  <si>
    <t>lei/kWh</t>
  </si>
  <si>
    <t>Tip Energie</t>
  </si>
  <si>
    <t>Perioada facturata</t>
  </si>
  <si>
    <t>Const.</t>
  </si>
  <si>
    <t>Corectii</t>
  </si>
  <si>
    <t>Factor de putere</t>
  </si>
  <si>
    <t>Cantitate de facturat</t>
  </si>
  <si>
    <t>Nr. zile</t>
  </si>
  <si>
    <t>kVAr</t>
  </si>
  <si>
    <t>Nr crt</t>
  </si>
  <si>
    <t>Cantitate facturata</t>
  </si>
  <si>
    <t>Pret unitar fara TVA</t>
  </si>
  <si>
    <t>Valoare fara TVA</t>
  </si>
  <si>
    <t>Valoare TVA</t>
  </si>
  <si>
    <t>Valoare cu TVA</t>
  </si>
  <si>
    <t>kVARh</t>
  </si>
  <si>
    <t>Dobanzi penalizatoare</t>
  </si>
  <si>
    <t>Total de plata factura curenta</t>
  </si>
  <si>
    <t>EA</t>
  </si>
  <si>
    <t>ERC</t>
  </si>
  <si>
    <t>Index vechi/ mod stabilire</t>
  </si>
  <si>
    <t>Consum mediu</t>
  </si>
  <si>
    <t>Index nou/ mod stabilire</t>
  </si>
  <si>
    <t>Adresa:</t>
  </si>
  <si>
    <t>CIF:</t>
  </si>
  <si>
    <t>Nr RECOM (J):</t>
  </si>
  <si>
    <t>Cont bancar:</t>
  </si>
  <si>
    <t>Date contact:</t>
  </si>
  <si>
    <t>TVA:</t>
  </si>
  <si>
    <t>Total de plata factura curenta:</t>
  </si>
  <si>
    <t>Sold cont contract la data emiterii facturii ( facturi restante sau creditate):</t>
  </si>
  <si>
    <t>Total de plata cont contract:</t>
  </si>
  <si>
    <t>Consum de energie activa in perioada de facturare:</t>
  </si>
  <si>
    <t>Pret final facturat energie activa:</t>
  </si>
  <si>
    <t>Nivel de tensiune punct de masura:</t>
  </si>
  <si>
    <t>Nivel tensiune punct de delimitare:</t>
  </si>
  <si>
    <t>POD:</t>
  </si>
  <si>
    <t>Perioada de facturare:</t>
  </si>
  <si>
    <t>Cod autocitire (ID):</t>
  </si>
  <si>
    <t>Furizor:</t>
  </si>
  <si>
    <t>Client:</t>
  </si>
  <si>
    <t>Scadenta:</t>
  </si>
  <si>
    <t>30 zile</t>
  </si>
  <si>
    <t>intre 24-29 ale lunii</t>
  </si>
  <si>
    <t>Cantitate</t>
  </si>
  <si>
    <t>Tarife distributie en. El JT</t>
  </si>
  <si>
    <t>Regularizare Tarife distributie en. El JT</t>
  </si>
  <si>
    <t>Data activare contract distributie</t>
  </si>
  <si>
    <t>Data incetare  contract distributie</t>
  </si>
  <si>
    <t>Data activare contract furnizare</t>
  </si>
  <si>
    <t>Data incetare contract furnizare</t>
  </si>
  <si>
    <t>CIF</t>
  </si>
  <si>
    <t>Nr RECOM (J)</t>
  </si>
  <si>
    <t>Cont bancar</t>
  </si>
  <si>
    <t>Adresa sediu social</t>
  </si>
  <si>
    <t>RO17784816</t>
  </si>
  <si>
    <t>J40/14123/2013</t>
  </si>
  <si>
    <t>RO06 UGBI 0000 6520 0247 5RON</t>
  </si>
  <si>
    <t>Calea Floreasca nr. 169A, Cladirea A, etajul 5, sectiunea A5.1, biroul nr.13, Sector 1, Bucuresti</t>
  </si>
  <si>
    <t>RO18762336</t>
  </si>
  <si>
    <t>J40/9154/2008</t>
  </si>
  <si>
    <t>RO35 RZBR 0000 0600 1717 1964</t>
  </si>
  <si>
    <t>Calea Floreasca, nr.169A, Cladirea A, Etaj 5, Sectiunea A5.1, Biroul Nr. 43, Sector 1, Bucuresti</t>
  </si>
  <si>
    <t>RO20986980</t>
  </si>
  <si>
    <t>J40/2353/2007</t>
  </si>
  <si>
    <t>RO16 RZBR 0000 0600 1024 4372</t>
  </si>
  <si>
    <t>Calea Floreasca nr. 169A, Cladirea A, etajul 5, sectiunea A5.1, biroul nr.07, Sector 1, Bucuresti</t>
  </si>
  <si>
    <t>RO18020418</t>
  </si>
  <si>
    <t>J40/16882/2005</t>
  </si>
  <si>
    <t>RO22 RZBR 0000 0600 1530 3493</t>
  </si>
  <si>
    <t>Calea Floreasca nr. 169A, Cladirea A, etajul 5, sectiunea A5.1, biroul nr. 43, Sector 1, Bucuresti</t>
  </si>
  <si>
    <t>RO30356000</t>
  </si>
  <si>
    <t>J40/7279/2012</t>
  </si>
  <si>
    <t>RO66 UGBI 0000 6520 01756RON</t>
  </si>
  <si>
    <t>Calea Floreasca nr. 169A, Cladirea A, etajul 5, sectiunea A5.1, biroul nr.23, Sector 1,  Bucuresti</t>
  </si>
  <si>
    <t>RO30831176</t>
  </si>
  <si>
    <t xml:space="preserve">J40/12424/2012, </t>
  </si>
  <si>
    <t>RO83 RZBR 0000 0600 1748 7320</t>
  </si>
  <si>
    <t>Calea Floreasca, nr.169A, Cladirea A, Etaj 5, Sectiunea A5.1, Biroul Nr. 25, Sector 1, Bucuresti</t>
  </si>
  <si>
    <t>RO32709931</t>
  </si>
  <si>
    <t>J40/894/2014</t>
  </si>
  <si>
    <t>RO05 RZBR 0000 0600 1747 2622</t>
  </si>
  <si>
    <t>Calea Floreasca, nr.169A, Cladirea A, Etaj 5, Sectiunea A 5.1, Biroul Nr. 35, Sector 1, Bucuresti</t>
  </si>
  <si>
    <t>RO30356345</t>
  </si>
  <si>
    <t>J/40/7313/2012</t>
  </si>
  <si>
    <t>RO21 RZBR 0000 0600 1748 7175</t>
  </si>
  <si>
    <t>Calea Floreasca nr. 169A, Cladirea A, etajul 5, sectiunea A5.1, biroul nr. 21, Sector 1, Bucuresti</t>
  </si>
  <si>
    <t>RO24725278</t>
  </si>
  <si>
    <t>J40/19095/2008</t>
  </si>
  <si>
    <t>RO89 BRDE 450S V790 0575 4500</t>
  </si>
  <si>
    <t>Calea Floreasca nr. 169A, Cladirea A, etajul 5, sectiunea A5.1, biroul nr.28, Sector 1, Bucuresti</t>
  </si>
  <si>
    <t>RO18572838</t>
  </si>
  <si>
    <t>J40/6041/2006</t>
  </si>
  <si>
    <t>RO17 BRDE 450S V058 1875 4500</t>
  </si>
  <si>
    <t>Calea Floreasca nr. 169A, Cladirea A, etajul 5, sectiunea A5.1, biroul nr.05, Sector 1, Bucuresti</t>
  </si>
  <si>
    <t>RO33499200</t>
  </si>
  <si>
    <t>J40/9748/2014</t>
  </si>
  <si>
    <t xml:space="preserve">RO80 RZBR 0000 0600 1826 4053 </t>
  </si>
  <si>
    <t>Calea Floreasca nr. 169A, Cladirea A, etajul 5, sectiunea A5.1, biroul nr. 42, Sector 1, Bucuresti</t>
  </si>
  <si>
    <t>RO30831966</t>
  </si>
  <si>
    <t>J40/12452/2012</t>
  </si>
  <si>
    <t>RO25 RZBR 0000 0600 1747 6142</t>
  </si>
  <si>
    <t>Calea Floreasca nr. 169A, Cladirea A, etajul 5, sectiunea A5.1, biroul nr.26, Sector 1, Bucuresti</t>
  </si>
  <si>
    <t>RO30832015</t>
  </si>
  <si>
    <t>J40/12446/2012</t>
  </si>
  <si>
    <t>RO46 RZBR 0000 0600 1747 2660</t>
  </si>
  <si>
    <t>Calea Floreasca nr. 169A, Cladirea A, etajul 5, sectiunea A5.1, biroul nr.29, Sector 1, Bucuresti</t>
  </si>
  <si>
    <t>RO29563533</t>
  </si>
  <si>
    <t>J40/496/2012</t>
  </si>
  <si>
    <t>RO33 RZBR 0000 0600 1747 6192</t>
  </si>
  <si>
    <t>Calea Floreasca nr. 169A, Cladirea A, etajul 5, sectiunea A5.1, biroul nr.33, Sector 1, Bucuresti</t>
  </si>
  <si>
    <t>RO32704667</t>
  </si>
  <si>
    <t>J40/795/2014</t>
  </si>
  <si>
    <t>RO20 RZBR 0000 0600 1748 7193</t>
  </si>
  <si>
    <t>Calea Floreasca nr. 169A, Cladirea A, etajul 5, sectiunea A5.1, biroul nr.34, Sector 1, Bucuresti</t>
  </si>
  <si>
    <t>J40/8102/2005</t>
  </si>
  <si>
    <t>Calea Floreasca nr. 169A, Cladirea A, etajul 5, sectiunea A5.1, biroul nr.45, Sector 1, Bucuresti</t>
  </si>
  <si>
    <t>RO18129009</t>
  </si>
  <si>
    <t>J40/8220/2008</t>
  </si>
  <si>
    <t>RO32704683</t>
  </si>
  <si>
    <t>J/40/1471/2007</t>
  </si>
  <si>
    <t>Calea Floreasca nr. 169A, Cladirea A, etajul 5, sectiunea A5.1, biroul nr. 36, Sector 1, Bucuresti</t>
  </si>
  <si>
    <t>Nr. Contract distributie</t>
  </si>
  <si>
    <t>Nr. Contract furnizare:</t>
  </si>
  <si>
    <t>Data contract furnizare:</t>
  </si>
  <si>
    <t>Data incetare furnizare:</t>
  </si>
  <si>
    <t>RO64 RZBR 0000 0600 1873 4597</t>
  </si>
  <si>
    <t>Calea Floreasca nr. 169A, Cladirea A, etajul 5, sectiunea A5.1, biroul nr.51, Sector 1, Bucuresti</t>
  </si>
  <si>
    <t>RO20795661</t>
  </si>
  <si>
    <t>J40/1471/2007</t>
  </si>
  <si>
    <t>RO89 RZBR 0000 0600 1873 4632</t>
  </si>
  <si>
    <t>Calea Floreasca nr. 169A, Cladirea A, etajul 5, sectiunea A5.1, biroul nr.50, Sector 1, Bucuresti</t>
  </si>
  <si>
    <t>RO24031527</t>
  </si>
  <si>
    <t>J40/11313/2018</t>
  </si>
  <si>
    <t>RO22 RZBR 0000 0600 1051 7610</t>
  </si>
  <si>
    <t>Calea Floreasca nr. 169A, Cladirea A, etajul 5, sectiunea A5.1, biroul nr.04, Sector 1, Bucuresti</t>
  </si>
  <si>
    <t>RO35713546</t>
  </si>
  <si>
    <t>J40/2784/2016</t>
  </si>
  <si>
    <t xml:space="preserve">RO96 RZBR 0000 0600 1847 3091, </t>
  </si>
  <si>
    <t>Calea Floreasca nr. 169A, Cladirea A, etajul 5, sectiunea A5.1, biroul nr.48, Sector 1, Bucuresti</t>
  </si>
  <si>
    <t>RO16702575</t>
  </si>
  <si>
    <t>J40/13612/2004</t>
  </si>
  <si>
    <t>RO20 RZBR 0000 06000612 0054</t>
  </si>
  <si>
    <t>Calea Floreasca nr. 169A, Cladirea A, etajul 5, sectiunea A5.1, biroul nr.11, Sector 1, Bucuresti</t>
  </si>
  <si>
    <t>RO48 RZBR 0000 0600 1826 4047</t>
  </si>
  <si>
    <t>Per. comunicare index:</t>
  </si>
  <si>
    <t>Adresa loc de consum:</t>
  </si>
  <si>
    <t>Cod loc consum:</t>
  </si>
  <si>
    <t>ID:</t>
  </si>
  <si>
    <t>RVUL_1.2</t>
  </si>
  <si>
    <r>
      <t>Valoare facturata fara TVA conform "</t>
    </r>
    <r>
      <rPr>
        <b/>
        <sz val="10"/>
        <rFont val="Arial"/>
        <family val="2"/>
      </rPr>
      <t>Detalii factura</t>
    </r>
    <r>
      <rPr>
        <b/>
        <sz val="10"/>
        <color theme="1"/>
        <rFont val="Arial"/>
        <family val="2"/>
      </rPr>
      <t>":</t>
    </r>
  </si>
  <si>
    <t>RVUL_1.1/PV2</t>
  </si>
  <si>
    <t>RVUL_1.1/PV1</t>
  </si>
  <si>
    <t>FURNIZARE</t>
  </si>
  <si>
    <t>DISTRIBUTIE</t>
  </si>
  <si>
    <t>VERIFICARE</t>
  </si>
  <si>
    <t>Tarife distributie en. El IT+MT</t>
  </si>
  <si>
    <t>Regularizare Tarife distributie en. El IT+MT</t>
  </si>
  <si>
    <t>Company Id</t>
  </si>
  <si>
    <t>Contract id</t>
  </si>
  <si>
    <t>No used</t>
  </si>
  <si>
    <t>Property  id</t>
  </si>
  <si>
    <t>Floor</t>
  </si>
  <si>
    <t>Unit id</t>
  </si>
  <si>
    <t>Description</t>
  </si>
  <si>
    <t>From date</t>
  </si>
  <si>
    <t>To date</t>
  </si>
  <si>
    <t>Quantity</t>
  </si>
  <si>
    <t>Rate</t>
  </si>
  <si>
    <t>Billing frequency</t>
  </si>
  <si>
    <t>Billing type</t>
  </si>
  <si>
    <t>Item sales tax group</t>
  </si>
  <si>
    <t>Terms of payment</t>
  </si>
  <si>
    <t>Invoicing company</t>
  </si>
  <si>
    <t>Status</t>
  </si>
  <si>
    <t>Lease source</t>
  </si>
  <si>
    <t>Price frequency</t>
  </si>
  <si>
    <t>Reason description</t>
  </si>
  <si>
    <t>Sales tax group</t>
  </si>
  <si>
    <t>Currency</t>
  </si>
  <si>
    <t>Price unit</t>
  </si>
  <si>
    <t>Item Id</t>
  </si>
  <si>
    <t>RNEW</t>
  </si>
  <si>
    <t>INV + 30</t>
  </si>
  <si>
    <t>Active</t>
  </si>
  <si>
    <t>RON</t>
  </si>
  <si>
    <t>OMV PETROM SA</t>
  </si>
  <si>
    <t>Energie calculata - punct de delimitare MT / punct de masura JT</t>
  </si>
  <si>
    <t>C002365</t>
  </si>
  <si>
    <t>PROCES VERBAL</t>
  </si>
  <si>
    <t>Cod masura:</t>
  </si>
  <si>
    <t>ARTICOLE DE FACTURAT</t>
  </si>
  <si>
    <t>Total valoare de facturat</t>
  </si>
  <si>
    <t>CONSUM ENERGIE ELECTRICA - PT4 AUCHAN PITESTI</t>
  </si>
  <si>
    <t>Energie electrica activa masurata</t>
  </si>
  <si>
    <t>Energie electrica activa calculata</t>
  </si>
  <si>
    <t>Total Energie electrica activa</t>
  </si>
  <si>
    <t>Facturat EA</t>
  </si>
  <si>
    <t>EA masurat</t>
  </si>
  <si>
    <t>ER masurat</t>
  </si>
  <si>
    <t>ERC masurat</t>
  </si>
  <si>
    <t>Facturat ERx1</t>
  </si>
  <si>
    <t>Facturat ERx3</t>
  </si>
  <si>
    <t>Facturat ERCx1</t>
  </si>
  <si>
    <t>Facturat ERCx3</t>
  </si>
  <si>
    <t>citit</t>
  </si>
  <si>
    <t>Interval anterior regularizare</t>
  </si>
  <si>
    <t>FF Hidro</t>
  </si>
  <si>
    <t>Interval anterior facturare estimat</t>
  </si>
  <si>
    <t>calculat</t>
  </si>
  <si>
    <t>V.18101774357/1</t>
  </si>
  <si>
    <t>V.18101774330/1</t>
  </si>
  <si>
    <t>V.20301781009/4</t>
  </si>
  <si>
    <t>V.20301781009/5</t>
  </si>
  <si>
    <t>02680111</t>
  </si>
  <si>
    <t>V.15G90220110064591/1</t>
  </si>
  <si>
    <t>V.15G90220110064591/2</t>
  </si>
  <si>
    <t>V.15G90220110064591/3</t>
  </si>
  <si>
    <t>V.15G90220110064591/4</t>
  </si>
  <si>
    <t>V.15G90220110064591/5</t>
  </si>
  <si>
    <t>V.2758754/4</t>
  </si>
  <si>
    <t>V.2758754/5</t>
  </si>
  <si>
    <t>V.2886824/2</t>
  </si>
  <si>
    <t>V.2886824/3</t>
  </si>
  <si>
    <t>V.16G90220110070042/1</t>
  </si>
  <si>
    <t>V.16G90220110070042/2</t>
  </si>
  <si>
    <t>V.21G90290210104560/3</t>
  </si>
  <si>
    <t>V.21G90290210104560/4</t>
  </si>
  <si>
    <t>V.21G90290210104560/5</t>
  </si>
  <si>
    <t>V.22G90290210104573/1</t>
  </si>
  <si>
    <t>V.22G90290210104573/2</t>
  </si>
  <si>
    <t>V.22G90290210104573/3</t>
  </si>
  <si>
    <t>V.22G90290210104573/4</t>
  </si>
  <si>
    <t>V.21G90290210104559/1</t>
  </si>
  <si>
    <t>V.21G90290210104559/2</t>
  </si>
  <si>
    <t>V.21G90290210104559/3</t>
  </si>
  <si>
    <t>V.21G90290210104559/4</t>
  </si>
  <si>
    <t>V.20G90290210095138/1</t>
  </si>
  <si>
    <t>V.20G90290210100725/1</t>
  </si>
  <si>
    <t>V.20G90290210100775/1</t>
  </si>
  <si>
    <t>V.20G90290210100775/2</t>
  </si>
  <si>
    <t>V.2691276/1</t>
  </si>
  <si>
    <t>V.2705169/1</t>
  </si>
  <si>
    <t>RRVS_1.N</t>
  </si>
  <si>
    <t>RBPM_1.N</t>
  </si>
  <si>
    <t>RBPM_2.N</t>
  </si>
  <si>
    <t>RBPM_3.N</t>
  </si>
  <si>
    <t>RPSC_1.N</t>
  </si>
  <si>
    <t>RPSC_2.N</t>
  </si>
  <si>
    <t>RSCP_1.N</t>
  </si>
  <si>
    <t>RSMS_1.N</t>
  </si>
  <si>
    <t>RDSC_1.N</t>
  </si>
  <si>
    <t>RDSC_2.N</t>
  </si>
  <si>
    <t>RDSC_3.N</t>
  </si>
  <si>
    <t>RGSC_1.N</t>
  </si>
  <si>
    <t>RGSC_2.N</t>
  </si>
  <si>
    <t>RTIM_1.N</t>
  </si>
  <si>
    <t>RTIM_2.N</t>
  </si>
  <si>
    <t>RTJD_1.N</t>
  </si>
  <si>
    <t>RVUL_1.N</t>
  </si>
  <si>
    <t>RFSC_1.N</t>
  </si>
  <si>
    <t>RPMB_1.N</t>
  </si>
  <si>
    <t>RTGU_1.N</t>
  </si>
  <si>
    <t>RCSC_1.N</t>
  </si>
  <si>
    <t>RCSC_2.N</t>
  </si>
  <si>
    <t>RAMB_1.N</t>
  </si>
  <si>
    <t>RAMB_2.N</t>
  </si>
  <si>
    <t>RGBM_1.N</t>
  </si>
  <si>
    <t>RGBM_2.N</t>
  </si>
  <si>
    <t>RMEG_1.N</t>
  </si>
  <si>
    <t>RMEG_2.N</t>
  </si>
  <si>
    <t>RMEG_3.N</t>
  </si>
  <si>
    <t>RSEV_1.N</t>
  </si>
  <si>
    <t>RSEV_2.N</t>
  </si>
  <si>
    <t>RITS_1.N</t>
  </si>
  <si>
    <t>RITS_2.N</t>
  </si>
  <si>
    <t>RITS_3.N</t>
  </si>
  <si>
    <t>RITS_4.N</t>
  </si>
  <si>
    <t>RNSS_1.N</t>
  </si>
  <si>
    <t>RNSS_2.N</t>
  </si>
  <si>
    <t>RNSS_3.N</t>
  </si>
  <si>
    <t>RSSC_1.N</t>
  </si>
  <si>
    <t>RSSC_2.N</t>
  </si>
  <si>
    <t>RRPP_1.N</t>
  </si>
  <si>
    <t>RRPP_2.N</t>
  </si>
  <si>
    <t>RFSC_2</t>
  </si>
  <si>
    <t>RFSC_2.1</t>
  </si>
  <si>
    <t>RFSC_2.2</t>
  </si>
  <si>
    <t>RFSC_2.3</t>
  </si>
  <si>
    <t>RFSC_2.4</t>
  </si>
  <si>
    <t>RFSC_2.5</t>
  </si>
  <si>
    <t>RFSC_2.N</t>
  </si>
  <si>
    <t>RFSC_2.2/PV</t>
  </si>
  <si>
    <t>594020200002317122/7</t>
  </si>
  <si>
    <t>594020200002317122/8</t>
  </si>
  <si>
    <t>594020200002317122/9</t>
  </si>
  <si>
    <t>594020200002317122/10</t>
  </si>
  <si>
    <t>594020200002317122/11</t>
  </si>
  <si>
    <t>594020200002317122/12</t>
  </si>
  <si>
    <t>Festival Shopping Center SRL 6</t>
  </si>
  <si>
    <t>Festival Shopping Center SRL 7</t>
  </si>
  <si>
    <t>Festival Shopping Center SRL 8</t>
  </si>
  <si>
    <t>Festival Shopping Center SRL 9</t>
  </si>
  <si>
    <t>Festival Shopping Center SRL 10</t>
  </si>
  <si>
    <t>RFSC_2.1/PV</t>
  </si>
  <si>
    <t>V.2826354/5</t>
  </si>
  <si>
    <t>V.2826354/4</t>
  </si>
  <si>
    <t>estimat</t>
  </si>
  <si>
    <t>Metoda</t>
  </si>
  <si>
    <t>Regularizare</t>
  </si>
  <si>
    <t>ER-</t>
  </si>
  <si>
    <t>EA OD</t>
  </si>
  <si>
    <t>EA SDI</t>
  </si>
  <si>
    <t>ERx1 OD</t>
  </si>
  <si>
    <t>ERx1 SDI</t>
  </si>
  <si>
    <t>ERx3 OD</t>
  </si>
  <si>
    <t>ERx3 SDI</t>
  </si>
  <si>
    <t>ERCx1 OD</t>
  </si>
  <si>
    <t>ERCx1 SDI</t>
  </si>
  <si>
    <t>ERCx3 OD</t>
  </si>
  <si>
    <t>ERCx3 SDI</t>
  </si>
  <si>
    <t xml:space="preserve"> ERx1</t>
  </si>
  <si>
    <t xml:space="preserve"> ERx3</t>
  </si>
  <si>
    <t xml:space="preserve"> ERCx1</t>
  </si>
  <si>
    <t xml:space="preserve"> ERCx3</t>
  </si>
  <si>
    <t xml:space="preserve"> ERx1/POD</t>
  </si>
  <si>
    <t xml:space="preserve"> ERx3/POD</t>
  </si>
  <si>
    <t xml:space="preserve"> ERCx1/POD</t>
  </si>
  <si>
    <t xml:space="preserve"> ERCx3/POD</t>
  </si>
  <si>
    <t>EA1/ID</t>
  </si>
  <si>
    <t>EA2/ID</t>
  </si>
  <si>
    <t>EA3/ID</t>
  </si>
  <si>
    <t xml:space="preserve"> ERx1/ID</t>
  </si>
  <si>
    <t xml:space="preserve"> ERx3/ID</t>
  </si>
  <si>
    <t xml:space="preserve"> ERCx1/ID</t>
  </si>
  <si>
    <t xml:space="preserve"> ERCx3/ID</t>
  </si>
  <si>
    <t>59401070000220953171619201/1.PV</t>
  </si>
  <si>
    <t>59401070000220953171619201/3.PV</t>
  </si>
  <si>
    <t>594030200001494937/1.PV</t>
  </si>
  <si>
    <t>594030200001494937/2.PV</t>
  </si>
  <si>
    <t>594030100003367652/2.PV</t>
  </si>
  <si>
    <t>EMO3621722/2.PV</t>
  </si>
  <si>
    <t>594040400001839968/2.PV</t>
  </si>
  <si>
    <t>RO005E532240390/1.PV</t>
  </si>
  <si>
    <t>RO005E532240390/2.PV</t>
  </si>
  <si>
    <t>RO005E532371182/1.PV</t>
  </si>
  <si>
    <t>RO005E532220590/1.PV</t>
  </si>
  <si>
    <t>594030500002463001/3.PV</t>
  </si>
  <si>
    <t>594030500002463001/4.PV</t>
  </si>
  <si>
    <t>RO005E513396506/3.PV</t>
  </si>
  <si>
    <t>RO005E513431450/3.PV</t>
  </si>
  <si>
    <t>59401030000224144171589916/2.PV</t>
  </si>
  <si>
    <t>RO001E110054223/1.PV1</t>
  </si>
  <si>
    <t>RO001E110054223/1.PV2</t>
  </si>
  <si>
    <t>RO001E110054223/2.PV</t>
  </si>
  <si>
    <t>594020200002317122/2.PV</t>
  </si>
  <si>
    <t>594020200002317122/7.PV</t>
  </si>
  <si>
    <t>RO001E110523303/1.PV</t>
  </si>
  <si>
    <t>594020300002742631/1.PV</t>
  </si>
  <si>
    <t>RO002E212833624/2.PV</t>
  </si>
  <si>
    <t>594030300002113780/3.PV</t>
  </si>
  <si>
    <t>594030300002113780/4.PV</t>
  </si>
  <si>
    <t>59401010000363258971716818/1.PV</t>
  </si>
  <si>
    <t>59401010000363258971716818/2.PV</t>
  </si>
  <si>
    <t>59401010000363258971716818/3.PV</t>
  </si>
  <si>
    <t>RO001E110047438/2.PV</t>
  </si>
  <si>
    <t>59401040000145272271526125/1.PV</t>
  </si>
  <si>
    <t>59401040000153661371602579/1.PV</t>
  </si>
  <si>
    <t>594020200001925328/1.PV</t>
  </si>
  <si>
    <t>594020200001925328/2.PV</t>
  </si>
  <si>
    <t>594020200001926325/1.PV</t>
  </si>
  <si>
    <t>594020200001926332/1.PV</t>
  </si>
  <si>
    <t>RSEV_3C</t>
  </si>
  <si>
    <t>Cantitate/ mod stabilire</t>
  </si>
  <si>
    <t>Corectii / Regularizari</t>
  </si>
  <si>
    <t>0.4kV</t>
  </si>
  <si>
    <t>EA- (produs)</t>
  </si>
  <si>
    <t>0 (citit)</t>
  </si>
  <si>
    <t>Seria CM</t>
  </si>
  <si>
    <t>Energie</t>
  </si>
  <si>
    <t>Valori initiale:</t>
  </si>
  <si>
    <t>Valori finale:</t>
  </si>
  <si>
    <t>Diferenta:</t>
  </si>
  <si>
    <t/>
  </si>
  <si>
    <t>V.2758754/4.2</t>
  </si>
  <si>
    <t>V.2758754/5.2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</si>
  <si>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</si>
  <si>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</si>
  <si>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</si>
  <si>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</si>
  <si>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</si>
  <si>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</si>
  <si>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</si>
  <si>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</si>
  <si>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</si>
  <si>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</si>
  <si>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</si>
  <si>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</si>
  <si>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</si>
  <si>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</si>
  <si>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</si>
  <si>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</si>
  <si>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</si>
  <si>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</si>
  <si>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</si>
  <si>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</si>
  <si>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</si>
  <si>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</si>
  <si>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</si>
  <si>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</si>
  <si>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</si>
  <si>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</si>
  <si>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T30</t>
  </si>
  <si>
    <t>T31</t>
  </si>
  <si>
    <t>T32</t>
  </si>
  <si>
    <t>T33</t>
  </si>
  <si>
    <t>T34</t>
  </si>
  <si>
    <t>Tarif distributie SDI MT_</t>
  </si>
  <si>
    <t>Tarif distributie SDI JT_</t>
  </si>
  <si>
    <t>citire</t>
  </si>
  <si>
    <t>RRPP_1.1/PV</t>
  </si>
  <si>
    <t>59401020000375096971689655/1.PV</t>
  </si>
  <si>
    <t>Company</t>
  </si>
  <si>
    <t>no</t>
  </si>
  <si>
    <t>Cantiate OD-CPT</t>
  </si>
  <si>
    <t>Cantitate produsa</t>
  </si>
  <si>
    <t>Cantitate facturata din productie</t>
  </si>
  <si>
    <t>Cantitate PV</t>
  </si>
  <si>
    <t>Diferenta fata de facturat</t>
  </si>
  <si>
    <t>cantitate OD</t>
  </si>
  <si>
    <t>CPT</t>
  </si>
  <si>
    <t>cantitate facturata</t>
  </si>
  <si>
    <t>NEPI Ten Development Solutions SRL</t>
  </si>
  <si>
    <t>NEPI Bucharest One SRL</t>
  </si>
  <si>
    <t>EMO3446385</t>
  </si>
  <si>
    <t>Nr Crt</t>
  </si>
  <si>
    <t>Valoare accrual tarif distrbutie  item: 392077 (statutar: 6051 .074</t>
  </si>
  <si>
    <t>Tarif energie electrica pt accrual energie (hidro) ) (item: 392075) (statutar: 6051 .072)</t>
  </si>
  <si>
    <t>Tarif energie electrica pt accrual energie (PV panels)  item: 392079 (statutar: 6051 .076)</t>
  </si>
  <si>
    <t>nr</t>
  </si>
  <si>
    <t>Locatie</t>
  </si>
  <si>
    <t>Sume in ron</t>
  </si>
  <si>
    <t>RNEW:   item 392076 (statutar: 704 .073)</t>
  </si>
  <si>
    <t>RNEW:   item 392074 (statutar: 707 .071)</t>
  </si>
  <si>
    <t>RNEW: item 392078 (statutar: 701 .075)</t>
  </si>
  <si>
    <t>20kV -  PT 4 Auchan</t>
  </si>
  <si>
    <t>59401010000364371471721547</t>
  </si>
  <si>
    <t>Valoarea totala</t>
  </si>
  <si>
    <t>Articol</t>
  </si>
  <si>
    <t>Valoare unitara</t>
  </si>
  <si>
    <t>Cantitati SDI</t>
  </si>
  <si>
    <t>din export</t>
  </si>
  <si>
    <t>valori de facturat</t>
  </si>
  <si>
    <t>verificare</t>
  </si>
  <si>
    <t>Pret Unitar</t>
  </si>
  <si>
    <t>Pret unitar retea</t>
  </si>
  <si>
    <t>Pret unitar regularizare</t>
  </si>
  <si>
    <t>Pret unitar PV</t>
  </si>
  <si>
    <t>kWh/kVar</t>
  </si>
  <si>
    <t>Enegie activa</t>
  </si>
  <si>
    <t>Energie reactiva 1x</t>
  </si>
  <si>
    <t>Energie reactiva 3x</t>
  </si>
  <si>
    <t>Energie reactiva 1x regularizare</t>
  </si>
  <si>
    <t>Energie reactiva 3x regularizare</t>
  </si>
  <si>
    <t>23G90290210112807</t>
  </si>
  <si>
    <t>23G90290210113592</t>
  </si>
  <si>
    <t>RGBM_2.1/PV</t>
  </si>
  <si>
    <t>59401010000364371471721547/1.PV</t>
  </si>
  <si>
    <t>RITS_2.2</t>
  </si>
  <si>
    <t>RITS_2.1/PV</t>
  </si>
  <si>
    <t>RITS_2.2/PV</t>
  </si>
  <si>
    <t>RO001E109430691/3</t>
  </si>
  <si>
    <t>59401010000364371471721547/1</t>
  </si>
  <si>
    <t>RO001E109430691/1.PV</t>
  </si>
  <si>
    <t>RO001E109430691/2.PV</t>
  </si>
  <si>
    <t>One-off</t>
  </si>
  <si>
    <t>RPSC_1.3</t>
  </si>
  <si>
    <t>RPSC_2.3</t>
  </si>
  <si>
    <t>Ploiesti Shopping City SRL 5</t>
  </si>
  <si>
    <t>594030100003367652/7</t>
  </si>
  <si>
    <t>594030100003367652/8</t>
  </si>
  <si>
    <t>V.23298242</t>
  </si>
  <si>
    <t>Ploiesti Shopping City SRL 6</t>
  </si>
  <si>
    <t xml:space="preserve">Energie produsa </t>
  </si>
  <si>
    <t>Energie produsa</t>
  </si>
  <si>
    <t>RNB1</t>
  </si>
  <si>
    <t>RN10</t>
  </si>
  <si>
    <t xml:space="preserve">Calea Motilor, nr.119, Loc. Alba Iulia, Jud Alba </t>
  </si>
  <si>
    <t>Nepi Ten Development Solutions  SRL</t>
  </si>
  <si>
    <t>47/13.08.2024</t>
  </si>
  <si>
    <t>46/13.08.2024</t>
  </si>
  <si>
    <t>RO30356078</t>
  </si>
  <si>
    <t>J40/7298/2012</t>
  </si>
  <si>
    <t>RO44 UGBI 0000 6520 0209 4RON</t>
  </si>
  <si>
    <t>Calea Floreasca nr. 169A, Cladirea A, etajul 5, sectiunea A5.1, biroul nr. 24, Sector 1, Bucuresti</t>
  </si>
  <si>
    <t xml:space="preserve">Str. Lunca Oltului, FN, Sfantu Gheorghe Jud: Covasna </t>
  </si>
  <si>
    <t>Str. Stadionului, nr. 2, Sighisoara Jud: Mures</t>
  </si>
  <si>
    <t>Str Bucuresti, nr.T48/P508, Alexandria, Jud. Teleorman</t>
  </si>
  <si>
    <t>Str. Decebal, FN, Vaslui Jud: Vaslui</t>
  </si>
  <si>
    <t>Strada Livezeni, FN, Petrosani Jud: Hunedoara</t>
  </si>
  <si>
    <t>Calea Bucuresti, nr.105, Loc. Brasov, Jud. Brasov</t>
  </si>
  <si>
    <t>Nepi Bucharest One  SRL</t>
  </si>
  <si>
    <t>45/13.08.2024</t>
  </si>
  <si>
    <t>44/13.08.2024</t>
  </si>
  <si>
    <t>RO22449940</t>
  </si>
  <si>
    <t>J40/17833/2007</t>
  </si>
  <si>
    <t>RO26 RZBR 0000 0600 1269 9650</t>
  </si>
  <si>
    <t>Calea Floreasca nr. 169A, Cladirea A, etajul 5, sectiunea A5.1, biroul nr. 15, Sector 1, Bucuresti</t>
  </si>
  <si>
    <t>594020400001705610</t>
  </si>
  <si>
    <t>RN10_Alba</t>
  </si>
  <si>
    <t>594020600000985765</t>
  </si>
  <si>
    <t>RN10_Sfantul Gheorghe</t>
  </si>
  <si>
    <t>594020300002588154</t>
  </si>
  <si>
    <t>RN10_Sighisoara</t>
  </si>
  <si>
    <t>59401060000191744771568947</t>
  </si>
  <si>
    <t>RN10_Alexandria</t>
  </si>
  <si>
    <t>RO005E532351067</t>
  </si>
  <si>
    <t>RO005E532351023</t>
  </si>
  <si>
    <t>16G14570110072302</t>
  </si>
  <si>
    <t>RN10_Petrosani</t>
  </si>
  <si>
    <t>RO005E532351056</t>
  </si>
  <si>
    <t>20G14570110097954</t>
  </si>
  <si>
    <t>RO005E532351034</t>
  </si>
  <si>
    <t>1000027339517</t>
  </si>
  <si>
    <t>RO005E532488642</t>
  </si>
  <si>
    <t>UGEUEDN19210002759</t>
  </si>
  <si>
    <t>RO005E532351045</t>
  </si>
  <si>
    <t>594020100002637995</t>
  </si>
  <si>
    <t>Nepi Bucharest One SRL</t>
  </si>
  <si>
    <t>RO005E532351067/1</t>
  </si>
  <si>
    <t>RO005E532351023/1</t>
  </si>
  <si>
    <t>RO005E532351056/1</t>
  </si>
  <si>
    <t>RO005E532351034/1</t>
  </si>
  <si>
    <t>RO005E532488642/1</t>
  </si>
  <si>
    <t>RO005E532351045/1</t>
  </si>
  <si>
    <t>EMO3446385/1</t>
  </si>
  <si>
    <t>EMO3446385/2</t>
  </si>
  <si>
    <t>594020600000985765/1</t>
  </si>
  <si>
    <t>594020300002588154/1</t>
  </si>
  <si>
    <t>59401060000191744771568947/1</t>
  </si>
  <si>
    <t>594020100002637995/1</t>
  </si>
  <si>
    <t>594020400001705610/1</t>
  </si>
  <si>
    <t>230290097650</t>
  </si>
  <si>
    <t>230290097760</t>
  </si>
  <si>
    <t>230290097752</t>
  </si>
  <si>
    <t>230290097737</t>
  </si>
  <si>
    <t>594020100002637995/2</t>
  </si>
  <si>
    <t>230290097743</t>
  </si>
  <si>
    <t>594020400001705610/2</t>
  </si>
  <si>
    <t>594020600000985765/2</t>
  </si>
  <si>
    <t>594020300002588154/2</t>
  </si>
  <si>
    <t>59401060000191744771568947/2</t>
  </si>
  <si>
    <t>EMO3446385/3</t>
  </si>
  <si>
    <t>RN10_Vaslui</t>
  </si>
  <si>
    <t>RN10_Petrosani_1</t>
  </si>
  <si>
    <t>RN10_Petrosani_2</t>
  </si>
  <si>
    <t>RN10_Petrosani_3</t>
  </si>
  <si>
    <t>RN10_Petrosani_4</t>
  </si>
  <si>
    <t>RN10_Petrosani_5</t>
  </si>
  <si>
    <t>RN10_Petrosani_6</t>
  </si>
  <si>
    <t>RN1_Brasov</t>
  </si>
  <si>
    <t>RN1_Brasov_1</t>
  </si>
  <si>
    <t>RN1_Brasov_N</t>
  </si>
  <si>
    <t>RN10_Sfantul Gheorghe_1</t>
  </si>
  <si>
    <t>RN10_Sfantul Gheorghe_N</t>
  </si>
  <si>
    <t>RN10_Sighisoara_1</t>
  </si>
  <si>
    <t>RN10_Sighisoara_N</t>
  </si>
  <si>
    <t>RN10_Alexandria_1</t>
  </si>
  <si>
    <t>RN10_Alexandria_N</t>
  </si>
  <si>
    <t>RN10_Alba_1</t>
  </si>
  <si>
    <t>RN10_Alba_N</t>
  </si>
  <si>
    <t>RN10_Vaslui_1</t>
  </si>
  <si>
    <t>RN10_Vaslui_N</t>
  </si>
  <si>
    <t>RN10_Vaslui_2</t>
  </si>
  <si>
    <t>RN10_Alba_1/PV</t>
  </si>
  <si>
    <t>RN10_Sfantul Gheorghe_1/PV</t>
  </si>
  <si>
    <t>RN10_Sighisoara_1/PV</t>
  </si>
  <si>
    <t>RN10_Alexandria_1/PV</t>
  </si>
  <si>
    <t>RN10_Vaslui_1/PV</t>
  </si>
  <si>
    <t>RN1_Brasov_1/PV</t>
  </si>
  <si>
    <t>Nepi Ten Development Solutions  SRL - Alba</t>
  </si>
  <si>
    <t>Nepi Ten Development Solutions  SRL - Sfantul Gheorghe</t>
  </si>
  <si>
    <t>Nepi Ten Development Solutions  SRL - Sighisoara</t>
  </si>
  <si>
    <t>Nepi Ten Development Solutions  SRL - Alexandria</t>
  </si>
  <si>
    <t>Nepi Ten Development Solutions  SRL - Vaslui</t>
  </si>
  <si>
    <t>Nepi Ten Development Solutions  SRL - Petrosani</t>
  </si>
  <si>
    <t>Nepi Bucharest One  SRL - Brasov</t>
  </si>
  <si>
    <t>594020100002637995/1.PV</t>
  </si>
  <si>
    <t>EA export OD</t>
  </si>
  <si>
    <t>EAP</t>
  </si>
  <si>
    <t xml:space="preserve">Alexandria </t>
  </si>
  <si>
    <t>cantitate in plus</t>
  </si>
  <si>
    <t>index nou estimat</t>
  </si>
  <si>
    <t xml:space="preserve">index corect </t>
  </si>
  <si>
    <t>Alba Iulia</t>
  </si>
  <si>
    <t>nu a fost facturat cant inregistrata de contorul nou</t>
  </si>
  <si>
    <t>Sfantul Gheorghe</t>
  </si>
  <si>
    <t>Sighisoara</t>
  </si>
  <si>
    <t>fara probleme</t>
  </si>
  <si>
    <t>Vaslui</t>
  </si>
  <si>
    <t>Brasov</t>
  </si>
  <si>
    <t>Contributie CFD</t>
  </si>
  <si>
    <t>T35</t>
  </si>
  <si>
    <t>T36</t>
  </si>
  <si>
    <t>Regularizare Contributie CFD</t>
  </si>
  <si>
    <t>RBPM_4C</t>
  </si>
  <si>
    <t>Schimbari contoare</t>
  </si>
  <si>
    <t>injectie in retea</t>
  </si>
  <si>
    <t>Retail Park Pitesti SRL_Auchan</t>
  </si>
  <si>
    <t>EA+ anterior</t>
  </si>
  <si>
    <t>Regularizare EA+</t>
  </si>
  <si>
    <t>Regularizare ERx1</t>
  </si>
  <si>
    <t>AUXILIARE</t>
  </si>
  <si>
    <t>V.1369546436</t>
  </si>
  <si>
    <t>V.1369546423</t>
  </si>
  <si>
    <t>V.1369357831</t>
  </si>
  <si>
    <t>Injectie in retea</t>
  </si>
  <si>
    <t>Calcul EA+</t>
  </si>
  <si>
    <t>din masura</t>
  </si>
  <si>
    <t>suma pe masura</t>
  </si>
  <si>
    <t>CPT total</t>
  </si>
  <si>
    <t>calcul EA+</t>
  </si>
  <si>
    <t>suma EA+</t>
  </si>
  <si>
    <t>inchidere EA+</t>
  </si>
  <si>
    <t>CPT distribuit</t>
  </si>
  <si>
    <t>suma CPT distribuit</t>
  </si>
  <si>
    <t>Calcul CPT</t>
  </si>
  <si>
    <t>calcul EA3</t>
  </si>
  <si>
    <t>Verificare CPT</t>
  </si>
  <si>
    <t>regularizare</t>
  </si>
  <si>
    <t>Nume centru comercial</t>
  </si>
  <si>
    <t>Injectie retea OD</t>
  </si>
  <si>
    <t>Compensare</t>
  </si>
  <si>
    <t>SDI</t>
  </si>
  <si>
    <t>Data start SDI</t>
  </si>
  <si>
    <t>OD</t>
  </si>
  <si>
    <t>Total</t>
  </si>
  <si>
    <t>Total EUR</t>
  </si>
  <si>
    <t>Curs BNR</t>
  </si>
  <si>
    <t>NU</t>
  </si>
  <si>
    <t>DA</t>
  </si>
  <si>
    <t>DEER Transilvania Sud</t>
  </si>
  <si>
    <t>Cantitate totala [kWh]</t>
  </si>
  <si>
    <t>Valoare totala [Ron]</t>
  </si>
  <si>
    <t>Cantitate ext. SDI [kWh]</t>
  </si>
  <si>
    <t>Pret [Ron/kWh]</t>
  </si>
  <si>
    <t>Cantitate int. SDI [kWh]</t>
  </si>
  <si>
    <t>Medie PZU</t>
  </si>
  <si>
    <t>Cantitate exp. OD [kWh]</t>
  </si>
  <si>
    <t>Nepi Ten Development Solutions SRL (Sighisoara)</t>
  </si>
  <si>
    <t>Cantitate ac [kWh]</t>
  </si>
  <si>
    <t>Nepi Ten Development Solutions SRL (Alba Iulia)</t>
  </si>
  <si>
    <t>Nepi Ten Development Solutions SRL (Alexandria)</t>
  </si>
  <si>
    <t>Cantitativa</t>
  </si>
  <si>
    <t>Distributie Energie Oltenia</t>
  </si>
  <si>
    <t>Nepi Ten Development Solutions SRL (Sfantu Gheorghe)</t>
  </si>
  <si>
    <t>NEPI Bucharest One SRL (Brasov)</t>
  </si>
  <si>
    <t>E-Distributie Muntenia</t>
  </si>
  <si>
    <t>Targu-Jiu Shopping City SRL</t>
  </si>
  <si>
    <t>Vulcan Value Center SRL</t>
  </si>
  <si>
    <t>DEER Transilvania Nord</t>
  </si>
  <si>
    <t xml:space="preserve">Galati Shopping City SRL </t>
  </si>
  <si>
    <t>DEER Muntenia Nord</t>
  </si>
  <si>
    <t>Nepi Ten Development Solutions SRL (Vaslui)</t>
  </si>
  <si>
    <t>Delgaz Grid</t>
  </si>
  <si>
    <t>Constanta Shopping City</t>
  </si>
  <si>
    <t>E-Distributie Dobrogea</t>
  </si>
  <si>
    <t>Promenada Mall Craiova</t>
  </si>
  <si>
    <t>Ploiesti Shopping City</t>
  </si>
  <si>
    <t>Severin Shopping City</t>
  </si>
  <si>
    <t>59401040000145272271526125+59401040000153661371602579</t>
  </si>
  <si>
    <t>Shopping City Piatra Neamt</t>
  </si>
  <si>
    <t>Deva Shopping City(PV1 POD: RO005E532371182 - Auchan)</t>
  </si>
  <si>
    <t>E-Distributie Banat</t>
  </si>
  <si>
    <t>Deva Shopping City (PV2 POD: RO005E532220590 - Mall)</t>
  </si>
  <si>
    <t>Deva Shopping City (PV3 POD: RO005E532240390 - Metro)</t>
  </si>
  <si>
    <t>Sibiu Shopping City 2 (PV1 POD: 594020200001926325+594020200001926332)</t>
  </si>
  <si>
    <t>594020200001926325+594020200001926332</t>
  </si>
  <si>
    <t>Sibiu Shopping City 2 (PV1 POD: 594020200001926325)</t>
  </si>
  <si>
    <t>Sibiu Shopping City 2 (PV1 POD: 594020200001926332)</t>
  </si>
  <si>
    <t>NRE Sibiu Shopping City (PV2 POD:594020200001925328)</t>
  </si>
  <si>
    <t>NRE Sibiu Shopping City (PV3 POD: 594020200001925328)</t>
  </si>
  <si>
    <t>Shopping City Timisoara</t>
  </si>
  <si>
    <t>Aurora Mall Buzau (PV1:POD 594030300002113780, Contor:1799992)</t>
  </si>
  <si>
    <t>Aurora Mall Buzau (PV2:POD 594030300002113780, Contor:1800373)</t>
  </si>
  <si>
    <t xml:space="preserve">Braila Promenada Mall </t>
  </si>
  <si>
    <t>Braila Promenada Mall  (POD: 594030200001494937)</t>
  </si>
  <si>
    <t>Strip Craiova</t>
  </si>
  <si>
    <t>Iris Titan Shopping Center</t>
  </si>
  <si>
    <t>NEPI OVERALL</t>
  </si>
  <si>
    <t>Total Quantity [kWh]</t>
  </si>
  <si>
    <t>Total Revenues [Ron]</t>
  </si>
  <si>
    <t>Total Revenues [Euro]</t>
  </si>
  <si>
    <t>de completat dupa</t>
  </si>
  <si>
    <t>Retele Electrice Muntenia</t>
  </si>
  <si>
    <t>Retele Electrice Dobrogea</t>
  </si>
  <si>
    <t>Retele Electrice Banat</t>
  </si>
  <si>
    <t xml:space="preserve"> </t>
  </si>
  <si>
    <t>Energie consumata din PV</t>
  </si>
  <si>
    <t>Energie activa regularizare</t>
  </si>
  <si>
    <t>Energie consumata din PV regularizare</t>
  </si>
  <si>
    <t>EA pierderi</t>
  </si>
  <si>
    <t>ERI pierderi</t>
  </si>
  <si>
    <t>ERCpierderi</t>
  </si>
  <si>
    <t>Regularizare CFD</t>
  </si>
  <si>
    <t>230290101740</t>
  </si>
  <si>
    <t>230290101742</t>
  </si>
  <si>
    <t>pret ponderat in fct dee productie</t>
  </si>
  <si>
    <t>T11</t>
  </si>
  <si>
    <t>T29</t>
  </si>
  <si>
    <t>RPSC_1.3/PV</t>
  </si>
  <si>
    <t>594030100003367652/3.PV</t>
  </si>
  <si>
    <t>230290084930</t>
  </si>
  <si>
    <t>Diferenta indecsi</t>
  </si>
  <si>
    <t>UGEUEDN19210003119</t>
  </si>
  <si>
    <t>25G90293195062463</t>
  </si>
  <si>
    <t>25G90293195062390</t>
  </si>
  <si>
    <t>UGEQEDN23210105526</t>
  </si>
  <si>
    <t>DETALII FACTURA FACTURA FISCALA SERIA …........ NR …................. din date de ….......04.2025</t>
  </si>
  <si>
    <t>galerie PT2</t>
  </si>
  <si>
    <t>pt3 mall</t>
  </si>
  <si>
    <t>pt 4 brico</t>
  </si>
  <si>
    <t>galerie PT2_PV</t>
  </si>
  <si>
    <t>pt3 mall_PV</t>
  </si>
  <si>
    <t>pt 4 brico_PV</t>
  </si>
  <si>
    <t>RRPP_1.2/PV</t>
  </si>
  <si>
    <t>RRPP_2.1/PV</t>
  </si>
  <si>
    <t>59401020000375096971689655/2.PV</t>
  </si>
  <si>
    <t>59401020000375096971448223/1.PV</t>
  </si>
  <si>
    <t>59401020000375096971689655/2+59401020000375096971448223/2</t>
  </si>
  <si>
    <t>59401020000375096971689655/2+59401020000375096971689655/1+59401020000375096971448223/1</t>
  </si>
  <si>
    <t>EA - consum din export</t>
  </si>
  <si>
    <t>2132.32 (citit)</t>
  </si>
  <si>
    <t>205.33 (citit)</t>
  </si>
  <si>
    <t>10.10 (citit)</t>
  </si>
  <si>
    <t>981.97 (citit)</t>
  </si>
  <si>
    <t>FX - 25104852996</t>
  </si>
  <si>
    <t>FX - 25104853335</t>
  </si>
  <si>
    <t>FX - 25104426594</t>
  </si>
  <si>
    <t>FX - 25104426595</t>
  </si>
  <si>
    <t>FX - 25104299283</t>
  </si>
  <si>
    <t>FX - 25104426598</t>
  </si>
  <si>
    <t>FX - 25104858640</t>
  </si>
  <si>
    <t>FX - 25104431720</t>
  </si>
  <si>
    <t>FX - 25104854378</t>
  </si>
  <si>
    <t>FX - 25104854370</t>
  </si>
  <si>
    <t>FX - 25104854379</t>
  </si>
  <si>
    <t>FX - 25104426597</t>
  </si>
  <si>
    <t>FX - 25104854368</t>
  </si>
  <si>
    <t>FX - 25104853000</t>
  </si>
  <si>
    <t>FX - 25104792104</t>
  </si>
  <si>
    <t>FX - 25104853566</t>
  </si>
  <si>
    <t>FX - 25104426543</t>
  </si>
  <si>
    <t>FX - 25104757562</t>
  </si>
  <si>
    <t>FX - 25104757563</t>
  </si>
  <si>
    <t>FX - 25104437554</t>
  </si>
  <si>
    <t>FX - 25104437555</t>
  </si>
  <si>
    <t>FX - 25104427805</t>
  </si>
  <si>
    <t>FX - 25104854361</t>
  </si>
  <si>
    <t>FX - 25104854362</t>
  </si>
  <si>
    <t>FX - 25104426593</t>
  </si>
  <si>
    <t>FX - 25104853015</t>
  </si>
  <si>
    <t>FX - 25104853016</t>
  </si>
  <si>
    <t>FX - 25104853545</t>
  </si>
  <si>
    <t>FX - 25104853546</t>
  </si>
  <si>
    <t>FX - 25104853555</t>
  </si>
  <si>
    <t>FX - 25104852998</t>
  </si>
  <si>
    <t>FX - 25104852997</t>
  </si>
  <si>
    <t>FX - 25104852999</t>
  </si>
  <si>
    <t>FX - 25104757598</t>
  </si>
  <si>
    <t>FX - 25104853561</t>
  </si>
  <si>
    <t>FX - 25104438760</t>
  </si>
  <si>
    <t>FX - 25104757599</t>
  </si>
  <si>
    <t>FX - 25104426544</t>
  </si>
  <si>
    <t>FX - 25104296827</t>
  </si>
  <si>
    <t>FX - 25104426545</t>
  </si>
  <si>
    <t>FX - 25104426546</t>
  </si>
  <si>
    <t>FX - 25104296828</t>
  </si>
  <si>
    <t>FX - 25104296829</t>
  </si>
  <si>
    <t>FX - 25104431435</t>
  </si>
  <si>
    <t>FX - 25104431437</t>
  </si>
  <si>
    <t>FX - 25104431438</t>
  </si>
  <si>
    <t>FX - 25104439904</t>
  </si>
  <si>
    <t>FX - 25104439906</t>
  </si>
  <si>
    <t>FX - 25104439907</t>
  </si>
  <si>
    <t>FX - 25104942852</t>
  </si>
  <si>
    <t>FX - 25104762098</t>
  </si>
  <si>
    <t>240290118403</t>
  </si>
  <si>
    <t>240290133935</t>
  </si>
  <si>
    <t>2332.64 (citit)</t>
  </si>
  <si>
    <t>1207.55 (citit)</t>
  </si>
  <si>
    <t>ANEXA FACTURA FISCALA SERIA …........ NR …................. din date de ….......06.2025</t>
  </si>
  <si>
    <t>DETALII FACTURA FACTURA FISCALA SERIA …........ NR …................. din date de ….......06.2025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</si>
</sst>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_-* #,##0.00_-;\-* #,##0.00_-;_-* &quot;-&quot;??_-;_-@_-"/>
    <numFmt numFmtId="165" formatCode="0.00000000"/>
    <numFmt numFmtId="166" formatCode="0.000"/>
    <numFmt numFmtId="167" formatCode="0.0"/>
    <numFmt numFmtId="168" formatCode="0.000000"/>
    <numFmt numFmtId="169" formatCode="#,##0.00_ ;\-#,##0.00\ "/>
    <numFmt numFmtId="170" formatCode="dd\.mm\.yyyy"/>
    <numFmt numFmtId="171" formatCode="0.00000"/>
    <numFmt numFmtId="172" formatCode="_-* #,##0_-;\-* #,##0_-;_-* &quot;-&quot;??_-;_-@_-"/>
    <numFmt numFmtId="173" formatCode="_(* #,##0_);_(* \(#,##0\);_(* &quot;-&quot;??_);_(@_)"/>
    <numFmt numFmtId="174" formatCode="_([$€-2]\ * #,##0.00_);_([$€-2]\ * \(#,##0.00\);_([$€-2]\ * &quot;-&quot;??_);_(@_)"/>
    <numFmt numFmtId="175" formatCode="_(* #,##0.000000_);_(* \(#,##0.000000\);_(* &quot;-&quot;??_);_(@_)"/>
    <numFmt numFmtId="176" formatCode="_(* #,##0.00000_);_(* \(#,##0.00000\);_(* &quot;-&quot;??_);_(@_)"/>
    <numFmt numFmtId="177" formatCode="0.000000000000"/>
    <numFmt numFmtId="178" formatCode="_(* #,##0.000_);_(* \(#,##0.000\);_(* &quot;-&quot;??_);_(@_)"/>
  </numFmts>
  <fonts count="38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rial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sz val="8"/>
      <color theme="1"/>
      <name val="Aptos Narrow"/>
      <family val="2"/>
      <scheme val="minor"/>
    </font>
    <font>
      <b/>
      <sz val="8"/>
      <color theme="1"/>
      <name val="Arial"/>
      <family val="2"/>
    </font>
    <font>
      <sz val="10"/>
      <color theme="1"/>
      <name val="Aptos Narrow"/>
      <family val="2"/>
      <scheme val="minor"/>
    </font>
    <font>
      <b/>
      <sz val="10"/>
      <name val="Arial"/>
      <family val="2"/>
    </font>
    <font>
      <sz val="11"/>
      <color rgb="FF000000"/>
      <name val="Aptos Narrow"/>
      <family val="2"/>
      <scheme val="minor"/>
    </font>
    <font>
      <sz val="12"/>
      <name val="Aptos Narrow (Body)"/>
    </font>
    <font>
      <sz val="11"/>
      <name val="Calibri"/>
      <family val="2"/>
    </font>
    <font>
      <sz val="11"/>
      <color rgb="FF0061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charset val="238"/>
      <scheme val="minor"/>
    </font>
    <font>
      <b/>
      <sz val="7"/>
      <color theme="1"/>
      <name val="Arial"/>
      <family val="2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name val="Aptos Narrow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DF896"/>
        <bgColor indexed="64"/>
      </patternFill>
    </fill>
    <fill>
      <patternFill patternType="solid">
        <fgColor rgb="FFC6EFCE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5">
    <xf numFmtId="0" fontId="0" fillId="0" borderId="0"/>
    <xf numFmtId="0" fontId="5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24" fillId="20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7" fillId="0" borderId="0"/>
    <xf numFmtId="164" fontId="27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794">
    <xf numFmtId="0" fontId="0" fillId="0" borderId="0" xfId="0"/>
    <xf numFmtId="0" fontId="0" fillId="0" borderId="1" xfId="0" applyBorder="1"/>
    <xf numFmtId="0" fontId="4" fillId="0" borderId="1" xfId="0" applyFont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/>
    </xf>
    <xf numFmtId="0" fontId="0" fillId="0" borderId="1" xfId="0" applyBorder="1" applyAlignment="1">
      <alignment horizontal="right"/>
    </xf>
    <xf numFmtId="0" fontId="7" fillId="4" borderId="1" xfId="0" applyFont="1" applyFill="1" applyBorder="1"/>
    <xf numFmtId="165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1" xfId="0" applyFill="1" applyBorder="1"/>
    <xf numFmtId="0" fontId="0" fillId="6" borderId="1" xfId="0" applyFill="1" applyBorder="1"/>
    <xf numFmtId="0" fontId="0" fillId="8" borderId="1" xfId="0" applyFill="1" applyBorder="1"/>
    <xf numFmtId="0" fontId="0" fillId="0" borderId="1" xfId="0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5" borderId="1" xfId="0" applyFont="1" applyFill="1" applyBorder="1"/>
    <xf numFmtId="0" fontId="0" fillId="10" borderId="1" xfId="0" applyFill="1" applyBorder="1"/>
    <xf numFmtId="0" fontId="8" fillId="10" borderId="1" xfId="0" applyFont="1" applyFill="1" applyBorder="1"/>
    <xf numFmtId="0" fontId="0" fillId="8" borderId="1" xfId="0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8" fillId="0" borderId="1" xfId="0" applyFont="1" applyBorder="1"/>
    <xf numFmtId="0" fontId="7" fillId="13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4" borderId="2" xfId="0" applyFont="1" applyFill="1" applyBorder="1"/>
    <xf numFmtId="0" fontId="7" fillId="4" borderId="3" xfId="0" applyFont="1" applyFill="1" applyBorder="1"/>
    <xf numFmtId="0" fontId="0" fillId="16" borderId="1" xfId="0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2" fontId="0" fillId="8" borderId="1" xfId="0" applyNumberFormat="1" applyFill="1" applyBorder="1"/>
    <xf numFmtId="1" fontId="0" fillId="9" borderId="1" xfId="0" applyNumberFormat="1" applyFill="1" applyBorder="1"/>
    <xf numFmtId="2" fontId="0" fillId="0" borderId="1" xfId="0" applyNumberFormat="1" applyBorder="1"/>
    <xf numFmtId="0" fontId="0" fillId="0" borderId="13" xfId="0" applyBorder="1"/>
    <xf numFmtId="0" fontId="7" fillId="0" borderId="1" xfId="0" applyFont="1" applyBorder="1"/>
    <xf numFmtId="10" fontId="0" fillId="7" borderId="13" xfId="2" applyNumberFormat="1" applyFont="1" applyFill="1" applyBorder="1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 vertical="center"/>
    </xf>
    <xf numFmtId="0" fontId="13" fillId="0" borderId="0" xfId="1" applyFont="1" applyAlignment="1">
      <alignment horizontal="center"/>
    </xf>
    <xf numFmtId="0" fontId="14" fillId="0" borderId="0" xfId="1" applyFont="1" applyAlignment="1">
      <alignment vertical="top"/>
    </xf>
    <xf numFmtId="0" fontId="14" fillId="0" borderId="0" xfId="1" applyFont="1" applyAlignment="1">
      <alignment vertical="center"/>
    </xf>
    <xf numFmtId="0" fontId="13" fillId="0" borderId="0" xfId="1" applyFont="1" applyAlignment="1">
      <alignment horizontal="left" vertical="center"/>
    </xf>
    <xf numFmtId="0" fontId="7" fillId="17" borderId="1" xfId="0" applyFont="1" applyFill="1" applyBorder="1" applyAlignment="1">
      <alignment horizontal="center"/>
    </xf>
    <xf numFmtId="0" fontId="0" fillId="17" borderId="1" xfId="0" applyFill="1" applyBorder="1"/>
    <xf numFmtId="14" fontId="4" fillId="0" borderId="1" xfId="0" applyNumberFormat="1" applyFont="1" applyBorder="1" applyAlignment="1">
      <alignment horizontal="center" vertical="center" wrapText="1"/>
    </xf>
    <xf numFmtId="164" fontId="0" fillId="0" borderId="1" xfId="4" applyFont="1" applyBorder="1"/>
    <xf numFmtId="0" fontId="14" fillId="0" borderId="0" xfId="1" applyFont="1"/>
    <xf numFmtId="0" fontId="16" fillId="0" borderId="0" xfId="1" applyFont="1" applyAlignment="1">
      <alignment vertical="center"/>
    </xf>
    <xf numFmtId="0" fontId="14" fillId="0" borderId="0" xfId="1" applyFont="1" applyAlignment="1">
      <alignment horizontal="left" vertical="center"/>
    </xf>
    <xf numFmtId="0" fontId="14" fillId="0" borderId="0" xfId="1" applyFont="1" applyAlignment="1">
      <alignment horizontal="center" vertical="center"/>
    </xf>
    <xf numFmtId="0" fontId="18" fillId="0" borderId="1" xfId="1" applyFont="1" applyBorder="1" applyAlignment="1">
      <alignment vertical="center"/>
    </xf>
    <xf numFmtId="0" fontId="15" fillId="0" borderId="1" xfId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 wrapText="1"/>
    </xf>
    <xf numFmtId="0" fontId="19" fillId="0" borderId="0" xfId="0" applyFont="1"/>
    <xf numFmtId="14" fontId="14" fillId="0" borderId="4" xfId="1" applyNumberFormat="1" applyFont="1" applyBorder="1" applyAlignment="1">
      <alignment horizontal="center" vertical="center"/>
    </xf>
    <xf numFmtId="0" fontId="17" fillId="0" borderId="1" xfId="0" applyFont="1" applyBorder="1"/>
    <xf numFmtId="0" fontId="0" fillId="10" borderId="1" xfId="0" applyFill="1" applyBorder="1" applyAlignment="1">
      <alignment horizontal="center" vertical="center"/>
    </xf>
    <xf numFmtId="1" fontId="0" fillId="14" borderId="0" xfId="0" applyNumberFormat="1" applyFill="1"/>
    <xf numFmtId="1" fontId="0" fillId="0" borderId="0" xfId="0" applyNumberFormat="1"/>
    <xf numFmtId="0" fontId="0" fillId="15" borderId="0" xfId="0" applyFill="1"/>
    <xf numFmtId="167" fontId="0" fillId="0" borderId="1" xfId="0" applyNumberFormat="1" applyBorder="1"/>
    <xf numFmtId="167" fontId="0" fillId="0" borderId="0" xfId="0" applyNumberFormat="1"/>
    <xf numFmtId="2" fontId="0" fillId="0" borderId="0" xfId="0" applyNumberFormat="1"/>
    <xf numFmtId="0" fontId="7" fillId="4" borderId="7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11" borderId="7" xfId="0" applyFont="1" applyFill="1" applyBorder="1" applyAlignment="1">
      <alignment horizontal="center"/>
    </xf>
    <xf numFmtId="0" fontId="7" fillId="12" borderId="7" xfId="0" applyFont="1" applyFill="1" applyBorder="1" applyAlignment="1">
      <alignment horizontal="center"/>
    </xf>
    <xf numFmtId="0" fontId="7" fillId="13" borderId="7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9" xfId="0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8" borderId="18" xfId="0" applyFill="1" applyBorder="1"/>
    <xf numFmtId="0" fontId="0" fillId="0" borderId="18" xfId="0" applyBorder="1"/>
    <xf numFmtId="0" fontId="0" fillId="4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4" borderId="24" xfId="0" applyFill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15" borderId="24" xfId="0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5" fillId="3" borderId="0" xfId="1" applyFill="1"/>
    <xf numFmtId="0" fontId="5" fillId="16" borderId="0" xfId="1" applyFill="1"/>
    <xf numFmtId="0" fontId="5" fillId="0" borderId="0" xfId="1"/>
    <xf numFmtId="14" fontId="5" fillId="0" borderId="0" xfId="1" applyNumberFormat="1"/>
    <xf numFmtId="168" fontId="5" fillId="0" borderId="0" xfId="1" applyNumberFormat="1"/>
    <xf numFmtId="2" fontId="5" fillId="0" borderId="0" xfId="1" applyNumberFormat="1"/>
    <xf numFmtId="0" fontId="21" fillId="0" borderId="0" xfId="0" applyFont="1"/>
    <xf numFmtId="0" fontId="8" fillId="4" borderId="18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/>
    </xf>
    <xf numFmtId="0" fontId="8" fillId="15" borderId="24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22" fillId="2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/>
    </xf>
    <xf numFmtId="0" fontId="0" fillId="10" borderId="0" xfId="0" applyFill="1"/>
    <xf numFmtId="1" fontId="0" fillId="0" borderId="1" xfId="0" applyNumberFormat="1" applyBorder="1"/>
    <xf numFmtId="1" fontId="0" fillId="7" borderId="1" xfId="0" applyNumberFormat="1" applyFill="1" applyBorder="1"/>
    <xf numFmtId="1" fontId="0" fillId="19" borderId="1" xfId="0" applyNumberFormat="1" applyFill="1" applyBorder="1"/>
    <xf numFmtId="166" fontId="0" fillId="7" borderId="1" xfId="0" applyNumberFormat="1" applyFill="1" applyBorder="1"/>
    <xf numFmtId="0" fontId="7" fillId="11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0" fillId="19" borderId="0" xfId="0" applyFill="1"/>
    <xf numFmtId="1" fontId="0" fillId="0" borderId="1" xfId="0" applyNumberFormat="1" applyBorder="1" applyAlignment="1">
      <alignment horizontal="center" vertical="center"/>
    </xf>
    <xf numFmtId="0" fontId="0" fillId="19" borderId="1" xfId="0" applyFill="1" applyBorder="1"/>
    <xf numFmtId="166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0" fillId="8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  <xf numFmtId="0" fontId="0" fillId="3" borderId="1" xfId="0" applyFill="1" applyBorder="1"/>
    <xf numFmtId="0" fontId="0" fillId="0" borderId="2" xfId="0" applyBorder="1" applyAlignment="1">
      <alignment horizontal="center" vertical="center"/>
    </xf>
    <xf numFmtId="0" fontId="0" fillId="10" borderId="1" xfId="0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1" fontId="0" fillId="19" borderId="0" xfId="0" applyNumberFormat="1" applyFill="1"/>
    <xf numFmtId="1" fontId="0" fillId="8" borderId="1" xfId="0" applyNumberFormat="1" applyFill="1" applyBorder="1"/>
    <xf numFmtId="0" fontId="0" fillId="0" borderId="7" xfId="0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7" xfId="0" applyFill="1" applyBorder="1"/>
    <xf numFmtId="0" fontId="0" fillId="0" borderId="7" xfId="0" applyBorder="1"/>
    <xf numFmtId="1" fontId="0" fillId="0" borderId="7" xfId="0" applyNumberFormat="1" applyBorder="1" applyAlignment="1">
      <alignment horizontal="center" vertical="center"/>
    </xf>
    <xf numFmtId="0" fontId="0" fillId="0" borderId="15" xfId="0" applyBorder="1"/>
    <xf numFmtId="0" fontId="0" fillId="0" borderId="33" xfId="0" applyBorder="1" applyAlignment="1">
      <alignment horizontal="center"/>
    </xf>
    <xf numFmtId="0" fontId="0" fillId="15" borderId="33" xfId="0" applyFill="1" applyBorder="1" applyAlignment="1">
      <alignment horizontal="center"/>
    </xf>
    <xf numFmtId="0" fontId="0" fillId="8" borderId="33" xfId="0" applyFill="1" applyBorder="1"/>
    <xf numFmtId="0" fontId="0" fillId="0" borderId="33" xfId="0" applyBorder="1" applyAlignment="1">
      <alignment horizontal="center" vertical="center"/>
    </xf>
    <xf numFmtId="0" fontId="0" fillId="7" borderId="33" xfId="0" applyFill="1" applyBorder="1"/>
    <xf numFmtId="0" fontId="0" fillId="0" borderId="33" xfId="0" applyBorder="1"/>
    <xf numFmtId="0" fontId="0" fillId="0" borderId="34" xfId="0" applyBorder="1" applyAlignment="1">
      <alignment horizontal="center" vertical="center"/>
    </xf>
    <xf numFmtId="0" fontId="0" fillId="15" borderId="7" xfId="0" applyFill="1" applyBorder="1" applyAlignment="1">
      <alignment horizontal="center"/>
    </xf>
    <xf numFmtId="0" fontId="0" fillId="16" borderId="33" xfId="0" applyFill="1" applyBorder="1" applyAlignment="1">
      <alignment horizontal="center"/>
    </xf>
    <xf numFmtId="0" fontId="7" fillId="7" borderId="3" xfId="0" applyFont="1" applyFill="1" applyBorder="1" applyAlignment="1">
      <alignment horizontal="center" vertical="center"/>
    </xf>
    <xf numFmtId="0" fontId="0" fillId="19" borderId="3" xfId="0" applyFill="1" applyBorder="1"/>
    <xf numFmtId="0" fontId="0" fillId="8" borderId="3" xfId="0" applyFill="1" applyBorder="1"/>
    <xf numFmtId="0" fontId="0" fillId="7" borderId="3" xfId="0" applyFill="1" applyBorder="1"/>
    <xf numFmtId="0" fontId="7" fillId="7" borderId="35" xfId="0" applyFont="1" applyFill="1" applyBorder="1" applyAlignment="1">
      <alignment horizontal="center" vertical="center"/>
    </xf>
    <xf numFmtId="0" fontId="7" fillId="7" borderId="36" xfId="0" applyFont="1" applyFill="1" applyBorder="1" applyAlignment="1">
      <alignment horizontal="center" vertical="center"/>
    </xf>
    <xf numFmtId="0" fontId="7" fillId="7" borderId="37" xfId="0" applyFont="1" applyFill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0" fillId="0" borderId="36" xfId="0" applyNumberFormat="1" applyBorder="1" applyAlignment="1">
      <alignment horizontal="center" vertical="center"/>
    </xf>
    <xf numFmtId="166" fontId="0" fillId="0" borderId="37" xfId="0" applyNumberFormat="1" applyBorder="1" applyAlignment="1">
      <alignment horizontal="center" vertical="center"/>
    </xf>
    <xf numFmtId="166" fontId="0" fillId="0" borderId="36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2" fontId="0" fillId="0" borderId="36" xfId="0" applyNumberFormat="1" applyBorder="1" applyAlignment="1">
      <alignment horizontal="center" vertical="center"/>
    </xf>
    <xf numFmtId="166" fontId="0" fillId="8" borderId="36" xfId="0" applyNumberFormat="1" applyFill="1" applyBorder="1" applyAlignment="1">
      <alignment horizontal="center" vertical="center"/>
    </xf>
    <xf numFmtId="1" fontId="0" fillId="8" borderId="37" xfId="0" applyNumberFormat="1" applyFill="1" applyBorder="1" applyAlignment="1">
      <alignment horizontal="center" vertical="center"/>
    </xf>
    <xf numFmtId="1" fontId="0" fillId="8" borderId="36" xfId="0" applyNumberFormat="1" applyFill="1" applyBorder="1" applyAlignment="1">
      <alignment horizontal="center" vertical="center"/>
    </xf>
    <xf numFmtId="1" fontId="0" fillId="0" borderId="38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0" fontId="0" fillId="0" borderId="40" xfId="0" applyBorder="1" applyAlignment="1">
      <alignment horizontal="center"/>
    </xf>
    <xf numFmtId="1" fontId="0" fillId="0" borderId="41" xfId="0" applyNumberFormat="1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7" fillId="13" borderId="2" xfId="0" applyFont="1" applyFill="1" applyBorder="1" applyAlignment="1">
      <alignment horizontal="center" vertical="center"/>
    </xf>
    <xf numFmtId="0" fontId="0" fillId="13" borderId="33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/>
    <xf numFmtId="2" fontId="0" fillId="0" borderId="33" xfId="0" applyNumberFormat="1" applyBorder="1"/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8" fillId="4" borderId="44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0" fillId="0" borderId="45" xfId="0" applyBorder="1"/>
    <xf numFmtId="0" fontId="0" fillId="7" borderId="18" xfId="0" applyFill="1" applyBorder="1"/>
    <xf numFmtId="0" fontId="18" fillId="0" borderId="0" xfId="1" applyFont="1" applyAlignment="1">
      <alignment vertical="center"/>
    </xf>
    <xf numFmtId="0" fontId="18" fillId="0" borderId="0" xfId="1" applyFont="1" applyAlignment="1">
      <alignment vertical="center" wrapText="1"/>
    </xf>
    <xf numFmtId="0" fontId="0" fillId="0" borderId="8" xfId="0" applyBorder="1"/>
    <xf numFmtId="167" fontId="0" fillId="8" borderId="1" xfId="0" applyNumberFormat="1" applyFill="1" applyBorder="1" applyAlignment="1">
      <alignment horizontal="center"/>
    </xf>
    <xf numFmtId="0" fontId="13" fillId="0" borderId="0" xfId="1" applyFont="1" applyAlignment="1">
      <alignment vertical="center"/>
    </xf>
    <xf numFmtId="14" fontId="18" fillId="0" borderId="0" xfId="1" applyNumberFormat="1" applyFont="1"/>
    <xf numFmtId="1" fontId="0" fillId="0" borderId="0" xfId="0" applyNumberFormat="1" applyAlignment="1">
      <alignment horizontal="center" vertical="center"/>
    </xf>
    <xf numFmtId="166" fontId="0" fillId="0" borderId="1" xfId="0" applyNumberFormat="1" applyBorder="1"/>
    <xf numFmtId="170" fontId="0" fillId="0" borderId="1" xfId="0" applyNumberFormat="1" applyBorder="1" applyAlignment="1">
      <alignment horizontal="center" vertical="center"/>
    </xf>
    <xf numFmtId="0" fontId="18" fillId="0" borderId="0" xfId="1" applyFont="1" applyAlignment="1">
      <alignment horizontal="center" vertical="center" wrapText="1"/>
    </xf>
    <xf numFmtId="0" fontId="18" fillId="0" borderId="0" xfId="1" applyFont="1" applyAlignment="1">
      <alignment horizontal="center" vertical="center"/>
    </xf>
    <xf numFmtId="14" fontId="18" fillId="0" borderId="0" xfId="1" applyNumberFormat="1" applyFont="1" applyAlignment="1">
      <alignment horizontal="center" vertical="top"/>
    </xf>
    <xf numFmtId="0" fontId="0" fillId="17" borderId="1" xfId="0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2" fontId="0" fillId="8" borderId="1" xfId="0" applyNumberForma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/>
    </xf>
    <xf numFmtId="2" fontId="0" fillId="7" borderId="1" xfId="0" applyNumberFormat="1" applyFill="1" applyBorder="1"/>
    <xf numFmtId="0" fontId="25" fillId="13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25" fillId="13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165" fontId="0" fillId="0" borderId="6" xfId="0" applyNumberFormat="1" applyBorder="1" applyAlignment="1">
      <alignment horizontal="right" vertical="center"/>
    </xf>
    <xf numFmtId="165" fontId="0" fillId="0" borderId="0" xfId="0" applyNumberFormat="1"/>
    <xf numFmtId="0" fontId="0" fillId="10" borderId="1" xfId="0" applyFill="1" applyBorder="1" applyAlignment="1">
      <alignment horizontal="right"/>
    </xf>
    <xf numFmtId="0" fontId="2" fillId="0" borderId="0" xfId="11"/>
    <xf numFmtId="0" fontId="26" fillId="21" borderId="1" xfId="11" applyFont="1" applyFill="1" applyBorder="1" applyAlignment="1">
      <alignment horizontal="center" vertical="center"/>
    </xf>
    <xf numFmtId="0" fontId="26" fillId="0" borderId="47" xfId="11" applyFont="1" applyBorder="1" applyAlignment="1">
      <alignment horizontal="center" vertical="center" wrapText="1"/>
    </xf>
    <xf numFmtId="0" fontId="26" fillId="0" borderId="48" xfId="11" applyFont="1" applyBorder="1" applyAlignment="1">
      <alignment horizontal="center" vertical="center" wrapText="1"/>
    </xf>
    <xf numFmtId="0" fontId="26" fillId="0" borderId="46" xfId="11" applyFont="1" applyBorder="1" applyAlignment="1">
      <alignment horizontal="center" vertical="center" wrapText="1"/>
    </xf>
    <xf numFmtId="0" fontId="2" fillId="12" borderId="0" xfId="11" applyFill="1"/>
    <xf numFmtId="2" fontId="2" fillId="0" borderId="0" xfId="11" applyNumberFormat="1"/>
    <xf numFmtId="0" fontId="26" fillId="0" borderId="7" xfId="11" applyFont="1" applyBorder="1" applyAlignment="1">
      <alignment vertical="center" wrapText="1"/>
    </xf>
    <xf numFmtId="0" fontId="2" fillId="0" borderId="1" xfId="11" applyBorder="1"/>
    <xf numFmtId="0" fontId="2" fillId="0" borderId="21" xfId="11" applyBorder="1" applyAlignment="1">
      <alignment horizontal="center"/>
    </xf>
    <xf numFmtId="0" fontId="8" fillId="2" borderId="2" xfId="11" applyFont="1" applyFill="1" applyBorder="1" applyAlignment="1">
      <alignment horizontal="left" vertical="center"/>
    </xf>
    <xf numFmtId="164" fontId="0" fillId="0" borderId="1" xfId="12" applyFont="1" applyFill="1" applyBorder="1"/>
    <xf numFmtId="0" fontId="2" fillId="7" borderId="0" xfId="11" applyFill="1"/>
    <xf numFmtId="0" fontId="2" fillId="11" borderId="0" xfId="11" applyFill="1"/>
    <xf numFmtId="0" fontId="22" fillId="2" borderId="2" xfId="11" applyFont="1" applyFill="1" applyBorder="1" applyAlignment="1">
      <alignment horizontal="left" vertical="center"/>
    </xf>
    <xf numFmtId="171" fontId="5" fillId="0" borderId="0" xfId="1" applyNumberFormat="1"/>
    <xf numFmtId="171" fontId="2" fillId="0" borderId="0" xfId="11" applyNumberFormat="1"/>
    <xf numFmtId="0" fontId="26" fillId="0" borderId="0" xfId="11" applyFont="1" applyAlignment="1">
      <alignment horizontal="center"/>
    </xf>
    <xf numFmtId="0" fontId="26" fillId="0" borderId="0" xfId="11" applyFont="1"/>
    <xf numFmtId="0" fontId="2" fillId="22" borderId="1" xfId="11" applyFill="1" applyBorder="1"/>
    <xf numFmtId="0" fontId="2" fillId="23" borderId="1" xfId="11" applyFill="1" applyBorder="1"/>
    <xf numFmtId="0" fontId="26" fillId="0" borderId="8" xfId="11" applyFont="1" applyBorder="1" applyAlignment="1">
      <alignment vertical="center" wrapText="1"/>
    </xf>
    <xf numFmtId="0" fontId="26" fillId="0" borderId="9" xfId="11" applyFont="1" applyBorder="1" applyAlignment="1">
      <alignment vertical="center" wrapText="1"/>
    </xf>
    <xf numFmtId="0" fontId="26" fillId="6" borderId="1" xfId="11" applyFont="1" applyFill="1" applyBorder="1" applyAlignment="1">
      <alignment horizontal="center" vertical="center"/>
    </xf>
    <xf numFmtId="0" fontId="26" fillId="6" borderId="47" xfId="11" applyFont="1" applyFill="1" applyBorder="1" applyAlignment="1">
      <alignment horizontal="center" vertical="center" wrapText="1"/>
    </xf>
    <xf numFmtId="0" fontId="26" fillId="6" borderId="48" xfId="11" applyFont="1" applyFill="1" applyBorder="1" applyAlignment="1">
      <alignment horizontal="center" vertical="center" wrapText="1"/>
    </xf>
    <xf numFmtId="0" fontId="26" fillId="6" borderId="7" xfId="11" applyFont="1" applyFill="1" applyBorder="1" applyAlignment="1">
      <alignment vertical="center" wrapText="1"/>
    </xf>
    <xf numFmtId="0" fontId="2" fillId="6" borderId="1" xfId="11" applyFill="1" applyBorder="1"/>
    <xf numFmtId="168" fontId="2" fillId="23" borderId="1" xfId="11" applyNumberFormat="1" applyFill="1" applyBorder="1"/>
    <xf numFmtId="168" fontId="2" fillId="22" borderId="1" xfId="11" applyNumberFormat="1" applyFill="1" applyBorder="1"/>
    <xf numFmtId="168" fontId="2" fillId="0" borderId="0" xfId="11" applyNumberFormat="1"/>
    <xf numFmtId="168" fontId="2" fillId="0" borderId="1" xfId="11" applyNumberFormat="1" applyBorder="1"/>
    <xf numFmtId="0" fontId="0" fillId="3" borderId="1" xfId="0" applyFill="1" applyBorder="1" applyAlignment="1">
      <alignment horizontal="center"/>
    </xf>
    <xf numFmtId="0" fontId="0" fillId="3" borderId="0" xfId="0" applyFill="1"/>
    <xf numFmtId="43" fontId="0" fillId="0" borderId="1" xfId="0" applyNumberFormat="1" applyBorder="1"/>
    <xf numFmtId="0" fontId="13" fillId="0" borderId="0" xfId="1" applyFont="1" applyAlignment="1">
      <alignment horizontal="center" vertical="center"/>
    </xf>
    <xf numFmtId="164" fontId="13" fillId="0" borderId="0" xfId="4" applyFont="1" applyBorder="1" applyAlignment="1">
      <alignment horizontal="right" vertical="center"/>
    </xf>
    <xf numFmtId="43" fontId="2" fillId="0" borderId="0" xfId="11" applyNumberFormat="1"/>
    <xf numFmtId="0" fontId="8" fillId="2" borderId="8" xfId="0" applyFont="1" applyFill="1" applyBorder="1" applyAlignment="1">
      <alignment horizontal="left" vertic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horizontal="center" vertical="center"/>
    </xf>
    <xf numFmtId="166" fontId="0" fillId="0" borderId="0" xfId="0" applyNumberFormat="1"/>
    <xf numFmtId="49" fontId="0" fillId="8" borderId="1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8" borderId="0" xfId="0" applyFill="1"/>
    <xf numFmtId="0" fontId="0" fillId="4" borderId="7" xfId="0" applyFill="1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11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8" borderId="9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26" fillId="7" borderId="7" xfId="11" applyFont="1" applyFill="1" applyBorder="1" applyAlignment="1">
      <alignment vertical="center" wrapText="1"/>
    </xf>
    <xf numFmtId="0" fontId="8" fillId="7" borderId="2" xfId="11" applyFont="1" applyFill="1" applyBorder="1" applyAlignment="1">
      <alignment horizontal="left" vertical="center"/>
    </xf>
    <xf numFmtId="0" fontId="8" fillId="7" borderId="5" xfId="11" applyFont="1" applyFill="1" applyBorder="1" applyAlignment="1">
      <alignment horizontal="left" vertical="center"/>
    </xf>
    <xf numFmtId="0" fontId="8" fillId="7" borderId="49" xfId="11" applyFont="1" applyFill="1" applyBorder="1" applyAlignment="1">
      <alignment horizontal="left" vertical="center"/>
    </xf>
    <xf numFmtId="0" fontId="1" fillId="0" borderId="0" xfId="11" applyFont="1"/>
    <xf numFmtId="0" fontId="26" fillId="21" borderId="0" xfId="11" applyFont="1" applyFill="1" applyAlignment="1">
      <alignment horizontal="center" vertical="center"/>
    </xf>
    <xf numFmtId="164" fontId="2" fillId="0" borderId="0" xfId="4" applyFont="1"/>
    <xf numFmtId="172" fontId="2" fillId="0" borderId="0" xfId="4" applyNumberFormat="1" applyFont="1" applyBorder="1"/>
    <xf numFmtId="164" fontId="2" fillId="0" borderId="0" xfId="11" applyNumberFormat="1"/>
    <xf numFmtId="172" fontId="2" fillId="0" borderId="0" xfId="11" applyNumberFormat="1"/>
    <xf numFmtId="0" fontId="6" fillId="0" borderId="1" xfId="0" applyFont="1" applyBorder="1"/>
    <xf numFmtId="0" fontId="14" fillId="0" borderId="0" xfId="1" applyFont="1" applyAlignment="1">
      <alignment horizontal="left" vertical="center" wrapText="1"/>
    </xf>
    <xf numFmtId="0" fontId="14" fillId="0" borderId="0" xfId="1" applyFont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9" fillId="8" borderId="8" xfId="0" applyFont="1" applyFill="1" applyBorder="1" applyAlignment="1">
      <alignment horizontal="left"/>
    </xf>
    <xf numFmtId="0" fontId="0" fillId="8" borderId="0" xfId="0" applyFill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166" fontId="0" fillId="8" borderId="0" xfId="0" applyNumberFormat="1" applyFill="1"/>
    <xf numFmtId="2" fontId="0" fillId="8" borderId="0" xfId="0" applyNumberFormat="1" applyFill="1"/>
    <xf numFmtId="2" fontId="1" fillId="8" borderId="1" xfId="5" applyNumberFormat="1" applyFont="1" applyFill="1" applyBorder="1"/>
    <xf numFmtId="2" fontId="0" fillId="13" borderId="1" xfId="0" applyNumberFormat="1" applyFill="1" applyBorder="1" applyAlignment="1">
      <alignment horizontal="right" vertical="center"/>
    </xf>
    <xf numFmtId="2" fontId="0" fillId="8" borderId="1" xfId="0" applyNumberFormat="1" applyFill="1" applyBorder="1" applyAlignment="1">
      <alignment horizontal="right" vertical="center"/>
    </xf>
    <xf numFmtId="1" fontId="0" fillId="3" borderId="38" xfId="0" applyNumberFormat="1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right" vertical="center"/>
    </xf>
    <xf numFmtId="1" fontId="0" fillId="3" borderId="7" xfId="0" applyNumberFormat="1" applyFill="1" applyBorder="1" applyAlignment="1">
      <alignment horizontal="center" vertical="center"/>
    </xf>
    <xf numFmtId="1" fontId="0" fillId="3" borderId="39" xfId="0" applyNumberForma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29" fillId="0" borderId="1" xfId="0" applyFont="1" applyBorder="1"/>
    <xf numFmtId="0" fontId="29" fillId="0" borderId="1" xfId="0" applyFont="1" applyBorder="1" applyAlignment="1">
      <alignment horizontal="center" vertical="center"/>
    </xf>
    <xf numFmtId="166" fontId="29" fillId="7" borderId="1" xfId="0" applyNumberFormat="1" applyFont="1" applyFill="1" applyBorder="1"/>
    <xf numFmtId="0" fontId="29" fillId="6" borderId="1" xfId="0" applyFont="1" applyFill="1" applyBorder="1"/>
    <xf numFmtId="1" fontId="29" fillId="19" borderId="1" xfId="0" applyNumberFormat="1" applyFont="1" applyFill="1" applyBorder="1"/>
    <xf numFmtId="0" fontId="29" fillId="7" borderId="1" xfId="0" applyFont="1" applyFill="1" applyBorder="1"/>
    <xf numFmtId="166" fontId="29" fillId="0" borderId="1" xfId="0" applyNumberFormat="1" applyFont="1" applyBorder="1"/>
    <xf numFmtId="2" fontId="29" fillId="0" borderId="1" xfId="0" applyNumberFormat="1" applyFont="1" applyBorder="1"/>
    <xf numFmtId="1" fontId="29" fillId="0" borderId="1" xfId="0" applyNumberFormat="1" applyFont="1" applyBorder="1"/>
    <xf numFmtId="0" fontId="29" fillId="0" borderId="0" xfId="0" applyFont="1"/>
    <xf numFmtId="166" fontId="29" fillId="8" borderId="1" xfId="0" applyNumberFormat="1" applyFont="1" applyFill="1" applyBorder="1"/>
    <xf numFmtId="0" fontId="29" fillId="8" borderId="1" xfId="0" applyFont="1" applyFill="1" applyBorder="1"/>
    <xf numFmtId="11" fontId="29" fillId="0" borderId="1" xfId="0" applyNumberFormat="1" applyFont="1" applyBorder="1" applyAlignment="1">
      <alignment horizontal="center" vertical="center"/>
    </xf>
    <xf numFmtId="1" fontId="29" fillId="8" borderId="1" xfId="0" applyNumberFormat="1" applyFont="1" applyFill="1" applyBorder="1"/>
    <xf numFmtId="0" fontId="0" fillId="15" borderId="3" xfId="0" applyFill="1" applyBorder="1"/>
    <xf numFmtId="0" fontId="7" fillId="10" borderId="1" xfId="0" applyFont="1" applyFill="1" applyBorder="1" applyAlignment="1">
      <alignment horizontal="center"/>
    </xf>
    <xf numFmtId="0" fontId="0" fillId="10" borderId="3" xfId="0" applyFill="1" applyBorder="1"/>
    <xf numFmtId="0" fontId="0" fillId="11" borderId="3" xfId="0" applyFill="1" applyBorder="1"/>
    <xf numFmtId="0" fontId="0" fillId="25" borderId="3" xfId="0" applyFill="1" applyBorder="1"/>
    <xf numFmtId="0" fontId="8" fillId="7" borderId="19" xfId="0" applyFont="1" applyFill="1" applyBorder="1" applyAlignment="1">
      <alignment vertical="center"/>
    </xf>
    <xf numFmtId="1" fontId="0" fillId="0" borderId="24" xfId="0" applyNumberFormat="1" applyBorder="1"/>
    <xf numFmtId="167" fontId="0" fillId="7" borderId="1" xfId="0" applyNumberFormat="1" applyFill="1" applyBorder="1"/>
    <xf numFmtId="0" fontId="0" fillId="26" borderId="0" xfId="0" applyFill="1"/>
    <xf numFmtId="1" fontId="0" fillId="7" borderId="24" xfId="0" applyNumberFormat="1" applyFill="1" applyBorder="1"/>
    <xf numFmtId="1" fontId="0" fillId="8" borderId="24" xfId="0" applyNumberFormat="1" applyFill="1" applyBorder="1"/>
    <xf numFmtId="0" fontId="0" fillId="8" borderId="45" xfId="0" applyFill="1" applyBorder="1"/>
    <xf numFmtId="166" fontId="0" fillId="6" borderId="1" xfId="0" applyNumberFormat="1" applyFill="1" applyBorder="1"/>
    <xf numFmtId="0" fontId="0" fillId="0" borderId="0" xfId="0" applyAlignment="1">
      <alignment horizontal="center" vertical="center" wrapText="1"/>
    </xf>
    <xf numFmtId="1" fontId="0" fillId="8" borderId="0" xfId="0" applyNumberFormat="1" applyFill="1"/>
    <xf numFmtId="0" fontId="0" fillId="18" borderId="18" xfId="0" applyFill="1" applyBorder="1"/>
    <xf numFmtId="0" fontId="0" fillId="11" borderId="1" xfId="0" applyFill="1" applyBorder="1"/>
    <xf numFmtId="0" fontId="0" fillId="11" borderId="18" xfId="0" applyFill="1" applyBorder="1"/>
    <xf numFmtId="1" fontId="0" fillId="8" borderId="19" xfId="0" applyNumberFormat="1" applyFill="1" applyBorder="1" applyAlignment="1">
      <alignment vertical="center"/>
    </xf>
    <xf numFmtId="0" fontId="0" fillId="11" borderId="1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 applyAlignment="1">
      <alignment horizontal="center" vertical="center"/>
    </xf>
    <xf numFmtId="0" fontId="0" fillId="14" borderId="0" xfId="0" applyFill="1"/>
    <xf numFmtId="166" fontId="2" fillId="0" borderId="0" xfId="11" applyNumberFormat="1"/>
    <xf numFmtId="0" fontId="2" fillId="7" borderId="1" xfId="11" applyFill="1" applyBorder="1"/>
    <xf numFmtId="0" fontId="2" fillId="28" borderId="1" xfId="11" applyFill="1" applyBorder="1"/>
    <xf numFmtId="0" fontId="2" fillId="17" borderId="1" xfId="11" applyFill="1" applyBorder="1"/>
    <xf numFmtId="0" fontId="2" fillId="0" borderId="32" xfId="11" applyBorder="1" applyAlignment="1">
      <alignment horizontal="center"/>
    </xf>
    <xf numFmtId="0" fontId="22" fillId="2" borderId="11" xfId="11" applyFont="1" applyFill="1" applyBorder="1" applyAlignment="1">
      <alignment horizontal="left" vertical="center"/>
    </xf>
    <xf numFmtId="164" fontId="0" fillId="0" borderId="9" xfId="12" applyFont="1" applyFill="1" applyBorder="1"/>
    <xf numFmtId="164" fontId="0" fillId="0" borderId="7" xfId="12" applyFont="1" applyFill="1" applyBorder="1"/>
    <xf numFmtId="0" fontId="26" fillId="0" borderId="13" xfId="11" applyFont="1" applyBorder="1" applyAlignment="1">
      <alignment horizontal="center" vertical="center" wrapText="1"/>
    </xf>
    <xf numFmtId="0" fontId="26" fillId="22" borderId="0" xfId="13" applyFont="1" applyFill="1"/>
    <xf numFmtId="17" fontId="26" fillId="22" borderId="0" xfId="13" applyNumberFormat="1" applyFont="1" applyFill="1"/>
    <xf numFmtId="173" fontId="26" fillId="22" borderId="0" xfId="14" applyNumberFormat="1" applyFont="1" applyFill="1"/>
    <xf numFmtId="0" fontId="1" fillId="0" borderId="0" xfId="13"/>
    <xf numFmtId="0" fontId="26" fillId="21" borderId="0" xfId="13" applyFont="1" applyFill="1"/>
    <xf numFmtId="14" fontId="26" fillId="21" borderId="0" xfId="13" applyNumberFormat="1" applyFont="1" applyFill="1"/>
    <xf numFmtId="0" fontId="33" fillId="21" borderId="0" xfId="13" applyFont="1" applyFill="1"/>
    <xf numFmtId="0" fontId="1" fillId="21" borderId="0" xfId="13" applyFill="1"/>
    <xf numFmtId="43" fontId="26" fillId="21" borderId="0" xfId="13" applyNumberFormat="1" applyFont="1" applyFill="1"/>
    <xf numFmtId="0" fontId="26" fillId="0" borderId="0" xfId="13" applyFont="1"/>
    <xf numFmtId="14" fontId="26" fillId="0" borderId="0" xfId="13" applyNumberFormat="1" applyFont="1"/>
    <xf numFmtId="0" fontId="33" fillId="0" borderId="0" xfId="13" applyFont="1"/>
    <xf numFmtId="43" fontId="34" fillId="0" borderId="0" xfId="14" applyFont="1" applyFill="1"/>
    <xf numFmtId="0" fontId="35" fillId="0" borderId="0" xfId="13" applyFont="1"/>
    <xf numFmtId="43" fontId="33" fillId="0" borderId="0" xfId="14" applyFont="1" applyFill="1"/>
    <xf numFmtId="43" fontId="33" fillId="0" borderId="0" xfId="14" applyFont="1"/>
    <xf numFmtId="43" fontId="26" fillId="0" borderId="0" xfId="13" applyNumberFormat="1" applyFont="1"/>
    <xf numFmtId="175" fontId="1" fillId="0" borderId="0" xfId="13" applyNumberFormat="1"/>
    <xf numFmtId="173" fontId="26" fillId="0" borderId="0" xfId="14" applyNumberFormat="1" applyFont="1" applyFill="1"/>
    <xf numFmtId="43" fontId="1" fillId="0" borderId="0" xfId="13" applyNumberFormat="1"/>
    <xf numFmtId="175" fontId="0" fillId="0" borderId="0" xfId="14" applyNumberFormat="1" applyFont="1" applyFill="1"/>
    <xf numFmtId="49" fontId="1" fillId="21" borderId="0" xfId="13" applyNumberFormat="1" applyFill="1" applyAlignment="1">
      <alignment horizontal="left"/>
    </xf>
    <xf numFmtId="0" fontId="37" fillId="21" borderId="0" xfId="13" applyFont="1" applyFill="1"/>
    <xf numFmtId="0" fontId="37" fillId="0" borderId="0" xfId="13" applyFont="1"/>
    <xf numFmtId="49" fontId="1" fillId="0" borderId="0" xfId="13" applyNumberFormat="1" applyAlignment="1">
      <alignment horizontal="left"/>
    </xf>
    <xf numFmtId="176" fontId="1" fillId="0" borderId="0" xfId="13" applyNumberFormat="1"/>
    <xf numFmtId="49" fontId="35" fillId="21" borderId="0" xfId="13" applyNumberFormat="1" applyFont="1" applyFill="1" applyAlignment="1">
      <alignment horizontal="left"/>
    </xf>
    <xf numFmtId="49" fontId="35" fillId="0" borderId="0" xfId="13" applyNumberFormat="1" applyFont="1" applyAlignment="1">
      <alignment horizontal="left"/>
    </xf>
    <xf numFmtId="1" fontId="35" fillId="21" borderId="0" xfId="13" applyNumberFormat="1" applyFont="1" applyFill="1" applyAlignment="1">
      <alignment horizontal="left"/>
    </xf>
    <xf numFmtId="1" fontId="35" fillId="0" borderId="0" xfId="13" applyNumberFormat="1" applyFont="1" applyAlignment="1">
      <alignment horizontal="left"/>
    </xf>
    <xf numFmtId="49" fontId="35" fillId="21" borderId="0" xfId="13" applyNumberFormat="1" applyFont="1" applyFill="1"/>
    <xf numFmtId="49" fontId="35" fillId="0" borderId="0" xfId="13" applyNumberFormat="1" applyFont="1"/>
    <xf numFmtId="0" fontId="35" fillId="21" borderId="0" xfId="13" applyFont="1" applyFill="1"/>
    <xf numFmtId="0" fontId="26" fillId="0" borderId="0" xfId="13" applyFont="1" applyAlignment="1">
      <alignment horizontal="center" wrapText="1"/>
    </xf>
    <xf numFmtId="0" fontId="35" fillId="21" borderId="0" xfId="13" applyFont="1" applyFill="1" applyAlignment="1">
      <alignment horizontal="left"/>
    </xf>
    <xf numFmtId="0" fontId="35" fillId="0" borderId="0" xfId="13" applyFont="1" applyAlignment="1">
      <alignment horizontal="left"/>
    </xf>
    <xf numFmtId="0" fontId="33" fillId="29" borderId="0" xfId="13" applyFont="1" applyFill="1"/>
    <xf numFmtId="0" fontId="26" fillId="29" borderId="0" xfId="13" applyFont="1" applyFill="1"/>
    <xf numFmtId="14" fontId="26" fillId="29" borderId="0" xfId="13" applyNumberFormat="1" applyFont="1" applyFill="1"/>
    <xf numFmtId="0" fontId="35" fillId="29" borderId="0" xfId="13" applyFont="1" applyFill="1"/>
    <xf numFmtId="43" fontId="26" fillId="29" borderId="0" xfId="13" applyNumberFormat="1" applyFont="1" applyFill="1"/>
    <xf numFmtId="14" fontId="33" fillId="29" borderId="0" xfId="13" applyNumberFormat="1" applyFont="1" applyFill="1"/>
    <xf numFmtId="14" fontId="33" fillId="0" borderId="0" xfId="13" applyNumberFormat="1" applyFont="1"/>
    <xf numFmtId="43" fontId="26" fillId="29" borderId="0" xfId="13" applyNumberFormat="1" applyFont="1" applyFill="1" applyAlignment="1">
      <alignment horizontal="center"/>
    </xf>
    <xf numFmtId="43" fontId="34" fillId="0" borderId="0" xfId="14" applyFont="1" applyFill="1" applyAlignment="1">
      <alignment horizontal="center"/>
    </xf>
    <xf numFmtId="43" fontId="26" fillId="0" borderId="0" xfId="13" applyNumberFormat="1" applyFont="1" applyAlignment="1">
      <alignment horizontal="center"/>
    </xf>
    <xf numFmtId="175" fontId="1" fillId="0" borderId="0" xfId="13" applyNumberFormat="1" applyAlignment="1">
      <alignment horizontal="center"/>
    </xf>
    <xf numFmtId="43" fontId="1" fillId="0" borderId="0" xfId="13" applyNumberFormat="1" applyAlignment="1">
      <alignment horizontal="center"/>
    </xf>
    <xf numFmtId="43" fontId="26" fillId="30" borderId="0" xfId="14" applyFont="1" applyFill="1"/>
    <xf numFmtId="173" fontId="0" fillId="0" borderId="0" xfId="14" applyNumberFormat="1" applyFont="1"/>
    <xf numFmtId="0" fontId="1" fillId="19" borderId="0" xfId="13" applyFill="1"/>
    <xf numFmtId="0" fontId="0" fillId="19" borderId="18" xfId="0" applyFill="1" applyBorder="1" applyAlignment="1">
      <alignment horizontal="center"/>
    </xf>
    <xf numFmtId="0" fontId="0" fillId="19" borderId="18" xfId="0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8" xfId="0" applyFill="1" applyBorder="1"/>
    <xf numFmtId="0" fontId="0" fillId="19" borderId="19" xfId="0" applyFill="1" applyBorder="1" applyAlignment="1">
      <alignment vertical="center"/>
    </xf>
    <xf numFmtId="0" fontId="0" fillId="19" borderId="1" xfId="0" applyFill="1" applyBorder="1" applyAlignment="1">
      <alignment horizontal="center"/>
    </xf>
    <xf numFmtId="0" fontId="26" fillId="19" borderId="0" xfId="13" applyFont="1" applyFill="1"/>
    <xf numFmtId="49" fontId="1" fillId="19" borderId="0" xfId="13" applyNumberFormat="1" applyFill="1" applyAlignment="1">
      <alignment horizontal="left"/>
    </xf>
    <xf numFmtId="49" fontId="35" fillId="19" borderId="0" xfId="13" applyNumberFormat="1" applyFont="1" applyFill="1" applyAlignment="1">
      <alignment horizontal="left"/>
    </xf>
    <xf numFmtId="1" fontId="35" fillId="19" borderId="0" xfId="13" applyNumberFormat="1" applyFont="1" applyFill="1" applyAlignment="1">
      <alignment horizontal="left"/>
    </xf>
    <xf numFmtId="49" fontId="35" fillId="19" borderId="0" xfId="13" applyNumberFormat="1" applyFont="1" applyFill="1"/>
    <xf numFmtId="0" fontId="35" fillId="19" borderId="0" xfId="13" applyFont="1" applyFill="1"/>
    <xf numFmtId="0" fontId="35" fillId="19" borderId="0" xfId="13" applyFont="1" applyFill="1" applyAlignment="1">
      <alignment horizontal="left"/>
    </xf>
    <xf numFmtId="0" fontId="33" fillId="19" borderId="0" xfId="13" applyFont="1" applyFill="1"/>
    <xf numFmtId="0" fontId="0" fillId="27" borderId="0" xfId="0" applyFill="1"/>
    <xf numFmtId="0" fontId="0" fillId="19" borderId="24" xfId="0" applyFill="1" applyBorder="1" applyAlignment="1">
      <alignment horizontal="center"/>
    </xf>
    <xf numFmtId="0" fontId="0" fillId="19" borderId="24" xfId="0" applyFill="1" applyBorder="1" applyAlignment="1">
      <alignment horizontal="center" vertical="center"/>
    </xf>
    <xf numFmtId="0" fontId="0" fillId="27" borderId="51" xfId="0" applyFill="1" applyBorder="1"/>
    <xf numFmtId="0" fontId="0" fillId="27" borderId="52" xfId="0" applyFill="1" applyBorder="1"/>
    <xf numFmtId="0" fontId="31" fillId="27" borderId="52" xfId="0" applyFont="1" applyFill="1" applyBorder="1"/>
    <xf numFmtId="0" fontId="26" fillId="27" borderId="52" xfId="13" applyFont="1" applyFill="1" applyBorder="1"/>
    <xf numFmtId="0" fontId="0" fillId="27" borderId="53" xfId="0" applyFill="1" applyBorder="1"/>
    <xf numFmtId="0" fontId="0" fillId="27" borderId="54" xfId="0" applyFill="1" applyBorder="1"/>
    <xf numFmtId="0" fontId="31" fillId="27" borderId="0" xfId="0" applyFont="1" applyFill="1"/>
    <xf numFmtId="0" fontId="26" fillId="27" borderId="0" xfId="13" applyFont="1" applyFill="1"/>
    <xf numFmtId="0" fontId="0" fillId="27" borderId="55" xfId="0" applyFill="1" applyBorder="1"/>
    <xf numFmtId="0" fontId="1" fillId="27" borderId="0" xfId="13" applyFill="1"/>
    <xf numFmtId="0" fontId="0" fillId="27" borderId="56" xfId="0" applyFill="1" applyBorder="1"/>
    <xf numFmtId="0" fontId="0" fillId="27" borderId="50" xfId="0" applyFill="1" applyBorder="1"/>
    <xf numFmtId="0" fontId="31" fillId="27" borderId="50" xfId="0" applyFont="1" applyFill="1" applyBorder="1"/>
    <xf numFmtId="0" fontId="1" fillId="27" borderId="50" xfId="13" applyFill="1" applyBorder="1"/>
    <xf numFmtId="0" fontId="0" fillId="27" borderId="57" xfId="0" applyFill="1" applyBorder="1"/>
    <xf numFmtId="0" fontId="0" fillId="25" borderId="51" xfId="0" applyFill="1" applyBorder="1"/>
    <xf numFmtId="0" fontId="0" fillId="25" borderId="52" xfId="0" applyFill="1" applyBorder="1"/>
    <xf numFmtId="0" fontId="31" fillId="25" borderId="52" xfId="0" applyFont="1" applyFill="1" applyBorder="1"/>
    <xf numFmtId="0" fontId="26" fillId="25" borderId="52" xfId="13" applyFont="1" applyFill="1" applyBorder="1"/>
    <xf numFmtId="0" fontId="0" fillId="25" borderId="53" xfId="0" applyFill="1" applyBorder="1"/>
    <xf numFmtId="0" fontId="0" fillId="25" borderId="54" xfId="0" applyFill="1" applyBorder="1"/>
    <xf numFmtId="0" fontId="0" fillId="25" borderId="0" xfId="0" applyFill="1"/>
    <xf numFmtId="0" fontId="31" fillId="25" borderId="0" xfId="0" applyFont="1" applyFill="1"/>
    <xf numFmtId="0" fontId="26" fillId="25" borderId="0" xfId="13" applyFont="1" applyFill="1"/>
    <xf numFmtId="0" fontId="0" fillId="25" borderId="55" xfId="0" applyFill="1" applyBorder="1"/>
    <xf numFmtId="0" fontId="1" fillId="25" borderId="0" xfId="13" applyFill="1"/>
    <xf numFmtId="0" fontId="0" fillId="25" borderId="56" xfId="0" applyFill="1" applyBorder="1"/>
    <xf numFmtId="0" fontId="0" fillId="25" borderId="50" xfId="0" applyFill="1" applyBorder="1"/>
    <xf numFmtId="0" fontId="31" fillId="25" borderId="50" xfId="0" applyFont="1" applyFill="1" applyBorder="1"/>
    <xf numFmtId="0" fontId="1" fillId="25" borderId="50" xfId="13" applyFill="1" applyBorder="1"/>
    <xf numFmtId="0" fontId="0" fillId="25" borderId="57" xfId="0" applyFill="1" applyBorder="1"/>
    <xf numFmtId="0" fontId="0" fillId="23" borderId="51" xfId="0" applyFill="1" applyBorder="1"/>
    <xf numFmtId="0" fontId="0" fillId="23" borderId="52" xfId="0" applyFill="1" applyBorder="1"/>
    <xf numFmtId="0" fontId="31" fillId="23" borderId="52" xfId="0" applyFont="1" applyFill="1" applyBorder="1"/>
    <xf numFmtId="0" fontId="26" fillId="23" borderId="52" xfId="13" applyFont="1" applyFill="1" applyBorder="1"/>
    <xf numFmtId="0" fontId="0" fillId="23" borderId="53" xfId="0" applyFill="1" applyBorder="1"/>
    <xf numFmtId="0" fontId="0" fillId="23" borderId="54" xfId="0" applyFill="1" applyBorder="1"/>
    <xf numFmtId="0" fontId="0" fillId="23" borderId="0" xfId="0" applyFill="1"/>
    <xf numFmtId="0" fontId="31" fillId="23" borderId="0" xfId="0" applyFont="1" applyFill="1"/>
    <xf numFmtId="0" fontId="26" fillId="23" borderId="0" xfId="13" applyFont="1" applyFill="1"/>
    <xf numFmtId="0" fontId="0" fillId="23" borderId="55" xfId="0" applyFill="1" applyBorder="1"/>
    <xf numFmtId="0" fontId="1" fillId="23" borderId="0" xfId="13" applyFill="1"/>
    <xf numFmtId="0" fontId="0" fillId="23" borderId="56" xfId="0" applyFill="1" applyBorder="1"/>
    <xf numFmtId="0" fontId="0" fillId="23" borderId="50" xfId="0" applyFill="1" applyBorder="1"/>
    <xf numFmtId="0" fontId="31" fillId="23" borderId="50" xfId="0" applyFont="1" applyFill="1" applyBorder="1"/>
    <xf numFmtId="0" fontId="1" fillId="23" borderId="50" xfId="13" applyFill="1" applyBorder="1"/>
    <xf numFmtId="0" fontId="0" fillId="23" borderId="57" xfId="0" applyFill="1" applyBorder="1"/>
    <xf numFmtId="0" fontId="0" fillId="19" borderId="7" xfId="0" applyFill="1" applyBorder="1" applyAlignment="1">
      <alignment horizontal="center"/>
    </xf>
    <xf numFmtId="0" fontId="0" fillId="19" borderId="7" xfId="0" applyFill="1" applyBorder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10" borderId="51" xfId="0" applyFill="1" applyBorder="1"/>
    <xf numFmtId="0" fontId="0" fillId="10" borderId="52" xfId="0" applyFill="1" applyBorder="1"/>
    <xf numFmtId="0" fontId="31" fillId="10" borderId="52" xfId="0" applyFont="1" applyFill="1" applyBorder="1"/>
    <xf numFmtId="0" fontId="26" fillId="10" borderId="52" xfId="13" applyFont="1" applyFill="1" applyBorder="1"/>
    <xf numFmtId="0" fontId="0" fillId="10" borderId="53" xfId="0" applyFill="1" applyBorder="1"/>
    <xf numFmtId="0" fontId="0" fillId="10" borderId="54" xfId="0" applyFill="1" applyBorder="1"/>
    <xf numFmtId="0" fontId="31" fillId="10" borderId="0" xfId="0" applyFont="1" applyFill="1"/>
    <xf numFmtId="0" fontId="26" fillId="10" borderId="0" xfId="13" applyFont="1" applyFill="1"/>
    <xf numFmtId="0" fontId="0" fillId="10" borderId="55" xfId="0" applyFill="1" applyBorder="1"/>
    <xf numFmtId="0" fontId="1" fillId="10" borderId="0" xfId="13" applyFill="1"/>
    <xf numFmtId="0" fontId="0" fillId="10" borderId="56" xfId="0" applyFill="1" applyBorder="1"/>
    <xf numFmtId="0" fontId="0" fillId="10" borderId="50" xfId="0" applyFill="1" applyBorder="1"/>
    <xf numFmtId="0" fontId="31" fillId="10" borderId="50" xfId="0" applyFont="1" applyFill="1" applyBorder="1"/>
    <xf numFmtId="0" fontId="1" fillId="10" borderId="50" xfId="13" applyFill="1" applyBorder="1"/>
    <xf numFmtId="0" fontId="0" fillId="10" borderId="57" xfId="0" applyFill="1" applyBorder="1"/>
    <xf numFmtId="0" fontId="8" fillId="19" borderId="18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24" xfId="0" applyFont="1" applyFill="1" applyBorder="1" applyAlignment="1">
      <alignment horizontal="center" vertical="center"/>
    </xf>
    <xf numFmtId="0" fontId="0" fillId="12" borderId="51" xfId="0" applyFill="1" applyBorder="1"/>
    <xf numFmtId="0" fontId="0" fillId="12" borderId="52" xfId="0" applyFill="1" applyBorder="1"/>
    <xf numFmtId="0" fontId="31" fillId="12" borderId="52" xfId="0" applyFont="1" applyFill="1" applyBorder="1"/>
    <xf numFmtId="0" fontId="26" fillId="12" borderId="52" xfId="13" applyFont="1" applyFill="1" applyBorder="1"/>
    <xf numFmtId="0" fontId="0" fillId="12" borderId="53" xfId="0" applyFill="1" applyBorder="1"/>
    <xf numFmtId="0" fontId="0" fillId="12" borderId="54" xfId="0" applyFill="1" applyBorder="1"/>
    <xf numFmtId="0" fontId="0" fillId="12" borderId="0" xfId="0" applyFill="1"/>
    <xf numFmtId="0" fontId="31" fillId="12" borderId="0" xfId="0" applyFont="1" applyFill="1"/>
    <xf numFmtId="0" fontId="26" fillId="12" borderId="0" xfId="13" applyFont="1" applyFill="1"/>
    <xf numFmtId="0" fontId="0" fillId="12" borderId="55" xfId="0" applyFill="1" applyBorder="1"/>
    <xf numFmtId="0" fontId="1" fillId="12" borderId="0" xfId="13" applyFill="1"/>
    <xf numFmtId="0" fontId="0" fillId="12" borderId="56" xfId="0" applyFill="1" applyBorder="1"/>
    <xf numFmtId="0" fontId="0" fillId="12" borderId="50" xfId="0" applyFill="1" applyBorder="1"/>
    <xf numFmtId="0" fontId="31" fillId="12" borderId="50" xfId="0" applyFont="1" applyFill="1" applyBorder="1"/>
    <xf numFmtId="0" fontId="1" fillId="12" borderId="50" xfId="13" applyFill="1" applyBorder="1"/>
    <xf numFmtId="0" fontId="0" fillId="12" borderId="57" xfId="0" applyFill="1" applyBorder="1"/>
    <xf numFmtId="0" fontId="8" fillId="19" borderId="44" xfId="0" applyFont="1" applyFill="1" applyBorder="1" applyAlignment="1">
      <alignment horizontal="center" vertical="center"/>
    </xf>
    <xf numFmtId="0" fontId="8" fillId="19" borderId="2" xfId="0" applyFont="1" applyFill="1" applyBorder="1" applyAlignment="1">
      <alignment horizontal="center" vertical="center"/>
    </xf>
    <xf numFmtId="0" fontId="0" fillId="8" borderId="54" xfId="0" applyFill="1" applyBorder="1"/>
    <xf numFmtId="0" fontId="0" fillId="8" borderId="55" xfId="0" applyFill="1" applyBorder="1"/>
    <xf numFmtId="0" fontId="0" fillId="11" borderId="51" xfId="0" applyFill="1" applyBorder="1"/>
    <xf numFmtId="0" fontId="0" fillId="11" borderId="52" xfId="0" applyFill="1" applyBorder="1"/>
    <xf numFmtId="0" fontId="31" fillId="11" borderId="52" xfId="0" applyFont="1" applyFill="1" applyBorder="1"/>
    <xf numFmtId="0" fontId="26" fillId="11" borderId="52" xfId="13" applyFont="1" applyFill="1" applyBorder="1"/>
    <xf numFmtId="0" fontId="0" fillId="11" borderId="53" xfId="0" applyFill="1" applyBorder="1"/>
    <xf numFmtId="0" fontId="0" fillId="11" borderId="54" xfId="0" applyFill="1" applyBorder="1"/>
    <xf numFmtId="0" fontId="0" fillId="11" borderId="0" xfId="0" applyFill="1"/>
    <xf numFmtId="0" fontId="31" fillId="11" borderId="0" xfId="0" applyFont="1" applyFill="1"/>
    <xf numFmtId="0" fontId="26" fillId="11" borderId="0" xfId="13" applyFont="1" applyFill="1"/>
    <xf numFmtId="0" fontId="0" fillId="11" borderId="55" xfId="0" applyFill="1" applyBorder="1"/>
    <xf numFmtId="0" fontId="1" fillId="11" borderId="0" xfId="13" applyFill="1"/>
    <xf numFmtId="0" fontId="0" fillId="11" borderId="50" xfId="0" applyFill="1" applyBorder="1"/>
    <xf numFmtId="0" fontId="0" fillId="11" borderId="57" xfId="0" applyFill="1" applyBorder="1"/>
    <xf numFmtId="0" fontId="31" fillId="11" borderId="50" xfId="0" applyFont="1" applyFill="1" applyBorder="1"/>
    <xf numFmtId="0" fontId="1" fillId="11" borderId="50" xfId="13" applyFill="1" applyBorder="1"/>
    <xf numFmtId="0" fontId="0" fillId="19" borderId="9" xfId="0" applyFill="1" applyBorder="1" applyAlignment="1">
      <alignment horizontal="center"/>
    </xf>
    <xf numFmtId="0" fontId="0" fillId="19" borderId="9" xfId="0" applyFill="1" applyBorder="1" applyAlignment="1">
      <alignment horizontal="center" vertical="center"/>
    </xf>
    <xf numFmtId="0" fontId="26" fillId="22" borderId="0" xfId="0" applyFont="1" applyFill="1"/>
    <xf numFmtId="0" fontId="32" fillId="0" borderId="0" xfId="0" applyFont="1"/>
    <xf numFmtId="43" fontId="26" fillId="21" borderId="0" xfId="0" applyNumberFormat="1" applyFont="1" applyFill="1"/>
    <xf numFmtId="0" fontId="0" fillId="21" borderId="0" xfId="0" applyFill="1"/>
    <xf numFmtId="43" fontId="36" fillId="0" borderId="0" xfId="0" applyNumberFormat="1" applyFont="1"/>
    <xf numFmtId="174" fontId="32" fillId="0" borderId="0" xfId="0" applyNumberFormat="1" applyFont="1"/>
    <xf numFmtId="43" fontId="26" fillId="0" borderId="0" xfId="0" applyNumberFormat="1" applyFont="1"/>
    <xf numFmtId="0" fontId="26" fillId="0" borderId="0" xfId="0" applyFont="1"/>
    <xf numFmtId="43" fontId="0" fillId="0" borderId="0" xfId="0" applyNumberFormat="1"/>
    <xf numFmtId="0" fontId="0" fillId="29" borderId="0" xfId="0" applyFill="1"/>
    <xf numFmtId="0" fontId="26" fillId="30" borderId="0" xfId="0" applyFont="1" applyFill="1"/>
    <xf numFmtId="43" fontId="26" fillId="27" borderId="0" xfId="0" applyNumberFormat="1" applyFont="1" applyFill="1"/>
    <xf numFmtId="174" fontId="26" fillId="31" borderId="0" xfId="0" applyNumberFormat="1" applyFont="1" applyFill="1"/>
    <xf numFmtId="0" fontId="0" fillId="31" borderId="0" xfId="0" applyFill="1"/>
    <xf numFmtId="0" fontId="26" fillId="27" borderId="0" xfId="0" applyFont="1" applyFill="1"/>
    <xf numFmtId="0" fontId="26" fillId="31" borderId="0" xfId="0" applyFont="1" applyFill="1"/>
    <xf numFmtId="43" fontId="0" fillId="31" borderId="0" xfId="0" applyNumberFormat="1" applyFill="1"/>
    <xf numFmtId="43" fontId="0" fillId="0" borderId="0" xfId="14" applyFont="1"/>
    <xf numFmtId="177" fontId="0" fillId="0" borderId="0" xfId="0" applyNumberFormat="1"/>
    <xf numFmtId="2" fontId="1" fillId="0" borderId="1" xfId="5" applyNumberFormat="1" applyFont="1" applyFill="1" applyBorder="1"/>
    <xf numFmtId="0" fontId="0" fillId="23" borderId="1" xfId="0" applyFill="1" applyBorder="1" applyAlignment="1">
      <alignment horizontal="center"/>
    </xf>
    <xf numFmtId="0" fontId="0" fillId="23" borderId="33" xfId="0" applyFill="1" applyBorder="1" applyAlignment="1">
      <alignment horizontal="center"/>
    </xf>
    <xf numFmtId="0" fontId="0" fillId="23" borderId="1" xfId="0" applyFill="1" applyBorder="1"/>
    <xf numFmtId="0" fontId="0" fillId="23" borderId="1" xfId="0" applyFill="1" applyBorder="1" applyAlignment="1">
      <alignment horizontal="center" vertical="center"/>
    </xf>
    <xf numFmtId="0" fontId="0" fillId="23" borderId="37" xfId="0" applyFill="1" applyBorder="1" applyAlignment="1">
      <alignment horizontal="center"/>
    </xf>
    <xf numFmtId="0" fontId="0" fillId="23" borderId="2" xfId="0" applyFill="1" applyBorder="1" applyAlignment="1">
      <alignment horizontal="center" vertical="center"/>
    </xf>
    <xf numFmtId="0" fontId="0" fillId="23" borderId="33" xfId="0" applyFill="1" applyBorder="1" applyAlignment="1">
      <alignment horizontal="center" vertical="center"/>
    </xf>
    <xf numFmtId="1" fontId="0" fillId="23" borderId="36" xfId="0" applyNumberFormat="1" applyFill="1" applyBorder="1" applyAlignment="1">
      <alignment horizontal="center" vertical="center"/>
    </xf>
    <xf numFmtId="0" fontId="0" fillId="23" borderId="3" xfId="0" applyFill="1" applyBorder="1"/>
    <xf numFmtId="0" fontId="0" fillId="23" borderId="33" xfId="0" applyFill="1" applyBorder="1"/>
    <xf numFmtId="0" fontId="0" fillId="23" borderId="0" xfId="0" applyFill="1" applyAlignment="1">
      <alignment horizontal="center"/>
    </xf>
    <xf numFmtId="0" fontId="0" fillId="3" borderId="33" xfId="0" applyFill="1" applyBorder="1"/>
    <xf numFmtId="2" fontId="0" fillId="3" borderId="33" xfId="0" applyNumberFormat="1" applyFill="1" applyBorder="1"/>
    <xf numFmtId="2" fontId="0" fillId="3" borderId="0" xfId="0" applyNumberFormat="1" applyFill="1"/>
    <xf numFmtId="0" fontId="15" fillId="0" borderId="1" xfId="1" applyFont="1" applyBorder="1" applyAlignment="1">
      <alignment horizontal="center" vertical="center" wrapText="1"/>
    </xf>
    <xf numFmtId="178" fontId="1" fillId="0" borderId="0" xfId="13" applyNumberFormat="1"/>
    <xf numFmtId="0" fontId="15" fillId="0" borderId="1" xfId="1" applyFont="1" applyBorder="1" applyAlignment="1">
      <alignment vertical="center"/>
    </xf>
    <xf numFmtId="1" fontId="0" fillId="19" borderId="18" xfId="0" applyNumberFormat="1" applyFill="1" applyBorder="1"/>
    <xf numFmtId="1" fontId="0" fillId="0" borderId="18" xfId="0" applyNumberFormat="1" applyBorder="1"/>
    <xf numFmtId="39" fontId="34" fillId="0" borderId="0" xfId="14" applyNumberFormat="1" applyFont="1" applyFill="1"/>
    <xf numFmtId="0" fontId="18" fillId="0" borderId="11" xfId="1" applyFont="1" applyBorder="1" applyAlignment="1">
      <alignment horizontal="center" vertical="center"/>
    </xf>
    <xf numFmtId="0" fontId="18" fillId="0" borderId="16" xfId="1" applyFont="1" applyBorder="1" applyAlignment="1">
      <alignment horizontal="center" vertical="center"/>
    </xf>
    <xf numFmtId="0" fontId="18" fillId="0" borderId="4" xfId="1" applyFont="1" applyBorder="1" applyAlignment="1">
      <alignment horizontal="center" vertical="center"/>
    </xf>
    <xf numFmtId="0" fontId="18" fillId="0" borderId="4" xfId="1" applyFont="1" applyBorder="1" applyAlignment="1">
      <alignment horizontal="center" vertical="center" wrapText="1"/>
    </xf>
    <xf numFmtId="0" fontId="18" fillId="0" borderId="3" xfId="1" applyFont="1" applyBorder="1" applyAlignment="1">
      <alignment horizontal="center" vertical="center" wrapText="1"/>
    </xf>
    <xf numFmtId="14" fontId="18" fillId="0" borderId="16" xfId="1" applyNumberFormat="1" applyFont="1" applyBorder="1" applyAlignment="1">
      <alignment horizontal="center" vertical="top"/>
    </xf>
    <xf numFmtId="0" fontId="0" fillId="3" borderId="18" xfId="0" applyFill="1" applyBorder="1"/>
    <xf numFmtId="0" fontId="33" fillId="29" borderId="0" xfId="13" applyFont="1" applyFill="1" applyAlignment="1">
      <alignment wrapText="1"/>
    </xf>
    <xf numFmtId="3" fontId="0" fillId="0" borderId="0" xfId="0" applyNumberFormat="1"/>
    <xf numFmtId="0" fontId="0" fillId="14" borderId="1" xfId="0" applyFill="1" applyBorder="1"/>
    <xf numFmtId="2" fontId="30" fillId="24" borderId="1" xfId="5" applyNumberFormat="1" applyFont="1" applyFill="1" applyBorder="1"/>
    <xf numFmtId="2" fontId="1" fillId="24" borderId="1" xfId="5" applyNumberFormat="1" applyFont="1" applyFill="1" applyBorder="1"/>
    <xf numFmtId="2" fontId="1" fillId="24" borderId="1" xfId="5" applyNumberFormat="1" applyFont="1" applyFill="1" applyBorder="1" applyAlignment="1">
      <alignment horizontal="right" wrapText="1"/>
    </xf>
    <xf numFmtId="166" fontId="0" fillId="8" borderId="1" xfId="0" applyNumberFormat="1" applyFill="1" applyBorder="1"/>
    <xf numFmtId="0" fontId="7" fillId="7" borderId="7" xfId="0" applyFont="1" applyFill="1" applyBorder="1" applyAlignment="1">
      <alignment horizontal="center"/>
    </xf>
    <xf numFmtId="0" fontId="7" fillId="7" borderId="9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11" borderId="2" xfId="0" applyFont="1" applyFill="1" applyBorder="1" applyAlignment="1">
      <alignment horizontal="center"/>
    </xf>
    <xf numFmtId="0" fontId="7" fillId="11" borderId="4" xfId="0" applyFont="1" applyFill="1" applyBorder="1" applyAlignment="1">
      <alignment horizontal="center"/>
    </xf>
    <xf numFmtId="0" fontId="7" fillId="11" borderId="3" xfId="0" applyFont="1" applyFill="1" applyBorder="1" applyAlignment="1">
      <alignment horizontal="center"/>
    </xf>
    <xf numFmtId="0" fontId="7" fillId="7" borderId="2" xfId="0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7" fillId="7" borderId="7" xfId="0" applyFont="1" applyFill="1" applyBorder="1" applyAlignment="1">
      <alignment horizontal="center" vertical="center"/>
    </xf>
    <xf numFmtId="0" fontId="7" fillId="7" borderId="9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/>
    </xf>
    <xf numFmtId="0" fontId="7" fillId="10" borderId="3" xfId="0" applyFont="1" applyFill="1" applyBorder="1" applyAlignment="1">
      <alignment horizontal="center"/>
    </xf>
    <xf numFmtId="0" fontId="0" fillId="14" borderId="18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7" fillId="13" borderId="2" xfId="0" applyFont="1" applyFill="1" applyBorder="1" applyAlignment="1">
      <alignment horizontal="center"/>
    </xf>
    <xf numFmtId="0" fontId="7" fillId="13" borderId="3" xfId="0" applyFont="1" applyFill="1" applyBorder="1" applyAlignment="1">
      <alignment horizontal="center"/>
    </xf>
    <xf numFmtId="0" fontId="0" fillId="14" borderId="24" xfId="0" applyFill="1" applyBorder="1" applyAlignment="1">
      <alignment horizontal="center" vertical="center"/>
    </xf>
    <xf numFmtId="1" fontId="0" fillId="14" borderId="20" xfId="0" applyNumberFormat="1" applyFill="1" applyBorder="1" applyAlignment="1">
      <alignment horizontal="center" vertical="center"/>
    </xf>
    <xf numFmtId="0" fontId="0" fillId="14" borderId="26" xfId="0" applyFill="1" applyBorder="1" applyAlignment="1">
      <alignment horizontal="center" vertical="center"/>
    </xf>
    <xf numFmtId="1" fontId="0" fillId="14" borderId="18" xfId="0" applyNumberFormat="1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25" xfId="0" applyFill="1" applyBorder="1" applyAlignment="1">
      <alignment horizontal="center" vertical="center"/>
    </xf>
    <xf numFmtId="0" fontId="0" fillId="14" borderId="27" xfId="0" applyFill="1" applyBorder="1" applyAlignment="1">
      <alignment horizontal="center" vertical="center"/>
    </xf>
    <xf numFmtId="0" fontId="0" fillId="14" borderId="28" xfId="0" applyFill="1" applyBorder="1" applyAlignment="1">
      <alignment horizontal="center" vertical="center"/>
    </xf>
    <xf numFmtId="0" fontId="0" fillId="14" borderId="29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30" xfId="0" applyFill="1" applyBorder="1" applyAlignment="1">
      <alignment horizontal="center" vertical="center"/>
    </xf>
    <xf numFmtId="1" fontId="0" fillId="14" borderId="1" xfId="0" applyNumberFormat="1" applyFill="1" applyBorder="1" applyAlignment="1">
      <alignment horizontal="center" vertical="center"/>
    </xf>
    <xf numFmtId="1" fontId="0" fillId="14" borderId="19" xfId="0" applyNumberFormat="1" applyFill="1" applyBorder="1" applyAlignment="1">
      <alignment horizontal="center" vertical="center"/>
    </xf>
    <xf numFmtId="0" fontId="0" fillId="14" borderId="31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1" fontId="0" fillId="14" borderId="31" xfId="0" applyNumberFormat="1" applyFill="1" applyBorder="1" applyAlignment="1">
      <alignment horizontal="center" vertical="center"/>
    </xf>
    <xf numFmtId="1" fontId="0" fillId="14" borderId="27" xfId="0" applyNumberFormat="1" applyFill="1" applyBorder="1" applyAlignment="1">
      <alignment horizontal="center" vertical="center"/>
    </xf>
    <xf numFmtId="0" fontId="0" fillId="0" borderId="0" xfId="0" applyAlignment="1">
      <alignment horizontal="center" textRotation="90"/>
    </xf>
    <xf numFmtId="1" fontId="0" fillId="14" borderId="7" xfId="0" applyNumberFormat="1" applyFill="1" applyBorder="1" applyAlignment="1">
      <alignment horizontal="center" vertical="center"/>
    </xf>
    <xf numFmtId="1" fontId="0" fillId="14" borderId="8" xfId="0" applyNumberFormat="1" applyFill="1" applyBorder="1" applyAlignment="1">
      <alignment horizontal="center" vertical="center"/>
    </xf>
    <xf numFmtId="1" fontId="0" fillId="14" borderId="25" xfId="0" applyNumberFormat="1" applyFill="1" applyBorder="1" applyAlignment="1">
      <alignment horizontal="center" vertical="center"/>
    </xf>
    <xf numFmtId="1" fontId="0" fillId="14" borderId="9" xfId="0" applyNumberFormat="1" applyFill="1" applyBorder="1" applyAlignment="1">
      <alignment horizontal="center" vertical="center"/>
    </xf>
    <xf numFmtId="0" fontId="26" fillId="0" borderId="7" xfId="11" applyFont="1" applyBorder="1" applyAlignment="1">
      <alignment horizontal="center" vertical="center" wrapText="1"/>
    </xf>
    <xf numFmtId="0" fontId="26" fillId="0" borderId="8" xfId="11" applyFont="1" applyBorder="1" applyAlignment="1">
      <alignment horizontal="center" vertical="center" wrapText="1"/>
    </xf>
    <xf numFmtId="0" fontId="26" fillId="0" borderId="9" xfId="11" applyFont="1" applyBorder="1" applyAlignment="1">
      <alignment horizontal="center" vertical="center" wrapText="1"/>
    </xf>
    <xf numFmtId="0" fontId="26" fillId="0" borderId="0" xfId="13" applyFont="1" applyAlignment="1">
      <alignment horizontal="center" wrapText="1"/>
    </xf>
    <xf numFmtId="0" fontId="26" fillId="0" borderId="0" xfId="11" applyFont="1" applyAlignment="1">
      <alignment horizontal="center"/>
    </xf>
    <xf numFmtId="0" fontId="26" fillId="0" borderId="0" xfId="11" applyFont="1" applyAlignment="1">
      <alignment horizontal="center" vertical="center"/>
    </xf>
    <xf numFmtId="0" fontId="26" fillId="0" borderId="16" xfId="1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/>
    </xf>
    <xf numFmtId="0" fontId="14" fillId="0" borderId="2" xfId="1" applyFont="1" applyBorder="1" applyAlignment="1">
      <alignment horizontal="center" vertical="center" wrapText="1"/>
    </xf>
    <xf numFmtId="0" fontId="14" fillId="0" borderId="4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3" fillId="0" borderId="6" xfId="1" applyFont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13" fillId="0" borderId="14" xfId="1" applyFont="1" applyBorder="1" applyAlignment="1">
      <alignment horizontal="center" vertical="center"/>
    </xf>
    <xf numFmtId="14" fontId="13" fillId="0" borderId="11" xfId="1" applyNumberFormat="1" applyFont="1" applyBorder="1" applyAlignment="1">
      <alignment horizontal="center" vertical="top"/>
    </xf>
    <xf numFmtId="14" fontId="13" fillId="0" borderId="16" xfId="1" applyNumberFormat="1" applyFont="1" applyBorder="1" applyAlignment="1">
      <alignment horizontal="center" vertical="top"/>
    </xf>
    <xf numFmtId="14" fontId="13" fillId="0" borderId="12" xfId="1" applyNumberFormat="1" applyFont="1" applyBorder="1" applyAlignment="1">
      <alignment horizontal="center" vertical="top"/>
    </xf>
    <xf numFmtId="14" fontId="13" fillId="0" borderId="5" xfId="1" applyNumberFormat="1" applyFont="1" applyBorder="1" applyAlignment="1">
      <alignment horizontal="center"/>
    </xf>
    <xf numFmtId="14" fontId="13" fillId="0" borderId="15" xfId="1" applyNumberFormat="1" applyFont="1" applyBorder="1" applyAlignment="1">
      <alignment horizontal="center"/>
    </xf>
    <xf numFmtId="14" fontId="13" fillId="0" borderId="10" xfId="1" applyNumberFormat="1" applyFont="1" applyBorder="1" applyAlignment="1">
      <alignment horizontal="center"/>
    </xf>
    <xf numFmtId="0" fontId="13" fillId="0" borderId="5" xfId="1" applyFont="1" applyBorder="1" applyAlignment="1">
      <alignment horizontal="center" vertical="center" wrapText="1"/>
    </xf>
    <xf numFmtId="0" fontId="13" fillId="0" borderId="15" xfId="1" applyFont="1" applyBorder="1" applyAlignment="1">
      <alignment horizontal="center" vertical="center" wrapText="1"/>
    </xf>
    <xf numFmtId="0" fontId="13" fillId="0" borderId="10" xfId="1" applyFont="1" applyBorder="1" applyAlignment="1">
      <alignment horizontal="center" vertical="center" wrapText="1"/>
    </xf>
    <xf numFmtId="0" fontId="13" fillId="0" borderId="11" xfId="1" applyFont="1" applyBorder="1" applyAlignment="1">
      <alignment horizontal="center" vertical="center" wrapText="1"/>
    </xf>
    <xf numFmtId="0" fontId="13" fillId="0" borderId="16" xfId="1" applyFont="1" applyBorder="1" applyAlignment="1">
      <alignment horizontal="center" vertical="center" wrapText="1"/>
    </xf>
    <xf numFmtId="0" fontId="13" fillId="0" borderId="12" xfId="1" applyFont="1" applyBorder="1" applyAlignment="1">
      <alignment horizontal="center" vertical="center" wrapText="1"/>
    </xf>
    <xf numFmtId="0" fontId="13" fillId="0" borderId="2" xfId="1" applyFont="1" applyBorder="1" applyAlignment="1">
      <alignment horizontal="center" vertical="center"/>
    </xf>
    <xf numFmtId="0" fontId="13" fillId="0" borderId="3" xfId="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 wrapText="1"/>
    </xf>
    <xf numFmtId="0" fontId="13" fillId="0" borderId="5" xfId="1" applyFont="1" applyBorder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13" fillId="0" borderId="10" xfId="1" applyFont="1" applyBorder="1" applyAlignment="1">
      <alignment horizontal="center" vertical="center"/>
    </xf>
    <xf numFmtId="0" fontId="13" fillId="0" borderId="11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0" fontId="13" fillId="0" borderId="12" xfId="1" applyFont="1" applyBorder="1" applyAlignment="1">
      <alignment horizontal="center" vertical="center"/>
    </xf>
    <xf numFmtId="0" fontId="18" fillId="0" borderId="1" xfId="1" applyFont="1" applyBorder="1" applyAlignment="1">
      <alignment horizontal="center" vertical="center" wrapText="1"/>
    </xf>
    <xf numFmtId="0" fontId="18" fillId="0" borderId="1" xfId="1" applyFont="1" applyBorder="1" applyAlignment="1">
      <alignment horizontal="center" vertical="center"/>
    </xf>
    <xf numFmtId="0" fontId="14" fillId="0" borderId="1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center"/>
    </xf>
    <xf numFmtId="14" fontId="18" fillId="0" borderId="1" xfId="1" applyNumberFormat="1" applyFont="1" applyBorder="1" applyAlignment="1">
      <alignment horizontal="center" vertical="top"/>
    </xf>
    <xf numFmtId="14" fontId="18" fillId="0" borderId="1" xfId="1" applyNumberFormat="1" applyFont="1" applyBorder="1" applyAlignment="1">
      <alignment horizontal="center"/>
    </xf>
    <xf numFmtId="164" fontId="15" fillId="0" borderId="1" xfId="4" applyFont="1" applyBorder="1" applyAlignment="1">
      <alignment horizontal="right" vertical="center"/>
    </xf>
    <xf numFmtId="0" fontId="15" fillId="0" borderId="1" xfId="1" applyFont="1" applyBorder="1" applyAlignment="1">
      <alignment horizontal="left" vertical="center"/>
    </xf>
    <xf numFmtId="14" fontId="18" fillId="0" borderId="5" xfId="1" applyNumberFormat="1" applyFont="1" applyBorder="1" applyAlignment="1">
      <alignment horizontal="center"/>
    </xf>
    <xf numFmtId="14" fontId="18" fillId="0" borderId="15" xfId="1" applyNumberFormat="1" applyFont="1" applyBorder="1" applyAlignment="1">
      <alignment horizontal="center"/>
    </xf>
    <xf numFmtId="14" fontId="18" fillId="0" borderId="10" xfId="1" applyNumberFormat="1" applyFont="1" applyBorder="1" applyAlignment="1">
      <alignment horizontal="center"/>
    </xf>
    <xf numFmtId="0" fontId="15" fillId="0" borderId="1" xfId="1" applyFont="1" applyBorder="1" applyAlignment="1">
      <alignment horizontal="right" vertical="center"/>
    </xf>
    <xf numFmtId="165" fontId="15" fillId="0" borderId="1" xfId="1" applyNumberFormat="1" applyFont="1" applyBorder="1" applyAlignment="1">
      <alignment horizontal="right" vertical="center"/>
    </xf>
    <xf numFmtId="0" fontId="15" fillId="0" borderId="5" xfId="1" applyFont="1" applyBorder="1" applyAlignment="1">
      <alignment horizontal="center" vertical="center" wrapText="1"/>
    </xf>
    <xf numFmtId="0" fontId="15" fillId="0" borderId="15" xfId="1" applyFont="1" applyBorder="1" applyAlignment="1">
      <alignment horizontal="center" vertical="center" wrapText="1"/>
    </xf>
    <xf numFmtId="0" fontId="15" fillId="0" borderId="10" xfId="1" applyFont="1" applyBorder="1" applyAlignment="1">
      <alignment horizontal="center" vertical="center" wrapText="1"/>
    </xf>
    <xf numFmtId="0" fontId="15" fillId="0" borderId="11" xfId="1" applyFont="1" applyBorder="1" applyAlignment="1">
      <alignment horizontal="center" vertical="center" wrapText="1"/>
    </xf>
    <xf numFmtId="0" fontId="15" fillId="0" borderId="16" xfId="1" applyFont="1" applyBorder="1" applyAlignment="1">
      <alignment horizontal="center" vertical="center" wrapText="1"/>
    </xf>
    <xf numFmtId="0" fontId="15" fillId="0" borderId="12" xfId="1" applyFont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 wrapText="1"/>
    </xf>
    <xf numFmtId="0" fontId="15" fillId="0" borderId="5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5" fillId="0" borderId="11" xfId="1" applyFont="1" applyBorder="1" applyAlignment="1">
      <alignment horizontal="center" vertical="center"/>
    </xf>
    <xf numFmtId="0" fontId="15" fillId="0" borderId="12" xfId="1" applyFont="1" applyBorder="1" applyAlignment="1">
      <alignment horizontal="center" vertical="center"/>
    </xf>
    <xf numFmtId="0" fontId="15" fillId="0" borderId="15" xfId="1" applyFont="1" applyBorder="1" applyAlignment="1">
      <alignment horizontal="center" vertical="center"/>
    </xf>
    <xf numFmtId="0" fontId="15" fillId="0" borderId="16" xfId="1" applyFont="1" applyBorder="1" applyAlignment="1">
      <alignment horizontal="center" vertical="center"/>
    </xf>
    <xf numFmtId="0" fontId="18" fillId="0" borderId="2" xfId="1" applyFont="1" applyBorder="1" applyAlignment="1">
      <alignment horizontal="center" vertical="center"/>
    </xf>
    <xf numFmtId="0" fontId="18" fillId="0" borderId="4" xfId="1" applyFont="1" applyBorder="1" applyAlignment="1">
      <alignment horizontal="center" vertical="center"/>
    </xf>
    <xf numFmtId="0" fontId="18" fillId="0" borderId="2" xfId="1" applyFont="1" applyBorder="1" applyAlignment="1">
      <alignment horizontal="center" vertical="center" wrapText="1"/>
    </xf>
    <xf numFmtId="0" fontId="18" fillId="0" borderId="4" xfId="1" applyFont="1" applyBorder="1" applyAlignment="1">
      <alignment horizontal="center" vertical="center" wrapText="1"/>
    </xf>
    <xf numFmtId="0" fontId="18" fillId="0" borderId="3" xfId="1" applyFont="1" applyBorder="1" applyAlignment="1">
      <alignment horizontal="center" vertical="center" wrapText="1"/>
    </xf>
    <xf numFmtId="0" fontId="18" fillId="0" borderId="5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0" fontId="18" fillId="0" borderId="10" xfId="1" applyFont="1" applyBorder="1" applyAlignment="1">
      <alignment horizontal="center" vertical="center"/>
    </xf>
    <xf numFmtId="0" fontId="18" fillId="0" borderId="11" xfId="1" applyFont="1" applyBorder="1" applyAlignment="1">
      <alignment horizontal="center" vertical="center"/>
    </xf>
    <xf numFmtId="0" fontId="18" fillId="0" borderId="16" xfId="1" applyFont="1" applyBorder="1" applyAlignment="1">
      <alignment horizontal="center" vertical="center"/>
    </xf>
    <xf numFmtId="0" fontId="18" fillId="0" borderId="12" xfId="1" applyFont="1" applyBorder="1" applyAlignment="1">
      <alignment horizontal="center" vertical="center"/>
    </xf>
    <xf numFmtId="0" fontId="18" fillId="0" borderId="5" xfId="1" applyFont="1" applyBorder="1" applyAlignment="1">
      <alignment horizontal="center" vertical="center" wrapText="1"/>
    </xf>
    <xf numFmtId="0" fontId="18" fillId="0" borderId="15" xfId="1" applyFont="1" applyBorder="1" applyAlignment="1">
      <alignment horizontal="center" vertical="center" wrapText="1"/>
    </xf>
    <xf numFmtId="0" fontId="18" fillId="0" borderId="10" xfId="1" applyFont="1" applyBorder="1" applyAlignment="1">
      <alignment horizontal="center" vertical="center" wrapText="1"/>
    </xf>
    <xf numFmtId="0" fontId="18" fillId="0" borderId="11" xfId="1" applyFont="1" applyBorder="1" applyAlignment="1">
      <alignment horizontal="center" vertical="center" wrapText="1"/>
    </xf>
    <xf numFmtId="0" fontId="18" fillId="0" borderId="16" xfId="1" applyFont="1" applyBorder="1" applyAlignment="1">
      <alignment horizontal="center" vertical="center" wrapText="1"/>
    </xf>
    <xf numFmtId="0" fontId="18" fillId="0" borderId="12" xfId="1" applyFont="1" applyBorder="1" applyAlignment="1">
      <alignment horizontal="center" vertical="center" wrapText="1"/>
    </xf>
    <xf numFmtId="169" fontId="15" fillId="0" borderId="1" xfId="4" applyNumberFormat="1" applyFont="1" applyBorder="1" applyAlignment="1">
      <alignment horizontal="right" vertical="center"/>
    </xf>
    <xf numFmtId="165" fontId="15" fillId="0" borderId="2" xfId="1" applyNumberFormat="1" applyFont="1" applyBorder="1" applyAlignment="1">
      <alignment horizontal="right" vertical="center"/>
    </xf>
    <xf numFmtId="165" fontId="15" fillId="0" borderId="4" xfId="1" applyNumberFormat="1" applyFont="1" applyBorder="1" applyAlignment="1">
      <alignment horizontal="right" vertical="center"/>
    </xf>
    <xf numFmtId="165" fontId="15" fillId="0" borderId="3" xfId="1" applyNumberFormat="1" applyFont="1" applyBorder="1" applyAlignment="1">
      <alignment horizontal="right" vertical="center"/>
    </xf>
    <xf numFmtId="0" fontId="13" fillId="0" borderId="16" xfId="1" applyFont="1" applyBorder="1" applyAlignment="1">
      <alignment horizontal="left" vertical="center"/>
    </xf>
    <xf numFmtId="0" fontId="14" fillId="0" borderId="1" xfId="1" applyFont="1" applyBorder="1" applyAlignment="1">
      <alignment horizontal="left" vertical="center" wrapText="1"/>
    </xf>
    <xf numFmtId="0" fontId="14" fillId="0" borderId="9" xfId="1" applyFont="1" applyBorder="1" applyAlignment="1">
      <alignment horizontal="left" vertical="center"/>
    </xf>
    <xf numFmtId="0" fontId="13" fillId="18" borderId="1" xfId="1" applyFont="1" applyFill="1" applyBorder="1" applyAlignment="1">
      <alignment horizontal="left" vertical="center"/>
    </xf>
    <xf numFmtId="0" fontId="14" fillId="0" borderId="2" xfId="1" applyFont="1" applyBorder="1" applyAlignment="1">
      <alignment horizontal="left" vertical="center" wrapText="1"/>
    </xf>
    <xf numFmtId="0" fontId="15" fillId="0" borderId="2" xfId="1" applyFont="1" applyBorder="1" applyAlignment="1">
      <alignment horizontal="left" vertical="center" wrapText="1"/>
    </xf>
    <xf numFmtId="0" fontId="15" fillId="0" borderId="4" xfId="1" applyFont="1" applyBorder="1" applyAlignment="1">
      <alignment horizontal="left" vertical="center" wrapText="1"/>
    </xf>
    <xf numFmtId="0" fontId="15" fillId="0" borderId="3" xfId="1" applyFont="1" applyBorder="1" applyAlignment="1">
      <alignment horizontal="left" vertical="center" wrapText="1"/>
    </xf>
    <xf numFmtId="14" fontId="15" fillId="0" borderId="1" xfId="1" applyNumberFormat="1" applyFont="1" applyBorder="1" applyAlignment="1">
      <alignment horizontal="center" vertical="center"/>
    </xf>
    <xf numFmtId="0" fontId="16" fillId="0" borderId="1" xfId="1" applyFont="1" applyBorder="1" applyAlignment="1">
      <alignment horizontal="left" vertical="center"/>
    </xf>
    <xf numFmtId="0" fontId="16" fillId="0" borderId="1" xfId="1" applyFont="1" applyBorder="1" applyAlignment="1">
      <alignment horizontal="left" vertical="center" wrapText="1"/>
    </xf>
    <xf numFmtId="0" fontId="13" fillId="0" borderId="0" xfId="1" applyFont="1" applyAlignment="1">
      <alignment horizontal="center"/>
    </xf>
    <xf numFmtId="14" fontId="14" fillId="0" borderId="2" xfId="1" applyNumberFormat="1" applyFont="1" applyBorder="1" applyAlignment="1">
      <alignment horizontal="center" vertical="center"/>
    </xf>
    <xf numFmtId="14" fontId="14" fillId="0" borderId="4" xfId="1" applyNumberFormat="1" applyFont="1" applyBorder="1" applyAlignment="1">
      <alignment horizontal="center" vertical="center"/>
    </xf>
    <xf numFmtId="14" fontId="14" fillId="0" borderId="3" xfId="1" applyNumberFormat="1" applyFont="1" applyBorder="1" applyAlignment="1">
      <alignment horizontal="center" vertical="center"/>
    </xf>
    <xf numFmtId="14" fontId="14" fillId="0" borderId="1" xfId="1" applyNumberFormat="1" applyFont="1" applyBorder="1" applyAlignment="1">
      <alignment horizontal="left" vertical="center" wrapText="1"/>
    </xf>
    <xf numFmtId="0" fontId="13" fillId="0" borderId="1" xfId="1" applyFont="1" applyBorder="1" applyAlignment="1">
      <alignment horizontal="left" vertical="center"/>
    </xf>
    <xf numFmtId="164" fontId="13" fillId="0" borderId="1" xfId="4" applyFont="1" applyBorder="1" applyAlignment="1">
      <alignment horizontal="right" vertical="center"/>
    </xf>
    <xf numFmtId="0" fontId="14" fillId="0" borderId="1" xfId="1" applyFont="1" applyBorder="1" applyAlignment="1">
      <alignment horizontal="center" vertical="center" wrapText="1"/>
    </xf>
    <xf numFmtId="0" fontId="18" fillId="0" borderId="7" xfId="1" applyFont="1" applyBorder="1" applyAlignment="1">
      <alignment horizontal="center" vertical="center" wrapText="1"/>
    </xf>
    <xf numFmtId="14" fontId="18" fillId="0" borderId="11" xfId="1" applyNumberFormat="1" applyFont="1" applyBorder="1" applyAlignment="1">
      <alignment horizontal="center" vertical="top"/>
    </xf>
    <xf numFmtId="14" fontId="18" fillId="0" borderId="16" xfId="1" applyNumberFormat="1" applyFont="1" applyBorder="1" applyAlignment="1">
      <alignment horizontal="center" vertical="top"/>
    </xf>
    <xf numFmtId="14" fontId="18" fillId="0" borderId="12" xfId="1" applyNumberFormat="1" applyFont="1" applyBorder="1" applyAlignment="1">
      <alignment horizontal="center" vertical="top"/>
    </xf>
    <xf numFmtId="0" fontId="18" fillId="0" borderId="6" xfId="1" applyFont="1" applyBorder="1" applyAlignment="1">
      <alignment horizontal="center" vertical="center"/>
    </xf>
    <xf numFmtId="0" fontId="18" fillId="0" borderId="0" xfId="1" applyFont="1" applyAlignment="1">
      <alignment horizontal="center" vertical="center"/>
    </xf>
    <xf numFmtId="0" fontId="18" fillId="0" borderId="14" xfId="1" applyFont="1" applyBorder="1" applyAlignment="1">
      <alignment horizontal="center" vertical="center"/>
    </xf>
    <xf numFmtId="0" fontId="18" fillId="0" borderId="3" xfId="1" applyFont="1" applyBorder="1" applyAlignment="1">
      <alignment horizontal="center" vertical="center"/>
    </xf>
    <xf numFmtId="0" fontId="14" fillId="0" borderId="2" xfId="1" applyFont="1" applyBorder="1" applyAlignment="1">
      <alignment horizontal="center" vertical="center"/>
    </xf>
    <xf numFmtId="0" fontId="14" fillId="0" borderId="4" xfId="1" applyFont="1" applyBorder="1" applyAlignment="1">
      <alignment horizontal="center" vertical="center"/>
    </xf>
    <xf numFmtId="0" fontId="14" fillId="0" borderId="3" xfId="1" applyFont="1" applyBorder="1" applyAlignment="1">
      <alignment horizontal="center" vertical="center"/>
    </xf>
    <xf numFmtId="0" fontId="15" fillId="0" borderId="2" xfId="1" applyFont="1" applyBorder="1" applyAlignment="1">
      <alignment horizontal="right" vertical="center"/>
    </xf>
    <xf numFmtId="0" fontId="15" fillId="0" borderId="3" xfId="1" applyFont="1" applyBorder="1" applyAlignment="1">
      <alignment horizontal="right" vertical="center"/>
    </xf>
    <xf numFmtId="164" fontId="18" fillId="0" borderId="1" xfId="4" applyFont="1" applyBorder="1" applyAlignment="1">
      <alignment horizontal="right" vertical="center"/>
    </xf>
    <xf numFmtId="0" fontId="18" fillId="0" borderId="6" xfId="1" applyFont="1" applyBorder="1" applyAlignment="1">
      <alignment horizontal="center" vertical="center" wrapText="1"/>
    </xf>
    <xf numFmtId="0" fontId="18" fillId="0" borderId="14" xfId="1" applyFont="1" applyBorder="1" applyAlignment="1">
      <alignment horizontal="center" vertical="center" wrapText="1"/>
    </xf>
    <xf numFmtId="0" fontId="18" fillId="0" borderId="0" xfId="1" applyFont="1" applyAlignment="1">
      <alignment horizontal="center" vertical="center" wrapText="1"/>
    </xf>
    <xf numFmtId="0" fontId="14" fillId="0" borderId="2" xfId="1" applyFont="1" applyBorder="1" applyAlignment="1">
      <alignment horizontal="left" vertical="center"/>
    </xf>
    <xf numFmtId="0" fontId="14" fillId="0" borderId="4" xfId="1" applyFont="1" applyBorder="1" applyAlignment="1">
      <alignment horizontal="left" vertical="center"/>
    </xf>
    <xf numFmtId="0" fontId="14" fillId="0" borderId="3" xfId="1" applyFont="1" applyBorder="1" applyAlignment="1">
      <alignment horizontal="left" vertical="center"/>
    </xf>
    <xf numFmtId="164" fontId="13" fillId="0" borderId="2" xfId="4" applyFont="1" applyBorder="1" applyAlignment="1">
      <alignment horizontal="right" vertical="center"/>
    </xf>
    <xf numFmtId="164" fontId="13" fillId="0" borderId="4" xfId="4" applyFont="1" applyBorder="1" applyAlignment="1">
      <alignment horizontal="right" vertical="center"/>
    </xf>
    <xf numFmtId="164" fontId="13" fillId="0" borderId="3" xfId="4" applyFont="1" applyBorder="1" applyAlignment="1">
      <alignment horizontal="right" vertical="center"/>
    </xf>
    <xf numFmtId="0" fontId="15" fillId="0" borderId="6" xfId="1" applyFont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14" xfId="1" applyFont="1" applyBorder="1" applyAlignment="1">
      <alignment horizontal="center" vertical="center"/>
    </xf>
    <xf numFmtId="14" fontId="15" fillId="0" borderId="11" xfId="1" applyNumberFormat="1" applyFont="1" applyBorder="1" applyAlignment="1">
      <alignment horizontal="center" vertical="top"/>
    </xf>
    <xf numFmtId="14" fontId="15" fillId="0" borderId="16" xfId="1" applyNumberFormat="1" applyFont="1" applyBorder="1" applyAlignment="1">
      <alignment horizontal="center" vertical="top"/>
    </xf>
    <xf numFmtId="14" fontId="15" fillId="0" borderId="12" xfId="1" applyNumberFormat="1" applyFont="1" applyBorder="1" applyAlignment="1">
      <alignment horizontal="center" vertical="top"/>
    </xf>
    <xf numFmtId="0" fontId="15" fillId="0" borderId="1" xfId="1" applyFont="1" applyBorder="1" applyAlignment="1">
      <alignment horizontal="center" vertical="center"/>
    </xf>
    <xf numFmtId="14" fontId="15" fillId="0" borderId="5" xfId="1" applyNumberFormat="1" applyFont="1" applyBorder="1" applyAlignment="1">
      <alignment horizontal="center"/>
    </xf>
    <xf numFmtId="14" fontId="15" fillId="0" borderId="15" xfId="1" applyNumberFormat="1" applyFont="1" applyBorder="1" applyAlignment="1">
      <alignment horizontal="center"/>
    </xf>
    <xf numFmtId="14" fontId="15" fillId="0" borderId="10" xfId="1" applyNumberFormat="1" applyFont="1" applyBorder="1" applyAlignment="1">
      <alignment horizontal="center"/>
    </xf>
    <xf numFmtId="0" fontId="15" fillId="0" borderId="2" xfId="1" applyFont="1" applyBorder="1" applyAlignment="1">
      <alignment horizontal="center" vertical="center" wrapText="1"/>
    </xf>
    <xf numFmtId="0" fontId="15" fillId="0" borderId="3" xfId="1" applyFont="1" applyBorder="1" applyAlignment="1">
      <alignment horizontal="center" vertical="center"/>
    </xf>
    <xf numFmtId="0" fontId="15" fillId="0" borderId="7" xfId="1" applyFont="1" applyBorder="1" applyAlignment="1">
      <alignment horizontal="center" vertical="center" wrapText="1"/>
    </xf>
    <xf numFmtId="0" fontId="14" fillId="0" borderId="0" xfId="1" applyFont="1" applyAlignment="1">
      <alignment horizontal="center" vertical="center"/>
    </xf>
    <xf numFmtId="0" fontId="15" fillId="0" borderId="2" xfId="1" applyFont="1" applyBorder="1" applyAlignment="1">
      <alignment horizontal="center" vertical="center"/>
    </xf>
    <xf numFmtId="0" fontId="14" fillId="0" borderId="5" xfId="1" applyFont="1" applyBorder="1" applyAlignment="1">
      <alignment horizontal="left" vertical="center" wrapText="1"/>
    </xf>
    <xf numFmtId="0" fontId="14" fillId="0" borderId="15" xfId="1" applyFont="1" applyBorder="1" applyAlignment="1">
      <alignment horizontal="left" vertical="center" wrapText="1"/>
    </xf>
    <xf numFmtId="0" fontId="14" fillId="0" borderId="10" xfId="1" applyFont="1" applyBorder="1" applyAlignment="1">
      <alignment horizontal="left" vertical="center" wrapText="1"/>
    </xf>
    <xf numFmtId="0" fontId="14" fillId="0" borderId="11" xfId="1" applyFont="1" applyBorder="1" applyAlignment="1">
      <alignment horizontal="left" vertical="center" wrapText="1"/>
    </xf>
    <xf numFmtId="0" fontId="14" fillId="0" borderId="16" xfId="1" applyFont="1" applyBorder="1" applyAlignment="1">
      <alignment horizontal="left" vertical="center" wrapText="1"/>
    </xf>
    <xf numFmtId="0" fontId="14" fillId="0" borderId="12" xfId="1" applyFont="1" applyBorder="1" applyAlignment="1">
      <alignment horizontal="left" vertical="center" wrapText="1"/>
    </xf>
    <xf numFmtId="0" fontId="14" fillId="0" borderId="5" xfId="1" applyFont="1" applyBorder="1" applyAlignment="1">
      <alignment horizontal="center" vertical="center" wrapText="1"/>
    </xf>
    <xf numFmtId="0" fontId="14" fillId="0" borderId="15" xfId="1" applyFont="1" applyBorder="1" applyAlignment="1">
      <alignment horizontal="center" vertical="center" wrapText="1"/>
    </xf>
    <xf numFmtId="0" fontId="14" fillId="0" borderId="10" xfId="1" applyFont="1" applyBorder="1" applyAlignment="1">
      <alignment horizontal="center" vertical="center" wrapText="1"/>
    </xf>
    <xf numFmtId="0" fontId="14" fillId="0" borderId="11" xfId="1" applyFont="1" applyBorder="1" applyAlignment="1">
      <alignment horizontal="center" vertical="center" wrapText="1"/>
    </xf>
    <xf numFmtId="0" fontId="14" fillId="0" borderId="16" xfId="1" applyFont="1" applyBorder="1" applyAlignment="1">
      <alignment horizontal="center" vertical="center" wrapText="1"/>
    </xf>
    <xf numFmtId="0" fontId="14" fillId="0" borderId="12" xfId="1" applyFont="1" applyBorder="1" applyAlignment="1">
      <alignment horizontal="center" vertical="center" wrapText="1"/>
    </xf>
    <xf numFmtId="14" fontId="15" fillId="0" borderId="2" xfId="1" applyNumberFormat="1" applyFont="1" applyBorder="1" applyAlignment="1">
      <alignment horizontal="center" vertical="center"/>
    </xf>
    <xf numFmtId="14" fontId="15" fillId="0" borderId="4" xfId="1" applyNumberFormat="1" applyFont="1" applyBorder="1" applyAlignment="1">
      <alignment horizontal="center" vertical="center"/>
    </xf>
    <xf numFmtId="14" fontId="15" fillId="0" borderId="3" xfId="1" applyNumberFormat="1" applyFont="1" applyBorder="1" applyAlignment="1">
      <alignment horizontal="center" vertical="center"/>
    </xf>
    <xf numFmtId="164" fontId="15" fillId="0" borderId="2" xfId="4" applyFont="1" applyBorder="1" applyAlignment="1">
      <alignment horizontal="right" vertical="center"/>
    </xf>
    <xf numFmtId="164" fontId="15" fillId="0" borderId="4" xfId="4" applyFont="1" applyBorder="1" applyAlignment="1">
      <alignment horizontal="right" vertical="center"/>
    </xf>
    <xf numFmtId="164" fontId="15" fillId="0" borderId="3" xfId="4" applyFont="1" applyBorder="1" applyAlignment="1">
      <alignment horizontal="right" vertical="center"/>
    </xf>
    <xf numFmtId="164" fontId="18" fillId="0" borderId="2" xfId="4" applyFont="1" applyBorder="1" applyAlignment="1">
      <alignment horizontal="right" vertical="center"/>
    </xf>
    <xf numFmtId="164" fontId="18" fillId="0" borderId="4" xfId="4" applyFont="1" applyBorder="1" applyAlignment="1">
      <alignment horizontal="right" vertical="center"/>
    </xf>
    <xf numFmtId="164" fontId="18" fillId="0" borderId="3" xfId="4" applyFont="1" applyBorder="1" applyAlignment="1">
      <alignment horizontal="right" vertical="center"/>
    </xf>
    <xf numFmtId="169" fontId="15" fillId="0" borderId="2" xfId="4" applyNumberFormat="1" applyFont="1" applyBorder="1" applyAlignment="1">
      <alignment horizontal="right" vertical="center"/>
    </xf>
    <xf numFmtId="169" fontId="15" fillId="0" borderId="4" xfId="4" applyNumberFormat="1" applyFont="1" applyBorder="1" applyAlignment="1">
      <alignment horizontal="right" vertical="center"/>
    </xf>
    <xf numFmtId="169" fontId="15" fillId="0" borderId="3" xfId="4" applyNumberFormat="1" applyFont="1" applyBorder="1" applyAlignment="1">
      <alignment horizontal="right" vertical="center"/>
    </xf>
    <xf numFmtId="1" fontId="18" fillId="0" borderId="5" xfId="1" applyNumberFormat="1" applyFont="1" applyBorder="1" applyAlignment="1">
      <alignment horizontal="center" vertical="center"/>
    </xf>
    <xf numFmtId="1" fontId="18" fillId="0" borderId="15" xfId="1" applyNumberFormat="1" applyFont="1" applyBorder="1" applyAlignment="1">
      <alignment horizontal="center" vertical="center"/>
    </xf>
    <xf numFmtId="1" fontId="18" fillId="0" borderId="10" xfId="1" applyNumberFormat="1" applyFont="1" applyBorder="1" applyAlignment="1">
      <alignment horizontal="center" vertical="center"/>
    </xf>
    <xf numFmtId="1" fontId="18" fillId="0" borderId="6" xfId="1" applyNumberFormat="1" applyFont="1" applyBorder="1" applyAlignment="1">
      <alignment horizontal="center" vertical="center"/>
    </xf>
    <xf numFmtId="1" fontId="18" fillId="0" borderId="0" xfId="1" applyNumberFormat="1" applyFont="1" applyAlignment="1">
      <alignment horizontal="center" vertical="center"/>
    </xf>
    <xf numFmtId="1" fontId="18" fillId="0" borderId="14" xfId="1" applyNumberFormat="1" applyFont="1" applyBorder="1" applyAlignment="1">
      <alignment horizontal="center" vertical="center"/>
    </xf>
    <xf numFmtId="1" fontId="18" fillId="0" borderId="11" xfId="1" applyNumberFormat="1" applyFont="1" applyBorder="1" applyAlignment="1">
      <alignment horizontal="center" vertical="center"/>
    </xf>
    <xf numFmtId="1" fontId="18" fillId="0" borderId="16" xfId="1" applyNumberFormat="1" applyFont="1" applyBorder="1" applyAlignment="1">
      <alignment horizontal="center" vertical="center"/>
    </xf>
    <xf numFmtId="1" fontId="18" fillId="0" borderId="12" xfId="1" applyNumberFormat="1" applyFont="1" applyBorder="1" applyAlignment="1">
      <alignment horizontal="center" vertical="center"/>
    </xf>
    <xf numFmtId="167" fontId="18" fillId="0" borderId="5" xfId="1" applyNumberFormat="1" applyFont="1" applyBorder="1" applyAlignment="1">
      <alignment horizontal="center" vertical="center"/>
    </xf>
    <xf numFmtId="167" fontId="18" fillId="0" borderId="15" xfId="1" applyNumberFormat="1" applyFont="1" applyBorder="1" applyAlignment="1">
      <alignment horizontal="center" vertical="center"/>
    </xf>
    <xf numFmtId="167" fontId="18" fillId="0" borderId="10" xfId="1" applyNumberFormat="1" applyFont="1" applyBorder="1" applyAlignment="1">
      <alignment horizontal="center" vertical="center"/>
    </xf>
    <xf numFmtId="167" fontId="18" fillId="0" borderId="6" xfId="1" applyNumberFormat="1" applyFont="1" applyBorder="1" applyAlignment="1">
      <alignment horizontal="center" vertical="center"/>
    </xf>
    <xf numFmtId="167" fontId="18" fillId="0" borderId="0" xfId="1" applyNumberFormat="1" applyFont="1" applyAlignment="1">
      <alignment horizontal="center" vertical="center"/>
    </xf>
    <xf numFmtId="167" fontId="18" fillId="0" borderId="14" xfId="1" applyNumberFormat="1" applyFont="1" applyBorder="1" applyAlignment="1">
      <alignment horizontal="center" vertical="center"/>
    </xf>
    <xf numFmtId="167" fontId="18" fillId="0" borderId="11" xfId="1" applyNumberFormat="1" applyFont="1" applyBorder="1" applyAlignment="1">
      <alignment horizontal="center" vertical="center"/>
    </xf>
    <xf numFmtId="167" fontId="18" fillId="0" borderId="16" xfId="1" applyNumberFormat="1" applyFont="1" applyBorder="1" applyAlignment="1">
      <alignment horizontal="center" vertical="center"/>
    </xf>
    <xf numFmtId="167" fontId="18" fillId="0" borderId="12" xfId="1" applyNumberFormat="1" applyFont="1" applyBorder="1" applyAlignment="1">
      <alignment horizontal="center" vertical="center"/>
    </xf>
    <xf numFmtId="0" fontId="28" fillId="0" borderId="1" xfId="1" applyFont="1" applyBorder="1" applyAlignment="1">
      <alignment horizontal="center" vertical="center"/>
    </xf>
  </cellXfs>
  <cellStyles count="15">
    <cellStyle name="Comma" xfId="4" builtinId="3"/>
    <cellStyle name="Comma 2" xfId="7" xr:uid="{51144B04-0ECA-40A5-AD80-322842EBEC5E}"/>
    <cellStyle name="Comma 3" xfId="10" xr:uid="{BEF5062A-47C3-4794-BCC8-1A2C8629D692}"/>
    <cellStyle name="Comma 4" xfId="12" xr:uid="{F480BF96-4637-4773-A1B6-BDFF7C6DACB5}"/>
    <cellStyle name="Comma 5" xfId="14" xr:uid="{B0B958D4-2B94-D341-8172-1432656A0C8D}"/>
    <cellStyle name="Good" xfId="5" builtinId="26"/>
    <cellStyle name="Hyperlink 2" xfId="3" xr:uid="{4AF409C1-E210-124D-8C31-93FC121F39FE}"/>
    <cellStyle name="Normal" xfId="0" builtinId="0"/>
    <cellStyle name="Normal 2" xfId="1" xr:uid="{F1AF31B4-F841-0146-A6FD-D633A5389C9C}"/>
    <cellStyle name="Normal 3" xfId="6" xr:uid="{33FCE587-9CAA-45FF-B791-A843716699D8}"/>
    <cellStyle name="Normal 4" xfId="9" xr:uid="{374EB58E-34D5-4E01-9139-DE3D549808AD}"/>
    <cellStyle name="Normal 5" xfId="11" xr:uid="{F16DE34D-BF75-45B9-AA60-4A5AB939CCB5}"/>
    <cellStyle name="Normal 6" xfId="13" xr:uid="{32190885-6167-9A43-9C30-CEB9FA4FFDB9}"/>
    <cellStyle name="Percent" xfId="2" builtinId="5"/>
    <cellStyle name="Percent 2" xfId="8" xr:uid="{D56FE0C3-39B0-4D80-8F20-8159F6D40CA0}"/>
  </cellStyles>
  <dxfs count="28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9DF896"/>
      <color rgb="FFC1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xandru Gheorghe" id="{37B6AD3F-23A0-486A-B9D8-E09F033058EA}" userId="S::Alexandru.Gheorghe@nepirockcastle.com::16c651b8-b67e-459b-beef-3e23ecf6b7f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23" dT="2024-11-05T13:06:47.45" personId="{37B6AD3F-23A0-486A-B9D8-E09F033058EA}" id="{665A0C76-2F77-474B-8988-F8280B44F22D}">
    <text>Index estimat</text>
  </threadedComment>
  <threadedComment ref="M40" dT="2025-06-04T10:13:55.63" personId="{37B6AD3F-23A0-486A-B9D8-E09F033058EA}" id="{74F34398-F6CC-44B9-9E30-7D139EE039C1}">
    <text>Index citit in baza OD</text>
  </threadedComment>
  <threadedComment ref="M61" dT="2025-02-05T08:28:07.34" personId="{37B6AD3F-23A0-486A-B9D8-E09F033058EA}" id="{106449BB-7851-481A-B8BF-08477B7A2CDE}">
    <text>Index citit in locatie</text>
  </threadedComment>
  <threadedComment ref="E63" dT="2024-10-29T12:02:03.09" personId="{37B6AD3F-23A0-486A-B9D8-E09F033058EA}" id="{2BD43C77-EA5C-497E-B411-AA7ECA439751}">
    <text>Indexul afisat in anexa este gresitș este indexul corect de start</text>
  </threadedComment>
  <threadedComment ref="M63" dT="2025-04-02T15:51:38.87" personId="{37B6AD3F-23A0-486A-B9D8-E09F033058EA}" id="{C7610F6F-B561-467C-A719-D012691E1B30}">
    <text>Index citit in locatie</text>
  </threadedComment>
  <threadedComment ref="E64" dT="2024-10-29T12:06:00.71" personId="{37B6AD3F-23A0-486A-B9D8-E09F033058EA}" id="{019949E4-FDBB-483E-A2C5-044648421C30}">
    <text>Indexul afisat in anexa este gresitș este indexul corect de start</text>
  </threadedComment>
  <threadedComment ref="E65" dT="2024-10-29T12:21:33.49" personId="{37B6AD3F-23A0-486A-B9D8-E09F033058EA}" id="{CC0DEC9E-C6BC-4511-AD24-11ACCDBAAE09}">
    <text>Indexul afisat in anexa este gresitș este indexul corect de start</text>
  </threadedComment>
  <threadedComment ref="M66" dT="2024-11-04T13:24:33.36" personId="{37B6AD3F-23A0-486A-B9D8-E09F033058EA}" id="{8AAA4788-A4DC-42F8-996C-6CF72368FBFF}">
    <text>Index citit in locatie</text>
  </threadedComment>
  <threadedComment ref="M67" dT="2025-04-01T13:37:37.51" personId="{37B6AD3F-23A0-486A-B9D8-E09F033058EA}" id="{8C576FC2-C82D-4BED-82DC-89CBA7DB29AC}">
    <text>Index estimat de Hidroelectrica</text>
  </threadedComment>
  <threadedComment ref="M68" dT="2025-04-01T14:01:56.32" personId="{37B6AD3F-23A0-486A-B9D8-E09F033058EA}" id="{7DF25197-310B-4A2B-A987-18E4A8B13D99}">
    <text>Index citit in locatie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A79" dT="2025-02-05T13:01:49.48" personId="{37B6AD3F-23A0-486A-B9D8-E09F033058EA}" id="{B00475A7-4EED-4DF6-9339-5DB189F3298B}">
    <text xml:space="preserve">Formula schimbata
</text>
  </threadedComment>
  <threadedComment ref="CY102" dT="2024-07-05T08:12:23.62" personId="{37B6AD3F-23A0-486A-B9D8-E09F033058EA}" id="{9076A18D-4D9C-9D40-9F44-FF227DAF7DC7}">
    <text>In formula avem scazut 1kWh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152" dT="2025-05-07T10:33:56.83" personId="{37B6AD3F-23A0-486A-B9D8-E09F033058EA}" id="{41F8D455-CB15-4836-83D2-EB1ADF56FCE1}">
    <text>Formule schimbate in aprilie</text>
  </threadedComment>
  <threadedComment ref="R152" dT="2025-05-07T07:29:50.81" personId="{37B6AD3F-23A0-486A-B9D8-E09F033058EA}" id="{5A710DC5-485C-4BDE-AAB4-EF1CFD3C5CD8}">
    <text>Formule schimbate in aprilieș indecsi calculati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I140" dT="2025-02-05T20:55:31.37" personId="{37B6AD3F-23A0-486A-B9D8-E09F033058EA}" id="{96B232C6-4588-4225-BBAE-1200FAB74812}">
    <text>17247 kWh reg din dec 2024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nem.distributie@nepirockcastle.com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nem.distributie@nepirockcastle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nem.distributie@nepirockcastle.com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nem.distributie@nepirockcastle.com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nem.distributie@nepirockcastle.com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nem.distributie@nepirockcastle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nem.distributie@nepirockcastle.co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nem.distributie@nepirockcastle.co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nem.distributie@nepirockcastle.com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nem.distributie@nepirockcastle.com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nem.distributie@nepirockcastle.com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nem.distributie@nepirockcastle.com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nem.distributie@nepirockcastle.com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nem.distributie@nepirockcastle.com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nem.distributie@nepirockcastle.com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nem.distributie@nepirockcastle.com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mailto:nem.distributie@nepirockcastle.com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mailto:nem.distributie@nepirockcastle.com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mailto:nem.distributie@nepirockcastle.com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mailto:nem.distributie@nepirockcastle.com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nem.distributie@nepirockcastle.com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nem.distributie@nepirockcastle.com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nem.distributie@nepirockcastle.com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mailto:nem.distributie@nepirockcastle.com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nem.distributie@nepirockcastle.com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nem.distributie@nepirockcastle.com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nem.distributie@nepirockcastle.com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nem.distributie@nepirockcastle.com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nem.distributie@nepirockcast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E0D9A-AAE4-1542-8BD7-E1C710101646}">
  <dimension ref="A1:U34"/>
  <sheetViews>
    <sheetView topLeftCell="J1" zoomScaleNormal="100" workbookViewId="0">
      <selection activeCell="H4" sqref="H4"/>
    </sheetView>
  </sheetViews>
  <sheetFormatPr defaultColWidth="10.625" defaultRowHeight="15.75"/>
  <cols>
    <col min="1" max="1" width="8.375" style="4" customWidth="1"/>
    <col min="2" max="3" width="16.125" customWidth="1"/>
    <col min="4" max="4" width="32.5" customWidth="1"/>
    <col min="5" max="6" width="36.625" customWidth="1"/>
    <col min="7" max="7" width="17.625" customWidth="1"/>
    <col min="8" max="8" width="16.5" customWidth="1"/>
    <col min="9" max="9" width="15.5" customWidth="1"/>
    <col min="11" max="11" width="30.375" customWidth="1"/>
    <col min="12" max="12" width="21" customWidth="1"/>
    <col min="13" max="13" width="15.125" customWidth="1"/>
    <col min="14" max="15" width="23.625" customWidth="1"/>
    <col min="16" max="16" width="40.625" customWidth="1"/>
  </cols>
  <sheetData>
    <row r="1" spans="1:21">
      <c r="A1" s="5">
        <v>1</v>
      </c>
      <c r="B1" s="5">
        <f t="shared" ref="B1:G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  <c r="H1" s="5">
        <f t="shared" ref="H1:O1" si="1">G1+1</f>
        <v>8</v>
      </c>
      <c r="I1" s="5">
        <f t="shared" si="1"/>
        <v>9</v>
      </c>
      <c r="J1" s="5">
        <f t="shared" si="1"/>
        <v>10</v>
      </c>
      <c r="K1" s="5">
        <f t="shared" si="1"/>
        <v>11</v>
      </c>
      <c r="L1" s="5">
        <f t="shared" si="1"/>
        <v>12</v>
      </c>
      <c r="M1" s="5">
        <f t="shared" si="1"/>
        <v>13</v>
      </c>
      <c r="N1" s="5">
        <f t="shared" si="1"/>
        <v>14</v>
      </c>
      <c r="O1" s="5">
        <f t="shared" si="1"/>
        <v>15</v>
      </c>
      <c r="P1" s="5">
        <v>16</v>
      </c>
    </row>
    <row r="2" spans="1:21">
      <c r="A2" s="6" t="s">
        <v>115</v>
      </c>
      <c r="B2" s="6" t="s">
        <v>68</v>
      </c>
      <c r="C2" s="6" t="s">
        <v>67</v>
      </c>
      <c r="D2" s="6" t="s">
        <v>65</v>
      </c>
      <c r="E2" s="6" t="s">
        <v>48</v>
      </c>
      <c r="F2" s="6" t="s">
        <v>114</v>
      </c>
      <c r="G2" s="6" t="s">
        <v>496</v>
      </c>
      <c r="H2" s="6" t="s">
        <v>497</v>
      </c>
      <c r="I2" s="6" t="s">
        <v>759</v>
      </c>
      <c r="J2" s="6" t="s">
        <v>760</v>
      </c>
      <c r="K2" s="6" t="s">
        <v>761</v>
      </c>
      <c r="L2" s="6" t="s">
        <v>762</v>
      </c>
      <c r="M2" s="6" t="s">
        <v>763</v>
      </c>
      <c r="N2" s="6" t="s">
        <v>764</v>
      </c>
      <c r="O2" s="6" t="s">
        <v>765</v>
      </c>
      <c r="P2" s="5" t="s">
        <v>766</v>
      </c>
    </row>
    <row r="3" spans="1:21">
      <c r="A3" s="6" t="s">
        <v>69</v>
      </c>
      <c r="B3" s="6" t="s">
        <v>69</v>
      </c>
      <c r="C3" s="6" t="s">
        <v>69</v>
      </c>
      <c r="D3" s="6" t="s">
        <v>69</v>
      </c>
      <c r="E3" s="6" t="s">
        <v>69</v>
      </c>
      <c r="F3" s="6" t="s">
        <v>69</v>
      </c>
      <c r="G3" s="6" t="s">
        <v>69</v>
      </c>
      <c r="H3" s="6" t="s">
        <v>69</v>
      </c>
      <c r="I3" s="6"/>
      <c r="J3" s="6"/>
      <c r="K3" s="6"/>
      <c r="L3" s="56"/>
      <c r="M3" s="57"/>
      <c r="N3" s="57"/>
      <c r="O3" s="57"/>
      <c r="P3" s="57"/>
    </row>
    <row r="4" spans="1:21" ht="30" customHeight="1">
      <c r="A4" s="12">
        <v>6</v>
      </c>
      <c r="B4" s="3" t="s">
        <v>0</v>
      </c>
      <c r="C4" s="3"/>
      <c r="D4" s="110" t="s">
        <v>55</v>
      </c>
      <c r="E4" s="2" t="s">
        <v>33</v>
      </c>
      <c r="F4" s="11" t="s">
        <v>90</v>
      </c>
      <c r="G4" s="11" t="s">
        <v>454</v>
      </c>
      <c r="H4" s="11" t="s">
        <v>455</v>
      </c>
      <c r="I4" s="58">
        <v>45292</v>
      </c>
      <c r="J4" s="58">
        <v>47107</v>
      </c>
      <c r="K4" s="58">
        <v>45352</v>
      </c>
      <c r="L4" s="58">
        <v>45716</v>
      </c>
      <c r="M4" s="2" t="s">
        <v>767</v>
      </c>
      <c r="N4" s="2" t="s">
        <v>768</v>
      </c>
      <c r="O4" s="2" t="s">
        <v>769</v>
      </c>
      <c r="P4" s="2" t="s">
        <v>770</v>
      </c>
      <c r="T4" t="s">
        <v>70</v>
      </c>
      <c r="U4" t="s">
        <v>1374</v>
      </c>
    </row>
    <row r="5" spans="1:21" ht="30" customHeight="1">
      <c r="A5" s="12">
        <v>14</v>
      </c>
      <c r="B5" s="3" t="s">
        <v>1</v>
      </c>
      <c r="C5" s="3"/>
      <c r="D5" s="110" t="s">
        <v>61</v>
      </c>
      <c r="E5" s="2" t="s">
        <v>41</v>
      </c>
      <c r="F5" s="11" t="s">
        <v>89</v>
      </c>
      <c r="G5" s="11" t="s">
        <v>476</v>
      </c>
      <c r="H5" s="11" t="s">
        <v>477</v>
      </c>
      <c r="I5" s="58">
        <v>45323</v>
      </c>
      <c r="J5" s="58">
        <v>47141</v>
      </c>
      <c r="K5" s="58">
        <v>45352</v>
      </c>
      <c r="L5" s="58">
        <v>45716</v>
      </c>
      <c r="M5" s="2" t="s">
        <v>771</v>
      </c>
      <c r="N5" s="2" t="s">
        <v>772</v>
      </c>
      <c r="O5" s="2" t="s">
        <v>773</v>
      </c>
      <c r="P5" s="2" t="s">
        <v>774</v>
      </c>
      <c r="T5" t="s">
        <v>85</v>
      </c>
      <c r="U5" t="s">
        <v>1372</v>
      </c>
    </row>
    <row r="6" spans="1:21" ht="30" customHeight="1">
      <c r="A6" s="12">
        <v>2</v>
      </c>
      <c r="B6" s="3" t="s">
        <v>2</v>
      </c>
      <c r="C6" s="3"/>
      <c r="D6" s="111" t="s">
        <v>51</v>
      </c>
      <c r="E6" s="2" t="s">
        <v>29</v>
      </c>
      <c r="F6" s="11" t="s">
        <v>70</v>
      </c>
      <c r="G6" s="11" t="s">
        <v>452</v>
      </c>
      <c r="H6" s="11" t="s">
        <v>453</v>
      </c>
      <c r="I6" s="58">
        <v>45292</v>
      </c>
      <c r="J6" s="58">
        <v>47093</v>
      </c>
      <c r="K6" s="58">
        <v>45352</v>
      </c>
      <c r="L6" s="58">
        <v>45716</v>
      </c>
      <c r="M6" s="2" t="s">
        <v>771</v>
      </c>
      <c r="N6" s="2" t="s">
        <v>772</v>
      </c>
      <c r="O6" s="2" t="s">
        <v>773</v>
      </c>
      <c r="P6" s="2" t="s">
        <v>774</v>
      </c>
      <c r="T6" t="s">
        <v>86</v>
      </c>
      <c r="U6" t="s">
        <v>1353</v>
      </c>
    </row>
    <row r="7" spans="1:21" ht="30" customHeight="1">
      <c r="A7" s="12">
        <v>17</v>
      </c>
      <c r="B7" s="3" t="s">
        <v>3</v>
      </c>
      <c r="C7" s="3"/>
      <c r="D7" s="110" t="s">
        <v>63</v>
      </c>
      <c r="E7" s="2" t="s">
        <v>44</v>
      </c>
      <c r="F7" s="11" t="s">
        <v>88</v>
      </c>
      <c r="G7" s="11" t="s">
        <v>480</v>
      </c>
      <c r="H7" s="11" t="s">
        <v>481</v>
      </c>
      <c r="I7" s="58">
        <v>45323</v>
      </c>
      <c r="J7" s="58">
        <v>47141</v>
      </c>
      <c r="K7" s="58">
        <v>45352</v>
      </c>
      <c r="L7" s="58">
        <v>45716</v>
      </c>
      <c r="M7" s="2" t="s">
        <v>775</v>
      </c>
      <c r="N7" s="2" t="s">
        <v>776</v>
      </c>
      <c r="O7" s="2" t="s">
        <v>777</v>
      </c>
      <c r="P7" s="2" t="s">
        <v>778</v>
      </c>
      <c r="T7" t="s">
        <v>91</v>
      </c>
      <c r="U7" t="s">
        <v>1376</v>
      </c>
    </row>
    <row r="8" spans="1:21" ht="30" customHeight="1">
      <c r="A8" s="12">
        <v>12</v>
      </c>
      <c r="B8" s="3" t="s">
        <v>4</v>
      </c>
      <c r="C8" s="3"/>
      <c r="D8" s="110" t="s">
        <v>60</v>
      </c>
      <c r="E8" s="2" t="s">
        <v>39</v>
      </c>
      <c r="F8" s="11" t="s">
        <v>88</v>
      </c>
      <c r="G8" s="11" t="s">
        <v>484</v>
      </c>
      <c r="H8" s="11" t="s">
        <v>485</v>
      </c>
      <c r="I8" s="58">
        <v>45323</v>
      </c>
      <c r="J8" s="58">
        <v>47128</v>
      </c>
      <c r="K8" s="58">
        <v>45352</v>
      </c>
      <c r="L8" s="58">
        <v>45716</v>
      </c>
      <c r="M8" s="2" t="s">
        <v>779</v>
      </c>
      <c r="N8" s="2" t="s">
        <v>780</v>
      </c>
      <c r="O8" s="2" t="s">
        <v>781</v>
      </c>
      <c r="P8" s="2" t="s">
        <v>782</v>
      </c>
      <c r="T8" t="s">
        <v>87</v>
      </c>
      <c r="U8" t="s">
        <v>1366</v>
      </c>
    </row>
    <row r="9" spans="1:21" ht="30" customHeight="1">
      <c r="A9" s="12">
        <v>7</v>
      </c>
      <c r="B9" s="3" t="s">
        <v>5</v>
      </c>
      <c r="C9" s="3"/>
      <c r="D9" s="110" t="s">
        <v>56</v>
      </c>
      <c r="E9" s="2" t="s">
        <v>34</v>
      </c>
      <c r="F9" s="11" t="s">
        <v>70</v>
      </c>
      <c r="G9" s="11" t="s">
        <v>458</v>
      </c>
      <c r="H9" s="11" t="s">
        <v>459</v>
      </c>
      <c r="I9" s="58">
        <v>45292</v>
      </c>
      <c r="J9" s="58">
        <v>47107</v>
      </c>
      <c r="K9" s="58">
        <v>45352</v>
      </c>
      <c r="L9" s="58">
        <v>45716</v>
      </c>
      <c r="M9" s="2" t="s">
        <v>783</v>
      </c>
      <c r="N9" s="2" t="s">
        <v>784</v>
      </c>
      <c r="O9" s="2" t="s">
        <v>785</v>
      </c>
      <c r="P9" s="2" t="s">
        <v>786</v>
      </c>
      <c r="T9" t="s">
        <v>88</v>
      </c>
      <c r="U9" t="s">
        <v>1406</v>
      </c>
    </row>
    <row r="10" spans="1:21" ht="30" customHeight="1">
      <c r="A10" s="12">
        <v>15</v>
      </c>
      <c r="B10" s="3" t="s">
        <v>6</v>
      </c>
      <c r="C10" s="3"/>
      <c r="D10" s="110" t="s">
        <v>22</v>
      </c>
      <c r="E10" s="2" t="s">
        <v>42</v>
      </c>
      <c r="F10" s="11" t="s">
        <v>70</v>
      </c>
      <c r="G10" s="11" t="s">
        <v>474</v>
      </c>
      <c r="H10" s="11" t="s">
        <v>475</v>
      </c>
      <c r="I10" s="58">
        <v>45323</v>
      </c>
      <c r="J10" s="58">
        <v>47141</v>
      </c>
      <c r="K10" s="58">
        <v>45352</v>
      </c>
      <c r="L10" s="58">
        <v>45716</v>
      </c>
      <c r="M10" s="2" t="s">
        <v>787</v>
      </c>
      <c r="N10" s="2" t="s">
        <v>788</v>
      </c>
      <c r="O10" s="2" t="s">
        <v>789</v>
      </c>
      <c r="P10" s="2" t="s">
        <v>790</v>
      </c>
      <c r="T10" t="s">
        <v>89</v>
      </c>
      <c r="U10" t="s">
        <v>1407</v>
      </c>
    </row>
    <row r="11" spans="1:21" ht="30" customHeight="1">
      <c r="A11" s="12">
        <v>5</v>
      </c>
      <c r="B11" s="3" t="s">
        <v>7</v>
      </c>
      <c r="C11" s="3"/>
      <c r="D11" s="110" t="s">
        <v>54</v>
      </c>
      <c r="E11" s="2" t="s">
        <v>32</v>
      </c>
      <c r="F11" s="11" t="s">
        <v>85</v>
      </c>
      <c r="G11" s="11" t="s">
        <v>466</v>
      </c>
      <c r="H11" s="11" t="s">
        <v>467</v>
      </c>
      <c r="I11" s="58">
        <v>45292</v>
      </c>
      <c r="J11" s="58">
        <v>47093</v>
      </c>
      <c r="K11" s="58">
        <v>45352</v>
      </c>
      <c r="L11" s="58">
        <v>45716</v>
      </c>
      <c r="M11" s="2" t="s">
        <v>791</v>
      </c>
      <c r="N11" s="2" t="s">
        <v>792</v>
      </c>
      <c r="O11" s="2" t="s">
        <v>793</v>
      </c>
      <c r="P11" s="2" t="s">
        <v>794</v>
      </c>
      <c r="T11" t="s">
        <v>90</v>
      </c>
      <c r="U11" t="s">
        <v>1408</v>
      </c>
    </row>
    <row r="12" spans="1:21" ht="30" customHeight="1">
      <c r="A12" s="12">
        <v>8</v>
      </c>
      <c r="B12" s="3" t="s">
        <v>8</v>
      </c>
      <c r="C12" s="3"/>
      <c r="D12" s="110" t="s">
        <v>57</v>
      </c>
      <c r="E12" s="2" t="s">
        <v>35</v>
      </c>
      <c r="F12" s="11" t="s">
        <v>90</v>
      </c>
      <c r="G12" s="11" t="s">
        <v>470</v>
      </c>
      <c r="H12" s="11" t="s">
        <v>471</v>
      </c>
      <c r="I12" s="58">
        <v>45292</v>
      </c>
      <c r="J12" s="58">
        <v>47107</v>
      </c>
      <c r="K12" s="58">
        <v>45352</v>
      </c>
      <c r="L12" s="58">
        <v>45716</v>
      </c>
      <c r="M12" s="2" t="s">
        <v>795</v>
      </c>
      <c r="N12" s="2" t="s">
        <v>796</v>
      </c>
      <c r="O12" s="2" t="s">
        <v>797</v>
      </c>
      <c r="P12" s="2" t="s">
        <v>798</v>
      </c>
    </row>
    <row r="13" spans="1:21" ht="30" customHeight="1">
      <c r="A13" s="12">
        <v>3</v>
      </c>
      <c r="B13" s="3" t="s">
        <v>9</v>
      </c>
      <c r="C13" s="3"/>
      <c r="D13" s="110" t="s">
        <v>52</v>
      </c>
      <c r="E13" s="2" t="s">
        <v>30</v>
      </c>
      <c r="F13" s="11" t="s">
        <v>70</v>
      </c>
      <c r="G13" s="11" t="s">
        <v>462</v>
      </c>
      <c r="H13" s="11" t="s">
        <v>463</v>
      </c>
      <c r="I13" s="58">
        <v>45292</v>
      </c>
      <c r="J13" s="58">
        <v>47093</v>
      </c>
      <c r="K13" s="58">
        <v>45352</v>
      </c>
      <c r="L13" s="58">
        <v>45716</v>
      </c>
      <c r="M13" s="2" t="s">
        <v>799</v>
      </c>
      <c r="N13" s="2" t="s">
        <v>800</v>
      </c>
      <c r="O13" s="2" t="s">
        <v>801</v>
      </c>
      <c r="P13" s="2" t="s">
        <v>802</v>
      </c>
    </row>
    <row r="14" spans="1:21" ht="30" customHeight="1">
      <c r="A14" s="12">
        <v>22</v>
      </c>
      <c r="B14" s="3" t="s">
        <v>10</v>
      </c>
      <c r="C14" s="3"/>
      <c r="D14" s="110" t="s">
        <v>66</v>
      </c>
      <c r="E14" s="2" t="s">
        <v>49</v>
      </c>
      <c r="F14" s="11" t="s">
        <v>87</v>
      </c>
      <c r="G14" s="11" t="s">
        <v>494</v>
      </c>
      <c r="H14" s="11" t="s">
        <v>495</v>
      </c>
      <c r="I14" s="58">
        <v>44924</v>
      </c>
      <c r="J14" s="58">
        <v>47093</v>
      </c>
      <c r="K14" s="58">
        <v>45352</v>
      </c>
      <c r="L14" s="58">
        <v>45716</v>
      </c>
      <c r="M14" s="2" t="s">
        <v>803</v>
      </c>
      <c r="N14" s="2" t="s">
        <v>804</v>
      </c>
      <c r="O14" s="2" t="s">
        <v>805</v>
      </c>
      <c r="P14" s="2" t="s">
        <v>806</v>
      </c>
    </row>
    <row r="15" spans="1:21" ht="30" customHeight="1">
      <c r="A15" s="12">
        <v>1</v>
      </c>
      <c r="B15" s="3" t="s">
        <v>11</v>
      </c>
      <c r="C15" s="3"/>
      <c r="D15" s="110" t="s">
        <v>50</v>
      </c>
      <c r="E15" s="2" t="s">
        <v>28</v>
      </c>
      <c r="F15" s="11" t="s">
        <v>87</v>
      </c>
      <c r="G15" s="11" t="s">
        <v>464</v>
      </c>
      <c r="H15" s="11" t="s">
        <v>465</v>
      </c>
      <c r="I15" s="58">
        <v>45292</v>
      </c>
      <c r="J15" s="58">
        <v>47037</v>
      </c>
      <c r="K15" s="58">
        <v>45352</v>
      </c>
      <c r="L15" s="58">
        <v>45716</v>
      </c>
      <c r="M15" s="2" t="s">
        <v>807</v>
      </c>
      <c r="N15" s="2" t="s">
        <v>808</v>
      </c>
      <c r="O15" s="2" t="s">
        <v>809</v>
      </c>
      <c r="P15" s="2" t="s">
        <v>810</v>
      </c>
    </row>
    <row r="16" spans="1:21" ht="30" customHeight="1">
      <c r="A16" s="12">
        <v>18</v>
      </c>
      <c r="B16" s="3" t="s">
        <v>12</v>
      </c>
      <c r="C16" s="3"/>
      <c r="D16" s="110" t="s">
        <v>64</v>
      </c>
      <c r="E16" s="2" t="s">
        <v>45</v>
      </c>
      <c r="F16" s="11" t="s">
        <v>87</v>
      </c>
      <c r="G16" s="11" t="s">
        <v>486</v>
      </c>
      <c r="H16" s="11" t="s">
        <v>487</v>
      </c>
      <c r="I16" s="58">
        <v>45323</v>
      </c>
      <c r="J16" s="58">
        <v>47141</v>
      </c>
      <c r="K16" s="58">
        <v>45352</v>
      </c>
      <c r="L16" s="58">
        <v>45716</v>
      </c>
      <c r="M16" s="2" t="s">
        <v>811</v>
      </c>
      <c r="N16" s="2" t="s">
        <v>812</v>
      </c>
      <c r="O16" s="2" t="s">
        <v>813</v>
      </c>
      <c r="P16" s="2" t="s">
        <v>814</v>
      </c>
    </row>
    <row r="17" spans="1:16" ht="30" customHeight="1">
      <c r="A17" s="12">
        <v>9</v>
      </c>
      <c r="B17" s="3" t="s">
        <v>13</v>
      </c>
      <c r="C17" s="3"/>
      <c r="D17" s="110" t="s">
        <v>58</v>
      </c>
      <c r="E17" s="2" t="s">
        <v>36</v>
      </c>
      <c r="F17" s="11" t="s">
        <v>87</v>
      </c>
      <c r="G17" s="11" t="s">
        <v>468</v>
      </c>
      <c r="H17" s="11" t="s">
        <v>469</v>
      </c>
      <c r="I17" s="58">
        <v>45292</v>
      </c>
      <c r="J17" s="58">
        <v>47107</v>
      </c>
      <c r="K17" s="58">
        <v>45352</v>
      </c>
      <c r="L17" s="58">
        <v>45716</v>
      </c>
      <c r="M17" s="2" t="s">
        <v>815</v>
      </c>
      <c r="N17" s="2" t="s">
        <v>816</v>
      </c>
      <c r="O17" s="2" t="s">
        <v>817</v>
      </c>
      <c r="P17" s="2" t="s">
        <v>818</v>
      </c>
    </row>
    <row r="18" spans="1:16" ht="30" customHeight="1">
      <c r="A18" s="12">
        <v>10</v>
      </c>
      <c r="B18" s="3" t="s">
        <v>14</v>
      </c>
      <c r="C18" s="3"/>
      <c r="D18" s="110" t="s">
        <v>59</v>
      </c>
      <c r="E18" s="2" t="s">
        <v>37</v>
      </c>
      <c r="F18" s="11" t="s">
        <v>88</v>
      </c>
      <c r="G18" s="11" t="s">
        <v>472</v>
      </c>
      <c r="H18" s="11" t="s">
        <v>473</v>
      </c>
      <c r="I18" s="58">
        <v>45292</v>
      </c>
      <c r="J18" s="58">
        <v>47107</v>
      </c>
      <c r="K18" s="58">
        <v>45352</v>
      </c>
      <c r="L18" s="58">
        <v>45716</v>
      </c>
      <c r="M18" s="2" t="s">
        <v>819</v>
      </c>
      <c r="N18" s="2" t="s">
        <v>820</v>
      </c>
      <c r="O18" s="2" t="s">
        <v>821</v>
      </c>
      <c r="P18" s="2" t="s">
        <v>822</v>
      </c>
    </row>
    <row r="19" spans="1:16" ht="30" customHeight="1">
      <c r="A19" s="12">
        <v>4</v>
      </c>
      <c r="B19" s="3" t="s">
        <v>15</v>
      </c>
      <c r="C19" s="3"/>
      <c r="D19" s="110" t="s">
        <v>53</v>
      </c>
      <c r="E19" s="2" t="s">
        <v>31</v>
      </c>
      <c r="F19" s="11" t="s">
        <v>91</v>
      </c>
      <c r="G19" s="11" t="s">
        <v>460</v>
      </c>
      <c r="H19" s="11" t="s">
        <v>461</v>
      </c>
      <c r="I19" s="58">
        <v>45292</v>
      </c>
      <c r="J19" s="58">
        <v>47093</v>
      </c>
      <c r="K19" s="58">
        <v>45352</v>
      </c>
      <c r="L19" s="58">
        <v>45716</v>
      </c>
      <c r="M19" s="2" t="s">
        <v>823</v>
      </c>
      <c r="N19" s="2" t="s">
        <v>824</v>
      </c>
      <c r="O19" s="2" t="s">
        <v>825</v>
      </c>
      <c r="P19" s="2" t="s">
        <v>826</v>
      </c>
    </row>
    <row r="20" spans="1:16" ht="30" customHeight="1">
      <c r="A20" s="12">
        <v>19</v>
      </c>
      <c r="B20" s="3" t="s">
        <v>16</v>
      </c>
      <c r="C20" s="3"/>
      <c r="D20" s="110" t="s">
        <v>23</v>
      </c>
      <c r="E20" s="2" t="s">
        <v>46</v>
      </c>
      <c r="F20" s="11" t="s">
        <v>88</v>
      </c>
      <c r="G20" s="11" t="s">
        <v>478</v>
      </c>
      <c r="H20" s="11" t="s">
        <v>479</v>
      </c>
      <c r="I20" s="58">
        <v>45323</v>
      </c>
      <c r="J20" s="58">
        <v>47149</v>
      </c>
      <c r="K20" s="58">
        <v>45352</v>
      </c>
      <c r="L20" s="58">
        <v>45716</v>
      </c>
      <c r="M20" s="2" t="s">
        <v>775</v>
      </c>
      <c r="N20" s="2" t="s">
        <v>827</v>
      </c>
      <c r="O20" s="2" t="s">
        <v>777</v>
      </c>
      <c r="P20" s="2" t="s">
        <v>828</v>
      </c>
    </row>
    <row r="21" spans="1:16" ht="30" customHeight="1">
      <c r="A21" s="12">
        <v>21</v>
      </c>
      <c r="B21" s="3" t="s">
        <v>17</v>
      </c>
      <c r="C21" s="3"/>
      <c r="D21" s="110" t="s">
        <v>24</v>
      </c>
      <c r="E21" s="2" t="s">
        <v>47</v>
      </c>
      <c r="F21" s="11" t="s">
        <v>86</v>
      </c>
      <c r="G21" s="11" t="s">
        <v>492</v>
      </c>
      <c r="H21" s="11" t="s">
        <v>493</v>
      </c>
      <c r="I21" s="58">
        <v>45352</v>
      </c>
      <c r="J21" s="58">
        <v>47156</v>
      </c>
      <c r="K21" s="58">
        <v>45352</v>
      </c>
      <c r="L21" s="58">
        <v>45716</v>
      </c>
      <c r="M21" s="2" t="s">
        <v>829</v>
      </c>
      <c r="N21" s="2" t="s">
        <v>830</v>
      </c>
      <c r="O21" s="2" t="s">
        <v>838</v>
      </c>
      <c r="P21" s="2" t="s">
        <v>839</v>
      </c>
    </row>
    <row r="22" spans="1:16" ht="30" customHeight="1">
      <c r="A22" s="12">
        <v>20</v>
      </c>
      <c r="B22" s="3" t="s">
        <v>18</v>
      </c>
      <c r="C22" s="3"/>
      <c r="D22" s="110" t="s">
        <v>25</v>
      </c>
      <c r="E22" s="2" t="s">
        <v>47</v>
      </c>
      <c r="F22" s="11" t="s">
        <v>86</v>
      </c>
      <c r="G22" s="11" t="s">
        <v>490</v>
      </c>
      <c r="H22" s="11" t="s">
        <v>491</v>
      </c>
      <c r="I22" s="58">
        <v>45352</v>
      </c>
      <c r="J22" s="58">
        <v>47156</v>
      </c>
      <c r="K22" s="58">
        <v>45352</v>
      </c>
      <c r="L22" s="58">
        <v>45716</v>
      </c>
      <c r="M22" s="2" t="s">
        <v>840</v>
      </c>
      <c r="N22" s="2" t="s">
        <v>841</v>
      </c>
      <c r="O22" s="2" t="s">
        <v>842</v>
      </c>
      <c r="P22" s="2" t="s">
        <v>843</v>
      </c>
    </row>
    <row r="23" spans="1:16" ht="30" customHeight="1">
      <c r="A23" s="12">
        <v>11</v>
      </c>
      <c r="B23" s="3" t="s">
        <v>19</v>
      </c>
      <c r="C23" s="3"/>
      <c r="D23" s="110" t="s">
        <v>26</v>
      </c>
      <c r="E23" s="2" t="s">
        <v>38</v>
      </c>
      <c r="F23" s="11" t="s">
        <v>86</v>
      </c>
      <c r="G23" s="11" t="s">
        <v>456</v>
      </c>
      <c r="H23" s="11" t="s">
        <v>457</v>
      </c>
      <c r="I23" s="58">
        <v>45292</v>
      </c>
      <c r="J23" s="58">
        <v>47107</v>
      </c>
      <c r="K23" s="58">
        <v>45352</v>
      </c>
      <c r="L23" s="58">
        <v>45716</v>
      </c>
      <c r="M23" s="2" t="s">
        <v>844</v>
      </c>
      <c r="N23" s="2" t="s">
        <v>845</v>
      </c>
      <c r="O23" s="2" t="s">
        <v>846</v>
      </c>
      <c r="P23" s="2" t="s">
        <v>847</v>
      </c>
    </row>
    <row r="24" spans="1:16" ht="30" customHeight="1">
      <c r="A24" s="12">
        <v>13</v>
      </c>
      <c r="B24" s="3" t="s">
        <v>20</v>
      </c>
      <c r="C24" s="3"/>
      <c r="D24" s="111" t="s">
        <v>27</v>
      </c>
      <c r="E24" s="2" t="s">
        <v>40</v>
      </c>
      <c r="F24" s="11" t="s">
        <v>86</v>
      </c>
      <c r="G24" s="11" t="s">
        <v>488</v>
      </c>
      <c r="H24" s="11" t="s">
        <v>489</v>
      </c>
      <c r="I24" s="58">
        <v>45323</v>
      </c>
      <c r="J24" s="58">
        <v>47141</v>
      </c>
      <c r="K24" s="58">
        <v>45352</v>
      </c>
      <c r="L24" s="58">
        <v>45716</v>
      </c>
      <c r="M24" s="2" t="s">
        <v>848</v>
      </c>
      <c r="N24" s="2" t="s">
        <v>849</v>
      </c>
      <c r="O24" s="2" t="s">
        <v>850</v>
      </c>
      <c r="P24" s="2" t="s">
        <v>851</v>
      </c>
    </row>
    <row r="25" spans="1:16" ht="30" customHeight="1">
      <c r="A25" s="12">
        <v>16</v>
      </c>
      <c r="B25" s="3" t="s">
        <v>21</v>
      </c>
      <c r="C25" s="3"/>
      <c r="D25" s="110" t="s">
        <v>62</v>
      </c>
      <c r="E25" s="2" t="s">
        <v>43</v>
      </c>
      <c r="F25" s="11" t="s">
        <v>87</v>
      </c>
      <c r="G25" s="11" t="s">
        <v>482</v>
      </c>
      <c r="H25" s="11" t="s">
        <v>483</v>
      </c>
      <c r="I25" s="58">
        <v>45323</v>
      </c>
      <c r="J25" s="58">
        <v>47141</v>
      </c>
      <c r="K25" s="58">
        <v>45352</v>
      </c>
      <c r="L25" s="58">
        <v>45716</v>
      </c>
      <c r="M25" s="2" t="s">
        <v>852</v>
      </c>
      <c r="N25" s="2" t="s">
        <v>853</v>
      </c>
      <c r="O25" s="2" t="s">
        <v>854</v>
      </c>
      <c r="P25" s="2" t="s">
        <v>855</v>
      </c>
    </row>
    <row r="26" spans="1:16" ht="42.75">
      <c r="A26" s="17">
        <v>23</v>
      </c>
      <c r="B26" s="3" t="s">
        <v>1221</v>
      </c>
      <c r="C26" s="3"/>
      <c r="D26" s="110" t="s">
        <v>1200</v>
      </c>
      <c r="E26" s="2" t="s">
        <v>1199</v>
      </c>
      <c r="F26" s="11" t="s">
        <v>86</v>
      </c>
      <c r="G26" s="11" t="s">
        <v>1202</v>
      </c>
      <c r="H26" s="11" t="s">
        <v>1201</v>
      </c>
      <c r="I26" s="58">
        <v>45536</v>
      </c>
      <c r="J26" s="58">
        <v>47361</v>
      </c>
      <c r="K26" s="58">
        <v>45536</v>
      </c>
      <c r="L26" s="58">
        <v>45716</v>
      </c>
      <c r="M26" s="2" t="s">
        <v>1203</v>
      </c>
      <c r="N26" s="2" t="s">
        <v>1204</v>
      </c>
      <c r="O26" s="2" t="s">
        <v>1205</v>
      </c>
      <c r="P26" s="2" t="s">
        <v>1206</v>
      </c>
    </row>
    <row r="27" spans="1:16" ht="42.75">
      <c r="A27" s="12">
        <v>24</v>
      </c>
      <c r="B27" s="3" t="s">
        <v>1223</v>
      </c>
      <c r="C27" s="3"/>
      <c r="D27" s="110" t="s">
        <v>1200</v>
      </c>
      <c r="E27" s="250" t="s">
        <v>1207</v>
      </c>
      <c r="F27" s="11" t="s">
        <v>86</v>
      </c>
      <c r="G27" s="11" t="s">
        <v>1202</v>
      </c>
      <c r="H27" s="11" t="s">
        <v>1201</v>
      </c>
      <c r="I27" s="58">
        <v>45536</v>
      </c>
      <c r="J27" s="58">
        <v>47361</v>
      </c>
      <c r="K27" s="58">
        <v>45536</v>
      </c>
      <c r="L27" s="58">
        <v>45716</v>
      </c>
      <c r="M27" s="2" t="s">
        <v>1203</v>
      </c>
      <c r="N27" s="2" t="s">
        <v>1204</v>
      </c>
      <c r="O27" s="2" t="s">
        <v>1205</v>
      </c>
      <c r="P27" s="2" t="s">
        <v>1206</v>
      </c>
    </row>
    <row r="28" spans="1:16" ht="42.75">
      <c r="A28" s="17">
        <v>25</v>
      </c>
      <c r="B28" s="3" t="s">
        <v>1225</v>
      </c>
      <c r="C28" s="3"/>
      <c r="D28" s="110" t="s">
        <v>1200</v>
      </c>
      <c r="E28" s="250" t="s">
        <v>1208</v>
      </c>
      <c r="F28" s="11" t="s">
        <v>86</v>
      </c>
      <c r="G28" s="11" t="s">
        <v>1202</v>
      </c>
      <c r="H28" s="11" t="s">
        <v>1201</v>
      </c>
      <c r="I28" s="58">
        <v>45536</v>
      </c>
      <c r="J28" s="58">
        <v>47361</v>
      </c>
      <c r="K28" s="58">
        <v>45536</v>
      </c>
      <c r="L28" s="58">
        <v>45716</v>
      </c>
      <c r="M28" s="2" t="s">
        <v>1203</v>
      </c>
      <c r="N28" s="2" t="s">
        <v>1204</v>
      </c>
      <c r="O28" s="2" t="s">
        <v>1205</v>
      </c>
      <c r="P28" s="2" t="s">
        <v>1206</v>
      </c>
    </row>
    <row r="29" spans="1:16" ht="42.75">
      <c r="A29" s="12">
        <v>26</v>
      </c>
      <c r="B29" s="3" t="s">
        <v>1227</v>
      </c>
      <c r="C29" s="3"/>
      <c r="D29" s="110" t="s">
        <v>1200</v>
      </c>
      <c r="E29" s="250" t="s">
        <v>1209</v>
      </c>
      <c r="F29" s="11" t="s">
        <v>87</v>
      </c>
      <c r="G29" s="11" t="s">
        <v>1202</v>
      </c>
      <c r="H29" s="11" t="s">
        <v>1201</v>
      </c>
      <c r="I29" s="58">
        <v>45536</v>
      </c>
      <c r="J29" s="58">
        <v>47361</v>
      </c>
      <c r="K29" s="58">
        <v>45536</v>
      </c>
      <c r="L29" s="58">
        <v>45716</v>
      </c>
      <c r="M29" s="2" t="s">
        <v>1203</v>
      </c>
      <c r="N29" s="2" t="s">
        <v>1204</v>
      </c>
      <c r="O29" s="2" t="s">
        <v>1205</v>
      </c>
      <c r="P29" s="2" t="s">
        <v>1206</v>
      </c>
    </row>
    <row r="30" spans="1:16" ht="42.75">
      <c r="A30" s="17">
        <v>27</v>
      </c>
      <c r="B30" s="3" t="s">
        <v>1265</v>
      </c>
      <c r="C30" s="3"/>
      <c r="D30" s="110" t="s">
        <v>1200</v>
      </c>
      <c r="E30" s="250" t="s">
        <v>1210</v>
      </c>
      <c r="F30" s="11" t="s">
        <v>91</v>
      </c>
      <c r="G30" s="11" t="s">
        <v>1202</v>
      </c>
      <c r="H30" s="11" t="s">
        <v>1201</v>
      </c>
      <c r="I30" s="58">
        <v>45536</v>
      </c>
      <c r="J30" s="58">
        <v>47361</v>
      </c>
      <c r="K30" s="58">
        <v>45536</v>
      </c>
      <c r="L30" s="58">
        <v>45716</v>
      </c>
      <c r="M30" s="2" t="s">
        <v>1203</v>
      </c>
      <c r="N30" s="2" t="s">
        <v>1204</v>
      </c>
      <c r="O30" s="2" t="s">
        <v>1205</v>
      </c>
      <c r="P30" s="2" t="s">
        <v>1206</v>
      </c>
    </row>
    <row r="31" spans="1:16" ht="42.75">
      <c r="A31" s="12">
        <v>28</v>
      </c>
      <c r="B31" s="3" t="s">
        <v>1231</v>
      </c>
      <c r="C31" s="3"/>
      <c r="D31" s="110" t="s">
        <v>1200</v>
      </c>
      <c r="E31" s="1" t="s">
        <v>1211</v>
      </c>
      <c r="F31" s="11" t="s">
        <v>90</v>
      </c>
      <c r="G31" s="11" t="s">
        <v>1202</v>
      </c>
      <c r="H31" s="11" t="s">
        <v>1201</v>
      </c>
      <c r="I31" s="58">
        <v>45536</v>
      </c>
      <c r="J31" s="58">
        <v>47361</v>
      </c>
      <c r="K31" s="58">
        <v>45536</v>
      </c>
      <c r="L31" s="58">
        <v>45716</v>
      </c>
      <c r="M31" s="2" t="s">
        <v>1203</v>
      </c>
      <c r="N31" s="2" t="s">
        <v>1204</v>
      </c>
      <c r="O31" s="2" t="s">
        <v>1205</v>
      </c>
      <c r="P31" s="2" t="s">
        <v>1206</v>
      </c>
    </row>
    <row r="32" spans="1:16" ht="42.75">
      <c r="A32" s="17">
        <v>29</v>
      </c>
      <c r="B32" s="3" t="s">
        <v>1272</v>
      </c>
      <c r="C32" s="3"/>
      <c r="D32" s="249" t="s">
        <v>1213</v>
      </c>
      <c r="E32" s="1" t="s">
        <v>1212</v>
      </c>
      <c r="F32" s="11" t="s">
        <v>86</v>
      </c>
      <c r="G32" s="11" t="s">
        <v>1214</v>
      </c>
      <c r="H32" s="11" t="s">
        <v>1215</v>
      </c>
      <c r="I32" s="58">
        <v>45536</v>
      </c>
      <c r="J32" s="58">
        <v>47361</v>
      </c>
      <c r="K32" s="58">
        <v>45536</v>
      </c>
      <c r="L32" s="58">
        <v>45716</v>
      </c>
      <c r="M32" s="1" t="s">
        <v>1216</v>
      </c>
      <c r="N32" s="1" t="s">
        <v>1217</v>
      </c>
      <c r="O32" s="250" t="s">
        <v>1218</v>
      </c>
      <c r="P32" s="2" t="s">
        <v>1219</v>
      </c>
    </row>
    <row r="33" spans="1:16" ht="30" customHeight="1">
      <c r="A33" s="12">
        <v>32</v>
      </c>
      <c r="B33" s="3" t="s">
        <v>894</v>
      </c>
      <c r="C33" s="3"/>
      <c r="D33" s="110" t="s">
        <v>116</v>
      </c>
      <c r="E33" s="2"/>
      <c r="F33" s="11"/>
      <c r="G33" s="11"/>
      <c r="H33" s="11"/>
      <c r="I33" s="11"/>
      <c r="J33" s="11"/>
      <c r="K33" s="58"/>
      <c r="L33" s="58"/>
      <c r="M33" s="2" t="s">
        <v>831</v>
      </c>
      <c r="N33" s="2" t="s">
        <v>832</v>
      </c>
      <c r="O33" s="2" t="s">
        <v>856</v>
      </c>
      <c r="P33" s="2" t="s">
        <v>833</v>
      </c>
    </row>
    <row r="34" spans="1:16" ht="30" customHeight="1">
      <c r="A34" s="17">
        <v>33</v>
      </c>
      <c r="B34" s="3" t="s">
        <v>900</v>
      </c>
      <c r="C34" s="3"/>
      <c r="D34" s="110" t="s">
        <v>898</v>
      </c>
      <c r="E34" s="2"/>
      <c r="F34" s="11" t="s">
        <v>87</v>
      </c>
      <c r="G34" s="11"/>
      <c r="H34" s="11"/>
      <c r="I34" s="11"/>
      <c r="J34" s="11"/>
      <c r="K34" s="58"/>
      <c r="L34" s="58"/>
      <c r="M34" s="2"/>
      <c r="N34" s="2"/>
      <c r="O34" s="2"/>
      <c r="P34" s="2"/>
    </row>
  </sheetData>
  <phoneticPr fontId="9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C6D43D-6F6D-BF4B-BF54-4D155928B883}">
          <x14:formula1>
            <xm:f>'Preturi si tarife'!$C$2:$J$2</xm:f>
          </x14:formula1>
          <xm:sqref>F34 F4:F32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4894-55B7-4541-B4AB-0108627EFFB9}">
  <dimension ref="A1:AC66"/>
  <sheetViews>
    <sheetView zoomScale="70" zoomScaleNormal="70" workbookViewId="0">
      <selection activeCell="B5" sqref="B5"/>
    </sheetView>
  </sheetViews>
  <sheetFormatPr defaultColWidth="10.625" defaultRowHeight="15.75"/>
  <cols>
    <col min="2" max="2" width="43" bestFit="1" customWidth="1"/>
    <col min="3" max="10" width="20.5" bestFit="1" customWidth="1"/>
    <col min="11" max="11" width="15.5" bestFit="1" customWidth="1"/>
    <col min="13" max="13" width="16" customWidth="1"/>
    <col min="14" max="14" width="21.875" customWidth="1"/>
  </cols>
  <sheetData>
    <row r="1" spans="1:13">
      <c r="A1" s="5">
        <v>1</v>
      </c>
      <c r="B1" s="5">
        <f>A1+1</f>
        <v>2</v>
      </c>
      <c r="C1" s="5">
        <f t="shared" ref="C1:K1" si="0">B1+1</f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  <c r="H1" s="5">
        <f t="shared" si="0"/>
        <v>8</v>
      </c>
      <c r="I1" s="5">
        <f t="shared" si="0"/>
        <v>9</v>
      </c>
      <c r="J1" s="5">
        <f t="shared" si="0"/>
        <v>10</v>
      </c>
      <c r="K1" s="5">
        <f t="shared" si="0"/>
        <v>11</v>
      </c>
    </row>
    <row r="2" spans="1:13">
      <c r="A2" s="6" t="s">
        <v>92</v>
      </c>
      <c r="B2" s="6" t="s">
        <v>95</v>
      </c>
      <c r="C2" s="6" t="s">
        <v>70</v>
      </c>
      <c r="D2" s="6" t="s">
        <v>85</v>
      </c>
      <c r="E2" s="6" t="s">
        <v>86</v>
      </c>
      <c r="F2" s="6" t="s">
        <v>91</v>
      </c>
      <c r="G2" s="6" t="s">
        <v>87</v>
      </c>
      <c r="H2" s="6" t="s">
        <v>88</v>
      </c>
      <c r="I2" s="6" t="s">
        <v>89</v>
      </c>
      <c r="J2" s="6" t="s">
        <v>90</v>
      </c>
      <c r="K2" s="8" t="s">
        <v>94</v>
      </c>
    </row>
    <row r="3" spans="1:13">
      <c r="A3" s="6" t="s">
        <v>69</v>
      </c>
      <c r="B3" s="6" t="s">
        <v>69</v>
      </c>
      <c r="C3" s="6" t="s">
        <v>93</v>
      </c>
      <c r="D3" s="6" t="s">
        <v>93</v>
      </c>
      <c r="E3" s="6" t="s">
        <v>93</v>
      </c>
      <c r="F3" s="6" t="s">
        <v>93</v>
      </c>
      <c r="G3" s="6" t="s">
        <v>93</v>
      </c>
      <c r="H3" s="6" t="s">
        <v>93</v>
      </c>
      <c r="I3" s="6" t="s">
        <v>93</v>
      </c>
      <c r="J3" s="6" t="s">
        <v>93</v>
      </c>
      <c r="K3" s="5" t="s">
        <v>69</v>
      </c>
    </row>
    <row r="4" spans="1:13">
      <c r="A4" s="7" t="s">
        <v>84</v>
      </c>
      <c r="B4" s="1" t="s">
        <v>71</v>
      </c>
      <c r="C4" s="9">
        <v>0.59499999999999997</v>
      </c>
      <c r="D4" s="9">
        <v>0.59499999999999997</v>
      </c>
      <c r="E4" s="9">
        <v>0.59499999999999997</v>
      </c>
      <c r="F4" s="9">
        <v>0.59499999999999997</v>
      </c>
      <c r="G4" s="9">
        <v>0.59499999999999997</v>
      </c>
      <c r="H4" s="9">
        <v>0.59499999999999997</v>
      </c>
      <c r="I4" s="9">
        <v>0.59499999999999997</v>
      </c>
      <c r="J4" s="9">
        <v>0.59499999999999997</v>
      </c>
      <c r="K4" s="10" t="s">
        <v>96</v>
      </c>
    </row>
    <row r="5" spans="1:13">
      <c r="A5" s="7" t="s">
        <v>1098</v>
      </c>
      <c r="B5" s="1" t="s">
        <v>72</v>
      </c>
      <c r="C5" s="9">
        <v>0.14649999999999999</v>
      </c>
      <c r="D5" s="9">
        <v>0.14649999999999999</v>
      </c>
      <c r="E5" s="9">
        <v>0.14649999999999999</v>
      </c>
      <c r="F5" s="9">
        <v>0.14660000000000001</v>
      </c>
      <c r="G5" s="9">
        <v>0.14649999999999999</v>
      </c>
      <c r="H5" s="9">
        <v>0.14660000000000001</v>
      </c>
      <c r="I5" s="9">
        <v>0.14660000000000001</v>
      </c>
      <c r="J5" s="9">
        <v>0.14660000000000001</v>
      </c>
      <c r="K5" s="10" t="s">
        <v>96</v>
      </c>
      <c r="M5">
        <f>G5*3</f>
        <v>0.4395</v>
      </c>
    </row>
    <row r="6" spans="1:13">
      <c r="A6" s="7" t="s">
        <v>1099</v>
      </c>
      <c r="B6" s="1" t="s">
        <v>73</v>
      </c>
      <c r="C6" s="9">
        <v>0.4395</v>
      </c>
      <c r="D6" s="9">
        <v>0.4395</v>
      </c>
      <c r="E6" s="9">
        <v>0.4395</v>
      </c>
      <c r="F6" s="9">
        <v>0.43980000000000002</v>
      </c>
      <c r="G6" s="9">
        <v>0.4395</v>
      </c>
      <c r="H6" s="9">
        <v>0.43980000000000002</v>
      </c>
      <c r="I6" s="9">
        <v>0.43980000000000002</v>
      </c>
      <c r="J6" s="9">
        <v>0.43980000000000002</v>
      </c>
      <c r="K6" s="10" t="s">
        <v>96</v>
      </c>
    </row>
    <row r="7" spans="1:13">
      <c r="A7" s="7" t="s">
        <v>1100</v>
      </c>
      <c r="B7" s="1" t="s">
        <v>868</v>
      </c>
      <c r="C7" s="9">
        <v>0.11483</v>
      </c>
      <c r="D7" s="9">
        <v>0.11483</v>
      </c>
      <c r="E7" s="9">
        <v>0.11483</v>
      </c>
      <c r="F7" s="9">
        <v>0.11348</v>
      </c>
      <c r="G7" s="9">
        <v>0.13613999999999998</v>
      </c>
      <c r="H7" s="9">
        <v>8.6180000000000007E-2</v>
      </c>
      <c r="I7" s="9">
        <v>8.6180000000000007E-2</v>
      </c>
      <c r="J7" s="9">
        <v>8.6180000000000007E-2</v>
      </c>
      <c r="K7" s="10" t="s">
        <v>96</v>
      </c>
    </row>
    <row r="8" spans="1:13">
      <c r="A8" s="7" t="s">
        <v>1101</v>
      </c>
      <c r="B8" s="1" t="s">
        <v>757</v>
      </c>
      <c r="C8" s="9">
        <v>0.2361</v>
      </c>
      <c r="D8" s="9">
        <v>0.2361</v>
      </c>
      <c r="E8" s="9">
        <v>0.2361</v>
      </c>
      <c r="F8" s="9">
        <v>0.23974999999999999</v>
      </c>
      <c r="G8" s="9">
        <v>0.22738999999999998</v>
      </c>
      <c r="H8" s="9">
        <v>0.2079</v>
      </c>
      <c r="I8" s="9">
        <v>0.2079</v>
      </c>
      <c r="J8" s="9">
        <v>0.2079</v>
      </c>
      <c r="K8" s="10" t="s">
        <v>96</v>
      </c>
    </row>
    <row r="9" spans="1:13">
      <c r="A9" s="7" t="s">
        <v>1102</v>
      </c>
      <c r="B9" s="1" t="s">
        <v>74</v>
      </c>
      <c r="C9" s="208">
        <v>1.1509999999999999E-2</v>
      </c>
      <c r="D9" s="208">
        <v>1.1509999999999999E-2</v>
      </c>
      <c r="E9" s="208">
        <v>1.1509999999999999E-2</v>
      </c>
      <c r="F9" s="208">
        <v>1.1509999999999999E-2</v>
      </c>
      <c r="G9" s="208">
        <v>1.1509999999999999E-2</v>
      </c>
      <c r="H9" s="208">
        <v>1.1509999999999999E-2</v>
      </c>
      <c r="I9" s="208">
        <v>1.1509999999999999E-2</v>
      </c>
      <c r="J9" s="208">
        <v>1.1509999999999999E-2</v>
      </c>
      <c r="K9" s="10" t="s">
        <v>96</v>
      </c>
    </row>
    <row r="10" spans="1:13">
      <c r="A10" s="7" t="s">
        <v>1103</v>
      </c>
      <c r="B10" s="1" t="s">
        <v>75</v>
      </c>
      <c r="C10" s="9">
        <v>3.3030000000000004E-2</v>
      </c>
      <c r="D10" s="9">
        <v>3.3030000000000004E-2</v>
      </c>
      <c r="E10" s="9">
        <v>3.3030000000000004E-2</v>
      </c>
      <c r="F10" s="9">
        <v>3.3030000000000004E-2</v>
      </c>
      <c r="G10" s="9">
        <v>3.3030000000000004E-2</v>
      </c>
      <c r="H10" s="9">
        <v>3.3030000000000004E-2</v>
      </c>
      <c r="I10" s="9">
        <v>3.3030000000000004E-2</v>
      </c>
      <c r="J10" s="9">
        <v>3.3030000000000004E-2</v>
      </c>
      <c r="K10" s="10" t="s">
        <v>96</v>
      </c>
    </row>
    <row r="11" spans="1:13">
      <c r="A11" s="7" t="s">
        <v>1104</v>
      </c>
      <c r="B11" s="273" t="s">
        <v>76</v>
      </c>
      <c r="C11" s="9">
        <v>3.29E-3</v>
      </c>
      <c r="D11" s="9">
        <v>3.29E-3</v>
      </c>
      <c r="E11" s="9">
        <v>3.29E-3</v>
      </c>
      <c r="F11" s="9">
        <v>3.29E-3</v>
      </c>
      <c r="G11" s="9">
        <v>3.29E-3</v>
      </c>
      <c r="H11" s="9">
        <v>3.29E-3</v>
      </c>
      <c r="I11" s="9">
        <v>3.29E-3</v>
      </c>
      <c r="J11" s="9">
        <v>3.29E-3</v>
      </c>
      <c r="K11" s="10" t="s">
        <v>96</v>
      </c>
    </row>
    <row r="12" spans="1:13">
      <c r="A12" s="7" t="s">
        <v>1105</v>
      </c>
      <c r="B12" s="1" t="s">
        <v>77</v>
      </c>
      <c r="C12" s="9">
        <v>3.5000000000000001E-3</v>
      </c>
      <c r="D12" s="9">
        <v>3.5000000000000001E-3</v>
      </c>
      <c r="E12" s="9">
        <v>3.5000000000000001E-3</v>
      </c>
      <c r="F12" s="9">
        <v>3.5000000000000001E-3</v>
      </c>
      <c r="G12" s="9">
        <v>3.5000000000000001E-3</v>
      </c>
      <c r="H12" s="9">
        <v>3.5000000000000001E-3</v>
      </c>
      <c r="I12" s="9">
        <v>3.5000000000000001E-3</v>
      </c>
      <c r="J12" s="9">
        <v>3.5000000000000001E-3</v>
      </c>
      <c r="K12" s="10" t="s">
        <v>96</v>
      </c>
    </row>
    <row r="13" spans="1:13">
      <c r="A13" s="7" t="s">
        <v>1106</v>
      </c>
      <c r="B13" s="1" t="s">
        <v>78</v>
      </c>
      <c r="C13" s="9">
        <v>7.2541599999999998E-2</v>
      </c>
      <c r="D13" s="9">
        <v>7.2541599999999998E-2</v>
      </c>
      <c r="E13" s="9">
        <v>7.2541599999999998E-2</v>
      </c>
      <c r="F13" s="9">
        <v>7.2541599999999998E-2</v>
      </c>
      <c r="G13" s="9">
        <v>7.2541599999999998E-2</v>
      </c>
      <c r="H13" s="9">
        <v>7.2541599999999998E-2</v>
      </c>
      <c r="I13" s="9">
        <v>7.2541599999999998E-2</v>
      </c>
      <c r="J13" s="9">
        <v>7.2541599999999998E-2</v>
      </c>
      <c r="K13" s="10" t="s">
        <v>96</v>
      </c>
    </row>
    <row r="14" spans="1:13">
      <c r="A14" s="7" t="s">
        <v>1420</v>
      </c>
      <c r="B14" s="1" t="s">
        <v>1313</v>
      </c>
      <c r="C14" s="9">
        <v>2.0599999999999999E-4</v>
      </c>
      <c r="D14" s="9">
        <v>2.0599999999999999E-4</v>
      </c>
      <c r="E14" s="9">
        <v>2.0599999999999999E-4</v>
      </c>
      <c r="F14" s="9">
        <v>2.0599999999999999E-4</v>
      </c>
      <c r="G14" s="9">
        <v>2.0599999999999999E-4</v>
      </c>
      <c r="H14" s="9">
        <v>2.0599999999999999E-4</v>
      </c>
      <c r="I14" s="9">
        <v>2.0599999999999999E-4</v>
      </c>
      <c r="J14" s="9">
        <v>2.0599999999999999E-4</v>
      </c>
      <c r="K14" s="10" t="s">
        <v>96</v>
      </c>
    </row>
    <row r="15" spans="1:13">
      <c r="A15" s="7" t="s">
        <v>1107</v>
      </c>
      <c r="B15" s="1" t="s">
        <v>79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10" t="s">
        <v>96</v>
      </c>
    </row>
    <row r="16" spans="1:13">
      <c r="A16" s="7" t="s">
        <v>1108</v>
      </c>
      <c r="B16" s="1" t="s">
        <v>80</v>
      </c>
      <c r="C16" s="9">
        <v>1.49E-2</v>
      </c>
      <c r="D16" s="9">
        <v>1.49E-2</v>
      </c>
      <c r="E16" s="9">
        <v>1.26E-2</v>
      </c>
      <c r="F16" s="9">
        <v>1.3099999999999999E-2</v>
      </c>
      <c r="G16" s="9">
        <v>1.7000000000000001E-2</v>
      </c>
      <c r="H16" s="9">
        <v>1.1300000000000001E-2</v>
      </c>
      <c r="I16" s="9">
        <v>1.3800000000000002E-2</v>
      </c>
      <c r="J16" s="9">
        <v>1.1599999999999999E-2</v>
      </c>
      <c r="K16" s="10" t="s">
        <v>97</v>
      </c>
    </row>
    <row r="17" spans="1:29">
      <c r="A17" s="7" t="s">
        <v>1109</v>
      </c>
      <c r="B17" s="1" t="s">
        <v>81</v>
      </c>
      <c r="C17" s="9">
        <v>0.1192</v>
      </c>
      <c r="D17" s="9">
        <v>9.5000000000000001E-2</v>
      </c>
      <c r="E17" s="9">
        <v>9.2700000000000005E-2</v>
      </c>
      <c r="F17" s="9">
        <v>0.10290000000000001</v>
      </c>
      <c r="G17" s="9">
        <v>0.10290000000000001</v>
      </c>
      <c r="H17" s="9">
        <v>8.4099999999999994E-2</v>
      </c>
      <c r="I17" s="9">
        <v>9.8699999999999996E-2</v>
      </c>
      <c r="J17" s="9">
        <v>8.3199999999999996E-2</v>
      </c>
      <c r="K17" s="10" t="s">
        <v>97</v>
      </c>
    </row>
    <row r="18" spans="1:29">
      <c r="A18" s="7" t="s">
        <v>1110</v>
      </c>
      <c r="B18" s="1" t="s">
        <v>82</v>
      </c>
      <c r="C18" s="9">
        <v>0.96800760000000008</v>
      </c>
      <c r="D18" s="9">
        <v>0.94380760000000008</v>
      </c>
      <c r="E18" s="9">
        <v>0.93920760000000003</v>
      </c>
      <c r="F18" s="9">
        <v>0.9485576</v>
      </c>
      <c r="G18" s="9">
        <v>0.97511760000000003</v>
      </c>
      <c r="H18" s="9">
        <v>0.90065760000000006</v>
      </c>
      <c r="I18" s="9">
        <v>0.91775760000000006</v>
      </c>
      <c r="J18" s="9">
        <v>0.90005760000000001</v>
      </c>
      <c r="K18" s="10" t="s">
        <v>98</v>
      </c>
      <c r="V18" s="209"/>
      <c r="W18" s="209"/>
      <c r="X18" s="209"/>
      <c r="Y18" s="209"/>
      <c r="Z18" s="209"/>
      <c r="AA18" s="209"/>
      <c r="AB18" s="209"/>
      <c r="AC18" s="209"/>
    </row>
    <row r="19" spans="1:29">
      <c r="A19" s="7" t="s">
        <v>1111</v>
      </c>
      <c r="B19" s="1" t="s">
        <v>83</v>
      </c>
      <c r="C19" s="9">
        <v>0.83390760000000008</v>
      </c>
      <c r="D19" s="9">
        <v>0.83390760000000008</v>
      </c>
      <c r="E19" s="9">
        <v>0.83390760000000008</v>
      </c>
      <c r="F19" s="9">
        <v>0.83255760000000001</v>
      </c>
      <c r="G19" s="9">
        <v>0.85521760000000002</v>
      </c>
      <c r="H19" s="9">
        <v>0.80525760000000002</v>
      </c>
      <c r="I19" s="9">
        <v>0.80525760000000002</v>
      </c>
      <c r="J19" s="9">
        <v>0.80525760000000002</v>
      </c>
      <c r="K19" s="10" t="s">
        <v>98</v>
      </c>
    </row>
    <row r="20" spans="1:29">
      <c r="A20" s="7" t="s">
        <v>1112</v>
      </c>
      <c r="B20" s="1" t="s">
        <v>1129</v>
      </c>
      <c r="C20" s="9">
        <v>1.49E-2</v>
      </c>
      <c r="D20" s="9">
        <v>1.49E-2</v>
      </c>
      <c r="E20" s="9">
        <v>1.26E-2</v>
      </c>
      <c r="F20" s="9">
        <v>1.3099999999999999E-2</v>
      </c>
      <c r="G20" s="9">
        <v>1.7000000000000001E-2</v>
      </c>
      <c r="H20" s="9">
        <v>1.1300000000000001E-2</v>
      </c>
      <c r="I20" s="9">
        <v>1.3800000000000002E-2</v>
      </c>
      <c r="J20" s="9">
        <v>1.1599999999999999E-2</v>
      </c>
      <c r="K20" s="10" t="s">
        <v>97</v>
      </c>
    </row>
    <row r="21" spans="1:29">
      <c r="A21" s="7" t="s">
        <v>1113</v>
      </c>
      <c r="B21" s="1" t="s">
        <v>1130</v>
      </c>
      <c r="C21" s="9">
        <v>0.1192</v>
      </c>
      <c r="D21" s="9">
        <v>9.5000000000000001E-2</v>
      </c>
      <c r="E21" s="9">
        <v>9.2700000000000005E-2</v>
      </c>
      <c r="F21" s="9">
        <v>0.10290000000000001</v>
      </c>
      <c r="G21" s="9">
        <v>0.10290000000000001</v>
      </c>
      <c r="H21" s="9">
        <v>8.4099999999999994E-2</v>
      </c>
      <c r="I21" s="9">
        <v>9.8699999999999996E-2</v>
      </c>
      <c r="J21" s="9">
        <v>8.3199999999999996E-2</v>
      </c>
      <c r="K21" s="10" t="s">
        <v>97</v>
      </c>
    </row>
    <row r="22" spans="1:29">
      <c r="A22" s="7" t="s">
        <v>1114</v>
      </c>
      <c r="B22" s="1" t="s">
        <v>99</v>
      </c>
      <c r="C22" s="9">
        <v>0.59499999999999997</v>
      </c>
      <c r="D22" s="9">
        <v>0.59499999999999997</v>
      </c>
      <c r="E22" s="9">
        <v>0.59499999999999997</v>
      </c>
      <c r="F22" s="9">
        <v>0.59499999999999997</v>
      </c>
      <c r="G22" s="9">
        <v>0.59499999999999997</v>
      </c>
      <c r="H22" s="9">
        <v>0.59499999999999997</v>
      </c>
      <c r="I22" s="9">
        <v>0.59499999999999997</v>
      </c>
      <c r="J22" s="9">
        <v>0.59499999999999997</v>
      </c>
      <c r="K22" s="9" t="str">
        <f t="shared" ref="K22" si="1">K4</f>
        <v>ICOENG0001</v>
      </c>
    </row>
    <row r="23" spans="1:29">
      <c r="A23" s="7" t="s">
        <v>1115</v>
      </c>
      <c r="B23" s="1" t="s">
        <v>100</v>
      </c>
      <c r="C23" s="9">
        <v>0.14649999999999999</v>
      </c>
      <c r="D23" s="9">
        <v>0.14649999999999999</v>
      </c>
      <c r="E23" s="9">
        <v>0.14649999999999999</v>
      </c>
      <c r="F23" s="9">
        <v>0.14660000000000001</v>
      </c>
      <c r="G23" s="9">
        <v>0.14649999999999999</v>
      </c>
      <c r="H23" s="9">
        <v>0.14660000000000001</v>
      </c>
      <c r="I23" s="9">
        <v>0.14660000000000001</v>
      </c>
      <c r="J23" s="9">
        <v>0.14660000000000001</v>
      </c>
      <c r="K23" s="9" t="str">
        <f t="shared" ref="K23" si="2">K5</f>
        <v>ICOENG0001</v>
      </c>
    </row>
    <row r="24" spans="1:29">
      <c r="A24" s="7" t="s">
        <v>1116</v>
      </c>
      <c r="B24" s="1" t="s">
        <v>101</v>
      </c>
      <c r="C24" s="9">
        <v>0.4395</v>
      </c>
      <c r="D24" s="9">
        <v>0.4395</v>
      </c>
      <c r="E24" s="9">
        <v>0.4395</v>
      </c>
      <c r="F24" s="9">
        <v>0.43980000000000002</v>
      </c>
      <c r="G24" s="9">
        <v>0.4395</v>
      </c>
      <c r="H24" s="9">
        <v>0.43980000000000002</v>
      </c>
      <c r="I24" s="9">
        <v>0.43980000000000002</v>
      </c>
      <c r="J24" s="9">
        <v>0.43980000000000002</v>
      </c>
      <c r="K24" s="9" t="str">
        <f t="shared" ref="K24" si="3">K6</f>
        <v>ICOENG0001</v>
      </c>
    </row>
    <row r="25" spans="1:29">
      <c r="A25" s="7" t="s">
        <v>1117</v>
      </c>
      <c r="B25" s="1" t="s">
        <v>869</v>
      </c>
      <c r="C25" s="9">
        <v>0.11483</v>
      </c>
      <c r="D25" s="9">
        <v>0.11483</v>
      </c>
      <c r="E25" s="9">
        <v>0.11483</v>
      </c>
      <c r="F25" s="9">
        <v>0.11348</v>
      </c>
      <c r="G25" s="9">
        <v>0.13613999999999998</v>
      </c>
      <c r="H25" s="9">
        <v>8.6180000000000007E-2</v>
      </c>
      <c r="I25" s="9">
        <v>8.6180000000000007E-2</v>
      </c>
      <c r="J25" s="9">
        <v>8.6180000000000007E-2</v>
      </c>
      <c r="K25" s="9" t="str">
        <f t="shared" ref="K25" si="4">K7</f>
        <v>ICOENG0001</v>
      </c>
      <c r="N25">
        <v>71.91</v>
      </c>
    </row>
    <row r="26" spans="1:29">
      <c r="A26" s="7" t="s">
        <v>1118</v>
      </c>
      <c r="B26" s="1" t="s">
        <v>758</v>
      </c>
      <c r="C26" s="9">
        <v>0.2361</v>
      </c>
      <c r="D26" s="9">
        <v>0.2361</v>
      </c>
      <c r="E26" s="9">
        <v>0.2361</v>
      </c>
      <c r="F26" s="9">
        <v>0.23974999999999999</v>
      </c>
      <c r="G26" s="9">
        <v>0.22738999999999998</v>
      </c>
      <c r="H26" s="9">
        <v>0.2079</v>
      </c>
      <c r="I26" s="9">
        <v>0.2079</v>
      </c>
      <c r="J26" s="9">
        <v>0.2079</v>
      </c>
      <c r="K26" s="9" t="str">
        <f t="shared" ref="K26" si="5">K8</f>
        <v>ICOENG0001</v>
      </c>
    </row>
    <row r="27" spans="1:29">
      <c r="A27" s="7" t="s">
        <v>1119</v>
      </c>
      <c r="B27" s="1" t="s">
        <v>102</v>
      </c>
      <c r="C27" s="208">
        <v>1.1509999999999999E-2</v>
      </c>
      <c r="D27" s="208">
        <v>1.1509999999999999E-2</v>
      </c>
      <c r="E27" s="208">
        <v>1.1509999999999999E-2</v>
      </c>
      <c r="F27" s="208">
        <v>1.1509999999999999E-2</v>
      </c>
      <c r="G27" s="208">
        <v>1.1509999999999999E-2</v>
      </c>
      <c r="H27" s="208">
        <v>1.1509999999999999E-2</v>
      </c>
      <c r="I27" s="208">
        <v>1.1509999999999999E-2</v>
      </c>
      <c r="J27" s="208">
        <v>1.1509999999999999E-2</v>
      </c>
      <c r="K27" s="9" t="str">
        <f t="shared" ref="K27:K32" si="6">K9</f>
        <v>ICOENG0001</v>
      </c>
      <c r="N27">
        <f>C13*1000-N25</f>
        <v>0.63160000000000593</v>
      </c>
    </row>
    <row r="28" spans="1:29">
      <c r="A28" s="7" t="s">
        <v>1120</v>
      </c>
      <c r="B28" s="1" t="s">
        <v>103</v>
      </c>
      <c r="C28" s="9">
        <v>3.3030000000000004E-2</v>
      </c>
      <c r="D28" s="9">
        <v>3.3030000000000004E-2</v>
      </c>
      <c r="E28" s="9">
        <v>3.3030000000000004E-2</v>
      </c>
      <c r="F28" s="9">
        <v>3.3030000000000004E-2</v>
      </c>
      <c r="G28" s="9">
        <v>3.3030000000000004E-2</v>
      </c>
      <c r="H28" s="9">
        <v>3.3030000000000004E-2</v>
      </c>
      <c r="I28" s="9">
        <v>3.3030000000000004E-2</v>
      </c>
      <c r="J28" s="9">
        <v>3.3030000000000004E-2</v>
      </c>
      <c r="K28" s="9" t="str">
        <f t="shared" si="6"/>
        <v>ICOENG0001</v>
      </c>
    </row>
    <row r="29" spans="1:29">
      <c r="A29" s="7" t="s">
        <v>1121</v>
      </c>
      <c r="B29" s="1" t="s">
        <v>104</v>
      </c>
      <c r="C29" s="9">
        <v>3.29E-3</v>
      </c>
      <c r="D29" s="9">
        <v>3.29E-3</v>
      </c>
      <c r="E29" s="9">
        <v>3.29E-3</v>
      </c>
      <c r="F29" s="9">
        <v>3.29E-3</v>
      </c>
      <c r="G29" s="9">
        <v>3.29E-3</v>
      </c>
      <c r="H29" s="9">
        <v>3.29E-3</v>
      </c>
      <c r="I29" s="9">
        <v>3.29E-3</v>
      </c>
      <c r="J29" s="9">
        <v>3.29E-3</v>
      </c>
      <c r="K29" s="9" t="str">
        <f t="shared" si="6"/>
        <v>ICOENG0001</v>
      </c>
    </row>
    <row r="30" spans="1:29">
      <c r="A30" s="7" t="s">
        <v>1122</v>
      </c>
      <c r="B30" s="1" t="s">
        <v>105</v>
      </c>
      <c r="C30" s="9">
        <v>3.5000000000000001E-3</v>
      </c>
      <c r="D30" s="9">
        <v>3.5000000000000001E-3</v>
      </c>
      <c r="E30" s="9">
        <v>3.5000000000000001E-3</v>
      </c>
      <c r="F30" s="9">
        <v>3.5000000000000001E-3</v>
      </c>
      <c r="G30" s="9">
        <v>3.5000000000000001E-3</v>
      </c>
      <c r="H30" s="9">
        <v>3.5000000000000001E-3</v>
      </c>
      <c r="I30" s="9">
        <v>3.5000000000000001E-3</v>
      </c>
      <c r="J30" s="9">
        <v>3.5000000000000001E-3</v>
      </c>
      <c r="K30" s="9" t="str">
        <f t="shared" si="6"/>
        <v>ICOENG0001</v>
      </c>
    </row>
    <row r="31" spans="1:29">
      <c r="A31" s="7" t="s">
        <v>1123</v>
      </c>
      <c r="B31" s="1" t="s">
        <v>106</v>
      </c>
      <c r="C31" s="9">
        <v>7.2541599999999998E-2</v>
      </c>
      <c r="D31" s="9">
        <v>7.2541599999999998E-2</v>
      </c>
      <c r="E31" s="9">
        <v>7.2541599999999998E-2</v>
      </c>
      <c r="F31" s="9">
        <v>7.2541599999999998E-2</v>
      </c>
      <c r="G31" s="9">
        <v>7.2541599999999998E-2</v>
      </c>
      <c r="H31" s="9">
        <v>7.2541599999999998E-2</v>
      </c>
      <c r="I31" s="9">
        <v>7.2541599999999998E-2</v>
      </c>
      <c r="J31" s="9">
        <v>7.2541599999999998E-2</v>
      </c>
      <c r="K31" s="9" t="str">
        <f t="shared" si="6"/>
        <v>ICOENG0001</v>
      </c>
    </row>
    <row r="32" spans="1:29">
      <c r="A32" s="7" t="s">
        <v>1421</v>
      </c>
      <c r="B32" s="1" t="s">
        <v>1316</v>
      </c>
      <c r="C32" s="9">
        <v>2.0599999999999999E-4</v>
      </c>
      <c r="D32" s="9">
        <v>2.0599999999999999E-4</v>
      </c>
      <c r="E32" s="9">
        <v>2.0599999999999999E-4</v>
      </c>
      <c r="F32" s="9">
        <v>2.0599999999999999E-4</v>
      </c>
      <c r="G32" s="9">
        <v>2.0599999999999999E-4</v>
      </c>
      <c r="H32" s="9">
        <v>2.0599999999999999E-4</v>
      </c>
      <c r="I32" s="9">
        <v>2.0599999999999999E-4</v>
      </c>
      <c r="J32" s="9">
        <v>2.0599999999999999E-4</v>
      </c>
      <c r="K32" s="9" t="str">
        <f t="shared" si="6"/>
        <v>ICOENG0001</v>
      </c>
    </row>
    <row r="33" spans="1:20">
      <c r="A33" s="7" t="s">
        <v>1124</v>
      </c>
      <c r="B33" s="1" t="s">
        <v>107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 t="str">
        <f t="shared" ref="K33" si="7">K15</f>
        <v>ICOENG0001</v>
      </c>
    </row>
    <row r="34" spans="1:20">
      <c r="A34" s="7" t="s">
        <v>1125</v>
      </c>
      <c r="B34" s="1" t="s">
        <v>108</v>
      </c>
      <c r="C34" s="9">
        <v>1.49E-2</v>
      </c>
      <c r="D34" s="9">
        <v>1.49E-2</v>
      </c>
      <c r="E34" s="9">
        <v>1.26E-2</v>
      </c>
      <c r="F34" s="9">
        <v>1.3099999999999999E-2</v>
      </c>
      <c r="G34" s="9">
        <v>1.7000000000000001E-2</v>
      </c>
      <c r="H34" s="9">
        <v>1.1300000000000001E-2</v>
      </c>
      <c r="I34" s="9">
        <v>1.3800000000000002E-2</v>
      </c>
      <c r="J34" s="9">
        <v>1.1599999999999999E-2</v>
      </c>
      <c r="K34" s="9" t="str">
        <f t="shared" ref="K34" si="8">K16</f>
        <v>ICOENG0010</v>
      </c>
    </row>
    <row r="35" spans="1:20">
      <c r="A35" s="7" t="s">
        <v>1126</v>
      </c>
      <c r="B35" s="1" t="s">
        <v>109</v>
      </c>
      <c r="C35" s="9">
        <v>0.1192</v>
      </c>
      <c r="D35" s="9">
        <v>9.5000000000000001E-2</v>
      </c>
      <c r="E35" s="9">
        <v>9.2700000000000005E-2</v>
      </c>
      <c r="F35" s="9">
        <v>0.10290000000000001</v>
      </c>
      <c r="G35" s="9">
        <v>0.10290000000000001</v>
      </c>
      <c r="H35" s="9">
        <v>8.4099999999999994E-2</v>
      </c>
      <c r="I35" s="9">
        <v>9.8699999999999996E-2</v>
      </c>
      <c r="J35" s="9">
        <v>8.3199999999999996E-2</v>
      </c>
      <c r="K35" s="9" t="str">
        <f t="shared" ref="K35" si="9">K17</f>
        <v>ICOENG0010</v>
      </c>
    </row>
    <row r="36" spans="1:20">
      <c r="A36" s="7" t="s">
        <v>1127</v>
      </c>
      <c r="B36" s="1" t="s">
        <v>110</v>
      </c>
      <c r="C36" s="9">
        <v>0.96800760000000008</v>
      </c>
      <c r="D36" s="9">
        <v>0.94380760000000008</v>
      </c>
      <c r="E36" s="9">
        <v>0.93920760000000003</v>
      </c>
      <c r="F36" s="9">
        <v>0.9485576</v>
      </c>
      <c r="G36" s="9">
        <v>0.97511760000000003</v>
      </c>
      <c r="H36" s="9">
        <v>0.90065760000000006</v>
      </c>
      <c r="I36" s="9">
        <v>0.91775760000000006</v>
      </c>
      <c r="J36" s="9">
        <v>0.90005760000000001</v>
      </c>
      <c r="K36" s="9" t="str">
        <f>K18</f>
        <v>ICOENG0012</v>
      </c>
    </row>
    <row r="37" spans="1:20">
      <c r="A37" s="7" t="s">
        <v>1128</v>
      </c>
      <c r="B37" s="1" t="s">
        <v>111</v>
      </c>
      <c r="C37" s="9">
        <v>0.83390760000000008</v>
      </c>
      <c r="D37" s="9">
        <v>0.83390760000000008</v>
      </c>
      <c r="E37" s="9">
        <v>0.83390760000000008</v>
      </c>
      <c r="F37" s="9">
        <v>0.83255760000000001</v>
      </c>
      <c r="G37" s="9">
        <v>0.85521760000000002</v>
      </c>
      <c r="H37" s="9">
        <v>0.80525760000000002</v>
      </c>
      <c r="I37" s="9">
        <v>0.80525760000000002</v>
      </c>
      <c r="J37" s="9">
        <v>0.80525760000000002</v>
      </c>
      <c r="K37" s="9" t="str">
        <f>K19</f>
        <v>ICOENG0012</v>
      </c>
    </row>
    <row r="38" spans="1:20">
      <c r="A38" s="7" t="s">
        <v>1314</v>
      </c>
      <c r="B38" s="1" t="s">
        <v>112</v>
      </c>
      <c r="C38" s="9">
        <v>1.49E-2</v>
      </c>
      <c r="D38" s="9">
        <v>1.49E-2</v>
      </c>
      <c r="E38" s="9">
        <v>1.26E-2</v>
      </c>
      <c r="F38" s="9">
        <v>1.3099999999999999E-2</v>
      </c>
      <c r="G38" s="9">
        <v>1.7000000000000001E-2</v>
      </c>
      <c r="H38" s="9">
        <v>1.1300000000000001E-2</v>
      </c>
      <c r="I38" s="9">
        <v>1.3800000000000002E-2</v>
      </c>
      <c r="J38" s="9">
        <v>1.1599999999999999E-2</v>
      </c>
      <c r="K38" s="9" t="str">
        <f>K20</f>
        <v>ICOENG0010</v>
      </c>
    </row>
    <row r="39" spans="1:20">
      <c r="A39" s="7" t="s">
        <v>1315</v>
      </c>
      <c r="B39" s="1" t="s">
        <v>113</v>
      </c>
      <c r="C39" s="9">
        <v>0.1192</v>
      </c>
      <c r="D39" s="9">
        <v>9.5000000000000001E-2</v>
      </c>
      <c r="E39" s="9">
        <v>9.2700000000000005E-2</v>
      </c>
      <c r="F39" s="9">
        <v>0.10290000000000001</v>
      </c>
      <c r="G39" s="9">
        <v>0.10290000000000001</v>
      </c>
      <c r="H39" s="9">
        <v>8.4099999999999994E-2</v>
      </c>
      <c r="I39" s="9">
        <v>9.8699999999999996E-2</v>
      </c>
      <c r="J39" s="9">
        <v>8.3199999999999996E-2</v>
      </c>
      <c r="K39" s="9" t="str">
        <f>K21</f>
        <v>ICOENG0010</v>
      </c>
      <c r="M39" s="209"/>
      <c r="N39" s="209"/>
      <c r="O39" s="209"/>
      <c r="P39" s="209"/>
      <c r="Q39" s="209"/>
      <c r="R39" s="209"/>
      <c r="S39" s="209"/>
      <c r="T39" s="209"/>
    </row>
    <row r="40" spans="1:20">
      <c r="A40" s="50"/>
      <c r="C40" s="51"/>
      <c r="D40" s="51"/>
      <c r="E40" s="51"/>
      <c r="F40" s="51"/>
      <c r="G40" s="51"/>
      <c r="H40" s="51"/>
      <c r="I40" s="51"/>
      <c r="J40" s="51"/>
      <c r="K40" s="51"/>
      <c r="M40" s="209"/>
      <c r="N40" s="209"/>
      <c r="O40" s="209"/>
      <c r="P40" s="209"/>
      <c r="Q40" s="209"/>
      <c r="R40" s="209"/>
      <c r="S40" s="209"/>
      <c r="T40" s="209"/>
    </row>
    <row r="41" spans="1:20">
      <c r="C41" s="209"/>
      <c r="D41" s="209"/>
      <c r="E41" s="209"/>
      <c r="F41" s="209"/>
    </row>
    <row r="42" spans="1:20">
      <c r="C42" s="209"/>
      <c r="D42" s="209"/>
      <c r="E42" s="209"/>
      <c r="F42" s="209"/>
      <c r="G42" s="209"/>
      <c r="H42" s="209"/>
      <c r="I42" s="209"/>
      <c r="J42" s="209"/>
    </row>
    <row r="43" spans="1:20">
      <c r="C43" s="209"/>
      <c r="D43" s="209"/>
      <c r="E43" s="209"/>
      <c r="F43" s="209"/>
      <c r="G43" s="209"/>
      <c r="H43" s="209"/>
      <c r="I43" s="209"/>
      <c r="J43" s="209"/>
    </row>
    <row r="44" spans="1:20">
      <c r="C44" s="209"/>
      <c r="D44" s="209"/>
      <c r="E44" s="209"/>
      <c r="F44" s="209"/>
      <c r="G44" s="209"/>
      <c r="H44" s="209"/>
      <c r="I44" s="209"/>
      <c r="J44" s="209"/>
    </row>
    <row r="45" spans="1:20">
      <c r="C45" s="209"/>
      <c r="D45" s="209"/>
      <c r="E45" s="209"/>
      <c r="F45" s="209"/>
      <c r="G45" s="209"/>
      <c r="H45" s="209"/>
      <c r="I45" s="209"/>
      <c r="J45" s="209"/>
    </row>
    <row r="46" spans="1:20">
      <c r="C46" s="209"/>
      <c r="D46" s="209"/>
      <c r="E46" s="209"/>
      <c r="F46" s="209"/>
      <c r="G46" s="209"/>
      <c r="H46" s="209"/>
      <c r="I46" s="209"/>
      <c r="J46" s="209"/>
    </row>
    <row r="47" spans="1:20">
      <c r="C47" s="209"/>
      <c r="D47" s="209"/>
      <c r="E47" s="209"/>
      <c r="F47" s="209"/>
      <c r="G47" s="209"/>
      <c r="H47" s="209"/>
      <c r="I47" s="209"/>
      <c r="J47" s="209"/>
    </row>
    <row r="48" spans="1:20">
      <c r="C48" s="209"/>
      <c r="D48" s="209"/>
      <c r="E48" s="209"/>
      <c r="F48" s="209"/>
      <c r="G48" s="209"/>
      <c r="H48" s="209"/>
      <c r="I48" s="209"/>
      <c r="J48" s="209"/>
    </row>
    <row r="49" spans="3:10">
      <c r="C49" s="209"/>
      <c r="D49" s="209"/>
      <c r="E49" s="209"/>
      <c r="F49" s="209"/>
      <c r="G49" s="209"/>
      <c r="H49" s="209"/>
      <c r="I49" s="209"/>
      <c r="J49" s="209"/>
    </row>
    <row r="50" spans="3:10">
      <c r="C50" s="209"/>
      <c r="D50" s="209"/>
      <c r="E50" s="209"/>
      <c r="F50" s="209"/>
      <c r="G50" s="209"/>
      <c r="H50" s="209"/>
      <c r="I50" s="209"/>
      <c r="J50" s="209"/>
    </row>
    <row r="51" spans="3:10">
      <c r="C51" s="209"/>
      <c r="D51" s="209"/>
      <c r="E51" s="209"/>
      <c r="F51" s="209"/>
      <c r="G51" s="209"/>
      <c r="H51" s="209"/>
      <c r="I51" s="209"/>
      <c r="J51" s="209"/>
    </row>
    <row r="52" spans="3:10">
      <c r="C52" s="209"/>
      <c r="D52" s="209"/>
      <c r="E52" s="209"/>
      <c r="F52" s="209"/>
      <c r="G52" s="209"/>
      <c r="H52" s="209"/>
      <c r="I52" s="209"/>
      <c r="J52" s="209"/>
    </row>
    <row r="53" spans="3:10">
      <c r="C53" s="209"/>
      <c r="D53" s="209"/>
      <c r="E53" s="209"/>
      <c r="F53" s="209"/>
      <c r="G53" s="209"/>
      <c r="H53" s="209"/>
      <c r="I53" s="209"/>
      <c r="J53" s="209"/>
    </row>
    <row r="54" spans="3:10">
      <c r="C54" s="209"/>
      <c r="D54" s="209"/>
      <c r="E54" s="209"/>
      <c r="F54" s="209"/>
      <c r="G54" s="209"/>
      <c r="H54" s="209"/>
      <c r="I54" s="209"/>
      <c r="J54" s="209"/>
    </row>
    <row r="55" spans="3:10">
      <c r="C55" s="209"/>
      <c r="D55" s="209"/>
      <c r="E55" s="209"/>
      <c r="F55" s="209"/>
      <c r="G55" s="209"/>
      <c r="H55" s="209"/>
      <c r="I55" s="209"/>
      <c r="J55" s="209"/>
    </row>
    <row r="56" spans="3:10">
      <c r="C56" s="209"/>
      <c r="D56" s="209"/>
      <c r="E56" s="209"/>
      <c r="F56" s="209"/>
      <c r="G56" s="209"/>
      <c r="H56" s="209"/>
      <c r="I56" s="209"/>
      <c r="J56" s="209"/>
    </row>
    <row r="57" spans="3:10">
      <c r="C57" s="209"/>
      <c r="D57" s="209"/>
      <c r="E57" s="209"/>
      <c r="F57" s="209"/>
      <c r="G57" s="209"/>
      <c r="H57" s="209"/>
      <c r="I57" s="209"/>
      <c r="J57" s="209"/>
    </row>
    <row r="58" spans="3:10">
      <c r="C58" s="209"/>
      <c r="D58" s="209"/>
      <c r="E58" s="209"/>
      <c r="F58" s="209"/>
      <c r="G58" s="209"/>
      <c r="H58" s="209"/>
      <c r="I58" s="209"/>
      <c r="J58" s="209"/>
    </row>
    <row r="59" spans="3:10">
      <c r="C59" s="209"/>
      <c r="D59" s="209"/>
      <c r="E59" s="209"/>
      <c r="F59" s="209"/>
      <c r="G59" s="209"/>
      <c r="H59" s="209"/>
      <c r="I59" s="209"/>
      <c r="J59" s="209"/>
    </row>
    <row r="60" spans="3:10">
      <c r="C60" s="209"/>
      <c r="D60" s="209"/>
      <c r="E60" s="209"/>
      <c r="F60" s="209"/>
      <c r="G60" s="209"/>
      <c r="H60" s="209"/>
      <c r="I60" s="209"/>
      <c r="J60" s="209"/>
    </row>
    <row r="61" spans="3:10">
      <c r="C61" s="209"/>
      <c r="D61" s="209"/>
      <c r="E61" s="209"/>
      <c r="F61" s="209"/>
      <c r="G61" s="209"/>
      <c r="H61" s="209"/>
      <c r="I61" s="209"/>
      <c r="J61" s="209"/>
    </row>
    <row r="62" spans="3:10">
      <c r="C62" s="209"/>
    </row>
    <row r="63" spans="3:10">
      <c r="C63" s="209"/>
    </row>
    <row r="64" spans="3:10">
      <c r="C64" s="209"/>
    </row>
    <row r="65" spans="3:3">
      <c r="C65" s="209"/>
    </row>
    <row r="66" spans="3:3">
      <c r="C66" s="209"/>
    </row>
  </sheetData>
  <autoFilter ref="A3:AC39" xr:uid="{D7244894-55B7-4541-B4AB-0108627EFFB9}"/>
  <phoneticPr fontId="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BFF9-AE3E-2345-96C8-AC8BF1459E2E}">
  <dimension ref="A1:BF102"/>
  <sheetViews>
    <sheetView zoomScale="70" zoomScaleNormal="70" workbookViewId="0">
      <selection activeCell="H6" sqref="H6"/>
    </sheetView>
  </sheetViews>
  <sheetFormatPr defaultColWidth="10.625" defaultRowHeight="15.75"/>
  <cols>
    <col min="2" max="2" width="20.5" bestFit="1" customWidth="1"/>
    <col min="3" max="3" width="31.375" style="13" customWidth="1"/>
    <col min="4" max="4" width="17.125" style="13" customWidth="1"/>
    <col min="5" max="5" width="33.375" style="13" customWidth="1"/>
    <col min="6" max="6" width="21.625" style="13" customWidth="1"/>
    <col min="7" max="7" width="20.875" style="13" customWidth="1"/>
    <col min="8" max="8" width="12" style="13" customWidth="1"/>
    <col min="9" max="11" width="14" style="13" customWidth="1"/>
    <col min="12" max="12" width="18.5" customWidth="1"/>
    <col min="13" max="13" width="22" customWidth="1"/>
    <col min="14" max="14" width="19.625" customWidth="1"/>
    <col min="15" max="15" width="19" customWidth="1"/>
    <col min="16" max="16" width="16.25" customWidth="1"/>
    <col min="17" max="18" width="14" customWidth="1"/>
    <col min="19" max="19" width="9.5" customWidth="1"/>
    <col min="20" max="20" width="10.5" customWidth="1"/>
    <col min="21" max="22" width="7.625" customWidth="1"/>
    <col min="23" max="25" width="14" style="13" customWidth="1"/>
    <col min="26" max="32" width="14" customWidth="1"/>
    <col min="33" max="33" width="9.5" customWidth="1"/>
    <col min="34" max="34" width="10.5" customWidth="1"/>
    <col min="35" max="36" width="7.625" customWidth="1"/>
    <col min="37" max="39" width="14" style="13" customWidth="1"/>
    <col min="40" max="40" width="15.875" style="13" customWidth="1"/>
    <col min="41" max="41" width="14" customWidth="1"/>
    <col min="42" max="42" width="17.125" customWidth="1"/>
    <col min="43" max="47" width="14" customWidth="1"/>
    <col min="48" max="48" width="15" customWidth="1"/>
    <col min="49" max="49" width="14" customWidth="1"/>
    <col min="50" max="55" width="14.375" customWidth="1"/>
    <col min="56" max="56" width="21" customWidth="1"/>
    <col min="57" max="57" width="17.125" style="13" customWidth="1"/>
    <col min="58" max="58" width="14.375" customWidth="1"/>
  </cols>
  <sheetData>
    <row r="1" spans="1:58">
      <c r="A1" s="5">
        <v>1</v>
      </c>
      <c r="B1" s="5">
        <f t="shared" ref="B1:G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  <c r="H1" s="5">
        <v>8</v>
      </c>
      <c r="I1" s="5">
        <f t="shared" ref="I1:X1" si="1">H1+1</f>
        <v>9</v>
      </c>
      <c r="J1" s="5">
        <f t="shared" si="1"/>
        <v>10</v>
      </c>
      <c r="K1" s="5">
        <f t="shared" si="1"/>
        <v>11</v>
      </c>
      <c r="L1" s="5">
        <f>K1+1</f>
        <v>12</v>
      </c>
      <c r="M1" s="5">
        <f>L1+1</f>
        <v>13</v>
      </c>
      <c r="N1" s="5">
        <f>M1+1</f>
        <v>14</v>
      </c>
      <c r="O1" s="5">
        <f t="shared" si="1"/>
        <v>15</v>
      </c>
      <c r="P1" s="5">
        <f t="shared" si="1"/>
        <v>16</v>
      </c>
      <c r="Q1" s="5">
        <f t="shared" si="1"/>
        <v>17</v>
      </c>
      <c r="R1" s="5">
        <f t="shared" si="1"/>
        <v>18</v>
      </c>
      <c r="S1" s="5">
        <f t="shared" si="1"/>
        <v>19</v>
      </c>
      <c r="T1" s="5">
        <f>S1+1</f>
        <v>20</v>
      </c>
      <c r="U1" s="5">
        <f t="shared" si="1"/>
        <v>21</v>
      </c>
      <c r="V1" s="5">
        <f t="shared" si="1"/>
        <v>22</v>
      </c>
      <c r="W1" s="25">
        <f t="shared" si="1"/>
        <v>23</v>
      </c>
      <c r="X1" s="25">
        <f t="shared" si="1"/>
        <v>24</v>
      </c>
      <c r="Y1" s="25">
        <f t="shared" ref="Y1:BC1" si="2">X1+1</f>
        <v>25</v>
      </c>
      <c r="Z1" s="25">
        <f t="shared" si="2"/>
        <v>26</v>
      </c>
      <c r="AA1" s="25">
        <f t="shared" si="2"/>
        <v>27</v>
      </c>
      <c r="AB1" s="25">
        <f t="shared" si="2"/>
        <v>28</v>
      </c>
      <c r="AC1" s="25">
        <f t="shared" si="2"/>
        <v>29</v>
      </c>
      <c r="AD1" s="25">
        <f t="shared" si="2"/>
        <v>30</v>
      </c>
      <c r="AE1" s="25">
        <f t="shared" si="2"/>
        <v>31</v>
      </c>
      <c r="AF1" s="25">
        <f t="shared" si="2"/>
        <v>32</v>
      </c>
      <c r="AG1" s="25">
        <f t="shared" si="2"/>
        <v>33</v>
      </c>
      <c r="AH1" s="25">
        <f t="shared" si="2"/>
        <v>34</v>
      </c>
      <c r="AI1" s="25">
        <f>AH1+1</f>
        <v>35</v>
      </c>
      <c r="AJ1" s="25">
        <f t="shared" si="2"/>
        <v>36</v>
      </c>
      <c r="AK1" s="113">
        <f>AJ1+1</f>
        <v>37</v>
      </c>
      <c r="AL1" s="113">
        <f t="shared" si="2"/>
        <v>38</v>
      </c>
      <c r="AM1" s="113">
        <f t="shared" si="2"/>
        <v>39</v>
      </c>
      <c r="AN1" s="113">
        <f t="shared" si="2"/>
        <v>40</v>
      </c>
      <c r="AO1" s="113">
        <f t="shared" si="2"/>
        <v>41</v>
      </c>
      <c r="AP1" s="113">
        <f t="shared" si="2"/>
        <v>42</v>
      </c>
      <c r="AQ1" s="113">
        <f t="shared" si="2"/>
        <v>43</v>
      </c>
      <c r="AR1" s="113">
        <f t="shared" si="2"/>
        <v>44</v>
      </c>
      <c r="AS1" s="113">
        <f t="shared" si="2"/>
        <v>45</v>
      </c>
      <c r="AT1" s="113">
        <f t="shared" si="2"/>
        <v>46</v>
      </c>
      <c r="AU1" s="113">
        <f t="shared" si="2"/>
        <v>47</v>
      </c>
      <c r="AV1" s="113">
        <f>AU1+1</f>
        <v>48</v>
      </c>
      <c r="AW1" s="113">
        <f>AV1+1</f>
        <v>49</v>
      </c>
      <c r="AX1" s="113">
        <f>AW1+1</f>
        <v>50</v>
      </c>
      <c r="AY1" s="113">
        <f>AX1+1</f>
        <v>51</v>
      </c>
      <c r="AZ1" s="113">
        <f t="shared" si="2"/>
        <v>52</v>
      </c>
      <c r="BA1" s="113">
        <f t="shared" si="2"/>
        <v>53</v>
      </c>
      <c r="BB1" s="113">
        <f t="shared" si="2"/>
        <v>54</v>
      </c>
      <c r="BC1" s="113">
        <f t="shared" si="2"/>
        <v>55</v>
      </c>
      <c r="BD1" s="5">
        <f>BC1+1</f>
        <v>56</v>
      </c>
      <c r="BE1" s="5">
        <f>BD1+1</f>
        <v>57</v>
      </c>
      <c r="BF1" s="113">
        <f>BE1+1</f>
        <v>58</v>
      </c>
    </row>
    <row r="2" spans="1:58">
      <c r="A2" s="6" t="s">
        <v>115</v>
      </c>
      <c r="B2" s="6" t="s">
        <v>68</v>
      </c>
      <c r="C2" s="6" t="s">
        <v>65</v>
      </c>
      <c r="D2" s="6" t="s">
        <v>410</v>
      </c>
      <c r="E2" s="6" t="s">
        <v>117</v>
      </c>
      <c r="F2" s="6" t="s">
        <v>118</v>
      </c>
      <c r="G2" s="6" t="s">
        <v>439</v>
      </c>
      <c r="H2" s="6" t="s">
        <v>413</v>
      </c>
      <c r="I2" s="567" t="s">
        <v>421</v>
      </c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9"/>
      <c r="W2" s="570" t="s">
        <v>920</v>
      </c>
      <c r="X2" s="571"/>
      <c r="Y2" s="571"/>
      <c r="Z2" s="571"/>
      <c r="AA2" s="571"/>
      <c r="AB2" s="571"/>
      <c r="AC2" s="571"/>
      <c r="AD2" s="571"/>
      <c r="AE2" s="571"/>
      <c r="AF2" s="571"/>
      <c r="AG2" s="571"/>
      <c r="AH2" s="571"/>
      <c r="AI2" s="571"/>
      <c r="AJ2" s="572"/>
      <c r="AK2" s="573" t="s">
        <v>918</v>
      </c>
      <c r="AL2" s="574"/>
      <c r="AM2" s="574"/>
      <c r="AN2" s="574"/>
      <c r="AO2" s="574"/>
      <c r="AP2" s="574"/>
      <c r="AQ2" s="574"/>
      <c r="AR2" s="574"/>
      <c r="AS2" s="574"/>
      <c r="AT2" s="574"/>
      <c r="AU2" s="574"/>
      <c r="AV2" s="574"/>
      <c r="AW2" s="574"/>
      <c r="AX2" s="574"/>
      <c r="AY2" s="574"/>
      <c r="AZ2" s="574"/>
      <c r="BA2" s="574"/>
      <c r="BB2" s="575"/>
      <c r="BC2" s="565" t="s">
        <v>703</v>
      </c>
      <c r="BD2" s="6" t="s">
        <v>118</v>
      </c>
      <c r="BE2" s="6" t="s">
        <v>410</v>
      </c>
      <c r="BF2" s="576" t="s">
        <v>1328</v>
      </c>
    </row>
    <row r="3" spans="1:58">
      <c r="A3" s="6" t="s">
        <v>69</v>
      </c>
      <c r="B3" s="6" t="s">
        <v>69</v>
      </c>
      <c r="C3" s="6" t="s">
        <v>69</v>
      </c>
      <c r="D3" s="6" t="s">
        <v>69</v>
      </c>
      <c r="E3" s="6" t="s">
        <v>69</v>
      </c>
      <c r="F3" s="6" t="s">
        <v>69</v>
      </c>
      <c r="G3" s="6" t="s">
        <v>69</v>
      </c>
      <c r="H3" s="6" t="s">
        <v>69</v>
      </c>
      <c r="I3" s="6" t="s">
        <v>411</v>
      </c>
      <c r="J3" s="6" t="s">
        <v>412</v>
      </c>
      <c r="K3" s="6" t="s">
        <v>414</v>
      </c>
      <c r="L3" s="6" t="s">
        <v>416</v>
      </c>
      <c r="M3" s="6" t="s">
        <v>415</v>
      </c>
      <c r="N3" s="6" t="s">
        <v>418</v>
      </c>
      <c r="O3" s="6" t="s">
        <v>417</v>
      </c>
      <c r="P3" s="6" t="s">
        <v>420</v>
      </c>
      <c r="Q3" s="6" t="s">
        <v>419</v>
      </c>
      <c r="R3" s="6" t="s">
        <v>422</v>
      </c>
      <c r="S3" s="6" t="s">
        <v>423</v>
      </c>
      <c r="T3" s="6" t="s">
        <v>424</v>
      </c>
      <c r="U3" s="6" t="s">
        <v>425</v>
      </c>
      <c r="V3" s="6" t="s">
        <v>426</v>
      </c>
      <c r="W3" s="26" t="s">
        <v>411</v>
      </c>
      <c r="X3" s="26" t="s">
        <v>412</v>
      </c>
      <c r="Y3" s="26" t="s">
        <v>414</v>
      </c>
      <c r="Z3" s="26" t="s">
        <v>416</v>
      </c>
      <c r="AA3" s="26" t="s">
        <v>415</v>
      </c>
      <c r="AB3" s="26" t="s">
        <v>418</v>
      </c>
      <c r="AC3" s="26" t="s">
        <v>417</v>
      </c>
      <c r="AD3" s="26" t="s">
        <v>420</v>
      </c>
      <c r="AE3" s="26" t="s">
        <v>419</v>
      </c>
      <c r="AF3" s="26" t="s">
        <v>909</v>
      </c>
      <c r="AG3" s="26" t="s">
        <v>913</v>
      </c>
      <c r="AH3" s="26" t="s">
        <v>914</v>
      </c>
      <c r="AI3" s="26" t="s">
        <v>915</v>
      </c>
      <c r="AJ3" s="26" t="s">
        <v>916</v>
      </c>
      <c r="AK3" s="114" t="s">
        <v>411</v>
      </c>
      <c r="AL3" s="114" t="s">
        <v>412</v>
      </c>
      <c r="AM3" s="114" t="s">
        <v>414</v>
      </c>
      <c r="AN3" s="114" t="s">
        <v>919</v>
      </c>
      <c r="AO3" s="114" t="s">
        <v>416</v>
      </c>
      <c r="AP3" s="114" t="s">
        <v>415</v>
      </c>
      <c r="AQ3" s="114" t="s">
        <v>418</v>
      </c>
      <c r="AR3" s="114" t="s">
        <v>417</v>
      </c>
      <c r="AS3" s="114" t="s">
        <v>420</v>
      </c>
      <c r="AT3" s="114" t="s">
        <v>419</v>
      </c>
      <c r="AU3" s="114" t="s">
        <v>910</v>
      </c>
      <c r="AV3" s="114" t="s">
        <v>911</v>
      </c>
      <c r="AW3" s="114" t="s">
        <v>912</v>
      </c>
      <c r="AX3" s="114" t="s">
        <v>909</v>
      </c>
      <c r="AY3" s="114" t="s">
        <v>913</v>
      </c>
      <c r="AZ3" s="114" t="s">
        <v>914</v>
      </c>
      <c r="BA3" s="114" t="s">
        <v>915</v>
      </c>
      <c r="BB3" s="114" t="s">
        <v>916</v>
      </c>
      <c r="BC3" s="566"/>
      <c r="BD3" s="6" t="s">
        <v>69</v>
      </c>
      <c r="BE3" s="6" t="s">
        <v>69</v>
      </c>
      <c r="BF3" s="577"/>
    </row>
    <row r="4" spans="1:58">
      <c r="A4" s="5" t="s">
        <v>69</v>
      </c>
      <c r="B4" s="5" t="s">
        <v>69</v>
      </c>
      <c r="C4" s="5" t="s">
        <v>69</v>
      </c>
      <c r="D4" s="5" t="s">
        <v>69</v>
      </c>
      <c r="E4" s="5" t="s">
        <v>69</v>
      </c>
      <c r="F4" s="5" t="s">
        <v>69</v>
      </c>
      <c r="G4" s="5" t="s">
        <v>69</v>
      </c>
      <c r="H4" s="5" t="s">
        <v>69</v>
      </c>
      <c r="I4" s="5" t="s">
        <v>69</v>
      </c>
      <c r="J4" s="5" t="s">
        <v>69</v>
      </c>
      <c r="K4" s="5" t="s">
        <v>69</v>
      </c>
      <c r="L4" s="5" t="s">
        <v>69</v>
      </c>
      <c r="M4" s="5" t="s">
        <v>69</v>
      </c>
      <c r="N4" s="5" t="s">
        <v>69</v>
      </c>
      <c r="O4" s="5" t="s">
        <v>69</v>
      </c>
      <c r="P4" s="5" t="s">
        <v>69</v>
      </c>
      <c r="Q4" s="5" t="s">
        <v>69</v>
      </c>
      <c r="R4" s="5" t="s">
        <v>446</v>
      </c>
      <c r="S4" s="5" t="s">
        <v>447</v>
      </c>
      <c r="T4" s="5" t="s">
        <v>447</v>
      </c>
      <c r="U4" s="5" t="s">
        <v>447</v>
      </c>
      <c r="V4" s="5" t="s">
        <v>447</v>
      </c>
      <c r="W4" s="25" t="s">
        <v>69</v>
      </c>
      <c r="X4" s="25" t="s">
        <v>69</v>
      </c>
      <c r="Y4" s="25" t="s">
        <v>69</v>
      </c>
      <c r="Z4" s="25" t="s">
        <v>69</v>
      </c>
      <c r="AA4" s="25" t="s">
        <v>69</v>
      </c>
      <c r="AB4" s="25" t="s">
        <v>69</v>
      </c>
      <c r="AC4" s="25" t="s">
        <v>69</v>
      </c>
      <c r="AD4" s="25" t="s">
        <v>69</v>
      </c>
      <c r="AE4" s="25" t="s">
        <v>69</v>
      </c>
      <c r="AF4" s="25" t="s">
        <v>446</v>
      </c>
      <c r="AG4" s="25" t="s">
        <v>447</v>
      </c>
      <c r="AH4" s="25" t="s">
        <v>447</v>
      </c>
      <c r="AI4" s="25" t="s">
        <v>447</v>
      </c>
      <c r="AJ4" s="25" t="s">
        <v>447</v>
      </c>
      <c r="AK4" s="113" t="s">
        <v>69</v>
      </c>
      <c r="AL4" s="113" t="s">
        <v>69</v>
      </c>
      <c r="AM4" s="113" t="s">
        <v>69</v>
      </c>
      <c r="AN4" s="113" t="s">
        <v>69</v>
      </c>
      <c r="AO4" s="113" t="s">
        <v>69</v>
      </c>
      <c r="AP4" s="113" t="s">
        <v>69</v>
      </c>
      <c r="AQ4" s="113" t="s">
        <v>69</v>
      </c>
      <c r="AR4" s="113" t="s">
        <v>69</v>
      </c>
      <c r="AS4" s="113" t="s">
        <v>69</v>
      </c>
      <c r="AT4" s="113" t="s">
        <v>69</v>
      </c>
      <c r="AU4" s="113" t="s">
        <v>446</v>
      </c>
      <c r="AV4" s="113" t="s">
        <v>447</v>
      </c>
      <c r="AW4" s="113" t="s">
        <v>447</v>
      </c>
      <c r="AX4" s="113" t="s">
        <v>446</v>
      </c>
      <c r="AY4" s="113" t="s">
        <v>447</v>
      </c>
      <c r="AZ4" s="113" t="s">
        <v>447</v>
      </c>
      <c r="BA4" s="113" t="s">
        <v>447</v>
      </c>
      <c r="BB4" s="113" t="s">
        <v>447</v>
      </c>
      <c r="BC4" s="113" t="s">
        <v>446</v>
      </c>
      <c r="BD4" s="5" t="s">
        <v>69</v>
      </c>
      <c r="BE4" s="5" t="s">
        <v>69</v>
      </c>
      <c r="BF4" s="113" t="s">
        <v>447</v>
      </c>
    </row>
    <row r="5" spans="1:58">
      <c r="A5" s="1">
        <v>1</v>
      </c>
      <c r="B5" s="1" t="s">
        <v>11</v>
      </c>
      <c r="C5" s="112" t="s">
        <v>50</v>
      </c>
      <c r="D5" s="12">
        <v>5000373496</v>
      </c>
      <c r="E5" s="12" t="s">
        <v>429</v>
      </c>
      <c r="F5" s="12" t="s">
        <v>430</v>
      </c>
      <c r="G5" s="12" t="s">
        <v>521</v>
      </c>
      <c r="H5" s="12">
        <v>1</v>
      </c>
      <c r="I5" s="194">
        <v>45778</v>
      </c>
      <c r="J5" s="194">
        <v>45808</v>
      </c>
      <c r="K5" s="12" t="s">
        <v>427</v>
      </c>
      <c r="L5" s="117">
        <v>34142198</v>
      </c>
      <c r="M5" s="562">
        <v>34385688</v>
      </c>
      <c r="N5" s="117">
        <v>978259</v>
      </c>
      <c r="O5" s="15">
        <f>IF(COUNTBLANK(L5)=1,"",N5)</f>
        <v>978259</v>
      </c>
      <c r="P5" s="117">
        <v>3200076</v>
      </c>
      <c r="Q5" s="15">
        <f t="shared" ref="Q5:Q23" si="3">IF(COUNTBLANK(N5)=1,"",P5)</f>
        <v>3200076</v>
      </c>
      <c r="R5" s="118">
        <f t="shared" ref="R5:R36" si="4">ROUND((M5-L5)*H5,0)</f>
        <v>243490</v>
      </c>
      <c r="S5" s="1">
        <v>0</v>
      </c>
      <c r="T5" s="1">
        <v>0</v>
      </c>
      <c r="U5" s="1">
        <v>0</v>
      </c>
      <c r="V5" s="1">
        <v>0</v>
      </c>
      <c r="W5" s="194">
        <v>45748</v>
      </c>
      <c r="X5" s="194">
        <v>45777</v>
      </c>
      <c r="Y5" s="12" t="s">
        <v>427</v>
      </c>
      <c r="Z5" s="14">
        <v>33912297</v>
      </c>
      <c r="AA5" s="1">
        <v>34142198</v>
      </c>
      <c r="AB5" s="14">
        <v>978222</v>
      </c>
      <c r="AC5" s="15">
        <v>978222</v>
      </c>
      <c r="AD5" s="14">
        <v>3147204</v>
      </c>
      <c r="AE5" s="15">
        <v>3147204</v>
      </c>
      <c r="AF5" s="45">
        <v>229901</v>
      </c>
      <c r="AG5" s="1">
        <v>0</v>
      </c>
      <c r="AH5" s="1">
        <v>0</v>
      </c>
      <c r="AI5" s="1">
        <v>0</v>
      </c>
      <c r="AJ5" s="1">
        <v>0</v>
      </c>
      <c r="AK5" s="194">
        <v>45748</v>
      </c>
      <c r="AL5" s="194">
        <v>45777</v>
      </c>
      <c r="AM5" s="12" t="s">
        <v>1131</v>
      </c>
      <c r="AN5" s="10" t="s">
        <v>1448</v>
      </c>
      <c r="AO5" s="14">
        <v>33912297</v>
      </c>
      <c r="AP5" s="116">
        <v>34142198</v>
      </c>
      <c r="AQ5" s="117">
        <v>978222</v>
      </c>
      <c r="AR5" s="116">
        <v>978259</v>
      </c>
      <c r="AS5" s="117">
        <v>3147204</v>
      </c>
      <c r="AT5" s="1">
        <v>3200076</v>
      </c>
      <c r="AU5" s="1">
        <f>IF(COUNTBLANK(AP5)=1,"",ROUND((AP5-AO5)*H5,0))</f>
        <v>229901</v>
      </c>
      <c r="AV5" s="1">
        <f t="shared" ref="AV5:AV36" si="5">IF(COUNTBLANK(AR5)=1,"",ROUND((AR5-AQ5)*H5,0))</f>
        <v>37</v>
      </c>
      <c r="AW5" s="1">
        <f t="shared" ref="AW5:AW36" si="6">IF(COUNTBLANK(AT5)=1,"",ROUND((AT5-AS5)*H5,0))</f>
        <v>52872</v>
      </c>
      <c r="AX5" s="124">
        <f t="shared" ref="AX5:AX19" si="7">AU5</f>
        <v>229901</v>
      </c>
      <c r="AY5" s="1">
        <v>0</v>
      </c>
      <c r="AZ5" s="1">
        <v>0</v>
      </c>
      <c r="BA5" s="1">
        <v>1880</v>
      </c>
      <c r="BB5" s="1">
        <v>7970</v>
      </c>
      <c r="BC5" s="116">
        <f>AX5-AF5</f>
        <v>0</v>
      </c>
      <c r="BD5" s="12" t="str">
        <f t="shared" ref="BD5:BD36" si="8">F5</f>
        <v>73069405</v>
      </c>
      <c r="BE5" s="12">
        <f t="shared" ref="BE5:BE36" si="9">D5</f>
        <v>5000373496</v>
      </c>
      <c r="BF5" s="135">
        <v>0</v>
      </c>
    </row>
    <row r="6" spans="1:58">
      <c r="A6" s="1">
        <f>A5+1</f>
        <v>2</v>
      </c>
      <c r="B6" s="1" t="s">
        <v>2</v>
      </c>
      <c r="C6" s="112" t="s">
        <v>51</v>
      </c>
      <c r="D6" s="12">
        <v>5000579505</v>
      </c>
      <c r="E6" s="12" t="s">
        <v>431</v>
      </c>
      <c r="F6" s="12" t="s">
        <v>432</v>
      </c>
      <c r="G6" s="12" t="s">
        <v>522</v>
      </c>
      <c r="H6" s="12">
        <v>1200</v>
      </c>
      <c r="I6" s="194">
        <v>45778</v>
      </c>
      <c r="J6" s="194">
        <v>45808</v>
      </c>
      <c r="K6" s="12" t="s">
        <v>427</v>
      </c>
      <c r="L6" s="119">
        <v>948.54</v>
      </c>
      <c r="M6" s="562">
        <v>951.59</v>
      </c>
      <c r="N6" s="119">
        <v>392.99</v>
      </c>
      <c r="O6" s="15">
        <f>IF(COUNTBLANK(L6)=1,"",N6)</f>
        <v>392.99</v>
      </c>
      <c r="P6" s="119">
        <v>24.38</v>
      </c>
      <c r="Q6" s="15">
        <f t="shared" si="3"/>
        <v>24.38</v>
      </c>
      <c r="R6" s="118">
        <f t="shared" si="4"/>
        <v>3660</v>
      </c>
      <c r="S6" s="1">
        <v>0</v>
      </c>
      <c r="T6" s="1">
        <v>0</v>
      </c>
      <c r="U6" s="1">
        <v>0</v>
      </c>
      <c r="V6" s="1">
        <v>0</v>
      </c>
      <c r="W6" s="194">
        <v>45748</v>
      </c>
      <c r="X6" s="194">
        <v>45777</v>
      </c>
      <c r="Y6" s="12" t="s">
        <v>427</v>
      </c>
      <c r="Z6" s="14">
        <v>945.23</v>
      </c>
      <c r="AA6" s="1">
        <v>948.54</v>
      </c>
      <c r="AB6" s="14">
        <v>391.56</v>
      </c>
      <c r="AC6" s="15">
        <v>391.56</v>
      </c>
      <c r="AD6" s="14">
        <v>24.37</v>
      </c>
      <c r="AE6" s="15">
        <v>24.37</v>
      </c>
      <c r="AF6" s="45">
        <v>3972</v>
      </c>
      <c r="AG6" s="1">
        <v>0</v>
      </c>
      <c r="AH6" s="1">
        <v>0</v>
      </c>
      <c r="AI6" s="1">
        <v>0</v>
      </c>
      <c r="AJ6" s="1">
        <v>0</v>
      </c>
      <c r="AK6" s="194">
        <v>45748</v>
      </c>
      <c r="AL6" s="194">
        <v>45777</v>
      </c>
      <c r="AM6" s="12" t="s">
        <v>1131</v>
      </c>
      <c r="AN6" s="10" t="s">
        <v>1449</v>
      </c>
      <c r="AO6" s="14">
        <v>945.23</v>
      </c>
      <c r="AP6" s="193">
        <v>948.54</v>
      </c>
      <c r="AQ6" s="14">
        <v>391.56</v>
      </c>
      <c r="AR6" s="46">
        <v>392.99</v>
      </c>
      <c r="AS6" s="14">
        <v>24.37</v>
      </c>
      <c r="AT6" s="1">
        <v>24.38</v>
      </c>
      <c r="AU6" s="1">
        <f>IF(COUNTBLANK(AP6)=1,"",ROUND((AP6-AO6)*H6,0))</f>
        <v>3972</v>
      </c>
      <c r="AV6" s="1">
        <f t="shared" si="5"/>
        <v>1716</v>
      </c>
      <c r="AW6" s="1">
        <f t="shared" si="6"/>
        <v>12</v>
      </c>
      <c r="AX6" s="124">
        <f t="shared" si="7"/>
        <v>3972</v>
      </c>
      <c r="AY6" s="1">
        <v>25</v>
      </c>
      <c r="AZ6" s="1">
        <v>956</v>
      </c>
      <c r="BA6" s="1">
        <v>0</v>
      </c>
      <c r="BB6" s="1">
        <v>1</v>
      </c>
      <c r="BC6" s="116">
        <f t="shared" ref="BC6:BC70" si="10">AX6-AF6</f>
        <v>0</v>
      </c>
      <c r="BD6" s="12" t="str">
        <f t="shared" si="8"/>
        <v>18101774357</v>
      </c>
      <c r="BE6" s="12">
        <f t="shared" si="9"/>
        <v>5000579505</v>
      </c>
      <c r="BF6" s="135">
        <v>0</v>
      </c>
    </row>
    <row r="7" spans="1:58">
      <c r="A7" s="1">
        <f t="shared" ref="A7:A69" si="11">A6+1</f>
        <v>3</v>
      </c>
      <c r="B7" s="1" t="s">
        <v>2</v>
      </c>
      <c r="C7" s="112" t="s">
        <v>51</v>
      </c>
      <c r="D7" s="12">
        <v>5000579503</v>
      </c>
      <c r="E7" s="12" t="s">
        <v>433</v>
      </c>
      <c r="F7" s="12" t="s">
        <v>434</v>
      </c>
      <c r="G7" s="12" t="s">
        <v>523</v>
      </c>
      <c r="H7" s="12">
        <v>4000</v>
      </c>
      <c r="I7" s="194">
        <v>45778</v>
      </c>
      <c r="J7" s="194">
        <v>45808</v>
      </c>
      <c r="K7" s="12" t="s">
        <v>427</v>
      </c>
      <c r="L7" s="119">
        <v>16136.49</v>
      </c>
      <c r="M7" s="562">
        <v>16190.21</v>
      </c>
      <c r="N7" s="119">
        <v>4899.29</v>
      </c>
      <c r="O7" s="15">
        <f>IF(COUNTBLANK(L7)=1,"",N7)</f>
        <v>4899.29</v>
      </c>
      <c r="P7" s="119">
        <v>0.04</v>
      </c>
      <c r="Q7" s="15">
        <f t="shared" si="3"/>
        <v>0.04</v>
      </c>
      <c r="R7" s="118">
        <f t="shared" si="4"/>
        <v>214880</v>
      </c>
      <c r="S7" s="1">
        <v>0</v>
      </c>
      <c r="T7" s="1">
        <v>0</v>
      </c>
      <c r="U7" s="1">
        <v>0</v>
      </c>
      <c r="V7" s="1">
        <v>0</v>
      </c>
      <c r="W7" s="194">
        <v>45748</v>
      </c>
      <c r="X7" s="194">
        <v>45777</v>
      </c>
      <c r="Y7" s="12" t="s">
        <v>427</v>
      </c>
      <c r="Z7" s="14">
        <v>16075.57</v>
      </c>
      <c r="AA7" s="1">
        <v>16136.49</v>
      </c>
      <c r="AB7" s="14">
        <v>4864.83</v>
      </c>
      <c r="AC7" s="15">
        <v>4864.83</v>
      </c>
      <c r="AD7" s="14">
        <v>0.01</v>
      </c>
      <c r="AE7" s="15">
        <v>0.01</v>
      </c>
      <c r="AF7" s="45">
        <v>243680</v>
      </c>
      <c r="AG7" s="1">
        <v>0</v>
      </c>
      <c r="AH7" s="1">
        <v>0</v>
      </c>
      <c r="AI7" s="1">
        <v>0</v>
      </c>
      <c r="AJ7" s="1">
        <v>0</v>
      </c>
      <c r="AK7" s="194">
        <v>45748</v>
      </c>
      <c r="AL7" s="194">
        <v>45777</v>
      </c>
      <c r="AM7" s="12" t="s">
        <v>1131</v>
      </c>
      <c r="AN7" s="10" t="s">
        <v>1450</v>
      </c>
      <c r="AO7" s="14">
        <v>16075.57</v>
      </c>
      <c r="AP7" s="193">
        <v>16136.49</v>
      </c>
      <c r="AQ7" s="14">
        <v>4864.83</v>
      </c>
      <c r="AR7" s="46">
        <v>4899.29</v>
      </c>
      <c r="AS7" s="14">
        <v>0.01</v>
      </c>
      <c r="AT7" s="1">
        <v>0.04</v>
      </c>
      <c r="AU7" s="1">
        <f>IF(COUNTBLANK(AP7)=1,"",ROUND((AP7-AO7)*H7,0))</f>
        <v>243680</v>
      </c>
      <c r="AV7" s="1">
        <f t="shared" si="5"/>
        <v>137840</v>
      </c>
      <c r="AW7" s="1">
        <f t="shared" si="6"/>
        <v>120</v>
      </c>
      <c r="AX7" s="124">
        <f t="shared" si="7"/>
        <v>243680</v>
      </c>
      <c r="AY7" s="1">
        <v>10921</v>
      </c>
      <c r="AZ7" s="1">
        <v>48712</v>
      </c>
      <c r="BA7" s="1">
        <v>99</v>
      </c>
      <c r="BB7" s="1">
        <v>0</v>
      </c>
      <c r="BC7" s="116">
        <f t="shared" si="10"/>
        <v>0</v>
      </c>
      <c r="BD7" s="12" t="str">
        <f t="shared" si="8"/>
        <v>2789602</v>
      </c>
      <c r="BE7" s="12">
        <f t="shared" si="9"/>
        <v>5000579503</v>
      </c>
      <c r="BF7" s="135">
        <v>0</v>
      </c>
    </row>
    <row r="8" spans="1:58">
      <c r="A8" s="1">
        <f t="shared" si="11"/>
        <v>4</v>
      </c>
      <c r="B8" s="1" t="s">
        <v>2</v>
      </c>
      <c r="C8" s="112" t="s">
        <v>51</v>
      </c>
      <c r="D8" s="12">
        <v>5000579496</v>
      </c>
      <c r="E8" s="12" t="s">
        <v>435</v>
      </c>
      <c r="F8" s="12" t="s">
        <v>436</v>
      </c>
      <c r="G8" s="12" t="s">
        <v>524</v>
      </c>
      <c r="H8" s="12">
        <v>600</v>
      </c>
      <c r="I8" s="194">
        <v>45778</v>
      </c>
      <c r="J8" s="194">
        <v>45808</v>
      </c>
      <c r="K8" s="12" t="s">
        <v>427</v>
      </c>
      <c r="L8" s="119">
        <v>4407.45</v>
      </c>
      <c r="M8" s="562">
        <v>4468.3</v>
      </c>
      <c r="N8" s="119">
        <v>373.86</v>
      </c>
      <c r="O8" s="15">
        <f>IF(COUNTBLANK(L8)=1,"",N8)</f>
        <v>373.86</v>
      </c>
      <c r="P8" s="119">
        <v>2192.15</v>
      </c>
      <c r="Q8" s="15">
        <f t="shared" si="3"/>
        <v>2192.15</v>
      </c>
      <c r="R8" s="118">
        <f t="shared" si="4"/>
        <v>36510</v>
      </c>
      <c r="S8" s="1">
        <v>0</v>
      </c>
      <c r="T8" s="1">
        <v>0</v>
      </c>
      <c r="U8" s="1">
        <v>0</v>
      </c>
      <c r="V8" s="1">
        <v>0</v>
      </c>
      <c r="W8" s="194">
        <v>45748</v>
      </c>
      <c r="X8" s="194">
        <v>45777</v>
      </c>
      <c r="Y8" s="12" t="s">
        <v>427</v>
      </c>
      <c r="Z8" s="14">
        <v>4351.3100000000004</v>
      </c>
      <c r="AA8" s="1">
        <v>4407.45</v>
      </c>
      <c r="AB8" s="14">
        <v>373.78</v>
      </c>
      <c r="AC8" s="15">
        <v>373.78</v>
      </c>
      <c r="AD8" s="14">
        <v>2161.5100000000002</v>
      </c>
      <c r="AE8" s="15">
        <v>2161.5100000000002</v>
      </c>
      <c r="AF8" s="45">
        <v>33684</v>
      </c>
      <c r="AG8" s="1">
        <v>0</v>
      </c>
      <c r="AH8" s="1">
        <v>0</v>
      </c>
      <c r="AI8" s="1">
        <v>0</v>
      </c>
      <c r="AJ8" s="1">
        <v>0</v>
      </c>
      <c r="AK8" s="194">
        <v>45748</v>
      </c>
      <c r="AL8" s="194">
        <v>45777</v>
      </c>
      <c r="AM8" s="12" t="s">
        <v>1131</v>
      </c>
      <c r="AN8" s="10" t="s">
        <v>1451</v>
      </c>
      <c r="AO8" s="14">
        <v>4351.3100000000004</v>
      </c>
      <c r="AP8" s="193">
        <v>4407.45</v>
      </c>
      <c r="AQ8" s="14">
        <v>373.78</v>
      </c>
      <c r="AR8" s="46">
        <v>373.86</v>
      </c>
      <c r="AS8" s="14">
        <v>2161.5100000000002</v>
      </c>
      <c r="AT8" s="1">
        <v>2192.15</v>
      </c>
      <c r="AU8" s="1">
        <f>IF(COUNTBLANK(AP8)=1,"",ROUND((AP8-AO8)*H8,0))</f>
        <v>33684</v>
      </c>
      <c r="AV8" s="1">
        <f t="shared" si="5"/>
        <v>48</v>
      </c>
      <c r="AW8" s="1">
        <f t="shared" si="6"/>
        <v>18384</v>
      </c>
      <c r="AX8" s="124">
        <f t="shared" si="7"/>
        <v>33684</v>
      </c>
      <c r="AY8" s="1">
        <v>0</v>
      </c>
      <c r="AZ8" s="1">
        <v>0</v>
      </c>
      <c r="BA8" s="1">
        <v>570</v>
      </c>
      <c r="BB8" s="1">
        <v>5490</v>
      </c>
      <c r="BC8" s="116">
        <f t="shared" si="10"/>
        <v>0</v>
      </c>
      <c r="BD8" s="12" t="str">
        <f t="shared" si="8"/>
        <v>18101774330</v>
      </c>
      <c r="BE8" s="12">
        <f t="shared" si="9"/>
        <v>5000579496</v>
      </c>
      <c r="BF8" s="135">
        <v>0</v>
      </c>
    </row>
    <row r="9" spans="1:58">
      <c r="A9" s="1">
        <f t="shared" si="11"/>
        <v>5</v>
      </c>
      <c r="B9" s="20" t="s">
        <v>2</v>
      </c>
      <c r="C9" s="112" t="s">
        <v>51</v>
      </c>
      <c r="D9" s="12">
        <v>5000579507</v>
      </c>
      <c r="E9" s="12" t="s">
        <v>390</v>
      </c>
      <c r="F9" s="12">
        <v>2744825</v>
      </c>
      <c r="G9" s="12" t="s">
        <v>525</v>
      </c>
      <c r="H9" s="12">
        <v>120</v>
      </c>
      <c r="I9" s="194">
        <v>45778</v>
      </c>
      <c r="J9" s="194">
        <v>45808</v>
      </c>
      <c r="K9" s="12" t="s">
        <v>427</v>
      </c>
      <c r="L9" s="119">
        <v>1324</v>
      </c>
      <c r="M9" s="562">
        <v>1353.14</v>
      </c>
      <c r="N9" s="119">
        <v>2.3199999999999998</v>
      </c>
      <c r="O9" s="15">
        <f>IF(COUNTBLANK(L9)=1,"",N9)</f>
        <v>2.3199999999999998</v>
      </c>
      <c r="P9" s="119">
        <v>2336.2199999999998</v>
      </c>
      <c r="Q9" s="15">
        <f t="shared" si="3"/>
        <v>2336.2199999999998</v>
      </c>
      <c r="R9" s="118">
        <f t="shared" si="4"/>
        <v>3497</v>
      </c>
      <c r="S9" s="1">
        <v>0</v>
      </c>
      <c r="T9" s="1">
        <v>0</v>
      </c>
      <c r="U9" s="1">
        <v>0</v>
      </c>
      <c r="V9" s="1">
        <v>0</v>
      </c>
      <c r="W9" s="194">
        <v>45748</v>
      </c>
      <c r="X9" s="194">
        <v>45777</v>
      </c>
      <c r="Y9" s="12" t="s">
        <v>427</v>
      </c>
      <c r="Z9" s="14">
        <v>1289.3499999999999</v>
      </c>
      <c r="AA9" s="1">
        <v>1324</v>
      </c>
      <c r="AB9" s="14">
        <v>2.31</v>
      </c>
      <c r="AC9" s="15">
        <v>2.31</v>
      </c>
      <c r="AD9" s="14">
        <v>2332.54</v>
      </c>
      <c r="AE9" s="15">
        <v>2332.54</v>
      </c>
      <c r="AF9" s="45">
        <v>4158</v>
      </c>
      <c r="AG9" s="1">
        <v>0</v>
      </c>
      <c r="AH9" s="1">
        <v>0</v>
      </c>
      <c r="AI9" s="1">
        <v>0</v>
      </c>
      <c r="AJ9" s="1">
        <v>0</v>
      </c>
      <c r="AK9" s="194">
        <v>45748</v>
      </c>
      <c r="AL9" s="194">
        <v>45777</v>
      </c>
      <c r="AM9" s="12" t="s">
        <v>1131</v>
      </c>
      <c r="AN9" s="10" t="s">
        <v>1452</v>
      </c>
      <c r="AO9" s="14">
        <v>1289.3499999999999</v>
      </c>
      <c r="AP9" s="193">
        <v>1324</v>
      </c>
      <c r="AQ9" s="14">
        <v>2.31</v>
      </c>
      <c r="AR9" s="46">
        <v>2.3199999999999998</v>
      </c>
      <c r="AS9" s="119">
        <v>2332.54</v>
      </c>
      <c r="AT9" s="1">
        <v>2336.2199999999998</v>
      </c>
      <c r="AU9" s="1">
        <f>IF(COUNTBLANK(AP9)=1,"",ROUND((AP9-AO9)*H9,0))</f>
        <v>4158</v>
      </c>
      <c r="AV9" s="1">
        <f t="shared" si="5"/>
        <v>1</v>
      </c>
      <c r="AW9" s="1">
        <f t="shared" si="6"/>
        <v>442</v>
      </c>
      <c r="AX9" s="124">
        <f t="shared" si="7"/>
        <v>4158</v>
      </c>
      <c r="AY9" s="1">
        <v>0</v>
      </c>
      <c r="AZ9" s="1">
        <v>0</v>
      </c>
      <c r="BA9" s="1">
        <v>0</v>
      </c>
      <c r="BB9" s="1">
        <v>0</v>
      </c>
      <c r="BC9" s="116">
        <f t="shared" si="10"/>
        <v>0</v>
      </c>
      <c r="BD9" s="12">
        <f t="shared" si="8"/>
        <v>2744825</v>
      </c>
      <c r="BE9" s="12">
        <f t="shared" si="9"/>
        <v>5000579507</v>
      </c>
      <c r="BF9" s="135">
        <v>0</v>
      </c>
    </row>
    <row r="10" spans="1:58">
      <c r="A10" s="1">
        <f t="shared" si="11"/>
        <v>6</v>
      </c>
      <c r="B10" s="20" t="s">
        <v>2</v>
      </c>
      <c r="C10" s="112" t="s">
        <v>51</v>
      </c>
      <c r="D10" s="12">
        <v>5000579507</v>
      </c>
      <c r="E10" s="12" t="s">
        <v>390</v>
      </c>
      <c r="F10" s="12">
        <v>2744825</v>
      </c>
      <c r="G10" s="12" t="s">
        <v>1317</v>
      </c>
      <c r="H10" s="12">
        <v>1</v>
      </c>
      <c r="I10" s="194">
        <v>45778</v>
      </c>
      <c r="J10" s="194">
        <v>45808</v>
      </c>
      <c r="K10" s="12" t="s">
        <v>427</v>
      </c>
      <c r="L10" s="117">
        <v>0</v>
      </c>
      <c r="M10" s="562">
        <v>0</v>
      </c>
      <c r="N10" s="117">
        <v>0</v>
      </c>
      <c r="O10" s="15">
        <v>0</v>
      </c>
      <c r="P10" s="117">
        <v>0</v>
      </c>
      <c r="Q10" s="15">
        <f t="shared" si="3"/>
        <v>0</v>
      </c>
      <c r="R10" s="118">
        <f t="shared" si="4"/>
        <v>0</v>
      </c>
      <c r="S10" s="1">
        <v>0</v>
      </c>
      <c r="T10" s="1">
        <v>0</v>
      </c>
      <c r="U10" s="1">
        <v>0</v>
      </c>
      <c r="V10" s="1">
        <v>0</v>
      </c>
      <c r="W10" s="194">
        <v>45748</v>
      </c>
      <c r="X10" s="194">
        <v>45777</v>
      </c>
      <c r="Y10" s="12" t="s">
        <v>427</v>
      </c>
      <c r="Z10" s="14">
        <v>0</v>
      </c>
      <c r="AA10" s="1">
        <v>0</v>
      </c>
      <c r="AB10" s="14">
        <v>0</v>
      </c>
      <c r="AC10" s="15">
        <v>0</v>
      </c>
      <c r="AD10" s="14">
        <v>0</v>
      </c>
      <c r="AE10" s="15">
        <v>0</v>
      </c>
      <c r="AF10" s="45">
        <v>0</v>
      </c>
      <c r="AG10" s="1">
        <v>0</v>
      </c>
      <c r="AH10" s="1">
        <v>0</v>
      </c>
      <c r="AI10" s="1">
        <v>0</v>
      </c>
      <c r="AJ10" s="1">
        <v>0</v>
      </c>
      <c r="AK10" s="194">
        <v>45748</v>
      </c>
      <c r="AL10" s="194">
        <v>45777</v>
      </c>
      <c r="AM10" s="12" t="s">
        <v>921</v>
      </c>
      <c r="AN10" s="10" t="s">
        <v>1452</v>
      </c>
      <c r="AO10" s="14">
        <v>0</v>
      </c>
      <c r="AP10" s="193">
        <v>0</v>
      </c>
      <c r="AQ10" s="14">
        <v>0</v>
      </c>
      <c r="AR10" s="46">
        <v>0</v>
      </c>
      <c r="AS10" s="14">
        <v>0</v>
      </c>
      <c r="AT10" s="1">
        <v>0</v>
      </c>
      <c r="AU10" s="129">
        <v>716</v>
      </c>
      <c r="AV10" s="1">
        <f t="shared" si="5"/>
        <v>0</v>
      </c>
      <c r="AW10" s="1">
        <f t="shared" si="6"/>
        <v>0</v>
      </c>
      <c r="AX10" s="124">
        <f t="shared" si="7"/>
        <v>716</v>
      </c>
      <c r="AY10" s="1">
        <v>59</v>
      </c>
      <c r="AZ10" s="1">
        <v>4417</v>
      </c>
      <c r="BA10" s="1">
        <v>2</v>
      </c>
      <c r="BB10" s="1">
        <v>90</v>
      </c>
      <c r="BC10" s="116">
        <f t="shared" si="10"/>
        <v>716</v>
      </c>
      <c r="BD10" s="12">
        <f t="shared" si="8"/>
        <v>2744825</v>
      </c>
      <c r="BE10" s="12">
        <f t="shared" si="9"/>
        <v>5000579507</v>
      </c>
      <c r="BF10" s="135">
        <v>0</v>
      </c>
    </row>
    <row r="11" spans="1:58" s="244" customFormat="1">
      <c r="A11" s="1">
        <f t="shared" si="11"/>
        <v>7</v>
      </c>
      <c r="B11" s="1" t="s">
        <v>9</v>
      </c>
      <c r="C11" s="112" t="s">
        <v>52</v>
      </c>
      <c r="D11" s="12">
        <v>5000579470</v>
      </c>
      <c r="E11" s="12" t="s">
        <v>437</v>
      </c>
      <c r="F11" s="12" t="s">
        <v>438</v>
      </c>
      <c r="G11" s="12" t="s">
        <v>526</v>
      </c>
      <c r="H11" s="12">
        <v>6000</v>
      </c>
      <c r="I11" s="194">
        <v>45778</v>
      </c>
      <c r="J11" s="194">
        <v>45808</v>
      </c>
      <c r="K11" s="12" t="s">
        <v>427</v>
      </c>
      <c r="L11" s="119">
        <v>10027.24</v>
      </c>
      <c r="M11" s="562">
        <v>10132.15</v>
      </c>
      <c r="N11" s="119">
        <v>1305</v>
      </c>
      <c r="O11" s="15">
        <f>IF(COUNTBLANK(L11)=1,"",N11)</f>
        <v>1305</v>
      </c>
      <c r="P11" s="119">
        <v>39.47</v>
      </c>
      <c r="Q11" s="15">
        <f t="shared" si="3"/>
        <v>39.47</v>
      </c>
      <c r="R11" s="118">
        <f t="shared" si="4"/>
        <v>629460</v>
      </c>
      <c r="S11" s="1">
        <v>0</v>
      </c>
      <c r="T11" s="1">
        <v>0</v>
      </c>
      <c r="U11" s="1">
        <v>0</v>
      </c>
      <c r="V11" s="1">
        <v>0</v>
      </c>
      <c r="W11" s="194">
        <v>45748</v>
      </c>
      <c r="X11" s="194">
        <v>45777</v>
      </c>
      <c r="Y11" s="12" t="s">
        <v>427</v>
      </c>
      <c r="Z11" s="14">
        <v>9932.17</v>
      </c>
      <c r="AA11" s="1">
        <v>10027.24</v>
      </c>
      <c r="AB11" s="14">
        <v>1293.2</v>
      </c>
      <c r="AC11" s="15">
        <v>1293.2</v>
      </c>
      <c r="AD11" s="14">
        <v>37.26</v>
      </c>
      <c r="AE11" s="15">
        <v>37.26</v>
      </c>
      <c r="AF11" s="45">
        <v>570420</v>
      </c>
      <c r="AG11" s="1">
        <v>0</v>
      </c>
      <c r="AH11" s="1">
        <v>0</v>
      </c>
      <c r="AI11" s="1">
        <v>0</v>
      </c>
      <c r="AJ11" s="1">
        <v>0</v>
      </c>
      <c r="AK11" s="194">
        <v>45748</v>
      </c>
      <c r="AL11" s="194">
        <v>45777</v>
      </c>
      <c r="AM11" s="12" t="s">
        <v>1131</v>
      </c>
      <c r="AN11" s="10" t="s">
        <v>1453</v>
      </c>
      <c r="AO11" s="14">
        <v>9932.17</v>
      </c>
      <c r="AP11" s="193">
        <v>10027.24</v>
      </c>
      <c r="AQ11" s="14">
        <v>1293.2</v>
      </c>
      <c r="AR11" s="46">
        <v>1305</v>
      </c>
      <c r="AS11" s="14">
        <v>37.26</v>
      </c>
      <c r="AT11" s="1">
        <v>39.47</v>
      </c>
      <c r="AU11" s="1">
        <f t="shared" ref="AU11:AU43" si="12">IF(COUNTBLANK(AP11)=1,"",ROUND((AP11-AO11)*H11,0))</f>
        <v>570420</v>
      </c>
      <c r="AV11" s="1">
        <f t="shared" si="5"/>
        <v>70800</v>
      </c>
      <c r="AW11" s="1">
        <f t="shared" si="6"/>
        <v>13260</v>
      </c>
      <c r="AX11" s="124">
        <f t="shared" si="7"/>
        <v>570420</v>
      </c>
      <c r="AY11" s="1">
        <v>0</v>
      </c>
      <c r="AZ11" s="1">
        <v>0</v>
      </c>
      <c r="BA11" s="1">
        <v>0</v>
      </c>
      <c r="BB11" s="1">
        <v>0</v>
      </c>
      <c r="BC11" s="116">
        <f t="shared" si="10"/>
        <v>0</v>
      </c>
      <c r="BD11" s="12" t="str">
        <f t="shared" si="8"/>
        <v>20301781017</v>
      </c>
      <c r="BE11" s="12">
        <f t="shared" si="9"/>
        <v>5000579470</v>
      </c>
      <c r="BF11" s="135">
        <v>0</v>
      </c>
    </row>
    <row r="12" spans="1:58" s="244" customFormat="1">
      <c r="A12" s="1">
        <f t="shared" si="11"/>
        <v>8</v>
      </c>
      <c r="B12" s="1" t="s">
        <v>9</v>
      </c>
      <c r="C12" s="112" t="s">
        <v>52</v>
      </c>
      <c r="D12" s="12">
        <v>5000579471</v>
      </c>
      <c r="E12" s="12" t="s">
        <v>437</v>
      </c>
      <c r="F12" s="12">
        <v>20301781009</v>
      </c>
      <c r="G12" s="12" t="s">
        <v>499</v>
      </c>
      <c r="H12" s="12">
        <v>6000</v>
      </c>
      <c r="I12" s="194">
        <v>45778</v>
      </c>
      <c r="J12" s="194">
        <v>45808</v>
      </c>
      <c r="K12" s="12" t="s">
        <v>427</v>
      </c>
      <c r="L12" s="119">
        <v>5.4</v>
      </c>
      <c r="M12" s="562">
        <v>5.4</v>
      </c>
      <c r="N12" s="119">
        <v>1.68</v>
      </c>
      <c r="O12" s="15">
        <f>IF(COUNTBLANK(L12)=1,"",N12)</f>
        <v>1.68</v>
      </c>
      <c r="P12" s="119">
        <v>0.51</v>
      </c>
      <c r="Q12" s="15">
        <f t="shared" si="3"/>
        <v>0.51</v>
      </c>
      <c r="R12" s="118">
        <f t="shared" si="4"/>
        <v>0</v>
      </c>
      <c r="S12" s="1">
        <v>0</v>
      </c>
      <c r="T12" s="1">
        <v>0</v>
      </c>
      <c r="U12" s="1">
        <v>0</v>
      </c>
      <c r="V12" s="1">
        <v>0</v>
      </c>
      <c r="W12" s="194">
        <v>45748</v>
      </c>
      <c r="X12" s="194">
        <v>45777</v>
      </c>
      <c r="Y12" s="12" t="s">
        <v>427</v>
      </c>
      <c r="Z12" s="14">
        <v>5.4</v>
      </c>
      <c r="AA12" s="1">
        <v>5.4</v>
      </c>
      <c r="AB12" s="14">
        <v>1.68</v>
      </c>
      <c r="AC12" s="15">
        <v>1.68</v>
      </c>
      <c r="AD12" s="14">
        <v>0.51</v>
      </c>
      <c r="AE12" s="15">
        <v>0.51</v>
      </c>
      <c r="AF12" s="45">
        <v>0</v>
      </c>
      <c r="AG12" s="1">
        <v>0</v>
      </c>
      <c r="AH12" s="1">
        <v>0</v>
      </c>
      <c r="AI12" s="1">
        <v>0</v>
      </c>
      <c r="AJ12" s="1">
        <v>0</v>
      </c>
      <c r="AK12" s="194">
        <v>45748</v>
      </c>
      <c r="AL12" s="194">
        <v>45777</v>
      </c>
      <c r="AM12" s="12" t="s">
        <v>1131</v>
      </c>
      <c r="AN12" s="10" t="s">
        <v>1453</v>
      </c>
      <c r="AO12" s="14">
        <v>5.4</v>
      </c>
      <c r="AP12" s="193">
        <v>5.4</v>
      </c>
      <c r="AQ12" s="14">
        <v>1.68</v>
      </c>
      <c r="AR12" s="46">
        <v>1.68</v>
      </c>
      <c r="AS12" s="14">
        <v>0.51</v>
      </c>
      <c r="AT12" s="1">
        <v>0.51</v>
      </c>
      <c r="AU12" s="1">
        <f t="shared" si="12"/>
        <v>0</v>
      </c>
      <c r="AV12" s="1">
        <f t="shared" si="5"/>
        <v>0</v>
      </c>
      <c r="AW12" s="1">
        <f t="shared" si="6"/>
        <v>0</v>
      </c>
      <c r="AX12" s="124">
        <f t="shared" si="7"/>
        <v>0</v>
      </c>
      <c r="AY12" s="1">
        <v>0</v>
      </c>
      <c r="AZ12" s="1">
        <v>0</v>
      </c>
      <c r="BA12" s="1">
        <v>0</v>
      </c>
      <c r="BB12" s="1">
        <v>0</v>
      </c>
      <c r="BC12" s="116">
        <f t="shared" si="10"/>
        <v>0</v>
      </c>
      <c r="BD12" s="12">
        <f t="shared" si="8"/>
        <v>20301781009</v>
      </c>
      <c r="BE12" s="12">
        <f t="shared" si="9"/>
        <v>5000579471</v>
      </c>
      <c r="BF12" s="135">
        <v>0</v>
      </c>
    </row>
    <row r="13" spans="1:58">
      <c r="A13" s="1">
        <f t="shared" si="11"/>
        <v>9</v>
      </c>
      <c r="B13" s="1" t="s">
        <v>15</v>
      </c>
      <c r="C13" s="112" t="s">
        <v>53</v>
      </c>
      <c r="D13" s="12">
        <v>5000413447</v>
      </c>
      <c r="E13" s="12" t="s">
        <v>153</v>
      </c>
      <c r="F13" s="12">
        <v>53047288</v>
      </c>
      <c r="G13" s="12" t="s">
        <v>527</v>
      </c>
      <c r="H13" s="12">
        <v>4000</v>
      </c>
      <c r="I13" s="194">
        <v>45778</v>
      </c>
      <c r="J13" s="194">
        <v>45808</v>
      </c>
      <c r="K13" s="12" t="s">
        <v>427</v>
      </c>
      <c r="L13" s="119">
        <v>1810.37</v>
      </c>
      <c r="M13" s="562">
        <v>1889.85</v>
      </c>
      <c r="N13" s="119">
        <v>1049.05</v>
      </c>
      <c r="O13" s="15">
        <v>1040.71</v>
      </c>
      <c r="P13" s="119">
        <v>0</v>
      </c>
      <c r="Q13" s="15">
        <v>0</v>
      </c>
      <c r="R13" s="118">
        <f t="shared" si="4"/>
        <v>317920</v>
      </c>
      <c r="S13" s="1">
        <v>0</v>
      </c>
      <c r="T13" s="1">
        <v>0</v>
      </c>
      <c r="U13" s="1">
        <v>0</v>
      </c>
      <c r="V13" s="1">
        <v>0</v>
      </c>
      <c r="W13" s="194">
        <v>45748</v>
      </c>
      <c r="X13" s="194">
        <v>45777</v>
      </c>
      <c r="Y13" s="12" t="s">
        <v>427</v>
      </c>
      <c r="Z13" s="14">
        <v>1741.18</v>
      </c>
      <c r="AA13" s="1">
        <v>1810.37</v>
      </c>
      <c r="AB13" s="14">
        <v>1045.8699999999999</v>
      </c>
      <c r="AC13" s="15">
        <v>1040.71</v>
      </c>
      <c r="AD13" s="14">
        <v>0</v>
      </c>
      <c r="AE13" s="15">
        <v>0</v>
      </c>
      <c r="AF13" s="45">
        <v>276760</v>
      </c>
      <c r="AG13" s="1">
        <v>0</v>
      </c>
      <c r="AH13" s="1">
        <v>0</v>
      </c>
      <c r="AI13" s="1">
        <v>0</v>
      </c>
      <c r="AJ13" s="1">
        <v>0</v>
      </c>
      <c r="AK13" s="194">
        <v>45748</v>
      </c>
      <c r="AL13" s="194">
        <v>45777</v>
      </c>
      <c r="AM13" s="12" t="s">
        <v>1131</v>
      </c>
      <c r="AN13" s="10" t="s">
        <v>1454</v>
      </c>
      <c r="AO13" s="14">
        <v>1741.18</v>
      </c>
      <c r="AP13" s="1">
        <v>1810.37</v>
      </c>
      <c r="AQ13" s="14">
        <v>1045.8699999999999</v>
      </c>
      <c r="AR13" s="46">
        <v>1049.05</v>
      </c>
      <c r="AS13" s="14">
        <v>0</v>
      </c>
      <c r="AT13" s="1">
        <v>0</v>
      </c>
      <c r="AU13" s="1">
        <f t="shared" si="12"/>
        <v>276760</v>
      </c>
      <c r="AV13" s="1">
        <f t="shared" si="5"/>
        <v>12720</v>
      </c>
      <c r="AW13" s="1">
        <f t="shared" si="6"/>
        <v>0</v>
      </c>
      <c r="AX13" s="124">
        <f t="shared" si="7"/>
        <v>276760</v>
      </c>
      <c r="AY13" s="1">
        <v>382</v>
      </c>
      <c r="AZ13" s="1">
        <v>65</v>
      </c>
      <c r="BA13" s="1">
        <v>0</v>
      </c>
      <c r="BB13" s="1">
        <v>0</v>
      </c>
      <c r="BC13" s="116">
        <f t="shared" si="10"/>
        <v>0</v>
      </c>
      <c r="BD13" s="12">
        <f t="shared" si="8"/>
        <v>53047288</v>
      </c>
      <c r="BE13" s="12">
        <f t="shared" si="9"/>
        <v>5000413447</v>
      </c>
      <c r="BF13" s="135">
        <v>0</v>
      </c>
    </row>
    <row r="14" spans="1:58">
      <c r="A14" s="1">
        <f t="shared" si="11"/>
        <v>10</v>
      </c>
      <c r="B14" s="1" t="s">
        <v>7</v>
      </c>
      <c r="C14" s="112" t="s">
        <v>54</v>
      </c>
      <c r="D14" s="12">
        <v>5000170211</v>
      </c>
      <c r="E14" s="12" t="s">
        <v>159</v>
      </c>
      <c r="F14" s="12" t="s">
        <v>160</v>
      </c>
      <c r="G14" s="12" t="s">
        <v>528</v>
      </c>
      <c r="H14" s="12">
        <v>3000</v>
      </c>
      <c r="I14" s="194">
        <v>45778</v>
      </c>
      <c r="J14" s="194">
        <v>45808</v>
      </c>
      <c r="K14" s="12" t="s">
        <v>427</v>
      </c>
      <c r="L14" s="119">
        <v>2708.86</v>
      </c>
      <c r="M14" s="562">
        <v>2836.34</v>
      </c>
      <c r="N14" s="119">
        <v>226.2</v>
      </c>
      <c r="O14" s="15">
        <f t="shared" ref="O14:O23" si="13">IF(COUNTBLANK(L14)=1,"",N14)</f>
        <v>226.2</v>
      </c>
      <c r="P14" s="119">
        <v>5.08</v>
      </c>
      <c r="Q14" s="15">
        <f t="shared" si="3"/>
        <v>5.08</v>
      </c>
      <c r="R14" s="118">
        <f t="shared" si="4"/>
        <v>382440</v>
      </c>
      <c r="S14" s="1">
        <v>0</v>
      </c>
      <c r="T14" s="1">
        <v>0</v>
      </c>
      <c r="U14" s="1">
        <v>0</v>
      </c>
      <c r="V14" s="1">
        <v>0</v>
      </c>
      <c r="W14" s="194">
        <v>45748</v>
      </c>
      <c r="X14" s="194">
        <v>45777</v>
      </c>
      <c r="Y14" s="12" t="s">
        <v>427</v>
      </c>
      <c r="Z14" s="14">
        <v>2584.8000000000002</v>
      </c>
      <c r="AA14" s="1">
        <v>2708.86</v>
      </c>
      <c r="AB14" s="14">
        <v>218.69</v>
      </c>
      <c r="AC14" s="15">
        <v>218.69</v>
      </c>
      <c r="AD14" s="14">
        <v>4.75</v>
      </c>
      <c r="AE14" s="15">
        <v>4.75</v>
      </c>
      <c r="AF14" s="45">
        <v>372180</v>
      </c>
      <c r="AG14" s="1">
        <v>0</v>
      </c>
      <c r="AH14" s="1">
        <v>0</v>
      </c>
      <c r="AI14" s="1">
        <v>0</v>
      </c>
      <c r="AJ14" s="1">
        <v>0</v>
      </c>
      <c r="AK14" s="194">
        <v>45748</v>
      </c>
      <c r="AL14" s="194">
        <v>45777</v>
      </c>
      <c r="AM14" s="12" t="s">
        <v>1131</v>
      </c>
      <c r="AN14" s="10" t="s">
        <v>1455</v>
      </c>
      <c r="AO14" s="14">
        <v>2584.8000000000002</v>
      </c>
      <c r="AP14" s="193">
        <v>2708.86</v>
      </c>
      <c r="AQ14" s="14">
        <v>218.69</v>
      </c>
      <c r="AR14" s="46">
        <v>226.2</v>
      </c>
      <c r="AS14" s="14">
        <v>4.75</v>
      </c>
      <c r="AT14" s="1">
        <v>5.08</v>
      </c>
      <c r="AU14" s="1">
        <f t="shared" si="12"/>
        <v>372180</v>
      </c>
      <c r="AV14" s="1">
        <f t="shared" si="5"/>
        <v>22530</v>
      </c>
      <c r="AW14" s="1">
        <f t="shared" si="6"/>
        <v>990</v>
      </c>
      <c r="AX14" s="124">
        <f t="shared" si="7"/>
        <v>372180</v>
      </c>
      <c r="AY14" s="1">
        <v>0</v>
      </c>
      <c r="AZ14" s="1">
        <v>0</v>
      </c>
      <c r="BA14" s="1">
        <v>0</v>
      </c>
      <c r="BB14" s="1">
        <v>0</v>
      </c>
      <c r="BC14" s="116">
        <f>AX14-AF14</f>
        <v>0</v>
      </c>
      <c r="BD14" s="12" t="str">
        <f t="shared" si="8"/>
        <v>2865278</v>
      </c>
      <c r="BE14" s="12">
        <f t="shared" si="9"/>
        <v>5000170211</v>
      </c>
      <c r="BF14" s="135">
        <v>0</v>
      </c>
    </row>
    <row r="15" spans="1:58">
      <c r="A15" s="1">
        <f t="shared" si="11"/>
        <v>11</v>
      </c>
      <c r="B15" s="1" t="s">
        <v>0</v>
      </c>
      <c r="C15" s="112" t="s">
        <v>55</v>
      </c>
      <c r="D15" s="12">
        <v>5000252884</v>
      </c>
      <c r="E15" s="12" t="s">
        <v>161</v>
      </c>
      <c r="F15" s="12" t="s">
        <v>162</v>
      </c>
      <c r="G15" s="12" t="s">
        <v>529</v>
      </c>
      <c r="H15" s="12">
        <v>2000</v>
      </c>
      <c r="I15" s="194">
        <v>45778</v>
      </c>
      <c r="J15" s="194">
        <v>45808</v>
      </c>
      <c r="K15" s="12" t="s">
        <v>427</v>
      </c>
      <c r="L15" s="119">
        <v>3477.46</v>
      </c>
      <c r="M15" s="562">
        <v>3520.03</v>
      </c>
      <c r="N15" s="119">
        <v>768.64</v>
      </c>
      <c r="O15" s="15">
        <f t="shared" si="13"/>
        <v>768.64</v>
      </c>
      <c r="P15" s="119">
        <v>0.03</v>
      </c>
      <c r="Q15" s="15">
        <f t="shared" si="3"/>
        <v>0.03</v>
      </c>
      <c r="R15" s="118">
        <f t="shared" si="4"/>
        <v>85140</v>
      </c>
      <c r="S15" s="1">
        <v>0</v>
      </c>
      <c r="T15" s="1">
        <v>0</v>
      </c>
      <c r="U15" s="1">
        <v>0</v>
      </c>
      <c r="V15" s="1">
        <v>0</v>
      </c>
      <c r="W15" s="194">
        <v>45748</v>
      </c>
      <c r="X15" s="194">
        <v>45777</v>
      </c>
      <c r="Y15" s="12" t="s">
        <v>427</v>
      </c>
      <c r="Z15" s="14">
        <v>3432.37</v>
      </c>
      <c r="AA15" s="1">
        <v>3477.46</v>
      </c>
      <c r="AB15" s="14">
        <v>755</v>
      </c>
      <c r="AC15" s="15">
        <v>755</v>
      </c>
      <c r="AD15" s="14">
        <v>0.02</v>
      </c>
      <c r="AE15" s="15">
        <v>0.02</v>
      </c>
      <c r="AF15" s="45">
        <v>90180</v>
      </c>
      <c r="AG15" s="1">
        <v>0</v>
      </c>
      <c r="AH15" s="1">
        <v>0</v>
      </c>
      <c r="AI15" s="1">
        <v>0</v>
      </c>
      <c r="AJ15" s="1">
        <v>0</v>
      </c>
      <c r="AK15" s="194">
        <v>45748</v>
      </c>
      <c r="AL15" s="194">
        <v>45777</v>
      </c>
      <c r="AM15" s="12" t="s">
        <v>1131</v>
      </c>
      <c r="AN15" s="10" t="s">
        <v>1456</v>
      </c>
      <c r="AO15" s="14">
        <v>3432.37</v>
      </c>
      <c r="AP15" s="193">
        <v>3477.46</v>
      </c>
      <c r="AQ15" s="14">
        <v>755</v>
      </c>
      <c r="AR15" s="46">
        <v>768.64</v>
      </c>
      <c r="AS15" s="14">
        <v>0.02</v>
      </c>
      <c r="AT15" s="1">
        <v>0.03</v>
      </c>
      <c r="AU15" s="1">
        <f t="shared" si="12"/>
        <v>90180</v>
      </c>
      <c r="AV15" s="1">
        <f t="shared" si="5"/>
        <v>27280</v>
      </c>
      <c r="AW15" s="1">
        <f t="shared" si="6"/>
        <v>20</v>
      </c>
      <c r="AX15" s="124">
        <f t="shared" si="7"/>
        <v>90180</v>
      </c>
      <c r="AY15" s="1">
        <v>0</v>
      </c>
      <c r="AZ15" s="1">
        <v>0</v>
      </c>
      <c r="BA15" s="1">
        <v>0</v>
      </c>
      <c r="BB15" s="1">
        <v>0</v>
      </c>
      <c r="BC15" s="116">
        <f t="shared" si="10"/>
        <v>0</v>
      </c>
      <c r="BD15" s="12" t="str">
        <f t="shared" si="8"/>
        <v>21G90290210102630</v>
      </c>
      <c r="BE15" s="12">
        <f t="shared" si="9"/>
        <v>5000252884</v>
      </c>
      <c r="BF15" s="135">
        <v>0</v>
      </c>
    </row>
    <row r="16" spans="1:58" ht="17.100000000000001" customHeight="1">
      <c r="A16" s="1">
        <f t="shared" si="11"/>
        <v>12</v>
      </c>
      <c r="B16" s="1" t="s">
        <v>0</v>
      </c>
      <c r="C16" s="112" t="s">
        <v>55</v>
      </c>
      <c r="D16" s="12">
        <v>5000252893</v>
      </c>
      <c r="E16" s="12" t="s">
        <v>163</v>
      </c>
      <c r="F16" s="12" t="s">
        <v>164</v>
      </c>
      <c r="G16" s="12" t="s">
        <v>530</v>
      </c>
      <c r="H16" s="12">
        <v>16000</v>
      </c>
      <c r="I16" s="194">
        <v>45778</v>
      </c>
      <c r="J16" s="194">
        <v>45808</v>
      </c>
      <c r="K16" s="12" t="s">
        <v>427</v>
      </c>
      <c r="L16" s="119">
        <v>813.14</v>
      </c>
      <c r="M16" s="562">
        <v>825.92</v>
      </c>
      <c r="N16" s="119">
        <v>59.97</v>
      </c>
      <c r="O16" s="15">
        <f t="shared" si="13"/>
        <v>59.97</v>
      </c>
      <c r="P16" s="119">
        <v>3.18</v>
      </c>
      <c r="Q16" s="15">
        <f t="shared" si="3"/>
        <v>3.18</v>
      </c>
      <c r="R16" s="118">
        <f t="shared" si="4"/>
        <v>204480</v>
      </c>
      <c r="S16" s="1">
        <v>0</v>
      </c>
      <c r="T16" s="1">
        <v>0</v>
      </c>
      <c r="U16" s="1">
        <v>0</v>
      </c>
      <c r="V16" s="1">
        <v>0</v>
      </c>
      <c r="W16" s="194">
        <v>45748</v>
      </c>
      <c r="X16" s="194">
        <v>45777</v>
      </c>
      <c r="Y16" s="12" t="s">
        <v>427</v>
      </c>
      <c r="Z16" s="14">
        <v>800.15</v>
      </c>
      <c r="AA16" s="1">
        <v>813.14</v>
      </c>
      <c r="AB16" s="14">
        <v>59.03</v>
      </c>
      <c r="AC16" s="15">
        <v>59.03</v>
      </c>
      <c r="AD16" s="14">
        <v>3.07</v>
      </c>
      <c r="AE16" s="15">
        <v>3.07</v>
      </c>
      <c r="AF16" s="45">
        <v>207840</v>
      </c>
      <c r="AG16" s="1">
        <v>0</v>
      </c>
      <c r="AH16" s="1">
        <v>0</v>
      </c>
      <c r="AI16" s="1">
        <v>0</v>
      </c>
      <c r="AJ16" s="1">
        <v>0</v>
      </c>
      <c r="AK16" s="194">
        <v>45748</v>
      </c>
      <c r="AL16" s="194">
        <v>45777</v>
      </c>
      <c r="AM16" s="12" t="s">
        <v>1131</v>
      </c>
      <c r="AN16" s="10" t="s">
        <v>1457</v>
      </c>
      <c r="AO16" s="14">
        <v>800.15</v>
      </c>
      <c r="AP16" s="193">
        <v>813.14</v>
      </c>
      <c r="AQ16" s="14">
        <v>59.03</v>
      </c>
      <c r="AR16" s="46">
        <v>59.97</v>
      </c>
      <c r="AS16" s="14">
        <v>3.07</v>
      </c>
      <c r="AT16" s="1">
        <v>3.18</v>
      </c>
      <c r="AU16" s="1">
        <f t="shared" si="12"/>
        <v>207840</v>
      </c>
      <c r="AV16" s="1">
        <f t="shared" si="5"/>
        <v>15040</v>
      </c>
      <c r="AW16" s="1">
        <f t="shared" si="6"/>
        <v>1760</v>
      </c>
      <c r="AX16" s="124">
        <f t="shared" si="7"/>
        <v>207840</v>
      </c>
      <c r="AY16" s="1">
        <v>558</v>
      </c>
      <c r="AZ16" s="1">
        <v>354</v>
      </c>
      <c r="BA16" s="1">
        <v>0</v>
      </c>
      <c r="BB16" s="1">
        <v>0</v>
      </c>
      <c r="BC16" s="116">
        <f t="shared" si="10"/>
        <v>0</v>
      </c>
      <c r="BD16" s="12" t="str">
        <f t="shared" si="8"/>
        <v>20G90290210095984</v>
      </c>
      <c r="BE16" s="12">
        <f t="shared" si="9"/>
        <v>5000252893</v>
      </c>
      <c r="BF16" s="135">
        <v>0</v>
      </c>
    </row>
    <row r="17" spans="1:58">
      <c r="A17" s="1">
        <f t="shared" si="11"/>
        <v>13</v>
      </c>
      <c r="B17" s="1" t="s">
        <v>0</v>
      </c>
      <c r="C17" s="112" t="s">
        <v>55</v>
      </c>
      <c r="D17" s="12">
        <v>5000252874</v>
      </c>
      <c r="E17" s="12" t="s">
        <v>165</v>
      </c>
      <c r="F17" s="12" t="s">
        <v>166</v>
      </c>
      <c r="G17" s="12" t="s">
        <v>531</v>
      </c>
      <c r="H17" s="12">
        <v>1600</v>
      </c>
      <c r="I17" s="194">
        <v>45778</v>
      </c>
      <c r="J17" s="194">
        <v>45808</v>
      </c>
      <c r="K17" s="12" t="s">
        <v>427</v>
      </c>
      <c r="L17" s="119">
        <v>5057.9399999999996</v>
      </c>
      <c r="M17" s="562">
        <v>5156.7</v>
      </c>
      <c r="N17" s="119">
        <v>1093.78</v>
      </c>
      <c r="O17" s="15">
        <f t="shared" si="13"/>
        <v>1093.78</v>
      </c>
      <c r="P17" s="119">
        <v>53.55</v>
      </c>
      <c r="Q17" s="15">
        <f t="shared" si="3"/>
        <v>53.55</v>
      </c>
      <c r="R17" s="118">
        <f t="shared" si="4"/>
        <v>158016</v>
      </c>
      <c r="S17" s="1">
        <v>0</v>
      </c>
      <c r="T17" s="1">
        <v>0</v>
      </c>
      <c r="U17" s="1">
        <v>0</v>
      </c>
      <c r="V17" s="1">
        <v>0</v>
      </c>
      <c r="W17" s="194">
        <v>45748</v>
      </c>
      <c r="X17" s="194">
        <v>45777</v>
      </c>
      <c r="Y17" s="12" t="s">
        <v>427</v>
      </c>
      <c r="Z17" s="14">
        <v>4966.84</v>
      </c>
      <c r="AA17" s="1">
        <v>5057.9399999999996</v>
      </c>
      <c r="AB17" s="14">
        <v>1070.02</v>
      </c>
      <c r="AC17" s="15">
        <v>1070.02</v>
      </c>
      <c r="AD17" s="14">
        <v>53.54</v>
      </c>
      <c r="AE17" s="15">
        <v>53.54</v>
      </c>
      <c r="AF17" s="45">
        <v>145760</v>
      </c>
      <c r="AG17" s="1">
        <v>0</v>
      </c>
      <c r="AH17" s="1">
        <v>0</v>
      </c>
      <c r="AI17" s="1">
        <v>0</v>
      </c>
      <c r="AJ17" s="1">
        <v>0</v>
      </c>
      <c r="AK17" s="194">
        <v>45748</v>
      </c>
      <c r="AL17" s="194">
        <v>45777</v>
      </c>
      <c r="AM17" s="12" t="s">
        <v>1131</v>
      </c>
      <c r="AN17" s="10" t="s">
        <v>1458</v>
      </c>
      <c r="AO17" s="14">
        <v>4966.84</v>
      </c>
      <c r="AP17" s="193">
        <v>5057.9399999999996</v>
      </c>
      <c r="AQ17" s="14">
        <v>1070.02</v>
      </c>
      <c r="AR17" s="46">
        <v>1093.78</v>
      </c>
      <c r="AS17" s="14">
        <v>53.54</v>
      </c>
      <c r="AT17" s="1">
        <v>53.55</v>
      </c>
      <c r="AU17" s="1">
        <f t="shared" si="12"/>
        <v>145760</v>
      </c>
      <c r="AV17" s="1">
        <f t="shared" si="5"/>
        <v>38016</v>
      </c>
      <c r="AW17" s="1">
        <f t="shared" si="6"/>
        <v>16</v>
      </c>
      <c r="AX17" s="124">
        <f t="shared" si="7"/>
        <v>145760</v>
      </c>
      <c r="AY17" s="1">
        <v>3894</v>
      </c>
      <c r="AZ17" s="1">
        <v>2012</v>
      </c>
      <c r="BA17" s="1">
        <v>0</v>
      </c>
      <c r="BB17" s="1">
        <v>0</v>
      </c>
      <c r="BC17" s="116">
        <f t="shared" si="10"/>
        <v>0</v>
      </c>
      <c r="BD17" s="12" t="str">
        <f t="shared" si="8"/>
        <v>21G90290210104636</v>
      </c>
      <c r="BE17" s="12">
        <f t="shared" si="9"/>
        <v>5000252874</v>
      </c>
      <c r="BF17" s="135">
        <v>0</v>
      </c>
    </row>
    <row r="18" spans="1:58">
      <c r="A18" s="1">
        <f t="shared" si="11"/>
        <v>14</v>
      </c>
      <c r="B18" s="1" t="s">
        <v>5</v>
      </c>
      <c r="C18" s="112" t="s">
        <v>56</v>
      </c>
      <c r="D18" s="12">
        <v>5000579859</v>
      </c>
      <c r="E18" s="12" t="s">
        <v>182</v>
      </c>
      <c r="F18" s="251" t="s">
        <v>1417</v>
      </c>
      <c r="G18" s="12" t="s">
        <v>532</v>
      </c>
      <c r="H18" s="12">
        <v>6000</v>
      </c>
      <c r="I18" s="194">
        <v>45778</v>
      </c>
      <c r="J18" s="194">
        <v>45808</v>
      </c>
      <c r="K18" s="12" t="s">
        <v>427</v>
      </c>
      <c r="L18" s="119">
        <v>688.45</v>
      </c>
      <c r="M18" s="562">
        <v>743.2</v>
      </c>
      <c r="N18" s="119">
        <v>56.71</v>
      </c>
      <c r="O18" s="15">
        <f t="shared" si="13"/>
        <v>56.71</v>
      </c>
      <c r="P18" s="119">
        <v>1.54</v>
      </c>
      <c r="Q18" s="15">
        <f t="shared" si="3"/>
        <v>1.54</v>
      </c>
      <c r="R18" s="118">
        <f t="shared" si="4"/>
        <v>328500</v>
      </c>
      <c r="S18" s="1">
        <v>0</v>
      </c>
      <c r="T18" s="1">
        <v>0</v>
      </c>
      <c r="U18" s="1">
        <v>0</v>
      </c>
      <c r="V18" s="1">
        <v>0</v>
      </c>
      <c r="W18" s="194">
        <v>45748</v>
      </c>
      <c r="X18" s="194">
        <v>45777</v>
      </c>
      <c r="Y18" s="12" t="s">
        <v>427</v>
      </c>
      <c r="Z18" s="119">
        <v>634.45000000000005</v>
      </c>
      <c r="AA18" s="530">
        <v>688.45</v>
      </c>
      <c r="AB18" s="119">
        <v>47.29</v>
      </c>
      <c r="AC18" s="15">
        <v>47.29</v>
      </c>
      <c r="AD18" s="119">
        <v>1.42</v>
      </c>
      <c r="AE18" s="15">
        <v>1.42</v>
      </c>
      <c r="AF18" s="45">
        <v>324000</v>
      </c>
      <c r="AG18" s="1">
        <v>0</v>
      </c>
      <c r="AH18" s="1">
        <v>0</v>
      </c>
      <c r="AI18" s="1">
        <v>0</v>
      </c>
      <c r="AJ18" s="1">
        <v>0</v>
      </c>
      <c r="AK18" s="194">
        <v>45748</v>
      </c>
      <c r="AL18" s="194">
        <v>45777</v>
      </c>
      <c r="AM18" s="12" t="s">
        <v>1131</v>
      </c>
      <c r="AN18" s="10" t="s">
        <v>1459</v>
      </c>
      <c r="AO18" s="14">
        <v>634.45000000000005</v>
      </c>
      <c r="AP18" s="193">
        <v>688.45</v>
      </c>
      <c r="AQ18" s="14">
        <v>47.29</v>
      </c>
      <c r="AR18" s="46">
        <v>56.71</v>
      </c>
      <c r="AS18" s="14">
        <v>1.42</v>
      </c>
      <c r="AT18" s="1">
        <v>1.54</v>
      </c>
      <c r="AU18" s="1">
        <f t="shared" si="12"/>
        <v>324000</v>
      </c>
      <c r="AV18" s="1">
        <f t="shared" si="5"/>
        <v>56520</v>
      </c>
      <c r="AW18" s="1">
        <f t="shared" si="6"/>
        <v>720</v>
      </c>
      <c r="AX18" s="124">
        <f t="shared" si="7"/>
        <v>324000</v>
      </c>
      <c r="AY18" s="1">
        <v>6914</v>
      </c>
      <c r="AZ18" s="1">
        <v>4365</v>
      </c>
      <c r="BA18" s="1">
        <v>0</v>
      </c>
      <c r="BB18" s="1">
        <v>0</v>
      </c>
      <c r="BC18" s="116">
        <f>AX18-AF18</f>
        <v>0</v>
      </c>
      <c r="BD18" s="12" t="str">
        <f t="shared" si="8"/>
        <v>230290101740</v>
      </c>
      <c r="BE18" s="12">
        <f t="shared" si="9"/>
        <v>5000579859</v>
      </c>
      <c r="BF18" s="135">
        <v>0</v>
      </c>
    </row>
    <row r="19" spans="1:58">
      <c r="A19" s="1">
        <f t="shared" si="11"/>
        <v>15</v>
      </c>
      <c r="B19" s="1" t="s">
        <v>5</v>
      </c>
      <c r="C19" s="112" t="s">
        <v>56</v>
      </c>
      <c r="D19" s="12">
        <v>5000579859</v>
      </c>
      <c r="E19" s="12" t="s">
        <v>182</v>
      </c>
      <c r="F19" s="251" t="s">
        <v>1418</v>
      </c>
      <c r="G19" s="12" t="s">
        <v>504</v>
      </c>
      <c r="H19" s="12">
        <v>3000</v>
      </c>
      <c r="I19" s="194">
        <v>45778</v>
      </c>
      <c r="J19" s="194">
        <v>45808</v>
      </c>
      <c r="K19" s="12" t="s">
        <v>427</v>
      </c>
      <c r="L19" s="119">
        <v>1200.3900000000001</v>
      </c>
      <c r="M19" s="562">
        <v>1326.59</v>
      </c>
      <c r="N19" s="119">
        <v>170.93</v>
      </c>
      <c r="O19" s="15">
        <f t="shared" si="13"/>
        <v>170.93</v>
      </c>
      <c r="P19" s="119">
        <v>0.8</v>
      </c>
      <c r="Q19" s="15">
        <f t="shared" si="3"/>
        <v>0.8</v>
      </c>
      <c r="R19" s="118">
        <f t="shared" si="4"/>
        <v>378600</v>
      </c>
      <c r="S19" s="1">
        <v>0</v>
      </c>
      <c r="T19" s="1">
        <v>0</v>
      </c>
      <c r="U19" s="1">
        <v>0</v>
      </c>
      <c r="V19" s="1">
        <v>0</v>
      </c>
      <c r="W19" s="194">
        <v>45748</v>
      </c>
      <c r="X19" s="194">
        <v>45777</v>
      </c>
      <c r="Y19" s="12" t="s">
        <v>427</v>
      </c>
      <c r="Z19" s="119">
        <v>1095.3699999999999</v>
      </c>
      <c r="AA19" s="530">
        <v>1200.3900000000001</v>
      </c>
      <c r="AB19" s="119">
        <v>154.66999999999999</v>
      </c>
      <c r="AC19" s="15">
        <v>154.66999999999999</v>
      </c>
      <c r="AD19" s="119">
        <v>0.72</v>
      </c>
      <c r="AE19" s="15">
        <v>0.72</v>
      </c>
      <c r="AF19" s="45">
        <v>315060</v>
      </c>
      <c r="AG19" s="1">
        <v>0</v>
      </c>
      <c r="AH19" s="1">
        <v>0</v>
      </c>
      <c r="AI19" s="1">
        <v>0</v>
      </c>
      <c r="AJ19" s="1">
        <v>0</v>
      </c>
      <c r="AK19" s="194">
        <v>45748</v>
      </c>
      <c r="AL19" s="194">
        <v>45777</v>
      </c>
      <c r="AM19" s="12" t="s">
        <v>1131</v>
      </c>
      <c r="AN19" s="10" t="s">
        <v>1459</v>
      </c>
      <c r="AO19" s="14">
        <v>1095.3699999999999</v>
      </c>
      <c r="AP19" s="193">
        <v>1200.3900000000001</v>
      </c>
      <c r="AQ19" s="14">
        <v>154.66999999999999</v>
      </c>
      <c r="AR19" s="46">
        <v>170.93</v>
      </c>
      <c r="AS19" s="14">
        <v>0.72</v>
      </c>
      <c r="AT19" s="1">
        <v>0.8</v>
      </c>
      <c r="AU19" s="1">
        <f t="shared" si="12"/>
        <v>315060</v>
      </c>
      <c r="AV19" s="1">
        <f t="shared" si="5"/>
        <v>48780</v>
      </c>
      <c r="AW19" s="1">
        <f t="shared" si="6"/>
        <v>240</v>
      </c>
      <c r="AX19" s="124">
        <f t="shared" si="7"/>
        <v>315060</v>
      </c>
      <c r="AY19" s="1">
        <v>0</v>
      </c>
      <c r="AZ19" s="1">
        <v>0</v>
      </c>
      <c r="BA19" s="1">
        <v>0</v>
      </c>
      <c r="BB19" s="1">
        <v>0</v>
      </c>
      <c r="BC19" s="116">
        <f t="shared" si="10"/>
        <v>0</v>
      </c>
      <c r="BD19" s="12" t="str">
        <f t="shared" si="8"/>
        <v>230290101742</v>
      </c>
      <c r="BE19" s="12">
        <f t="shared" si="9"/>
        <v>5000579859</v>
      </c>
      <c r="BF19" s="135">
        <v>0</v>
      </c>
    </row>
    <row r="20" spans="1:58">
      <c r="A20" s="1">
        <f t="shared" si="11"/>
        <v>16</v>
      </c>
      <c r="B20" s="1" t="s">
        <v>8</v>
      </c>
      <c r="C20" s="112" t="s">
        <v>57</v>
      </c>
      <c r="D20" s="12">
        <v>5000148966</v>
      </c>
      <c r="E20" s="12" t="s">
        <v>193</v>
      </c>
      <c r="F20" s="12" t="s">
        <v>194</v>
      </c>
      <c r="G20" s="12" t="s">
        <v>533</v>
      </c>
      <c r="H20" s="12">
        <v>16000</v>
      </c>
      <c r="I20" s="194">
        <v>45778</v>
      </c>
      <c r="J20" s="194">
        <v>45808</v>
      </c>
      <c r="K20" s="12" t="s">
        <v>427</v>
      </c>
      <c r="L20" s="119">
        <v>8416.02</v>
      </c>
      <c r="M20" s="562">
        <v>8484.3799999999992</v>
      </c>
      <c r="N20" s="119">
        <v>1094.21</v>
      </c>
      <c r="O20" s="15">
        <f t="shared" si="13"/>
        <v>1094.21</v>
      </c>
      <c r="P20" s="119">
        <v>15.24</v>
      </c>
      <c r="Q20" s="15">
        <f t="shared" si="3"/>
        <v>15.24</v>
      </c>
      <c r="R20" s="118">
        <f t="shared" si="4"/>
        <v>1093760</v>
      </c>
      <c r="S20" s="1">
        <v>0</v>
      </c>
      <c r="T20" s="1">
        <v>0</v>
      </c>
      <c r="U20" s="1">
        <v>0</v>
      </c>
      <c r="V20" s="1">
        <v>0</v>
      </c>
      <c r="W20" s="194">
        <v>45748</v>
      </c>
      <c r="X20" s="194">
        <v>45777</v>
      </c>
      <c r="Y20" s="12" t="s">
        <v>427</v>
      </c>
      <c r="Z20" s="14">
        <v>8353.4699999999993</v>
      </c>
      <c r="AA20" s="1">
        <v>8416.02</v>
      </c>
      <c r="AB20" s="14">
        <v>1085.6600000000001</v>
      </c>
      <c r="AC20" s="15">
        <v>1085.6600000000001</v>
      </c>
      <c r="AD20" s="14">
        <v>15.24</v>
      </c>
      <c r="AE20" s="15">
        <v>15.24</v>
      </c>
      <c r="AF20" s="45">
        <v>1000800</v>
      </c>
      <c r="AG20" s="1">
        <v>0</v>
      </c>
      <c r="AH20" s="1">
        <v>0</v>
      </c>
      <c r="AI20" s="1">
        <v>0</v>
      </c>
      <c r="AJ20" s="1">
        <v>0</v>
      </c>
      <c r="AK20" s="194">
        <v>45748</v>
      </c>
      <c r="AL20" s="194">
        <v>45777</v>
      </c>
      <c r="AM20" s="12" t="s">
        <v>1131</v>
      </c>
      <c r="AN20" s="10" t="s">
        <v>1460</v>
      </c>
      <c r="AO20" s="14">
        <v>8353.4699999999993</v>
      </c>
      <c r="AP20" s="193">
        <v>8416.02</v>
      </c>
      <c r="AQ20" s="14">
        <v>1085.6600000000001</v>
      </c>
      <c r="AR20" s="46">
        <v>1094.21</v>
      </c>
      <c r="AS20" s="14">
        <v>15.24</v>
      </c>
      <c r="AT20" s="1">
        <v>15.24</v>
      </c>
      <c r="AU20" s="1">
        <f t="shared" si="12"/>
        <v>1000800</v>
      </c>
      <c r="AV20" s="1">
        <f t="shared" si="5"/>
        <v>136800</v>
      </c>
      <c r="AW20" s="1">
        <f t="shared" si="6"/>
        <v>0</v>
      </c>
      <c r="AX20" s="124">
        <f t="shared" ref="AX20:AX44" si="14">AU20</f>
        <v>1000800</v>
      </c>
      <c r="AY20" s="1">
        <v>345</v>
      </c>
      <c r="AZ20" s="1">
        <v>122</v>
      </c>
      <c r="BA20" s="1">
        <v>0</v>
      </c>
      <c r="BB20" s="1">
        <v>0</v>
      </c>
      <c r="BC20" s="116">
        <f t="shared" si="10"/>
        <v>0</v>
      </c>
      <c r="BD20" s="12" t="str">
        <f t="shared" si="8"/>
        <v>15G90220110064560</v>
      </c>
      <c r="BE20" s="12">
        <f t="shared" si="9"/>
        <v>5000148966</v>
      </c>
      <c r="BF20" s="135">
        <v>0</v>
      </c>
    </row>
    <row r="21" spans="1:58">
      <c r="A21" s="1">
        <f t="shared" si="11"/>
        <v>17</v>
      </c>
      <c r="B21" s="1" t="s">
        <v>8</v>
      </c>
      <c r="C21" s="112" t="s">
        <v>57</v>
      </c>
      <c r="D21" s="12">
        <v>5000148973</v>
      </c>
      <c r="E21" s="12" t="s">
        <v>195</v>
      </c>
      <c r="F21" s="12" t="s">
        <v>196</v>
      </c>
      <c r="G21" s="12" t="s">
        <v>534</v>
      </c>
      <c r="H21" s="12">
        <v>16000</v>
      </c>
      <c r="I21" s="194">
        <v>45778</v>
      </c>
      <c r="J21" s="194">
        <v>45808</v>
      </c>
      <c r="K21" s="12" t="s">
        <v>427</v>
      </c>
      <c r="L21" s="119">
        <v>6.4</v>
      </c>
      <c r="M21" s="562">
        <v>6.4</v>
      </c>
      <c r="N21" s="119">
        <v>5.71</v>
      </c>
      <c r="O21" s="15">
        <f t="shared" si="13"/>
        <v>5.71</v>
      </c>
      <c r="P21" s="119">
        <v>6.25</v>
      </c>
      <c r="Q21" s="15">
        <f t="shared" si="3"/>
        <v>6.25</v>
      </c>
      <c r="R21" s="118">
        <f t="shared" si="4"/>
        <v>0</v>
      </c>
      <c r="S21" s="1">
        <v>0</v>
      </c>
      <c r="T21" s="1">
        <v>0</v>
      </c>
      <c r="U21" s="1">
        <v>0</v>
      </c>
      <c r="V21" s="1">
        <v>0</v>
      </c>
      <c r="W21" s="194">
        <v>45748</v>
      </c>
      <c r="X21" s="194">
        <v>45777</v>
      </c>
      <c r="Y21" s="12" t="s">
        <v>427</v>
      </c>
      <c r="Z21" s="14">
        <v>6.4</v>
      </c>
      <c r="AA21" s="1">
        <v>6.4</v>
      </c>
      <c r="AB21" s="14">
        <v>5.71</v>
      </c>
      <c r="AC21" s="15">
        <v>5.71</v>
      </c>
      <c r="AD21" s="14">
        <v>6.25</v>
      </c>
      <c r="AE21" s="15">
        <v>6.25</v>
      </c>
      <c r="AF21" s="45">
        <v>0</v>
      </c>
      <c r="AG21" s="1">
        <v>0</v>
      </c>
      <c r="AH21" s="1">
        <v>0</v>
      </c>
      <c r="AI21" s="1">
        <v>0</v>
      </c>
      <c r="AJ21" s="1">
        <v>0</v>
      </c>
      <c r="AK21" s="194">
        <v>45748</v>
      </c>
      <c r="AL21" s="194">
        <v>45777</v>
      </c>
      <c r="AM21" s="12" t="s">
        <v>1131</v>
      </c>
      <c r="AN21" s="10"/>
      <c r="AO21" s="14">
        <v>6.4</v>
      </c>
      <c r="AP21" s="193">
        <v>6.4</v>
      </c>
      <c r="AQ21" s="14">
        <v>5.71</v>
      </c>
      <c r="AR21" s="46">
        <v>5.71</v>
      </c>
      <c r="AS21" s="14">
        <v>6.25</v>
      </c>
      <c r="AT21" s="1">
        <v>6.25</v>
      </c>
      <c r="AU21" s="1">
        <f t="shared" si="12"/>
        <v>0</v>
      </c>
      <c r="AV21" s="1">
        <f t="shared" si="5"/>
        <v>0</v>
      </c>
      <c r="AW21" s="1">
        <f t="shared" si="6"/>
        <v>0</v>
      </c>
      <c r="AX21" s="124">
        <f t="shared" si="14"/>
        <v>0</v>
      </c>
      <c r="AY21" s="1">
        <v>0</v>
      </c>
      <c r="AZ21" s="1">
        <v>0</v>
      </c>
      <c r="BA21" s="1">
        <v>0</v>
      </c>
      <c r="BB21" s="1">
        <v>0</v>
      </c>
      <c r="BC21" s="116">
        <f t="shared" si="10"/>
        <v>0</v>
      </c>
      <c r="BD21" s="12" t="str">
        <f t="shared" si="8"/>
        <v>15G90220110064591</v>
      </c>
      <c r="BE21" s="12">
        <f t="shared" si="9"/>
        <v>5000148973</v>
      </c>
      <c r="BF21" s="135">
        <v>0</v>
      </c>
    </row>
    <row r="22" spans="1:58">
      <c r="A22" s="1">
        <f t="shared" si="11"/>
        <v>18</v>
      </c>
      <c r="B22" s="1" t="s">
        <v>13</v>
      </c>
      <c r="C22" s="112" t="s">
        <v>58</v>
      </c>
      <c r="D22" s="12">
        <v>5000395813</v>
      </c>
      <c r="E22" s="12" t="s">
        <v>219</v>
      </c>
      <c r="F22" s="12" t="s">
        <v>220</v>
      </c>
      <c r="G22" s="12" t="s">
        <v>535</v>
      </c>
      <c r="H22" s="12">
        <v>1</v>
      </c>
      <c r="I22" s="194">
        <v>45778</v>
      </c>
      <c r="J22" s="194">
        <v>45808</v>
      </c>
      <c r="K22" s="12" t="s">
        <v>427</v>
      </c>
      <c r="L22" s="117">
        <v>21365166</v>
      </c>
      <c r="M22" s="562">
        <v>21650796</v>
      </c>
      <c r="N22" s="117">
        <v>3677688</v>
      </c>
      <c r="O22" s="15">
        <f t="shared" si="13"/>
        <v>3677688</v>
      </c>
      <c r="P22" s="117">
        <v>45066</v>
      </c>
      <c r="Q22" s="15">
        <f t="shared" si="3"/>
        <v>45066</v>
      </c>
      <c r="R22" s="118">
        <f t="shared" si="4"/>
        <v>285630</v>
      </c>
      <c r="S22" s="1">
        <v>0</v>
      </c>
      <c r="T22" s="1">
        <v>0</v>
      </c>
      <c r="U22" s="1">
        <v>0</v>
      </c>
      <c r="V22" s="1">
        <v>0</v>
      </c>
      <c r="W22" s="194">
        <v>45748</v>
      </c>
      <c r="X22" s="194">
        <v>45777</v>
      </c>
      <c r="Y22" s="12" t="s">
        <v>427</v>
      </c>
      <c r="Z22" s="14">
        <v>21071001</v>
      </c>
      <c r="AA22" s="1">
        <v>21365166</v>
      </c>
      <c r="AB22" s="14">
        <v>3647631</v>
      </c>
      <c r="AC22" s="15">
        <v>3647631</v>
      </c>
      <c r="AD22" s="14">
        <v>44481</v>
      </c>
      <c r="AE22" s="15">
        <v>44481</v>
      </c>
      <c r="AF22" s="45">
        <v>294165</v>
      </c>
      <c r="AG22" s="1">
        <v>0</v>
      </c>
      <c r="AH22" s="1">
        <v>0</v>
      </c>
      <c r="AI22" s="1">
        <v>0</v>
      </c>
      <c r="AJ22" s="1">
        <v>0</v>
      </c>
      <c r="AK22" s="194">
        <v>45748</v>
      </c>
      <c r="AL22" s="194">
        <v>45777</v>
      </c>
      <c r="AM22" s="12" t="s">
        <v>1131</v>
      </c>
      <c r="AN22" s="10" t="s">
        <v>1461</v>
      </c>
      <c r="AO22" s="14">
        <v>21071001</v>
      </c>
      <c r="AP22" s="116">
        <v>21365166</v>
      </c>
      <c r="AQ22" s="14">
        <v>3647631</v>
      </c>
      <c r="AR22" s="116">
        <v>3677688</v>
      </c>
      <c r="AS22" s="14">
        <v>44481</v>
      </c>
      <c r="AT22" s="1">
        <v>45066</v>
      </c>
      <c r="AU22" s="1">
        <f t="shared" si="12"/>
        <v>294165</v>
      </c>
      <c r="AV22" s="1">
        <f t="shared" si="5"/>
        <v>30057</v>
      </c>
      <c r="AW22" s="1">
        <f t="shared" si="6"/>
        <v>585</v>
      </c>
      <c r="AX22" s="124">
        <f t="shared" si="14"/>
        <v>294165</v>
      </c>
      <c r="AY22" s="1">
        <v>0</v>
      </c>
      <c r="AZ22" s="1">
        <v>0</v>
      </c>
      <c r="BA22" s="1">
        <v>0</v>
      </c>
      <c r="BB22" s="1">
        <v>0</v>
      </c>
      <c r="BC22" s="116">
        <f t="shared" si="10"/>
        <v>0</v>
      </c>
      <c r="BD22" s="12" t="str">
        <f t="shared" si="8"/>
        <v>262167</v>
      </c>
      <c r="BE22" s="12">
        <f t="shared" si="9"/>
        <v>5000395813</v>
      </c>
      <c r="BF22" s="135">
        <v>0</v>
      </c>
    </row>
    <row r="23" spans="1:58">
      <c r="A23" s="1">
        <f t="shared" si="11"/>
        <v>19</v>
      </c>
      <c r="B23" s="20" t="s">
        <v>13</v>
      </c>
      <c r="C23" s="112" t="s">
        <v>58</v>
      </c>
      <c r="D23" s="12">
        <v>5000395817</v>
      </c>
      <c r="E23" s="251" t="s">
        <v>392</v>
      </c>
      <c r="F23" s="12">
        <v>161192</v>
      </c>
      <c r="G23" s="12" t="s">
        <v>536</v>
      </c>
      <c r="H23" s="12">
        <v>1</v>
      </c>
      <c r="I23" s="194">
        <v>45778</v>
      </c>
      <c r="J23" s="194">
        <v>45808</v>
      </c>
      <c r="K23" s="12" t="s">
        <v>427</v>
      </c>
      <c r="L23" s="117">
        <v>55997</v>
      </c>
      <c r="M23" s="562">
        <v>56097</v>
      </c>
      <c r="N23" s="117">
        <v>2634</v>
      </c>
      <c r="O23" s="15">
        <f t="shared" si="13"/>
        <v>2634</v>
      </c>
      <c r="P23" s="117">
        <v>8044</v>
      </c>
      <c r="Q23" s="15">
        <f t="shared" si="3"/>
        <v>8044</v>
      </c>
      <c r="R23" s="118">
        <f t="shared" si="4"/>
        <v>100</v>
      </c>
      <c r="S23" s="1">
        <v>0</v>
      </c>
      <c r="T23" s="1">
        <v>0</v>
      </c>
      <c r="U23" s="1">
        <v>0</v>
      </c>
      <c r="V23" s="1">
        <v>0</v>
      </c>
      <c r="W23" s="194">
        <v>45748</v>
      </c>
      <c r="X23" s="194">
        <v>45777</v>
      </c>
      <c r="Y23" s="12" t="s">
        <v>427</v>
      </c>
      <c r="Z23" s="14">
        <v>55818</v>
      </c>
      <c r="AA23" s="1">
        <v>55918</v>
      </c>
      <c r="AB23" s="14">
        <v>2634</v>
      </c>
      <c r="AC23" s="15">
        <v>2634</v>
      </c>
      <c r="AD23" s="14">
        <v>8044</v>
      </c>
      <c r="AE23" s="15">
        <v>8044</v>
      </c>
      <c r="AF23" s="45">
        <v>100</v>
      </c>
      <c r="AG23" s="1">
        <v>0</v>
      </c>
      <c r="AH23" s="1">
        <v>0</v>
      </c>
      <c r="AI23" s="1">
        <v>0</v>
      </c>
      <c r="AJ23" s="1">
        <v>0</v>
      </c>
      <c r="AK23" s="194">
        <v>45748</v>
      </c>
      <c r="AL23" s="194">
        <v>45777</v>
      </c>
      <c r="AM23" s="12" t="s">
        <v>1131</v>
      </c>
      <c r="AN23" s="10" t="s">
        <v>1462</v>
      </c>
      <c r="AO23" s="14">
        <v>55818</v>
      </c>
      <c r="AP23" s="193">
        <v>55997</v>
      </c>
      <c r="AQ23" s="14">
        <v>2634</v>
      </c>
      <c r="AR23" s="46">
        <v>2634</v>
      </c>
      <c r="AS23" s="14">
        <v>8044</v>
      </c>
      <c r="AT23" s="1">
        <v>8044</v>
      </c>
      <c r="AU23" s="1">
        <f t="shared" si="12"/>
        <v>179</v>
      </c>
      <c r="AV23" s="1">
        <f t="shared" si="5"/>
        <v>0</v>
      </c>
      <c r="AW23" s="1">
        <f t="shared" si="6"/>
        <v>0</v>
      </c>
      <c r="AX23" s="124">
        <f t="shared" si="14"/>
        <v>179</v>
      </c>
      <c r="AY23" s="1">
        <v>0</v>
      </c>
      <c r="AZ23" s="1">
        <v>0</v>
      </c>
      <c r="BA23" s="1">
        <v>0</v>
      </c>
      <c r="BB23" s="1">
        <v>0</v>
      </c>
      <c r="BC23" s="116">
        <f t="shared" si="10"/>
        <v>79</v>
      </c>
      <c r="BD23" s="12">
        <f t="shared" si="8"/>
        <v>161192</v>
      </c>
      <c r="BE23" s="12">
        <f t="shared" si="9"/>
        <v>5000395817</v>
      </c>
      <c r="BF23" s="135">
        <v>0</v>
      </c>
    </row>
    <row r="24" spans="1:58">
      <c r="A24" s="1">
        <f t="shared" si="11"/>
        <v>20</v>
      </c>
      <c r="B24" s="1" t="s">
        <v>14</v>
      </c>
      <c r="C24" s="112" t="s">
        <v>59</v>
      </c>
      <c r="D24" s="12">
        <v>5000581171</v>
      </c>
      <c r="E24" s="12" t="s">
        <v>226</v>
      </c>
      <c r="F24" s="12" t="s">
        <v>1176</v>
      </c>
      <c r="G24" s="12" t="s">
        <v>537</v>
      </c>
      <c r="H24" s="12">
        <v>16000</v>
      </c>
      <c r="I24" s="194">
        <v>45778</v>
      </c>
      <c r="J24" s="194">
        <v>45808</v>
      </c>
      <c r="K24" s="12" t="s">
        <v>427</v>
      </c>
      <c r="L24" s="119">
        <v>163.76</v>
      </c>
      <c r="M24" s="562">
        <v>175.76</v>
      </c>
      <c r="N24" s="119">
        <v>10.67</v>
      </c>
      <c r="O24" s="15">
        <v>0</v>
      </c>
      <c r="P24" s="119">
        <v>3.71</v>
      </c>
      <c r="Q24" s="15">
        <f t="shared" ref="Q24:Q69" si="15">IF(COUNTBLANK(N24)=1,"",P24)</f>
        <v>3.71</v>
      </c>
      <c r="R24" s="118">
        <f t="shared" si="4"/>
        <v>192000</v>
      </c>
      <c r="S24" s="1">
        <v>0</v>
      </c>
      <c r="T24" s="1">
        <v>0</v>
      </c>
      <c r="U24" s="1">
        <v>0</v>
      </c>
      <c r="V24" s="1">
        <v>0</v>
      </c>
      <c r="W24" s="194">
        <v>45748</v>
      </c>
      <c r="X24" s="194">
        <v>45777</v>
      </c>
      <c r="Y24" s="12" t="s">
        <v>427</v>
      </c>
      <c r="Z24" s="14">
        <v>152.31</v>
      </c>
      <c r="AA24" s="1">
        <v>163.76</v>
      </c>
      <c r="AB24" s="14">
        <v>10.49</v>
      </c>
      <c r="AC24" s="15">
        <v>0</v>
      </c>
      <c r="AD24" s="14">
        <v>3.04</v>
      </c>
      <c r="AE24" s="15">
        <v>3.04</v>
      </c>
      <c r="AF24" s="45">
        <v>183200</v>
      </c>
      <c r="AG24" s="1">
        <v>0</v>
      </c>
      <c r="AH24" s="1">
        <v>0</v>
      </c>
      <c r="AI24" s="1">
        <v>0</v>
      </c>
      <c r="AJ24" s="1">
        <v>0</v>
      </c>
      <c r="AK24" s="194">
        <v>45748</v>
      </c>
      <c r="AL24" s="194">
        <v>45777</v>
      </c>
      <c r="AM24" s="12" t="s">
        <v>1131</v>
      </c>
      <c r="AN24" s="10" t="s">
        <v>1463</v>
      </c>
      <c r="AO24" s="14">
        <v>152.31</v>
      </c>
      <c r="AP24" s="193">
        <v>163.76</v>
      </c>
      <c r="AQ24" s="14">
        <v>10.49</v>
      </c>
      <c r="AR24" s="46">
        <v>10.67</v>
      </c>
      <c r="AS24" s="14">
        <v>3.04</v>
      </c>
      <c r="AT24" s="1">
        <v>3.71</v>
      </c>
      <c r="AU24" s="1">
        <f t="shared" si="12"/>
        <v>183200</v>
      </c>
      <c r="AV24" s="1">
        <f t="shared" si="5"/>
        <v>2880</v>
      </c>
      <c r="AW24" s="1">
        <f t="shared" si="6"/>
        <v>10720</v>
      </c>
      <c r="AX24" s="124">
        <f t="shared" si="14"/>
        <v>183200</v>
      </c>
      <c r="AY24" s="1">
        <v>0</v>
      </c>
      <c r="AZ24" s="1">
        <v>0</v>
      </c>
      <c r="BA24" s="1">
        <v>0</v>
      </c>
      <c r="BB24" s="1">
        <v>0</v>
      </c>
      <c r="BC24" s="116">
        <f t="shared" si="10"/>
        <v>0</v>
      </c>
      <c r="BD24" s="12" t="str">
        <f t="shared" si="8"/>
        <v>23G90290210112807</v>
      </c>
      <c r="BE24" s="12">
        <f t="shared" si="9"/>
        <v>5000581171</v>
      </c>
      <c r="BF24" s="135">
        <v>0</v>
      </c>
    </row>
    <row r="25" spans="1:58">
      <c r="A25" s="1">
        <f t="shared" si="11"/>
        <v>21</v>
      </c>
      <c r="B25" s="1" t="s">
        <v>19</v>
      </c>
      <c r="C25" s="112" t="s">
        <v>26</v>
      </c>
      <c r="D25" s="12">
        <v>5000290964</v>
      </c>
      <c r="E25" s="12" t="s">
        <v>234</v>
      </c>
      <c r="F25" s="12">
        <v>2826354</v>
      </c>
      <c r="G25" s="12" t="s">
        <v>538</v>
      </c>
      <c r="H25" s="12">
        <v>8000</v>
      </c>
      <c r="I25" s="194">
        <v>45778</v>
      </c>
      <c r="J25" s="194">
        <v>45808</v>
      </c>
      <c r="K25" s="12" t="s">
        <v>427</v>
      </c>
      <c r="L25" s="119">
        <v>7822.03</v>
      </c>
      <c r="M25" s="562">
        <v>7932.5</v>
      </c>
      <c r="N25" s="119">
        <v>357.1</v>
      </c>
      <c r="O25" s="15">
        <f>IF(COUNTBLANK(L25)=1,"",N25)</f>
        <v>357.1</v>
      </c>
      <c r="P25" s="119">
        <v>137.69999999999999</v>
      </c>
      <c r="Q25" s="15">
        <f t="shared" si="15"/>
        <v>137.69999999999999</v>
      </c>
      <c r="R25" s="118">
        <f t="shared" si="4"/>
        <v>883760</v>
      </c>
      <c r="S25" s="1">
        <v>0</v>
      </c>
      <c r="T25" s="1">
        <v>0</v>
      </c>
      <c r="U25" s="1">
        <v>0</v>
      </c>
      <c r="V25" s="1">
        <v>0</v>
      </c>
      <c r="W25" s="194">
        <v>45748</v>
      </c>
      <c r="X25" s="194">
        <v>45777</v>
      </c>
      <c r="Y25" s="12" t="s">
        <v>427</v>
      </c>
      <c r="Z25" s="14">
        <v>7713.89</v>
      </c>
      <c r="AA25" s="1">
        <v>7822.03</v>
      </c>
      <c r="AB25" s="14">
        <v>353.75</v>
      </c>
      <c r="AC25" s="15">
        <v>353.75</v>
      </c>
      <c r="AD25" s="14">
        <v>136.28</v>
      </c>
      <c r="AE25" s="15">
        <v>136.28</v>
      </c>
      <c r="AF25" s="45">
        <v>865120</v>
      </c>
      <c r="AG25" s="1">
        <v>0</v>
      </c>
      <c r="AH25" s="1">
        <v>0</v>
      </c>
      <c r="AI25" s="1">
        <v>0</v>
      </c>
      <c r="AJ25" s="1">
        <v>0</v>
      </c>
      <c r="AK25" s="194">
        <v>45748</v>
      </c>
      <c r="AL25" s="194">
        <v>45777</v>
      </c>
      <c r="AM25" s="12" t="s">
        <v>1131</v>
      </c>
      <c r="AN25" s="10" t="s">
        <v>1464</v>
      </c>
      <c r="AO25" s="14">
        <v>7713.89</v>
      </c>
      <c r="AP25" s="193">
        <v>7822.03</v>
      </c>
      <c r="AQ25" s="14">
        <v>353.75</v>
      </c>
      <c r="AR25" s="46">
        <v>357.1</v>
      </c>
      <c r="AS25" s="14">
        <v>136.28</v>
      </c>
      <c r="AT25" s="1">
        <v>137.69999999999999</v>
      </c>
      <c r="AU25" s="1">
        <f t="shared" si="12"/>
        <v>865120</v>
      </c>
      <c r="AV25" s="1">
        <f t="shared" si="5"/>
        <v>26800</v>
      </c>
      <c r="AW25" s="1">
        <f t="shared" si="6"/>
        <v>11360</v>
      </c>
      <c r="AX25" s="124">
        <f t="shared" si="14"/>
        <v>865120</v>
      </c>
      <c r="AY25" s="1">
        <v>0</v>
      </c>
      <c r="AZ25" s="1">
        <v>0</v>
      </c>
      <c r="BA25" s="1">
        <v>0</v>
      </c>
      <c r="BB25" s="1">
        <v>0</v>
      </c>
      <c r="BC25" s="116">
        <f t="shared" si="10"/>
        <v>0</v>
      </c>
      <c r="BD25" s="12">
        <f t="shared" si="8"/>
        <v>2826354</v>
      </c>
      <c r="BE25" s="12">
        <f t="shared" si="9"/>
        <v>5000290964</v>
      </c>
      <c r="BF25" s="135">
        <v>0</v>
      </c>
    </row>
    <row r="26" spans="1:58">
      <c r="A26" s="1">
        <f t="shared" si="11"/>
        <v>22</v>
      </c>
      <c r="B26" s="1" t="s">
        <v>19</v>
      </c>
      <c r="C26" s="112" t="s">
        <v>26</v>
      </c>
      <c r="D26" s="12">
        <v>5000290964</v>
      </c>
      <c r="E26" s="12" t="s">
        <v>234</v>
      </c>
      <c r="F26" s="12" t="s">
        <v>235</v>
      </c>
      <c r="G26" s="12" t="s">
        <v>997</v>
      </c>
      <c r="H26" s="12">
        <v>8000</v>
      </c>
      <c r="I26" s="194">
        <v>45778</v>
      </c>
      <c r="J26" s="194">
        <v>45808</v>
      </c>
      <c r="K26" s="12" t="s">
        <v>427</v>
      </c>
      <c r="L26" s="119">
        <v>2416.7399999999998</v>
      </c>
      <c r="M26" s="562">
        <f>L26</f>
        <v>2416.7399999999998</v>
      </c>
      <c r="N26" s="119">
        <v>234.97</v>
      </c>
      <c r="O26" s="318">
        <f>N26</f>
        <v>234.97</v>
      </c>
      <c r="P26" s="119">
        <v>301.27999999999997</v>
      </c>
      <c r="Q26" s="15">
        <f t="shared" si="15"/>
        <v>301.27999999999997</v>
      </c>
      <c r="R26" s="118">
        <f t="shared" si="4"/>
        <v>0</v>
      </c>
      <c r="S26" s="1">
        <v>0</v>
      </c>
      <c r="T26" s="1">
        <v>0</v>
      </c>
      <c r="U26" s="1">
        <v>0</v>
      </c>
      <c r="V26" s="1">
        <v>0</v>
      </c>
      <c r="W26" s="194">
        <v>45748</v>
      </c>
      <c r="X26" s="194">
        <v>45777</v>
      </c>
      <c r="Y26" s="12" t="s">
        <v>427</v>
      </c>
      <c r="Z26" s="14">
        <v>2416.7399999999998</v>
      </c>
      <c r="AA26" s="1">
        <v>2416.7399999999998</v>
      </c>
      <c r="AB26" s="14">
        <v>234.97</v>
      </c>
      <c r="AC26" s="15">
        <v>234.97</v>
      </c>
      <c r="AD26" s="14">
        <v>301.27999999999997</v>
      </c>
      <c r="AE26" s="15">
        <v>301.27999999999997</v>
      </c>
      <c r="AF26" s="45">
        <v>0</v>
      </c>
      <c r="AG26" s="1">
        <v>0</v>
      </c>
      <c r="AH26" s="1">
        <v>0</v>
      </c>
      <c r="AI26" s="1">
        <v>0</v>
      </c>
      <c r="AJ26" s="1">
        <v>0</v>
      </c>
      <c r="AK26" s="194">
        <v>45748</v>
      </c>
      <c r="AL26" s="194">
        <v>45777</v>
      </c>
      <c r="AM26" s="12" t="s">
        <v>1131</v>
      </c>
      <c r="AN26" s="10" t="s">
        <v>1464</v>
      </c>
      <c r="AO26" s="14">
        <v>2416.7399999999998</v>
      </c>
      <c r="AP26" s="252">
        <v>2416.7399999999998</v>
      </c>
      <c r="AQ26" s="14">
        <v>234.97</v>
      </c>
      <c r="AR26" s="76">
        <v>234.97</v>
      </c>
      <c r="AS26" s="14">
        <v>301.27999999999997</v>
      </c>
      <c r="AT26">
        <v>301.27999999999997</v>
      </c>
      <c r="AU26" s="1">
        <f t="shared" si="12"/>
        <v>0</v>
      </c>
      <c r="AV26" s="1">
        <f t="shared" si="5"/>
        <v>0</v>
      </c>
      <c r="AW26" s="1">
        <f t="shared" si="6"/>
        <v>0</v>
      </c>
      <c r="AX26" s="124">
        <f t="shared" si="14"/>
        <v>0</v>
      </c>
      <c r="AY26" s="1">
        <v>0</v>
      </c>
      <c r="AZ26" s="1">
        <v>0</v>
      </c>
      <c r="BA26" s="1">
        <v>0</v>
      </c>
      <c r="BB26" s="1">
        <v>0</v>
      </c>
      <c r="BC26" s="116">
        <f t="shared" si="10"/>
        <v>0</v>
      </c>
      <c r="BD26" s="12" t="str">
        <f t="shared" si="8"/>
        <v>2758754</v>
      </c>
      <c r="BE26" s="12">
        <f t="shared" si="9"/>
        <v>5000290964</v>
      </c>
      <c r="BF26" s="135">
        <v>0</v>
      </c>
    </row>
    <row r="27" spans="1:58">
      <c r="A27" s="1">
        <f t="shared" si="11"/>
        <v>23</v>
      </c>
      <c r="B27" s="1" t="s">
        <v>4</v>
      </c>
      <c r="C27" s="112" t="s">
        <v>60</v>
      </c>
      <c r="D27" s="12">
        <v>5000375963</v>
      </c>
      <c r="E27" s="12" t="s">
        <v>247</v>
      </c>
      <c r="F27" s="12" t="s">
        <v>248</v>
      </c>
      <c r="G27" s="12" t="s">
        <v>539</v>
      </c>
      <c r="H27" s="12">
        <v>8000</v>
      </c>
      <c r="I27" s="194">
        <v>45778</v>
      </c>
      <c r="J27" s="194">
        <v>45808</v>
      </c>
      <c r="K27" s="12" t="s">
        <v>427</v>
      </c>
      <c r="L27" s="119">
        <v>8976.75</v>
      </c>
      <c r="M27" s="562">
        <v>9144.67</v>
      </c>
      <c r="N27" s="119">
        <v>1316.99</v>
      </c>
      <c r="O27" s="15">
        <f t="shared" ref="O27:O43" si="16">IF(COUNTBLANK(L27)=1,"",N27)</f>
        <v>1316.99</v>
      </c>
      <c r="P27" s="119">
        <v>0.14000000000000001</v>
      </c>
      <c r="Q27" s="15">
        <f t="shared" si="15"/>
        <v>0.14000000000000001</v>
      </c>
      <c r="R27" s="118">
        <f t="shared" si="4"/>
        <v>1343360</v>
      </c>
      <c r="S27" s="1">
        <v>0</v>
      </c>
      <c r="T27" s="1">
        <v>0</v>
      </c>
      <c r="U27" s="1">
        <v>0</v>
      </c>
      <c r="V27" s="1">
        <v>0</v>
      </c>
      <c r="W27" s="194">
        <v>45748</v>
      </c>
      <c r="X27" s="194">
        <v>45777</v>
      </c>
      <c r="Y27" s="12" t="s">
        <v>427</v>
      </c>
      <c r="Z27" s="14">
        <v>8821.25</v>
      </c>
      <c r="AA27" s="1">
        <v>8976.75</v>
      </c>
      <c r="AB27" s="14">
        <v>1300.5</v>
      </c>
      <c r="AC27" s="15">
        <v>1300.5</v>
      </c>
      <c r="AD27" s="14">
        <v>0.13</v>
      </c>
      <c r="AE27" s="15">
        <v>0.13</v>
      </c>
      <c r="AF27" s="45">
        <v>1244000</v>
      </c>
      <c r="AG27" s="1">
        <v>0</v>
      </c>
      <c r="AH27" s="1">
        <v>0</v>
      </c>
      <c r="AI27" s="1">
        <v>0</v>
      </c>
      <c r="AJ27" s="1">
        <v>0</v>
      </c>
      <c r="AK27" s="194">
        <v>45748</v>
      </c>
      <c r="AL27" s="194">
        <v>45777</v>
      </c>
      <c r="AM27" s="12" t="s">
        <v>1131</v>
      </c>
      <c r="AN27" s="10" t="s">
        <v>1465</v>
      </c>
      <c r="AO27" s="14">
        <v>8821.25</v>
      </c>
      <c r="AP27" s="193">
        <v>8976.75</v>
      </c>
      <c r="AQ27" s="14">
        <v>1300.5</v>
      </c>
      <c r="AR27" s="46">
        <v>1316.99</v>
      </c>
      <c r="AS27" s="14">
        <v>0.13</v>
      </c>
      <c r="AT27" s="1">
        <v>0.14000000000000001</v>
      </c>
      <c r="AU27" s="1">
        <f t="shared" si="12"/>
        <v>1244000</v>
      </c>
      <c r="AV27" s="1">
        <f t="shared" si="5"/>
        <v>131920</v>
      </c>
      <c r="AW27" s="1">
        <f t="shared" si="6"/>
        <v>80</v>
      </c>
      <c r="AX27" s="124">
        <f t="shared" si="14"/>
        <v>1244000</v>
      </c>
      <c r="AY27" s="1">
        <v>0</v>
      </c>
      <c r="AZ27" s="1">
        <v>0</v>
      </c>
      <c r="BA27" s="1">
        <v>0</v>
      </c>
      <c r="BB27" s="1">
        <v>0</v>
      </c>
      <c r="BC27" s="116">
        <f t="shared" si="10"/>
        <v>0</v>
      </c>
      <c r="BD27" s="12" t="str">
        <f t="shared" si="8"/>
        <v>20G90290210096376</v>
      </c>
      <c r="BE27" s="12">
        <f t="shared" si="9"/>
        <v>5000375963</v>
      </c>
      <c r="BF27" s="135">
        <v>0</v>
      </c>
    </row>
    <row r="28" spans="1:58">
      <c r="A28" s="1">
        <f t="shared" si="11"/>
        <v>24</v>
      </c>
      <c r="B28" s="20" t="s">
        <v>4</v>
      </c>
      <c r="C28" s="112" t="s">
        <v>60</v>
      </c>
      <c r="D28" s="12">
        <v>5000375972</v>
      </c>
      <c r="E28" s="12" t="s">
        <v>393</v>
      </c>
      <c r="F28" s="12" t="s">
        <v>387</v>
      </c>
      <c r="G28" s="12" t="s">
        <v>540</v>
      </c>
      <c r="H28" s="12">
        <v>16000</v>
      </c>
      <c r="I28" s="194">
        <v>45778</v>
      </c>
      <c r="J28" s="194">
        <v>45808</v>
      </c>
      <c r="K28" s="12" t="s">
        <v>427</v>
      </c>
      <c r="L28" s="119">
        <v>116.38</v>
      </c>
      <c r="M28" s="562">
        <v>120.34</v>
      </c>
      <c r="N28" s="119">
        <v>27</v>
      </c>
      <c r="O28" s="15">
        <f t="shared" si="16"/>
        <v>27</v>
      </c>
      <c r="P28" s="119">
        <v>12.92</v>
      </c>
      <c r="Q28" s="15">
        <f t="shared" si="15"/>
        <v>12.92</v>
      </c>
      <c r="R28" s="118">
        <f t="shared" si="4"/>
        <v>63360</v>
      </c>
      <c r="S28" s="1">
        <v>0</v>
      </c>
      <c r="T28" s="1">
        <v>0</v>
      </c>
      <c r="U28" s="1">
        <v>0</v>
      </c>
      <c r="V28" s="1">
        <v>0</v>
      </c>
      <c r="W28" s="194">
        <v>45748</v>
      </c>
      <c r="X28" s="194">
        <v>45777</v>
      </c>
      <c r="Y28" s="12" t="s">
        <v>427</v>
      </c>
      <c r="Z28" s="14">
        <v>113.19</v>
      </c>
      <c r="AA28" s="1">
        <v>116.38</v>
      </c>
      <c r="AB28" s="14">
        <v>26.99</v>
      </c>
      <c r="AC28" s="15">
        <v>26.99</v>
      </c>
      <c r="AD28" s="14">
        <v>12.34</v>
      </c>
      <c r="AE28" s="15">
        <v>12.34</v>
      </c>
      <c r="AF28" s="45">
        <v>51040</v>
      </c>
      <c r="AG28" s="1">
        <v>0</v>
      </c>
      <c r="AH28" s="1">
        <v>0</v>
      </c>
      <c r="AI28" s="1">
        <v>0</v>
      </c>
      <c r="AJ28" s="1">
        <v>0</v>
      </c>
      <c r="AK28" s="194">
        <v>45748</v>
      </c>
      <c r="AL28" s="194">
        <v>45777</v>
      </c>
      <c r="AM28" s="12" t="s">
        <v>1131</v>
      </c>
      <c r="AN28" s="10" t="s">
        <v>1466</v>
      </c>
      <c r="AO28" s="14">
        <v>113.19</v>
      </c>
      <c r="AP28" s="193">
        <v>116.38</v>
      </c>
      <c r="AQ28" s="14">
        <v>26.99</v>
      </c>
      <c r="AR28" s="46">
        <v>27</v>
      </c>
      <c r="AS28" s="14">
        <v>12.34</v>
      </c>
      <c r="AT28" s="1">
        <v>12.92</v>
      </c>
      <c r="AU28" s="1">
        <f t="shared" si="12"/>
        <v>51040</v>
      </c>
      <c r="AV28" s="1">
        <f t="shared" si="5"/>
        <v>160</v>
      </c>
      <c r="AW28" s="1">
        <f t="shared" si="6"/>
        <v>9280</v>
      </c>
      <c r="AX28" s="124">
        <f t="shared" si="14"/>
        <v>51040</v>
      </c>
      <c r="AY28" s="1">
        <v>0</v>
      </c>
      <c r="AZ28" s="1">
        <v>0</v>
      </c>
      <c r="BA28" s="1">
        <v>0</v>
      </c>
      <c r="BB28" s="1">
        <v>0</v>
      </c>
      <c r="BC28" s="116">
        <f t="shared" si="10"/>
        <v>0</v>
      </c>
      <c r="BD28" s="12" t="str">
        <f t="shared" si="8"/>
        <v>20G90290210096408</v>
      </c>
      <c r="BE28" s="12">
        <f t="shared" si="9"/>
        <v>5000375972</v>
      </c>
      <c r="BF28" s="135">
        <v>0</v>
      </c>
    </row>
    <row r="29" spans="1:58">
      <c r="A29" s="1">
        <f t="shared" si="11"/>
        <v>25</v>
      </c>
      <c r="B29" s="20" t="s">
        <v>4</v>
      </c>
      <c r="C29" s="112" t="s">
        <v>60</v>
      </c>
      <c r="D29" s="12">
        <v>5000581240</v>
      </c>
      <c r="E29" s="12" t="s">
        <v>394</v>
      </c>
      <c r="F29" s="12" t="s">
        <v>388</v>
      </c>
      <c r="G29" s="12" t="s">
        <v>541</v>
      </c>
      <c r="H29" s="12">
        <v>1</v>
      </c>
      <c r="I29" s="194">
        <v>45778</v>
      </c>
      <c r="J29" s="194">
        <v>45808</v>
      </c>
      <c r="K29" s="12" t="s">
        <v>427</v>
      </c>
      <c r="L29" s="117">
        <v>40186</v>
      </c>
      <c r="M29" s="562">
        <v>40797</v>
      </c>
      <c r="N29" s="117">
        <v>110</v>
      </c>
      <c r="O29" s="15">
        <f t="shared" si="16"/>
        <v>110</v>
      </c>
      <c r="P29" s="117">
        <v>10233</v>
      </c>
      <c r="Q29" s="15">
        <f t="shared" si="15"/>
        <v>10233</v>
      </c>
      <c r="R29" s="118">
        <f t="shared" si="4"/>
        <v>611</v>
      </c>
      <c r="S29" s="1">
        <v>0</v>
      </c>
      <c r="T29" s="1">
        <v>0</v>
      </c>
      <c r="U29" s="1">
        <v>0</v>
      </c>
      <c r="V29" s="1">
        <v>0</v>
      </c>
      <c r="W29" s="194">
        <v>45748</v>
      </c>
      <c r="X29" s="194">
        <v>45777</v>
      </c>
      <c r="Y29" s="12" t="s">
        <v>427</v>
      </c>
      <c r="Z29" s="14">
        <v>39578</v>
      </c>
      <c r="AA29" s="1">
        <v>40186</v>
      </c>
      <c r="AB29" s="14">
        <v>110</v>
      </c>
      <c r="AC29" s="15">
        <v>110</v>
      </c>
      <c r="AD29" s="14">
        <v>10052</v>
      </c>
      <c r="AE29" s="15">
        <v>10052</v>
      </c>
      <c r="AF29" s="45">
        <v>608</v>
      </c>
      <c r="AG29" s="1">
        <v>0</v>
      </c>
      <c r="AH29" s="1">
        <v>0</v>
      </c>
      <c r="AI29" s="1">
        <v>0</v>
      </c>
      <c r="AJ29" s="1">
        <v>0</v>
      </c>
      <c r="AK29" s="194">
        <v>45748</v>
      </c>
      <c r="AL29" s="194">
        <v>45777</v>
      </c>
      <c r="AM29" s="12" t="s">
        <v>1131</v>
      </c>
      <c r="AN29" s="10" t="s">
        <v>1467</v>
      </c>
      <c r="AO29" s="14">
        <v>39578</v>
      </c>
      <c r="AP29" s="193">
        <v>40186</v>
      </c>
      <c r="AQ29" s="14">
        <v>110</v>
      </c>
      <c r="AR29" s="46">
        <v>110</v>
      </c>
      <c r="AS29" s="14">
        <v>10052</v>
      </c>
      <c r="AT29" s="1">
        <v>10233</v>
      </c>
      <c r="AU29" s="1">
        <f t="shared" si="12"/>
        <v>608</v>
      </c>
      <c r="AV29" s="1">
        <f t="shared" si="5"/>
        <v>0</v>
      </c>
      <c r="AW29" s="1">
        <f t="shared" si="6"/>
        <v>181</v>
      </c>
      <c r="AX29" s="124">
        <f t="shared" si="14"/>
        <v>608</v>
      </c>
      <c r="AY29" s="1">
        <v>0</v>
      </c>
      <c r="AZ29" s="1">
        <v>0</v>
      </c>
      <c r="BA29" s="1">
        <v>0</v>
      </c>
      <c r="BB29" s="1">
        <v>0</v>
      </c>
      <c r="BC29" s="116">
        <f t="shared" si="10"/>
        <v>0</v>
      </c>
      <c r="BD29" s="12" t="str">
        <f t="shared" si="8"/>
        <v>UCEUEDN18 510058547</v>
      </c>
      <c r="BE29" s="12">
        <f t="shared" si="9"/>
        <v>5000581240</v>
      </c>
      <c r="BF29" s="135">
        <v>0</v>
      </c>
    </row>
    <row r="30" spans="1:58" ht="15.95" customHeight="1">
      <c r="A30" s="1">
        <f t="shared" si="11"/>
        <v>26</v>
      </c>
      <c r="B30" s="20" t="s">
        <v>4</v>
      </c>
      <c r="C30" s="112" t="s">
        <v>60</v>
      </c>
      <c r="D30" s="12">
        <v>5000581069</v>
      </c>
      <c r="E30" s="12" t="s">
        <v>395</v>
      </c>
      <c r="F30" s="12" t="s">
        <v>389</v>
      </c>
      <c r="G30" s="12" t="s">
        <v>542</v>
      </c>
      <c r="H30" s="12">
        <v>30</v>
      </c>
      <c r="I30" s="194">
        <v>45778</v>
      </c>
      <c r="J30" s="194">
        <v>45808</v>
      </c>
      <c r="K30" s="12" t="s">
        <v>427</v>
      </c>
      <c r="L30" s="119">
        <v>32401.5</v>
      </c>
      <c r="M30" s="562">
        <v>32519.599999999999</v>
      </c>
      <c r="N30" s="119">
        <v>3704.1</v>
      </c>
      <c r="O30" s="15">
        <f t="shared" si="16"/>
        <v>3704.1</v>
      </c>
      <c r="P30" s="119">
        <v>1403.2</v>
      </c>
      <c r="Q30" s="15">
        <f t="shared" si="15"/>
        <v>1403.2</v>
      </c>
      <c r="R30" s="118">
        <f t="shared" si="4"/>
        <v>3543</v>
      </c>
      <c r="S30" s="1">
        <v>0</v>
      </c>
      <c r="T30" s="1">
        <v>0</v>
      </c>
      <c r="U30" s="1">
        <v>0</v>
      </c>
      <c r="V30" s="1">
        <v>0</v>
      </c>
      <c r="W30" s="194">
        <v>45748</v>
      </c>
      <c r="X30" s="194">
        <v>45777</v>
      </c>
      <c r="Y30" s="12" t="s">
        <v>427</v>
      </c>
      <c r="Z30" s="14">
        <v>32164.1</v>
      </c>
      <c r="AA30" s="1">
        <v>32401.5</v>
      </c>
      <c r="AB30" s="14">
        <v>3702.5</v>
      </c>
      <c r="AC30" s="15">
        <v>3702.5</v>
      </c>
      <c r="AD30" s="14">
        <v>1397.2</v>
      </c>
      <c r="AE30" s="15">
        <v>1397.2</v>
      </c>
      <c r="AF30" s="45">
        <v>7122</v>
      </c>
      <c r="AG30" s="1">
        <v>0</v>
      </c>
      <c r="AH30" s="1">
        <v>0</v>
      </c>
      <c r="AI30" s="1">
        <v>0</v>
      </c>
      <c r="AJ30" s="1">
        <v>0</v>
      </c>
      <c r="AK30" s="194">
        <v>45748</v>
      </c>
      <c r="AL30" s="194">
        <v>45777</v>
      </c>
      <c r="AM30" s="12" t="s">
        <v>1131</v>
      </c>
      <c r="AN30" s="10" t="s">
        <v>1468</v>
      </c>
      <c r="AO30" s="14">
        <v>32164.1</v>
      </c>
      <c r="AP30" s="193">
        <v>32401.5</v>
      </c>
      <c r="AQ30" s="14">
        <v>3702.5</v>
      </c>
      <c r="AR30" s="46">
        <v>3704.1</v>
      </c>
      <c r="AS30" s="14">
        <v>1397.2</v>
      </c>
      <c r="AT30" s="1">
        <v>1403.2</v>
      </c>
      <c r="AU30" s="1">
        <f t="shared" si="12"/>
        <v>7122</v>
      </c>
      <c r="AV30" s="1">
        <f t="shared" si="5"/>
        <v>48</v>
      </c>
      <c r="AW30" s="1">
        <f t="shared" si="6"/>
        <v>180</v>
      </c>
      <c r="AX30" s="124">
        <f t="shared" si="14"/>
        <v>7122</v>
      </c>
      <c r="AY30" s="1">
        <v>0</v>
      </c>
      <c r="AZ30" s="1">
        <v>0</v>
      </c>
      <c r="BA30" s="1">
        <v>0</v>
      </c>
      <c r="BB30" s="1">
        <v>0</v>
      </c>
      <c r="BC30" s="116">
        <f t="shared" si="10"/>
        <v>0</v>
      </c>
      <c r="BD30" s="12" t="str">
        <f t="shared" si="8"/>
        <v>15G1457011065883</v>
      </c>
      <c r="BE30" s="12">
        <f t="shared" si="9"/>
        <v>5000581069</v>
      </c>
      <c r="BF30" s="135">
        <v>0</v>
      </c>
    </row>
    <row r="31" spans="1:58">
      <c r="A31" s="1">
        <f t="shared" si="11"/>
        <v>27</v>
      </c>
      <c r="B31" s="1" t="s">
        <v>20</v>
      </c>
      <c r="C31" s="112" t="s">
        <v>27</v>
      </c>
      <c r="D31" s="12">
        <v>5000406723</v>
      </c>
      <c r="E31" s="251" t="s">
        <v>258</v>
      </c>
      <c r="F31" s="12" t="s">
        <v>259</v>
      </c>
      <c r="G31" s="12" t="s">
        <v>543</v>
      </c>
      <c r="H31" s="12">
        <v>6000</v>
      </c>
      <c r="I31" s="194">
        <v>45778</v>
      </c>
      <c r="J31" s="194">
        <v>45808</v>
      </c>
      <c r="K31" s="12" t="s">
        <v>427</v>
      </c>
      <c r="L31" s="119">
        <v>6970.77</v>
      </c>
      <c r="M31" s="563">
        <v>7084.14</v>
      </c>
      <c r="N31" s="119">
        <v>154.69</v>
      </c>
      <c r="O31" s="15">
        <f t="shared" si="16"/>
        <v>154.69</v>
      </c>
      <c r="P31" s="119">
        <v>417.41</v>
      </c>
      <c r="Q31" s="15">
        <f t="shared" si="15"/>
        <v>417.41</v>
      </c>
      <c r="R31" s="118">
        <f t="shared" si="4"/>
        <v>680220</v>
      </c>
      <c r="S31" s="1">
        <v>0</v>
      </c>
      <c r="T31" s="1">
        <v>0</v>
      </c>
      <c r="U31" s="1">
        <v>0</v>
      </c>
      <c r="V31" s="1">
        <v>0</v>
      </c>
      <c r="W31" s="194">
        <v>45748</v>
      </c>
      <c r="X31" s="194">
        <v>45777</v>
      </c>
      <c r="Y31" s="12" t="s">
        <v>427</v>
      </c>
      <c r="Z31" s="14">
        <v>6862.88</v>
      </c>
      <c r="AA31" s="1">
        <v>6970.77</v>
      </c>
      <c r="AB31" s="14">
        <v>150.26</v>
      </c>
      <c r="AC31" s="15">
        <v>150.26</v>
      </c>
      <c r="AD31" s="14">
        <v>417.01</v>
      </c>
      <c r="AE31" s="15">
        <v>417.01</v>
      </c>
      <c r="AF31" s="45">
        <v>647340</v>
      </c>
      <c r="AG31" s="1">
        <v>0</v>
      </c>
      <c r="AH31" s="1">
        <v>0</v>
      </c>
      <c r="AI31" s="1">
        <v>0</v>
      </c>
      <c r="AJ31" s="1">
        <v>0</v>
      </c>
      <c r="AK31" s="194">
        <v>45748</v>
      </c>
      <c r="AL31" s="194">
        <v>45777</v>
      </c>
      <c r="AM31" s="12" t="s">
        <v>1131</v>
      </c>
      <c r="AN31" s="10" t="s">
        <v>1469</v>
      </c>
      <c r="AO31" s="14">
        <v>6862.88</v>
      </c>
      <c r="AP31" s="193">
        <v>6970.77</v>
      </c>
      <c r="AQ31" s="14">
        <v>150.26</v>
      </c>
      <c r="AR31" s="46">
        <v>154.69</v>
      </c>
      <c r="AS31" s="14">
        <v>417.01</v>
      </c>
      <c r="AT31" s="1">
        <v>417.41</v>
      </c>
      <c r="AU31" s="1">
        <f t="shared" si="12"/>
        <v>647340</v>
      </c>
      <c r="AV31" s="1">
        <f t="shared" si="5"/>
        <v>26580</v>
      </c>
      <c r="AW31" s="1">
        <f t="shared" si="6"/>
        <v>2400</v>
      </c>
      <c r="AX31" s="124">
        <f t="shared" si="14"/>
        <v>647340</v>
      </c>
      <c r="AY31" s="1">
        <v>0</v>
      </c>
      <c r="AZ31" s="1">
        <v>0</v>
      </c>
      <c r="BA31" s="1">
        <v>0</v>
      </c>
      <c r="BB31" s="1">
        <v>0</v>
      </c>
      <c r="BC31" s="116">
        <f t="shared" si="10"/>
        <v>0</v>
      </c>
      <c r="BD31" s="12" t="str">
        <f t="shared" si="8"/>
        <v>2886824</v>
      </c>
      <c r="BE31" s="12">
        <f t="shared" si="9"/>
        <v>5000406723</v>
      </c>
      <c r="BF31" s="135">
        <v>0</v>
      </c>
    </row>
    <row r="32" spans="1:58">
      <c r="A32" s="1">
        <f t="shared" si="11"/>
        <v>28</v>
      </c>
      <c r="B32" s="1" t="s">
        <v>1</v>
      </c>
      <c r="C32" s="112" t="s">
        <v>61</v>
      </c>
      <c r="D32" s="12">
        <v>5000364449</v>
      </c>
      <c r="E32" s="12" t="s">
        <v>267</v>
      </c>
      <c r="F32" s="12" t="s">
        <v>268</v>
      </c>
      <c r="G32" s="12" t="s">
        <v>544</v>
      </c>
      <c r="H32" s="12">
        <v>16000</v>
      </c>
      <c r="I32" s="194">
        <v>45778</v>
      </c>
      <c r="J32" s="194">
        <v>45808</v>
      </c>
      <c r="K32" s="12" t="s">
        <v>427</v>
      </c>
      <c r="L32" s="119">
        <v>4650.4399999999996</v>
      </c>
      <c r="M32" s="563">
        <v>4688.33</v>
      </c>
      <c r="N32" s="119">
        <v>1007.32</v>
      </c>
      <c r="O32" s="15">
        <f t="shared" si="16"/>
        <v>1007.32</v>
      </c>
      <c r="P32" s="119">
        <v>0.03</v>
      </c>
      <c r="Q32" s="15">
        <f t="shared" si="15"/>
        <v>0.03</v>
      </c>
      <c r="R32" s="118">
        <f t="shared" si="4"/>
        <v>606240</v>
      </c>
      <c r="S32" s="1">
        <v>0</v>
      </c>
      <c r="T32" s="1">
        <v>0</v>
      </c>
      <c r="U32" s="1">
        <v>0</v>
      </c>
      <c r="V32" s="1">
        <v>0</v>
      </c>
      <c r="W32" s="194">
        <v>45748</v>
      </c>
      <c r="X32" s="194">
        <v>45777</v>
      </c>
      <c r="Y32" s="12" t="s">
        <v>427</v>
      </c>
      <c r="Z32" s="14">
        <v>4616.16</v>
      </c>
      <c r="AA32" s="1">
        <v>4650.4399999999996</v>
      </c>
      <c r="AB32" s="14">
        <v>1001.87</v>
      </c>
      <c r="AC32" s="15">
        <v>1001.87</v>
      </c>
      <c r="AD32" s="14">
        <v>0.02</v>
      </c>
      <c r="AE32" s="15">
        <v>0.02</v>
      </c>
      <c r="AF32" s="45">
        <v>548480</v>
      </c>
      <c r="AG32" s="1">
        <v>0</v>
      </c>
      <c r="AH32" s="1">
        <v>0</v>
      </c>
      <c r="AI32" s="1">
        <v>0</v>
      </c>
      <c r="AJ32" s="1">
        <v>0</v>
      </c>
      <c r="AK32" s="194">
        <v>45748</v>
      </c>
      <c r="AL32" s="194">
        <v>45777</v>
      </c>
      <c r="AM32" s="12" t="s">
        <v>1131</v>
      </c>
      <c r="AN32" s="10" t="s">
        <v>1470</v>
      </c>
      <c r="AO32" s="14">
        <v>4616.16</v>
      </c>
      <c r="AP32" s="193">
        <v>4650.4399999999996</v>
      </c>
      <c r="AQ32" s="14">
        <v>1001.87</v>
      </c>
      <c r="AR32" s="46">
        <v>1007.32</v>
      </c>
      <c r="AS32" s="14">
        <v>0.02</v>
      </c>
      <c r="AT32" s="1">
        <v>0.03</v>
      </c>
      <c r="AU32" s="1">
        <f t="shared" si="12"/>
        <v>548480</v>
      </c>
      <c r="AV32" s="1">
        <f t="shared" si="5"/>
        <v>87200</v>
      </c>
      <c r="AW32" s="1">
        <f t="shared" si="6"/>
        <v>160</v>
      </c>
      <c r="AX32" s="124">
        <f t="shared" si="14"/>
        <v>548480</v>
      </c>
      <c r="AY32" s="1">
        <v>29</v>
      </c>
      <c r="AZ32" s="1">
        <v>0</v>
      </c>
      <c r="BA32" s="1">
        <v>0</v>
      </c>
      <c r="BB32" s="1">
        <v>0</v>
      </c>
      <c r="BC32" s="116">
        <f t="shared" si="10"/>
        <v>0</v>
      </c>
      <c r="BD32" s="12" t="str">
        <f t="shared" si="8"/>
        <v>16G90220110070053</v>
      </c>
      <c r="BE32" s="12">
        <f t="shared" si="9"/>
        <v>5000364449</v>
      </c>
      <c r="BF32" s="135">
        <v>0</v>
      </c>
    </row>
    <row r="33" spans="1:58">
      <c r="A33" s="1">
        <f t="shared" si="11"/>
        <v>29</v>
      </c>
      <c r="B33" s="1" t="s">
        <v>1</v>
      </c>
      <c r="C33" s="112" t="s">
        <v>61</v>
      </c>
      <c r="D33" s="12">
        <v>5000364457</v>
      </c>
      <c r="E33" s="12" t="s">
        <v>276</v>
      </c>
      <c r="F33" s="12" t="s">
        <v>277</v>
      </c>
      <c r="G33" s="12" t="s">
        <v>545</v>
      </c>
      <c r="H33" s="12">
        <v>16000</v>
      </c>
      <c r="I33" s="194">
        <v>45778</v>
      </c>
      <c r="J33" s="194">
        <v>45808</v>
      </c>
      <c r="K33" s="12" t="s">
        <v>427</v>
      </c>
      <c r="L33" s="119">
        <v>7441.12</v>
      </c>
      <c r="M33" s="563">
        <v>7495.08</v>
      </c>
      <c r="N33" s="119">
        <v>1484.81</v>
      </c>
      <c r="O33" s="15">
        <f t="shared" si="16"/>
        <v>1484.81</v>
      </c>
      <c r="P33" s="119">
        <v>0.12</v>
      </c>
      <c r="Q33" s="15">
        <f t="shared" si="15"/>
        <v>0.12</v>
      </c>
      <c r="R33" s="118">
        <f t="shared" si="4"/>
        <v>863360</v>
      </c>
      <c r="S33" s="1">
        <v>0</v>
      </c>
      <c r="T33" s="1">
        <v>0</v>
      </c>
      <c r="U33" s="1">
        <v>0</v>
      </c>
      <c r="V33" s="1">
        <v>0</v>
      </c>
      <c r="W33" s="194">
        <v>45748</v>
      </c>
      <c r="X33" s="194">
        <v>45777</v>
      </c>
      <c r="Y33" s="12" t="s">
        <v>427</v>
      </c>
      <c r="Z33" s="14">
        <v>7396.76</v>
      </c>
      <c r="AA33" s="1">
        <v>7441.12</v>
      </c>
      <c r="AB33" s="14">
        <v>1479.5</v>
      </c>
      <c r="AC33" s="15">
        <v>1479.5</v>
      </c>
      <c r="AD33" s="14">
        <v>0.11</v>
      </c>
      <c r="AE33" s="15">
        <v>0.11</v>
      </c>
      <c r="AF33" s="45">
        <v>709760</v>
      </c>
      <c r="AG33" s="1">
        <v>0</v>
      </c>
      <c r="AH33" s="1">
        <v>0</v>
      </c>
      <c r="AI33" s="1">
        <v>0</v>
      </c>
      <c r="AJ33" s="1">
        <v>0</v>
      </c>
      <c r="AK33" s="194">
        <v>45748</v>
      </c>
      <c r="AL33" s="194">
        <v>45777</v>
      </c>
      <c r="AM33" s="12" t="s">
        <v>1131</v>
      </c>
      <c r="AN33" s="10" t="s">
        <v>1471</v>
      </c>
      <c r="AO33" s="14">
        <v>7396.76</v>
      </c>
      <c r="AP33" s="193">
        <v>7441.12</v>
      </c>
      <c r="AQ33" s="14">
        <v>1479.5</v>
      </c>
      <c r="AR33" s="46">
        <v>1484.81</v>
      </c>
      <c r="AS33" s="14">
        <v>0.11</v>
      </c>
      <c r="AT33" s="1">
        <v>0.12</v>
      </c>
      <c r="AU33" s="1">
        <f t="shared" si="12"/>
        <v>709760</v>
      </c>
      <c r="AV33" s="1">
        <f t="shared" si="5"/>
        <v>84960</v>
      </c>
      <c r="AW33" s="1">
        <f t="shared" si="6"/>
        <v>160</v>
      </c>
      <c r="AX33" s="124">
        <f t="shared" si="14"/>
        <v>709760</v>
      </c>
      <c r="AY33" s="1">
        <v>0</v>
      </c>
      <c r="AZ33" s="1">
        <v>0</v>
      </c>
      <c r="BA33" s="1">
        <v>0</v>
      </c>
      <c r="BB33" s="1">
        <v>0</v>
      </c>
      <c r="BC33" s="116">
        <f t="shared" si="10"/>
        <v>0</v>
      </c>
      <c r="BD33" s="12" t="str">
        <f t="shared" si="8"/>
        <v>16G90220110070042</v>
      </c>
      <c r="BE33" s="12">
        <f t="shared" si="9"/>
        <v>5000364457</v>
      </c>
      <c r="BF33" s="135">
        <v>0</v>
      </c>
    </row>
    <row r="34" spans="1:58">
      <c r="A34" s="1">
        <f t="shared" si="11"/>
        <v>30</v>
      </c>
      <c r="B34" s="1" t="s">
        <v>6</v>
      </c>
      <c r="C34" s="112" t="s">
        <v>22</v>
      </c>
      <c r="D34" s="12">
        <v>5000579549</v>
      </c>
      <c r="E34" s="12" t="s">
        <v>281</v>
      </c>
      <c r="F34" s="12">
        <v>23301788874</v>
      </c>
      <c r="G34" s="12" t="s">
        <v>546</v>
      </c>
      <c r="H34" s="12">
        <v>4000</v>
      </c>
      <c r="I34" s="194">
        <v>45778</v>
      </c>
      <c r="J34" s="194">
        <v>45808</v>
      </c>
      <c r="K34" s="12" t="s">
        <v>427</v>
      </c>
      <c r="L34" s="119">
        <v>1212.1099999999999</v>
      </c>
      <c r="M34" s="563">
        <v>1267.8599999999999</v>
      </c>
      <c r="N34" s="119">
        <v>32</v>
      </c>
      <c r="O34" s="15">
        <f t="shared" si="16"/>
        <v>32</v>
      </c>
      <c r="P34" s="119">
        <v>61.95</v>
      </c>
      <c r="Q34" s="15">
        <f t="shared" si="15"/>
        <v>61.95</v>
      </c>
      <c r="R34" s="118">
        <f t="shared" si="4"/>
        <v>223000</v>
      </c>
      <c r="S34" s="1">
        <v>0</v>
      </c>
      <c r="T34" s="1">
        <v>0</v>
      </c>
      <c r="U34" s="1">
        <v>0</v>
      </c>
      <c r="V34" s="1">
        <v>0</v>
      </c>
      <c r="W34" s="194">
        <v>45748</v>
      </c>
      <c r="X34" s="194">
        <v>45777</v>
      </c>
      <c r="Y34" s="12" t="s">
        <v>427</v>
      </c>
      <c r="Z34" s="14">
        <v>1159.6600000000001</v>
      </c>
      <c r="AA34" s="1">
        <v>1212.1099999999999</v>
      </c>
      <c r="AB34" s="14">
        <v>31.5</v>
      </c>
      <c r="AC34" s="15">
        <v>31.5</v>
      </c>
      <c r="AD34" s="14">
        <v>58.13</v>
      </c>
      <c r="AE34" s="15">
        <v>58.13</v>
      </c>
      <c r="AF34" s="45">
        <v>209800</v>
      </c>
      <c r="AG34" s="1">
        <v>0</v>
      </c>
      <c r="AH34" s="1">
        <v>0</v>
      </c>
      <c r="AI34" s="1">
        <v>0</v>
      </c>
      <c r="AJ34" s="1">
        <v>0</v>
      </c>
      <c r="AK34" s="194">
        <v>45748</v>
      </c>
      <c r="AL34" s="194">
        <v>45777</v>
      </c>
      <c r="AM34" s="12" t="s">
        <v>1131</v>
      </c>
      <c r="AN34" s="10" t="s">
        <v>1472</v>
      </c>
      <c r="AO34" s="14">
        <v>1159.6600000000001</v>
      </c>
      <c r="AP34" s="193">
        <v>1212.1099999999999</v>
      </c>
      <c r="AQ34" s="14">
        <v>31.5</v>
      </c>
      <c r="AR34" s="46">
        <v>32</v>
      </c>
      <c r="AS34" s="14">
        <v>58.13</v>
      </c>
      <c r="AT34" s="1">
        <v>61.95</v>
      </c>
      <c r="AU34" s="1">
        <f t="shared" si="12"/>
        <v>209800</v>
      </c>
      <c r="AV34" s="1">
        <f t="shared" si="5"/>
        <v>2000</v>
      </c>
      <c r="AW34" s="1">
        <f t="shared" si="6"/>
        <v>15280</v>
      </c>
      <c r="AX34" s="124">
        <f t="shared" si="14"/>
        <v>209800</v>
      </c>
      <c r="AY34" s="1">
        <v>0</v>
      </c>
      <c r="AZ34" s="1">
        <v>0</v>
      </c>
      <c r="BA34" s="1">
        <v>334</v>
      </c>
      <c r="BB34" s="1">
        <v>0</v>
      </c>
      <c r="BC34" s="116">
        <f t="shared" si="10"/>
        <v>0</v>
      </c>
      <c r="BD34" s="12">
        <f t="shared" si="8"/>
        <v>23301788874</v>
      </c>
      <c r="BE34" s="12">
        <f t="shared" si="9"/>
        <v>5000579549</v>
      </c>
      <c r="BF34" s="135">
        <v>0</v>
      </c>
    </row>
    <row r="35" spans="1:58">
      <c r="A35" s="1">
        <f t="shared" si="11"/>
        <v>31</v>
      </c>
      <c r="B35" s="1" t="s">
        <v>6</v>
      </c>
      <c r="C35" s="112" t="s">
        <v>22</v>
      </c>
      <c r="D35" s="12">
        <v>5000579549</v>
      </c>
      <c r="E35" s="12" t="s">
        <v>281</v>
      </c>
      <c r="F35" s="12">
        <v>23301789063</v>
      </c>
      <c r="G35" s="12" t="s">
        <v>505</v>
      </c>
      <c r="H35" s="12">
        <v>4000</v>
      </c>
      <c r="I35" s="194">
        <v>45778</v>
      </c>
      <c r="J35" s="194">
        <v>45808</v>
      </c>
      <c r="K35" s="12" t="s">
        <v>427</v>
      </c>
      <c r="L35" s="119">
        <v>767.52</v>
      </c>
      <c r="M35" s="563">
        <v>794.71</v>
      </c>
      <c r="N35" s="119">
        <v>2.62</v>
      </c>
      <c r="O35" s="15">
        <f t="shared" si="16"/>
        <v>2.62</v>
      </c>
      <c r="P35" s="119">
        <v>177.32</v>
      </c>
      <c r="Q35" s="15">
        <f t="shared" si="15"/>
        <v>177.32</v>
      </c>
      <c r="R35" s="118">
        <f t="shared" si="4"/>
        <v>108760</v>
      </c>
      <c r="S35" s="1">
        <v>0</v>
      </c>
      <c r="T35" s="1">
        <v>0</v>
      </c>
      <c r="U35" s="1">
        <v>0</v>
      </c>
      <c r="V35" s="1">
        <v>0</v>
      </c>
      <c r="W35" s="194">
        <v>45748</v>
      </c>
      <c r="X35" s="194">
        <v>45777</v>
      </c>
      <c r="Y35" s="12" t="s">
        <v>427</v>
      </c>
      <c r="Z35" s="14">
        <v>740.19</v>
      </c>
      <c r="AA35" s="1">
        <v>767.52</v>
      </c>
      <c r="AB35" s="14">
        <v>2.62</v>
      </c>
      <c r="AC35" s="15">
        <v>2.62</v>
      </c>
      <c r="AD35" s="14">
        <v>167.4</v>
      </c>
      <c r="AE35" s="15">
        <v>167.4</v>
      </c>
      <c r="AF35" s="45">
        <v>109320</v>
      </c>
      <c r="AG35" s="1">
        <v>0</v>
      </c>
      <c r="AH35" s="1">
        <v>0</v>
      </c>
      <c r="AI35" s="1">
        <v>0</v>
      </c>
      <c r="AJ35" s="1">
        <v>0</v>
      </c>
      <c r="AK35" s="194">
        <v>45748</v>
      </c>
      <c r="AL35" s="194">
        <v>45777</v>
      </c>
      <c r="AM35" s="12" t="s">
        <v>1131</v>
      </c>
      <c r="AN35" s="10" t="s">
        <v>1472</v>
      </c>
      <c r="AO35" s="14">
        <v>740.19</v>
      </c>
      <c r="AP35" s="193">
        <v>767.52</v>
      </c>
      <c r="AQ35" s="14">
        <v>2.62</v>
      </c>
      <c r="AR35" s="46">
        <v>2.62</v>
      </c>
      <c r="AS35" s="14">
        <v>167.4</v>
      </c>
      <c r="AT35" s="1">
        <v>177.32</v>
      </c>
      <c r="AU35" s="1">
        <f t="shared" si="12"/>
        <v>109320</v>
      </c>
      <c r="AV35" s="1">
        <f t="shared" si="5"/>
        <v>0</v>
      </c>
      <c r="AW35" s="1">
        <f t="shared" si="6"/>
        <v>39680</v>
      </c>
      <c r="AX35" s="124">
        <f t="shared" si="14"/>
        <v>109320</v>
      </c>
      <c r="AY35" s="1">
        <v>0</v>
      </c>
      <c r="AZ35" s="1">
        <v>0</v>
      </c>
      <c r="BA35" s="1">
        <v>0</v>
      </c>
      <c r="BB35" s="1">
        <v>0</v>
      </c>
      <c r="BC35" s="116">
        <f t="shared" si="10"/>
        <v>0</v>
      </c>
      <c r="BD35" s="12">
        <f t="shared" si="8"/>
        <v>23301789063</v>
      </c>
      <c r="BE35" s="12">
        <f t="shared" si="9"/>
        <v>5000579549</v>
      </c>
      <c r="BF35" s="135">
        <v>0</v>
      </c>
    </row>
    <row r="36" spans="1:58">
      <c r="A36" s="1">
        <f>A35+1</f>
        <v>32</v>
      </c>
      <c r="B36" s="1" t="s">
        <v>21</v>
      </c>
      <c r="C36" s="112" t="s">
        <v>62</v>
      </c>
      <c r="D36" s="12">
        <v>5000578571</v>
      </c>
      <c r="E36" s="12" t="s">
        <v>292</v>
      </c>
      <c r="F36" s="12">
        <v>88217201</v>
      </c>
      <c r="G36" s="12" t="s">
        <v>547</v>
      </c>
      <c r="H36" s="12">
        <v>1</v>
      </c>
      <c r="I36" s="194">
        <v>45778</v>
      </c>
      <c r="J36" s="194">
        <v>45808</v>
      </c>
      <c r="K36" s="12" t="s">
        <v>427</v>
      </c>
      <c r="L36" s="117">
        <v>18167742</v>
      </c>
      <c r="M36" s="562">
        <v>18949037</v>
      </c>
      <c r="N36" s="14">
        <v>1039509</v>
      </c>
      <c r="O36" s="15">
        <v>952642</v>
      </c>
      <c r="P36" s="14">
        <v>478036</v>
      </c>
      <c r="Q36" s="15">
        <v>428850</v>
      </c>
      <c r="R36" s="118">
        <f t="shared" si="4"/>
        <v>781295</v>
      </c>
      <c r="S36" s="1">
        <v>0</v>
      </c>
      <c r="T36" s="1">
        <v>0</v>
      </c>
      <c r="U36" s="1">
        <v>0</v>
      </c>
      <c r="V36" s="1">
        <v>0</v>
      </c>
      <c r="W36" s="194">
        <v>45748</v>
      </c>
      <c r="X36" s="194">
        <v>45777</v>
      </c>
      <c r="Y36" s="12" t="s">
        <v>427</v>
      </c>
      <c r="Z36" s="14">
        <v>17473103</v>
      </c>
      <c r="AA36" s="1">
        <v>18167742</v>
      </c>
      <c r="AB36" s="14">
        <v>975762</v>
      </c>
      <c r="AC36" s="15">
        <v>952642</v>
      </c>
      <c r="AD36" s="14">
        <v>456051</v>
      </c>
      <c r="AE36" s="15">
        <v>428850</v>
      </c>
      <c r="AF36" s="45">
        <v>694639</v>
      </c>
      <c r="AG36" s="1">
        <v>0</v>
      </c>
      <c r="AH36" s="1">
        <v>0</v>
      </c>
      <c r="AI36" s="1">
        <v>0</v>
      </c>
      <c r="AJ36" s="1">
        <v>0</v>
      </c>
      <c r="AK36" s="194">
        <v>45748</v>
      </c>
      <c r="AL36" s="194">
        <v>45777</v>
      </c>
      <c r="AM36" s="12" t="s">
        <v>1131</v>
      </c>
      <c r="AN36" s="10" t="s">
        <v>1473</v>
      </c>
      <c r="AO36" s="14">
        <v>17473103</v>
      </c>
      <c r="AP36" s="116">
        <v>18167742</v>
      </c>
      <c r="AQ36" s="14">
        <v>975762</v>
      </c>
      <c r="AR36" s="46">
        <v>1039509</v>
      </c>
      <c r="AS36" s="14">
        <v>456051</v>
      </c>
      <c r="AT36" s="1">
        <v>478036</v>
      </c>
      <c r="AU36" s="1">
        <f t="shared" si="12"/>
        <v>694639</v>
      </c>
      <c r="AV36" s="1">
        <f t="shared" si="5"/>
        <v>63747</v>
      </c>
      <c r="AW36" s="1">
        <f t="shared" si="6"/>
        <v>21985</v>
      </c>
      <c r="AX36" s="124">
        <f t="shared" si="14"/>
        <v>694639</v>
      </c>
      <c r="AY36" s="1">
        <v>598</v>
      </c>
      <c r="AZ36" s="1">
        <v>0</v>
      </c>
      <c r="BA36" s="1">
        <v>13</v>
      </c>
      <c r="BB36" s="1">
        <v>0</v>
      </c>
      <c r="BC36" s="116">
        <f t="shared" si="10"/>
        <v>0</v>
      </c>
      <c r="BD36" s="12">
        <f t="shared" si="8"/>
        <v>88217201</v>
      </c>
      <c r="BE36" s="12">
        <f t="shared" si="9"/>
        <v>5000578571</v>
      </c>
      <c r="BF36" s="135">
        <v>0</v>
      </c>
    </row>
    <row r="37" spans="1:58">
      <c r="A37" s="1">
        <f t="shared" si="11"/>
        <v>33</v>
      </c>
      <c r="B37" s="1" t="s">
        <v>21</v>
      </c>
      <c r="C37" s="112" t="s">
        <v>62</v>
      </c>
      <c r="D37" s="12">
        <v>5000637459</v>
      </c>
      <c r="E37" s="251" t="s">
        <v>1158</v>
      </c>
      <c r="F37" s="12">
        <v>90065720</v>
      </c>
      <c r="G37" s="12" t="s">
        <v>548</v>
      </c>
      <c r="H37" s="12">
        <v>1</v>
      </c>
      <c r="I37" s="194">
        <v>45778</v>
      </c>
      <c r="J37" s="194">
        <v>45808</v>
      </c>
      <c r="K37" s="12" t="s">
        <v>427</v>
      </c>
      <c r="L37" s="117">
        <v>1626968</v>
      </c>
      <c r="M37" s="562">
        <v>1698668</v>
      </c>
      <c r="N37" s="14">
        <v>30</v>
      </c>
      <c r="O37" s="15">
        <v>27</v>
      </c>
      <c r="P37" s="14">
        <v>666112</v>
      </c>
      <c r="Q37" s="15">
        <v>595258</v>
      </c>
      <c r="R37" s="118">
        <f t="shared" ref="R37:R69" si="17">ROUND((M37-L37)*H37,0)</f>
        <v>71700</v>
      </c>
      <c r="S37" s="1">
        <v>0</v>
      </c>
      <c r="T37" s="1">
        <v>0</v>
      </c>
      <c r="U37" s="1">
        <v>0</v>
      </c>
      <c r="V37" s="1">
        <v>0</v>
      </c>
      <c r="W37" s="194">
        <v>45748</v>
      </c>
      <c r="X37" s="194">
        <v>45777</v>
      </c>
      <c r="Y37" s="12" t="s">
        <v>427</v>
      </c>
      <c r="Z37" s="14">
        <v>1549792</v>
      </c>
      <c r="AA37" s="1">
        <v>1626968</v>
      </c>
      <c r="AB37" s="14">
        <v>29</v>
      </c>
      <c r="AC37" s="15">
        <v>27</v>
      </c>
      <c r="AD37" s="14">
        <v>629409</v>
      </c>
      <c r="AE37" s="15">
        <v>595258</v>
      </c>
      <c r="AF37" s="45">
        <v>77176</v>
      </c>
      <c r="AG37" s="1">
        <v>0</v>
      </c>
      <c r="AH37" s="1">
        <v>0</v>
      </c>
      <c r="AI37" s="1">
        <v>0</v>
      </c>
      <c r="AJ37" s="1">
        <v>0</v>
      </c>
      <c r="AK37" s="194">
        <v>45748</v>
      </c>
      <c r="AL37" s="194">
        <v>45777</v>
      </c>
      <c r="AM37" s="12" t="s">
        <v>1131</v>
      </c>
      <c r="AN37" s="10" t="s">
        <v>1474</v>
      </c>
      <c r="AO37" s="14">
        <v>1549792</v>
      </c>
      <c r="AP37" s="116">
        <v>1626968</v>
      </c>
      <c r="AQ37" s="14">
        <v>29</v>
      </c>
      <c r="AR37" s="46">
        <v>30</v>
      </c>
      <c r="AS37" s="14">
        <v>629409</v>
      </c>
      <c r="AT37" s="1">
        <v>666112</v>
      </c>
      <c r="AU37" s="1">
        <f t="shared" si="12"/>
        <v>77176</v>
      </c>
      <c r="AV37" s="1">
        <f t="shared" ref="AV37:AV55" si="18">IF(COUNTBLANK(AR37)=1,"",ROUND((AR37-AQ37)*H37,0))</f>
        <v>1</v>
      </c>
      <c r="AW37" s="1">
        <f t="shared" ref="AW37:AW55" si="19">IF(COUNTBLANK(AT37)=1,"",ROUND((AT37-AS37)*H37,0))</f>
        <v>36703</v>
      </c>
      <c r="AX37" s="124">
        <f t="shared" si="14"/>
        <v>77176</v>
      </c>
      <c r="AY37" s="1">
        <v>0</v>
      </c>
      <c r="AZ37" s="1">
        <v>0</v>
      </c>
      <c r="BA37" s="1">
        <v>2208</v>
      </c>
      <c r="BB37" s="1">
        <v>5957</v>
      </c>
      <c r="BC37" s="116">
        <f t="shared" si="10"/>
        <v>0</v>
      </c>
      <c r="BD37" s="12">
        <f t="shared" ref="BD37:BD69" si="20">F37</f>
        <v>90065720</v>
      </c>
      <c r="BE37" s="12">
        <f t="shared" ref="BE37:BE69" si="21">D37</f>
        <v>5000637459</v>
      </c>
      <c r="BF37" s="135">
        <v>0</v>
      </c>
    </row>
    <row r="38" spans="1:58">
      <c r="A38" s="1">
        <f t="shared" si="11"/>
        <v>34</v>
      </c>
      <c r="B38" s="1" t="s">
        <v>3</v>
      </c>
      <c r="C38" s="112" t="s">
        <v>63</v>
      </c>
      <c r="D38" s="12">
        <v>5000415864</v>
      </c>
      <c r="E38" s="12" t="s">
        <v>304</v>
      </c>
      <c r="F38" s="12" t="s">
        <v>1428</v>
      </c>
      <c r="G38" s="12" t="s">
        <v>549</v>
      </c>
      <c r="H38" s="12">
        <v>16000</v>
      </c>
      <c r="I38" s="194">
        <v>45778</v>
      </c>
      <c r="J38" s="194">
        <v>45808</v>
      </c>
      <c r="K38" s="12" t="s">
        <v>427</v>
      </c>
      <c r="L38" s="119">
        <v>78.37</v>
      </c>
      <c r="M38" s="562">
        <v>130.44999999999999</v>
      </c>
      <c r="N38" s="119">
        <v>4.18</v>
      </c>
      <c r="O38" s="15">
        <f t="shared" si="16"/>
        <v>4.18</v>
      </c>
      <c r="P38" s="119">
        <v>0.1</v>
      </c>
      <c r="Q38" s="15">
        <f t="shared" si="15"/>
        <v>0.1</v>
      </c>
      <c r="R38" s="118">
        <f t="shared" si="17"/>
        <v>833280</v>
      </c>
      <c r="S38" s="1">
        <v>0</v>
      </c>
      <c r="T38" s="1">
        <v>0</v>
      </c>
      <c r="U38" s="1">
        <v>0</v>
      </c>
      <c r="V38" s="1">
        <v>0</v>
      </c>
      <c r="W38" s="194">
        <v>45748</v>
      </c>
      <c r="X38" s="194">
        <v>45777</v>
      </c>
      <c r="Y38" s="12" t="s">
        <v>427</v>
      </c>
      <c r="Z38" s="14">
        <v>32.56</v>
      </c>
      <c r="AA38" s="1">
        <v>78.37</v>
      </c>
      <c r="AB38" s="14">
        <v>1.54</v>
      </c>
      <c r="AC38" s="15">
        <v>1.54</v>
      </c>
      <c r="AD38" s="14">
        <v>0.04</v>
      </c>
      <c r="AE38" s="15">
        <v>0.04</v>
      </c>
      <c r="AF38" s="45">
        <v>732960</v>
      </c>
      <c r="AG38" s="1">
        <v>0</v>
      </c>
      <c r="AH38" s="1">
        <v>0</v>
      </c>
      <c r="AI38" s="1">
        <v>0</v>
      </c>
      <c r="AJ38" s="1">
        <v>0</v>
      </c>
      <c r="AK38" s="194">
        <v>45748</v>
      </c>
      <c r="AL38" s="194">
        <v>45777</v>
      </c>
      <c r="AM38" s="12" t="s">
        <v>1131</v>
      </c>
      <c r="AN38" s="10" t="s">
        <v>1475</v>
      </c>
      <c r="AO38" s="14">
        <v>32.56</v>
      </c>
      <c r="AP38" s="193">
        <v>78.37</v>
      </c>
      <c r="AQ38" s="14">
        <v>1.54</v>
      </c>
      <c r="AR38" s="46">
        <v>4.18</v>
      </c>
      <c r="AS38" s="14">
        <v>0.04</v>
      </c>
      <c r="AT38" s="1">
        <v>0.1</v>
      </c>
      <c r="AU38" s="1">
        <f t="shared" si="12"/>
        <v>732960</v>
      </c>
      <c r="AV38" s="1">
        <f t="shared" si="18"/>
        <v>42240</v>
      </c>
      <c r="AW38" s="1">
        <f t="shared" si="19"/>
        <v>960</v>
      </c>
      <c r="AX38" s="124">
        <f t="shared" si="14"/>
        <v>732960</v>
      </c>
      <c r="AY38" s="1">
        <v>0</v>
      </c>
      <c r="AZ38" s="1">
        <v>0</v>
      </c>
      <c r="BA38" s="1">
        <v>0</v>
      </c>
      <c r="BB38" s="1">
        <v>0</v>
      </c>
      <c r="BC38" s="116">
        <f t="shared" si="10"/>
        <v>0</v>
      </c>
      <c r="BD38" s="12" t="str">
        <f t="shared" si="20"/>
        <v>25G90293195062390</v>
      </c>
      <c r="BE38" s="12">
        <f t="shared" si="21"/>
        <v>5000415864</v>
      </c>
      <c r="BF38" s="135">
        <v>0</v>
      </c>
    </row>
    <row r="39" spans="1:58">
      <c r="A39" s="1">
        <f t="shared" si="11"/>
        <v>35</v>
      </c>
      <c r="B39" s="1" t="s">
        <v>3</v>
      </c>
      <c r="C39" s="112" t="s">
        <v>63</v>
      </c>
      <c r="D39" s="12">
        <v>5000415862</v>
      </c>
      <c r="E39" s="12" t="s">
        <v>317</v>
      </c>
      <c r="F39" s="12" t="s">
        <v>1427</v>
      </c>
      <c r="G39" s="12" t="s">
        <v>550</v>
      </c>
      <c r="H39" s="12">
        <v>16000</v>
      </c>
      <c r="I39" s="194">
        <v>45778</v>
      </c>
      <c r="J39" s="194">
        <v>45808</v>
      </c>
      <c r="K39" s="12" t="s">
        <v>427</v>
      </c>
      <c r="L39" s="119">
        <v>75.44</v>
      </c>
      <c r="M39" s="562">
        <v>123.78</v>
      </c>
      <c r="N39" s="119">
        <v>4.2300000000000004</v>
      </c>
      <c r="O39" s="15">
        <f t="shared" si="16"/>
        <v>4.2300000000000004</v>
      </c>
      <c r="P39" s="119">
        <v>0.34</v>
      </c>
      <c r="Q39" s="15">
        <f>IF(COUNTBLANK(N39)=1,"",P39)</f>
        <v>0.34</v>
      </c>
      <c r="R39" s="118">
        <f t="shared" si="17"/>
        <v>773440</v>
      </c>
      <c r="S39" s="1">
        <v>0</v>
      </c>
      <c r="T39" s="1">
        <v>0</v>
      </c>
      <c r="U39" s="1">
        <v>0</v>
      </c>
      <c r="V39" s="1">
        <v>0</v>
      </c>
      <c r="W39" s="194">
        <v>45748</v>
      </c>
      <c r="X39" s="194">
        <v>45777</v>
      </c>
      <c r="Y39" s="12" t="s">
        <v>427</v>
      </c>
      <c r="Z39" s="14">
        <v>31.8</v>
      </c>
      <c r="AA39" s="1">
        <v>75.44</v>
      </c>
      <c r="AB39" s="14">
        <v>1.59</v>
      </c>
      <c r="AC39" s="15">
        <v>1.59</v>
      </c>
      <c r="AD39" s="14">
        <v>0.14000000000000001</v>
      </c>
      <c r="AE39" s="15">
        <v>0.14000000000000001</v>
      </c>
      <c r="AF39" s="45">
        <v>698240</v>
      </c>
      <c r="AG39" s="1">
        <v>0</v>
      </c>
      <c r="AH39" s="1">
        <v>0</v>
      </c>
      <c r="AI39" s="1">
        <v>0</v>
      </c>
      <c r="AJ39" s="1">
        <v>0</v>
      </c>
      <c r="AK39" s="194">
        <v>45748</v>
      </c>
      <c r="AL39" s="194">
        <v>45777</v>
      </c>
      <c r="AM39" s="12" t="s">
        <v>1131</v>
      </c>
      <c r="AN39" s="10" t="s">
        <v>1476</v>
      </c>
      <c r="AO39" s="14">
        <v>31.8</v>
      </c>
      <c r="AP39" s="1">
        <v>75.44</v>
      </c>
      <c r="AQ39" s="14">
        <v>1.59</v>
      </c>
      <c r="AR39" s="46">
        <v>4.2300000000000004</v>
      </c>
      <c r="AS39" s="14">
        <v>0.14000000000000001</v>
      </c>
      <c r="AT39" s="1">
        <v>0.34</v>
      </c>
      <c r="AU39" s="1">
        <f t="shared" si="12"/>
        <v>698240</v>
      </c>
      <c r="AV39" s="1">
        <f t="shared" si="18"/>
        <v>42240</v>
      </c>
      <c r="AW39" s="1">
        <f t="shared" si="19"/>
        <v>3200</v>
      </c>
      <c r="AX39" s="124">
        <f t="shared" si="14"/>
        <v>698240</v>
      </c>
      <c r="AY39" s="1">
        <v>0</v>
      </c>
      <c r="AZ39" s="1">
        <v>0</v>
      </c>
      <c r="BA39" s="1">
        <v>0</v>
      </c>
      <c r="BB39" s="1">
        <v>0</v>
      </c>
      <c r="BC39" s="116">
        <f t="shared" si="10"/>
        <v>0</v>
      </c>
      <c r="BD39" s="12" t="str">
        <f t="shared" si="20"/>
        <v>25G90293195062463</v>
      </c>
      <c r="BE39" s="12">
        <f t="shared" si="21"/>
        <v>5000415862</v>
      </c>
      <c r="BF39" s="135">
        <v>0</v>
      </c>
    </row>
    <row r="40" spans="1:58">
      <c r="A40" s="1">
        <f t="shared" si="11"/>
        <v>36</v>
      </c>
      <c r="B40" s="1" t="s">
        <v>3</v>
      </c>
      <c r="C40" s="112" t="s">
        <v>63</v>
      </c>
      <c r="D40" s="12">
        <v>5000415860</v>
      </c>
      <c r="E40" s="12" t="s">
        <v>328</v>
      </c>
      <c r="F40" s="12" t="s">
        <v>428</v>
      </c>
      <c r="G40" s="12" t="s">
        <v>551</v>
      </c>
      <c r="H40" s="12">
        <v>16000</v>
      </c>
      <c r="I40" s="194">
        <v>45778</v>
      </c>
      <c r="J40" s="194">
        <v>45808</v>
      </c>
      <c r="K40" s="12" t="s">
        <v>427</v>
      </c>
      <c r="L40" s="119">
        <v>460.75</v>
      </c>
      <c r="M40" s="562">
        <v>483.07</v>
      </c>
      <c r="N40" s="119">
        <v>40.729999999999997</v>
      </c>
      <c r="O40" s="15">
        <f t="shared" si="16"/>
        <v>40.729999999999997</v>
      </c>
      <c r="P40" s="119">
        <v>0.98</v>
      </c>
      <c r="Q40" s="15">
        <f t="shared" si="15"/>
        <v>0.98</v>
      </c>
      <c r="R40" s="118">
        <f t="shared" si="17"/>
        <v>357120</v>
      </c>
      <c r="S40" s="1">
        <v>0</v>
      </c>
      <c r="T40" s="1">
        <v>0</v>
      </c>
      <c r="U40" s="1">
        <v>0</v>
      </c>
      <c r="V40" s="1">
        <v>0</v>
      </c>
      <c r="W40" s="194">
        <v>45748</v>
      </c>
      <c r="X40" s="194">
        <v>45777</v>
      </c>
      <c r="Y40" s="12" t="s">
        <v>427</v>
      </c>
      <c r="Z40" s="14">
        <v>439.72</v>
      </c>
      <c r="AA40" s="1">
        <v>460.75</v>
      </c>
      <c r="AB40" s="14">
        <v>39.590000000000003</v>
      </c>
      <c r="AC40" s="15">
        <v>39.590000000000003</v>
      </c>
      <c r="AD40" s="14">
        <v>0.9</v>
      </c>
      <c r="AE40" s="15">
        <v>0.9</v>
      </c>
      <c r="AF40" s="45">
        <v>336480</v>
      </c>
      <c r="AG40" s="1">
        <v>0</v>
      </c>
      <c r="AH40" s="1">
        <v>0</v>
      </c>
      <c r="AI40" s="1">
        <v>0</v>
      </c>
      <c r="AJ40" s="1">
        <v>0</v>
      </c>
      <c r="AK40" s="194">
        <v>45748</v>
      </c>
      <c r="AL40" s="194">
        <v>45777</v>
      </c>
      <c r="AM40" s="12" t="s">
        <v>1131</v>
      </c>
      <c r="AN40" s="10" t="s">
        <v>1477</v>
      </c>
      <c r="AO40" s="14">
        <v>439.72</v>
      </c>
      <c r="AP40" s="193">
        <v>460.75</v>
      </c>
      <c r="AQ40" s="14">
        <v>39.590000000000003</v>
      </c>
      <c r="AR40" s="46">
        <v>40.729999999999997</v>
      </c>
      <c r="AS40" s="14">
        <v>0.9</v>
      </c>
      <c r="AT40" s="1">
        <v>0.98</v>
      </c>
      <c r="AU40" s="1">
        <f t="shared" si="12"/>
        <v>336480</v>
      </c>
      <c r="AV40" s="1">
        <f t="shared" si="18"/>
        <v>18240</v>
      </c>
      <c r="AW40" s="1">
        <f t="shared" si="19"/>
        <v>1280</v>
      </c>
      <c r="AX40" s="124">
        <f t="shared" si="14"/>
        <v>336480</v>
      </c>
      <c r="AY40" s="1">
        <v>0</v>
      </c>
      <c r="AZ40" s="1">
        <v>0</v>
      </c>
      <c r="BA40" s="1">
        <v>0</v>
      </c>
      <c r="BB40" s="1">
        <v>0</v>
      </c>
      <c r="BC40" s="116">
        <f t="shared" si="10"/>
        <v>0</v>
      </c>
      <c r="BD40" s="12" t="str">
        <f t="shared" si="20"/>
        <v>21G90290210104559</v>
      </c>
      <c r="BE40" s="12">
        <f t="shared" si="21"/>
        <v>5000415860</v>
      </c>
      <c r="BF40" s="135">
        <v>0</v>
      </c>
    </row>
    <row r="41" spans="1:58">
      <c r="A41" s="1">
        <f>A40+1</f>
        <v>37</v>
      </c>
      <c r="B41" s="1" t="s">
        <v>12</v>
      </c>
      <c r="C41" s="112" t="s">
        <v>64</v>
      </c>
      <c r="D41" s="12">
        <v>5000372622</v>
      </c>
      <c r="E41" s="12" t="s">
        <v>338</v>
      </c>
      <c r="F41" s="12">
        <v>90065626</v>
      </c>
      <c r="G41" s="12" t="s">
        <v>552</v>
      </c>
      <c r="H41" s="12">
        <v>1</v>
      </c>
      <c r="I41" s="194">
        <v>45778</v>
      </c>
      <c r="J41" s="194">
        <v>45808</v>
      </c>
      <c r="K41" s="12" t="s">
        <v>427</v>
      </c>
      <c r="L41" s="117">
        <v>2417129</v>
      </c>
      <c r="M41" s="562">
        <v>2490363</v>
      </c>
      <c r="N41" s="117">
        <v>385861</v>
      </c>
      <c r="O41" s="15">
        <f t="shared" si="16"/>
        <v>385861</v>
      </c>
      <c r="P41" s="117">
        <v>57636</v>
      </c>
      <c r="Q41" s="15">
        <f t="shared" si="15"/>
        <v>57636</v>
      </c>
      <c r="R41" s="118">
        <f t="shared" si="17"/>
        <v>73234</v>
      </c>
      <c r="S41" s="1">
        <v>0</v>
      </c>
      <c r="T41" s="1">
        <v>0</v>
      </c>
      <c r="U41" s="1">
        <v>0</v>
      </c>
      <c r="V41" s="1">
        <v>0</v>
      </c>
      <c r="W41" s="194">
        <v>45748</v>
      </c>
      <c r="X41" s="194">
        <v>45777</v>
      </c>
      <c r="Y41" s="12" t="s">
        <v>427</v>
      </c>
      <c r="Z41" s="14">
        <v>2327599</v>
      </c>
      <c r="AA41" s="1">
        <v>2417129</v>
      </c>
      <c r="AB41" s="14">
        <v>376887</v>
      </c>
      <c r="AC41" s="15">
        <v>376887</v>
      </c>
      <c r="AD41" s="14">
        <v>55465</v>
      </c>
      <c r="AE41" s="15">
        <v>55465</v>
      </c>
      <c r="AF41" s="45">
        <v>89530</v>
      </c>
      <c r="AG41" s="1">
        <v>0</v>
      </c>
      <c r="AH41" s="1">
        <v>0</v>
      </c>
      <c r="AI41" s="1">
        <v>0</v>
      </c>
      <c r="AJ41" s="1">
        <v>0</v>
      </c>
      <c r="AK41" s="194">
        <v>45748</v>
      </c>
      <c r="AL41" s="194">
        <v>45777</v>
      </c>
      <c r="AM41" s="12" t="s">
        <v>1131</v>
      </c>
      <c r="AN41" s="10" t="s">
        <v>1478</v>
      </c>
      <c r="AO41" s="14">
        <v>2327599</v>
      </c>
      <c r="AP41" s="116">
        <v>2417129</v>
      </c>
      <c r="AQ41" s="14">
        <v>376887</v>
      </c>
      <c r="AR41" s="46">
        <v>385861</v>
      </c>
      <c r="AS41" s="14">
        <v>55465</v>
      </c>
      <c r="AT41" s="1">
        <v>57636</v>
      </c>
      <c r="AU41" s="1">
        <f t="shared" si="12"/>
        <v>89530</v>
      </c>
      <c r="AV41" s="1">
        <f t="shared" si="18"/>
        <v>8974</v>
      </c>
      <c r="AW41" s="1">
        <f t="shared" si="19"/>
        <v>2171</v>
      </c>
      <c r="AX41" s="124">
        <f t="shared" si="14"/>
        <v>89530</v>
      </c>
      <c r="AY41" s="1">
        <v>593</v>
      </c>
      <c r="AZ41" s="1">
        <v>1854</v>
      </c>
      <c r="BA41" s="1">
        <v>2</v>
      </c>
      <c r="BB41" s="1">
        <v>0</v>
      </c>
      <c r="BC41" s="116">
        <f t="shared" si="10"/>
        <v>0</v>
      </c>
      <c r="BD41" s="12">
        <f t="shared" si="20"/>
        <v>90065626</v>
      </c>
      <c r="BE41" s="12">
        <f t="shared" si="21"/>
        <v>5000372622</v>
      </c>
      <c r="BF41" s="135">
        <v>0</v>
      </c>
    </row>
    <row r="42" spans="1:58">
      <c r="A42" s="1">
        <f t="shared" si="11"/>
        <v>38</v>
      </c>
      <c r="B42" s="1" t="s">
        <v>12</v>
      </c>
      <c r="C42" s="112" t="s">
        <v>64</v>
      </c>
      <c r="D42" s="12">
        <v>5000372614</v>
      </c>
      <c r="E42" s="12" t="s">
        <v>342</v>
      </c>
      <c r="F42" s="12">
        <v>68040749</v>
      </c>
      <c r="G42" s="12" t="s">
        <v>553</v>
      </c>
      <c r="H42" s="12">
        <v>1</v>
      </c>
      <c r="I42" s="194">
        <v>45778</v>
      </c>
      <c r="J42" s="194">
        <v>45808</v>
      </c>
      <c r="K42" s="12" t="s">
        <v>427</v>
      </c>
      <c r="L42" s="117">
        <v>9971048</v>
      </c>
      <c r="M42" s="562">
        <v>10067434</v>
      </c>
      <c r="N42" s="117">
        <v>753356</v>
      </c>
      <c r="O42" s="15">
        <f t="shared" si="16"/>
        <v>753356</v>
      </c>
      <c r="P42" s="117">
        <v>1345987</v>
      </c>
      <c r="Q42" s="15">
        <f t="shared" si="15"/>
        <v>1345987</v>
      </c>
      <c r="R42" s="118">
        <f t="shared" si="17"/>
        <v>96386</v>
      </c>
      <c r="S42" s="1">
        <v>0</v>
      </c>
      <c r="T42" s="1">
        <v>0</v>
      </c>
      <c r="U42" s="1">
        <v>0</v>
      </c>
      <c r="V42" s="1">
        <v>0</v>
      </c>
      <c r="W42" s="194">
        <v>45748</v>
      </c>
      <c r="X42" s="194">
        <v>45777</v>
      </c>
      <c r="Y42" s="12" t="s">
        <v>427</v>
      </c>
      <c r="Z42" s="14">
        <v>9867013</v>
      </c>
      <c r="AA42" s="1">
        <v>9971048</v>
      </c>
      <c r="AB42" s="14">
        <v>749704</v>
      </c>
      <c r="AC42" s="15">
        <v>749704</v>
      </c>
      <c r="AD42" s="14">
        <v>1339822</v>
      </c>
      <c r="AE42" s="15">
        <v>1339822</v>
      </c>
      <c r="AF42" s="45">
        <v>104035</v>
      </c>
      <c r="AG42" s="1">
        <v>0</v>
      </c>
      <c r="AH42" s="1">
        <v>0</v>
      </c>
      <c r="AI42" s="1">
        <v>0</v>
      </c>
      <c r="AJ42" s="1">
        <v>0</v>
      </c>
      <c r="AK42" s="194">
        <v>45748</v>
      </c>
      <c r="AL42" s="194">
        <v>45777</v>
      </c>
      <c r="AM42" s="12" t="s">
        <v>1131</v>
      </c>
      <c r="AN42" s="10" t="s">
        <v>1479</v>
      </c>
      <c r="AO42" s="14">
        <v>9867013</v>
      </c>
      <c r="AP42" s="116">
        <v>9971048</v>
      </c>
      <c r="AQ42" s="117">
        <v>749704</v>
      </c>
      <c r="AR42" s="116">
        <v>753356</v>
      </c>
      <c r="AS42" s="117">
        <v>1339822</v>
      </c>
      <c r="AT42" s="1">
        <v>1345987</v>
      </c>
      <c r="AU42" s="1">
        <f t="shared" si="12"/>
        <v>104035</v>
      </c>
      <c r="AV42" s="1">
        <f t="shared" si="18"/>
        <v>3652</v>
      </c>
      <c r="AW42" s="1">
        <f t="shared" si="19"/>
        <v>6165</v>
      </c>
      <c r="AX42" s="124">
        <f t="shared" si="14"/>
        <v>104035</v>
      </c>
      <c r="AY42" s="1">
        <v>99</v>
      </c>
      <c r="AZ42" s="1">
        <v>6</v>
      </c>
      <c r="BA42" s="1">
        <v>40</v>
      </c>
      <c r="BB42" s="1">
        <v>0</v>
      </c>
      <c r="BC42" s="116">
        <f t="shared" si="10"/>
        <v>0</v>
      </c>
      <c r="BD42" s="12">
        <f t="shared" si="20"/>
        <v>68040749</v>
      </c>
      <c r="BE42" s="12">
        <f t="shared" si="21"/>
        <v>5000372614</v>
      </c>
      <c r="BF42" s="135">
        <v>0</v>
      </c>
    </row>
    <row r="43" spans="1:58">
      <c r="A43" s="1">
        <f t="shared" si="11"/>
        <v>39</v>
      </c>
      <c r="B43" s="20" t="s">
        <v>12</v>
      </c>
      <c r="C43" s="112" t="s">
        <v>64</v>
      </c>
      <c r="D43" s="12">
        <v>5000646662</v>
      </c>
      <c r="E43" s="12" t="s">
        <v>396</v>
      </c>
      <c r="F43" s="12">
        <v>90078095</v>
      </c>
      <c r="G43" s="12" t="s">
        <v>554</v>
      </c>
      <c r="H43" s="12">
        <v>1</v>
      </c>
      <c r="I43" s="194">
        <v>45778</v>
      </c>
      <c r="J43" s="194">
        <v>45808</v>
      </c>
      <c r="K43" s="12" t="s">
        <v>427</v>
      </c>
      <c r="L43" s="117">
        <v>855463</v>
      </c>
      <c r="M43" s="562">
        <v>894423</v>
      </c>
      <c r="N43" s="117">
        <v>274747</v>
      </c>
      <c r="O43" s="15">
        <f t="shared" si="16"/>
        <v>274747</v>
      </c>
      <c r="P43" s="117">
        <v>1</v>
      </c>
      <c r="Q43" s="15">
        <f t="shared" si="15"/>
        <v>1</v>
      </c>
      <c r="R43" s="118">
        <f t="shared" si="17"/>
        <v>38960</v>
      </c>
      <c r="S43" s="1">
        <v>0</v>
      </c>
      <c r="T43" s="1">
        <v>0</v>
      </c>
      <c r="U43" s="1">
        <v>0</v>
      </c>
      <c r="V43" s="1">
        <v>0</v>
      </c>
      <c r="W43" s="194">
        <v>45748</v>
      </c>
      <c r="X43" s="194">
        <v>45777</v>
      </c>
      <c r="Y43" s="12" t="s">
        <v>427</v>
      </c>
      <c r="Z43" s="14">
        <v>814361</v>
      </c>
      <c r="AA43" s="1">
        <v>855463</v>
      </c>
      <c r="AB43" s="14">
        <v>263058</v>
      </c>
      <c r="AC43" s="15">
        <v>263058</v>
      </c>
      <c r="AD43" s="14">
        <v>0</v>
      </c>
      <c r="AE43" s="15">
        <v>0</v>
      </c>
      <c r="AF43" s="45">
        <v>41102</v>
      </c>
      <c r="AG43" s="1">
        <v>0</v>
      </c>
      <c r="AH43" s="1">
        <v>0</v>
      </c>
      <c r="AI43" s="1">
        <v>0</v>
      </c>
      <c r="AJ43" s="1">
        <v>0</v>
      </c>
      <c r="AK43" s="194">
        <v>45748</v>
      </c>
      <c r="AL43" s="194">
        <v>45777</v>
      </c>
      <c r="AM43" s="12" t="s">
        <v>1131</v>
      </c>
      <c r="AN43" s="10" t="s">
        <v>1480</v>
      </c>
      <c r="AO43" s="14">
        <v>814361</v>
      </c>
      <c r="AP43" s="116">
        <v>855463</v>
      </c>
      <c r="AQ43" s="14">
        <v>263058</v>
      </c>
      <c r="AR43" s="46">
        <v>274747</v>
      </c>
      <c r="AS43" s="14">
        <v>0</v>
      </c>
      <c r="AT43" s="1">
        <v>1</v>
      </c>
      <c r="AU43" s="1">
        <f t="shared" si="12"/>
        <v>41102</v>
      </c>
      <c r="AV43" s="1">
        <f t="shared" si="18"/>
        <v>11689</v>
      </c>
      <c r="AW43" s="1">
        <f t="shared" si="19"/>
        <v>1</v>
      </c>
      <c r="AX43" s="124">
        <f t="shared" si="14"/>
        <v>41102</v>
      </c>
      <c r="AY43" s="1">
        <v>0</v>
      </c>
      <c r="AZ43" s="1">
        <v>0</v>
      </c>
      <c r="BA43" s="1">
        <v>0</v>
      </c>
      <c r="BB43" s="1">
        <v>0</v>
      </c>
      <c r="BC43" s="116">
        <f t="shared" si="10"/>
        <v>0</v>
      </c>
      <c r="BD43" s="12">
        <f t="shared" si="20"/>
        <v>90078095</v>
      </c>
      <c r="BE43" s="12">
        <f t="shared" si="21"/>
        <v>5000646662</v>
      </c>
      <c r="BF43" s="135">
        <v>0</v>
      </c>
    </row>
    <row r="44" spans="1:58">
      <c r="A44" s="1">
        <f t="shared" si="11"/>
        <v>40</v>
      </c>
      <c r="B44" s="20" t="s">
        <v>12</v>
      </c>
      <c r="C44" s="112" t="s">
        <v>64</v>
      </c>
      <c r="D44" s="12">
        <v>5000646662</v>
      </c>
      <c r="E44" s="12" t="s">
        <v>396</v>
      </c>
      <c r="F44" s="12">
        <v>90078095</v>
      </c>
      <c r="G44" s="12" t="s">
        <v>1084</v>
      </c>
      <c r="H44" s="12">
        <v>1</v>
      </c>
      <c r="I44" s="194">
        <v>45778</v>
      </c>
      <c r="J44" s="194">
        <v>45808</v>
      </c>
      <c r="K44" s="12" t="s">
        <v>427</v>
      </c>
      <c r="L44" s="117">
        <v>0</v>
      </c>
      <c r="M44" s="562">
        <v>0</v>
      </c>
      <c r="N44" s="117">
        <v>0</v>
      </c>
      <c r="O44" s="15">
        <v>0</v>
      </c>
      <c r="P44" s="117">
        <v>0</v>
      </c>
      <c r="Q44" s="15">
        <f t="shared" si="15"/>
        <v>0</v>
      </c>
      <c r="R44" s="118">
        <f t="shared" si="17"/>
        <v>0</v>
      </c>
      <c r="S44" s="1">
        <v>0</v>
      </c>
      <c r="T44" s="1">
        <v>0</v>
      </c>
      <c r="U44" s="1">
        <v>0</v>
      </c>
      <c r="V44" s="1">
        <v>0</v>
      </c>
      <c r="W44" s="194">
        <v>45748</v>
      </c>
      <c r="X44" s="194">
        <v>45777</v>
      </c>
      <c r="Y44" s="12" t="s">
        <v>427</v>
      </c>
      <c r="Z44" s="14">
        <v>0</v>
      </c>
      <c r="AA44" s="1">
        <v>0</v>
      </c>
      <c r="AB44" s="14">
        <v>0</v>
      </c>
      <c r="AC44" s="15">
        <v>0</v>
      </c>
      <c r="AD44" s="14">
        <v>0</v>
      </c>
      <c r="AE44" s="15">
        <v>0</v>
      </c>
      <c r="AF44" s="45">
        <v>0</v>
      </c>
      <c r="AG44" s="1">
        <v>0</v>
      </c>
      <c r="AH44" s="1">
        <v>0</v>
      </c>
      <c r="AI44" s="1">
        <v>0</v>
      </c>
      <c r="AJ44" s="1">
        <v>0</v>
      </c>
      <c r="AK44" s="194">
        <v>45748</v>
      </c>
      <c r="AL44" s="194">
        <v>45777</v>
      </c>
      <c r="AM44" s="12" t="s">
        <v>921</v>
      </c>
      <c r="AN44" s="10" t="s">
        <v>1480</v>
      </c>
      <c r="AO44" s="14">
        <v>0</v>
      </c>
      <c r="AP44" s="193">
        <v>0</v>
      </c>
      <c r="AQ44" s="14">
        <v>0</v>
      </c>
      <c r="AR44" s="46">
        <v>0</v>
      </c>
      <c r="AS44" s="14">
        <v>0</v>
      </c>
      <c r="AT44" s="1">
        <v>0</v>
      </c>
      <c r="AU44" s="129">
        <v>1563</v>
      </c>
      <c r="AV44" s="1">
        <f t="shared" si="18"/>
        <v>0</v>
      </c>
      <c r="AW44" s="1">
        <f t="shared" si="19"/>
        <v>0</v>
      </c>
      <c r="AX44" s="124">
        <f t="shared" si="14"/>
        <v>1563</v>
      </c>
      <c r="AY44" s="1">
        <v>3119</v>
      </c>
      <c r="AZ44" s="1">
        <v>33</v>
      </c>
      <c r="BA44" s="1">
        <v>0</v>
      </c>
      <c r="BB44" s="1">
        <v>0</v>
      </c>
      <c r="BC44" s="116">
        <f t="shared" si="10"/>
        <v>1563</v>
      </c>
      <c r="BD44" s="12">
        <f t="shared" si="20"/>
        <v>90078095</v>
      </c>
      <c r="BE44" s="12">
        <f t="shared" si="21"/>
        <v>5000646662</v>
      </c>
      <c r="BF44" s="135">
        <v>0</v>
      </c>
    </row>
    <row r="45" spans="1:58">
      <c r="A45" s="1">
        <f t="shared" si="11"/>
        <v>41</v>
      </c>
      <c r="B45" s="1" t="s">
        <v>16</v>
      </c>
      <c r="C45" s="112" t="s">
        <v>23</v>
      </c>
      <c r="D45" s="12">
        <v>5000581151</v>
      </c>
      <c r="E45" s="12" t="s">
        <v>346</v>
      </c>
      <c r="F45" s="12" t="s">
        <v>318</v>
      </c>
      <c r="G45" s="12" t="s">
        <v>555</v>
      </c>
      <c r="H45" s="12">
        <v>8000</v>
      </c>
      <c r="I45" s="194">
        <v>45778</v>
      </c>
      <c r="J45" s="194">
        <v>45808</v>
      </c>
      <c r="K45" s="12" t="s">
        <v>427</v>
      </c>
      <c r="L45" s="119">
        <v>1378.35</v>
      </c>
      <c r="M45" s="562">
        <v>1412.06</v>
      </c>
      <c r="N45" s="119">
        <v>33.57</v>
      </c>
      <c r="O45" s="15">
        <f t="shared" ref="O45:O69" si="22">IF(COUNTBLANK(L45)=1,"",N45)</f>
        <v>33.57</v>
      </c>
      <c r="P45" s="119">
        <v>128.56</v>
      </c>
      <c r="Q45" s="15">
        <f t="shared" si="15"/>
        <v>128.56</v>
      </c>
      <c r="R45" s="118">
        <f t="shared" si="17"/>
        <v>269680</v>
      </c>
      <c r="S45" s="1">
        <v>0</v>
      </c>
      <c r="T45" s="1">
        <v>0</v>
      </c>
      <c r="U45" s="1">
        <v>0</v>
      </c>
      <c r="V45" s="1">
        <v>0</v>
      </c>
      <c r="W45" s="194">
        <v>45748</v>
      </c>
      <c r="X45" s="194">
        <v>45777</v>
      </c>
      <c r="Y45" s="12" t="s">
        <v>427</v>
      </c>
      <c r="Z45" s="14">
        <v>1346.95</v>
      </c>
      <c r="AA45" s="1">
        <v>1378.35</v>
      </c>
      <c r="AB45" s="14">
        <v>33.01</v>
      </c>
      <c r="AC45" s="15">
        <v>33.01</v>
      </c>
      <c r="AD45" s="14">
        <v>125.22</v>
      </c>
      <c r="AE45" s="15">
        <v>125.22</v>
      </c>
      <c r="AF45" s="45">
        <v>251200</v>
      </c>
      <c r="AG45" s="1">
        <v>0</v>
      </c>
      <c r="AH45" s="1">
        <v>0</v>
      </c>
      <c r="AI45" s="1">
        <v>0</v>
      </c>
      <c r="AJ45" s="1">
        <v>0</v>
      </c>
      <c r="AK45" s="194">
        <v>45748</v>
      </c>
      <c r="AL45" s="194">
        <v>45777</v>
      </c>
      <c r="AM45" s="12" t="s">
        <v>1131</v>
      </c>
      <c r="AN45" s="10" t="s">
        <v>1481</v>
      </c>
      <c r="AO45" s="14">
        <v>1346.95</v>
      </c>
      <c r="AP45" s="193">
        <v>1378.35</v>
      </c>
      <c r="AQ45" s="14">
        <v>33.01</v>
      </c>
      <c r="AR45" s="46">
        <v>33.57</v>
      </c>
      <c r="AS45" s="14">
        <v>125.22</v>
      </c>
      <c r="AT45" s="1">
        <v>128.56</v>
      </c>
      <c r="AU45" s="1">
        <f t="shared" ref="AU45:AU55" si="23">IF(COUNTBLANK(AP45)=1,"",ROUND((AP45-AO45)*H45,0))</f>
        <v>251200</v>
      </c>
      <c r="AV45" s="1">
        <f t="shared" si="18"/>
        <v>4480</v>
      </c>
      <c r="AW45" s="1">
        <f t="shared" si="19"/>
        <v>26720</v>
      </c>
      <c r="AX45" s="124">
        <f>AU45</f>
        <v>251200</v>
      </c>
      <c r="AY45" s="1">
        <v>0</v>
      </c>
      <c r="AZ45" s="1">
        <v>0</v>
      </c>
      <c r="BA45" s="1">
        <v>0</v>
      </c>
      <c r="BB45" s="1">
        <v>0</v>
      </c>
      <c r="BC45" s="116">
        <f t="shared" si="10"/>
        <v>0</v>
      </c>
      <c r="BD45" s="12" t="str">
        <f t="shared" si="20"/>
        <v>20G90290210095138</v>
      </c>
      <c r="BE45" s="12">
        <f t="shared" si="21"/>
        <v>5000581151</v>
      </c>
      <c r="BF45" s="135">
        <v>0</v>
      </c>
    </row>
    <row r="46" spans="1:58">
      <c r="A46" s="1">
        <f t="shared" si="11"/>
        <v>42</v>
      </c>
      <c r="B46" s="1" t="s">
        <v>16</v>
      </c>
      <c r="C46" s="112" t="s">
        <v>23</v>
      </c>
      <c r="D46" s="12">
        <v>5000581150</v>
      </c>
      <c r="E46" s="12" t="s">
        <v>350</v>
      </c>
      <c r="F46" s="12" t="s">
        <v>305</v>
      </c>
      <c r="G46" s="12" t="s">
        <v>556</v>
      </c>
      <c r="H46" s="12">
        <v>8000</v>
      </c>
      <c r="I46" s="194">
        <v>45778</v>
      </c>
      <c r="J46" s="194">
        <v>45808</v>
      </c>
      <c r="K46" s="12" t="s">
        <v>427</v>
      </c>
      <c r="L46" s="119">
        <v>2034.68</v>
      </c>
      <c r="M46" s="562">
        <v>2082.7800000000002</v>
      </c>
      <c r="N46" s="119">
        <v>445.16</v>
      </c>
      <c r="O46" s="15">
        <f t="shared" si="22"/>
        <v>445.16</v>
      </c>
      <c r="P46" s="119">
        <v>0.08</v>
      </c>
      <c r="Q46" s="15">
        <f t="shared" si="15"/>
        <v>0.08</v>
      </c>
      <c r="R46" s="118">
        <f t="shared" si="17"/>
        <v>384800</v>
      </c>
      <c r="S46" s="1">
        <v>0</v>
      </c>
      <c r="T46" s="1">
        <v>0</v>
      </c>
      <c r="U46" s="1">
        <v>0</v>
      </c>
      <c r="V46" s="1">
        <v>0</v>
      </c>
      <c r="W46" s="194">
        <v>45748</v>
      </c>
      <c r="X46" s="194">
        <v>45777</v>
      </c>
      <c r="Y46" s="12" t="s">
        <v>427</v>
      </c>
      <c r="Z46" s="14">
        <v>1992.97</v>
      </c>
      <c r="AA46" s="1">
        <v>2034.68</v>
      </c>
      <c r="AB46" s="14">
        <v>438.95</v>
      </c>
      <c r="AC46" s="15">
        <v>438.95</v>
      </c>
      <c r="AD46" s="14">
        <v>7.0000000000000007E-2</v>
      </c>
      <c r="AE46" s="15">
        <v>7.0000000000000007E-2</v>
      </c>
      <c r="AF46" s="45">
        <v>333680</v>
      </c>
      <c r="AG46" s="1">
        <v>0</v>
      </c>
      <c r="AH46" s="1">
        <v>0</v>
      </c>
      <c r="AI46" s="1">
        <v>0</v>
      </c>
      <c r="AJ46" s="1">
        <v>0</v>
      </c>
      <c r="AK46" s="194">
        <v>45748</v>
      </c>
      <c r="AL46" s="194">
        <v>45777</v>
      </c>
      <c r="AM46" s="12" t="s">
        <v>1131</v>
      </c>
      <c r="AN46" s="10" t="s">
        <v>1482</v>
      </c>
      <c r="AO46" s="14">
        <v>1992.97</v>
      </c>
      <c r="AP46" s="193">
        <v>2034.68</v>
      </c>
      <c r="AQ46" s="14">
        <v>438.95</v>
      </c>
      <c r="AR46" s="46">
        <v>445.16</v>
      </c>
      <c r="AS46" s="14">
        <v>7.0000000000000007E-2</v>
      </c>
      <c r="AT46" s="1">
        <v>0.08</v>
      </c>
      <c r="AU46" s="1">
        <f t="shared" si="23"/>
        <v>333680</v>
      </c>
      <c r="AV46" s="1">
        <f t="shared" si="18"/>
        <v>49680</v>
      </c>
      <c r="AW46" s="1">
        <f t="shared" si="19"/>
        <v>80</v>
      </c>
      <c r="AX46" s="124">
        <f t="shared" ref="AX46:AX54" si="24">AU46</f>
        <v>333680</v>
      </c>
      <c r="AY46" s="1">
        <v>0</v>
      </c>
      <c r="AZ46" s="1">
        <v>0</v>
      </c>
      <c r="BA46" s="1">
        <v>0</v>
      </c>
      <c r="BB46" s="1">
        <v>0</v>
      </c>
      <c r="BC46" s="116">
        <f t="shared" si="10"/>
        <v>0</v>
      </c>
      <c r="BD46" s="12" t="str">
        <f t="shared" si="20"/>
        <v>21G90290210108244</v>
      </c>
      <c r="BE46" s="12">
        <f t="shared" si="21"/>
        <v>5000581150</v>
      </c>
      <c r="BF46" s="135">
        <v>0</v>
      </c>
    </row>
    <row r="47" spans="1:58">
      <c r="A47" s="1">
        <f t="shared" si="11"/>
        <v>43</v>
      </c>
      <c r="B47" s="1" t="s">
        <v>16</v>
      </c>
      <c r="C47" s="112" t="s">
        <v>23</v>
      </c>
      <c r="D47" s="12">
        <v>5000581152</v>
      </c>
      <c r="E47" s="12" t="s">
        <v>354</v>
      </c>
      <c r="F47" s="12" t="s">
        <v>355</v>
      </c>
      <c r="G47" s="12" t="s">
        <v>557</v>
      </c>
      <c r="H47" s="12">
        <v>300</v>
      </c>
      <c r="I47" s="194">
        <v>45778</v>
      </c>
      <c r="J47" s="194">
        <v>45808</v>
      </c>
      <c r="K47" s="12" t="s">
        <v>427</v>
      </c>
      <c r="L47" s="119">
        <v>6327.14</v>
      </c>
      <c r="M47" s="562">
        <v>6402.94</v>
      </c>
      <c r="N47" s="119">
        <v>1326.96</v>
      </c>
      <c r="O47" s="15">
        <f t="shared" si="22"/>
        <v>1326.96</v>
      </c>
      <c r="P47" s="119">
        <v>508.79</v>
      </c>
      <c r="Q47" s="15">
        <f t="shared" si="15"/>
        <v>508.79</v>
      </c>
      <c r="R47" s="118">
        <f t="shared" si="17"/>
        <v>22740</v>
      </c>
      <c r="S47" s="1">
        <v>0</v>
      </c>
      <c r="T47" s="1">
        <v>0</v>
      </c>
      <c r="U47" s="1">
        <v>0</v>
      </c>
      <c r="V47" s="1">
        <v>0</v>
      </c>
      <c r="W47" s="194">
        <v>45748</v>
      </c>
      <c r="X47" s="194">
        <v>45777</v>
      </c>
      <c r="Y47" s="12" t="s">
        <v>427</v>
      </c>
      <c r="Z47" s="14">
        <v>6249.21</v>
      </c>
      <c r="AA47" s="1">
        <v>6327.14</v>
      </c>
      <c r="AB47" s="14">
        <v>1288.03</v>
      </c>
      <c r="AC47" s="15">
        <v>1288.03</v>
      </c>
      <c r="AD47" s="14">
        <v>504.35</v>
      </c>
      <c r="AE47" s="15">
        <v>504.35</v>
      </c>
      <c r="AF47" s="45">
        <v>23379</v>
      </c>
      <c r="AG47" s="1">
        <v>0</v>
      </c>
      <c r="AH47" s="1">
        <v>0</v>
      </c>
      <c r="AI47" s="1">
        <v>0</v>
      </c>
      <c r="AJ47" s="1">
        <v>0</v>
      </c>
      <c r="AK47" s="194">
        <v>45748</v>
      </c>
      <c r="AL47" s="194">
        <v>45777</v>
      </c>
      <c r="AM47" s="12" t="s">
        <v>1131</v>
      </c>
      <c r="AN47" s="10" t="s">
        <v>1483</v>
      </c>
      <c r="AO47" s="14">
        <v>6249.21</v>
      </c>
      <c r="AP47" s="193">
        <v>6327.14</v>
      </c>
      <c r="AQ47" s="14">
        <v>1288.03</v>
      </c>
      <c r="AR47" s="46">
        <v>1326.96</v>
      </c>
      <c r="AS47" s="14">
        <v>504.35</v>
      </c>
      <c r="AT47" s="1">
        <v>508.79</v>
      </c>
      <c r="AU47" s="1">
        <f t="shared" si="23"/>
        <v>23379</v>
      </c>
      <c r="AV47" s="1">
        <f t="shared" si="18"/>
        <v>11679</v>
      </c>
      <c r="AW47" s="1">
        <f t="shared" si="19"/>
        <v>1332</v>
      </c>
      <c r="AX47" s="124">
        <f t="shared" si="24"/>
        <v>23379</v>
      </c>
      <c r="AY47" s="1">
        <v>3292</v>
      </c>
      <c r="AZ47" s="1">
        <v>0</v>
      </c>
      <c r="BA47" s="1">
        <v>0</v>
      </c>
      <c r="BB47" s="1">
        <v>0</v>
      </c>
      <c r="BC47" s="116">
        <f t="shared" si="10"/>
        <v>0</v>
      </c>
      <c r="BD47" s="12" t="str">
        <f t="shared" si="20"/>
        <v>20G90290210100725</v>
      </c>
      <c r="BE47" s="12">
        <f t="shared" si="21"/>
        <v>5000581152</v>
      </c>
      <c r="BF47" s="135">
        <v>0</v>
      </c>
    </row>
    <row r="48" spans="1:58">
      <c r="A48" s="1">
        <f t="shared" si="11"/>
        <v>44</v>
      </c>
      <c r="B48" s="1" t="s">
        <v>16</v>
      </c>
      <c r="C48" s="112" t="s">
        <v>23</v>
      </c>
      <c r="D48" s="12">
        <v>5000581153</v>
      </c>
      <c r="E48" s="12" t="s">
        <v>359</v>
      </c>
      <c r="F48" s="12" t="s">
        <v>1177</v>
      </c>
      <c r="G48" s="12" t="s">
        <v>558</v>
      </c>
      <c r="H48" s="12">
        <v>4000</v>
      </c>
      <c r="I48" s="194">
        <v>45778</v>
      </c>
      <c r="J48" s="194">
        <v>45808</v>
      </c>
      <c r="K48" s="12" t="s">
        <v>427</v>
      </c>
      <c r="L48" s="119">
        <v>465.35</v>
      </c>
      <c r="M48" s="562">
        <v>497.72</v>
      </c>
      <c r="N48" s="119">
        <v>41.41</v>
      </c>
      <c r="O48" s="15">
        <f t="shared" si="22"/>
        <v>41.41</v>
      </c>
      <c r="P48" s="119">
        <v>10.77</v>
      </c>
      <c r="Q48" s="15">
        <f t="shared" si="15"/>
        <v>10.77</v>
      </c>
      <c r="R48" s="118">
        <f t="shared" si="17"/>
        <v>129480</v>
      </c>
      <c r="S48" s="1">
        <v>0</v>
      </c>
      <c r="T48" s="1">
        <v>0</v>
      </c>
      <c r="U48" s="1">
        <v>0</v>
      </c>
      <c r="V48" s="1">
        <v>0</v>
      </c>
      <c r="W48" s="194">
        <v>45748</v>
      </c>
      <c r="X48" s="194">
        <v>45777</v>
      </c>
      <c r="Y48" s="12" t="s">
        <v>427</v>
      </c>
      <c r="Z48" s="14">
        <v>436.39</v>
      </c>
      <c r="AA48" s="1">
        <v>465.35</v>
      </c>
      <c r="AB48" s="14">
        <v>40.97</v>
      </c>
      <c r="AC48" s="15">
        <v>40.97</v>
      </c>
      <c r="AD48" s="14">
        <v>8.8000000000000007</v>
      </c>
      <c r="AE48" s="15">
        <v>8.8000000000000007</v>
      </c>
      <c r="AF48" s="45">
        <v>115840</v>
      </c>
      <c r="AG48" s="1">
        <v>0</v>
      </c>
      <c r="AH48" s="1">
        <v>0</v>
      </c>
      <c r="AI48" s="1">
        <v>0</v>
      </c>
      <c r="AJ48" s="1">
        <v>0</v>
      </c>
      <c r="AK48" s="194">
        <v>45748</v>
      </c>
      <c r="AL48" s="194">
        <v>45777</v>
      </c>
      <c r="AM48" s="12" t="s">
        <v>1131</v>
      </c>
      <c r="AN48" s="10" t="s">
        <v>1484</v>
      </c>
      <c r="AO48" s="14">
        <v>436.39</v>
      </c>
      <c r="AP48" s="193">
        <v>465.35</v>
      </c>
      <c r="AQ48" s="14">
        <v>40.97</v>
      </c>
      <c r="AR48" s="46">
        <v>41.41</v>
      </c>
      <c r="AS48" s="14">
        <v>8.8000000000000007</v>
      </c>
      <c r="AT48" s="1">
        <v>10.77</v>
      </c>
      <c r="AU48" s="1">
        <f t="shared" si="23"/>
        <v>115840</v>
      </c>
      <c r="AV48" s="1">
        <f t="shared" si="18"/>
        <v>1760</v>
      </c>
      <c r="AW48" s="1">
        <f t="shared" si="19"/>
        <v>7880</v>
      </c>
      <c r="AX48" s="124">
        <f t="shared" si="24"/>
        <v>115840</v>
      </c>
      <c r="AY48" s="1">
        <v>0</v>
      </c>
      <c r="AZ48" s="1">
        <v>0</v>
      </c>
      <c r="BA48" s="1">
        <v>0</v>
      </c>
      <c r="BB48" s="1">
        <v>0</v>
      </c>
      <c r="BC48" s="116">
        <f t="shared" si="10"/>
        <v>0</v>
      </c>
      <c r="BD48" s="12" t="str">
        <f t="shared" si="20"/>
        <v>23G90290210113592</v>
      </c>
      <c r="BE48" s="12">
        <f t="shared" si="21"/>
        <v>5000581153</v>
      </c>
      <c r="BF48" s="135">
        <v>0</v>
      </c>
    </row>
    <row r="49" spans="1:58">
      <c r="A49" s="1">
        <f t="shared" si="11"/>
        <v>45</v>
      </c>
      <c r="B49" s="1" t="s">
        <v>18</v>
      </c>
      <c r="C49" s="112" t="s">
        <v>25</v>
      </c>
      <c r="D49" s="12">
        <v>5000126215</v>
      </c>
      <c r="E49" s="12" t="s">
        <v>365</v>
      </c>
      <c r="F49" s="12" t="s">
        <v>1255</v>
      </c>
      <c r="G49" s="12" t="s">
        <v>559</v>
      </c>
      <c r="H49" s="12">
        <v>4000</v>
      </c>
      <c r="I49" s="194">
        <v>45778</v>
      </c>
      <c r="J49" s="194">
        <v>45808</v>
      </c>
      <c r="K49" s="12" t="s">
        <v>427</v>
      </c>
      <c r="L49" s="203">
        <v>595.11</v>
      </c>
      <c r="M49" s="562">
        <v>659.96</v>
      </c>
      <c r="N49" s="203">
        <v>61.2</v>
      </c>
      <c r="O49" s="15">
        <f t="shared" si="22"/>
        <v>61.2</v>
      </c>
      <c r="P49" s="203">
        <v>0.39</v>
      </c>
      <c r="Q49" s="15">
        <f t="shared" si="15"/>
        <v>0.39</v>
      </c>
      <c r="R49" s="118">
        <f t="shared" si="17"/>
        <v>259400</v>
      </c>
      <c r="S49" s="1">
        <v>0</v>
      </c>
      <c r="T49" s="1">
        <v>0</v>
      </c>
      <c r="U49" s="1">
        <v>0</v>
      </c>
      <c r="V49" s="1">
        <v>0</v>
      </c>
      <c r="W49" s="194">
        <v>45748</v>
      </c>
      <c r="X49" s="194">
        <v>45777</v>
      </c>
      <c r="Y49" s="12" t="s">
        <v>427</v>
      </c>
      <c r="Z49" s="14">
        <v>537.99</v>
      </c>
      <c r="AA49" s="1">
        <v>595.11</v>
      </c>
      <c r="AB49" s="14">
        <v>54.18</v>
      </c>
      <c r="AC49" s="15">
        <v>54.18</v>
      </c>
      <c r="AD49" s="14">
        <v>0.36</v>
      </c>
      <c r="AE49" s="15">
        <v>0.36</v>
      </c>
      <c r="AF49" s="45">
        <v>228480</v>
      </c>
      <c r="AG49" s="1">
        <v>0</v>
      </c>
      <c r="AH49" s="1">
        <v>0</v>
      </c>
      <c r="AI49" s="1">
        <v>0</v>
      </c>
      <c r="AJ49" s="1">
        <v>0</v>
      </c>
      <c r="AK49" s="194">
        <v>45748</v>
      </c>
      <c r="AL49" s="194">
        <v>45777</v>
      </c>
      <c r="AM49" s="12" t="s">
        <v>1131</v>
      </c>
      <c r="AN49" s="10" t="s">
        <v>1485</v>
      </c>
      <c r="AO49" s="14">
        <v>537.99</v>
      </c>
      <c r="AP49" s="193">
        <v>595.11</v>
      </c>
      <c r="AQ49" s="14">
        <v>54.18</v>
      </c>
      <c r="AR49" s="46">
        <v>61.2</v>
      </c>
      <c r="AS49" s="14">
        <v>0.36</v>
      </c>
      <c r="AT49" s="1">
        <v>0.39</v>
      </c>
      <c r="AU49" s="1">
        <f t="shared" si="23"/>
        <v>228480</v>
      </c>
      <c r="AV49" s="1">
        <f t="shared" si="18"/>
        <v>28080</v>
      </c>
      <c r="AW49" s="1">
        <f t="shared" si="19"/>
        <v>120</v>
      </c>
      <c r="AX49" s="124">
        <f t="shared" si="24"/>
        <v>228480</v>
      </c>
      <c r="AY49" s="1">
        <v>237</v>
      </c>
      <c r="AZ49" s="1">
        <v>292</v>
      </c>
      <c r="BA49" s="1">
        <v>2</v>
      </c>
      <c r="BB49" s="1">
        <v>0</v>
      </c>
      <c r="BC49" s="116">
        <f t="shared" si="10"/>
        <v>0</v>
      </c>
      <c r="BD49" s="12" t="str">
        <f t="shared" si="20"/>
        <v>230290097760</v>
      </c>
      <c r="BE49" s="12">
        <f t="shared" si="21"/>
        <v>5000126215</v>
      </c>
      <c r="BF49" s="135">
        <v>0</v>
      </c>
    </row>
    <row r="50" spans="1:58">
      <c r="A50" s="1">
        <f t="shared" si="11"/>
        <v>46</v>
      </c>
      <c r="B50" s="1" t="s">
        <v>18</v>
      </c>
      <c r="C50" s="112" t="s">
        <v>25</v>
      </c>
      <c r="D50" s="12">
        <v>5000126191</v>
      </c>
      <c r="E50" s="12" t="s">
        <v>371</v>
      </c>
      <c r="F50" s="251" t="s">
        <v>1424</v>
      </c>
      <c r="G50" s="12" t="s">
        <v>560</v>
      </c>
      <c r="H50" s="12">
        <v>800</v>
      </c>
      <c r="I50" s="194">
        <v>45778</v>
      </c>
      <c r="J50" s="194">
        <v>45808</v>
      </c>
      <c r="K50" s="12" t="s">
        <v>427</v>
      </c>
      <c r="L50" s="119">
        <v>62.64</v>
      </c>
      <c r="M50" s="562">
        <v>86.85</v>
      </c>
      <c r="N50" s="203">
        <v>7.39</v>
      </c>
      <c r="O50" s="15">
        <f t="shared" si="22"/>
        <v>7.39</v>
      </c>
      <c r="P50" s="203">
        <v>2.17</v>
      </c>
      <c r="Q50" s="15">
        <v>0</v>
      </c>
      <c r="R50" s="118">
        <f t="shared" si="17"/>
        <v>19368</v>
      </c>
      <c r="S50" s="1">
        <v>0</v>
      </c>
      <c r="T50" s="1">
        <v>0</v>
      </c>
      <c r="U50" s="1">
        <v>0</v>
      </c>
      <c r="V50" s="1">
        <v>0</v>
      </c>
      <c r="W50" s="194">
        <v>45748</v>
      </c>
      <c r="X50" s="194">
        <v>45777</v>
      </c>
      <c r="Y50" s="12" t="s">
        <v>427</v>
      </c>
      <c r="Z50" s="14">
        <v>37.68</v>
      </c>
      <c r="AA50" s="1">
        <v>62.64</v>
      </c>
      <c r="AB50" s="14">
        <v>4.0599999999999996</v>
      </c>
      <c r="AC50" s="15">
        <v>4.0599999999999996</v>
      </c>
      <c r="AD50" s="14">
        <v>1.41</v>
      </c>
      <c r="AE50" s="15">
        <v>0</v>
      </c>
      <c r="AF50" s="45">
        <v>19968</v>
      </c>
      <c r="AG50" s="1">
        <v>0</v>
      </c>
      <c r="AH50" s="1">
        <v>0</v>
      </c>
      <c r="AI50" s="1">
        <v>0</v>
      </c>
      <c r="AJ50" s="1">
        <v>0</v>
      </c>
      <c r="AK50" s="194">
        <v>45748</v>
      </c>
      <c r="AL50" s="194">
        <v>45777</v>
      </c>
      <c r="AM50" s="12" t="s">
        <v>1131</v>
      </c>
      <c r="AN50" s="10" t="s">
        <v>1486</v>
      </c>
      <c r="AO50" s="14">
        <v>37.68</v>
      </c>
      <c r="AP50" s="193">
        <v>62.64</v>
      </c>
      <c r="AQ50" s="14">
        <v>4.0599999999999996</v>
      </c>
      <c r="AR50" s="46">
        <v>7.39</v>
      </c>
      <c r="AS50" s="14">
        <v>1.41</v>
      </c>
      <c r="AT50" s="1">
        <v>2.17</v>
      </c>
      <c r="AU50" s="1">
        <f t="shared" si="23"/>
        <v>19968</v>
      </c>
      <c r="AV50" s="1">
        <f t="shared" si="18"/>
        <v>2664</v>
      </c>
      <c r="AW50" s="1">
        <f t="shared" si="19"/>
        <v>608</v>
      </c>
      <c r="AX50" s="124">
        <f t="shared" si="24"/>
        <v>19968</v>
      </c>
      <c r="AY50" s="1">
        <v>189</v>
      </c>
      <c r="AZ50" s="1">
        <v>0</v>
      </c>
      <c r="BA50" s="1">
        <v>0</v>
      </c>
      <c r="BB50" s="1">
        <v>0</v>
      </c>
      <c r="BC50" s="116">
        <f t="shared" si="10"/>
        <v>0</v>
      </c>
      <c r="BD50" s="12" t="str">
        <f t="shared" si="20"/>
        <v>230290084930</v>
      </c>
      <c r="BE50" s="12">
        <f t="shared" si="21"/>
        <v>5000126191</v>
      </c>
      <c r="BF50" s="135">
        <v>0</v>
      </c>
    </row>
    <row r="51" spans="1:58">
      <c r="A51" s="1">
        <f t="shared" si="11"/>
        <v>47</v>
      </c>
      <c r="B51" s="1" t="s">
        <v>18</v>
      </c>
      <c r="C51" s="112" t="s">
        <v>25</v>
      </c>
      <c r="D51" s="12">
        <v>5000126225</v>
      </c>
      <c r="E51" s="12" t="s">
        <v>375</v>
      </c>
      <c r="F51" s="12" t="s">
        <v>1256</v>
      </c>
      <c r="G51" s="12" t="s">
        <v>561</v>
      </c>
      <c r="H51" s="12">
        <v>800</v>
      </c>
      <c r="I51" s="194">
        <v>45778</v>
      </c>
      <c r="J51" s="194">
        <v>45808</v>
      </c>
      <c r="K51" s="12" t="s">
        <v>427</v>
      </c>
      <c r="L51" s="203">
        <v>476.93</v>
      </c>
      <c r="M51" s="562">
        <v>521.38</v>
      </c>
      <c r="N51" s="203">
        <v>52.76</v>
      </c>
      <c r="O51" s="15">
        <f t="shared" si="22"/>
        <v>52.76</v>
      </c>
      <c r="P51" s="203">
        <v>7.6</v>
      </c>
      <c r="Q51" s="15">
        <f t="shared" si="15"/>
        <v>7.6</v>
      </c>
      <c r="R51" s="118">
        <f t="shared" si="17"/>
        <v>35560</v>
      </c>
      <c r="S51" s="1">
        <v>0</v>
      </c>
      <c r="T51" s="1">
        <v>0</v>
      </c>
      <c r="U51" s="1">
        <v>0</v>
      </c>
      <c r="V51" s="1">
        <v>0</v>
      </c>
      <c r="W51" s="194">
        <v>45748</v>
      </c>
      <c r="X51" s="194">
        <v>45777</v>
      </c>
      <c r="Y51" s="12" t="s">
        <v>427</v>
      </c>
      <c r="Z51" s="14">
        <v>425.79</v>
      </c>
      <c r="AA51" s="1">
        <v>476.93</v>
      </c>
      <c r="AB51" s="14">
        <v>44.47</v>
      </c>
      <c r="AC51" s="15">
        <v>44.47</v>
      </c>
      <c r="AD51" s="14">
        <v>6.54</v>
      </c>
      <c r="AE51" s="15">
        <v>6.54</v>
      </c>
      <c r="AF51" s="45">
        <v>40912</v>
      </c>
      <c r="AG51" s="1">
        <v>0</v>
      </c>
      <c r="AH51" s="1">
        <v>0</v>
      </c>
      <c r="AI51" s="1">
        <v>0</v>
      </c>
      <c r="AJ51" s="1">
        <v>0</v>
      </c>
      <c r="AK51" s="194">
        <v>45748</v>
      </c>
      <c r="AL51" s="194">
        <v>45777</v>
      </c>
      <c r="AM51" s="12" t="s">
        <v>1131</v>
      </c>
      <c r="AN51" s="10" t="s">
        <v>1487</v>
      </c>
      <c r="AO51" s="14">
        <v>425.79</v>
      </c>
      <c r="AP51" s="193">
        <v>476.93</v>
      </c>
      <c r="AQ51" s="14">
        <v>44.47</v>
      </c>
      <c r="AR51" s="46">
        <v>52.76</v>
      </c>
      <c r="AS51" s="14">
        <v>6.54</v>
      </c>
      <c r="AT51" s="1">
        <v>7.6</v>
      </c>
      <c r="AU51" s="1">
        <f t="shared" si="23"/>
        <v>40912</v>
      </c>
      <c r="AV51" s="1">
        <f t="shared" si="18"/>
        <v>6632</v>
      </c>
      <c r="AW51" s="1">
        <f t="shared" si="19"/>
        <v>848</v>
      </c>
      <c r="AX51" s="124">
        <f t="shared" si="24"/>
        <v>40912</v>
      </c>
      <c r="AY51" s="1">
        <v>471</v>
      </c>
      <c r="AZ51" s="1">
        <v>0</v>
      </c>
      <c r="BA51" s="1">
        <v>0</v>
      </c>
      <c r="BB51" s="1">
        <v>0</v>
      </c>
      <c r="BC51" s="116">
        <f t="shared" si="10"/>
        <v>0</v>
      </c>
      <c r="BD51" s="12" t="str">
        <f t="shared" si="20"/>
        <v>230290097752</v>
      </c>
      <c r="BE51" s="12">
        <f t="shared" si="21"/>
        <v>5000126225</v>
      </c>
      <c r="BF51" s="135">
        <v>0</v>
      </c>
    </row>
    <row r="52" spans="1:58">
      <c r="A52" s="1">
        <f t="shared" si="11"/>
        <v>48</v>
      </c>
      <c r="B52" s="1" t="s">
        <v>18</v>
      </c>
      <c r="C52" s="112" t="s">
        <v>25</v>
      </c>
      <c r="D52" s="12">
        <v>5000126206</v>
      </c>
      <c r="E52" s="12" t="s">
        <v>397</v>
      </c>
      <c r="F52" s="12">
        <v>2825515</v>
      </c>
      <c r="G52" s="12" t="s">
        <v>562</v>
      </c>
      <c r="H52" s="12">
        <v>50</v>
      </c>
      <c r="I52" s="194">
        <v>45778</v>
      </c>
      <c r="J52" s="194">
        <v>45808</v>
      </c>
      <c r="K52" s="12" t="s">
        <v>427</v>
      </c>
      <c r="L52" s="119">
        <v>9924.64</v>
      </c>
      <c r="M52" s="562">
        <v>9983.7099999999991</v>
      </c>
      <c r="N52" s="203">
        <v>459</v>
      </c>
      <c r="O52" s="15">
        <f t="shared" si="22"/>
        <v>459</v>
      </c>
      <c r="P52" s="203">
        <v>801.46</v>
      </c>
      <c r="Q52" s="15">
        <f t="shared" si="15"/>
        <v>801.46</v>
      </c>
      <c r="R52" s="118">
        <f t="shared" si="17"/>
        <v>2953</v>
      </c>
      <c r="S52" s="1">
        <v>0</v>
      </c>
      <c r="T52" s="1">
        <v>0</v>
      </c>
      <c r="U52" s="1">
        <v>0</v>
      </c>
      <c r="V52" s="1">
        <v>0</v>
      </c>
      <c r="W52" s="194">
        <v>45748</v>
      </c>
      <c r="X52" s="194">
        <v>45777</v>
      </c>
      <c r="Y52" s="12" t="s">
        <v>427</v>
      </c>
      <c r="Z52" s="14">
        <v>9856.1299999999992</v>
      </c>
      <c r="AA52" s="1">
        <v>9924.64</v>
      </c>
      <c r="AB52" s="14">
        <v>452.16</v>
      </c>
      <c r="AC52" s="15">
        <v>452.16</v>
      </c>
      <c r="AD52" s="14">
        <v>788.16</v>
      </c>
      <c r="AE52" s="15">
        <v>788.16</v>
      </c>
      <c r="AF52" s="45">
        <v>3426</v>
      </c>
      <c r="AG52" s="1">
        <v>0</v>
      </c>
      <c r="AH52" s="1">
        <v>0</v>
      </c>
      <c r="AI52" s="1">
        <v>0</v>
      </c>
      <c r="AJ52" s="1">
        <v>0</v>
      </c>
      <c r="AK52" s="194">
        <v>45748</v>
      </c>
      <c r="AL52" s="194">
        <v>45777</v>
      </c>
      <c r="AM52" s="12" t="s">
        <v>1131</v>
      </c>
      <c r="AN52" s="10" t="s">
        <v>1486</v>
      </c>
      <c r="AO52" s="14">
        <v>9856.1299999999992</v>
      </c>
      <c r="AP52" s="193">
        <v>9924.64</v>
      </c>
      <c r="AQ52" s="14">
        <v>452.16</v>
      </c>
      <c r="AR52" s="46">
        <v>459</v>
      </c>
      <c r="AS52" s="14">
        <v>788.16</v>
      </c>
      <c r="AT52" s="1">
        <v>801.46</v>
      </c>
      <c r="AU52" s="1">
        <f t="shared" si="23"/>
        <v>3426</v>
      </c>
      <c r="AV52" s="1">
        <f t="shared" si="18"/>
        <v>342</v>
      </c>
      <c r="AW52" s="1">
        <f t="shared" si="19"/>
        <v>665</v>
      </c>
      <c r="AX52" s="124">
        <f t="shared" si="24"/>
        <v>3426</v>
      </c>
      <c r="AY52" s="1">
        <v>0</v>
      </c>
      <c r="AZ52" s="1">
        <v>0</v>
      </c>
      <c r="BA52" s="1">
        <v>45</v>
      </c>
      <c r="BB52" s="1">
        <v>0</v>
      </c>
      <c r="BC52" s="116">
        <f t="shared" si="10"/>
        <v>0</v>
      </c>
      <c r="BD52" s="12">
        <f t="shared" si="20"/>
        <v>2825515</v>
      </c>
      <c r="BE52" s="12">
        <f t="shared" si="21"/>
        <v>5000126206</v>
      </c>
      <c r="BF52" s="135">
        <v>0</v>
      </c>
    </row>
    <row r="53" spans="1:58">
      <c r="A53" s="1">
        <f t="shared" si="11"/>
        <v>49</v>
      </c>
      <c r="B53" s="1" t="s">
        <v>17</v>
      </c>
      <c r="C53" s="12" t="s">
        <v>24</v>
      </c>
      <c r="D53" s="12">
        <v>5000290941</v>
      </c>
      <c r="E53" s="12" t="s">
        <v>379</v>
      </c>
      <c r="F53" s="12" t="s">
        <v>1257</v>
      </c>
      <c r="G53" s="12" t="s">
        <v>563</v>
      </c>
      <c r="H53" s="12">
        <v>1200</v>
      </c>
      <c r="I53" s="194">
        <v>45778</v>
      </c>
      <c r="J53" s="194">
        <v>45808</v>
      </c>
      <c r="K53" s="12" t="s">
        <v>427</v>
      </c>
      <c r="L53" s="203">
        <v>372.33</v>
      </c>
      <c r="M53" s="562">
        <v>412.19</v>
      </c>
      <c r="N53" s="203">
        <v>26.06</v>
      </c>
      <c r="O53" s="15">
        <f t="shared" si="22"/>
        <v>26.06</v>
      </c>
      <c r="P53" s="203">
        <v>9.35</v>
      </c>
      <c r="Q53" s="15">
        <f t="shared" si="15"/>
        <v>9.35</v>
      </c>
      <c r="R53" s="118">
        <f t="shared" si="17"/>
        <v>47832</v>
      </c>
      <c r="S53" s="1">
        <v>0</v>
      </c>
      <c r="T53" s="1">
        <v>0</v>
      </c>
      <c r="U53" s="1">
        <v>0</v>
      </c>
      <c r="V53" s="1">
        <v>0</v>
      </c>
      <c r="W53" s="194">
        <v>45748</v>
      </c>
      <c r="X53" s="194">
        <v>45777</v>
      </c>
      <c r="Y53" s="12" t="s">
        <v>427</v>
      </c>
      <c r="Z53" s="14">
        <v>331.72</v>
      </c>
      <c r="AA53" s="1">
        <v>372.33</v>
      </c>
      <c r="AB53" s="14">
        <v>23.34</v>
      </c>
      <c r="AC53" s="15">
        <v>23.34</v>
      </c>
      <c r="AD53" s="14">
        <v>7.93</v>
      </c>
      <c r="AE53" s="15">
        <v>7.93</v>
      </c>
      <c r="AF53" s="45">
        <v>48732</v>
      </c>
      <c r="AG53" s="1">
        <v>0</v>
      </c>
      <c r="AH53" s="1">
        <v>0</v>
      </c>
      <c r="AI53" s="1">
        <v>0</v>
      </c>
      <c r="AJ53" s="1">
        <v>0</v>
      </c>
      <c r="AK53" s="194">
        <v>45748</v>
      </c>
      <c r="AL53" s="194">
        <v>45777</v>
      </c>
      <c r="AM53" s="12" t="s">
        <v>1131</v>
      </c>
      <c r="AN53" s="10" t="s">
        <v>1488</v>
      </c>
      <c r="AO53" s="14">
        <v>331.72</v>
      </c>
      <c r="AP53" s="193">
        <v>372.33</v>
      </c>
      <c r="AQ53" s="14">
        <v>23.34</v>
      </c>
      <c r="AR53" s="46">
        <v>26.06</v>
      </c>
      <c r="AS53" s="14">
        <v>7.93</v>
      </c>
      <c r="AT53" s="1">
        <v>9.35</v>
      </c>
      <c r="AU53" s="1">
        <f t="shared" si="23"/>
        <v>48732</v>
      </c>
      <c r="AV53" s="1">
        <f t="shared" si="18"/>
        <v>3264</v>
      </c>
      <c r="AW53" s="1">
        <f t="shared" si="19"/>
        <v>1704</v>
      </c>
      <c r="AX53" s="124">
        <f t="shared" si="24"/>
        <v>48732</v>
      </c>
      <c r="AY53" s="1">
        <v>1</v>
      </c>
      <c r="AZ53" s="1">
        <v>0</v>
      </c>
      <c r="BA53" s="1">
        <v>0</v>
      </c>
      <c r="BB53" s="1">
        <v>0</v>
      </c>
      <c r="BC53" s="116">
        <f t="shared" si="10"/>
        <v>0</v>
      </c>
      <c r="BD53" s="12" t="str">
        <f t="shared" si="20"/>
        <v>230290097737</v>
      </c>
      <c r="BE53" s="12">
        <f t="shared" si="21"/>
        <v>5000290941</v>
      </c>
      <c r="BF53" s="135">
        <v>0</v>
      </c>
    </row>
    <row r="54" spans="1:58">
      <c r="A54" s="1">
        <f t="shared" si="11"/>
        <v>50</v>
      </c>
      <c r="B54" s="1" t="s">
        <v>17</v>
      </c>
      <c r="C54" s="12" t="s">
        <v>24</v>
      </c>
      <c r="D54" s="12">
        <v>5000290951</v>
      </c>
      <c r="E54" s="12" t="s">
        <v>383</v>
      </c>
      <c r="F54" s="12" t="s">
        <v>1259</v>
      </c>
      <c r="G54" s="12" t="s">
        <v>564</v>
      </c>
      <c r="H54" s="12">
        <v>1000</v>
      </c>
      <c r="I54" s="194">
        <v>45778</v>
      </c>
      <c r="J54" s="194">
        <v>45808</v>
      </c>
      <c r="K54" s="12" t="s">
        <v>427</v>
      </c>
      <c r="L54" s="203">
        <v>691.45</v>
      </c>
      <c r="M54" s="562">
        <v>731.1</v>
      </c>
      <c r="N54" s="203">
        <v>8.98</v>
      </c>
      <c r="O54" s="15">
        <f t="shared" si="22"/>
        <v>8.98</v>
      </c>
      <c r="P54" s="203">
        <v>68.94</v>
      </c>
      <c r="Q54" s="15">
        <f t="shared" si="15"/>
        <v>68.94</v>
      </c>
      <c r="R54" s="118">
        <f t="shared" si="17"/>
        <v>39650</v>
      </c>
      <c r="S54" s="1">
        <v>0</v>
      </c>
      <c r="T54" s="1">
        <v>0</v>
      </c>
      <c r="U54" s="1">
        <v>0</v>
      </c>
      <c r="V54" s="1">
        <v>0</v>
      </c>
      <c r="W54" s="194">
        <v>45748</v>
      </c>
      <c r="X54" s="194">
        <v>45777</v>
      </c>
      <c r="Y54" s="12" t="s">
        <v>427</v>
      </c>
      <c r="Z54" s="14">
        <v>656.66</v>
      </c>
      <c r="AA54" s="1">
        <v>691.45</v>
      </c>
      <c r="AB54" s="14">
        <v>8.93</v>
      </c>
      <c r="AC54" s="15">
        <v>8.93</v>
      </c>
      <c r="AD54" s="14">
        <v>63.4</v>
      </c>
      <c r="AE54" s="15">
        <v>63.4</v>
      </c>
      <c r="AF54" s="45">
        <v>34790</v>
      </c>
      <c r="AG54" s="1">
        <v>0</v>
      </c>
      <c r="AH54" s="1">
        <v>0</v>
      </c>
      <c r="AI54" s="1">
        <v>0</v>
      </c>
      <c r="AJ54" s="1">
        <v>0</v>
      </c>
      <c r="AK54" s="194">
        <v>45748</v>
      </c>
      <c r="AL54" s="194">
        <v>45777</v>
      </c>
      <c r="AM54" s="12" t="s">
        <v>1131</v>
      </c>
      <c r="AN54" s="10" t="s">
        <v>1489</v>
      </c>
      <c r="AO54" s="14">
        <v>656.66</v>
      </c>
      <c r="AP54" s="193">
        <v>691.45</v>
      </c>
      <c r="AQ54" s="14">
        <v>8.93</v>
      </c>
      <c r="AR54" s="46">
        <v>8.98</v>
      </c>
      <c r="AS54" s="14">
        <v>63.4</v>
      </c>
      <c r="AT54" s="1">
        <v>68.94</v>
      </c>
      <c r="AU54" s="1">
        <f t="shared" si="23"/>
        <v>34790</v>
      </c>
      <c r="AV54" s="1">
        <f t="shared" si="18"/>
        <v>50</v>
      </c>
      <c r="AW54" s="1">
        <f t="shared" si="19"/>
        <v>5540</v>
      </c>
      <c r="AX54" s="124">
        <f t="shared" si="24"/>
        <v>34790</v>
      </c>
      <c r="AY54" s="1">
        <v>2</v>
      </c>
      <c r="AZ54" s="1">
        <v>0</v>
      </c>
      <c r="BA54" s="1">
        <v>102</v>
      </c>
      <c r="BB54" s="1">
        <v>0</v>
      </c>
      <c r="BC54" s="116">
        <f t="shared" si="10"/>
        <v>0</v>
      </c>
      <c r="BD54" s="12" t="str">
        <f t="shared" si="20"/>
        <v>230290097743</v>
      </c>
      <c r="BE54" s="12">
        <f t="shared" si="21"/>
        <v>5000290951</v>
      </c>
      <c r="BF54" s="135">
        <v>0</v>
      </c>
    </row>
    <row r="55" spans="1:58">
      <c r="A55" s="1">
        <f t="shared" si="11"/>
        <v>51</v>
      </c>
      <c r="B55" s="20" t="s">
        <v>17</v>
      </c>
      <c r="C55" s="12" t="s">
        <v>24</v>
      </c>
      <c r="D55" s="12">
        <v>5000579303</v>
      </c>
      <c r="E55" s="12" t="s">
        <v>391</v>
      </c>
      <c r="F55" s="12">
        <v>2710182</v>
      </c>
      <c r="G55" s="12" t="s">
        <v>565</v>
      </c>
      <c r="H55" s="12">
        <v>30</v>
      </c>
      <c r="I55" s="194">
        <v>45778</v>
      </c>
      <c r="J55" s="194">
        <v>45808</v>
      </c>
      <c r="K55" s="12" t="s">
        <v>427</v>
      </c>
      <c r="L55" s="119">
        <v>9538.4</v>
      </c>
      <c r="M55" s="562">
        <v>9658.61</v>
      </c>
      <c r="N55" s="119">
        <v>2015.54</v>
      </c>
      <c r="O55" s="15">
        <f t="shared" si="22"/>
        <v>2015.54</v>
      </c>
      <c r="P55" s="119">
        <v>2939.12</v>
      </c>
      <c r="Q55" s="15">
        <f t="shared" si="15"/>
        <v>2939.12</v>
      </c>
      <c r="R55" s="118">
        <f t="shared" si="17"/>
        <v>3606</v>
      </c>
      <c r="S55" s="1">
        <v>0</v>
      </c>
      <c r="T55" s="1">
        <v>0</v>
      </c>
      <c r="U55" s="1">
        <v>0</v>
      </c>
      <c r="V55" s="1">
        <v>0</v>
      </c>
      <c r="W55" s="194">
        <v>45748</v>
      </c>
      <c r="X55" s="194">
        <v>45777</v>
      </c>
      <c r="Y55" s="12" t="s">
        <v>427</v>
      </c>
      <c r="Z55" s="14">
        <v>9449.23</v>
      </c>
      <c r="AA55" s="1">
        <v>9538.4</v>
      </c>
      <c r="AB55" s="14">
        <v>2011.96</v>
      </c>
      <c r="AC55" s="15">
        <v>2011.96</v>
      </c>
      <c r="AD55" s="14">
        <v>2850.58</v>
      </c>
      <c r="AE55" s="15">
        <v>2850.58</v>
      </c>
      <c r="AF55" s="45">
        <v>2675</v>
      </c>
      <c r="AG55" s="1">
        <v>0</v>
      </c>
      <c r="AH55" s="1">
        <v>0</v>
      </c>
      <c r="AI55" s="1">
        <v>0</v>
      </c>
      <c r="AJ55" s="1">
        <v>0</v>
      </c>
      <c r="AK55" s="194">
        <v>45748</v>
      </c>
      <c r="AL55" s="194">
        <v>45777</v>
      </c>
      <c r="AM55" s="12" t="s">
        <v>1131</v>
      </c>
      <c r="AN55" s="10" t="s">
        <v>1490</v>
      </c>
      <c r="AO55" s="14">
        <v>9449.23</v>
      </c>
      <c r="AP55" s="193">
        <v>9538.4</v>
      </c>
      <c r="AQ55" s="14">
        <v>2011.96</v>
      </c>
      <c r="AR55" s="46">
        <v>2015.54</v>
      </c>
      <c r="AS55" s="14">
        <v>2850.58</v>
      </c>
      <c r="AT55" s="1">
        <v>2939.12</v>
      </c>
      <c r="AU55" s="1">
        <f t="shared" si="23"/>
        <v>2675</v>
      </c>
      <c r="AV55" s="1">
        <f t="shared" si="18"/>
        <v>107</v>
      </c>
      <c r="AW55" s="1">
        <f t="shared" si="19"/>
        <v>2656</v>
      </c>
      <c r="AX55" s="118">
        <f t="shared" ref="AX55:AX67" si="25">AU55</f>
        <v>2675</v>
      </c>
      <c r="AY55" s="1">
        <v>0</v>
      </c>
      <c r="AZ55" s="1">
        <v>0</v>
      </c>
      <c r="BA55" s="1">
        <v>0</v>
      </c>
      <c r="BB55" s="1">
        <v>0</v>
      </c>
      <c r="BC55" s="116">
        <f t="shared" si="10"/>
        <v>0</v>
      </c>
      <c r="BD55" s="12">
        <f t="shared" si="20"/>
        <v>2710182</v>
      </c>
      <c r="BE55" s="12">
        <f t="shared" si="21"/>
        <v>5000579303</v>
      </c>
      <c r="BF55" s="135">
        <v>0</v>
      </c>
    </row>
    <row r="56" spans="1:58" s="301" customFormat="1" ht="15" customHeight="1">
      <c r="A56" s="1">
        <f t="shared" si="11"/>
        <v>52</v>
      </c>
      <c r="B56" s="292" t="s">
        <v>10</v>
      </c>
      <c r="C56" s="293" t="s">
        <v>66</v>
      </c>
      <c r="D56" s="293">
        <v>5000612501</v>
      </c>
      <c r="E56" s="304" t="str">
        <f>"59401020000375096971689655"</f>
        <v>59401020000375096971689655</v>
      </c>
      <c r="F56" s="293">
        <v>84100100</v>
      </c>
      <c r="G56" s="293" t="s">
        <v>566</v>
      </c>
      <c r="H56" s="293">
        <v>1</v>
      </c>
      <c r="I56" s="194">
        <v>45778</v>
      </c>
      <c r="J56" s="194">
        <v>45808</v>
      </c>
      <c r="K56" s="293" t="s">
        <v>427</v>
      </c>
      <c r="L56" s="294">
        <v>15722549</v>
      </c>
      <c r="M56" s="561">
        <v>15833001</v>
      </c>
      <c r="N56" s="294">
        <v>399820</v>
      </c>
      <c r="O56" s="15">
        <f t="shared" si="22"/>
        <v>399820</v>
      </c>
      <c r="P56" s="294">
        <v>2533741</v>
      </c>
      <c r="Q56" s="15">
        <v>2269197</v>
      </c>
      <c r="R56" s="118">
        <f t="shared" si="17"/>
        <v>110452</v>
      </c>
      <c r="S56" s="292">
        <v>0</v>
      </c>
      <c r="T56" s="292">
        <v>0</v>
      </c>
      <c r="U56" s="292">
        <v>0</v>
      </c>
      <c r="V56" s="292">
        <v>0</v>
      </c>
      <c r="W56" s="194">
        <v>45748</v>
      </c>
      <c r="X56" s="194">
        <v>45777</v>
      </c>
      <c r="Y56" s="293" t="s">
        <v>427</v>
      </c>
      <c r="Z56" s="297">
        <v>15602204</v>
      </c>
      <c r="AA56" s="292">
        <v>15722549</v>
      </c>
      <c r="AB56" s="297">
        <v>399701</v>
      </c>
      <c r="AC56" s="295">
        <v>399701</v>
      </c>
      <c r="AD56" s="297">
        <v>2371155</v>
      </c>
      <c r="AE56" s="295">
        <v>2269197</v>
      </c>
      <c r="AF56" s="305">
        <v>120345</v>
      </c>
      <c r="AG56" s="292">
        <v>0</v>
      </c>
      <c r="AH56" s="1">
        <v>0</v>
      </c>
      <c r="AI56" s="1">
        <v>0</v>
      </c>
      <c r="AJ56" s="1">
        <v>0</v>
      </c>
      <c r="AK56" s="194">
        <v>45748</v>
      </c>
      <c r="AL56" s="194">
        <v>45777</v>
      </c>
      <c r="AM56" s="293" t="s">
        <v>1131</v>
      </c>
      <c r="AN56" s="293"/>
      <c r="AO56" s="297">
        <v>15602204</v>
      </c>
      <c r="AP56" s="298">
        <v>15722549</v>
      </c>
      <c r="AQ56" s="297">
        <v>399802</v>
      </c>
      <c r="AR56" s="299">
        <v>399820</v>
      </c>
      <c r="AS56" s="297">
        <v>2477023</v>
      </c>
      <c r="AT56" s="299">
        <v>2533741</v>
      </c>
      <c r="AU56" s="298">
        <f>AP56-AO56</f>
        <v>120345</v>
      </c>
      <c r="AV56" s="299">
        <f>AR56-AQ56</f>
        <v>18</v>
      </c>
      <c r="AW56" s="292">
        <f>AT56-AS56</f>
        <v>56718</v>
      </c>
      <c r="AX56" s="296">
        <f t="shared" si="25"/>
        <v>120345</v>
      </c>
      <c r="AY56" s="292">
        <v>0</v>
      </c>
      <c r="AZ56" s="292">
        <v>0</v>
      </c>
      <c r="BA56" s="292">
        <v>11931</v>
      </c>
      <c r="BB56" s="292">
        <v>10195</v>
      </c>
      <c r="BC56" s="300">
        <f t="shared" si="10"/>
        <v>0</v>
      </c>
      <c r="BD56" s="12">
        <f t="shared" si="20"/>
        <v>84100100</v>
      </c>
      <c r="BE56" s="12">
        <f t="shared" si="21"/>
        <v>5000612501</v>
      </c>
      <c r="BF56" s="135">
        <v>0</v>
      </c>
    </row>
    <row r="57" spans="1:58" s="301" customFormat="1">
      <c r="A57" s="1">
        <f t="shared" si="11"/>
        <v>53</v>
      </c>
      <c r="B57" s="292" t="s">
        <v>10</v>
      </c>
      <c r="C57" s="293" t="s">
        <v>66</v>
      </c>
      <c r="D57" s="293">
        <v>5000612503</v>
      </c>
      <c r="E57" s="293" t="s">
        <v>398</v>
      </c>
      <c r="F57" s="293">
        <v>90075870</v>
      </c>
      <c r="G57" s="293" t="s">
        <v>567</v>
      </c>
      <c r="H57" s="293">
        <v>1</v>
      </c>
      <c r="I57" s="194">
        <v>45778</v>
      </c>
      <c r="J57" s="194">
        <v>45808</v>
      </c>
      <c r="K57" s="293" t="s">
        <v>427</v>
      </c>
      <c r="L57" s="294">
        <v>4243801</v>
      </c>
      <c r="M57" s="561">
        <v>4374126</v>
      </c>
      <c r="N57" s="294">
        <v>28630</v>
      </c>
      <c r="O57" s="15">
        <f t="shared" si="22"/>
        <v>28630</v>
      </c>
      <c r="P57" s="294">
        <v>738474</v>
      </c>
      <c r="Q57" s="15">
        <v>420251</v>
      </c>
      <c r="R57" s="118">
        <f t="shared" si="17"/>
        <v>130325</v>
      </c>
      <c r="S57" s="292">
        <v>0</v>
      </c>
      <c r="T57" s="292">
        <v>0</v>
      </c>
      <c r="U57" s="292">
        <v>0</v>
      </c>
      <c r="V57" s="292">
        <v>0</v>
      </c>
      <c r="W57" s="194">
        <v>45748</v>
      </c>
      <c r="X57" s="194">
        <v>45777</v>
      </c>
      <c r="Y57" s="293" t="s">
        <v>427</v>
      </c>
      <c r="Z57" s="297">
        <v>4130915</v>
      </c>
      <c r="AA57" s="292">
        <v>4243801</v>
      </c>
      <c r="AB57" s="297">
        <v>28616</v>
      </c>
      <c r="AC57" s="295">
        <v>28616</v>
      </c>
      <c r="AD57" s="297">
        <v>549178</v>
      </c>
      <c r="AE57" s="295">
        <v>420251</v>
      </c>
      <c r="AF57" s="305">
        <v>112886</v>
      </c>
      <c r="AG57" s="292">
        <v>0</v>
      </c>
      <c r="AH57" s="1">
        <v>0</v>
      </c>
      <c r="AI57" s="1">
        <v>0</v>
      </c>
      <c r="AJ57" s="1">
        <v>0</v>
      </c>
      <c r="AK57" s="194">
        <v>45748</v>
      </c>
      <c r="AL57" s="194">
        <v>45777</v>
      </c>
      <c r="AM57" s="293" t="s">
        <v>1131</v>
      </c>
      <c r="AN57" s="293"/>
      <c r="AO57" s="297">
        <v>4130915</v>
      </c>
      <c r="AP57" s="298">
        <v>4243801</v>
      </c>
      <c r="AQ57" s="297">
        <v>28629</v>
      </c>
      <c r="AR57" s="299">
        <v>28630</v>
      </c>
      <c r="AS57" s="297">
        <v>678454</v>
      </c>
      <c r="AT57" s="299">
        <v>738474</v>
      </c>
      <c r="AU57" s="298">
        <f>AP57-AO57</f>
        <v>112886</v>
      </c>
      <c r="AV57" s="299">
        <f>AR57-AQ57</f>
        <v>1</v>
      </c>
      <c r="AW57" s="292">
        <f>AT57-AS57</f>
        <v>60020</v>
      </c>
      <c r="AX57" s="296">
        <f t="shared" si="25"/>
        <v>112886</v>
      </c>
      <c r="AY57" s="292">
        <v>0</v>
      </c>
      <c r="AZ57" s="292">
        <v>0</v>
      </c>
      <c r="BA57" s="292">
        <v>0</v>
      </c>
      <c r="BB57" s="292">
        <v>0</v>
      </c>
      <c r="BC57" s="300">
        <f t="shared" si="10"/>
        <v>0</v>
      </c>
      <c r="BD57" s="12">
        <f t="shared" si="20"/>
        <v>90075870</v>
      </c>
      <c r="BE57" s="12">
        <f t="shared" si="21"/>
        <v>5000612503</v>
      </c>
      <c r="BF57" s="135">
        <v>0</v>
      </c>
    </row>
    <row r="58" spans="1:58" s="244" customFormat="1">
      <c r="A58" s="1">
        <f t="shared" si="11"/>
        <v>54</v>
      </c>
      <c r="B58" s="1" t="s">
        <v>1221</v>
      </c>
      <c r="C58" s="12" t="s">
        <v>1200</v>
      </c>
      <c r="D58" s="12">
        <v>5000579353</v>
      </c>
      <c r="E58" s="12" t="s">
        <v>1220</v>
      </c>
      <c r="F58" s="12" t="s">
        <v>1254</v>
      </c>
      <c r="G58" s="12" t="s">
        <v>1221</v>
      </c>
      <c r="H58" s="12">
        <v>400</v>
      </c>
      <c r="I58" s="194">
        <v>45778</v>
      </c>
      <c r="J58" s="194">
        <v>45808</v>
      </c>
      <c r="K58" s="12" t="s">
        <v>427</v>
      </c>
      <c r="L58" s="203">
        <v>560.29</v>
      </c>
      <c r="M58" s="562">
        <v>594.12</v>
      </c>
      <c r="N58" s="203">
        <v>65.83</v>
      </c>
      <c r="O58" s="15">
        <f t="shared" si="22"/>
        <v>65.83</v>
      </c>
      <c r="P58" s="203">
        <v>23.31</v>
      </c>
      <c r="Q58" s="15">
        <f t="shared" si="15"/>
        <v>23.31</v>
      </c>
      <c r="R58" s="118">
        <f t="shared" si="17"/>
        <v>13532</v>
      </c>
      <c r="S58" s="1">
        <v>0</v>
      </c>
      <c r="T58" s="1">
        <v>0</v>
      </c>
      <c r="U58" s="1">
        <v>0</v>
      </c>
      <c r="V58" s="1">
        <v>0</v>
      </c>
      <c r="W58" s="194">
        <v>45748</v>
      </c>
      <c r="X58" s="194">
        <v>45777</v>
      </c>
      <c r="Y58" s="12" t="s">
        <v>427</v>
      </c>
      <c r="Z58" s="14">
        <v>521.05999999999995</v>
      </c>
      <c r="AA58" s="1">
        <v>560.29</v>
      </c>
      <c r="AB58" s="14">
        <v>61.91</v>
      </c>
      <c r="AC58" s="15">
        <v>61.91</v>
      </c>
      <c r="AD58" s="14">
        <v>15.05</v>
      </c>
      <c r="AE58" s="15">
        <v>15.05</v>
      </c>
      <c r="AF58" s="45">
        <v>15692</v>
      </c>
      <c r="AG58" s="1">
        <v>0</v>
      </c>
      <c r="AH58" s="1">
        <v>0</v>
      </c>
      <c r="AI58" s="1">
        <v>0</v>
      </c>
      <c r="AJ58" s="1">
        <v>0</v>
      </c>
      <c r="AK58" s="194">
        <v>45748</v>
      </c>
      <c r="AL58" s="194">
        <v>45777</v>
      </c>
      <c r="AM58" s="12" t="s">
        <v>1131</v>
      </c>
      <c r="AN58" s="12" t="s">
        <v>1497</v>
      </c>
      <c r="AO58" s="14">
        <v>521.05999999999995</v>
      </c>
      <c r="AP58" s="193">
        <v>560.29</v>
      </c>
      <c r="AQ58" s="14">
        <v>61.91</v>
      </c>
      <c r="AR58" s="46">
        <v>65.83</v>
      </c>
      <c r="AS58" s="14">
        <v>20.53</v>
      </c>
      <c r="AT58" s="1">
        <v>23.31</v>
      </c>
      <c r="AU58" s="1">
        <f t="shared" ref="AU58:AU69" si="26">IF(COUNTBLANK(AP58)=1,"",ROUND((AP58-AO58)*H58,0))</f>
        <v>15692</v>
      </c>
      <c r="AV58" s="1">
        <f t="shared" ref="AV58:AV69" si="27">IF(COUNTBLANK(AR58)=1,"",ROUND((AR58-AQ58)*H58,0))</f>
        <v>1568</v>
      </c>
      <c r="AW58" s="1">
        <f t="shared" ref="AW58:AW69" si="28">IF(COUNTBLANK(AT58)=1,"",ROUND((AT58-AS58)*H58,0))</f>
        <v>1112</v>
      </c>
      <c r="AX58" s="118">
        <f t="shared" si="25"/>
        <v>15692</v>
      </c>
      <c r="AY58" s="1">
        <v>8</v>
      </c>
      <c r="AZ58" s="1">
        <v>3</v>
      </c>
      <c r="BA58" s="1">
        <v>1</v>
      </c>
      <c r="BB58" s="1">
        <v>0</v>
      </c>
      <c r="BC58" s="116">
        <f t="shared" si="10"/>
        <v>0</v>
      </c>
      <c r="BD58" s="12" t="str">
        <f t="shared" si="20"/>
        <v>230290097650</v>
      </c>
      <c r="BE58" s="12">
        <f t="shared" si="21"/>
        <v>5000579353</v>
      </c>
      <c r="BF58" s="135">
        <v>0</v>
      </c>
    </row>
    <row r="59" spans="1:58">
      <c r="A59" s="1">
        <f t="shared" si="11"/>
        <v>55</v>
      </c>
      <c r="B59" s="1" t="s">
        <v>1223</v>
      </c>
      <c r="C59" s="12" t="s">
        <v>1200</v>
      </c>
      <c r="D59" s="12">
        <v>5000579395</v>
      </c>
      <c r="E59" s="12" t="s">
        <v>1222</v>
      </c>
      <c r="F59" s="12">
        <v>2732950</v>
      </c>
      <c r="G59" s="12" t="s">
        <v>1223</v>
      </c>
      <c r="H59" s="12">
        <v>800</v>
      </c>
      <c r="I59" s="194">
        <v>45778</v>
      </c>
      <c r="J59" s="194">
        <v>45808</v>
      </c>
      <c r="K59" s="12" t="s">
        <v>427</v>
      </c>
      <c r="L59" s="203">
        <v>904.44</v>
      </c>
      <c r="M59" s="562">
        <v>912.19</v>
      </c>
      <c r="N59" s="203">
        <v>45.97</v>
      </c>
      <c r="O59" s="15">
        <f t="shared" si="22"/>
        <v>45.97</v>
      </c>
      <c r="P59" s="203">
        <v>45.9</v>
      </c>
      <c r="Q59" s="15">
        <f t="shared" si="15"/>
        <v>45.9</v>
      </c>
      <c r="R59" s="118">
        <f t="shared" si="17"/>
        <v>6200</v>
      </c>
      <c r="S59" s="1">
        <v>0</v>
      </c>
      <c r="T59" s="1">
        <v>0</v>
      </c>
      <c r="U59" s="1">
        <v>0</v>
      </c>
      <c r="V59" s="1">
        <v>0</v>
      </c>
      <c r="W59" s="194">
        <v>45748</v>
      </c>
      <c r="X59" s="194">
        <v>45777</v>
      </c>
      <c r="Y59" s="12" t="s">
        <v>427</v>
      </c>
      <c r="Z59" s="14">
        <v>895.67</v>
      </c>
      <c r="AA59" s="1">
        <v>904.44</v>
      </c>
      <c r="AB59" s="14">
        <v>45.67</v>
      </c>
      <c r="AC59" s="15">
        <v>45.67</v>
      </c>
      <c r="AD59" s="14">
        <v>42.23</v>
      </c>
      <c r="AE59" s="15">
        <v>42.23</v>
      </c>
      <c r="AF59" s="45">
        <v>7016</v>
      </c>
      <c r="AG59" s="1">
        <v>0</v>
      </c>
      <c r="AH59" s="1">
        <v>0</v>
      </c>
      <c r="AI59" s="1">
        <v>0</v>
      </c>
      <c r="AJ59" s="1">
        <v>0</v>
      </c>
      <c r="AK59" s="194">
        <v>45748</v>
      </c>
      <c r="AL59" s="194">
        <v>45777</v>
      </c>
      <c r="AM59" s="12" t="s">
        <v>1131</v>
      </c>
      <c r="AN59" s="12" t="s">
        <v>1492</v>
      </c>
      <c r="AO59" s="14">
        <v>895.67</v>
      </c>
      <c r="AP59" s="193">
        <v>904.44</v>
      </c>
      <c r="AQ59" s="14">
        <v>45.67</v>
      </c>
      <c r="AR59" s="46">
        <v>45.97</v>
      </c>
      <c r="AS59" s="14">
        <v>44.91</v>
      </c>
      <c r="AT59" s="1">
        <v>45.9</v>
      </c>
      <c r="AU59" s="1">
        <f t="shared" si="26"/>
        <v>7016</v>
      </c>
      <c r="AV59" s="1">
        <f t="shared" si="27"/>
        <v>240</v>
      </c>
      <c r="AW59" s="1">
        <f t="shared" si="28"/>
        <v>792</v>
      </c>
      <c r="AX59" s="118">
        <f t="shared" si="25"/>
        <v>7016</v>
      </c>
      <c r="AY59" s="1">
        <v>0</v>
      </c>
      <c r="AZ59" s="1">
        <v>1</v>
      </c>
      <c r="BA59" s="1">
        <v>10</v>
      </c>
      <c r="BB59" s="1">
        <v>14</v>
      </c>
      <c r="BC59" s="116">
        <f t="shared" si="10"/>
        <v>0</v>
      </c>
      <c r="BD59" s="12">
        <f t="shared" si="20"/>
        <v>2732950</v>
      </c>
      <c r="BE59" s="12">
        <f t="shared" si="21"/>
        <v>5000579395</v>
      </c>
      <c r="BF59" s="135">
        <v>0</v>
      </c>
    </row>
    <row r="60" spans="1:58">
      <c r="A60" s="1">
        <f t="shared" si="11"/>
        <v>56</v>
      </c>
      <c r="B60" s="1" t="s">
        <v>1225</v>
      </c>
      <c r="C60" s="12" t="s">
        <v>1200</v>
      </c>
      <c r="D60" s="12">
        <v>5000579329</v>
      </c>
      <c r="E60" s="251" t="s">
        <v>1224</v>
      </c>
      <c r="F60" s="12">
        <v>2772398</v>
      </c>
      <c r="G60" s="17" t="s">
        <v>1225</v>
      </c>
      <c r="H60" s="12">
        <v>400</v>
      </c>
      <c r="I60" s="194">
        <v>45778</v>
      </c>
      <c r="J60" s="194">
        <v>45808</v>
      </c>
      <c r="K60" s="12" t="s">
        <v>427</v>
      </c>
      <c r="L60" s="203">
        <v>1526.8</v>
      </c>
      <c r="M60" s="562">
        <v>1553.3</v>
      </c>
      <c r="N60" s="203">
        <v>25.5</v>
      </c>
      <c r="O60" s="15">
        <f t="shared" si="22"/>
        <v>25.5</v>
      </c>
      <c r="P60" s="203">
        <v>289.8</v>
      </c>
      <c r="Q60" s="15">
        <f t="shared" si="15"/>
        <v>289.8</v>
      </c>
      <c r="R60" s="118">
        <f t="shared" si="17"/>
        <v>10600</v>
      </c>
      <c r="S60" s="1">
        <v>0</v>
      </c>
      <c r="T60" s="1">
        <v>0</v>
      </c>
      <c r="U60" s="1">
        <v>0</v>
      </c>
      <c r="V60" s="1">
        <v>0</v>
      </c>
      <c r="W60" s="194">
        <v>45748</v>
      </c>
      <c r="X60" s="194">
        <v>45777</v>
      </c>
      <c r="Y60" s="12" t="s">
        <v>427</v>
      </c>
      <c r="Z60" s="14">
        <v>1497.7</v>
      </c>
      <c r="AA60" s="1">
        <v>1526.8</v>
      </c>
      <c r="AB60" s="14">
        <v>25.4</v>
      </c>
      <c r="AC60" s="15">
        <v>25.4</v>
      </c>
      <c r="AD60" s="14">
        <v>257.5</v>
      </c>
      <c r="AE60" s="15">
        <v>257.5</v>
      </c>
      <c r="AF60" s="45">
        <v>11640</v>
      </c>
      <c r="AG60" s="1">
        <v>0</v>
      </c>
      <c r="AH60" s="1">
        <v>0</v>
      </c>
      <c r="AI60" s="1">
        <v>0</v>
      </c>
      <c r="AJ60" s="1">
        <v>0</v>
      </c>
      <c r="AK60" s="194">
        <v>45748</v>
      </c>
      <c r="AL60" s="194">
        <v>45777</v>
      </c>
      <c r="AM60" s="12" t="s">
        <v>1131</v>
      </c>
      <c r="AN60" s="12" t="s">
        <v>1491</v>
      </c>
      <c r="AO60" s="14">
        <v>1497.7</v>
      </c>
      <c r="AP60" s="193">
        <v>1526.8</v>
      </c>
      <c r="AQ60" s="14">
        <v>25.4</v>
      </c>
      <c r="AR60" s="46">
        <v>25.5</v>
      </c>
      <c r="AS60" s="14">
        <v>280.89999999999998</v>
      </c>
      <c r="AT60" s="1">
        <v>289.8</v>
      </c>
      <c r="AU60" s="1">
        <f t="shared" si="26"/>
        <v>11640</v>
      </c>
      <c r="AV60" s="1">
        <f t="shared" si="27"/>
        <v>40</v>
      </c>
      <c r="AW60" s="1">
        <f t="shared" si="28"/>
        <v>3560</v>
      </c>
      <c r="AX60" s="118">
        <f t="shared" si="25"/>
        <v>11640</v>
      </c>
      <c r="AY60" s="1">
        <v>0</v>
      </c>
      <c r="AZ60" s="1">
        <v>0</v>
      </c>
      <c r="BA60" s="1">
        <v>81</v>
      </c>
      <c r="BB60" s="1">
        <v>78</v>
      </c>
      <c r="BC60" s="116">
        <f t="shared" si="10"/>
        <v>0</v>
      </c>
      <c r="BD60" s="12">
        <f t="shared" si="20"/>
        <v>2772398</v>
      </c>
      <c r="BE60" s="12">
        <f t="shared" si="21"/>
        <v>5000579329</v>
      </c>
      <c r="BF60" s="135">
        <v>0</v>
      </c>
    </row>
    <row r="61" spans="1:58">
      <c r="A61" s="1">
        <f t="shared" si="11"/>
        <v>57</v>
      </c>
      <c r="B61" s="1" t="s">
        <v>1227</v>
      </c>
      <c r="C61" s="12" t="s">
        <v>1200</v>
      </c>
      <c r="D61" s="12">
        <v>5000579079</v>
      </c>
      <c r="E61" s="251" t="s">
        <v>1226</v>
      </c>
      <c r="F61" s="12">
        <v>73069392</v>
      </c>
      <c r="G61" s="17" t="s">
        <v>1227</v>
      </c>
      <c r="H61" s="12">
        <v>1</v>
      </c>
      <c r="I61" s="194">
        <v>45778</v>
      </c>
      <c r="J61" s="194">
        <v>45808</v>
      </c>
      <c r="K61" s="12" t="s">
        <v>427</v>
      </c>
      <c r="L61" s="117">
        <v>1718584</v>
      </c>
      <c r="M61" s="562">
        <v>1723450</v>
      </c>
      <c r="N61" s="203">
        <v>949190</v>
      </c>
      <c r="O61" s="15">
        <f t="shared" si="22"/>
        <v>949190</v>
      </c>
      <c r="P61" s="203">
        <v>1502</v>
      </c>
      <c r="Q61" s="15">
        <f t="shared" si="15"/>
        <v>1502</v>
      </c>
      <c r="R61" s="118">
        <f t="shared" si="17"/>
        <v>4866</v>
      </c>
      <c r="S61" s="1">
        <v>0</v>
      </c>
      <c r="T61" s="1">
        <v>0</v>
      </c>
      <c r="U61" s="1">
        <v>0</v>
      </c>
      <c r="V61" s="1">
        <v>0</v>
      </c>
      <c r="W61" s="194">
        <v>45748</v>
      </c>
      <c r="X61" s="194">
        <v>45777</v>
      </c>
      <c r="Y61" s="12" t="s">
        <v>427</v>
      </c>
      <c r="Z61" s="14">
        <v>1713360</v>
      </c>
      <c r="AA61" s="1">
        <v>1718584</v>
      </c>
      <c r="AB61" s="14">
        <v>949190</v>
      </c>
      <c r="AC61" s="15">
        <v>949190</v>
      </c>
      <c r="AD61" s="14">
        <v>1428</v>
      </c>
      <c r="AE61" s="15">
        <v>1428</v>
      </c>
      <c r="AF61" s="45">
        <v>5224</v>
      </c>
      <c r="AG61" s="1">
        <v>0</v>
      </c>
      <c r="AH61" s="1">
        <v>0</v>
      </c>
      <c r="AI61" s="1">
        <v>0</v>
      </c>
      <c r="AJ61" s="1">
        <v>0</v>
      </c>
      <c r="AK61" s="194">
        <v>45748</v>
      </c>
      <c r="AL61" s="194">
        <v>45777</v>
      </c>
      <c r="AM61" s="12" t="s">
        <v>1131</v>
      </c>
      <c r="AN61" s="12"/>
      <c r="AO61" s="14">
        <v>1713360</v>
      </c>
      <c r="AP61" s="564">
        <v>1718584</v>
      </c>
      <c r="AQ61" s="14">
        <v>949190</v>
      </c>
      <c r="AR61" s="46">
        <v>949190</v>
      </c>
      <c r="AS61" s="14">
        <v>1502</v>
      </c>
      <c r="AT61" s="1">
        <v>1502</v>
      </c>
      <c r="AU61" s="1">
        <f t="shared" si="26"/>
        <v>5224</v>
      </c>
      <c r="AV61" s="1">
        <f t="shared" si="27"/>
        <v>0</v>
      </c>
      <c r="AW61" s="1">
        <f t="shared" si="28"/>
        <v>0</v>
      </c>
      <c r="AX61" s="118">
        <f t="shared" si="25"/>
        <v>5224</v>
      </c>
      <c r="AY61" s="1">
        <v>0</v>
      </c>
      <c r="AZ61" s="1">
        <v>0</v>
      </c>
      <c r="BA61" s="1">
        <v>0</v>
      </c>
      <c r="BB61" s="1">
        <v>0</v>
      </c>
      <c r="BC61" s="116">
        <f t="shared" si="10"/>
        <v>0</v>
      </c>
      <c r="BD61" s="12">
        <f t="shared" si="20"/>
        <v>73069392</v>
      </c>
      <c r="BE61" s="12">
        <f t="shared" si="21"/>
        <v>5000579079</v>
      </c>
      <c r="BF61" s="135">
        <v>0</v>
      </c>
    </row>
    <row r="62" spans="1:58">
      <c r="A62" s="1">
        <f t="shared" si="11"/>
        <v>58</v>
      </c>
      <c r="B62" s="1" t="s">
        <v>1265</v>
      </c>
      <c r="C62" s="12" t="s">
        <v>1200</v>
      </c>
      <c r="D62" s="12">
        <v>5000580534</v>
      </c>
      <c r="E62" s="251" t="s">
        <v>1146</v>
      </c>
      <c r="F62" s="12">
        <v>2753290</v>
      </c>
      <c r="G62" s="17" t="s">
        <v>1265</v>
      </c>
      <c r="H62" s="12">
        <v>1200</v>
      </c>
      <c r="I62" s="194">
        <v>45778</v>
      </c>
      <c r="J62" s="194">
        <v>45808</v>
      </c>
      <c r="K62" s="12" t="s">
        <v>427</v>
      </c>
      <c r="L62" s="117">
        <v>24393.06</v>
      </c>
      <c r="M62" s="562">
        <v>24408.85</v>
      </c>
      <c r="N62" s="203">
        <v>4489.37</v>
      </c>
      <c r="O62" s="15">
        <f t="shared" si="22"/>
        <v>4489.37</v>
      </c>
      <c r="P62" s="203">
        <v>732.12</v>
      </c>
      <c r="Q62" s="15">
        <f t="shared" si="15"/>
        <v>732.12</v>
      </c>
      <c r="R62" s="118">
        <f t="shared" si="17"/>
        <v>18948</v>
      </c>
      <c r="S62" s="1">
        <v>0</v>
      </c>
      <c r="T62" s="1">
        <v>0</v>
      </c>
      <c r="U62" s="1">
        <v>0</v>
      </c>
      <c r="V62" s="1">
        <v>0</v>
      </c>
      <c r="W62" s="194">
        <v>45748</v>
      </c>
      <c r="X62" s="194">
        <v>45777</v>
      </c>
      <c r="Y62" s="12" t="s">
        <v>427</v>
      </c>
      <c r="Z62" s="14">
        <v>24376.77</v>
      </c>
      <c r="AA62" s="1">
        <v>24393.06</v>
      </c>
      <c r="AB62" s="14">
        <v>4489.37</v>
      </c>
      <c r="AC62" s="15">
        <v>4489.37</v>
      </c>
      <c r="AD62" s="14">
        <v>703.07</v>
      </c>
      <c r="AE62" s="15">
        <v>703.07</v>
      </c>
      <c r="AF62" s="45">
        <v>19548</v>
      </c>
      <c r="AG62" s="1">
        <v>0</v>
      </c>
      <c r="AH62" s="1">
        <v>0</v>
      </c>
      <c r="AI62" s="1">
        <v>0</v>
      </c>
      <c r="AJ62" s="1">
        <v>0</v>
      </c>
      <c r="AK62" s="194">
        <v>45748</v>
      </c>
      <c r="AL62" s="194">
        <v>45777</v>
      </c>
      <c r="AM62" s="12" t="s">
        <v>1131</v>
      </c>
      <c r="AN62" s="12" t="s">
        <v>1498</v>
      </c>
      <c r="AO62" s="14">
        <v>24376.77</v>
      </c>
      <c r="AP62" s="193">
        <v>24393.06</v>
      </c>
      <c r="AQ62" s="14">
        <v>4489.37</v>
      </c>
      <c r="AR62" s="46">
        <v>4489.37</v>
      </c>
      <c r="AS62" s="14">
        <v>721.62</v>
      </c>
      <c r="AT62" s="1">
        <v>732.12</v>
      </c>
      <c r="AU62" s="1">
        <f t="shared" si="26"/>
        <v>19548</v>
      </c>
      <c r="AV62" s="1">
        <f t="shared" si="27"/>
        <v>0</v>
      </c>
      <c r="AW62" s="1">
        <f t="shared" si="28"/>
        <v>12600</v>
      </c>
      <c r="AX62" s="118">
        <f t="shared" si="25"/>
        <v>19548</v>
      </c>
      <c r="AY62" s="1">
        <v>0</v>
      </c>
      <c r="AZ62" s="1">
        <v>0</v>
      </c>
      <c r="BA62" s="1">
        <v>3553</v>
      </c>
      <c r="BB62" s="1">
        <v>772</v>
      </c>
      <c r="BC62" s="116">
        <f t="shared" si="10"/>
        <v>0</v>
      </c>
      <c r="BD62" s="12">
        <f t="shared" si="20"/>
        <v>2753290</v>
      </c>
      <c r="BE62" s="12">
        <f t="shared" si="21"/>
        <v>5000580534</v>
      </c>
      <c r="BF62" s="135">
        <v>0</v>
      </c>
    </row>
    <row r="63" spans="1:58">
      <c r="A63" s="1">
        <f t="shared" si="11"/>
        <v>59</v>
      </c>
      <c r="B63" s="207" t="s">
        <v>1231</v>
      </c>
      <c r="C63" s="12" t="s">
        <v>1200</v>
      </c>
      <c r="D63" s="12">
        <v>5000582524</v>
      </c>
      <c r="E63" s="251" t="s">
        <v>1228</v>
      </c>
      <c r="F63" s="12" t="s">
        <v>1426</v>
      </c>
      <c r="G63" s="17" t="s">
        <v>1266</v>
      </c>
      <c r="H63" s="12">
        <v>20</v>
      </c>
      <c r="I63" s="194">
        <v>45778</v>
      </c>
      <c r="J63" s="194">
        <v>45808</v>
      </c>
      <c r="K63" s="12" t="s">
        <v>427</v>
      </c>
      <c r="L63" s="313">
        <v>800</v>
      </c>
      <c r="M63" s="562">
        <v>918</v>
      </c>
      <c r="N63" s="203">
        <v>6</v>
      </c>
      <c r="O63" s="15">
        <f t="shared" si="22"/>
        <v>6</v>
      </c>
      <c r="P63" s="203">
        <v>113</v>
      </c>
      <c r="Q63" s="15">
        <f t="shared" si="15"/>
        <v>113</v>
      </c>
      <c r="R63" s="118">
        <f t="shared" si="17"/>
        <v>2360</v>
      </c>
      <c r="S63" s="1">
        <v>0</v>
      </c>
      <c r="T63" s="1">
        <v>0</v>
      </c>
      <c r="U63" s="1">
        <v>0</v>
      </c>
      <c r="V63" s="1">
        <v>0</v>
      </c>
      <c r="W63" s="194">
        <v>45748</v>
      </c>
      <c r="X63" s="194">
        <v>45777</v>
      </c>
      <c r="Y63" s="12" t="s">
        <v>427</v>
      </c>
      <c r="Z63" s="14">
        <v>511</v>
      </c>
      <c r="AA63" s="1">
        <v>709</v>
      </c>
      <c r="AB63" s="14">
        <v>6</v>
      </c>
      <c r="AC63" s="15">
        <v>6</v>
      </c>
      <c r="AD63" s="14">
        <v>0</v>
      </c>
      <c r="AE63" s="15">
        <v>0</v>
      </c>
      <c r="AF63" s="45">
        <v>3960</v>
      </c>
      <c r="AG63" s="1">
        <v>0</v>
      </c>
      <c r="AH63" s="1">
        <v>0</v>
      </c>
      <c r="AI63" s="1">
        <v>0</v>
      </c>
      <c r="AJ63" s="1">
        <v>0</v>
      </c>
      <c r="AK63" s="194">
        <v>45748</v>
      </c>
      <c r="AL63" s="194">
        <v>45777</v>
      </c>
      <c r="AM63" s="12" t="s">
        <v>1131</v>
      </c>
      <c r="AN63" s="12" t="s">
        <v>1495</v>
      </c>
      <c r="AO63" s="14">
        <v>511</v>
      </c>
      <c r="AP63" s="193">
        <v>800</v>
      </c>
      <c r="AQ63" s="14">
        <v>6</v>
      </c>
      <c r="AR63" s="46">
        <v>6</v>
      </c>
      <c r="AS63" s="14">
        <v>113</v>
      </c>
      <c r="AT63" s="1">
        <v>113</v>
      </c>
      <c r="AU63" s="1">
        <f t="shared" si="26"/>
        <v>5780</v>
      </c>
      <c r="AV63" s="1">
        <f t="shared" si="27"/>
        <v>0</v>
      </c>
      <c r="AW63" s="1">
        <f t="shared" si="28"/>
        <v>0</v>
      </c>
      <c r="AX63" s="118">
        <f t="shared" si="25"/>
        <v>5780</v>
      </c>
      <c r="AY63" s="1">
        <v>0</v>
      </c>
      <c r="AZ63" s="1">
        <v>0</v>
      </c>
      <c r="BA63" s="1">
        <v>0</v>
      </c>
      <c r="BB63" s="1">
        <v>0</v>
      </c>
      <c r="BC63" s="116">
        <f t="shared" si="10"/>
        <v>1820</v>
      </c>
      <c r="BD63" s="12" t="str">
        <f t="shared" si="20"/>
        <v>UGEUEDN19210003119</v>
      </c>
      <c r="BE63" s="12">
        <f t="shared" si="21"/>
        <v>5000582524</v>
      </c>
      <c r="BF63" s="135">
        <v>0</v>
      </c>
    </row>
    <row r="64" spans="1:58">
      <c r="A64" s="1">
        <f t="shared" si="11"/>
        <v>60</v>
      </c>
      <c r="B64" s="207" t="s">
        <v>1231</v>
      </c>
      <c r="C64" s="12" t="s">
        <v>1200</v>
      </c>
      <c r="D64" s="12">
        <v>5000582520</v>
      </c>
      <c r="E64" s="251" t="s">
        <v>1229</v>
      </c>
      <c r="F64" s="12" t="s">
        <v>1230</v>
      </c>
      <c r="G64" s="17" t="s">
        <v>1267</v>
      </c>
      <c r="H64" s="12">
        <v>20</v>
      </c>
      <c r="I64" s="194">
        <v>45778</v>
      </c>
      <c r="J64" s="194">
        <v>45808</v>
      </c>
      <c r="K64" s="12" t="s">
        <v>427</v>
      </c>
      <c r="L64" s="313">
        <v>24527.43</v>
      </c>
      <c r="M64" s="562">
        <v>24675.21</v>
      </c>
      <c r="N64" s="203">
        <v>3570</v>
      </c>
      <c r="O64" s="15">
        <f t="shared" si="22"/>
        <v>3570</v>
      </c>
      <c r="P64" s="203">
        <v>2672</v>
      </c>
      <c r="Q64" s="15">
        <f t="shared" si="15"/>
        <v>2672</v>
      </c>
      <c r="R64" s="118">
        <f t="shared" si="17"/>
        <v>2956</v>
      </c>
      <c r="S64" s="1">
        <v>0</v>
      </c>
      <c r="T64" s="1">
        <v>0</v>
      </c>
      <c r="U64" s="1">
        <v>0</v>
      </c>
      <c r="V64" s="1">
        <v>0</v>
      </c>
      <c r="W64" s="194">
        <v>45748</v>
      </c>
      <c r="X64" s="194">
        <v>45777</v>
      </c>
      <c r="Y64" s="12" t="s">
        <v>427</v>
      </c>
      <c r="Z64" s="14">
        <v>24349</v>
      </c>
      <c r="AA64" s="1">
        <v>24527.43</v>
      </c>
      <c r="AB64" s="14">
        <v>3570</v>
      </c>
      <c r="AC64" s="15">
        <v>3570</v>
      </c>
      <c r="AD64" s="14">
        <v>2627.66</v>
      </c>
      <c r="AE64" s="15">
        <v>2627.66</v>
      </c>
      <c r="AF64" s="45">
        <v>3569</v>
      </c>
      <c r="AG64" s="1">
        <v>0</v>
      </c>
      <c r="AH64" s="1">
        <v>0</v>
      </c>
      <c r="AI64" s="1">
        <v>0</v>
      </c>
      <c r="AJ64" s="1">
        <v>0</v>
      </c>
      <c r="AK64" s="194">
        <v>45748</v>
      </c>
      <c r="AL64" s="194">
        <v>45777</v>
      </c>
      <c r="AM64" s="12" t="s">
        <v>1131</v>
      </c>
      <c r="AN64" s="12"/>
      <c r="AO64" s="203">
        <v>24349</v>
      </c>
      <c r="AP64" s="564">
        <v>24527.43</v>
      </c>
      <c r="AQ64" s="14">
        <v>3570</v>
      </c>
      <c r="AR64" s="46">
        <v>3570</v>
      </c>
      <c r="AS64" s="203">
        <v>2672</v>
      </c>
      <c r="AT64" s="1">
        <v>2672</v>
      </c>
      <c r="AU64" s="1">
        <f t="shared" si="26"/>
        <v>3569</v>
      </c>
      <c r="AV64" s="1">
        <f t="shared" si="27"/>
        <v>0</v>
      </c>
      <c r="AW64" s="1">
        <f t="shared" si="28"/>
        <v>0</v>
      </c>
      <c r="AX64" s="118">
        <f t="shared" si="25"/>
        <v>3569</v>
      </c>
      <c r="AY64" s="1">
        <v>0</v>
      </c>
      <c r="AZ64" s="1">
        <v>0</v>
      </c>
      <c r="BA64" s="1">
        <v>0</v>
      </c>
      <c r="BB64" s="1">
        <v>0</v>
      </c>
      <c r="BC64" s="116">
        <f t="shared" si="10"/>
        <v>0</v>
      </c>
      <c r="BD64" s="12" t="str">
        <f t="shared" si="20"/>
        <v>16G14570110072302</v>
      </c>
      <c r="BE64" s="12">
        <f t="shared" si="21"/>
        <v>5000582520</v>
      </c>
      <c r="BF64" s="135">
        <v>0</v>
      </c>
    </row>
    <row r="65" spans="1:58">
      <c r="A65" s="1">
        <f t="shared" si="11"/>
        <v>61</v>
      </c>
      <c r="B65" s="207" t="s">
        <v>1231</v>
      </c>
      <c r="C65" s="12" t="s">
        <v>1200</v>
      </c>
      <c r="D65" s="12">
        <v>5000582523</v>
      </c>
      <c r="E65" s="251" t="s">
        <v>1232</v>
      </c>
      <c r="F65" s="12" t="s">
        <v>1233</v>
      </c>
      <c r="G65" s="17" t="s">
        <v>1268</v>
      </c>
      <c r="H65" s="12">
        <v>20</v>
      </c>
      <c r="I65" s="194">
        <v>45778</v>
      </c>
      <c r="J65" s="194">
        <v>45808</v>
      </c>
      <c r="K65" s="12" t="s">
        <v>427</v>
      </c>
      <c r="L65" s="313">
        <v>10252.92</v>
      </c>
      <c r="M65" s="562">
        <v>10403.16</v>
      </c>
      <c r="N65" s="203">
        <v>346</v>
      </c>
      <c r="O65" s="15">
        <f t="shared" si="22"/>
        <v>346</v>
      </c>
      <c r="P65" s="203">
        <v>3166</v>
      </c>
      <c r="Q65" s="15">
        <f t="shared" si="15"/>
        <v>3166</v>
      </c>
      <c r="R65" s="118">
        <f t="shared" si="17"/>
        <v>3005</v>
      </c>
      <c r="S65" s="1">
        <v>0</v>
      </c>
      <c r="T65" s="1">
        <v>0</v>
      </c>
      <c r="U65" s="1">
        <v>0</v>
      </c>
      <c r="V65" s="1">
        <v>0</v>
      </c>
      <c r="W65" s="194">
        <v>45748</v>
      </c>
      <c r="X65" s="194">
        <v>45777</v>
      </c>
      <c r="Y65" s="12" t="s">
        <v>427</v>
      </c>
      <c r="Z65" s="14">
        <v>10116</v>
      </c>
      <c r="AA65" s="1">
        <v>10252.92</v>
      </c>
      <c r="AB65" s="14">
        <v>346</v>
      </c>
      <c r="AC65" s="15">
        <v>346</v>
      </c>
      <c r="AD65" s="14">
        <v>3053.67</v>
      </c>
      <c r="AE65" s="15">
        <v>3053.67</v>
      </c>
      <c r="AF65" s="45">
        <v>2738</v>
      </c>
      <c r="AG65" s="1">
        <v>0</v>
      </c>
      <c r="AH65" s="1">
        <v>0</v>
      </c>
      <c r="AI65" s="1">
        <v>0</v>
      </c>
      <c r="AJ65" s="1">
        <v>0</v>
      </c>
      <c r="AK65" s="194">
        <v>45748</v>
      </c>
      <c r="AL65" s="194">
        <v>45777</v>
      </c>
      <c r="AM65" s="12" t="s">
        <v>1131</v>
      </c>
      <c r="AN65" s="12"/>
      <c r="AO65" s="14">
        <v>10116</v>
      </c>
      <c r="AP65" s="564">
        <v>10252.92</v>
      </c>
      <c r="AQ65" s="14">
        <v>346</v>
      </c>
      <c r="AR65" s="46">
        <v>346</v>
      </c>
      <c r="AS65" s="14">
        <v>3166</v>
      </c>
      <c r="AT65" s="1">
        <v>3166</v>
      </c>
      <c r="AU65" s="1">
        <f t="shared" si="26"/>
        <v>2738</v>
      </c>
      <c r="AV65" s="1">
        <f t="shared" si="27"/>
        <v>0</v>
      </c>
      <c r="AW65" s="1">
        <f t="shared" si="28"/>
        <v>0</v>
      </c>
      <c r="AX65" s="124">
        <f t="shared" si="25"/>
        <v>2738</v>
      </c>
      <c r="AY65" s="1">
        <v>0</v>
      </c>
      <c r="AZ65" s="1">
        <v>0</v>
      </c>
      <c r="BA65" s="1">
        <v>0</v>
      </c>
      <c r="BB65" s="1">
        <v>0</v>
      </c>
      <c r="BC65" s="116">
        <f t="shared" si="10"/>
        <v>0</v>
      </c>
      <c r="BD65" s="12" t="str">
        <f t="shared" si="20"/>
        <v>20G14570110097954</v>
      </c>
      <c r="BE65" s="12">
        <f t="shared" si="21"/>
        <v>5000582523</v>
      </c>
      <c r="BF65" s="135">
        <v>0</v>
      </c>
    </row>
    <row r="66" spans="1:58">
      <c r="A66" s="1">
        <f t="shared" si="11"/>
        <v>62</v>
      </c>
      <c r="B66" s="1" t="s">
        <v>1231</v>
      </c>
      <c r="C66" s="12" t="s">
        <v>1200</v>
      </c>
      <c r="D66" s="12">
        <v>5000582521</v>
      </c>
      <c r="E66" s="251" t="s">
        <v>1234</v>
      </c>
      <c r="F66" s="12" t="s">
        <v>1235</v>
      </c>
      <c r="G66" s="17" t="s">
        <v>1269</v>
      </c>
      <c r="H66" s="12">
        <v>1</v>
      </c>
      <c r="I66" s="194">
        <v>45778</v>
      </c>
      <c r="J66" s="194">
        <v>45808</v>
      </c>
      <c r="K66" s="12" t="s">
        <v>427</v>
      </c>
      <c r="L66" s="117">
        <v>43413</v>
      </c>
      <c r="M66" s="562">
        <v>43985</v>
      </c>
      <c r="N66" s="203">
        <v>1606</v>
      </c>
      <c r="O66" s="15">
        <f t="shared" si="22"/>
        <v>1606</v>
      </c>
      <c r="P66" s="203">
        <v>9688</v>
      </c>
      <c r="Q66" s="15">
        <f t="shared" si="15"/>
        <v>9688</v>
      </c>
      <c r="R66" s="118">
        <f t="shared" si="17"/>
        <v>572</v>
      </c>
      <c r="S66" s="1">
        <v>0</v>
      </c>
      <c r="T66" s="1">
        <v>0</v>
      </c>
      <c r="U66" s="1">
        <v>0</v>
      </c>
      <c r="V66" s="1">
        <v>0</v>
      </c>
      <c r="W66" s="194">
        <v>45748</v>
      </c>
      <c r="X66" s="194">
        <v>45777</v>
      </c>
      <c r="Y66" s="12" t="s">
        <v>427</v>
      </c>
      <c r="Z66" s="14">
        <v>42685</v>
      </c>
      <c r="AA66" s="1">
        <v>43313</v>
      </c>
      <c r="AB66" s="14">
        <v>1606</v>
      </c>
      <c r="AC66" s="15">
        <v>1606</v>
      </c>
      <c r="AD66" s="14">
        <v>9342</v>
      </c>
      <c r="AE66" s="15">
        <v>9342</v>
      </c>
      <c r="AF66" s="45">
        <v>628</v>
      </c>
      <c r="AG66" s="1">
        <v>0</v>
      </c>
      <c r="AH66" s="1">
        <v>0</v>
      </c>
      <c r="AI66" s="1">
        <v>0</v>
      </c>
      <c r="AJ66" s="1">
        <v>0</v>
      </c>
      <c r="AK66" s="194">
        <v>45748</v>
      </c>
      <c r="AL66" s="194">
        <v>45777</v>
      </c>
      <c r="AM66" s="12" t="s">
        <v>1131</v>
      </c>
      <c r="AN66" s="12" t="s">
        <v>1494</v>
      </c>
      <c r="AO66" s="14">
        <v>42685</v>
      </c>
      <c r="AP66" s="193">
        <v>43413</v>
      </c>
      <c r="AQ66" s="14">
        <v>1606</v>
      </c>
      <c r="AR66" s="46">
        <v>1606</v>
      </c>
      <c r="AS66" s="14">
        <v>9688</v>
      </c>
      <c r="AT66" s="1">
        <v>9688</v>
      </c>
      <c r="AU66" s="1">
        <f t="shared" si="26"/>
        <v>728</v>
      </c>
      <c r="AV66" s="1">
        <f t="shared" si="27"/>
        <v>0</v>
      </c>
      <c r="AW66" s="1">
        <f t="shared" si="28"/>
        <v>0</v>
      </c>
      <c r="AX66" s="118">
        <f t="shared" si="25"/>
        <v>728</v>
      </c>
      <c r="AY66" s="1">
        <v>0</v>
      </c>
      <c r="AZ66" s="1">
        <v>0</v>
      </c>
      <c r="BA66" s="1">
        <v>0</v>
      </c>
      <c r="BB66" s="1">
        <v>0</v>
      </c>
      <c r="BC66" s="116">
        <f t="shared" si="10"/>
        <v>100</v>
      </c>
      <c r="BD66" s="12" t="str">
        <f t="shared" si="20"/>
        <v>1000027339517</v>
      </c>
      <c r="BE66" s="12">
        <f t="shared" si="21"/>
        <v>5000582521</v>
      </c>
      <c r="BF66" s="135">
        <v>0</v>
      </c>
    </row>
    <row r="67" spans="1:58">
      <c r="A67" s="1">
        <f t="shared" si="11"/>
        <v>63</v>
      </c>
      <c r="B67" s="207" t="s">
        <v>1231</v>
      </c>
      <c r="C67" s="12" t="s">
        <v>1200</v>
      </c>
      <c r="D67" s="12">
        <v>5000595702</v>
      </c>
      <c r="E67" s="251" t="s">
        <v>1236</v>
      </c>
      <c r="F67" s="12" t="s">
        <v>1237</v>
      </c>
      <c r="G67" s="17" t="s">
        <v>1270</v>
      </c>
      <c r="H67" s="12">
        <v>50</v>
      </c>
      <c r="I67" s="194">
        <v>45778</v>
      </c>
      <c r="J67" s="194">
        <v>45808</v>
      </c>
      <c r="K67" s="12" t="s">
        <v>427</v>
      </c>
      <c r="L67" s="117">
        <v>50</v>
      </c>
      <c r="M67" s="562">
        <v>50</v>
      </c>
      <c r="N67" s="203">
        <v>7</v>
      </c>
      <c r="O67" s="15">
        <f t="shared" si="22"/>
        <v>7</v>
      </c>
      <c r="P67" s="203">
        <v>1</v>
      </c>
      <c r="Q67" s="15">
        <f t="shared" si="15"/>
        <v>1</v>
      </c>
      <c r="R67" s="118">
        <f t="shared" si="17"/>
        <v>0</v>
      </c>
      <c r="S67" s="1">
        <v>0</v>
      </c>
      <c r="T67" s="1">
        <v>0</v>
      </c>
      <c r="U67" s="1">
        <v>0</v>
      </c>
      <c r="V67" s="1">
        <v>0</v>
      </c>
      <c r="W67" s="194">
        <v>45748</v>
      </c>
      <c r="X67" s="194">
        <v>45777</v>
      </c>
      <c r="Y67" s="12" t="s">
        <v>427</v>
      </c>
      <c r="Z67" s="14">
        <v>44</v>
      </c>
      <c r="AA67" s="1">
        <v>44</v>
      </c>
      <c r="AB67" s="14">
        <v>7</v>
      </c>
      <c r="AC67" s="15">
        <v>7</v>
      </c>
      <c r="AD67" s="14">
        <v>1</v>
      </c>
      <c r="AE67" s="15">
        <v>1</v>
      </c>
      <c r="AF67" s="45">
        <v>0</v>
      </c>
      <c r="AG67" s="1">
        <v>0</v>
      </c>
      <c r="AH67" s="1">
        <v>0</v>
      </c>
      <c r="AI67" s="1">
        <v>0</v>
      </c>
      <c r="AJ67" s="1">
        <v>0</v>
      </c>
      <c r="AK67" s="194">
        <v>45748</v>
      </c>
      <c r="AL67" s="194">
        <v>45777</v>
      </c>
      <c r="AM67" s="12" t="s">
        <v>1131</v>
      </c>
      <c r="AN67" s="12" t="s">
        <v>1496</v>
      </c>
      <c r="AO67" s="14">
        <v>44</v>
      </c>
      <c r="AP67" s="193">
        <v>50</v>
      </c>
      <c r="AQ67" s="14">
        <v>7</v>
      </c>
      <c r="AR67" s="46">
        <v>7</v>
      </c>
      <c r="AS67" s="14">
        <v>1</v>
      </c>
      <c r="AT67" s="1">
        <v>1</v>
      </c>
      <c r="AU67" s="1">
        <f t="shared" si="26"/>
        <v>300</v>
      </c>
      <c r="AV67" s="1">
        <f t="shared" si="27"/>
        <v>0</v>
      </c>
      <c r="AW67" s="1">
        <f t="shared" si="28"/>
        <v>0</v>
      </c>
      <c r="AX67" s="118">
        <f t="shared" si="25"/>
        <v>300</v>
      </c>
      <c r="AY67" s="1">
        <v>0</v>
      </c>
      <c r="AZ67" s="1">
        <v>0</v>
      </c>
      <c r="BA67" s="1">
        <v>0</v>
      </c>
      <c r="BB67" s="1">
        <v>0</v>
      </c>
      <c r="BC67" s="116">
        <f>AX67-AF67</f>
        <v>300</v>
      </c>
      <c r="BD67" s="12" t="str">
        <f t="shared" si="20"/>
        <v>UGEUEDN19210002759</v>
      </c>
      <c r="BE67" s="12">
        <f t="shared" si="21"/>
        <v>5000595702</v>
      </c>
      <c r="BF67" s="135">
        <v>0</v>
      </c>
    </row>
    <row r="68" spans="1:58">
      <c r="A68" s="1">
        <f t="shared" si="11"/>
        <v>64</v>
      </c>
      <c r="B68" s="207" t="s">
        <v>1231</v>
      </c>
      <c r="C68" s="12" t="s">
        <v>1200</v>
      </c>
      <c r="D68" s="12">
        <v>5000582522</v>
      </c>
      <c r="E68" s="251" t="s">
        <v>1238</v>
      </c>
      <c r="F68" s="12" t="s">
        <v>1429</v>
      </c>
      <c r="G68" s="17" t="s">
        <v>1271</v>
      </c>
      <c r="H68" s="12">
        <v>30</v>
      </c>
      <c r="I68" s="194">
        <v>45778</v>
      </c>
      <c r="J68" s="194">
        <v>45808</v>
      </c>
      <c r="K68" s="12" t="s">
        <v>427</v>
      </c>
      <c r="L68" s="203">
        <v>201</v>
      </c>
      <c r="M68" s="562">
        <v>346</v>
      </c>
      <c r="N68" s="203">
        <v>3</v>
      </c>
      <c r="O68" s="15">
        <f t="shared" si="22"/>
        <v>3</v>
      </c>
      <c r="P68" s="203">
        <v>0</v>
      </c>
      <c r="Q68" s="15">
        <f t="shared" si="15"/>
        <v>0</v>
      </c>
      <c r="R68" s="118">
        <f t="shared" si="17"/>
        <v>4350</v>
      </c>
      <c r="S68" s="1">
        <v>0</v>
      </c>
      <c r="T68" s="1">
        <v>0</v>
      </c>
      <c r="U68" s="1">
        <v>0</v>
      </c>
      <c r="V68" s="1">
        <v>0</v>
      </c>
      <c r="W68" s="194">
        <v>45748</v>
      </c>
      <c r="X68" s="194">
        <v>45777</v>
      </c>
      <c r="Y68" s="12" t="s">
        <v>427</v>
      </c>
      <c r="Z68" s="14">
        <v>37</v>
      </c>
      <c r="AA68" s="1">
        <v>201</v>
      </c>
      <c r="AB68" s="14">
        <v>3</v>
      </c>
      <c r="AC68" s="15">
        <v>3</v>
      </c>
      <c r="AD68" s="14">
        <v>0</v>
      </c>
      <c r="AE68" s="15">
        <v>0</v>
      </c>
      <c r="AF68" s="45">
        <v>4920</v>
      </c>
      <c r="AG68" s="1">
        <v>0</v>
      </c>
      <c r="AH68" s="1">
        <v>0</v>
      </c>
      <c r="AI68" s="1">
        <v>0</v>
      </c>
      <c r="AJ68" s="1">
        <v>0</v>
      </c>
      <c r="AK68" s="194">
        <v>45748</v>
      </c>
      <c r="AL68" s="194">
        <v>45777</v>
      </c>
      <c r="AM68" s="12" t="s">
        <v>1131</v>
      </c>
      <c r="AN68" s="12"/>
      <c r="AO68" s="14">
        <v>37</v>
      </c>
      <c r="AP68" s="564">
        <v>201</v>
      </c>
      <c r="AQ68" s="14">
        <v>3</v>
      </c>
      <c r="AR68" s="46">
        <v>3</v>
      </c>
      <c r="AS68" s="14">
        <v>0</v>
      </c>
      <c r="AT68" s="1">
        <v>0</v>
      </c>
      <c r="AU68" s="1">
        <f t="shared" si="26"/>
        <v>4920</v>
      </c>
      <c r="AV68" s="1">
        <f t="shared" si="27"/>
        <v>0</v>
      </c>
      <c r="AW68" s="1">
        <f t="shared" si="28"/>
        <v>0</v>
      </c>
      <c r="AX68" s="124">
        <f>AU68</f>
        <v>4920</v>
      </c>
      <c r="AY68" s="1">
        <v>0</v>
      </c>
      <c r="AZ68" s="1">
        <v>0</v>
      </c>
      <c r="BA68" s="1">
        <v>0</v>
      </c>
      <c r="BB68" s="1">
        <v>0</v>
      </c>
      <c r="BC68" s="116">
        <f t="shared" si="10"/>
        <v>0</v>
      </c>
      <c r="BD68" s="12" t="str">
        <f t="shared" si="20"/>
        <v>UGEQEDN23210105526</v>
      </c>
      <c r="BE68" s="12">
        <f t="shared" si="21"/>
        <v>5000582522</v>
      </c>
      <c r="BF68" s="135">
        <v>0</v>
      </c>
    </row>
    <row r="69" spans="1:58">
      <c r="A69" s="1">
        <f t="shared" si="11"/>
        <v>65</v>
      </c>
      <c r="B69" s="207" t="s">
        <v>1272</v>
      </c>
      <c r="C69" s="12" t="s">
        <v>1240</v>
      </c>
      <c r="D69" s="12">
        <v>5000579252</v>
      </c>
      <c r="E69" s="251" t="s">
        <v>1239</v>
      </c>
      <c r="F69" s="12">
        <v>2742792</v>
      </c>
      <c r="G69" s="17" t="s">
        <v>1272</v>
      </c>
      <c r="H69" s="12">
        <v>800</v>
      </c>
      <c r="I69" s="194">
        <v>45778</v>
      </c>
      <c r="J69" s="194">
        <v>45808</v>
      </c>
      <c r="K69" s="12" t="s">
        <v>427</v>
      </c>
      <c r="L69" s="203">
        <v>13391.55</v>
      </c>
      <c r="M69" s="562">
        <v>13413.02</v>
      </c>
      <c r="N69" s="203">
        <v>1951.72</v>
      </c>
      <c r="O69" s="15">
        <f t="shared" si="22"/>
        <v>1951.72</v>
      </c>
      <c r="P69" s="203">
        <v>603.79</v>
      </c>
      <c r="Q69" s="15">
        <f t="shared" si="15"/>
        <v>603.79</v>
      </c>
      <c r="R69" s="118">
        <f t="shared" si="17"/>
        <v>17176</v>
      </c>
      <c r="S69" s="1">
        <v>0</v>
      </c>
      <c r="T69" s="1">
        <v>0</v>
      </c>
      <c r="U69" s="1">
        <v>0</v>
      </c>
      <c r="V69" s="1">
        <v>0</v>
      </c>
      <c r="W69" s="194">
        <v>45748</v>
      </c>
      <c r="X69" s="194">
        <v>45777</v>
      </c>
      <c r="Y69" s="12" t="s">
        <v>427</v>
      </c>
      <c r="Z69" s="14">
        <v>13356.03</v>
      </c>
      <c r="AA69" s="1">
        <v>13391.55</v>
      </c>
      <c r="AB69" s="14">
        <v>1950.11</v>
      </c>
      <c r="AC69" s="15">
        <v>1950.11</v>
      </c>
      <c r="AD69" s="14">
        <v>590.01</v>
      </c>
      <c r="AE69" s="15">
        <v>590.01</v>
      </c>
      <c r="AF69" s="45">
        <v>28416</v>
      </c>
      <c r="AG69" s="1">
        <v>0</v>
      </c>
      <c r="AH69" s="1">
        <v>0</v>
      </c>
      <c r="AI69" s="1">
        <v>0</v>
      </c>
      <c r="AJ69" s="1">
        <v>0</v>
      </c>
      <c r="AK69" s="194">
        <v>45748</v>
      </c>
      <c r="AL69" s="194">
        <v>45777</v>
      </c>
      <c r="AM69" s="12" t="s">
        <v>1131</v>
      </c>
      <c r="AN69" s="12" t="s">
        <v>1493</v>
      </c>
      <c r="AO69" s="14">
        <v>13356.03</v>
      </c>
      <c r="AP69" s="193">
        <v>13391.55</v>
      </c>
      <c r="AQ69" s="14">
        <v>1950.11</v>
      </c>
      <c r="AR69" s="46">
        <v>1951.72</v>
      </c>
      <c r="AS69" s="14">
        <v>599.32000000000005</v>
      </c>
      <c r="AT69" s="1">
        <v>603.79</v>
      </c>
      <c r="AU69" s="1">
        <f t="shared" si="26"/>
        <v>28416</v>
      </c>
      <c r="AV69" s="1">
        <f t="shared" si="27"/>
        <v>1288</v>
      </c>
      <c r="AW69" s="1">
        <f t="shared" si="28"/>
        <v>3576</v>
      </c>
      <c r="AX69" s="124">
        <f>AU69</f>
        <v>28416</v>
      </c>
      <c r="AY69" s="1">
        <v>3</v>
      </c>
      <c r="AZ69" s="1">
        <v>0</v>
      </c>
      <c r="BA69" s="1">
        <v>180</v>
      </c>
      <c r="BB69" s="1">
        <v>4</v>
      </c>
      <c r="BC69" s="116">
        <f t="shared" si="10"/>
        <v>0</v>
      </c>
      <c r="BD69" s="12">
        <f t="shared" si="20"/>
        <v>2742792</v>
      </c>
      <c r="BE69" s="12">
        <f t="shared" si="21"/>
        <v>5000579252</v>
      </c>
      <c r="BF69" s="135">
        <v>0</v>
      </c>
    </row>
    <row r="70" spans="1:58" s="255" customFormat="1">
      <c r="A70" s="16"/>
      <c r="B70" s="278" t="s">
        <v>1318</v>
      </c>
      <c r="C70" s="279"/>
      <c r="D70" s="279"/>
      <c r="E70" s="279"/>
      <c r="F70" s="279"/>
      <c r="G70" s="279"/>
      <c r="H70" s="279"/>
      <c r="I70" s="279"/>
      <c r="J70" s="279"/>
      <c r="K70" s="279"/>
      <c r="L70" s="135"/>
      <c r="M70" s="283">
        <v>0</v>
      </c>
      <c r="N70" s="135"/>
      <c r="O70" s="16"/>
      <c r="P70" s="135"/>
      <c r="Q70" s="16"/>
      <c r="R70" s="135"/>
      <c r="S70" s="16"/>
      <c r="T70" s="16"/>
      <c r="U70" s="16"/>
      <c r="V70" s="16"/>
      <c r="W70" s="280"/>
      <c r="X70" s="280"/>
      <c r="Y70" s="36"/>
      <c r="Z70" s="16"/>
      <c r="AA70" s="16"/>
      <c r="AB70" s="16"/>
      <c r="AC70" s="16"/>
      <c r="AD70" s="16"/>
      <c r="AE70" s="16"/>
      <c r="AF70" s="135"/>
      <c r="AG70" s="16"/>
      <c r="AK70" s="279"/>
      <c r="AL70" s="279"/>
      <c r="AM70" s="279"/>
      <c r="AN70" s="279"/>
      <c r="AO70" s="255">
        <v>0</v>
      </c>
      <c r="AP70" s="281">
        <v>0</v>
      </c>
      <c r="AQ70" s="255">
        <v>0</v>
      </c>
      <c r="AR70" s="282">
        <v>0</v>
      </c>
      <c r="AS70" s="255">
        <v>0</v>
      </c>
      <c r="AT70" s="255">
        <v>0</v>
      </c>
      <c r="BC70" s="135">
        <f t="shared" si="10"/>
        <v>0</v>
      </c>
      <c r="BE70" s="279"/>
      <c r="BF70" s="135"/>
    </row>
    <row r="71" spans="1:58" s="244" customFormat="1">
      <c r="A71" s="1"/>
      <c r="B71" s="292" t="s">
        <v>10</v>
      </c>
      <c r="C71" s="293" t="s">
        <v>1320</v>
      </c>
      <c r="D71" s="293">
        <v>5000612503</v>
      </c>
      <c r="E71" s="293" t="s">
        <v>404</v>
      </c>
      <c r="F71" s="293">
        <v>23298245</v>
      </c>
      <c r="G71" s="293" t="s">
        <v>567</v>
      </c>
      <c r="H71" s="293">
        <v>1</v>
      </c>
      <c r="I71" s="194">
        <v>45778</v>
      </c>
      <c r="J71" s="194">
        <v>45808</v>
      </c>
      <c r="K71" s="293" t="s">
        <v>427</v>
      </c>
      <c r="L71" s="302">
        <v>0</v>
      </c>
      <c r="M71" s="302">
        <v>0</v>
      </c>
      <c r="N71" s="302">
        <v>0</v>
      </c>
      <c r="O71" s="302">
        <v>0</v>
      </c>
      <c r="P71" s="302">
        <v>0</v>
      </c>
      <c r="Q71" s="302">
        <v>0</v>
      </c>
      <c r="R71" s="302">
        <f>VLOOKUP(F71,'Date masura SDI'!$A:$M,10,FALSE)</f>
        <v>100159.99999999985</v>
      </c>
      <c r="S71" s="292">
        <v>0</v>
      </c>
      <c r="T71" s="292">
        <v>0</v>
      </c>
      <c r="U71" s="292">
        <v>0</v>
      </c>
      <c r="V71" s="292">
        <v>0</v>
      </c>
      <c r="W71" s="194">
        <v>45748</v>
      </c>
      <c r="X71" s="194">
        <v>45777</v>
      </c>
      <c r="Y71" s="293" t="s">
        <v>427</v>
      </c>
      <c r="Z71" s="302">
        <v>0</v>
      </c>
      <c r="AA71" s="302">
        <v>0</v>
      </c>
      <c r="AB71" s="302">
        <v>0</v>
      </c>
      <c r="AC71" s="302">
        <v>0</v>
      </c>
      <c r="AD71" s="302">
        <v>0</v>
      </c>
      <c r="AE71" s="302">
        <v>0</v>
      </c>
      <c r="AF71" s="303">
        <v>0</v>
      </c>
      <c r="AG71" s="292">
        <v>0</v>
      </c>
      <c r="AH71" s="292">
        <v>0</v>
      </c>
      <c r="AI71" s="292">
        <v>0</v>
      </c>
      <c r="AJ71" s="292">
        <v>0</v>
      </c>
      <c r="AK71" s="194">
        <v>45748</v>
      </c>
      <c r="AL71" s="194">
        <v>45777</v>
      </c>
      <c r="AM71" s="293" t="s">
        <v>1131</v>
      </c>
      <c r="AN71" s="293"/>
      <c r="AO71" s="297">
        <v>0</v>
      </c>
      <c r="AP71" s="298">
        <v>0</v>
      </c>
      <c r="AQ71" s="297">
        <v>0</v>
      </c>
      <c r="AR71" s="299">
        <v>0</v>
      </c>
      <c r="AS71" s="297">
        <v>0</v>
      </c>
      <c r="AT71" s="292">
        <v>0</v>
      </c>
      <c r="AU71" s="292">
        <f>-AF71</f>
        <v>0</v>
      </c>
      <c r="AV71" s="292">
        <v>0</v>
      </c>
      <c r="AW71" s="292">
        <v>0</v>
      </c>
      <c r="AX71" s="16">
        <v>0</v>
      </c>
      <c r="AY71" s="292">
        <v>0</v>
      </c>
      <c r="AZ71" s="292">
        <v>0</v>
      </c>
      <c r="BA71" s="292">
        <v>0</v>
      </c>
      <c r="BB71" s="292">
        <v>0</v>
      </c>
      <c r="BC71" s="16">
        <v>0</v>
      </c>
      <c r="BD71" s="12">
        <f t="shared" ref="BD71:BD74" si="29">F71</f>
        <v>23298245</v>
      </c>
      <c r="BE71" s="12">
        <f t="shared" ref="BE71:BE74" si="30">D71</f>
        <v>5000612503</v>
      </c>
      <c r="BF71" s="16">
        <v>0</v>
      </c>
    </row>
    <row r="72" spans="1:58" s="244" customFormat="1">
      <c r="A72" s="1"/>
      <c r="B72" s="292" t="s">
        <v>10</v>
      </c>
      <c r="C72" s="293" t="s">
        <v>1320</v>
      </c>
      <c r="D72" s="293">
        <v>5000612503</v>
      </c>
      <c r="E72" s="293" t="s">
        <v>404</v>
      </c>
      <c r="F72" s="293">
        <v>23298245</v>
      </c>
      <c r="G72" s="293" t="s">
        <v>567</v>
      </c>
      <c r="H72" s="293">
        <v>1</v>
      </c>
      <c r="I72" s="194">
        <v>45778</v>
      </c>
      <c r="J72" s="194">
        <v>45808</v>
      </c>
      <c r="K72" s="293" t="s">
        <v>427</v>
      </c>
      <c r="L72" s="302">
        <v>0</v>
      </c>
      <c r="M72" s="302">
        <v>0</v>
      </c>
      <c r="N72" s="302">
        <v>0</v>
      </c>
      <c r="O72" s="302">
        <v>0</v>
      </c>
      <c r="P72" s="302">
        <v>0</v>
      </c>
      <c r="Q72" s="302">
        <v>0</v>
      </c>
      <c r="R72" s="303">
        <f>ROUNDUP(R71*1.076%,0)</f>
        <v>1078</v>
      </c>
      <c r="S72" s="292">
        <v>0</v>
      </c>
      <c r="T72" s="292">
        <v>0</v>
      </c>
      <c r="U72" s="292">
        <v>0</v>
      </c>
      <c r="V72" s="292">
        <v>0</v>
      </c>
      <c r="W72" s="194">
        <v>45748</v>
      </c>
      <c r="X72" s="194">
        <v>45777</v>
      </c>
      <c r="Y72" s="293" t="s">
        <v>427</v>
      </c>
      <c r="Z72" s="302">
        <v>0</v>
      </c>
      <c r="AA72" s="302">
        <v>0</v>
      </c>
      <c r="AB72" s="302">
        <v>0</v>
      </c>
      <c r="AC72" s="302">
        <v>0</v>
      </c>
      <c r="AD72" s="302">
        <v>0</v>
      </c>
      <c r="AE72" s="302">
        <v>0</v>
      </c>
      <c r="AF72" s="303">
        <v>0</v>
      </c>
      <c r="AG72" s="292">
        <v>0</v>
      </c>
      <c r="AH72" s="292">
        <v>0</v>
      </c>
      <c r="AI72" s="292">
        <v>0</v>
      </c>
      <c r="AJ72" s="292">
        <v>0</v>
      </c>
      <c r="AK72" s="194">
        <v>45748</v>
      </c>
      <c r="AL72" s="194">
        <v>45777</v>
      </c>
      <c r="AM72" s="293" t="s">
        <v>1131</v>
      </c>
      <c r="AN72" s="293"/>
      <c r="AO72" s="297">
        <v>0</v>
      </c>
      <c r="AP72" s="298">
        <v>0</v>
      </c>
      <c r="AQ72" s="297">
        <v>0</v>
      </c>
      <c r="AR72" s="299">
        <v>0</v>
      </c>
      <c r="AS72" s="297">
        <v>0</v>
      </c>
      <c r="AT72" s="292">
        <v>0</v>
      </c>
      <c r="AU72" s="292">
        <f>-AF72</f>
        <v>0</v>
      </c>
      <c r="AV72" s="292">
        <v>0</v>
      </c>
      <c r="AW72" s="292">
        <v>0</v>
      </c>
      <c r="AX72" s="16">
        <v>0</v>
      </c>
      <c r="AY72" s="292">
        <v>0</v>
      </c>
      <c r="AZ72" s="292">
        <v>0</v>
      </c>
      <c r="BA72" s="292">
        <v>0</v>
      </c>
      <c r="BB72" s="292">
        <v>0</v>
      </c>
      <c r="BC72" s="16">
        <v>0</v>
      </c>
      <c r="BD72" s="12">
        <f t="shared" si="29"/>
        <v>23298245</v>
      </c>
      <c r="BE72" s="12">
        <f t="shared" si="30"/>
        <v>5000612503</v>
      </c>
      <c r="BF72" s="16">
        <v>0</v>
      </c>
    </row>
    <row r="73" spans="1:58">
      <c r="A73" s="1"/>
      <c r="B73" s="1" t="s">
        <v>2</v>
      </c>
      <c r="C73" s="112" t="s">
        <v>51</v>
      </c>
      <c r="D73" s="12">
        <v>5000579503</v>
      </c>
      <c r="E73" s="12" t="s">
        <v>433</v>
      </c>
      <c r="F73" s="251" t="s">
        <v>1499</v>
      </c>
      <c r="G73" s="12" t="s">
        <v>523</v>
      </c>
      <c r="H73" s="12">
        <v>4000</v>
      </c>
      <c r="I73" s="194">
        <v>45778</v>
      </c>
      <c r="J73" s="194">
        <v>45808</v>
      </c>
      <c r="K73" s="12" t="s">
        <v>427</v>
      </c>
      <c r="L73" s="119">
        <v>0</v>
      </c>
      <c r="M73" s="562">
        <v>6.84</v>
      </c>
      <c r="N73" s="119">
        <v>0</v>
      </c>
      <c r="O73" s="15">
        <f>IF(COUNTBLANK(L73)=1,"",N73)</f>
        <v>0</v>
      </c>
      <c r="P73" s="119">
        <v>0</v>
      </c>
      <c r="Q73" s="15">
        <f t="shared" ref="Q73:Q74" si="31">IF(COUNTBLANK(N73)=1,"",P73)</f>
        <v>0</v>
      </c>
      <c r="R73" s="118">
        <f t="shared" ref="R73:R74" si="32">ROUND((M73-L73)*H73,0)</f>
        <v>27360</v>
      </c>
      <c r="S73" s="1">
        <v>0</v>
      </c>
      <c r="T73" s="1">
        <v>0</v>
      </c>
      <c r="U73" s="1">
        <v>0</v>
      </c>
      <c r="V73" s="1">
        <v>0</v>
      </c>
      <c r="W73" s="194">
        <v>45748</v>
      </c>
      <c r="X73" s="194">
        <v>45777</v>
      </c>
      <c r="Y73" s="12" t="s">
        <v>427</v>
      </c>
      <c r="Z73" s="14">
        <v>0</v>
      </c>
      <c r="AA73" s="1">
        <v>0</v>
      </c>
      <c r="AB73" s="14">
        <v>0</v>
      </c>
      <c r="AC73" s="15">
        <v>0</v>
      </c>
      <c r="AD73" s="14">
        <v>0</v>
      </c>
      <c r="AE73" s="15">
        <v>0</v>
      </c>
      <c r="AF73" s="45">
        <v>0</v>
      </c>
      <c r="AG73" s="1">
        <v>0</v>
      </c>
      <c r="AH73" s="1">
        <v>0</v>
      </c>
      <c r="AI73" s="1">
        <v>0</v>
      </c>
      <c r="AJ73" s="1">
        <v>0</v>
      </c>
      <c r="AK73" s="194">
        <v>45748</v>
      </c>
      <c r="AL73" s="194">
        <v>45777</v>
      </c>
      <c r="AM73" s="12" t="s">
        <v>1131</v>
      </c>
      <c r="AN73" s="10"/>
      <c r="AO73" s="14">
        <v>0</v>
      </c>
      <c r="AP73" s="193">
        <v>0</v>
      </c>
      <c r="AQ73" s="14">
        <v>0</v>
      </c>
      <c r="AR73" s="46">
        <v>0</v>
      </c>
      <c r="AS73" s="14">
        <v>0</v>
      </c>
      <c r="AT73" s="1">
        <v>0</v>
      </c>
      <c r="AU73" s="1">
        <f>IF(COUNTBLANK(AP73)=1,"",ROUND((AP73-AO73)*H73,0))</f>
        <v>0</v>
      </c>
      <c r="AV73" s="1">
        <f t="shared" ref="AV73:AV74" si="33">IF(COUNTBLANK(AR73)=1,"",ROUND((AR73-AQ73)*H73,0))</f>
        <v>0</v>
      </c>
      <c r="AW73" s="1">
        <f t="shared" ref="AW73:AW74" si="34">IF(COUNTBLANK(AT73)=1,"",ROUND((AT73-AS73)*H73,0))</f>
        <v>0</v>
      </c>
      <c r="AX73" s="124">
        <f t="shared" ref="AX73" si="35">AU73</f>
        <v>0</v>
      </c>
      <c r="AY73" s="1">
        <v>0</v>
      </c>
      <c r="AZ73" s="1">
        <v>0</v>
      </c>
      <c r="BA73" s="1">
        <v>0</v>
      </c>
      <c r="BB73" s="1">
        <v>0</v>
      </c>
      <c r="BC73" s="116">
        <f t="shared" ref="BC73:BC74" si="36">AX73-AF73</f>
        <v>0</v>
      </c>
      <c r="BD73" s="12" t="str">
        <f t="shared" si="29"/>
        <v>240290118403</v>
      </c>
      <c r="BE73" s="12">
        <f t="shared" si="30"/>
        <v>5000579503</v>
      </c>
      <c r="BF73" s="135">
        <v>0</v>
      </c>
    </row>
    <row r="74" spans="1:58">
      <c r="A74" s="1"/>
      <c r="B74" s="207" t="s">
        <v>1272</v>
      </c>
      <c r="C74" s="12" t="s">
        <v>1240</v>
      </c>
      <c r="D74" s="12">
        <v>5000579252</v>
      </c>
      <c r="E74" s="251" t="s">
        <v>1239</v>
      </c>
      <c r="F74" s="251" t="s">
        <v>1500</v>
      </c>
      <c r="G74" s="17" t="s">
        <v>1272</v>
      </c>
      <c r="H74" s="12">
        <v>800</v>
      </c>
      <c r="I74" s="194">
        <v>45778</v>
      </c>
      <c r="J74" s="194">
        <v>45808</v>
      </c>
      <c r="K74" s="12" t="s">
        <v>427</v>
      </c>
      <c r="L74" s="203">
        <v>0</v>
      </c>
      <c r="M74" s="562">
        <v>10.33</v>
      </c>
      <c r="N74" s="203">
        <v>0</v>
      </c>
      <c r="O74" s="15">
        <f t="shared" ref="O74" si="37">IF(COUNTBLANK(L74)=1,"",N74)</f>
        <v>0</v>
      </c>
      <c r="P74" s="203">
        <v>0</v>
      </c>
      <c r="Q74" s="15">
        <f t="shared" si="31"/>
        <v>0</v>
      </c>
      <c r="R74" s="118">
        <f t="shared" si="32"/>
        <v>8264</v>
      </c>
      <c r="S74" s="1">
        <v>0</v>
      </c>
      <c r="T74" s="1">
        <v>0</v>
      </c>
      <c r="U74" s="1">
        <v>0</v>
      </c>
      <c r="V74" s="1">
        <v>0</v>
      </c>
      <c r="W74" s="194">
        <v>45748</v>
      </c>
      <c r="X74" s="194">
        <v>45777</v>
      </c>
      <c r="Y74" s="12" t="s">
        <v>427</v>
      </c>
      <c r="Z74" s="14">
        <v>0</v>
      </c>
      <c r="AA74" s="1">
        <v>0</v>
      </c>
      <c r="AB74" s="14">
        <v>0</v>
      </c>
      <c r="AC74" s="15">
        <v>0</v>
      </c>
      <c r="AD74" s="14">
        <v>0</v>
      </c>
      <c r="AE74" s="15">
        <v>0</v>
      </c>
      <c r="AF74" s="45">
        <v>0</v>
      </c>
      <c r="AG74" s="1">
        <v>0</v>
      </c>
      <c r="AH74" s="1">
        <v>0</v>
      </c>
      <c r="AI74" s="1">
        <v>0</v>
      </c>
      <c r="AJ74" s="1">
        <v>0</v>
      </c>
      <c r="AK74" s="194">
        <v>45748</v>
      </c>
      <c r="AL74" s="194">
        <v>45777</v>
      </c>
      <c r="AM74" s="12" t="s">
        <v>1131</v>
      </c>
      <c r="AN74" s="12"/>
      <c r="AO74" s="14">
        <v>0</v>
      </c>
      <c r="AP74" s="193">
        <v>0</v>
      </c>
      <c r="AQ74" s="14">
        <v>0</v>
      </c>
      <c r="AR74" s="46">
        <v>0</v>
      </c>
      <c r="AS74" s="14">
        <v>0</v>
      </c>
      <c r="AT74" s="1">
        <v>0</v>
      </c>
      <c r="AU74" s="1">
        <f t="shared" ref="AU74" si="38">IF(COUNTBLANK(AP74)=1,"",ROUND((AP74-AO74)*H74,0))</f>
        <v>0</v>
      </c>
      <c r="AV74" s="1">
        <f t="shared" si="33"/>
        <v>0</v>
      </c>
      <c r="AW74" s="1">
        <f t="shared" si="34"/>
        <v>0</v>
      </c>
      <c r="AX74" s="124">
        <f>AU74</f>
        <v>0</v>
      </c>
      <c r="AY74" s="1">
        <v>3</v>
      </c>
      <c r="AZ74" s="1">
        <v>0</v>
      </c>
      <c r="BA74" s="1">
        <v>0</v>
      </c>
      <c r="BB74" s="1">
        <v>0</v>
      </c>
      <c r="BC74" s="116">
        <f t="shared" si="36"/>
        <v>0</v>
      </c>
      <c r="BD74" s="12" t="str">
        <f t="shared" si="29"/>
        <v>240290133935</v>
      </c>
      <c r="BE74" s="12">
        <f t="shared" si="30"/>
        <v>5000579252</v>
      </c>
      <c r="BF74" s="135">
        <v>0</v>
      </c>
    </row>
    <row r="75" spans="1:58" s="255" customFormat="1">
      <c r="A75" s="16"/>
      <c r="B75" s="278" t="s">
        <v>1319</v>
      </c>
      <c r="C75" s="279"/>
      <c r="D75" s="279"/>
      <c r="E75" s="279"/>
      <c r="F75" s="279"/>
      <c r="G75" s="279"/>
      <c r="H75" s="279"/>
      <c r="I75" s="279"/>
      <c r="J75" s="279"/>
      <c r="K75" s="279"/>
      <c r="L75" s="135"/>
      <c r="M75" s="283">
        <v>0</v>
      </c>
      <c r="N75" s="135"/>
      <c r="O75" s="16"/>
      <c r="P75" s="135"/>
      <c r="Q75" s="16"/>
      <c r="R75" s="135"/>
      <c r="S75" s="16"/>
      <c r="T75" s="16"/>
      <c r="U75" s="16"/>
      <c r="V75" s="16"/>
      <c r="W75" s="280"/>
      <c r="X75" s="280"/>
      <c r="Y75" s="36"/>
      <c r="Z75" s="16"/>
      <c r="AA75" s="16"/>
      <c r="AB75" s="16"/>
      <c r="AC75" s="16"/>
      <c r="AD75" s="16"/>
      <c r="AE75" s="16"/>
      <c r="AF75" s="135"/>
      <c r="AG75" s="16"/>
      <c r="AK75" s="279"/>
      <c r="AL75" s="279"/>
      <c r="AM75" s="279"/>
      <c r="AN75" s="279"/>
      <c r="AP75" s="281">
        <v>0</v>
      </c>
      <c r="AR75" s="282">
        <v>0</v>
      </c>
      <c r="AT75" s="255">
        <v>0</v>
      </c>
      <c r="BC75" s="135">
        <f>AX75-AF75</f>
        <v>0</v>
      </c>
      <c r="BE75" s="279"/>
      <c r="BF75" s="135"/>
    </row>
    <row r="76" spans="1:58">
      <c r="A76" s="1"/>
      <c r="B76" s="1" t="s">
        <v>21</v>
      </c>
      <c r="C76" s="112" t="s">
        <v>62</v>
      </c>
      <c r="D76" s="12">
        <v>5000578571</v>
      </c>
      <c r="E76" s="12" t="s">
        <v>292</v>
      </c>
      <c r="F76" s="12">
        <v>88217201</v>
      </c>
      <c r="G76" s="12" t="s">
        <v>547</v>
      </c>
      <c r="H76" s="12">
        <v>1</v>
      </c>
      <c r="I76" s="194">
        <v>45778</v>
      </c>
      <c r="J76" s="194">
        <v>45808</v>
      </c>
      <c r="K76" s="12" t="s">
        <v>427</v>
      </c>
      <c r="L76" s="302">
        <v>0</v>
      </c>
      <c r="M76" s="302">
        <v>0</v>
      </c>
      <c r="N76" s="302">
        <v>0</v>
      </c>
      <c r="O76" s="302">
        <v>0</v>
      </c>
      <c r="P76" s="302">
        <v>0</v>
      </c>
      <c r="Q76" s="302">
        <v>0</v>
      </c>
      <c r="R76" s="302">
        <v>0</v>
      </c>
      <c r="S76" s="1">
        <v>0</v>
      </c>
      <c r="T76" s="1">
        <v>0</v>
      </c>
      <c r="U76" s="1">
        <v>0</v>
      </c>
      <c r="V76" s="1">
        <v>0</v>
      </c>
      <c r="W76" s="194">
        <v>45748</v>
      </c>
      <c r="X76" s="194">
        <v>45777</v>
      </c>
      <c r="Y76" s="12" t="s">
        <v>427</v>
      </c>
      <c r="Z76" s="302">
        <v>0</v>
      </c>
      <c r="AA76" s="302">
        <v>0</v>
      </c>
      <c r="AB76" s="302">
        <v>0</v>
      </c>
      <c r="AC76" s="302">
        <v>0</v>
      </c>
      <c r="AD76" s="302">
        <v>0</v>
      </c>
      <c r="AE76" s="302">
        <v>0</v>
      </c>
      <c r="AF76" s="302">
        <v>0</v>
      </c>
      <c r="AG76" s="1">
        <v>0</v>
      </c>
      <c r="AH76" s="1">
        <v>0</v>
      </c>
      <c r="AI76" s="1">
        <v>0</v>
      </c>
      <c r="AJ76" s="1">
        <v>0</v>
      </c>
      <c r="AK76" s="194">
        <v>45748</v>
      </c>
      <c r="AL76" s="194">
        <v>45777</v>
      </c>
      <c r="AM76" s="12" t="s">
        <v>1131</v>
      </c>
      <c r="AN76" s="12"/>
      <c r="AO76" s="302">
        <v>0</v>
      </c>
      <c r="AP76" s="302">
        <v>0</v>
      </c>
      <c r="AQ76" s="302">
        <v>0</v>
      </c>
      <c r="AR76" s="302">
        <v>0</v>
      </c>
      <c r="AS76" s="302">
        <v>0</v>
      </c>
      <c r="AT76" s="302">
        <v>0</v>
      </c>
      <c r="AU76" s="302">
        <v>0</v>
      </c>
      <c r="AV76" s="302">
        <v>0</v>
      </c>
      <c r="AW76" s="302">
        <v>0</v>
      </c>
      <c r="AX76" s="118">
        <f t="shared" ref="AX76:AX82" si="39">AU76</f>
        <v>0</v>
      </c>
      <c r="AY76" s="302">
        <v>0</v>
      </c>
      <c r="AZ76" s="302">
        <v>0</v>
      </c>
      <c r="BA76" s="302">
        <v>0</v>
      </c>
      <c r="BB76" s="302">
        <v>0</v>
      </c>
      <c r="BC76" s="302">
        <v>0</v>
      </c>
      <c r="BD76" s="12">
        <f t="shared" ref="BD76:BD82" si="40">F76</f>
        <v>88217201</v>
      </c>
      <c r="BE76" s="12">
        <f t="shared" ref="BE76:BE82" si="41">D76</f>
        <v>5000578571</v>
      </c>
      <c r="BF76" s="118">
        <v>0</v>
      </c>
    </row>
    <row r="77" spans="1:58">
      <c r="A77" s="1"/>
      <c r="B77" s="1" t="s">
        <v>14</v>
      </c>
      <c r="C77" s="112" t="s">
        <v>59</v>
      </c>
      <c r="D77" s="12">
        <v>5000581171</v>
      </c>
      <c r="E77" s="12" t="s">
        <v>226</v>
      </c>
      <c r="F77" s="12" t="s">
        <v>1176</v>
      </c>
      <c r="G77" s="12" t="s">
        <v>537</v>
      </c>
      <c r="H77" s="12">
        <v>16000</v>
      </c>
      <c r="I77" s="194">
        <v>45778</v>
      </c>
      <c r="J77" s="194">
        <v>45808</v>
      </c>
      <c r="K77" s="12" t="s">
        <v>427</v>
      </c>
      <c r="L77" s="302">
        <v>0</v>
      </c>
      <c r="M77" s="302">
        <v>0</v>
      </c>
      <c r="N77" s="302">
        <v>0</v>
      </c>
      <c r="O77" s="302">
        <v>0</v>
      </c>
      <c r="P77" s="302">
        <v>0</v>
      </c>
      <c r="Q77" s="302">
        <v>0</v>
      </c>
      <c r="R77" s="302">
        <v>0</v>
      </c>
      <c r="S77" s="1">
        <v>0</v>
      </c>
      <c r="T77" s="1">
        <v>0</v>
      </c>
      <c r="U77" s="1">
        <v>0</v>
      </c>
      <c r="V77" s="1">
        <v>0</v>
      </c>
      <c r="W77" s="194">
        <v>45748</v>
      </c>
      <c r="X77" s="194">
        <v>45777</v>
      </c>
      <c r="Y77" s="12" t="s">
        <v>427</v>
      </c>
      <c r="Z77" s="302">
        <v>0</v>
      </c>
      <c r="AA77" s="302">
        <v>0</v>
      </c>
      <c r="AB77" s="302">
        <v>0</v>
      </c>
      <c r="AC77" s="302">
        <v>0</v>
      </c>
      <c r="AD77" s="302">
        <v>0</v>
      </c>
      <c r="AE77" s="302">
        <v>0</v>
      </c>
      <c r="AF77" s="302">
        <v>0</v>
      </c>
      <c r="AG77" s="1">
        <v>0</v>
      </c>
      <c r="AH77" s="1">
        <v>0</v>
      </c>
      <c r="AI77" s="1">
        <v>0</v>
      </c>
      <c r="AJ77" s="1">
        <v>0</v>
      </c>
      <c r="AK77" s="194">
        <v>45748</v>
      </c>
      <c r="AL77" s="194">
        <v>45777</v>
      </c>
      <c r="AM77" s="12" t="s">
        <v>1131</v>
      </c>
      <c r="AN77" s="12"/>
      <c r="AO77" s="302">
        <v>0</v>
      </c>
      <c r="AP77" s="302">
        <v>0</v>
      </c>
      <c r="AQ77" s="302">
        <v>0</v>
      </c>
      <c r="AR77" s="302">
        <v>0</v>
      </c>
      <c r="AS77" s="302">
        <v>0</v>
      </c>
      <c r="AT77" s="302">
        <v>0</v>
      </c>
      <c r="AU77" s="302">
        <v>0</v>
      </c>
      <c r="AV77" s="302">
        <v>0</v>
      </c>
      <c r="AW77" s="302">
        <v>0</v>
      </c>
      <c r="AX77" s="118">
        <f t="shared" si="39"/>
        <v>0</v>
      </c>
      <c r="AY77" s="302">
        <v>0</v>
      </c>
      <c r="AZ77" s="302">
        <v>0</v>
      </c>
      <c r="BA77" s="302">
        <v>0</v>
      </c>
      <c r="BB77" s="302">
        <v>0</v>
      </c>
      <c r="BC77" s="302">
        <v>0</v>
      </c>
      <c r="BD77" s="12" t="str">
        <f t="shared" si="40"/>
        <v>23G90290210112807</v>
      </c>
      <c r="BE77" s="12">
        <f t="shared" si="41"/>
        <v>5000581171</v>
      </c>
      <c r="BF77" s="118">
        <v>0</v>
      </c>
    </row>
    <row r="78" spans="1:58" s="244" customFormat="1">
      <c r="A78" s="1"/>
      <c r="B78" s="1" t="s">
        <v>1221</v>
      </c>
      <c r="C78" s="12" t="s">
        <v>1200</v>
      </c>
      <c r="D78" s="12">
        <v>5000579353</v>
      </c>
      <c r="E78" s="12" t="s">
        <v>1220</v>
      </c>
      <c r="F78" s="17">
        <v>1369546098</v>
      </c>
      <c r="G78" s="12" t="s">
        <v>1221</v>
      </c>
      <c r="H78" s="12">
        <v>400</v>
      </c>
      <c r="I78" s="194">
        <v>45778</v>
      </c>
      <c r="J78" s="194">
        <v>45808</v>
      </c>
      <c r="K78" s="12" t="s">
        <v>427</v>
      </c>
      <c r="L78" s="302">
        <v>0</v>
      </c>
      <c r="M78" s="302">
        <v>0</v>
      </c>
      <c r="N78" s="302">
        <v>0</v>
      </c>
      <c r="O78" s="302">
        <v>0</v>
      </c>
      <c r="P78" s="302">
        <v>0</v>
      </c>
      <c r="Q78" s="302">
        <v>0</v>
      </c>
      <c r="R78" s="302">
        <v>0</v>
      </c>
      <c r="S78" s="1">
        <v>0</v>
      </c>
      <c r="T78" s="1">
        <v>0</v>
      </c>
      <c r="U78" s="1">
        <v>0</v>
      </c>
      <c r="V78" s="1">
        <v>0</v>
      </c>
      <c r="W78" s="194">
        <v>45748</v>
      </c>
      <c r="X78" s="194">
        <v>45777</v>
      </c>
      <c r="Y78" s="12" t="s">
        <v>427</v>
      </c>
      <c r="Z78" s="302">
        <v>0</v>
      </c>
      <c r="AA78" s="302">
        <v>0</v>
      </c>
      <c r="AB78" s="302">
        <v>0</v>
      </c>
      <c r="AC78" s="302">
        <v>0</v>
      </c>
      <c r="AD78" s="302">
        <v>0</v>
      </c>
      <c r="AE78" s="302">
        <v>0</v>
      </c>
      <c r="AF78" s="302">
        <v>0</v>
      </c>
      <c r="AG78" s="1">
        <v>0</v>
      </c>
      <c r="AH78" s="1">
        <v>0</v>
      </c>
      <c r="AI78" s="1">
        <v>0</v>
      </c>
      <c r="AJ78" s="1">
        <v>0</v>
      </c>
      <c r="AK78" s="194">
        <v>45748</v>
      </c>
      <c r="AL78" s="194">
        <v>45777</v>
      </c>
      <c r="AM78" s="12" t="s">
        <v>1131</v>
      </c>
      <c r="AN78" s="12"/>
      <c r="AO78" s="302">
        <v>0</v>
      </c>
      <c r="AP78" s="302">
        <v>0</v>
      </c>
      <c r="AQ78" s="302">
        <v>0</v>
      </c>
      <c r="AR78" s="302">
        <v>0</v>
      </c>
      <c r="AS78" s="302">
        <v>0</v>
      </c>
      <c r="AT78" s="302">
        <v>0</v>
      </c>
      <c r="AU78" s="302">
        <v>0</v>
      </c>
      <c r="AV78" s="302">
        <v>0</v>
      </c>
      <c r="AW78" s="302">
        <v>0</v>
      </c>
      <c r="AX78" s="118">
        <f t="shared" si="39"/>
        <v>0</v>
      </c>
      <c r="AY78" s="302">
        <v>0</v>
      </c>
      <c r="AZ78" s="302">
        <v>0</v>
      </c>
      <c r="BA78" s="302">
        <v>0</v>
      </c>
      <c r="BB78" s="302">
        <v>0</v>
      </c>
      <c r="BC78" s="302">
        <v>0</v>
      </c>
      <c r="BD78" s="12">
        <f t="shared" si="40"/>
        <v>1369546098</v>
      </c>
      <c r="BE78" s="12">
        <f t="shared" si="41"/>
        <v>5000579353</v>
      </c>
      <c r="BF78" s="118">
        <f>-VLOOKUP(F78,'Date masura SDI'!$A:$M,11,FALSE)</f>
        <v>-13186</v>
      </c>
    </row>
    <row r="79" spans="1:58">
      <c r="A79" s="1"/>
      <c r="B79" s="1" t="s">
        <v>1223</v>
      </c>
      <c r="C79" s="12" t="s">
        <v>1200</v>
      </c>
      <c r="D79" s="12">
        <v>5000579395</v>
      </c>
      <c r="E79" s="12" t="s">
        <v>1222</v>
      </c>
      <c r="F79" s="17">
        <v>1371034851</v>
      </c>
      <c r="G79" s="12" t="s">
        <v>1223</v>
      </c>
      <c r="H79" s="12">
        <v>800</v>
      </c>
      <c r="I79" s="194">
        <v>45778</v>
      </c>
      <c r="J79" s="194">
        <v>45808</v>
      </c>
      <c r="K79" s="12" t="s">
        <v>427</v>
      </c>
      <c r="L79" s="302">
        <v>0</v>
      </c>
      <c r="M79" s="302">
        <v>0</v>
      </c>
      <c r="N79" s="302">
        <v>0</v>
      </c>
      <c r="O79" s="302">
        <v>0</v>
      </c>
      <c r="P79" s="302">
        <v>0</v>
      </c>
      <c r="Q79" s="302">
        <v>0</v>
      </c>
      <c r="R79" s="302">
        <v>0</v>
      </c>
      <c r="S79" s="1">
        <v>0</v>
      </c>
      <c r="T79" s="1">
        <v>0</v>
      </c>
      <c r="U79" s="1">
        <v>0</v>
      </c>
      <c r="V79" s="1">
        <v>0</v>
      </c>
      <c r="W79" s="194">
        <v>45748</v>
      </c>
      <c r="X79" s="194">
        <v>45777</v>
      </c>
      <c r="Y79" s="12" t="s">
        <v>427</v>
      </c>
      <c r="Z79" s="302">
        <v>0</v>
      </c>
      <c r="AA79" s="302">
        <v>0</v>
      </c>
      <c r="AB79" s="302">
        <v>0</v>
      </c>
      <c r="AC79" s="302">
        <v>0</v>
      </c>
      <c r="AD79" s="302">
        <v>0</v>
      </c>
      <c r="AE79" s="302">
        <v>0</v>
      </c>
      <c r="AF79" s="302">
        <v>0</v>
      </c>
      <c r="AG79" s="1">
        <v>0</v>
      </c>
      <c r="AH79" s="1">
        <v>0</v>
      </c>
      <c r="AI79" s="1">
        <v>0</v>
      </c>
      <c r="AJ79" s="1">
        <v>0</v>
      </c>
      <c r="AK79" s="194">
        <v>45748</v>
      </c>
      <c r="AL79" s="194">
        <v>45777</v>
      </c>
      <c r="AM79" s="12" t="s">
        <v>1131</v>
      </c>
      <c r="AN79" s="12"/>
      <c r="AO79" s="302">
        <v>0</v>
      </c>
      <c r="AP79" s="302">
        <v>0</v>
      </c>
      <c r="AQ79" s="302">
        <v>0</v>
      </c>
      <c r="AR79" s="302">
        <v>0</v>
      </c>
      <c r="AS79" s="302">
        <v>0</v>
      </c>
      <c r="AT79" s="302">
        <v>0</v>
      </c>
      <c r="AU79" s="302">
        <v>0</v>
      </c>
      <c r="AV79" s="302">
        <v>0</v>
      </c>
      <c r="AW79" s="302">
        <v>0</v>
      </c>
      <c r="AX79" s="118">
        <f t="shared" si="39"/>
        <v>0</v>
      </c>
      <c r="AY79" s="302">
        <v>0</v>
      </c>
      <c r="AZ79" s="302">
        <v>0</v>
      </c>
      <c r="BA79" s="302">
        <v>0</v>
      </c>
      <c r="BB79" s="302">
        <v>0</v>
      </c>
      <c r="BC79" s="302">
        <v>0</v>
      </c>
      <c r="BD79" s="12">
        <f t="shared" si="40"/>
        <v>1371034851</v>
      </c>
      <c r="BE79" s="12">
        <f t="shared" si="41"/>
        <v>5000579395</v>
      </c>
      <c r="BF79" s="118">
        <f>-VLOOKUP(F79,'Date masura SDI'!$A:$M,11,FALSE)</f>
        <v>-20304</v>
      </c>
    </row>
    <row r="80" spans="1:58">
      <c r="A80" s="1"/>
      <c r="B80" s="1" t="s">
        <v>1225</v>
      </c>
      <c r="C80" s="12" t="s">
        <v>1200</v>
      </c>
      <c r="D80" s="12">
        <v>5000579329</v>
      </c>
      <c r="E80" s="251" t="s">
        <v>1224</v>
      </c>
      <c r="F80" s="17">
        <v>1369359116</v>
      </c>
      <c r="G80" s="17" t="s">
        <v>1225</v>
      </c>
      <c r="H80" s="12">
        <v>400</v>
      </c>
      <c r="I80" s="194">
        <v>45778</v>
      </c>
      <c r="J80" s="194">
        <v>45808</v>
      </c>
      <c r="K80" s="12" t="s">
        <v>427</v>
      </c>
      <c r="L80" s="302">
        <v>0</v>
      </c>
      <c r="M80" s="302">
        <v>0</v>
      </c>
      <c r="N80" s="302">
        <v>0</v>
      </c>
      <c r="O80" s="302">
        <v>0</v>
      </c>
      <c r="P80" s="302">
        <v>0</v>
      </c>
      <c r="Q80" s="302">
        <v>0</v>
      </c>
      <c r="R80" s="302">
        <v>0</v>
      </c>
      <c r="S80" s="1">
        <v>0</v>
      </c>
      <c r="T80" s="1">
        <v>0</v>
      </c>
      <c r="U80" s="1">
        <v>0</v>
      </c>
      <c r="V80" s="1">
        <v>0</v>
      </c>
      <c r="W80" s="194">
        <v>45748</v>
      </c>
      <c r="X80" s="194">
        <v>45777</v>
      </c>
      <c r="Y80" s="12" t="s">
        <v>427</v>
      </c>
      <c r="Z80" s="302">
        <v>0</v>
      </c>
      <c r="AA80" s="302">
        <v>0</v>
      </c>
      <c r="AB80" s="302">
        <v>0</v>
      </c>
      <c r="AC80" s="302">
        <v>0</v>
      </c>
      <c r="AD80" s="302">
        <v>0</v>
      </c>
      <c r="AE80" s="302">
        <v>0</v>
      </c>
      <c r="AF80" s="302">
        <v>0</v>
      </c>
      <c r="AG80" s="1">
        <v>0</v>
      </c>
      <c r="AH80" s="1">
        <v>0</v>
      </c>
      <c r="AI80" s="1">
        <v>0</v>
      </c>
      <c r="AJ80" s="1">
        <v>0</v>
      </c>
      <c r="AK80" s="194">
        <v>45748</v>
      </c>
      <c r="AL80" s="194">
        <v>45777</v>
      </c>
      <c r="AM80" s="12" t="s">
        <v>1131</v>
      </c>
      <c r="AN80" s="12"/>
      <c r="AO80" s="302">
        <v>0</v>
      </c>
      <c r="AP80" s="302">
        <v>0</v>
      </c>
      <c r="AQ80" s="302">
        <v>0</v>
      </c>
      <c r="AR80" s="302">
        <v>0</v>
      </c>
      <c r="AS80" s="302">
        <v>0</v>
      </c>
      <c r="AT80" s="302">
        <v>0</v>
      </c>
      <c r="AU80" s="302">
        <v>0</v>
      </c>
      <c r="AV80" s="302">
        <v>0</v>
      </c>
      <c r="AW80" s="302">
        <v>0</v>
      </c>
      <c r="AX80" s="118">
        <f t="shared" si="39"/>
        <v>0</v>
      </c>
      <c r="AY80" s="302">
        <v>0</v>
      </c>
      <c r="AZ80" s="302">
        <v>0</v>
      </c>
      <c r="BA80" s="302">
        <v>0</v>
      </c>
      <c r="BB80" s="302">
        <v>0</v>
      </c>
      <c r="BC80" s="302">
        <v>0</v>
      </c>
      <c r="BD80" s="12">
        <f t="shared" si="40"/>
        <v>1369359116</v>
      </c>
      <c r="BE80" s="12">
        <f t="shared" si="41"/>
        <v>5000579329</v>
      </c>
      <c r="BF80" s="118">
        <f>-VLOOKUP(F80,'Date masura SDI'!$A:$M,11,FALSE)</f>
        <v>-21751</v>
      </c>
    </row>
    <row r="81" spans="1:58">
      <c r="A81" s="1"/>
      <c r="B81" s="1" t="s">
        <v>1227</v>
      </c>
      <c r="C81" s="12" t="s">
        <v>1200</v>
      </c>
      <c r="D81" s="12">
        <v>5000579079</v>
      </c>
      <c r="E81" s="251" t="s">
        <v>1226</v>
      </c>
      <c r="F81" s="17">
        <v>1369358824</v>
      </c>
      <c r="G81" s="17" t="s">
        <v>1227</v>
      </c>
      <c r="H81" s="12">
        <v>1</v>
      </c>
      <c r="I81" s="194">
        <v>45778</v>
      </c>
      <c r="J81" s="194">
        <v>45808</v>
      </c>
      <c r="K81" s="12" t="s">
        <v>427</v>
      </c>
      <c r="L81" s="302">
        <v>0</v>
      </c>
      <c r="M81" s="302">
        <v>0</v>
      </c>
      <c r="N81" s="302">
        <v>0</v>
      </c>
      <c r="O81" s="302">
        <v>0</v>
      </c>
      <c r="P81" s="302">
        <v>0</v>
      </c>
      <c r="Q81" s="302">
        <v>0</v>
      </c>
      <c r="R81" s="302">
        <v>0</v>
      </c>
      <c r="S81" s="1">
        <v>0</v>
      </c>
      <c r="T81" s="1">
        <v>0</v>
      </c>
      <c r="U81" s="1">
        <v>0</v>
      </c>
      <c r="V81" s="1">
        <v>0</v>
      </c>
      <c r="W81" s="194">
        <v>45748</v>
      </c>
      <c r="X81" s="194">
        <v>45777</v>
      </c>
      <c r="Y81" s="12" t="s">
        <v>427</v>
      </c>
      <c r="Z81" s="302">
        <v>0</v>
      </c>
      <c r="AA81" s="302">
        <v>0</v>
      </c>
      <c r="AB81" s="302">
        <v>0</v>
      </c>
      <c r="AC81" s="302">
        <v>0</v>
      </c>
      <c r="AD81" s="302">
        <v>0</v>
      </c>
      <c r="AE81" s="302">
        <v>0</v>
      </c>
      <c r="AF81" s="302">
        <v>0</v>
      </c>
      <c r="AG81" s="1">
        <v>0</v>
      </c>
      <c r="AH81" s="1">
        <v>0</v>
      </c>
      <c r="AI81" s="1">
        <v>0</v>
      </c>
      <c r="AJ81" s="1">
        <v>0</v>
      </c>
      <c r="AK81" s="194">
        <v>45748</v>
      </c>
      <c r="AL81" s="194">
        <v>45777</v>
      </c>
      <c r="AM81" s="12" t="s">
        <v>1131</v>
      </c>
      <c r="AN81" s="12"/>
      <c r="AO81" s="302">
        <v>0</v>
      </c>
      <c r="AP81" s="302">
        <v>0</v>
      </c>
      <c r="AQ81" s="302">
        <v>0</v>
      </c>
      <c r="AR81" s="302">
        <v>0</v>
      </c>
      <c r="AS81" s="302">
        <v>0</v>
      </c>
      <c r="AT81" s="302">
        <v>0</v>
      </c>
      <c r="AU81" s="302">
        <v>0</v>
      </c>
      <c r="AV81" s="302">
        <v>0</v>
      </c>
      <c r="AW81" s="302">
        <v>0</v>
      </c>
      <c r="AX81" s="118">
        <f t="shared" si="39"/>
        <v>0</v>
      </c>
      <c r="AY81" s="302">
        <v>0</v>
      </c>
      <c r="AZ81" s="302">
        <v>0</v>
      </c>
      <c r="BA81" s="302">
        <v>0</v>
      </c>
      <c r="BB81" s="302">
        <v>0</v>
      </c>
      <c r="BC81" s="302">
        <v>0</v>
      </c>
      <c r="BD81" s="12">
        <f t="shared" si="40"/>
        <v>1369358824</v>
      </c>
      <c r="BE81" s="12">
        <f t="shared" si="41"/>
        <v>5000579079</v>
      </c>
      <c r="BF81" s="118">
        <f>-VLOOKUP(F81,'Date masura SDI'!$A:$M,11,FALSE)</f>
        <v>-22585</v>
      </c>
    </row>
    <row r="82" spans="1:58">
      <c r="A82" s="1"/>
      <c r="B82" s="207" t="s">
        <v>1272</v>
      </c>
      <c r="C82" s="12" t="s">
        <v>1240</v>
      </c>
      <c r="D82" s="12">
        <v>5000579252</v>
      </c>
      <c r="E82" s="251" t="s">
        <v>1239</v>
      </c>
      <c r="F82" s="17">
        <v>1369358662</v>
      </c>
      <c r="G82" s="17" t="s">
        <v>1272</v>
      </c>
      <c r="H82" s="12">
        <v>800</v>
      </c>
      <c r="I82" s="194">
        <v>45778</v>
      </c>
      <c r="J82" s="194">
        <v>45808</v>
      </c>
      <c r="K82" s="12" t="s">
        <v>427</v>
      </c>
      <c r="L82" s="302">
        <v>0</v>
      </c>
      <c r="M82" s="302">
        <v>0</v>
      </c>
      <c r="N82" s="302">
        <v>0</v>
      </c>
      <c r="O82" s="302">
        <v>0</v>
      </c>
      <c r="P82" s="302">
        <v>0</v>
      </c>
      <c r="Q82" s="302">
        <v>0</v>
      </c>
      <c r="R82" s="302">
        <v>0</v>
      </c>
      <c r="S82" s="1">
        <v>0</v>
      </c>
      <c r="T82" s="1">
        <v>0</v>
      </c>
      <c r="U82" s="1">
        <v>0</v>
      </c>
      <c r="V82" s="1">
        <v>0</v>
      </c>
      <c r="W82" s="194">
        <v>45748</v>
      </c>
      <c r="X82" s="194">
        <v>45777</v>
      </c>
      <c r="Y82" s="12" t="s">
        <v>427</v>
      </c>
      <c r="Z82" s="302">
        <v>0</v>
      </c>
      <c r="AA82" s="302">
        <v>0</v>
      </c>
      <c r="AB82" s="302">
        <v>0</v>
      </c>
      <c r="AC82" s="302">
        <v>0</v>
      </c>
      <c r="AD82" s="302">
        <v>0</v>
      </c>
      <c r="AE82" s="302">
        <v>0</v>
      </c>
      <c r="AF82" s="302">
        <v>0</v>
      </c>
      <c r="AG82" s="1">
        <v>0</v>
      </c>
      <c r="AH82" s="1">
        <v>0</v>
      </c>
      <c r="AI82" s="1">
        <v>0</v>
      </c>
      <c r="AJ82" s="1">
        <v>0</v>
      </c>
      <c r="AK82" s="194">
        <v>45748</v>
      </c>
      <c r="AL82" s="194">
        <v>45777</v>
      </c>
      <c r="AM82" s="12" t="s">
        <v>1131</v>
      </c>
      <c r="AN82" s="12"/>
      <c r="AO82" s="302">
        <v>0</v>
      </c>
      <c r="AP82" s="302">
        <v>0</v>
      </c>
      <c r="AQ82" s="302">
        <v>0</v>
      </c>
      <c r="AR82" s="302">
        <v>0</v>
      </c>
      <c r="AS82" s="302">
        <v>0</v>
      </c>
      <c r="AT82" s="302">
        <v>0</v>
      </c>
      <c r="AU82" s="302">
        <v>0</v>
      </c>
      <c r="AV82" s="302">
        <v>0</v>
      </c>
      <c r="AW82" s="302">
        <v>0</v>
      </c>
      <c r="AX82" s="124">
        <f t="shared" si="39"/>
        <v>0</v>
      </c>
      <c r="AY82" s="302">
        <v>0</v>
      </c>
      <c r="AZ82" s="302">
        <v>0</v>
      </c>
      <c r="BA82" s="302">
        <v>0</v>
      </c>
      <c r="BB82" s="302">
        <v>0</v>
      </c>
      <c r="BC82" s="302">
        <v>0</v>
      </c>
      <c r="BD82" s="12">
        <f t="shared" si="40"/>
        <v>1369358662</v>
      </c>
      <c r="BE82" s="12">
        <f t="shared" si="41"/>
        <v>5000579252</v>
      </c>
      <c r="BF82" s="118">
        <f>-VLOOKUP(F82,'Date masura SDI'!$A:$M,11,FALSE)</f>
        <v>-659</v>
      </c>
    </row>
    <row r="86" spans="1:58">
      <c r="P86" s="72"/>
    </row>
    <row r="89" spans="1:58">
      <c r="AF89" s="71">
        <f>SUM(AF5:AF88)</f>
        <v>12902276</v>
      </c>
      <c r="AX89" s="71">
        <f>SUM(AX5:AX69)</f>
        <v>12906854</v>
      </c>
    </row>
    <row r="90" spans="1:58">
      <c r="D90" s="13" t="s">
        <v>1273</v>
      </c>
      <c r="H90" s="13" t="s">
        <v>1303</v>
      </c>
      <c r="I90" s="13" t="s">
        <v>1305</v>
      </c>
      <c r="J90" s="13" t="s">
        <v>1304</v>
      </c>
      <c r="AF90" s="72"/>
      <c r="AX90" s="72">
        <f>AX89-AF89</f>
        <v>4578</v>
      </c>
      <c r="BF90" s="134"/>
    </row>
    <row r="91" spans="1:58">
      <c r="D91" s="13" t="s">
        <v>1274</v>
      </c>
      <c r="G91" s="13" t="s">
        <v>1302</v>
      </c>
      <c r="H91" s="13">
        <v>278</v>
      </c>
      <c r="I91" s="13">
        <v>1631290</v>
      </c>
      <c r="J91" s="13">
        <f>I91+H91</f>
        <v>1631568</v>
      </c>
      <c r="Y91" s="192"/>
    </row>
    <row r="92" spans="1:58">
      <c r="D92" s="13" t="s">
        <v>1275</v>
      </c>
      <c r="G92" s="13" t="s">
        <v>1306</v>
      </c>
      <c r="H92" s="13" t="s">
        <v>1307</v>
      </c>
      <c r="Y92" s="192"/>
    </row>
    <row r="93" spans="1:58">
      <c r="D93" s="13" t="s">
        <v>1276</v>
      </c>
      <c r="G93" s="13" t="s">
        <v>1308</v>
      </c>
      <c r="H93" s="13">
        <v>365</v>
      </c>
      <c r="I93" s="13">
        <v>775.35400000000004</v>
      </c>
      <c r="J93" s="13">
        <f>ROUND(I93+H93/800,3)</f>
        <v>775.81</v>
      </c>
      <c r="M93" s="252"/>
    </row>
    <row r="94" spans="1:58">
      <c r="D94" s="13" t="s">
        <v>1277</v>
      </c>
      <c r="G94" s="13" t="s">
        <v>1309</v>
      </c>
      <c r="H94" s="13" t="s">
        <v>1310</v>
      </c>
    </row>
    <row r="95" spans="1:58">
      <c r="D95" s="13" t="s">
        <v>1278</v>
      </c>
      <c r="G95" s="13" t="s">
        <v>1311</v>
      </c>
      <c r="H95" s="13">
        <v>194</v>
      </c>
      <c r="I95" s="13">
        <v>24209.598999999998</v>
      </c>
      <c r="J95" s="13">
        <f>ROUND(I95+H95/1200,3)+0.002</f>
        <v>24209.762999999999</v>
      </c>
    </row>
    <row r="96" spans="1:58">
      <c r="D96" s="13" t="s">
        <v>1279</v>
      </c>
      <c r="G96" s="251" t="s">
        <v>1228</v>
      </c>
      <c r="H96" s="13">
        <v>0</v>
      </c>
      <c r="I96" s="13">
        <v>24537.8</v>
      </c>
      <c r="J96" s="13">
        <v>24537.8</v>
      </c>
    </row>
    <row r="97" spans="4:47">
      <c r="D97" s="13" t="s">
        <v>1280</v>
      </c>
      <c r="G97" s="251" t="s">
        <v>1229</v>
      </c>
      <c r="H97" s="13">
        <v>107</v>
      </c>
      <c r="I97" s="13">
        <v>22702.419000000002</v>
      </c>
      <c r="J97" s="13">
        <f>I97+H97/20</f>
        <v>22707.769</v>
      </c>
      <c r="AU97">
        <v>0.89</v>
      </c>
    </row>
    <row r="98" spans="4:47">
      <c r="D98" s="13" t="s">
        <v>1281</v>
      </c>
      <c r="G98" s="251" t="s">
        <v>1232</v>
      </c>
      <c r="H98" s="13">
        <v>0</v>
      </c>
      <c r="I98" s="13">
        <v>8993.9240000000009</v>
      </c>
      <c r="J98" s="13">
        <v>8993.9240000000009</v>
      </c>
      <c r="AU98">
        <f>AU97*SUM(AX6:AX9)</f>
        <v>254089.66</v>
      </c>
    </row>
    <row r="99" spans="4:47">
      <c r="D99" s="13" t="s">
        <v>1282</v>
      </c>
      <c r="G99" s="251" t="s">
        <v>1234</v>
      </c>
      <c r="H99" s="13">
        <v>110</v>
      </c>
      <c r="I99" s="13">
        <v>40490</v>
      </c>
      <c r="J99" s="13">
        <f>I99+H99</f>
        <v>40600</v>
      </c>
      <c r="AU99">
        <f>AU98/5</f>
        <v>50817.932000000001</v>
      </c>
    </row>
    <row r="100" spans="4:47">
      <c r="D100" s="13" t="s">
        <v>1283</v>
      </c>
      <c r="E100" s="17">
        <v>1371869788</v>
      </c>
      <c r="G100" s="251" t="s">
        <v>1236</v>
      </c>
      <c r="H100" s="13">
        <v>0</v>
      </c>
      <c r="I100" s="13">
        <v>32</v>
      </c>
      <c r="J100" s="13">
        <v>32</v>
      </c>
    </row>
    <row r="101" spans="4:47">
      <c r="D101" s="13" t="s">
        <v>1285</v>
      </c>
      <c r="E101" s="17">
        <v>1371870726</v>
      </c>
      <c r="G101" s="251" t="s">
        <v>1238</v>
      </c>
      <c r="H101" s="13">
        <v>72</v>
      </c>
      <c r="I101" s="13">
        <v>16827.7</v>
      </c>
      <c r="J101" s="13">
        <f>I101+H101/H68</f>
        <v>16830.100000000002</v>
      </c>
    </row>
    <row r="102" spans="4:47">
      <c r="D102" s="13" t="s">
        <v>1284</v>
      </c>
      <c r="E102" s="17"/>
      <c r="G102" s="13" t="s">
        <v>1312</v>
      </c>
      <c r="H102" s="13">
        <v>251</v>
      </c>
      <c r="I102" s="13">
        <v>13038.844999999999</v>
      </c>
      <c r="J102" s="13">
        <f>ROUND(I102+H102/H69,3)</f>
        <v>13039.159</v>
      </c>
    </row>
  </sheetData>
  <autoFilter ref="A4:BE82" xr:uid="{B27EBFF9-AE3E-2345-96C8-AC8BF1459E2E}"/>
  <mergeCells count="5">
    <mergeCell ref="BC2:BC3"/>
    <mergeCell ref="I2:V2"/>
    <mergeCell ref="W2:AJ2"/>
    <mergeCell ref="AK2:BB2"/>
    <mergeCell ref="BF2:BF3"/>
  </mergeCells>
  <phoneticPr fontId="9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F06D-7B04-3E4E-8D37-EBEAE504A329}">
  <dimension ref="A1:U177"/>
  <sheetViews>
    <sheetView zoomScale="70" zoomScaleNormal="7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6" sqref="J16"/>
    </sheetView>
  </sheetViews>
  <sheetFormatPr defaultColWidth="10.625" defaultRowHeight="15.75"/>
  <cols>
    <col min="1" max="1" width="10.875" style="4"/>
    <col min="2" max="2" width="26.875" style="4" customWidth="1"/>
    <col min="3" max="3" width="31.375" style="13" customWidth="1"/>
    <col min="4" max="4" width="36.5" style="13" customWidth="1"/>
    <col min="5" max="6" width="18.375" style="13" customWidth="1"/>
    <col min="7" max="7" width="32.375" style="4" customWidth="1"/>
    <col min="8" max="8" width="30.375" style="4" customWidth="1"/>
    <col min="9" max="9" width="23.5" customWidth="1"/>
    <col min="10" max="13" width="15.875" customWidth="1"/>
    <col min="14" max="14" width="23.125" bestFit="1" customWidth="1"/>
    <col min="15" max="18" width="15.875" customWidth="1"/>
    <col min="20" max="20" width="14.125" bestFit="1" customWidth="1"/>
  </cols>
  <sheetData>
    <row r="1" spans="1:21">
      <c r="A1" s="5">
        <v>1</v>
      </c>
      <c r="B1" s="5">
        <f>A1+1</f>
        <v>2</v>
      </c>
      <c r="C1" s="5">
        <f t="shared" ref="C1:R1" si="0">B1+1</f>
        <v>3</v>
      </c>
      <c r="D1" s="5">
        <f t="shared" si="0"/>
        <v>4</v>
      </c>
      <c r="E1" s="5">
        <f>D1+1</f>
        <v>5</v>
      </c>
      <c r="F1" s="5">
        <f>E1+1</f>
        <v>6</v>
      </c>
      <c r="G1" s="5">
        <f>F1+1</f>
        <v>7</v>
      </c>
      <c r="H1" s="5">
        <f>G1+1</f>
        <v>8</v>
      </c>
      <c r="I1" s="5">
        <f>H1+1</f>
        <v>9</v>
      </c>
      <c r="J1" s="5">
        <f t="shared" si="0"/>
        <v>10</v>
      </c>
      <c r="K1" s="5">
        <f t="shared" si="0"/>
        <v>11</v>
      </c>
      <c r="L1" s="5">
        <f t="shared" si="0"/>
        <v>12</v>
      </c>
      <c r="M1" s="5">
        <f t="shared" si="0"/>
        <v>13</v>
      </c>
      <c r="N1" s="5">
        <f t="shared" si="0"/>
        <v>14</v>
      </c>
      <c r="O1" s="5">
        <f t="shared" si="0"/>
        <v>15</v>
      </c>
      <c r="P1" s="5">
        <f t="shared" si="0"/>
        <v>16</v>
      </c>
      <c r="Q1" s="5">
        <f t="shared" si="0"/>
        <v>17</v>
      </c>
      <c r="R1" s="5">
        <f t="shared" si="0"/>
        <v>18</v>
      </c>
    </row>
    <row r="2" spans="1:21">
      <c r="A2" s="6" t="s">
        <v>115</v>
      </c>
      <c r="B2" s="6" t="s">
        <v>439</v>
      </c>
      <c r="C2" s="6" t="s">
        <v>65</v>
      </c>
      <c r="D2" s="6" t="s">
        <v>117</v>
      </c>
      <c r="E2" s="6" t="s">
        <v>506</v>
      </c>
      <c r="F2" s="6" t="s">
        <v>507</v>
      </c>
      <c r="G2" s="6" t="s">
        <v>119</v>
      </c>
      <c r="H2" s="6" t="s">
        <v>120</v>
      </c>
      <c r="I2" s="6" t="s">
        <v>121</v>
      </c>
      <c r="J2" s="6" t="s">
        <v>448</v>
      </c>
      <c r="K2" s="6" t="s">
        <v>449</v>
      </c>
      <c r="L2" s="6" t="s">
        <v>450</v>
      </c>
      <c r="M2" s="6" t="s">
        <v>451</v>
      </c>
      <c r="N2" s="6" t="s">
        <v>122</v>
      </c>
      <c r="O2" s="6" t="s">
        <v>448</v>
      </c>
      <c r="P2" s="6" t="s">
        <v>449</v>
      </c>
      <c r="Q2" s="6" t="s">
        <v>450</v>
      </c>
      <c r="R2" s="6" t="s">
        <v>451</v>
      </c>
    </row>
    <row r="3" spans="1:21">
      <c r="A3" s="6" t="s">
        <v>69</v>
      </c>
      <c r="B3" s="6" t="s">
        <v>69</v>
      </c>
      <c r="C3" s="6" t="s">
        <v>69</v>
      </c>
      <c r="D3" s="6" t="s">
        <v>69</v>
      </c>
      <c r="E3" s="6" t="s">
        <v>69</v>
      </c>
      <c r="F3" s="6" t="s">
        <v>69</v>
      </c>
      <c r="G3" s="6" t="s">
        <v>69</v>
      </c>
      <c r="H3" s="6" t="s">
        <v>69</v>
      </c>
      <c r="I3" s="6" t="s">
        <v>69</v>
      </c>
      <c r="J3" s="6" t="s">
        <v>446</v>
      </c>
      <c r="K3" s="6" t="s">
        <v>446</v>
      </c>
      <c r="L3" s="6" t="s">
        <v>447</v>
      </c>
      <c r="M3" s="6" t="s">
        <v>447</v>
      </c>
      <c r="N3" s="6" t="s">
        <v>69</v>
      </c>
      <c r="O3" s="6" t="s">
        <v>446</v>
      </c>
      <c r="P3" s="6" t="s">
        <v>446</v>
      </c>
      <c r="Q3" s="6" t="s">
        <v>447</v>
      </c>
      <c r="R3" s="6" t="s">
        <v>447</v>
      </c>
    </row>
    <row r="4" spans="1:21">
      <c r="A4" s="17">
        <v>1</v>
      </c>
      <c r="B4" s="17" t="s">
        <v>521</v>
      </c>
      <c r="C4" s="12" t="s">
        <v>50</v>
      </c>
      <c r="D4" s="12" t="s">
        <v>429</v>
      </c>
      <c r="E4" s="12" t="s">
        <v>568</v>
      </c>
      <c r="F4" s="12" t="s">
        <v>662</v>
      </c>
      <c r="G4" s="17" t="s">
        <v>123</v>
      </c>
      <c r="H4" s="17" t="s">
        <v>127</v>
      </c>
      <c r="I4" s="1">
        <v>1371641041</v>
      </c>
      <c r="J4" s="1">
        <f>IF(COUNTBLANK(I4)=1,0,VLOOKUP(I4,'Date masura SDI'!$A:$M,$J$1,FALSE))</f>
        <v>36460</v>
      </c>
      <c r="K4" s="1">
        <f>IF(COUNTBLANK(I4)=1,0,VLOOKUP(I4,'Date masura SDI'!$A:$M,$K$1,FALSE))</f>
        <v>70284</v>
      </c>
      <c r="L4" s="1">
        <f>IF(COUNTBLANK(I4)=1,0,VLOOKUP(I4,'Date masura SDI'!$A:$M,$L$1,FALSE))</f>
        <v>361</v>
      </c>
      <c r="M4" s="1">
        <f>IF(COUNTBLANK(I4)=1,0,VLOOKUP(I4,'Date masura SDI'!$A:$M,$M$1,FALSE))</f>
        <v>7944</v>
      </c>
      <c r="N4" s="1">
        <v>1371642903</v>
      </c>
      <c r="O4" s="1">
        <f>IF(COUNTBLANK(N4)=1,0,VLOOKUP(N4,'Date masura SDI'!$A:$M,$J$1,FALSE))</f>
        <v>21</v>
      </c>
      <c r="P4" s="1">
        <f>IF(COUNTBLANK(N4)=1,0,VLOOKUP(N4,'Date masura SDI'!$A:$M,$K$1,FALSE))</f>
        <v>122819</v>
      </c>
      <c r="Q4" s="1">
        <f>IF(COUNTBLANK(N4)=1,0,VLOOKUP(N4,'Date masura SDI'!$A:$M,$L$1,FALSE))</f>
        <v>14</v>
      </c>
      <c r="R4" s="1">
        <f>IF(COUNTBLANK(N4)=1,0,VLOOKUP(N4,'Date masura SDI'!$A:$M,$M$1,FALSE))</f>
        <v>1339</v>
      </c>
      <c r="T4" t="str">
        <f>IF(LEFT(B5,4)&lt;&gt;LEFT(B4,4),LEFT(B4,4),"")</f>
        <v/>
      </c>
      <c r="U4">
        <f>IF(COUNTBLANK(T3)=0,IF(COUNTBLANK(P4)=1,0,P4),U3+IF(COUNTBLANK(P4)=1,0,P4))</f>
        <v>122819</v>
      </c>
    </row>
    <row r="5" spans="1:21">
      <c r="A5" s="17">
        <f>A4+1</f>
        <v>2</v>
      </c>
      <c r="B5" s="17" t="s">
        <v>521</v>
      </c>
      <c r="C5" s="12" t="s">
        <v>50</v>
      </c>
      <c r="D5" s="12" t="s">
        <v>429</v>
      </c>
      <c r="E5" s="12" t="s">
        <v>569</v>
      </c>
      <c r="F5" s="12" t="s">
        <v>69</v>
      </c>
      <c r="G5" s="17" t="s">
        <v>124</v>
      </c>
      <c r="H5" s="17" t="s">
        <v>128</v>
      </c>
      <c r="I5" s="1">
        <v>1371641137</v>
      </c>
      <c r="J5" s="1">
        <f>IF(COUNTBLANK(I5)=1,0,VLOOKUP(I5,'Date masura SDI'!$A:$M,$J$1,FALSE))</f>
        <v>74167</v>
      </c>
      <c r="K5" s="1">
        <f>IF(COUNTBLANK(I5)=1,0,VLOOKUP(I5,'Date masura SDI'!$A:$M,$K$1,FALSE))</f>
        <v>0</v>
      </c>
      <c r="L5" s="1">
        <f>IF(COUNTBLANK(I5)=1,0,VLOOKUP(I5,'Date masura SDI'!$A:$M,$L$1,FALSE))</f>
        <v>213</v>
      </c>
      <c r="M5" s="1">
        <f>IF(COUNTBLANK(I5)=1,0,VLOOKUP(I5,'Date masura SDI'!$A:$M,$M$1,FALSE))</f>
        <v>9799</v>
      </c>
      <c r="N5" s="1"/>
      <c r="O5" s="1">
        <f>IF(COUNTBLANK(N5)=1,0,VLOOKUP(N5,'Date masura SDI'!$A:$M,$J$1,FALSE))</f>
        <v>0</v>
      </c>
      <c r="P5" s="1">
        <f>IF(COUNTBLANK(N5)=1,0,VLOOKUP(N5,'Date masura SDI'!$A:$M,$K$1,FALSE))</f>
        <v>0</v>
      </c>
      <c r="Q5" s="1">
        <f>IF(COUNTBLANK(N5)=1,0,VLOOKUP(N5,'Date masura SDI'!$A:$M,$L$1,FALSE))</f>
        <v>0</v>
      </c>
      <c r="R5" s="1">
        <f>IF(COUNTBLANK(N5)=1,0,VLOOKUP(N5,'Date masura SDI'!$A:$M,$M$1,FALSE))</f>
        <v>0</v>
      </c>
      <c r="T5" t="str">
        <f t="shared" ref="T5:T68" si="1">IF(LEFT(B6,4)&lt;&gt;LEFT(B5,4),LEFT(B5,4),"")</f>
        <v/>
      </c>
      <c r="U5">
        <f t="shared" ref="U5:U68" si="2">IF(COUNTBLANK(T4)=0,IF(COUNTBLANK(P5)=1,0,P5),U4+IF(COUNTBLANK(P5)=1,0,P5))</f>
        <v>122819</v>
      </c>
    </row>
    <row r="6" spans="1:21">
      <c r="A6" s="17">
        <f t="shared" ref="A6:A73" si="3">A5+1</f>
        <v>3</v>
      </c>
      <c r="B6" s="17" t="s">
        <v>521</v>
      </c>
      <c r="C6" s="12" t="s">
        <v>50</v>
      </c>
      <c r="D6" s="12" t="s">
        <v>429</v>
      </c>
      <c r="E6" s="12" t="s">
        <v>570</v>
      </c>
      <c r="F6" s="12" t="s">
        <v>663</v>
      </c>
      <c r="G6" s="17" t="s">
        <v>125</v>
      </c>
      <c r="H6" s="17" t="s">
        <v>129</v>
      </c>
      <c r="I6" s="1">
        <v>1371628614</v>
      </c>
      <c r="J6" s="1">
        <f>IF(COUNTBLANK(I6)=1,0,VLOOKUP(I6,'Date masura SDI'!$A:$M,$J$1,FALSE))</f>
        <v>66269</v>
      </c>
      <c r="K6" s="1">
        <f>IF(COUNTBLANK(I6)=1,0,VLOOKUP(I6,'Date masura SDI'!$A:$M,$K$1,FALSE))</f>
        <v>1147</v>
      </c>
      <c r="L6" s="1">
        <f>IF(COUNTBLANK(I6)=1,0,VLOOKUP(I6,'Date masura SDI'!$A:$M,$L$1,FALSE))</f>
        <v>15141</v>
      </c>
      <c r="M6" s="1">
        <f>IF(COUNTBLANK(I6)=1,0,VLOOKUP(I6,'Date masura SDI'!$A:$M,$M$1,FALSE))</f>
        <v>1257</v>
      </c>
      <c r="N6" s="1">
        <v>1371621928</v>
      </c>
      <c r="O6" s="1">
        <f>IF(COUNTBLANK(N6)=1,0,VLOOKUP(N6,'Date masura SDI'!$A:$M,$J$1,FALSE))</f>
        <v>7</v>
      </c>
      <c r="P6" s="1">
        <f>IF(COUNTBLANK(N6)=1,0,VLOOKUP(N6,'Date masura SDI'!$A:$M,$K$1,FALSE))</f>
        <v>41878</v>
      </c>
      <c r="Q6" s="1">
        <f>IF(COUNTBLANK(N6)=1,0,VLOOKUP(N6,'Date masura SDI'!$A:$M,$L$1,FALSE))</f>
        <v>12</v>
      </c>
      <c r="R6" s="1">
        <f>IF(COUNTBLANK(N6)=1,0,VLOOKUP(N6,'Date masura SDI'!$A:$M,$M$1,FALSE))</f>
        <v>500</v>
      </c>
      <c r="T6" t="str">
        <f t="shared" si="1"/>
        <v/>
      </c>
      <c r="U6">
        <f t="shared" si="2"/>
        <v>164697</v>
      </c>
    </row>
    <row r="7" spans="1:21">
      <c r="A7" s="17">
        <f t="shared" si="3"/>
        <v>4</v>
      </c>
      <c r="B7" s="17" t="s">
        <v>521</v>
      </c>
      <c r="C7" s="12" t="s">
        <v>50</v>
      </c>
      <c r="D7" s="12" t="s">
        <v>429</v>
      </c>
      <c r="E7" s="12" t="s">
        <v>571</v>
      </c>
      <c r="F7" s="12" t="s">
        <v>69</v>
      </c>
      <c r="G7" s="17" t="s">
        <v>126</v>
      </c>
      <c r="H7" s="17" t="s">
        <v>130</v>
      </c>
      <c r="I7" s="1">
        <v>1371641883</v>
      </c>
      <c r="J7" s="1">
        <f>IF(COUNTBLANK(I7)=1,0,VLOOKUP(I7,'Date masura SDI'!$A:$M,$J$1,FALSE))</f>
        <v>127488</v>
      </c>
      <c r="K7" s="1">
        <f>IF(COUNTBLANK(I7)=1,0,VLOOKUP(I7,'Date masura SDI'!$A:$M,$K$1,FALSE))</f>
        <v>0</v>
      </c>
      <c r="L7" s="1">
        <f>IF(COUNTBLANK(I7)=1,0,VLOOKUP(I7,'Date masura SDI'!$A:$M,$L$1,FALSE))</f>
        <v>117</v>
      </c>
      <c r="M7" s="1">
        <f>IF(COUNTBLANK(I7)=1,0,VLOOKUP(I7,'Date masura SDI'!$A:$M,$M$1,FALSE))</f>
        <v>41781</v>
      </c>
      <c r="N7" s="1"/>
      <c r="O7" s="1">
        <f>IF(COUNTBLANK(N7)=1,0,VLOOKUP(N7,'Date masura SDI'!$A:$M,$J$1,FALSE))</f>
        <v>0</v>
      </c>
      <c r="P7" s="1">
        <f>IF(COUNTBLANK(N7)=1,0,VLOOKUP(N7,'Date masura SDI'!$A:$M,$K$1,FALSE))</f>
        <v>0</v>
      </c>
      <c r="Q7" s="1">
        <f>IF(COUNTBLANK(N7)=1,0,VLOOKUP(N7,'Date masura SDI'!$A:$M,$L$1,FALSE))</f>
        <v>0</v>
      </c>
      <c r="R7" s="1">
        <f>IF(COUNTBLANK(N7)=1,0,VLOOKUP(N7,'Date masura SDI'!$A:$M,$M$1,FALSE))</f>
        <v>0</v>
      </c>
      <c r="T7" t="str">
        <f t="shared" si="1"/>
        <v/>
      </c>
      <c r="U7">
        <f t="shared" si="2"/>
        <v>164697</v>
      </c>
    </row>
    <row r="8" spans="1:21">
      <c r="A8" s="17">
        <f t="shared" si="3"/>
        <v>5</v>
      </c>
      <c r="B8" s="17" t="s">
        <v>521</v>
      </c>
      <c r="C8" s="12" t="s">
        <v>50</v>
      </c>
      <c r="D8" s="12" t="s">
        <v>429</v>
      </c>
      <c r="E8" s="12" t="s">
        <v>955</v>
      </c>
      <c r="F8" s="12" t="s">
        <v>69</v>
      </c>
      <c r="G8" s="17" t="s">
        <v>116</v>
      </c>
      <c r="H8" s="17" t="s">
        <v>131</v>
      </c>
      <c r="I8" s="7" t="s">
        <v>69</v>
      </c>
      <c r="J8" s="16">
        <v>0</v>
      </c>
      <c r="K8" s="16">
        <v>0</v>
      </c>
      <c r="L8" s="16">
        <v>0</v>
      </c>
      <c r="M8" s="16">
        <v>0</v>
      </c>
      <c r="N8" s="1"/>
      <c r="O8" s="1">
        <f>IF(COUNTBLANK(N8)=1,0,VLOOKUP(N8,'Date masura SDI'!$A:$M,$J$1,FALSE))</f>
        <v>0</v>
      </c>
      <c r="P8" s="1">
        <f>IF(COUNTBLANK(N8)=1,0,VLOOKUP(N8,'Date masura SDI'!$A:$M,$K$1,FALSE))</f>
        <v>0</v>
      </c>
      <c r="Q8" s="1">
        <f>IF(COUNTBLANK(N8)=1,0,VLOOKUP(N8,'Date masura SDI'!$A:$M,$L$1,FALSE))</f>
        <v>0</v>
      </c>
      <c r="R8" s="1">
        <f>IF(COUNTBLANK(N8)=1,0,VLOOKUP(N8,'Date masura SDI'!$A:$M,$M$1,FALSE))</f>
        <v>0</v>
      </c>
      <c r="T8" t="str">
        <f t="shared" si="1"/>
        <v>RRVS</v>
      </c>
      <c r="U8">
        <f t="shared" si="2"/>
        <v>164697</v>
      </c>
    </row>
    <row r="9" spans="1:21">
      <c r="A9" s="17">
        <f t="shared" si="3"/>
        <v>6</v>
      </c>
      <c r="B9" s="17" t="s">
        <v>522</v>
      </c>
      <c r="C9" s="12" t="s">
        <v>51</v>
      </c>
      <c r="D9" s="12" t="s">
        <v>431</v>
      </c>
      <c r="E9" s="12" t="s">
        <v>572</v>
      </c>
      <c r="F9" s="12" t="s">
        <v>69</v>
      </c>
      <c r="G9" s="17" t="s">
        <v>132</v>
      </c>
      <c r="H9" s="17" t="s">
        <v>136</v>
      </c>
      <c r="I9" s="7" t="s">
        <v>922</v>
      </c>
      <c r="J9" s="16">
        <v>0</v>
      </c>
      <c r="K9" s="16">
        <v>0</v>
      </c>
      <c r="L9" s="16">
        <v>0</v>
      </c>
      <c r="M9" s="16">
        <v>0</v>
      </c>
      <c r="N9" s="1"/>
      <c r="O9" s="1">
        <f>IF(COUNTBLANK(N9)=1,0,VLOOKUP(N9,'Date masura SDI'!$A:$M,$J$1,FALSE))</f>
        <v>0</v>
      </c>
      <c r="P9" s="1">
        <f>IF(COUNTBLANK(N9)=1,0,VLOOKUP(N9,'Date masura SDI'!$A:$M,$K$1,FALSE))</f>
        <v>0</v>
      </c>
      <c r="Q9" s="1">
        <f>IF(COUNTBLANK(N9)=1,0,VLOOKUP(N9,'Date masura SDI'!$A:$M,$L$1,FALSE))</f>
        <v>0</v>
      </c>
      <c r="R9" s="1">
        <f>IF(COUNTBLANK(N9)=1,0,VLOOKUP(N9,'Date masura SDI'!$A:$M,$M$1,FALSE))</f>
        <v>0</v>
      </c>
      <c r="T9" t="str">
        <f t="shared" si="1"/>
        <v/>
      </c>
      <c r="U9">
        <f t="shared" si="2"/>
        <v>0</v>
      </c>
    </row>
    <row r="10" spans="1:21">
      <c r="A10" s="17">
        <f t="shared" si="3"/>
        <v>7</v>
      </c>
      <c r="B10" s="17" t="s">
        <v>522</v>
      </c>
      <c r="C10" s="12" t="s">
        <v>51</v>
      </c>
      <c r="D10" s="12" t="s">
        <v>431</v>
      </c>
      <c r="E10" s="12" t="s">
        <v>956</v>
      </c>
      <c r="F10" s="12" t="s">
        <v>69</v>
      </c>
      <c r="G10" s="17" t="s">
        <v>116</v>
      </c>
      <c r="H10" s="17" t="s">
        <v>137</v>
      </c>
      <c r="I10" s="7" t="s">
        <v>69</v>
      </c>
      <c r="J10" s="16">
        <v>0</v>
      </c>
      <c r="K10" s="16">
        <v>0</v>
      </c>
      <c r="L10" s="16">
        <v>0</v>
      </c>
      <c r="M10" s="16">
        <v>0</v>
      </c>
      <c r="N10" s="1"/>
      <c r="O10" s="1">
        <f>IF(COUNTBLANK(N10)=1,0,VLOOKUP(N10,'Date masura SDI'!$A:$M,$J$1,FALSE))</f>
        <v>0</v>
      </c>
      <c r="P10" s="1">
        <f>IF(COUNTBLANK(N10)=1,0,VLOOKUP(N10,'Date masura SDI'!$A:$M,$K$1,FALSE))</f>
        <v>0</v>
      </c>
      <c r="Q10" s="1">
        <f>IF(COUNTBLANK(N10)=1,0,VLOOKUP(N10,'Date masura SDI'!$A:$M,$L$1,FALSE))</f>
        <v>0</v>
      </c>
      <c r="R10" s="1">
        <f>IF(COUNTBLANK(N10)=1,0,VLOOKUP(N10,'Date masura SDI'!$A:$M,$M$1,FALSE))</f>
        <v>0</v>
      </c>
      <c r="T10" t="str">
        <f t="shared" si="1"/>
        <v/>
      </c>
      <c r="U10">
        <f t="shared" si="2"/>
        <v>0</v>
      </c>
    </row>
    <row r="11" spans="1:21">
      <c r="A11" s="17">
        <f t="shared" si="3"/>
        <v>8</v>
      </c>
      <c r="B11" s="17" t="s">
        <v>523</v>
      </c>
      <c r="C11" s="12" t="s">
        <v>51</v>
      </c>
      <c r="D11" s="12" t="s">
        <v>433</v>
      </c>
      <c r="E11" s="12" t="s">
        <v>573</v>
      </c>
      <c r="F11" s="12" t="s">
        <v>664</v>
      </c>
      <c r="G11" s="17" t="s">
        <v>133</v>
      </c>
      <c r="H11" s="17" t="s">
        <v>138</v>
      </c>
      <c r="I11" s="1">
        <v>1373075553</v>
      </c>
      <c r="J11" s="1">
        <f>IF(COUNTBLANK(I11)=1,0,VLOOKUP(I11,'Date masura SDI'!$A:$M,$J$1,FALSE))</f>
        <v>172046</v>
      </c>
      <c r="K11" s="1">
        <f>IF(COUNTBLANK(I11)=1,0,VLOOKUP(I11,'Date masura SDI'!$A:$M,$K$1,FALSE))</f>
        <v>34</v>
      </c>
      <c r="L11" s="1">
        <f>IF(COUNTBLANK(I11)=1,0,VLOOKUP(I11,'Date masura SDI'!$A:$M,$L$1,FALSE))</f>
        <v>50318</v>
      </c>
      <c r="M11" s="1">
        <f>IF(COUNTBLANK(I11)=1,0,VLOOKUP(I11,'Date masura SDI'!$A:$M,$M$1,FALSE))</f>
        <v>2502</v>
      </c>
      <c r="N11" s="1">
        <v>1373362497</v>
      </c>
      <c r="O11" s="1">
        <f>IF(COUNTBLANK(N11)=1,0,VLOOKUP(N11,'Date masura SDI'!$A:$M,$J$1,FALSE))</f>
        <v>384</v>
      </c>
      <c r="P11" s="1">
        <f>IF(COUNTBLANK(N11)=1,0,VLOOKUP(N11,'Date masura SDI'!$A:$M,$K$1,FALSE))</f>
        <v>76612</v>
      </c>
      <c r="Q11" s="1">
        <f>IF(COUNTBLANK(N11)=1,0,VLOOKUP(N11,'Date masura SDI'!$A:$M,$L$1,FALSE))</f>
        <v>101596</v>
      </c>
      <c r="R11" s="1">
        <f>IF(COUNTBLANK(N11)=1,0,VLOOKUP(N11,'Date masura SDI'!$A:$M,$M$1,FALSE))</f>
        <v>685</v>
      </c>
      <c r="T11" t="str">
        <f t="shared" si="1"/>
        <v/>
      </c>
      <c r="U11">
        <f t="shared" si="2"/>
        <v>76612</v>
      </c>
    </row>
    <row r="12" spans="1:21">
      <c r="A12" s="17">
        <f t="shared" si="3"/>
        <v>9</v>
      </c>
      <c r="B12" s="17" t="s">
        <v>523</v>
      </c>
      <c r="C12" s="12" t="s">
        <v>51</v>
      </c>
      <c r="D12" s="12" t="s">
        <v>433</v>
      </c>
      <c r="E12" s="12" t="s">
        <v>574</v>
      </c>
      <c r="F12" s="12" t="s">
        <v>665</v>
      </c>
      <c r="G12" s="17" t="s">
        <v>134</v>
      </c>
      <c r="H12" s="17" t="s">
        <v>139</v>
      </c>
      <c r="I12" s="1">
        <v>1373265813</v>
      </c>
      <c r="J12" s="1">
        <f>IF(COUNTBLANK(I12)=1,0,VLOOKUP(I12,'Date masura SDI'!$A:$M,$J$1,FALSE))</f>
        <v>89826</v>
      </c>
      <c r="K12" s="1">
        <f>IF(COUNTBLANK(I12)=1,0,VLOOKUP(I12,'Date masura SDI'!$A:$M,$K$1,FALSE))</f>
        <v>29203</v>
      </c>
      <c r="L12" s="1">
        <f>IF(COUNTBLANK(I12)=1,0,VLOOKUP(I12,'Date masura SDI'!$A:$M,$L$1,FALSE))</f>
        <v>90720</v>
      </c>
      <c r="M12" s="1">
        <f>IF(COUNTBLANK(I12)=1,0,VLOOKUP(I12,'Date masura SDI'!$A:$M,$M$1,FALSE))</f>
        <v>33</v>
      </c>
      <c r="N12" s="1">
        <v>1373362724</v>
      </c>
      <c r="O12" s="1">
        <f>IF(COUNTBLANK(N12)=1,0,VLOOKUP(N12,'Date masura SDI'!$A:$M,$J$1,FALSE))</f>
        <v>125</v>
      </c>
      <c r="P12" s="1">
        <f>IF(COUNTBLANK(N12)=1,0,VLOOKUP(N12,'Date masura SDI'!$A:$M,$K$1,FALSE))</f>
        <v>139725</v>
      </c>
      <c r="Q12" s="1">
        <f>IF(COUNTBLANK(N12)=1,0,VLOOKUP(N12,'Date masura SDI'!$A:$M,$L$1,FALSE))</f>
        <v>573</v>
      </c>
      <c r="R12" s="1">
        <f>IF(COUNTBLANK(N12)=1,0,VLOOKUP(N12,'Date masura SDI'!$A:$M,$M$1,FALSE))</f>
        <v>92584</v>
      </c>
      <c r="T12" t="str">
        <f t="shared" si="1"/>
        <v/>
      </c>
      <c r="U12">
        <f t="shared" si="2"/>
        <v>216337</v>
      </c>
    </row>
    <row r="13" spans="1:21">
      <c r="A13" s="17">
        <f t="shared" si="3"/>
        <v>10</v>
      </c>
      <c r="B13" s="17" t="s">
        <v>523</v>
      </c>
      <c r="C13" s="12" t="s">
        <v>51</v>
      </c>
      <c r="D13" s="12" t="s">
        <v>433</v>
      </c>
      <c r="E13" s="12" t="s">
        <v>957</v>
      </c>
      <c r="F13" s="12" t="s">
        <v>69</v>
      </c>
      <c r="G13" s="17" t="s">
        <v>116</v>
      </c>
      <c r="H13" s="17" t="s">
        <v>140</v>
      </c>
      <c r="I13" s="7" t="s">
        <v>69</v>
      </c>
      <c r="J13" s="16">
        <v>0</v>
      </c>
      <c r="K13" s="16">
        <v>0</v>
      </c>
      <c r="L13" s="16">
        <v>0</v>
      </c>
      <c r="M13" s="16">
        <v>0</v>
      </c>
      <c r="N13" s="1"/>
      <c r="O13" s="1">
        <f>IF(COUNTBLANK(N13)=1,0,VLOOKUP(N13,'Date masura SDI'!$A:$M,$J$1,FALSE))</f>
        <v>0</v>
      </c>
      <c r="P13" s="1">
        <f>IF(COUNTBLANK(N13)=1,0,VLOOKUP(N13,'Date masura SDI'!$A:$M,$K$1,FALSE))</f>
        <v>0</v>
      </c>
      <c r="Q13" s="1">
        <f>IF(COUNTBLANK(N13)=1,0,VLOOKUP(N13,'Date masura SDI'!$A:$M,$L$1,FALSE))</f>
        <v>0</v>
      </c>
      <c r="R13" s="1">
        <f>IF(COUNTBLANK(N13)=1,0,VLOOKUP(N13,'Date masura SDI'!$A:$M,$M$1,FALSE))</f>
        <v>0</v>
      </c>
      <c r="T13" t="str">
        <f t="shared" si="1"/>
        <v/>
      </c>
      <c r="U13">
        <f t="shared" si="2"/>
        <v>216337</v>
      </c>
    </row>
    <row r="14" spans="1:21">
      <c r="A14" s="17">
        <f t="shared" si="3"/>
        <v>11</v>
      </c>
      <c r="B14" s="17" t="s">
        <v>524</v>
      </c>
      <c r="C14" s="12" t="s">
        <v>51</v>
      </c>
      <c r="D14" s="12" t="s">
        <v>435</v>
      </c>
      <c r="E14" s="12" t="s">
        <v>575</v>
      </c>
      <c r="F14" s="12" t="s">
        <v>69</v>
      </c>
      <c r="G14" s="17" t="s">
        <v>135</v>
      </c>
      <c r="H14" s="17" t="s">
        <v>141</v>
      </c>
      <c r="I14" s="7" t="s">
        <v>923</v>
      </c>
      <c r="J14" s="16">
        <v>0</v>
      </c>
      <c r="K14" s="16">
        <v>0</v>
      </c>
      <c r="L14" s="16">
        <v>0</v>
      </c>
      <c r="M14" s="16">
        <v>0</v>
      </c>
      <c r="N14" s="1"/>
      <c r="O14" s="1">
        <f>IF(COUNTBLANK(N14)=1,0,VLOOKUP(N14,'Date masura SDI'!$A:$M,$J$1,FALSE))</f>
        <v>0</v>
      </c>
      <c r="P14" s="1">
        <f>IF(COUNTBLANK(N14)=1,0,VLOOKUP(N14,'Date masura SDI'!$A:$M,$K$1,FALSE))</f>
        <v>0</v>
      </c>
      <c r="Q14" s="1">
        <f>IF(COUNTBLANK(N14)=1,0,VLOOKUP(N14,'Date masura SDI'!$A:$M,$L$1,FALSE))</f>
        <v>0</v>
      </c>
      <c r="R14" s="1">
        <f>IF(COUNTBLANK(N14)=1,0,VLOOKUP(N14,'Date masura SDI'!$A:$M,$M$1,FALSE))</f>
        <v>0</v>
      </c>
      <c r="T14" t="str">
        <f t="shared" si="1"/>
        <v/>
      </c>
      <c r="U14">
        <f t="shared" si="2"/>
        <v>216337</v>
      </c>
    </row>
    <row r="15" spans="1:21">
      <c r="A15" s="17">
        <f t="shared" si="3"/>
        <v>12</v>
      </c>
      <c r="B15" s="17" t="s">
        <v>524</v>
      </c>
      <c r="C15" s="12" t="s">
        <v>51</v>
      </c>
      <c r="D15" s="12" t="s">
        <v>435</v>
      </c>
      <c r="E15" s="12" t="s">
        <v>958</v>
      </c>
      <c r="F15" s="12" t="s">
        <v>69</v>
      </c>
      <c r="G15" s="17" t="s">
        <v>116</v>
      </c>
      <c r="H15" s="17" t="s">
        <v>142</v>
      </c>
      <c r="I15" s="7" t="s">
        <v>69</v>
      </c>
      <c r="J15" s="16">
        <v>0</v>
      </c>
      <c r="K15" s="16">
        <v>0</v>
      </c>
      <c r="L15" s="16">
        <v>0</v>
      </c>
      <c r="M15" s="16">
        <v>0</v>
      </c>
      <c r="N15" s="1"/>
      <c r="O15" s="1">
        <f>IF(COUNTBLANK(N15)=1,0,VLOOKUP(N15,'Date masura SDI'!$A:$M,$J$1,FALSE))</f>
        <v>0</v>
      </c>
      <c r="P15" s="1">
        <f>IF(COUNTBLANK(N15)=1,0,VLOOKUP(N15,'Date masura SDI'!$A:$M,$K$1,FALSE))</f>
        <v>0</v>
      </c>
      <c r="Q15" s="1">
        <f>IF(COUNTBLANK(N15)=1,0,VLOOKUP(N15,'Date masura SDI'!$A:$M,$L$1,FALSE))</f>
        <v>0</v>
      </c>
      <c r="R15" s="1">
        <f>IF(COUNTBLANK(N15)=1,0,VLOOKUP(N15,'Date masura SDI'!$A:$M,$M$1,FALSE))</f>
        <v>0</v>
      </c>
      <c r="T15" t="str">
        <f t="shared" si="1"/>
        <v/>
      </c>
      <c r="U15">
        <f t="shared" si="2"/>
        <v>216337</v>
      </c>
    </row>
    <row r="16" spans="1:21">
      <c r="A16" s="17">
        <f t="shared" si="3"/>
        <v>13</v>
      </c>
      <c r="B16" s="17" t="s">
        <v>525</v>
      </c>
      <c r="C16" s="12" t="s">
        <v>51</v>
      </c>
      <c r="D16" s="12" t="s">
        <v>390</v>
      </c>
      <c r="E16" s="70" t="s">
        <v>525</v>
      </c>
      <c r="F16" s="12" t="s">
        <v>69</v>
      </c>
      <c r="G16" s="23" t="s">
        <v>51</v>
      </c>
      <c r="H16" s="18" t="s">
        <v>390</v>
      </c>
      <c r="I16" s="31">
        <v>2744825</v>
      </c>
      <c r="J16" s="20">
        <f>VLOOKUP(H16,'Date masura OD'!$E:$BB,14,FALSE)</f>
        <v>3497</v>
      </c>
      <c r="K16" s="20">
        <v>0</v>
      </c>
      <c r="L16" s="20">
        <f>VLOOKUP(H16,'Date masura OD'!$E:$BB,15,FALSE)</f>
        <v>0</v>
      </c>
      <c r="M16" s="20">
        <f>VLOOKUP(H16,'Date masura OD'!$E:$BB,16,FALSE)</f>
        <v>0</v>
      </c>
      <c r="N16" s="21"/>
      <c r="O16" s="20" t="str">
        <f>IF(COUNTBLANK(N16)=1,"",VLOOKUP(N16,'Date masura SDI'!$A:$M,$J$1-7,FALSE))</f>
        <v/>
      </c>
      <c r="P16" s="20" t="str">
        <f>IF(COUNTBLANK(N16)=1,"",VLOOKUP(N16,'Date masura SDI'!$A:$M,$K$1-7,FALSE))</f>
        <v/>
      </c>
      <c r="Q16" s="20" t="str">
        <f>IF(COUNTBLANK(N16)=1,"",VLOOKUP(N16,'Date masura SDI'!$A:$M,$L$1-7,FALSE))</f>
        <v/>
      </c>
      <c r="R16" s="20" t="str">
        <f>IF(COUNTBLANK(N16)=1,"",VLOOKUP(N16,'Date masura SDI'!$A:$M,$M$1-7,FALSE))</f>
        <v/>
      </c>
      <c r="T16" t="str">
        <f>IF(LEFT(B17,4)&lt;&gt;LEFT(B16,4),LEFT(B16,4),"")</f>
        <v>RBPM</v>
      </c>
      <c r="U16">
        <f t="shared" si="2"/>
        <v>216337</v>
      </c>
    </row>
    <row r="17" spans="1:21">
      <c r="A17" s="17">
        <f>A16+1</f>
        <v>14</v>
      </c>
      <c r="B17" s="17" t="s">
        <v>526</v>
      </c>
      <c r="C17" s="12" t="s">
        <v>52</v>
      </c>
      <c r="D17" s="12" t="s">
        <v>437</v>
      </c>
      <c r="E17" s="12" t="s">
        <v>576</v>
      </c>
      <c r="F17" s="12" t="s">
        <v>69</v>
      </c>
      <c r="G17" s="17" t="s">
        <v>143</v>
      </c>
      <c r="H17" s="17" t="s">
        <v>145</v>
      </c>
      <c r="I17" s="1">
        <v>1371624631</v>
      </c>
      <c r="J17" s="1">
        <f>IF(COUNTBLANK(I17)=1,0,VLOOKUP(I17,'Date masura SDI'!$A:$M,$J$1,FALSE))</f>
        <v>335836</v>
      </c>
      <c r="K17" s="1">
        <f>IF(COUNTBLANK(I17)=1,0,VLOOKUP(I17,'Date masura SDI'!$A:$M,$K$1,FALSE))</f>
        <v>0</v>
      </c>
      <c r="L17" s="1">
        <f>IF(COUNTBLANK(I17)=1,0,VLOOKUP(I17,'Date masura SDI'!$A:$M,$L$1,FALSE))</f>
        <v>7526</v>
      </c>
      <c r="M17" s="1">
        <f>IF(COUNTBLANK(I17)=1,0,VLOOKUP(I17,'Date masura SDI'!$A:$M,$M$1,FALSE))</f>
        <v>14116</v>
      </c>
      <c r="N17" s="1"/>
      <c r="O17" s="1">
        <f>IF(COUNTBLANK(N17)=1,0,VLOOKUP(N17,'Date masura SDI'!$A:$M,$J$1,FALSE))</f>
        <v>0</v>
      </c>
      <c r="P17" s="1">
        <f>IF(COUNTBLANK(N17)=1,0,VLOOKUP(N17,'Date masura SDI'!$A:$M,$K$1,FALSE))</f>
        <v>0</v>
      </c>
      <c r="Q17" s="1">
        <f>IF(COUNTBLANK(N17)=1,0,VLOOKUP(N17,'Date masura SDI'!$A:$M,$L$1,FALSE))</f>
        <v>0</v>
      </c>
      <c r="R17" s="1">
        <f>IF(COUNTBLANK(N17)=1,0,VLOOKUP(N17,'Date masura SDI'!$A:$M,$M$1,FALSE))</f>
        <v>0</v>
      </c>
      <c r="T17" t="str">
        <f t="shared" si="1"/>
        <v/>
      </c>
      <c r="U17">
        <f>IF(COUNTBLANK(T16)=0,IF(COUNTBLANK(P17)=1,0,P17),U16+IF(COUNTBLANK(P17)=1,0,P17))</f>
        <v>0</v>
      </c>
    </row>
    <row r="18" spans="1:21">
      <c r="A18" s="17">
        <f t="shared" si="3"/>
        <v>15</v>
      </c>
      <c r="B18" s="17" t="s">
        <v>526</v>
      </c>
      <c r="C18" s="12" t="s">
        <v>52</v>
      </c>
      <c r="D18" s="12" t="s">
        <v>437</v>
      </c>
      <c r="E18" s="12" t="s">
        <v>577</v>
      </c>
      <c r="F18" s="12" t="s">
        <v>666</v>
      </c>
      <c r="G18" s="17" t="s">
        <v>144</v>
      </c>
      <c r="H18" s="17" t="s">
        <v>146</v>
      </c>
      <c r="I18" s="1">
        <v>1372628411</v>
      </c>
      <c r="J18" s="1">
        <f>IF(COUNTBLANK(I18)=1,0,VLOOKUP(I18,'Date masura SDI'!$A:$M,$J$1,FALSE))</f>
        <v>161548</v>
      </c>
      <c r="K18" s="1">
        <f>IF(COUNTBLANK(I18)=1,0,VLOOKUP(I18,'Date masura SDI'!$A:$M,$K$1,FALSE))</f>
        <v>37318</v>
      </c>
      <c r="L18" s="1">
        <f>IF(COUNTBLANK(I18)=1,0,VLOOKUP(I18,'Date masura SDI'!$A:$M,$L$1,FALSE))</f>
        <v>0</v>
      </c>
      <c r="M18" s="1">
        <f>IF(COUNTBLANK(I18)=1,0,VLOOKUP(I18,'Date masura SDI'!$A:$M,$M$1,FALSE))</f>
        <v>30</v>
      </c>
      <c r="N18" s="1">
        <v>1371624621</v>
      </c>
      <c r="O18" s="1">
        <f>IF(COUNTBLANK(N18)=1,0,VLOOKUP(N18,'Date masura SDI'!$A:$M,$J$1,FALSE))</f>
        <v>27</v>
      </c>
      <c r="P18" s="1">
        <f>IF(COUNTBLANK(N18)=1,0,VLOOKUP(N18,'Date masura SDI'!$A:$M,$K$1,FALSE))</f>
        <v>170661</v>
      </c>
      <c r="Q18" s="1">
        <f>IF(COUNTBLANK(N18)=1,0,VLOOKUP(N18,'Date masura SDI'!$A:$M,$L$1,FALSE))</f>
        <v>1277</v>
      </c>
      <c r="R18" s="1">
        <f>IF(COUNTBLANK(N18)=1,0,VLOOKUP(N18,'Date masura SDI'!$A:$M,$M$1,FALSE))</f>
        <v>142</v>
      </c>
      <c r="T18" t="str">
        <f t="shared" si="1"/>
        <v/>
      </c>
      <c r="U18">
        <f t="shared" si="2"/>
        <v>170661</v>
      </c>
    </row>
    <row r="19" spans="1:21">
      <c r="A19" s="17">
        <f t="shared" si="3"/>
        <v>16</v>
      </c>
      <c r="B19" s="17" t="s">
        <v>526</v>
      </c>
      <c r="C19" s="12" t="s">
        <v>52</v>
      </c>
      <c r="D19" s="12" t="s">
        <v>437</v>
      </c>
      <c r="E19" s="12" t="s">
        <v>1188</v>
      </c>
      <c r="F19" s="12" t="s">
        <v>1422</v>
      </c>
      <c r="G19" s="17" t="s">
        <v>1190</v>
      </c>
      <c r="H19" s="17" t="s">
        <v>147</v>
      </c>
      <c r="I19" s="1">
        <v>23298242</v>
      </c>
      <c r="J19" s="1">
        <f>IF(COUNTBLANK(I19)=1,0,VLOOKUP(I19,'Date masura SDI'!$A:$M,$J$1,FALSE))</f>
        <v>157144</v>
      </c>
      <c r="K19" s="1">
        <f>IF(COUNTBLANK(I19)=1,0,VLOOKUP(I19,'Date masura SDI'!$A:$M,$K$1,FALSE))</f>
        <v>0</v>
      </c>
      <c r="L19" s="1">
        <f>IF(COUNTBLANK(I19)=1,0,VLOOKUP(I19,'Date masura SDI'!$A:$M,$L$1,FALSE))</f>
        <v>0</v>
      </c>
      <c r="M19" s="1">
        <f>IF(COUNTBLANK(I19)=1,0,VLOOKUP(I19,'Date masura SDI'!$A:$M,$M$1,FALSE))</f>
        <v>0</v>
      </c>
      <c r="N19" s="1">
        <v>23295929</v>
      </c>
      <c r="O19" s="1">
        <f>IF(COUNTBLANK(N19)=1,0,VLOOKUP(N19,'Date masura SDI'!$A:$M,$J$1,FALSE))</f>
        <v>0</v>
      </c>
      <c r="P19" s="1">
        <f>IF(COUNTBLANK(N19)=1,0,VLOOKUP(N19,'Date masura SDI'!$A:$M,$K$1,FALSE))</f>
        <v>49849.500000000036</v>
      </c>
      <c r="Q19" s="1">
        <f>IF(COUNTBLANK(N19)=1,0,VLOOKUP(N19,'Date masura SDI'!$A:$M,$L$1,FALSE))</f>
        <v>0</v>
      </c>
      <c r="R19" s="1">
        <f>IF(COUNTBLANK(N19)=1,0,VLOOKUP(N19,'Date masura SDI'!$A:$M,$M$1,FALSE))</f>
        <v>0</v>
      </c>
      <c r="T19" t="str">
        <f t="shared" si="1"/>
        <v/>
      </c>
      <c r="U19">
        <f t="shared" si="2"/>
        <v>220510.50000000003</v>
      </c>
    </row>
    <row r="20" spans="1:21">
      <c r="A20" s="17">
        <f t="shared" si="3"/>
        <v>17</v>
      </c>
      <c r="B20" s="17" t="s">
        <v>526</v>
      </c>
      <c r="C20" s="12" t="s">
        <v>52</v>
      </c>
      <c r="D20" s="12" t="s">
        <v>437</v>
      </c>
      <c r="E20" s="12" t="s">
        <v>959</v>
      </c>
      <c r="F20" s="12" t="s">
        <v>69</v>
      </c>
      <c r="G20" s="17" t="s">
        <v>116</v>
      </c>
      <c r="H20" s="17" t="s">
        <v>1191</v>
      </c>
      <c r="I20" s="7" t="s">
        <v>69</v>
      </c>
      <c r="J20" s="16">
        <v>0</v>
      </c>
      <c r="K20" s="16">
        <v>0</v>
      </c>
      <c r="L20" s="16">
        <v>0</v>
      </c>
      <c r="M20" s="16">
        <v>0</v>
      </c>
      <c r="N20" s="1"/>
      <c r="O20" s="1">
        <f>IF(COUNTBLANK(N20)=1,0,VLOOKUP(N20,'Date masura SDI'!$A:$M,$J$1,FALSE))</f>
        <v>0</v>
      </c>
      <c r="P20" s="1">
        <f>IF(COUNTBLANK(N20)=1,0,VLOOKUP(N20,'Date masura SDI'!$A:$M,$K$1,FALSE))</f>
        <v>0</v>
      </c>
      <c r="Q20" s="1">
        <f>IF(COUNTBLANK(N20)=1,0,VLOOKUP(N20,'Date masura SDI'!$A:$M,$L$1,FALSE))</f>
        <v>0</v>
      </c>
      <c r="R20" s="1">
        <f>IF(COUNTBLANK(N20)=1,0,VLOOKUP(N20,'Date masura SDI'!$A:$M,$M$1,FALSE))</f>
        <v>0</v>
      </c>
      <c r="T20" t="str">
        <f t="shared" si="1"/>
        <v/>
      </c>
      <c r="U20">
        <f t="shared" si="2"/>
        <v>220510.50000000003</v>
      </c>
    </row>
    <row r="21" spans="1:21">
      <c r="A21" s="17">
        <f t="shared" si="3"/>
        <v>18</v>
      </c>
      <c r="B21" s="17" t="s">
        <v>499</v>
      </c>
      <c r="C21" s="12" t="s">
        <v>52</v>
      </c>
      <c r="D21" s="12" t="s">
        <v>437</v>
      </c>
      <c r="E21" s="12" t="s">
        <v>578</v>
      </c>
      <c r="F21" s="12" t="s">
        <v>69</v>
      </c>
      <c r="G21" s="17" t="s">
        <v>500</v>
      </c>
      <c r="H21" s="17" t="s">
        <v>498</v>
      </c>
      <c r="I21" s="7" t="s">
        <v>924</v>
      </c>
      <c r="J21" s="16">
        <v>0</v>
      </c>
      <c r="K21" s="16">
        <v>0</v>
      </c>
      <c r="L21" s="16">
        <v>0</v>
      </c>
      <c r="M21" s="16">
        <v>0</v>
      </c>
      <c r="N21" s="1"/>
      <c r="O21" s="1">
        <f>IF(COUNTBLANK(N21)=1,0,VLOOKUP(N21,'Date masura SDI'!$A:$M,$J$1,FALSE))</f>
        <v>0</v>
      </c>
      <c r="P21" s="1">
        <f>IF(COUNTBLANK(N21)=1,0,VLOOKUP(N21,'Date masura SDI'!$A:$M,$K$1,FALSE))</f>
        <v>0</v>
      </c>
      <c r="Q21" s="1">
        <f>IF(COUNTBLANK(N21)=1,0,VLOOKUP(N21,'Date masura SDI'!$A:$M,$L$1,FALSE))</f>
        <v>0</v>
      </c>
      <c r="R21" s="1">
        <f>IF(COUNTBLANK(N21)=1,0,VLOOKUP(N21,'Date masura SDI'!$A:$M,$M$1,FALSE))</f>
        <v>0</v>
      </c>
      <c r="T21" t="str">
        <f t="shared" si="1"/>
        <v/>
      </c>
      <c r="U21">
        <f t="shared" si="2"/>
        <v>220510.50000000003</v>
      </c>
    </row>
    <row r="22" spans="1:21">
      <c r="A22" s="17">
        <f t="shared" si="3"/>
        <v>19</v>
      </c>
      <c r="B22" s="17" t="s">
        <v>499</v>
      </c>
      <c r="C22" s="12" t="s">
        <v>52</v>
      </c>
      <c r="D22" s="12" t="s">
        <v>437</v>
      </c>
      <c r="E22" s="12" t="s">
        <v>579</v>
      </c>
      <c r="F22" s="12" t="s">
        <v>69</v>
      </c>
      <c r="G22" s="17" t="s">
        <v>501</v>
      </c>
      <c r="H22" s="17" t="s">
        <v>502</v>
      </c>
      <c r="I22" s="7" t="s">
        <v>925</v>
      </c>
      <c r="J22" s="16">
        <v>0</v>
      </c>
      <c r="K22" s="16">
        <v>0</v>
      </c>
      <c r="L22" s="16">
        <v>0</v>
      </c>
      <c r="M22" s="16">
        <v>0</v>
      </c>
      <c r="N22" s="1"/>
      <c r="O22" s="1">
        <f>IF(COUNTBLANK(N22)=1,0,VLOOKUP(N22,'Date masura SDI'!$A:$M,$J$1,FALSE))</f>
        <v>0</v>
      </c>
      <c r="P22" s="1">
        <f>IF(COUNTBLANK(N22)=1,0,VLOOKUP(N22,'Date masura SDI'!$A:$M,$K$1,FALSE))</f>
        <v>0</v>
      </c>
      <c r="Q22" s="1">
        <f>IF(COUNTBLANK(N22)=1,0,VLOOKUP(N22,'Date masura SDI'!$A:$M,$L$1,FALSE))</f>
        <v>0</v>
      </c>
      <c r="R22" s="1">
        <f>IF(COUNTBLANK(N22)=1,0,VLOOKUP(N22,'Date masura SDI'!$A:$M,$M$1,FALSE))</f>
        <v>0</v>
      </c>
      <c r="T22" t="str">
        <f t="shared" si="1"/>
        <v/>
      </c>
      <c r="U22">
        <f t="shared" si="2"/>
        <v>220510.50000000003</v>
      </c>
    </row>
    <row r="23" spans="1:21">
      <c r="A23" s="17">
        <f t="shared" si="3"/>
        <v>20</v>
      </c>
      <c r="B23" s="17" t="s">
        <v>499</v>
      </c>
      <c r="C23" s="12" t="s">
        <v>52</v>
      </c>
      <c r="D23" s="12" t="s">
        <v>437</v>
      </c>
      <c r="E23" s="12" t="s">
        <v>1189</v>
      </c>
      <c r="F23" s="12" t="s">
        <v>69</v>
      </c>
      <c r="G23" s="17" t="s">
        <v>1194</v>
      </c>
      <c r="H23" s="17" t="s">
        <v>1192</v>
      </c>
      <c r="I23" s="7" t="s">
        <v>1193</v>
      </c>
      <c r="J23" s="16">
        <v>0</v>
      </c>
      <c r="K23" s="16">
        <v>0</v>
      </c>
      <c r="L23" s="16">
        <v>0</v>
      </c>
      <c r="M23" s="16">
        <v>0</v>
      </c>
      <c r="N23" s="1"/>
      <c r="O23" s="1">
        <v>0</v>
      </c>
      <c r="P23" s="1">
        <v>0</v>
      </c>
      <c r="Q23" s="1">
        <v>0</v>
      </c>
      <c r="R23" s="1">
        <v>0</v>
      </c>
      <c r="T23" t="str">
        <f t="shared" si="1"/>
        <v/>
      </c>
      <c r="U23">
        <f t="shared" si="2"/>
        <v>220510.50000000003</v>
      </c>
    </row>
    <row r="24" spans="1:21">
      <c r="A24" s="17">
        <f t="shared" si="3"/>
        <v>21</v>
      </c>
      <c r="B24" s="17" t="s">
        <v>499</v>
      </c>
      <c r="C24" s="12" t="s">
        <v>52</v>
      </c>
      <c r="D24" s="12" t="s">
        <v>437</v>
      </c>
      <c r="E24" s="12" t="s">
        <v>960</v>
      </c>
      <c r="F24" s="12" t="s">
        <v>69</v>
      </c>
      <c r="G24" s="17" t="s">
        <v>116</v>
      </c>
      <c r="H24" s="17" t="s">
        <v>503</v>
      </c>
      <c r="I24" s="7" t="s">
        <v>69</v>
      </c>
      <c r="J24" s="16">
        <v>0</v>
      </c>
      <c r="K24" s="16">
        <v>0</v>
      </c>
      <c r="L24" s="16">
        <v>0</v>
      </c>
      <c r="M24" s="16">
        <v>0</v>
      </c>
      <c r="N24" s="1"/>
      <c r="O24" s="1">
        <f>IF(COUNTBLANK(N24)=1,0,VLOOKUP(N24,'Date masura SDI'!$A:$M,$J$1,FALSE))</f>
        <v>0</v>
      </c>
      <c r="P24" s="1">
        <f>IF(COUNTBLANK(N24)=1,0,VLOOKUP(N24,'Date masura SDI'!$A:$M,$K$1,FALSE))</f>
        <v>0</v>
      </c>
      <c r="Q24" s="1">
        <f>IF(COUNTBLANK(N24)=1,0,VLOOKUP(N24,'Date masura SDI'!$A:$M,$L$1,FALSE))</f>
        <v>0</v>
      </c>
      <c r="R24" s="1">
        <f>IF(COUNTBLANK(N24)=1,0,VLOOKUP(N24,'Date masura SDI'!$A:$M,$M$1,FALSE))</f>
        <v>0</v>
      </c>
      <c r="T24" t="str">
        <f t="shared" si="1"/>
        <v>RPSC</v>
      </c>
      <c r="U24">
        <f t="shared" si="2"/>
        <v>220510.50000000003</v>
      </c>
    </row>
    <row r="25" spans="1:21">
      <c r="A25" s="17">
        <f t="shared" si="3"/>
        <v>22</v>
      </c>
      <c r="B25" s="17" t="s">
        <v>527</v>
      </c>
      <c r="C25" s="12" t="s">
        <v>53</v>
      </c>
      <c r="D25" s="12" t="s">
        <v>153</v>
      </c>
      <c r="E25" s="12" t="s">
        <v>580</v>
      </c>
      <c r="F25" s="12" t="s">
        <v>69</v>
      </c>
      <c r="G25" s="17" t="s">
        <v>148</v>
      </c>
      <c r="H25" s="17" t="s">
        <v>150</v>
      </c>
      <c r="I25" s="1">
        <v>1372745265</v>
      </c>
      <c r="J25" s="129">
        <f>IF(COUNTBLANK(I25)=1,0,VLOOKUP(I25,'Date masura SDI'!$A:$M,$K$1,FALSE))</f>
        <v>198162</v>
      </c>
      <c r="K25" s="129">
        <f>IF(COUNTBLANK(I25)=1,0,VLOOKUP(I25,'Date masura SDI'!$A:$M,$J$1,FALSE))</f>
        <v>0</v>
      </c>
      <c r="L25" s="1">
        <f>IF(COUNTBLANK(I25)=1,0,VLOOKUP(I25,'Date masura SDI'!$A:$M,$L$1,FALSE))</f>
        <v>2916</v>
      </c>
      <c r="M25" s="1">
        <f>IF(COUNTBLANK(I25)=1,0,VLOOKUP(I25,'Date masura SDI'!$A:$M,$M$1,FALSE))</f>
        <v>3877</v>
      </c>
      <c r="N25" s="1"/>
      <c r="O25" s="1">
        <f>IF(COUNTBLANK(N25)=1,0,VLOOKUP(N25,'Date masura SDI'!$A:$M,$J$1,FALSE))</f>
        <v>0</v>
      </c>
      <c r="P25" s="1">
        <f>IF(COUNTBLANK(N25)=1,0,VLOOKUP(N25,'Date masura SDI'!$A:$M,$K$1,FALSE))</f>
        <v>0</v>
      </c>
      <c r="Q25" s="1">
        <f>IF(COUNTBLANK(N25)=1,0,VLOOKUP(N25,'Date masura SDI'!$A:$M,$L$1,FALSE))</f>
        <v>0</v>
      </c>
      <c r="R25" s="1">
        <f>IF(COUNTBLANK(N25)=1,0,VLOOKUP(N25,'Date masura SDI'!$A:$M,$M$1,FALSE))</f>
        <v>0</v>
      </c>
      <c r="T25" t="str">
        <f t="shared" si="1"/>
        <v/>
      </c>
      <c r="U25">
        <f t="shared" si="2"/>
        <v>0</v>
      </c>
    </row>
    <row r="26" spans="1:21">
      <c r="A26" s="17">
        <f t="shared" si="3"/>
        <v>23</v>
      </c>
      <c r="B26" s="17" t="s">
        <v>527</v>
      </c>
      <c r="C26" s="12" t="s">
        <v>53</v>
      </c>
      <c r="D26" s="12" t="s">
        <v>153</v>
      </c>
      <c r="E26" s="12" t="s">
        <v>581</v>
      </c>
      <c r="F26" s="12" t="s">
        <v>667</v>
      </c>
      <c r="G26" s="17" t="s">
        <v>149</v>
      </c>
      <c r="H26" s="17" t="s">
        <v>151</v>
      </c>
      <c r="I26" s="1">
        <v>1372643042</v>
      </c>
      <c r="J26" s="1">
        <f>IF(COUNTBLANK(I26)=1,0,VLOOKUP(I26,'Date masura SDI'!$A:$M,$J$1,FALSE))</f>
        <v>129199</v>
      </c>
      <c r="K26" s="1">
        <f>IF(COUNTBLANK(I26)=1,0,VLOOKUP(I26,'Date masura SDI'!$A:$M,$K$1,FALSE))</f>
        <v>16684</v>
      </c>
      <c r="L26" s="1">
        <f>IF(COUNTBLANK(I26)=1,0,VLOOKUP(I26,'Date masura SDI'!$A:$M,$L$1,FALSE))</f>
        <v>6158</v>
      </c>
      <c r="M26" s="1">
        <f>IF(COUNTBLANK(I26)=1,0,VLOOKUP(I26,'Date masura SDI'!$A:$M,$M$1,FALSE))</f>
        <v>965</v>
      </c>
      <c r="N26" s="1">
        <v>1371621682</v>
      </c>
      <c r="O26" s="1">
        <f>IF(COUNTBLANK(N26)=1,0,VLOOKUP(N26,'Date masura SDI'!$A:$M,$J$1,FALSE))</f>
        <v>22</v>
      </c>
      <c r="P26" s="1">
        <f>IF(COUNTBLANK(N26)=1,0,VLOOKUP(N26,'Date masura SDI'!$A:$M,$K$1,FALSE))</f>
        <v>125962</v>
      </c>
      <c r="Q26" s="1">
        <f>IF(COUNTBLANK(N26)=1,0,VLOOKUP(N26,'Date masura SDI'!$A:$M,$L$1,FALSE))</f>
        <v>33</v>
      </c>
      <c r="R26" s="1">
        <f>IF(COUNTBLANK(N26)=1,0,VLOOKUP(N26,'Date masura SDI'!$A:$M,$M$1,FALSE))</f>
        <v>1681</v>
      </c>
      <c r="T26" t="str">
        <f t="shared" si="1"/>
        <v/>
      </c>
      <c r="U26">
        <f t="shared" si="2"/>
        <v>125962</v>
      </c>
    </row>
    <row r="27" spans="1:21">
      <c r="A27" s="17">
        <f t="shared" si="3"/>
        <v>24</v>
      </c>
      <c r="B27" s="17" t="s">
        <v>527</v>
      </c>
      <c r="C27" s="12" t="s">
        <v>53</v>
      </c>
      <c r="D27" s="12" t="s">
        <v>153</v>
      </c>
      <c r="E27" s="12" t="s">
        <v>961</v>
      </c>
      <c r="F27" s="12" t="s">
        <v>69</v>
      </c>
      <c r="G27" s="17" t="s">
        <v>116</v>
      </c>
      <c r="H27" s="17" t="s">
        <v>152</v>
      </c>
      <c r="I27" s="7" t="s">
        <v>69</v>
      </c>
      <c r="J27" s="16">
        <v>0</v>
      </c>
      <c r="K27" s="16">
        <v>0</v>
      </c>
      <c r="L27" s="16">
        <v>0</v>
      </c>
      <c r="M27" s="16">
        <v>0</v>
      </c>
      <c r="N27" s="1"/>
      <c r="O27" s="1">
        <f>IF(COUNTBLANK(N27)=1,0,VLOOKUP(N27,'Date masura SDI'!$A:$M,$J$1,FALSE))</f>
        <v>0</v>
      </c>
      <c r="P27" s="1">
        <f>IF(COUNTBLANK(N27)=1,0,VLOOKUP(N27,'Date masura SDI'!$A:$M,$K$1,FALSE))</f>
        <v>0</v>
      </c>
      <c r="Q27" s="1">
        <f>IF(COUNTBLANK(N27)=1,0,VLOOKUP(N27,'Date masura SDI'!$A:$M,$L$1,FALSE))</f>
        <v>0</v>
      </c>
      <c r="R27" s="1">
        <f>IF(COUNTBLANK(N27)=1,0,VLOOKUP(N27,'Date masura SDI'!$A:$M,$M$1,FALSE))</f>
        <v>0</v>
      </c>
      <c r="T27" t="str">
        <f t="shared" si="1"/>
        <v>RSCP</v>
      </c>
      <c r="U27">
        <f t="shared" si="2"/>
        <v>125962</v>
      </c>
    </row>
    <row r="28" spans="1:21">
      <c r="A28" s="17">
        <f t="shared" si="3"/>
        <v>25</v>
      </c>
      <c r="B28" s="17" t="s">
        <v>528</v>
      </c>
      <c r="C28" s="12" t="s">
        <v>54</v>
      </c>
      <c r="D28" s="12" t="s">
        <v>159</v>
      </c>
      <c r="E28" s="12" t="s">
        <v>582</v>
      </c>
      <c r="F28" s="12" t="s">
        <v>69</v>
      </c>
      <c r="G28" s="17" t="s">
        <v>154</v>
      </c>
      <c r="H28" s="17" t="s">
        <v>155</v>
      </c>
      <c r="I28" s="1">
        <v>1371622702</v>
      </c>
      <c r="J28" s="1">
        <f>IF(COUNTBLANK(I28)=1,0,VLOOKUP(I28,'Date masura SDI'!$A:$M,$J$1,FALSE))</f>
        <v>163810</v>
      </c>
      <c r="K28" s="1">
        <f>IF(COUNTBLANK(I28)=1,0,VLOOKUP(I28,'Date masura SDI'!$A:$M,$K$1,FALSE))</f>
        <v>0</v>
      </c>
      <c r="L28" s="1">
        <f>IF(COUNTBLANK(I28)=1,0,VLOOKUP(I28,'Date masura SDI'!$A:$M,$L$1,FALSE))</f>
        <v>7096</v>
      </c>
      <c r="M28" s="1">
        <f>IF(COUNTBLANK(I28)=1,0,VLOOKUP(I28,'Date masura SDI'!$A:$M,$M$1,FALSE))</f>
        <v>2938</v>
      </c>
      <c r="N28" s="1"/>
      <c r="O28" s="1">
        <f>IF(COUNTBLANK(N28)=1,0,VLOOKUP(N28,'Date masura SDI'!$A:$M,$J$1,FALSE))</f>
        <v>0</v>
      </c>
      <c r="P28" s="1">
        <f>IF(COUNTBLANK(N28)=1,0,VLOOKUP(N28,'Date masura SDI'!$A:$M,$K$1,FALSE))</f>
        <v>0</v>
      </c>
      <c r="Q28" s="1">
        <f>IF(COUNTBLANK(N28)=1,0,VLOOKUP(N28,'Date masura SDI'!$A:$M,$L$1,FALSE))</f>
        <v>0</v>
      </c>
      <c r="R28" s="1">
        <f>IF(COUNTBLANK(N28)=1,0,VLOOKUP(N28,'Date masura SDI'!$A:$M,$M$1,FALSE))</f>
        <v>0</v>
      </c>
      <c r="T28" t="str">
        <f t="shared" si="1"/>
        <v/>
      </c>
      <c r="U28">
        <f t="shared" si="2"/>
        <v>0</v>
      </c>
    </row>
    <row r="29" spans="1:21" ht="15.95" customHeight="1">
      <c r="A29" s="17">
        <f t="shared" si="3"/>
        <v>26</v>
      </c>
      <c r="B29" s="17" t="s">
        <v>528</v>
      </c>
      <c r="C29" s="12" t="s">
        <v>54</v>
      </c>
      <c r="D29" s="12" t="s">
        <v>159</v>
      </c>
      <c r="E29" s="12" t="s">
        <v>583</v>
      </c>
      <c r="F29" s="12" t="s">
        <v>668</v>
      </c>
      <c r="G29" s="17" t="s">
        <v>156</v>
      </c>
      <c r="H29" s="17" t="s">
        <v>157</v>
      </c>
      <c r="I29" s="1">
        <v>1371641581</v>
      </c>
      <c r="J29" s="1">
        <f>IF(COUNTBLANK(I29)=1,0,VLOOKUP(I29,'Date masura SDI'!$A:$M,$J$1,FALSE))</f>
        <v>215073</v>
      </c>
      <c r="K29" s="1">
        <f>IF(COUNTBLANK(I29)=1,0,VLOOKUP(I29,'Date masura SDI'!$A:$M,$K$1,FALSE))</f>
        <v>0</v>
      </c>
      <c r="L29" s="1">
        <f>IF(COUNTBLANK(I29)=1,0,VLOOKUP(I29,'Date masura SDI'!$A:$M,$L$1,FALSE))</f>
        <v>11508</v>
      </c>
      <c r="M29" s="1">
        <f>IF(COUNTBLANK(I29)=1,0,VLOOKUP(I29,'Date masura SDI'!$A:$M,$M$1,FALSE))</f>
        <v>1359</v>
      </c>
      <c r="N29" s="1">
        <v>1371621501</v>
      </c>
      <c r="O29" s="1">
        <f>IF(COUNTBLANK(N29)=1,0,VLOOKUP(N29,'Date masura SDI'!$A:$M,$J$1,FALSE))</f>
        <v>5</v>
      </c>
      <c r="P29" s="1">
        <f>IF(COUNTBLANK(N29)=1,0,VLOOKUP(N29,'Date masura SDI'!$A:$M,$K$1,FALSE))</f>
        <v>39479</v>
      </c>
      <c r="Q29" s="1">
        <f>IF(COUNTBLANK(N29)=1,0,VLOOKUP(N29,'Date masura SDI'!$A:$M,$L$1,FALSE))</f>
        <v>35</v>
      </c>
      <c r="R29" s="1">
        <f>IF(COUNTBLANK(N29)=1,0,VLOOKUP(N29,'Date masura SDI'!$A:$M,$M$1,FALSE))</f>
        <v>412</v>
      </c>
      <c r="T29" t="str">
        <f t="shared" si="1"/>
        <v/>
      </c>
      <c r="U29">
        <f t="shared" si="2"/>
        <v>39479</v>
      </c>
    </row>
    <row r="30" spans="1:21">
      <c r="A30" s="17">
        <f t="shared" si="3"/>
        <v>27</v>
      </c>
      <c r="B30" s="17" t="s">
        <v>528</v>
      </c>
      <c r="C30" s="12" t="s">
        <v>54</v>
      </c>
      <c r="D30" s="12" t="s">
        <v>159</v>
      </c>
      <c r="E30" s="12" t="s">
        <v>962</v>
      </c>
      <c r="F30" s="12" t="s">
        <v>69</v>
      </c>
      <c r="G30" s="17" t="s">
        <v>116</v>
      </c>
      <c r="H30" s="17" t="s">
        <v>158</v>
      </c>
      <c r="I30" s="7" t="s">
        <v>69</v>
      </c>
      <c r="J30" s="16">
        <v>0</v>
      </c>
      <c r="K30" s="16">
        <v>0</v>
      </c>
      <c r="L30" s="16">
        <v>0</v>
      </c>
      <c r="M30" s="16">
        <v>0</v>
      </c>
      <c r="N30" s="1"/>
      <c r="O30" s="1">
        <f>IF(COUNTBLANK(N30)=1,0,VLOOKUP(N30,'Date masura SDI'!$A:$M,$J$1,FALSE))</f>
        <v>0</v>
      </c>
      <c r="P30" s="1">
        <f>IF(COUNTBLANK(N30)=1,0,VLOOKUP(N30,'Date masura SDI'!$A:$M,$K$1,FALSE))</f>
        <v>0</v>
      </c>
      <c r="Q30" s="1">
        <f>IF(COUNTBLANK(N30)=1,0,VLOOKUP(N30,'Date masura SDI'!$A:$M,$L$1,FALSE))</f>
        <v>0</v>
      </c>
      <c r="R30" s="1">
        <f>IF(COUNTBLANK(N30)=1,0,VLOOKUP(N30,'Date masura SDI'!$A:$M,$M$1,FALSE))</f>
        <v>0</v>
      </c>
      <c r="T30" t="str">
        <f t="shared" si="1"/>
        <v>RSMS</v>
      </c>
      <c r="U30">
        <f t="shared" si="2"/>
        <v>39479</v>
      </c>
    </row>
    <row r="31" spans="1:21">
      <c r="A31" s="17">
        <f t="shared" si="3"/>
        <v>28</v>
      </c>
      <c r="B31" s="17" t="s">
        <v>529</v>
      </c>
      <c r="C31" s="12" t="s">
        <v>55</v>
      </c>
      <c r="D31" s="12" t="s">
        <v>161</v>
      </c>
      <c r="E31" s="12" t="s">
        <v>584</v>
      </c>
      <c r="F31" s="12" t="s">
        <v>669</v>
      </c>
      <c r="G31" s="17" t="s">
        <v>167</v>
      </c>
      <c r="H31" s="17" t="s">
        <v>181</v>
      </c>
      <c r="I31" s="1">
        <v>1369534319</v>
      </c>
      <c r="J31" s="1">
        <f>IF(COUNTBLANK(I31)=1,0,VLOOKUP(I31,'Date masura SDI'!$A:$M,$J$1,FALSE))</f>
        <v>67515</v>
      </c>
      <c r="K31" s="1">
        <f>IF(COUNTBLANK(I31)=1,0,VLOOKUP(I31,'Date masura SDI'!$A:$M,$K$1,FALSE))</f>
        <v>0</v>
      </c>
      <c r="L31" s="1">
        <f>IF(COUNTBLANK(I31)=1,0,VLOOKUP(I31,'Date masura SDI'!$A:$M,$L$1,FALSE))</f>
        <v>12293</v>
      </c>
      <c r="M31" s="1">
        <f>IF(COUNTBLANK(I31)=1,0,VLOOKUP(I31,'Date masura SDI'!$A:$M,$M$1,FALSE))</f>
        <v>2</v>
      </c>
      <c r="N31" s="1">
        <v>1371641082</v>
      </c>
      <c r="O31" s="1">
        <f>IF(COUNTBLANK(N31)=1,0,VLOOKUP(N31,'Date masura SDI'!$A:$M,$J$1,FALSE))</f>
        <v>13</v>
      </c>
      <c r="P31" s="1">
        <f>IF(COUNTBLANK(N31)=1,0,VLOOKUP(N31,'Date masura SDI'!$A:$M,$K$1,FALSE))</f>
        <v>34586</v>
      </c>
      <c r="Q31" s="1">
        <f>IF(COUNTBLANK(N31)=1,0,VLOOKUP(N31,'Date masura SDI'!$A:$M,$L$1,FALSE))</f>
        <v>125</v>
      </c>
      <c r="R31" s="1">
        <f>IF(COUNTBLANK(N31)=1,0,VLOOKUP(N31,'Date masura SDI'!$A:$M,$M$1,FALSE))</f>
        <v>301</v>
      </c>
      <c r="T31" t="str">
        <f t="shared" si="1"/>
        <v/>
      </c>
      <c r="U31">
        <f t="shared" si="2"/>
        <v>34586</v>
      </c>
    </row>
    <row r="32" spans="1:21">
      <c r="A32" s="17">
        <f t="shared" si="3"/>
        <v>29</v>
      </c>
      <c r="B32" s="17" t="s">
        <v>529</v>
      </c>
      <c r="C32" s="12" t="s">
        <v>55</v>
      </c>
      <c r="D32" s="12" t="s">
        <v>161</v>
      </c>
      <c r="E32" s="12" t="s">
        <v>585</v>
      </c>
      <c r="F32" s="12" t="s">
        <v>670</v>
      </c>
      <c r="G32" s="17" t="s">
        <v>168</v>
      </c>
      <c r="H32" s="17" t="s">
        <v>173</v>
      </c>
      <c r="I32" s="1">
        <v>1369546405</v>
      </c>
      <c r="J32" s="1">
        <f>IF(COUNTBLANK(I32)=1,0,VLOOKUP(I32,'Date masura SDI'!$A:$M,$J$1,FALSE))</f>
        <v>76080</v>
      </c>
      <c r="K32" s="1">
        <f>IF(COUNTBLANK(I32)=1,0,VLOOKUP(I32,'Date masura SDI'!$A:$M,$K$1,FALSE))</f>
        <v>0</v>
      </c>
      <c r="L32" s="1">
        <f>IF(COUNTBLANK(I32)=1,0,VLOOKUP(I32,'Date masura SDI'!$A:$M,$L$1,FALSE))</f>
        <v>12765</v>
      </c>
      <c r="M32" s="1">
        <f>IF(COUNTBLANK(I32)=1,0,VLOOKUP(I32,'Date masura SDI'!$A:$M,$M$1,FALSE))</f>
        <v>2</v>
      </c>
      <c r="N32" s="1">
        <v>1372628454</v>
      </c>
      <c r="O32" s="1">
        <f>IF(COUNTBLANK(N32)=1,0,VLOOKUP(N32,'Date masura SDI'!$A:$M,$J$1,FALSE))</f>
        <v>9</v>
      </c>
      <c r="P32" s="1">
        <f>IF(COUNTBLANK(N32)=1,0,VLOOKUP(N32,'Date masura SDI'!$A:$M,$K$1,FALSE))</f>
        <v>24153</v>
      </c>
      <c r="Q32" s="1">
        <f>IF(COUNTBLANK(N32)=1,0,VLOOKUP(N32,'Date masura SDI'!$A:$M,$L$1,FALSE))</f>
        <v>84</v>
      </c>
      <c r="R32" s="1">
        <f>IF(COUNTBLANK(N32)=1,0,VLOOKUP(N32,'Date masura SDI'!$A:$M,$M$1,FALSE))</f>
        <v>254</v>
      </c>
      <c r="T32" t="str">
        <f t="shared" si="1"/>
        <v/>
      </c>
      <c r="U32">
        <f t="shared" si="2"/>
        <v>58739</v>
      </c>
    </row>
    <row r="33" spans="1:21">
      <c r="A33" s="17">
        <f t="shared" si="3"/>
        <v>30</v>
      </c>
      <c r="B33" s="17" t="s">
        <v>529</v>
      </c>
      <c r="C33" s="12" t="s">
        <v>55</v>
      </c>
      <c r="D33" s="12" t="s">
        <v>161</v>
      </c>
      <c r="E33" s="12" t="s">
        <v>963</v>
      </c>
      <c r="F33" s="12" t="s">
        <v>69</v>
      </c>
      <c r="G33" s="17" t="s">
        <v>116</v>
      </c>
      <c r="H33" s="17" t="s">
        <v>174</v>
      </c>
      <c r="I33" s="7" t="s">
        <v>69</v>
      </c>
      <c r="J33" s="16">
        <v>0</v>
      </c>
      <c r="K33" s="16">
        <v>0</v>
      </c>
      <c r="L33" s="16">
        <v>0</v>
      </c>
      <c r="M33" s="16">
        <v>0</v>
      </c>
      <c r="N33" s="1"/>
      <c r="O33" s="1">
        <f>IF(COUNTBLANK(N33)=1,0,VLOOKUP(N33,'Date masura SDI'!$A:$M,$J$1,FALSE))</f>
        <v>0</v>
      </c>
      <c r="P33" s="1">
        <f>IF(COUNTBLANK(N33)=1,0,VLOOKUP(N33,'Date masura SDI'!$A:$M,$K$1,FALSE))</f>
        <v>0</v>
      </c>
      <c r="Q33" s="1">
        <f>IF(COUNTBLANK(N33)=1,0,VLOOKUP(N33,'Date masura SDI'!$A:$M,$L$1,FALSE))</f>
        <v>0</v>
      </c>
      <c r="R33" s="1">
        <f>IF(COUNTBLANK(N33)=1,0,VLOOKUP(N33,'Date masura SDI'!$A:$M,$M$1,FALSE))</f>
        <v>0</v>
      </c>
      <c r="T33" t="str">
        <f t="shared" si="1"/>
        <v/>
      </c>
      <c r="U33">
        <f t="shared" si="2"/>
        <v>58739</v>
      </c>
    </row>
    <row r="34" spans="1:21">
      <c r="A34" s="17">
        <f t="shared" si="3"/>
        <v>31</v>
      </c>
      <c r="B34" s="17" t="s">
        <v>530</v>
      </c>
      <c r="C34" s="12" t="s">
        <v>55</v>
      </c>
      <c r="D34" s="12" t="s">
        <v>163</v>
      </c>
      <c r="E34" s="12" t="s">
        <v>586</v>
      </c>
      <c r="F34" s="12" t="s">
        <v>671</v>
      </c>
      <c r="G34" s="17" t="s">
        <v>169</v>
      </c>
      <c r="H34" s="17" t="s">
        <v>175</v>
      </c>
      <c r="I34" s="1">
        <v>1371623665</v>
      </c>
      <c r="J34" s="1">
        <f>IF(COUNTBLANK(I34)=1,0,VLOOKUP(I34,'Date masura SDI'!$A:$M,$J$1,FALSE))</f>
        <v>136338</v>
      </c>
      <c r="K34" s="1">
        <f>IF(COUNTBLANK(I34)=1,0,VLOOKUP(I34,'Date masura SDI'!$A:$M,$K$1,FALSE))</f>
        <v>0</v>
      </c>
      <c r="L34" s="1">
        <f>IF(COUNTBLANK(I34)=1,0,VLOOKUP(I34,'Date masura SDI'!$A:$M,$L$1,FALSE))</f>
        <v>17328</v>
      </c>
      <c r="M34" s="1">
        <f>IF(COUNTBLANK(I34)=1,0,VLOOKUP(I34,'Date masura SDI'!$A:$M,$M$1,FALSE))</f>
        <v>17</v>
      </c>
      <c r="N34" s="1">
        <v>1372655654</v>
      </c>
      <c r="O34" s="1">
        <f>IF(COUNTBLANK(N34)=1,0,VLOOKUP(N34,'Date masura SDI'!$A:$M,$J$1,FALSE))</f>
        <v>30</v>
      </c>
      <c r="P34" s="1">
        <f>IF(COUNTBLANK(N34)=1,0,VLOOKUP(N34,'Date masura SDI'!$A:$M,$K$1,FALSE))</f>
        <v>81464</v>
      </c>
      <c r="Q34" s="1">
        <f>IF(COUNTBLANK(N34)=1,0,VLOOKUP(N34,'Date masura SDI'!$A:$M,$L$1,FALSE))</f>
        <v>28</v>
      </c>
      <c r="R34" s="1">
        <f>IF(COUNTBLANK(N34)=1,0,VLOOKUP(N34,'Date masura SDI'!$A:$M,$M$1,FALSE))</f>
        <v>1354</v>
      </c>
      <c r="T34" t="str">
        <f t="shared" si="1"/>
        <v/>
      </c>
      <c r="U34">
        <f t="shared" si="2"/>
        <v>140203</v>
      </c>
    </row>
    <row r="35" spans="1:21">
      <c r="A35" s="17">
        <f t="shared" si="3"/>
        <v>32</v>
      </c>
      <c r="B35" s="17" t="s">
        <v>530</v>
      </c>
      <c r="C35" s="12" t="s">
        <v>55</v>
      </c>
      <c r="D35" s="12" t="s">
        <v>163</v>
      </c>
      <c r="E35" s="12" t="s">
        <v>587</v>
      </c>
      <c r="F35" s="12" t="s">
        <v>69</v>
      </c>
      <c r="G35" s="17" t="s">
        <v>170</v>
      </c>
      <c r="H35" s="17" t="s">
        <v>176</v>
      </c>
      <c r="I35" s="1">
        <v>1369534409</v>
      </c>
      <c r="J35" s="1">
        <f>IF(COUNTBLANK(I35)=1,0,VLOOKUP(I35,'Date masura SDI'!$A:$M,$J$1,FALSE))</f>
        <v>97947</v>
      </c>
      <c r="K35" s="1">
        <f>IF(COUNTBLANK(I35)=1,0,VLOOKUP(I35,'Date masura SDI'!$A:$M,$K$1,FALSE))</f>
        <v>0</v>
      </c>
      <c r="L35" s="1">
        <f>IF(COUNTBLANK(I35)=1,0,VLOOKUP(I35,'Date masura SDI'!$A:$M,$L$1,FALSE))</f>
        <v>11253</v>
      </c>
      <c r="M35" s="1">
        <f>IF(COUNTBLANK(I35)=1,0,VLOOKUP(I35,'Date masura SDI'!$A:$M,$M$1,FALSE))</f>
        <v>17</v>
      </c>
      <c r="N35" s="1"/>
      <c r="O35" s="1">
        <f>IF(COUNTBLANK(N35)=1,0,VLOOKUP(N35,'Date masura SDI'!$A:$M,$J$1,FALSE))</f>
        <v>0</v>
      </c>
      <c r="P35" s="1">
        <f>IF(COUNTBLANK(N35)=1,0,VLOOKUP(N35,'Date masura SDI'!$A:$M,$K$1,FALSE))</f>
        <v>0</v>
      </c>
      <c r="Q35" s="1">
        <f>IF(COUNTBLANK(N35)=1,0,VLOOKUP(N35,'Date masura SDI'!$A:$M,$L$1,FALSE))</f>
        <v>0</v>
      </c>
      <c r="R35" s="1">
        <f>IF(COUNTBLANK(N35)=1,0,VLOOKUP(N35,'Date masura SDI'!$A:$M,$M$1,FALSE))</f>
        <v>0</v>
      </c>
      <c r="T35" t="str">
        <f t="shared" si="1"/>
        <v/>
      </c>
      <c r="U35">
        <f t="shared" si="2"/>
        <v>140203</v>
      </c>
    </row>
    <row r="36" spans="1:21">
      <c r="A36" s="17">
        <f t="shared" si="3"/>
        <v>33</v>
      </c>
      <c r="B36" s="17" t="s">
        <v>530</v>
      </c>
      <c r="C36" s="12" t="s">
        <v>55</v>
      </c>
      <c r="D36" s="12" t="s">
        <v>163</v>
      </c>
      <c r="E36" s="12" t="s">
        <v>964</v>
      </c>
      <c r="F36" s="12" t="s">
        <v>69</v>
      </c>
      <c r="G36" s="17" t="s">
        <v>116</v>
      </c>
      <c r="H36" s="17" t="s">
        <v>177</v>
      </c>
      <c r="I36" s="7" t="s">
        <v>69</v>
      </c>
      <c r="J36" s="16">
        <v>0</v>
      </c>
      <c r="K36" s="16">
        <v>0</v>
      </c>
      <c r="L36" s="16">
        <v>0</v>
      </c>
      <c r="M36" s="16">
        <v>0</v>
      </c>
      <c r="N36" s="1"/>
      <c r="O36" s="1">
        <f>IF(COUNTBLANK(N36)=1,0,VLOOKUP(N36,'Date masura SDI'!$A:$M,$J$1,FALSE))</f>
        <v>0</v>
      </c>
      <c r="P36" s="1">
        <f>IF(COUNTBLANK(N36)=1,0,VLOOKUP(N36,'Date masura SDI'!$A:$M,$K$1,FALSE))</f>
        <v>0</v>
      </c>
      <c r="Q36" s="1">
        <f>IF(COUNTBLANK(N36)=1,0,VLOOKUP(N36,'Date masura SDI'!$A:$M,$L$1,FALSE))</f>
        <v>0</v>
      </c>
      <c r="R36" s="1">
        <f>IF(COUNTBLANK(N36)=1,0,VLOOKUP(N36,'Date masura SDI'!$A:$M,$M$1,FALSE))</f>
        <v>0</v>
      </c>
      <c r="T36" t="str">
        <f t="shared" si="1"/>
        <v/>
      </c>
      <c r="U36">
        <f t="shared" si="2"/>
        <v>140203</v>
      </c>
    </row>
    <row r="37" spans="1:21">
      <c r="A37" s="17">
        <f t="shared" si="3"/>
        <v>34</v>
      </c>
      <c r="B37" s="17" t="s">
        <v>531</v>
      </c>
      <c r="C37" s="12" t="s">
        <v>55</v>
      </c>
      <c r="D37" s="12" t="s">
        <v>165</v>
      </c>
      <c r="E37" s="12" t="s">
        <v>588</v>
      </c>
      <c r="F37" s="12" t="s">
        <v>672</v>
      </c>
      <c r="G37" s="17" t="s">
        <v>171</v>
      </c>
      <c r="H37" s="17" t="s">
        <v>178</v>
      </c>
      <c r="I37" s="1">
        <v>1372655772</v>
      </c>
      <c r="J37" s="1">
        <f>IF(COUNTBLANK(I37)=1,0,VLOOKUP(I37,'Date masura SDI'!$A:$M,$J$1,FALSE))</f>
        <v>43364</v>
      </c>
      <c r="K37" s="1">
        <f>IF(COUNTBLANK(I37)=1,0,VLOOKUP(I37,'Date masura SDI'!$A:$M,$K$1,FALSE))</f>
        <v>56743</v>
      </c>
      <c r="L37" s="1">
        <f>IF(COUNTBLANK(I37)=1,0,VLOOKUP(I37,'Date masura SDI'!$A:$M,$L$1,FALSE))</f>
        <v>49</v>
      </c>
      <c r="M37" s="1">
        <f>IF(COUNTBLANK(I37)=1,0,VLOOKUP(I37,'Date masura SDI'!$A:$M,$M$1,FALSE))</f>
        <v>25435</v>
      </c>
      <c r="N37" s="1">
        <v>1372640362</v>
      </c>
      <c r="O37" s="1">
        <f>IF(COUNTBLANK(N37)=1,0,VLOOKUP(N37,'Date masura SDI'!$A:$M,$J$1,FALSE))</f>
        <v>25</v>
      </c>
      <c r="P37" s="1">
        <f>IF(COUNTBLANK(N37)=1,0,VLOOKUP(N37,'Date masura SDI'!$A:$M,$K$1,FALSE))</f>
        <v>127365</v>
      </c>
      <c r="Q37" s="1">
        <f>IF(COUNTBLANK(N37)=1,0,VLOOKUP(N37,'Date masura SDI'!$A:$M,$L$1,FALSE))</f>
        <v>321</v>
      </c>
      <c r="R37" s="1">
        <f>IF(COUNTBLANK(N37)=1,0,VLOOKUP(N37,'Date masura SDI'!$A:$M,$M$1,FALSE))</f>
        <v>2271</v>
      </c>
      <c r="T37" t="str">
        <f t="shared" si="1"/>
        <v/>
      </c>
      <c r="U37">
        <f t="shared" si="2"/>
        <v>267568</v>
      </c>
    </row>
    <row r="38" spans="1:21">
      <c r="A38" s="17">
        <f t="shared" si="3"/>
        <v>35</v>
      </c>
      <c r="B38" s="17" t="s">
        <v>531</v>
      </c>
      <c r="C38" s="12" t="s">
        <v>55</v>
      </c>
      <c r="D38" s="12" t="s">
        <v>165</v>
      </c>
      <c r="E38" s="12" t="s">
        <v>589</v>
      </c>
      <c r="F38" s="12" t="s">
        <v>69</v>
      </c>
      <c r="G38" s="17" t="s">
        <v>172</v>
      </c>
      <c r="H38" s="17" t="s">
        <v>179</v>
      </c>
      <c r="I38" s="1">
        <v>1372654023</v>
      </c>
      <c r="J38" s="1">
        <f>IF(COUNTBLANK(I38)=1,0,VLOOKUP(I38,'Date masura SDI'!$A:$M,$J$1,FALSE))</f>
        <v>212112</v>
      </c>
      <c r="K38" s="1">
        <f>IF(COUNTBLANK(I38)=1,0,VLOOKUP(I38,'Date masura SDI'!$A:$M,$K$1,FALSE))</f>
        <v>0</v>
      </c>
      <c r="L38" s="1">
        <f>IF(COUNTBLANK(I38)=1,0,VLOOKUP(I38,'Date masura SDI'!$A:$M,$L$1,FALSE))</f>
        <v>22030</v>
      </c>
      <c r="M38" s="1">
        <f>IF(COUNTBLANK(I38)=1,0,VLOOKUP(I38,'Date masura SDI'!$A:$M,$M$1,FALSE))</f>
        <v>1</v>
      </c>
      <c r="N38" s="1"/>
      <c r="O38" s="1">
        <f>IF(COUNTBLANK(N38)=1,0,VLOOKUP(N38,'Date masura SDI'!$A:$M,$J$1,FALSE))</f>
        <v>0</v>
      </c>
      <c r="P38" s="1">
        <f>IF(COUNTBLANK(N38)=1,0,VLOOKUP(N38,'Date masura SDI'!$A:$M,$K$1,FALSE))</f>
        <v>0</v>
      </c>
      <c r="Q38" s="1">
        <f>IF(COUNTBLANK(N38)=1,0,VLOOKUP(N38,'Date masura SDI'!$A:$M,$L$1,FALSE))</f>
        <v>0</v>
      </c>
      <c r="R38" s="1">
        <f>IF(COUNTBLANK(N38)=1,0,VLOOKUP(N38,'Date masura SDI'!$A:$M,$M$1,FALSE))</f>
        <v>0</v>
      </c>
      <c r="T38" t="str">
        <f t="shared" si="1"/>
        <v/>
      </c>
      <c r="U38">
        <f t="shared" si="2"/>
        <v>267568</v>
      </c>
    </row>
    <row r="39" spans="1:21">
      <c r="A39" s="17">
        <f t="shared" si="3"/>
        <v>36</v>
      </c>
      <c r="B39" s="17" t="s">
        <v>531</v>
      </c>
      <c r="C39" s="12" t="s">
        <v>55</v>
      </c>
      <c r="D39" s="12" t="s">
        <v>165</v>
      </c>
      <c r="E39" s="12" t="s">
        <v>965</v>
      </c>
      <c r="F39" s="12" t="s">
        <v>69</v>
      </c>
      <c r="G39" s="17" t="s">
        <v>116</v>
      </c>
      <c r="H39" s="17" t="s">
        <v>180</v>
      </c>
      <c r="I39" s="7" t="s">
        <v>69</v>
      </c>
      <c r="J39" s="16">
        <v>0</v>
      </c>
      <c r="K39" s="16">
        <v>0</v>
      </c>
      <c r="L39" s="16">
        <v>0</v>
      </c>
      <c r="M39" s="16">
        <v>0</v>
      </c>
      <c r="N39" s="1"/>
      <c r="O39" s="1">
        <f>IF(COUNTBLANK(N39)=1,0,VLOOKUP(N39,'Date masura SDI'!$A:$M,$J$1,FALSE))</f>
        <v>0</v>
      </c>
      <c r="P39" s="1">
        <f>IF(COUNTBLANK(N39)=1,0,VLOOKUP(N39,'Date masura SDI'!$A:$M,$K$1,FALSE))</f>
        <v>0</v>
      </c>
      <c r="Q39" s="1">
        <f>IF(COUNTBLANK(N39)=1,0,VLOOKUP(N39,'Date masura SDI'!$A:$M,$L$1,FALSE))</f>
        <v>0</v>
      </c>
      <c r="R39" s="1">
        <f>IF(COUNTBLANK(N39)=1,0,VLOOKUP(N39,'Date masura SDI'!$A:$M,$M$1,FALSE))</f>
        <v>0</v>
      </c>
      <c r="T39" t="str">
        <f t="shared" si="1"/>
        <v>RDSC</v>
      </c>
      <c r="U39">
        <f t="shared" si="2"/>
        <v>267568</v>
      </c>
    </row>
    <row r="40" spans="1:21">
      <c r="A40" s="17">
        <f t="shared" si="3"/>
        <v>37</v>
      </c>
      <c r="B40" s="17" t="s">
        <v>532</v>
      </c>
      <c r="C40" s="12" t="s">
        <v>56</v>
      </c>
      <c r="D40" s="12" t="s">
        <v>182</v>
      </c>
      <c r="E40" s="12" t="s">
        <v>590</v>
      </c>
      <c r="F40" s="12" t="s">
        <v>69</v>
      </c>
      <c r="G40" s="17" t="s">
        <v>183</v>
      </c>
      <c r="H40" s="17" t="s">
        <v>184</v>
      </c>
      <c r="I40" s="1">
        <v>1371628694</v>
      </c>
      <c r="J40" s="1">
        <f>IF(COUNTBLANK(I40)=1,0,VLOOKUP(I40,'Date masura SDI'!$A:$M,$J$1,FALSE))</f>
        <v>242114</v>
      </c>
      <c r="K40" s="1">
        <f>IF(COUNTBLANK(I40)=1,0,VLOOKUP(I40,'Date masura SDI'!$A:$M,$K$1,FALSE))</f>
        <v>0</v>
      </c>
      <c r="L40" s="1">
        <f>IF(COUNTBLANK(I40)=1,0,VLOOKUP(I40,'Date masura SDI'!$A:$M,$L$1,FALSE))</f>
        <v>24044</v>
      </c>
      <c r="M40" s="1">
        <f>IF(COUNTBLANK(I40)=1,0,VLOOKUP(I40,'Date masura SDI'!$A:$M,$M$1,FALSE))</f>
        <v>16</v>
      </c>
      <c r="N40" s="1"/>
      <c r="O40" s="1">
        <f>IF(COUNTBLANK(N40)=1,0,VLOOKUP(N40,'Date masura SDI'!$A:$M,$J$1,FALSE))</f>
        <v>0</v>
      </c>
      <c r="P40" s="1">
        <f>IF(COUNTBLANK(N40)=1,0,VLOOKUP(N40,'Date masura SDI'!$A:$M,$K$1,FALSE))</f>
        <v>0</v>
      </c>
      <c r="Q40" s="1">
        <f>IF(COUNTBLANK(N40)=1,0,VLOOKUP(N40,'Date masura SDI'!$A:$M,$L$1,FALSE))</f>
        <v>0</v>
      </c>
      <c r="R40" s="1">
        <f>IF(COUNTBLANK(N40)=1,0,VLOOKUP(N40,'Date masura SDI'!$A:$M,$M$1,FALSE))</f>
        <v>0</v>
      </c>
      <c r="T40" t="str">
        <f t="shared" si="1"/>
        <v/>
      </c>
      <c r="U40">
        <f t="shared" si="2"/>
        <v>0</v>
      </c>
    </row>
    <row r="41" spans="1:21">
      <c r="A41" s="17">
        <f t="shared" si="3"/>
        <v>38</v>
      </c>
      <c r="B41" s="17" t="s">
        <v>532</v>
      </c>
      <c r="C41" s="12" t="s">
        <v>56</v>
      </c>
      <c r="D41" s="12" t="s">
        <v>182</v>
      </c>
      <c r="E41" s="12" t="s">
        <v>591</v>
      </c>
      <c r="F41" s="12" t="s">
        <v>673</v>
      </c>
      <c r="G41" s="17" t="s">
        <v>185</v>
      </c>
      <c r="H41" s="17" t="s">
        <v>186</v>
      </c>
      <c r="I41" s="1">
        <v>1372655644</v>
      </c>
      <c r="J41" s="1">
        <f>IF(COUNTBLANK(I41)=1,0,VLOOKUP(I41,'Date masura SDI'!$A:$M,$J$1,FALSE))</f>
        <v>36969</v>
      </c>
      <c r="K41" s="1">
        <f>IF(COUNTBLANK(I41)=1,0,VLOOKUP(I41,'Date masura SDI'!$A:$M,$K$1,FALSE))</f>
        <v>11181</v>
      </c>
      <c r="L41" s="1">
        <f>IF(COUNTBLANK(I41)=1,0,VLOOKUP(I41,'Date masura SDI'!$A:$M,$L$1,FALSE))</f>
        <v>18174</v>
      </c>
      <c r="M41" s="1">
        <f>IF(COUNTBLANK(I41)=1,0,VLOOKUP(I41,'Date masura SDI'!$A:$M,$M$1,FALSE))</f>
        <v>311</v>
      </c>
      <c r="N41" s="1">
        <v>1371628684</v>
      </c>
      <c r="O41" s="1">
        <f>IF(COUNTBLANK(N41)=1,0,VLOOKUP(N41,'Date masura SDI'!$A:$M,$J$1,FALSE))</f>
        <v>895</v>
      </c>
      <c r="P41" s="1">
        <f>IF(COUNTBLANK(N41)=1,0,VLOOKUP(N41,'Date masura SDI'!$A:$M,$K$1,FALSE))</f>
        <v>168567</v>
      </c>
      <c r="Q41" s="1">
        <f>IF(COUNTBLANK(N41)=1,0,VLOOKUP(N41,'Date masura SDI'!$A:$M,$L$1,FALSE))</f>
        <v>232511</v>
      </c>
      <c r="R41" s="1">
        <f>IF(COUNTBLANK(N41)=1,0,VLOOKUP(N41,'Date masura SDI'!$A:$M,$M$1,FALSE))</f>
        <v>2463</v>
      </c>
      <c r="T41" t="str">
        <f t="shared" si="1"/>
        <v/>
      </c>
      <c r="U41">
        <f t="shared" si="2"/>
        <v>168567</v>
      </c>
    </row>
    <row r="42" spans="1:21">
      <c r="A42" s="17">
        <f t="shared" si="3"/>
        <v>39</v>
      </c>
      <c r="B42" s="17" t="s">
        <v>532</v>
      </c>
      <c r="C42" s="12" t="s">
        <v>56</v>
      </c>
      <c r="D42" s="12" t="s">
        <v>182</v>
      </c>
      <c r="E42" s="12" t="s">
        <v>966</v>
      </c>
      <c r="F42" s="12" t="s">
        <v>69</v>
      </c>
      <c r="G42" s="17" t="s">
        <v>116</v>
      </c>
      <c r="H42" s="17" t="s">
        <v>187</v>
      </c>
      <c r="I42" s="7" t="s">
        <v>69</v>
      </c>
      <c r="J42" s="16">
        <v>0</v>
      </c>
      <c r="K42" s="16">
        <v>0</v>
      </c>
      <c r="L42" s="16">
        <v>0</v>
      </c>
      <c r="M42" s="16">
        <v>0</v>
      </c>
      <c r="N42" s="1"/>
      <c r="O42" s="1">
        <f>IF(COUNTBLANK(N42)=1,0,VLOOKUP(N42,'Date masura SDI'!$A:$M,$J$1,FALSE))</f>
        <v>0</v>
      </c>
      <c r="P42" s="1">
        <f>IF(COUNTBLANK(N42)=1,0,VLOOKUP(N42,'Date masura SDI'!$A:$M,$K$1,FALSE))</f>
        <v>0</v>
      </c>
      <c r="Q42" s="1">
        <f>IF(COUNTBLANK(N42)=1,0,VLOOKUP(N42,'Date masura SDI'!$A:$M,$L$1,FALSE))</f>
        <v>0</v>
      </c>
      <c r="R42" s="1">
        <f>IF(COUNTBLANK(N42)=1,0,VLOOKUP(N42,'Date masura SDI'!$A:$M,$M$1,FALSE))</f>
        <v>0</v>
      </c>
      <c r="T42" t="str">
        <f t="shared" si="1"/>
        <v/>
      </c>
      <c r="U42">
        <f t="shared" si="2"/>
        <v>168567</v>
      </c>
    </row>
    <row r="43" spans="1:21">
      <c r="A43" s="17">
        <f t="shared" si="3"/>
        <v>40</v>
      </c>
      <c r="B43" s="17" t="s">
        <v>504</v>
      </c>
      <c r="C43" s="12" t="s">
        <v>56</v>
      </c>
      <c r="D43" s="12" t="s">
        <v>182</v>
      </c>
      <c r="E43" s="12" t="s">
        <v>592</v>
      </c>
      <c r="F43" s="12" t="s">
        <v>69</v>
      </c>
      <c r="G43" s="17" t="s">
        <v>188</v>
      </c>
      <c r="H43" s="17" t="s">
        <v>189</v>
      </c>
      <c r="I43" s="1">
        <v>1372745537</v>
      </c>
      <c r="J43" s="1">
        <f>IF(COUNTBLANK(I43)=1,0,VLOOKUP(I43,'Date masura SDI'!$A:$M,$J$1,FALSE))</f>
        <v>55865</v>
      </c>
      <c r="K43" s="1">
        <f>IF(COUNTBLANK(I43)=1,0,VLOOKUP(I43,'Date masura SDI'!$A:$M,$K$1,FALSE))</f>
        <v>0</v>
      </c>
      <c r="L43" s="1">
        <f>IF(COUNTBLANK(I43)=1,0,VLOOKUP(I43,'Date masura SDI'!$A:$M,$L$1,FALSE))</f>
        <v>0</v>
      </c>
      <c r="M43" s="1">
        <f>IF(COUNTBLANK(I43)=1,0,VLOOKUP(I43,'Date masura SDI'!$A:$M,$M$1,FALSE))</f>
        <v>0</v>
      </c>
      <c r="N43" s="1"/>
      <c r="O43" s="1">
        <f>IF(COUNTBLANK(N43)=1,0,VLOOKUP(N43,'Date masura SDI'!$A:$M,$J$1,FALSE))</f>
        <v>0</v>
      </c>
      <c r="P43" s="1">
        <f>IF(COUNTBLANK(N43)=1,0,VLOOKUP(N43,'Date masura SDI'!$A:$M,$K$1,FALSE))</f>
        <v>0</v>
      </c>
      <c r="Q43" s="1">
        <f>IF(COUNTBLANK(N43)=1,0,VLOOKUP(N43,'Date masura SDI'!$A:$M,$L$1,FALSE))</f>
        <v>0</v>
      </c>
      <c r="R43" s="1">
        <f>IF(COUNTBLANK(N43)=1,0,VLOOKUP(N43,'Date masura SDI'!$A:$M,$M$1,FALSE))</f>
        <v>0</v>
      </c>
      <c r="T43" t="str">
        <f t="shared" si="1"/>
        <v/>
      </c>
      <c r="U43">
        <f t="shared" si="2"/>
        <v>168567</v>
      </c>
    </row>
    <row r="44" spans="1:21">
      <c r="A44" s="17">
        <f t="shared" si="3"/>
        <v>41</v>
      </c>
      <c r="B44" s="17" t="s">
        <v>504</v>
      </c>
      <c r="C44" s="12" t="s">
        <v>56</v>
      </c>
      <c r="D44" s="12" t="s">
        <v>182</v>
      </c>
      <c r="E44" s="12" t="s">
        <v>593</v>
      </c>
      <c r="F44" s="12" t="s">
        <v>674</v>
      </c>
      <c r="G44" s="17" t="s">
        <v>190</v>
      </c>
      <c r="H44" s="17" t="s">
        <v>191</v>
      </c>
      <c r="I44" s="1">
        <v>1371628703</v>
      </c>
      <c r="J44" s="1">
        <f>IF(COUNTBLANK(I44)=1,0,VLOOKUP(I44,'Date masura SDI'!$A:$M,$J$1,FALSE))</f>
        <v>127844</v>
      </c>
      <c r="K44" s="1">
        <f>IF(COUNTBLANK(I44)=1,0,VLOOKUP(I44,'Date masura SDI'!$A:$M,$K$1,FALSE))</f>
        <v>6830</v>
      </c>
      <c r="L44" s="1">
        <f>IF(COUNTBLANK(I44)=1,0,VLOOKUP(I44,'Date masura SDI'!$A:$M,$L$1,FALSE))</f>
        <v>6783</v>
      </c>
      <c r="M44" s="1">
        <f>IF(COUNTBLANK(I44)=1,0,VLOOKUP(I44,'Date masura SDI'!$A:$M,$M$1,FALSE))</f>
        <v>2566</v>
      </c>
      <c r="N44" s="1">
        <v>1371639203</v>
      </c>
      <c r="O44" s="1">
        <f>IF(COUNTBLANK(N44)=1,0,VLOOKUP(N44,'Date masura SDI'!$A:$M,$J$1,FALSE))</f>
        <v>17</v>
      </c>
      <c r="P44" s="1">
        <f>IF(COUNTBLANK(N44)=1,0,VLOOKUP(N44,'Date masura SDI'!$A:$M,$K$1,FALSE))</f>
        <v>113070</v>
      </c>
      <c r="Q44" s="1">
        <f>IF(COUNTBLANK(N44)=1,0,VLOOKUP(N44,'Date masura SDI'!$A:$M,$L$1,FALSE))</f>
        <v>1220</v>
      </c>
      <c r="R44" s="1">
        <f>IF(COUNTBLANK(N44)=1,0,VLOOKUP(N44,'Date masura SDI'!$A:$M,$M$1,FALSE))</f>
        <v>82</v>
      </c>
      <c r="T44" t="str">
        <f t="shared" si="1"/>
        <v/>
      </c>
      <c r="U44">
        <f t="shared" si="2"/>
        <v>281637</v>
      </c>
    </row>
    <row r="45" spans="1:21">
      <c r="A45" s="17">
        <f t="shared" si="3"/>
        <v>42</v>
      </c>
      <c r="B45" s="17" t="s">
        <v>504</v>
      </c>
      <c r="C45" s="12" t="s">
        <v>56</v>
      </c>
      <c r="D45" s="12" t="s">
        <v>182</v>
      </c>
      <c r="E45" s="12" t="s">
        <v>967</v>
      </c>
      <c r="F45" s="12" t="s">
        <v>69</v>
      </c>
      <c r="G45" s="17" t="s">
        <v>116</v>
      </c>
      <c r="H45" s="17" t="s">
        <v>192</v>
      </c>
      <c r="I45" s="7" t="s">
        <v>69</v>
      </c>
      <c r="J45" s="16">
        <v>0</v>
      </c>
      <c r="K45" s="16">
        <v>0</v>
      </c>
      <c r="L45" s="16">
        <v>0</v>
      </c>
      <c r="M45" s="16">
        <v>0</v>
      </c>
      <c r="N45" s="1"/>
      <c r="O45" s="1">
        <f>IF(COUNTBLANK(N45)=1,0,VLOOKUP(N45,'Date masura SDI'!$A:$M,$J$1,FALSE))</f>
        <v>0</v>
      </c>
      <c r="P45" s="1">
        <f>IF(COUNTBLANK(N45)=1,0,VLOOKUP(N45,'Date masura SDI'!$A:$M,$K$1,FALSE))</f>
        <v>0</v>
      </c>
      <c r="Q45" s="1">
        <f>IF(COUNTBLANK(N45)=1,0,VLOOKUP(N45,'Date masura SDI'!$A:$M,$L$1,FALSE))</f>
        <v>0</v>
      </c>
      <c r="R45" s="1">
        <f>IF(COUNTBLANK(N45)=1,0,VLOOKUP(N45,'Date masura SDI'!$A:$M,$M$1,FALSE))</f>
        <v>0</v>
      </c>
      <c r="T45" t="str">
        <f t="shared" si="1"/>
        <v>RGSC</v>
      </c>
      <c r="U45">
        <f t="shared" si="2"/>
        <v>281637</v>
      </c>
    </row>
    <row r="46" spans="1:21">
      <c r="A46" s="17">
        <f t="shared" si="3"/>
        <v>43</v>
      </c>
      <c r="B46" s="17" t="s">
        <v>533</v>
      </c>
      <c r="C46" s="12" t="s">
        <v>57</v>
      </c>
      <c r="D46" s="12" t="s">
        <v>193</v>
      </c>
      <c r="E46" s="12" t="s">
        <v>594</v>
      </c>
      <c r="F46" s="12" t="s">
        <v>69</v>
      </c>
      <c r="G46" s="17" t="s">
        <v>197</v>
      </c>
      <c r="H46" s="17" t="s">
        <v>207</v>
      </c>
      <c r="I46" s="1">
        <v>1372642650</v>
      </c>
      <c r="J46" s="1">
        <f>IF(COUNTBLANK(I46)=1,0,VLOOKUP(I46,'Date masura SDI'!$A:$M,$J$1,FALSE))</f>
        <v>252545</v>
      </c>
      <c r="K46" s="1">
        <f>IF(COUNTBLANK(I46)=1,0,VLOOKUP(I46,'Date masura SDI'!$A:$M,$K$1,FALSE))</f>
        <v>0</v>
      </c>
      <c r="L46" s="1">
        <f>IF(COUNTBLANK(I46)=1,0,VLOOKUP(I46,'Date masura SDI'!$A:$M,$L$1,FALSE))</f>
        <v>49352</v>
      </c>
      <c r="M46" s="1">
        <f>IF(COUNTBLANK(I46)=1,0,VLOOKUP(I46,'Date masura SDI'!$A:$M,$M$1,FALSE))</f>
        <v>153</v>
      </c>
      <c r="N46" s="1"/>
      <c r="O46" s="1">
        <f>IF(COUNTBLANK(N46)=1,0,VLOOKUP(N46,'Date masura SDI'!$A:$M,$J$1,FALSE))</f>
        <v>0</v>
      </c>
      <c r="P46" s="1">
        <f>IF(COUNTBLANK(N46)=1,0,VLOOKUP(N46,'Date masura SDI'!$A:$M,$K$1,FALSE))</f>
        <v>0</v>
      </c>
      <c r="Q46" s="1">
        <f>IF(COUNTBLANK(N46)=1,0,VLOOKUP(N46,'Date masura SDI'!$A:$M,$L$1,FALSE))</f>
        <v>0</v>
      </c>
      <c r="R46" s="1">
        <f>IF(COUNTBLANK(N46)=1,0,VLOOKUP(N46,'Date masura SDI'!$A:$M,$M$1,FALSE))</f>
        <v>0</v>
      </c>
      <c r="T46" t="str">
        <f t="shared" si="1"/>
        <v/>
      </c>
      <c r="U46">
        <f t="shared" si="2"/>
        <v>0</v>
      </c>
    </row>
    <row r="47" spans="1:21">
      <c r="A47" s="17">
        <f t="shared" si="3"/>
        <v>44</v>
      </c>
      <c r="B47" s="17" t="s">
        <v>533</v>
      </c>
      <c r="C47" s="12" t="s">
        <v>57</v>
      </c>
      <c r="D47" s="12" t="s">
        <v>193</v>
      </c>
      <c r="E47" s="12" t="s">
        <v>595</v>
      </c>
      <c r="F47" s="12" t="s">
        <v>69</v>
      </c>
      <c r="G47" s="17" t="s">
        <v>198</v>
      </c>
      <c r="H47" s="17" t="s">
        <v>208</v>
      </c>
      <c r="I47" s="1">
        <v>1372628301</v>
      </c>
      <c r="J47" s="1">
        <f>IF(COUNTBLANK(I47)=1,0,VLOOKUP(I47,'Date masura SDI'!$A:$M,$J$1,FALSE))</f>
        <v>445691</v>
      </c>
      <c r="K47" s="1">
        <f>IF(COUNTBLANK(I47)=1,0,VLOOKUP(I47,'Date masura SDI'!$A:$M,$K$1,FALSE))</f>
        <v>0</v>
      </c>
      <c r="L47" s="1">
        <f>IF(COUNTBLANK(I47)=1,0,VLOOKUP(I47,'Date masura SDI'!$A:$M,$L$1,FALSE))</f>
        <v>51228</v>
      </c>
      <c r="M47" s="1">
        <f>IF(COUNTBLANK(I47)=1,0,VLOOKUP(I47,'Date masura SDI'!$A:$M,$M$1,FALSE))</f>
        <v>18</v>
      </c>
      <c r="N47" s="1"/>
      <c r="O47" s="1">
        <f>IF(COUNTBLANK(N47)=1,0,VLOOKUP(N47,'Date masura SDI'!$A:$M,$J$1,FALSE))</f>
        <v>0</v>
      </c>
      <c r="P47" s="1">
        <f>IF(COUNTBLANK(N47)=1,0,VLOOKUP(N47,'Date masura SDI'!$A:$M,$K$1,FALSE))</f>
        <v>0</v>
      </c>
      <c r="Q47" s="1">
        <f>IF(COUNTBLANK(N47)=1,0,VLOOKUP(N47,'Date masura SDI'!$A:$M,$L$1,FALSE))</f>
        <v>0</v>
      </c>
      <c r="R47" s="1">
        <f>IF(COUNTBLANK(N47)=1,0,VLOOKUP(N47,'Date masura SDI'!$A:$M,$M$1,FALSE))</f>
        <v>0</v>
      </c>
      <c r="T47" t="str">
        <f t="shared" si="1"/>
        <v/>
      </c>
      <c r="U47">
        <f t="shared" si="2"/>
        <v>0</v>
      </c>
    </row>
    <row r="48" spans="1:21">
      <c r="A48" s="17">
        <f t="shared" si="3"/>
        <v>45</v>
      </c>
      <c r="B48" s="17" t="s">
        <v>533</v>
      </c>
      <c r="C48" s="12" t="s">
        <v>57</v>
      </c>
      <c r="D48" s="12" t="s">
        <v>193</v>
      </c>
      <c r="E48" s="12" t="s">
        <v>596</v>
      </c>
      <c r="F48" s="12" t="s">
        <v>675</v>
      </c>
      <c r="G48" s="17" t="s">
        <v>199</v>
      </c>
      <c r="H48" s="17" t="s">
        <v>209</v>
      </c>
      <c r="I48" s="1">
        <v>1372642646</v>
      </c>
      <c r="J48" s="1">
        <f>IF(COUNTBLANK(I48)=1,0,VLOOKUP(I48,'Date masura SDI'!$A:$M,$J$1,FALSE))</f>
        <v>162787</v>
      </c>
      <c r="K48" s="1">
        <f>IF(COUNTBLANK(I48)=1,0,VLOOKUP(I48,'Date masura SDI'!$A:$M,$K$1,FALSE))</f>
        <v>11982</v>
      </c>
      <c r="L48" s="1">
        <f>IF(COUNTBLANK(I48)=1,0,VLOOKUP(I48,'Date masura SDI'!$A:$M,$L$1,FALSE))</f>
        <v>18979</v>
      </c>
      <c r="M48" s="1">
        <f>IF(COUNTBLANK(I48)=1,0,VLOOKUP(I48,'Date masura SDI'!$A:$M,$M$1,FALSE))</f>
        <v>1031</v>
      </c>
      <c r="N48" s="1">
        <v>1371621427</v>
      </c>
      <c r="O48" s="1">
        <f>IF(COUNTBLANK(N48)=1,0,VLOOKUP(N48,'Date masura SDI'!$A:$M,$J$1,FALSE))</f>
        <v>23</v>
      </c>
      <c r="P48" s="1">
        <f>IF(COUNTBLANK(N48)=1,0,VLOOKUP(N48,'Date masura SDI'!$A:$M,$K$1,FALSE))</f>
        <v>159886</v>
      </c>
      <c r="Q48" s="1">
        <f>IF(COUNTBLANK(N48)=1,0,VLOOKUP(N48,'Date masura SDI'!$A:$M,$L$1,FALSE))</f>
        <v>392</v>
      </c>
      <c r="R48" s="1">
        <f>IF(COUNTBLANK(N48)=1,0,VLOOKUP(N48,'Date masura SDI'!$A:$M,$M$1,FALSE))</f>
        <v>1270</v>
      </c>
      <c r="T48" t="str">
        <f t="shared" si="1"/>
        <v/>
      </c>
      <c r="U48">
        <f t="shared" si="2"/>
        <v>159886</v>
      </c>
    </row>
    <row r="49" spans="1:21">
      <c r="A49" s="17">
        <f t="shared" si="3"/>
        <v>46</v>
      </c>
      <c r="B49" s="17" t="s">
        <v>533</v>
      </c>
      <c r="C49" s="12" t="s">
        <v>57</v>
      </c>
      <c r="D49" s="12" t="s">
        <v>193</v>
      </c>
      <c r="E49" s="12" t="s">
        <v>597</v>
      </c>
      <c r="F49" s="12" t="s">
        <v>69</v>
      </c>
      <c r="G49" s="17" t="s">
        <v>200</v>
      </c>
      <c r="H49" s="17" t="s">
        <v>210</v>
      </c>
      <c r="I49" s="1">
        <v>1372627968</v>
      </c>
      <c r="J49" s="1">
        <f>IF(COUNTBLANK(I49)=1,0,VLOOKUP(I49,'Date masura SDI'!$A:$M,$J$1,FALSE))</f>
        <v>232283</v>
      </c>
      <c r="K49" s="1">
        <f>IF(COUNTBLANK(I49)=1,0,VLOOKUP(I49,'Date masura SDI'!$A:$M,$K$1,FALSE))</f>
        <v>0</v>
      </c>
      <c r="L49" s="1">
        <f>IF(COUNTBLANK(I49)=1,0,VLOOKUP(I49,'Date masura SDI'!$A:$M,$L$1,FALSE))</f>
        <v>35392</v>
      </c>
      <c r="M49" s="1">
        <f>IF(COUNTBLANK(I49)=1,0,VLOOKUP(I49,'Date masura SDI'!$A:$M,$M$1,FALSE))</f>
        <v>2</v>
      </c>
      <c r="N49" s="1"/>
      <c r="O49" s="1">
        <f>IF(COUNTBLANK(N49)=1,0,VLOOKUP(N49,'Date masura SDI'!$A:$M,$J$1,FALSE))</f>
        <v>0</v>
      </c>
      <c r="P49" s="1">
        <f>IF(COUNTBLANK(N49)=1,0,VLOOKUP(N49,'Date masura SDI'!$A:$M,$K$1,FALSE))</f>
        <v>0</v>
      </c>
      <c r="Q49" s="1">
        <f>IF(COUNTBLANK(N49)=1,0,VLOOKUP(N49,'Date masura SDI'!$A:$M,$L$1,FALSE))</f>
        <v>0</v>
      </c>
      <c r="R49" s="1">
        <f>IF(COUNTBLANK(N49)=1,0,VLOOKUP(N49,'Date masura SDI'!$A:$M,$M$1,FALSE))</f>
        <v>0</v>
      </c>
      <c r="T49" t="str">
        <f t="shared" si="1"/>
        <v/>
      </c>
      <c r="U49">
        <f t="shared" si="2"/>
        <v>159886</v>
      </c>
    </row>
    <row r="50" spans="1:21">
      <c r="A50" s="17">
        <f t="shared" si="3"/>
        <v>47</v>
      </c>
      <c r="B50" s="17" t="s">
        <v>533</v>
      </c>
      <c r="C50" s="12" t="s">
        <v>57</v>
      </c>
      <c r="D50" s="12" t="s">
        <v>193</v>
      </c>
      <c r="E50" s="12" t="s">
        <v>598</v>
      </c>
      <c r="F50" s="12" t="s">
        <v>69</v>
      </c>
      <c r="G50" s="17" t="s">
        <v>201</v>
      </c>
      <c r="H50" s="17" t="s">
        <v>211</v>
      </c>
      <c r="I50" s="7" t="s">
        <v>926</v>
      </c>
      <c r="J50" s="16">
        <v>0</v>
      </c>
      <c r="K50" s="16">
        <v>0</v>
      </c>
      <c r="L50" s="16">
        <v>0</v>
      </c>
      <c r="M50" s="16">
        <v>0</v>
      </c>
      <c r="N50" s="1"/>
      <c r="O50" s="1">
        <f>IF(COUNTBLANK(N50)=1,0,VLOOKUP(N50,'Date masura SDI'!$A:$M,$J$1,FALSE))</f>
        <v>0</v>
      </c>
      <c r="P50" s="1">
        <f>IF(COUNTBLANK(N50)=1,0,VLOOKUP(N50,'Date masura SDI'!$A:$M,$K$1,FALSE))</f>
        <v>0</v>
      </c>
      <c r="Q50" s="1">
        <f>IF(COUNTBLANK(N50)=1,0,VLOOKUP(N50,'Date masura SDI'!$A:$M,$L$1,FALSE))</f>
        <v>0</v>
      </c>
      <c r="R50" s="1">
        <f>IF(COUNTBLANK(N50)=1,0,VLOOKUP(N50,'Date masura SDI'!$A:$M,$M$1,FALSE))</f>
        <v>0</v>
      </c>
      <c r="T50" t="str">
        <f t="shared" si="1"/>
        <v/>
      </c>
      <c r="U50">
        <f t="shared" si="2"/>
        <v>159886</v>
      </c>
    </row>
    <row r="51" spans="1:21">
      <c r="A51" s="17">
        <f t="shared" si="3"/>
        <v>48</v>
      </c>
      <c r="B51" s="17" t="s">
        <v>533</v>
      </c>
      <c r="C51" s="12" t="s">
        <v>57</v>
      </c>
      <c r="D51" s="12" t="s">
        <v>193</v>
      </c>
      <c r="E51" s="12" t="s">
        <v>968</v>
      </c>
      <c r="F51" s="12" t="s">
        <v>69</v>
      </c>
      <c r="G51" s="17" t="s">
        <v>116</v>
      </c>
      <c r="H51" s="17" t="s">
        <v>212</v>
      </c>
      <c r="I51" s="7" t="s">
        <v>69</v>
      </c>
      <c r="J51" s="16">
        <v>0</v>
      </c>
      <c r="K51" s="16">
        <v>0</v>
      </c>
      <c r="L51" s="16">
        <v>0</v>
      </c>
      <c r="M51" s="16">
        <v>0</v>
      </c>
      <c r="N51" s="1"/>
      <c r="O51" s="1">
        <f>IF(COUNTBLANK(N51)=1,0,VLOOKUP(N51,'Date masura SDI'!$A:$M,$J$1,FALSE))</f>
        <v>0</v>
      </c>
      <c r="P51" s="1">
        <f>IF(COUNTBLANK(N51)=1,0,VLOOKUP(N51,'Date masura SDI'!$A:$M,$K$1,FALSE))</f>
        <v>0</v>
      </c>
      <c r="Q51" s="1">
        <f>IF(COUNTBLANK(N51)=1,0,VLOOKUP(N51,'Date masura SDI'!$A:$M,$L$1,FALSE))</f>
        <v>0</v>
      </c>
      <c r="R51" s="1">
        <f>IF(COUNTBLANK(N51)=1,0,VLOOKUP(N51,'Date masura SDI'!$A:$M,$M$1,FALSE))</f>
        <v>0</v>
      </c>
      <c r="T51" t="str">
        <f t="shared" si="1"/>
        <v/>
      </c>
      <c r="U51">
        <f t="shared" si="2"/>
        <v>159886</v>
      </c>
    </row>
    <row r="52" spans="1:21">
      <c r="A52" s="17">
        <f t="shared" si="3"/>
        <v>49</v>
      </c>
      <c r="B52" s="17" t="s">
        <v>534</v>
      </c>
      <c r="C52" s="12" t="s">
        <v>57</v>
      </c>
      <c r="D52" s="12" t="s">
        <v>195</v>
      </c>
      <c r="E52" s="12" t="s">
        <v>599</v>
      </c>
      <c r="F52" s="12" t="s">
        <v>69</v>
      </c>
      <c r="G52" s="17" t="s">
        <v>202</v>
      </c>
      <c r="H52" s="17" t="s">
        <v>213</v>
      </c>
      <c r="I52" s="7" t="s">
        <v>927</v>
      </c>
      <c r="J52" s="16">
        <v>0</v>
      </c>
      <c r="K52" s="16">
        <v>0</v>
      </c>
      <c r="L52" s="16">
        <v>0</v>
      </c>
      <c r="M52" s="16">
        <v>0</v>
      </c>
      <c r="N52" s="1"/>
      <c r="O52" s="1">
        <f>IF(COUNTBLANK(N52)=1,0,VLOOKUP(N52,'Date masura SDI'!$A:$M,$J$1,FALSE))</f>
        <v>0</v>
      </c>
      <c r="P52" s="1">
        <f>IF(COUNTBLANK(N52)=1,0,VLOOKUP(N52,'Date masura SDI'!$A:$M,$K$1,FALSE))</f>
        <v>0</v>
      </c>
      <c r="Q52" s="1">
        <f>IF(COUNTBLANK(N52)=1,0,VLOOKUP(N52,'Date masura SDI'!$A:$M,$L$1,FALSE))</f>
        <v>0</v>
      </c>
      <c r="R52" s="1">
        <f>IF(COUNTBLANK(N52)=1,0,VLOOKUP(N52,'Date masura SDI'!$A:$M,$M$1,FALSE))</f>
        <v>0</v>
      </c>
      <c r="T52" t="str">
        <f t="shared" si="1"/>
        <v/>
      </c>
      <c r="U52">
        <f t="shared" si="2"/>
        <v>159886</v>
      </c>
    </row>
    <row r="53" spans="1:21">
      <c r="A53" s="17">
        <f t="shared" si="3"/>
        <v>50</v>
      </c>
      <c r="B53" s="17" t="s">
        <v>534</v>
      </c>
      <c r="C53" s="12" t="s">
        <v>57</v>
      </c>
      <c r="D53" s="12" t="s">
        <v>195</v>
      </c>
      <c r="E53" s="12" t="s">
        <v>600</v>
      </c>
      <c r="F53" s="12" t="s">
        <v>69</v>
      </c>
      <c r="G53" s="17" t="s">
        <v>203</v>
      </c>
      <c r="H53" s="17" t="s">
        <v>214</v>
      </c>
      <c r="I53" s="7" t="s">
        <v>928</v>
      </c>
      <c r="J53" s="16">
        <v>0</v>
      </c>
      <c r="K53" s="16">
        <v>0</v>
      </c>
      <c r="L53" s="16">
        <v>0</v>
      </c>
      <c r="M53" s="16">
        <v>0</v>
      </c>
      <c r="N53" s="1"/>
      <c r="O53" s="1">
        <f>IF(COUNTBLANK(N53)=1,0,VLOOKUP(N53,'Date masura SDI'!$A:$M,$J$1,FALSE))</f>
        <v>0</v>
      </c>
      <c r="P53" s="1">
        <f>IF(COUNTBLANK(N53)=1,0,VLOOKUP(N53,'Date masura SDI'!$A:$M,$K$1,FALSE))</f>
        <v>0</v>
      </c>
      <c r="Q53" s="1">
        <f>IF(COUNTBLANK(N53)=1,0,VLOOKUP(N53,'Date masura SDI'!$A:$M,$L$1,FALSE))</f>
        <v>0</v>
      </c>
      <c r="R53" s="1">
        <f>IF(COUNTBLANK(N53)=1,0,VLOOKUP(N53,'Date masura SDI'!$A:$M,$M$1,FALSE))</f>
        <v>0</v>
      </c>
      <c r="T53" t="str">
        <f t="shared" si="1"/>
        <v/>
      </c>
      <c r="U53">
        <f t="shared" si="2"/>
        <v>159886</v>
      </c>
    </row>
    <row r="54" spans="1:21">
      <c r="A54" s="17">
        <f t="shared" si="3"/>
        <v>51</v>
      </c>
      <c r="B54" s="17" t="s">
        <v>534</v>
      </c>
      <c r="C54" s="12" t="s">
        <v>57</v>
      </c>
      <c r="D54" s="12" t="s">
        <v>195</v>
      </c>
      <c r="E54" s="12" t="s">
        <v>601</v>
      </c>
      <c r="F54" s="12" t="s">
        <v>69</v>
      </c>
      <c r="G54" s="17" t="s">
        <v>204</v>
      </c>
      <c r="H54" s="17" t="s">
        <v>215</v>
      </c>
      <c r="I54" s="7" t="s">
        <v>929</v>
      </c>
      <c r="J54" s="16">
        <v>0</v>
      </c>
      <c r="K54" s="16">
        <v>0</v>
      </c>
      <c r="L54" s="16">
        <v>0</v>
      </c>
      <c r="M54" s="16">
        <v>0</v>
      </c>
      <c r="N54" s="1">
        <v>1371621427</v>
      </c>
      <c r="O54" s="16">
        <v>0</v>
      </c>
      <c r="P54" s="16">
        <v>0</v>
      </c>
      <c r="Q54" s="16">
        <v>0</v>
      </c>
      <c r="R54" s="16">
        <v>0</v>
      </c>
      <c r="T54" t="str">
        <f t="shared" si="1"/>
        <v/>
      </c>
      <c r="U54">
        <f t="shared" si="2"/>
        <v>159886</v>
      </c>
    </row>
    <row r="55" spans="1:21">
      <c r="A55" s="17">
        <f t="shared" si="3"/>
        <v>52</v>
      </c>
      <c r="B55" s="17" t="s">
        <v>534</v>
      </c>
      <c r="C55" s="12" t="s">
        <v>57</v>
      </c>
      <c r="D55" s="12" t="s">
        <v>195</v>
      </c>
      <c r="E55" s="12" t="s">
        <v>602</v>
      </c>
      <c r="F55" s="12" t="s">
        <v>69</v>
      </c>
      <c r="G55" s="17" t="s">
        <v>205</v>
      </c>
      <c r="H55" s="17" t="s">
        <v>216</v>
      </c>
      <c r="I55" s="7" t="s">
        <v>930</v>
      </c>
      <c r="J55" s="16">
        <v>0</v>
      </c>
      <c r="K55" s="16">
        <v>0</v>
      </c>
      <c r="L55" s="16">
        <v>0</v>
      </c>
      <c r="M55" s="16">
        <v>0</v>
      </c>
      <c r="N55" s="1"/>
      <c r="O55" s="1">
        <f>IF(COUNTBLANK(N55)=1,0,VLOOKUP(N55,'Date masura SDI'!$A:$M,$J$1,FALSE))</f>
        <v>0</v>
      </c>
      <c r="P55" s="1">
        <f>IF(COUNTBLANK(N55)=1,0,VLOOKUP(N55,'Date masura SDI'!$A:$M,$K$1,FALSE))</f>
        <v>0</v>
      </c>
      <c r="Q55" s="1">
        <f>IF(COUNTBLANK(N55)=1,0,VLOOKUP(N55,'Date masura SDI'!$A:$M,$L$1,FALSE))</f>
        <v>0</v>
      </c>
      <c r="R55" s="1">
        <f>IF(COUNTBLANK(N55)=1,0,VLOOKUP(N55,'Date masura SDI'!$A:$M,$M$1,FALSE))</f>
        <v>0</v>
      </c>
      <c r="T55" t="str">
        <f t="shared" si="1"/>
        <v/>
      </c>
      <c r="U55">
        <f t="shared" si="2"/>
        <v>159886</v>
      </c>
    </row>
    <row r="56" spans="1:21">
      <c r="A56" s="17">
        <f t="shared" si="3"/>
        <v>53</v>
      </c>
      <c r="B56" s="17" t="s">
        <v>534</v>
      </c>
      <c r="C56" s="12" t="s">
        <v>57</v>
      </c>
      <c r="D56" s="12" t="s">
        <v>195</v>
      </c>
      <c r="E56" s="12" t="s">
        <v>603</v>
      </c>
      <c r="F56" s="12" t="s">
        <v>69</v>
      </c>
      <c r="G56" s="17" t="s">
        <v>206</v>
      </c>
      <c r="H56" s="17" t="s">
        <v>217</v>
      </c>
      <c r="I56" s="7" t="s">
        <v>931</v>
      </c>
      <c r="J56" s="16">
        <v>0</v>
      </c>
      <c r="K56" s="16">
        <v>0</v>
      </c>
      <c r="L56" s="16">
        <v>0</v>
      </c>
      <c r="M56" s="16">
        <v>0</v>
      </c>
      <c r="N56" s="1"/>
      <c r="O56" s="1">
        <f>IF(COUNTBLANK(N56)=1,0,VLOOKUP(N56,'Date masura SDI'!$A:$M,$J$1,FALSE))</f>
        <v>0</v>
      </c>
      <c r="P56" s="1">
        <f>IF(COUNTBLANK(N56)=1,0,VLOOKUP(N56,'Date masura SDI'!$A:$M,$K$1,FALSE))</f>
        <v>0</v>
      </c>
      <c r="Q56" s="1">
        <f>IF(COUNTBLANK(N56)=1,0,VLOOKUP(N56,'Date masura SDI'!$A:$M,$L$1,FALSE))</f>
        <v>0</v>
      </c>
      <c r="R56" s="1">
        <f>IF(COUNTBLANK(N56)=1,0,VLOOKUP(N56,'Date masura SDI'!$A:$M,$M$1,FALSE))</f>
        <v>0</v>
      </c>
      <c r="T56" t="str">
        <f t="shared" si="1"/>
        <v/>
      </c>
      <c r="U56">
        <f t="shared" si="2"/>
        <v>159886</v>
      </c>
    </row>
    <row r="57" spans="1:21">
      <c r="A57" s="17">
        <f t="shared" si="3"/>
        <v>54</v>
      </c>
      <c r="B57" s="17" t="s">
        <v>534</v>
      </c>
      <c r="C57" s="12" t="s">
        <v>57</v>
      </c>
      <c r="D57" s="12" t="s">
        <v>195</v>
      </c>
      <c r="E57" s="12" t="s">
        <v>969</v>
      </c>
      <c r="F57" s="12" t="s">
        <v>69</v>
      </c>
      <c r="G57" s="17" t="s">
        <v>116</v>
      </c>
      <c r="H57" s="17" t="s">
        <v>218</v>
      </c>
      <c r="I57" s="7" t="s">
        <v>69</v>
      </c>
      <c r="J57" s="16">
        <v>0</v>
      </c>
      <c r="K57" s="16">
        <v>0</v>
      </c>
      <c r="L57" s="16">
        <v>0</v>
      </c>
      <c r="M57" s="16">
        <v>0</v>
      </c>
      <c r="N57" s="1"/>
      <c r="O57" s="1">
        <f>IF(COUNTBLANK(N57)=1,0,VLOOKUP(N57,'Date masura SDI'!$A:$M,$J$1,FALSE))</f>
        <v>0</v>
      </c>
      <c r="P57" s="1">
        <f>IF(COUNTBLANK(N57)=1,0,VLOOKUP(N57,'Date masura SDI'!$A:$M,$K$1,FALSE))</f>
        <v>0</v>
      </c>
      <c r="Q57" s="1">
        <f>IF(COUNTBLANK(N57)=1,0,VLOOKUP(N57,'Date masura SDI'!$A:$M,$L$1,FALSE))</f>
        <v>0</v>
      </c>
      <c r="R57" s="1">
        <f>IF(COUNTBLANK(N57)=1,0,VLOOKUP(N57,'Date masura SDI'!$A:$M,$M$1,FALSE))</f>
        <v>0</v>
      </c>
      <c r="T57" t="str">
        <f t="shared" si="1"/>
        <v>RTIM</v>
      </c>
      <c r="U57">
        <f t="shared" si="2"/>
        <v>159886</v>
      </c>
    </row>
    <row r="58" spans="1:21">
      <c r="A58" s="17">
        <f t="shared" si="3"/>
        <v>55</v>
      </c>
      <c r="B58" s="17" t="s">
        <v>535</v>
      </c>
      <c r="C58" s="12" t="s">
        <v>58</v>
      </c>
      <c r="D58" s="12" t="s">
        <v>219</v>
      </c>
      <c r="E58" s="12" t="s">
        <v>604</v>
      </c>
      <c r="F58" s="12" t="s">
        <v>69</v>
      </c>
      <c r="G58" s="17" t="s">
        <v>221</v>
      </c>
      <c r="H58" s="17" t="s">
        <v>222</v>
      </c>
      <c r="I58" s="1">
        <v>1371034845</v>
      </c>
      <c r="J58" s="1">
        <f>IF(COUNTBLANK(I58)=1,0,VLOOKUP(I58,'Date masura SDI'!$A:$M,$J$1,FALSE))</f>
        <v>126140</v>
      </c>
      <c r="K58" s="1">
        <f>IF(COUNTBLANK(I58)=1,0,VLOOKUP(I58,'Date masura SDI'!$A:$M,$K$1,FALSE))</f>
        <v>0</v>
      </c>
      <c r="L58" s="1">
        <f>IF(COUNTBLANK(I58)=1,0,VLOOKUP(I58,'Date masura SDI'!$A:$M,$L$1,FALSE))</f>
        <v>19035</v>
      </c>
      <c r="M58" s="1">
        <f>IF(COUNTBLANK(I58)=1,0,VLOOKUP(I58,'Date masura SDI'!$A:$M,$M$1,FALSE))</f>
        <v>16</v>
      </c>
      <c r="N58" s="1"/>
      <c r="O58" s="1">
        <f>IF(COUNTBLANK(N58)=1,0,VLOOKUP(N58,'Date masura SDI'!$A:$M,$J$1,FALSE))</f>
        <v>0</v>
      </c>
      <c r="P58" s="1">
        <f>IF(COUNTBLANK(N58)=1,0,VLOOKUP(N58,'Date masura SDI'!$A:$M,$K$1,FALSE))</f>
        <v>0</v>
      </c>
      <c r="Q58" s="1">
        <f>IF(COUNTBLANK(N58)=1,0,VLOOKUP(N58,'Date masura SDI'!$A:$M,$L$1,FALSE))</f>
        <v>0</v>
      </c>
      <c r="R58" s="1">
        <f>IF(COUNTBLANK(N58)=1,0,VLOOKUP(N58,'Date masura SDI'!$A:$M,$M$1,FALSE))</f>
        <v>0</v>
      </c>
      <c r="T58" t="str">
        <f t="shared" si="1"/>
        <v/>
      </c>
      <c r="U58">
        <f t="shared" si="2"/>
        <v>0</v>
      </c>
    </row>
    <row r="59" spans="1:21">
      <c r="A59" s="17">
        <f t="shared" si="3"/>
        <v>56</v>
      </c>
      <c r="B59" s="17" t="s">
        <v>535</v>
      </c>
      <c r="C59" s="12" t="s">
        <v>58</v>
      </c>
      <c r="D59" s="12" t="s">
        <v>219</v>
      </c>
      <c r="E59" s="12" t="s">
        <v>605</v>
      </c>
      <c r="F59" s="12" t="s">
        <v>677</v>
      </c>
      <c r="G59" s="17" t="s">
        <v>223</v>
      </c>
      <c r="H59" s="17" t="s">
        <v>224</v>
      </c>
      <c r="I59" s="1">
        <v>1371022908</v>
      </c>
      <c r="J59" s="1">
        <f>IF(COUNTBLANK(I59)=1,0,VLOOKUP(I59,'Date masura SDI'!$A:$M,$J$1,FALSE))</f>
        <v>159993</v>
      </c>
      <c r="K59" s="1">
        <f>IF(COUNTBLANK(I59)=1,0,VLOOKUP(I59,'Date masura SDI'!$A:$M,$K$1,FALSE))</f>
        <v>8083</v>
      </c>
      <c r="L59" s="1">
        <f>IF(COUNTBLANK(I59)=1,0,VLOOKUP(I59,'Date masura SDI'!$A:$M,$L$1,FALSE))</f>
        <v>1772</v>
      </c>
      <c r="M59" s="1">
        <f>IF(COUNTBLANK(I59)=1,0,VLOOKUP(I59,'Date masura SDI'!$A:$M,$M$1,FALSE))</f>
        <v>11090</v>
      </c>
      <c r="N59" s="1">
        <v>1371020412</v>
      </c>
      <c r="O59" s="1">
        <f>IF(COUNTBLANK(N59)=1,0,VLOOKUP(N59,'Date masura SDI'!$A:$M,$J$1,FALSE))</f>
        <v>18</v>
      </c>
      <c r="P59" s="1">
        <f>IF(COUNTBLANK(N59)=1,0,VLOOKUP(N59,'Date masura SDI'!$A:$M,$K$1,FALSE))</f>
        <v>120033</v>
      </c>
      <c r="Q59" s="1">
        <f>IF(COUNTBLANK(N59)=1,0,VLOOKUP(N59,'Date masura SDI'!$A:$M,$L$1,FALSE))</f>
        <v>1074</v>
      </c>
      <c r="R59" s="1">
        <f>IF(COUNTBLANK(N59)=1,0,VLOOKUP(N59,'Date masura SDI'!$A:$M,$M$1,FALSE))</f>
        <v>655</v>
      </c>
      <c r="T59" t="str">
        <f t="shared" si="1"/>
        <v/>
      </c>
      <c r="U59">
        <f t="shared" si="2"/>
        <v>120033</v>
      </c>
    </row>
    <row r="60" spans="1:21">
      <c r="A60" s="17">
        <f t="shared" si="3"/>
        <v>57</v>
      </c>
      <c r="B60" s="17" t="s">
        <v>535</v>
      </c>
      <c r="C60" s="12" t="s">
        <v>58</v>
      </c>
      <c r="D60" s="12" t="s">
        <v>219</v>
      </c>
      <c r="E60" s="12" t="s">
        <v>970</v>
      </c>
      <c r="F60" s="12" t="s">
        <v>69</v>
      </c>
      <c r="G60" s="17" t="s">
        <v>116</v>
      </c>
      <c r="H60" s="17" t="s">
        <v>225</v>
      </c>
      <c r="I60" s="7" t="s">
        <v>69</v>
      </c>
      <c r="J60" s="16">
        <v>0</v>
      </c>
      <c r="K60" s="16">
        <v>0</v>
      </c>
      <c r="L60" s="16">
        <v>0</v>
      </c>
      <c r="M60" s="16">
        <v>0</v>
      </c>
      <c r="N60" s="1"/>
      <c r="O60" s="1">
        <f>IF(COUNTBLANK(N60)=1,0,VLOOKUP(N60,'Date masura SDI'!$A:$M,$J$1,FALSE))</f>
        <v>0</v>
      </c>
      <c r="P60" s="1">
        <f>IF(COUNTBLANK(N60)=1,0,VLOOKUP(N60,'Date masura SDI'!$A:$M,$K$1,FALSE))</f>
        <v>0</v>
      </c>
      <c r="Q60" s="1">
        <f>IF(COUNTBLANK(N60)=1,0,VLOOKUP(N60,'Date masura SDI'!$A:$M,$L$1,FALSE))</f>
        <v>0</v>
      </c>
      <c r="R60" s="1">
        <f>IF(COUNTBLANK(N60)=1,0,VLOOKUP(N60,'Date masura SDI'!$A:$M,$M$1,FALSE))</f>
        <v>0</v>
      </c>
      <c r="T60" t="str">
        <f t="shared" si="1"/>
        <v/>
      </c>
      <c r="U60">
        <f t="shared" si="2"/>
        <v>120033</v>
      </c>
    </row>
    <row r="61" spans="1:21">
      <c r="A61" s="17">
        <f t="shared" si="3"/>
        <v>58</v>
      </c>
      <c r="B61" s="17" t="s">
        <v>536</v>
      </c>
      <c r="C61" s="12" t="s">
        <v>58</v>
      </c>
      <c r="D61" s="12" t="s">
        <v>392</v>
      </c>
      <c r="E61" s="70" t="s">
        <v>536</v>
      </c>
      <c r="F61" s="12" t="s">
        <v>69</v>
      </c>
      <c r="G61" s="23" t="s">
        <v>58</v>
      </c>
      <c r="H61" s="18" t="s">
        <v>392</v>
      </c>
      <c r="I61" s="31">
        <v>161192</v>
      </c>
      <c r="J61" s="20">
        <f>VLOOKUP(H61,'Date masura OD'!$E:$BB,14,FALSE)</f>
        <v>100</v>
      </c>
      <c r="K61" s="20">
        <v>0</v>
      </c>
      <c r="L61" s="20">
        <f>VLOOKUP(H61,'Date masura OD'!$E:$BB,15,FALSE)</f>
        <v>0</v>
      </c>
      <c r="M61" s="20">
        <f>VLOOKUP(H61,'Date masura OD'!$E:$BB,16,FALSE)</f>
        <v>0</v>
      </c>
      <c r="N61" s="19"/>
      <c r="O61" s="20" t="str">
        <f>IF(COUNTBLANK(N61)=1,"",VLOOKUP(N61,'Date masura SDI'!$A:$M,$J$1-7,FALSE))</f>
        <v/>
      </c>
      <c r="P61" s="20" t="str">
        <f>IF(COUNTBLANK(N61)=1,"",VLOOKUP(N61,'Date masura SDI'!$A:$M,$K$1-7,FALSE))</f>
        <v/>
      </c>
      <c r="Q61" s="20" t="str">
        <f>IF(COUNTBLANK(N61)=1,"",VLOOKUP(N61,'Date masura SDI'!$A:$M,$L$1-7,FALSE))</f>
        <v/>
      </c>
      <c r="R61" s="20" t="str">
        <f>IF(COUNTBLANK(N61)=1,"",VLOOKUP(N61,'Date masura SDI'!$A:$M,$M$1-7,FALSE))</f>
        <v/>
      </c>
      <c r="T61" t="str">
        <f t="shared" si="1"/>
        <v>RTJD</v>
      </c>
      <c r="U61">
        <f t="shared" si="2"/>
        <v>120033</v>
      </c>
    </row>
    <row r="62" spans="1:21">
      <c r="A62" s="17">
        <f t="shared" si="3"/>
        <v>59</v>
      </c>
      <c r="B62" s="17" t="s">
        <v>537</v>
      </c>
      <c r="C62" s="12" t="s">
        <v>59</v>
      </c>
      <c r="D62" s="12" t="s">
        <v>226</v>
      </c>
      <c r="E62" s="12" t="s">
        <v>606</v>
      </c>
      <c r="F62" s="12" t="s">
        <v>864</v>
      </c>
      <c r="G62" s="17" t="s">
        <v>227</v>
      </c>
      <c r="H62" s="17" t="s">
        <v>228</v>
      </c>
      <c r="I62" s="1">
        <v>1371514348</v>
      </c>
      <c r="J62" s="1">
        <f>IF(COUNTBLANK(I62)=1,0,VLOOKUP(I62,'Date masura SDI'!$A:$M,$J$1,FALSE))</f>
        <v>98533</v>
      </c>
      <c r="K62" s="1">
        <f>IF(COUNTBLANK(I62)=1,0,VLOOKUP(I62,'Date masura SDI'!$A:$M,$K$1,FALSE))</f>
        <v>1424</v>
      </c>
      <c r="L62" s="1">
        <f>IF(COUNTBLANK(I62)=1,0,VLOOKUP(I62,'Date masura SDI'!$A:$M,$L$1,FALSE))</f>
        <v>19054</v>
      </c>
      <c r="M62" s="1">
        <f>IF(COUNTBLANK(I62)=1,0,VLOOKUP(I62,'Date masura SDI'!$A:$M,$M$1,FALSE))</f>
        <v>160</v>
      </c>
      <c r="N62" s="1">
        <v>1371642424</v>
      </c>
      <c r="O62" s="1">
        <f>IF(COUNTBLANK(N62)=1,0,VLOOKUP(N62,'Date masura SDI'!$A:$M,$J$1,FALSE))</f>
        <v>10</v>
      </c>
      <c r="P62" s="1">
        <f>IF(COUNTBLANK(N62)=1,0,VLOOKUP(N62,'Date masura SDI'!$A:$M,$K$1,FALSE))</f>
        <v>68875</v>
      </c>
      <c r="Q62" s="1">
        <f>IF(COUNTBLANK(N62)=1,0,VLOOKUP(N62,'Date masura SDI'!$A:$M,$L$1,FALSE))</f>
        <v>818</v>
      </c>
      <c r="R62" s="1">
        <f>IF(COUNTBLANK(N62)=1,0,VLOOKUP(N62,'Date masura SDI'!$A:$M,$M$1,FALSE))</f>
        <v>346</v>
      </c>
      <c r="T62" t="str">
        <f t="shared" si="1"/>
        <v/>
      </c>
      <c r="U62">
        <f t="shared" si="2"/>
        <v>68875</v>
      </c>
    </row>
    <row r="63" spans="1:21">
      <c r="A63" s="17">
        <f t="shared" si="3"/>
        <v>60</v>
      </c>
      <c r="B63" s="17" t="s">
        <v>537</v>
      </c>
      <c r="C63" s="12" t="s">
        <v>59</v>
      </c>
      <c r="D63" s="12" t="s">
        <v>226</v>
      </c>
      <c r="E63" s="12" t="s">
        <v>69</v>
      </c>
      <c r="F63" s="12" t="s">
        <v>863</v>
      </c>
      <c r="G63" s="17" t="s">
        <v>227</v>
      </c>
      <c r="H63" s="17" t="s">
        <v>228</v>
      </c>
      <c r="I63" s="7" t="s">
        <v>69</v>
      </c>
      <c r="J63" s="16">
        <v>0</v>
      </c>
      <c r="K63" s="16">
        <v>0</v>
      </c>
      <c r="L63" s="16">
        <v>0</v>
      </c>
      <c r="M63" s="16">
        <v>0</v>
      </c>
      <c r="N63" s="1">
        <v>1371641399</v>
      </c>
      <c r="O63" s="1">
        <f>IF(COUNTBLANK(N63)=1,0,VLOOKUP(N63,'Date masura SDI'!$A:$M,$J$1,FALSE))</f>
        <v>3</v>
      </c>
      <c r="P63" s="1">
        <f>IF(COUNTBLANK(N63)=1,0,VLOOKUP(N63,'Date masura SDI'!$A:$M,$K$1,FALSE))</f>
        <v>14007</v>
      </c>
      <c r="Q63" s="1">
        <f>IF(COUNTBLANK(N63)=1,0,VLOOKUP(N63,'Date masura SDI'!$A:$M,$L$1,FALSE))</f>
        <v>333</v>
      </c>
      <c r="R63" s="1">
        <f>IF(COUNTBLANK(N63)=1,0,VLOOKUP(N63,'Date masura SDI'!$A:$M,$M$1,FALSE))</f>
        <v>97</v>
      </c>
      <c r="T63" t="str">
        <f t="shared" si="1"/>
        <v/>
      </c>
      <c r="U63">
        <f t="shared" si="2"/>
        <v>82882</v>
      </c>
    </row>
    <row r="64" spans="1:21">
      <c r="A64" s="17">
        <f t="shared" si="3"/>
        <v>61</v>
      </c>
      <c r="B64" s="17" t="s">
        <v>537</v>
      </c>
      <c r="C64" s="12" t="s">
        <v>59</v>
      </c>
      <c r="D64" s="12" t="s">
        <v>226</v>
      </c>
      <c r="E64" s="12" t="s">
        <v>861</v>
      </c>
      <c r="F64" s="12" t="s">
        <v>678</v>
      </c>
      <c r="G64" s="17" t="s">
        <v>229</v>
      </c>
      <c r="H64" s="17" t="s">
        <v>230</v>
      </c>
      <c r="I64" s="1">
        <v>1371513453</v>
      </c>
      <c r="J64" s="1">
        <f>IF(COUNTBLANK(I64)=1,0,VLOOKUP(I64,'Date masura SDI'!$A:$M,$J$1,FALSE))</f>
        <v>54989</v>
      </c>
      <c r="K64" s="1">
        <f>IF(COUNTBLANK(I64)=1,0,VLOOKUP(I64,'Date masura SDI'!$A:$M,$K$1,FALSE))</f>
        <v>2318</v>
      </c>
      <c r="L64" s="1">
        <f>IF(COUNTBLANK(I64)=1,0,VLOOKUP(I64,'Date masura SDI'!$A:$M,$L$1,FALSE))</f>
        <v>3804</v>
      </c>
      <c r="M64" s="1">
        <f>IF(COUNTBLANK(I64)=1,0,VLOOKUP(I64,'Date masura SDI'!$A:$M,$M$1,FALSE))</f>
        <v>8288</v>
      </c>
      <c r="N64" s="1">
        <v>1371641418</v>
      </c>
      <c r="O64" s="1">
        <f>IF(COUNTBLANK(N64)=1,0,VLOOKUP(N64,'Date masura SDI'!$A:$M,$J$1,FALSE))</f>
        <v>6</v>
      </c>
      <c r="P64" s="1">
        <f>IF(COUNTBLANK(N64)=1,0,VLOOKUP(N64,'Date masura SDI'!$A:$M,$K$1,FALSE))</f>
        <v>59020</v>
      </c>
      <c r="Q64" s="1">
        <f>IF(COUNTBLANK(N64)=1,0,VLOOKUP(N64,'Date masura SDI'!$A:$M,$L$1,FALSE))</f>
        <v>745</v>
      </c>
      <c r="R64" s="1">
        <f>IF(COUNTBLANK(N64)=1,0,VLOOKUP(N64,'Date masura SDI'!$A:$M,$M$1,FALSE))</f>
        <v>293</v>
      </c>
      <c r="T64" t="str">
        <f t="shared" si="1"/>
        <v/>
      </c>
      <c r="U64">
        <f t="shared" si="2"/>
        <v>141902</v>
      </c>
    </row>
    <row r="65" spans="1:21">
      <c r="A65" s="17">
        <f t="shared" si="3"/>
        <v>62</v>
      </c>
      <c r="B65" s="17" t="s">
        <v>537</v>
      </c>
      <c r="C65" s="12" t="s">
        <v>59</v>
      </c>
      <c r="D65" s="12" t="s">
        <v>226</v>
      </c>
      <c r="E65" s="12" t="s">
        <v>607</v>
      </c>
      <c r="F65" s="12" t="s">
        <v>69</v>
      </c>
      <c r="G65" s="17" t="s">
        <v>231</v>
      </c>
      <c r="H65" s="17" t="s">
        <v>232</v>
      </c>
      <c r="I65" s="1">
        <v>1371511160</v>
      </c>
      <c r="J65" s="1">
        <f>IF(COUNTBLANK(I65)=1,0,VLOOKUP(I65,'Date masura SDI'!$A:$M,$J$1,FALSE))</f>
        <v>21326</v>
      </c>
      <c r="K65" s="1">
        <f>IF(COUNTBLANK(I65)=1,0,VLOOKUP(I65,'Date masura SDI'!$A:$M,$K$1,FALSE))</f>
        <v>0</v>
      </c>
      <c r="L65" s="1">
        <f>IF(COUNTBLANK(I65)=1,0,VLOOKUP(I65,'Date masura SDI'!$A:$M,$L$1,FALSE))</f>
        <v>208</v>
      </c>
      <c r="M65" s="1">
        <f>IF(COUNTBLANK(I65)=1,0,VLOOKUP(I65,'Date masura SDI'!$A:$M,$M$1,FALSE))</f>
        <v>2556</v>
      </c>
      <c r="N65" s="1"/>
      <c r="O65" s="1">
        <f>IF(COUNTBLANK(N65)=1,0,VLOOKUP(N65,'Date masura SDI'!$A:$M,$J$1,FALSE))</f>
        <v>0</v>
      </c>
      <c r="P65" s="1">
        <f>IF(COUNTBLANK(N65)=1,0,VLOOKUP(N65,'Date masura SDI'!$A:$M,$K$1,FALSE))</f>
        <v>0</v>
      </c>
      <c r="Q65" s="1">
        <f>IF(COUNTBLANK(N65)=1,0,VLOOKUP(N65,'Date masura SDI'!$A:$M,$L$1,FALSE))</f>
        <v>0</v>
      </c>
      <c r="R65" s="1">
        <f>IF(COUNTBLANK(N65)=1,0,VLOOKUP(N65,'Date masura SDI'!$A:$M,$M$1,FALSE))</f>
        <v>0</v>
      </c>
      <c r="T65" t="str">
        <f t="shared" si="1"/>
        <v/>
      </c>
      <c r="U65">
        <f t="shared" si="2"/>
        <v>141902</v>
      </c>
    </row>
    <row r="66" spans="1:21">
      <c r="A66" s="17">
        <f t="shared" si="3"/>
        <v>63</v>
      </c>
      <c r="B66" s="17" t="s">
        <v>537</v>
      </c>
      <c r="C66" s="12" t="s">
        <v>59</v>
      </c>
      <c r="D66" s="12" t="s">
        <v>226</v>
      </c>
      <c r="E66" s="12" t="s">
        <v>971</v>
      </c>
      <c r="F66" s="12" t="s">
        <v>69</v>
      </c>
      <c r="G66" s="17" t="s">
        <v>116</v>
      </c>
      <c r="H66" s="17" t="s">
        <v>233</v>
      </c>
      <c r="I66" s="7" t="s">
        <v>69</v>
      </c>
      <c r="J66" s="16">
        <v>0</v>
      </c>
      <c r="K66" s="16">
        <v>0</v>
      </c>
      <c r="L66" s="16">
        <v>0</v>
      </c>
      <c r="M66" s="16">
        <v>0</v>
      </c>
      <c r="N66" s="1"/>
      <c r="O66" s="1">
        <f>IF(COUNTBLANK(N66)=1,0,VLOOKUP(N66,'Date masura SDI'!$A:$M,$J$1,FALSE))</f>
        <v>0</v>
      </c>
      <c r="P66" s="1">
        <f>IF(COUNTBLANK(N66)=1,0,VLOOKUP(N66,'Date masura SDI'!$A:$M,$K$1,FALSE))</f>
        <v>0</v>
      </c>
      <c r="Q66" s="1">
        <f>IF(COUNTBLANK(N66)=1,0,VLOOKUP(N66,'Date masura SDI'!$A:$M,$L$1,FALSE))</f>
        <v>0</v>
      </c>
      <c r="R66" s="1">
        <f>IF(COUNTBLANK(N66)=1,0,VLOOKUP(N66,'Date masura SDI'!$A:$M,$M$1,FALSE))</f>
        <v>0</v>
      </c>
      <c r="T66" t="str">
        <f t="shared" si="1"/>
        <v>RVUL</v>
      </c>
      <c r="U66">
        <f t="shared" si="2"/>
        <v>141902</v>
      </c>
    </row>
    <row r="67" spans="1:21">
      <c r="A67" s="17">
        <f t="shared" si="3"/>
        <v>64</v>
      </c>
      <c r="B67" s="17" t="s">
        <v>538</v>
      </c>
      <c r="C67" s="12" t="s">
        <v>26</v>
      </c>
      <c r="D67" s="12" t="s">
        <v>234</v>
      </c>
      <c r="E67" s="12" t="s">
        <v>608</v>
      </c>
      <c r="F67" s="12" t="s">
        <v>69</v>
      </c>
      <c r="G67" s="17" t="s">
        <v>236</v>
      </c>
      <c r="H67" s="17" t="s">
        <v>237</v>
      </c>
      <c r="I67" s="1">
        <v>1369546436</v>
      </c>
      <c r="J67" s="1">
        <f>IF(COUNTBLANK(I67)=1,0,VLOOKUP(I67,'Date masura SDI'!$A:$M,$J$1,FALSE))</f>
        <v>306036</v>
      </c>
      <c r="K67" s="1">
        <f>IF(COUNTBLANK(I67)=1,0,VLOOKUP(I67,'Date masura SDI'!$A:$M,$K$1,FALSE))</f>
        <v>0</v>
      </c>
      <c r="L67" s="1">
        <f>IF(COUNTBLANK(I67)=1,0,VLOOKUP(I67,'Date masura SDI'!$A:$M,$L$1,FALSE))</f>
        <v>15321</v>
      </c>
      <c r="M67" s="1">
        <f>IF(COUNTBLANK(I67)=1,0,VLOOKUP(I67,'Date masura SDI'!$A:$M,$M$1,FALSE))</f>
        <v>1727</v>
      </c>
      <c r="N67" s="1"/>
      <c r="O67" s="1">
        <f>IF(COUNTBLANK(N67)=1,0,VLOOKUP(N67,'Date masura SDI'!$A:$M,$J$1,FALSE))</f>
        <v>0</v>
      </c>
      <c r="P67" s="1">
        <f>IF(COUNTBLANK(N67)=1,0,VLOOKUP(N67,'Date masura SDI'!$A:$M,$K$1,FALSE))</f>
        <v>0</v>
      </c>
      <c r="Q67" s="1">
        <f>IF(COUNTBLANK(N67)=1,0,VLOOKUP(N67,'Date masura SDI'!$A:$M,$L$1,FALSE))</f>
        <v>0</v>
      </c>
      <c r="R67" s="1">
        <f>IF(COUNTBLANK(N67)=1,0,VLOOKUP(N67,'Date masura SDI'!$A:$M,$M$1,FALSE))</f>
        <v>0</v>
      </c>
      <c r="T67" t="str">
        <f t="shared" si="1"/>
        <v/>
      </c>
      <c r="U67">
        <f t="shared" si="2"/>
        <v>0</v>
      </c>
    </row>
    <row r="68" spans="1:21">
      <c r="A68" s="17">
        <f t="shared" si="3"/>
        <v>65</v>
      </c>
      <c r="B68" s="17" t="s">
        <v>538</v>
      </c>
      <c r="C68" s="12" t="s">
        <v>26</v>
      </c>
      <c r="D68" s="12" t="s">
        <v>234</v>
      </c>
      <c r="E68" s="12" t="s">
        <v>609</v>
      </c>
      <c r="F68" s="12" t="s">
        <v>679</v>
      </c>
      <c r="G68" s="17" t="s">
        <v>238</v>
      </c>
      <c r="H68" s="17" t="s">
        <v>239</v>
      </c>
      <c r="I68" s="1">
        <v>1369546423</v>
      </c>
      <c r="J68" s="1">
        <f>IF(COUNTBLANK(I68)=1,0,VLOOKUP(I68,'Date masura SDI'!$A:$M,$J$1,FALSE))</f>
        <v>240541</v>
      </c>
      <c r="K68" s="1">
        <f>IF(COUNTBLANK(I68)=1,0,VLOOKUP(I68,'Date masura SDI'!$A:$M,$K$1,FALSE))</f>
        <v>0</v>
      </c>
      <c r="L68" s="1">
        <f>IF(COUNTBLANK(I68)=1,0,VLOOKUP(I68,'Date masura SDI'!$A:$M,$L$1,FALSE))</f>
        <v>11335</v>
      </c>
      <c r="M68" s="1">
        <f>IF(COUNTBLANK(I68)=1,0,VLOOKUP(I68,'Date masura SDI'!$A:$M,$M$1,FALSE))</f>
        <v>3253</v>
      </c>
      <c r="N68" s="1">
        <v>1371019871</v>
      </c>
      <c r="O68" s="1">
        <f>IF(COUNTBLANK(N68)=1,0,VLOOKUP(N68,'Date masura SDI'!$A:$M,$J$1,FALSE))</f>
        <v>31</v>
      </c>
      <c r="P68" s="1">
        <f>IF(COUNTBLANK(N68)=1,0,VLOOKUP(N68,'Date masura SDI'!$A:$M,$K$1,FALSE))</f>
        <v>44103</v>
      </c>
      <c r="Q68" s="1">
        <f>IF(COUNTBLANK(N68)=1,0,VLOOKUP(N68,'Date masura SDI'!$A:$M,$L$1,FALSE))</f>
        <v>479</v>
      </c>
      <c r="R68" s="1">
        <f>IF(COUNTBLANK(N68)=1,0,VLOOKUP(N68,'Date masura SDI'!$A:$M,$M$1,FALSE))</f>
        <v>3409</v>
      </c>
      <c r="S68" s="188">
        <v>0</v>
      </c>
      <c r="T68" t="str">
        <f t="shared" si="1"/>
        <v/>
      </c>
      <c r="U68">
        <f t="shared" si="2"/>
        <v>44103</v>
      </c>
    </row>
    <row r="69" spans="1:21">
      <c r="A69" s="17">
        <f t="shared" si="3"/>
        <v>66</v>
      </c>
      <c r="B69" s="17" t="s">
        <v>538</v>
      </c>
      <c r="C69" s="12" t="s">
        <v>26</v>
      </c>
      <c r="D69" s="12" t="s">
        <v>234</v>
      </c>
      <c r="E69" s="12" t="s">
        <v>610</v>
      </c>
      <c r="F69" s="12" t="s">
        <v>69</v>
      </c>
      <c r="G69" s="17" t="s">
        <v>240</v>
      </c>
      <c r="H69" s="17" t="s">
        <v>241</v>
      </c>
      <c r="I69" s="1">
        <v>1369357831</v>
      </c>
      <c r="J69" s="1">
        <f>IF(COUNTBLANK(I69)=1,0,VLOOKUP(I69,'Date masura SDI'!$A:$M,$J$1,FALSE))</f>
        <v>164188</v>
      </c>
      <c r="K69" s="1">
        <f>IF(COUNTBLANK(I69)=1,0,VLOOKUP(I69,'Date masura SDI'!$A:$M,$K$1,FALSE))</f>
        <v>0</v>
      </c>
      <c r="L69" s="1">
        <f>IF(COUNTBLANK(I69)=1,0,VLOOKUP(I69,'Date masura SDI'!$A:$M,$L$1,FALSE))</f>
        <v>2566</v>
      </c>
      <c r="M69" s="1">
        <f>IF(COUNTBLANK(I69)=1,0,VLOOKUP(I69,'Date masura SDI'!$A:$M,$M$1,FALSE))</f>
        <v>9746</v>
      </c>
      <c r="N69" s="1"/>
      <c r="O69" s="1">
        <f>IF(COUNTBLANK(N69)=1,0,VLOOKUP(N69,'Date masura SDI'!$A:$M,$J$1,FALSE))</f>
        <v>0</v>
      </c>
      <c r="P69" s="1">
        <f>IF(COUNTBLANK(N69)=1,0,VLOOKUP(N69,'Date masura SDI'!$A:$M,$K$1,FALSE))</f>
        <v>0</v>
      </c>
      <c r="Q69" s="1">
        <f>IF(COUNTBLANK(N69)=1,0,VLOOKUP(N69,'Date masura SDI'!$A:$M,$L$1,FALSE))</f>
        <v>0</v>
      </c>
      <c r="R69" s="1">
        <f>IF(COUNTBLANK(N69)=1,0,VLOOKUP(N69,'Date masura SDI'!$A:$M,$M$1,FALSE))</f>
        <v>0</v>
      </c>
      <c r="T69" t="str">
        <f t="shared" ref="T69:T132" si="4">IF(LEFT(B70,4)&lt;&gt;LEFT(B69,4),LEFT(B69,4),"")</f>
        <v/>
      </c>
      <c r="U69">
        <f t="shared" ref="U69:U132" si="5">IF(COUNTBLANK(T68)=0,IF(COUNTBLANK(P69)=1,0,P69),U68+IF(COUNTBLANK(P69)=1,0,P69))</f>
        <v>44103</v>
      </c>
    </row>
    <row r="70" spans="1:21">
      <c r="A70" s="17">
        <f t="shared" si="3"/>
        <v>67</v>
      </c>
      <c r="B70" s="17" t="s">
        <v>538</v>
      </c>
      <c r="C70" s="12" t="s">
        <v>26</v>
      </c>
      <c r="D70" s="12" t="s">
        <v>234</v>
      </c>
      <c r="E70" s="12" t="s">
        <v>611</v>
      </c>
      <c r="F70" s="12" t="s">
        <v>69</v>
      </c>
      <c r="G70" s="17" t="s">
        <v>242</v>
      </c>
      <c r="H70" s="17" t="s">
        <v>243</v>
      </c>
      <c r="I70" s="7" t="s">
        <v>932</v>
      </c>
      <c r="J70" s="16">
        <v>0</v>
      </c>
      <c r="K70" s="16">
        <v>0</v>
      </c>
      <c r="L70" s="16">
        <v>0</v>
      </c>
      <c r="M70" s="16">
        <v>0</v>
      </c>
      <c r="N70" s="1"/>
      <c r="O70" s="1">
        <f>IF(COUNTBLANK(N70)=1,0,VLOOKUP(N70,'Date masura SDI'!$A:$M,$J$1,FALSE))</f>
        <v>0</v>
      </c>
      <c r="P70" s="1">
        <f>IF(COUNTBLANK(N70)=1,0,VLOOKUP(N70,'Date masura SDI'!$A:$M,$K$1,FALSE))</f>
        <v>0</v>
      </c>
      <c r="Q70" s="1">
        <f>IF(COUNTBLANK(N70)=1,0,VLOOKUP(N70,'Date masura SDI'!$A:$M,$L$1,FALSE))</f>
        <v>0</v>
      </c>
      <c r="R70" s="1">
        <f>IF(COUNTBLANK(N70)=1,0,VLOOKUP(N70,'Date masura SDI'!$A:$M,$M$1,FALSE))</f>
        <v>0</v>
      </c>
      <c r="T70" t="str">
        <f t="shared" si="4"/>
        <v/>
      </c>
      <c r="U70">
        <f t="shared" si="5"/>
        <v>44103</v>
      </c>
    </row>
    <row r="71" spans="1:21">
      <c r="A71" s="17">
        <f t="shared" si="3"/>
        <v>68</v>
      </c>
      <c r="B71" s="17" t="s">
        <v>538</v>
      </c>
      <c r="C71" s="12" t="s">
        <v>26</v>
      </c>
      <c r="D71" s="12" t="s">
        <v>234</v>
      </c>
      <c r="E71" s="12" t="s">
        <v>612</v>
      </c>
      <c r="F71" s="12" t="s">
        <v>69</v>
      </c>
      <c r="G71" s="17" t="s">
        <v>244</v>
      </c>
      <c r="H71" s="17" t="s">
        <v>245</v>
      </c>
      <c r="I71" s="7" t="s">
        <v>933</v>
      </c>
      <c r="J71" s="16">
        <v>0</v>
      </c>
      <c r="K71" s="16">
        <v>0</v>
      </c>
      <c r="L71" s="16">
        <v>0</v>
      </c>
      <c r="M71" s="16">
        <v>0</v>
      </c>
      <c r="N71" s="1"/>
      <c r="O71" s="1">
        <f>IF(COUNTBLANK(N71)=1,0,VLOOKUP(N71,'Date masura SDI'!$A:$M,$J$1,FALSE))</f>
        <v>0</v>
      </c>
      <c r="P71" s="1">
        <f>IF(COUNTBLANK(N71)=1,0,VLOOKUP(N71,'Date masura SDI'!$A:$M,$K$1,FALSE))</f>
        <v>0</v>
      </c>
      <c r="Q71" s="1">
        <f>IF(COUNTBLANK(N71)=1,0,VLOOKUP(N71,'Date masura SDI'!$A:$M,$L$1,FALSE))</f>
        <v>0</v>
      </c>
      <c r="R71" s="1">
        <f>IF(COUNTBLANK(N71)=1,0,VLOOKUP(N71,'Date masura SDI'!$A:$M,$M$1,FALSE))</f>
        <v>0</v>
      </c>
      <c r="T71" t="str">
        <f t="shared" si="4"/>
        <v/>
      </c>
      <c r="U71">
        <f t="shared" si="5"/>
        <v>44103</v>
      </c>
    </row>
    <row r="72" spans="1:21">
      <c r="A72" s="17">
        <f t="shared" si="3"/>
        <v>69</v>
      </c>
      <c r="B72" s="17" t="s">
        <v>538</v>
      </c>
      <c r="C72" s="12" t="s">
        <v>26</v>
      </c>
      <c r="D72" s="12" t="s">
        <v>234</v>
      </c>
      <c r="E72" s="12" t="s">
        <v>972</v>
      </c>
      <c r="F72" s="12" t="s">
        <v>69</v>
      </c>
      <c r="G72" s="17" t="s">
        <v>116</v>
      </c>
      <c r="H72" s="17" t="s">
        <v>246</v>
      </c>
      <c r="I72" s="7" t="s">
        <v>69</v>
      </c>
      <c r="J72" s="16">
        <v>0</v>
      </c>
      <c r="K72" s="16">
        <v>0</v>
      </c>
      <c r="L72" s="16">
        <v>0</v>
      </c>
      <c r="M72" s="16">
        <v>0</v>
      </c>
      <c r="N72" s="1"/>
      <c r="O72" s="1">
        <f>IF(COUNTBLANK(N72)=1,0,VLOOKUP(N72,'Date masura SDI'!$A:$M,$J$1,FALSE))</f>
        <v>0</v>
      </c>
      <c r="P72" s="1">
        <f>IF(COUNTBLANK(N72)=1,0,VLOOKUP(N72,'Date masura SDI'!$A:$M,$K$1,FALSE))</f>
        <v>0</v>
      </c>
      <c r="Q72" s="1">
        <f>IF(COUNTBLANK(N72)=1,0,VLOOKUP(N72,'Date masura SDI'!$A:$M,$L$1,FALSE))</f>
        <v>0</v>
      </c>
      <c r="R72" s="1">
        <f>IF(COUNTBLANK(N72)=1,0,VLOOKUP(N72,'Date masura SDI'!$A:$M,$M$1,FALSE))</f>
        <v>0</v>
      </c>
      <c r="T72" t="str">
        <f t="shared" si="4"/>
        <v/>
      </c>
      <c r="U72">
        <f t="shared" si="5"/>
        <v>44103</v>
      </c>
    </row>
    <row r="73" spans="1:21">
      <c r="A73" s="17">
        <f t="shared" si="3"/>
        <v>70</v>
      </c>
      <c r="B73" s="17" t="s">
        <v>997</v>
      </c>
      <c r="C73" s="12" t="s">
        <v>26</v>
      </c>
      <c r="D73" s="12" t="s">
        <v>234</v>
      </c>
      <c r="E73" s="12" t="s">
        <v>998</v>
      </c>
      <c r="F73" s="12" t="s">
        <v>69</v>
      </c>
      <c r="G73" s="17" t="s">
        <v>1011</v>
      </c>
      <c r="H73" s="17" t="s">
        <v>1005</v>
      </c>
      <c r="I73" s="189" t="s">
        <v>1325</v>
      </c>
      <c r="J73" s="16">
        <v>0</v>
      </c>
      <c r="K73" s="16">
        <v>0</v>
      </c>
      <c r="L73" s="16">
        <v>0</v>
      </c>
      <c r="M73" s="16">
        <v>0</v>
      </c>
      <c r="N73" s="1"/>
      <c r="O73" s="1">
        <f>IF(COUNTBLANK(N73)=1,0,VLOOKUP(N73,'Date masura SDI'!$A:$M,$J$1,FALSE))</f>
        <v>0</v>
      </c>
      <c r="P73" s="1">
        <f>IF(COUNTBLANK(N73)=1,0,VLOOKUP(N73,'Date masura SDI'!$A:$M,$K$1,FALSE))</f>
        <v>0</v>
      </c>
      <c r="Q73" s="1">
        <f>IF(COUNTBLANK(N73)=1,0,VLOOKUP(N73,'Date masura SDI'!$A:$M,$L$1,FALSE))</f>
        <v>0</v>
      </c>
      <c r="R73" s="1">
        <f>IF(COUNTBLANK(N73)=1,0,VLOOKUP(N73,'Date masura SDI'!$A:$M,$M$1,FALSE))</f>
        <v>0</v>
      </c>
      <c r="T73" t="str">
        <f t="shared" si="4"/>
        <v/>
      </c>
      <c r="U73">
        <f t="shared" si="5"/>
        <v>44103</v>
      </c>
    </row>
    <row r="74" spans="1:21">
      <c r="A74" s="17">
        <f t="shared" ref="A74:A137" si="6">A73+1</f>
        <v>71</v>
      </c>
      <c r="B74" s="17" t="s">
        <v>997</v>
      </c>
      <c r="C74" s="12" t="s">
        <v>26</v>
      </c>
      <c r="D74" s="12" t="s">
        <v>234</v>
      </c>
      <c r="E74" s="12" t="s">
        <v>999</v>
      </c>
      <c r="F74" s="12" t="s">
        <v>1004</v>
      </c>
      <c r="G74" s="17" t="s">
        <v>1012</v>
      </c>
      <c r="H74" s="17" t="s">
        <v>1006</v>
      </c>
      <c r="I74" s="189" t="s">
        <v>1326</v>
      </c>
      <c r="J74" s="16">
        <v>0</v>
      </c>
      <c r="K74" s="16">
        <v>0</v>
      </c>
      <c r="L74" s="16">
        <v>0</v>
      </c>
      <c r="M74" s="16">
        <v>0</v>
      </c>
      <c r="N74" s="1">
        <v>1371019871.2</v>
      </c>
      <c r="O74" s="16">
        <v>0</v>
      </c>
      <c r="P74" s="16">
        <v>0</v>
      </c>
      <c r="Q74" s="16">
        <v>0</v>
      </c>
      <c r="R74" s="16">
        <v>0</v>
      </c>
      <c r="T74" t="str">
        <f t="shared" si="4"/>
        <v/>
      </c>
      <c r="U74">
        <f t="shared" si="5"/>
        <v>44103</v>
      </c>
    </row>
    <row r="75" spans="1:21">
      <c r="A75" s="17">
        <f t="shared" si="6"/>
        <v>72</v>
      </c>
      <c r="B75" s="17" t="s">
        <v>997</v>
      </c>
      <c r="C75" s="12" t="s">
        <v>26</v>
      </c>
      <c r="D75" s="12" t="s">
        <v>234</v>
      </c>
      <c r="E75" s="12" t="s">
        <v>1000</v>
      </c>
      <c r="F75" s="12" t="s">
        <v>69</v>
      </c>
      <c r="G75" s="17" t="s">
        <v>1013</v>
      </c>
      <c r="H75" s="17" t="s">
        <v>1007</v>
      </c>
      <c r="I75" s="189" t="s">
        <v>1327</v>
      </c>
      <c r="J75" s="16">
        <v>0</v>
      </c>
      <c r="K75" s="16">
        <v>0</v>
      </c>
      <c r="L75" s="16">
        <v>0</v>
      </c>
      <c r="M75" s="16">
        <v>0</v>
      </c>
      <c r="N75" s="1"/>
      <c r="O75" s="1">
        <f>IF(COUNTBLANK(N75)=1,0,VLOOKUP(N75,'Date masura SDI'!$A:$M,$J$1,FALSE))</f>
        <v>0</v>
      </c>
      <c r="P75" s="1">
        <f>IF(COUNTBLANK(N75)=1,0,VLOOKUP(N75,'Date masura SDI'!$A:$M,$K$1,FALSE))</f>
        <v>0</v>
      </c>
      <c r="Q75" s="1">
        <f>IF(COUNTBLANK(N75)=1,0,VLOOKUP(N75,'Date masura SDI'!$A:$M,$L$1,FALSE))</f>
        <v>0</v>
      </c>
      <c r="R75" s="1">
        <f>IF(COUNTBLANK(N75)=1,0,VLOOKUP(N75,'Date masura SDI'!$A:$M,$M$1,FALSE))</f>
        <v>0</v>
      </c>
      <c r="T75" t="str">
        <f t="shared" si="4"/>
        <v/>
      </c>
      <c r="U75">
        <f t="shared" si="5"/>
        <v>44103</v>
      </c>
    </row>
    <row r="76" spans="1:21">
      <c r="A76" s="17">
        <f t="shared" si="6"/>
        <v>73</v>
      </c>
      <c r="B76" s="17" t="s">
        <v>997</v>
      </c>
      <c r="C76" s="12" t="s">
        <v>26</v>
      </c>
      <c r="D76" s="12" t="s">
        <v>234</v>
      </c>
      <c r="E76" s="12" t="s">
        <v>1001</v>
      </c>
      <c r="F76" s="12" t="s">
        <v>69</v>
      </c>
      <c r="G76" s="17" t="s">
        <v>1014</v>
      </c>
      <c r="H76" s="17" t="s">
        <v>1008</v>
      </c>
      <c r="I76" s="189" t="s">
        <v>1096</v>
      </c>
      <c r="J76" s="16">
        <v>0</v>
      </c>
      <c r="K76" s="16">
        <v>0</v>
      </c>
      <c r="L76" s="16">
        <v>0</v>
      </c>
      <c r="M76" s="16">
        <v>0</v>
      </c>
      <c r="N76" s="1"/>
      <c r="O76" s="1">
        <f>IF(COUNTBLANK(N76)=1,0,VLOOKUP(N76,'Date masura SDI'!$A:$M,$J$1,FALSE))</f>
        <v>0</v>
      </c>
      <c r="P76" s="1">
        <f>IF(COUNTBLANK(N76)=1,0,VLOOKUP(N76,'Date masura SDI'!$A:$M,$K$1,FALSE))</f>
        <v>0</v>
      </c>
      <c r="Q76" s="1">
        <f>IF(COUNTBLANK(N76)=1,0,VLOOKUP(N76,'Date masura SDI'!$A:$M,$L$1,FALSE))</f>
        <v>0</v>
      </c>
      <c r="R76" s="1">
        <f>IF(COUNTBLANK(N76)=1,0,VLOOKUP(N76,'Date masura SDI'!$A:$M,$M$1,FALSE))</f>
        <v>0</v>
      </c>
      <c r="T76" t="str">
        <f t="shared" si="4"/>
        <v/>
      </c>
      <c r="U76">
        <f t="shared" si="5"/>
        <v>44103</v>
      </c>
    </row>
    <row r="77" spans="1:21">
      <c r="A77" s="17">
        <f t="shared" si="6"/>
        <v>74</v>
      </c>
      <c r="B77" s="17" t="s">
        <v>997</v>
      </c>
      <c r="C77" s="12" t="s">
        <v>26</v>
      </c>
      <c r="D77" s="12" t="s">
        <v>234</v>
      </c>
      <c r="E77" s="12" t="s">
        <v>1002</v>
      </c>
      <c r="F77" s="12" t="s">
        <v>69</v>
      </c>
      <c r="G77" s="17" t="s">
        <v>1015</v>
      </c>
      <c r="H77" s="17" t="s">
        <v>1009</v>
      </c>
      <c r="I77" s="189" t="s">
        <v>1097</v>
      </c>
      <c r="J77" s="16">
        <v>0</v>
      </c>
      <c r="K77" s="16">
        <v>0</v>
      </c>
      <c r="L77" s="16">
        <v>0</v>
      </c>
      <c r="M77" s="16">
        <v>0</v>
      </c>
      <c r="N77" s="1"/>
      <c r="O77" s="1">
        <f>IF(COUNTBLANK(N77)=1,0,VLOOKUP(N77,'Date masura SDI'!$A:$M,$J$1,FALSE))</f>
        <v>0</v>
      </c>
      <c r="P77" s="1">
        <f>IF(COUNTBLANK(N77)=1,0,VLOOKUP(N77,'Date masura SDI'!$A:$M,$K$1,FALSE))</f>
        <v>0</v>
      </c>
      <c r="Q77" s="1">
        <f>IF(COUNTBLANK(N77)=1,0,VLOOKUP(N77,'Date masura SDI'!$A:$M,$L$1,FALSE))</f>
        <v>0</v>
      </c>
      <c r="R77" s="1">
        <f>IF(COUNTBLANK(N77)=1,0,VLOOKUP(N77,'Date masura SDI'!$A:$M,$M$1,FALSE))</f>
        <v>0</v>
      </c>
      <c r="T77" t="str">
        <f t="shared" si="4"/>
        <v/>
      </c>
      <c r="U77">
        <f t="shared" si="5"/>
        <v>44103</v>
      </c>
    </row>
    <row r="78" spans="1:21">
      <c r="A78" s="17">
        <f t="shared" si="6"/>
        <v>75</v>
      </c>
      <c r="B78" s="17" t="s">
        <v>997</v>
      </c>
      <c r="C78" s="12" t="s">
        <v>26</v>
      </c>
      <c r="D78" s="12" t="s">
        <v>234</v>
      </c>
      <c r="E78" s="12" t="s">
        <v>1003</v>
      </c>
      <c r="F78" s="12" t="s">
        <v>69</v>
      </c>
      <c r="G78" s="17" t="s">
        <v>116</v>
      </c>
      <c r="H78" s="17" t="s">
        <v>1010</v>
      </c>
      <c r="I78" s="7" t="s">
        <v>69</v>
      </c>
      <c r="J78" s="16">
        <v>0</v>
      </c>
      <c r="K78" s="16">
        <v>0</v>
      </c>
      <c r="L78" s="16">
        <v>0</v>
      </c>
      <c r="M78" s="16">
        <v>0</v>
      </c>
      <c r="N78" s="1"/>
      <c r="O78" s="1">
        <f>IF(COUNTBLANK(N78)=1,0,VLOOKUP(N78,'Date masura SDI'!$A:$M,$J$1,FALSE))</f>
        <v>0</v>
      </c>
      <c r="P78" s="1">
        <f>IF(COUNTBLANK(N78)=1,0,VLOOKUP(N78,'Date masura SDI'!$A:$M,$K$1,FALSE))</f>
        <v>0</v>
      </c>
      <c r="Q78" s="1">
        <f>IF(COUNTBLANK(N78)=1,0,VLOOKUP(N78,'Date masura SDI'!$A:$M,$L$1,FALSE))</f>
        <v>0</v>
      </c>
      <c r="R78" s="1">
        <f>IF(COUNTBLANK(N78)=1,0,VLOOKUP(N78,'Date masura SDI'!$A:$M,$M$1,FALSE))</f>
        <v>0</v>
      </c>
      <c r="T78" t="str">
        <f t="shared" si="4"/>
        <v>RFSC</v>
      </c>
      <c r="U78">
        <f t="shared" si="5"/>
        <v>44103</v>
      </c>
    </row>
    <row r="79" spans="1:21">
      <c r="A79" s="17">
        <f t="shared" si="6"/>
        <v>76</v>
      </c>
      <c r="B79" s="17" t="s">
        <v>539</v>
      </c>
      <c r="C79" s="70" t="s">
        <v>60</v>
      </c>
      <c r="D79" s="12" t="s">
        <v>247</v>
      </c>
      <c r="E79" s="12" t="s">
        <v>613</v>
      </c>
      <c r="F79" s="12" t="s">
        <v>680</v>
      </c>
      <c r="G79" s="17" t="s">
        <v>249</v>
      </c>
      <c r="H79" s="17" t="s">
        <v>250</v>
      </c>
      <c r="I79" s="1">
        <v>1370137686</v>
      </c>
      <c r="J79" s="1">
        <f>IF(COUNTBLANK(I79)=1,0,VLOOKUP(I79,'Date masura SDI'!$A:$M,$J$1,FALSE))</f>
        <v>289990</v>
      </c>
      <c r="K79" s="1">
        <f>IF(COUNTBLANK(I79)=1,0,VLOOKUP(I79,'Date masura SDI'!$A:$M,$K$1,FALSE))</f>
        <v>0</v>
      </c>
      <c r="L79" s="1">
        <f>IF(COUNTBLANK(I79)=1,0,VLOOKUP(I79,'Date masura SDI'!$A:$M,$L$1,FALSE))</f>
        <v>149</v>
      </c>
      <c r="M79" s="1">
        <f>IF(COUNTBLANK(I79)=1,0,VLOOKUP(I79,'Date masura SDI'!$A:$M,$M$1,FALSE))</f>
        <v>15277</v>
      </c>
      <c r="N79" s="1">
        <v>1371022952</v>
      </c>
      <c r="O79" s="1">
        <f>IF(COUNTBLANK(N79)=1,0,VLOOKUP(N79,'Date masura SDI'!$A:$M,$J$1,FALSE))</f>
        <v>3</v>
      </c>
      <c r="P79" s="1">
        <f>IF(COUNTBLANK(N79)=1,0,VLOOKUP(N79,'Date masura SDI'!$A:$M,$K$1,FALSE))</f>
        <v>64628</v>
      </c>
      <c r="Q79" s="1">
        <f>IF(COUNTBLANK(N79)=1,0,VLOOKUP(N79,'Date masura SDI'!$A:$M,$L$1,FALSE))</f>
        <v>673</v>
      </c>
      <c r="R79" s="1">
        <f>IF(COUNTBLANK(N79)=1,0,VLOOKUP(N79,'Date masura SDI'!$A:$M,$M$1,FALSE))</f>
        <v>4207</v>
      </c>
      <c r="T79" t="str">
        <f t="shared" si="4"/>
        <v/>
      </c>
      <c r="U79">
        <f t="shared" si="5"/>
        <v>64628</v>
      </c>
    </row>
    <row r="80" spans="1:21" s="115" customFormat="1">
      <c r="A80" s="17">
        <f t="shared" si="6"/>
        <v>77</v>
      </c>
      <c r="B80" s="131" t="s">
        <v>539</v>
      </c>
      <c r="C80" s="70" t="s">
        <v>60</v>
      </c>
      <c r="D80" s="70" t="s">
        <v>247</v>
      </c>
      <c r="E80" s="70" t="s">
        <v>614</v>
      </c>
      <c r="F80" s="70" t="s">
        <v>69</v>
      </c>
      <c r="G80" s="131" t="s">
        <v>251</v>
      </c>
      <c r="H80" s="131" t="s">
        <v>252</v>
      </c>
      <c r="I80" s="20">
        <v>1370137899</v>
      </c>
      <c r="J80" s="20">
        <f>IF(COUNTBLANK(I80)=1,0,VLOOKUP(I80,'Date masura SDI'!$A:$M,$J$1,FALSE))</f>
        <v>313669</v>
      </c>
      <c r="K80" s="20">
        <f>IF(COUNTBLANK(I80)=1,0,VLOOKUP(I80,'Date masura SDI'!$A:$M,$K$1,FALSE))</f>
        <v>0</v>
      </c>
      <c r="L80" s="20">
        <f>IF(COUNTBLANK(I80)=1,0,VLOOKUP(I80,'Date masura SDI'!$A:$M,$L$1,FALSE))</f>
        <v>14281</v>
      </c>
      <c r="M80" s="20">
        <f>IF(COUNTBLANK(I80)=1,0,VLOOKUP(I80,'Date masura SDI'!$A:$M,$M$1,FALSE))</f>
        <v>5640</v>
      </c>
      <c r="N80" s="20"/>
      <c r="O80" s="20">
        <f>IF(COUNTBLANK(N80)=1,0,VLOOKUP(N80,'Date masura SDI'!$A:$M,$J$1,FALSE))</f>
        <v>0</v>
      </c>
      <c r="P80" s="20">
        <f>IF(COUNTBLANK(N80)=1,0,VLOOKUP(N80,'Date masura SDI'!$A:$M,$K$1,FALSE))</f>
        <v>0</v>
      </c>
      <c r="Q80" s="20">
        <f>IF(COUNTBLANK(N80)=1,0,VLOOKUP(N80,'Date masura SDI'!$A:$M,$L$1,FALSE))</f>
        <v>0</v>
      </c>
      <c r="R80" s="20">
        <f>IF(COUNTBLANK(N80)=1,0,VLOOKUP(N80,'Date masura SDI'!$A:$M,$M$1,FALSE))</f>
        <v>0</v>
      </c>
      <c r="T80" t="str">
        <f t="shared" si="4"/>
        <v/>
      </c>
      <c r="U80">
        <f t="shared" si="5"/>
        <v>64628</v>
      </c>
    </row>
    <row r="81" spans="1:21" s="115" customFormat="1">
      <c r="A81" s="17">
        <f t="shared" si="6"/>
        <v>78</v>
      </c>
      <c r="B81" s="131" t="s">
        <v>539</v>
      </c>
      <c r="C81" s="70" t="s">
        <v>60</v>
      </c>
      <c r="D81" s="70" t="s">
        <v>247</v>
      </c>
      <c r="E81" s="70" t="s">
        <v>615</v>
      </c>
      <c r="F81" s="70" t="s">
        <v>69</v>
      </c>
      <c r="G81" s="131" t="s">
        <v>253</v>
      </c>
      <c r="H81" s="131" t="s">
        <v>254</v>
      </c>
      <c r="I81" s="20">
        <v>1370139991</v>
      </c>
      <c r="J81" s="20">
        <f>IF(COUNTBLANK(I81)=1,0,VLOOKUP(I81,'Date masura SDI'!$A:$M,$J$1,FALSE))</f>
        <v>429413</v>
      </c>
      <c r="K81" s="20">
        <f>IF(COUNTBLANK(I81)=1,0,VLOOKUP(I81,'Date masura SDI'!$A:$M,$K$1,FALSE))</f>
        <v>0</v>
      </c>
      <c r="L81" s="20">
        <f>IF(COUNTBLANK(I81)=1,0,VLOOKUP(I81,'Date masura SDI'!$A:$M,$L$1,FALSE))</f>
        <v>0</v>
      </c>
      <c r="M81" s="20">
        <f>IF(COUNTBLANK(I81)=1,0,VLOOKUP(I81,'Date masura SDI'!$A:$M,$M$1,FALSE))</f>
        <v>11</v>
      </c>
      <c r="N81" s="20"/>
      <c r="O81" s="20">
        <f>IF(COUNTBLANK(N81)=1,0,VLOOKUP(N81,'Date masura SDI'!$A:$M,$J$1,FALSE))</f>
        <v>0</v>
      </c>
      <c r="P81" s="20">
        <f>IF(COUNTBLANK(N81)=1,0,VLOOKUP(N81,'Date masura SDI'!$A:$M,$K$1,FALSE))</f>
        <v>0</v>
      </c>
      <c r="Q81" s="20">
        <f>IF(COUNTBLANK(N81)=1,0,VLOOKUP(N81,'Date masura SDI'!$A:$M,$L$1,FALSE))</f>
        <v>0</v>
      </c>
      <c r="R81" s="20">
        <f>IF(COUNTBLANK(N81)=1,0,VLOOKUP(N81,'Date masura SDI'!$A:$M,$M$1,FALSE))</f>
        <v>0</v>
      </c>
      <c r="T81" t="str">
        <f t="shared" si="4"/>
        <v/>
      </c>
      <c r="U81">
        <f t="shared" si="5"/>
        <v>64628</v>
      </c>
    </row>
    <row r="82" spans="1:21" s="115" customFormat="1">
      <c r="A82" s="17">
        <f t="shared" si="6"/>
        <v>79</v>
      </c>
      <c r="B82" s="131" t="s">
        <v>539</v>
      </c>
      <c r="C82" s="70" t="s">
        <v>60</v>
      </c>
      <c r="D82" s="70" t="s">
        <v>247</v>
      </c>
      <c r="E82" s="70" t="s">
        <v>616</v>
      </c>
      <c r="F82" s="70" t="s">
        <v>69</v>
      </c>
      <c r="G82" s="131" t="s">
        <v>255</v>
      </c>
      <c r="H82" s="131" t="s">
        <v>256</v>
      </c>
      <c r="I82" s="20">
        <v>1370139975</v>
      </c>
      <c r="J82" s="20">
        <f>IF(COUNTBLANK(I82)=1,0,VLOOKUP(I82,'Date masura SDI'!$A:$M,$J$1,FALSE))</f>
        <v>294272</v>
      </c>
      <c r="K82" s="20">
        <f>IF(COUNTBLANK(I82)=1,0,VLOOKUP(I82,'Date masura SDI'!$A:$M,$K$1,FALSE))</f>
        <v>0</v>
      </c>
      <c r="L82" s="20">
        <f>IF(COUNTBLANK(I82)=1,0,VLOOKUP(I82,'Date masura SDI'!$A:$M,$L$1,FALSE))</f>
        <v>0</v>
      </c>
      <c r="M82" s="20">
        <f>IF(COUNTBLANK(I82)=1,0,VLOOKUP(I82,'Date masura SDI'!$A:$M,$M$1,FALSE))</f>
        <v>842</v>
      </c>
      <c r="N82" s="20"/>
      <c r="O82" s="20">
        <f>IF(COUNTBLANK(N82)=1,0,VLOOKUP(N82,'Date masura SDI'!$A:$M,$J$1,FALSE))</f>
        <v>0</v>
      </c>
      <c r="P82" s="20">
        <f>IF(COUNTBLANK(N82)=1,0,VLOOKUP(N82,'Date masura SDI'!$A:$M,$K$1,FALSE))</f>
        <v>0</v>
      </c>
      <c r="Q82" s="20">
        <f>IF(COUNTBLANK(N82)=1,0,VLOOKUP(N82,'Date masura SDI'!$A:$M,$L$1,FALSE))</f>
        <v>0</v>
      </c>
      <c r="R82" s="20">
        <f>IF(COUNTBLANK(N82)=1,0,VLOOKUP(N82,'Date masura SDI'!$A:$M,$M$1,FALSE))</f>
        <v>0</v>
      </c>
      <c r="T82" t="str">
        <f t="shared" si="4"/>
        <v/>
      </c>
      <c r="U82">
        <f t="shared" si="5"/>
        <v>64628</v>
      </c>
    </row>
    <row r="83" spans="1:21" s="115" customFormat="1">
      <c r="A83" s="17">
        <f t="shared" si="6"/>
        <v>80</v>
      </c>
      <c r="B83" s="131" t="s">
        <v>539</v>
      </c>
      <c r="C83" s="70" t="s">
        <v>60</v>
      </c>
      <c r="D83" s="70" t="s">
        <v>247</v>
      </c>
      <c r="E83" s="70" t="s">
        <v>973</v>
      </c>
      <c r="F83" s="70" t="s">
        <v>69</v>
      </c>
      <c r="G83" s="131" t="s">
        <v>116</v>
      </c>
      <c r="H83" s="131" t="s">
        <v>257</v>
      </c>
      <c r="I83" s="210" t="s">
        <v>69</v>
      </c>
      <c r="J83" s="20">
        <v>0</v>
      </c>
      <c r="K83" s="20">
        <v>0</v>
      </c>
      <c r="L83" s="20">
        <v>0</v>
      </c>
      <c r="M83" s="20">
        <v>0</v>
      </c>
      <c r="N83" s="20"/>
      <c r="O83" s="20">
        <f>IF(COUNTBLANK(N83)=1,0,VLOOKUP(N83,'Date masura SDI'!$A:$M,$J$1,FALSE))</f>
        <v>0</v>
      </c>
      <c r="P83" s="20">
        <f>IF(COUNTBLANK(N83)=1,0,VLOOKUP(N83,'Date masura SDI'!$A:$M,$K$1,FALSE))</f>
        <v>0</v>
      </c>
      <c r="Q83" s="20">
        <f>IF(COUNTBLANK(N83)=1,0,VLOOKUP(N83,'Date masura SDI'!$A:$M,$L$1,FALSE))</f>
        <v>0</v>
      </c>
      <c r="R83" s="20">
        <f>IF(COUNTBLANK(N83)=1,0,VLOOKUP(N83,'Date masura SDI'!$A:$M,$M$1,FALSE))</f>
        <v>0</v>
      </c>
      <c r="T83" t="str">
        <f t="shared" si="4"/>
        <v/>
      </c>
      <c r="U83">
        <f t="shared" si="5"/>
        <v>64628</v>
      </c>
    </row>
    <row r="84" spans="1:21" s="115" customFormat="1">
      <c r="A84" s="17">
        <f t="shared" si="6"/>
        <v>81</v>
      </c>
      <c r="B84" s="131" t="s">
        <v>540</v>
      </c>
      <c r="C84" s="70" t="s">
        <v>60</v>
      </c>
      <c r="D84" s="70" t="s">
        <v>393</v>
      </c>
      <c r="E84" s="70" t="s">
        <v>540</v>
      </c>
      <c r="F84" s="70" t="s">
        <v>69</v>
      </c>
      <c r="G84" s="23" t="s">
        <v>60</v>
      </c>
      <c r="H84" s="23" t="s">
        <v>393</v>
      </c>
      <c r="I84" s="21" t="s">
        <v>387</v>
      </c>
      <c r="J84" s="20">
        <f>VLOOKUP(H84,'Date masura OD'!$E:$BB,14,FALSE)</f>
        <v>63360</v>
      </c>
      <c r="K84" s="20">
        <v>0</v>
      </c>
      <c r="L84" s="20">
        <f>VLOOKUP(H84,'Date masura OD'!$E:$BB,15,FALSE)</f>
        <v>0</v>
      </c>
      <c r="M84" s="20">
        <f>VLOOKUP(H84,'Date masura OD'!$E:$BB,16,FALSE)</f>
        <v>0</v>
      </c>
      <c r="N84" s="21"/>
      <c r="O84" s="20">
        <f>IF(COUNTBLANK(N84)=1,0,VLOOKUP(N84,'Date masura SDI'!$A:$M,$J$1,FALSE))</f>
        <v>0</v>
      </c>
      <c r="P84" s="20">
        <f>IF(COUNTBLANK(N84)=1,0,VLOOKUP(N84,'Date masura SDI'!$A:$M,$K$1,FALSE))</f>
        <v>0</v>
      </c>
      <c r="Q84" s="20">
        <f>IF(COUNTBLANK(N84)=1,0,VLOOKUP(N84,'Date masura SDI'!$A:$M,$L$1,FALSE))</f>
        <v>0</v>
      </c>
      <c r="R84" s="20">
        <f>IF(COUNTBLANK(N84)=1,0,VLOOKUP(N84,'Date masura SDI'!$A:$M,$M$1,FALSE))</f>
        <v>0</v>
      </c>
      <c r="T84" t="str">
        <f t="shared" si="4"/>
        <v/>
      </c>
      <c r="U84">
        <f t="shared" si="5"/>
        <v>64628</v>
      </c>
    </row>
    <row r="85" spans="1:21" s="115" customFormat="1">
      <c r="A85" s="17">
        <f t="shared" si="6"/>
        <v>82</v>
      </c>
      <c r="B85" s="131" t="s">
        <v>541</v>
      </c>
      <c r="C85" s="70" t="s">
        <v>60</v>
      </c>
      <c r="D85" s="70" t="s">
        <v>394</v>
      </c>
      <c r="E85" s="70" t="s">
        <v>541</v>
      </c>
      <c r="F85" s="70" t="s">
        <v>69</v>
      </c>
      <c r="G85" s="23" t="s">
        <v>60</v>
      </c>
      <c r="H85" s="23" t="s">
        <v>394</v>
      </c>
      <c r="I85" s="21" t="s">
        <v>388</v>
      </c>
      <c r="J85" s="20">
        <f>VLOOKUP(H85,'Date masura OD'!$E:$BB,14,FALSE)</f>
        <v>611</v>
      </c>
      <c r="K85" s="20">
        <v>0</v>
      </c>
      <c r="L85" s="20">
        <f>VLOOKUP(H85,'Date masura OD'!$E:$BB,15,FALSE)</f>
        <v>0</v>
      </c>
      <c r="M85" s="20">
        <f>VLOOKUP(H85,'Date masura OD'!$E:$BB,16,FALSE)</f>
        <v>0</v>
      </c>
      <c r="N85" s="21"/>
      <c r="O85" s="20">
        <f>IF(COUNTBLANK(N85)=1,0,VLOOKUP(N85,'Date masura SDI'!$A:$M,$J$1,FALSE))</f>
        <v>0</v>
      </c>
      <c r="P85" s="20">
        <f>IF(COUNTBLANK(N85)=1,0,VLOOKUP(N85,'Date masura SDI'!$A:$M,$K$1,FALSE))</f>
        <v>0</v>
      </c>
      <c r="Q85" s="20">
        <f>IF(COUNTBLANK(N85)=1,0,VLOOKUP(N85,'Date masura SDI'!$A:$M,$L$1,FALSE))</f>
        <v>0</v>
      </c>
      <c r="R85" s="20">
        <f>IF(COUNTBLANK(N85)=1,0,VLOOKUP(N85,'Date masura SDI'!$A:$M,$M$1,FALSE))</f>
        <v>0</v>
      </c>
      <c r="T85" t="str">
        <f t="shared" si="4"/>
        <v/>
      </c>
      <c r="U85">
        <f t="shared" si="5"/>
        <v>64628</v>
      </c>
    </row>
    <row r="86" spans="1:21" s="115" customFormat="1">
      <c r="A86" s="17">
        <f t="shared" si="6"/>
        <v>83</v>
      </c>
      <c r="B86" s="131" t="s">
        <v>542</v>
      </c>
      <c r="C86" s="70" t="s">
        <v>60</v>
      </c>
      <c r="D86" s="70" t="s">
        <v>395</v>
      </c>
      <c r="E86" s="70" t="s">
        <v>542</v>
      </c>
      <c r="F86" s="70" t="s">
        <v>69</v>
      </c>
      <c r="G86" s="23" t="s">
        <v>60</v>
      </c>
      <c r="H86" s="23" t="s">
        <v>395</v>
      </c>
      <c r="I86" s="21" t="s">
        <v>389</v>
      </c>
      <c r="J86" s="20">
        <f>VLOOKUP(H86,'Date masura OD'!$E:$BB,14,FALSE)</f>
        <v>3543</v>
      </c>
      <c r="K86" s="20">
        <v>0</v>
      </c>
      <c r="L86" s="20">
        <f>VLOOKUP(H86,'Date masura OD'!$E:$BB,15,FALSE)</f>
        <v>0</v>
      </c>
      <c r="M86" s="20">
        <f>VLOOKUP(H86,'Date masura OD'!$E:$BB,16,FALSE)</f>
        <v>0</v>
      </c>
      <c r="N86" s="21"/>
      <c r="O86" s="20">
        <f>IF(COUNTBLANK(N86)=1,0,VLOOKUP(N86,'Date masura SDI'!$A:$M,$J$1,FALSE))</f>
        <v>0</v>
      </c>
      <c r="P86" s="20">
        <f>IF(COUNTBLANK(N86)=1,0,VLOOKUP(N86,'Date masura SDI'!$A:$M,$K$1,FALSE))</f>
        <v>0</v>
      </c>
      <c r="Q86" s="20">
        <f>IF(COUNTBLANK(N86)=1,0,VLOOKUP(N86,'Date masura SDI'!$A:$M,$L$1,FALSE))</f>
        <v>0</v>
      </c>
      <c r="R86" s="20">
        <f>IF(COUNTBLANK(N86)=1,0,VLOOKUP(N86,'Date masura SDI'!$A:$M,$M$1,FALSE))</f>
        <v>0</v>
      </c>
      <c r="T86" t="str">
        <f t="shared" si="4"/>
        <v>RPMB</v>
      </c>
      <c r="U86">
        <f t="shared" si="5"/>
        <v>64628</v>
      </c>
    </row>
    <row r="87" spans="1:21">
      <c r="A87" s="17">
        <f t="shared" si="6"/>
        <v>84</v>
      </c>
      <c r="B87" s="17" t="s">
        <v>543</v>
      </c>
      <c r="C87" s="12" t="s">
        <v>27</v>
      </c>
      <c r="D87" s="12" t="s">
        <v>258</v>
      </c>
      <c r="E87" s="12" t="s">
        <v>617</v>
      </c>
      <c r="F87" s="12" t="s">
        <v>681</v>
      </c>
      <c r="G87" s="17" t="s">
        <v>260</v>
      </c>
      <c r="H87" s="17" t="s">
        <v>261</v>
      </c>
      <c r="I87" s="1">
        <v>1371033646</v>
      </c>
      <c r="J87" s="1">
        <f>IF(COUNTBLANK(I87)=1,0,VLOOKUP(I87,'Date masura SDI'!$A:$M,$J$1,FALSE))</f>
        <v>242074</v>
      </c>
      <c r="K87" s="1">
        <f>IF(COUNTBLANK(I87)=1,0,VLOOKUP(I87,'Date masura SDI'!$A:$M,$K$1,FALSE))</f>
        <v>0</v>
      </c>
      <c r="L87" s="1">
        <f>IF(COUNTBLANK(I87)=1,0,VLOOKUP(I87,'Date masura SDI'!$A:$M,$L$1,FALSE))</f>
        <v>0</v>
      </c>
      <c r="M87" s="1">
        <f>IF(COUNTBLANK(I87)=1,0,VLOOKUP(I87,'Date masura SDI'!$A:$M,$M$1,FALSE))</f>
        <v>1</v>
      </c>
      <c r="N87" s="1">
        <v>1370127118</v>
      </c>
      <c r="O87" s="1">
        <f>IF(COUNTBLANK(N87)=1,0,VLOOKUP(N87,'Date masura SDI'!$A:$M,$J$1,FALSE))</f>
        <v>2</v>
      </c>
      <c r="P87" s="1">
        <f>IF(COUNTBLANK(N87)=1,0,VLOOKUP(N87,'Date masura SDI'!$A:$M,$K$1,FALSE))</f>
        <v>42472</v>
      </c>
      <c r="Q87" s="1">
        <f>IF(COUNTBLANK(N87)=1,0,VLOOKUP(N87,'Date masura SDI'!$A:$M,$L$1,FALSE))</f>
        <v>466</v>
      </c>
      <c r="R87" s="1">
        <f>IF(COUNTBLANK(N87)=1,0,VLOOKUP(N87,'Date masura SDI'!$A:$M,$M$1,FALSE))</f>
        <v>3484</v>
      </c>
      <c r="T87" t="str">
        <f t="shared" si="4"/>
        <v/>
      </c>
      <c r="U87">
        <f t="shared" si="5"/>
        <v>42472</v>
      </c>
    </row>
    <row r="88" spans="1:21">
      <c r="A88" s="17">
        <f t="shared" si="6"/>
        <v>85</v>
      </c>
      <c r="B88" s="17" t="s">
        <v>543</v>
      </c>
      <c r="C88" s="12" t="s">
        <v>27</v>
      </c>
      <c r="D88" s="12" t="s">
        <v>258</v>
      </c>
      <c r="E88" s="12" t="s">
        <v>618</v>
      </c>
      <c r="F88" s="12" t="s">
        <v>69</v>
      </c>
      <c r="G88" s="17" t="s">
        <v>262</v>
      </c>
      <c r="H88" s="17" t="s">
        <v>263</v>
      </c>
      <c r="I88" s="7" t="s">
        <v>934</v>
      </c>
      <c r="J88" s="16">
        <v>0</v>
      </c>
      <c r="K88" s="16">
        <v>0</v>
      </c>
      <c r="L88" s="16">
        <v>0</v>
      </c>
      <c r="M88" s="16">
        <v>0</v>
      </c>
      <c r="N88" s="1"/>
      <c r="O88" s="1">
        <f>IF(COUNTBLANK(N88)=1,0,VLOOKUP(N88,'Date masura SDI'!$A:$M,$J$1,FALSE))</f>
        <v>0</v>
      </c>
      <c r="P88" s="1">
        <f>IF(COUNTBLANK(N88)=1,0,VLOOKUP(N88,'Date masura SDI'!$A:$M,$K$1,FALSE))</f>
        <v>0</v>
      </c>
      <c r="Q88" s="1">
        <f>IF(COUNTBLANK(N88)=1,0,VLOOKUP(N88,'Date masura SDI'!$A:$M,$L$1,FALSE))</f>
        <v>0</v>
      </c>
      <c r="R88" s="1">
        <f>IF(COUNTBLANK(N88)=1,0,VLOOKUP(N88,'Date masura SDI'!$A:$M,$M$1,FALSE))</f>
        <v>0</v>
      </c>
      <c r="T88" t="str">
        <f t="shared" si="4"/>
        <v/>
      </c>
      <c r="U88">
        <f t="shared" si="5"/>
        <v>42472</v>
      </c>
    </row>
    <row r="89" spans="1:21">
      <c r="A89" s="17">
        <f t="shared" si="6"/>
        <v>86</v>
      </c>
      <c r="B89" s="17" t="s">
        <v>543</v>
      </c>
      <c r="C89" s="12" t="s">
        <v>27</v>
      </c>
      <c r="D89" s="12" t="s">
        <v>258</v>
      </c>
      <c r="E89" s="12" t="s">
        <v>619</v>
      </c>
      <c r="F89" s="12" t="s">
        <v>69</v>
      </c>
      <c r="G89" s="17" t="s">
        <v>264</v>
      </c>
      <c r="H89" s="17" t="s">
        <v>265</v>
      </c>
      <c r="I89" s="7" t="s">
        <v>935</v>
      </c>
      <c r="J89" s="16">
        <v>0</v>
      </c>
      <c r="K89" s="16">
        <v>0</v>
      </c>
      <c r="L89" s="16">
        <v>0</v>
      </c>
      <c r="M89" s="16">
        <v>0</v>
      </c>
      <c r="N89" s="1"/>
      <c r="O89" s="1">
        <f>IF(COUNTBLANK(N89)=1,0,VLOOKUP(N89,'Date masura SDI'!$A:$M,$J$1,FALSE))</f>
        <v>0</v>
      </c>
      <c r="P89" s="1">
        <f>IF(COUNTBLANK(N89)=1,0,VLOOKUP(N89,'Date masura SDI'!$A:$M,$K$1,FALSE))</f>
        <v>0</v>
      </c>
      <c r="Q89" s="1">
        <f>IF(COUNTBLANK(N89)=1,0,VLOOKUP(N89,'Date masura SDI'!$A:$M,$L$1,FALSE))</f>
        <v>0</v>
      </c>
      <c r="R89" s="1">
        <f>IF(COUNTBLANK(N89)=1,0,VLOOKUP(N89,'Date masura SDI'!$A:$M,$M$1,FALSE))</f>
        <v>0</v>
      </c>
      <c r="T89" t="str">
        <f t="shared" si="4"/>
        <v/>
      </c>
      <c r="U89">
        <f t="shared" si="5"/>
        <v>42472</v>
      </c>
    </row>
    <row r="90" spans="1:21">
      <c r="A90" s="17">
        <f t="shared" si="6"/>
        <v>87</v>
      </c>
      <c r="B90" s="17" t="s">
        <v>543</v>
      </c>
      <c r="C90" s="12" t="s">
        <v>27</v>
      </c>
      <c r="D90" s="12" t="s">
        <v>258</v>
      </c>
      <c r="E90" s="12" t="s">
        <v>974</v>
      </c>
      <c r="F90" s="12" t="s">
        <v>69</v>
      </c>
      <c r="G90" s="17" t="s">
        <v>116</v>
      </c>
      <c r="H90" s="17" t="s">
        <v>266</v>
      </c>
      <c r="I90" s="7" t="s">
        <v>69</v>
      </c>
      <c r="J90" s="16">
        <v>0</v>
      </c>
      <c r="K90" s="16">
        <v>0</v>
      </c>
      <c r="L90" s="16">
        <v>0</v>
      </c>
      <c r="M90" s="16">
        <v>0</v>
      </c>
      <c r="N90" s="1"/>
      <c r="O90" s="1">
        <f>IF(COUNTBLANK(N90)=1,0,VLOOKUP(N90,'Date masura SDI'!$A:$M,$J$1,FALSE))</f>
        <v>0</v>
      </c>
      <c r="P90" s="1">
        <f>IF(COUNTBLANK(N90)=1,0,VLOOKUP(N90,'Date masura SDI'!$A:$M,$K$1,FALSE))</f>
        <v>0</v>
      </c>
      <c r="Q90" s="1">
        <f>IF(COUNTBLANK(N90)=1,0,VLOOKUP(N90,'Date masura SDI'!$A:$M,$L$1,FALSE))</f>
        <v>0</v>
      </c>
      <c r="R90" s="1">
        <f>IF(COUNTBLANK(N90)=1,0,VLOOKUP(N90,'Date masura SDI'!$A:$M,$M$1,FALSE))</f>
        <v>0</v>
      </c>
      <c r="T90" t="str">
        <f t="shared" si="4"/>
        <v>RTGU</v>
      </c>
      <c r="U90">
        <f t="shared" si="5"/>
        <v>42472</v>
      </c>
    </row>
    <row r="91" spans="1:21">
      <c r="A91" s="17">
        <f t="shared" si="6"/>
        <v>88</v>
      </c>
      <c r="B91" s="17" t="s">
        <v>544</v>
      </c>
      <c r="C91" s="12" t="s">
        <v>61</v>
      </c>
      <c r="D91" s="12" t="s">
        <v>267</v>
      </c>
      <c r="E91" s="12" t="s">
        <v>620</v>
      </c>
      <c r="F91" s="12" t="s">
        <v>69</v>
      </c>
      <c r="G91" s="17" t="s">
        <v>269</v>
      </c>
      <c r="H91" s="17" t="s">
        <v>270</v>
      </c>
      <c r="I91" s="1">
        <v>1371626280</v>
      </c>
      <c r="J91" s="1">
        <f>IF(COUNTBLANK(I91)=1,0,VLOOKUP(I91,'Date masura SDI'!$A:$M,$J$1,FALSE))</f>
        <v>528706</v>
      </c>
      <c r="K91" s="1">
        <f>IF(COUNTBLANK(I91)=1,0,VLOOKUP(I91,'Date masura SDI'!$A:$M,$K$1,FALSE))</f>
        <v>0</v>
      </c>
      <c r="L91" s="1">
        <f>IF(COUNTBLANK(I91)=1,0,VLOOKUP(I91,'Date masura SDI'!$A:$M,$L$1,FALSE))</f>
        <v>50268</v>
      </c>
      <c r="M91" s="1">
        <f>IF(COUNTBLANK(I91)=1,0,VLOOKUP(I91,'Date masura SDI'!$A:$M,$M$1,FALSE))</f>
        <v>2633</v>
      </c>
      <c r="N91" s="1"/>
      <c r="O91" s="1">
        <f>IF(COUNTBLANK(N91)=1,0,VLOOKUP(N91,'Date masura SDI'!$A:$M,$J$1,FALSE))</f>
        <v>0</v>
      </c>
      <c r="P91" s="1">
        <f>IF(COUNTBLANK(N91)=1,0,VLOOKUP(N91,'Date masura SDI'!$A:$M,$K$1,FALSE))</f>
        <v>0</v>
      </c>
      <c r="Q91" s="1">
        <f>IF(COUNTBLANK(N91)=1,0,VLOOKUP(N91,'Date masura SDI'!$A:$M,$L$1,FALSE))</f>
        <v>0</v>
      </c>
      <c r="R91" s="1">
        <f>IF(COUNTBLANK(N91)=1,0,VLOOKUP(N91,'Date masura SDI'!$A:$M,$M$1,FALSE))</f>
        <v>0</v>
      </c>
      <c r="T91" t="str">
        <f t="shared" si="4"/>
        <v/>
      </c>
      <c r="U91">
        <f t="shared" si="5"/>
        <v>0</v>
      </c>
    </row>
    <row r="92" spans="1:21">
      <c r="A92" s="17">
        <f t="shared" si="6"/>
        <v>89</v>
      </c>
      <c r="B92" s="17" t="s">
        <v>544</v>
      </c>
      <c r="C92" s="12" t="s">
        <v>61</v>
      </c>
      <c r="D92" s="12" t="s">
        <v>267</v>
      </c>
      <c r="E92" s="12" t="s">
        <v>621</v>
      </c>
      <c r="F92" s="12" t="s">
        <v>682</v>
      </c>
      <c r="G92" s="17" t="s">
        <v>271</v>
      </c>
      <c r="H92" s="17" t="s">
        <v>272</v>
      </c>
      <c r="I92" s="1">
        <v>1371624296</v>
      </c>
      <c r="J92" s="1">
        <f>IF(COUNTBLANK(I92)=1,0,VLOOKUP(I92,'Date masura SDI'!$A:$M,$J$1,FALSE))</f>
        <v>322633</v>
      </c>
      <c r="K92" s="1">
        <f>IF(COUNTBLANK(I92)=1,0,VLOOKUP(I92,'Date masura SDI'!$A:$M,$K$1,FALSE))</f>
        <v>0</v>
      </c>
      <c r="L92" s="1">
        <f>IF(COUNTBLANK(I92)=1,0,VLOOKUP(I92,'Date masura SDI'!$A:$M,$L$1,FALSE))</f>
        <v>58669</v>
      </c>
      <c r="M92" s="1">
        <f>IF(COUNTBLANK(I92)=1,0,VLOOKUP(I92,'Date masura SDI'!$A:$M,$M$1,FALSE))</f>
        <v>142</v>
      </c>
      <c r="N92" s="1">
        <v>1371641800</v>
      </c>
      <c r="O92" s="1">
        <f>IF(COUNTBLANK(N92)=1,0,VLOOKUP(N92,'Date masura SDI'!$A:$M,$J$1,FALSE))</f>
        <v>8</v>
      </c>
      <c r="P92" s="1">
        <f>IF(COUNTBLANK(N92)=1,0,VLOOKUP(N92,'Date masura SDI'!$A:$M,$K$1,FALSE))</f>
        <v>69144</v>
      </c>
      <c r="Q92" s="1">
        <f>IF(COUNTBLANK(N92)=1,0,VLOOKUP(N92,'Date masura SDI'!$A:$M,$L$1,FALSE))</f>
        <v>143</v>
      </c>
      <c r="R92" s="1">
        <f>IF(COUNTBLANK(N92)=1,0,VLOOKUP(N92,'Date masura SDI'!$A:$M,$M$1,FALSE))</f>
        <v>440</v>
      </c>
      <c r="T92" t="str">
        <f t="shared" si="4"/>
        <v/>
      </c>
      <c r="U92">
        <f t="shared" si="5"/>
        <v>69144</v>
      </c>
    </row>
    <row r="93" spans="1:21">
      <c r="A93" s="17">
        <f t="shared" si="6"/>
        <v>90</v>
      </c>
      <c r="B93" s="17" t="s">
        <v>544</v>
      </c>
      <c r="C93" s="12" t="s">
        <v>61</v>
      </c>
      <c r="D93" s="12" t="s">
        <v>267</v>
      </c>
      <c r="E93" s="12" t="s">
        <v>975</v>
      </c>
      <c r="F93" s="12" t="s">
        <v>69</v>
      </c>
      <c r="G93" s="17" t="s">
        <v>116</v>
      </c>
      <c r="H93" s="17" t="s">
        <v>274</v>
      </c>
      <c r="I93" s="7" t="s">
        <v>69</v>
      </c>
      <c r="J93" s="16">
        <v>0</v>
      </c>
      <c r="K93" s="16">
        <v>0</v>
      </c>
      <c r="L93" s="16">
        <v>0</v>
      </c>
      <c r="M93" s="16">
        <v>0</v>
      </c>
      <c r="N93" s="1"/>
      <c r="O93" s="1">
        <f>IF(COUNTBLANK(N93)=1,0,VLOOKUP(N93,'Date masura SDI'!$A:$M,$J$1,FALSE))</f>
        <v>0</v>
      </c>
      <c r="P93" s="1">
        <f>IF(COUNTBLANK(N93)=1,0,VLOOKUP(N93,'Date masura SDI'!$A:$M,$K$1,FALSE))</f>
        <v>0</v>
      </c>
      <c r="Q93" s="1">
        <f>IF(COUNTBLANK(N93)=1,0,VLOOKUP(N93,'Date masura SDI'!$A:$M,$L$1,FALSE))</f>
        <v>0</v>
      </c>
      <c r="R93" s="1">
        <f>IF(COUNTBLANK(N93)=1,0,VLOOKUP(N93,'Date masura SDI'!$A:$M,$M$1,FALSE))</f>
        <v>0</v>
      </c>
      <c r="T93" t="str">
        <f t="shared" si="4"/>
        <v/>
      </c>
      <c r="U93">
        <f t="shared" si="5"/>
        <v>69144</v>
      </c>
    </row>
    <row r="94" spans="1:21">
      <c r="A94" s="17">
        <f t="shared" si="6"/>
        <v>91</v>
      </c>
      <c r="B94" s="17" t="s">
        <v>545</v>
      </c>
      <c r="C94" s="12" t="s">
        <v>61</v>
      </c>
      <c r="D94" s="12" t="s">
        <v>276</v>
      </c>
      <c r="E94" s="12" t="s">
        <v>622</v>
      </c>
      <c r="F94" s="12" t="s">
        <v>69</v>
      </c>
      <c r="G94" s="17" t="s">
        <v>273</v>
      </c>
      <c r="H94" s="17" t="s">
        <v>278</v>
      </c>
      <c r="I94" s="7" t="s">
        <v>936</v>
      </c>
      <c r="J94" s="16">
        <v>0</v>
      </c>
      <c r="K94" s="16">
        <v>0</v>
      </c>
      <c r="L94" s="16">
        <v>0</v>
      </c>
      <c r="M94" s="16">
        <v>0</v>
      </c>
      <c r="N94" s="1"/>
      <c r="O94" s="1">
        <f>IF(COUNTBLANK(N94)=1,0,VLOOKUP(N94,'Date masura SDI'!$A:$M,$J$1,FALSE))</f>
        <v>0</v>
      </c>
      <c r="P94" s="1">
        <f>IF(COUNTBLANK(N94)=1,0,VLOOKUP(N94,'Date masura SDI'!$A:$M,$K$1,FALSE))</f>
        <v>0</v>
      </c>
      <c r="Q94" s="1">
        <f>IF(COUNTBLANK(N94)=1,0,VLOOKUP(N94,'Date masura SDI'!$A:$M,$L$1,FALSE))</f>
        <v>0</v>
      </c>
      <c r="R94" s="1">
        <f>IF(COUNTBLANK(N94)=1,0,VLOOKUP(N94,'Date masura SDI'!$A:$M,$M$1,FALSE))</f>
        <v>0</v>
      </c>
      <c r="T94" t="str">
        <f t="shared" si="4"/>
        <v/>
      </c>
      <c r="U94">
        <f t="shared" si="5"/>
        <v>69144</v>
      </c>
    </row>
    <row r="95" spans="1:21">
      <c r="A95" s="17">
        <f t="shared" si="6"/>
        <v>92</v>
      </c>
      <c r="B95" s="17" t="s">
        <v>545</v>
      </c>
      <c r="C95" s="12" t="s">
        <v>61</v>
      </c>
      <c r="D95" s="12" t="s">
        <v>276</v>
      </c>
      <c r="E95" s="12" t="s">
        <v>623</v>
      </c>
      <c r="F95" s="12" t="s">
        <v>69</v>
      </c>
      <c r="G95" s="17" t="s">
        <v>275</v>
      </c>
      <c r="H95" s="17" t="s">
        <v>279</v>
      </c>
      <c r="I95" s="7" t="s">
        <v>937</v>
      </c>
      <c r="J95" s="16">
        <v>0</v>
      </c>
      <c r="K95" s="16">
        <v>0</v>
      </c>
      <c r="L95" s="16">
        <v>0</v>
      </c>
      <c r="M95" s="16">
        <v>0</v>
      </c>
      <c r="N95" s="16"/>
      <c r="O95" s="1">
        <f>IF(COUNTBLANK(N95)=1,0,VLOOKUP(N95,'Date masura SDI'!$A:$M,$J$1,FALSE))</f>
        <v>0</v>
      </c>
      <c r="P95" s="1">
        <f>IF(COUNTBLANK(N95)=1,0,VLOOKUP(N95,'Date masura SDI'!$A:$M,$K$1,FALSE))</f>
        <v>0</v>
      </c>
      <c r="Q95" s="1">
        <f>IF(COUNTBLANK(N95)=1,0,VLOOKUP(N95,'Date masura SDI'!$A:$M,$L$1,FALSE))</f>
        <v>0</v>
      </c>
      <c r="R95" s="1">
        <f>IF(COUNTBLANK(N95)=1,0,VLOOKUP(N95,'Date masura SDI'!$A:$M,$M$1,FALSE))</f>
        <v>0</v>
      </c>
      <c r="T95" t="str">
        <f t="shared" si="4"/>
        <v/>
      </c>
      <c r="U95">
        <f t="shared" si="5"/>
        <v>69144</v>
      </c>
    </row>
    <row r="96" spans="1:21">
      <c r="A96" s="17">
        <f t="shared" si="6"/>
        <v>93</v>
      </c>
      <c r="B96" s="17" t="s">
        <v>545</v>
      </c>
      <c r="C96" s="12" t="s">
        <v>61</v>
      </c>
      <c r="D96" s="12" t="s">
        <v>276</v>
      </c>
      <c r="E96" s="12" t="s">
        <v>976</v>
      </c>
      <c r="F96" s="12" t="s">
        <v>69</v>
      </c>
      <c r="G96" s="17" t="s">
        <v>116</v>
      </c>
      <c r="H96" s="17" t="s">
        <v>280</v>
      </c>
      <c r="I96" s="7" t="s">
        <v>69</v>
      </c>
      <c r="J96" s="16">
        <v>0</v>
      </c>
      <c r="K96" s="16">
        <v>0</v>
      </c>
      <c r="L96" s="16">
        <v>0</v>
      </c>
      <c r="M96" s="16">
        <v>0</v>
      </c>
      <c r="N96" s="1"/>
      <c r="O96" s="1">
        <f>IF(COUNTBLANK(N96)=1,0,VLOOKUP(N96,'Date masura SDI'!$A:$M,$J$1,FALSE))</f>
        <v>0</v>
      </c>
      <c r="P96" s="1">
        <f>IF(COUNTBLANK(N96)=1,0,VLOOKUP(N96,'Date masura SDI'!$A:$M,$K$1,FALSE))</f>
        <v>0</v>
      </c>
      <c r="Q96" s="1">
        <f>IF(COUNTBLANK(N96)=1,0,VLOOKUP(N96,'Date masura SDI'!$A:$M,$L$1,FALSE))</f>
        <v>0</v>
      </c>
      <c r="R96" s="1">
        <f>IF(COUNTBLANK(N96)=1,0,VLOOKUP(N96,'Date masura SDI'!$A:$M,$M$1,FALSE))</f>
        <v>0</v>
      </c>
      <c r="T96" t="str">
        <f t="shared" si="4"/>
        <v>RCSC</v>
      </c>
      <c r="U96">
        <f t="shared" si="5"/>
        <v>69144</v>
      </c>
    </row>
    <row r="97" spans="1:21">
      <c r="A97" s="17">
        <f t="shared" si="6"/>
        <v>94</v>
      </c>
      <c r="B97" s="17" t="s">
        <v>546</v>
      </c>
      <c r="C97" s="12" t="s">
        <v>22</v>
      </c>
      <c r="D97" s="12" t="s">
        <v>281</v>
      </c>
      <c r="E97" s="12" t="s">
        <v>624</v>
      </c>
      <c r="F97" s="12" t="s">
        <v>69</v>
      </c>
      <c r="G97" s="17" t="s">
        <v>282</v>
      </c>
      <c r="H97" s="17" t="s">
        <v>283</v>
      </c>
      <c r="I97" s="1">
        <v>1373264675</v>
      </c>
      <c r="J97" s="1">
        <f>IF(COUNTBLANK(I97)=1,0,VLOOKUP(I97,'Date masura SDI'!$A:$M,$J$1,FALSE))</f>
        <v>82093</v>
      </c>
      <c r="K97" s="1">
        <f>IF(COUNTBLANK(I97)=1,0,VLOOKUP(I97,'Date masura SDI'!$A:$M,$K$1,FALSE))</f>
        <v>0</v>
      </c>
      <c r="L97" s="1">
        <f>IF(COUNTBLANK(I97)=1,0,VLOOKUP(I97,'Date masura SDI'!$A:$M,$L$1,FALSE))</f>
        <v>8</v>
      </c>
      <c r="M97" s="1">
        <f>IF(COUNTBLANK(I97)=1,0,VLOOKUP(I97,'Date masura SDI'!$A:$M,$M$1,FALSE))</f>
        <v>28238</v>
      </c>
      <c r="N97" s="1"/>
      <c r="O97" s="1">
        <f>IF(COUNTBLANK(N97)=1,0,VLOOKUP(N97,'Date masura SDI'!$A:$M,$J$1,FALSE))</f>
        <v>0</v>
      </c>
      <c r="P97" s="1">
        <f>IF(COUNTBLANK(N97)=1,0,VLOOKUP(N97,'Date masura SDI'!$A:$M,$K$1,FALSE))</f>
        <v>0</v>
      </c>
      <c r="Q97" s="1">
        <f>IF(COUNTBLANK(N97)=1,0,VLOOKUP(N97,'Date masura SDI'!$A:$M,$L$1,FALSE))</f>
        <v>0</v>
      </c>
      <c r="R97" s="1">
        <f>IF(COUNTBLANK(N97)=1,0,VLOOKUP(N97,'Date masura SDI'!$A:$M,$M$1,FALSE))</f>
        <v>0</v>
      </c>
      <c r="T97" t="str">
        <f t="shared" si="4"/>
        <v/>
      </c>
      <c r="U97">
        <f t="shared" si="5"/>
        <v>0</v>
      </c>
    </row>
    <row r="98" spans="1:21">
      <c r="A98" s="17">
        <f t="shared" si="6"/>
        <v>95</v>
      </c>
      <c r="B98" s="17" t="s">
        <v>546</v>
      </c>
      <c r="C98" s="12" t="s">
        <v>22</v>
      </c>
      <c r="D98" s="12" t="s">
        <v>281</v>
      </c>
      <c r="E98" s="12" t="s">
        <v>625</v>
      </c>
      <c r="F98" s="12" t="s">
        <v>683</v>
      </c>
      <c r="G98" s="17" t="s">
        <v>284</v>
      </c>
      <c r="H98" s="17" t="s">
        <v>285</v>
      </c>
      <c r="I98" s="1">
        <v>1372644167</v>
      </c>
      <c r="J98" s="1">
        <f>IF(COUNTBLANK(I98)=1,0,VLOOKUP(I98,'Date masura SDI'!$A:$M,$J$1,FALSE))</f>
        <v>12817</v>
      </c>
      <c r="K98" s="1">
        <f>IF(COUNTBLANK(I98)=1,0,VLOOKUP(I98,'Date masura SDI'!$A:$M,$K$1,FALSE))</f>
        <v>11931</v>
      </c>
      <c r="L98" s="1">
        <f>IF(COUNTBLANK(I98)=1,0,VLOOKUP(I98,'Date masura SDI'!$A:$M,$L$1,FALSE))</f>
        <v>1581</v>
      </c>
      <c r="M98" s="1">
        <f>IF(COUNTBLANK(I98)=1,0,VLOOKUP(I98,'Date masura SDI'!$A:$M,$M$1,FALSE))</f>
        <v>1416</v>
      </c>
      <c r="N98" s="1">
        <v>1373265974</v>
      </c>
      <c r="O98" s="1">
        <f>IF(COUNTBLANK(N98)=1,0,VLOOKUP(N98,'Date masura SDI'!$A:$M,$J$1,FALSE))</f>
        <v>7</v>
      </c>
      <c r="P98" s="1">
        <f>IF(COUNTBLANK(N98)=1,0,VLOOKUP(N98,'Date masura SDI'!$A:$M,$K$1,FALSE))</f>
        <v>66352</v>
      </c>
      <c r="Q98" s="1">
        <f>IF(COUNTBLANK(N98)=1,0,VLOOKUP(N98,'Date masura SDI'!$A:$M,$L$1,FALSE))</f>
        <v>25</v>
      </c>
      <c r="R98" s="1">
        <f>IF(COUNTBLANK(N98)=1,0,VLOOKUP(N98,'Date masura SDI'!$A:$M,$M$1,FALSE))</f>
        <v>795</v>
      </c>
      <c r="T98" t="str">
        <f t="shared" si="4"/>
        <v/>
      </c>
      <c r="U98">
        <f t="shared" si="5"/>
        <v>66352</v>
      </c>
    </row>
    <row r="99" spans="1:21">
      <c r="A99" s="17">
        <f t="shared" si="6"/>
        <v>96</v>
      </c>
      <c r="B99" s="17" t="s">
        <v>546</v>
      </c>
      <c r="C99" s="12" t="s">
        <v>22</v>
      </c>
      <c r="D99" s="12" t="s">
        <v>281</v>
      </c>
      <c r="E99" s="12" t="s">
        <v>977</v>
      </c>
      <c r="F99" s="12" t="s">
        <v>69</v>
      </c>
      <c r="G99" s="17" t="s">
        <v>116</v>
      </c>
      <c r="H99" s="17" t="s">
        <v>286</v>
      </c>
      <c r="I99" s="7" t="s">
        <v>69</v>
      </c>
      <c r="J99" s="16">
        <v>0</v>
      </c>
      <c r="K99" s="16">
        <v>0</v>
      </c>
      <c r="L99" s="16">
        <v>0</v>
      </c>
      <c r="M99" s="16">
        <v>0</v>
      </c>
      <c r="N99" s="1"/>
      <c r="O99" s="1">
        <f>IF(COUNTBLANK(N99)=1,0,VLOOKUP(N99,'Date masura SDI'!$A:$M,$J$1,FALSE))</f>
        <v>0</v>
      </c>
      <c r="P99" s="1">
        <f>IF(COUNTBLANK(N99)=1,0,VLOOKUP(N99,'Date masura SDI'!$A:$M,$K$1,FALSE))</f>
        <v>0</v>
      </c>
      <c r="Q99" s="1">
        <f>IF(COUNTBLANK(N99)=1,0,VLOOKUP(N99,'Date masura SDI'!$A:$M,$L$1,FALSE))</f>
        <v>0</v>
      </c>
      <c r="R99" s="1">
        <f>IF(COUNTBLANK(N99)=1,0,VLOOKUP(N99,'Date masura SDI'!$A:$M,$M$1,FALSE))</f>
        <v>0</v>
      </c>
      <c r="T99" t="str">
        <f t="shared" si="4"/>
        <v/>
      </c>
      <c r="U99">
        <f t="shared" si="5"/>
        <v>66352</v>
      </c>
    </row>
    <row r="100" spans="1:21">
      <c r="A100" s="17">
        <f t="shared" si="6"/>
        <v>97</v>
      </c>
      <c r="B100" s="17" t="s">
        <v>505</v>
      </c>
      <c r="C100" s="12" t="s">
        <v>22</v>
      </c>
      <c r="D100" s="12" t="s">
        <v>281</v>
      </c>
      <c r="E100" s="12" t="s">
        <v>626</v>
      </c>
      <c r="F100" s="12" t="s">
        <v>69</v>
      </c>
      <c r="G100" s="17" t="s">
        <v>287</v>
      </c>
      <c r="H100" s="17" t="s">
        <v>288</v>
      </c>
      <c r="I100" s="1">
        <v>1372644212</v>
      </c>
      <c r="J100" s="1">
        <f>IF(COUNTBLANK(I100)=1,0,VLOOKUP(I100,'Date masura SDI'!$A:$M,$J$1,FALSE))</f>
        <v>105045</v>
      </c>
      <c r="K100" s="1">
        <f>IF(COUNTBLANK(I100)=1,0,VLOOKUP(I100,'Date masura SDI'!$A:$M,$K$1,FALSE))</f>
        <v>0</v>
      </c>
      <c r="L100" s="1">
        <f>IF(COUNTBLANK(I100)=1,0,VLOOKUP(I100,'Date masura SDI'!$A:$M,$L$1,FALSE))</f>
        <v>0</v>
      </c>
      <c r="M100" s="1">
        <f>IF(COUNTBLANK(I100)=1,0,VLOOKUP(I100,'Date masura SDI'!$A:$M,$M$1,FALSE))</f>
        <v>41313</v>
      </c>
      <c r="N100" s="1"/>
      <c r="O100" s="1">
        <f>IF(COUNTBLANK(N100)=1,0,VLOOKUP(N100,'Date masura SDI'!$A:$M,$J$1,FALSE))</f>
        <v>0</v>
      </c>
      <c r="P100" s="1">
        <f>IF(COUNTBLANK(N100)=1,0,VLOOKUP(N100,'Date masura SDI'!$A:$M,$K$1,FALSE))</f>
        <v>0</v>
      </c>
      <c r="Q100" s="1">
        <f>IF(COUNTBLANK(N100)=1,0,VLOOKUP(N100,'Date masura SDI'!$A:$M,$L$1,FALSE))</f>
        <v>0</v>
      </c>
      <c r="R100" s="1">
        <f>IF(COUNTBLANK(N100)=1,0,VLOOKUP(N100,'Date masura SDI'!$A:$M,$M$1,FALSE))</f>
        <v>0</v>
      </c>
      <c r="T100" t="str">
        <f t="shared" si="4"/>
        <v/>
      </c>
      <c r="U100">
        <f t="shared" si="5"/>
        <v>66352</v>
      </c>
    </row>
    <row r="101" spans="1:21">
      <c r="A101" s="17">
        <f t="shared" si="6"/>
        <v>98</v>
      </c>
      <c r="B101" s="17" t="s">
        <v>505</v>
      </c>
      <c r="C101" s="12" t="s">
        <v>22</v>
      </c>
      <c r="D101" s="12" t="s">
        <v>281</v>
      </c>
      <c r="E101" s="12" t="s">
        <v>627</v>
      </c>
      <c r="F101" s="12" t="s">
        <v>684</v>
      </c>
      <c r="G101" s="17" t="s">
        <v>289</v>
      </c>
      <c r="H101" s="17" t="s">
        <v>290</v>
      </c>
      <c r="I101" s="1">
        <v>1373265946</v>
      </c>
      <c r="J101" s="1">
        <f>IF(COUNTBLANK(I101)=1,0,VLOOKUP(I101,'Date masura SDI'!$A:$M,$J$1,FALSE))</f>
        <v>137900</v>
      </c>
      <c r="K101" s="1">
        <f>IF(COUNTBLANK(I101)=1,0,VLOOKUP(I101,'Date masura SDI'!$A:$M,$K$1,FALSE))</f>
        <v>1354</v>
      </c>
      <c r="L101" s="1">
        <f>IF(COUNTBLANK(I101)=1,0,VLOOKUP(I101,'Date masura SDI'!$A:$M,$L$1,FALSE))</f>
        <v>16128</v>
      </c>
      <c r="M101" s="1">
        <f>IF(COUNTBLANK(I101)=1,0,VLOOKUP(I101,'Date masura SDI'!$A:$M,$M$1,FALSE))</f>
        <v>263</v>
      </c>
      <c r="N101" s="1">
        <v>1373265936</v>
      </c>
      <c r="O101" s="1">
        <f>IF(COUNTBLANK(N101)=1,0,VLOOKUP(N101,'Date masura SDI'!$A:$M,$J$1,FALSE))</f>
        <v>8</v>
      </c>
      <c r="P101" s="1">
        <f>IF(COUNTBLANK(N101)=1,0,VLOOKUP(N101,'Date masura SDI'!$A:$M,$K$1,FALSE))</f>
        <v>75749</v>
      </c>
      <c r="Q101" s="1">
        <f>IF(COUNTBLANK(N101)=1,0,VLOOKUP(N101,'Date masura SDI'!$A:$M,$L$1,FALSE))</f>
        <v>7</v>
      </c>
      <c r="R101" s="1">
        <f>IF(COUNTBLANK(N101)=1,0,VLOOKUP(N101,'Date masura SDI'!$A:$M,$M$1,FALSE))</f>
        <v>944</v>
      </c>
      <c r="T101" t="str">
        <f t="shared" si="4"/>
        <v/>
      </c>
      <c r="U101">
        <f t="shared" si="5"/>
        <v>142101</v>
      </c>
    </row>
    <row r="102" spans="1:21">
      <c r="A102" s="17">
        <f t="shared" si="6"/>
        <v>99</v>
      </c>
      <c r="B102" s="17" t="s">
        <v>505</v>
      </c>
      <c r="C102" s="12" t="s">
        <v>22</v>
      </c>
      <c r="D102" s="12" t="s">
        <v>281</v>
      </c>
      <c r="E102" s="12" t="s">
        <v>978</v>
      </c>
      <c r="F102" s="12" t="s">
        <v>69</v>
      </c>
      <c r="G102" s="17" t="s">
        <v>116</v>
      </c>
      <c r="H102" s="17" t="s">
        <v>291</v>
      </c>
      <c r="I102" s="7" t="s">
        <v>69</v>
      </c>
      <c r="J102" s="16">
        <v>0</v>
      </c>
      <c r="K102" s="16">
        <v>0</v>
      </c>
      <c r="L102" s="16">
        <v>0</v>
      </c>
      <c r="M102" s="16">
        <v>0</v>
      </c>
      <c r="N102" s="1"/>
      <c r="O102" s="1">
        <f>IF(COUNTBLANK(N102)=1,0,VLOOKUP(N102,'Date masura SDI'!$A:$M,$J$1,FALSE))</f>
        <v>0</v>
      </c>
      <c r="P102" s="1">
        <f>IF(COUNTBLANK(N102)=1,0,VLOOKUP(N102,'Date masura SDI'!$A:$M,$K$1,FALSE))</f>
        <v>0</v>
      </c>
      <c r="Q102" s="1">
        <f>IF(COUNTBLANK(N102)=1,0,VLOOKUP(N102,'Date masura SDI'!$A:$M,$L$1,FALSE))</f>
        <v>0</v>
      </c>
      <c r="R102" s="1">
        <f>IF(COUNTBLANK(N102)=1,0,VLOOKUP(N102,'Date masura SDI'!$A:$M,$M$1,FALSE))</f>
        <v>0</v>
      </c>
      <c r="T102" t="str">
        <f t="shared" si="4"/>
        <v>RAMB</v>
      </c>
      <c r="U102">
        <f t="shared" si="5"/>
        <v>142101</v>
      </c>
    </row>
    <row r="103" spans="1:21">
      <c r="A103" s="17">
        <f t="shared" si="6"/>
        <v>100</v>
      </c>
      <c r="B103" s="17" t="s">
        <v>547</v>
      </c>
      <c r="C103" s="12" t="s">
        <v>62</v>
      </c>
      <c r="D103" s="12" t="s">
        <v>292</v>
      </c>
      <c r="E103" s="12" t="s">
        <v>628</v>
      </c>
      <c r="F103" s="12" t="s">
        <v>685</v>
      </c>
      <c r="G103" s="17" t="s">
        <v>293</v>
      </c>
      <c r="H103" s="17" t="s">
        <v>294</v>
      </c>
      <c r="I103" s="1">
        <v>1372640713</v>
      </c>
      <c r="J103" s="1">
        <f>IF(COUNTBLANK(I103)=1,0,VLOOKUP(I103,'Date masura SDI'!$A:$M,$J$1,FALSE))</f>
        <v>476055</v>
      </c>
      <c r="K103" s="1">
        <f>IF(COUNTBLANK(I103)=1,0,VLOOKUP(I103,'Date masura SDI'!$A:$M,$K$1,FALSE))</f>
        <v>0</v>
      </c>
      <c r="L103" s="1">
        <f>IF(COUNTBLANK(I103)=1,0,VLOOKUP(I103,'Date masura SDI'!$A:$M,$L$1,FALSE))</f>
        <v>63770</v>
      </c>
      <c r="M103" s="1">
        <f>IF(COUNTBLANK(I103)=1,0,VLOOKUP(I103,'Date masura SDI'!$A:$M,$M$1,FALSE))</f>
        <v>6793</v>
      </c>
      <c r="N103" s="1">
        <v>1371624064</v>
      </c>
      <c r="O103" s="1">
        <f>IF(COUNTBLANK(N103)=1,0,VLOOKUP(N103,'Date masura SDI'!$A:$M,$J$1,FALSE))</f>
        <v>26</v>
      </c>
      <c r="P103" s="1">
        <f>IF(COUNTBLANK(N103)=1,0,VLOOKUP(N103,'Date masura SDI'!$A:$M,$K$1,FALSE))</f>
        <v>37745</v>
      </c>
      <c r="Q103" s="1">
        <f>IF(COUNTBLANK(N103)=1,0,VLOOKUP(N103,'Date masura SDI'!$A:$M,$L$1,FALSE))</f>
        <v>233</v>
      </c>
      <c r="R103" s="1">
        <f>IF(COUNTBLANK(N103)=1,0,VLOOKUP(N103,'Date masura SDI'!$A:$M,$M$1,FALSE))</f>
        <v>643</v>
      </c>
      <c r="T103" t="str">
        <f t="shared" si="4"/>
        <v/>
      </c>
      <c r="U103">
        <f t="shared" si="5"/>
        <v>37745</v>
      </c>
    </row>
    <row r="104" spans="1:21">
      <c r="A104" s="17">
        <f t="shared" si="6"/>
        <v>101</v>
      </c>
      <c r="B104" s="17" t="s">
        <v>547</v>
      </c>
      <c r="C104" s="12" t="s">
        <v>62</v>
      </c>
      <c r="D104" s="12" t="s">
        <v>292</v>
      </c>
      <c r="E104" s="12" t="s">
        <v>629</v>
      </c>
      <c r="F104" s="12" t="s">
        <v>686</v>
      </c>
      <c r="G104" s="17" t="s">
        <v>295</v>
      </c>
      <c r="H104" s="17" t="s">
        <v>296</v>
      </c>
      <c r="I104" s="1">
        <v>1371642996</v>
      </c>
      <c r="J104" s="1">
        <f>IF(COUNTBLANK(I104)=1,0,VLOOKUP(I104,'Date masura SDI'!$A:$M,$J$1,FALSE))</f>
        <v>341901</v>
      </c>
      <c r="K104" s="1">
        <f>IF(COUNTBLANK(I104)=1,0,VLOOKUP(I104,'Date masura SDI'!$A:$M,$K$1,FALSE))</f>
        <v>0</v>
      </c>
      <c r="L104" s="1">
        <f>IF(COUNTBLANK(I104)=1,0,VLOOKUP(I104,'Date masura SDI'!$A:$M,$L$1,FALSE))</f>
        <v>35569</v>
      </c>
      <c r="M104" s="1">
        <f>IF(COUNTBLANK(I104)=1,0,VLOOKUP(I104,'Date masura SDI'!$A:$M,$M$1,FALSE))</f>
        <v>1599</v>
      </c>
      <c r="N104" s="1">
        <v>1371871642</v>
      </c>
      <c r="O104" s="1">
        <f>IF(COUNTBLANK(N104)=1,0,VLOOKUP(N104,'Date masura SDI'!$A:$M,$J$1,FALSE))</f>
        <v>36</v>
      </c>
      <c r="P104" s="1">
        <f>IF(COUNTBLANK(N104)=1,0,VLOOKUP(N104,'Date masura SDI'!$A:$M,$K$1,FALSE))</f>
        <v>113990</v>
      </c>
      <c r="Q104" s="1">
        <f>IF(COUNTBLANK(N104)=1,0,VLOOKUP(N104,'Date masura SDI'!$A:$M,$L$1,FALSE))</f>
        <v>363</v>
      </c>
      <c r="R104" s="1">
        <f>IF(COUNTBLANK(N104)=1,0,VLOOKUP(N104,'Date masura SDI'!$A:$M,$M$1,FALSE))</f>
        <v>1103</v>
      </c>
      <c r="T104" t="str">
        <f t="shared" si="4"/>
        <v/>
      </c>
      <c r="U104">
        <f t="shared" si="5"/>
        <v>151735</v>
      </c>
    </row>
    <row r="105" spans="1:21">
      <c r="A105" s="17">
        <f t="shared" si="6"/>
        <v>102</v>
      </c>
      <c r="B105" s="17" t="s">
        <v>547</v>
      </c>
      <c r="C105" s="12" t="s">
        <v>62</v>
      </c>
      <c r="D105" s="12" t="s">
        <v>292</v>
      </c>
      <c r="E105" s="12" t="s">
        <v>630</v>
      </c>
      <c r="F105" s="12" t="s">
        <v>687</v>
      </c>
      <c r="G105" s="17" t="s">
        <v>297</v>
      </c>
      <c r="H105" s="17" t="s">
        <v>298</v>
      </c>
      <c r="I105" s="1">
        <v>1371870596</v>
      </c>
      <c r="J105" s="1">
        <f>IF(COUNTBLANK(I105)=1,0,VLOOKUP(I105,'Date masura SDI'!$A:$M,$J$1,FALSE))</f>
        <v>78224</v>
      </c>
      <c r="K105" s="1">
        <f>IF(COUNTBLANK(I105)=1,0,VLOOKUP(I105,'Date masura SDI'!$A:$M,$K$1,FALSE))</f>
        <v>126303</v>
      </c>
      <c r="L105" s="1">
        <f>IF(COUNTBLANK(I105)=1,0,VLOOKUP(I105,'Date masura SDI'!$A:$M,$L$1,FALSE))</f>
        <v>4764</v>
      </c>
      <c r="M105" s="1">
        <f>IF(COUNTBLANK(I105)=1,0,VLOOKUP(I105,'Date masura SDI'!$A:$M,$M$1,FALSE))</f>
        <v>13400</v>
      </c>
      <c r="N105" s="1">
        <v>1371624804</v>
      </c>
      <c r="O105" s="1">
        <f>IF(COUNTBLANK(N105)=1,0,VLOOKUP(N105,'Date masura SDI'!$A:$M,$J$1,FALSE))</f>
        <v>54</v>
      </c>
      <c r="P105" s="1">
        <f>IF(COUNTBLANK(N105)=1,0,VLOOKUP(N105,'Date masura SDI'!$A:$M,$K$1,FALSE))</f>
        <v>279650</v>
      </c>
      <c r="Q105" s="1">
        <f>IF(COUNTBLANK(N105)=1,0,VLOOKUP(N105,'Date masura SDI'!$A:$M,$L$1,FALSE))</f>
        <v>863</v>
      </c>
      <c r="R105" s="1">
        <f>IF(COUNTBLANK(N105)=1,0,VLOOKUP(N105,'Date masura SDI'!$A:$M,$M$1,FALSE))</f>
        <v>1822</v>
      </c>
      <c r="T105" t="str">
        <f t="shared" si="4"/>
        <v/>
      </c>
      <c r="U105">
        <f t="shared" si="5"/>
        <v>431385</v>
      </c>
    </row>
    <row r="106" spans="1:21">
      <c r="A106" s="17">
        <f t="shared" si="6"/>
        <v>103</v>
      </c>
      <c r="B106" s="17" t="s">
        <v>547</v>
      </c>
      <c r="C106" s="12" t="s">
        <v>62</v>
      </c>
      <c r="D106" s="12" t="s">
        <v>292</v>
      </c>
      <c r="E106" s="12" t="s">
        <v>979</v>
      </c>
      <c r="F106" s="12" t="s">
        <v>69</v>
      </c>
      <c r="G106" s="17" t="s">
        <v>116</v>
      </c>
      <c r="H106" s="17" t="s">
        <v>299</v>
      </c>
      <c r="I106" s="7" t="s">
        <v>69</v>
      </c>
      <c r="J106" s="16">
        <v>0</v>
      </c>
      <c r="K106" s="16">
        <v>0</v>
      </c>
      <c r="L106" s="16">
        <v>0</v>
      </c>
      <c r="M106" s="16">
        <v>0</v>
      </c>
      <c r="N106" s="1"/>
      <c r="O106" s="1">
        <f>IF(COUNTBLANK(N106)=1,0,VLOOKUP(N106,'Date masura SDI'!$A:$M,$J$1,FALSE))</f>
        <v>0</v>
      </c>
      <c r="P106" s="1">
        <f>IF(COUNTBLANK(N106)=1,0,VLOOKUP(N106,'Date masura SDI'!$A:$M,$K$1,FALSE))</f>
        <v>0</v>
      </c>
      <c r="Q106" s="1">
        <f>IF(COUNTBLANK(N106)=1,0,VLOOKUP(N106,'Date masura SDI'!$A:$M,$L$1,FALSE))</f>
        <v>0</v>
      </c>
      <c r="R106" s="1">
        <f>IF(COUNTBLANK(N106)=1,0,VLOOKUP(N106,'Date masura SDI'!$A:$M,$M$1,FALSE))</f>
        <v>0</v>
      </c>
      <c r="T106" t="str">
        <f t="shared" si="4"/>
        <v/>
      </c>
      <c r="U106">
        <f t="shared" si="5"/>
        <v>431385</v>
      </c>
    </row>
    <row r="107" spans="1:21">
      <c r="A107" s="17">
        <f t="shared" si="6"/>
        <v>104</v>
      </c>
      <c r="B107" s="17" t="s">
        <v>548</v>
      </c>
      <c r="C107" s="12" t="s">
        <v>62</v>
      </c>
      <c r="D107" s="12" t="s">
        <v>300</v>
      </c>
      <c r="E107" s="12" t="s">
        <v>631</v>
      </c>
      <c r="F107" s="12" t="s">
        <v>1178</v>
      </c>
      <c r="G107" s="17" t="s">
        <v>301</v>
      </c>
      <c r="H107" s="17" t="s">
        <v>302</v>
      </c>
      <c r="I107" s="7">
        <v>1373708422</v>
      </c>
      <c r="J107" s="1">
        <f>IF(COUNTBLANK(I107)=1,0,VLOOKUP(I107,'Date masura SDI'!$A:$M,$J$1,FALSE))</f>
        <v>69314</v>
      </c>
      <c r="K107" s="1">
        <f>IF(COUNTBLANK(I107)=1,0,VLOOKUP(I107,'Date masura SDI'!$A:$M,$K$1,FALSE))</f>
        <v>40</v>
      </c>
      <c r="L107" s="1">
        <f>IF(COUNTBLANK(I107)=1,0,VLOOKUP(I107,'Date masura SDI'!$A:$M,$L$1,FALSE))</f>
        <v>1</v>
      </c>
      <c r="M107" s="1">
        <f>IF(COUNTBLANK(I107)=1,0,VLOOKUP(I107,'Date masura SDI'!$A:$M,$M$1,FALSE))</f>
        <v>21161</v>
      </c>
      <c r="N107" s="1">
        <v>1373706532</v>
      </c>
      <c r="O107" s="1">
        <f>IF(COUNTBLANK(N107)=1,0,VLOOKUP(N107,'Date masura SDI'!$A:$M,$J$1,FALSE))</f>
        <v>10</v>
      </c>
      <c r="P107" s="1">
        <f>IF(COUNTBLANK(N107)=1,0,VLOOKUP(N107,'Date masura SDI'!$A:$M,$K$1,FALSE))</f>
        <v>44270</v>
      </c>
      <c r="Q107" s="1">
        <f>IF(COUNTBLANK(N107)=1,0,VLOOKUP(N107,'Date masura SDI'!$A:$M,$L$1,FALSE))</f>
        <v>27</v>
      </c>
      <c r="R107" s="1">
        <f>IF(COUNTBLANK(N107)=1,0,VLOOKUP(N107,'Date masura SDI'!$A:$M,$M$1,FALSE))</f>
        <v>538</v>
      </c>
      <c r="T107" t="str">
        <f t="shared" si="4"/>
        <v/>
      </c>
      <c r="U107">
        <f t="shared" si="5"/>
        <v>475655</v>
      </c>
    </row>
    <row r="108" spans="1:21">
      <c r="A108" s="17">
        <f t="shared" si="6"/>
        <v>105</v>
      </c>
      <c r="B108" s="17" t="s">
        <v>548</v>
      </c>
      <c r="C108" s="12" t="s">
        <v>62</v>
      </c>
      <c r="D108" s="12" t="s">
        <v>300</v>
      </c>
      <c r="E108" s="12" t="s">
        <v>980</v>
      </c>
      <c r="F108" s="12" t="s">
        <v>69</v>
      </c>
      <c r="G108" s="17" t="s">
        <v>116</v>
      </c>
      <c r="H108" s="17" t="s">
        <v>303</v>
      </c>
      <c r="I108" s="7" t="s">
        <v>69</v>
      </c>
      <c r="J108" s="16">
        <v>0</v>
      </c>
      <c r="K108" s="16">
        <v>0</v>
      </c>
      <c r="L108" s="16">
        <v>0</v>
      </c>
      <c r="M108" s="16">
        <v>0</v>
      </c>
      <c r="N108" s="1"/>
      <c r="O108" s="1">
        <f>IF(COUNTBLANK(N108)=1,0,VLOOKUP(N108,'Date masura SDI'!$A:$M,$J$1,FALSE))</f>
        <v>0</v>
      </c>
      <c r="P108" s="1">
        <f>IF(COUNTBLANK(N108)=1,0,VLOOKUP(N108,'Date masura SDI'!$A:$M,$K$1,FALSE))</f>
        <v>0</v>
      </c>
      <c r="Q108" s="1">
        <f>IF(COUNTBLANK(N108)=1,0,VLOOKUP(N108,'Date masura SDI'!$A:$M,$L$1,FALSE))</f>
        <v>0</v>
      </c>
      <c r="R108" s="1">
        <f>IF(COUNTBLANK(N108)=1,0,VLOOKUP(N108,'Date masura SDI'!$A:$M,$M$1,FALSE))</f>
        <v>0</v>
      </c>
      <c r="T108" t="str">
        <f t="shared" si="4"/>
        <v>RGBM</v>
      </c>
      <c r="U108">
        <f t="shared" si="5"/>
        <v>475655</v>
      </c>
    </row>
    <row r="109" spans="1:21">
      <c r="A109" s="17">
        <f t="shared" si="6"/>
        <v>106</v>
      </c>
      <c r="B109" s="17" t="s">
        <v>549</v>
      </c>
      <c r="C109" s="12" t="s">
        <v>63</v>
      </c>
      <c r="D109" s="12" t="s">
        <v>304</v>
      </c>
      <c r="E109" s="12" t="s">
        <v>632</v>
      </c>
      <c r="F109" s="12" t="s">
        <v>69</v>
      </c>
      <c r="G109" s="17" t="s">
        <v>306</v>
      </c>
      <c r="H109" s="17" t="s">
        <v>307</v>
      </c>
      <c r="I109" s="1">
        <v>1369546421</v>
      </c>
      <c r="J109" s="1">
        <f>IF(COUNTBLANK(I109)=1,0,VLOOKUP(I109,'Date masura SDI'!$A:$M,$J$1,FALSE))</f>
        <v>109113</v>
      </c>
      <c r="K109" s="1">
        <f>IF(COUNTBLANK(I109)=1,0,VLOOKUP(I109,'Date masura SDI'!$A:$M,$K$1,FALSE))</f>
        <v>17</v>
      </c>
      <c r="L109" s="1">
        <f>IF(COUNTBLANK(I109)=1,0,VLOOKUP(I109,'Date masura SDI'!$A:$M,$L$1,FALSE))</f>
        <v>30700</v>
      </c>
      <c r="M109" s="1">
        <f>IF(COUNTBLANK(I109)=1,0,VLOOKUP(I109,'Date masura SDI'!$A:$M,$M$1,FALSE))</f>
        <v>35</v>
      </c>
      <c r="N109" s="1"/>
      <c r="O109" s="1">
        <f>IF(COUNTBLANK(N109)=1,0,VLOOKUP(N109,'Date masura SDI'!$A:$M,$J$1,FALSE))</f>
        <v>0</v>
      </c>
      <c r="P109" s="1">
        <f>IF(COUNTBLANK(N109)=1,0,VLOOKUP(N109,'Date masura SDI'!$A:$M,$K$1,FALSE))</f>
        <v>0</v>
      </c>
      <c r="Q109" s="1">
        <f>IF(COUNTBLANK(N109)=1,0,VLOOKUP(N109,'Date masura SDI'!$A:$M,$L$1,FALSE))</f>
        <v>0</v>
      </c>
      <c r="R109" s="1">
        <f>IF(COUNTBLANK(N109)=1,0,VLOOKUP(N109,'Date masura SDI'!$A:$M,$M$1,FALSE))</f>
        <v>0</v>
      </c>
      <c r="T109" t="str">
        <f t="shared" si="4"/>
        <v/>
      </c>
      <c r="U109">
        <f t="shared" si="5"/>
        <v>0</v>
      </c>
    </row>
    <row r="110" spans="1:21">
      <c r="A110" s="17">
        <f t="shared" si="6"/>
        <v>107</v>
      </c>
      <c r="B110" s="17" t="s">
        <v>549</v>
      </c>
      <c r="C110" s="12" t="s">
        <v>63</v>
      </c>
      <c r="D110" s="12" t="s">
        <v>304</v>
      </c>
      <c r="E110" s="12" t="s">
        <v>633</v>
      </c>
      <c r="F110" s="12" t="s">
        <v>688</v>
      </c>
      <c r="G110" s="17" t="s">
        <v>308</v>
      </c>
      <c r="H110" s="17" t="s">
        <v>309</v>
      </c>
      <c r="I110" s="1">
        <v>1369358959</v>
      </c>
      <c r="J110" s="1">
        <f>IF(COUNTBLANK(I110)=1,0,VLOOKUP(I110,'Date masura SDI'!$A:$M,$J$1,FALSE))</f>
        <v>95544</v>
      </c>
      <c r="K110" s="1">
        <f>IF(COUNTBLANK(I110)=1,0,VLOOKUP(I110,'Date masura SDI'!$A:$M,$K$1,FALSE))</f>
        <v>0</v>
      </c>
      <c r="L110" s="1">
        <f>IF(COUNTBLANK(I110)=1,0,VLOOKUP(I110,'Date masura SDI'!$A:$M,$L$1,FALSE))</f>
        <v>8824</v>
      </c>
      <c r="M110" s="1">
        <f>IF(COUNTBLANK(I110)=1,0,VLOOKUP(I110,'Date masura SDI'!$A:$M,$M$1,FALSE))</f>
        <v>44</v>
      </c>
      <c r="N110" s="1">
        <v>1371019838</v>
      </c>
      <c r="O110" s="1">
        <f>IF(COUNTBLANK(N110)=1,0,VLOOKUP(N110,'Date masura SDI'!$A:$M,$J$1,FALSE))</f>
        <v>60</v>
      </c>
      <c r="P110" s="1">
        <f>IF(COUNTBLANK(N110)=1,0,VLOOKUP(N110,'Date masura SDI'!$A:$M,$K$1,FALSE))</f>
        <v>13904</v>
      </c>
      <c r="Q110" s="1">
        <f>IF(COUNTBLANK(N110)=1,0,VLOOKUP(N110,'Date masura SDI'!$A:$M,$L$1,FALSE))</f>
        <v>3588</v>
      </c>
      <c r="R110" s="1">
        <f>IF(COUNTBLANK(N110)=1,0,VLOOKUP(N110,'Date masura SDI'!$A:$M,$M$1,FALSE))</f>
        <v>1860</v>
      </c>
      <c r="T110" t="str">
        <f t="shared" si="4"/>
        <v/>
      </c>
      <c r="U110">
        <f t="shared" si="5"/>
        <v>13904</v>
      </c>
    </row>
    <row r="111" spans="1:21">
      <c r="A111" s="17">
        <f t="shared" si="6"/>
        <v>108</v>
      </c>
      <c r="B111" s="17" t="s">
        <v>549</v>
      </c>
      <c r="C111" s="12" t="s">
        <v>63</v>
      </c>
      <c r="D111" s="12" t="s">
        <v>304</v>
      </c>
      <c r="E111" s="12" t="s">
        <v>634</v>
      </c>
      <c r="F111" s="12" t="s">
        <v>69</v>
      </c>
      <c r="G111" s="17" t="s">
        <v>310</v>
      </c>
      <c r="H111" s="17" t="s">
        <v>311</v>
      </c>
      <c r="I111" s="7" t="s">
        <v>938</v>
      </c>
      <c r="J111" s="16">
        <v>0</v>
      </c>
      <c r="K111" s="16">
        <v>0</v>
      </c>
      <c r="L111" s="16">
        <v>0</v>
      </c>
      <c r="M111" s="16">
        <v>0</v>
      </c>
      <c r="N111" s="1"/>
      <c r="O111" s="1">
        <f>IF(COUNTBLANK(N111)=1,0,VLOOKUP(N111,'Date masura SDI'!$A:$M,$J$1,FALSE))</f>
        <v>0</v>
      </c>
      <c r="P111" s="1">
        <f>IF(COUNTBLANK(N111)=1,0,VLOOKUP(N111,'Date masura SDI'!$A:$M,$K$1,FALSE))</f>
        <v>0</v>
      </c>
      <c r="Q111" s="1">
        <f>IF(COUNTBLANK(N111)=1,0,VLOOKUP(N111,'Date masura SDI'!$A:$M,$L$1,FALSE))</f>
        <v>0</v>
      </c>
      <c r="R111" s="1">
        <f>IF(COUNTBLANK(N111)=1,0,VLOOKUP(N111,'Date masura SDI'!$A:$M,$M$1,FALSE))</f>
        <v>0</v>
      </c>
      <c r="T111" t="str">
        <f t="shared" si="4"/>
        <v/>
      </c>
      <c r="U111">
        <f t="shared" si="5"/>
        <v>13904</v>
      </c>
    </row>
    <row r="112" spans="1:21">
      <c r="A112" s="17">
        <f t="shared" si="6"/>
        <v>109</v>
      </c>
      <c r="B112" s="17" t="s">
        <v>549</v>
      </c>
      <c r="C112" s="12" t="s">
        <v>63</v>
      </c>
      <c r="D112" s="12" t="s">
        <v>304</v>
      </c>
      <c r="E112" s="12" t="s">
        <v>635</v>
      </c>
      <c r="F112" s="12" t="s">
        <v>69</v>
      </c>
      <c r="G112" s="17" t="s">
        <v>312</v>
      </c>
      <c r="H112" s="17" t="s">
        <v>313</v>
      </c>
      <c r="I112" s="7" t="s">
        <v>939</v>
      </c>
      <c r="J112" s="16">
        <v>0</v>
      </c>
      <c r="K112" s="16">
        <v>0</v>
      </c>
      <c r="L112" s="16">
        <v>0</v>
      </c>
      <c r="M112" s="16">
        <v>0</v>
      </c>
      <c r="N112" s="1"/>
      <c r="O112" s="1">
        <f>IF(COUNTBLANK(N112)=1,0,VLOOKUP(N112,'Date masura SDI'!$A:$M,$J$1,FALSE))</f>
        <v>0</v>
      </c>
      <c r="P112" s="1">
        <f>IF(COUNTBLANK(N112)=1,0,VLOOKUP(N112,'Date masura SDI'!$A:$M,$K$1,FALSE))</f>
        <v>0</v>
      </c>
      <c r="Q112" s="1">
        <f>IF(COUNTBLANK(N112)=1,0,VLOOKUP(N112,'Date masura SDI'!$A:$M,$L$1,FALSE))</f>
        <v>0</v>
      </c>
      <c r="R112" s="1">
        <f>IF(COUNTBLANK(N112)=1,0,VLOOKUP(N112,'Date masura SDI'!$A:$M,$M$1,FALSE))</f>
        <v>0</v>
      </c>
      <c r="T112" t="str">
        <f t="shared" si="4"/>
        <v/>
      </c>
      <c r="U112">
        <f t="shared" si="5"/>
        <v>13904</v>
      </c>
    </row>
    <row r="113" spans="1:21">
      <c r="A113" s="17">
        <f t="shared" si="6"/>
        <v>110</v>
      </c>
      <c r="B113" s="17" t="s">
        <v>549</v>
      </c>
      <c r="C113" s="12" t="s">
        <v>63</v>
      </c>
      <c r="D113" s="12" t="s">
        <v>304</v>
      </c>
      <c r="E113" s="12" t="s">
        <v>636</v>
      </c>
      <c r="F113" s="12" t="s">
        <v>69</v>
      </c>
      <c r="G113" s="17" t="s">
        <v>314</v>
      </c>
      <c r="H113" s="17" t="s">
        <v>315</v>
      </c>
      <c r="I113" s="7" t="s">
        <v>940</v>
      </c>
      <c r="J113" s="16">
        <v>0</v>
      </c>
      <c r="K113" s="16">
        <v>0</v>
      </c>
      <c r="L113" s="16">
        <v>0</v>
      </c>
      <c r="M113" s="16">
        <v>0</v>
      </c>
      <c r="N113" s="1"/>
      <c r="O113" s="1">
        <f>IF(COUNTBLANK(N113)=1,0,VLOOKUP(N113,'Date masura SDI'!$A:$M,$J$1,FALSE))</f>
        <v>0</v>
      </c>
      <c r="P113" s="1">
        <f>IF(COUNTBLANK(N113)=1,0,VLOOKUP(N113,'Date masura SDI'!$A:$M,$K$1,FALSE))</f>
        <v>0</v>
      </c>
      <c r="Q113" s="1">
        <f>IF(COUNTBLANK(N113)=1,0,VLOOKUP(N113,'Date masura SDI'!$A:$M,$L$1,FALSE))</f>
        <v>0</v>
      </c>
      <c r="R113" s="1">
        <f>IF(COUNTBLANK(N113)=1,0,VLOOKUP(N113,'Date masura SDI'!$A:$M,$M$1,FALSE))</f>
        <v>0</v>
      </c>
      <c r="T113" t="str">
        <f t="shared" si="4"/>
        <v/>
      </c>
      <c r="U113">
        <f t="shared" si="5"/>
        <v>13904</v>
      </c>
    </row>
    <row r="114" spans="1:21">
      <c r="A114" s="17">
        <f t="shared" si="6"/>
        <v>111</v>
      </c>
      <c r="B114" s="17" t="s">
        <v>549</v>
      </c>
      <c r="C114" s="12" t="s">
        <v>63</v>
      </c>
      <c r="D114" s="12" t="s">
        <v>304</v>
      </c>
      <c r="E114" s="12" t="s">
        <v>981</v>
      </c>
      <c r="F114" s="12" t="s">
        <v>69</v>
      </c>
      <c r="G114" s="17" t="s">
        <v>116</v>
      </c>
      <c r="H114" s="17" t="s">
        <v>316</v>
      </c>
      <c r="I114" s="7" t="s">
        <v>69</v>
      </c>
      <c r="J114" s="16">
        <v>0</v>
      </c>
      <c r="K114" s="16">
        <v>0</v>
      </c>
      <c r="L114" s="16">
        <v>0</v>
      </c>
      <c r="M114" s="16">
        <v>0</v>
      </c>
      <c r="N114" s="1"/>
      <c r="O114" s="1">
        <f>IF(COUNTBLANK(N114)=1,0,VLOOKUP(N114,'Date masura SDI'!$A:$M,$J$1,FALSE))</f>
        <v>0</v>
      </c>
      <c r="P114" s="1">
        <f>IF(COUNTBLANK(N114)=1,0,VLOOKUP(N114,'Date masura SDI'!$A:$M,$K$1,FALSE))</f>
        <v>0</v>
      </c>
      <c r="Q114" s="1">
        <f>IF(COUNTBLANK(N114)=1,0,VLOOKUP(N114,'Date masura SDI'!$A:$M,$L$1,FALSE))</f>
        <v>0</v>
      </c>
      <c r="R114" s="1">
        <f>IF(COUNTBLANK(N114)=1,0,VLOOKUP(N114,'Date masura SDI'!$A:$M,$M$1,FALSE))</f>
        <v>0</v>
      </c>
      <c r="T114" t="str">
        <f t="shared" si="4"/>
        <v/>
      </c>
      <c r="U114">
        <f t="shared" si="5"/>
        <v>13904</v>
      </c>
    </row>
    <row r="115" spans="1:21">
      <c r="A115" s="17">
        <f t="shared" si="6"/>
        <v>112</v>
      </c>
      <c r="B115" s="17" t="s">
        <v>550</v>
      </c>
      <c r="C115" s="12" t="s">
        <v>63</v>
      </c>
      <c r="D115" s="12" t="s">
        <v>317</v>
      </c>
      <c r="E115" s="12" t="s">
        <v>637</v>
      </c>
      <c r="F115" s="12" t="s">
        <v>69</v>
      </c>
      <c r="G115" s="17" t="s">
        <v>319</v>
      </c>
      <c r="H115" s="17" t="s">
        <v>320</v>
      </c>
      <c r="I115" s="7" t="s">
        <v>941</v>
      </c>
      <c r="J115" s="16">
        <v>0</v>
      </c>
      <c r="K115" s="16">
        <v>0</v>
      </c>
      <c r="L115" s="16">
        <v>0</v>
      </c>
      <c r="M115" s="16">
        <v>0</v>
      </c>
      <c r="N115" s="1"/>
      <c r="O115" s="1">
        <f>IF(COUNTBLANK(N115)=1,0,VLOOKUP(N115,'Date masura SDI'!$A:$M,$J$1,FALSE))</f>
        <v>0</v>
      </c>
      <c r="P115" s="1">
        <f>IF(COUNTBLANK(N115)=1,0,VLOOKUP(N115,'Date masura SDI'!$A:$M,$K$1,FALSE))</f>
        <v>0</v>
      </c>
      <c r="Q115" s="1">
        <f>IF(COUNTBLANK(N115)=1,0,VLOOKUP(N115,'Date masura SDI'!$A:$M,$L$1,FALSE))</f>
        <v>0</v>
      </c>
      <c r="R115" s="1">
        <f>IF(COUNTBLANK(N115)=1,0,VLOOKUP(N115,'Date masura SDI'!$A:$M,$M$1,FALSE))</f>
        <v>0</v>
      </c>
      <c r="T115" t="str">
        <f t="shared" si="4"/>
        <v/>
      </c>
      <c r="U115">
        <f t="shared" si="5"/>
        <v>13904</v>
      </c>
    </row>
    <row r="116" spans="1:21">
      <c r="A116" s="17">
        <f t="shared" si="6"/>
        <v>113</v>
      </c>
      <c r="B116" s="17" t="s">
        <v>550</v>
      </c>
      <c r="C116" s="12" t="s">
        <v>63</v>
      </c>
      <c r="D116" s="12" t="s">
        <v>317</v>
      </c>
      <c r="E116" s="12" t="s">
        <v>638</v>
      </c>
      <c r="F116" s="12" t="s">
        <v>69</v>
      </c>
      <c r="G116" s="17" t="s">
        <v>321</v>
      </c>
      <c r="H116" s="17" t="s">
        <v>322</v>
      </c>
      <c r="I116" s="7" t="s">
        <v>942</v>
      </c>
      <c r="J116" s="16">
        <v>0</v>
      </c>
      <c r="K116" s="16">
        <v>0</v>
      </c>
      <c r="L116" s="16">
        <v>0</v>
      </c>
      <c r="M116" s="16">
        <v>0</v>
      </c>
      <c r="N116" s="1"/>
      <c r="O116" s="1">
        <f>IF(COUNTBLANK(N116)=1,0,VLOOKUP(N116,'Date masura SDI'!$A:$M,$J$1,FALSE))</f>
        <v>0</v>
      </c>
      <c r="P116" s="1">
        <f>IF(COUNTBLANK(N116)=1,0,VLOOKUP(N116,'Date masura SDI'!$A:$M,$K$1,FALSE))</f>
        <v>0</v>
      </c>
      <c r="Q116" s="1">
        <f>IF(COUNTBLANK(N116)=1,0,VLOOKUP(N116,'Date masura SDI'!$A:$M,$L$1,FALSE))</f>
        <v>0</v>
      </c>
      <c r="R116" s="1">
        <f>IF(COUNTBLANK(N116)=1,0,VLOOKUP(N116,'Date masura SDI'!$A:$M,$M$1,FALSE))</f>
        <v>0</v>
      </c>
      <c r="T116" t="str">
        <f t="shared" si="4"/>
        <v/>
      </c>
      <c r="U116">
        <f t="shared" si="5"/>
        <v>13904</v>
      </c>
    </row>
    <row r="117" spans="1:21">
      <c r="A117" s="17">
        <f t="shared" si="6"/>
        <v>114</v>
      </c>
      <c r="B117" s="17" t="s">
        <v>550</v>
      </c>
      <c r="C117" s="12" t="s">
        <v>63</v>
      </c>
      <c r="D117" s="12" t="s">
        <v>317</v>
      </c>
      <c r="E117" s="12" t="s">
        <v>639</v>
      </c>
      <c r="F117" s="12" t="s">
        <v>69</v>
      </c>
      <c r="G117" s="17" t="s">
        <v>323</v>
      </c>
      <c r="H117" s="17" t="s">
        <v>324</v>
      </c>
      <c r="I117" s="7" t="s">
        <v>943</v>
      </c>
      <c r="J117" s="16">
        <v>0</v>
      </c>
      <c r="K117" s="16">
        <v>0</v>
      </c>
      <c r="L117" s="16">
        <v>0</v>
      </c>
      <c r="M117" s="16">
        <v>0</v>
      </c>
      <c r="N117" s="1"/>
      <c r="O117" s="1">
        <f>IF(COUNTBLANK(N117)=1,0,VLOOKUP(N117,'Date masura SDI'!$A:$M,$J$1,FALSE))</f>
        <v>0</v>
      </c>
      <c r="P117" s="1">
        <f>IF(COUNTBLANK(N117)=1,0,VLOOKUP(N117,'Date masura SDI'!$A:$M,$K$1,FALSE))</f>
        <v>0</v>
      </c>
      <c r="Q117" s="1">
        <f>IF(COUNTBLANK(N117)=1,0,VLOOKUP(N117,'Date masura SDI'!$A:$M,$L$1,FALSE))</f>
        <v>0</v>
      </c>
      <c r="R117" s="1">
        <f>IF(COUNTBLANK(N117)=1,0,VLOOKUP(N117,'Date masura SDI'!$A:$M,$M$1,FALSE))</f>
        <v>0</v>
      </c>
      <c r="T117" t="str">
        <f t="shared" si="4"/>
        <v/>
      </c>
      <c r="U117">
        <f t="shared" si="5"/>
        <v>13904</v>
      </c>
    </row>
    <row r="118" spans="1:21">
      <c r="A118" s="17">
        <f t="shared" si="6"/>
        <v>115</v>
      </c>
      <c r="B118" s="17" t="s">
        <v>550</v>
      </c>
      <c r="C118" s="12" t="s">
        <v>63</v>
      </c>
      <c r="D118" s="12" t="s">
        <v>317</v>
      </c>
      <c r="E118" s="12" t="s">
        <v>640</v>
      </c>
      <c r="F118" s="12" t="s">
        <v>69</v>
      </c>
      <c r="G118" s="17" t="s">
        <v>325</v>
      </c>
      <c r="H118" s="17" t="s">
        <v>326</v>
      </c>
      <c r="I118" s="7" t="s">
        <v>944</v>
      </c>
      <c r="J118" s="16">
        <v>0</v>
      </c>
      <c r="K118" s="16">
        <v>0</v>
      </c>
      <c r="L118" s="16">
        <v>0</v>
      </c>
      <c r="M118" s="16">
        <v>0</v>
      </c>
      <c r="N118" s="1"/>
      <c r="O118" s="1">
        <f>IF(COUNTBLANK(N118)=1,0,VLOOKUP(N118,'Date masura SDI'!$A:$M,$J$1,FALSE))</f>
        <v>0</v>
      </c>
      <c r="P118" s="1">
        <f>IF(COUNTBLANK(N118)=1,0,VLOOKUP(N118,'Date masura SDI'!$A:$M,$K$1,FALSE))</f>
        <v>0</v>
      </c>
      <c r="Q118" s="1">
        <f>IF(COUNTBLANK(N118)=1,0,VLOOKUP(N118,'Date masura SDI'!$A:$M,$L$1,FALSE))</f>
        <v>0</v>
      </c>
      <c r="R118" s="1">
        <f>IF(COUNTBLANK(N118)=1,0,VLOOKUP(N118,'Date masura SDI'!$A:$M,$M$1,FALSE))</f>
        <v>0</v>
      </c>
      <c r="T118" t="str">
        <f t="shared" si="4"/>
        <v/>
      </c>
      <c r="U118">
        <f t="shared" si="5"/>
        <v>13904</v>
      </c>
    </row>
    <row r="119" spans="1:21">
      <c r="A119" s="17">
        <f t="shared" si="6"/>
        <v>116</v>
      </c>
      <c r="B119" s="17" t="s">
        <v>550</v>
      </c>
      <c r="C119" s="12" t="s">
        <v>63</v>
      </c>
      <c r="D119" s="12" t="s">
        <v>317</v>
      </c>
      <c r="E119" s="12" t="s">
        <v>982</v>
      </c>
      <c r="F119" s="12" t="s">
        <v>69</v>
      </c>
      <c r="G119" s="17" t="s">
        <v>116</v>
      </c>
      <c r="H119" s="17" t="s">
        <v>327</v>
      </c>
      <c r="I119" s="7" t="s">
        <v>69</v>
      </c>
      <c r="J119" s="16">
        <v>0</v>
      </c>
      <c r="K119" s="16">
        <v>0</v>
      </c>
      <c r="L119" s="16">
        <v>0</v>
      </c>
      <c r="M119" s="16">
        <v>0</v>
      </c>
      <c r="N119" s="1"/>
      <c r="O119" s="1">
        <f>IF(COUNTBLANK(N119)=1,0,VLOOKUP(N119,'Date masura SDI'!$A:$M,$J$1,FALSE))</f>
        <v>0</v>
      </c>
      <c r="P119" s="1">
        <f>IF(COUNTBLANK(N119)=1,0,VLOOKUP(N119,'Date masura SDI'!$A:$M,$K$1,FALSE))</f>
        <v>0</v>
      </c>
      <c r="Q119" s="1">
        <f>IF(COUNTBLANK(N119)=1,0,VLOOKUP(N119,'Date masura SDI'!$A:$M,$L$1,FALSE))</f>
        <v>0</v>
      </c>
      <c r="R119" s="1">
        <f>IF(COUNTBLANK(N119)=1,0,VLOOKUP(N119,'Date masura SDI'!$A:$M,$M$1,FALSE))</f>
        <v>0</v>
      </c>
      <c r="T119" t="str">
        <f t="shared" si="4"/>
        <v/>
      </c>
      <c r="U119">
        <f t="shared" si="5"/>
        <v>13904</v>
      </c>
    </row>
    <row r="120" spans="1:21">
      <c r="A120" s="17">
        <f t="shared" si="6"/>
        <v>117</v>
      </c>
      <c r="B120" s="17" t="s">
        <v>551</v>
      </c>
      <c r="C120" s="12" t="s">
        <v>63</v>
      </c>
      <c r="D120" s="12" t="s">
        <v>328</v>
      </c>
      <c r="E120" s="12" t="s">
        <v>641</v>
      </c>
      <c r="F120" s="12" t="s">
        <v>69</v>
      </c>
      <c r="G120" s="17" t="s">
        <v>329</v>
      </c>
      <c r="H120" s="17" t="s">
        <v>330</v>
      </c>
      <c r="I120" s="7" t="s">
        <v>945</v>
      </c>
      <c r="J120" s="16">
        <v>0</v>
      </c>
      <c r="K120" s="16">
        <v>0</v>
      </c>
      <c r="L120" s="16">
        <v>0</v>
      </c>
      <c r="M120" s="16">
        <v>0</v>
      </c>
      <c r="N120" s="1"/>
      <c r="O120" s="1">
        <f>IF(COUNTBLANK(N120)=1,0,VLOOKUP(N120,'Date masura SDI'!$A:$M,$J$1,FALSE))</f>
        <v>0</v>
      </c>
      <c r="P120" s="1">
        <f>IF(COUNTBLANK(N120)=1,0,VLOOKUP(N120,'Date masura SDI'!$A:$M,$K$1,FALSE))</f>
        <v>0</v>
      </c>
      <c r="Q120" s="1">
        <f>IF(COUNTBLANK(N120)=1,0,VLOOKUP(N120,'Date masura SDI'!$A:$M,$L$1,FALSE))</f>
        <v>0</v>
      </c>
      <c r="R120" s="1">
        <f>IF(COUNTBLANK(N120)=1,0,VLOOKUP(N120,'Date masura SDI'!$A:$M,$M$1,FALSE))</f>
        <v>0</v>
      </c>
      <c r="T120" t="str">
        <f t="shared" si="4"/>
        <v/>
      </c>
      <c r="U120">
        <f t="shared" si="5"/>
        <v>13904</v>
      </c>
    </row>
    <row r="121" spans="1:21">
      <c r="A121" s="17">
        <f t="shared" si="6"/>
        <v>118</v>
      </c>
      <c r="B121" s="17" t="s">
        <v>551</v>
      </c>
      <c r="C121" s="12" t="s">
        <v>63</v>
      </c>
      <c r="D121" s="12" t="s">
        <v>328</v>
      </c>
      <c r="E121" s="12" t="s">
        <v>642</v>
      </c>
      <c r="F121" s="12" t="s">
        <v>69</v>
      </c>
      <c r="G121" s="17" t="s">
        <v>331</v>
      </c>
      <c r="H121" s="17" t="s">
        <v>332</v>
      </c>
      <c r="I121" s="7" t="s">
        <v>946</v>
      </c>
      <c r="J121" s="16">
        <v>0</v>
      </c>
      <c r="K121" s="16">
        <v>0</v>
      </c>
      <c r="L121" s="16">
        <v>0</v>
      </c>
      <c r="M121" s="16">
        <v>0</v>
      </c>
      <c r="N121" s="1"/>
      <c r="O121" s="1">
        <f>IF(COUNTBLANK(N121)=1,0,VLOOKUP(N121,'Date masura SDI'!$A:$M,$J$1,FALSE))</f>
        <v>0</v>
      </c>
      <c r="P121" s="1">
        <f>IF(COUNTBLANK(N121)=1,0,VLOOKUP(N121,'Date masura SDI'!$A:$M,$K$1,FALSE))</f>
        <v>0</v>
      </c>
      <c r="Q121" s="1">
        <f>IF(COUNTBLANK(N121)=1,0,VLOOKUP(N121,'Date masura SDI'!$A:$M,$L$1,FALSE))</f>
        <v>0</v>
      </c>
      <c r="R121" s="1">
        <f>IF(COUNTBLANK(N121)=1,0,VLOOKUP(N121,'Date masura SDI'!$A:$M,$M$1,FALSE))</f>
        <v>0</v>
      </c>
      <c r="T121" t="str">
        <f t="shared" si="4"/>
        <v/>
      </c>
      <c r="U121">
        <f t="shared" si="5"/>
        <v>13904</v>
      </c>
    </row>
    <row r="122" spans="1:21">
      <c r="A122" s="17">
        <f t="shared" si="6"/>
        <v>119</v>
      </c>
      <c r="B122" s="17" t="s">
        <v>551</v>
      </c>
      <c r="C122" s="12" t="s">
        <v>63</v>
      </c>
      <c r="D122" s="12" t="s">
        <v>328</v>
      </c>
      <c r="E122" s="12" t="s">
        <v>643</v>
      </c>
      <c r="F122" s="12" t="s">
        <v>69</v>
      </c>
      <c r="G122" s="17" t="s">
        <v>333</v>
      </c>
      <c r="H122" s="17" t="s">
        <v>334</v>
      </c>
      <c r="I122" s="7" t="s">
        <v>947</v>
      </c>
      <c r="J122" s="16">
        <v>0</v>
      </c>
      <c r="K122" s="16">
        <v>0</v>
      </c>
      <c r="L122" s="16">
        <v>0</v>
      </c>
      <c r="M122" s="16">
        <v>0</v>
      </c>
      <c r="N122" s="1"/>
      <c r="O122" s="1">
        <f>IF(COUNTBLANK(N122)=1,0,VLOOKUP(N122,'Date masura SDI'!$A:$M,$J$1,FALSE))</f>
        <v>0</v>
      </c>
      <c r="P122" s="1">
        <f>IF(COUNTBLANK(N122)=1,0,VLOOKUP(N122,'Date masura SDI'!$A:$M,$K$1,FALSE))</f>
        <v>0</v>
      </c>
      <c r="Q122" s="1">
        <f>IF(COUNTBLANK(N122)=1,0,VLOOKUP(N122,'Date masura SDI'!$A:$M,$L$1,FALSE))</f>
        <v>0</v>
      </c>
      <c r="R122" s="1">
        <f>IF(COUNTBLANK(N122)=1,0,VLOOKUP(N122,'Date masura SDI'!$A:$M,$M$1,FALSE))</f>
        <v>0</v>
      </c>
      <c r="T122" t="str">
        <f t="shared" si="4"/>
        <v/>
      </c>
      <c r="U122">
        <f t="shared" si="5"/>
        <v>13904</v>
      </c>
    </row>
    <row r="123" spans="1:21">
      <c r="A123" s="17">
        <f t="shared" si="6"/>
        <v>120</v>
      </c>
      <c r="B123" s="17" t="s">
        <v>551</v>
      </c>
      <c r="C123" s="12" t="s">
        <v>63</v>
      </c>
      <c r="D123" s="12" t="s">
        <v>328</v>
      </c>
      <c r="E123" s="12" t="s">
        <v>644</v>
      </c>
      <c r="F123" s="12" t="s">
        <v>69</v>
      </c>
      <c r="G123" s="17" t="s">
        <v>335</v>
      </c>
      <c r="H123" s="17" t="s">
        <v>336</v>
      </c>
      <c r="I123" s="7" t="s">
        <v>948</v>
      </c>
      <c r="J123" s="16">
        <v>0</v>
      </c>
      <c r="K123" s="16">
        <v>0</v>
      </c>
      <c r="L123" s="16">
        <v>0</v>
      </c>
      <c r="M123" s="16">
        <v>0</v>
      </c>
      <c r="N123" s="1"/>
      <c r="O123" s="1">
        <f>IF(COUNTBLANK(N123)=1,0,VLOOKUP(N123,'Date masura SDI'!$A:$M,$J$1,FALSE))</f>
        <v>0</v>
      </c>
      <c r="P123" s="1">
        <f>IF(COUNTBLANK(N123)=1,0,VLOOKUP(N123,'Date masura SDI'!$A:$M,$K$1,FALSE))</f>
        <v>0</v>
      </c>
      <c r="Q123" s="1">
        <f>IF(COUNTBLANK(N123)=1,0,VLOOKUP(N123,'Date masura SDI'!$A:$M,$L$1,FALSE))</f>
        <v>0</v>
      </c>
      <c r="R123" s="1">
        <f>IF(COUNTBLANK(N123)=1,0,VLOOKUP(N123,'Date masura SDI'!$A:$M,$M$1,FALSE))</f>
        <v>0</v>
      </c>
      <c r="T123" t="str">
        <f t="shared" si="4"/>
        <v/>
      </c>
      <c r="U123">
        <f t="shared" si="5"/>
        <v>13904</v>
      </c>
    </row>
    <row r="124" spans="1:21">
      <c r="A124" s="17">
        <f t="shared" si="6"/>
        <v>121</v>
      </c>
      <c r="B124" s="17" t="s">
        <v>551</v>
      </c>
      <c r="C124" s="12" t="s">
        <v>63</v>
      </c>
      <c r="D124" s="12" t="s">
        <v>328</v>
      </c>
      <c r="E124" s="12" t="s">
        <v>983</v>
      </c>
      <c r="F124" s="12" t="s">
        <v>69</v>
      </c>
      <c r="G124" s="17" t="s">
        <v>116</v>
      </c>
      <c r="H124" s="17" t="s">
        <v>337</v>
      </c>
      <c r="I124" s="7" t="s">
        <v>69</v>
      </c>
      <c r="J124" s="16">
        <v>0</v>
      </c>
      <c r="K124" s="16">
        <v>0</v>
      </c>
      <c r="L124" s="16">
        <v>0</v>
      </c>
      <c r="M124" s="16">
        <v>0</v>
      </c>
      <c r="N124" s="1"/>
      <c r="O124" s="1">
        <f>IF(COUNTBLANK(N124)=1,0,VLOOKUP(N124,'Date masura SDI'!$A:$M,$J$1,FALSE))</f>
        <v>0</v>
      </c>
      <c r="P124" s="1">
        <f>IF(COUNTBLANK(N124)=1,0,VLOOKUP(N124,'Date masura SDI'!$A:$M,$K$1,FALSE))</f>
        <v>0</v>
      </c>
      <c r="Q124" s="1">
        <f>IF(COUNTBLANK(N124)=1,0,VLOOKUP(N124,'Date masura SDI'!$A:$M,$L$1,FALSE))</f>
        <v>0</v>
      </c>
      <c r="R124" s="1">
        <f>IF(COUNTBLANK(N124)=1,0,VLOOKUP(N124,'Date masura SDI'!$A:$M,$M$1,FALSE))</f>
        <v>0</v>
      </c>
      <c r="T124" t="str">
        <f t="shared" si="4"/>
        <v>RMEG</v>
      </c>
      <c r="U124">
        <f t="shared" si="5"/>
        <v>13904</v>
      </c>
    </row>
    <row r="125" spans="1:21">
      <c r="A125" s="17">
        <f t="shared" si="6"/>
        <v>122</v>
      </c>
      <c r="B125" s="17" t="s">
        <v>552</v>
      </c>
      <c r="C125" s="12" t="s">
        <v>64</v>
      </c>
      <c r="D125" s="12" t="s">
        <v>338</v>
      </c>
      <c r="E125" s="12" t="s">
        <v>645</v>
      </c>
      <c r="F125" s="12" t="s">
        <v>689</v>
      </c>
      <c r="G125" s="17" t="s">
        <v>339</v>
      </c>
      <c r="H125" s="17" t="s">
        <v>340</v>
      </c>
      <c r="I125" s="1">
        <v>1372642632</v>
      </c>
      <c r="J125" s="1">
        <f>IF(COUNTBLANK(I125)=1,0,VLOOKUP(I125,'Date masura SDI'!$A:$M,$J$1,FALSE))</f>
        <v>92601</v>
      </c>
      <c r="K125" s="1">
        <f>IF(COUNTBLANK(I125)=1,0,VLOOKUP(I125,'Date masura SDI'!$A:$M,$K$1,FALSE))</f>
        <v>205</v>
      </c>
      <c r="L125" s="1">
        <f>IF(COUNTBLANK(I125)=1,0,VLOOKUP(I125,'Date masura SDI'!$A:$M,$L$1,FALSE))</f>
        <v>8104</v>
      </c>
      <c r="M125" s="1">
        <f>IF(COUNTBLANK(I125)=1,0,VLOOKUP(I125,'Date masura SDI'!$A:$M,$M$1,FALSE))</f>
        <v>3353</v>
      </c>
      <c r="N125" s="1">
        <v>1371623899</v>
      </c>
      <c r="O125" s="1">
        <f>IF(COUNTBLANK(N125)=1,0,VLOOKUP(N125,'Date masura SDI'!$A:$M,$J$1,FALSE))</f>
        <v>12</v>
      </c>
      <c r="P125" s="1">
        <f>IF(COUNTBLANK(N125)=1,0,VLOOKUP(N125,'Date masura SDI'!$A:$M,$K$1,FALSE))</f>
        <v>83063</v>
      </c>
      <c r="Q125" s="1">
        <f>IF(COUNTBLANK(N125)=1,0,VLOOKUP(N125,'Date masura SDI'!$A:$M,$L$1,FALSE))</f>
        <v>52</v>
      </c>
      <c r="R125" s="1">
        <f>IF(COUNTBLANK(N125)=1,0,VLOOKUP(N125,'Date masura SDI'!$A:$M,$M$1,FALSE))</f>
        <v>902</v>
      </c>
      <c r="T125" t="str">
        <f t="shared" si="4"/>
        <v/>
      </c>
      <c r="U125">
        <f t="shared" si="5"/>
        <v>83063</v>
      </c>
    </row>
    <row r="126" spans="1:21">
      <c r="A126" s="17">
        <f t="shared" si="6"/>
        <v>123</v>
      </c>
      <c r="B126" s="17" t="s">
        <v>552</v>
      </c>
      <c r="C126" s="12" t="s">
        <v>64</v>
      </c>
      <c r="D126" s="12" t="s">
        <v>338</v>
      </c>
      <c r="E126" s="12" t="s">
        <v>984</v>
      </c>
      <c r="F126" s="12" t="s">
        <v>69</v>
      </c>
      <c r="G126" s="17" t="s">
        <v>116</v>
      </c>
      <c r="H126" s="17" t="s">
        <v>341</v>
      </c>
      <c r="I126" s="7" t="s">
        <v>69</v>
      </c>
      <c r="J126" s="16">
        <v>0</v>
      </c>
      <c r="K126" s="16">
        <v>0</v>
      </c>
      <c r="L126" s="16">
        <v>0</v>
      </c>
      <c r="M126" s="16">
        <v>0</v>
      </c>
      <c r="N126" s="1"/>
      <c r="O126" s="1">
        <f>IF(COUNTBLANK(N126)=1,0,VLOOKUP(N126,'Date masura SDI'!$A:$M,$J$1,FALSE))</f>
        <v>0</v>
      </c>
      <c r="P126" s="1">
        <f>IF(COUNTBLANK(N126)=1,0,VLOOKUP(N126,'Date masura SDI'!$A:$M,$K$1,FALSE))</f>
        <v>0</v>
      </c>
      <c r="Q126" s="1">
        <f>IF(COUNTBLANK(N126)=1,0,VLOOKUP(N126,'Date masura SDI'!$A:$M,$L$1,FALSE))</f>
        <v>0</v>
      </c>
      <c r="R126" s="1">
        <f>IF(COUNTBLANK(N126)=1,0,VLOOKUP(N126,'Date masura SDI'!$A:$M,$M$1,FALSE))</f>
        <v>0</v>
      </c>
      <c r="T126" t="str">
        <f t="shared" si="4"/>
        <v/>
      </c>
      <c r="U126">
        <f t="shared" si="5"/>
        <v>83063</v>
      </c>
    </row>
    <row r="127" spans="1:21">
      <c r="A127" s="17">
        <f t="shared" si="6"/>
        <v>124</v>
      </c>
      <c r="B127" s="17" t="s">
        <v>553</v>
      </c>
      <c r="C127" s="12" t="s">
        <v>64</v>
      </c>
      <c r="D127" s="12" t="s">
        <v>342</v>
      </c>
      <c r="E127" s="12" t="s">
        <v>646</v>
      </c>
      <c r="F127" s="12" t="s">
        <v>690</v>
      </c>
      <c r="G127" s="17" t="s">
        <v>343</v>
      </c>
      <c r="H127" s="17" t="s">
        <v>344</v>
      </c>
      <c r="I127" s="1">
        <v>1372641256</v>
      </c>
      <c r="J127" s="1">
        <f>IF(COUNTBLANK(I127)=1,0,VLOOKUP(I127,'Date masura SDI'!$A:$M,$J$1,FALSE))</f>
        <v>68017</v>
      </c>
      <c r="K127" s="1">
        <f>IF(COUNTBLANK(I127)=1,0,VLOOKUP(I127,'Date masura SDI'!$A:$M,$K$1,FALSE))</f>
        <v>123</v>
      </c>
      <c r="L127" s="1">
        <f>IF(COUNTBLANK(I127)=1,0,VLOOKUP(I127,'Date masura SDI'!$A:$M,$L$1,FALSE))</f>
        <v>15549</v>
      </c>
      <c r="M127" s="1">
        <f>IF(COUNTBLANK(I127)=1,0,VLOOKUP(I127,'Date masura SDI'!$A:$M,$M$1,FALSE))</f>
        <v>1497</v>
      </c>
      <c r="N127" s="1">
        <v>1371624214</v>
      </c>
      <c r="O127" s="1">
        <f>IF(COUNTBLANK(N127)=1,0,VLOOKUP(N127,'Date masura SDI'!$A:$M,$J$1,FALSE))</f>
        <v>13</v>
      </c>
      <c r="P127" s="1">
        <f>IF(COUNTBLANK(N127)=1,0,VLOOKUP(N127,'Date masura SDI'!$A:$M,$K$1,FALSE))</f>
        <v>74598</v>
      </c>
      <c r="Q127" s="1">
        <f>IF(COUNTBLANK(N127)=1,0,VLOOKUP(N127,'Date masura SDI'!$A:$M,$L$1,FALSE))</f>
        <v>71</v>
      </c>
      <c r="R127" s="1">
        <f>IF(COUNTBLANK(N127)=1,0,VLOOKUP(N127,'Date masura SDI'!$A:$M,$M$1,FALSE))</f>
        <v>858</v>
      </c>
      <c r="T127" t="str">
        <f t="shared" si="4"/>
        <v/>
      </c>
      <c r="U127">
        <f t="shared" si="5"/>
        <v>157661</v>
      </c>
    </row>
    <row r="128" spans="1:21">
      <c r="A128" s="17">
        <f t="shared" si="6"/>
        <v>125</v>
      </c>
      <c r="B128" s="17" t="s">
        <v>553</v>
      </c>
      <c r="C128" s="12" t="s">
        <v>64</v>
      </c>
      <c r="D128" s="12" t="s">
        <v>342</v>
      </c>
      <c r="E128" s="12" t="s">
        <v>985</v>
      </c>
      <c r="F128" s="12" t="s">
        <v>69</v>
      </c>
      <c r="G128" s="17" t="s">
        <v>116</v>
      </c>
      <c r="H128" s="17" t="s">
        <v>345</v>
      </c>
      <c r="I128" s="7" t="s">
        <v>69</v>
      </c>
      <c r="J128" s="16">
        <v>0</v>
      </c>
      <c r="K128" s="16">
        <v>0</v>
      </c>
      <c r="L128" s="16">
        <v>0</v>
      </c>
      <c r="M128" s="16">
        <v>0</v>
      </c>
      <c r="N128" s="1"/>
      <c r="O128" s="1">
        <f>IF(COUNTBLANK(N128)=1,0,VLOOKUP(N128,'Date masura SDI'!$A:$M,$J$1,FALSE))</f>
        <v>0</v>
      </c>
      <c r="P128" s="1">
        <f>IF(COUNTBLANK(N128)=1,0,VLOOKUP(N128,'Date masura SDI'!$A:$M,$K$1,FALSE))</f>
        <v>0</v>
      </c>
      <c r="Q128" s="1">
        <f>IF(COUNTBLANK(N128)=1,0,VLOOKUP(N128,'Date masura SDI'!$A:$M,$L$1,FALSE))</f>
        <v>0</v>
      </c>
      <c r="R128" s="1">
        <f>IF(COUNTBLANK(N128)=1,0,VLOOKUP(N128,'Date masura SDI'!$A:$M,$M$1,FALSE))</f>
        <v>0</v>
      </c>
      <c r="T128" t="str">
        <f t="shared" si="4"/>
        <v/>
      </c>
      <c r="U128">
        <f t="shared" si="5"/>
        <v>157661</v>
      </c>
    </row>
    <row r="129" spans="1:21">
      <c r="A129" s="17">
        <f t="shared" si="6"/>
        <v>126</v>
      </c>
      <c r="B129" s="17" t="s">
        <v>554</v>
      </c>
      <c r="C129" s="12" t="s">
        <v>64</v>
      </c>
      <c r="D129" s="12" t="s">
        <v>396</v>
      </c>
      <c r="E129" s="70" t="s">
        <v>554</v>
      </c>
      <c r="F129" s="12" t="s">
        <v>69</v>
      </c>
      <c r="G129" s="23" t="s">
        <v>64</v>
      </c>
      <c r="H129" s="23" t="s">
        <v>396</v>
      </c>
      <c r="I129" s="31">
        <v>90078095</v>
      </c>
      <c r="J129" s="20">
        <f>VLOOKUP(H129,'Date masura OD'!$E:$BB,14,FALSE)</f>
        <v>38960</v>
      </c>
      <c r="K129" s="20">
        <v>0</v>
      </c>
      <c r="L129" s="20">
        <f>VLOOKUP(H129,'Date masura OD'!$E:$BB,15,FALSE)</f>
        <v>0</v>
      </c>
      <c r="M129" s="20">
        <f>VLOOKUP(H129,'Date masura OD'!$E:$BB,16,FALSE)</f>
        <v>0</v>
      </c>
      <c r="N129" s="21"/>
      <c r="O129" s="20" t="str">
        <f>IF(COUNTBLANK(N129)=1,"",VLOOKUP(N129,'Date masura SDI'!$A:$M,$J$1-7,FALSE))</f>
        <v/>
      </c>
      <c r="P129" s="20" t="str">
        <f>IF(COUNTBLANK(N129)=1,"",VLOOKUP(N129,'Date masura SDI'!$A:$M,$K$1-7,FALSE))</f>
        <v/>
      </c>
      <c r="Q129" s="20" t="str">
        <f>IF(COUNTBLANK(N129)=1,"",VLOOKUP(N129,'Date masura SDI'!$A:$M,$L$1-7,FALSE))</f>
        <v/>
      </c>
      <c r="R129" s="20" t="str">
        <f>IF(COUNTBLANK(N129)=1,"",VLOOKUP(N129,'Date masura SDI'!$A:$M,$M$1-7,FALSE))</f>
        <v/>
      </c>
      <c r="T129" t="str">
        <f t="shared" si="4"/>
        <v>RSEV</v>
      </c>
      <c r="U129">
        <f t="shared" si="5"/>
        <v>157661</v>
      </c>
    </row>
    <row r="130" spans="1:21">
      <c r="A130" s="17">
        <f t="shared" si="6"/>
        <v>127</v>
      </c>
      <c r="B130" s="17" t="s">
        <v>555</v>
      </c>
      <c r="C130" s="12" t="s">
        <v>23</v>
      </c>
      <c r="D130" s="12" t="s">
        <v>346</v>
      </c>
      <c r="E130" s="12" t="s">
        <v>647</v>
      </c>
      <c r="F130" s="12" t="s">
        <v>69</v>
      </c>
      <c r="G130" s="17" t="s">
        <v>347</v>
      </c>
      <c r="H130" s="17" t="s">
        <v>348</v>
      </c>
      <c r="I130" s="7" t="s">
        <v>949</v>
      </c>
      <c r="J130" s="16">
        <v>0</v>
      </c>
      <c r="K130" s="16">
        <v>0</v>
      </c>
      <c r="L130" s="16">
        <v>0</v>
      </c>
      <c r="M130" s="16">
        <v>0</v>
      </c>
      <c r="N130" s="1"/>
      <c r="O130" s="1">
        <f>IF(COUNTBLANK(N130)=1,0,VLOOKUP(N130,'Date masura SDI'!$A:$M,$J$1,FALSE))</f>
        <v>0</v>
      </c>
      <c r="P130" s="1">
        <f>IF(COUNTBLANK(N130)=1,0,VLOOKUP(N130,'Date masura SDI'!$A:$M,$K$1,FALSE))</f>
        <v>0</v>
      </c>
      <c r="Q130" s="1">
        <f>IF(COUNTBLANK(N130)=1,0,VLOOKUP(N130,'Date masura SDI'!$A:$M,$L$1,FALSE))</f>
        <v>0</v>
      </c>
      <c r="R130" s="1">
        <f>IF(COUNTBLANK(N130)=1,0,VLOOKUP(N130,'Date masura SDI'!$A:$M,$M$1,FALSE))</f>
        <v>0</v>
      </c>
      <c r="T130" t="str">
        <f t="shared" si="4"/>
        <v/>
      </c>
      <c r="U130">
        <f t="shared" si="5"/>
        <v>0</v>
      </c>
    </row>
    <row r="131" spans="1:21">
      <c r="A131" s="17">
        <f t="shared" si="6"/>
        <v>128</v>
      </c>
      <c r="B131" s="17" t="s">
        <v>555</v>
      </c>
      <c r="C131" s="12" t="s">
        <v>23</v>
      </c>
      <c r="D131" s="12" t="s">
        <v>346</v>
      </c>
      <c r="E131" s="12" t="s">
        <v>986</v>
      </c>
      <c r="F131" s="12" t="s">
        <v>69</v>
      </c>
      <c r="G131" s="17" t="s">
        <v>116</v>
      </c>
      <c r="H131" s="17" t="s">
        <v>349</v>
      </c>
      <c r="I131" s="7" t="s">
        <v>69</v>
      </c>
      <c r="J131" s="16">
        <v>0</v>
      </c>
      <c r="K131" s="16">
        <v>0</v>
      </c>
      <c r="L131" s="16">
        <v>0</v>
      </c>
      <c r="M131" s="16">
        <v>0</v>
      </c>
      <c r="N131" s="1"/>
      <c r="O131" s="1">
        <f>IF(COUNTBLANK(N131)=1,0,VLOOKUP(N131,'Date masura SDI'!$A:$M,$J$1,FALSE))</f>
        <v>0</v>
      </c>
      <c r="P131" s="1">
        <f>IF(COUNTBLANK(N131)=1,0,VLOOKUP(N131,'Date masura SDI'!$A:$M,$K$1,FALSE))</f>
        <v>0</v>
      </c>
      <c r="Q131" s="1">
        <f>IF(COUNTBLANK(N131)=1,0,VLOOKUP(N131,'Date masura SDI'!$A:$M,$L$1,FALSE))</f>
        <v>0</v>
      </c>
      <c r="R131" s="1">
        <f>IF(COUNTBLANK(N131)=1,0,VLOOKUP(N131,'Date masura SDI'!$A:$M,$M$1,FALSE))</f>
        <v>0</v>
      </c>
      <c r="T131" t="str">
        <f t="shared" si="4"/>
        <v/>
      </c>
      <c r="U131">
        <f t="shared" si="5"/>
        <v>0</v>
      </c>
    </row>
    <row r="132" spans="1:21">
      <c r="A132" s="17">
        <f t="shared" si="6"/>
        <v>129</v>
      </c>
      <c r="B132" s="17" t="s">
        <v>556</v>
      </c>
      <c r="C132" s="12" t="s">
        <v>23</v>
      </c>
      <c r="D132" s="12" t="s">
        <v>350</v>
      </c>
      <c r="E132" s="12" t="s">
        <v>648</v>
      </c>
      <c r="F132" s="12" t="s">
        <v>1181</v>
      </c>
      <c r="G132" s="17" t="s">
        <v>351</v>
      </c>
      <c r="H132" s="17" t="s">
        <v>352</v>
      </c>
      <c r="I132" s="7">
        <v>1373707619</v>
      </c>
      <c r="J132" s="1">
        <f>IF(COUNTBLANK(I132)=1,0,VLOOKUP(I132,'Date masura SDI'!$A:$M,$J$1,FALSE))</f>
        <v>113432</v>
      </c>
      <c r="K132" s="1">
        <f>IF(COUNTBLANK(I132)=1,0,VLOOKUP(I132,'Date masura SDI'!$A:$M,$K$1,FALSE))</f>
        <v>23</v>
      </c>
      <c r="L132" s="1">
        <f>IF(COUNTBLANK(I132)=1,0,VLOOKUP(I132,'Date masura SDI'!$A:$M,$L$1,FALSE))</f>
        <v>41</v>
      </c>
      <c r="M132" s="1">
        <f>IF(COUNTBLANK(I132)=1,0,VLOOKUP(I132,'Date masura SDI'!$A:$M,$M$1,FALSE))</f>
        <v>15231</v>
      </c>
      <c r="N132" s="1">
        <v>1373706938</v>
      </c>
      <c r="O132" s="1">
        <f>IF(COUNTBLANK(N132)=1,0,VLOOKUP(N132,'Date masura SDI'!$A:$M,$J$1,FALSE))</f>
        <v>10</v>
      </c>
      <c r="P132" s="1">
        <f>IF(COUNTBLANK(N132)=1,0,VLOOKUP(N132,'Date masura SDI'!$A:$M,$K$1,FALSE))</f>
        <v>29057</v>
      </c>
      <c r="Q132" s="1">
        <f>IF(COUNTBLANK(N132)=1,0,VLOOKUP(N132,'Date masura SDI'!$A:$M,$L$1,FALSE))</f>
        <v>457</v>
      </c>
      <c r="R132" s="1">
        <f>IF(COUNTBLANK(N132)=1,0,VLOOKUP(N132,'Date masura SDI'!$A:$M,$M$1,FALSE))</f>
        <v>121</v>
      </c>
      <c r="T132" t="str">
        <f t="shared" si="4"/>
        <v/>
      </c>
      <c r="U132">
        <f t="shared" si="5"/>
        <v>29057</v>
      </c>
    </row>
    <row r="133" spans="1:21">
      <c r="A133" s="17">
        <f t="shared" si="6"/>
        <v>130</v>
      </c>
      <c r="B133" s="17" t="s">
        <v>556</v>
      </c>
      <c r="C133" s="12" t="s">
        <v>23</v>
      </c>
      <c r="D133" s="12" t="s">
        <v>350</v>
      </c>
      <c r="E133" s="12" t="s">
        <v>1180</v>
      </c>
      <c r="F133" s="12" t="s">
        <v>1182</v>
      </c>
      <c r="G133" s="17" t="s">
        <v>351</v>
      </c>
      <c r="H133" s="17" t="s">
        <v>353</v>
      </c>
      <c r="I133" s="7">
        <v>1373706854</v>
      </c>
      <c r="J133" s="1">
        <f>IF(COUNTBLANK(I133)=1,0,VLOOKUP(I133,'Date masura SDI'!$A:$M,$J$1,FALSE))</f>
        <v>34188</v>
      </c>
      <c r="K133" s="1">
        <f>IF(COUNTBLANK(I133)=1,0,VLOOKUP(I133,'Date masura SDI'!$A:$M,$K$1,FALSE))</f>
        <v>26203</v>
      </c>
      <c r="L133" s="1">
        <f>IF(COUNTBLANK(I133)=1,0,VLOOKUP(I133,'Date masura SDI'!$A:$M,$L$1,FALSE))</f>
        <v>4527</v>
      </c>
      <c r="M133" s="1">
        <f>IF(COUNTBLANK(I133)=1,0,VLOOKUP(I133,'Date masura SDI'!$A:$M,$M$1,FALSE))</f>
        <v>12039</v>
      </c>
      <c r="N133" s="1">
        <v>1373706594</v>
      </c>
      <c r="O133" s="1">
        <f>IF(COUNTBLANK(N133)=1,0,VLOOKUP(N133,'Date masura SDI'!$A:$M,$J$1,FALSE))</f>
        <v>9</v>
      </c>
      <c r="P133" s="1">
        <f>IF(COUNTBLANK(N133)=1,0,VLOOKUP(N133,'Date masura SDI'!$A:$M,$K$1,FALSE))</f>
        <v>66477</v>
      </c>
      <c r="Q133" s="1">
        <f>IF(COUNTBLANK(N133)=1,0,VLOOKUP(N133,'Date masura SDI'!$A:$M,$L$1,FALSE))</f>
        <v>25</v>
      </c>
      <c r="R133" s="1">
        <f>IF(COUNTBLANK(N133)=1,0,VLOOKUP(N133,'Date masura SDI'!$A:$M,$M$1,FALSE))</f>
        <v>712</v>
      </c>
      <c r="T133" t="str">
        <f t="shared" ref="T133:T158" si="7">IF(LEFT(B134,4)&lt;&gt;LEFT(B133,4),LEFT(B133,4),"")</f>
        <v/>
      </c>
      <c r="U133">
        <f t="shared" ref="U133:U177" si="8">IF(COUNTBLANK(T132)=0,IF(COUNTBLANK(P133)=1,0,P133),U132+IF(COUNTBLANK(P133)=1,0,P133))</f>
        <v>95534</v>
      </c>
    </row>
    <row r="134" spans="1:21">
      <c r="A134" s="17">
        <f t="shared" si="6"/>
        <v>131</v>
      </c>
      <c r="B134" s="17" t="s">
        <v>556</v>
      </c>
      <c r="C134" s="12" t="s">
        <v>23</v>
      </c>
      <c r="D134" s="12" t="s">
        <v>350</v>
      </c>
      <c r="E134" s="12" t="s">
        <v>987</v>
      </c>
      <c r="F134" s="12" t="s">
        <v>69</v>
      </c>
      <c r="G134" s="17" t="s">
        <v>116</v>
      </c>
      <c r="H134" s="17" t="s">
        <v>1183</v>
      </c>
      <c r="I134" s="7" t="s">
        <v>69</v>
      </c>
      <c r="J134" s="16">
        <v>0</v>
      </c>
      <c r="K134" s="16">
        <v>0</v>
      </c>
      <c r="L134" s="16">
        <v>0</v>
      </c>
      <c r="M134" s="16">
        <v>0</v>
      </c>
      <c r="N134" s="1"/>
      <c r="O134" s="1">
        <f>IF(COUNTBLANK(N134)=1,0,VLOOKUP(N134,'Date masura SDI'!$A:$M,$J$1,FALSE))</f>
        <v>0</v>
      </c>
      <c r="P134" s="1">
        <f>IF(COUNTBLANK(N134)=1,0,VLOOKUP(N134,'Date masura SDI'!$A:$M,$K$1,FALSE))</f>
        <v>0</v>
      </c>
      <c r="Q134" s="1">
        <f>IF(COUNTBLANK(N134)=1,0,VLOOKUP(N134,'Date masura SDI'!$A:$M,$L$1,FALSE))</f>
        <v>0</v>
      </c>
      <c r="R134" s="1">
        <f>IF(COUNTBLANK(N134)=1,0,VLOOKUP(N134,'Date masura SDI'!$A:$M,$M$1,FALSE))</f>
        <v>0</v>
      </c>
      <c r="T134" t="str">
        <f t="shared" si="7"/>
        <v/>
      </c>
      <c r="U134">
        <f t="shared" si="8"/>
        <v>95534</v>
      </c>
    </row>
    <row r="135" spans="1:21">
      <c r="A135" s="17">
        <f t="shared" si="6"/>
        <v>132</v>
      </c>
      <c r="B135" s="17" t="s">
        <v>557</v>
      </c>
      <c r="C135" s="12" t="s">
        <v>23</v>
      </c>
      <c r="D135" s="12" t="s">
        <v>354</v>
      </c>
      <c r="E135" s="12" t="s">
        <v>649</v>
      </c>
      <c r="F135" s="12" t="s">
        <v>69</v>
      </c>
      <c r="G135" s="17" t="s">
        <v>356</v>
      </c>
      <c r="H135" s="17" t="s">
        <v>357</v>
      </c>
      <c r="I135" s="7" t="s">
        <v>950</v>
      </c>
      <c r="J135" s="16">
        <v>0</v>
      </c>
      <c r="K135" s="16">
        <v>0</v>
      </c>
      <c r="L135" s="16">
        <v>0</v>
      </c>
      <c r="M135" s="16">
        <v>0</v>
      </c>
      <c r="N135" s="1"/>
      <c r="O135" s="1">
        <f>IF(COUNTBLANK(N135)=1,0,VLOOKUP(N135,'Date masura SDI'!$A:$M,$J$1,FALSE))</f>
        <v>0</v>
      </c>
      <c r="P135" s="1">
        <f>IF(COUNTBLANK(N135)=1,0,VLOOKUP(N135,'Date masura SDI'!$A:$M,$K$1,FALSE))</f>
        <v>0</v>
      </c>
      <c r="Q135" s="1">
        <f>IF(COUNTBLANK(N135)=1,0,VLOOKUP(N135,'Date masura SDI'!$A:$M,$L$1,FALSE))</f>
        <v>0</v>
      </c>
      <c r="R135" s="1">
        <f>IF(COUNTBLANK(N135)=1,0,VLOOKUP(N135,'Date masura SDI'!$A:$M,$M$1,FALSE))</f>
        <v>0</v>
      </c>
      <c r="T135" t="str">
        <f t="shared" si="7"/>
        <v/>
      </c>
      <c r="U135">
        <f t="shared" si="8"/>
        <v>95534</v>
      </c>
    </row>
    <row r="136" spans="1:21">
      <c r="A136" s="17">
        <f t="shared" si="6"/>
        <v>133</v>
      </c>
      <c r="B136" s="17" t="s">
        <v>557</v>
      </c>
      <c r="C136" s="12" t="s">
        <v>23</v>
      </c>
      <c r="D136" s="12" t="s">
        <v>354</v>
      </c>
      <c r="E136" s="12" t="s">
        <v>988</v>
      </c>
      <c r="F136" s="12" t="s">
        <v>69</v>
      </c>
      <c r="G136" s="17" t="s">
        <v>116</v>
      </c>
      <c r="H136" s="17" t="s">
        <v>358</v>
      </c>
      <c r="I136" s="7" t="s">
        <v>69</v>
      </c>
      <c r="J136" s="16">
        <v>0</v>
      </c>
      <c r="K136" s="16">
        <v>0</v>
      </c>
      <c r="L136" s="16">
        <v>0</v>
      </c>
      <c r="M136" s="16">
        <v>0</v>
      </c>
      <c r="N136" s="1"/>
      <c r="O136" s="1">
        <f>IF(COUNTBLANK(N136)=1,0,VLOOKUP(N136,'Date masura SDI'!$A:$M,$J$1,FALSE))</f>
        <v>0</v>
      </c>
      <c r="P136" s="1">
        <f>IF(COUNTBLANK(N136)=1,0,VLOOKUP(N136,'Date masura SDI'!$A:$M,$K$1,FALSE))</f>
        <v>0</v>
      </c>
      <c r="Q136" s="1">
        <f>IF(COUNTBLANK(N136)=1,0,VLOOKUP(N136,'Date masura SDI'!$A:$M,$L$1,FALSE))</f>
        <v>0</v>
      </c>
      <c r="R136" s="1">
        <f>IF(COUNTBLANK(N136)=1,0,VLOOKUP(N136,'Date masura SDI'!$A:$M,$M$1,FALSE))</f>
        <v>0</v>
      </c>
      <c r="T136" t="str">
        <f t="shared" si="7"/>
        <v/>
      </c>
      <c r="U136">
        <f t="shared" si="8"/>
        <v>95534</v>
      </c>
    </row>
    <row r="137" spans="1:21">
      <c r="A137" s="17">
        <f t="shared" si="6"/>
        <v>134</v>
      </c>
      <c r="B137" s="17" t="s">
        <v>558</v>
      </c>
      <c r="C137" s="12" t="s">
        <v>23</v>
      </c>
      <c r="D137" s="12" t="s">
        <v>359</v>
      </c>
      <c r="E137" s="12" t="s">
        <v>650</v>
      </c>
      <c r="F137" s="12" t="s">
        <v>69</v>
      </c>
      <c r="G137" s="17" t="s">
        <v>360</v>
      </c>
      <c r="H137" s="17" t="s">
        <v>361</v>
      </c>
      <c r="I137" s="7" t="s">
        <v>951</v>
      </c>
      <c r="J137" s="16">
        <v>0</v>
      </c>
      <c r="K137" s="16">
        <v>0</v>
      </c>
      <c r="L137" s="16">
        <v>0</v>
      </c>
      <c r="M137" s="16">
        <v>0</v>
      </c>
      <c r="N137" s="1"/>
      <c r="O137" s="1">
        <f>IF(COUNTBLANK(N137)=1,0,VLOOKUP(N137,'Date masura SDI'!$A:$M,$J$1,FALSE))</f>
        <v>0</v>
      </c>
      <c r="P137" s="1">
        <f>IF(COUNTBLANK(N137)=1,0,VLOOKUP(N137,'Date masura SDI'!$A:$M,$K$1,FALSE))</f>
        <v>0</v>
      </c>
      <c r="Q137" s="1">
        <f>IF(COUNTBLANK(N137)=1,0,VLOOKUP(N137,'Date masura SDI'!$A:$M,$L$1,FALSE))</f>
        <v>0</v>
      </c>
      <c r="R137" s="1">
        <f>IF(COUNTBLANK(N137)=1,0,VLOOKUP(N137,'Date masura SDI'!$A:$M,$M$1,FALSE))</f>
        <v>0</v>
      </c>
      <c r="T137" t="str">
        <f t="shared" si="7"/>
        <v/>
      </c>
      <c r="U137">
        <f t="shared" si="8"/>
        <v>95534</v>
      </c>
    </row>
    <row r="138" spans="1:21">
      <c r="A138" s="17">
        <f t="shared" ref="A138:A177" si="9">A137+1</f>
        <v>135</v>
      </c>
      <c r="B138" s="17" t="s">
        <v>558</v>
      </c>
      <c r="C138" s="12" t="s">
        <v>23</v>
      </c>
      <c r="D138" s="12" t="s">
        <v>359</v>
      </c>
      <c r="E138" s="12" t="s">
        <v>651</v>
      </c>
      <c r="F138" s="12" t="s">
        <v>69</v>
      </c>
      <c r="G138" s="17" t="s">
        <v>362</v>
      </c>
      <c r="H138" s="17" t="s">
        <v>363</v>
      </c>
      <c r="I138" s="7" t="s">
        <v>952</v>
      </c>
      <c r="J138" s="16">
        <v>0</v>
      </c>
      <c r="K138" s="16">
        <v>0</v>
      </c>
      <c r="L138" s="16">
        <v>0</v>
      </c>
      <c r="M138" s="16">
        <v>0</v>
      </c>
      <c r="N138" s="1"/>
      <c r="O138" s="1">
        <f>IF(COUNTBLANK(N138)=1,0,VLOOKUP(N138,'Date masura SDI'!$A:$M,$J$1,FALSE))</f>
        <v>0</v>
      </c>
      <c r="P138" s="1">
        <f>IF(COUNTBLANK(N138)=1,0,VLOOKUP(N138,'Date masura SDI'!$A:$M,$K$1,FALSE))</f>
        <v>0</v>
      </c>
      <c r="Q138" s="1">
        <f>IF(COUNTBLANK(N138)=1,0,VLOOKUP(N138,'Date masura SDI'!$A:$M,$L$1,FALSE))</f>
        <v>0</v>
      </c>
      <c r="R138" s="1">
        <f>IF(COUNTBLANK(N138)=1,0,VLOOKUP(N138,'Date masura SDI'!$A:$M,$M$1,FALSE))</f>
        <v>0</v>
      </c>
      <c r="T138" t="str">
        <f t="shared" si="7"/>
        <v/>
      </c>
      <c r="U138">
        <f t="shared" si="8"/>
        <v>95534</v>
      </c>
    </row>
    <row r="139" spans="1:21">
      <c r="A139" s="17">
        <f t="shared" si="9"/>
        <v>136</v>
      </c>
      <c r="B139" s="17" t="s">
        <v>558</v>
      </c>
      <c r="C139" s="12" t="s">
        <v>23</v>
      </c>
      <c r="D139" s="12" t="s">
        <v>359</v>
      </c>
      <c r="E139" s="12" t="s">
        <v>989</v>
      </c>
      <c r="F139" s="12" t="s">
        <v>69</v>
      </c>
      <c r="G139" s="17" t="s">
        <v>116</v>
      </c>
      <c r="H139" s="17" t="s">
        <v>364</v>
      </c>
      <c r="I139" s="7" t="s">
        <v>69</v>
      </c>
      <c r="J139" s="16">
        <v>0</v>
      </c>
      <c r="K139" s="16">
        <v>0</v>
      </c>
      <c r="L139" s="16">
        <v>0</v>
      </c>
      <c r="M139" s="16">
        <v>0</v>
      </c>
      <c r="N139" s="1"/>
      <c r="O139" s="1">
        <f>IF(COUNTBLANK(N139)=1,0,VLOOKUP(N139,'Date masura SDI'!$A:$M,$J$1,FALSE))</f>
        <v>0</v>
      </c>
      <c r="P139" s="1">
        <f>IF(COUNTBLANK(N139)=1,0,VLOOKUP(N139,'Date masura SDI'!$A:$M,$K$1,FALSE))</f>
        <v>0</v>
      </c>
      <c r="Q139" s="1">
        <f>IF(COUNTBLANK(N139)=1,0,VLOOKUP(N139,'Date masura SDI'!$A:$M,$L$1,FALSE))</f>
        <v>0</v>
      </c>
      <c r="R139" s="1">
        <f>IF(COUNTBLANK(N139)=1,0,VLOOKUP(N139,'Date masura SDI'!$A:$M,$M$1,FALSE))</f>
        <v>0</v>
      </c>
      <c r="T139" t="str">
        <f t="shared" si="7"/>
        <v>RITS</v>
      </c>
      <c r="U139">
        <f t="shared" si="8"/>
        <v>95534</v>
      </c>
    </row>
    <row r="140" spans="1:21">
      <c r="A140" s="17">
        <f t="shared" si="9"/>
        <v>137</v>
      </c>
      <c r="B140" s="17" t="s">
        <v>559</v>
      </c>
      <c r="C140" s="12" t="s">
        <v>25</v>
      </c>
      <c r="D140" s="12" t="s">
        <v>365</v>
      </c>
      <c r="E140" s="12" t="s">
        <v>652</v>
      </c>
      <c r="F140" s="12" t="s">
        <v>691</v>
      </c>
      <c r="G140" s="17" t="s">
        <v>366</v>
      </c>
      <c r="H140" s="17" t="s">
        <v>367</v>
      </c>
      <c r="I140" s="1">
        <v>1372643267</v>
      </c>
      <c r="J140" s="1">
        <f>IF(COUNTBLANK(I140)=1,0,VLOOKUP(I140,'Date masura SDI'!$A:$M,$J$1,FALSE))</f>
        <v>203051</v>
      </c>
      <c r="K140" s="1">
        <f>IF(COUNTBLANK(I140)=1,0,VLOOKUP(I140,'Date masura SDI'!$A:$M,$K$1,FALSE))</f>
        <v>0</v>
      </c>
      <c r="L140" s="1">
        <f>IF(COUNTBLANK(I140)=1,0,VLOOKUP(I140,'Date masura SDI'!$A:$M,$L$1,FALSE))</f>
        <v>4005</v>
      </c>
      <c r="M140" s="1">
        <f>IF(COUNTBLANK(I140)=1,0,VLOOKUP(I140,'Date masura SDI'!$A:$M,$M$1,FALSE))</f>
        <v>5411</v>
      </c>
      <c r="N140" s="1">
        <v>1373264334</v>
      </c>
      <c r="O140" s="1">
        <f>IF(COUNTBLANK(N140)=1,0,VLOOKUP(N140,'Date masura SDI'!$A:$M,$J$1,FALSE))</f>
        <v>12</v>
      </c>
      <c r="P140" s="1">
        <f>IF(COUNTBLANK(N140)=1,0,VLOOKUP(N140,'Date masura SDI'!$A:$M,$K$1,FALSE))</f>
        <v>93169</v>
      </c>
      <c r="Q140" s="1">
        <f>IF(COUNTBLANK(N140)=1,0,VLOOKUP(N140,'Date masura SDI'!$A:$M,$L$1,FALSE))</f>
        <v>424</v>
      </c>
      <c r="R140" s="1">
        <f>IF(COUNTBLANK(N140)=1,0,VLOOKUP(N140,'Date masura SDI'!$A:$M,$M$1,FALSE))</f>
        <v>577</v>
      </c>
      <c r="T140" t="str">
        <f t="shared" si="7"/>
        <v/>
      </c>
      <c r="U140">
        <f t="shared" si="8"/>
        <v>93169</v>
      </c>
    </row>
    <row r="141" spans="1:21">
      <c r="A141" s="17">
        <f t="shared" si="9"/>
        <v>138</v>
      </c>
      <c r="B141" s="17" t="s">
        <v>559</v>
      </c>
      <c r="C141" s="12" t="s">
        <v>25</v>
      </c>
      <c r="D141" s="12" t="s">
        <v>365</v>
      </c>
      <c r="E141" s="12" t="s">
        <v>653</v>
      </c>
      <c r="F141" s="12" t="s">
        <v>692</v>
      </c>
      <c r="G141" s="17" t="s">
        <v>368</v>
      </c>
      <c r="H141" s="17" t="s">
        <v>369</v>
      </c>
      <c r="I141" s="1">
        <v>1372640777</v>
      </c>
      <c r="J141" s="1">
        <f>IF(COUNTBLANK(I141)=1,0,VLOOKUP(I141,'Date masura SDI'!$A:$M,$J$1,FALSE))</f>
        <v>185440</v>
      </c>
      <c r="K141" s="1">
        <f>IF(COUNTBLANK(I141)=1,0,VLOOKUP(I141,'Date masura SDI'!$A:$M,$K$1,FALSE))</f>
        <v>0</v>
      </c>
      <c r="L141" s="1">
        <f>IF(COUNTBLANK(I141)=1,0,VLOOKUP(I141,'Date masura SDI'!$A:$M,$L$1,FALSE))</f>
        <v>2096</v>
      </c>
      <c r="M141" s="1">
        <f>IF(COUNTBLANK(I141)=1,0,VLOOKUP(I141,'Date masura SDI'!$A:$M,$M$1,FALSE))</f>
        <v>4168</v>
      </c>
      <c r="N141" s="1">
        <v>1372644177</v>
      </c>
      <c r="O141" s="1">
        <f>IF(COUNTBLANK(N141)=1,0,VLOOKUP(N141,'Date masura SDI'!$A:$M,$J$1,FALSE))</f>
        <v>12</v>
      </c>
      <c r="P141" s="1">
        <f>IF(COUNTBLANK(N141)=1,0,VLOOKUP(N141,'Date masura SDI'!$A:$M,$K$1,FALSE))</f>
        <v>94866</v>
      </c>
      <c r="Q141" s="1">
        <f>IF(COUNTBLANK(N141)=1,0,VLOOKUP(N141,'Date masura SDI'!$A:$M,$L$1,FALSE))</f>
        <v>1200</v>
      </c>
      <c r="R141" s="1">
        <f>IF(COUNTBLANK(N141)=1,0,VLOOKUP(N141,'Date masura SDI'!$A:$M,$M$1,FALSE))</f>
        <v>348</v>
      </c>
      <c r="T141" t="str">
        <f t="shared" si="7"/>
        <v/>
      </c>
      <c r="U141">
        <f t="shared" si="8"/>
        <v>188035</v>
      </c>
    </row>
    <row r="142" spans="1:21">
      <c r="A142" s="17">
        <f t="shared" si="9"/>
        <v>139</v>
      </c>
      <c r="B142" s="17" t="s">
        <v>559</v>
      </c>
      <c r="C142" s="12" t="s">
        <v>25</v>
      </c>
      <c r="D142" s="12" t="s">
        <v>365</v>
      </c>
      <c r="E142" s="12" t="s">
        <v>990</v>
      </c>
      <c r="F142" s="12" t="s">
        <v>69</v>
      </c>
      <c r="G142" s="17" t="s">
        <v>116</v>
      </c>
      <c r="H142" s="17" t="s">
        <v>370</v>
      </c>
      <c r="I142" s="7" t="s">
        <v>69</v>
      </c>
      <c r="J142" s="16">
        <v>0</v>
      </c>
      <c r="K142" s="16">
        <v>0</v>
      </c>
      <c r="L142" s="16">
        <v>0</v>
      </c>
      <c r="M142" s="16">
        <v>0</v>
      </c>
      <c r="N142" s="1"/>
      <c r="O142" s="1">
        <f>IF(COUNTBLANK(N142)=1,0,VLOOKUP(N142,'Date masura SDI'!$A:$M,$J$1,FALSE))</f>
        <v>0</v>
      </c>
      <c r="P142" s="1">
        <f>IF(COUNTBLANK(N142)=1,0,VLOOKUP(N142,'Date masura SDI'!$A:$M,$K$1,FALSE))</f>
        <v>0</v>
      </c>
      <c r="Q142" s="1">
        <f>IF(COUNTBLANK(N142)=1,0,VLOOKUP(N142,'Date masura SDI'!$A:$M,$L$1,FALSE))</f>
        <v>0</v>
      </c>
      <c r="R142" s="1">
        <f>IF(COUNTBLANK(N142)=1,0,VLOOKUP(N142,'Date masura SDI'!$A:$M,$M$1,FALSE))</f>
        <v>0</v>
      </c>
      <c r="T142" t="str">
        <f t="shared" si="7"/>
        <v/>
      </c>
      <c r="U142">
        <f t="shared" si="8"/>
        <v>188035</v>
      </c>
    </row>
    <row r="143" spans="1:21">
      <c r="A143" s="17">
        <f t="shared" si="9"/>
        <v>140</v>
      </c>
      <c r="B143" s="17" t="s">
        <v>560</v>
      </c>
      <c r="C143" s="12" t="s">
        <v>25</v>
      </c>
      <c r="D143" s="12" t="s">
        <v>371</v>
      </c>
      <c r="E143" s="12" t="s">
        <v>654</v>
      </c>
      <c r="F143" s="12" t="s">
        <v>69</v>
      </c>
      <c r="G143" s="17" t="s">
        <v>372</v>
      </c>
      <c r="H143" s="17" t="s">
        <v>373</v>
      </c>
      <c r="I143" s="7" t="s">
        <v>953</v>
      </c>
      <c r="J143" s="16">
        <v>0</v>
      </c>
      <c r="K143" s="16">
        <v>0</v>
      </c>
      <c r="L143" s="16">
        <v>0</v>
      </c>
      <c r="M143" s="16">
        <v>0</v>
      </c>
      <c r="N143" s="1"/>
      <c r="O143" s="1">
        <f>IF(COUNTBLANK(N143)=1,0,VLOOKUP(N143,'Date masura SDI'!$A:$M,$J$1,FALSE))</f>
        <v>0</v>
      </c>
      <c r="P143" s="1">
        <f>IF(COUNTBLANK(N143)=1,0,VLOOKUP(N143,'Date masura SDI'!$A:$M,$K$1,FALSE))</f>
        <v>0</v>
      </c>
      <c r="Q143" s="1">
        <f>IF(COUNTBLANK(N143)=1,0,VLOOKUP(N143,'Date masura SDI'!$A:$M,$L$1,FALSE))</f>
        <v>0</v>
      </c>
      <c r="R143" s="1">
        <f>IF(COUNTBLANK(N143)=1,0,VLOOKUP(N143,'Date masura SDI'!$A:$M,$M$1,FALSE))</f>
        <v>0</v>
      </c>
      <c r="T143" t="str">
        <f t="shared" si="7"/>
        <v/>
      </c>
      <c r="U143">
        <f t="shared" si="8"/>
        <v>188035</v>
      </c>
    </row>
    <row r="144" spans="1:21">
      <c r="A144" s="17">
        <f t="shared" si="9"/>
        <v>141</v>
      </c>
      <c r="B144" s="17" t="s">
        <v>560</v>
      </c>
      <c r="C144" s="12" t="s">
        <v>25</v>
      </c>
      <c r="D144" s="12" t="s">
        <v>371</v>
      </c>
      <c r="E144" s="12" t="s">
        <v>991</v>
      </c>
      <c r="F144" s="12" t="s">
        <v>69</v>
      </c>
      <c r="G144" s="17" t="s">
        <v>116</v>
      </c>
      <c r="H144" s="17" t="s">
        <v>374</v>
      </c>
      <c r="I144" s="7" t="s">
        <v>69</v>
      </c>
      <c r="J144" s="16">
        <v>0</v>
      </c>
      <c r="K144" s="16">
        <v>0</v>
      </c>
      <c r="L144" s="16">
        <v>0</v>
      </c>
      <c r="M144" s="16">
        <v>0</v>
      </c>
      <c r="N144" s="1"/>
      <c r="O144" s="1">
        <f>IF(COUNTBLANK(N144)=1,0,VLOOKUP(N144,'Date masura SDI'!$A:$M,$J$1,FALSE))</f>
        <v>0</v>
      </c>
      <c r="P144" s="1">
        <f>IF(COUNTBLANK(N144)=1,0,VLOOKUP(N144,'Date masura SDI'!$A:$M,$K$1,FALSE))</f>
        <v>0</v>
      </c>
      <c r="Q144" s="1">
        <f>IF(COUNTBLANK(N144)=1,0,VLOOKUP(N144,'Date masura SDI'!$A:$M,$L$1,FALSE))</f>
        <v>0</v>
      </c>
      <c r="R144" s="1">
        <f>IF(COUNTBLANK(N144)=1,0,VLOOKUP(N144,'Date masura SDI'!$A:$M,$M$1,FALSE))</f>
        <v>0</v>
      </c>
      <c r="T144" t="str">
        <f t="shared" si="7"/>
        <v/>
      </c>
      <c r="U144">
        <f t="shared" si="8"/>
        <v>188035</v>
      </c>
    </row>
    <row r="145" spans="1:21">
      <c r="A145" s="17">
        <f t="shared" si="9"/>
        <v>142</v>
      </c>
      <c r="B145" s="17" t="s">
        <v>561</v>
      </c>
      <c r="C145" s="12" t="s">
        <v>25</v>
      </c>
      <c r="D145" s="12" t="s">
        <v>375</v>
      </c>
      <c r="E145" s="12" t="s">
        <v>655</v>
      </c>
      <c r="F145" s="12" t="s">
        <v>69</v>
      </c>
      <c r="G145" s="17" t="s">
        <v>376</v>
      </c>
      <c r="H145" s="17" t="s">
        <v>377</v>
      </c>
      <c r="I145" s="7" t="s">
        <v>954</v>
      </c>
      <c r="J145" s="16">
        <v>0</v>
      </c>
      <c r="K145" s="16">
        <v>0</v>
      </c>
      <c r="L145" s="16">
        <v>0</v>
      </c>
      <c r="M145" s="16">
        <v>0</v>
      </c>
      <c r="N145" s="1"/>
      <c r="O145" s="1">
        <f>IF(COUNTBLANK(N145)=1,0,VLOOKUP(N145,'Date masura SDI'!$A:$M,$J$1,FALSE))</f>
        <v>0</v>
      </c>
      <c r="P145" s="1">
        <f>IF(COUNTBLANK(N145)=1,0,VLOOKUP(N145,'Date masura SDI'!$A:$M,$K$1,FALSE))</f>
        <v>0</v>
      </c>
      <c r="Q145" s="1">
        <f>IF(COUNTBLANK(N145)=1,0,VLOOKUP(N145,'Date masura SDI'!$A:$M,$L$1,FALSE))</f>
        <v>0</v>
      </c>
      <c r="R145" s="1">
        <f>IF(COUNTBLANK(N145)=1,0,VLOOKUP(N145,'Date masura SDI'!$A:$M,$M$1,FALSE))</f>
        <v>0</v>
      </c>
      <c r="T145" t="str">
        <f t="shared" si="7"/>
        <v/>
      </c>
      <c r="U145">
        <f t="shared" si="8"/>
        <v>188035</v>
      </c>
    </row>
    <row r="146" spans="1:21">
      <c r="A146" s="17">
        <f t="shared" si="9"/>
        <v>143</v>
      </c>
      <c r="B146" s="17" t="s">
        <v>561</v>
      </c>
      <c r="C146" s="12" t="s">
        <v>25</v>
      </c>
      <c r="D146" s="12" t="s">
        <v>375</v>
      </c>
      <c r="E146" s="12" t="s">
        <v>992</v>
      </c>
      <c r="F146" s="12" t="s">
        <v>69</v>
      </c>
      <c r="G146" s="17" t="s">
        <v>116</v>
      </c>
      <c r="H146" s="17" t="s">
        <v>378</v>
      </c>
      <c r="I146" s="7" t="s">
        <v>69</v>
      </c>
      <c r="J146" s="16">
        <v>0</v>
      </c>
      <c r="K146" s="16">
        <v>0</v>
      </c>
      <c r="L146" s="16">
        <v>0</v>
      </c>
      <c r="M146" s="16">
        <v>0</v>
      </c>
      <c r="N146" s="1"/>
      <c r="O146" s="1">
        <f>IF(COUNTBLANK(N146)=1,0,VLOOKUP(N146,'Date masura SDI'!$A:$M,$J$1,FALSE))</f>
        <v>0</v>
      </c>
      <c r="P146" s="1">
        <f>IF(COUNTBLANK(N146)=1,0,VLOOKUP(N146,'Date masura SDI'!$A:$M,$K$1,FALSE))</f>
        <v>0</v>
      </c>
      <c r="Q146" s="1">
        <f>IF(COUNTBLANK(N146)=1,0,VLOOKUP(N146,'Date masura SDI'!$A:$M,$L$1,FALSE))</f>
        <v>0</v>
      </c>
      <c r="R146" s="1">
        <f>IF(COUNTBLANK(N146)=1,0,VLOOKUP(N146,'Date masura SDI'!$A:$M,$M$1,FALSE))</f>
        <v>0</v>
      </c>
      <c r="T146" t="str">
        <f t="shared" si="7"/>
        <v/>
      </c>
      <c r="U146">
        <f t="shared" si="8"/>
        <v>188035</v>
      </c>
    </row>
    <row r="147" spans="1:21">
      <c r="A147" s="17">
        <f t="shared" si="9"/>
        <v>144</v>
      </c>
      <c r="B147" s="17" t="s">
        <v>562</v>
      </c>
      <c r="C147" s="12" t="s">
        <v>25</v>
      </c>
      <c r="D147" s="12" t="s">
        <v>397</v>
      </c>
      <c r="E147" s="70" t="s">
        <v>562</v>
      </c>
      <c r="F147" s="12" t="s">
        <v>69</v>
      </c>
      <c r="G147" s="23" t="s">
        <v>25</v>
      </c>
      <c r="H147" s="23" t="s">
        <v>397</v>
      </c>
      <c r="I147" s="31">
        <v>2825515</v>
      </c>
      <c r="J147" s="20">
        <f>VLOOKUP(H147,'Date masura OD'!$E:$BB,14,FALSE)</f>
        <v>2953</v>
      </c>
      <c r="K147" s="20">
        <v>0</v>
      </c>
      <c r="L147" s="20">
        <f>VLOOKUP(H147,'Date masura OD'!$E:$BB,15,FALSE)</f>
        <v>0</v>
      </c>
      <c r="M147" s="20">
        <f>VLOOKUP(H147,'Date masura OD'!$E:$BB,16,FALSE)</f>
        <v>0</v>
      </c>
      <c r="N147" s="19"/>
      <c r="O147" s="20" t="str">
        <f>IF(COUNTBLANK(N147)=1,"",VLOOKUP(N147,'Date masura SDI'!$A:$M,$J$1-7,FALSE))</f>
        <v/>
      </c>
      <c r="P147" s="20" t="str">
        <f>IF(COUNTBLANK(N147)=1,"",VLOOKUP(N147,'Date masura SDI'!$A:$M,$K$1-7,FALSE))</f>
        <v/>
      </c>
      <c r="Q147" s="20" t="str">
        <f>IF(COUNTBLANK(N147)=1,"",VLOOKUP(N147,'Date masura SDI'!$A:$M,$L$1-7,FALSE))</f>
        <v/>
      </c>
      <c r="R147" s="20" t="str">
        <f>IF(COUNTBLANK(N147)=1,"",VLOOKUP(N147,'Date masura SDI'!$A:$M,$M$1-7,FALSE))</f>
        <v/>
      </c>
      <c r="T147" t="str">
        <f t="shared" si="7"/>
        <v>RNSS</v>
      </c>
      <c r="U147">
        <f t="shared" si="8"/>
        <v>188035</v>
      </c>
    </row>
    <row r="148" spans="1:21">
      <c r="A148" s="17">
        <f t="shared" si="9"/>
        <v>145</v>
      </c>
      <c r="B148" s="17" t="s">
        <v>563</v>
      </c>
      <c r="C148" s="12" t="s">
        <v>24</v>
      </c>
      <c r="D148" s="12" t="s">
        <v>379</v>
      </c>
      <c r="E148" s="12" t="s">
        <v>656</v>
      </c>
      <c r="F148" s="12" t="s">
        <v>693</v>
      </c>
      <c r="G148" s="17" t="s">
        <v>380</v>
      </c>
      <c r="H148" s="17" t="s">
        <v>381</v>
      </c>
      <c r="I148" s="1">
        <v>1372628250</v>
      </c>
      <c r="J148" s="1">
        <f>IF(COUNTBLANK(I148)=1,0,VLOOKUP(I148,'Date masura SDI'!$A:$M,$J$1,FALSE))</f>
        <v>38356</v>
      </c>
      <c r="K148" s="1">
        <f>IF(COUNTBLANK(I148)=1,0,VLOOKUP(I148,'Date masura SDI'!$A:$M,$K$1,FALSE))</f>
        <v>0</v>
      </c>
      <c r="L148" s="1">
        <f>IF(COUNTBLANK(I148)=1,0,VLOOKUP(I148,'Date masura SDI'!$A:$M,$L$1,FALSE))</f>
        <v>19</v>
      </c>
      <c r="M148" s="1">
        <f>IF(COUNTBLANK(I148)=1,0,VLOOKUP(I148,'Date masura SDI'!$A:$M,$M$1,FALSE))</f>
        <v>10819</v>
      </c>
      <c r="N148" s="1">
        <v>1372644189</v>
      </c>
      <c r="O148" s="1">
        <f>IF(COUNTBLANK(N148)=1,0,VLOOKUP(N148,'Date masura SDI'!$A:$M,$J$1,FALSE))</f>
        <v>610</v>
      </c>
      <c r="P148" s="1">
        <f>IF(COUNTBLANK(N148)=1,0,VLOOKUP(N148,'Date masura SDI'!$A:$M,$K$1,FALSE))</f>
        <v>5344</v>
      </c>
      <c r="Q148" s="1">
        <f>IF(COUNTBLANK(N148)=1,0,VLOOKUP(N148,'Date masura SDI'!$A:$M,$L$1,FALSE))</f>
        <v>18</v>
      </c>
      <c r="R148" s="1">
        <f>IF(COUNTBLANK(N148)=1,0,VLOOKUP(N148,'Date masura SDI'!$A:$M,$M$1,FALSE))</f>
        <v>485</v>
      </c>
      <c r="T148" t="str">
        <f t="shared" si="7"/>
        <v/>
      </c>
      <c r="U148">
        <f t="shared" si="8"/>
        <v>5344</v>
      </c>
    </row>
    <row r="149" spans="1:21">
      <c r="A149" s="17">
        <f t="shared" si="9"/>
        <v>146</v>
      </c>
      <c r="B149" s="17" t="s">
        <v>563</v>
      </c>
      <c r="C149" s="12" t="s">
        <v>24</v>
      </c>
      <c r="D149" s="12" t="s">
        <v>379</v>
      </c>
      <c r="E149" s="12" t="s">
        <v>993</v>
      </c>
      <c r="F149" s="12" t="s">
        <v>69</v>
      </c>
      <c r="G149" s="17" t="s">
        <v>116</v>
      </c>
      <c r="H149" s="17" t="s">
        <v>382</v>
      </c>
      <c r="I149" s="7" t="s">
        <v>69</v>
      </c>
      <c r="J149" s="16">
        <v>0</v>
      </c>
      <c r="K149" s="16">
        <v>0</v>
      </c>
      <c r="L149" s="16">
        <v>0</v>
      </c>
      <c r="M149" s="16">
        <v>0</v>
      </c>
      <c r="N149" s="1"/>
      <c r="O149" s="1">
        <f>IF(COUNTBLANK(N149)=1,0,VLOOKUP(N149,'Date masura SDI'!$A:$M,$J$1,FALSE))</f>
        <v>0</v>
      </c>
      <c r="P149" s="1">
        <f>IF(COUNTBLANK(N149)=1,0,VLOOKUP(N149,'Date masura SDI'!$A:$M,$K$1,FALSE))</f>
        <v>0</v>
      </c>
      <c r="Q149" s="1">
        <f>IF(COUNTBLANK(N149)=1,0,VLOOKUP(N149,'Date masura SDI'!$A:$M,$L$1,FALSE))</f>
        <v>0</v>
      </c>
      <c r="R149" s="1">
        <f>IF(COUNTBLANK(N149)=1,0,VLOOKUP(N149,'Date masura SDI'!$A:$M,$M$1,FALSE))</f>
        <v>0</v>
      </c>
      <c r="T149" t="str">
        <f t="shared" si="7"/>
        <v/>
      </c>
      <c r="U149">
        <f t="shared" si="8"/>
        <v>5344</v>
      </c>
    </row>
    <row r="150" spans="1:21">
      <c r="A150" s="17">
        <f t="shared" si="9"/>
        <v>147</v>
      </c>
      <c r="B150" s="17" t="s">
        <v>564</v>
      </c>
      <c r="C150" s="12" t="s">
        <v>24</v>
      </c>
      <c r="D150" s="12" t="s">
        <v>383</v>
      </c>
      <c r="E150" s="12" t="s">
        <v>657</v>
      </c>
      <c r="F150" s="12" t="s">
        <v>694</v>
      </c>
      <c r="G150" s="17" t="s">
        <v>384</v>
      </c>
      <c r="H150" s="17" t="s">
        <v>385</v>
      </c>
      <c r="I150" s="1">
        <v>1371623282</v>
      </c>
      <c r="J150" s="1">
        <f>IF(COUNTBLANK(I150)=1,0,VLOOKUP(I150,'Date masura SDI'!$A:$M,$J$1,FALSE))</f>
        <v>45916</v>
      </c>
      <c r="K150" s="1">
        <f>IF(COUNTBLANK(I150)=1,0,VLOOKUP(I150,'Date masura SDI'!$A:$M,$K$1,FALSE))</f>
        <v>11</v>
      </c>
      <c r="L150" s="1">
        <f>IF(COUNTBLANK(I150)=1,0,VLOOKUP(I150,'Date masura SDI'!$A:$M,$L$1,FALSE))</f>
        <v>788</v>
      </c>
      <c r="M150" s="1">
        <f>IF(COUNTBLANK(I150)=1,0,VLOOKUP(I150,'Date masura SDI'!$A:$M,$M$1,FALSE))</f>
        <v>3498</v>
      </c>
      <c r="N150" s="1">
        <v>1372656740</v>
      </c>
      <c r="O150" s="1">
        <f>IF(COUNTBLANK(N150)=1,0,VLOOKUP(N150,'Date masura SDI'!$A:$M,$J$1,FALSE))</f>
        <v>59</v>
      </c>
      <c r="P150" s="1">
        <f>IF(COUNTBLANK(N150)=1,0,VLOOKUP(N150,'Date masura SDI'!$A:$M,$K$1,FALSE))</f>
        <v>36153</v>
      </c>
      <c r="Q150" s="1">
        <f>IF(COUNTBLANK(N150)=1,0,VLOOKUP(N150,'Date masura SDI'!$A:$M,$L$1,FALSE))</f>
        <v>1</v>
      </c>
      <c r="R150" s="1">
        <f>IF(COUNTBLANK(N150)=1,0,VLOOKUP(N150,'Date masura SDI'!$A:$M,$M$1,FALSE))</f>
        <v>745</v>
      </c>
      <c r="T150" t="str">
        <f t="shared" si="7"/>
        <v/>
      </c>
      <c r="U150">
        <f t="shared" si="8"/>
        <v>41497</v>
      </c>
    </row>
    <row r="151" spans="1:21">
      <c r="A151" s="17">
        <f t="shared" si="9"/>
        <v>148</v>
      </c>
      <c r="B151" s="17" t="s">
        <v>564</v>
      </c>
      <c r="C151" s="12" t="s">
        <v>24</v>
      </c>
      <c r="D151" s="12" t="s">
        <v>383</v>
      </c>
      <c r="E151" s="12" t="s">
        <v>994</v>
      </c>
      <c r="F151" s="12" t="s">
        <v>69</v>
      </c>
      <c r="G151" s="17" t="s">
        <v>116</v>
      </c>
      <c r="H151" s="17" t="s">
        <v>386</v>
      </c>
      <c r="I151" s="7" t="s">
        <v>69</v>
      </c>
      <c r="J151" s="16">
        <v>0</v>
      </c>
      <c r="K151" s="16">
        <v>0</v>
      </c>
      <c r="L151" s="16">
        <v>0</v>
      </c>
      <c r="M151" s="16">
        <v>0</v>
      </c>
      <c r="N151" s="1"/>
      <c r="O151" s="1">
        <f>IF(COUNTBLANK(N151)=1,0,VLOOKUP(N151,'Date masura SDI'!$A:$M,$J$1,FALSE))</f>
        <v>0</v>
      </c>
      <c r="P151" s="1">
        <f>IF(COUNTBLANK(N151)=1,0,VLOOKUP(N151,'Date masura SDI'!$A:$M,$K$1,FALSE))</f>
        <v>0</v>
      </c>
      <c r="Q151" s="1">
        <f>IF(COUNTBLANK(N151)=1,0,VLOOKUP(N151,'Date masura SDI'!$A:$M,$L$1,FALSE))</f>
        <v>0</v>
      </c>
      <c r="R151" s="1">
        <f>IF(COUNTBLANK(N151)=1,0,VLOOKUP(N151,'Date masura SDI'!$A:$M,$M$1,FALSE))</f>
        <v>0</v>
      </c>
      <c r="T151" t="str">
        <f t="shared" si="7"/>
        <v/>
      </c>
      <c r="U151">
        <f t="shared" si="8"/>
        <v>41497</v>
      </c>
    </row>
    <row r="152" spans="1:21">
      <c r="A152" s="17">
        <f t="shared" si="9"/>
        <v>149</v>
      </c>
      <c r="B152" s="17" t="s">
        <v>565</v>
      </c>
      <c r="C152" s="12" t="s">
        <v>24</v>
      </c>
      <c r="D152" s="12" t="s">
        <v>391</v>
      </c>
      <c r="E152" s="70" t="s">
        <v>565</v>
      </c>
      <c r="F152" s="12" t="s">
        <v>69</v>
      </c>
      <c r="G152" s="23" t="s">
        <v>24</v>
      </c>
      <c r="H152" s="23" t="s">
        <v>391</v>
      </c>
      <c r="I152" s="31">
        <v>2710182</v>
      </c>
      <c r="J152" s="20">
        <f>VLOOKUP(H152,'Date masura OD'!$E:$BB,14,FALSE)</f>
        <v>3606</v>
      </c>
      <c r="K152" s="20">
        <v>0</v>
      </c>
      <c r="L152" s="20">
        <f>VLOOKUP(H152,'Date masura OD'!$E:$BB,15,FALSE)</f>
        <v>0</v>
      </c>
      <c r="M152" s="20">
        <f>VLOOKUP(H152,'Date masura OD'!$E:$BB,16,FALSE)</f>
        <v>0</v>
      </c>
      <c r="N152" s="19"/>
      <c r="O152" s="20" t="str">
        <f>IF(COUNTBLANK(N152)=1,"",VLOOKUP(N152,'Date masura SDI'!$A:$M,$J$1-7,FALSE))</f>
        <v/>
      </c>
      <c r="P152" s="20" t="str">
        <f>IF(COUNTBLANK(N152)=1,"",VLOOKUP(N152,'Date masura SDI'!$A:$M,$K$1-7,FALSE))</f>
        <v/>
      </c>
      <c r="Q152" s="20" t="str">
        <f>IF(COUNTBLANK(N152)=1,"",VLOOKUP(N152,'Date masura SDI'!$A:$M,$L$1-7,FALSE))</f>
        <v/>
      </c>
      <c r="R152" s="20" t="str">
        <f>IF(COUNTBLANK(N152)=1,"",VLOOKUP(N152,'Date masura SDI'!$A:$M,$M$1-7,FALSE))</f>
        <v/>
      </c>
      <c r="T152" t="str">
        <f t="shared" si="7"/>
        <v>RSSC</v>
      </c>
      <c r="U152">
        <f t="shared" si="8"/>
        <v>41497</v>
      </c>
    </row>
    <row r="153" spans="1:21">
      <c r="A153" s="17">
        <f t="shared" si="9"/>
        <v>150</v>
      </c>
      <c r="B153" s="17" t="s">
        <v>566</v>
      </c>
      <c r="C153" s="12" t="s">
        <v>66</v>
      </c>
      <c r="D153" s="12" t="s">
        <v>399</v>
      </c>
      <c r="E153" s="12" t="s">
        <v>658</v>
      </c>
      <c r="F153" s="12" t="s">
        <v>1132</v>
      </c>
      <c r="G153" s="24" t="s">
        <v>406</v>
      </c>
      <c r="H153" s="24" t="s">
        <v>400</v>
      </c>
      <c r="I153" s="1">
        <v>23298246</v>
      </c>
      <c r="J153" s="14">
        <f>IF(COUNTBLANK(I153)=1,"",VLOOKUP(I153,'Date masura SDI'!$A:$M,$J$1,FALSE))</f>
        <v>42048</v>
      </c>
      <c r="K153" s="14">
        <f>IF(COUNTBLANK(I153)=1,"",VLOOKUP(I153,'Date masura SDI'!$A:$M,$K$1,FALSE))</f>
        <v>207</v>
      </c>
      <c r="L153" s="14">
        <f>IF(COUNTBLANK(I153)=1,"",VLOOKUP(I153,'Date masura SDI'!$A:$M,$L$1,FALSE))</f>
        <v>0</v>
      </c>
      <c r="M153" s="14">
        <f>IF(COUNTBLANK(I153)=1,"",VLOOKUP(I153,'Date masura SDI'!$A:$M,$M$1,FALSE))</f>
        <v>0</v>
      </c>
      <c r="N153" s="14">
        <v>23298253</v>
      </c>
      <c r="O153" s="117">
        <f>IF(COUNTBLANK(N153)=1,0,VLOOKUP(N153,'Date masura SDI'!$A:$M,$J$1,FALSE))</f>
        <v>0</v>
      </c>
      <c r="P153" s="135">
        <f>IF(COUNTBLANK(N153)=1,0,VLOOKUP(N153,'Date masura SDI'!$A:$M,$K$1,FALSE))+K153</f>
        <v>48921</v>
      </c>
      <c r="Q153" s="117">
        <f>IF(COUNTBLANK(N153)=1,0,VLOOKUP(N153,'Date masura SDI'!$A:$M,$L$1,FALSE))</f>
        <v>0</v>
      </c>
      <c r="R153" s="117">
        <f>IF(COUNTBLANK(N153)=1,0,VLOOKUP(N153,'Date masura SDI'!$A:$M,$M$1,FALSE))</f>
        <v>0</v>
      </c>
      <c r="T153" t="str">
        <f t="shared" si="7"/>
        <v/>
      </c>
      <c r="U153">
        <f t="shared" si="8"/>
        <v>48921</v>
      </c>
    </row>
    <row r="154" spans="1:21">
      <c r="A154" s="17">
        <f t="shared" si="9"/>
        <v>151</v>
      </c>
      <c r="B154" s="17" t="s">
        <v>566</v>
      </c>
      <c r="C154" s="12" t="s">
        <v>66</v>
      </c>
      <c r="D154" s="12" t="s">
        <v>399</v>
      </c>
      <c r="E154" s="12" t="s">
        <v>659</v>
      </c>
      <c r="F154" s="12" t="s">
        <v>1437</v>
      </c>
      <c r="G154" s="24" t="s">
        <v>407</v>
      </c>
      <c r="H154" s="24" t="s">
        <v>401</v>
      </c>
      <c r="I154" s="1">
        <v>23298249</v>
      </c>
      <c r="J154" s="14">
        <f>IF(COUNTBLANK(I154)=1,"",VLOOKUP(I154,'Date masura SDI'!$A:$M,$J$1,FALSE))</f>
        <v>65175</v>
      </c>
      <c r="K154" s="14">
        <f>IF(COUNTBLANK(I154)=1,"",VLOOKUP(I154,'Date masura SDI'!$A:$M,$K$1,FALSE))</f>
        <v>17996</v>
      </c>
      <c r="L154" s="14">
        <f>IF(COUNTBLANK(I154)=1,"",VLOOKUP(I154,'Date masura SDI'!$A:$M,$L$1,FALSE))</f>
        <v>0</v>
      </c>
      <c r="M154" s="14">
        <f>IF(COUNTBLANK(I154)=1,"",VLOOKUP(I154,'Date masura SDI'!$A:$M,$M$1,FALSE))</f>
        <v>0</v>
      </c>
      <c r="N154" s="14">
        <v>23298248</v>
      </c>
      <c r="O154" s="14">
        <f>IF(COUNTBLANK(N154)=1,0,VLOOKUP(N154,'Date masura SDI'!$A:$M,$J$1,FALSE))</f>
        <v>0</v>
      </c>
      <c r="P154" s="16">
        <f>IF(COUNTBLANK(N154)=1,0,VLOOKUP(N154,'Date masura SDI'!$A:$M,$K$1,FALSE))+K154</f>
        <v>56918</v>
      </c>
      <c r="Q154" s="14">
        <f>IF(COUNTBLANK(N154)=1,0,VLOOKUP(N154,'Date masura SDI'!$A:$M,$L$1,FALSE))</f>
        <v>0</v>
      </c>
      <c r="R154" s="14">
        <f>IF(COUNTBLANK(N154)=1,0,VLOOKUP(N154,'Date masura SDI'!$A:$M,$M$1,FALSE))</f>
        <v>0</v>
      </c>
      <c r="T154" t="str">
        <f t="shared" si="7"/>
        <v/>
      </c>
      <c r="U154">
        <f t="shared" si="8"/>
        <v>105839</v>
      </c>
    </row>
    <row r="155" spans="1:21">
      <c r="A155" s="17">
        <f t="shared" si="9"/>
        <v>152</v>
      </c>
      <c r="B155" s="17" t="s">
        <v>566</v>
      </c>
      <c r="C155" s="12" t="s">
        <v>66</v>
      </c>
      <c r="D155" s="12" t="s">
        <v>399</v>
      </c>
      <c r="E155" s="12" t="s">
        <v>995</v>
      </c>
      <c r="F155" s="12" t="s">
        <v>69</v>
      </c>
      <c r="G155" s="17" t="s">
        <v>116</v>
      </c>
      <c r="H155" s="17" t="s">
        <v>402</v>
      </c>
      <c r="I155" s="7" t="s">
        <v>69</v>
      </c>
      <c r="J155" s="1">
        <v>0</v>
      </c>
      <c r="K155" s="1">
        <v>0</v>
      </c>
      <c r="L155" s="1">
        <v>0</v>
      </c>
      <c r="M155" s="1">
        <v>0</v>
      </c>
      <c r="N155" s="1"/>
      <c r="O155" s="1">
        <f>IF(COUNTBLANK(N155)=1,0,VLOOKUP(N155,'Date masura SDI'!$A:$M,$J$1,FALSE))</f>
        <v>0</v>
      </c>
      <c r="P155" s="1">
        <f>IF(COUNTBLANK(N155)=1,0,VLOOKUP(N155,'Date masura SDI'!$A:$M,$K$1,FALSE))</f>
        <v>0</v>
      </c>
      <c r="Q155" s="1">
        <f>IF(COUNTBLANK(N155)=1,0,VLOOKUP(N155,'Date masura SDI'!$A:$M,$L$1,FALSE))</f>
        <v>0</v>
      </c>
      <c r="R155" s="1">
        <f>IF(COUNTBLANK(N155)=1,0,VLOOKUP(N155,'Date masura SDI'!$A:$M,$M$1,FALSE))</f>
        <v>0</v>
      </c>
      <c r="T155" t="str">
        <f t="shared" si="7"/>
        <v/>
      </c>
      <c r="U155">
        <f t="shared" si="8"/>
        <v>105839</v>
      </c>
    </row>
    <row r="156" spans="1:21">
      <c r="A156" s="17">
        <f t="shared" si="9"/>
        <v>153</v>
      </c>
      <c r="B156" s="17" t="s">
        <v>567</v>
      </c>
      <c r="C156" s="17" t="s">
        <v>66</v>
      </c>
      <c r="D156" s="17" t="s">
        <v>398</v>
      </c>
      <c r="E156" s="17" t="s">
        <v>660</v>
      </c>
      <c r="F156" s="12" t="s">
        <v>1438</v>
      </c>
      <c r="G156" s="17" t="s">
        <v>408</v>
      </c>
      <c r="H156" s="17" t="s">
        <v>403</v>
      </c>
      <c r="I156" s="17">
        <v>23298250</v>
      </c>
      <c r="J156" s="14">
        <f>IF(COUNTBLANK(I156)=1,"",VLOOKUP(I156,'Date masura SDI'!$A:$M,$J$1,FALSE))</f>
        <v>25691.000000000004</v>
      </c>
      <c r="K156" s="14">
        <f>IF(COUNTBLANK(I156)=1,"",VLOOKUP(I156,'Date masura SDI'!$A:$M,$K$1,FALSE))</f>
        <v>0</v>
      </c>
      <c r="L156" s="14">
        <f>IF(COUNTBLANK(I156)=1,"",VLOOKUP(I156,'Date masura SDI'!$A:$M,$L$1,FALSE))</f>
        <v>0</v>
      </c>
      <c r="M156" s="14">
        <f>IF(COUNTBLANK(I156)=1,"",VLOOKUP(I156,'Date masura SDI'!$A:$M,$M$1,FALSE))</f>
        <v>0</v>
      </c>
      <c r="N156" s="14">
        <v>23298255</v>
      </c>
      <c r="O156" s="14">
        <f>IF(COUNTBLANK(N156)=1,0,VLOOKUP(N156,'Date masura SDI'!$A:$M,$J$1,FALSE))</f>
        <v>0</v>
      </c>
      <c r="P156" s="14">
        <f>IF(COUNTBLANK(N156)=1,0,VLOOKUP(N156,'Date masura SDI'!$A:$M,$K$1,FALSE))</f>
        <v>4594</v>
      </c>
      <c r="Q156" s="14">
        <f>IF(COUNTBLANK(N156)=1,0,VLOOKUP(N156,'Date masura SDI'!$A:$M,$L$1,FALSE))</f>
        <v>0</v>
      </c>
      <c r="R156" s="14">
        <f>IF(COUNTBLANK(N156)=1,0,VLOOKUP(N156,'Date masura SDI'!$A:$M,$M$1,FALSE))</f>
        <v>0</v>
      </c>
      <c r="T156" t="str">
        <f t="shared" si="7"/>
        <v/>
      </c>
      <c r="U156">
        <f t="shared" si="8"/>
        <v>110433</v>
      </c>
    </row>
    <row r="157" spans="1:21">
      <c r="A157" s="17">
        <f t="shared" si="9"/>
        <v>154</v>
      </c>
      <c r="B157" s="17" t="s">
        <v>567</v>
      </c>
      <c r="C157" s="17" t="s">
        <v>66</v>
      </c>
      <c r="D157" s="17" t="s">
        <v>398</v>
      </c>
      <c r="E157" s="17" t="s">
        <v>661</v>
      </c>
      <c r="F157" s="17" t="s">
        <v>69</v>
      </c>
      <c r="G157" s="17" t="s">
        <v>409</v>
      </c>
      <c r="H157" s="17" t="s">
        <v>404</v>
      </c>
      <c r="I157" s="17">
        <v>23298245</v>
      </c>
      <c r="J157" s="1">
        <f>IF(COUNTBLANK(I157)=1,0,VLOOKUP(I157,'Date masura SDI'!$A:$M,$J$1,FALSE))</f>
        <v>100159.99999999985</v>
      </c>
      <c r="K157" s="14">
        <f>IF(COUNTBLANK(I157)=1,"",VLOOKUP(I157,'Date masura SDI'!$A:$M,$K$1,FALSE))</f>
        <v>0</v>
      </c>
      <c r="L157" s="14">
        <f>IF(COUNTBLANK(I157)=1,"",VLOOKUP(I157,'Date masura SDI'!$A:$M,$L$1,FALSE))</f>
        <v>0</v>
      </c>
      <c r="M157" s="14">
        <f>IF(COUNTBLANK(I157)=1,"",VLOOKUP(I157,'Date masura SDI'!$A:$M,$M$1,FALSE))</f>
        <v>0</v>
      </c>
      <c r="N157" s="14"/>
      <c r="O157" s="14">
        <f>IF(COUNTBLANK(N157)=1,0,VLOOKUP(N157,'Date masura SDI'!$A:$M,$J$1,FALSE))</f>
        <v>0</v>
      </c>
      <c r="P157" s="14">
        <f>IF(COUNTBLANK(N157)=1,0,VLOOKUP(N157,'Date masura SDI'!$A:$M,$K$1,FALSE))</f>
        <v>0</v>
      </c>
      <c r="Q157" s="14">
        <f>IF(COUNTBLANK(N157)=1,0,VLOOKUP(N157,'Date masura SDI'!$A:$M,$L$1,FALSE))</f>
        <v>0</v>
      </c>
      <c r="R157" s="14">
        <f>IF(COUNTBLANK(N157)=1,0,VLOOKUP(N157,'Date masura SDI'!$A:$M,$M$1,FALSE))</f>
        <v>0</v>
      </c>
      <c r="T157" t="str">
        <f t="shared" si="7"/>
        <v/>
      </c>
      <c r="U157">
        <f t="shared" si="8"/>
        <v>110433</v>
      </c>
    </row>
    <row r="158" spans="1:21">
      <c r="A158" s="17">
        <f t="shared" si="9"/>
        <v>155</v>
      </c>
      <c r="B158" s="17" t="s">
        <v>567</v>
      </c>
      <c r="C158" s="17" t="s">
        <v>66</v>
      </c>
      <c r="D158" s="17" t="s">
        <v>398</v>
      </c>
      <c r="E158" s="17" t="s">
        <v>996</v>
      </c>
      <c r="F158" s="17" t="s">
        <v>69</v>
      </c>
      <c r="G158" s="17" t="s">
        <v>116</v>
      </c>
      <c r="H158" s="17" t="s">
        <v>405</v>
      </c>
      <c r="I158" s="17"/>
      <c r="J158" s="1" t="str">
        <f>IF(COUNTBLANK(I158)=1,"",VLOOKUP(I158,'Date masura SDI'!$A:$M,$J$1,FALSE))</f>
        <v/>
      </c>
      <c r="K158" s="1">
        <v>0</v>
      </c>
      <c r="L158" s="1">
        <v>0</v>
      </c>
      <c r="M158" s="1">
        <v>0</v>
      </c>
      <c r="N158" s="1"/>
      <c r="O158" s="1">
        <v>0</v>
      </c>
      <c r="P158" s="1">
        <v>0</v>
      </c>
      <c r="Q158" s="1">
        <v>0</v>
      </c>
      <c r="R158" s="1">
        <v>0</v>
      </c>
      <c r="T158" t="str">
        <f t="shared" si="7"/>
        <v>RRPP</v>
      </c>
      <c r="U158">
        <f>IF(COUNTBLANK(T157)=0,IF(COUNTBLANK(P158)=1,0,P158),U157+IF(COUNTBLANK(P158)=1,0,P158))</f>
        <v>110433</v>
      </c>
    </row>
    <row r="159" spans="1:21">
      <c r="A159" s="17">
        <f t="shared" si="9"/>
        <v>156</v>
      </c>
      <c r="B159" s="12" t="s">
        <v>1272</v>
      </c>
      <c r="C159" s="207" t="s">
        <v>1145</v>
      </c>
      <c r="D159" s="17" t="str">
        <f>"594020100002637995"</f>
        <v>594020100002637995</v>
      </c>
      <c r="E159" s="12" t="s">
        <v>1273</v>
      </c>
      <c r="F159" s="12" t="s">
        <v>1291</v>
      </c>
      <c r="G159" s="207" t="s">
        <v>1145</v>
      </c>
      <c r="H159" s="17" t="s">
        <v>1252</v>
      </c>
      <c r="I159" s="17">
        <v>1369358662</v>
      </c>
      <c r="J159" s="1">
        <f>IF(COUNTBLANK(I159)=1,0,VLOOKUP(I159,'Date masura SDI'!$A:$M,$J$1,FALSE))</f>
        <v>22098</v>
      </c>
      <c r="K159" s="1">
        <f>IF(COUNTBLANK(I159)=1,0,VLOOKUP(I159,'Date masura SDI'!$A:$M,$K$1,FALSE))</f>
        <v>659</v>
      </c>
      <c r="L159" s="1">
        <f>IF(COUNTBLANK(I159)=1,0,VLOOKUP(I159,'Date masura SDI'!$A:$M,$L$1,FALSE))</f>
        <v>964</v>
      </c>
      <c r="M159" s="1">
        <f>IF(COUNTBLANK(I159)=1,0,VLOOKUP(I159,'Date masura SDI'!$A:$M,$M$1,FALSE))</f>
        <v>4601</v>
      </c>
      <c r="N159" s="17">
        <v>1371475604</v>
      </c>
      <c r="O159" s="1">
        <f>IF(COUNTBLANK(N159)=1,0,VLOOKUP(N159,'Date masura SDI'!$A:$M,$J$1,FALSE))</f>
        <v>22</v>
      </c>
      <c r="P159" s="116">
        <f>IF(COUNTBLANK(N159)=1,0,VLOOKUP(N159,'Date masura SDI'!$A:$M,$K$1,FALSE))</f>
        <v>15997</v>
      </c>
      <c r="Q159" s="116">
        <f>IF(COUNTBLANK(N159)=1,0,VLOOKUP(N159,'Date masura SDI'!$A:$M,$L$1,FALSE))</f>
        <v>3296</v>
      </c>
      <c r="R159" s="116">
        <f>IF(COUNTBLANK(N159)=1,0,VLOOKUP(N159,'Date masura SDI'!$A:$M,$M$1,FALSE))</f>
        <v>482</v>
      </c>
      <c r="T159" s="326" t="str">
        <f>IF(B159&lt;&gt;B160,LEFT(E159,LEN(E159)-2),"")</f>
        <v/>
      </c>
      <c r="U159">
        <f t="shared" si="8"/>
        <v>15997</v>
      </c>
    </row>
    <row r="160" spans="1:21">
      <c r="A160" s="17">
        <f t="shared" si="9"/>
        <v>157</v>
      </c>
      <c r="B160" s="12" t="s">
        <v>1272</v>
      </c>
      <c r="C160" s="207" t="s">
        <v>1145</v>
      </c>
      <c r="D160" s="17" t="str">
        <f>"594020100002637995"</f>
        <v>594020100002637995</v>
      </c>
      <c r="E160" s="12" t="s">
        <v>1274</v>
      </c>
      <c r="F160" s="17" t="s">
        <v>69</v>
      </c>
      <c r="G160" s="207" t="s">
        <v>1145</v>
      </c>
      <c r="H160" s="17" t="s">
        <v>1258</v>
      </c>
      <c r="I160" s="17"/>
      <c r="J160" s="1"/>
      <c r="K160" s="1"/>
      <c r="L160" s="1"/>
      <c r="M160" s="1"/>
      <c r="N160" s="17"/>
      <c r="O160" s="1"/>
      <c r="P160" s="116"/>
      <c r="Q160" s="116"/>
      <c r="R160" s="116"/>
      <c r="T160" s="326" t="str">
        <f t="shared" ref="T160:T171" si="10">IF(B160&lt;&gt;B161,LEFT(E160,LEN(E160)-2),"")</f>
        <v>RN1_Brasov</v>
      </c>
      <c r="U160">
        <f t="shared" si="8"/>
        <v>15997</v>
      </c>
    </row>
    <row r="161" spans="1:21">
      <c r="A161" s="17">
        <f t="shared" si="9"/>
        <v>158</v>
      </c>
      <c r="B161" s="12" t="s">
        <v>1223</v>
      </c>
      <c r="C161" s="207" t="s">
        <v>1144</v>
      </c>
      <c r="D161" s="17" t="str">
        <f>"594020600000985765"</f>
        <v>594020600000985765</v>
      </c>
      <c r="E161" s="12" t="s">
        <v>1275</v>
      </c>
      <c r="F161" s="12" t="s">
        <v>1287</v>
      </c>
      <c r="G161" s="207" t="s">
        <v>1144</v>
      </c>
      <c r="H161" s="17" t="s">
        <v>1249</v>
      </c>
      <c r="I161" s="17">
        <v>1371034851</v>
      </c>
      <c r="J161" s="1">
        <f>IF(COUNTBLANK(I161)=1,0,VLOOKUP(I161,'Date masura SDI'!$A:$M,$J$1,FALSE))</f>
        <v>6436</v>
      </c>
      <c r="K161" s="1">
        <f>IF(COUNTBLANK(I161)=1,0,VLOOKUP(I161,'Date masura SDI'!$A:$M,$K$1,FALSE))</f>
        <v>20304</v>
      </c>
      <c r="L161" s="1">
        <f>IF(COUNTBLANK(I161)=1,0,VLOOKUP(I161,'Date masura SDI'!$A:$M,$L$1,FALSE))</f>
        <v>0</v>
      </c>
      <c r="M161" s="1">
        <f>IF(COUNTBLANK(I161)=1,0,VLOOKUP(I161,'Date masura SDI'!$A:$M,$M$1,FALSE))</f>
        <v>7353</v>
      </c>
      <c r="N161" s="17">
        <v>1370127133</v>
      </c>
      <c r="O161" s="1">
        <f>IF(COUNTBLANK(N161)=1,0,VLOOKUP(N161,'Date masura SDI'!$A:$M,$J$1,FALSE))</f>
        <v>26</v>
      </c>
      <c r="P161" s="116">
        <f>IF(COUNTBLANK(N161)=1,0,VLOOKUP(N161,'Date masura SDI'!$A:$M,$K$1,FALSE))</f>
        <v>31304</v>
      </c>
      <c r="Q161" s="116">
        <f>IF(COUNTBLANK(N161)=1,0,VLOOKUP(N161,'Date masura SDI'!$A:$M,$L$1,FALSE))</f>
        <v>348</v>
      </c>
      <c r="R161" s="116">
        <f>IF(COUNTBLANK(N161)=1,0,VLOOKUP(N161,'Date masura SDI'!$A:$M,$M$1,FALSE))</f>
        <v>145</v>
      </c>
      <c r="T161" s="326" t="str">
        <f t="shared" si="10"/>
        <v/>
      </c>
      <c r="U161">
        <f t="shared" si="8"/>
        <v>31304</v>
      </c>
    </row>
    <row r="162" spans="1:21">
      <c r="A162" s="17">
        <f t="shared" si="9"/>
        <v>159</v>
      </c>
      <c r="B162" s="12" t="s">
        <v>1223</v>
      </c>
      <c r="C162" s="207" t="s">
        <v>1144</v>
      </c>
      <c r="D162" s="17" t="str">
        <f>"594020600000985765"</f>
        <v>594020600000985765</v>
      </c>
      <c r="E162" s="12" t="s">
        <v>1276</v>
      </c>
      <c r="F162" s="17" t="s">
        <v>69</v>
      </c>
      <c r="G162" s="207" t="s">
        <v>1144</v>
      </c>
      <c r="H162" s="17" t="s">
        <v>1261</v>
      </c>
      <c r="I162" s="17"/>
      <c r="J162" s="1"/>
      <c r="K162" s="1"/>
      <c r="L162" s="1"/>
      <c r="M162" s="1"/>
      <c r="N162" s="17"/>
      <c r="O162" s="1"/>
      <c r="P162" s="116"/>
      <c r="Q162" s="116"/>
      <c r="R162" s="116"/>
      <c r="T162" s="326" t="str">
        <f t="shared" si="10"/>
        <v>RN10_Sfantul Gheorghe</v>
      </c>
      <c r="U162">
        <f t="shared" si="8"/>
        <v>31304</v>
      </c>
    </row>
    <row r="163" spans="1:21">
      <c r="A163" s="17">
        <f t="shared" si="9"/>
        <v>160</v>
      </c>
      <c r="B163" s="12" t="s">
        <v>1225</v>
      </c>
      <c r="C163" s="207" t="s">
        <v>1144</v>
      </c>
      <c r="D163" s="17" t="str">
        <f>"594020300002588154"</f>
        <v>594020300002588154</v>
      </c>
      <c r="E163" s="12" t="s">
        <v>1277</v>
      </c>
      <c r="F163" s="12" t="s">
        <v>1288</v>
      </c>
      <c r="G163" s="207" t="s">
        <v>1144</v>
      </c>
      <c r="H163" s="17" t="s">
        <v>1250</v>
      </c>
      <c r="I163" s="17">
        <v>1369359116</v>
      </c>
      <c r="J163" s="1">
        <f>IF(COUNTBLANK(I163)=1,0,VLOOKUP(I163,'Date masura SDI'!$A:$M,$J$1,FALSE))</f>
        <v>10237</v>
      </c>
      <c r="K163" s="1">
        <f>IF(COUNTBLANK(I163)=1,0,VLOOKUP(I163,'Date masura SDI'!$A:$M,$K$1,FALSE))</f>
        <v>21751</v>
      </c>
      <c r="L163" s="1">
        <f>IF(COUNTBLANK(I163)=1,0,VLOOKUP(I163,'Date masura SDI'!$A:$M,$L$1,FALSE))</f>
        <v>0</v>
      </c>
      <c r="M163" s="1">
        <f>IF(COUNTBLANK(I163)=1,0,VLOOKUP(I163,'Date masura SDI'!$A:$M,$M$1,FALSE))</f>
        <v>8511</v>
      </c>
      <c r="N163" s="17">
        <v>1371032444</v>
      </c>
      <c r="O163" s="1">
        <f>IF(COUNTBLANK(N163)=1,0,VLOOKUP(N163,'Date masura SDI'!$A:$M,$J$1,FALSE))</f>
        <v>7</v>
      </c>
      <c r="P163" s="116">
        <f>IF(COUNTBLANK(N163)=1,0,VLOOKUP(N163,'Date masura SDI'!$A:$M,$K$1,FALSE))</f>
        <v>41728</v>
      </c>
      <c r="Q163" s="116">
        <f>IF(COUNTBLANK(N163)=1,0,VLOOKUP(N163,'Date masura SDI'!$A:$M,$L$1,FALSE))</f>
        <v>507</v>
      </c>
      <c r="R163" s="116">
        <f>IF(COUNTBLANK(N163)=1,0,VLOOKUP(N163,'Date masura SDI'!$A:$M,$M$1,FALSE))</f>
        <v>144</v>
      </c>
      <c r="T163" s="326" t="str">
        <f t="shared" si="10"/>
        <v/>
      </c>
      <c r="U163">
        <f t="shared" si="8"/>
        <v>41728</v>
      </c>
    </row>
    <row r="164" spans="1:21">
      <c r="A164" s="17">
        <f t="shared" si="9"/>
        <v>161</v>
      </c>
      <c r="B164" s="12" t="s">
        <v>1225</v>
      </c>
      <c r="C164" s="207" t="s">
        <v>1144</v>
      </c>
      <c r="D164" s="17" t="str">
        <f>"594020300002588154"</f>
        <v>594020300002588154</v>
      </c>
      <c r="E164" s="12" t="s">
        <v>1278</v>
      </c>
      <c r="F164" s="17" t="s">
        <v>69</v>
      </c>
      <c r="G164" s="207" t="s">
        <v>1144</v>
      </c>
      <c r="H164" s="17" t="s">
        <v>1262</v>
      </c>
      <c r="I164" s="17"/>
      <c r="J164" s="1"/>
      <c r="K164" s="1"/>
      <c r="L164" s="1"/>
      <c r="M164" s="1"/>
      <c r="N164" s="17"/>
      <c r="O164" s="1"/>
      <c r="P164" s="116"/>
      <c r="Q164" s="116"/>
      <c r="R164" s="116"/>
      <c r="T164" s="326" t="str">
        <f t="shared" si="10"/>
        <v>RN10_Sighisoara</v>
      </c>
      <c r="U164">
        <f t="shared" si="8"/>
        <v>41728</v>
      </c>
    </row>
    <row r="165" spans="1:21">
      <c r="A165" s="17">
        <f t="shared" si="9"/>
        <v>162</v>
      </c>
      <c r="B165" s="12" t="s">
        <v>1227</v>
      </c>
      <c r="C165" s="207" t="s">
        <v>1144</v>
      </c>
      <c r="D165" s="17" t="str">
        <f>"59401060000191744771568947"</f>
        <v>59401060000191744771568947</v>
      </c>
      <c r="E165" s="12" t="s">
        <v>1279</v>
      </c>
      <c r="F165" s="12" t="s">
        <v>1289</v>
      </c>
      <c r="G165" s="207" t="s">
        <v>1144</v>
      </c>
      <c r="H165" s="17" t="s">
        <v>1251</v>
      </c>
      <c r="I165" s="17">
        <v>1369358824</v>
      </c>
      <c r="J165" s="1">
        <f>IF(COUNTBLANK(I165)=1,0,VLOOKUP(I165,'Date masura SDI'!$A:$M,$J$1,FALSE))</f>
        <v>3901</v>
      </c>
      <c r="K165" s="1">
        <f>IF(COUNTBLANK(I165)=1,0,VLOOKUP(I165,'Date masura SDI'!$A:$M,$K$1,FALSE))</f>
        <v>22585</v>
      </c>
      <c r="L165" s="1">
        <f>IF(COUNTBLANK(I165)=1,0,VLOOKUP(I165,'Date masura SDI'!$A:$M,$L$1,FALSE))</f>
        <v>51</v>
      </c>
      <c r="M165" s="1">
        <f>IF(COUNTBLANK(I165)=1,0,VLOOKUP(I165,'Date masura SDI'!$A:$M,$M$1,FALSE))</f>
        <v>3046</v>
      </c>
      <c r="N165" s="17">
        <v>1371514496</v>
      </c>
      <c r="O165" s="1">
        <f>IF(COUNTBLANK(N165)=1,0,VLOOKUP(N165,'Date masura SDI'!$A:$M,$J$1,FALSE))</f>
        <v>40</v>
      </c>
      <c r="P165" s="116">
        <f>IF(COUNTBLANK(N165)=1,0,VLOOKUP(N165,'Date masura SDI'!$A:$M,$K$1,FALSE))</f>
        <v>26277</v>
      </c>
      <c r="Q165" s="116">
        <f>IF(COUNTBLANK(N165)=1,0,VLOOKUP(N165,'Date masura SDI'!$A:$M,$L$1,FALSE))</f>
        <v>7892</v>
      </c>
      <c r="R165" s="116">
        <f>IF(COUNTBLANK(N165)=1,0,VLOOKUP(N165,'Date masura SDI'!$A:$M,$M$1,FALSE))</f>
        <v>284</v>
      </c>
      <c r="T165" s="326" t="str">
        <f t="shared" si="10"/>
        <v/>
      </c>
      <c r="U165">
        <f t="shared" si="8"/>
        <v>26277</v>
      </c>
    </row>
    <row r="166" spans="1:21">
      <c r="A166" s="17">
        <f t="shared" si="9"/>
        <v>163</v>
      </c>
      <c r="B166" s="12" t="s">
        <v>1227</v>
      </c>
      <c r="C166" s="207" t="s">
        <v>1144</v>
      </c>
      <c r="D166" s="17" t="str">
        <f>"59401060000191744771568947"</f>
        <v>59401060000191744771568947</v>
      </c>
      <c r="E166" s="12" t="s">
        <v>1280</v>
      </c>
      <c r="F166" s="17" t="s">
        <v>69</v>
      </c>
      <c r="G166" s="207" t="s">
        <v>1144</v>
      </c>
      <c r="H166" s="17" t="s">
        <v>1263</v>
      </c>
      <c r="I166" s="17"/>
      <c r="J166" s="1"/>
      <c r="K166" s="1"/>
      <c r="L166" s="1"/>
      <c r="M166" s="1"/>
      <c r="N166" s="17"/>
      <c r="O166" s="1"/>
      <c r="P166" s="116"/>
      <c r="Q166" s="116"/>
      <c r="R166" s="116"/>
      <c r="T166" s="326" t="str">
        <f t="shared" si="10"/>
        <v>RN10_Alexandria</v>
      </c>
      <c r="U166">
        <f t="shared" si="8"/>
        <v>26277</v>
      </c>
    </row>
    <row r="167" spans="1:21">
      <c r="A167" s="17">
        <f t="shared" si="9"/>
        <v>164</v>
      </c>
      <c r="B167" s="12" t="s">
        <v>1221</v>
      </c>
      <c r="C167" s="207" t="s">
        <v>1144</v>
      </c>
      <c r="D167" s="17" t="str">
        <f>"594020400001705610"</f>
        <v>594020400001705610</v>
      </c>
      <c r="E167" s="12" t="s">
        <v>1281</v>
      </c>
      <c r="F167" s="12" t="s">
        <v>1286</v>
      </c>
      <c r="G167" s="207" t="s">
        <v>1144</v>
      </c>
      <c r="H167" s="17" t="s">
        <v>1253</v>
      </c>
      <c r="I167" s="17">
        <v>1369546098</v>
      </c>
      <c r="J167" s="1">
        <f>IF(COUNTBLANK(I167)=1,0,VLOOKUP(I167,'Date masura SDI'!$A:$M,$J$1,FALSE))</f>
        <v>12915</v>
      </c>
      <c r="K167" s="1">
        <f>IF(COUNTBLANK(I167)=1,0,VLOOKUP(I167,'Date masura SDI'!$A:$M,$K$1,FALSE))</f>
        <v>13186</v>
      </c>
      <c r="L167" s="1">
        <f>IF(COUNTBLANK(I167)=1,0,VLOOKUP(I167,'Date masura SDI'!$A:$M,$L$1,FALSE))</f>
        <v>1005</v>
      </c>
      <c r="M167" s="1">
        <f>IF(COUNTBLANK(I167)=1,0,VLOOKUP(I167,'Date masura SDI'!$A:$M,$M$1,FALSE))</f>
        <v>1838</v>
      </c>
      <c r="N167" s="17">
        <v>1371033621</v>
      </c>
      <c r="O167" s="1">
        <f>IF(COUNTBLANK(N167)=1,0,VLOOKUP(N167,'Date masura SDI'!$A:$M,$J$1,FALSE))</f>
        <v>27</v>
      </c>
      <c r="P167" s="116">
        <f>IF(COUNTBLANK(N167)=1,0,VLOOKUP(N167,'Date masura SDI'!$A:$M,$K$1,FALSE))</f>
        <v>28164</v>
      </c>
      <c r="Q167" s="116">
        <f>IF(COUNTBLANK(N167)=1,0,VLOOKUP(N167,'Date masura SDI'!$A:$M,$L$1,FALSE))</f>
        <v>5767</v>
      </c>
      <c r="R167" s="116">
        <f>IF(COUNTBLANK(N167)=1,0,VLOOKUP(N167,'Date masura SDI'!$A:$M,$M$1,FALSE))</f>
        <v>345</v>
      </c>
      <c r="T167" s="326" t="str">
        <f t="shared" si="10"/>
        <v/>
      </c>
      <c r="U167">
        <f t="shared" si="8"/>
        <v>28164</v>
      </c>
    </row>
    <row r="168" spans="1:21">
      <c r="A168" s="17">
        <f t="shared" si="9"/>
        <v>165</v>
      </c>
      <c r="B168" s="12" t="s">
        <v>1221</v>
      </c>
      <c r="C168" s="207" t="s">
        <v>1144</v>
      </c>
      <c r="D168" s="17" t="str">
        <f>"594020400001705610"</f>
        <v>594020400001705610</v>
      </c>
      <c r="E168" s="12" t="s">
        <v>1282</v>
      </c>
      <c r="F168" s="17" t="s">
        <v>69</v>
      </c>
      <c r="G168" s="207" t="s">
        <v>1144</v>
      </c>
      <c r="H168" s="17" t="s">
        <v>1260</v>
      </c>
      <c r="I168" s="17"/>
      <c r="J168" s="1"/>
      <c r="K168" s="1"/>
      <c r="L168" s="1"/>
      <c r="M168" s="1"/>
      <c r="N168" s="17"/>
      <c r="O168" s="1"/>
      <c r="P168" s="116"/>
      <c r="Q168" s="116"/>
      <c r="R168" s="116"/>
      <c r="T168" s="326" t="str">
        <f t="shared" si="10"/>
        <v>RN10_Alba</v>
      </c>
      <c r="U168">
        <f t="shared" si="8"/>
        <v>28164</v>
      </c>
    </row>
    <row r="169" spans="1:21">
      <c r="A169" s="17">
        <f t="shared" si="9"/>
        <v>166</v>
      </c>
      <c r="B169" s="12" t="s">
        <v>1265</v>
      </c>
      <c r="C169" s="207" t="s">
        <v>1144</v>
      </c>
      <c r="D169" s="17" t="s">
        <v>1146</v>
      </c>
      <c r="E169" s="12" t="s">
        <v>1283</v>
      </c>
      <c r="F169" s="12" t="s">
        <v>1290</v>
      </c>
      <c r="G169" s="207" t="s">
        <v>1144</v>
      </c>
      <c r="H169" s="17" t="s">
        <v>1247</v>
      </c>
      <c r="I169" s="17">
        <v>1371869788</v>
      </c>
      <c r="J169" s="1">
        <f>IF(COUNTBLANK(I169)=1,0,VLOOKUP(I169,'Date masura SDI'!$A:$M,$J$1,FALSE))</f>
        <v>4587</v>
      </c>
      <c r="K169" s="1">
        <f>IF(COUNTBLANK(I169)=1,0,VLOOKUP(I169,'Date masura SDI'!$A:$M,$K$1,FALSE))</f>
        <v>6506</v>
      </c>
      <c r="L169" s="1">
        <f>IF(COUNTBLANK(I169)=1,0,VLOOKUP(I169,'Date masura SDI'!$A:$M,$L$1,FALSE))</f>
        <v>1</v>
      </c>
      <c r="M169" s="1">
        <f>IF(COUNTBLANK(I169)=1,0,VLOOKUP(I169,'Date masura SDI'!$A:$M,$M$1,FALSE))</f>
        <v>5429</v>
      </c>
      <c r="N169" s="17">
        <v>1371641982</v>
      </c>
      <c r="O169" s="1">
        <f>IF(COUNTBLANK(N169)=1,0,VLOOKUP(N169,'Date masura SDI'!$A:$M,$J$1,FALSE))</f>
        <v>77</v>
      </c>
      <c r="P169" s="116">
        <f>IF(COUNTBLANK(N169)=1,0,VLOOKUP(N169,'Date masura SDI'!$A:$M,$K$1,FALSE))</f>
        <v>16408</v>
      </c>
      <c r="Q169" s="116">
        <f>IF(COUNTBLANK(N169)=1,0,VLOOKUP(N169,'Date masura SDI'!$A:$M,$L$1,FALSE))</f>
        <v>31</v>
      </c>
      <c r="R169" s="116">
        <f>IF(COUNTBLANK(N169)=1,0,VLOOKUP(N169,'Date masura SDI'!$A:$M,$M$1,FALSE))</f>
        <v>276</v>
      </c>
      <c r="T169" s="326" t="str">
        <f t="shared" si="10"/>
        <v/>
      </c>
      <c r="U169">
        <f t="shared" si="8"/>
        <v>16408</v>
      </c>
    </row>
    <row r="170" spans="1:21">
      <c r="A170" s="17">
        <f t="shared" si="9"/>
        <v>167</v>
      </c>
      <c r="B170" s="12" t="s">
        <v>1265</v>
      </c>
      <c r="C170" s="207" t="s">
        <v>1144</v>
      </c>
      <c r="D170" s="17" t="s">
        <v>1146</v>
      </c>
      <c r="E170" s="12" t="s">
        <v>1285</v>
      </c>
      <c r="F170" s="17" t="s">
        <v>69</v>
      </c>
      <c r="G170" s="207" t="s">
        <v>1144</v>
      </c>
      <c r="H170" s="17" t="s">
        <v>1248</v>
      </c>
      <c r="I170" s="17">
        <v>1371870726</v>
      </c>
      <c r="J170" s="1">
        <f>IF(COUNTBLANK(I170)=1,0,VLOOKUP(I170,'Date masura SDI'!$A:$M,$J$1,FALSE))</f>
        <v>19894</v>
      </c>
      <c r="K170" s="1">
        <f>IF(COUNTBLANK(I170)=1,0,VLOOKUP(I170,'Date masura SDI'!$A:$M,$K$1,FALSE))</f>
        <v>0</v>
      </c>
      <c r="L170" s="1">
        <f>IF(COUNTBLANK(I170)=1,0,VLOOKUP(I170,'Date masura SDI'!$A:$M,$L$1,FALSE))</f>
        <v>0</v>
      </c>
      <c r="M170" s="1">
        <f>IF(COUNTBLANK(I170)=1,0,VLOOKUP(I170,'Date masura SDI'!$A:$M,$M$1,FALSE))</f>
        <v>6408</v>
      </c>
      <c r="N170" s="17"/>
      <c r="O170" s="1">
        <f>IF(COUNTBLANK(N170)=1,0,VLOOKUP(N170,'Date masura SDI'!$A:$M,$J$1,FALSE))</f>
        <v>0</v>
      </c>
      <c r="P170" s="116">
        <f>IF(COUNTBLANK(N170)=1,0,VLOOKUP(N170,'Date masura SDI'!$A:$M,$K$1,FALSE))</f>
        <v>0</v>
      </c>
      <c r="Q170" s="116">
        <f>IF(COUNTBLANK(N170)=1,0,VLOOKUP(N170,'Date masura SDI'!$A:$M,$L$1,FALSE))</f>
        <v>0</v>
      </c>
      <c r="R170" s="116">
        <f>IF(COUNTBLANK(N170)=1,0,VLOOKUP(N170,'Date masura SDI'!$A:$M,$M$1,FALSE))</f>
        <v>0</v>
      </c>
      <c r="T170" s="326" t="str">
        <f t="shared" si="10"/>
        <v/>
      </c>
      <c r="U170">
        <f t="shared" si="8"/>
        <v>16408</v>
      </c>
    </row>
    <row r="171" spans="1:21">
      <c r="A171" s="17">
        <f t="shared" si="9"/>
        <v>168</v>
      </c>
      <c r="B171" s="12" t="s">
        <v>1265</v>
      </c>
      <c r="C171" s="207" t="s">
        <v>1144</v>
      </c>
      <c r="D171" s="136" t="s">
        <v>1146</v>
      </c>
      <c r="E171" s="12" t="s">
        <v>1284</v>
      </c>
      <c r="F171" s="17" t="s">
        <v>69</v>
      </c>
      <c r="G171" s="258" t="s">
        <v>1144</v>
      </c>
      <c r="H171" s="17" t="s">
        <v>1264</v>
      </c>
      <c r="I171" s="17"/>
      <c r="J171" s="1">
        <f>IF(COUNTBLANK(I171)=1,0,VLOOKUP(I171,'Date masura SDI'!$A:$M,$J$1,FALSE))</f>
        <v>0</v>
      </c>
      <c r="K171" s="1"/>
      <c r="L171" s="1"/>
      <c r="M171" s="1"/>
      <c r="N171" s="17"/>
      <c r="O171" s="1">
        <f>IF(COUNTBLANK(N171)=1,0,VLOOKUP(N171,'Date masura SDI'!$A:$M,$J$1,FALSE))</f>
        <v>0</v>
      </c>
      <c r="P171" s="116">
        <f>IF(COUNTBLANK(N171)=1,0,VLOOKUP(N171,'Date masura SDI'!$A:$M,$K$1,FALSE))</f>
        <v>0</v>
      </c>
      <c r="Q171" s="116">
        <f>IF(COUNTBLANK(N171)=1,0,VLOOKUP(N171,'Date masura SDI'!$A:$M,$L$1,FALSE))</f>
        <v>0</v>
      </c>
      <c r="R171" s="116">
        <f>IF(COUNTBLANK(N171)=1,0,VLOOKUP(N171,'Date masura SDI'!$A:$M,$M$1,FALSE))</f>
        <v>0</v>
      </c>
      <c r="T171" s="326" t="str">
        <f t="shared" si="10"/>
        <v>RN10_Vaslui</v>
      </c>
      <c r="U171">
        <f t="shared" si="8"/>
        <v>16408</v>
      </c>
    </row>
    <row r="172" spans="1:21">
      <c r="A172" s="17">
        <f>A171+1</f>
        <v>169</v>
      </c>
      <c r="B172" s="12" t="s">
        <v>1231</v>
      </c>
      <c r="C172" s="12" t="s">
        <v>1200</v>
      </c>
      <c r="D172" s="251" t="s">
        <v>1228</v>
      </c>
      <c r="E172" s="12" t="s">
        <v>1266</v>
      </c>
      <c r="F172" s="17" t="s">
        <v>69</v>
      </c>
      <c r="G172" s="207" t="s">
        <v>1144</v>
      </c>
      <c r="H172" s="251" t="s">
        <v>1241</v>
      </c>
      <c r="I172" s="36" t="s">
        <v>1426</v>
      </c>
      <c r="J172" s="14">
        <f>IF(COUNTBLANK(I172)=1,0,VLOOKUP(D172,'Date masura OD'!$E:$V,14,FALSE))</f>
        <v>2360</v>
      </c>
      <c r="K172" s="16">
        <v>0</v>
      </c>
      <c r="L172" s="16">
        <v>0</v>
      </c>
      <c r="M172" s="16">
        <v>0</v>
      </c>
      <c r="N172" s="17"/>
      <c r="O172" s="1">
        <f>IF(COUNTBLANK(N172)=1,0,VLOOKUP(N172,'Date masura SDI'!$A:$M,$J$1,FALSE))</f>
        <v>0</v>
      </c>
      <c r="P172" s="116">
        <f>IF(COUNTBLANK(N172)=1,0,VLOOKUP(N172,'Date masura SDI'!$A:$M,$K$1,FALSE))</f>
        <v>0</v>
      </c>
      <c r="Q172" s="116">
        <f>IF(COUNTBLANK(N172)=1,0,VLOOKUP(N172,'Date masura SDI'!$A:$M,$L$1,FALSE))</f>
        <v>0</v>
      </c>
      <c r="R172" s="116">
        <f>IF(COUNTBLANK(N172)=1,0,VLOOKUP(N172,'Date masura SDI'!$A:$M,$M$1,FALSE))</f>
        <v>0</v>
      </c>
      <c r="T172" s="327" t="s">
        <v>1231</v>
      </c>
      <c r="U172">
        <f>IF(COUNTBLANK(T171)=0,IF(COUNTBLANK(P172)=1,0,P172),U171+IF(COUNTBLANK(P172)=1,0,P172))</f>
        <v>0</v>
      </c>
    </row>
    <row r="173" spans="1:21">
      <c r="A173" s="17">
        <f t="shared" si="9"/>
        <v>170</v>
      </c>
      <c r="B173" s="12" t="s">
        <v>1231</v>
      </c>
      <c r="C173" s="12" t="s">
        <v>1200</v>
      </c>
      <c r="D173" s="251" t="s">
        <v>1229</v>
      </c>
      <c r="E173" s="12" t="s">
        <v>1267</v>
      </c>
      <c r="F173" s="17" t="s">
        <v>69</v>
      </c>
      <c r="G173" s="207" t="s">
        <v>1144</v>
      </c>
      <c r="H173" s="251" t="s">
        <v>1242</v>
      </c>
      <c r="I173" s="36" t="s">
        <v>1230</v>
      </c>
      <c r="J173" s="14">
        <f>IF(COUNTBLANK(I173)=1,0,VLOOKUP(D173,'Date masura OD'!$E:$V,14,FALSE))</f>
        <v>2956</v>
      </c>
      <c r="K173" s="16">
        <v>0</v>
      </c>
      <c r="L173" s="16">
        <v>0</v>
      </c>
      <c r="M173" s="16">
        <v>0</v>
      </c>
      <c r="N173" s="17"/>
      <c r="O173" s="1">
        <f>IF(COUNTBLANK(N173)=1,0,VLOOKUP(N173,'Date masura SDI'!$A:$M,$J$1,FALSE))</f>
        <v>0</v>
      </c>
      <c r="P173" s="116">
        <f>IF(COUNTBLANK(N173)=1,0,VLOOKUP(N173,'Date masura SDI'!$A:$M,$K$1,FALSE))</f>
        <v>0</v>
      </c>
      <c r="Q173" s="116">
        <f>IF(COUNTBLANK(N173)=1,0,VLOOKUP(N173,'Date masura SDI'!$A:$M,$L$1,FALSE))</f>
        <v>0</v>
      </c>
      <c r="R173" s="116">
        <f>IF(COUNTBLANK(N173)=1,0,VLOOKUP(N173,'Date masura SDI'!$A:$M,$M$1,FALSE))</f>
        <v>0</v>
      </c>
      <c r="T173" s="327" t="s">
        <v>1231</v>
      </c>
      <c r="U173">
        <f t="shared" si="8"/>
        <v>0</v>
      </c>
    </row>
    <row r="174" spans="1:21">
      <c r="A174" s="17">
        <f t="shared" si="9"/>
        <v>171</v>
      </c>
      <c r="B174" s="12" t="s">
        <v>1231</v>
      </c>
      <c r="C174" s="12" t="s">
        <v>1200</v>
      </c>
      <c r="D174" s="251" t="s">
        <v>1232</v>
      </c>
      <c r="E174" s="12" t="s">
        <v>1268</v>
      </c>
      <c r="F174" s="17" t="s">
        <v>69</v>
      </c>
      <c r="G174" s="207" t="s">
        <v>1144</v>
      </c>
      <c r="H174" s="251" t="s">
        <v>1243</v>
      </c>
      <c r="I174" s="36" t="s">
        <v>1233</v>
      </c>
      <c r="J174" s="14">
        <f>IF(COUNTBLANK(I174)=1,0,VLOOKUP(D174,'Date masura OD'!$E:$V,14,FALSE))</f>
        <v>3005</v>
      </c>
      <c r="K174" s="16">
        <v>0</v>
      </c>
      <c r="L174" s="16">
        <v>0</v>
      </c>
      <c r="M174" s="16">
        <v>0</v>
      </c>
      <c r="N174" s="17"/>
      <c r="O174" s="1">
        <f>IF(COUNTBLANK(N174)=1,0,VLOOKUP(N174,'Date masura SDI'!$A:$M,$J$1,FALSE))</f>
        <v>0</v>
      </c>
      <c r="P174" s="116">
        <f>IF(COUNTBLANK(N174)=1,0,VLOOKUP(N174,'Date masura SDI'!$A:$M,$K$1,FALSE))</f>
        <v>0</v>
      </c>
      <c r="Q174" s="116">
        <f>IF(COUNTBLANK(N174)=1,0,VLOOKUP(N174,'Date masura SDI'!$A:$M,$L$1,FALSE))</f>
        <v>0</v>
      </c>
      <c r="R174" s="116">
        <f>IF(COUNTBLANK(N174)=1,0,VLOOKUP(N174,'Date masura SDI'!$A:$M,$M$1,FALSE))</f>
        <v>0</v>
      </c>
      <c r="T174" s="327" t="s">
        <v>1231</v>
      </c>
      <c r="U174">
        <f t="shared" si="8"/>
        <v>0</v>
      </c>
    </row>
    <row r="175" spans="1:21">
      <c r="A175" s="17">
        <f t="shared" si="9"/>
        <v>172</v>
      </c>
      <c r="B175" s="12" t="s">
        <v>1231</v>
      </c>
      <c r="C175" s="12" t="s">
        <v>1200</v>
      </c>
      <c r="D175" s="251" t="s">
        <v>1234</v>
      </c>
      <c r="E175" s="12" t="s">
        <v>1269</v>
      </c>
      <c r="F175" s="17" t="s">
        <v>69</v>
      </c>
      <c r="G175" s="207" t="s">
        <v>1144</v>
      </c>
      <c r="H175" s="251" t="s">
        <v>1244</v>
      </c>
      <c r="I175" s="253" t="s">
        <v>1235</v>
      </c>
      <c r="J175" s="14">
        <f>IF(COUNTBLANK(I175)=1,0,VLOOKUP(D175,'Date masura OD'!$E:$V,14,FALSE))</f>
        <v>572</v>
      </c>
      <c r="K175" s="16">
        <v>0</v>
      </c>
      <c r="L175" s="16">
        <v>0</v>
      </c>
      <c r="M175" s="16">
        <v>0</v>
      </c>
      <c r="N175" s="17"/>
      <c r="O175" s="1">
        <f>IF(COUNTBLANK(N175)=1,0,VLOOKUP(N175,'Date masura SDI'!$A:$M,$J$1,FALSE))</f>
        <v>0</v>
      </c>
      <c r="P175" s="116">
        <f>IF(COUNTBLANK(N175)=1,0,VLOOKUP(N175,'Date masura SDI'!$A:$M,$K$1,FALSE))</f>
        <v>0</v>
      </c>
      <c r="Q175" s="116">
        <f>IF(COUNTBLANK(N175)=1,0,VLOOKUP(N175,'Date masura SDI'!$A:$M,$L$1,FALSE))</f>
        <v>0</v>
      </c>
      <c r="R175" s="116">
        <f>IF(COUNTBLANK(N175)=1,0,VLOOKUP(N175,'Date masura SDI'!$A:$M,$M$1,FALSE))</f>
        <v>0</v>
      </c>
      <c r="T175" s="327" t="s">
        <v>1231</v>
      </c>
      <c r="U175">
        <f t="shared" si="8"/>
        <v>0</v>
      </c>
    </row>
    <row r="176" spans="1:21">
      <c r="A176" s="17">
        <f t="shared" si="9"/>
        <v>173</v>
      </c>
      <c r="B176" s="12" t="s">
        <v>1231</v>
      </c>
      <c r="C176" s="12" t="s">
        <v>1200</v>
      </c>
      <c r="D176" s="251" t="s">
        <v>1236</v>
      </c>
      <c r="E176" s="12" t="s">
        <v>1270</v>
      </c>
      <c r="F176" s="17" t="s">
        <v>69</v>
      </c>
      <c r="G176" s="207" t="s">
        <v>1144</v>
      </c>
      <c r="H176" s="251" t="s">
        <v>1245</v>
      </c>
      <c r="I176" s="36" t="s">
        <v>1237</v>
      </c>
      <c r="J176" s="14">
        <f>IF(COUNTBLANK(I176)=1,0,VLOOKUP(D176,'Date masura OD'!$E:$V,14,FALSE))</f>
        <v>0</v>
      </c>
      <c r="K176" s="16">
        <v>0</v>
      </c>
      <c r="L176" s="16">
        <v>0</v>
      </c>
      <c r="M176" s="16">
        <v>0</v>
      </c>
      <c r="N176" s="17"/>
      <c r="O176" s="1">
        <f>IF(COUNTBLANK(N176)=1,0,VLOOKUP(N176,'Date masura SDI'!$A:$M,$J$1,FALSE))</f>
        <v>0</v>
      </c>
      <c r="P176" s="116">
        <f>IF(COUNTBLANK(N176)=1,0,VLOOKUP(N176,'Date masura SDI'!$A:$M,$K$1,FALSE))</f>
        <v>0</v>
      </c>
      <c r="Q176" s="116">
        <f>IF(COUNTBLANK(N176)=1,0,VLOOKUP(N176,'Date masura SDI'!$A:$M,$L$1,FALSE))</f>
        <v>0</v>
      </c>
      <c r="R176" s="116">
        <f>IF(COUNTBLANK(N176)=1,0,VLOOKUP(N176,'Date masura SDI'!$A:$M,$M$1,FALSE))</f>
        <v>0</v>
      </c>
      <c r="T176" s="327" t="s">
        <v>1231</v>
      </c>
      <c r="U176">
        <f t="shared" si="8"/>
        <v>0</v>
      </c>
    </row>
    <row r="177" spans="1:21">
      <c r="A177" s="17">
        <f t="shared" si="9"/>
        <v>174</v>
      </c>
      <c r="B177" s="12" t="s">
        <v>1231</v>
      </c>
      <c r="C177" s="12" t="s">
        <v>1200</v>
      </c>
      <c r="D177" s="251" t="s">
        <v>1238</v>
      </c>
      <c r="E177" s="12" t="s">
        <v>1271</v>
      </c>
      <c r="F177" s="17" t="s">
        <v>69</v>
      </c>
      <c r="G177" s="207" t="s">
        <v>1144</v>
      </c>
      <c r="H177" s="251" t="s">
        <v>1246</v>
      </c>
      <c r="I177" s="36" t="s">
        <v>1429</v>
      </c>
      <c r="J177" s="14">
        <f>IF(COUNTBLANK(I177)=1,0,VLOOKUP(D177,'Date masura OD'!$E:$V,14,FALSE))</f>
        <v>4350</v>
      </c>
      <c r="K177" s="16">
        <v>0</v>
      </c>
      <c r="L177" s="16">
        <v>0</v>
      </c>
      <c r="M177" s="16">
        <v>0</v>
      </c>
      <c r="N177" s="17"/>
      <c r="O177" s="1">
        <f>IF(COUNTBLANK(N177)=1,0,VLOOKUP(N177,'Date masura SDI'!$A:$M,$J$1,FALSE))</f>
        <v>0</v>
      </c>
      <c r="P177" s="116">
        <f>IF(COUNTBLANK(N177)=1,0,VLOOKUP(N177,'Date masura SDI'!$A:$M,$K$1,FALSE))</f>
        <v>0</v>
      </c>
      <c r="Q177" s="116">
        <f>IF(COUNTBLANK(N177)=1,0,VLOOKUP(N177,'Date masura SDI'!$A:$M,$L$1,FALSE))</f>
        <v>0</v>
      </c>
      <c r="R177" s="116">
        <f>IF(COUNTBLANK(N177)=1,0,VLOOKUP(N177,'Date masura SDI'!$A:$M,$M$1,FALSE))</f>
        <v>0</v>
      </c>
      <c r="T177" s="327" t="s">
        <v>1231</v>
      </c>
      <c r="U177">
        <f t="shared" si="8"/>
        <v>0</v>
      </c>
    </row>
  </sheetData>
  <autoFilter ref="A3:U177" xr:uid="{9BFBF06D-7B04-3E4E-8D37-EBEAE504A329}"/>
  <phoneticPr fontId="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51BA-5F24-514C-81C8-1D64BA37BD79}">
  <dimension ref="A1:AJ555"/>
  <sheetViews>
    <sheetView zoomScale="85" zoomScaleNormal="85" workbookViewId="0">
      <selection activeCell="B11" sqref="B11"/>
    </sheetView>
  </sheetViews>
  <sheetFormatPr defaultColWidth="10.625" defaultRowHeight="15.75"/>
  <cols>
    <col min="1" max="1" width="15" customWidth="1"/>
    <col min="14" max="14" width="16.25" customWidth="1"/>
    <col min="32" max="32" width="24.5" customWidth="1"/>
    <col min="33" max="33" width="14.5" bestFit="1" customWidth="1"/>
    <col min="34" max="34" width="12.375" bestFit="1" customWidth="1"/>
    <col min="35" max="35" width="10.875" bestFit="1" customWidth="1"/>
  </cols>
  <sheetData>
    <row r="1" spans="1:36">
      <c r="A1" s="5">
        <v>1</v>
      </c>
      <c r="B1" s="5">
        <v>2</v>
      </c>
      <c r="C1" s="5">
        <v>3</v>
      </c>
      <c r="D1" s="5">
        <v>4</v>
      </c>
      <c r="E1" s="5">
        <v>5</v>
      </c>
      <c r="F1" s="5">
        <v>6</v>
      </c>
      <c r="G1" s="5">
        <v>7</v>
      </c>
      <c r="H1" s="5">
        <v>8</v>
      </c>
      <c r="I1" s="5">
        <v>9</v>
      </c>
      <c r="J1" s="5">
        <v>10</v>
      </c>
      <c r="K1" s="5">
        <v>11</v>
      </c>
      <c r="L1" s="5">
        <v>12</v>
      </c>
      <c r="M1" s="5">
        <v>14</v>
      </c>
      <c r="AE1" s="179" t="s">
        <v>1090</v>
      </c>
      <c r="AF1" s="560">
        <v>1369357831</v>
      </c>
      <c r="AG1" s="1" t="s">
        <v>1095</v>
      </c>
      <c r="AH1" s="1" t="s">
        <v>1095</v>
      </c>
      <c r="AI1" s="1" t="s">
        <v>1095</v>
      </c>
      <c r="AJ1">
        <v>1</v>
      </c>
    </row>
    <row r="2" spans="1:36">
      <c r="A2" s="6" t="s">
        <v>443</v>
      </c>
      <c r="B2" s="39" t="s">
        <v>440</v>
      </c>
      <c r="C2" s="39" t="s">
        <v>440</v>
      </c>
      <c r="D2" s="39" t="s">
        <v>441</v>
      </c>
      <c r="E2" s="39" t="s">
        <v>441</v>
      </c>
      <c r="F2" s="567" t="s">
        <v>442</v>
      </c>
      <c r="G2" s="569"/>
      <c r="H2" s="567" t="s">
        <v>1022</v>
      </c>
      <c r="I2" s="569"/>
      <c r="J2" s="567" t="s">
        <v>421</v>
      </c>
      <c r="K2" s="568"/>
      <c r="L2" s="568"/>
      <c r="M2" s="568"/>
      <c r="AE2" s="179" t="s">
        <v>1091</v>
      </c>
      <c r="AF2" s="1" t="s">
        <v>440</v>
      </c>
      <c r="AG2" s="1" t="s">
        <v>441</v>
      </c>
      <c r="AH2" s="1" t="s">
        <v>442</v>
      </c>
      <c r="AI2" s="1" t="s">
        <v>1022</v>
      </c>
      <c r="AJ2">
        <f>AJ1+1</f>
        <v>2</v>
      </c>
    </row>
    <row r="3" spans="1:36">
      <c r="A3" s="6"/>
      <c r="B3" s="6" t="s">
        <v>444</v>
      </c>
      <c r="C3" s="6" t="s">
        <v>445</v>
      </c>
      <c r="D3" s="6" t="s">
        <v>444</v>
      </c>
      <c r="E3" s="6" t="s">
        <v>445</v>
      </c>
      <c r="F3" s="6" t="s">
        <v>444</v>
      </c>
      <c r="G3" s="6" t="s">
        <v>445</v>
      </c>
      <c r="H3" s="6" t="s">
        <v>444</v>
      </c>
      <c r="I3" s="6" t="s">
        <v>445</v>
      </c>
      <c r="J3" s="6" t="s">
        <v>448</v>
      </c>
      <c r="K3" s="6" t="s">
        <v>449</v>
      </c>
      <c r="L3" s="6" t="s">
        <v>450</v>
      </c>
      <c r="M3" s="6" t="s">
        <v>451</v>
      </c>
      <c r="O3" s="181" t="s">
        <v>444</v>
      </c>
      <c r="P3" s="181" t="s">
        <v>445</v>
      </c>
      <c r="Q3" s="181" t="s">
        <v>444</v>
      </c>
      <c r="R3" s="181" t="s">
        <v>445</v>
      </c>
      <c r="S3" s="181" t="s">
        <v>444</v>
      </c>
      <c r="T3" s="181" t="s">
        <v>445</v>
      </c>
      <c r="U3" s="181" t="s">
        <v>444</v>
      </c>
      <c r="V3" s="181" t="s">
        <v>445</v>
      </c>
      <c r="AE3" s="179" t="s">
        <v>1092</v>
      </c>
      <c r="AF3" s="1">
        <v>5084752.5</v>
      </c>
      <c r="AG3" s="1">
        <v>4.4000000000000002E-4</v>
      </c>
      <c r="AH3" s="1">
        <v>211174.07813000001</v>
      </c>
      <c r="AI3" s="1">
        <v>184345.25</v>
      </c>
      <c r="AJ3">
        <f t="shared" ref="AJ3:AJ66" si="0">AJ2+1</f>
        <v>3</v>
      </c>
    </row>
    <row r="4" spans="1:36">
      <c r="A4" s="5" t="s">
        <v>69</v>
      </c>
      <c r="B4" s="5" t="s">
        <v>69</v>
      </c>
      <c r="C4" s="5" t="s">
        <v>69</v>
      </c>
      <c r="D4" s="5" t="s">
        <v>69</v>
      </c>
      <c r="E4" s="5" t="s">
        <v>69</v>
      </c>
      <c r="F4" s="5" t="s">
        <v>69</v>
      </c>
      <c r="G4" s="5" t="s">
        <v>69</v>
      </c>
      <c r="H4" s="5" t="s">
        <v>69</v>
      </c>
      <c r="I4" s="5" t="s">
        <v>69</v>
      </c>
      <c r="J4" s="5" t="s">
        <v>446</v>
      </c>
      <c r="K4" s="5" t="s">
        <v>446</v>
      </c>
      <c r="L4" s="5" t="s">
        <v>447</v>
      </c>
      <c r="M4" s="5" t="s">
        <v>447</v>
      </c>
      <c r="O4" s="181" t="s">
        <v>69</v>
      </c>
      <c r="P4" s="181" t="s">
        <v>69</v>
      </c>
      <c r="Q4" s="181" t="s">
        <v>69</v>
      </c>
      <c r="R4" s="181" t="s">
        <v>69</v>
      </c>
      <c r="S4" s="181" t="s">
        <v>69</v>
      </c>
      <c r="T4" s="181" t="s">
        <v>69</v>
      </c>
      <c r="U4" s="181" t="s">
        <v>69</v>
      </c>
      <c r="V4" s="181" t="s">
        <v>69</v>
      </c>
      <c r="AE4" s="179" t="s">
        <v>1093</v>
      </c>
      <c r="AF4" s="1">
        <v>5248940.5</v>
      </c>
      <c r="AG4" s="1">
        <v>4.4000000000000002E-4</v>
      </c>
      <c r="AH4" s="1">
        <v>213740.39063000001</v>
      </c>
      <c r="AI4" s="1">
        <v>194091.15625</v>
      </c>
      <c r="AJ4">
        <f t="shared" si="0"/>
        <v>4</v>
      </c>
    </row>
    <row r="5" spans="1:36">
      <c r="A5" s="1">
        <v>1369357831</v>
      </c>
      <c r="B5" s="1">
        <f>O5</f>
        <v>5084753</v>
      </c>
      <c r="C5" s="1">
        <f t="shared" ref="C5:I5" si="1">P5</f>
        <v>5248941</v>
      </c>
      <c r="D5" s="1">
        <f t="shared" si="1"/>
        <v>0</v>
      </c>
      <c r="E5" s="1">
        <f t="shared" si="1"/>
        <v>0</v>
      </c>
      <c r="F5" s="1">
        <f t="shared" si="1"/>
        <v>211174</v>
      </c>
      <c r="G5" s="1">
        <f t="shared" si="1"/>
        <v>213740</v>
      </c>
      <c r="H5" s="1">
        <f t="shared" si="1"/>
        <v>184345</v>
      </c>
      <c r="I5" s="1">
        <f t="shared" si="1"/>
        <v>194091</v>
      </c>
      <c r="J5" s="1">
        <f>C5-B5</f>
        <v>164188</v>
      </c>
      <c r="K5" s="1">
        <f>E5-D5</f>
        <v>0</v>
      </c>
      <c r="L5" s="1">
        <f>G5-F5</f>
        <v>2566</v>
      </c>
      <c r="M5" s="1">
        <f>I5-H5</f>
        <v>9746</v>
      </c>
      <c r="O5" cm="1">
        <f t="array" ref="O5">ROUND(INDEX($AF:$AJ,VLOOKUP(A5,$AF:$AJ,5,FALSE)+2,1),0)</f>
        <v>5084753</v>
      </c>
      <c r="P5" cm="1">
        <f t="array" ref="P5">ROUND(INDEX($AF:$AJ,VLOOKUP(A5,$AF:$AJ,5,FALSE)+3,1),0)</f>
        <v>5248941</v>
      </c>
      <c r="Q5" cm="1">
        <f t="array" ref="Q5">ROUND(INDEX($AF:$AJ,VLOOKUP(A5,$AF:$AJ,5,FALSE)+2,2),0)</f>
        <v>0</v>
      </c>
      <c r="R5" cm="1">
        <f t="array" ref="R5">ROUND(INDEX($AF:$AJ,VLOOKUP(A5,$AF:$AJ,5,FALSE)+3,2),0)</f>
        <v>0</v>
      </c>
      <c r="S5" cm="1">
        <f t="array" ref="S5">ROUND(INDEX($AF:$AJ,VLOOKUP(A5,$AF:$AJ,5,FALSE)+2,3),0)</f>
        <v>211174</v>
      </c>
      <c r="T5" cm="1">
        <f t="array" ref="T5">ROUND(INDEX($AF:$AJ,VLOOKUP(A5,$AF:$AJ,5,FALSE)+3,3),0)</f>
        <v>213740</v>
      </c>
      <c r="U5" cm="1">
        <f t="array" ref="U5">ROUND(INDEX($AF:$AJ,VLOOKUP(A5,$AF:$AJ,5,FALSE)+2,4),0)</f>
        <v>184345</v>
      </c>
      <c r="V5" cm="1">
        <f t="array" ref="V5">ROUND(INDEX($AF:$AJ,VLOOKUP(A5,$AF:$AJ,5,FALSE)+3,4),0)</f>
        <v>194091</v>
      </c>
      <c r="X5">
        <f>O5-C5</f>
        <v>-164188</v>
      </c>
      <c r="Y5">
        <f>Q5-E5</f>
        <v>0</v>
      </c>
      <c r="Z5">
        <f>S5-G5</f>
        <v>-2566</v>
      </c>
      <c r="AA5">
        <f>U5-I5</f>
        <v>-9746</v>
      </c>
      <c r="AE5" s="179" t="s">
        <v>1094</v>
      </c>
      <c r="AF5" s="1">
        <f>AF4-AF3</f>
        <v>164188</v>
      </c>
      <c r="AG5" s="1">
        <f>AG4-AG3</f>
        <v>0</v>
      </c>
      <c r="AH5" s="1">
        <f>AH4-AH3</f>
        <v>2566.3125</v>
      </c>
      <c r="AI5" s="1">
        <f>AI4-AI3</f>
        <v>9745.90625</v>
      </c>
      <c r="AJ5">
        <f t="shared" si="0"/>
        <v>5</v>
      </c>
    </row>
    <row r="6" spans="1:36">
      <c r="A6" s="1">
        <v>1369358959</v>
      </c>
      <c r="B6" s="1">
        <f t="shared" ref="B6:B45" si="2">O6</f>
        <v>2923317</v>
      </c>
      <c r="C6" s="1">
        <f t="shared" ref="C6:C45" si="3">P6</f>
        <v>3018861</v>
      </c>
      <c r="D6" s="1">
        <f t="shared" ref="D6:D45" si="4">Q6</f>
        <v>31829</v>
      </c>
      <c r="E6" s="1">
        <f t="shared" ref="E6:E45" si="5">R6</f>
        <v>31829</v>
      </c>
      <c r="F6" s="1">
        <f t="shared" ref="F6:F45" si="6">S6</f>
        <v>349276</v>
      </c>
      <c r="G6" s="1">
        <f t="shared" ref="G6:G45" si="7">T6</f>
        <v>358100</v>
      </c>
      <c r="H6" s="1">
        <f t="shared" ref="H6:H45" si="8">U6</f>
        <v>4228</v>
      </c>
      <c r="I6" s="1">
        <f t="shared" ref="I6:I45" si="9">V6</f>
        <v>4272</v>
      </c>
      <c r="J6" s="1">
        <f t="shared" ref="J6:J69" si="10">C6-B6</f>
        <v>95544</v>
      </c>
      <c r="K6" s="1">
        <f t="shared" ref="K6:K69" si="11">E6-D6</f>
        <v>0</v>
      </c>
      <c r="L6" s="1">
        <f t="shared" ref="L6:L69" si="12">G6-F6</f>
        <v>8824</v>
      </c>
      <c r="M6" s="1">
        <f t="shared" ref="M6:M69" si="13">I6-H6</f>
        <v>44</v>
      </c>
      <c r="O6" cm="1">
        <f t="array" ref="O6">ROUND(INDEX($AF:$AJ,VLOOKUP(A6,$AF:$AJ,5,FALSE)+2,1),0)</f>
        <v>2923317</v>
      </c>
      <c r="P6" cm="1">
        <f t="array" ref="P6">ROUND(INDEX($AF:$AJ,VLOOKUP(A6,$AF:$AJ,5,FALSE)+3,1),0)</f>
        <v>3018861</v>
      </c>
      <c r="Q6" cm="1">
        <f t="array" ref="Q6">ROUND(INDEX($AF:$AJ,VLOOKUP(A6,$AF:$AJ,5,FALSE)+2,2),0)</f>
        <v>31829</v>
      </c>
      <c r="R6" cm="1">
        <f t="array" ref="R6">ROUND(INDEX($AF:$AJ,VLOOKUP(A6,$AF:$AJ,5,FALSE)+3,2),0)</f>
        <v>31829</v>
      </c>
      <c r="S6" cm="1">
        <f t="array" ref="S6">ROUND(INDEX($AF:$AJ,VLOOKUP(A6,$AF:$AJ,5,FALSE)+2,3),0)</f>
        <v>349276</v>
      </c>
      <c r="T6" cm="1">
        <f t="array" ref="T6">ROUND(INDEX($AF:$AJ,VLOOKUP(A6,$AF:$AJ,5,FALSE)+3,3),0)</f>
        <v>358100</v>
      </c>
      <c r="U6" cm="1">
        <f t="array" ref="U6">ROUND(INDEX($AF:$AJ,VLOOKUP(A6,$AF:$AJ,5,FALSE)+2,4),0)</f>
        <v>4228</v>
      </c>
      <c r="V6" cm="1">
        <f t="array" ref="V6">ROUND(INDEX($AF:$AJ,VLOOKUP(A6,$AF:$AJ,5,FALSE)+3,4),0)</f>
        <v>4272</v>
      </c>
      <c r="X6">
        <f t="shared" ref="X6:X69" si="14">O6-C6</f>
        <v>-95544</v>
      </c>
      <c r="Y6">
        <f t="shared" ref="Y6:Y69" si="15">Q6-E6</f>
        <v>0</v>
      </c>
      <c r="Z6">
        <f t="shared" ref="Z6:Z69" si="16">S6-G6</f>
        <v>-8824</v>
      </c>
      <c r="AA6">
        <f t="shared" ref="AA6:AA69" si="17">U6-I6</f>
        <v>-44</v>
      </c>
      <c r="AE6" s="180" t="s">
        <v>1090</v>
      </c>
      <c r="AF6" s="560">
        <v>1369358662</v>
      </c>
      <c r="AG6" s="1" t="s">
        <v>1095</v>
      </c>
      <c r="AH6" s="1" t="s">
        <v>1095</v>
      </c>
      <c r="AI6" s="1" t="s">
        <v>1095</v>
      </c>
      <c r="AJ6">
        <f t="shared" si="0"/>
        <v>6</v>
      </c>
    </row>
    <row r="7" spans="1:36">
      <c r="A7" s="1">
        <v>1369534319</v>
      </c>
      <c r="B7" s="1">
        <f t="shared" si="2"/>
        <v>1526901</v>
      </c>
      <c r="C7" s="1">
        <f t="shared" si="3"/>
        <v>1594416</v>
      </c>
      <c r="D7" s="1">
        <f t="shared" si="4"/>
        <v>12</v>
      </c>
      <c r="E7" s="1">
        <f t="shared" si="5"/>
        <v>12</v>
      </c>
      <c r="F7" s="1">
        <f t="shared" si="6"/>
        <v>259314</v>
      </c>
      <c r="G7" s="1">
        <f t="shared" si="7"/>
        <v>271607</v>
      </c>
      <c r="H7" s="1">
        <f t="shared" si="8"/>
        <v>2357</v>
      </c>
      <c r="I7" s="1">
        <f t="shared" si="9"/>
        <v>2359</v>
      </c>
      <c r="J7" s="1">
        <f t="shared" si="10"/>
        <v>67515</v>
      </c>
      <c r="K7" s="1">
        <f t="shared" si="11"/>
        <v>0</v>
      </c>
      <c r="L7" s="1">
        <f t="shared" si="12"/>
        <v>12293</v>
      </c>
      <c r="M7" s="1">
        <f t="shared" si="13"/>
        <v>2</v>
      </c>
      <c r="O7" cm="1">
        <f t="array" ref="O7">ROUND(INDEX($AF:$AJ,VLOOKUP(A7,$AF:$AJ,5,FALSE)+2,1),0)</f>
        <v>1526901</v>
      </c>
      <c r="P7" cm="1">
        <f t="array" ref="P7">ROUND(INDEX($AF:$AJ,VLOOKUP(A7,$AF:$AJ,5,FALSE)+3,1),0)</f>
        <v>1594416</v>
      </c>
      <c r="Q7" cm="1">
        <f t="array" ref="Q7">ROUND(INDEX($AF:$AJ,VLOOKUP(A7,$AF:$AJ,5,FALSE)+2,2),0)</f>
        <v>12</v>
      </c>
      <c r="R7" cm="1">
        <f t="array" ref="R7">ROUND(INDEX($AF:$AJ,VLOOKUP(A7,$AF:$AJ,5,FALSE)+3,2),0)</f>
        <v>12</v>
      </c>
      <c r="S7" cm="1">
        <f t="array" ref="S7">ROUND(INDEX($AF:$AJ,VLOOKUP(A7,$AF:$AJ,5,FALSE)+2,3),0)</f>
        <v>259314</v>
      </c>
      <c r="T7" cm="1">
        <f t="array" ref="T7">ROUND(INDEX($AF:$AJ,VLOOKUP(A7,$AF:$AJ,5,FALSE)+3,3),0)</f>
        <v>271607</v>
      </c>
      <c r="U7" cm="1">
        <f t="array" ref="U7">ROUND(INDEX($AF:$AJ,VLOOKUP(A7,$AF:$AJ,5,FALSE)+2,4),0)</f>
        <v>2357</v>
      </c>
      <c r="V7" cm="1">
        <f t="array" ref="V7">ROUND(INDEX($AF:$AJ,VLOOKUP(A7,$AF:$AJ,5,FALSE)+3,4),0)</f>
        <v>2359</v>
      </c>
      <c r="X7">
        <f t="shared" si="14"/>
        <v>-67515</v>
      </c>
      <c r="Y7">
        <f t="shared" si="15"/>
        <v>0</v>
      </c>
      <c r="Z7">
        <f t="shared" si="16"/>
        <v>-12293</v>
      </c>
      <c r="AA7">
        <f t="shared" si="17"/>
        <v>-2</v>
      </c>
      <c r="AE7" s="180" t="s">
        <v>1091</v>
      </c>
      <c r="AF7" s="1" t="s">
        <v>440</v>
      </c>
      <c r="AG7" s="1" t="s">
        <v>441</v>
      </c>
      <c r="AH7" s="1" t="s">
        <v>442</v>
      </c>
      <c r="AI7" s="1" t="s">
        <v>1022</v>
      </c>
      <c r="AJ7">
        <f t="shared" si="0"/>
        <v>7</v>
      </c>
    </row>
    <row r="8" spans="1:36">
      <c r="A8" s="1">
        <v>1369534409</v>
      </c>
      <c r="B8" s="1">
        <f t="shared" si="2"/>
        <v>2206488</v>
      </c>
      <c r="C8" s="1">
        <f t="shared" si="3"/>
        <v>2304435</v>
      </c>
      <c r="D8" s="1">
        <f t="shared" si="4"/>
        <v>2790</v>
      </c>
      <c r="E8" s="1">
        <f t="shared" si="5"/>
        <v>2790</v>
      </c>
      <c r="F8" s="1">
        <f t="shared" si="6"/>
        <v>363530</v>
      </c>
      <c r="G8" s="1">
        <f t="shared" si="7"/>
        <v>374783</v>
      </c>
      <c r="H8" s="1">
        <f t="shared" si="8"/>
        <v>3089</v>
      </c>
      <c r="I8" s="1">
        <f t="shared" si="9"/>
        <v>3106</v>
      </c>
      <c r="J8" s="1">
        <f t="shared" si="10"/>
        <v>97947</v>
      </c>
      <c r="K8" s="1">
        <f t="shared" si="11"/>
        <v>0</v>
      </c>
      <c r="L8" s="1">
        <f t="shared" si="12"/>
        <v>11253</v>
      </c>
      <c r="M8" s="1">
        <f t="shared" si="13"/>
        <v>17</v>
      </c>
      <c r="O8" cm="1">
        <f t="array" ref="O8">ROUND(INDEX($AF:$AJ,VLOOKUP(A8,$AF:$AJ,5,FALSE)+2,1),0)</f>
        <v>2206488</v>
      </c>
      <c r="P8" cm="1">
        <f t="array" ref="P8">ROUND(INDEX($AF:$AJ,VLOOKUP(A8,$AF:$AJ,5,FALSE)+3,1),0)</f>
        <v>2304435</v>
      </c>
      <c r="Q8" cm="1">
        <f t="array" ref="Q8">ROUND(INDEX($AF:$AJ,VLOOKUP(A8,$AF:$AJ,5,FALSE)+2,2),0)</f>
        <v>2790</v>
      </c>
      <c r="R8" cm="1">
        <f t="array" ref="R8">ROUND(INDEX($AF:$AJ,VLOOKUP(A8,$AF:$AJ,5,FALSE)+3,2),0)</f>
        <v>2790</v>
      </c>
      <c r="S8" cm="1">
        <f t="array" ref="S8">ROUND(INDEX($AF:$AJ,VLOOKUP(A8,$AF:$AJ,5,FALSE)+2,3),0)</f>
        <v>363530</v>
      </c>
      <c r="T8" cm="1">
        <f t="array" ref="T8">ROUND(INDEX($AF:$AJ,VLOOKUP(A8,$AF:$AJ,5,FALSE)+3,3),0)</f>
        <v>374783</v>
      </c>
      <c r="U8" cm="1">
        <f t="array" ref="U8">ROUND(INDEX($AF:$AJ,VLOOKUP(A8,$AF:$AJ,5,FALSE)+2,4),0)</f>
        <v>3089</v>
      </c>
      <c r="V8" cm="1">
        <f t="array" ref="V8">ROUND(INDEX($AF:$AJ,VLOOKUP(A8,$AF:$AJ,5,FALSE)+3,4),0)</f>
        <v>3106</v>
      </c>
      <c r="X8">
        <f t="shared" si="14"/>
        <v>-97947</v>
      </c>
      <c r="Y8">
        <f t="shared" si="15"/>
        <v>0</v>
      </c>
      <c r="Z8">
        <f t="shared" si="16"/>
        <v>-11253</v>
      </c>
      <c r="AA8">
        <f t="shared" si="17"/>
        <v>-17</v>
      </c>
      <c r="AE8" s="180" t="s">
        <v>1092</v>
      </c>
      <c r="AF8" s="1">
        <v>867280.6875</v>
      </c>
      <c r="AG8" s="1">
        <v>116838.79687999999</v>
      </c>
      <c r="AH8" s="1">
        <v>103017.04687999999</v>
      </c>
      <c r="AI8" s="1">
        <v>92316.632809999996</v>
      </c>
      <c r="AJ8">
        <f t="shared" si="0"/>
        <v>8</v>
      </c>
    </row>
    <row r="9" spans="1:36">
      <c r="A9" s="1">
        <v>1369546405</v>
      </c>
      <c r="B9" s="1">
        <f t="shared" si="2"/>
        <v>1667627</v>
      </c>
      <c r="C9" s="1">
        <f t="shared" si="3"/>
        <v>1743707</v>
      </c>
      <c r="D9" s="1">
        <f t="shared" si="4"/>
        <v>34</v>
      </c>
      <c r="E9" s="1">
        <f t="shared" si="5"/>
        <v>34</v>
      </c>
      <c r="F9" s="1">
        <f t="shared" si="6"/>
        <v>268246</v>
      </c>
      <c r="G9" s="1">
        <f t="shared" si="7"/>
        <v>281011</v>
      </c>
      <c r="H9" s="1">
        <f t="shared" si="8"/>
        <v>3821</v>
      </c>
      <c r="I9" s="1">
        <f t="shared" si="9"/>
        <v>3823</v>
      </c>
      <c r="J9" s="1">
        <f t="shared" si="10"/>
        <v>76080</v>
      </c>
      <c r="K9" s="1">
        <f t="shared" si="11"/>
        <v>0</v>
      </c>
      <c r="L9" s="1">
        <f t="shared" si="12"/>
        <v>12765</v>
      </c>
      <c r="M9" s="1">
        <f t="shared" si="13"/>
        <v>2</v>
      </c>
      <c r="O9" cm="1">
        <f t="array" ref="O9">ROUND(INDEX($AF:$AJ,VLOOKUP(A9,$AF:$AJ,5,FALSE)+2,1),0)</f>
        <v>1667627</v>
      </c>
      <c r="P9" cm="1">
        <f t="array" ref="P9">ROUND(INDEX($AF:$AJ,VLOOKUP(A9,$AF:$AJ,5,FALSE)+3,1),0)</f>
        <v>1743707</v>
      </c>
      <c r="Q9" cm="1">
        <f t="array" ref="Q9">ROUND(INDEX($AF:$AJ,VLOOKUP(A9,$AF:$AJ,5,FALSE)+2,2),0)</f>
        <v>34</v>
      </c>
      <c r="R9" cm="1">
        <f t="array" ref="R9">ROUND(INDEX($AF:$AJ,VLOOKUP(A9,$AF:$AJ,5,FALSE)+3,2),0)</f>
        <v>34</v>
      </c>
      <c r="S9" cm="1">
        <f t="array" ref="S9">ROUND(INDEX($AF:$AJ,VLOOKUP(A9,$AF:$AJ,5,FALSE)+2,3),0)</f>
        <v>268246</v>
      </c>
      <c r="T9" cm="1">
        <f t="array" ref="T9">ROUND(INDEX($AF:$AJ,VLOOKUP(A9,$AF:$AJ,5,FALSE)+3,3),0)</f>
        <v>281011</v>
      </c>
      <c r="U9" cm="1">
        <f t="array" ref="U9">ROUND(INDEX($AF:$AJ,VLOOKUP(A9,$AF:$AJ,5,FALSE)+2,4),0)</f>
        <v>3821</v>
      </c>
      <c r="V9" cm="1">
        <f t="array" ref="V9">ROUND(INDEX($AF:$AJ,VLOOKUP(A9,$AF:$AJ,5,FALSE)+3,4),0)</f>
        <v>3823</v>
      </c>
      <c r="X9">
        <f t="shared" si="14"/>
        <v>-76080</v>
      </c>
      <c r="Y9">
        <f t="shared" si="15"/>
        <v>0</v>
      </c>
      <c r="Z9">
        <f t="shared" si="16"/>
        <v>-12765</v>
      </c>
      <c r="AA9">
        <f t="shared" si="17"/>
        <v>-2</v>
      </c>
      <c r="AE9" s="180" t="s">
        <v>1093</v>
      </c>
      <c r="AF9" s="1">
        <v>889379.4375</v>
      </c>
      <c r="AG9" s="1">
        <v>117498.27344</v>
      </c>
      <c r="AH9" s="1">
        <v>103981.29687999999</v>
      </c>
      <c r="AI9" s="1">
        <v>96917.523440000004</v>
      </c>
      <c r="AJ9">
        <f t="shared" si="0"/>
        <v>9</v>
      </c>
    </row>
    <row r="10" spans="1:36">
      <c r="A10" s="1">
        <v>1369546421</v>
      </c>
      <c r="B10" s="1">
        <f t="shared" si="2"/>
        <v>3025992</v>
      </c>
      <c r="C10" s="1">
        <f t="shared" si="3"/>
        <v>3135105</v>
      </c>
      <c r="D10" s="1">
        <f t="shared" si="4"/>
        <v>306</v>
      </c>
      <c r="E10" s="1">
        <f t="shared" si="5"/>
        <v>323</v>
      </c>
      <c r="F10" s="1">
        <f t="shared" si="6"/>
        <v>908047</v>
      </c>
      <c r="G10" s="1">
        <f t="shared" si="7"/>
        <v>938747</v>
      </c>
      <c r="H10" s="1">
        <f t="shared" si="8"/>
        <v>342</v>
      </c>
      <c r="I10" s="1">
        <f t="shared" si="9"/>
        <v>377</v>
      </c>
      <c r="J10" s="1">
        <f t="shared" si="10"/>
        <v>109113</v>
      </c>
      <c r="K10" s="1">
        <f t="shared" si="11"/>
        <v>17</v>
      </c>
      <c r="L10" s="1">
        <f t="shared" si="12"/>
        <v>30700</v>
      </c>
      <c r="M10" s="1">
        <f t="shared" si="13"/>
        <v>35</v>
      </c>
      <c r="O10" cm="1">
        <f t="array" ref="O10">ROUND(INDEX($AF:$AJ,VLOOKUP(A10,$AF:$AJ,5,FALSE)+2,1),0)</f>
        <v>3025992</v>
      </c>
      <c r="P10" cm="1">
        <f t="array" ref="P10">ROUND(INDEX($AF:$AJ,VLOOKUP(A10,$AF:$AJ,5,FALSE)+3,1),0)</f>
        <v>3135105</v>
      </c>
      <c r="Q10" cm="1">
        <f t="array" ref="Q10">ROUND(INDEX($AF:$AJ,VLOOKUP(A10,$AF:$AJ,5,FALSE)+2,2),0)</f>
        <v>306</v>
      </c>
      <c r="R10" cm="1">
        <f t="array" ref="R10">ROUND(INDEX($AF:$AJ,VLOOKUP(A10,$AF:$AJ,5,FALSE)+3,2),0)</f>
        <v>323</v>
      </c>
      <c r="S10" cm="1">
        <f t="array" ref="S10">ROUND(INDEX($AF:$AJ,VLOOKUP(A10,$AF:$AJ,5,FALSE)+2,3),0)</f>
        <v>908047</v>
      </c>
      <c r="T10" cm="1">
        <f t="array" ref="T10">ROUND(INDEX($AF:$AJ,VLOOKUP(A10,$AF:$AJ,5,FALSE)+3,3),0)</f>
        <v>938747</v>
      </c>
      <c r="U10" cm="1">
        <f t="array" ref="U10">ROUND(INDEX($AF:$AJ,VLOOKUP(A10,$AF:$AJ,5,FALSE)+2,4),0)</f>
        <v>342</v>
      </c>
      <c r="V10" cm="1">
        <f t="array" ref="V10">ROUND(INDEX($AF:$AJ,VLOOKUP(A10,$AF:$AJ,5,FALSE)+3,4),0)</f>
        <v>377</v>
      </c>
      <c r="X10">
        <f t="shared" si="14"/>
        <v>-109113</v>
      </c>
      <c r="Y10">
        <f t="shared" si="15"/>
        <v>-17</v>
      </c>
      <c r="Z10">
        <f t="shared" si="16"/>
        <v>-30700</v>
      </c>
      <c r="AA10">
        <f t="shared" si="17"/>
        <v>-35</v>
      </c>
      <c r="AE10" s="180" t="s">
        <v>1094</v>
      </c>
      <c r="AF10" s="1">
        <f>AF9-AF8</f>
        <v>22098.75</v>
      </c>
      <c r="AG10" s="1">
        <f>AG9-AG8</f>
        <v>659.47656000001007</v>
      </c>
      <c r="AH10" s="1">
        <f>AH9-AH8</f>
        <v>964.25</v>
      </c>
      <c r="AI10" s="1">
        <f>AI9-AI8</f>
        <v>4600.890630000009</v>
      </c>
      <c r="AJ10">
        <f t="shared" si="0"/>
        <v>10</v>
      </c>
    </row>
    <row r="11" spans="1:36">
      <c r="A11" s="1">
        <v>1369546423</v>
      </c>
      <c r="B11" s="1">
        <f t="shared" si="2"/>
        <v>6679701</v>
      </c>
      <c r="C11" s="1">
        <f t="shared" si="3"/>
        <v>6920242</v>
      </c>
      <c r="D11" s="1">
        <f t="shared" si="4"/>
        <v>30</v>
      </c>
      <c r="E11" s="1">
        <f t="shared" si="5"/>
        <v>30</v>
      </c>
      <c r="F11" s="1">
        <f t="shared" si="6"/>
        <v>457851</v>
      </c>
      <c r="G11" s="1">
        <f t="shared" si="7"/>
        <v>469186</v>
      </c>
      <c r="H11" s="1">
        <f t="shared" si="8"/>
        <v>124087</v>
      </c>
      <c r="I11" s="1">
        <f t="shared" si="9"/>
        <v>127340</v>
      </c>
      <c r="J11" s="1">
        <f t="shared" si="10"/>
        <v>240541</v>
      </c>
      <c r="K11" s="1">
        <f t="shared" si="11"/>
        <v>0</v>
      </c>
      <c r="L11" s="1">
        <f t="shared" si="12"/>
        <v>11335</v>
      </c>
      <c r="M11" s="1">
        <f t="shared" si="13"/>
        <v>3253</v>
      </c>
      <c r="O11" cm="1">
        <f t="array" ref="O11">ROUND(INDEX($AF:$AJ,VLOOKUP(A11,$AF:$AJ,5,FALSE)+2,1),0)</f>
        <v>6679701</v>
      </c>
      <c r="P11" cm="1">
        <f t="array" ref="P11">ROUND(INDEX($AF:$AJ,VLOOKUP(A11,$AF:$AJ,5,FALSE)+3,1),0)</f>
        <v>6920242</v>
      </c>
      <c r="Q11" cm="1">
        <f t="array" ref="Q11">ROUND(INDEX($AF:$AJ,VLOOKUP(A11,$AF:$AJ,5,FALSE)+2,2),0)</f>
        <v>30</v>
      </c>
      <c r="R11" cm="1">
        <f t="array" ref="R11">ROUND(INDEX($AF:$AJ,VLOOKUP(A11,$AF:$AJ,5,FALSE)+3,2),0)</f>
        <v>30</v>
      </c>
      <c r="S11" cm="1">
        <f t="array" ref="S11">ROUND(INDEX($AF:$AJ,VLOOKUP(A11,$AF:$AJ,5,FALSE)+2,3),0)</f>
        <v>457851</v>
      </c>
      <c r="T11" cm="1">
        <f t="array" ref="T11">ROUND(INDEX($AF:$AJ,VLOOKUP(A11,$AF:$AJ,5,FALSE)+3,3),0)</f>
        <v>469186</v>
      </c>
      <c r="U11" cm="1">
        <f t="array" ref="U11">ROUND(INDEX($AF:$AJ,VLOOKUP(A11,$AF:$AJ,5,FALSE)+2,4),0)</f>
        <v>124087</v>
      </c>
      <c r="V11" cm="1">
        <f t="array" ref="V11">ROUND(INDEX($AF:$AJ,VLOOKUP(A11,$AF:$AJ,5,FALSE)+3,4),0)</f>
        <v>127340</v>
      </c>
      <c r="X11">
        <f t="shared" si="14"/>
        <v>-240541</v>
      </c>
      <c r="Y11">
        <f t="shared" si="15"/>
        <v>0</v>
      </c>
      <c r="Z11">
        <f t="shared" si="16"/>
        <v>-11335</v>
      </c>
      <c r="AA11">
        <f t="shared" si="17"/>
        <v>-3253</v>
      </c>
      <c r="AE11" s="179" t="s">
        <v>1090</v>
      </c>
      <c r="AF11" s="560">
        <v>1369358824</v>
      </c>
      <c r="AG11" s="1" t="s">
        <v>1095</v>
      </c>
      <c r="AH11" s="1" t="s">
        <v>1095</v>
      </c>
      <c r="AI11" s="1" t="s">
        <v>1095</v>
      </c>
      <c r="AJ11">
        <f t="shared" si="0"/>
        <v>11</v>
      </c>
    </row>
    <row r="12" spans="1:36">
      <c r="A12" s="1">
        <v>1369546436</v>
      </c>
      <c r="B12" s="1">
        <f t="shared" si="2"/>
        <v>8678009</v>
      </c>
      <c r="C12" s="1">
        <f t="shared" si="3"/>
        <v>8984045</v>
      </c>
      <c r="D12" s="1">
        <f t="shared" si="4"/>
        <v>0</v>
      </c>
      <c r="E12" s="1">
        <f t="shared" si="5"/>
        <v>0</v>
      </c>
      <c r="F12" s="1">
        <f t="shared" si="6"/>
        <v>545608</v>
      </c>
      <c r="G12" s="1">
        <f t="shared" si="7"/>
        <v>560929</v>
      </c>
      <c r="H12" s="1">
        <f t="shared" si="8"/>
        <v>86285</v>
      </c>
      <c r="I12" s="1">
        <f t="shared" si="9"/>
        <v>88012</v>
      </c>
      <c r="J12" s="1">
        <f t="shared" si="10"/>
        <v>306036</v>
      </c>
      <c r="K12" s="1">
        <f t="shared" si="11"/>
        <v>0</v>
      </c>
      <c r="L12" s="1">
        <f t="shared" si="12"/>
        <v>15321</v>
      </c>
      <c r="M12" s="1">
        <f t="shared" si="13"/>
        <v>1727</v>
      </c>
      <c r="O12" cm="1">
        <f t="array" ref="O12">ROUND(INDEX($AF:$AJ,VLOOKUP(A12,$AF:$AJ,5,FALSE)+2,1),0)</f>
        <v>8678009</v>
      </c>
      <c r="P12" cm="1">
        <f t="array" ref="P12">ROUND(INDEX($AF:$AJ,VLOOKUP(A12,$AF:$AJ,5,FALSE)+3,1),0)</f>
        <v>8984045</v>
      </c>
      <c r="Q12" cm="1">
        <f t="array" ref="Q12">ROUND(INDEX($AF:$AJ,VLOOKUP(A12,$AF:$AJ,5,FALSE)+2,2),0)</f>
        <v>0</v>
      </c>
      <c r="R12" cm="1">
        <f t="array" ref="R12">ROUND(INDEX($AF:$AJ,VLOOKUP(A12,$AF:$AJ,5,FALSE)+3,2),0)</f>
        <v>0</v>
      </c>
      <c r="S12" cm="1">
        <f t="array" ref="S12">ROUND(INDEX($AF:$AJ,VLOOKUP(A12,$AF:$AJ,5,FALSE)+2,3),0)</f>
        <v>545608</v>
      </c>
      <c r="T12" cm="1">
        <f t="array" ref="T12">ROUND(INDEX($AF:$AJ,VLOOKUP(A12,$AF:$AJ,5,FALSE)+3,3),0)</f>
        <v>560929</v>
      </c>
      <c r="U12" cm="1">
        <f t="array" ref="U12">ROUND(INDEX($AF:$AJ,VLOOKUP(A12,$AF:$AJ,5,FALSE)+2,4),0)</f>
        <v>86285</v>
      </c>
      <c r="V12" cm="1">
        <f t="array" ref="V12">ROUND(INDEX($AF:$AJ,VLOOKUP(A12,$AF:$AJ,5,FALSE)+3,4),0)</f>
        <v>88012</v>
      </c>
      <c r="X12">
        <f t="shared" si="14"/>
        <v>-306036</v>
      </c>
      <c r="Y12">
        <f t="shared" si="15"/>
        <v>0</v>
      </c>
      <c r="Z12">
        <f t="shared" si="16"/>
        <v>-15321</v>
      </c>
      <c r="AA12">
        <f t="shared" si="17"/>
        <v>-1727</v>
      </c>
      <c r="AE12" s="179" t="s">
        <v>1091</v>
      </c>
      <c r="AF12" s="1" t="s">
        <v>440</v>
      </c>
      <c r="AG12" s="1" t="s">
        <v>441</v>
      </c>
      <c r="AH12" s="1" t="s">
        <v>442</v>
      </c>
      <c r="AI12" s="1" t="s">
        <v>1022</v>
      </c>
      <c r="AJ12">
        <f t="shared" si="0"/>
        <v>12</v>
      </c>
    </row>
    <row r="13" spans="1:36">
      <c r="A13" s="1">
        <v>1370127118</v>
      </c>
      <c r="B13" s="1">
        <f t="shared" si="2"/>
        <v>57</v>
      </c>
      <c r="C13" s="1">
        <f t="shared" si="3"/>
        <v>59</v>
      </c>
      <c r="D13" s="1">
        <f t="shared" si="4"/>
        <v>835686</v>
      </c>
      <c r="E13" s="1">
        <f t="shared" si="5"/>
        <v>878158</v>
      </c>
      <c r="F13" s="1">
        <f t="shared" si="6"/>
        <v>15345</v>
      </c>
      <c r="G13" s="1">
        <f t="shared" si="7"/>
        <v>15811</v>
      </c>
      <c r="H13" s="1">
        <f t="shared" si="8"/>
        <v>71812</v>
      </c>
      <c r="I13" s="1">
        <f t="shared" si="9"/>
        <v>75296</v>
      </c>
      <c r="J13" s="1">
        <f t="shared" si="10"/>
        <v>2</v>
      </c>
      <c r="K13" s="1">
        <f t="shared" si="11"/>
        <v>42472</v>
      </c>
      <c r="L13" s="1">
        <f t="shared" si="12"/>
        <v>466</v>
      </c>
      <c r="M13" s="1">
        <f t="shared" si="13"/>
        <v>3484</v>
      </c>
      <c r="O13" cm="1">
        <f t="array" ref="O13">ROUND(INDEX($AF:$AJ,VLOOKUP(A13,$AF:$AJ,5,FALSE)+2,1),0)</f>
        <v>57</v>
      </c>
      <c r="P13" cm="1">
        <f t="array" ref="P13">ROUND(INDEX($AF:$AJ,VLOOKUP(A13,$AF:$AJ,5,FALSE)+3,1),0)</f>
        <v>59</v>
      </c>
      <c r="Q13" cm="1">
        <f t="array" ref="Q13">ROUND(INDEX($AF:$AJ,VLOOKUP(A13,$AF:$AJ,5,FALSE)+2,2),0)</f>
        <v>835686</v>
      </c>
      <c r="R13" cm="1">
        <f t="array" ref="R13">ROUND(INDEX($AF:$AJ,VLOOKUP(A13,$AF:$AJ,5,FALSE)+3,2),0)</f>
        <v>878158</v>
      </c>
      <c r="S13" cm="1">
        <f t="array" ref="S13">ROUND(INDEX($AF:$AJ,VLOOKUP(A13,$AF:$AJ,5,FALSE)+2,3),0)</f>
        <v>15345</v>
      </c>
      <c r="T13" cm="1">
        <f t="array" ref="T13">ROUND(INDEX($AF:$AJ,VLOOKUP(A13,$AF:$AJ,5,FALSE)+3,3),0)</f>
        <v>15811</v>
      </c>
      <c r="U13" cm="1">
        <f t="array" ref="U13">ROUND(INDEX($AF:$AJ,VLOOKUP(A13,$AF:$AJ,5,FALSE)+2,4),0)</f>
        <v>71812</v>
      </c>
      <c r="V13" cm="1">
        <f t="array" ref="V13">ROUND(INDEX($AF:$AJ,VLOOKUP(A13,$AF:$AJ,5,FALSE)+3,4),0)</f>
        <v>75296</v>
      </c>
      <c r="X13">
        <f t="shared" si="14"/>
        <v>-2</v>
      </c>
      <c r="Y13">
        <f t="shared" si="15"/>
        <v>-42472</v>
      </c>
      <c r="Z13">
        <f t="shared" si="16"/>
        <v>-466</v>
      </c>
      <c r="AA13">
        <f t="shared" si="17"/>
        <v>-3484</v>
      </c>
      <c r="AE13" s="179" t="s">
        <v>1092</v>
      </c>
      <c r="AF13" s="1">
        <v>240094.67188000001</v>
      </c>
      <c r="AG13" s="1">
        <v>187666.03125</v>
      </c>
      <c r="AH13" s="1">
        <v>3711.2011699999998</v>
      </c>
      <c r="AI13" s="1">
        <v>77720.75</v>
      </c>
      <c r="AJ13">
        <f t="shared" si="0"/>
        <v>13</v>
      </c>
    </row>
    <row r="14" spans="1:36">
      <c r="A14" s="1">
        <v>1370137686</v>
      </c>
      <c r="B14" s="1">
        <f t="shared" si="2"/>
        <v>9155565</v>
      </c>
      <c r="C14" s="1">
        <f t="shared" si="3"/>
        <v>9445555</v>
      </c>
      <c r="D14" s="1">
        <f t="shared" si="4"/>
        <v>87</v>
      </c>
      <c r="E14" s="1">
        <f t="shared" si="5"/>
        <v>87</v>
      </c>
      <c r="F14" s="1">
        <f t="shared" si="6"/>
        <v>236792</v>
      </c>
      <c r="G14" s="1">
        <f t="shared" si="7"/>
        <v>236941</v>
      </c>
      <c r="H14" s="1">
        <f t="shared" si="8"/>
        <v>152263</v>
      </c>
      <c r="I14" s="1">
        <f t="shared" si="9"/>
        <v>167540</v>
      </c>
      <c r="J14" s="1">
        <f t="shared" si="10"/>
        <v>289990</v>
      </c>
      <c r="K14" s="1">
        <f t="shared" si="11"/>
        <v>0</v>
      </c>
      <c r="L14" s="1">
        <f t="shared" si="12"/>
        <v>149</v>
      </c>
      <c r="M14" s="1">
        <f t="shared" si="13"/>
        <v>15277</v>
      </c>
      <c r="O14" cm="1">
        <f t="array" ref="O14">ROUND(INDEX($AF:$AJ,VLOOKUP(A14,$AF:$AJ,5,FALSE)+2,1),0)</f>
        <v>9155565</v>
      </c>
      <c r="P14" cm="1">
        <f t="array" ref="P14">ROUND(INDEX($AF:$AJ,VLOOKUP(A14,$AF:$AJ,5,FALSE)+3,1),0)</f>
        <v>9445555</v>
      </c>
      <c r="Q14" cm="1">
        <f t="array" ref="Q14">ROUND(INDEX($AF:$AJ,VLOOKUP(A14,$AF:$AJ,5,FALSE)+2,2),0)</f>
        <v>87</v>
      </c>
      <c r="R14" cm="1">
        <f t="array" ref="R14">ROUND(INDEX($AF:$AJ,VLOOKUP(A14,$AF:$AJ,5,FALSE)+3,2),0)</f>
        <v>87</v>
      </c>
      <c r="S14" cm="1">
        <f t="array" ref="S14">ROUND(INDEX($AF:$AJ,VLOOKUP(A14,$AF:$AJ,5,FALSE)+2,3),0)</f>
        <v>236792</v>
      </c>
      <c r="T14" cm="1">
        <f t="array" ref="T14">ROUND(INDEX($AF:$AJ,VLOOKUP(A14,$AF:$AJ,5,FALSE)+3,3),0)</f>
        <v>236941</v>
      </c>
      <c r="U14" cm="1">
        <f t="array" ref="U14">ROUND(INDEX($AF:$AJ,VLOOKUP(A14,$AF:$AJ,5,FALSE)+2,4),0)</f>
        <v>152263</v>
      </c>
      <c r="V14" cm="1">
        <f t="array" ref="V14">ROUND(INDEX($AF:$AJ,VLOOKUP(A14,$AF:$AJ,5,FALSE)+3,4),0)</f>
        <v>167540</v>
      </c>
      <c r="X14">
        <f t="shared" si="14"/>
        <v>-289990</v>
      </c>
      <c r="Y14">
        <f t="shared" si="15"/>
        <v>0</v>
      </c>
      <c r="Z14">
        <f t="shared" si="16"/>
        <v>-149</v>
      </c>
      <c r="AA14">
        <f t="shared" si="17"/>
        <v>-15277</v>
      </c>
      <c r="AE14" s="179" t="s">
        <v>1093</v>
      </c>
      <c r="AF14" s="1">
        <v>243995.76563000001</v>
      </c>
      <c r="AG14" s="1">
        <v>210251.40625</v>
      </c>
      <c r="AH14" s="1">
        <v>3762.1772500000002</v>
      </c>
      <c r="AI14" s="1">
        <v>80767.15625</v>
      </c>
      <c r="AJ14">
        <f t="shared" si="0"/>
        <v>14</v>
      </c>
    </row>
    <row r="15" spans="1:36">
      <c r="A15" s="1">
        <v>1370137899</v>
      </c>
      <c r="B15" s="1">
        <f t="shared" si="2"/>
        <v>9412593</v>
      </c>
      <c r="C15" s="1">
        <f t="shared" si="3"/>
        <v>9726262</v>
      </c>
      <c r="D15" s="1">
        <f t="shared" si="4"/>
        <v>0</v>
      </c>
      <c r="E15" s="1">
        <f t="shared" si="5"/>
        <v>0</v>
      </c>
      <c r="F15" s="1">
        <f t="shared" si="6"/>
        <v>365017</v>
      </c>
      <c r="G15" s="1">
        <f t="shared" si="7"/>
        <v>379298</v>
      </c>
      <c r="H15" s="1">
        <f t="shared" si="8"/>
        <v>136377</v>
      </c>
      <c r="I15" s="1">
        <f t="shared" si="9"/>
        <v>142017</v>
      </c>
      <c r="J15" s="1">
        <f t="shared" si="10"/>
        <v>313669</v>
      </c>
      <c r="K15" s="1">
        <f t="shared" si="11"/>
        <v>0</v>
      </c>
      <c r="L15" s="1">
        <f t="shared" si="12"/>
        <v>14281</v>
      </c>
      <c r="M15" s="1">
        <f t="shared" si="13"/>
        <v>5640</v>
      </c>
      <c r="O15" cm="1">
        <f t="array" ref="O15">ROUND(INDEX($AF:$AJ,VLOOKUP(A15,$AF:$AJ,5,FALSE)+2,1),0)</f>
        <v>9412593</v>
      </c>
      <c r="P15" cm="1">
        <f t="array" ref="P15">ROUND(INDEX($AF:$AJ,VLOOKUP(A15,$AF:$AJ,5,FALSE)+3,1),0)</f>
        <v>9726262</v>
      </c>
      <c r="Q15" cm="1">
        <f t="array" ref="Q15">ROUND(INDEX($AF:$AJ,VLOOKUP(A15,$AF:$AJ,5,FALSE)+2,2),0)</f>
        <v>0</v>
      </c>
      <c r="R15" cm="1">
        <f t="array" ref="R15">ROUND(INDEX($AF:$AJ,VLOOKUP(A15,$AF:$AJ,5,FALSE)+3,2),0)</f>
        <v>0</v>
      </c>
      <c r="S15" cm="1">
        <f t="array" ref="S15">ROUND(INDEX($AF:$AJ,VLOOKUP(A15,$AF:$AJ,5,FALSE)+2,3),0)</f>
        <v>365017</v>
      </c>
      <c r="T15" cm="1">
        <f t="array" ref="T15">ROUND(INDEX($AF:$AJ,VLOOKUP(A15,$AF:$AJ,5,FALSE)+3,3),0)</f>
        <v>379298</v>
      </c>
      <c r="U15" cm="1">
        <f t="array" ref="U15">ROUND(INDEX($AF:$AJ,VLOOKUP(A15,$AF:$AJ,5,FALSE)+2,4),0)</f>
        <v>136377</v>
      </c>
      <c r="V15" cm="1">
        <f t="array" ref="V15">ROUND(INDEX($AF:$AJ,VLOOKUP(A15,$AF:$AJ,5,FALSE)+3,4),0)</f>
        <v>142017</v>
      </c>
      <c r="X15">
        <f t="shared" si="14"/>
        <v>-313669</v>
      </c>
      <c r="Y15">
        <f t="shared" si="15"/>
        <v>0</v>
      </c>
      <c r="Z15">
        <f t="shared" si="16"/>
        <v>-14281</v>
      </c>
      <c r="AA15">
        <f t="shared" si="17"/>
        <v>-5640</v>
      </c>
      <c r="AE15" s="179" t="s">
        <v>1094</v>
      </c>
      <c r="AF15" s="1">
        <f>AF14-AF13</f>
        <v>3901.09375</v>
      </c>
      <c r="AG15" s="1">
        <f>AG14-AG13</f>
        <v>22585.375</v>
      </c>
      <c r="AH15" s="1">
        <f>AH14-AH13</f>
        <v>50.976080000000366</v>
      </c>
      <c r="AI15" s="1">
        <f>AI14-AI13</f>
        <v>3046.40625</v>
      </c>
      <c r="AJ15">
        <f t="shared" si="0"/>
        <v>15</v>
      </c>
    </row>
    <row r="16" spans="1:36">
      <c r="A16" s="1">
        <v>1370139975</v>
      </c>
      <c r="B16" s="1">
        <f t="shared" si="2"/>
        <v>8816184</v>
      </c>
      <c r="C16" s="1">
        <f t="shared" si="3"/>
        <v>9110456</v>
      </c>
      <c r="D16" s="1">
        <f t="shared" si="4"/>
        <v>2686</v>
      </c>
      <c r="E16" s="1">
        <f t="shared" si="5"/>
        <v>2686</v>
      </c>
      <c r="F16" s="1">
        <f>S16</f>
        <v>0</v>
      </c>
      <c r="G16" s="1">
        <f t="shared" si="7"/>
        <v>0</v>
      </c>
      <c r="H16" s="1">
        <f t="shared" si="8"/>
        <v>28292</v>
      </c>
      <c r="I16" s="1">
        <f t="shared" si="9"/>
        <v>29134</v>
      </c>
      <c r="J16" s="1">
        <f t="shared" si="10"/>
        <v>294272</v>
      </c>
      <c r="K16" s="1">
        <f t="shared" si="11"/>
        <v>0</v>
      </c>
      <c r="L16" s="1">
        <f t="shared" si="12"/>
        <v>0</v>
      </c>
      <c r="M16" s="1">
        <f t="shared" si="13"/>
        <v>842</v>
      </c>
      <c r="O16" cm="1">
        <f t="array" ref="O16">ROUND(INDEX($AF:$AJ,VLOOKUP(A16,$AF:$AJ,5,FALSE)+2,1),0)</f>
        <v>8816184</v>
      </c>
      <c r="P16" cm="1">
        <f t="array" ref="P16">ROUND(INDEX($AF:$AJ,VLOOKUP(A16,$AF:$AJ,5,FALSE)+3,1),0)</f>
        <v>9110456</v>
      </c>
      <c r="Q16" cm="1">
        <f t="array" ref="Q16">ROUND(INDEX($AF:$AJ,VLOOKUP(A16,$AF:$AJ,5,FALSE)+2,2),0)</f>
        <v>2686</v>
      </c>
      <c r="R16" cm="1">
        <f t="array" ref="R16">ROUND(INDEX($AF:$AJ,VLOOKUP(A16,$AF:$AJ,5,FALSE)+3,2),0)</f>
        <v>2686</v>
      </c>
      <c r="S16" cm="1">
        <f t="array" ref="S16">ROUND(INDEX($AF:$AJ,VLOOKUP(A16,$AF:$AJ,5,FALSE)+2,3),0)</f>
        <v>0</v>
      </c>
      <c r="T16" cm="1">
        <f t="array" ref="T16">ROUND(INDEX($AF:$AJ,VLOOKUP(A16,$AF:$AJ,5,FALSE)+3,3),0)</f>
        <v>0</v>
      </c>
      <c r="U16" cm="1">
        <f t="array" ref="U16">ROUND(INDEX($AF:$AJ,VLOOKUP(A16,$AF:$AJ,5,FALSE)+2,4),0)</f>
        <v>28292</v>
      </c>
      <c r="V16" cm="1">
        <f t="array" ref="V16">ROUND(INDEX($AF:$AJ,VLOOKUP(A16,$AF:$AJ,5,FALSE)+3,4),0)</f>
        <v>29134</v>
      </c>
      <c r="X16">
        <f t="shared" si="14"/>
        <v>-294272</v>
      </c>
      <c r="Y16">
        <f t="shared" si="15"/>
        <v>0</v>
      </c>
      <c r="Z16">
        <f t="shared" si="16"/>
        <v>0</v>
      </c>
      <c r="AA16">
        <f t="shared" si="17"/>
        <v>-842</v>
      </c>
      <c r="AE16" s="179" t="s">
        <v>1090</v>
      </c>
      <c r="AF16" s="560">
        <v>1369358959</v>
      </c>
      <c r="AG16" s="1" t="s">
        <v>1095</v>
      </c>
      <c r="AH16" s="1" t="s">
        <v>1095</v>
      </c>
      <c r="AI16" s="1" t="s">
        <v>1095</v>
      </c>
      <c r="AJ16">
        <f t="shared" si="0"/>
        <v>16</v>
      </c>
    </row>
    <row r="17" spans="1:36">
      <c r="A17" s="1">
        <v>1370139991</v>
      </c>
      <c r="B17" s="1">
        <f t="shared" si="2"/>
        <v>11184355</v>
      </c>
      <c r="C17" s="1">
        <f t="shared" si="3"/>
        <v>11613768</v>
      </c>
      <c r="D17" s="1">
        <f t="shared" si="4"/>
        <v>0</v>
      </c>
      <c r="E17" s="1">
        <f t="shared" si="5"/>
        <v>0</v>
      </c>
      <c r="F17" s="1">
        <f t="shared" si="6"/>
        <v>0</v>
      </c>
      <c r="G17" s="1">
        <f t="shared" si="7"/>
        <v>0</v>
      </c>
      <c r="H17" s="1">
        <f t="shared" si="8"/>
        <v>371</v>
      </c>
      <c r="I17" s="1">
        <f t="shared" si="9"/>
        <v>382</v>
      </c>
      <c r="J17" s="1">
        <f t="shared" si="10"/>
        <v>429413</v>
      </c>
      <c r="K17" s="1">
        <f t="shared" si="11"/>
        <v>0</v>
      </c>
      <c r="L17" s="1">
        <f t="shared" si="12"/>
        <v>0</v>
      </c>
      <c r="M17" s="1">
        <f t="shared" si="13"/>
        <v>11</v>
      </c>
      <c r="O17" cm="1">
        <f t="array" ref="O17">ROUND(INDEX($AF:$AJ,VLOOKUP(A17,$AF:$AJ,5,FALSE)+2,1),0)</f>
        <v>11184355</v>
      </c>
      <c r="P17" cm="1">
        <f t="array" ref="P17">ROUND(INDEX($AF:$AJ,VLOOKUP(A17,$AF:$AJ,5,FALSE)+3,1),0)</f>
        <v>11613768</v>
      </c>
      <c r="Q17" cm="1">
        <f t="array" ref="Q17">ROUND(INDEX($AF:$AJ,VLOOKUP(A17,$AF:$AJ,5,FALSE)+2,2),0)</f>
        <v>0</v>
      </c>
      <c r="R17" cm="1">
        <f t="array" ref="R17">ROUND(INDEX($AF:$AJ,VLOOKUP(A17,$AF:$AJ,5,FALSE)+3,2),0)</f>
        <v>0</v>
      </c>
      <c r="S17" cm="1">
        <f t="array" ref="S17">ROUND(INDEX($AF:$AJ,VLOOKUP(A17,$AF:$AJ,5,FALSE)+2,3),0)</f>
        <v>0</v>
      </c>
      <c r="T17" cm="1">
        <f t="array" ref="T17">ROUND(INDEX($AF:$AJ,VLOOKUP(A17,$AF:$AJ,5,FALSE)+3,3),0)</f>
        <v>0</v>
      </c>
      <c r="U17" cm="1">
        <f t="array" ref="U17">ROUND(INDEX($AF:$AJ,VLOOKUP(A17,$AF:$AJ,5,FALSE)+2,4),0)</f>
        <v>371</v>
      </c>
      <c r="V17" cm="1">
        <f t="array" ref="V17">ROUND(INDEX($AF:$AJ,VLOOKUP(A17,$AF:$AJ,5,FALSE)+3,4),0)</f>
        <v>382</v>
      </c>
      <c r="X17">
        <f t="shared" si="14"/>
        <v>-429413</v>
      </c>
      <c r="Y17">
        <f t="shared" si="15"/>
        <v>0</v>
      </c>
      <c r="Z17">
        <f t="shared" si="16"/>
        <v>0</v>
      </c>
      <c r="AA17">
        <f t="shared" si="17"/>
        <v>-11</v>
      </c>
      <c r="AE17" s="179" t="s">
        <v>1091</v>
      </c>
      <c r="AF17" s="1" t="s">
        <v>440</v>
      </c>
      <c r="AG17" s="1" t="s">
        <v>441</v>
      </c>
      <c r="AH17" s="1" t="s">
        <v>442</v>
      </c>
      <c r="AI17" s="1" t="s">
        <v>1022</v>
      </c>
      <c r="AJ17">
        <f t="shared" si="0"/>
        <v>17</v>
      </c>
    </row>
    <row r="18" spans="1:36">
      <c r="A18" s="1">
        <v>1371019838</v>
      </c>
      <c r="B18" s="1">
        <f t="shared" si="2"/>
        <v>1558</v>
      </c>
      <c r="C18" s="1">
        <f t="shared" si="3"/>
        <v>1618</v>
      </c>
      <c r="D18" s="1">
        <f t="shared" si="4"/>
        <v>207800</v>
      </c>
      <c r="E18" s="1">
        <f t="shared" si="5"/>
        <v>221704</v>
      </c>
      <c r="F18" s="1">
        <f t="shared" si="6"/>
        <v>41083</v>
      </c>
      <c r="G18" s="1">
        <f t="shared" si="7"/>
        <v>44671</v>
      </c>
      <c r="H18" s="1">
        <f t="shared" si="8"/>
        <v>24764</v>
      </c>
      <c r="I18" s="1">
        <f t="shared" si="9"/>
        <v>26624</v>
      </c>
      <c r="J18" s="1">
        <f t="shared" si="10"/>
        <v>60</v>
      </c>
      <c r="K18" s="1">
        <f t="shared" si="11"/>
        <v>13904</v>
      </c>
      <c r="L18" s="1">
        <f t="shared" si="12"/>
        <v>3588</v>
      </c>
      <c r="M18" s="1">
        <f t="shared" si="13"/>
        <v>1860</v>
      </c>
      <c r="O18" cm="1">
        <f t="array" ref="O18">ROUND(INDEX($AF:$AJ,VLOOKUP(A18,$AF:$AJ,5,FALSE)+2,1),0)</f>
        <v>1558</v>
      </c>
      <c r="P18" cm="1">
        <f t="array" ref="P18">ROUND(INDEX($AF:$AJ,VLOOKUP(A18,$AF:$AJ,5,FALSE)+3,1),0)</f>
        <v>1618</v>
      </c>
      <c r="Q18" cm="1">
        <f t="array" ref="Q18">ROUND(INDEX($AF:$AJ,VLOOKUP(A18,$AF:$AJ,5,FALSE)+2,2),0)</f>
        <v>207800</v>
      </c>
      <c r="R18" cm="1">
        <f t="array" ref="R18">ROUND(INDEX($AF:$AJ,VLOOKUP(A18,$AF:$AJ,5,FALSE)+3,2),0)</f>
        <v>221704</v>
      </c>
      <c r="S18" cm="1">
        <f t="array" ref="S18">ROUND(INDEX($AF:$AJ,VLOOKUP(A18,$AF:$AJ,5,FALSE)+2,3),0)</f>
        <v>41083</v>
      </c>
      <c r="T18" cm="1">
        <f t="array" ref="T18">ROUND(INDEX($AF:$AJ,VLOOKUP(A18,$AF:$AJ,5,FALSE)+3,3),0)</f>
        <v>44671</v>
      </c>
      <c r="U18" cm="1">
        <f t="array" ref="U18">ROUND(INDEX($AF:$AJ,VLOOKUP(A18,$AF:$AJ,5,FALSE)+2,4),0)</f>
        <v>24764</v>
      </c>
      <c r="V18" cm="1">
        <f t="array" ref="V18">ROUND(INDEX($AF:$AJ,VLOOKUP(A18,$AF:$AJ,5,FALSE)+3,4),0)</f>
        <v>26624</v>
      </c>
      <c r="X18">
        <f t="shared" si="14"/>
        <v>-60</v>
      </c>
      <c r="Y18">
        <f t="shared" si="15"/>
        <v>-13904</v>
      </c>
      <c r="Z18">
        <f t="shared" si="16"/>
        <v>-3588</v>
      </c>
      <c r="AA18">
        <f t="shared" si="17"/>
        <v>-1860</v>
      </c>
      <c r="AE18" s="179" t="s">
        <v>1092</v>
      </c>
      <c r="AF18" s="1">
        <v>2923316.5</v>
      </c>
      <c r="AG18" s="1">
        <v>31829.251950000002</v>
      </c>
      <c r="AH18" s="1">
        <v>349276.4375</v>
      </c>
      <c r="AI18" s="1">
        <v>4227.7983400000003</v>
      </c>
      <c r="AJ18">
        <f t="shared" si="0"/>
        <v>18</v>
      </c>
    </row>
    <row r="19" spans="1:36">
      <c r="A19" s="1">
        <v>1371019871</v>
      </c>
      <c r="B19" s="1">
        <f t="shared" si="2"/>
        <v>914</v>
      </c>
      <c r="C19" s="1">
        <f t="shared" si="3"/>
        <v>945</v>
      </c>
      <c r="D19" s="1">
        <f t="shared" si="4"/>
        <v>813501</v>
      </c>
      <c r="E19" s="1">
        <f t="shared" si="5"/>
        <v>857604</v>
      </c>
      <c r="F19" s="1">
        <f t="shared" si="6"/>
        <v>14750</v>
      </c>
      <c r="G19" s="1">
        <f t="shared" si="7"/>
        <v>15229</v>
      </c>
      <c r="H19" s="1">
        <f t="shared" si="8"/>
        <v>64973</v>
      </c>
      <c r="I19" s="1">
        <f t="shared" si="9"/>
        <v>68382</v>
      </c>
      <c r="J19" s="1">
        <f t="shared" si="10"/>
        <v>31</v>
      </c>
      <c r="K19" s="1">
        <f t="shared" si="11"/>
        <v>44103</v>
      </c>
      <c r="L19" s="1">
        <f t="shared" si="12"/>
        <v>479</v>
      </c>
      <c r="M19" s="1">
        <f t="shared" si="13"/>
        <v>3409</v>
      </c>
      <c r="O19" cm="1">
        <f t="array" ref="O19">ROUND(INDEX($AF:$AJ,VLOOKUP(A19,$AF:$AJ,5,FALSE)+2,1),0)</f>
        <v>914</v>
      </c>
      <c r="P19" cm="1">
        <f t="array" ref="P19">ROUND(INDEX($AF:$AJ,VLOOKUP(A19,$AF:$AJ,5,FALSE)+3,1),0)</f>
        <v>945</v>
      </c>
      <c r="Q19" cm="1">
        <f t="array" ref="Q19">ROUND(INDEX($AF:$AJ,VLOOKUP(A19,$AF:$AJ,5,FALSE)+2,2),0)</f>
        <v>813501</v>
      </c>
      <c r="R19" cm="1">
        <f t="array" ref="R19">ROUND(INDEX($AF:$AJ,VLOOKUP(A19,$AF:$AJ,5,FALSE)+3,2),0)</f>
        <v>857604</v>
      </c>
      <c r="S19" cm="1">
        <f t="array" ref="S19">ROUND(INDEX($AF:$AJ,VLOOKUP(A19,$AF:$AJ,5,FALSE)+2,3),0)</f>
        <v>14750</v>
      </c>
      <c r="T19" cm="1">
        <f t="array" ref="T19">ROUND(INDEX($AF:$AJ,VLOOKUP(A19,$AF:$AJ,5,FALSE)+3,3),0)</f>
        <v>15229</v>
      </c>
      <c r="U19" cm="1">
        <f t="array" ref="U19">ROUND(INDEX($AF:$AJ,VLOOKUP(A19,$AF:$AJ,5,FALSE)+2,4),0)</f>
        <v>64973</v>
      </c>
      <c r="V19" cm="1">
        <f t="array" ref="V19">ROUND(INDEX($AF:$AJ,VLOOKUP(A19,$AF:$AJ,5,FALSE)+3,4),0)</f>
        <v>68382</v>
      </c>
      <c r="X19">
        <f t="shared" si="14"/>
        <v>-31</v>
      </c>
      <c r="Y19">
        <f t="shared" si="15"/>
        <v>-44103</v>
      </c>
      <c r="Z19">
        <f t="shared" si="16"/>
        <v>-479</v>
      </c>
      <c r="AA19">
        <f t="shared" si="17"/>
        <v>-3409</v>
      </c>
      <c r="AE19" s="179" t="s">
        <v>1093</v>
      </c>
      <c r="AF19" s="1">
        <v>3018860.5</v>
      </c>
      <c r="AG19" s="1">
        <v>31829.251950000002</v>
      </c>
      <c r="AH19" s="1">
        <v>358100.375</v>
      </c>
      <c r="AI19" s="1">
        <v>4272.2636700000003</v>
      </c>
      <c r="AJ19">
        <f t="shared" si="0"/>
        <v>19</v>
      </c>
    </row>
    <row r="20" spans="1:36">
      <c r="A20" s="1">
        <v>1371020412</v>
      </c>
      <c r="B20" s="1">
        <f t="shared" si="2"/>
        <v>457</v>
      </c>
      <c r="C20" s="1">
        <f t="shared" si="3"/>
        <v>475</v>
      </c>
      <c r="D20" s="1">
        <f t="shared" si="4"/>
        <v>2146057</v>
      </c>
      <c r="E20" s="1">
        <f t="shared" si="5"/>
        <v>2266090</v>
      </c>
      <c r="F20" s="1">
        <f t="shared" si="6"/>
        <v>18042</v>
      </c>
      <c r="G20" s="1">
        <f t="shared" si="7"/>
        <v>19116</v>
      </c>
      <c r="H20" s="1">
        <f t="shared" si="8"/>
        <v>15745</v>
      </c>
      <c r="I20" s="1">
        <f t="shared" si="9"/>
        <v>16400</v>
      </c>
      <c r="J20" s="1">
        <f t="shared" si="10"/>
        <v>18</v>
      </c>
      <c r="K20" s="1">
        <f t="shared" si="11"/>
        <v>120033</v>
      </c>
      <c r="L20" s="1">
        <f t="shared" si="12"/>
        <v>1074</v>
      </c>
      <c r="M20" s="1">
        <f t="shared" si="13"/>
        <v>655</v>
      </c>
      <c r="O20" cm="1">
        <f t="array" ref="O20">ROUND(INDEX($AF:$AJ,VLOOKUP(A20,$AF:$AJ,5,FALSE)+2,1),0)</f>
        <v>457</v>
      </c>
      <c r="P20" cm="1">
        <f t="array" ref="P20">ROUND(INDEX($AF:$AJ,VLOOKUP(A20,$AF:$AJ,5,FALSE)+3,1),0)</f>
        <v>475</v>
      </c>
      <c r="Q20" cm="1">
        <f t="array" ref="Q20">ROUND(INDEX($AF:$AJ,VLOOKUP(A20,$AF:$AJ,5,FALSE)+2,2),0)</f>
        <v>2146057</v>
      </c>
      <c r="R20" cm="1">
        <f t="array" ref="R20">ROUND(INDEX($AF:$AJ,VLOOKUP(A20,$AF:$AJ,5,FALSE)+3,2),0)</f>
        <v>2266090</v>
      </c>
      <c r="S20" cm="1">
        <f t="array" ref="S20">ROUND(INDEX($AF:$AJ,VLOOKUP(A20,$AF:$AJ,5,FALSE)+2,3),0)</f>
        <v>18042</v>
      </c>
      <c r="T20" cm="1">
        <f t="array" ref="T20">ROUND(INDEX($AF:$AJ,VLOOKUP(A20,$AF:$AJ,5,FALSE)+3,3),0)</f>
        <v>19116</v>
      </c>
      <c r="U20" cm="1">
        <f t="array" ref="U20">ROUND(INDEX($AF:$AJ,VLOOKUP(A20,$AF:$AJ,5,FALSE)+2,4),0)</f>
        <v>15745</v>
      </c>
      <c r="V20" cm="1">
        <f t="array" ref="V20">ROUND(INDEX($AF:$AJ,VLOOKUP(A20,$AF:$AJ,5,FALSE)+3,4),0)</f>
        <v>16400</v>
      </c>
      <c r="X20">
        <f t="shared" si="14"/>
        <v>-18</v>
      </c>
      <c r="Y20">
        <f t="shared" si="15"/>
        <v>-120033</v>
      </c>
      <c r="Z20">
        <f t="shared" si="16"/>
        <v>-1074</v>
      </c>
      <c r="AA20">
        <f t="shared" si="17"/>
        <v>-655</v>
      </c>
      <c r="AE20" s="179" t="s">
        <v>1094</v>
      </c>
      <c r="AF20" s="1">
        <f>AF19-AF18</f>
        <v>95544</v>
      </c>
      <c r="AG20" s="1">
        <f>AG19-AG18</f>
        <v>0</v>
      </c>
      <c r="AH20" s="1">
        <f>AH19-AH18</f>
        <v>8823.9375</v>
      </c>
      <c r="AI20" s="1">
        <f>AI19-AI18</f>
        <v>44.465329999999994</v>
      </c>
      <c r="AJ20">
        <f t="shared" si="0"/>
        <v>20</v>
      </c>
    </row>
    <row r="21" spans="1:36">
      <c r="A21" s="1">
        <v>1371022908</v>
      </c>
      <c r="B21" s="1">
        <f t="shared" si="2"/>
        <v>5130728</v>
      </c>
      <c r="C21" s="1">
        <f t="shared" si="3"/>
        <v>5290721</v>
      </c>
      <c r="D21" s="1">
        <f t="shared" si="4"/>
        <v>53252</v>
      </c>
      <c r="E21" s="1">
        <f t="shared" si="5"/>
        <v>61335</v>
      </c>
      <c r="F21" s="1">
        <f t="shared" si="6"/>
        <v>268877</v>
      </c>
      <c r="G21" s="1">
        <f t="shared" si="7"/>
        <v>270649</v>
      </c>
      <c r="H21" s="1">
        <f t="shared" si="8"/>
        <v>197378</v>
      </c>
      <c r="I21" s="1">
        <f t="shared" si="9"/>
        <v>208468</v>
      </c>
      <c r="J21" s="1">
        <f t="shared" si="10"/>
        <v>159993</v>
      </c>
      <c r="K21" s="1">
        <f t="shared" si="11"/>
        <v>8083</v>
      </c>
      <c r="L21" s="1">
        <f t="shared" si="12"/>
        <v>1772</v>
      </c>
      <c r="M21" s="1">
        <f t="shared" si="13"/>
        <v>11090</v>
      </c>
      <c r="O21" cm="1">
        <f t="array" ref="O21">ROUND(INDEX($AF:$AJ,VLOOKUP(A21,$AF:$AJ,5,FALSE)+2,1),0)</f>
        <v>5130728</v>
      </c>
      <c r="P21" cm="1">
        <f t="array" ref="P21">ROUND(INDEX($AF:$AJ,VLOOKUP(A21,$AF:$AJ,5,FALSE)+3,1),0)</f>
        <v>5290721</v>
      </c>
      <c r="Q21" cm="1">
        <f t="array" ref="Q21">ROUND(INDEX($AF:$AJ,VLOOKUP(A21,$AF:$AJ,5,FALSE)+2,2),0)</f>
        <v>53252</v>
      </c>
      <c r="R21" cm="1">
        <f t="array" ref="R21">ROUND(INDEX($AF:$AJ,VLOOKUP(A21,$AF:$AJ,5,FALSE)+3,2),0)</f>
        <v>61335</v>
      </c>
      <c r="S21" cm="1">
        <f t="array" ref="S21">ROUND(INDEX($AF:$AJ,VLOOKUP(A21,$AF:$AJ,5,FALSE)+2,3),0)</f>
        <v>268877</v>
      </c>
      <c r="T21" cm="1">
        <f t="array" ref="T21">ROUND(INDEX($AF:$AJ,VLOOKUP(A21,$AF:$AJ,5,FALSE)+3,3),0)</f>
        <v>270649</v>
      </c>
      <c r="U21" cm="1">
        <f t="array" ref="U21">ROUND(INDEX($AF:$AJ,VLOOKUP(A21,$AF:$AJ,5,FALSE)+2,4),0)</f>
        <v>197378</v>
      </c>
      <c r="V21" cm="1">
        <f t="array" ref="V21">ROUND(INDEX($AF:$AJ,VLOOKUP(A21,$AF:$AJ,5,FALSE)+3,4),0)</f>
        <v>208468</v>
      </c>
      <c r="X21">
        <f t="shared" si="14"/>
        <v>-159993</v>
      </c>
      <c r="Y21">
        <f t="shared" si="15"/>
        <v>-8083</v>
      </c>
      <c r="Z21">
        <f t="shared" si="16"/>
        <v>-1772</v>
      </c>
      <c r="AA21">
        <f t="shared" si="17"/>
        <v>-11090</v>
      </c>
      <c r="AE21" s="179" t="s">
        <v>1090</v>
      </c>
      <c r="AF21" s="560">
        <v>1369359116</v>
      </c>
      <c r="AG21" s="1" t="s">
        <v>1095</v>
      </c>
      <c r="AH21" s="1" t="s">
        <v>1095</v>
      </c>
      <c r="AI21" s="1" t="s">
        <v>1095</v>
      </c>
      <c r="AJ21">
        <f t="shared" si="0"/>
        <v>21</v>
      </c>
    </row>
    <row r="22" spans="1:36">
      <c r="A22" s="1">
        <v>1371022952</v>
      </c>
      <c r="B22" s="1">
        <f t="shared" si="2"/>
        <v>140</v>
      </c>
      <c r="C22" s="1">
        <f t="shared" si="3"/>
        <v>143</v>
      </c>
      <c r="D22" s="1">
        <f t="shared" si="4"/>
        <v>1087371</v>
      </c>
      <c r="E22" s="1">
        <f t="shared" si="5"/>
        <v>1151999</v>
      </c>
      <c r="F22" s="1">
        <f t="shared" si="6"/>
        <v>19558</v>
      </c>
      <c r="G22" s="1">
        <f t="shared" si="7"/>
        <v>20231</v>
      </c>
      <c r="H22" s="1">
        <f t="shared" si="8"/>
        <v>83832</v>
      </c>
      <c r="I22" s="1">
        <f t="shared" si="9"/>
        <v>88039</v>
      </c>
      <c r="J22" s="1">
        <f t="shared" si="10"/>
        <v>3</v>
      </c>
      <c r="K22" s="1">
        <f t="shared" si="11"/>
        <v>64628</v>
      </c>
      <c r="L22" s="1">
        <f t="shared" si="12"/>
        <v>673</v>
      </c>
      <c r="M22" s="1">
        <f t="shared" si="13"/>
        <v>4207</v>
      </c>
      <c r="O22" cm="1">
        <f t="array" ref="O22">ROUND(INDEX($AF:$AJ,VLOOKUP(A22,$AF:$AJ,5,FALSE)+2,1),0)</f>
        <v>140</v>
      </c>
      <c r="P22" cm="1">
        <f t="array" ref="P22">ROUND(INDEX($AF:$AJ,VLOOKUP(A22,$AF:$AJ,5,FALSE)+3,1),0)</f>
        <v>143</v>
      </c>
      <c r="Q22" cm="1">
        <f t="array" ref="Q22">ROUND(INDEX($AF:$AJ,VLOOKUP(A22,$AF:$AJ,5,FALSE)+2,2),0)</f>
        <v>1087371</v>
      </c>
      <c r="R22" cm="1">
        <f t="array" ref="R22">ROUND(INDEX($AF:$AJ,VLOOKUP(A22,$AF:$AJ,5,FALSE)+3,2),0)</f>
        <v>1151999</v>
      </c>
      <c r="S22" cm="1">
        <f t="array" ref="S22">ROUND(INDEX($AF:$AJ,VLOOKUP(A22,$AF:$AJ,5,FALSE)+2,3),0)</f>
        <v>19558</v>
      </c>
      <c r="T22" cm="1">
        <f t="array" ref="T22">ROUND(INDEX($AF:$AJ,VLOOKUP(A22,$AF:$AJ,5,FALSE)+3,3),0)</f>
        <v>20231</v>
      </c>
      <c r="U22" cm="1">
        <f t="array" ref="U22">ROUND(INDEX($AF:$AJ,VLOOKUP(A22,$AF:$AJ,5,FALSE)+2,4),0)</f>
        <v>83832</v>
      </c>
      <c r="V22" cm="1">
        <f t="array" ref="V22">ROUND(INDEX($AF:$AJ,VLOOKUP(A22,$AF:$AJ,5,FALSE)+3,4),0)</f>
        <v>88039</v>
      </c>
      <c r="X22">
        <f t="shared" si="14"/>
        <v>-3</v>
      </c>
      <c r="Y22">
        <f t="shared" si="15"/>
        <v>-64628</v>
      </c>
      <c r="Z22">
        <f t="shared" si="16"/>
        <v>-673</v>
      </c>
      <c r="AA22">
        <f t="shared" si="17"/>
        <v>-4207</v>
      </c>
      <c r="AE22" s="179" t="s">
        <v>1091</v>
      </c>
      <c r="AF22" s="1" t="s">
        <v>440</v>
      </c>
      <c r="AG22" s="1" t="s">
        <v>441</v>
      </c>
      <c r="AH22" s="1" t="s">
        <v>442</v>
      </c>
      <c r="AI22" s="1" t="s">
        <v>1022</v>
      </c>
      <c r="AJ22">
        <f t="shared" si="0"/>
        <v>22</v>
      </c>
    </row>
    <row r="23" spans="1:36">
      <c r="A23" s="1">
        <v>1371033646</v>
      </c>
      <c r="B23" s="1">
        <f t="shared" si="2"/>
        <v>6244071</v>
      </c>
      <c r="C23" s="1">
        <f t="shared" si="3"/>
        <v>6486145</v>
      </c>
      <c r="D23" s="1">
        <f t="shared" si="4"/>
        <v>21</v>
      </c>
      <c r="E23" s="1">
        <f t="shared" si="5"/>
        <v>21</v>
      </c>
      <c r="F23" s="1">
        <f t="shared" si="6"/>
        <v>0</v>
      </c>
      <c r="G23" s="1">
        <f t="shared" si="7"/>
        <v>0</v>
      </c>
      <c r="H23" s="1">
        <f t="shared" si="8"/>
        <v>696</v>
      </c>
      <c r="I23" s="1">
        <f t="shared" si="9"/>
        <v>697</v>
      </c>
      <c r="J23" s="1">
        <f t="shared" si="10"/>
        <v>242074</v>
      </c>
      <c r="K23" s="1">
        <f t="shared" si="11"/>
        <v>0</v>
      </c>
      <c r="L23" s="1">
        <f t="shared" si="12"/>
        <v>0</v>
      </c>
      <c r="M23" s="1">
        <f t="shared" si="13"/>
        <v>1</v>
      </c>
      <c r="O23" cm="1">
        <f t="array" ref="O23">ROUND(INDEX($AF:$AJ,VLOOKUP(A23,$AF:$AJ,5,FALSE)+2,1),0)</f>
        <v>6244071</v>
      </c>
      <c r="P23" cm="1">
        <f t="array" ref="P23">ROUND(INDEX($AF:$AJ,VLOOKUP(A23,$AF:$AJ,5,FALSE)+3,1),0)</f>
        <v>6486145</v>
      </c>
      <c r="Q23" cm="1">
        <f t="array" ref="Q23">ROUND(INDEX($AF:$AJ,VLOOKUP(A23,$AF:$AJ,5,FALSE)+2,2),0)</f>
        <v>21</v>
      </c>
      <c r="R23" cm="1">
        <f t="array" ref="R23">ROUND(INDEX($AF:$AJ,VLOOKUP(A23,$AF:$AJ,5,FALSE)+3,2),0)</f>
        <v>21</v>
      </c>
      <c r="S23" cm="1">
        <f t="array" ref="S23">ROUND(INDEX($AF:$AJ,VLOOKUP(A23,$AF:$AJ,5,FALSE)+2,3),0)</f>
        <v>0</v>
      </c>
      <c r="T23" cm="1">
        <f t="array" ref="T23">ROUND(INDEX($AF:$AJ,VLOOKUP(A23,$AF:$AJ,5,FALSE)+3,3),0)</f>
        <v>0</v>
      </c>
      <c r="U23" cm="1">
        <f t="array" ref="U23">ROUND(INDEX($AF:$AJ,VLOOKUP(A23,$AF:$AJ,5,FALSE)+2,4),0)</f>
        <v>696</v>
      </c>
      <c r="V23" cm="1">
        <f t="array" ref="V23">ROUND(INDEX($AF:$AJ,VLOOKUP(A23,$AF:$AJ,5,FALSE)+3,4),0)</f>
        <v>697</v>
      </c>
      <c r="X23">
        <f t="shared" si="14"/>
        <v>-242074</v>
      </c>
      <c r="Y23">
        <f t="shared" si="15"/>
        <v>0</v>
      </c>
      <c r="Z23">
        <f t="shared" si="16"/>
        <v>0</v>
      </c>
      <c r="AA23">
        <f t="shared" si="17"/>
        <v>-1</v>
      </c>
      <c r="AE23" s="179" t="s">
        <v>1092</v>
      </c>
      <c r="AF23" s="1">
        <v>447023.375</v>
      </c>
      <c r="AG23" s="1">
        <v>239419.9375</v>
      </c>
      <c r="AH23" s="1">
        <v>335.99344000000002</v>
      </c>
      <c r="AI23" s="1">
        <v>206390.14063000001</v>
      </c>
      <c r="AJ23">
        <f t="shared" si="0"/>
        <v>23</v>
      </c>
    </row>
    <row r="24" spans="1:36">
      <c r="A24" s="1">
        <v>1371034845</v>
      </c>
      <c r="B24" s="1">
        <f t="shared" si="2"/>
        <v>3036549</v>
      </c>
      <c r="C24" s="1">
        <f t="shared" si="3"/>
        <v>3162689</v>
      </c>
      <c r="D24" s="1">
        <f t="shared" si="4"/>
        <v>2</v>
      </c>
      <c r="E24" s="1">
        <f t="shared" si="5"/>
        <v>2</v>
      </c>
      <c r="F24" s="1">
        <f t="shared" si="6"/>
        <v>429184</v>
      </c>
      <c r="G24" s="1">
        <f t="shared" si="7"/>
        <v>448219</v>
      </c>
      <c r="H24" s="1">
        <f t="shared" si="8"/>
        <v>5409</v>
      </c>
      <c r="I24" s="1">
        <f t="shared" si="9"/>
        <v>5425</v>
      </c>
      <c r="J24" s="1">
        <f t="shared" si="10"/>
        <v>126140</v>
      </c>
      <c r="K24" s="1">
        <f t="shared" si="11"/>
        <v>0</v>
      </c>
      <c r="L24" s="1">
        <f t="shared" si="12"/>
        <v>19035</v>
      </c>
      <c r="M24" s="1">
        <f t="shared" si="13"/>
        <v>16</v>
      </c>
      <c r="O24" cm="1">
        <f t="array" ref="O24">ROUND(INDEX($AF:$AJ,VLOOKUP(A24,$AF:$AJ,5,FALSE)+2,1),0)</f>
        <v>3036549</v>
      </c>
      <c r="P24" cm="1">
        <f t="array" ref="P24">ROUND(INDEX($AF:$AJ,VLOOKUP(A24,$AF:$AJ,5,FALSE)+3,1),0)</f>
        <v>3162689</v>
      </c>
      <c r="Q24" cm="1">
        <f t="array" ref="Q24">ROUND(INDEX($AF:$AJ,VLOOKUP(A24,$AF:$AJ,5,FALSE)+2,2),0)</f>
        <v>2</v>
      </c>
      <c r="R24" cm="1">
        <f t="array" ref="R24">ROUND(INDEX($AF:$AJ,VLOOKUP(A24,$AF:$AJ,5,FALSE)+3,2),0)</f>
        <v>2</v>
      </c>
      <c r="S24" cm="1">
        <f t="array" ref="S24">ROUND(INDEX($AF:$AJ,VLOOKUP(A24,$AF:$AJ,5,FALSE)+2,3),0)</f>
        <v>429184</v>
      </c>
      <c r="T24" cm="1">
        <f t="array" ref="T24">ROUND(INDEX($AF:$AJ,VLOOKUP(A24,$AF:$AJ,5,FALSE)+3,3),0)</f>
        <v>448219</v>
      </c>
      <c r="U24" cm="1">
        <f t="array" ref="U24">ROUND(INDEX($AF:$AJ,VLOOKUP(A24,$AF:$AJ,5,FALSE)+2,4),0)</f>
        <v>5409</v>
      </c>
      <c r="V24" cm="1">
        <f t="array" ref="V24">ROUND(INDEX($AF:$AJ,VLOOKUP(A24,$AF:$AJ,5,FALSE)+3,4),0)</f>
        <v>5425</v>
      </c>
      <c r="X24">
        <f t="shared" si="14"/>
        <v>-126140</v>
      </c>
      <c r="Y24">
        <f t="shared" si="15"/>
        <v>0</v>
      </c>
      <c r="Z24">
        <f t="shared" si="16"/>
        <v>-19035</v>
      </c>
      <c r="AA24">
        <f t="shared" si="17"/>
        <v>-16</v>
      </c>
      <c r="AE24" s="179" t="s">
        <v>1093</v>
      </c>
      <c r="AF24" s="1">
        <v>457259.78125</v>
      </c>
      <c r="AG24" s="1">
        <v>261171.17188000001</v>
      </c>
      <c r="AH24" s="1">
        <v>335.99344000000002</v>
      </c>
      <c r="AI24" s="1">
        <v>214900.5</v>
      </c>
      <c r="AJ24">
        <f t="shared" si="0"/>
        <v>24</v>
      </c>
    </row>
    <row r="25" spans="1:36">
      <c r="A25" s="1">
        <v>1371511160</v>
      </c>
      <c r="B25" s="1">
        <f t="shared" si="2"/>
        <v>542196</v>
      </c>
      <c r="C25" s="1">
        <f t="shared" si="3"/>
        <v>563522</v>
      </c>
      <c r="D25" s="1">
        <f t="shared" si="4"/>
        <v>0</v>
      </c>
      <c r="E25" s="1">
        <f t="shared" si="5"/>
        <v>0</v>
      </c>
      <c r="F25" s="1">
        <f t="shared" si="6"/>
        <v>12808</v>
      </c>
      <c r="G25" s="1">
        <f t="shared" si="7"/>
        <v>13016</v>
      </c>
      <c r="H25" s="1">
        <f t="shared" si="8"/>
        <v>41942</v>
      </c>
      <c r="I25" s="1">
        <f t="shared" si="9"/>
        <v>44498</v>
      </c>
      <c r="J25" s="1">
        <f t="shared" si="10"/>
        <v>21326</v>
      </c>
      <c r="K25" s="1">
        <f t="shared" si="11"/>
        <v>0</v>
      </c>
      <c r="L25" s="1">
        <f t="shared" si="12"/>
        <v>208</v>
      </c>
      <c r="M25" s="1">
        <f t="shared" si="13"/>
        <v>2556</v>
      </c>
      <c r="O25" cm="1">
        <f t="array" ref="O25">ROUND(INDEX($AF:$AJ,VLOOKUP(A25,$AF:$AJ,5,FALSE)+2,1),0)</f>
        <v>542196</v>
      </c>
      <c r="P25" cm="1">
        <f t="array" ref="P25">ROUND(INDEX($AF:$AJ,VLOOKUP(A25,$AF:$AJ,5,FALSE)+3,1),0)</f>
        <v>563522</v>
      </c>
      <c r="Q25" cm="1">
        <f t="array" ref="Q25">ROUND(INDEX($AF:$AJ,VLOOKUP(A25,$AF:$AJ,5,FALSE)+2,2),0)</f>
        <v>0</v>
      </c>
      <c r="R25" cm="1">
        <f t="array" ref="R25">ROUND(INDEX($AF:$AJ,VLOOKUP(A25,$AF:$AJ,5,FALSE)+3,2),0)</f>
        <v>0</v>
      </c>
      <c r="S25" cm="1">
        <f t="array" ref="S25">ROUND(INDEX($AF:$AJ,VLOOKUP(A25,$AF:$AJ,5,FALSE)+2,3),0)</f>
        <v>12808</v>
      </c>
      <c r="T25" cm="1">
        <f t="array" ref="T25">ROUND(INDEX($AF:$AJ,VLOOKUP(A25,$AF:$AJ,5,FALSE)+3,3),0)</f>
        <v>13016</v>
      </c>
      <c r="U25" cm="1">
        <f t="array" ref="U25">ROUND(INDEX($AF:$AJ,VLOOKUP(A25,$AF:$AJ,5,FALSE)+2,4),0)</f>
        <v>41942</v>
      </c>
      <c r="V25" cm="1">
        <f t="array" ref="V25">ROUND(INDEX($AF:$AJ,VLOOKUP(A25,$AF:$AJ,5,FALSE)+3,4),0)</f>
        <v>44498</v>
      </c>
      <c r="X25">
        <f t="shared" si="14"/>
        <v>-21326</v>
      </c>
      <c r="Y25">
        <f t="shared" si="15"/>
        <v>0</v>
      </c>
      <c r="Z25">
        <f t="shared" si="16"/>
        <v>-208</v>
      </c>
      <c r="AA25">
        <f t="shared" si="17"/>
        <v>-2556</v>
      </c>
      <c r="AE25" s="179" t="s">
        <v>1094</v>
      </c>
      <c r="AF25" s="1">
        <f>AF24-AF23</f>
        <v>10236.40625</v>
      </c>
      <c r="AG25" s="1">
        <f>AG24-AG23</f>
        <v>21751.234380000009</v>
      </c>
      <c r="AH25" s="1">
        <f>AH24-AH23</f>
        <v>0</v>
      </c>
      <c r="AI25" s="1">
        <f>AI24-AI23</f>
        <v>8510.359369999991</v>
      </c>
      <c r="AJ25">
        <f t="shared" si="0"/>
        <v>25</v>
      </c>
    </row>
    <row r="26" spans="1:36">
      <c r="A26" s="1">
        <v>1371513453</v>
      </c>
      <c r="B26" s="1">
        <f t="shared" si="2"/>
        <v>1982173</v>
      </c>
      <c r="C26" s="1">
        <f t="shared" si="3"/>
        <v>2037162</v>
      </c>
      <c r="D26" s="1">
        <f t="shared" si="4"/>
        <v>32348</v>
      </c>
      <c r="E26" s="1">
        <f t="shared" si="5"/>
        <v>34666</v>
      </c>
      <c r="F26" s="1">
        <f t="shared" si="6"/>
        <v>195129</v>
      </c>
      <c r="G26" s="1">
        <f t="shared" si="7"/>
        <v>198933</v>
      </c>
      <c r="H26" s="1">
        <f t="shared" si="8"/>
        <v>194767</v>
      </c>
      <c r="I26" s="1">
        <f t="shared" si="9"/>
        <v>203055</v>
      </c>
      <c r="J26" s="1">
        <f t="shared" si="10"/>
        <v>54989</v>
      </c>
      <c r="K26" s="1">
        <f t="shared" si="11"/>
        <v>2318</v>
      </c>
      <c r="L26" s="1">
        <f t="shared" si="12"/>
        <v>3804</v>
      </c>
      <c r="M26" s="1">
        <f t="shared" si="13"/>
        <v>8288</v>
      </c>
      <c r="O26" cm="1">
        <f t="array" ref="O26">ROUND(INDEX($AF:$AJ,VLOOKUP(A26,$AF:$AJ,5,FALSE)+2,1),0)</f>
        <v>1982173</v>
      </c>
      <c r="P26" cm="1">
        <f t="array" ref="P26">ROUND(INDEX($AF:$AJ,VLOOKUP(A26,$AF:$AJ,5,FALSE)+3,1),0)</f>
        <v>2037162</v>
      </c>
      <c r="Q26" cm="1">
        <f t="array" ref="Q26">ROUND(INDEX($AF:$AJ,VLOOKUP(A26,$AF:$AJ,5,FALSE)+2,2),0)</f>
        <v>32348</v>
      </c>
      <c r="R26" cm="1">
        <f t="array" ref="R26">ROUND(INDEX($AF:$AJ,VLOOKUP(A26,$AF:$AJ,5,FALSE)+3,2),0)</f>
        <v>34666</v>
      </c>
      <c r="S26" cm="1">
        <f t="array" ref="S26">ROUND(INDEX($AF:$AJ,VLOOKUP(A26,$AF:$AJ,5,FALSE)+2,3),0)</f>
        <v>195129</v>
      </c>
      <c r="T26" cm="1">
        <f t="array" ref="T26">ROUND(INDEX($AF:$AJ,VLOOKUP(A26,$AF:$AJ,5,FALSE)+3,3),0)</f>
        <v>198933</v>
      </c>
      <c r="U26" cm="1">
        <f t="array" ref="U26">ROUND(INDEX($AF:$AJ,VLOOKUP(A26,$AF:$AJ,5,FALSE)+2,4),0)</f>
        <v>194767</v>
      </c>
      <c r="V26" cm="1">
        <f t="array" ref="V26">ROUND(INDEX($AF:$AJ,VLOOKUP(A26,$AF:$AJ,5,FALSE)+3,4),0)</f>
        <v>203055</v>
      </c>
      <c r="X26">
        <f t="shared" si="14"/>
        <v>-54989</v>
      </c>
      <c r="Y26">
        <f t="shared" si="15"/>
        <v>-2318</v>
      </c>
      <c r="Z26">
        <f t="shared" si="16"/>
        <v>-3804</v>
      </c>
      <c r="AA26">
        <f t="shared" si="17"/>
        <v>-8288</v>
      </c>
      <c r="AE26" s="179" t="s">
        <v>1090</v>
      </c>
      <c r="AF26" s="560">
        <v>1369534319</v>
      </c>
      <c r="AG26" s="1" t="s">
        <v>1095</v>
      </c>
      <c r="AH26" s="1" t="s">
        <v>1095</v>
      </c>
      <c r="AI26" s="1" t="s">
        <v>1095</v>
      </c>
      <c r="AJ26">
        <f t="shared" si="0"/>
        <v>26</v>
      </c>
    </row>
    <row r="27" spans="1:36">
      <c r="A27" s="1">
        <v>1371514348</v>
      </c>
      <c r="B27" s="1">
        <f t="shared" si="2"/>
        <v>2409660</v>
      </c>
      <c r="C27" s="1">
        <f t="shared" si="3"/>
        <v>2508193</v>
      </c>
      <c r="D27" s="1">
        <f t="shared" si="4"/>
        <v>137091</v>
      </c>
      <c r="E27" s="1">
        <f t="shared" si="5"/>
        <v>138515</v>
      </c>
      <c r="F27" s="1">
        <f t="shared" si="6"/>
        <v>337232</v>
      </c>
      <c r="G27" s="1">
        <f t="shared" si="7"/>
        <v>356286</v>
      </c>
      <c r="H27" s="1">
        <f t="shared" si="8"/>
        <v>19743</v>
      </c>
      <c r="I27" s="1">
        <f t="shared" si="9"/>
        <v>19903</v>
      </c>
      <c r="J27" s="1">
        <f t="shared" si="10"/>
        <v>98533</v>
      </c>
      <c r="K27" s="1">
        <f t="shared" si="11"/>
        <v>1424</v>
      </c>
      <c r="L27" s="1">
        <f t="shared" si="12"/>
        <v>19054</v>
      </c>
      <c r="M27" s="1">
        <f t="shared" si="13"/>
        <v>160</v>
      </c>
      <c r="O27" cm="1">
        <f t="array" ref="O27">ROUND(INDEX($AF:$AJ,VLOOKUP(A27,$AF:$AJ,5,FALSE)+2,1),0)</f>
        <v>2409660</v>
      </c>
      <c r="P27" cm="1">
        <f t="array" ref="P27">ROUND(INDEX($AF:$AJ,VLOOKUP(A27,$AF:$AJ,5,FALSE)+3,1),0)</f>
        <v>2508193</v>
      </c>
      <c r="Q27" cm="1">
        <f t="array" ref="Q27">ROUND(INDEX($AF:$AJ,VLOOKUP(A27,$AF:$AJ,5,FALSE)+2,2),0)</f>
        <v>137091</v>
      </c>
      <c r="R27" cm="1">
        <f t="array" ref="R27">ROUND(INDEX($AF:$AJ,VLOOKUP(A27,$AF:$AJ,5,FALSE)+3,2),0)</f>
        <v>138515</v>
      </c>
      <c r="S27" cm="1">
        <f t="array" ref="S27">ROUND(INDEX($AF:$AJ,VLOOKUP(A27,$AF:$AJ,5,FALSE)+2,3),0)</f>
        <v>337232</v>
      </c>
      <c r="T27" cm="1">
        <f t="array" ref="T27">ROUND(INDEX($AF:$AJ,VLOOKUP(A27,$AF:$AJ,5,FALSE)+3,3),0)</f>
        <v>356286</v>
      </c>
      <c r="U27" cm="1">
        <f t="array" ref="U27">ROUND(INDEX($AF:$AJ,VLOOKUP(A27,$AF:$AJ,5,FALSE)+2,4),0)</f>
        <v>19743</v>
      </c>
      <c r="V27" cm="1">
        <f t="array" ref="V27">ROUND(INDEX($AF:$AJ,VLOOKUP(A27,$AF:$AJ,5,FALSE)+3,4),0)</f>
        <v>19903</v>
      </c>
      <c r="X27">
        <f t="shared" si="14"/>
        <v>-98533</v>
      </c>
      <c r="Y27">
        <f t="shared" si="15"/>
        <v>-1424</v>
      </c>
      <c r="Z27">
        <f t="shared" si="16"/>
        <v>-19054</v>
      </c>
      <c r="AA27">
        <f t="shared" si="17"/>
        <v>-160</v>
      </c>
      <c r="AE27" s="179" t="s">
        <v>1091</v>
      </c>
      <c r="AF27" s="1" t="s">
        <v>440</v>
      </c>
      <c r="AG27" s="1" t="s">
        <v>441</v>
      </c>
      <c r="AH27" s="1" t="s">
        <v>442</v>
      </c>
      <c r="AI27" s="1" t="s">
        <v>1022</v>
      </c>
      <c r="AJ27">
        <f t="shared" si="0"/>
        <v>27</v>
      </c>
    </row>
    <row r="28" spans="1:36">
      <c r="A28" s="1">
        <v>1371621427</v>
      </c>
      <c r="B28" s="1">
        <f t="shared" si="2"/>
        <v>390</v>
      </c>
      <c r="C28" s="1">
        <f t="shared" si="3"/>
        <v>413</v>
      </c>
      <c r="D28" s="1">
        <f t="shared" si="4"/>
        <v>1601886</v>
      </c>
      <c r="E28" s="1">
        <f t="shared" si="5"/>
        <v>1761772</v>
      </c>
      <c r="F28" s="1">
        <f t="shared" si="6"/>
        <v>4040</v>
      </c>
      <c r="G28" s="1">
        <f t="shared" si="7"/>
        <v>4432</v>
      </c>
      <c r="H28" s="1">
        <f t="shared" si="8"/>
        <v>20214</v>
      </c>
      <c r="I28" s="1">
        <f t="shared" si="9"/>
        <v>21484</v>
      </c>
      <c r="J28" s="1">
        <f t="shared" si="10"/>
        <v>23</v>
      </c>
      <c r="K28" s="1">
        <f t="shared" si="11"/>
        <v>159886</v>
      </c>
      <c r="L28" s="1">
        <f t="shared" si="12"/>
        <v>392</v>
      </c>
      <c r="M28" s="1">
        <f t="shared" si="13"/>
        <v>1270</v>
      </c>
      <c r="O28" cm="1">
        <f t="array" ref="O28">ROUND(INDEX($AF:$AJ,VLOOKUP(A28,$AF:$AJ,5,FALSE)+2,1),0)</f>
        <v>390</v>
      </c>
      <c r="P28" cm="1">
        <f t="array" ref="P28">ROUND(INDEX($AF:$AJ,VLOOKUP(A28,$AF:$AJ,5,FALSE)+3,1),0)</f>
        <v>413</v>
      </c>
      <c r="Q28" cm="1">
        <f t="array" ref="Q28">ROUND(INDEX($AF:$AJ,VLOOKUP(A28,$AF:$AJ,5,FALSE)+2,2),0)</f>
        <v>1601886</v>
      </c>
      <c r="R28" cm="1">
        <f t="array" ref="R28">ROUND(INDEX($AF:$AJ,VLOOKUP(A28,$AF:$AJ,5,FALSE)+3,2),0)</f>
        <v>1761772</v>
      </c>
      <c r="S28" cm="1">
        <f t="array" ref="S28">ROUND(INDEX($AF:$AJ,VLOOKUP(A28,$AF:$AJ,5,FALSE)+2,3),0)</f>
        <v>4040</v>
      </c>
      <c r="T28" cm="1">
        <f t="array" ref="T28">ROUND(INDEX($AF:$AJ,VLOOKUP(A28,$AF:$AJ,5,FALSE)+3,3),0)</f>
        <v>4432</v>
      </c>
      <c r="U28" cm="1">
        <f t="array" ref="U28">ROUND(INDEX($AF:$AJ,VLOOKUP(A28,$AF:$AJ,5,FALSE)+2,4),0)</f>
        <v>20214</v>
      </c>
      <c r="V28" cm="1">
        <f t="array" ref="V28">ROUND(INDEX($AF:$AJ,VLOOKUP(A28,$AF:$AJ,5,FALSE)+3,4),0)</f>
        <v>21484</v>
      </c>
      <c r="X28">
        <f t="shared" si="14"/>
        <v>-23</v>
      </c>
      <c r="Y28">
        <f t="shared" si="15"/>
        <v>-159886</v>
      </c>
      <c r="Z28">
        <f t="shared" si="16"/>
        <v>-392</v>
      </c>
      <c r="AA28">
        <f t="shared" si="17"/>
        <v>-1270</v>
      </c>
      <c r="AE28" s="179" t="s">
        <v>1092</v>
      </c>
      <c r="AF28" s="1">
        <v>1526900.625</v>
      </c>
      <c r="AG28" s="1">
        <v>11.741110000000001</v>
      </c>
      <c r="AH28" s="1">
        <v>259313.6875</v>
      </c>
      <c r="AI28" s="1">
        <v>2357.1101100000001</v>
      </c>
      <c r="AJ28">
        <f t="shared" si="0"/>
        <v>28</v>
      </c>
    </row>
    <row r="29" spans="1:36">
      <c r="A29" s="1">
        <v>1371621501</v>
      </c>
      <c r="B29" s="1">
        <f t="shared" si="2"/>
        <v>110</v>
      </c>
      <c r="C29" s="1">
        <f t="shared" si="3"/>
        <v>115</v>
      </c>
      <c r="D29" s="1">
        <f t="shared" si="4"/>
        <v>495216</v>
      </c>
      <c r="E29" s="1">
        <f t="shared" si="5"/>
        <v>534695</v>
      </c>
      <c r="F29" s="1">
        <f t="shared" si="6"/>
        <v>364</v>
      </c>
      <c r="G29" s="1">
        <f t="shared" si="7"/>
        <v>399</v>
      </c>
      <c r="H29" s="1">
        <f t="shared" si="8"/>
        <v>7782</v>
      </c>
      <c r="I29" s="1">
        <f t="shared" si="9"/>
        <v>8194</v>
      </c>
      <c r="J29" s="1">
        <f t="shared" si="10"/>
        <v>5</v>
      </c>
      <c r="K29" s="1">
        <f t="shared" si="11"/>
        <v>39479</v>
      </c>
      <c r="L29" s="1">
        <f t="shared" si="12"/>
        <v>35</v>
      </c>
      <c r="M29" s="1">
        <f t="shared" si="13"/>
        <v>412</v>
      </c>
      <c r="O29" cm="1">
        <f t="array" ref="O29">ROUND(INDEX($AF:$AJ,VLOOKUP(A29,$AF:$AJ,5,FALSE)+2,1),0)</f>
        <v>110</v>
      </c>
      <c r="P29" cm="1">
        <f t="array" ref="P29">ROUND(INDEX($AF:$AJ,VLOOKUP(A29,$AF:$AJ,5,FALSE)+3,1),0)</f>
        <v>115</v>
      </c>
      <c r="Q29" cm="1">
        <f t="array" ref="Q29">ROUND(INDEX($AF:$AJ,VLOOKUP(A29,$AF:$AJ,5,FALSE)+2,2),0)</f>
        <v>495216</v>
      </c>
      <c r="R29" cm="1">
        <f t="array" ref="R29">ROUND(INDEX($AF:$AJ,VLOOKUP(A29,$AF:$AJ,5,FALSE)+3,2),0)</f>
        <v>534695</v>
      </c>
      <c r="S29" cm="1">
        <f t="array" ref="S29">ROUND(INDEX($AF:$AJ,VLOOKUP(A29,$AF:$AJ,5,FALSE)+2,3),0)</f>
        <v>364</v>
      </c>
      <c r="T29" cm="1">
        <f t="array" ref="T29">ROUND(INDEX($AF:$AJ,VLOOKUP(A29,$AF:$AJ,5,FALSE)+3,3),0)</f>
        <v>399</v>
      </c>
      <c r="U29" cm="1">
        <f t="array" ref="U29">ROUND(INDEX($AF:$AJ,VLOOKUP(A29,$AF:$AJ,5,FALSE)+2,4),0)</f>
        <v>7782</v>
      </c>
      <c r="V29" cm="1">
        <f t="array" ref="V29">ROUND(INDEX($AF:$AJ,VLOOKUP(A29,$AF:$AJ,5,FALSE)+3,4),0)</f>
        <v>8194</v>
      </c>
      <c r="X29">
        <f t="shared" si="14"/>
        <v>-5</v>
      </c>
      <c r="Y29">
        <f t="shared" si="15"/>
        <v>-39479</v>
      </c>
      <c r="Z29">
        <f t="shared" si="16"/>
        <v>-35</v>
      </c>
      <c r="AA29">
        <f t="shared" si="17"/>
        <v>-412</v>
      </c>
      <c r="AE29" s="179" t="s">
        <v>1093</v>
      </c>
      <c r="AF29" s="1">
        <v>1594416.125</v>
      </c>
      <c r="AG29" s="1">
        <v>11.741110000000001</v>
      </c>
      <c r="AH29" s="1">
        <v>271607.40625</v>
      </c>
      <c r="AI29" s="1">
        <v>2359.41309</v>
      </c>
      <c r="AJ29">
        <f t="shared" si="0"/>
        <v>29</v>
      </c>
    </row>
    <row r="30" spans="1:36">
      <c r="A30" s="1">
        <v>1371621682</v>
      </c>
      <c r="B30" s="1">
        <f t="shared" si="2"/>
        <v>429</v>
      </c>
      <c r="C30" s="1">
        <f t="shared" si="3"/>
        <v>451</v>
      </c>
      <c r="D30" s="1">
        <f t="shared" si="4"/>
        <v>1690393</v>
      </c>
      <c r="E30" s="1">
        <f t="shared" si="5"/>
        <v>1816355</v>
      </c>
      <c r="F30" s="1">
        <f t="shared" si="6"/>
        <v>1298</v>
      </c>
      <c r="G30" s="1">
        <f t="shared" si="7"/>
        <v>1331</v>
      </c>
      <c r="H30" s="1">
        <f t="shared" si="8"/>
        <v>26318</v>
      </c>
      <c r="I30" s="1">
        <f t="shared" si="9"/>
        <v>27999</v>
      </c>
      <c r="J30" s="1">
        <f t="shared" si="10"/>
        <v>22</v>
      </c>
      <c r="K30" s="1">
        <f t="shared" si="11"/>
        <v>125962</v>
      </c>
      <c r="L30" s="1">
        <f t="shared" si="12"/>
        <v>33</v>
      </c>
      <c r="M30" s="1">
        <f t="shared" si="13"/>
        <v>1681</v>
      </c>
      <c r="O30" cm="1">
        <f t="array" ref="O30">ROUND(INDEX($AF:$AJ,VLOOKUP(A30,$AF:$AJ,5,FALSE)+2,1),0)</f>
        <v>429</v>
      </c>
      <c r="P30" cm="1">
        <f t="array" ref="P30">ROUND(INDEX($AF:$AJ,VLOOKUP(A30,$AF:$AJ,5,FALSE)+3,1),0)</f>
        <v>451</v>
      </c>
      <c r="Q30" cm="1">
        <f t="array" ref="Q30">ROUND(INDEX($AF:$AJ,VLOOKUP(A30,$AF:$AJ,5,FALSE)+2,2),0)</f>
        <v>1690393</v>
      </c>
      <c r="R30" cm="1">
        <f t="array" ref="R30">ROUND(INDEX($AF:$AJ,VLOOKUP(A30,$AF:$AJ,5,FALSE)+3,2),0)</f>
        <v>1816355</v>
      </c>
      <c r="S30" cm="1">
        <f t="array" ref="S30">ROUND(INDEX($AF:$AJ,VLOOKUP(A30,$AF:$AJ,5,FALSE)+2,3),0)</f>
        <v>1298</v>
      </c>
      <c r="T30" cm="1">
        <f t="array" ref="T30">ROUND(INDEX($AF:$AJ,VLOOKUP(A30,$AF:$AJ,5,FALSE)+3,3),0)</f>
        <v>1331</v>
      </c>
      <c r="U30" cm="1">
        <f t="array" ref="U30">ROUND(INDEX($AF:$AJ,VLOOKUP(A30,$AF:$AJ,5,FALSE)+2,4),0)</f>
        <v>26318</v>
      </c>
      <c r="V30" cm="1">
        <f t="array" ref="V30">ROUND(INDEX($AF:$AJ,VLOOKUP(A30,$AF:$AJ,5,FALSE)+3,4),0)</f>
        <v>27999</v>
      </c>
      <c r="X30">
        <f t="shared" si="14"/>
        <v>-22</v>
      </c>
      <c r="Y30">
        <f t="shared" si="15"/>
        <v>-125962</v>
      </c>
      <c r="Z30">
        <f t="shared" si="16"/>
        <v>-33</v>
      </c>
      <c r="AA30">
        <f t="shared" si="17"/>
        <v>-1681</v>
      </c>
      <c r="AE30" s="179" t="s">
        <v>1094</v>
      </c>
      <c r="AF30" s="1">
        <f>AF29-AF28</f>
        <v>67515.5</v>
      </c>
      <c r="AG30" s="1">
        <f>AG29-AG28</f>
        <v>0</v>
      </c>
      <c r="AH30" s="1">
        <f>AH29-AH28</f>
        <v>12293.71875</v>
      </c>
      <c r="AI30" s="1">
        <f>AI29-AI28</f>
        <v>2.3029799999999341</v>
      </c>
      <c r="AJ30">
        <f t="shared" si="0"/>
        <v>30</v>
      </c>
    </row>
    <row r="31" spans="1:36">
      <c r="A31" s="1">
        <v>1371621928</v>
      </c>
      <c r="B31" s="1">
        <f t="shared" si="2"/>
        <v>151</v>
      </c>
      <c r="C31" s="1">
        <f t="shared" si="3"/>
        <v>158</v>
      </c>
      <c r="D31" s="1">
        <f t="shared" si="4"/>
        <v>593823</v>
      </c>
      <c r="E31" s="1">
        <f t="shared" si="5"/>
        <v>635701</v>
      </c>
      <c r="F31" s="1">
        <f t="shared" si="6"/>
        <v>175</v>
      </c>
      <c r="G31" s="1">
        <f t="shared" si="7"/>
        <v>187</v>
      </c>
      <c r="H31" s="1">
        <f t="shared" si="8"/>
        <v>8927</v>
      </c>
      <c r="I31" s="1">
        <f t="shared" si="9"/>
        <v>9427</v>
      </c>
      <c r="J31" s="1">
        <f t="shared" si="10"/>
        <v>7</v>
      </c>
      <c r="K31" s="1">
        <f t="shared" si="11"/>
        <v>41878</v>
      </c>
      <c r="L31" s="1">
        <f t="shared" si="12"/>
        <v>12</v>
      </c>
      <c r="M31" s="1">
        <f t="shared" si="13"/>
        <v>500</v>
      </c>
      <c r="O31" cm="1">
        <f t="array" ref="O31">ROUND(INDEX($AF:$AJ,VLOOKUP(A31,$AF:$AJ,5,FALSE)+2,1),0)</f>
        <v>151</v>
      </c>
      <c r="P31" cm="1">
        <f t="array" ref="P31">ROUND(INDEX($AF:$AJ,VLOOKUP(A31,$AF:$AJ,5,FALSE)+3,1),0)</f>
        <v>158</v>
      </c>
      <c r="Q31" cm="1">
        <f t="array" ref="Q31">ROUND(INDEX($AF:$AJ,VLOOKUP(A31,$AF:$AJ,5,FALSE)+2,2),0)</f>
        <v>593823</v>
      </c>
      <c r="R31" cm="1">
        <f t="array" ref="R31">ROUND(INDEX($AF:$AJ,VLOOKUP(A31,$AF:$AJ,5,FALSE)+3,2),0)</f>
        <v>635701</v>
      </c>
      <c r="S31" cm="1">
        <f t="array" ref="S31">ROUND(INDEX($AF:$AJ,VLOOKUP(A31,$AF:$AJ,5,FALSE)+2,3),0)</f>
        <v>175</v>
      </c>
      <c r="T31" cm="1">
        <f t="array" ref="T31">ROUND(INDEX($AF:$AJ,VLOOKUP(A31,$AF:$AJ,5,FALSE)+3,3),0)</f>
        <v>187</v>
      </c>
      <c r="U31" cm="1">
        <f t="array" ref="U31">ROUND(INDEX($AF:$AJ,VLOOKUP(A31,$AF:$AJ,5,FALSE)+2,4),0)</f>
        <v>8927</v>
      </c>
      <c r="V31" cm="1">
        <f t="array" ref="V31">ROUND(INDEX($AF:$AJ,VLOOKUP(A31,$AF:$AJ,5,FALSE)+3,4),0)</f>
        <v>9427</v>
      </c>
      <c r="X31">
        <f t="shared" si="14"/>
        <v>-7</v>
      </c>
      <c r="Y31">
        <f t="shared" si="15"/>
        <v>-41878</v>
      </c>
      <c r="Z31">
        <f t="shared" si="16"/>
        <v>-12</v>
      </c>
      <c r="AA31">
        <f t="shared" si="17"/>
        <v>-500</v>
      </c>
      <c r="AE31" s="179" t="s">
        <v>1090</v>
      </c>
      <c r="AF31" s="560">
        <v>1369534409</v>
      </c>
      <c r="AG31" s="1" t="s">
        <v>1095</v>
      </c>
      <c r="AH31" s="1" t="s">
        <v>1095</v>
      </c>
      <c r="AI31" s="1" t="s">
        <v>1095</v>
      </c>
      <c r="AJ31">
        <f t="shared" si="0"/>
        <v>31</v>
      </c>
    </row>
    <row r="32" spans="1:36">
      <c r="A32" s="1">
        <v>1371622702</v>
      </c>
      <c r="B32" s="1">
        <f t="shared" si="2"/>
        <v>4195314</v>
      </c>
      <c r="C32" s="1">
        <f t="shared" si="3"/>
        <v>4359124</v>
      </c>
      <c r="D32" s="1">
        <f t="shared" si="4"/>
        <v>0</v>
      </c>
      <c r="E32" s="1">
        <f t="shared" si="5"/>
        <v>0</v>
      </c>
      <c r="F32" s="1">
        <f t="shared" si="6"/>
        <v>368847</v>
      </c>
      <c r="G32" s="1">
        <f t="shared" si="7"/>
        <v>375943</v>
      </c>
      <c r="H32" s="1">
        <f t="shared" si="8"/>
        <v>32427</v>
      </c>
      <c r="I32" s="1">
        <f t="shared" si="9"/>
        <v>35365</v>
      </c>
      <c r="J32" s="1">
        <f t="shared" si="10"/>
        <v>163810</v>
      </c>
      <c r="K32" s="1">
        <f t="shared" si="11"/>
        <v>0</v>
      </c>
      <c r="L32" s="1">
        <f t="shared" si="12"/>
        <v>7096</v>
      </c>
      <c r="M32" s="1">
        <f t="shared" si="13"/>
        <v>2938</v>
      </c>
      <c r="O32" cm="1">
        <f t="array" ref="O32">ROUND(INDEX($AF:$AJ,VLOOKUP(A32,$AF:$AJ,5,FALSE)+2,1),0)</f>
        <v>4195314</v>
      </c>
      <c r="P32" cm="1">
        <f t="array" ref="P32">ROUND(INDEX($AF:$AJ,VLOOKUP(A32,$AF:$AJ,5,FALSE)+3,1),0)</f>
        <v>4359124</v>
      </c>
      <c r="Q32" cm="1">
        <f t="array" ref="Q32">ROUND(INDEX($AF:$AJ,VLOOKUP(A32,$AF:$AJ,5,FALSE)+2,2),0)</f>
        <v>0</v>
      </c>
      <c r="R32" cm="1">
        <f t="array" ref="R32">ROUND(INDEX($AF:$AJ,VLOOKUP(A32,$AF:$AJ,5,FALSE)+3,2),0)</f>
        <v>0</v>
      </c>
      <c r="S32" cm="1">
        <f t="array" ref="S32">ROUND(INDEX($AF:$AJ,VLOOKUP(A32,$AF:$AJ,5,FALSE)+2,3),0)</f>
        <v>368847</v>
      </c>
      <c r="T32" cm="1">
        <f t="array" ref="T32">ROUND(INDEX($AF:$AJ,VLOOKUP(A32,$AF:$AJ,5,FALSE)+3,3),0)</f>
        <v>375943</v>
      </c>
      <c r="U32" cm="1">
        <f t="array" ref="U32">ROUND(INDEX($AF:$AJ,VLOOKUP(A32,$AF:$AJ,5,FALSE)+2,4),0)</f>
        <v>32427</v>
      </c>
      <c r="V32" cm="1">
        <f t="array" ref="V32">ROUND(INDEX($AF:$AJ,VLOOKUP(A32,$AF:$AJ,5,FALSE)+3,4),0)</f>
        <v>35365</v>
      </c>
      <c r="X32">
        <f t="shared" si="14"/>
        <v>-163810</v>
      </c>
      <c r="Y32">
        <f t="shared" si="15"/>
        <v>0</v>
      </c>
      <c r="Z32">
        <f t="shared" si="16"/>
        <v>-7096</v>
      </c>
      <c r="AA32">
        <f t="shared" si="17"/>
        <v>-2938</v>
      </c>
      <c r="AE32" s="179" t="s">
        <v>1091</v>
      </c>
      <c r="AF32" s="1" t="s">
        <v>440</v>
      </c>
      <c r="AG32" s="1" t="s">
        <v>441</v>
      </c>
      <c r="AH32" s="1" t="s">
        <v>442</v>
      </c>
      <c r="AI32" s="1" t="s">
        <v>1022</v>
      </c>
      <c r="AJ32">
        <f t="shared" si="0"/>
        <v>32</v>
      </c>
    </row>
    <row r="33" spans="1:36">
      <c r="A33" s="1">
        <v>1371623282</v>
      </c>
      <c r="B33" s="1">
        <f t="shared" si="2"/>
        <v>835197</v>
      </c>
      <c r="C33" s="1">
        <f t="shared" si="3"/>
        <v>881113</v>
      </c>
      <c r="D33" s="1">
        <f t="shared" si="4"/>
        <v>1415</v>
      </c>
      <c r="E33" s="1">
        <f t="shared" si="5"/>
        <v>1426</v>
      </c>
      <c r="F33" s="1">
        <f t="shared" si="6"/>
        <v>28907</v>
      </c>
      <c r="G33" s="1">
        <f t="shared" si="7"/>
        <v>29695</v>
      </c>
      <c r="H33" s="1">
        <f t="shared" si="8"/>
        <v>48327</v>
      </c>
      <c r="I33" s="1">
        <f t="shared" si="9"/>
        <v>51825</v>
      </c>
      <c r="J33" s="1">
        <f t="shared" si="10"/>
        <v>45916</v>
      </c>
      <c r="K33" s="1">
        <f t="shared" si="11"/>
        <v>11</v>
      </c>
      <c r="L33" s="1">
        <f t="shared" si="12"/>
        <v>788</v>
      </c>
      <c r="M33" s="1">
        <f t="shared" si="13"/>
        <v>3498</v>
      </c>
      <c r="O33" cm="1">
        <f t="array" ref="O33">ROUND(INDEX($AF:$AJ,VLOOKUP(A33,$AF:$AJ,5,FALSE)+2,1),0)</f>
        <v>835197</v>
      </c>
      <c r="P33" cm="1">
        <f t="array" ref="P33">ROUND(INDEX($AF:$AJ,VLOOKUP(A33,$AF:$AJ,5,FALSE)+3,1),0)</f>
        <v>881113</v>
      </c>
      <c r="Q33" cm="1">
        <f t="array" ref="Q33">ROUND(INDEX($AF:$AJ,VLOOKUP(A33,$AF:$AJ,5,FALSE)+2,2),0)</f>
        <v>1415</v>
      </c>
      <c r="R33" cm="1">
        <f t="array" ref="R33">ROUND(INDEX($AF:$AJ,VLOOKUP(A33,$AF:$AJ,5,FALSE)+3,2),0)</f>
        <v>1426</v>
      </c>
      <c r="S33" cm="1">
        <f t="array" ref="S33">ROUND(INDEX($AF:$AJ,VLOOKUP(A33,$AF:$AJ,5,FALSE)+2,3),0)</f>
        <v>28907</v>
      </c>
      <c r="T33" cm="1">
        <f t="array" ref="T33">ROUND(INDEX($AF:$AJ,VLOOKUP(A33,$AF:$AJ,5,FALSE)+3,3),0)</f>
        <v>29695</v>
      </c>
      <c r="U33" cm="1">
        <f t="array" ref="U33">ROUND(INDEX($AF:$AJ,VLOOKUP(A33,$AF:$AJ,5,FALSE)+2,4),0)</f>
        <v>48327</v>
      </c>
      <c r="V33" cm="1">
        <f t="array" ref="V33">ROUND(INDEX($AF:$AJ,VLOOKUP(A33,$AF:$AJ,5,FALSE)+3,4),0)</f>
        <v>51825</v>
      </c>
      <c r="X33">
        <f t="shared" si="14"/>
        <v>-45916</v>
      </c>
      <c r="Y33">
        <f t="shared" si="15"/>
        <v>-11</v>
      </c>
      <c r="Z33">
        <f t="shared" si="16"/>
        <v>-788</v>
      </c>
      <c r="AA33">
        <f t="shared" si="17"/>
        <v>-3498</v>
      </c>
      <c r="AE33" s="179" t="s">
        <v>1092</v>
      </c>
      <c r="AF33" s="1">
        <v>2206487.5</v>
      </c>
      <c r="AG33" s="1">
        <v>2789.5341800000001</v>
      </c>
      <c r="AH33" s="1">
        <v>363529.96875</v>
      </c>
      <c r="AI33" s="1">
        <v>3089.2597700000001</v>
      </c>
      <c r="AJ33">
        <f t="shared" si="0"/>
        <v>33</v>
      </c>
    </row>
    <row r="34" spans="1:36">
      <c r="A34" s="1">
        <v>1371623665</v>
      </c>
      <c r="B34" s="1">
        <f t="shared" si="2"/>
        <v>2815262</v>
      </c>
      <c r="C34" s="1">
        <f t="shared" si="3"/>
        <v>2951600</v>
      </c>
      <c r="D34" s="1">
        <f t="shared" si="4"/>
        <v>3808</v>
      </c>
      <c r="E34" s="1">
        <f t="shared" si="5"/>
        <v>3808</v>
      </c>
      <c r="F34" s="1">
        <f t="shared" si="6"/>
        <v>354153</v>
      </c>
      <c r="G34" s="1">
        <f t="shared" si="7"/>
        <v>371481</v>
      </c>
      <c r="H34" s="1">
        <f t="shared" si="8"/>
        <v>1528</v>
      </c>
      <c r="I34" s="1">
        <f t="shared" si="9"/>
        <v>1545</v>
      </c>
      <c r="J34" s="1">
        <f t="shared" si="10"/>
        <v>136338</v>
      </c>
      <c r="K34" s="1">
        <f t="shared" si="11"/>
        <v>0</v>
      </c>
      <c r="L34" s="1">
        <f t="shared" si="12"/>
        <v>17328</v>
      </c>
      <c r="M34" s="1">
        <f t="shared" si="13"/>
        <v>17</v>
      </c>
      <c r="O34" cm="1">
        <f t="array" ref="O34">ROUND(INDEX($AF:$AJ,VLOOKUP(A34,$AF:$AJ,5,FALSE)+2,1),0)</f>
        <v>2815262</v>
      </c>
      <c r="P34" cm="1">
        <f t="array" ref="P34">ROUND(INDEX($AF:$AJ,VLOOKUP(A34,$AF:$AJ,5,FALSE)+3,1),0)</f>
        <v>2951600</v>
      </c>
      <c r="Q34" cm="1">
        <f t="array" ref="Q34">ROUND(INDEX($AF:$AJ,VLOOKUP(A34,$AF:$AJ,5,FALSE)+2,2),0)</f>
        <v>3808</v>
      </c>
      <c r="R34" cm="1">
        <f t="array" ref="R34">ROUND(INDEX($AF:$AJ,VLOOKUP(A34,$AF:$AJ,5,FALSE)+3,2),0)</f>
        <v>3808</v>
      </c>
      <c r="S34" cm="1">
        <f t="array" ref="S34">ROUND(INDEX($AF:$AJ,VLOOKUP(A34,$AF:$AJ,5,FALSE)+2,3),0)</f>
        <v>354153</v>
      </c>
      <c r="T34" cm="1">
        <f t="array" ref="T34">ROUND(INDEX($AF:$AJ,VLOOKUP(A34,$AF:$AJ,5,FALSE)+3,3),0)</f>
        <v>371481</v>
      </c>
      <c r="U34" cm="1">
        <f t="array" ref="U34">ROUND(INDEX($AF:$AJ,VLOOKUP(A34,$AF:$AJ,5,FALSE)+2,4),0)</f>
        <v>1528</v>
      </c>
      <c r="V34" cm="1">
        <f t="array" ref="V34">ROUND(INDEX($AF:$AJ,VLOOKUP(A34,$AF:$AJ,5,FALSE)+3,4),0)</f>
        <v>1545</v>
      </c>
      <c r="X34">
        <f t="shared" si="14"/>
        <v>-136338</v>
      </c>
      <c r="Y34">
        <f t="shared" si="15"/>
        <v>0</v>
      </c>
      <c r="Z34">
        <f t="shared" si="16"/>
        <v>-17328</v>
      </c>
      <c r="AA34">
        <f t="shared" si="17"/>
        <v>-17</v>
      </c>
      <c r="AE34" s="179" t="s">
        <v>1093</v>
      </c>
      <c r="AF34" s="1">
        <v>2304434.75</v>
      </c>
      <c r="AG34" s="1">
        <v>2789.5341800000001</v>
      </c>
      <c r="AH34" s="1">
        <v>374782.84375</v>
      </c>
      <c r="AI34" s="1">
        <v>3105.9668000000001</v>
      </c>
      <c r="AJ34">
        <f t="shared" si="0"/>
        <v>34</v>
      </c>
    </row>
    <row r="35" spans="1:36">
      <c r="A35" s="1">
        <v>1371623899</v>
      </c>
      <c r="B35" s="1">
        <f t="shared" si="2"/>
        <v>192</v>
      </c>
      <c r="C35" s="1">
        <f t="shared" si="3"/>
        <v>204</v>
      </c>
      <c r="D35" s="1">
        <f t="shared" si="4"/>
        <v>881274</v>
      </c>
      <c r="E35" s="1">
        <f t="shared" si="5"/>
        <v>964337</v>
      </c>
      <c r="F35" s="1">
        <f t="shared" si="6"/>
        <v>432</v>
      </c>
      <c r="G35" s="1">
        <f t="shared" si="7"/>
        <v>484</v>
      </c>
      <c r="H35" s="1">
        <f t="shared" si="8"/>
        <v>13698</v>
      </c>
      <c r="I35" s="1">
        <f t="shared" si="9"/>
        <v>14600</v>
      </c>
      <c r="J35" s="1">
        <f t="shared" si="10"/>
        <v>12</v>
      </c>
      <c r="K35" s="1">
        <f t="shared" si="11"/>
        <v>83063</v>
      </c>
      <c r="L35" s="1">
        <f t="shared" si="12"/>
        <v>52</v>
      </c>
      <c r="M35" s="1">
        <f t="shared" si="13"/>
        <v>902</v>
      </c>
      <c r="O35" cm="1">
        <f t="array" ref="O35">ROUND(INDEX($AF:$AJ,VLOOKUP(A35,$AF:$AJ,5,FALSE)+2,1),0)</f>
        <v>192</v>
      </c>
      <c r="P35" cm="1">
        <f t="array" ref="P35">ROUND(INDEX($AF:$AJ,VLOOKUP(A35,$AF:$AJ,5,FALSE)+3,1),0)</f>
        <v>204</v>
      </c>
      <c r="Q35" cm="1">
        <f t="array" ref="Q35">ROUND(INDEX($AF:$AJ,VLOOKUP(A35,$AF:$AJ,5,FALSE)+2,2),0)</f>
        <v>881274</v>
      </c>
      <c r="R35" cm="1">
        <f t="array" ref="R35">ROUND(INDEX($AF:$AJ,VLOOKUP(A35,$AF:$AJ,5,FALSE)+3,2),0)</f>
        <v>964337</v>
      </c>
      <c r="S35" cm="1">
        <f t="array" ref="S35">ROUND(INDEX($AF:$AJ,VLOOKUP(A35,$AF:$AJ,5,FALSE)+2,3),0)</f>
        <v>432</v>
      </c>
      <c r="T35" cm="1">
        <f t="array" ref="T35">ROUND(INDEX($AF:$AJ,VLOOKUP(A35,$AF:$AJ,5,FALSE)+3,3),0)</f>
        <v>484</v>
      </c>
      <c r="U35" cm="1">
        <f t="array" ref="U35">ROUND(INDEX($AF:$AJ,VLOOKUP(A35,$AF:$AJ,5,FALSE)+2,4),0)</f>
        <v>13698</v>
      </c>
      <c r="V35" cm="1">
        <f t="array" ref="V35">ROUND(INDEX($AF:$AJ,VLOOKUP(A35,$AF:$AJ,5,FALSE)+3,4),0)</f>
        <v>14600</v>
      </c>
      <c r="X35">
        <f t="shared" si="14"/>
        <v>-12</v>
      </c>
      <c r="Y35">
        <f t="shared" si="15"/>
        <v>-83063</v>
      </c>
      <c r="Z35">
        <f t="shared" si="16"/>
        <v>-52</v>
      </c>
      <c r="AA35">
        <f t="shared" si="17"/>
        <v>-902</v>
      </c>
      <c r="AE35" s="179" t="s">
        <v>1094</v>
      </c>
      <c r="AF35" s="1">
        <f>AF34-AF33</f>
        <v>97947.25</v>
      </c>
      <c r="AG35" s="1">
        <f>AG34-AG33</f>
        <v>0</v>
      </c>
      <c r="AH35" s="1">
        <f>AH34-AH33</f>
        <v>11252.875</v>
      </c>
      <c r="AI35" s="1">
        <f>AI34-AI33</f>
        <v>16.707030000000032</v>
      </c>
      <c r="AJ35">
        <f t="shared" si="0"/>
        <v>35</v>
      </c>
    </row>
    <row r="36" spans="1:36">
      <c r="A36" s="1">
        <v>1371624064</v>
      </c>
      <c r="B36" s="1">
        <f t="shared" si="2"/>
        <v>530</v>
      </c>
      <c r="C36" s="1">
        <f t="shared" si="3"/>
        <v>556</v>
      </c>
      <c r="D36" s="1">
        <f t="shared" si="4"/>
        <v>1493997</v>
      </c>
      <c r="E36" s="1">
        <f t="shared" si="5"/>
        <v>1531742</v>
      </c>
      <c r="F36" s="1">
        <f t="shared" si="6"/>
        <v>11486</v>
      </c>
      <c r="G36" s="1">
        <f t="shared" si="7"/>
        <v>11719</v>
      </c>
      <c r="H36" s="1">
        <f t="shared" si="8"/>
        <v>18487</v>
      </c>
      <c r="I36" s="1">
        <f t="shared" si="9"/>
        <v>19130</v>
      </c>
      <c r="J36" s="1">
        <f t="shared" si="10"/>
        <v>26</v>
      </c>
      <c r="K36" s="1">
        <f t="shared" si="11"/>
        <v>37745</v>
      </c>
      <c r="L36" s="1">
        <f t="shared" si="12"/>
        <v>233</v>
      </c>
      <c r="M36" s="1">
        <f t="shared" si="13"/>
        <v>643</v>
      </c>
      <c r="O36" cm="1">
        <f t="array" ref="O36">ROUND(INDEX($AF:$AJ,VLOOKUP(A36,$AF:$AJ,5,FALSE)+2,1),0)</f>
        <v>530</v>
      </c>
      <c r="P36" cm="1">
        <f t="array" ref="P36">ROUND(INDEX($AF:$AJ,VLOOKUP(A36,$AF:$AJ,5,FALSE)+3,1),0)</f>
        <v>556</v>
      </c>
      <c r="Q36" cm="1">
        <f t="array" ref="Q36">ROUND(INDEX($AF:$AJ,VLOOKUP(A36,$AF:$AJ,5,FALSE)+2,2),0)</f>
        <v>1493997</v>
      </c>
      <c r="R36" cm="1">
        <f t="array" ref="R36">ROUND(INDEX($AF:$AJ,VLOOKUP(A36,$AF:$AJ,5,FALSE)+3,2),0)</f>
        <v>1531742</v>
      </c>
      <c r="S36" cm="1">
        <f t="array" ref="S36">ROUND(INDEX($AF:$AJ,VLOOKUP(A36,$AF:$AJ,5,FALSE)+2,3),0)</f>
        <v>11486</v>
      </c>
      <c r="T36" cm="1">
        <f t="array" ref="T36">ROUND(INDEX($AF:$AJ,VLOOKUP(A36,$AF:$AJ,5,FALSE)+3,3),0)</f>
        <v>11719</v>
      </c>
      <c r="U36" cm="1">
        <f t="array" ref="U36">ROUND(INDEX($AF:$AJ,VLOOKUP(A36,$AF:$AJ,5,FALSE)+2,4),0)</f>
        <v>18487</v>
      </c>
      <c r="V36" cm="1">
        <f t="array" ref="V36">ROUND(INDEX($AF:$AJ,VLOOKUP(A36,$AF:$AJ,5,FALSE)+3,4),0)</f>
        <v>19130</v>
      </c>
      <c r="X36">
        <f t="shared" si="14"/>
        <v>-26</v>
      </c>
      <c r="Y36">
        <f t="shared" si="15"/>
        <v>-37745</v>
      </c>
      <c r="Z36">
        <f t="shared" si="16"/>
        <v>-233</v>
      </c>
      <c r="AA36">
        <f t="shared" si="17"/>
        <v>-643</v>
      </c>
      <c r="AE36" s="179" t="s">
        <v>1090</v>
      </c>
      <c r="AF36" s="560">
        <v>1369546098</v>
      </c>
      <c r="AG36" s="1" t="s">
        <v>1095</v>
      </c>
      <c r="AH36" s="1" t="s">
        <v>1095</v>
      </c>
      <c r="AI36" s="1" t="s">
        <v>1095</v>
      </c>
      <c r="AJ36">
        <f t="shared" si="0"/>
        <v>36</v>
      </c>
    </row>
    <row r="37" spans="1:36">
      <c r="A37" s="1">
        <v>1371624214</v>
      </c>
      <c r="B37" s="1">
        <f t="shared" si="2"/>
        <v>245</v>
      </c>
      <c r="C37" s="1">
        <f t="shared" si="3"/>
        <v>258</v>
      </c>
      <c r="D37" s="1">
        <f t="shared" si="4"/>
        <v>908224</v>
      </c>
      <c r="E37" s="1">
        <f t="shared" si="5"/>
        <v>982822</v>
      </c>
      <c r="F37" s="1">
        <f t="shared" si="6"/>
        <v>714</v>
      </c>
      <c r="G37" s="1">
        <f t="shared" si="7"/>
        <v>785</v>
      </c>
      <c r="H37" s="1">
        <f t="shared" si="8"/>
        <v>15191</v>
      </c>
      <c r="I37" s="1">
        <f t="shared" si="9"/>
        <v>16049</v>
      </c>
      <c r="J37" s="1">
        <f t="shared" si="10"/>
        <v>13</v>
      </c>
      <c r="K37" s="1">
        <f t="shared" si="11"/>
        <v>74598</v>
      </c>
      <c r="L37" s="1">
        <f t="shared" si="12"/>
        <v>71</v>
      </c>
      <c r="M37" s="1">
        <f t="shared" si="13"/>
        <v>858</v>
      </c>
      <c r="O37" cm="1">
        <f t="array" ref="O37">ROUND(INDEX($AF:$AJ,VLOOKUP(A37,$AF:$AJ,5,FALSE)+2,1),0)</f>
        <v>245</v>
      </c>
      <c r="P37" cm="1">
        <f t="array" ref="P37">ROUND(INDEX($AF:$AJ,VLOOKUP(A37,$AF:$AJ,5,FALSE)+3,1),0)</f>
        <v>258</v>
      </c>
      <c r="Q37" cm="1">
        <f t="array" ref="Q37">ROUND(INDEX($AF:$AJ,VLOOKUP(A37,$AF:$AJ,5,FALSE)+2,2),0)</f>
        <v>908224</v>
      </c>
      <c r="R37" cm="1">
        <f t="array" ref="R37">ROUND(INDEX($AF:$AJ,VLOOKUP(A37,$AF:$AJ,5,FALSE)+3,2),0)</f>
        <v>982822</v>
      </c>
      <c r="S37" cm="1">
        <f t="array" ref="S37">ROUND(INDEX($AF:$AJ,VLOOKUP(A37,$AF:$AJ,5,FALSE)+2,3),0)</f>
        <v>714</v>
      </c>
      <c r="T37" cm="1">
        <f t="array" ref="T37">ROUND(INDEX($AF:$AJ,VLOOKUP(A37,$AF:$AJ,5,FALSE)+3,3),0)</f>
        <v>785</v>
      </c>
      <c r="U37" cm="1">
        <f t="array" ref="U37">ROUND(INDEX($AF:$AJ,VLOOKUP(A37,$AF:$AJ,5,FALSE)+2,4),0)</f>
        <v>15191</v>
      </c>
      <c r="V37" cm="1">
        <f t="array" ref="V37">ROUND(INDEX($AF:$AJ,VLOOKUP(A37,$AF:$AJ,5,FALSE)+3,4),0)</f>
        <v>16049</v>
      </c>
      <c r="X37">
        <f t="shared" si="14"/>
        <v>-13</v>
      </c>
      <c r="Y37">
        <f t="shared" si="15"/>
        <v>-74598</v>
      </c>
      <c r="Z37">
        <f t="shared" si="16"/>
        <v>-71</v>
      </c>
      <c r="AA37">
        <f t="shared" si="17"/>
        <v>-858</v>
      </c>
      <c r="AE37" s="179" t="s">
        <v>1091</v>
      </c>
      <c r="AF37" s="1" t="s">
        <v>440</v>
      </c>
      <c r="AG37" s="1" t="s">
        <v>441</v>
      </c>
      <c r="AH37" s="1" t="s">
        <v>442</v>
      </c>
      <c r="AI37" s="1" t="s">
        <v>1022</v>
      </c>
      <c r="AJ37">
        <f t="shared" si="0"/>
        <v>37</v>
      </c>
    </row>
    <row r="38" spans="1:36">
      <c r="A38" s="1">
        <v>1371624296</v>
      </c>
      <c r="B38" s="1">
        <f t="shared" si="2"/>
        <v>5598307</v>
      </c>
      <c r="C38" s="1">
        <f t="shared" si="3"/>
        <v>5920940</v>
      </c>
      <c r="D38" s="1">
        <f t="shared" si="4"/>
        <v>1077</v>
      </c>
      <c r="E38" s="1">
        <f t="shared" si="5"/>
        <v>1077</v>
      </c>
      <c r="F38" s="1">
        <f t="shared" si="6"/>
        <v>870512</v>
      </c>
      <c r="G38" s="1">
        <f t="shared" si="7"/>
        <v>929181</v>
      </c>
      <c r="H38" s="1">
        <f t="shared" si="8"/>
        <v>11010</v>
      </c>
      <c r="I38" s="1">
        <f t="shared" si="9"/>
        <v>11152</v>
      </c>
      <c r="J38" s="1">
        <f t="shared" si="10"/>
        <v>322633</v>
      </c>
      <c r="K38" s="1">
        <f t="shared" si="11"/>
        <v>0</v>
      </c>
      <c r="L38" s="1">
        <f t="shared" si="12"/>
        <v>58669</v>
      </c>
      <c r="M38" s="1">
        <f t="shared" si="13"/>
        <v>142</v>
      </c>
      <c r="O38" cm="1">
        <f t="array" ref="O38">ROUND(INDEX($AF:$AJ,VLOOKUP(A38,$AF:$AJ,5,FALSE)+2,1),0)</f>
        <v>5598307</v>
      </c>
      <c r="P38" cm="1">
        <f t="array" ref="P38">ROUND(INDEX($AF:$AJ,VLOOKUP(A38,$AF:$AJ,5,FALSE)+3,1),0)</f>
        <v>5920940</v>
      </c>
      <c r="Q38" cm="1">
        <f t="array" ref="Q38">ROUND(INDEX($AF:$AJ,VLOOKUP(A38,$AF:$AJ,5,FALSE)+2,2),0)</f>
        <v>1077</v>
      </c>
      <c r="R38" cm="1">
        <f t="array" ref="R38">ROUND(INDEX($AF:$AJ,VLOOKUP(A38,$AF:$AJ,5,FALSE)+3,2),0)</f>
        <v>1077</v>
      </c>
      <c r="S38" cm="1">
        <f t="array" ref="S38">ROUND(INDEX($AF:$AJ,VLOOKUP(A38,$AF:$AJ,5,FALSE)+2,3),0)</f>
        <v>870512</v>
      </c>
      <c r="T38" cm="1">
        <f t="array" ref="T38">ROUND(INDEX($AF:$AJ,VLOOKUP(A38,$AF:$AJ,5,FALSE)+3,3),0)</f>
        <v>929181</v>
      </c>
      <c r="U38" cm="1">
        <f t="array" ref="U38">ROUND(INDEX($AF:$AJ,VLOOKUP(A38,$AF:$AJ,5,FALSE)+2,4),0)</f>
        <v>11010</v>
      </c>
      <c r="V38" cm="1">
        <f t="array" ref="V38">ROUND(INDEX($AF:$AJ,VLOOKUP(A38,$AF:$AJ,5,FALSE)+3,4),0)</f>
        <v>11152</v>
      </c>
      <c r="X38">
        <f t="shared" si="14"/>
        <v>-322633</v>
      </c>
      <c r="Y38">
        <f t="shared" si="15"/>
        <v>0</v>
      </c>
      <c r="Z38">
        <f t="shared" si="16"/>
        <v>-58669</v>
      </c>
      <c r="AA38">
        <f t="shared" si="17"/>
        <v>-142</v>
      </c>
      <c r="AE38" s="179" t="s">
        <v>1092</v>
      </c>
      <c r="AF38" s="1">
        <v>599848.0625</v>
      </c>
      <c r="AG38" s="1">
        <v>122863.54687999999</v>
      </c>
      <c r="AH38" s="1">
        <v>63010.796880000002</v>
      </c>
      <c r="AI38" s="1">
        <v>45401.957029999998</v>
      </c>
      <c r="AJ38">
        <f t="shared" si="0"/>
        <v>38</v>
      </c>
    </row>
    <row r="39" spans="1:36">
      <c r="A39" s="1">
        <v>1371624621</v>
      </c>
      <c r="B39" s="1">
        <f t="shared" si="2"/>
        <v>641</v>
      </c>
      <c r="C39" s="1">
        <f t="shared" si="3"/>
        <v>668</v>
      </c>
      <c r="D39" s="1">
        <f t="shared" si="4"/>
        <v>1889329</v>
      </c>
      <c r="E39" s="1">
        <f t="shared" si="5"/>
        <v>2059990</v>
      </c>
      <c r="F39" s="1">
        <f t="shared" si="6"/>
        <v>24842</v>
      </c>
      <c r="G39" s="1">
        <f t="shared" si="7"/>
        <v>26119</v>
      </c>
      <c r="H39" s="1">
        <f t="shared" si="8"/>
        <v>20304</v>
      </c>
      <c r="I39" s="1">
        <f t="shared" si="9"/>
        <v>20446</v>
      </c>
      <c r="J39" s="1">
        <f t="shared" si="10"/>
        <v>27</v>
      </c>
      <c r="K39" s="1">
        <f t="shared" si="11"/>
        <v>170661</v>
      </c>
      <c r="L39" s="1">
        <f t="shared" si="12"/>
        <v>1277</v>
      </c>
      <c r="M39" s="1">
        <f t="shared" si="13"/>
        <v>142</v>
      </c>
      <c r="O39" cm="1">
        <f t="array" ref="O39">ROUND(INDEX($AF:$AJ,VLOOKUP(A39,$AF:$AJ,5,FALSE)+2,1),0)</f>
        <v>641</v>
      </c>
      <c r="P39" cm="1">
        <f t="array" ref="P39">ROUND(INDEX($AF:$AJ,VLOOKUP(A39,$AF:$AJ,5,FALSE)+3,1),0)</f>
        <v>668</v>
      </c>
      <c r="Q39" cm="1">
        <f t="array" ref="Q39">ROUND(INDEX($AF:$AJ,VLOOKUP(A39,$AF:$AJ,5,FALSE)+2,2),0)</f>
        <v>1889329</v>
      </c>
      <c r="R39" cm="1">
        <f t="array" ref="R39">ROUND(INDEX($AF:$AJ,VLOOKUP(A39,$AF:$AJ,5,FALSE)+3,2),0)</f>
        <v>2059990</v>
      </c>
      <c r="S39" cm="1">
        <f t="array" ref="S39">ROUND(INDEX($AF:$AJ,VLOOKUP(A39,$AF:$AJ,5,FALSE)+2,3),0)</f>
        <v>24842</v>
      </c>
      <c r="T39" cm="1">
        <f t="array" ref="T39">ROUND(INDEX($AF:$AJ,VLOOKUP(A39,$AF:$AJ,5,FALSE)+3,3),0)</f>
        <v>26119</v>
      </c>
      <c r="U39" cm="1">
        <f t="array" ref="U39">ROUND(INDEX($AF:$AJ,VLOOKUP(A39,$AF:$AJ,5,FALSE)+2,4),0)</f>
        <v>20304</v>
      </c>
      <c r="V39" cm="1">
        <f t="array" ref="V39">ROUND(INDEX($AF:$AJ,VLOOKUP(A39,$AF:$AJ,5,FALSE)+3,4),0)</f>
        <v>20446</v>
      </c>
      <c r="X39">
        <f t="shared" si="14"/>
        <v>-27</v>
      </c>
      <c r="Y39">
        <f t="shared" si="15"/>
        <v>-170661</v>
      </c>
      <c r="Z39">
        <f t="shared" si="16"/>
        <v>-1277</v>
      </c>
      <c r="AA39">
        <f t="shared" si="17"/>
        <v>-142</v>
      </c>
      <c r="AE39" s="179" t="s">
        <v>1093</v>
      </c>
      <c r="AF39" s="1">
        <v>612763.0625</v>
      </c>
      <c r="AG39" s="1">
        <v>136049.8125</v>
      </c>
      <c r="AH39" s="1">
        <v>64016.472659999999</v>
      </c>
      <c r="AI39" s="1">
        <v>47240.101560000003</v>
      </c>
      <c r="AJ39">
        <f t="shared" si="0"/>
        <v>39</v>
      </c>
    </row>
    <row r="40" spans="1:36">
      <c r="A40" s="1">
        <v>1371624631</v>
      </c>
      <c r="B40" s="1">
        <f t="shared" si="2"/>
        <v>6963444</v>
      </c>
      <c r="C40" s="1">
        <f t="shared" si="3"/>
        <v>7299280</v>
      </c>
      <c r="D40" s="1">
        <f t="shared" si="4"/>
        <v>0</v>
      </c>
      <c r="E40" s="1">
        <f t="shared" si="5"/>
        <v>0</v>
      </c>
      <c r="F40" s="1">
        <f t="shared" si="6"/>
        <v>204463</v>
      </c>
      <c r="G40" s="1">
        <f t="shared" si="7"/>
        <v>211989</v>
      </c>
      <c r="H40" s="1">
        <f t="shared" si="8"/>
        <v>315682</v>
      </c>
      <c r="I40" s="1">
        <f t="shared" si="9"/>
        <v>329798</v>
      </c>
      <c r="J40" s="1">
        <f t="shared" si="10"/>
        <v>335836</v>
      </c>
      <c r="K40" s="1">
        <f t="shared" si="11"/>
        <v>0</v>
      </c>
      <c r="L40" s="1">
        <f t="shared" si="12"/>
        <v>7526</v>
      </c>
      <c r="M40" s="1">
        <f t="shared" si="13"/>
        <v>14116</v>
      </c>
      <c r="O40" cm="1">
        <f t="array" ref="O40">ROUND(INDEX($AF:$AJ,VLOOKUP(A40,$AF:$AJ,5,FALSE)+2,1),0)</f>
        <v>6963444</v>
      </c>
      <c r="P40" cm="1">
        <f t="array" ref="P40">ROUND(INDEX($AF:$AJ,VLOOKUP(A40,$AF:$AJ,5,FALSE)+3,1),0)</f>
        <v>7299280</v>
      </c>
      <c r="Q40" cm="1">
        <f t="array" ref="Q40">ROUND(INDEX($AF:$AJ,VLOOKUP(A40,$AF:$AJ,5,FALSE)+2,2),0)</f>
        <v>0</v>
      </c>
      <c r="R40" cm="1">
        <f t="array" ref="R40">ROUND(INDEX($AF:$AJ,VLOOKUP(A40,$AF:$AJ,5,FALSE)+3,2),0)</f>
        <v>0</v>
      </c>
      <c r="S40" cm="1">
        <f t="array" ref="S40">ROUND(INDEX($AF:$AJ,VLOOKUP(A40,$AF:$AJ,5,FALSE)+2,3),0)</f>
        <v>204463</v>
      </c>
      <c r="T40" cm="1">
        <f t="array" ref="T40">ROUND(INDEX($AF:$AJ,VLOOKUP(A40,$AF:$AJ,5,FALSE)+3,3),0)</f>
        <v>211989</v>
      </c>
      <c r="U40" cm="1">
        <f t="array" ref="U40">ROUND(INDEX($AF:$AJ,VLOOKUP(A40,$AF:$AJ,5,FALSE)+2,4),0)</f>
        <v>315682</v>
      </c>
      <c r="V40" cm="1">
        <f t="array" ref="V40">ROUND(INDEX($AF:$AJ,VLOOKUP(A40,$AF:$AJ,5,FALSE)+3,4),0)</f>
        <v>329798</v>
      </c>
      <c r="X40">
        <f t="shared" si="14"/>
        <v>-335836</v>
      </c>
      <c r="Y40">
        <f t="shared" si="15"/>
        <v>0</v>
      </c>
      <c r="Z40">
        <f t="shared" si="16"/>
        <v>-7526</v>
      </c>
      <c r="AA40">
        <f t="shared" si="17"/>
        <v>-14116</v>
      </c>
      <c r="AE40" s="179" t="s">
        <v>1094</v>
      </c>
      <c r="AF40" s="1">
        <f>AF39-AF38</f>
        <v>12915</v>
      </c>
      <c r="AG40" s="1">
        <f>AG39-AG38</f>
        <v>13186.265620000006</v>
      </c>
      <c r="AH40" s="1">
        <f>AH39-AH38</f>
        <v>1005.6757799999978</v>
      </c>
      <c r="AI40" s="1">
        <f>AI39-AI38</f>
        <v>1838.144530000005</v>
      </c>
      <c r="AJ40">
        <f t="shared" si="0"/>
        <v>40</v>
      </c>
    </row>
    <row r="41" spans="1:36">
      <c r="A41" s="1">
        <v>1371624804</v>
      </c>
      <c r="B41" s="1">
        <f t="shared" si="2"/>
        <v>1139</v>
      </c>
      <c r="C41" s="1">
        <f t="shared" si="3"/>
        <v>1193</v>
      </c>
      <c r="D41" s="1">
        <f t="shared" si="4"/>
        <v>3310719</v>
      </c>
      <c r="E41" s="1">
        <f t="shared" si="5"/>
        <v>3590369</v>
      </c>
      <c r="F41" s="1">
        <f t="shared" si="6"/>
        <v>77445</v>
      </c>
      <c r="G41" s="1">
        <f t="shared" si="7"/>
        <v>78308</v>
      </c>
      <c r="H41" s="1">
        <f t="shared" si="8"/>
        <v>118595</v>
      </c>
      <c r="I41" s="1">
        <f t="shared" si="9"/>
        <v>120417</v>
      </c>
      <c r="J41" s="1">
        <f t="shared" si="10"/>
        <v>54</v>
      </c>
      <c r="K41" s="1">
        <f t="shared" si="11"/>
        <v>279650</v>
      </c>
      <c r="L41" s="1">
        <f t="shared" si="12"/>
        <v>863</v>
      </c>
      <c r="M41" s="1">
        <f t="shared" si="13"/>
        <v>1822</v>
      </c>
      <c r="O41" cm="1">
        <f t="array" ref="O41">ROUND(INDEX($AF:$AJ,VLOOKUP(A41,$AF:$AJ,5,FALSE)+2,1),0)</f>
        <v>1139</v>
      </c>
      <c r="P41" cm="1">
        <f t="array" ref="P41">ROUND(INDEX($AF:$AJ,VLOOKUP(A41,$AF:$AJ,5,FALSE)+3,1),0)</f>
        <v>1193</v>
      </c>
      <c r="Q41" cm="1">
        <f t="array" ref="Q41">ROUND(INDEX($AF:$AJ,VLOOKUP(A41,$AF:$AJ,5,FALSE)+2,2),0)</f>
        <v>3310719</v>
      </c>
      <c r="R41" cm="1">
        <f t="array" ref="R41">ROUND(INDEX($AF:$AJ,VLOOKUP(A41,$AF:$AJ,5,FALSE)+3,2),0)</f>
        <v>3590369</v>
      </c>
      <c r="S41" cm="1">
        <f t="array" ref="S41">ROUND(INDEX($AF:$AJ,VLOOKUP(A41,$AF:$AJ,5,FALSE)+2,3),0)</f>
        <v>77445</v>
      </c>
      <c r="T41" cm="1">
        <f t="array" ref="T41">ROUND(INDEX($AF:$AJ,VLOOKUP(A41,$AF:$AJ,5,FALSE)+3,3),0)</f>
        <v>78308</v>
      </c>
      <c r="U41" cm="1">
        <f t="array" ref="U41">ROUND(INDEX($AF:$AJ,VLOOKUP(A41,$AF:$AJ,5,FALSE)+2,4),0)</f>
        <v>118595</v>
      </c>
      <c r="V41" cm="1">
        <f t="array" ref="V41">ROUND(INDEX($AF:$AJ,VLOOKUP(A41,$AF:$AJ,5,FALSE)+3,4),0)</f>
        <v>120417</v>
      </c>
      <c r="X41">
        <f t="shared" si="14"/>
        <v>-54</v>
      </c>
      <c r="Y41">
        <f t="shared" si="15"/>
        <v>-279650</v>
      </c>
      <c r="Z41">
        <f t="shared" si="16"/>
        <v>-863</v>
      </c>
      <c r="AA41">
        <f t="shared" si="17"/>
        <v>-1822</v>
      </c>
      <c r="AE41" s="179" t="s">
        <v>1090</v>
      </c>
      <c r="AF41" s="560">
        <v>1369546405</v>
      </c>
      <c r="AG41" s="1" t="s">
        <v>1095</v>
      </c>
      <c r="AH41" s="1" t="s">
        <v>1095</v>
      </c>
      <c r="AI41" s="1" t="s">
        <v>1095</v>
      </c>
      <c r="AJ41">
        <f t="shared" si="0"/>
        <v>41</v>
      </c>
    </row>
    <row r="42" spans="1:36">
      <c r="A42" s="1">
        <v>1371626280</v>
      </c>
      <c r="B42" s="1">
        <f t="shared" si="2"/>
        <v>10255418</v>
      </c>
      <c r="C42" s="1">
        <f t="shared" si="3"/>
        <v>10784124</v>
      </c>
      <c r="D42" s="1">
        <f t="shared" si="4"/>
        <v>0</v>
      </c>
      <c r="E42" s="1">
        <f t="shared" si="5"/>
        <v>0</v>
      </c>
      <c r="F42" s="1">
        <f t="shared" si="6"/>
        <v>836944</v>
      </c>
      <c r="G42" s="1">
        <f t="shared" si="7"/>
        <v>887212</v>
      </c>
      <c r="H42" s="1">
        <f t="shared" si="8"/>
        <v>79026</v>
      </c>
      <c r="I42" s="1">
        <f t="shared" si="9"/>
        <v>81659</v>
      </c>
      <c r="J42" s="1">
        <f t="shared" si="10"/>
        <v>528706</v>
      </c>
      <c r="K42" s="1">
        <f t="shared" si="11"/>
        <v>0</v>
      </c>
      <c r="L42" s="1">
        <f t="shared" si="12"/>
        <v>50268</v>
      </c>
      <c r="M42" s="1">
        <f t="shared" si="13"/>
        <v>2633</v>
      </c>
      <c r="O42" cm="1">
        <f t="array" ref="O42">ROUND(INDEX($AF:$AJ,VLOOKUP(A42,$AF:$AJ,5,FALSE)+2,1),0)</f>
        <v>10255418</v>
      </c>
      <c r="P42" cm="1">
        <f t="array" ref="P42">ROUND(INDEX($AF:$AJ,VLOOKUP(A42,$AF:$AJ,5,FALSE)+3,1),0)</f>
        <v>10784124</v>
      </c>
      <c r="Q42" cm="1">
        <f t="array" ref="Q42">ROUND(INDEX($AF:$AJ,VLOOKUP(A42,$AF:$AJ,5,FALSE)+2,2),0)</f>
        <v>0</v>
      </c>
      <c r="R42" cm="1">
        <f t="array" ref="R42">ROUND(INDEX($AF:$AJ,VLOOKUP(A42,$AF:$AJ,5,FALSE)+3,2),0)</f>
        <v>0</v>
      </c>
      <c r="S42" cm="1">
        <f t="array" ref="S42">ROUND(INDEX($AF:$AJ,VLOOKUP(A42,$AF:$AJ,5,FALSE)+2,3),0)</f>
        <v>836944</v>
      </c>
      <c r="T42" cm="1">
        <f t="array" ref="T42">ROUND(INDEX($AF:$AJ,VLOOKUP(A42,$AF:$AJ,5,FALSE)+3,3),0)</f>
        <v>887212</v>
      </c>
      <c r="U42" cm="1">
        <f t="array" ref="U42">ROUND(INDEX($AF:$AJ,VLOOKUP(A42,$AF:$AJ,5,FALSE)+2,4),0)</f>
        <v>79026</v>
      </c>
      <c r="V42" cm="1">
        <f t="array" ref="V42">ROUND(INDEX($AF:$AJ,VLOOKUP(A42,$AF:$AJ,5,FALSE)+3,4),0)</f>
        <v>81659</v>
      </c>
      <c r="X42">
        <f t="shared" si="14"/>
        <v>-528706</v>
      </c>
      <c r="Y42">
        <f t="shared" si="15"/>
        <v>0</v>
      </c>
      <c r="Z42">
        <f t="shared" si="16"/>
        <v>-50268</v>
      </c>
      <c r="AA42">
        <f t="shared" si="17"/>
        <v>-2633</v>
      </c>
      <c r="AE42" s="179" t="s">
        <v>1091</v>
      </c>
      <c r="AF42" s="1" t="s">
        <v>440</v>
      </c>
      <c r="AG42" s="1" t="s">
        <v>441</v>
      </c>
      <c r="AH42" s="1" t="s">
        <v>442</v>
      </c>
      <c r="AI42" s="1" t="s">
        <v>1022</v>
      </c>
      <c r="AJ42">
        <f t="shared" si="0"/>
        <v>42</v>
      </c>
    </row>
    <row r="43" spans="1:36">
      <c r="A43" s="1">
        <v>1371628614</v>
      </c>
      <c r="B43" s="1">
        <f t="shared" si="2"/>
        <v>1520853</v>
      </c>
      <c r="C43" s="1">
        <f t="shared" si="3"/>
        <v>1587122</v>
      </c>
      <c r="D43" s="1">
        <f t="shared" si="4"/>
        <v>17109</v>
      </c>
      <c r="E43" s="1">
        <f t="shared" si="5"/>
        <v>18256</v>
      </c>
      <c r="F43" s="1">
        <f t="shared" si="6"/>
        <v>292470</v>
      </c>
      <c r="G43" s="1">
        <f t="shared" si="7"/>
        <v>307611</v>
      </c>
      <c r="H43" s="1">
        <f t="shared" si="8"/>
        <v>33390</v>
      </c>
      <c r="I43" s="1">
        <f t="shared" si="9"/>
        <v>34647</v>
      </c>
      <c r="J43" s="1">
        <f t="shared" si="10"/>
        <v>66269</v>
      </c>
      <c r="K43" s="1">
        <f t="shared" si="11"/>
        <v>1147</v>
      </c>
      <c r="L43" s="1">
        <f t="shared" si="12"/>
        <v>15141</v>
      </c>
      <c r="M43" s="1">
        <f t="shared" si="13"/>
        <v>1257</v>
      </c>
      <c r="O43" cm="1">
        <f t="array" ref="O43">ROUND(INDEX($AF:$AJ,VLOOKUP(A43,$AF:$AJ,5,FALSE)+2,1),0)</f>
        <v>1520853</v>
      </c>
      <c r="P43" cm="1">
        <f t="array" ref="P43">ROUND(INDEX($AF:$AJ,VLOOKUP(A43,$AF:$AJ,5,FALSE)+3,1),0)</f>
        <v>1587122</v>
      </c>
      <c r="Q43" cm="1">
        <f t="array" ref="Q43">ROUND(INDEX($AF:$AJ,VLOOKUP(A43,$AF:$AJ,5,FALSE)+2,2),0)</f>
        <v>17109</v>
      </c>
      <c r="R43" cm="1">
        <f t="array" ref="R43">ROUND(INDEX($AF:$AJ,VLOOKUP(A43,$AF:$AJ,5,FALSE)+3,2),0)</f>
        <v>18256</v>
      </c>
      <c r="S43" cm="1">
        <f t="array" ref="S43">ROUND(INDEX($AF:$AJ,VLOOKUP(A43,$AF:$AJ,5,FALSE)+2,3),0)</f>
        <v>292470</v>
      </c>
      <c r="T43" cm="1">
        <f t="array" ref="T43">ROUND(INDEX($AF:$AJ,VLOOKUP(A43,$AF:$AJ,5,FALSE)+3,3),0)</f>
        <v>307611</v>
      </c>
      <c r="U43" cm="1">
        <f t="array" ref="U43">ROUND(INDEX($AF:$AJ,VLOOKUP(A43,$AF:$AJ,5,FALSE)+2,4),0)</f>
        <v>33390</v>
      </c>
      <c r="V43" cm="1">
        <f t="array" ref="V43">ROUND(INDEX($AF:$AJ,VLOOKUP(A43,$AF:$AJ,5,FALSE)+3,4),0)</f>
        <v>34647</v>
      </c>
      <c r="X43">
        <f t="shared" si="14"/>
        <v>-66269</v>
      </c>
      <c r="Y43">
        <f t="shared" si="15"/>
        <v>-1147</v>
      </c>
      <c r="Z43">
        <f t="shared" si="16"/>
        <v>-15141</v>
      </c>
      <c r="AA43">
        <f t="shared" si="17"/>
        <v>-1257</v>
      </c>
      <c r="AE43" s="179" t="s">
        <v>1092</v>
      </c>
      <c r="AF43" s="1">
        <v>1667626.5</v>
      </c>
      <c r="AG43" s="1">
        <v>34.395330000000001</v>
      </c>
      <c r="AH43" s="1">
        <v>268245.8125</v>
      </c>
      <c r="AI43" s="1">
        <v>3821.2233900000001</v>
      </c>
      <c r="AJ43">
        <f t="shared" si="0"/>
        <v>43</v>
      </c>
    </row>
    <row r="44" spans="1:36">
      <c r="A44" s="1">
        <v>1371628684</v>
      </c>
      <c r="B44" s="1">
        <f t="shared" si="2"/>
        <v>6191</v>
      </c>
      <c r="C44" s="1">
        <f t="shared" si="3"/>
        <v>7086</v>
      </c>
      <c r="D44" s="1">
        <f t="shared" si="4"/>
        <v>2221679</v>
      </c>
      <c r="E44" s="1">
        <f t="shared" si="5"/>
        <v>2390246</v>
      </c>
      <c r="F44" s="1">
        <f t="shared" si="6"/>
        <v>67673</v>
      </c>
      <c r="G44" s="1">
        <f t="shared" si="7"/>
        <v>300184</v>
      </c>
      <c r="H44" s="1">
        <f t="shared" si="8"/>
        <v>354076</v>
      </c>
      <c r="I44" s="1">
        <f t="shared" si="9"/>
        <v>356539</v>
      </c>
      <c r="J44" s="1">
        <f t="shared" si="10"/>
        <v>895</v>
      </c>
      <c r="K44" s="1">
        <f t="shared" si="11"/>
        <v>168567</v>
      </c>
      <c r="L44" s="1">
        <f t="shared" si="12"/>
        <v>232511</v>
      </c>
      <c r="M44" s="1">
        <f t="shared" si="13"/>
        <v>2463</v>
      </c>
      <c r="O44" cm="1">
        <f t="array" ref="O44">ROUND(INDEX($AF:$AJ,VLOOKUP(A44,$AF:$AJ,5,FALSE)+2,1),0)</f>
        <v>6191</v>
      </c>
      <c r="P44" cm="1">
        <f t="array" ref="P44">ROUND(INDEX($AF:$AJ,VLOOKUP(A44,$AF:$AJ,5,FALSE)+3,1),0)</f>
        <v>7086</v>
      </c>
      <c r="Q44" cm="1">
        <f t="array" ref="Q44">ROUND(INDEX($AF:$AJ,VLOOKUP(A44,$AF:$AJ,5,FALSE)+2,2),0)</f>
        <v>2221679</v>
      </c>
      <c r="R44" cm="1">
        <f t="array" ref="R44">ROUND(INDEX($AF:$AJ,VLOOKUP(A44,$AF:$AJ,5,FALSE)+3,2),0)</f>
        <v>2390246</v>
      </c>
      <c r="S44" cm="1">
        <f t="array" ref="S44">ROUND(INDEX($AF:$AJ,VLOOKUP(A44,$AF:$AJ,5,FALSE)+2,3),0)</f>
        <v>67673</v>
      </c>
      <c r="T44" cm="1">
        <f t="array" ref="T44">ROUND(INDEX($AF:$AJ,VLOOKUP(A44,$AF:$AJ,5,FALSE)+3,3),0)</f>
        <v>300184</v>
      </c>
      <c r="U44" cm="1">
        <f t="array" ref="U44">ROUND(INDEX($AF:$AJ,VLOOKUP(A44,$AF:$AJ,5,FALSE)+2,4),0)</f>
        <v>354076</v>
      </c>
      <c r="V44" cm="1">
        <f t="array" ref="V44">ROUND(INDEX($AF:$AJ,VLOOKUP(A44,$AF:$AJ,5,FALSE)+3,4),0)</f>
        <v>356539</v>
      </c>
      <c r="X44">
        <f t="shared" si="14"/>
        <v>-895</v>
      </c>
      <c r="Y44">
        <f t="shared" si="15"/>
        <v>-168567</v>
      </c>
      <c r="Z44">
        <f t="shared" si="16"/>
        <v>-232511</v>
      </c>
      <c r="AA44">
        <f t="shared" si="17"/>
        <v>-2463</v>
      </c>
      <c r="AE44" s="179" t="s">
        <v>1093</v>
      </c>
      <c r="AF44" s="1">
        <v>1743706.625</v>
      </c>
      <c r="AG44" s="1">
        <v>34.395330000000001</v>
      </c>
      <c r="AH44" s="1">
        <v>281010.9375</v>
      </c>
      <c r="AI44" s="1">
        <v>3822.8378899999998</v>
      </c>
      <c r="AJ44">
        <f t="shared" si="0"/>
        <v>44</v>
      </c>
    </row>
    <row r="45" spans="1:36">
      <c r="A45" s="1">
        <v>1371628694</v>
      </c>
      <c r="B45" s="1">
        <f t="shared" si="2"/>
        <v>5241879</v>
      </c>
      <c r="C45" s="1">
        <f t="shared" si="3"/>
        <v>5483993</v>
      </c>
      <c r="D45" s="1">
        <f t="shared" si="4"/>
        <v>0</v>
      </c>
      <c r="E45" s="1">
        <f t="shared" si="5"/>
        <v>0</v>
      </c>
      <c r="F45" s="1">
        <f t="shared" si="6"/>
        <v>578075</v>
      </c>
      <c r="G45" s="1">
        <f t="shared" si="7"/>
        <v>602119</v>
      </c>
      <c r="H45" s="1">
        <f t="shared" si="8"/>
        <v>1508</v>
      </c>
      <c r="I45" s="1">
        <f t="shared" si="9"/>
        <v>1524</v>
      </c>
      <c r="J45" s="1">
        <f t="shared" si="10"/>
        <v>242114</v>
      </c>
      <c r="K45" s="1">
        <f t="shared" si="11"/>
        <v>0</v>
      </c>
      <c r="L45" s="1">
        <f t="shared" si="12"/>
        <v>24044</v>
      </c>
      <c r="M45" s="1">
        <f t="shared" si="13"/>
        <v>16</v>
      </c>
      <c r="O45" cm="1">
        <f t="array" ref="O45">ROUND(INDEX($AF:$AJ,VLOOKUP(A45,$AF:$AJ,5,FALSE)+2,1),0)</f>
        <v>5241879</v>
      </c>
      <c r="P45" cm="1">
        <f t="array" ref="P45">ROUND(INDEX($AF:$AJ,VLOOKUP(A45,$AF:$AJ,5,FALSE)+3,1),0)</f>
        <v>5483993</v>
      </c>
      <c r="Q45" cm="1">
        <f t="array" ref="Q45">ROUND(INDEX($AF:$AJ,VLOOKUP(A45,$AF:$AJ,5,FALSE)+2,2),0)</f>
        <v>0</v>
      </c>
      <c r="R45" cm="1">
        <f t="array" ref="R45">ROUND(INDEX($AF:$AJ,VLOOKUP(A45,$AF:$AJ,5,FALSE)+3,2),0)</f>
        <v>0</v>
      </c>
      <c r="S45" cm="1">
        <f t="array" ref="S45">ROUND(INDEX($AF:$AJ,VLOOKUP(A45,$AF:$AJ,5,FALSE)+2,3),0)</f>
        <v>578075</v>
      </c>
      <c r="T45" cm="1">
        <f t="array" ref="T45">ROUND(INDEX($AF:$AJ,VLOOKUP(A45,$AF:$AJ,5,FALSE)+3,3),0)</f>
        <v>602119</v>
      </c>
      <c r="U45" cm="1">
        <f t="array" ref="U45">ROUND(INDEX($AF:$AJ,VLOOKUP(A45,$AF:$AJ,5,FALSE)+2,4),0)</f>
        <v>1508</v>
      </c>
      <c r="V45" cm="1">
        <f t="array" ref="V45">ROUND(INDEX($AF:$AJ,VLOOKUP(A45,$AF:$AJ,5,FALSE)+3,4),0)</f>
        <v>1524</v>
      </c>
      <c r="X45">
        <f t="shared" si="14"/>
        <v>-242114</v>
      </c>
      <c r="Y45">
        <f t="shared" si="15"/>
        <v>0</v>
      </c>
      <c r="Z45">
        <f t="shared" si="16"/>
        <v>-24044</v>
      </c>
      <c r="AA45">
        <f t="shared" si="17"/>
        <v>-16</v>
      </c>
      <c r="AE45" s="179" t="s">
        <v>1094</v>
      </c>
      <c r="AF45" s="1">
        <f>AF44-AF43</f>
        <v>76080.125</v>
      </c>
      <c r="AG45" s="1">
        <f>AG44-AG43</f>
        <v>0</v>
      </c>
      <c r="AH45" s="1">
        <f>AH44-AH43</f>
        <v>12765.125</v>
      </c>
      <c r="AI45" s="1">
        <f>AI44-AI43</f>
        <v>1.6144999999996799</v>
      </c>
      <c r="AJ45">
        <f t="shared" si="0"/>
        <v>45</v>
      </c>
    </row>
    <row r="46" spans="1:36">
      <c r="A46" s="1">
        <v>1371628703</v>
      </c>
      <c r="B46" s="1">
        <f t="shared" ref="B46:B86" si="18">O46</f>
        <v>3501310</v>
      </c>
      <c r="C46" s="1">
        <f t="shared" ref="C46:C97" si="19">P46</f>
        <v>3629154</v>
      </c>
      <c r="D46" s="1">
        <f t="shared" ref="D46:D97" si="20">Q46</f>
        <v>67630</v>
      </c>
      <c r="E46" s="1">
        <f t="shared" ref="E46:E97" si="21">R46</f>
        <v>74460</v>
      </c>
      <c r="F46" s="1">
        <f t="shared" ref="F46:F97" si="22">S46</f>
        <v>200824</v>
      </c>
      <c r="G46" s="1">
        <f t="shared" ref="G46:G97" si="23">T46</f>
        <v>207607</v>
      </c>
      <c r="H46" s="1">
        <f t="shared" ref="H46:H97" si="24">U46</f>
        <v>107149</v>
      </c>
      <c r="I46" s="1">
        <f t="shared" ref="I46:I97" si="25">V46</f>
        <v>109715</v>
      </c>
      <c r="J46" s="1">
        <f t="shared" si="10"/>
        <v>127844</v>
      </c>
      <c r="K46" s="1">
        <f t="shared" si="11"/>
        <v>6830</v>
      </c>
      <c r="L46" s="1">
        <f t="shared" si="12"/>
        <v>6783</v>
      </c>
      <c r="M46" s="1">
        <f t="shared" si="13"/>
        <v>2566</v>
      </c>
      <c r="O46" cm="1">
        <f t="array" ref="O46">ROUND(INDEX($AF:$AJ,VLOOKUP(A46,$AF:$AJ,5,FALSE)+2,1),0)</f>
        <v>3501310</v>
      </c>
      <c r="P46" cm="1">
        <f t="array" ref="P46">ROUND(INDEX($AF:$AJ,VLOOKUP(A46,$AF:$AJ,5,FALSE)+3,1),0)</f>
        <v>3629154</v>
      </c>
      <c r="Q46" cm="1">
        <f t="array" ref="Q46">ROUND(INDEX($AF:$AJ,VLOOKUP(A46,$AF:$AJ,5,FALSE)+2,2),0)</f>
        <v>67630</v>
      </c>
      <c r="R46" cm="1">
        <f t="array" ref="R46">ROUND(INDEX($AF:$AJ,VLOOKUP(A46,$AF:$AJ,5,FALSE)+3,2),0)</f>
        <v>74460</v>
      </c>
      <c r="S46" cm="1">
        <f t="array" ref="S46">ROUND(INDEX($AF:$AJ,VLOOKUP(A46,$AF:$AJ,5,FALSE)+2,3),0)</f>
        <v>200824</v>
      </c>
      <c r="T46" cm="1">
        <f t="array" ref="T46">ROUND(INDEX($AF:$AJ,VLOOKUP(A46,$AF:$AJ,5,FALSE)+3,3),0)</f>
        <v>207607</v>
      </c>
      <c r="U46" cm="1">
        <f t="array" ref="U46">ROUND(INDEX($AF:$AJ,VLOOKUP(A46,$AF:$AJ,5,FALSE)+2,4),0)</f>
        <v>107149</v>
      </c>
      <c r="V46" cm="1">
        <f t="array" ref="V46">ROUND(INDEX($AF:$AJ,VLOOKUP(A46,$AF:$AJ,5,FALSE)+3,4),0)</f>
        <v>109715</v>
      </c>
      <c r="X46">
        <f t="shared" si="14"/>
        <v>-127844</v>
      </c>
      <c r="Y46">
        <f t="shared" si="15"/>
        <v>-6830</v>
      </c>
      <c r="Z46">
        <f t="shared" si="16"/>
        <v>-6783</v>
      </c>
      <c r="AA46">
        <f t="shared" si="17"/>
        <v>-2566</v>
      </c>
      <c r="AE46" s="179" t="s">
        <v>1090</v>
      </c>
      <c r="AF46" s="560">
        <v>1369546421</v>
      </c>
      <c r="AG46" s="1" t="s">
        <v>1095</v>
      </c>
      <c r="AH46" s="1" t="s">
        <v>1095</v>
      </c>
      <c r="AI46" s="1" t="s">
        <v>1095</v>
      </c>
      <c r="AJ46">
        <f t="shared" si="0"/>
        <v>46</v>
      </c>
    </row>
    <row r="47" spans="1:36">
      <c r="A47" s="1">
        <v>1371639203</v>
      </c>
      <c r="B47" s="1">
        <f t="shared" si="18"/>
        <v>436</v>
      </c>
      <c r="C47" s="1">
        <f t="shared" si="19"/>
        <v>453</v>
      </c>
      <c r="D47" s="1">
        <f t="shared" si="20"/>
        <v>1473576</v>
      </c>
      <c r="E47" s="1">
        <f t="shared" si="21"/>
        <v>1586646</v>
      </c>
      <c r="F47" s="1">
        <f t="shared" si="22"/>
        <v>29908</v>
      </c>
      <c r="G47" s="1">
        <f t="shared" si="23"/>
        <v>31128</v>
      </c>
      <c r="H47" s="1">
        <f t="shared" si="24"/>
        <v>6287</v>
      </c>
      <c r="I47" s="1">
        <f t="shared" si="25"/>
        <v>6369</v>
      </c>
      <c r="J47" s="1">
        <f t="shared" si="10"/>
        <v>17</v>
      </c>
      <c r="K47" s="1">
        <f t="shared" si="11"/>
        <v>113070</v>
      </c>
      <c r="L47" s="1">
        <f t="shared" si="12"/>
        <v>1220</v>
      </c>
      <c r="M47" s="1">
        <f t="shared" si="13"/>
        <v>82</v>
      </c>
      <c r="O47" cm="1">
        <f t="array" ref="O47">ROUND(INDEX($AF:$AJ,VLOOKUP(A47,$AF:$AJ,5,FALSE)+2,1),0)</f>
        <v>436</v>
      </c>
      <c r="P47" cm="1">
        <f t="array" ref="P47">ROUND(INDEX($AF:$AJ,VLOOKUP(A47,$AF:$AJ,5,FALSE)+3,1),0)</f>
        <v>453</v>
      </c>
      <c r="Q47" cm="1">
        <f t="array" ref="Q47">ROUND(INDEX($AF:$AJ,VLOOKUP(A47,$AF:$AJ,5,FALSE)+2,2),0)</f>
        <v>1473576</v>
      </c>
      <c r="R47" cm="1">
        <f t="array" ref="R47">ROUND(INDEX($AF:$AJ,VLOOKUP(A47,$AF:$AJ,5,FALSE)+3,2),0)</f>
        <v>1586646</v>
      </c>
      <c r="S47" cm="1">
        <f t="array" ref="S47">ROUND(INDEX($AF:$AJ,VLOOKUP(A47,$AF:$AJ,5,FALSE)+2,3),0)</f>
        <v>29908</v>
      </c>
      <c r="T47" cm="1">
        <f t="array" ref="T47">ROUND(INDEX($AF:$AJ,VLOOKUP(A47,$AF:$AJ,5,FALSE)+3,3),0)</f>
        <v>31128</v>
      </c>
      <c r="U47" cm="1">
        <f t="array" ref="U47">ROUND(INDEX($AF:$AJ,VLOOKUP(A47,$AF:$AJ,5,FALSE)+2,4),0)</f>
        <v>6287</v>
      </c>
      <c r="V47" cm="1">
        <f t="array" ref="V47">ROUND(INDEX($AF:$AJ,VLOOKUP(A47,$AF:$AJ,5,FALSE)+3,4),0)</f>
        <v>6369</v>
      </c>
      <c r="X47">
        <f t="shared" si="14"/>
        <v>-17</v>
      </c>
      <c r="Y47">
        <f t="shared" si="15"/>
        <v>-113070</v>
      </c>
      <c r="Z47">
        <f t="shared" si="16"/>
        <v>-1220</v>
      </c>
      <c r="AA47">
        <f t="shared" si="17"/>
        <v>-82</v>
      </c>
      <c r="AE47" s="179" t="s">
        <v>1091</v>
      </c>
      <c r="AF47" s="1" t="s">
        <v>440</v>
      </c>
      <c r="AG47" s="1" t="s">
        <v>441</v>
      </c>
      <c r="AH47" s="1" t="s">
        <v>442</v>
      </c>
      <c r="AI47" s="1" t="s">
        <v>1022</v>
      </c>
      <c r="AJ47">
        <f t="shared" si="0"/>
        <v>47</v>
      </c>
    </row>
    <row r="48" spans="1:36">
      <c r="A48" s="1">
        <v>1371641041</v>
      </c>
      <c r="B48" s="1">
        <f t="shared" si="18"/>
        <v>975309</v>
      </c>
      <c r="C48" s="1">
        <f t="shared" si="19"/>
        <v>1011769</v>
      </c>
      <c r="D48" s="1">
        <f t="shared" si="20"/>
        <v>648625</v>
      </c>
      <c r="E48" s="1">
        <f t="shared" si="21"/>
        <v>718909</v>
      </c>
      <c r="F48" s="1">
        <f t="shared" si="22"/>
        <v>40093</v>
      </c>
      <c r="G48" s="1">
        <f t="shared" si="23"/>
        <v>40454</v>
      </c>
      <c r="H48" s="1">
        <f t="shared" si="24"/>
        <v>146847</v>
      </c>
      <c r="I48" s="1">
        <f t="shared" si="25"/>
        <v>154791</v>
      </c>
      <c r="J48" s="1">
        <f t="shared" si="10"/>
        <v>36460</v>
      </c>
      <c r="K48" s="1">
        <f t="shared" si="11"/>
        <v>70284</v>
      </c>
      <c r="L48" s="1">
        <f t="shared" si="12"/>
        <v>361</v>
      </c>
      <c r="M48" s="1">
        <f t="shared" si="13"/>
        <v>7944</v>
      </c>
      <c r="O48" cm="1">
        <f t="array" ref="O48">ROUND(INDEX($AF:$AJ,VLOOKUP(A48,$AF:$AJ,5,FALSE)+2,1),0)</f>
        <v>975309</v>
      </c>
      <c r="P48" cm="1">
        <f t="array" ref="P48">ROUND(INDEX($AF:$AJ,VLOOKUP(A48,$AF:$AJ,5,FALSE)+3,1),0)</f>
        <v>1011769</v>
      </c>
      <c r="Q48" cm="1">
        <f t="array" ref="Q48">ROUND(INDEX($AF:$AJ,VLOOKUP(A48,$AF:$AJ,5,FALSE)+2,2),0)</f>
        <v>648625</v>
      </c>
      <c r="R48" cm="1">
        <f t="array" ref="R48">ROUND(INDEX($AF:$AJ,VLOOKUP(A48,$AF:$AJ,5,FALSE)+3,2),0)</f>
        <v>718909</v>
      </c>
      <c r="S48" cm="1">
        <f t="array" ref="S48">ROUND(INDEX($AF:$AJ,VLOOKUP(A48,$AF:$AJ,5,FALSE)+2,3),0)</f>
        <v>40093</v>
      </c>
      <c r="T48" cm="1">
        <f t="array" ref="T48">ROUND(INDEX($AF:$AJ,VLOOKUP(A48,$AF:$AJ,5,FALSE)+3,3),0)</f>
        <v>40454</v>
      </c>
      <c r="U48" cm="1">
        <f t="array" ref="U48">ROUND(INDEX($AF:$AJ,VLOOKUP(A48,$AF:$AJ,5,FALSE)+2,4),0)</f>
        <v>146847</v>
      </c>
      <c r="V48" cm="1">
        <f t="array" ref="V48">ROUND(INDEX($AF:$AJ,VLOOKUP(A48,$AF:$AJ,5,FALSE)+3,4),0)</f>
        <v>154791</v>
      </c>
      <c r="X48">
        <f t="shared" si="14"/>
        <v>-36460</v>
      </c>
      <c r="Y48">
        <f t="shared" si="15"/>
        <v>-70284</v>
      </c>
      <c r="Z48">
        <f t="shared" si="16"/>
        <v>-361</v>
      </c>
      <c r="AA48">
        <f t="shared" si="17"/>
        <v>-7944</v>
      </c>
      <c r="AE48" s="179" t="s">
        <v>1092</v>
      </c>
      <c r="AF48" s="1">
        <v>3025992.25</v>
      </c>
      <c r="AG48" s="1">
        <v>305.70238999999998</v>
      </c>
      <c r="AH48" s="1">
        <v>908046.8125</v>
      </c>
      <c r="AI48" s="1">
        <v>341.78268000000003</v>
      </c>
      <c r="AJ48">
        <f t="shared" si="0"/>
        <v>48</v>
      </c>
    </row>
    <row r="49" spans="1:36">
      <c r="A49" s="1">
        <v>1371641082</v>
      </c>
      <c r="B49" s="1">
        <f t="shared" si="18"/>
        <v>181</v>
      </c>
      <c r="C49" s="1">
        <f t="shared" si="19"/>
        <v>194</v>
      </c>
      <c r="D49" s="1">
        <f t="shared" si="20"/>
        <v>516268</v>
      </c>
      <c r="E49" s="1">
        <f t="shared" si="21"/>
        <v>550854</v>
      </c>
      <c r="F49" s="1">
        <f t="shared" si="22"/>
        <v>1706</v>
      </c>
      <c r="G49" s="1">
        <f t="shared" si="23"/>
        <v>1831</v>
      </c>
      <c r="H49" s="1">
        <f t="shared" si="24"/>
        <v>6282</v>
      </c>
      <c r="I49" s="1">
        <f t="shared" si="25"/>
        <v>6583</v>
      </c>
      <c r="J49" s="1">
        <f t="shared" si="10"/>
        <v>13</v>
      </c>
      <c r="K49" s="1">
        <f t="shared" si="11"/>
        <v>34586</v>
      </c>
      <c r="L49" s="1">
        <f t="shared" si="12"/>
        <v>125</v>
      </c>
      <c r="M49" s="1">
        <f t="shared" si="13"/>
        <v>301</v>
      </c>
      <c r="O49" cm="1">
        <f t="array" ref="O49">ROUND(INDEX($AF:$AJ,VLOOKUP(A49,$AF:$AJ,5,FALSE)+2,1),0)</f>
        <v>181</v>
      </c>
      <c r="P49" cm="1">
        <f t="array" ref="P49">ROUND(INDEX($AF:$AJ,VLOOKUP(A49,$AF:$AJ,5,FALSE)+3,1),0)</f>
        <v>194</v>
      </c>
      <c r="Q49" cm="1">
        <f t="array" ref="Q49">ROUND(INDEX($AF:$AJ,VLOOKUP(A49,$AF:$AJ,5,FALSE)+2,2),0)</f>
        <v>516268</v>
      </c>
      <c r="R49" cm="1">
        <f t="array" ref="R49">ROUND(INDEX($AF:$AJ,VLOOKUP(A49,$AF:$AJ,5,FALSE)+3,2),0)</f>
        <v>550854</v>
      </c>
      <c r="S49" cm="1">
        <f t="array" ref="S49">ROUND(INDEX($AF:$AJ,VLOOKUP(A49,$AF:$AJ,5,FALSE)+2,3),0)</f>
        <v>1706</v>
      </c>
      <c r="T49" cm="1">
        <f t="array" ref="T49">ROUND(INDEX($AF:$AJ,VLOOKUP(A49,$AF:$AJ,5,FALSE)+3,3),0)</f>
        <v>1831</v>
      </c>
      <c r="U49" cm="1">
        <f t="array" ref="U49">ROUND(INDEX($AF:$AJ,VLOOKUP(A49,$AF:$AJ,5,FALSE)+2,4),0)</f>
        <v>6282</v>
      </c>
      <c r="V49" cm="1">
        <f t="array" ref="V49">ROUND(INDEX($AF:$AJ,VLOOKUP(A49,$AF:$AJ,5,FALSE)+3,4),0)</f>
        <v>6583</v>
      </c>
      <c r="X49">
        <f t="shared" si="14"/>
        <v>-13</v>
      </c>
      <c r="Y49">
        <f t="shared" si="15"/>
        <v>-34586</v>
      </c>
      <c r="Z49">
        <f t="shared" si="16"/>
        <v>-125</v>
      </c>
      <c r="AA49">
        <f t="shared" si="17"/>
        <v>-301</v>
      </c>
      <c r="AE49" s="179" t="s">
        <v>1093</v>
      </c>
      <c r="AF49" s="1">
        <v>3135104.75</v>
      </c>
      <c r="AG49" s="1">
        <v>323.05462999999997</v>
      </c>
      <c r="AH49" s="1">
        <v>938746.5625</v>
      </c>
      <c r="AI49" s="1">
        <v>377.36111</v>
      </c>
      <c r="AJ49">
        <f t="shared" si="0"/>
        <v>49</v>
      </c>
    </row>
    <row r="50" spans="1:36">
      <c r="A50" s="1">
        <v>1371641137</v>
      </c>
      <c r="B50" s="1">
        <f t="shared" si="18"/>
        <v>1423906</v>
      </c>
      <c r="C50" s="1">
        <f t="shared" si="19"/>
        <v>1498073</v>
      </c>
      <c r="D50" s="1">
        <f t="shared" si="20"/>
        <v>33394</v>
      </c>
      <c r="E50" s="1">
        <f t="shared" si="21"/>
        <v>33394</v>
      </c>
      <c r="F50" s="1">
        <f t="shared" si="22"/>
        <v>15229</v>
      </c>
      <c r="G50" s="1">
        <f t="shared" si="23"/>
        <v>15442</v>
      </c>
      <c r="H50" s="1">
        <f t="shared" si="24"/>
        <v>129214</v>
      </c>
      <c r="I50" s="1">
        <f t="shared" si="25"/>
        <v>139013</v>
      </c>
      <c r="J50" s="1">
        <f t="shared" si="10"/>
        <v>74167</v>
      </c>
      <c r="K50" s="1">
        <f t="shared" si="11"/>
        <v>0</v>
      </c>
      <c r="L50" s="1">
        <f t="shared" si="12"/>
        <v>213</v>
      </c>
      <c r="M50" s="1">
        <f t="shared" si="13"/>
        <v>9799</v>
      </c>
      <c r="O50" cm="1">
        <f t="array" ref="O50">ROUND(INDEX($AF:$AJ,VLOOKUP(A50,$AF:$AJ,5,FALSE)+2,1),0)</f>
        <v>1423906</v>
      </c>
      <c r="P50" cm="1">
        <f t="array" ref="P50">ROUND(INDEX($AF:$AJ,VLOOKUP(A50,$AF:$AJ,5,FALSE)+3,1),0)</f>
        <v>1498073</v>
      </c>
      <c r="Q50" cm="1">
        <f t="array" ref="Q50">ROUND(INDEX($AF:$AJ,VLOOKUP(A50,$AF:$AJ,5,FALSE)+2,2),0)</f>
        <v>33394</v>
      </c>
      <c r="R50" cm="1">
        <f t="array" ref="R50">ROUND(INDEX($AF:$AJ,VLOOKUP(A50,$AF:$AJ,5,FALSE)+3,2),0)</f>
        <v>33394</v>
      </c>
      <c r="S50" cm="1">
        <f t="array" ref="S50">ROUND(INDEX($AF:$AJ,VLOOKUP(A50,$AF:$AJ,5,FALSE)+2,3),0)</f>
        <v>15229</v>
      </c>
      <c r="T50" cm="1">
        <f t="array" ref="T50">ROUND(INDEX($AF:$AJ,VLOOKUP(A50,$AF:$AJ,5,FALSE)+3,3),0)</f>
        <v>15442</v>
      </c>
      <c r="U50" cm="1">
        <f t="array" ref="U50">ROUND(INDEX($AF:$AJ,VLOOKUP(A50,$AF:$AJ,5,FALSE)+2,4),0)</f>
        <v>129214</v>
      </c>
      <c r="V50" cm="1">
        <f t="array" ref="V50">ROUND(INDEX($AF:$AJ,VLOOKUP(A50,$AF:$AJ,5,FALSE)+3,4),0)</f>
        <v>139013</v>
      </c>
      <c r="X50">
        <f t="shared" si="14"/>
        <v>-74167</v>
      </c>
      <c r="Y50">
        <f t="shared" si="15"/>
        <v>0</v>
      </c>
      <c r="Z50">
        <f t="shared" si="16"/>
        <v>-213</v>
      </c>
      <c r="AA50">
        <f t="shared" si="17"/>
        <v>-9799</v>
      </c>
      <c r="AE50" s="179" t="s">
        <v>1094</v>
      </c>
      <c r="AF50" s="1">
        <f>AF49-AF48</f>
        <v>109112.5</v>
      </c>
      <c r="AG50" s="1">
        <f>AG49-AG48</f>
        <v>17.352239999999995</v>
      </c>
      <c r="AH50" s="1">
        <f>AH49-AH48</f>
        <v>30699.75</v>
      </c>
      <c r="AI50" s="1">
        <f>AI49-AI48</f>
        <v>35.578429999999969</v>
      </c>
      <c r="AJ50">
        <f t="shared" si="0"/>
        <v>50</v>
      </c>
    </row>
    <row r="51" spans="1:36">
      <c r="A51" s="1">
        <v>1371641399</v>
      </c>
      <c r="B51" s="1">
        <f t="shared" si="18"/>
        <v>62</v>
      </c>
      <c r="C51" s="1">
        <f t="shared" si="19"/>
        <v>65</v>
      </c>
      <c r="D51" s="1">
        <f t="shared" si="20"/>
        <v>241099</v>
      </c>
      <c r="E51" s="1">
        <f t="shared" si="21"/>
        <v>255106</v>
      </c>
      <c r="F51" s="1">
        <f t="shared" si="22"/>
        <v>6020</v>
      </c>
      <c r="G51" s="1">
        <f t="shared" si="23"/>
        <v>6353</v>
      </c>
      <c r="H51" s="1">
        <f t="shared" si="24"/>
        <v>2732</v>
      </c>
      <c r="I51" s="1">
        <f t="shared" si="25"/>
        <v>2829</v>
      </c>
      <c r="J51" s="1">
        <f t="shared" si="10"/>
        <v>3</v>
      </c>
      <c r="K51" s="1">
        <f t="shared" si="11"/>
        <v>14007</v>
      </c>
      <c r="L51" s="1">
        <f t="shared" si="12"/>
        <v>333</v>
      </c>
      <c r="M51" s="1">
        <f t="shared" si="13"/>
        <v>97</v>
      </c>
      <c r="O51" cm="1">
        <f t="array" ref="O51">ROUND(INDEX($AF:$AJ,VLOOKUP(A51,$AF:$AJ,5,FALSE)+2,1),0)</f>
        <v>62</v>
      </c>
      <c r="P51" cm="1">
        <f t="array" ref="P51">ROUND(INDEX($AF:$AJ,VLOOKUP(A51,$AF:$AJ,5,FALSE)+3,1),0)</f>
        <v>65</v>
      </c>
      <c r="Q51" cm="1">
        <f t="array" ref="Q51">ROUND(INDEX($AF:$AJ,VLOOKUP(A51,$AF:$AJ,5,FALSE)+2,2),0)</f>
        <v>241099</v>
      </c>
      <c r="R51" cm="1">
        <f t="array" ref="R51">ROUND(INDEX($AF:$AJ,VLOOKUP(A51,$AF:$AJ,5,FALSE)+3,2),0)</f>
        <v>255106</v>
      </c>
      <c r="S51" cm="1">
        <f t="array" ref="S51">ROUND(INDEX($AF:$AJ,VLOOKUP(A51,$AF:$AJ,5,FALSE)+2,3),0)</f>
        <v>6020</v>
      </c>
      <c r="T51" cm="1">
        <f t="array" ref="T51">ROUND(INDEX($AF:$AJ,VLOOKUP(A51,$AF:$AJ,5,FALSE)+3,3),0)</f>
        <v>6353</v>
      </c>
      <c r="U51" cm="1">
        <f t="array" ref="U51">ROUND(INDEX($AF:$AJ,VLOOKUP(A51,$AF:$AJ,5,FALSE)+2,4),0)</f>
        <v>2732</v>
      </c>
      <c r="V51" cm="1">
        <f t="array" ref="V51">ROUND(INDEX($AF:$AJ,VLOOKUP(A51,$AF:$AJ,5,FALSE)+3,4),0)</f>
        <v>2829</v>
      </c>
      <c r="X51">
        <f t="shared" si="14"/>
        <v>-3</v>
      </c>
      <c r="Y51">
        <f t="shared" si="15"/>
        <v>-14007</v>
      </c>
      <c r="Z51">
        <f t="shared" si="16"/>
        <v>-333</v>
      </c>
      <c r="AA51">
        <f t="shared" si="17"/>
        <v>-97</v>
      </c>
      <c r="AE51" s="179" t="s">
        <v>1090</v>
      </c>
      <c r="AF51" s="560">
        <v>1369546423</v>
      </c>
      <c r="AG51" s="1" t="s">
        <v>1095</v>
      </c>
      <c r="AH51" s="1" t="s">
        <v>1095</v>
      </c>
      <c r="AI51" s="1" t="s">
        <v>1095</v>
      </c>
      <c r="AJ51">
        <f t="shared" si="0"/>
        <v>51</v>
      </c>
    </row>
    <row r="52" spans="1:36">
      <c r="A52" s="1">
        <v>1371641418</v>
      </c>
      <c r="B52" s="1">
        <f t="shared" si="18"/>
        <v>147</v>
      </c>
      <c r="C52" s="1">
        <f t="shared" si="19"/>
        <v>153</v>
      </c>
      <c r="D52" s="1">
        <f t="shared" si="20"/>
        <v>1057582</v>
      </c>
      <c r="E52" s="1">
        <f t="shared" si="21"/>
        <v>1116602</v>
      </c>
      <c r="F52" s="1">
        <f t="shared" si="22"/>
        <v>13434</v>
      </c>
      <c r="G52" s="1">
        <f t="shared" si="23"/>
        <v>14179</v>
      </c>
      <c r="H52" s="1">
        <f t="shared" si="24"/>
        <v>8702</v>
      </c>
      <c r="I52" s="1">
        <f t="shared" si="25"/>
        <v>8995</v>
      </c>
      <c r="J52" s="1">
        <f t="shared" si="10"/>
        <v>6</v>
      </c>
      <c r="K52" s="1">
        <f t="shared" si="11"/>
        <v>59020</v>
      </c>
      <c r="L52" s="1">
        <f t="shared" si="12"/>
        <v>745</v>
      </c>
      <c r="M52" s="1">
        <f t="shared" si="13"/>
        <v>293</v>
      </c>
      <c r="O52" cm="1">
        <f t="array" ref="O52">ROUND(INDEX($AF:$AJ,VLOOKUP(A52,$AF:$AJ,5,FALSE)+2,1),0)</f>
        <v>147</v>
      </c>
      <c r="P52" cm="1">
        <f t="array" ref="P52">ROUND(INDEX($AF:$AJ,VLOOKUP(A52,$AF:$AJ,5,FALSE)+3,1),0)</f>
        <v>153</v>
      </c>
      <c r="Q52" cm="1">
        <f t="array" ref="Q52">ROUND(INDEX($AF:$AJ,VLOOKUP(A52,$AF:$AJ,5,FALSE)+2,2),0)</f>
        <v>1057582</v>
      </c>
      <c r="R52" cm="1">
        <f t="array" ref="R52">ROUND(INDEX($AF:$AJ,VLOOKUP(A52,$AF:$AJ,5,FALSE)+3,2),0)</f>
        <v>1116602</v>
      </c>
      <c r="S52" cm="1">
        <f t="array" ref="S52">ROUND(INDEX($AF:$AJ,VLOOKUP(A52,$AF:$AJ,5,FALSE)+2,3),0)</f>
        <v>13434</v>
      </c>
      <c r="T52" cm="1">
        <f t="array" ref="T52">ROUND(INDEX($AF:$AJ,VLOOKUP(A52,$AF:$AJ,5,FALSE)+3,3),0)</f>
        <v>14179</v>
      </c>
      <c r="U52" cm="1">
        <f t="array" ref="U52">ROUND(INDEX($AF:$AJ,VLOOKUP(A52,$AF:$AJ,5,FALSE)+2,4),0)</f>
        <v>8702</v>
      </c>
      <c r="V52" cm="1">
        <f t="array" ref="V52">ROUND(INDEX($AF:$AJ,VLOOKUP(A52,$AF:$AJ,5,FALSE)+3,4),0)</f>
        <v>8995</v>
      </c>
      <c r="X52">
        <f t="shared" si="14"/>
        <v>-6</v>
      </c>
      <c r="Y52">
        <f t="shared" si="15"/>
        <v>-59020</v>
      </c>
      <c r="Z52">
        <f t="shared" si="16"/>
        <v>-745</v>
      </c>
      <c r="AA52">
        <f t="shared" si="17"/>
        <v>-293</v>
      </c>
      <c r="AE52" s="179" t="s">
        <v>1091</v>
      </c>
      <c r="AF52" s="1" t="s">
        <v>440</v>
      </c>
      <c r="AG52" s="1" t="s">
        <v>441</v>
      </c>
      <c r="AH52" s="1" t="s">
        <v>442</v>
      </c>
      <c r="AI52" s="1" t="s">
        <v>1022</v>
      </c>
      <c r="AJ52">
        <f t="shared" si="0"/>
        <v>52</v>
      </c>
    </row>
    <row r="53" spans="1:36">
      <c r="A53" s="1">
        <v>1371641581</v>
      </c>
      <c r="B53" s="1">
        <f t="shared" si="18"/>
        <v>5231955</v>
      </c>
      <c r="C53" s="1">
        <f t="shared" si="19"/>
        <v>5447028</v>
      </c>
      <c r="D53" s="1">
        <f t="shared" si="20"/>
        <v>63</v>
      </c>
      <c r="E53" s="1">
        <f t="shared" si="21"/>
        <v>63</v>
      </c>
      <c r="F53" s="1">
        <f t="shared" si="22"/>
        <v>445119</v>
      </c>
      <c r="G53" s="1">
        <f t="shared" si="23"/>
        <v>456627</v>
      </c>
      <c r="H53" s="1">
        <f t="shared" si="24"/>
        <v>25505</v>
      </c>
      <c r="I53" s="1">
        <f t="shared" si="25"/>
        <v>26864</v>
      </c>
      <c r="J53" s="1">
        <f t="shared" si="10"/>
        <v>215073</v>
      </c>
      <c r="K53" s="1">
        <f t="shared" si="11"/>
        <v>0</v>
      </c>
      <c r="L53" s="1">
        <f t="shared" si="12"/>
        <v>11508</v>
      </c>
      <c r="M53" s="1">
        <f t="shared" si="13"/>
        <v>1359</v>
      </c>
      <c r="O53" cm="1">
        <f t="array" ref="O53">ROUND(INDEX($AF:$AJ,VLOOKUP(A53,$AF:$AJ,5,FALSE)+2,1),0)</f>
        <v>5231955</v>
      </c>
      <c r="P53" cm="1">
        <f t="array" ref="P53">ROUND(INDEX($AF:$AJ,VLOOKUP(A53,$AF:$AJ,5,FALSE)+3,1),0)</f>
        <v>5447028</v>
      </c>
      <c r="Q53" cm="1">
        <f t="array" ref="Q53">ROUND(INDEX($AF:$AJ,VLOOKUP(A53,$AF:$AJ,5,FALSE)+2,2),0)</f>
        <v>63</v>
      </c>
      <c r="R53" cm="1">
        <f t="array" ref="R53">ROUND(INDEX($AF:$AJ,VLOOKUP(A53,$AF:$AJ,5,FALSE)+3,2),0)</f>
        <v>63</v>
      </c>
      <c r="S53" cm="1">
        <f t="array" ref="S53">ROUND(INDEX($AF:$AJ,VLOOKUP(A53,$AF:$AJ,5,FALSE)+2,3),0)</f>
        <v>445119</v>
      </c>
      <c r="T53" cm="1">
        <f t="array" ref="T53">ROUND(INDEX($AF:$AJ,VLOOKUP(A53,$AF:$AJ,5,FALSE)+3,3),0)</f>
        <v>456627</v>
      </c>
      <c r="U53" cm="1">
        <f t="array" ref="U53">ROUND(INDEX($AF:$AJ,VLOOKUP(A53,$AF:$AJ,5,FALSE)+2,4),0)</f>
        <v>25505</v>
      </c>
      <c r="V53" cm="1">
        <f t="array" ref="V53">ROUND(INDEX($AF:$AJ,VLOOKUP(A53,$AF:$AJ,5,FALSE)+3,4),0)</f>
        <v>26864</v>
      </c>
      <c r="X53">
        <f t="shared" si="14"/>
        <v>-215073</v>
      </c>
      <c r="Y53">
        <f t="shared" si="15"/>
        <v>0</v>
      </c>
      <c r="Z53">
        <f t="shared" si="16"/>
        <v>-11508</v>
      </c>
      <c r="AA53">
        <f t="shared" si="17"/>
        <v>-1359</v>
      </c>
      <c r="AE53" s="179" t="s">
        <v>1092</v>
      </c>
      <c r="AF53" s="1">
        <v>6679701</v>
      </c>
      <c r="AG53" s="1">
        <v>30.216670000000001</v>
      </c>
      <c r="AH53" s="1">
        <v>457851.0625</v>
      </c>
      <c r="AI53" s="1">
        <v>124087.07031</v>
      </c>
      <c r="AJ53">
        <f t="shared" si="0"/>
        <v>53</v>
      </c>
    </row>
    <row r="54" spans="1:36">
      <c r="A54" s="1">
        <v>1371641800</v>
      </c>
      <c r="B54" s="1">
        <f t="shared" si="18"/>
        <v>165</v>
      </c>
      <c r="C54" s="1">
        <f t="shared" si="19"/>
        <v>173</v>
      </c>
      <c r="D54" s="1">
        <f t="shared" si="20"/>
        <v>762309</v>
      </c>
      <c r="E54" s="1">
        <f t="shared" si="21"/>
        <v>831453</v>
      </c>
      <c r="F54" s="1">
        <f t="shared" si="22"/>
        <v>1719</v>
      </c>
      <c r="G54" s="1">
        <f t="shared" si="23"/>
        <v>1862</v>
      </c>
      <c r="H54" s="1">
        <f t="shared" si="24"/>
        <v>8139</v>
      </c>
      <c r="I54" s="1">
        <f t="shared" si="25"/>
        <v>8579</v>
      </c>
      <c r="J54" s="1">
        <f t="shared" si="10"/>
        <v>8</v>
      </c>
      <c r="K54" s="1">
        <f t="shared" si="11"/>
        <v>69144</v>
      </c>
      <c r="L54" s="1">
        <f t="shared" si="12"/>
        <v>143</v>
      </c>
      <c r="M54" s="1">
        <f t="shared" si="13"/>
        <v>440</v>
      </c>
      <c r="O54" cm="1">
        <f t="array" ref="O54">ROUND(INDEX($AF:$AJ,VLOOKUP(A54,$AF:$AJ,5,FALSE)+2,1),0)</f>
        <v>165</v>
      </c>
      <c r="P54" cm="1">
        <f t="array" ref="P54">ROUND(INDEX($AF:$AJ,VLOOKUP(A54,$AF:$AJ,5,FALSE)+3,1),0)</f>
        <v>173</v>
      </c>
      <c r="Q54" cm="1">
        <f t="array" ref="Q54">ROUND(INDEX($AF:$AJ,VLOOKUP(A54,$AF:$AJ,5,FALSE)+2,2),0)</f>
        <v>762309</v>
      </c>
      <c r="R54" cm="1">
        <f t="array" ref="R54">ROUND(INDEX($AF:$AJ,VLOOKUP(A54,$AF:$AJ,5,FALSE)+3,2),0)</f>
        <v>831453</v>
      </c>
      <c r="S54" cm="1">
        <f t="array" ref="S54">ROUND(INDEX($AF:$AJ,VLOOKUP(A54,$AF:$AJ,5,FALSE)+2,3),0)</f>
        <v>1719</v>
      </c>
      <c r="T54" cm="1">
        <f t="array" ref="T54">ROUND(INDEX($AF:$AJ,VLOOKUP(A54,$AF:$AJ,5,FALSE)+3,3),0)</f>
        <v>1862</v>
      </c>
      <c r="U54" cm="1">
        <f t="array" ref="U54">ROUND(INDEX($AF:$AJ,VLOOKUP(A54,$AF:$AJ,5,FALSE)+2,4),0)</f>
        <v>8139</v>
      </c>
      <c r="V54" cm="1">
        <f t="array" ref="V54">ROUND(INDEX($AF:$AJ,VLOOKUP(A54,$AF:$AJ,5,FALSE)+3,4),0)</f>
        <v>8579</v>
      </c>
      <c r="X54">
        <f t="shared" si="14"/>
        <v>-8</v>
      </c>
      <c r="Y54">
        <f t="shared" si="15"/>
        <v>-69144</v>
      </c>
      <c r="Z54">
        <f t="shared" si="16"/>
        <v>-143</v>
      </c>
      <c r="AA54">
        <f t="shared" si="17"/>
        <v>-440</v>
      </c>
      <c r="AE54" s="179" t="s">
        <v>1093</v>
      </c>
      <c r="AF54" s="1">
        <v>6920241.5</v>
      </c>
      <c r="AG54" s="1">
        <v>30.217549999999999</v>
      </c>
      <c r="AH54" s="1">
        <v>469185.5</v>
      </c>
      <c r="AI54" s="1">
        <v>127340.13281</v>
      </c>
      <c r="AJ54">
        <f t="shared" si="0"/>
        <v>54</v>
      </c>
    </row>
    <row r="55" spans="1:36">
      <c r="A55" s="1">
        <v>1371641883</v>
      </c>
      <c r="B55" s="1">
        <f>O55</f>
        <v>2866059</v>
      </c>
      <c r="C55" s="1">
        <f t="shared" si="19"/>
        <v>2993547</v>
      </c>
      <c r="D55" s="1">
        <f t="shared" si="20"/>
        <v>0</v>
      </c>
      <c r="E55" s="1">
        <f t="shared" si="21"/>
        <v>0</v>
      </c>
      <c r="F55" s="1">
        <f t="shared" si="22"/>
        <v>59034</v>
      </c>
      <c r="G55" s="1">
        <f t="shared" si="23"/>
        <v>59151</v>
      </c>
      <c r="H55" s="1">
        <f t="shared" si="24"/>
        <v>890693</v>
      </c>
      <c r="I55" s="1">
        <f t="shared" si="25"/>
        <v>932474</v>
      </c>
      <c r="J55" s="1">
        <f t="shared" si="10"/>
        <v>127488</v>
      </c>
      <c r="K55" s="1">
        <f t="shared" si="11"/>
        <v>0</v>
      </c>
      <c r="L55" s="1">
        <f t="shared" si="12"/>
        <v>117</v>
      </c>
      <c r="M55" s="1">
        <f t="shared" si="13"/>
        <v>41781</v>
      </c>
      <c r="O55" cm="1">
        <f t="array" ref="O55">ROUND(INDEX($AF:$AJ,VLOOKUP(A55,$AF:$AJ,5,FALSE)+2,1),0)</f>
        <v>2866059</v>
      </c>
      <c r="P55" cm="1">
        <f t="array" ref="P55">ROUND(INDEX($AF:$AJ,VLOOKUP(A55,$AF:$AJ,5,FALSE)+3,1),0)</f>
        <v>2993547</v>
      </c>
      <c r="Q55" cm="1">
        <f t="array" ref="Q55">ROUND(INDEX($AF:$AJ,VLOOKUP(A55,$AF:$AJ,5,FALSE)+2,2),0)</f>
        <v>0</v>
      </c>
      <c r="R55" cm="1">
        <f t="array" ref="R55">ROUND(INDEX($AF:$AJ,VLOOKUP(A55,$AF:$AJ,5,FALSE)+3,2),0)</f>
        <v>0</v>
      </c>
      <c r="S55" cm="1">
        <f t="array" ref="S55">ROUND(INDEX($AF:$AJ,VLOOKUP(A55,$AF:$AJ,5,FALSE)+2,3),0)</f>
        <v>59034</v>
      </c>
      <c r="T55" cm="1">
        <f t="array" ref="T55">ROUND(INDEX($AF:$AJ,VLOOKUP(A55,$AF:$AJ,5,FALSE)+3,3),0)</f>
        <v>59151</v>
      </c>
      <c r="U55" cm="1">
        <f t="array" ref="U55">ROUND(INDEX($AF:$AJ,VLOOKUP(A55,$AF:$AJ,5,FALSE)+2,4),0)</f>
        <v>890693</v>
      </c>
      <c r="V55" cm="1">
        <f t="array" ref="V55">ROUND(INDEX($AF:$AJ,VLOOKUP(A55,$AF:$AJ,5,FALSE)+3,4),0)</f>
        <v>932474</v>
      </c>
      <c r="X55">
        <f t="shared" si="14"/>
        <v>-127488</v>
      </c>
      <c r="Y55">
        <f t="shared" si="15"/>
        <v>0</v>
      </c>
      <c r="Z55">
        <f t="shared" si="16"/>
        <v>-117</v>
      </c>
      <c r="AA55">
        <f t="shared" si="17"/>
        <v>-41781</v>
      </c>
      <c r="AE55" s="179" t="s">
        <v>1094</v>
      </c>
      <c r="AF55" s="1">
        <f>AF54-AF53</f>
        <v>240540.5</v>
      </c>
      <c r="AG55" s="1">
        <f>AG54-AG53</f>
        <v>8.7999999999865963E-4</v>
      </c>
      <c r="AH55" s="1">
        <f>AH54-AH53</f>
        <v>11334.4375</v>
      </c>
      <c r="AI55" s="1">
        <f>AI54-AI53</f>
        <v>3253.0625</v>
      </c>
      <c r="AJ55">
        <f t="shared" si="0"/>
        <v>55</v>
      </c>
    </row>
    <row r="56" spans="1:36">
      <c r="A56" s="1">
        <v>1371641982</v>
      </c>
      <c r="B56" s="1">
        <f>O56</f>
        <v>166</v>
      </c>
      <c r="C56" s="1">
        <f t="shared" si="19"/>
        <v>243</v>
      </c>
      <c r="D56" s="1">
        <f t="shared" si="20"/>
        <v>358055</v>
      </c>
      <c r="E56" s="1">
        <f t="shared" si="21"/>
        <v>374463</v>
      </c>
      <c r="F56" s="1">
        <f t="shared" si="22"/>
        <v>312</v>
      </c>
      <c r="G56" s="1">
        <f t="shared" si="23"/>
        <v>343</v>
      </c>
      <c r="H56" s="1">
        <f t="shared" si="24"/>
        <v>7631</v>
      </c>
      <c r="I56" s="1">
        <f t="shared" si="25"/>
        <v>7907</v>
      </c>
      <c r="J56" s="1">
        <f t="shared" si="10"/>
        <v>77</v>
      </c>
      <c r="K56" s="1">
        <f t="shared" si="11"/>
        <v>16408</v>
      </c>
      <c r="L56" s="1">
        <f t="shared" si="12"/>
        <v>31</v>
      </c>
      <c r="M56" s="1">
        <f t="shared" si="13"/>
        <v>276</v>
      </c>
      <c r="O56" cm="1">
        <f t="array" ref="O56">ROUND(INDEX($AF:$AJ,VLOOKUP(A56,$AF:$AJ,5,FALSE)+2,1),0)</f>
        <v>166</v>
      </c>
      <c r="P56" cm="1">
        <f t="array" ref="P56">ROUND(INDEX($AF:$AJ,VLOOKUP(A56,$AF:$AJ,5,FALSE)+3,1),0)</f>
        <v>243</v>
      </c>
      <c r="Q56" cm="1">
        <f t="array" ref="Q56">ROUND(INDEX($AF:$AJ,VLOOKUP(A56,$AF:$AJ,5,FALSE)+2,2),0)</f>
        <v>358055</v>
      </c>
      <c r="R56" cm="1">
        <f t="array" ref="R56">ROUND(INDEX($AF:$AJ,VLOOKUP(A56,$AF:$AJ,5,FALSE)+3,2),0)</f>
        <v>374463</v>
      </c>
      <c r="S56" cm="1">
        <f t="array" ref="S56">ROUND(INDEX($AF:$AJ,VLOOKUP(A56,$AF:$AJ,5,FALSE)+2,3),0)</f>
        <v>312</v>
      </c>
      <c r="T56" cm="1">
        <f t="array" ref="T56">ROUND(INDEX($AF:$AJ,VLOOKUP(A56,$AF:$AJ,5,FALSE)+3,3),0)</f>
        <v>343</v>
      </c>
      <c r="U56" cm="1">
        <f t="array" ref="U56">ROUND(INDEX($AF:$AJ,VLOOKUP(A56,$AF:$AJ,5,FALSE)+2,4),0)</f>
        <v>7631</v>
      </c>
      <c r="V56" cm="1">
        <f t="array" ref="V56">ROUND(INDEX($AF:$AJ,VLOOKUP(A56,$AF:$AJ,5,FALSE)+3,4),0)</f>
        <v>7907</v>
      </c>
      <c r="X56">
        <f t="shared" si="14"/>
        <v>-77</v>
      </c>
      <c r="Y56">
        <f t="shared" si="15"/>
        <v>-16408</v>
      </c>
      <c r="Z56">
        <f t="shared" si="16"/>
        <v>-31</v>
      </c>
      <c r="AA56">
        <f t="shared" si="17"/>
        <v>-276</v>
      </c>
      <c r="AE56" s="179" t="s">
        <v>1090</v>
      </c>
      <c r="AF56" s="560">
        <v>1369546436</v>
      </c>
      <c r="AG56" s="1" t="s">
        <v>1095</v>
      </c>
      <c r="AH56" s="1" t="s">
        <v>1095</v>
      </c>
      <c r="AI56" s="1" t="s">
        <v>1095</v>
      </c>
      <c r="AJ56">
        <f t="shared" si="0"/>
        <v>56</v>
      </c>
    </row>
    <row r="57" spans="1:36">
      <c r="A57" s="1">
        <v>1371642424</v>
      </c>
      <c r="B57" s="1">
        <f t="shared" si="18"/>
        <v>191</v>
      </c>
      <c r="C57" s="1">
        <f t="shared" si="19"/>
        <v>201</v>
      </c>
      <c r="D57" s="1">
        <f t="shared" si="20"/>
        <v>1190620</v>
      </c>
      <c r="E57" s="1">
        <f t="shared" si="21"/>
        <v>1259495</v>
      </c>
      <c r="F57" s="1">
        <f t="shared" si="22"/>
        <v>14397</v>
      </c>
      <c r="G57" s="1">
        <f t="shared" si="23"/>
        <v>15215</v>
      </c>
      <c r="H57" s="1">
        <f t="shared" si="24"/>
        <v>9871</v>
      </c>
      <c r="I57" s="1">
        <f t="shared" si="25"/>
        <v>10217</v>
      </c>
      <c r="J57" s="1">
        <f t="shared" si="10"/>
        <v>10</v>
      </c>
      <c r="K57" s="1">
        <f t="shared" si="11"/>
        <v>68875</v>
      </c>
      <c r="L57" s="1">
        <f t="shared" si="12"/>
        <v>818</v>
      </c>
      <c r="M57" s="1">
        <f t="shared" si="13"/>
        <v>346</v>
      </c>
      <c r="O57" cm="1">
        <f t="array" ref="O57">ROUND(INDEX($AF:$AJ,VLOOKUP(A57,$AF:$AJ,5,FALSE)+2,1),0)</f>
        <v>191</v>
      </c>
      <c r="P57" cm="1">
        <f t="array" ref="P57">ROUND(INDEX($AF:$AJ,VLOOKUP(A57,$AF:$AJ,5,FALSE)+3,1),0)</f>
        <v>201</v>
      </c>
      <c r="Q57" cm="1">
        <f t="array" ref="Q57">ROUND(INDEX($AF:$AJ,VLOOKUP(A57,$AF:$AJ,5,FALSE)+2,2),0)</f>
        <v>1190620</v>
      </c>
      <c r="R57" cm="1">
        <f t="array" ref="R57">ROUND(INDEX($AF:$AJ,VLOOKUP(A57,$AF:$AJ,5,FALSE)+3,2),0)</f>
        <v>1259495</v>
      </c>
      <c r="S57" cm="1">
        <f t="array" ref="S57">ROUND(INDEX($AF:$AJ,VLOOKUP(A57,$AF:$AJ,5,FALSE)+2,3),0)</f>
        <v>14397</v>
      </c>
      <c r="T57" cm="1">
        <f t="array" ref="T57">ROUND(INDEX($AF:$AJ,VLOOKUP(A57,$AF:$AJ,5,FALSE)+3,3),0)</f>
        <v>15215</v>
      </c>
      <c r="U57" cm="1">
        <f t="array" ref="U57">ROUND(INDEX($AF:$AJ,VLOOKUP(A57,$AF:$AJ,5,FALSE)+2,4),0)</f>
        <v>9871</v>
      </c>
      <c r="V57" cm="1">
        <f t="array" ref="V57">ROUND(INDEX($AF:$AJ,VLOOKUP(A57,$AF:$AJ,5,FALSE)+3,4),0)</f>
        <v>10217</v>
      </c>
      <c r="X57">
        <f t="shared" si="14"/>
        <v>-10</v>
      </c>
      <c r="Y57">
        <f t="shared" si="15"/>
        <v>-68875</v>
      </c>
      <c r="Z57">
        <f t="shared" si="16"/>
        <v>-818</v>
      </c>
      <c r="AA57">
        <f t="shared" si="17"/>
        <v>-346</v>
      </c>
      <c r="AE57" s="179" t="s">
        <v>1091</v>
      </c>
      <c r="AF57" s="1" t="s">
        <v>440</v>
      </c>
      <c r="AG57" s="1" t="s">
        <v>441</v>
      </c>
      <c r="AH57" s="1" t="s">
        <v>442</v>
      </c>
      <c r="AI57" s="1" t="s">
        <v>1022</v>
      </c>
      <c r="AJ57">
        <f t="shared" si="0"/>
        <v>57</v>
      </c>
    </row>
    <row r="58" spans="1:36">
      <c r="A58" s="1">
        <v>1371642903</v>
      </c>
      <c r="B58" s="1">
        <f t="shared" si="18"/>
        <v>502</v>
      </c>
      <c r="C58" s="1">
        <f t="shared" si="19"/>
        <v>523</v>
      </c>
      <c r="D58" s="1">
        <f t="shared" si="20"/>
        <v>1665278</v>
      </c>
      <c r="E58" s="1">
        <f t="shared" si="21"/>
        <v>1788097</v>
      </c>
      <c r="F58" s="1">
        <f t="shared" si="22"/>
        <v>437</v>
      </c>
      <c r="G58" s="1">
        <f t="shared" si="23"/>
        <v>451</v>
      </c>
      <c r="H58" s="1">
        <f t="shared" si="24"/>
        <v>24156</v>
      </c>
      <c r="I58" s="1">
        <f t="shared" si="25"/>
        <v>25495</v>
      </c>
      <c r="J58" s="1">
        <f t="shared" si="10"/>
        <v>21</v>
      </c>
      <c r="K58" s="1">
        <f t="shared" si="11"/>
        <v>122819</v>
      </c>
      <c r="L58" s="1">
        <f t="shared" si="12"/>
        <v>14</v>
      </c>
      <c r="M58" s="1">
        <f t="shared" si="13"/>
        <v>1339</v>
      </c>
      <c r="O58" cm="1">
        <f t="array" ref="O58">ROUND(INDEX($AF:$AJ,VLOOKUP(A58,$AF:$AJ,5,FALSE)+2,1),0)</f>
        <v>502</v>
      </c>
      <c r="P58" cm="1">
        <f t="array" ref="P58">ROUND(INDEX($AF:$AJ,VLOOKUP(A58,$AF:$AJ,5,FALSE)+3,1),0)</f>
        <v>523</v>
      </c>
      <c r="Q58" cm="1">
        <f t="array" ref="Q58">ROUND(INDEX($AF:$AJ,VLOOKUP(A58,$AF:$AJ,5,FALSE)+2,2),0)</f>
        <v>1665278</v>
      </c>
      <c r="R58" cm="1">
        <f t="array" ref="R58">ROUND(INDEX($AF:$AJ,VLOOKUP(A58,$AF:$AJ,5,FALSE)+3,2),0)</f>
        <v>1788097</v>
      </c>
      <c r="S58" cm="1">
        <f t="array" ref="S58">ROUND(INDEX($AF:$AJ,VLOOKUP(A58,$AF:$AJ,5,FALSE)+2,3),0)</f>
        <v>437</v>
      </c>
      <c r="T58" cm="1">
        <f t="array" ref="T58">ROUND(INDEX($AF:$AJ,VLOOKUP(A58,$AF:$AJ,5,FALSE)+3,3),0)</f>
        <v>451</v>
      </c>
      <c r="U58" cm="1">
        <f t="array" ref="U58">ROUND(INDEX($AF:$AJ,VLOOKUP(A58,$AF:$AJ,5,FALSE)+2,4),0)</f>
        <v>24156</v>
      </c>
      <c r="V58" cm="1">
        <f t="array" ref="V58">ROUND(INDEX($AF:$AJ,VLOOKUP(A58,$AF:$AJ,5,FALSE)+3,4),0)</f>
        <v>25495</v>
      </c>
      <c r="X58">
        <f t="shared" si="14"/>
        <v>-21</v>
      </c>
      <c r="Y58">
        <f t="shared" si="15"/>
        <v>-122819</v>
      </c>
      <c r="Z58">
        <f t="shared" si="16"/>
        <v>-14</v>
      </c>
      <c r="AA58">
        <f t="shared" si="17"/>
        <v>-1339</v>
      </c>
      <c r="AE58" s="179" t="s">
        <v>1092</v>
      </c>
      <c r="AF58" s="1">
        <v>8678009</v>
      </c>
      <c r="AG58" s="1">
        <v>0</v>
      </c>
      <c r="AH58" s="1">
        <v>545608.4375</v>
      </c>
      <c r="AI58" s="1">
        <v>86284.679690000004</v>
      </c>
      <c r="AJ58">
        <f t="shared" si="0"/>
        <v>58</v>
      </c>
    </row>
    <row r="59" spans="1:36">
      <c r="A59" s="1">
        <v>1371642996</v>
      </c>
      <c r="B59" s="1">
        <f t="shared" si="18"/>
        <v>7096627</v>
      </c>
      <c r="C59" s="1">
        <f t="shared" si="19"/>
        <v>7438528</v>
      </c>
      <c r="D59" s="1">
        <f t="shared" si="20"/>
        <v>3903</v>
      </c>
      <c r="E59" s="1">
        <f t="shared" si="21"/>
        <v>3903</v>
      </c>
      <c r="F59" s="1">
        <f t="shared" si="22"/>
        <v>306612</v>
      </c>
      <c r="G59" s="1">
        <f t="shared" si="23"/>
        <v>342181</v>
      </c>
      <c r="H59" s="1">
        <f t="shared" si="24"/>
        <v>53243</v>
      </c>
      <c r="I59" s="1">
        <f t="shared" si="25"/>
        <v>54842</v>
      </c>
      <c r="J59" s="1">
        <f t="shared" si="10"/>
        <v>341901</v>
      </c>
      <c r="K59" s="1">
        <f t="shared" si="11"/>
        <v>0</v>
      </c>
      <c r="L59" s="1">
        <f t="shared" si="12"/>
        <v>35569</v>
      </c>
      <c r="M59" s="1">
        <f t="shared" si="13"/>
        <v>1599</v>
      </c>
      <c r="O59" cm="1">
        <f t="array" ref="O59">ROUND(INDEX($AF:$AJ,VLOOKUP(A59,$AF:$AJ,5,FALSE)+2,1),0)</f>
        <v>7096627</v>
      </c>
      <c r="P59" cm="1">
        <f t="array" ref="P59">ROUND(INDEX($AF:$AJ,VLOOKUP(A59,$AF:$AJ,5,FALSE)+3,1),0)</f>
        <v>7438528</v>
      </c>
      <c r="Q59" cm="1">
        <f t="array" ref="Q59">ROUND(INDEX($AF:$AJ,VLOOKUP(A59,$AF:$AJ,5,FALSE)+2,2),0)</f>
        <v>3903</v>
      </c>
      <c r="R59" cm="1">
        <f t="array" ref="R59">ROUND(INDEX($AF:$AJ,VLOOKUP(A59,$AF:$AJ,5,FALSE)+3,2),0)</f>
        <v>3903</v>
      </c>
      <c r="S59" cm="1">
        <f t="array" ref="S59">ROUND(INDEX($AF:$AJ,VLOOKUP(A59,$AF:$AJ,5,FALSE)+2,3),0)</f>
        <v>306612</v>
      </c>
      <c r="T59" cm="1">
        <f t="array" ref="T59">ROUND(INDEX($AF:$AJ,VLOOKUP(A59,$AF:$AJ,5,FALSE)+3,3),0)</f>
        <v>342181</v>
      </c>
      <c r="U59" cm="1">
        <f t="array" ref="U59">ROUND(INDEX($AF:$AJ,VLOOKUP(A59,$AF:$AJ,5,FALSE)+2,4),0)</f>
        <v>53243</v>
      </c>
      <c r="V59" cm="1">
        <f t="array" ref="V59">ROUND(INDEX($AF:$AJ,VLOOKUP(A59,$AF:$AJ,5,FALSE)+3,4),0)</f>
        <v>54842</v>
      </c>
      <c r="X59">
        <f t="shared" si="14"/>
        <v>-341901</v>
      </c>
      <c r="Y59">
        <f t="shared" si="15"/>
        <v>0</v>
      </c>
      <c r="Z59">
        <f t="shared" si="16"/>
        <v>-35569</v>
      </c>
      <c r="AA59">
        <f t="shared" si="17"/>
        <v>-1599</v>
      </c>
      <c r="AE59" s="179" t="s">
        <v>1093</v>
      </c>
      <c r="AF59" s="1">
        <v>8984045</v>
      </c>
      <c r="AG59" s="1">
        <v>0</v>
      </c>
      <c r="AH59" s="1">
        <v>560929.375</v>
      </c>
      <c r="AI59" s="1">
        <v>88011.875</v>
      </c>
      <c r="AJ59">
        <f t="shared" si="0"/>
        <v>59</v>
      </c>
    </row>
    <row r="60" spans="1:36">
      <c r="A60" s="1">
        <v>1371869788</v>
      </c>
      <c r="B60" s="1">
        <f t="shared" si="18"/>
        <v>189486</v>
      </c>
      <c r="C60" s="1">
        <f t="shared" si="19"/>
        <v>194073</v>
      </c>
      <c r="D60" s="1">
        <f t="shared" si="20"/>
        <v>131906</v>
      </c>
      <c r="E60" s="1">
        <f t="shared" si="21"/>
        <v>138412</v>
      </c>
      <c r="F60" s="1">
        <f t="shared" si="22"/>
        <v>1200</v>
      </c>
      <c r="G60" s="1">
        <f t="shared" si="23"/>
        <v>1201</v>
      </c>
      <c r="H60" s="1">
        <f t="shared" si="24"/>
        <v>97169</v>
      </c>
      <c r="I60" s="1">
        <f t="shared" si="25"/>
        <v>102598</v>
      </c>
      <c r="J60" s="1">
        <f t="shared" si="10"/>
        <v>4587</v>
      </c>
      <c r="K60" s="1">
        <f t="shared" si="11"/>
        <v>6506</v>
      </c>
      <c r="L60" s="1">
        <f t="shared" si="12"/>
        <v>1</v>
      </c>
      <c r="M60" s="1">
        <f t="shared" si="13"/>
        <v>5429</v>
      </c>
      <c r="O60" cm="1">
        <f t="array" ref="O60">ROUND(INDEX($AF:$AJ,VLOOKUP(A60,$AF:$AJ,5,FALSE)+2,1),0)</f>
        <v>189486</v>
      </c>
      <c r="P60" cm="1">
        <f t="array" ref="P60">ROUND(INDEX($AF:$AJ,VLOOKUP(A60,$AF:$AJ,5,FALSE)+3,1),0)</f>
        <v>194073</v>
      </c>
      <c r="Q60" cm="1">
        <f t="array" ref="Q60">ROUND(INDEX($AF:$AJ,VLOOKUP(A60,$AF:$AJ,5,FALSE)+2,2),0)</f>
        <v>131906</v>
      </c>
      <c r="R60" cm="1">
        <f t="array" ref="R60">ROUND(INDEX($AF:$AJ,VLOOKUP(A60,$AF:$AJ,5,FALSE)+3,2),0)</f>
        <v>138412</v>
      </c>
      <c r="S60" cm="1">
        <f t="array" ref="S60">ROUND(INDEX($AF:$AJ,VLOOKUP(A60,$AF:$AJ,5,FALSE)+2,3),0)</f>
        <v>1200</v>
      </c>
      <c r="T60" cm="1">
        <f t="array" ref="T60">ROUND(INDEX($AF:$AJ,VLOOKUP(A60,$AF:$AJ,5,FALSE)+3,3),0)</f>
        <v>1201</v>
      </c>
      <c r="U60" cm="1">
        <f t="array" ref="U60">ROUND(INDEX($AF:$AJ,VLOOKUP(A60,$AF:$AJ,5,FALSE)+2,4),0)</f>
        <v>97169</v>
      </c>
      <c r="V60" cm="1">
        <f t="array" ref="V60">ROUND(INDEX($AF:$AJ,VLOOKUP(A60,$AF:$AJ,5,FALSE)+3,4),0)</f>
        <v>102598</v>
      </c>
      <c r="X60">
        <f t="shared" si="14"/>
        <v>-4587</v>
      </c>
      <c r="Y60">
        <f t="shared" si="15"/>
        <v>-6506</v>
      </c>
      <c r="Z60">
        <f t="shared" si="16"/>
        <v>-1</v>
      </c>
      <c r="AA60">
        <f t="shared" si="17"/>
        <v>-5429</v>
      </c>
      <c r="AE60" s="179" t="s">
        <v>1094</v>
      </c>
      <c r="AF60" s="1">
        <f>AF59-AF58</f>
        <v>306036</v>
      </c>
      <c r="AG60" s="1">
        <f>AG59-AG58</f>
        <v>0</v>
      </c>
      <c r="AH60" s="1">
        <f>AH59-AH58</f>
        <v>15320.9375</v>
      </c>
      <c r="AI60" s="1">
        <f>AI59-AI58</f>
        <v>1727.1953099999955</v>
      </c>
      <c r="AJ60">
        <f t="shared" si="0"/>
        <v>60</v>
      </c>
    </row>
    <row r="61" spans="1:36">
      <c r="A61" s="1">
        <v>1371870596</v>
      </c>
      <c r="B61" s="1">
        <f t="shared" si="18"/>
        <v>2357612</v>
      </c>
      <c r="C61" s="1">
        <f t="shared" si="19"/>
        <v>2435836</v>
      </c>
      <c r="D61" s="1">
        <f t="shared" si="20"/>
        <v>1398176</v>
      </c>
      <c r="E61" s="1">
        <f t="shared" si="21"/>
        <v>1524479</v>
      </c>
      <c r="F61" s="1">
        <f t="shared" si="22"/>
        <v>29506</v>
      </c>
      <c r="G61" s="1">
        <f t="shared" si="23"/>
        <v>34270</v>
      </c>
      <c r="H61" s="1">
        <f t="shared" si="24"/>
        <v>344758</v>
      </c>
      <c r="I61" s="1">
        <f t="shared" si="25"/>
        <v>358158</v>
      </c>
      <c r="J61" s="1">
        <f t="shared" si="10"/>
        <v>78224</v>
      </c>
      <c r="K61" s="1">
        <f t="shared" si="11"/>
        <v>126303</v>
      </c>
      <c r="L61" s="1">
        <f t="shared" si="12"/>
        <v>4764</v>
      </c>
      <c r="M61" s="1">
        <f t="shared" si="13"/>
        <v>13400</v>
      </c>
      <c r="O61" cm="1">
        <f t="array" ref="O61">ROUND(INDEX($AF:$AJ,VLOOKUP(A61,$AF:$AJ,5,FALSE)+2,1),0)</f>
        <v>2357612</v>
      </c>
      <c r="P61" cm="1">
        <f t="array" ref="P61">ROUND(INDEX($AF:$AJ,VLOOKUP(A61,$AF:$AJ,5,FALSE)+3,1),0)</f>
        <v>2435836</v>
      </c>
      <c r="Q61" cm="1">
        <f t="array" ref="Q61">ROUND(INDEX($AF:$AJ,VLOOKUP(A61,$AF:$AJ,5,FALSE)+2,2),0)</f>
        <v>1398176</v>
      </c>
      <c r="R61" cm="1">
        <f t="array" ref="R61">ROUND(INDEX($AF:$AJ,VLOOKUP(A61,$AF:$AJ,5,FALSE)+3,2),0)</f>
        <v>1524479</v>
      </c>
      <c r="S61" cm="1">
        <f t="array" ref="S61">ROUND(INDEX($AF:$AJ,VLOOKUP(A61,$AF:$AJ,5,FALSE)+2,3),0)</f>
        <v>29506</v>
      </c>
      <c r="T61" cm="1">
        <f t="array" ref="T61">ROUND(INDEX($AF:$AJ,VLOOKUP(A61,$AF:$AJ,5,FALSE)+3,3),0)</f>
        <v>34270</v>
      </c>
      <c r="U61" cm="1">
        <f t="array" ref="U61">ROUND(INDEX($AF:$AJ,VLOOKUP(A61,$AF:$AJ,5,FALSE)+2,4),0)</f>
        <v>344758</v>
      </c>
      <c r="V61" cm="1">
        <f t="array" ref="V61">ROUND(INDEX($AF:$AJ,VLOOKUP(A61,$AF:$AJ,5,FALSE)+3,4),0)</f>
        <v>358158</v>
      </c>
      <c r="X61">
        <f t="shared" si="14"/>
        <v>-78224</v>
      </c>
      <c r="Y61">
        <f t="shared" si="15"/>
        <v>-126303</v>
      </c>
      <c r="Z61">
        <f t="shared" si="16"/>
        <v>-4764</v>
      </c>
      <c r="AA61">
        <f t="shared" si="17"/>
        <v>-13400</v>
      </c>
      <c r="AE61" s="179" t="s">
        <v>1090</v>
      </c>
      <c r="AF61" s="560">
        <v>1370127118</v>
      </c>
      <c r="AG61" s="1" t="s">
        <v>1095</v>
      </c>
      <c r="AH61" s="1" t="s">
        <v>1095</v>
      </c>
      <c r="AI61" s="1" t="s">
        <v>1095</v>
      </c>
      <c r="AJ61">
        <f t="shared" si="0"/>
        <v>61</v>
      </c>
    </row>
    <row r="62" spans="1:36">
      <c r="A62" s="1">
        <v>1371870726</v>
      </c>
      <c r="B62" s="1">
        <f t="shared" si="18"/>
        <v>527640</v>
      </c>
      <c r="C62" s="1">
        <f t="shared" si="19"/>
        <v>547534</v>
      </c>
      <c r="D62" s="1">
        <f t="shared" si="20"/>
        <v>0</v>
      </c>
      <c r="E62" s="1">
        <f t="shared" si="21"/>
        <v>0</v>
      </c>
      <c r="F62" s="1">
        <f t="shared" si="22"/>
        <v>187</v>
      </c>
      <c r="G62" s="1">
        <f t="shared" si="23"/>
        <v>187</v>
      </c>
      <c r="H62" s="1">
        <f t="shared" si="24"/>
        <v>114691</v>
      </c>
      <c r="I62" s="1">
        <f t="shared" si="25"/>
        <v>121099</v>
      </c>
      <c r="J62" s="1">
        <f t="shared" si="10"/>
        <v>19894</v>
      </c>
      <c r="K62" s="1">
        <f t="shared" si="11"/>
        <v>0</v>
      </c>
      <c r="L62" s="1">
        <f t="shared" si="12"/>
        <v>0</v>
      </c>
      <c r="M62" s="1">
        <f t="shared" si="13"/>
        <v>6408</v>
      </c>
      <c r="O62" cm="1">
        <f t="array" ref="O62">ROUND(INDEX($AF:$AJ,VLOOKUP(A62,$AF:$AJ,5,FALSE)+2,1),0)</f>
        <v>527640</v>
      </c>
      <c r="P62" cm="1">
        <f t="array" ref="P62">ROUND(INDEX($AF:$AJ,VLOOKUP(A62,$AF:$AJ,5,FALSE)+3,1),0)</f>
        <v>547534</v>
      </c>
      <c r="Q62" cm="1">
        <f t="array" ref="Q62">ROUND(INDEX($AF:$AJ,VLOOKUP(A62,$AF:$AJ,5,FALSE)+2,2),0)</f>
        <v>0</v>
      </c>
      <c r="R62" cm="1">
        <f t="array" ref="R62">ROUND(INDEX($AF:$AJ,VLOOKUP(A62,$AF:$AJ,5,FALSE)+3,2),0)</f>
        <v>0</v>
      </c>
      <c r="S62" cm="1">
        <f t="array" ref="S62">ROUND(INDEX($AF:$AJ,VLOOKUP(A62,$AF:$AJ,5,FALSE)+2,3),0)</f>
        <v>187</v>
      </c>
      <c r="T62" cm="1">
        <f t="array" ref="T62">ROUND(INDEX($AF:$AJ,VLOOKUP(A62,$AF:$AJ,5,FALSE)+3,3),0)</f>
        <v>187</v>
      </c>
      <c r="U62" cm="1">
        <f t="array" ref="U62">ROUND(INDEX($AF:$AJ,VLOOKUP(A62,$AF:$AJ,5,FALSE)+2,4),0)</f>
        <v>114691</v>
      </c>
      <c r="V62" cm="1">
        <f t="array" ref="V62">ROUND(INDEX($AF:$AJ,VLOOKUP(A62,$AF:$AJ,5,FALSE)+3,4),0)</f>
        <v>121099</v>
      </c>
      <c r="X62">
        <f t="shared" si="14"/>
        <v>-19894</v>
      </c>
      <c r="Y62">
        <f t="shared" si="15"/>
        <v>0</v>
      </c>
      <c r="Z62">
        <f t="shared" si="16"/>
        <v>0</v>
      </c>
      <c r="AA62">
        <f t="shared" si="17"/>
        <v>-6408</v>
      </c>
      <c r="AE62" s="179" t="s">
        <v>1091</v>
      </c>
      <c r="AF62" s="1" t="s">
        <v>440</v>
      </c>
      <c r="AG62" s="1" t="s">
        <v>441</v>
      </c>
      <c r="AH62" s="1" t="s">
        <v>442</v>
      </c>
      <c r="AI62" s="1" t="s">
        <v>1022</v>
      </c>
      <c r="AJ62">
        <f t="shared" si="0"/>
        <v>62</v>
      </c>
    </row>
    <row r="63" spans="1:36">
      <c r="A63" s="1">
        <v>1371871642</v>
      </c>
      <c r="B63" s="1">
        <f t="shared" si="18"/>
        <v>1046</v>
      </c>
      <c r="C63" s="1">
        <f t="shared" si="19"/>
        <v>1082</v>
      </c>
      <c r="D63" s="1">
        <f t="shared" si="20"/>
        <v>2258138</v>
      </c>
      <c r="E63" s="1">
        <f t="shared" si="21"/>
        <v>2372128</v>
      </c>
      <c r="F63" s="1">
        <f t="shared" si="22"/>
        <v>9685</v>
      </c>
      <c r="G63" s="1">
        <f t="shared" si="23"/>
        <v>10048</v>
      </c>
      <c r="H63" s="1">
        <f t="shared" si="24"/>
        <v>443426</v>
      </c>
      <c r="I63" s="1">
        <f t="shared" si="25"/>
        <v>444529</v>
      </c>
      <c r="J63" s="1">
        <f t="shared" si="10"/>
        <v>36</v>
      </c>
      <c r="K63" s="1">
        <f t="shared" si="11"/>
        <v>113990</v>
      </c>
      <c r="L63" s="1">
        <f t="shared" si="12"/>
        <v>363</v>
      </c>
      <c r="M63" s="1">
        <f t="shared" si="13"/>
        <v>1103</v>
      </c>
      <c r="O63" cm="1">
        <f t="array" ref="O63">ROUND(INDEX($AF:$AJ,VLOOKUP(A63,$AF:$AJ,5,FALSE)+2,1),0)</f>
        <v>1046</v>
      </c>
      <c r="P63" cm="1">
        <f t="array" ref="P63">ROUND(INDEX($AF:$AJ,VLOOKUP(A63,$AF:$AJ,5,FALSE)+3,1),0)</f>
        <v>1082</v>
      </c>
      <c r="Q63" cm="1">
        <f t="array" ref="Q63">ROUND(INDEX($AF:$AJ,VLOOKUP(A63,$AF:$AJ,5,FALSE)+2,2),0)</f>
        <v>2258138</v>
      </c>
      <c r="R63" cm="1">
        <f t="array" ref="R63">ROUND(INDEX($AF:$AJ,VLOOKUP(A63,$AF:$AJ,5,FALSE)+3,2),0)</f>
        <v>2372128</v>
      </c>
      <c r="S63" cm="1">
        <f t="array" ref="S63">ROUND(INDEX($AF:$AJ,VLOOKUP(A63,$AF:$AJ,5,FALSE)+2,3),0)</f>
        <v>9685</v>
      </c>
      <c r="T63" cm="1">
        <f t="array" ref="T63">ROUND(INDEX($AF:$AJ,VLOOKUP(A63,$AF:$AJ,5,FALSE)+3,3),0)</f>
        <v>10048</v>
      </c>
      <c r="U63" cm="1">
        <f t="array" ref="U63">ROUND(INDEX($AF:$AJ,VLOOKUP(A63,$AF:$AJ,5,FALSE)+2,4),0)</f>
        <v>443426</v>
      </c>
      <c r="V63" cm="1">
        <f t="array" ref="V63">ROUND(INDEX($AF:$AJ,VLOOKUP(A63,$AF:$AJ,5,FALSE)+3,4),0)</f>
        <v>444529</v>
      </c>
      <c r="X63">
        <f t="shared" si="14"/>
        <v>-36</v>
      </c>
      <c r="Y63">
        <f t="shared" si="15"/>
        <v>-113990</v>
      </c>
      <c r="Z63">
        <f t="shared" si="16"/>
        <v>-363</v>
      </c>
      <c r="AA63">
        <f t="shared" si="17"/>
        <v>-1103</v>
      </c>
      <c r="AE63" s="179" t="s">
        <v>1092</v>
      </c>
      <c r="AF63" s="1">
        <v>56.704979999999999</v>
      </c>
      <c r="AG63" s="1">
        <v>835685.5625</v>
      </c>
      <c r="AH63" s="1">
        <v>15344.60547</v>
      </c>
      <c r="AI63" s="1">
        <v>71811.710940000004</v>
      </c>
      <c r="AJ63">
        <f t="shared" si="0"/>
        <v>63</v>
      </c>
    </row>
    <row r="64" spans="1:36">
      <c r="A64" s="1">
        <v>1372627968</v>
      </c>
      <c r="B64" s="1">
        <f t="shared" si="18"/>
        <v>3793246</v>
      </c>
      <c r="C64" s="1">
        <f t="shared" si="19"/>
        <v>4025529</v>
      </c>
      <c r="D64" s="1">
        <f t="shared" si="20"/>
        <v>0</v>
      </c>
      <c r="E64" s="1">
        <f t="shared" si="21"/>
        <v>0</v>
      </c>
      <c r="F64" s="1">
        <f t="shared" si="22"/>
        <v>577764</v>
      </c>
      <c r="G64" s="1">
        <f t="shared" si="23"/>
        <v>613156</v>
      </c>
      <c r="H64" s="1">
        <f t="shared" si="24"/>
        <v>379</v>
      </c>
      <c r="I64" s="1">
        <f t="shared" si="25"/>
        <v>381</v>
      </c>
      <c r="J64" s="1">
        <f t="shared" si="10"/>
        <v>232283</v>
      </c>
      <c r="K64" s="1">
        <f t="shared" si="11"/>
        <v>0</v>
      </c>
      <c r="L64" s="1">
        <f t="shared" si="12"/>
        <v>35392</v>
      </c>
      <c r="M64" s="1">
        <f t="shared" si="13"/>
        <v>2</v>
      </c>
      <c r="O64" cm="1">
        <f t="array" ref="O64">ROUND(INDEX($AF:$AJ,VLOOKUP(A64,$AF:$AJ,5,FALSE)+2,1),0)</f>
        <v>3793246</v>
      </c>
      <c r="P64" cm="1">
        <f t="array" ref="P64">ROUND(INDEX($AF:$AJ,VLOOKUP(A64,$AF:$AJ,5,FALSE)+3,1),0)</f>
        <v>4025529</v>
      </c>
      <c r="Q64" cm="1">
        <f t="array" ref="Q64">ROUND(INDEX($AF:$AJ,VLOOKUP(A64,$AF:$AJ,5,FALSE)+2,2),0)</f>
        <v>0</v>
      </c>
      <c r="R64" cm="1">
        <f t="array" ref="R64">ROUND(INDEX($AF:$AJ,VLOOKUP(A64,$AF:$AJ,5,FALSE)+3,2),0)</f>
        <v>0</v>
      </c>
      <c r="S64" cm="1">
        <f t="array" ref="S64">ROUND(INDEX($AF:$AJ,VLOOKUP(A64,$AF:$AJ,5,FALSE)+2,3),0)</f>
        <v>577764</v>
      </c>
      <c r="T64" cm="1">
        <f t="array" ref="T64">ROUND(INDEX($AF:$AJ,VLOOKUP(A64,$AF:$AJ,5,FALSE)+3,3),0)</f>
        <v>613156</v>
      </c>
      <c r="U64" cm="1">
        <f t="array" ref="U64">ROUND(INDEX($AF:$AJ,VLOOKUP(A64,$AF:$AJ,5,FALSE)+2,4),0)</f>
        <v>379</v>
      </c>
      <c r="V64" cm="1">
        <f t="array" ref="V64">ROUND(INDEX($AF:$AJ,VLOOKUP(A64,$AF:$AJ,5,FALSE)+3,4),0)</f>
        <v>381</v>
      </c>
      <c r="X64">
        <f t="shared" si="14"/>
        <v>-232283</v>
      </c>
      <c r="Y64">
        <f t="shared" si="15"/>
        <v>0</v>
      </c>
      <c r="Z64">
        <f t="shared" si="16"/>
        <v>-35392</v>
      </c>
      <c r="AA64">
        <f t="shared" si="17"/>
        <v>-2</v>
      </c>
      <c r="AE64" s="179" t="s">
        <v>1093</v>
      </c>
      <c r="AF64" s="1">
        <v>59.39141</v>
      </c>
      <c r="AG64" s="1">
        <v>878157.5</v>
      </c>
      <c r="AH64" s="1">
        <v>15810.79297</v>
      </c>
      <c r="AI64" s="1">
        <v>75296.195309999996</v>
      </c>
      <c r="AJ64">
        <f t="shared" si="0"/>
        <v>64</v>
      </c>
    </row>
    <row r="65" spans="1:36">
      <c r="A65" s="1">
        <v>1372628250</v>
      </c>
      <c r="B65" s="1">
        <f t="shared" si="18"/>
        <v>1531789</v>
      </c>
      <c r="C65" s="1">
        <f t="shared" si="19"/>
        <v>1570145</v>
      </c>
      <c r="D65" s="1">
        <f t="shared" si="20"/>
        <v>0</v>
      </c>
      <c r="E65" s="1">
        <f t="shared" si="21"/>
        <v>0</v>
      </c>
      <c r="F65" s="1">
        <f t="shared" si="22"/>
        <v>67107</v>
      </c>
      <c r="G65" s="1">
        <f t="shared" si="23"/>
        <v>67126</v>
      </c>
      <c r="H65" s="1">
        <f t="shared" si="24"/>
        <v>127057</v>
      </c>
      <c r="I65" s="1">
        <f t="shared" si="25"/>
        <v>137876</v>
      </c>
      <c r="J65" s="1">
        <f t="shared" si="10"/>
        <v>38356</v>
      </c>
      <c r="K65" s="1">
        <f t="shared" si="11"/>
        <v>0</v>
      </c>
      <c r="L65" s="1">
        <f t="shared" si="12"/>
        <v>19</v>
      </c>
      <c r="M65" s="1">
        <f t="shared" si="13"/>
        <v>10819</v>
      </c>
      <c r="O65" cm="1">
        <f t="array" ref="O65">ROUND(INDEX($AF:$AJ,VLOOKUP(A65,$AF:$AJ,5,FALSE)+2,1),0)</f>
        <v>1531789</v>
      </c>
      <c r="P65" cm="1">
        <f t="array" ref="P65">ROUND(INDEX($AF:$AJ,VLOOKUP(A65,$AF:$AJ,5,FALSE)+3,1),0)</f>
        <v>1570145</v>
      </c>
      <c r="Q65" cm="1">
        <f t="array" ref="Q65">ROUND(INDEX($AF:$AJ,VLOOKUP(A65,$AF:$AJ,5,FALSE)+2,2),0)</f>
        <v>0</v>
      </c>
      <c r="R65" cm="1">
        <f t="array" ref="R65">ROUND(INDEX($AF:$AJ,VLOOKUP(A65,$AF:$AJ,5,FALSE)+3,2),0)</f>
        <v>0</v>
      </c>
      <c r="S65" cm="1">
        <f t="array" ref="S65">ROUND(INDEX($AF:$AJ,VLOOKUP(A65,$AF:$AJ,5,FALSE)+2,3),0)</f>
        <v>67107</v>
      </c>
      <c r="T65" cm="1">
        <f t="array" ref="T65">ROUND(INDEX($AF:$AJ,VLOOKUP(A65,$AF:$AJ,5,FALSE)+3,3),0)</f>
        <v>67126</v>
      </c>
      <c r="U65" cm="1">
        <f t="array" ref="U65">ROUND(INDEX($AF:$AJ,VLOOKUP(A65,$AF:$AJ,5,FALSE)+2,4),0)</f>
        <v>127057</v>
      </c>
      <c r="V65" cm="1">
        <f t="array" ref="V65">ROUND(INDEX($AF:$AJ,VLOOKUP(A65,$AF:$AJ,5,FALSE)+3,4),0)</f>
        <v>137876</v>
      </c>
      <c r="X65">
        <f t="shared" si="14"/>
        <v>-38356</v>
      </c>
      <c r="Y65">
        <f t="shared" si="15"/>
        <v>0</v>
      </c>
      <c r="Z65">
        <f t="shared" si="16"/>
        <v>-19</v>
      </c>
      <c r="AA65">
        <f t="shared" si="17"/>
        <v>-10819</v>
      </c>
      <c r="AE65" s="179" t="s">
        <v>1094</v>
      </c>
      <c r="AF65" s="1">
        <f>AF64-AF63</f>
        <v>2.6864300000000014</v>
      </c>
      <c r="AG65" s="1">
        <f>AG64-AG63</f>
        <v>42471.9375</v>
      </c>
      <c r="AH65" s="1">
        <f>AH64-AH63</f>
        <v>466.1875</v>
      </c>
      <c r="AI65" s="1">
        <f>AI64-AI63</f>
        <v>3484.484369999991</v>
      </c>
      <c r="AJ65">
        <f t="shared" si="0"/>
        <v>65</v>
      </c>
    </row>
    <row r="66" spans="1:36">
      <c r="A66" s="1">
        <v>1372644189</v>
      </c>
      <c r="B66" s="1">
        <f t="shared" si="18"/>
        <v>1069</v>
      </c>
      <c r="C66" s="1">
        <f t="shared" si="19"/>
        <v>1679</v>
      </c>
      <c r="D66" s="1">
        <f t="shared" si="20"/>
        <v>449985</v>
      </c>
      <c r="E66" s="1">
        <f t="shared" si="21"/>
        <v>455329</v>
      </c>
      <c r="F66" s="1">
        <f t="shared" si="22"/>
        <v>268</v>
      </c>
      <c r="G66" s="1">
        <f t="shared" si="23"/>
        <v>286</v>
      </c>
      <c r="H66" s="1">
        <f t="shared" si="24"/>
        <v>12112</v>
      </c>
      <c r="I66" s="1">
        <f t="shared" si="25"/>
        <v>12597</v>
      </c>
      <c r="J66" s="1">
        <f t="shared" si="10"/>
        <v>610</v>
      </c>
      <c r="K66" s="1">
        <f t="shared" si="11"/>
        <v>5344</v>
      </c>
      <c r="L66" s="1">
        <f t="shared" si="12"/>
        <v>18</v>
      </c>
      <c r="M66" s="1">
        <f t="shared" si="13"/>
        <v>485</v>
      </c>
      <c r="O66" cm="1">
        <f t="array" ref="O66">ROUND(INDEX($AF:$AJ,VLOOKUP(A66,$AF:$AJ,5,FALSE)+2,1),0)</f>
        <v>1069</v>
      </c>
      <c r="P66" cm="1">
        <f t="array" ref="P66">ROUND(INDEX($AF:$AJ,VLOOKUP(A66,$AF:$AJ,5,FALSE)+3,1),0)</f>
        <v>1679</v>
      </c>
      <c r="Q66" cm="1">
        <f t="array" ref="Q66">ROUND(INDEX($AF:$AJ,VLOOKUP(A66,$AF:$AJ,5,FALSE)+2,2),0)</f>
        <v>449985</v>
      </c>
      <c r="R66" cm="1">
        <f t="array" ref="R66">ROUND(INDEX($AF:$AJ,VLOOKUP(A66,$AF:$AJ,5,FALSE)+3,2),0)</f>
        <v>455329</v>
      </c>
      <c r="S66" cm="1">
        <f t="array" ref="S66">ROUND(INDEX($AF:$AJ,VLOOKUP(A66,$AF:$AJ,5,FALSE)+2,3),0)</f>
        <v>268</v>
      </c>
      <c r="T66" cm="1">
        <f t="array" ref="T66">ROUND(INDEX($AF:$AJ,VLOOKUP(A66,$AF:$AJ,5,FALSE)+3,3),0)</f>
        <v>286</v>
      </c>
      <c r="U66" cm="1">
        <f t="array" ref="U66">ROUND(INDEX($AF:$AJ,VLOOKUP(A66,$AF:$AJ,5,FALSE)+2,4),0)</f>
        <v>12112</v>
      </c>
      <c r="V66" cm="1">
        <f t="array" ref="V66">ROUND(INDEX($AF:$AJ,VLOOKUP(A66,$AF:$AJ,5,FALSE)+3,4),0)</f>
        <v>12597</v>
      </c>
      <c r="X66">
        <f t="shared" si="14"/>
        <v>-610</v>
      </c>
      <c r="Y66">
        <f t="shared" si="15"/>
        <v>-5344</v>
      </c>
      <c r="Z66">
        <f t="shared" si="16"/>
        <v>-18</v>
      </c>
      <c r="AA66">
        <f t="shared" si="17"/>
        <v>-485</v>
      </c>
      <c r="AE66" s="179" t="s">
        <v>1090</v>
      </c>
      <c r="AF66" s="560">
        <v>1370127133</v>
      </c>
      <c r="AG66" s="1" t="s">
        <v>1095</v>
      </c>
      <c r="AH66" s="1" t="s">
        <v>1095</v>
      </c>
      <c r="AI66" s="1" t="s">
        <v>1095</v>
      </c>
      <c r="AJ66">
        <f t="shared" si="0"/>
        <v>66</v>
      </c>
    </row>
    <row r="67" spans="1:36">
      <c r="A67" s="1">
        <v>1372628301</v>
      </c>
      <c r="B67" s="1">
        <f t="shared" si="18"/>
        <v>7425025</v>
      </c>
      <c r="C67" s="1">
        <f t="shared" si="19"/>
        <v>7870716</v>
      </c>
      <c r="D67" s="1">
        <f t="shared" si="20"/>
        <v>0</v>
      </c>
      <c r="E67" s="1">
        <f t="shared" si="21"/>
        <v>0</v>
      </c>
      <c r="F67" s="1">
        <f t="shared" si="22"/>
        <v>803702</v>
      </c>
      <c r="G67" s="1">
        <f t="shared" si="23"/>
        <v>854930</v>
      </c>
      <c r="H67" s="1">
        <f t="shared" si="24"/>
        <v>485</v>
      </c>
      <c r="I67" s="1">
        <f t="shared" si="25"/>
        <v>503</v>
      </c>
      <c r="J67" s="1">
        <f t="shared" si="10"/>
        <v>445691</v>
      </c>
      <c r="K67" s="1">
        <f t="shared" si="11"/>
        <v>0</v>
      </c>
      <c r="L67" s="1">
        <f t="shared" si="12"/>
        <v>51228</v>
      </c>
      <c r="M67" s="1">
        <f t="shared" si="13"/>
        <v>18</v>
      </c>
      <c r="O67" cm="1">
        <f t="array" ref="O67">ROUND(INDEX($AF:$AJ,VLOOKUP(A67,$AF:$AJ,5,FALSE)+2,1),0)</f>
        <v>7425025</v>
      </c>
      <c r="P67" cm="1">
        <f t="array" ref="P67">ROUND(INDEX($AF:$AJ,VLOOKUP(A67,$AF:$AJ,5,FALSE)+3,1),0)</f>
        <v>7870716</v>
      </c>
      <c r="Q67" cm="1">
        <f t="array" ref="Q67">ROUND(INDEX($AF:$AJ,VLOOKUP(A67,$AF:$AJ,5,FALSE)+2,2),0)</f>
        <v>0</v>
      </c>
      <c r="R67" cm="1">
        <f t="array" ref="R67">ROUND(INDEX($AF:$AJ,VLOOKUP(A67,$AF:$AJ,5,FALSE)+3,2),0)</f>
        <v>0</v>
      </c>
      <c r="S67" cm="1">
        <f t="array" ref="S67">ROUND(INDEX($AF:$AJ,VLOOKUP(A67,$AF:$AJ,5,FALSE)+2,3),0)</f>
        <v>803702</v>
      </c>
      <c r="T67" cm="1">
        <f t="array" ref="T67">ROUND(INDEX($AF:$AJ,VLOOKUP(A67,$AF:$AJ,5,FALSE)+3,3),0)</f>
        <v>854930</v>
      </c>
      <c r="U67" cm="1">
        <f t="array" ref="U67">ROUND(INDEX($AF:$AJ,VLOOKUP(A67,$AF:$AJ,5,FALSE)+2,4),0)</f>
        <v>485</v>
      </c>
      <c r="V67" cm="1">
        <f t="array" ref="V67">ROUND(INDEX($AF:$AJ,VLOOKUP(A67,$AF:$AJ,5,FALSE)+3,4),0)</f>
        <v>503</v>
      </c>
      <c r="X67">
        <f>O67-C67</f>
        <v>-445691</v>
      </c>
      <c r="Y67">
        <f>Q67-E67</f>
        <v>0</v>
      </c>
      <c r="Z67">
        <f>S67-G67</f>
        <v>-51228</v>
      </c>
      <c r="AA67">
        <f>U67-I67</f>
        <v>-18</v>
      </c>
      <c r="AE67" s="179" t="s">
        <v>1091</v>
      </c>
      <c r="AF67" s="1" t="s">
        <v>440</v>
      </c>
      <c r="AG67" s="1" t="s">
        <v>441</v>
      </c>
      <c r="AH67" s="1" t="s">
        <v>442</v>
      </c>
      <c r="AI67" s="1" t="s">
        <v>1022</v>
      </c>
      <c r="AJ67">
        <f t="shared" ref="AJ67:AJ130" si="26">AJ66+1</f>
        <v>67</v>
      </c>
    </row>
    <row r="68" spans="1:36">
      <c r="A68" s="1">
        <v>1372628411</v>
      </c>
      <c r="B68" s="1">
        <f t="shared" si="18"/>
        <v>4235785</v>
      </c>
      <c r="C68" s="1">
        <f t="shared" si="19"/>
        <v>4397333</v>
      </c>
      <c r="D68" s="1">
        <f t="shared" si="20"/>
        <v>131823</v>
      </c>
      <c r="E68" s="1">
        <f t="shared" si="21"/>
        <v>169141</v>
      </c>
      <c r="F68" s="1">
        <f t="shared" si="22"/>
        <v>0</v>
      </c>
      <c r="G68" s="1">
        <f t="shared" si="23"/>
        <v>0</v>
      </c>
      <c r="H68" s="1">
        <f t="shared" si="24"/>
        <v>1369</v>
      </c>
      <c r="I68" s="1">
        <f t="shared" si="25"/>
        <v>1399</v>
      </c>
      <c r="J68" s="1">
        <f t="shared" si="10"/>
        <v>161548</v>
      </c>
      <c r="K68" s="1">
        <f t="shared" si="11"/>
        <v>37318</v>
      </c>
      <c r="L68" s="1">
        <f t="shared" si="12"/>
        <v>0</v>
      </c>
      <c r="M68" s="1">
        <f t="shared" si="13"/>
        <v>30</v>
      </c>
      <c r="O68" cm="1">
        <f t="array" ref="O68">ROUND(INDEX($AF:$AJ,VLOOKUP(A68,$AF:$AJ,5,FALSE)+2,1),0)</f>
        <v>4235785</v>
      </c>
      <c r="P68" cm="1">
        <f t="array" ref="P68">ROUND(INDEX($AF:$AJ,VLOOKUP(A68,$AF:$AJ,5,FALSE)+3,1),0)</f>
        <v>4397333</v>
      </c>
      <c r="Q68" cm="1">
        <f t="array" ref="Q68">ROUND(INDEX($AF:$AJ,VLOOKUP(A68,$AF:$AJ,5,FALSE)+2,2),0)</f>
        <v>131823</v>
      </c>
      <c r="R68" cm="1">
        <f t="array" ref="R68">ROUND(INDEX($AF:$AJ,VLOOKUP(A68,$AF:$AJ,5,FALSE)+3,2),0)</f>
        <v>169141</v>
      </c>
      <c r="S68" cm="1">
        <f t="array" ref="S68">ROUND(INDEX($AF:$AJ,VLOOKUP(A68,$AF:$AJ,5,FALSE)+2,3),0)</f>
        <v>0</v>
      </c>
      <c r="T68" cm="1">
        <f t="array" ref="T68">ROUND(INDEX($AF:$AJ,VLOOKUP(A68,$AF:$AJ,5,FALSE)+3,3),0)</f>
        <v>0</v>
      </c>
      <c r="U68" cm="1">
        <f t="array" ref="U68">ROUND(INDEX($AF:$AJ,VLOOKUP(A68,$AF:$AJ,5,FALSE)+2,4),0)</f>
        <v>1369</v>
      </c>
      <c r="V68" cm="1">
        <f t="array" ref="V68">ROUND(INDEX($AF:$AJ,VLOOKUP(A68,$AF:$AJ,5,FALSE)+3,4),0)</f>
        <v>1399</v>
      </c>
      <c r="X68">
        <f t="shared" si="14"/>
        <v>-161548</v>
      </c>
      <c r="Y68">
        <f t="shared" si="15"/>
        <v>-37318</v>
      </c>
      <c r="Z68">
        <f t="shared" si="16"/>
        <v>0</v>
      </c>
      <c r="AA68">
        <f t="shared" si="17"/>
        <v>-30</v>
      </c>
      <c r="AE68" s="179" t="s">
        <v>1092</v>
      </c>
      <c r="AF68" s="1">
        <v>763.22118999999998</v>
      </c>
      <c r="AG68" s="1">
        <v>449179.03125</v>
      </c>
      <c r="AH68" s="1">
        <v>6444.1176800000003</v>
      </c>
      <c r="AI68" s="1">
        <v>4413.0229499999996</v>
      </c>
      <c r="AJ68">
        <f t="shared" si="26"/>
        <v>68</v>
      </c>
    </row>
    <row r="69" spans="1:36">
      <c r="A69" s="1">
        <v>1372628454</v>
      </c>
      <c r="B69" s="1">
        <f t="shared" si="18"/>
        <v>122</v>
      </c>
      <c r="C69" s="1">
        <f t="shared" si="19"/>
        <v>131</v>
      </c>
      <c r="D69" s="1">
        <f t="shared" si="20"/>
        <v>357998</v>
      </c>
      <c r="E69" s="1">
        <f t="shared" si="21"/>
        <v>382151</v>
      </c>
      <c r="F69" s="1">
        <f t="shared" si="22"/>
        <v>1135</v>
      </c>
      <c r="G69" s="1">
        <f t="shared" si="23"/>
        <v>1219</v>
      </c>
      <c r="H69" s="1">
        <f t="shared" si="24"/>
        <v>4977</v>
      </c>
      <c r="I69" s="1">
        <f t="shared" si="25"/>
        <v>5231</v>
      </c>
      <c r="J69" s="1">
        <f t="shared" si="10"/>
        <v>9</v>
      </c>
      <c r="K69" s="1">
        <f t="shared" si="11"/>
        <v>24153</v>
      </c>
      <c r="L69" s="1">
        <f t="shared" si="12"/>
        <v>84</v>
      </c>
      <c r="M69" s="1">
        <f t="shared" si="13"/>
        <v>254</v>
      </c>
      <c r="O69" cm="1">
        <f t="array" ref="O69">ROUND(INDEX($AF:$AJ,VLOOKUP(A69,$AF:$AJ,5,FALSE)+2,1),0)</f>
        <v>122</v>
      </c>
      <c r="P69" cm="1">
        <f t="array" ref="P69">ROUND(INDEX($AF:$AJ,VLOOKUP(A69,$AF:$AJ,5,FALSE)+3,1),0)</f>
        <v>131</v>
      </c>
      <c r="Q69" cm="1">
        <f t="array" ref="Q69">ROUND(INDEX($AF:$AJ,VLOOKUP(A69,$AF:$AJ,5,FALSE)+2,2),0)</f>
        <v>357998</v>
      </c>
      <c r="R69" cm="1">
        <f t="array" ref="R69">ROUND(INDEX($AF:$AJ,VLOOKUP(A69,$AF:$AJ,5,FALSE)+3,2),0)</f>
        <v>382151</v>
      </c>
      <c r="S69" cm="1">
        <f t="array" ref="S69">ROUND(INDEX($AF:$AJ,VLOOKUP(A69,$AF:$AJ,5,FALSE)+2,3),0)</f>
        <v>1135</v>
      </c>
      <c r="T69" cm="1">
        <f t="array" ref="T69">ROUND(INDEX($AF:$AJ,VLOOKUP(A69,$AF:$AJ,5,FALSE)+3,3),0)</f>
        <v>1219</v>
      </c>
      <c r="U69" cm="1">
        <f t="array" ref="U69">ROUND(INDEX($AF:$AJ,VLOOKUP(A69,$AF:$AJ,5,FALSE)+2,4),0)</f>
        <v>4977</v>
      </c>
      <c r="V69" cm="1">
        <f t="array" ref="V69">ROUND(INDEX($AF:$AJ,VLOOKUP(A69,$AF:$AJ,5,FALSE)+3,4),0)</f>
        <v>5231</v>
      </c>
      <c r="X69">
        <f t="shared" si="14"/>
        <v>-9</v>
      </c>
      <c r="Y69">
        <f t="shared" si="15"/>
        <v>-24153</v>
      </c>
      <c r="Z69">
        <f t="shared" si="16"/>
        <v>-84</v>
      </c>
      <c r="AA69">
        <f t="shared" si="17"/>
        <v>-254</v>
      </c>
      <c r="AE69" s="179" t="s">
        <v>1093</v>
      </c>
      <c r="AF69" s="1">
        <v>789.14855999999997</v>
      </c>
      <c r="AG69" s="1">
        <v>480483.25</v>
      </c>
      <c r="AH69" s="1">
        <v>6792.1166999999996</v>
      </c>
      <c r="AI69" s="1">
        <v>4558.0058600000002</v>
      </c>
      <c r="AJ69">
        <f t="shared" si="26"/>
        <v>69</v>
      </c>
    </row>
    <row r="70" spans="1:36">
      <c r="A70" s="1">
        <v>1372640362</v>
      </c>
      <c r="B70" s="1">
        <f t="shared" si="18"/>
        <v>435</v>
      </c>
      <c r="C70" s="1">
        <f t="shared" si="19"/>
        <v>460</v>
      </c>
      <c r="D70" s="1">
        <f t="shared" si="20"/>
        <v>1408554</v>
      </c>
      <c r="E70" s="1">
        <f t="shared" si="21"/>
        <v>1535919</v>
      </c>
      <c r="F70" s="1">
        <f t="shared" si="22"/>
        <v>3279</v>
      </c>
      <c r="G70" s="1">
        <f t="shared" si="23"/>
        <v>3600</v>
      </c>
      <c r="H70" s="1">
        <f t="shared" si="24"/>
        <v>30736</v>
      </c>
      <c r="I70" s="1">
        <f t="shared" si="25"/>
        <v>33007</v>
      </c>
      <c r="J70" s="1">
        <f t="shared" ref="J70:J100" si="27">C70-B70</f>
        <v>25</v>
      </c>
      <c r="K70" s="1">
        <f t="shared" ref="K70:K108" si="28">E70-D70</f>
        <v>127365</v>
      </c>
      <c r="L70" s="1">
        <f t="shared" ref="L70:L108" si="29">G70-F70</f>
        <v>321</v>
      </c>
      <c r="M70" s="1">
        <f t="shared" ref="M70:M108" si="30">I70-H70</f>
        <v>2271</v>
      </c>
      <c r="O70" cm="1">
        <f t="array" ref="O70">ROUND(INDEX($AF:$AJ,VLOOKUP(A70,$AF:$AJ,5,FALSE)+2,1),0)</f>
        <v>435</v>
      </c>
      <c r="P70" cm="1">
        <f t="array" ref="P70">ROUND(INDEX($AF:$AJ,VLOOKUP(A70,$AF:$AJ,5,FALSE)+3,1),0)</f>
        <v>460</v>
      </c>
      <c r="Q70" cm="1">
        <f t="array" ref="Q70">ROUND(INDEX($AF:$AJ,VLOOKUP(A70,$AF:$AJ,5,FALSE)+2,2),0)</f>
        <v>1408554</v>
      </c>
      <c r="R70" cm="1">
        <f t="array" ref="R70">ROUND(INDEX($AF:$AJ,VLOOKUP(A70,$AF:$AJ,5,FALSE)+3,2),0)</f>
        <v>1535919</v>
      </c>
      <c r="S70" cm="1">
        <f t="array" ref="S70">ROUND(INDEX($AF:$AJ,VLOOKUP(A70,$AF:$AJ,5,FALSE)+2,3),0)</f>
        <v>3279</v>
      </c>
      <c r="T70" cm="1">
        <f t="array" ref="T70">ROUND(INDEX($AF:$AJ,VLOOKUP(A70,$AF:$AJ,5,FALSE)+3,3),0)</f>
        <v>3600</v>
      </c>
      <c r="U70" cm="1">
        <f t="array" ref="U70">ROUND(INDEX($AF:$AJ,VLOOKUP(A70,$AF:$AJ,5,FALSE)+2,4),0)</f>
        <v>30736</v>
      </c>
      <c r="V70" cm="1">
        <f t="array" ref="V70">ROUND(INDEX($AF:$AJ,VLOOKUP(A70,$AF:$AJ,5,FALSE)+3,4),0)</f>
        <v>33007</v>
      </c>
      <c r="X70">
        <f t="shared" ref="X70:X118" si="31">O70-C70</f>
        <v>-25</v>
      </c>
      <c r="Y70">
        <f t="shared" ref="Y70:Y118" si="32">Q70-E70</f>
        <v>-127365</v>
      </c>
      <c r="Z70">
        <f t="shared" ref="Z70:Z118" si="33">S70-G70</f>
        <v>-321</v>
      </c>
      <c r="AA70">
        <f t="shared" ref="AA70:AA118" si="34">U70-I70</f>
        <v>-2271</v>
      </c>
      <c r="AE70" s="179" t="s">
        <v>1094</v>
      </c>
      <c r="AF70" s="1">
        <f>AF69-AF68</f>
        <v>25.927369999999996</v>
      </c>
      <c r="AG70" s="1">
        <f>AG69-AG68</f>
        <v>31304.21875</v>
      </c>
      <c r="AH70" s="1">
        <f>AH69-AH68</f>
        <v>347.99901999999929</v>
      </c>
      <c r="AI70" s="1">
        <f>AI69-AI68</f>
        <v>144.98291000000063</v>
      </c>
      <c r="AJ70">
        <f t="shared" si="26"/>
        <v>70</v>
      </c>
    </row>
    <row r="71" spans="1:36">
      <c r="A71" s="1">
        <v>1372640713</v>
      </c>
      <c r="B71" s="1">
        <f t="shared" si="18"/>
        <v>8356007</v>
      </c>
      <c r="C71" s="1">
        <f t="shared" si="19"/>
        <v>8832062</v>
      </c>
      <c r="D71" s="1">
        <f t="shared" si="20"/>
        <v>84</v>
      </c>
      <c r="E71" s="1">
        <f t="shared" si="21"/>
        <v>84</v>
      </c>
      <c r="F71" s="1">
        <f t="shared" si="22"/>
        <v>673905</v>
      </c>
      <c r="G71" s="1">
        <f t="shared" si="23"/>
        <v>737675</v>
      </c>
      <c r="H71" s="1">
        <f t="shared" si="24"/>
        <v>193004</v>
      </c>
      <c r="I71" s="1">
        <f t="shared" si="25"/>
        <v>199797</v>
      </c>
      <c r="J71" s="1">
        <f t="shared" si="27"/>
        <v>476055</v>
      </c>
      <c r="K71" s="1">
        <f t="shared" si="28"/>
        <v>0</v>
      </c>
      <c r="L71" s="1">
        <f t="shared" si="29"/>
        <v>63770</v>
      </c>
      <c r="M71" s="1">
        <f t="shared" si="30"/>
        <v>6793</v>
      </c>
      <c r="O71" cm="1">
        <f t="array" ref="O71">ROUND(INDEX($AF:$AJ,VLOOKUP(A71,$AF:$AJ,5,FALSE)+2,1),0)</f>
        <v>8356007</v>
      </c>
      <c r="P71" cm="1">
        <f t="array" ref="P71">ROUND(INDEX($AF:$AJ,VLOOKUP(A71,$AF:$AJ,5,FALSE)+3,1),0)</f>
        <v>8832062</v>
      </c>
      <c r="Q71" cm="1">
        <f t="array" ref="Q71">ROUND(INDEX($AF:$AJ,VLOOKUP(A71,$AF:$AJ,5,FALSE)+2,2),0)</f>
        <v>84</v>
      </c>
      <c r="R71" cm="1">
        <f t="array" ref="R71">ROUND(INDEX($AF:$AJ,VLOOKUP(A71,$AF:$AJ,5,FALSE)+3,2),0)</f>
        <v>84</v>
      </c>
      <c r="S71" cm="1">
        <f t="array" ref="S71">ROUND(INDEX($AF:$AJ,VLOOKUP(A71,$AF:$AJ,5,FALSE)+2,3),0)</f>
        <v>673905</v>
      </c>
      <c r="T71" cm="1">
        <f t="array" ref="T71">ROUND(INDEX($AF:$AJ,VLOOKUP(A71,$AF:$AJ,5,FALSE)+3,3),0)</f>
        <v>737675</v>
      </c>
      <c r="U71" cm="1">
        <f t="array" ref="U71">ROUND(INDEX($AF:$AJ,VLOOKUP(A71,$AF:$AJ,5,FALSE)+2,4),0)</f>
        <v>193004</v>
      </c>
      <c r="V71" cm="1">
        <f t="array" ref="V71">ROUND(INDEX($AF:$AJ,VLOOKUP(A71,$AF:$AJ,5,FALSE)+3,4),0)</f>
        <v>199797</v>
      </c>
      <c r="X71">
        <f t="shared" si="31"/>
        <v>-476055</v>
      </c>
      <c r="Y71">
        <f t="shared" si="32"/>
        <v>0</v>
      </c>
      <c r="Z71">
        <f t="shared" si="33"/>
        <v>-63770</v>
      </c>
      <c r="AA71">
        <f t="shared" si="34"/>
        <v>-6793</v>
      </c>
      <c r="AE71" s="179" t="s">
        <v>1090</v>
      </c>
      <c r="AF71" s="560">
        <v>1370137686</v>
      </c>
      <c r="AG71" s="1" t="s">
        <v>1095</v>
      </c>
      <c r="AH71" s="1" t="s">
        <v>1095</v>
      </c>
      <c r="AI71" s="1" t="s">
        <v>1095</v>
      </c>
      <c r="AJ71">
        <f t="shared" si="26"/>
        <v>71</v>
      </c>
    </row>
    <row r="72" spans="1:36">
      <c r="A72" s="1">
        <v>1372640777</v>
      </c>
      <c r="B72" s="1">
        <f t="shared" si="18"/>
        <v>3097121</v>
      </c>
      <c r="C72" s="1">
        <f t="shared" si="19"/>
        <v>3282561</v>
      </c>
      <c r="D72" s="1">
        <f t="shared" si="20"/>
        <v>0</v>
      </c>
      <c r="E72" s="1">
        <f t="shared" si="21"/>
        <v>0</v>
      </c>
      <c r="F72" s="1">
        <f t="shared" si="22"/>
        <v>61451</v>
      </c>
      <c r="G72" s="1">
        <f t="shared" si="23"/>
        <v>63547</v>
      </c>
      <c r="H72" s="1">
        <f t="shared" si="24"/>
        <v>90157</v>
      </c>
      <c r="I72" s="1">
        <f t="shared" si="25"/>
        <v>94325</v>
      </c>
      <c r="J72" s="1">
        <f t="shared" si="27"/>
        <v>185440</v>
      </c>
      <c r="K72" s="1">
        <f t="shared" si="28"/>
        <v>0</v>
      </c>
      <c r="L72" s="1">
        <f t="shared" si="29"/>
        <v>2096</v>
      </c>
      <c r="M72" s="1">
        <f t="shared" si="30"/>
        <v>4168</v>
      </c>
      <c r="O72" cm="1">
        <f t="array" ref="O72">ROUND(INDEX($AF:$AJ,VLOOKUP(A72,$AF:$AJ,5,FALSE)+2,1),0)</f>
        <v>3097121</v>
      </c>
      <c r="P72" cm="1">
        <f t="array" ref="P72">ROUND(INDEX($AF:$AJ,VLOOKUP(A72,$AF:$AJ,5,FALSE)+3,1),0)</f>
        <v>3282561</v>
      </c>
      <c r="Q72" cm="1">
        <f t="array" ref="Q72">ROUND(INDEX($AF:$AJ,VLOOKUP(A72,$AF:$AJ,5,FALSE)+2,2),0)</f>
        <v>0</v>
      </c>
      <c r="R72" cm="1">
        <f t="array" ref="R72">ROUND(INDEX($AF:$AJ,VLOOKUP(A72,$AF:$AJ,5,FALSE)+3,2),0)</f>
        <v>0</v>
      </c>
      <c r="S72" cm="1">
        <f t="array" ref="S72">ROUND(INDEX($AF:$AJ,VLOOKUP(A72,$AF:$AJ,5,FALSE)+2,3),0)</f>
        <v>61451</v>
      </c>
      <c r="T72" cm="1">
        <f t="array" ref="T72">ROUND(INDEX($AF:$AJ,VLOOKUP(A72,$AF:$AJ,5,FALSE)+3,3),0)</f>
        <v>63547</v>
      </c>
      <c r="U72" cm="1">
        <f t="array" ref="U72">ROUND(INDEX($AF:$AJ,VLOOKUP(A72,$AF:$AJ,5,FALSE)+2,4),0)</f>
        <v>90157</v>
      </c>
      <c r="V72" cm="1">
        <f t="array" ref="V72">ROUND(INDEX($AF:$AJ,VLOOKUP(A72,$AF:$AJ,5,FALSE)+3,4),0)</f>
        <v>94325</v>
      </c>
      <c r="X72">
        <f t="shared" si="31"/>
        <v>-185440</v>
      </c>
      <c r="Y72">
        <f t="shared" si="32"/>
        <v>0</v>
      </c>
      <c r="Z72">
        <f t="shared" si="33"/>
        <v>-2096</v>
      </c>
      <c r="AA72">
        <f t="shared" si="34"/>
        <v>-4168</v>
      </c>
      <c r="AE72" s="179" t="s">
        <v>1091</v>
      </c>
      <c r="AF72" s="1" t="s">
        <v>440</v>
      </c>
      <c r="AG72" s="1" t="s">
        <v>441</v>
      </c>
      <c r="AH72" s="1" t="s">
        <v>442</v>
      </c>
      <c r="AI72" s="1" t="s">
        <v>1022</v>
      </c>
      <c r="AJ72">
        <f t="shared" si="26"/>
        <v>72</v>
      </c>
    </row>
    <row r="73" spans="1:36">
      <c r="A73" s="1">
        <v>1372641256</v>
      </c>
      <c r="B73" s="1">
        <f t="shared" si="18"/>
        <v>1794664</v>
      </c>
      <c r="C73" s="1">
        <f t="shared" si="19"/>
        <v>1862681</v>
      </c>
      <c r="D73" s="1">
        <f t="shared" si="20"/>
        <v>1876</v>
      </c>
      <c r="E73" s="1">
        <f t="shared" si="21"/>
        <v>1999</v>
      </c>
      <c r="F73" s="1">
        <f t="shared" si="22"/>
        <v>209374</v>
      </c>
      <c r="G73" s="1">
        <f t="shared" si="23"/>
        <v>224923</v>
      </c>
      <c r="H73" s="1">
        <f t="shared" si="24"/>
        <v>80605</v>
      </c>
      <c r="I73" s="1">
        <f t="shared" si="25"/>
        <v>82102</v>
      </c>
      <c r="J73" s="1">
        <f t="shared" si="27"/>
        <v>68017</v>
      </c>
      <c r="K73" s="1">
        <f t="shared" si="28"/>
        <v>123</v>
      </c>
      <c r="L73" s="1">
        <f t="shared" si="29"/>
        <v>15549</v>
      </c>
      <c r="M73" s="1">
        <f t="shared" si="30"/>
        <v>1497</v>
      </c>
      <c r="O73" cm="1">
        <f t="array" ref="O73">ROUND(INDEX($AF:$AJ,VLOOKUP(A73,$AF:$AJ,5,FALSE)+2,1),0)</f>
        <v>1794664</v>
      </c>
      <c r="P73" cm="1">
        <f t="array" ref="P73">ROUND(INDEX($AF:$AJ,VLOOKUP(A73,$AF:$AJ,5,FALSE)+3,1),0)</f>
        <v>1862681</v>
      </c>
      <c r="Q73" cm="1">
        <f t="array" ref="Q73">ROUND(INDEX($AF:$AJ,VLOOKUP(A73,$AF:$AJ,5,FALSE)+2,2),0)</f>
        <v>1876</v>
      </c>
      <c r="R73" cm="1">
        <f t="array" ref="R73">ROUND(INDEX($AF:$AJ,VLOOKUP(A73,$AF:$AJ,5,FALSE)+3,2),0)</f>
        <v>1999</v>
      </c>
      <c r="S73" cm="1">
        <f t="array" ref="S73">ROUND(INDEX($AF:$AJ,VLOOKUP(A73,$AF:$AJ,5,FALSE)+2,3),0)</f>
        <v>209374</v>
      </c>
      <c r="T73" cm="1">
        <f t="array" ref="T73">ROUND(INDEX($AF:$AJ,VLOOKUP(A73,$AF:$AJ,5,FALSE)+3,3),0)</f>
        <v>224923</v>
      </c>
      <c r="U73" cm="1">
        <f t="array" ref="U73">ROUND(INDEX($AF:$AJ,VLOOKUP(A73,$AF:$AJ,5,FALSE)+2,4),0)</f>
        <v>80605</v>
      </c>
      <c r="V73" cm="1">
        <f t="array" ref="V73">ROUND(INDEX($AF:$AJ,VLOOKUP(A73,$AF:$AJ,5,FALSE)+3,4),0)</f>
        <v>82102</v>
      </c>
      <c r="X73">
        <f t="shared" si="31"/>
        <v>-68017</v>
      </c>
      <c r="Y73">
        <f t="shared" si="32"/>
        <v>-123</v>
      </c>
      <c r="Z73">
        <f t="shared" si="33"/>
        <v>-15549</v>
      </c>
      <c r="AA73">
        <f t="shared" si="34"/>
        <v>-1497</v>
      </c>
      <c r="AE73" s="179" t="s">
        <v>1092</v>
      </c>
      <c r="AF73" s="1">
        <v>9155565</v>
      </c>
      <c r="AG73" s="1">
        <v>86.536249999999995</v>
      </c>
      <c r="AH73" s="1">
        <v>236791.78125</v>
      </c>
      <c r="AI73" s="1">
        <v>152262.51563000001</v>
      </c>
      <c r="AJ73">
        <f t="shared" si="26"/>
        <v>73</v>
      </c>
    </row>
    <row r="74" spans="1:36">
      <c r="A74" s="1">
        <v>1372642632</v>
      </c>
      <c r="B74" s="1">
        <f t="shared" si="18"/>
        <v>2643475</v>
      </c>
      <c r="C74" s="1">
        <f t="shared" si="19"/>
        <v>2736076</v>
      </c>
      <c r="D74" s="1">
        <f t="shared" si="20"/>
        <v>1337</v>
      </c>
      <c r="E74" s="1">
        <f t="shared" si="21"/>
        <v>1542</v>
      </c>
      <c r="F74" s="1">
        <f t="shared" si="22"/>
        <v>173125</v>
      </c>
      <c r="G74" s="1">
        <f t="shared" si="23"/>
        <v>181229</v>
      </c>
      <c r="H74" s="1">
        <f t="shared" si="24"/>
        <v>92316</v>
      </c>
      <c r="I74" s="1">
        <f t="shared" si="25"/>
        <v>95669</v>
      </c>
      <c r="J74" s="1">
        <f t="shared" si="27"/>
        <v>92601</v>
      </c>
      <c r="K74" s="1">
        <f t="shared" si="28"/>
        <v>205</v>
      </c>
      <c r="L74" s="1">
        <f t="shared" si="29"/>
        <v>8104</v>
      </c>
      <c r="M74" s="1">
        <f t="shared" si="30"/>
        <v>3353</v>
      </c>
      <c r="O74" cm="1">
        <f t="array" ref="O74">ROUND(INDEX($AF:$AJ,VLOOKUP(A74,$AF:$AJ,5,FALSE)+2,1),0)</f>
        <v>2643475</v>
      </c>
      <c r="P74" cm="1">
        <f t="array" ref="P74">ROUND(INDEX($AF:$AJ,VLOOKUP(A74,$AF:$AJ,5,FALSE)+3,1),0)</f>
        <v>2736076</v>
      </c>
      <c r="Q74" cm="1">
        <f t="array" ref="Q74">ROUND(INDEX($AF:$AJ,VLOOKUP(A74,$AF:$AJ,5,FALSE)+2,2),0)</f>
        <v>1337</v>
      </c>
      <c r="R74" cm="1">
        <f t="array" ref="R74">ROUND(INDEX($AF:$AJ,VLOOKUP(A74,$AF:$AJ,5,FALSE)+3,2),0)</f>
        <v>1542</v>
      </c>
      <c r="S74" cm="1">
        <f t="array" ref="S74">ROUND(INDEX($AF:$AJ,VLOOKUP(A74,$AF:$AJ,5,FALSE)+2,3),0)</f>
        <v>173125</v>
      </c>
      <c r="T74" cm="1">
        <f t="array" ref="T74">ROUND(INDEX($AF:$AJ,VLOOKUP(A74,$AF:$AJ,5,FALSE)+3,3),0)</f>
        <v>181229</v>
      </c>
      <c r="U74" cm="1">
        <f t="array" ref="U74">ROUND(INDEX($AF:$AJ,VLOOKUP(A74,$AF:$AJ,5,FALSE)+2,4),0)</f>
        <v>92316</v>
      </c>
      <c r="V74" cm="1">
        <f t="array" ref="V74">ROUND(INDEX($AF:$AJ,VLOOKUP(A74,$AF:$AJ,5,FALSE)+3,4),0)</f>
        <v>95669</v>
      </c>
      <c r="X74">
        <f t="shared" si="31"/>
        <v>-92601</v>
      </c>
      <c r="Y74">
        <f t="shared" si="32"/>
        <v>-205</v>
      </c>
      <c r="Z74">
        <f t="shared" si="33"/>
        <v>-8104</v>
      </c>
      <c r="AA74">
        <f t="shared" si="34"/>
        <v>-3353</v>
      </c>
      <c r="AE74" s="179" t="s">
        <v>1093</v>
      </c>
      <c r="AF74" s="1">
        <v>9445555</v>
      </c>
      <c r="AG74" s="1">
        <v>86.536249999999995</v>
      </c>
      <c r="AH74" s="1">
        <v>236940.51563000001</v>
      </c>
      <c r="AI74" s="1">
        <v>167539.64063000001</v>
      </c>
      <c r="AJ74">
        <f t="shared" si="26"/>
        <v>74</v>
      </c>
    </row>
    <row r="75" spans="1:36">
      <c r="A75" s="1">
        <v>1372642646</v>
      </c>
      <c r="B75" s="1">
        <f t="shared" si="18"/>
        <v>3259922</v>
      </c>
      <c r="C75" s="1">
        <f t="shared" si="19"/>
        <v>3422709</v>
      </c>
      <c r="D75" s="1">
        <f t="shared" si="20"/>
        <v>60094</v>
      </c>
      <c r="E75" s="1">
        <f t="shared" si="21"/>
        <v>72076</v>
      </c>
      <c r="F75" s="1">
        <f t="shared" si="22"/>
        <v>217769</v>
      </c>
      <c r="G75" s="1">
        <f t="shared" si="23"/>
        <v>236748</v>
      </c>
      <c r="H75" s="1">
        <f t="shared" si="24"/>
        <v>173279</v>
      </c>
      <c r="I75" s="1">
        <f t="shared" si="25"/>
        <v>174310</v>
      </c>
      <c r="J75" s="1">
        <f t="shared" si="27"/>
        <v>162787</v>
      </c>
      <c r="K75" s="1">
        <f t="shared" si="28"/>
        <v>11982</v>
      </c>
      <c r="L75" s="1">
        <f t="shared" si="29"/>
        <v>18979</v>
      </c>
      <c r="M75" s="1">
        <f t="shared" si="30"/>
        <v>1031</v>
      </c>
      <c r="O75" cm="1">
        <f t="array" ref="O75">ROUND(INDEX($AF:$AJ,VLOOKUP(A75,$AF:$AJ,5,FALSE)+2,1),0)</f>
        <v>3259922</v>
      </c>
      <c r="P75" cm="1">
        <f t="array" ref="P75">ROUND(INDEX($AF:$AJ,VLOOKUP(A75,$AF:$AJ,5,FALSE)+3,1),0)</f>
        <v>3422709</v>
      </c>
      <c r="Q75" cm="1">
        <f t="array" ref="Q75">ROUND(INDEX($AF:$AJ,VLOOKUP(A75,$AF:$AJ,5,FALSE)+2,2),0)</f>
        <v>60094</v>
      </c>
      <c r="R75" cm="1">
        <f t="array" ref="R75">ROUND(INDEX($AF:$AJ,VLOOKUP(A75,$AF:$AJ,5,FALSE)+3,2),0)</f>
        <v>72076</v>
      </c>
      <c r="S75" cm="1">
        <f t="array" ref="S75">ROUND(INDEX($AF:$AJ,VLOOKUP(A75,$AF:$AJ,5,FALSE)+2,3),0)</f>
        <v>217769</v>
      </c>
      <c r="T75" cm="1">
        <f t="array" ref="T75">ROUND(INDEX($AF:$AJ,VLOOKUP(A75,$AF:$AJ,5,FALSE)+3,3),0)</f>
        <v>236748</v>
      </c>
      <c r="U75" cm="1">
        <f t="array" ref="U75">ROUND(INDEX($AF:$AJ,VLOOKUP(A75,$AF:$AJ,5,FALSE)+2,4),0)</f>
        <v>173279</v>
      </c>
      <c r="V75" cm="1">
        <f t="array" ref="V75">ROUND(INDEX($AF:$AJ,VLOOKUP(A75,$AF:$AJ,5,FALSE)+3,4),0)</f>
        <v>174310</v>
      </c>
      <c r="X75">
        <f t="shared" si="31"/>
        <v>-162787</v>
      </c>
      <c r="Y75">
        <f t="shared" si="32"/>
        <v>-11982</v>
      </c>
      <c r="Z75">
        <f t="shared" si="33"/>
        <v>-18979</v>
      </c>
      <c r="AA75">
        <f t="shared" si="34"/>
        <v>-1031</v>
      </c>
      <c r="AE75" s="179" t="s">
        <v>1094</v>
      </c>
      <c r="AF75" s="1">
        <f>AF74-AF73</f>
        <v>289990</v>
      </c>
      <c r="AG75" s="1">
        <f>AG74-AG73</f>
        <v>0</v>
      </c>
      <c r="AH75" s="1">
        <f>AH74-AH73</f>
        <v>148.73438000000897</v>
      </c>
      <c r="AI75" s="1">
        <f>AI74-AI73</f>
        <v>15277.125</v>
      </c>
      <c r="AJ75">
        <f t="shared" si="26"/>
        <v>75</v>
      </c>
    </row>
    <row r="76" spans="1:36">
      <c r="A76" s="1">
        <v>1372642650</v>
      </c>
      <c r="B76" s="1">
        <f t="shared" si="18"/>
        <v>4574627</v>
      </c>
      <c r="C76" s="1">
        <f t="shared" si="19"/>
        <v>4827172</v>
      </c>
      <c r="D76" s="1">
        <f t="shared" si="20"/>
        <v>0</v>
      </c>
      <c r="E76" s="1">
        <f t="shared" si="21"/>
        <v>0</v>
      </c>
      <c r="F76" s="1">
        <f t="shared" si="22"/>
        <v>809114</v>
      </c>
      <c r="G76" s="1">
        <f t="shared" si="23"/>
        <v>858466</v>
      </c>
      <c r="H76" s="1">
        <f t="shared" si="24"/>
        <v>3205</v>
      </c>
      <c r="I76" s="1">
        <f t="shared" si="25"/>
        <v>3358</v>
      </c>
      <c r="J76" s="1">
        <f t="shared" si="27"/>
        <v>252545</v>
      </c>
      <c r="K76" s="1">
        <f t="shared" si="28"/>
        <v>0</v>
      </c>
      <c r="L76" s="1">
        <f t="shared" si="29"/>
        <v>49352</v>
      </c>
      <c r="M76" s="1">
        <f t="shared" si="30"/>
        <v>153</v>
      </c>
      <c r="O76" cm="1">
        <f t="array" ref="O76">ROUND(INDEX($AF:$AJ,VLOOKUP(A76,$AF:$AJ,5,FALSE)+2,1),0)</f>
        <v>4574627</v>
      </c>
      <c r="P76" cm="1">
        <f t="array" ref="P76">ROUND(INDEX($AF:$AJ,VLOOKUP(A76,$AF:$AJ,5,FALSE)+3,1),0)</f>
        <v>4827172</v>
      </c>
      <c r="Q76" cm="1">
        <f t="array" ref="Q76">ROUND(INDEX($AF:$AJ,VLOOKUP(A76,$AF:$AJ,5,FALSE)+2,2),0)</f>
        <v>0</v>
      </c>
      <c r="R76" cm="1">
        <f t="array" ref="R76">ROUND(INDEX($AF:$AJ,VLOOKUP(A76,$AF:$AJ,5,FALSE)+3,2),0)</f>
        <v>0</v>
      </c>
      <c r="S76" cm="1">
        <f t="array" ref="S76">ROUND(INDEX($AF:$AJ,VLOOKUP(A76,$AF:$AJ,5,FALSE)+2,3),0)</f>
        <v>809114</v>
      </c>
      <c r="T76" cm="1">
        <f t="array" ref="T76">ROUND(INDEX($AF:$AJ,VLOOKUP(A76,$AF:$AJ,5,FALSE)+3,3),0)</f>
        <v>858466</v>
      </c>
      <c r="U76" cm="1">
        <f t="array" ref="U76">ROUND(INDEX($AF:$AJ,VLOOKUP(A76,$AF:$AJ,5,FALSE)+2,4),0)</f>
        <v>3205</v>
      </c>
      <c r="V76" cm="1">
        <f t="array" ref="V76">ROUND(INDEX($AF:$AJ,VLOOKUP(A76,$AF:$AJ,5,FALSE)+3,4),0)</f>
        <v>3358</v>
      </c>
      <c r="X76">
        <f t="shared" si="31"/>
        <v>-252545</v>
      </c>
      <c r="Y76">
        <f t="shared" si="32"/>
        <v>0</v>
      </c>
      <c r="Z76">
        <f t="shared" si="33"/>
        <v>-49352</v>
      </c>
      <c r="AA76">
        <f t="shared" si="34"/>
        <v>-153</v>
      </c>
      <c r="AE76" s="179" t="s">
        <v>1090</v>
      </c>
      <c r="AF76" s="560">
        <v>1370137899</v>
      </c>
      <c r="AG76" s="1" t="s">
        <v>1095</v>
      </c>
      <c r="AH76" s="1" t="s">
        <v>1095</v>
      </c>
      <c r="AI76" s="1" t="s">
        <v>1095</v>
      </c>
      <c r="AJ76">
        <f t="shared" si="26"/>
        <v>76</v>
      </c>
    </row>
    <row r="77" spans="1:36">
      <c r="A77" s="1">
        <v>1372643042</v>
      </c>
      <c r="B77" s="1">
        <f t="shared" si="18"/>
        <v>2851866</v>
      </c>
      <c r="C77" s="1">
        <f t="shared" si="19"/>
        <v>2981065</v>
      </c>
      <c r="D77" s="1">
        <f t="shared" si="20"/>
        <v>300642</v>
      </c>
      <c r="E77" s="1">
        <f t="shared" si="21"/>
        <v>317326</v>
      </c>
      <c r="F77" s="1">
        <f t="shared" si="22"/>
        <v>193926</v>
      </c>
      <c r="G77" s="1">
        <f t="shared" si="23"/>
        <v>200084</v>
      </c>
      <c r="H77" s="1">
        <f t="shared" si="24"/>
        <v>15409</v>
      </c>
      <c r="I77" s="1">
        <f t="shared" si="25"/>
        <v>16374</v>
      </c>
      <c r="J77" s="1">
        <f t="shared" si="27"/>
        <v>129199</v>
      </c>
      <c r="K77" s="1">
        <f t="shared" si="28"/>
        <v>16684</v>
      </c>
      <c r="L77" s="1">
        <f t="shared" si="29"/>
        <v>6158</v>
      </c>
      <c r="M77" s="1">
        <f t="shared" si="30"/>
        <v>965</v>
      </c>
      <c r="O77" cm="1">
        <f t="array" ref="O77">ROUND(INDEX($AF:$AJ,VLOOKUP(A77,$AF:$AJ,5,FALSE)+2,1),0)</f>
        <v>2851866</v>
      </c>
      <c r="P77" cm="1">
        <f t="array" ref="P77">ROUND(INDEX($AF:$AJ,VLOOKUP(A77,$AF:$AJ,5,FALSE)+3,1),0)</f>
        <v>2981065</v>
      </c>
      <c r="Q77" cm="1">
        <f t="array" ref="Q77">ROUND(INDEX($AF:$AJ,VLOOKUP(A77,$AF:$AJ,5,FALSE)+2,2),0)</f>
        <v>300642</v>
      </c>
      <c r="R77" cm="1">
        <f t="array" ref="R77">ROUND(INDEX($AF:$AJ,VLOOKUP(A77,$AF:$AJ,5,FALSE)+3,2),0)</f>
        <v>317326</v>
      </c>
      <c r="S77" cm="1">
        <f t="array" ref="S77">ROUND(INDEX($AF:$AJ,VLOOKUP(A77,$AF:$AJ,5,FALSE)+2,3),0)</f>
        <v>193926</v>
      </c>
      <c r="T77" cm="1">
        <f t="array" ref="T77">ROUND(INDEX($AF:$AJ,VLOOKUP(A77,$AF:$AJ,5,FALSE)+3,3),0)</f>
        <v>200084</v>
      </c>
      <c r="U77" cm="1">
        <f t="array" ref="U77">ROUND(INDEX($AF:$AJ,VLOOKUP(A77,$AF:$AJ,5,FALSE)+2,4),0)</f>
        <v>15409</v>
      </c>
      <c r="V77" cm="1">
        <f t="array" ref="V77">ROUND(INDEX($AF:$AJ,VLOOKUP(A77,$AF:$AJ,5,FALSE)+3,4),0)</f>
        <v>16374</v>
      </c>
      <c r="X77">
        <f t="shared" si="31"/>
        <v>-129199</v>
      </c>
      <c r="Y77">
        <f t="shared" si="32"/>
        <v>-16684</v>
      </c>
      <c r="Z77">
        <f t="shared" si="33"/>
        <v>-6158</v>
      </c>
      <c r="AA77">
        <f t="shared" si="34"/>
        <v>-965</v>
      </c>
      <c r="AE77" s="179" t="s">
        <v>1091</v>
      </c>
      <c r="AF77" s="1" t="s">
        <v>440</v>
      </c>
      <c r="AG77" s="1" t="s">
        <v>441</v>
      </c>
      <c r="AH77" s="1" t="s">
        <v>442</v>
      </c>
      <c r="AI77" s="1" t="s">
        <v>1022</v>
      </c>
      <c r="AJ77">
        <f t="shared" si="26"/>
        <v>77</v>
      </c>
    </row>
    <row r="78" spans="1:36">
      <c r="A78" s="1">
        <v>1372643267</v>
      </c>
      <c r="B78" s="1">
        <f t="shared" si="18"/>
        <v>3713749</v>
      </c>
      <c r="C78" s="1">
        <f t="shared" si="19"/>
        <v>3916800</v>
      </c>
      <c r="D78" s="1">
        <f t="shared" si="20"/>
        <v>0</v>
      </c>
      <c r="E78" s="1">
        <f t="shared" si="21"/>
        <v>0</v>
      </c>
      <c r="F78" s="1">
        <f t="shared" si="22"/>
        <v>200312</v>
      </c>
      <c r="G78" s="1">
        <f t="shared" si="23"/>
        <v>204317</v>
      </c>
      <c r="H78" s="1">
        <f t="shared" si="24"/>
        <v>52075</v>
      </c>
      <c r="I78" s="1">
        <f t="shared" si="25"/>
        <v>57486</v>
      </c>
      <c r="J78" s="1">
        <f t="shared" si="27"/>
        <v>203051</v>
      </c>
      <c r="K78" s="1">
        <f t="shared" si="28"/>
        <v>0</v>
      </c>
      <c r="L78" s="1">
        <f t="shared" si="29"/>
        <v>4005</v>
      </c>
      <c r="M78" s="1">
        <f t="shared" si="30"/>
        <v>5411</v>
      </c>
      <c r="O78" cm="1">
        <f t="array" ref="O78">ROUND(INDEX($AF:$AJ,VLOOKUP(A78,$AF:$AJ,5,FALSE)+2,1),0)</f>
        <v>3713749</v>
      </c>
      <c r="P78" cm="1">
        <f t="array" ref="P78">ROUND(INDEX($AF:$AJ,VLOOKUP(A78,$AF:$AJ,5,FALSE)+3,1),0)</f>
        <v>3916800</v>
      </c>
      <c r="Q78" cm="1">
        <f t="array" ref="Q78">ROUND(INDEX($AF:$AJ,VLOOKUP(A78,$AF:$AJ,5,FALSE)+2,2),0)</f>
        <v>0</v>
      </c>
      <c r="R78" cm="1">
        <f t="array" ref="R78">ROUND(INDEX($AF:$AJ,VLOOKUP(A78,$AF:$AJ,5,FALSE)+3,2),0)</f>
        <v>0</v>
      </c>
      <c r="S78" cm="1">
        <f t="array" ref="S78">ROUND(INDEX($AF:$AJ,VLOOKUP(A78,$AF:$AJ,5,FALSE)+2,3),0)</f>
        <v>200312</v>
      </c>
      <c r="T78" cm="1">
        <f t="array" ref="T78">ROUND(INDEX($AF:$AJ,VLOOKUP(A78,$AF:$AJ,5,FALSE)+3,3),0)</f>
        <v>204317</v>
      </c>
      <c r="U78" cm="1">
        <f t="array" ref="U78">ROUND(INDEX($AF:$AJ,VLOOKUP(A78,$AF:$AJ,5,FALSE)+2,4),0)</f>
        <v>52075</v>
      </c>
      <c r="V78" cm="1">
        <f t="array" ref="V78">ROUND(INDEX($AF:$AJ,VLOOKUP(A78,$AF:$AJ,5,FALSE)+3,4),0)</f>
        <v>57486</v>
      </c>
      <c r="X78">
        <f t="shared" si="31"/>
        <v>-203051</v>
      </c>
      <c r="Y78">
        <f t="shared" si="32"/>
        <v>0</v>
      </c>
      <c r="Z78">
        <f t="shared" si="33"/>
        <v>-4005</v>
      </c>
      <c r="AA78">
        <f t="shared" si="34"/>
        <v>-5411</v>
      </c>
      <c r="AE78" s="179" t="s">
        <v>1092</v>
      </c>
      <c r="AF78" s="1">
        <v>9412593</v>
      </c>
      <c r="AG78" s="1">
        <v>0.39374999999999999</v>
      </c>
      <c r="AH78" s="1">
        <v>365016.96875</v>
      </c>
      <c r="AI78" s="1">
        <v>136376.5625</v>
      </c>
      <c r="AJ78">
        <f t="shared" si="26"/>
        <v>78</v>
      </c>
    </row>
    <row r="79" spans="1:36">
      <c r="A79" s="1">
        <v>1372644167</v>
      </c>
      <c r="B79" s="1">
        <f t="shared" si="18"/>
        <v>636625</v>
      </c>
      <c r="C79" s="1">
        <f t="shared" si="19"/>
        <v>649442</v>
      </c>
      <c r="D79" s="1">
        <f t="shared" si="20"/>
        <v>228383</v>
      </c>
      <c r="E79" s="1">
        <f t="shared" si="21"/>
        <v>240314</v>
      </c>
      <c r="F79" s="1">
        <f t="shared" si="22"/>
        <v>78611</v>
      </c>
      <c r="G79" s="1">
        <f t="shared" si="23"/>
        <v>80192</v>
      </c>
      <c r="H79" s="1">
        <f t="shared" si="24"/>
        <v>41413</v>
      </c>
      <c r="I79" s="1">
        <f t="shared" si="25"/>
        <v>42829</v>
      </c>
      <c r="J79" s="1">
        <f t="shared" si="27"/>
        <v>12817</v>
      </c>
      <c r="K79" s="1">
        <f t="shared" si="28"/>
        <v>11931</v>
      </c>
      <c r="L79" s="1">
        <f t="shared" si="29"/>
        <v>1581</v>
      </c>
      <c r="M79" s="1">
        <f t="shared" si="30"/>
        <v>1416</v>
      </c>
      <c r="O79" cm="1">
        <f t="array" ref="O79">ROUND(INDEX($AF:$AJ,VLOOKUP(A79,$AF:$AJ,5,FALSE)+2,1),0)</f>
        <v>636625</v>
      </c>
      <c r="P79" cm="1">
        <f t="array" ref="P79">ROUND(INDEX($AF:$AJ,VLOOKUP(A79,$AF:$AJ,5,FALSE)+3,1),0)</f>
        <v>649442</v>
      </c>
      <c r="Q79" cm="1">
        <f t="array" ref="Q79">ROUND(INDEX($AF:$AJ,VLOOKUP(A79,$AF:$AJ,5,FALSE)+2,2),0)</f>
        <v>228383</v>
      </c>
      <c r="R79" cm="1">
        <f t="array" ref="R79">ROUND(INDEX($AF:$AJ,VLOOKUP(A79,$AF:$AJ,5,FALSE)+3,2),0)</f>
        <v>240314</v>
      </c>
      <c r="S79" cm="1">
        <f t="array" ref="S79">ROUND(INDEX($AF:$AJ,VLOOKUP(A79,$AF:$AJ,5,FALSE)+2,3),0)</f>
        <v>78611</v>
      </c>
      <c r="T79" cm="1">
        <f t="array" ref="T79">ROUND(INDEX($AF:$AJ,VLOOKUP(A79,$AF:$AJ,5,FALSE)+3,3),0)</f>
        <v>80192</v>
      </c>
      <c r="U79" cm="1">
        <f t="array" ref="U79">ROUND(INDEX($AF:$AJ,VLOOKUP(A79,$AF:$AJ,5,FALSE)+2,4),0)</f>
        <v>41413</v>
      </c>
      <c r="V79" cm="1">
        <f t="array" ref="V79">ROUND(INDEX($AF:$AJ,VLOOKUP(A79,$AF:$AJ,5,FALSE)+3,4),0)</f>
        <v>42829</v>
      </c>
      <c r="X79">
        <f t="shared" si="31"/>
        <v>-12817</v>
      </c>
      <c r="Y79">
        <f t="shared" si="32"/>
        <v>-11931</v>
      </c>
      <c r="Z79">
        <f t="shared" si="33"/>
        <v>-1581</v>
      </c>
      <c r="AA79">
        <f t="shared" si="34"/>
        <v>-1416</v>
      </c>
      <c r="AE79" s="179" t="s">
        <v>1093</v>
      </c>
      <c r="AF79" s="1">
        <v>9726262</v>
      </c>
      <c r="AG79" s="1">
        <v>0.39374999999999999</v>
      </c>
      <c r="AH79" s="1">
        <v>379297.96875</v>
      </c>
      <c r="AI79" s="1">
        <v>142017.3125</v>
      </c>
      <c r="AJ79">
        <f t="shared" si="26"/>
        <v>79</v>
      </c>
    </row>
    <row r="80" spans="1:36">
      <c r="A80" s="1">
        <v>1372644177</v>
      </c>
      <c r="B80" s="1">
        <f t="shared" si="18"/>
        <v>207</v>
      </c>
      <c r="C80" s="1">
        <f t="shared" si="19"/>
        <v>219</v>
      </c>
      <c r="D80" s="1">
        <f t="shared" si="20"/>
        <v>1224362</v>
      </c>
      <c r="E80" s="1">
        <f t="shared" si="21"/>
        <v>1319228</v>
      </c>
      <c r="F80" s="1">
        <f t="shared" si="22"/>
        <v>7953</v>
      </c>
      <c r="G80" s="1">
        <f t="shared" si="23"/>
        <v>9153</v>
      </c>
      <c r="H80" s="1">
        <f t="shared" si="24"/>
        <v>11398</v>
      </c>
      <c r="I80" s="1">
        <f t="shared" si="25"/>
        <v>11746</v>
      </c>
      <c r="J80" s="1">
        <f t="shared" si="27"/>
        <v>12</v>
      </c>
      <c r="K80" s="1">
        <f t="shared" si="28"/>
        <v>94866</v>
      </c>
      <c r="L80" s="1">
        <f t="shared" si="29"/>
        <v>1200</v>
      </c>
      <c r="M80" s="1">
        <f t="shared" si="30"/>
        <v>348</v>
      </c>
      <c r="O80" cm="1">
        <f t="array" ref="O80">ROUND(INDEX($AF:$AJ,VLOOKUP(A80,$AF:$AJ,5,FALSE)+2,1),0)</f>
        <v>207</v>
      </c>
      <c r="P80" cm="1">
        <f t="array" ref="P80">ROUND(INDEX($AF:$AJ,VLOOKUP(A80,$AF:$AJ,5,FALSE)+3,1),0)</f>
        <v>219</v>
      </c>
      <c r="Q80" cm="1">
        <f t="array" ref="Q80">ROUND(INDEX($AF:$AJ,VLOOKUP(A80,$AF:$AJ,5,FALSE)+2,2),0)</f>
        <v>1224362</v>
      </c>
      <c r="R80" cm="1">
        <f t="array" ref="R80">ROUND(INDEX($AF:$AJ,VLOOKUP(A80,$AF:$AJ,5,FALSE)+3,2),0)</f>
        <v>1319228</v>
      </c>
      <c r="S80" cm="1">
        <f t="array" ref="S80">ROUND(INDEX($AF:$AJ,VLOOKUP(A80,$AF:$AJ,5,FALSE)+2,3),0)</f>
        <v>7953</v>
      </c>
      <c r="T80" cm="1">
        <f t="array" ref="T80">ROUND(INDEX($AF:$AJ,VLOOKUP(A80,$AF:$AJ,5,FALSE)+3,3),0)</f>
        <v>9153</v>
      </c>
      <c r="U80" cm="1">
        <f t="array" ref="U80">ROUND(INDEX($AF:$AJ,VLOOKUP(A80,$AF:$AJ,5,FALSE)+2,4),0)</f>
        <v>11398</v>
      </c>
      <c r="V80" cm="1">
        <f t="array" ref="V80">ROUND(INDEX($AF:$AJ,VLOOKUP(A80,$AF:$AJ,5,FALSE)+3,4),0)</f>
        <v>11746</v>
      </c>
      <c r="X80">
        <f t="shared" si="31"/>
        <v>-12</v>
      </c>
      <c r="Y80">
        <f t="shared" si="32"/>
        <v>-94866</v>
      </c>
      <c r="Z80">
        <f t="shared" si="33"/>
        <v>-1200</v>
      </c>
      <c r="AA80">
        <f t="shared" si="34"/>
        <v>-348</v>
      </c>
      <c r="AE80" s="179" t="s">
        <v>1094</v>
      </c>
      <c r="AF80" s="1">
        <f>AF79-AF78</f>
        <v>313669</v>
      </c>
      <c r="AG80" s="1">
        <f>AG79-AG78</f>
        <v>0</v>
      </c>
      <c r="AH80" s="1">
        <f>AH79-AH78</f>
        <v>14281</v>
      </c>
      <c r="AI80" s="1">
        <f>AI79-AI78</f>
        <v>5640.75</v>
      </c>
      <c r="AJ80">
        <f t="shared" si="26"/>
        <v>80</v>
      </c>
    </row>
    <row r="81" spans="1:36">
      <c r="A81" s="1">
        <v>1372644212</v>
      </c>
      <c r="B81" s="1">
        <f t="shared" si="18"/>
        <v>2014802</v>
      </c>
      <c r="C81" s="1">
        <f t="shared" si="19"/>
        <v>2119847</v>
      </c>
      <c r="D81" s="1">
        <f t="shared" si="20"/>
        <v>0</v>
      </c>
      <c r="E81" s="1">
        <f t="shared" si="21"/>
        <v>0</v>
      </c>
      <c r="F81" s="1">
        <f t="shared" si="22"/>
        <v>312</v>
      </c>
      <c r="G81" s="1">
        <f t="shared" si="23"/>
        <v>312</v>
      </c>
      <c r="H81" s="1">
        <f t="shared" si="24"/>
        <v>645527</v>
      </c>
      <c r="I81" s="1">
        <f t="shared" si="25"/>
        <v>686840</v>
      </c>
      <c r="J81" s="1">
        <f t="shared" si="27"/>
        <v>105045</v>
      </c>
      <c r="K81" s="1">
        <f t="shared" si="28"/>
        <v>0</v>
      </c>
      <c r="L81" s="1">
        <f t="shared" si="29"/>
        <v>0</v>
      </c>
      <c r="M81" s="1">
        <f t="shared" si="30"/>
        <v>41313</v>
      </c>
      <c r="O81" cm="1">
        <f t="array" ref="O81">ROUND(INDEX($AF:$AJ,VLOOKUP(A81,$AF:$AJ,5,FALSE)+2,1),0)</f>
        <v>2014802</v>
      </c>
      <c r="P81" cm="1">
        <f t="array" ref="P81">ROUND(INDEX($AF:$AJ,VLOOKUP(A81,$AF:$AJ,5,FALSE)+3,1),0)</f>
        <v>2119847</v>
      </c>
      <c r="Q81" cm="1">
        <f t="array" ref="Q81">ROUND(INDEX($AF:$AJ,VLOOKUP(A81,$AF:$AJ,5,FALSE)+2,2),0)</f>
        <v>0</v>
      </c>
      <c r="R81" cm="1">
        <f t="array" ref="R81">ROUND(INDEX($AF:$AJ,VLOOKUP(A81,$AF:$AJ,5,FALSE)+3,2),0)</f>
        <v>0</v>
      </c>
      <c r="S81" cm="1">
        <f t="array" ref="S81">ROUND(INDEX($AF:$AJ,VLOOKUP(A81,$AF:$AJ,5,FALSE)+2,3),0)</f>
        <v>312</v>
      </c>
      <c r="T81" cm="1">
        <f t="array" ref="T81">ROUND(INDEX($AF:$AJ,VLOOKUP(A81,$AF:$AJ,5,FALSE)+3,3),0)</f>
        <v>312</v>
      </c>
      <c r="U81" cm="1">
        <f t="array" ref="U81">ROUND(INDEX($AF:$AJ,VLOOKUP(A81,$AF:$AJ,5,FALSE)+2,4),0)</f>
        <v>645527</v>
      </c>
      <c r="V81" cm="1">
        <f t="array" ref="V81">ROUND(INDEX($AF:$AJ,VLOOKUP(A81,$AF:$AJ,5,FALSE)+3,4),0)</f>
        <v>686840</v>
      </c>
      <c r="X81">
        <f t="shared" si="31"/>
        <v>-105045</v>
      </c>
      <c r="Y81">
        <f t="shared" si="32"/>
        <v>0</v>
      </c>
      <c r="Z81">
        <f t="shared" si="33"/>
        <v>0</v>
      </c>
      <c r="AA81">
        <f t="shared" si="34"/>
        <v>-41313</v>
      </c>
      <c r="AE81" s="179" t="s">
        <v>1090</v>
      </c>
      <c r="AF81" s="560">
        <v>1370139975</v>
      </c>
      <c r="AG81" s="1" t="s">
        <v>1095</v>
      </c>
      <c r="AH81" s="1" t="s">
        <v>1095</v>
      </c>
      <c r="AI81" s="1" t="s">
        <v>1095</v>
      </c>
      <c r="AJ81">
        <f t="shared" si="26"/>
        <v>81</v>
      </c>
    </row>
    <row r="82" spans="1:36">
      <c r="A82" s="1">
        <v>1372654023</v>
      </c>
      <c r="B82" s="1">
        <f t="shared" si="18"/>
        <v>3092934</v>
      </c>
      <c r="C82" s="1">
        <f t="shared" si="19"/>
        <v>3305046</v>
      </c>
      <c r="D82" s="1">
        <f t="shared" si="20"/>
        <v>0</v>
      </c>
      <c r="E82" s="1">
        <f t="shared" si="21"/>
        <v>0</v>
      </c>
      <c r="F82" s="1">
        <f t="shared" si="22"/>
        <v>356823</v>
      </c>
      <c r="G82" s="1">
        <f t="shared" si="23"/>
        <v>378853</v>
      </c>
      <c r="H82" s="1">
        <f t="shared" si="24"/>
        <v>176</v>
      </c>
      <c r="I82" s="1">
        <f t="shared" si="25"/>
        <v>177</v>
      </c>
      <c r="J82" s="1">
        <f t="shared" si="27"/>
        <v>212112</v>
      </c>
      <c r="K82" s="1">
        <f t="shared" si="28"/>
        <v>0</v>
      </c>
      <c r="L82" s="1">
        <f t="shared" si="29"/>
        <v>22030</v>
      </c>
      <c r="M82" s="1">
        <f t="shared" si="30"/>
        <v>1</v>
      </c>
      <c r="O82" cm="1">
        <f t="array" ref="O82">ROUND(INDEX($AF:$AJ,VLOOKUP(A82,$AF:$AJ,5,FALSE)+2,1),0)</f>
        <v>3092934</v>
      </c>
      <c r="P82" cm="1">
        <f t="array" ref="P82">ROUND(INDEX($AF:$AJ,VLOOKUP(A82,$AF:$AJ,5,FALSE)+3,1),0)</f>
        <v>3305046</v>
      </c>
      <c r="Q82" cm="1">
        <f t="array" ref="Q82">ROUND(INDEX($AF:$AJ,VLOOKUP(A82,$AF:$AJ,5,FALSE)+2,2),0)</f>
        <v>0</v>
      </c>
      <c r="R82" cm="1">
        <f t="array" ref="R82">ROUND(INDEX($AF:$AJ,VLOOKUP(A82,$AF:$AJ,5,FALSE)+3,2),0)</f>
        <v>0</v>
      </c>
      <c r="S82" cm="1">
        <f t="array" ref="S82">ROUND(INDEX($AF:$AJ,VLOOKUP(A82,$AF:$AJ,5,FALSE)+2,3),0)</f>
        <v>356823</v>
      </c>
      <c r="T82" cm="1">
        <f t="array" ref="T82">ROUND(INDEX($AF:$AJ,VLOOKUP(A82,$AF:$AJ,5,FALSE)+3,3),0)</f>
        <v>378853</v>
      </c>
      <c r="U82" cm="1">
        <f t="array" ref="U82">ROUND(INDEX($AF:$AJ,VLOOKUP(A82,$AF:$AJ,5,FALSE)+2,4),0)</f>
        <v>176</v>
      </c>
      <c r="V82" cm="1">
        <f t="array" ref="V82">ROUND(INDEX($AF:$AJ,VLOOKUP(A82,$AF:$AJ,5,FALSE)+3,4),0)</f>
        <v>177</v>
      </c>
      <c r="X82">
        <f t="shared" si="31"/>
        <v>-212112</v>
      </c>
      <c r="Y82">
        <f t="shared" si="32"/>
        <v>0</v>
      </c>
      <c r="Z82">
        <f t="shared" si="33"/>
        <v>-22030</v>
      </c>
      <c r="AA82">
        <f t="shared" si="34"/>
        <v>-1</v>
      </c>
      <c r="AE82" s="179" t="s">
        <v>1091</v>
      </c>
      <c r="AF82" s="1" t="s">
        <v>440</v>
      </c>
      <c r="AG82" s="1" t="s">
        <v>441</v>
      </c>
      <c r="AH82" s="1" t="s">
        <v>442</v>
      </c>
      <c r="AI82" s="1" t="s">
        <v>1022</v>
      </c>
      <c r="AJ82">
        <f t="shared" si="26"/>
        <v>82</v>
      </c>
    </row>
    <row r="83" spans="1:36">
      <c r="A83" s="1">
        <v>1372655644</v>
      </c>
      <c r="B83" s="1">
        <f t="shared" si="18"/>
        <v>3849669</v>
      </c>
      <c r="C83" s="1">
        <f t="shared" si="19"/>
        <v>3886638</v>
      </c>
      <c r="D83" s="1">
        <f t="shared" si="20"/>
        <v>197530</v>
      </c>
      <c r="E83" s="1">
        <f t="shared" si="21"/>
        <v>208711</v>
      </c>
      <c r="F83" s="1">
        <f t="shared" si="22"/>
        <v>111588</v>
      </c>
      <c r="G83" s="1">
        <f t="shared" si="23"/>
        <v>129762</v>
      </c>
      <c r="H83" s="1">
        <f t="shared" si="24"/>
        <v>204616</v>
      </c>
      <c r="I83" s="1">
        <f t="shared" si="25"/>
        <v>204927</v>
      </c>
      <c r="J83" s="1">
        <f t="shared" si="27"/>
        <v>36969</v>
      </c>
      <c r="K83" s="1">
        <f t="shared" si="28"/>
        <v>11181</v>
      </c>
      <c r="L83" s="1">
        <f t="shared" si="29"/>
        <v>18174</v>
      </c>
      <c r="M83" s="1">
        <f t="shared" si="30"/>
        <v>311</v>
      </c>
      <c r="O83" cm="1">
        <f t="array" ref="O83">ROUND(INDEX($AF:$AJ,VLOOKUP(A83,$AF:$AJ,5,FALSE)+2,1),0)</f>
        <v>3849669</v>
      </c>
      <c r="P83" cm="1">
        <f t="array" ref="P83">ROUND(INDEX($AF:$AJ,VLOOKUP(A83,$AF:$AJ,5,FALSE)+3,1),0)</f>
        <v>3886638</v>
      </c>
      <c r="Q83" cm="1">
        <f t="array" ref="Q83">ROUND(INDEX($AF:$AJ,VLOOKUP(A83,$AF:$AJ,5,FALSE)+2,2),0)</f>
        <v>197530</v>
      </c>
      <c r="R83" cm="1">
        <f t="array" ref="R83">ROUND(INDEX($AF:$AJ,VLOOKUP(A83,$AF:$AJ,5,FALSE)+3,2),0)</f>
        <v>208711</v>
      </c>
      <c r="S83" cm="1">
        <f t="array" ref="S83">ROUND(INDEX($AF:$AJ,VLOOKUP(A83,$AF:$AJ,5,FALSE)+2,3),0)</f>
        <v>111588</v>
      </c>
      <c r="T83" cm="1">
        <f t="array" ref="T83">ROUND(INDEX($AF:$AJ,VLOOKUP(A83,$AF:$AJ,5,FALSE)+3,3),0)</f>
        <v>129762</v>
      </c>
      <c r="U83" cm="1">
        <f t="array" ref="U83">ROUND(INDEX($AF:$AJ,VLOOKUP(A83,$AF:$AJ,5,FALSE)+2,4),0)</f>
        <v>204616</v>
      </c>
      <c r="V83" cm="1">
        <f t="array" ref="V83">ROUND(INDEX($AF:$AJ,VLOOKUP(A83,$AF:$AJ,5,FALSE)+3,4),0)</f>
        <v>204927</v>
      </c>
      <c r="X83">
        <f t="shared" si="31"/>
        <v>-36969</v>
      </c>
      <c r="Y83">
        <f t="shared" si="32"/>
        <v>-11181</v>
      </c>
      <c r="Z83">
        <f t="shared" si="33"/>
        <v>-18174</v>
      </c>
      <c r="AA83">
        <f t="shared" si="34"/>
        <v>-311</v>
      </c>
      <c r="AE83" s="179" t="s">
        <v>1092</v>
      </c>
      <c r="AF83" s="1">
        <v>8816184</v>
      </c>
      <c r="AG83" s="1">
        <v>2685.7126499999999</v>
      </c>
      <c r="AH83" s="1">
        <v>0</v>
      </c>
      <c r="AI83" s="1">
        <v>28292.164059999999</v>
      </c>
      <c r="AJ83">
        <f t="shared" si="26"/>
        <v>83</v>
      </c>
    </row>
    <row r="84" spans="1:36">
      <c r="A84" s="1">
        <v>1372655654</v>
      </c>
      <c r="B84" s="1">
        <f t="shared" si="18"/>
        <v>514</v>
      </c>
      <c r="C84" s="1">
        <f t="shared" si="19"/>
        <v>544</v>
      </c>
      <c r="D84" s="1">
        <f t="shared" si="20"/>
        <v>1384703</v>
      </c>
      <c r="E84" s="1">
        <f t="shared" si="21"/>
        <v>1466167</v>
      </c>
      <c r="F84" s="1">
        <f t="shared" si="22"/>
        <v>191</v>
      </c>
      <c r="G84" s="1">
        <f t="shared" si="23"/>
        <v>219</v>
      </c>
      <c r="H84" s="1">
        <f t="shared" si="24"/>
        <v>25961</v>
      </c>
      <c r="I84" s="1">
        <f t="shared" si="25"/>
        <v>27315</v>
      </c>
      <c r="J84" s="1">
        <f t="shared" si="27"/>
        <v>30</v>
      </c>
      <c r="K84" s="1">
        <f t="shared" si="28"/>
        <v>81464</v>
      </c>
      <c r="L84" s="1">
        <f t="shared" si="29"/>
        <v>28</v>
      </c>
      <c r="M84" s="1">
        <f t="shared" si="30"/>
        <v>1354</v>
      </c>
      <c r="O84" cm="1">
        <f t="array" ref="O84">ROUND(INDEX($AF:$AJ,VLOOKUP(A84,$AF:$AJ,5,FALSE)+2,1),0)</f>
        <v>514</v>
      </c>
      <c r="P84" cm="1">
        <f t="array" ref="P84">ROUND(INDEX($AF:$AJ,VLOOKUP(A84,$AF:$AJ,5,FALSE)+3,1),0)</f>
        <v>544</v>
      </c>
      <c r="Q84" cm="1">
        <f t="array" ref="Q84">ROUND(INDEX($AF:$AJ,VLOOKUP(A84,$AF:$AJ,5,FALSE)+2,2),0)</f>
        <v>1384703</v>
      </c>
      <c r="R84" cm="1">
        <f t="array" ref="R84">ROUND(INDEX($AF:$AJ,VLOOKUP(A84,$AF:$AJ,5,FALSE)+3,2),0)</f>
        <v>1466167</v>
      </c>
      <c r="S84" cm="1">
        <f t="array" ref="S84">ROUND(INDEX($AF:$AJ,VLOOKUP(A84,$AF:$AJ,5,FALSE)+2,3),0)</f>
        <v>191</v>
      </c>
      <c r="T84" cm="1">
        <f t="array" ref="T84">ROUND(INDEX($AF:$AJ,VLOOKUP(A84,$AF:$AJ,5,FALSE)+3,3),0)</f>
        <v>219</v>
      </c>
      <c r="U84" cm="1">
        <f t="array" ref="U84">ROUND(INDEX($AF:$AJ,VLOOKUP(A84,$AF:$AJ,5,FALSE)+2,4),0)</f>
        <v>25961</v>
      </c>
      <c r="V84" cm="1">
        <f t="array" ref="V84">ROUND(INDEX($AF:$AJ,VLOOKUP(A84,$AF:$AJ,5,FALSE)+3,4),0)</f>
        <v>27315</v>
      </c>
      <c r="X84">
        <f t="shared" si="31"/>
        <v>-30</v>
      </c>
      <c r="Y84">
        <f t="shared" si="32"/>
        <v>-81464</v>
      </c>
      <c r="Z84">
        <f t="shared" si="33"/>
        <v>-28</v>
      </c>
      <c r="AA84">
        <f t="shared" si="34"/>
        <v>-1354</v>
      </c>
      <c r="AE84" s="179" t="s">
        <v>1093</v>
      </c>
      <c r="AF84" s="1">
        <v>9110456</v>
      </c>
      <c r="AG84" s="1">
        <v>2685.8601100000001</v>
      </c>
      <c r="AH84" s="1">
        <v>0</v>
      </c>
      <c r="AI84" s="1">
        <v>29133.589840000001</v>
      </c>
      <c r="AJ84">
        <f t="shared" si="26"/>
        <v>84</v>
      </c>
    </row>
    <row r="85" spans="1:36">
      <c r="A85" s="1">
        <v>1372655772</v>
      </c>
      <c r="B85" s="1">
        <f t="shared" si="18"/>
        <v>1791353</v>
      </c>
      <c r="C85" s="1">
        <f t="shared" si="19"/>
        <v>1834717</v>
      </c>
      <c r="D85" s="1">
        <f t="shared" si="20"/>
        <v>357009</v>
      </c>
      <c r="E85" s="1">
        <f t="shared" si="21"/>
        <v>413752</v>
      </c>
      <c r="F85" s="1">
        <f t="shared" si="22"/>
        <v>114516</v>
      </c>
      <c r="G85" s="1">
        <f t="shared" si="23"/>
        <v>114565</v>
      </c>
      <c r="H85" s="1">
        <f t="shared" si="24"/>
        <v>404804</v>
      </c>
      <c r="I85" s="1">
        <f t="shared" si="25"/>
        <v>430239</v>
      </c>
      <c r="J85" s="1">
        <f t="shared" si="27"/>
        <v>43364</v>
      </c>
      <c r="K85" s="1">
        <f t="shared" si="28"/>
        <v>56743</v>
      </c>
      <c r="L85" s="1">
        <f t="shared" si="29"/>
        <v>49</v>
      </c>
      <c r="M85" s="1">
        <f t="shared" si="30"/>
        <v>25435</v>
      </c>
      <c r="O85" cm="1">
        <f t="array" ref="O85">ROUND(INDEX($AF:$AJ,VLOOKUP(A85,$AF:$AJ,5,FALSE)+2,1),0)</f>
        <v>1791353</v>
      </c>
      <c r="P85" cm="1">
        <f t="array" ref="P85">ROUND(INDEX($AF:$AJ,VLOOKUP(A85,$AF:$AJ,5,FALSE)+3,1),0)</f>
        <v>1834717</v>
      </c>
      <c r="Q85" cm="1">
        <f t="array" ref="Q85">ROUND(INDEX($AF:$AJ,VLOOKUP(A85,$AF:$AJ,5,FALSE)+2,2),0)</f>
        <v>357009</v>
      </c>
      <c r="R85" cm="1">
        <f t="array" ref="R85">ROUND(INDEX($AF:$AJ,VLOOKUP(A85,$AF:$AJ,5,FALSE)+3,2),0)</f>
        <v>413752</v>
      </c>
      <c r="S85" cm="1">
        <f t="array" ref="S85">ROUND(INDEX($AF:$AJ,VLOOKUP(A85,$AF:$AJ,5,FALSE)+2,3),0)</f>
        <v>114516</v>
      </c>
      <c r="T85" cm="1">
        <f t="array" ref="T85">ROUND(INDEX($AF:$AJ,VLOOKUP(A85,$AF:$AJ,5,FALSE)+3,3),0)</f>
        <v>114565</v>
      </c>
      <c r="U85" cm="1">
        <f t="array" ref="U85">ROUND(INDEX($AF:$AJ,VLOOKUP(A85,$AF:$AJ,5,FALSE)+2,4),0)</f>
        <v>404804</v>
      </c>
      <c r="V85" cm="1">
        <f t="array" ref="V85">ROUND(INDEX($AF:$AJ,VLOOKUP(A85,$AF:$AJ,5,FALSE)+3,4),0)</f>
        <v>430239</v>
      </c>
      <c r="X85">
        <f t="shared" si="31"/>
        <v>-43364</v>
      </c>
      <c r="Y85">
        <f t="shared" si="32"/>
        <v>-56743</v>
      </c>
      <c r="Z85">
        <f t="shared" si="33"/>
        <v>-49</v>
      </c>
      <c r="AA85">
        <f t="shared" si="34"/>
        <v>-25435</v>
      </c>
      <c r="AE85" s="179" t="s">
        <v>1094</v>
      </c>
      <c r="AF85" s="1">
        <f>AF84-AF83</f>
        <v>294272</v>
      </c>
      <c r="AG85" s="1">
        <f>AG84-AG83</f>
        <v>0.14746000000013737</v>
      </c>
      <c r="AH85" s="1">
        <f>AH84-AH83</f>
        <v>0</v>
      </c>
      <c r="AI85" s="1">
        <f>AI84-AI83</f>
        <v>841.4257800000014</v>
      </c>
      <c r="AJ85">
        <f t="shared" si="26"/>
        <v>85</v>
      </c>
    </row>
    <row r="86" spans="1:36">
      <c r="A86" s="1">
        <v>1372656740</v>
      </c>
      <c r="B86" s="1">
        <f t="shared" si="18"/>
        <v>1699</v>
      </c>
      <c r="C86" s="1">
        <f t="shared" si="19"/>
        <v>1758</v>
      </c>
      <c r="D86" s="1">
        <f t="shared" si="20"/>
        <v>382429</v>
      </c>
      <c r="E86" s="1">
        <f t="shared" si="21"/>
        <v>418582</v>
      </c>
      <c r="F86" s="1">
        <f t="shared" si="22"/>
        <v>10</v>
      </c>
      <c r="G86" s="1">
        <f t="shared" si="23"/>
        <v>11</v>
      </c>
      <c r="H86" s="1">
        <f t="shared" si="24"/>
        <v>12815</v>
      </c>
      <c r="I86" s="1">
        <f t="shared" si="25"/>
        <v>13560</v>
      </c>
      <c r="J86" s="1">
        <f t="shared" si="27"/>
        <v>59</v>
      </c>
      <c r="K86" s="1">
        <f t="shared" si="28"/>
        <v>36153</v>
      </c>
      <c r="L86" s="1">
        <f t="shared" si="29"/>
        <v>1</v>
      </c>
      <c r="M86" s="1">
        <f t="shared" si="30"/>
        <v>745</v>
      </c>
      <c r="O86" cm="1">
        <f t="array" ref="O86">ROUND(INDEX($AF:$AJ,VLOOKUP(A86,$AF:$AJ,5,FALSE)+2,1),0)</f>
        <v>1699</v>
      </c>
      <c r="P86" cm="1">
        <f t="array" ref="P86">ROUND(INDEX($AF:$AJ,VLOOKUP(A86,$AF:$AJ,5,FALSE)+3,1),0)</f>
        <v>1758</v>
      </c>
      <c r="Q86" cm="1">
        <f t="array" ref="Q86">ROUND(INDEX($AF:$AJ,VLOOKUP(A86,$AF:$AJ,5,FALSE)+2,2),0)</f>
        <v>382429</v>
      </c>
      <c r="R86" cm="1">
        <f t="array" ref="R86">ROUND(INDEX($AF:$AJ,VLOOKUP(A86,$AF:$AJ,5,FALSE)+3,2),0)</f>
        <v>418582</v>
      </c>
      <c r="S86" cm="1">
        <f t="array" ref="S86">ROUND(INDEX($AF:$AJ,VLOOKUP(A86,$AF:$AJ,5,FALSE)+2,3),0)</f>
        <v>10</v>
      </c>
      <c r="T86" cm="1">
        <f t="array" ref="T86">ROUND(INDEX($AF:$AJ,VLOOKUP(A86,$AF:$AJ,5,FALSE)+3,3),0)</f>
        <v>11</v>
      </c>
      <c r="U86" cm="1">
        <f t="array" ref="U86">ROUND(INDEX($AF:$AJ,VLOOKUP(A86,$AF:$AJ,5,FALSE)+2,4),0)</f>
        <v>12815</v>
      </c>
      <c r="V86" cm="1">
        <f t="array" ref="V86">ROUND(INDEX($AF:$AJ,VLOOKUP(A86,$AF:$AJ,5,FALSE)+3,4),0)</f>
        <v>13560</v>
      </c>
      <c r="X86">
        <f t="shared" si="31"/>
        <v>-59</v>
      </c>
      <c r="Y86">
        <f t="shared" si="32"/>
        <v>-36153</v>
      </c>
      <c r="Z86">
        <f t="shared" si="33"/>
        <v>-1</v>
      </c>
      <c r="AA86">
        <f t="shared" si="34"/>
        <v>-745</v>
      </c>
      <c r="AE86" s="179" t="s">
        <v>1090</v>
      </c>
      <c r="AF86" s="560">
        <v>1370139991</v>
      </c>
      <c r="AG86" s="1" t="s">
        <v>1095</v>
      </c>
      <c r="AH86" s="1" t="s">
        <v>1095</v>
      </c>
      <c r="AI86" s="1" t="s">
        <v>1095</v>
      </c>
      <c r="AJ86">
        <f t="shared" si="26"/>
        <v>86</v>
      </c>
    </row>
    <row r="87" spans="1:36">
      <c r="A87" s="1">
        <v>1372745265</v>
      </c>
      <c r="B87" s="1">
        <f>O87</f>
        <v>0</v>
      </c>
      <c r="C87" s="1">
        <f t="shared" si="19"/>
        <v>0</v>
      </c>
      <c r="D87" s="1">
        <f t="shared" si="20"/>
        <v>3645899</v>
      </c>
      <c r="E87" s="1">
        <f t="shared" si="21"/>
        <v>3844061</v>
      </c>
      <c r="F87" s="1">
        <f t="shared" si="22"/>
        <v>173607</v>
      </c>
      <c r="G87" s="1">
        <f t="shared" si="23"/>
        <v>176523</v>
      </c>
      <c r="H87" s="1">
        <f t="shared" si="24"/>
        <v>52342</v>
      </c>
      <c r="I87" s="1">
        <f t="shared" si="25"/>
        <v>56219</v>
      </c>
      <c r="J87" s="1">
        <f t="shared" si="27"/>
        <v>0</v>
      </c>
      <c r="K87" s="1">
        <f t="shared" si="28"/>
        <v>198162</v>
      </c>
      <c r="L87" s="1">
        <f t="shared" si="29"/>
        <v>2916</v>
      </c>
      <c r="M87" s="1">
        <f t="shared" si="30"/>
        <v>3877</v>
      </c>
      <c r="O87" cm="1">
        <f t="array" ref="O87">ROUND(INDEX($AF:$AJ,VLOOKUP(A87,$AF:$AJ,5,FALSE)+2,1),0)</f>
        <v>0</v>
      </c>
      <c r="P87" cm="1">
        <f t="array" ref="P87">ROUND(INDEX($AF:$AJ,VLOOKUP(A87,$AF:$AJ,5,FALSE)+3,1),0)</f>
        <v>0</v>
      </c>
      <c r="Q87" cm="1">
        <f t="array" ref="Q87">ROUND(INDEX($AF:$AJ,VLOOKUP(A87,$AF:$AJ,5,FALSE)+2,2),0)</f>
        <v>3645899</v>
      </c>
      <c r="R87" cm="1">
        <f t="array" ref="R87">ROUND(INDEX($AF:$AJ,VLOOKUP(A87,$AF:$AJ,5,FALSE)+3,2),0)</f>
        <v>3844061</v>
      </c>
      <c r="S87" cm="1">
        <f t="array" ref="S87">ROUND(INDEX($AF:$AJ,VLOOKUP(A87,$AF:$AJ,5,FALSE)+2,3),0)</f>
        <v>173607</v>
      </c>
      <c r="T87" cm="1">
        <f t="array" ref="T87">ROUND(INDEX($AF:$AJ,VLOOKUP(A87,$AF:$AJ,5,FALSE)+3,3),0)</f>
        <v>176523</v>
      </c>
      <c r="U87" cm="1">
        <f t="array" ref="U87">ROUND(INDEX($AF:$AJ,VLOOKUP(A87,$AF:$AJ,5,FALSE)+2,4),0)</f>
        <v>52342</v>
      </c>
      <c r="V87" cm="1">
        <f t="array" ref="V87">ROUND(INDEX($AF:$AJ,VLOOKUP(A87,$AF:$AJ,5,FALSE)+3,4),0)</f>
        <v>56219</v>
      </c>
      <c r="X87">
        <f t="shared" si="31"/>
        <v>0</v>
      </c>
      <c r="Y87">
        <f t="shared" si="32"/>
        <v>-198162</v>
      </c>
      <c r="Z87">
        <f t="shared" si="33"/>
        <v>-2916</v>
      </c>
      <c r="AA87">
        <f t="shared" si="34"/>
        <v>-3877</v>
      </c>
      <c r="AE87" s="179" t="s">
        <v>1091</v>
      </c>
      <c r="AF87" s="1" t="s">
        <v>440</v>
      </c>
      <c r="AG87" s="1" t="s">
        <v>441</v>
      </c>
      <c r="AH87" s="1" t="s">
        <v>442</v>
      </c>
      <c r="AI87" s="1" t="s">
        <v>1022</v>
      </c>
      <c r="AJ87">
        <f t="shared" si="26"/>
        <v>87</v>
      </c>
    </row>
    <row r="88" spans="1:36">
      <c r="A88" s="1">
        <v>1372745537</v>
      </c>
      <c r="B88" s="1">
        <f t="shared" ref="B88:B97" si="35">O88</f>
        <v>3566884</v>
      </c>
      <c r="C88" s="1">
        <f t="shared" si="19"/>
        <v>3622749</v>
      </c>
      <c r="D88" s="1">
        <f t="shared" si="20"/>
        <v>0</v>
      </c>
      <c r="E88" s="1">
        <f t="shared" si="21"/>
        <v>0</v>
      </c>
      <c r="F88" s="1">
        <f t="shared" si="22"/>
        <v>0</v>
      </c>
      <c r="G88" s="1">
        <f t="shared" si="23"/>
        <v>0</v>
      </c>
      <c r="H88" s="1">
        <f t="shared" si="24"/>
        <v>0</v>
      </c>
      <c r="I88" s="1">
        <f t="shared" si="25"/>
        <v>0</v>
      </c>
      <c r="J88" s="1">
        <f t="shared" si="27"/>
        <v>55865</v>
      </c>
      <c r="K88" s="1">
        <f t="shared" si="28"/>
        <v>0</v>
      </c>
      <c r="L88" s="1">
        <f t="shared" si="29"/>
        <v>0</v>
      </c>
      <c r="M88" s="1">
        <f t="shared" si="30"/>
        <v>0</v>
      </c>
      <c r="O88" cm="1">
        <f t="array" ref="O88">ROUND(INDEX($AF:$AJ,VLOOKUP(A88,$AF:$AJ,5,FALSE)+2,1),0)</f>
        <v>3566884</v>
      </c>
      <c r="P88" cm="1">
        <f t="array" ref="P88">ROUND(INDEX($AF:$AJ,VLOOKUP(A88,$AF:$AJ,5,FALSE)+3,1),0)</f>
        <v>3622749</v>
      </c>
      <c r="Q88" cm="1">
        <f t="array" ref="Q88">ROUND(INDEX($AF:$AJ,VLOOKUP(A88,$AF:$AJ,5,FALSE)+2,2),0)</f>
        <v>0</v>
      </c>
      <c r="R88" cm="1">
        <f t="array" ref="R88">ROUND(INDEX($AF:$AJ,VLOOKUP(A88,$AF:$AJ,5,FALSE)+3,2),0)</f>
        <v>0</v>
      </c>
      <c r="S88" cm="1">
        <f t="array" ref="S88">ROUND(INDEX($AF:$AJ,VLOOKUP(A88,$AF:$AJ,5,FALSE)+2,3),0)</f>
        <v>0</v>
      </c>
      <c r="T88" cm="1">
        <f t="array" ref="T88">ROUND(INDEX($AF:$AJ,VLOOKUP(A88,$AF:$AJ,5,FALSE)+3,3),0)</f>
        <v>0</v>
      </c>
      <c r="U88" cm="1">
        <f t="array" ref="U88">ROUND(INDEX($AF:$AJ,VLOOKUP(A88,$AF:$AJ,5,FALSE)+2,4),0)</f>
        <v>0</v>
      </c>
      <c r="V88" cm="1">
        <f t="array" ref="V88">ROUND(INDEX($AF:$AJ,VLOOKUP(A88,$AF:$AJ,5,FALSE)+3,4),0)</f>
        <v>0</v>
      </c>
      <c r="X88">
        <f t="shared" si="31"/>
        <v>-55865</v>
      </c>
      <c r="Y88">
        <f t="shared" si="32"/>
        <v>0</v>
      </c>
      <c r="Z88">
        <f t="shared" si="33"/>
        <v>0</v>
      </c>
      <c r="AA88">
        <f t="shared" si="34"/>
        <v>0</v>
      </c>
      <c r="AE88" s="179" t="s">
        <v>1092</v>
      </c>
      <c r="AF88" s="1">
        <v>11184355</v>
      </c>
      <c r="AG88" s="1">
        <v>0</v>
      </c>
      <c r="AH88" s="1">
        <v>0</v>
      </c>
      <c r="AI88" s="1">
        <v>371.49112000000002</v>
      </c>
      <c r="AJ88">
        <f t="shared" si="26"/>
        <v>88</v>
      </c>
    </row>
    <row r="89" spans="1:36">
      <c r="A89" s="1">
        <v>1373075553</v>
      </c>
      <c r="B89" s="1">
        <f t="shared" si="35"/>
        <v>2734789</v>
      </c>
      <c r="C89" s="1">
        <f t="shared" si="19"/>
        <v>2906835</v>
      </c>
      <c r="D89" s="1">
        <f t="shared" si="20"/>
        <v>13265</v>
      </c>
      <c r="E89" s="1">
        <f t="shared" si="21"/>
        <v>13299</v>
      </c>
      <c r="F89" s="1">
        <f t="shared" si="22"/>
        <v>193520</v>
      </c>
      <c r="G89" s="1">
        <f t="shared" si="23"/>
        <v>243838</v>
      </c>
      <c r="H89" s="1">
        <f t="shared" si="24"/>
        <v>55896</v>
      </c>
      <c r="I89" s="1">
        <f t="shared" si="25"/>
        <v>58398</v>
      </c>
      <c r="J89" s="1">
        <f t="shared" si="27"/>
        <v>172046</v>
      </c>
      <c r="K89" s="1">
        <f t="shared" si="28"/>
        <v>34</v>
      </c>
      <c r="L89" s="1">
        <f t="shared" si="29"/>
        <v>50318</v>
      </c>
      <c r="M89" s="1">
        <f t="shared" si="30"/>
        <v>2502</v>
      </c>
      <c r="O89" cm="1">
        <f t="array" ref="O89">ROUND(INDEX($AF:$AJ,VLOOKUP(A89,$AF:$AJ,5,FALSE)+2,1),0)</f>
        <v>2734789</v>
      </c>
      <c r="P89" cm="1">
        <f t="array" ref="P89">ROUND(INDEX($AF:$AJ,VLOOKUP(A89,$AF:$AJ,5,FALSE)+3,1),0)</f>
        <v>2906835</v>
      </c>
      <c r="Q89" cm="1">
        <f t="array" ref="Q89">ROUND(INDEX($AF:$AJ,VLOOKUP(A89,$AF:$AJ,5,FALSE)+2,2),0)</f>
        <v>13265</v>
      </c>
      <c r="R89" cm="1">
        <f t="array" ref="R89">ROUND(INDEX($AF:$AJ,VLOOKUP(A89,$AF:$AJ,5,FALSE)+3,2),0)</f>
        <v>13299</v>
      </c>
      <c r="S89" cm="1">
        <f t="array" ref="S89">ROUND(INDEX($AF:$AJ,VLOOKUP(A89,$AF:$AJ,5,FALSE)+2,3),0)</f>
        <v>193520</v>
      </c>
      <c r="T89" cm="1">
        <f t="array" ref="T89">ROUND(INDEX($AF:$AJ,VLOOKUP(A89,$AF:$AJ,5,FALSE)+3,3),0)</f>
        <v>243838</v>
      </c>
      <c r="U89" cm="1">
        <f t="array" ref="U89">ROUND(INDEX($AF:$AJ,VLOOKUP(A89,$AF:$AJ,5,FALSE)+2,4),0)</f>
        <v>55896</v>
      </c>
      <c r="V89" cm="1">
        <f t="array" ref="V89">ROUND(INDEX($AF:$AJ,VLOOKUP(A89,$AF:$AJ,5,FALSE)+3,4),0)</f>
        <v>58398</v>
      </c>
      <c r="X89">
        <f t="shared" si="31"/>
        <v>-172046</v>
      </c>
      <c r="Y89">
        <f t="shared" si="32"/>
        <v>-34</v>
      </c>
      <c r="Z89">
        <f t="shared" si="33"/>
        <v>-50318</v>
      </c>
      <c r="AA89">
        <f t="shared" si="34"/>
        <v>-2502</v>
      </c>
      <c r="AE89" s="179" t="s">
        <v>1093</v>
      </c>
      <c r="AF89" s="1">
        <v>11613768</v>
      </c>
      <c r="AG89" s="1">
        <v>0</v>
      </c>
      <c r="AH89" s="1">
        <v>0</v>
      </c>
      <c r="AI89" s="1">
        <v>381.73361</v>
      </c>
      <c r="AJ89">
        <f t="shared" si="26"/>
        <v>89</v>
      </c>
    </row>
    <row r="90" spans="1:36">
      <c r="A90" s="1">
        <v>1373264334</v>
      </c>
      <c r="B90" s="1">
        <f t="shared" si="35"/>
        <v>219</v>
      </c>
      <c r="C90" s="1">
        <f t="shared" si="19"/>
        <v>231</v>
      </c>
      <c r="D90" s="1">
        <f t="shared" si="20"/>
        <v>1189708</v>
      </c>
      <c r="E90" s="1">
        <f t="shared" si="21"/>
        <v>1282877</v>
      </c>
      <c r="F90" s="1">
        <f t="shared" si="22"/>
        <v>6355</v>
      </c>
      <c r="G90" s="1">
        <f t="shared" si="23"/>
        <v>6779</v>
      </c>
      <c r="H90" s="1">
        <f t="shared" si="24"/>
        <v>11645</v>
      </c>
      <c r="I90" s="1">
        <f t="shared" si="25"/>
        <v>12222</v>
      </c>
      <c r="J90" s="1">
        <f t="shared" si="27"/>
        <v>12</v>
      </c>
      <c r="K90" s="1">
        <f t="shared" si="28"/>
        <v>93169</v>
      </c>
      <c r="L90" s="1">
        <f t="shared" si="29"/>
        <v>424</v>
      </c>
      <c r="M90" s="1">
        <f t="shared" si="30"/>
        <v>577</v>
      </c>
      <c r="O90" cm="1">
        <f t="array" ref="O90">ROUND(INDEX($AF:$AJ,VLOOKUP(A90,$AF:$AJ,5,FALSE)+2,1),0)</f>
        <v>219</v>
      </c>
      <c r="P90" cm="1">
        <f t="array" ref="P90">ROUND(INDEX($AF:$AJ,VLOOKUP(A90,$AF:$AJ,5,FALSE)+3,1),0)</f>
        <v>231</v>
      </c>
      <c r="Q90" cm="1">
        <f t="array" ref="Q90">ROUND(INDEX($AF:$AJ,VLOOKUP(A90,$AF:$AJ,5,FALSE)+2,2),0)</f>
        <v>1189708</v>
      </c>
      <c r="R90" cm="1">
        <f t="array" ref="R90">ROUND(INDEX($AF:$AJ,VLOOKUP(A90,$AF:$AJ,5,FALSE)+3,2),0)</f>
        <v>1282877</v>
      </c>
      <c r="S90" cm="1">
        <f t="array" ref="S90">ROUND(INDEX($AF:$AJ,VLOOKUP(A90,$AF:$AJ,5,FALSE)+2,3),0)</f>
        <v>6355</v>
      </c>
      <c r="T90" cm="1">
        <f t="array" ref="T90">ROUND(INDEX($AF:$AJ,VLOOKUP(A90,$AF:$AJ,5,FALSE)+3,3),0)</f>
        <v>6779</v>
      </c>
      <c r="U90" cm="1">
        <f t="array" ref="U90">ROUND(INDEX($AF:$AJ,VLOOKUP(A90,$AF:$AJ,5,FALSE)+2,4),0)</f>
        <v>11645</v>
      </c>
      <c r="V90" cm="1">
        <f t="array" ref="V90">ROUND(INDEX($AF:$AJ,VLOOKUP(A90,$AF:$AJ,5,FALSE)+3,4),0)</f>
        <v>12222</v>
      </c>
      <c r="X90">
        <f t="shared" si="31"/>
        <v>-12</v>
      </c>
      <c r="Y90">
        <f t="shared" si="32"/>
        <v>-93169</v>
      </c>
      <c r="Z90">
        <f t="shared" si="33"/>
        <v>-424</v>
      </c>
      <c r="AA90">
        <f t="shared" si="34"/>
        <v>-577</v>
      </c>
      <c r="AE90" s="179" t="s">
        <v>1094</v>
      </c>
      <c r="AF90" s="1">
        <f>AF89-AF88</f>
        <v>429413</v>
      </c>
      <c r="AG90" s="1">
        <f>AG89-AG88</f>
        <v>0</v>
      </c>
      <c r="AH90" s="1">
        <f>AH89-AH88</f>
        <v>0</v>
      </c>
      <c r="AI90" s="1">
        <f>AI89-AI88</f>
        <v>10.242489999999975</v>
      </c>
      <c r="AJ90">
        <f t="shared" si="26"/>
        <v>90</v>
      </c>
    </row>
    <row r="91" spans="1:36">
      <c r="A91" s="1">
        <v>1373264675</v>
      </c>
      <c r="B91" s="1">
        <f t="shared" si="35"/>
        <v>1355932</v>
      </c>
      <c r="C91" s="1">
        <f t="shared" si="19"/>
        <v>1438025</v>
      </c>
      <c r="D91" s="1">
        <f t="shared" si="20"/>
        <v>0</v>
      </c>
      <c r="E91" s="1">
        <f t="shared" si="21"/>
        <v>0</v>
      </c>
      <c r="F91" s="1">
        <f t="shared" si="22"/>
        <v>1578</v>
      </c>
      <c r="G91" s="1">
        <f t="shared" si="23"/>
        <v>1586</v>
      </c>
      <c r="H91" s="1">
        <f t="shared" si="24"/>
        <v>448394</v>
      </c>
      <c r="I91" s="1">
        <f t="shared" si="25"/>
        <v>476632</v>
      </c>
      <c r="J91" s="1">
        <f t="shared" si="27"/>
        <v>82093</v>
      </c>
      <c r="K91" s="1">
        <f t="shared" si="28"/>
        <v>0</v>
      </c>
      <c r="L91" s="1">
        <f t="shared" si="29"/>
        <v>8</v>
      </c>
      <c r="M91" s="1">
        <f t="shared" si="30"/>
        <v>28238</v>
      </c>
      <c r="O91" cm="1">
        <f t="array" ref="O91">ROUND(INDEX($AF:$AJ,VLOOKUP(A91,$AF:$AJ,5,FALSE)+2,1),0)</f>
        <v>1355932</v>
      </c>
      <c r="P91" cm="1">
        <f t="array" ref="P91">ROUND(INDEX($AF:$AJ,VLOOKUP(A91,$AF:$AJ,5,FALSE)+3,1),0)</f>
        <v>1438025</v>
      </c>
      <c r="Q91" cm="1">
        <f t="array" ref="Q91">ROUND(INDEX($AF:$AJ,VLOOKUP(A91,$AF:$AJ,5,FALSE)+2,2),0)</f>
        <v>0</v>
      </c>
      <c r="R91" cm="1">
        <f t="array" ref="R91">ROUND(INDEX($AF:$AJ,VLOOKUP(A91,$AF:$AJ,5,FALSE)+3,2),0)</f>
        <v>0</v>
      </c>
      <c r="S91" cm="1">
        <f t="array" ref="S91">ROUND(INDEX($AF:$AJ,VLOOKUP(A91,$AF:$AJ,5,FALSE)+2,3),0)</f>
        <v>1578</v>
      </c>
      <c r="T91" cm="1">
        <f t="array" ref="T91">ROUND(INDEX($AF:$AJ,VLOOKUP(A91,$AF:$AJ,5,FALSE)+3,3),0)</f>
        <v>1586</v>
      </c>
      <c r="U91" cm="1">
        <f t="array" ref="U91">ROUND(INDEX($AF:$AJ,VLOOKUP(A91,$AF:$AJ,5,FALSE)+2,4),0)</f>
        <v>448394</v>
      </c>
      <c r="V91" cm="1">
        <f t="array" ref="V91">ROUND(INDEX($AF:$AJ,VLOOKUP(A91,$AF:$AJ,5,FALSE)+3,4),0)</f>
        <v>476632</v>
      </c>
      <c r="X91">
        <f t="shared" si="31"/>
        <v>-82093</v>
      </c>
      <c r="Y91">
        <f t="shared" si="32"/>
        <v>0</v>
      </c>
      <c r="Z91">
        <f t="shared" si="33"/>
        <v>-8</v>
      </c>
      <c r="AA91">
        <f t="shared" si="34"/>
        <v>-28238</v>
      </c>
      <c r="AE91" s="179" t="s">
        <v>1090</v>
      </c>
      <c r="AF91" s="560">
        <v>1371019838</v>
      </c>
      <c r="AG91" s="1" t="s">
        <v>1095</v>
      </c>
      <c r="AH91" s="1" t="s">
        <v>1095</v>
      </c>
      <c r="AI91" s="1" t="s">
        <v>1095</v>
      </c>
      <c r="AJ91">
        <f t="shared" si="26"/>
        <v>91</v>
      </c>
    </row>
    <row r="92" spans="1:36">
      <c r="A92" s="1">
        <v>1373265813</v>
      </c>
      <c r="B92" s="1">
        <f t="shared" si="35"/>
        <v>2048374</v>
      </c>
      <c r="C92" s="1">
        <f t="shared" si="19"/>
        <v>2138200</v>
      </c>
      <c r="D92" s="1">
        <f t="shared" si="20"/>
        <v>199114</v>
      </c>
      <c r="E92" s="1">
        <f t="shared" si="21"/>
        <v>228317</v>
      </c>
      <c r="F92" s="1">
        <f t="shared" si="22"/>
        <v>396803</v>
      </c>
      <c r="G92" s="1">
        <f t="shared" si="23"/>
        <v>487523</v>
      </c>
      <c r="H92" s="1">
        <f t="shared" si="24"/>
        <v>16819</v>
      </c>
      <c r="I92" s="1">
        <f t="shared" si="25"/>
        <v>16852</v>
      </c>
      <c r="J92" s="1">
        <f t="shared" si="27"/>
        <v>89826</v>
      </c>
      <c r="K92" s="1">
        <f t="shared" si="28"/>
        <v>29203</v>
      </c>
      <c r="L92" s="1">
        <f t="shared" si="29"/>
        <v>90720</v>
      </c>
      <c r="M92" s="1">
        <f t="shared" si="30"/>
        <v>33</v>
      </c>
      <c r="O92" cm="1">
        <f t="array" ref="O92">ROUND(INDEX($AF:$AJ,VLOOKUP(A92,$AF:$AJ,5,FALSE)+2,1),0)</f>
        <v>2048374</v>
      </c>
      <c r="P92" cm="1">
        <f t="array" ref="P92">ROUND(INDEX($AF:$AJ,VLOOKUP(A92,$AF:$AJ,5,FALSE)+3,1),0)</f>
        <v>2138200</v>
      </c>
      <c r="Q92" cm="1">
        <f t="array" ref="Q92">ROUND(INDEX($AF:$AJ,VLOOKUP(A92,$AF:$AJ,5,FALSE)+2,2),0)</f>
        <v>199114</v>
      </c>
      <c r="R92" cm="1">
        <f t="array" ref="R92">ROUND(INDEX($AF:$AJ,VLOOKUP(A92,$AF:$AJ,5,FALSE)+3,2),0)</f>
        <v>228317</v>
      </c>
      <c r="S92" cm="1">
        <f t="array" ref="S92">ROUND(INDEX($AF:$AJ,VLOOKUP(A92,$AF:$AJ,5,FALSE)+2,3),0)</f>
        <v>396803</v>
      </c>
      <c r="T92" cm="1">
        <f t="array" ref="T92">ROUND(INDEX($AF:$AJ,VLOOKUP(A92,$AF:$AJ,5,FALSE)+3,3),0)</f>
        <v>487523</v>
      </c>
      <c r="U92" cm="1">
        <f t="array" ref="U92">ROUND(INDEX($AF:$AJ,VLOOKUP(A92,$AF:$AJ,5,FALSE)+2,4),0)</f>
        <v>16819</v>
      </c>
      <c r="V92" cm="1">
        <f t="array" ref="V92">ROUND(INDEX($AF:$AJ,VLOOKUP(A92,$AF:$AJ,5,FALSE)+3,4),0)</f>
        <v>16852</v>
      </c>
      <c r="X92">
        <f t="shared" si="31"/>
        <v>-89826</v>
      </c>
      <c r="Y92">
        <f t="shared" si="32"/>
        <v>-29203</v>
      </c>
      <c r="Z92">
        <f t="shared" si="33"/>
        <v>-90720</v>
      </c>
      <c r="AA92">
        <f t="shared" si="34"/>
        <v>-33</v>
      </c>
      <c r="AE92" s="179" t="s">
        <v>1091</v>
      </c>
      <c r="AF92" s="1" t="s">
        <v>440</v>
      </c>
      <c r="AG92" s="1" t="s">
        <v>441</v>
      </c>
      <c r="AH92" s="1" t="s">
        <v>442</v>
      </c>
      <c r="AI92" s="1" t="s">
        <v>1022</v>
      </c>
      <c r="AJ92">
        <f t="shared" si="26"/>
        <v>92</v>
      </c>
    </row>
    <row r="93" spans="1:36">
      <c r="A93" s="1">
        <v>1373265936</v>
      </c>
      <c r="B93" s="1">
        <f t="shared" si="35"/>
        <v>250</v>
      </c>
      <c r="C93" s="1">
        <f t="shared" si="19"/>
        <v>258</v>
      </c>
      <c r="D93" s="1">
        <f t="shared" si="20"/>
        <v>783769</v>
      </c>
      <c r="E93" s="1">
        <f t="shared" si="21"/>
        <v>859518</v>
      </c>
      <c r="F93" s="1">
        <f t="shared" si="22"/>
        <v>235</v>
      </c>
      <c r="G93" s="1">
        <f t="shared" si="23"/>
        <v>242</v>
      </c>
      <c r="H93" s="1">
        <f t="shared" si="24"/>
        <v>12506</v>
      </c>
      <c r="I93" s="1">
        <f t="shared" si="25"/>
        <v>13450</v>
      </c>
      <c r="J93" s="1">
        <f t="shared" si="27"/>
        <v>8</v>
      </c>
      <c r="K93" s="1">
        <f t="shared" si="28"/>
        <v>75749</v>
      </c>
      <c r="L93" s="1">
        <f t="shared" si="29"/>
        <v>7</v>
      </c>
      <c r="M93" s="1">
        <f t="shared" si="30"/>
        <v>944</v>
      </c>
      <c r="O93" cm="1">
        <f t="array" ref="O93">ROUND(INDEX($AF:$AJ,VLOOKUP(A93,$AF:$AJ,5,FALSE)+2,1),0)</f>
        <v>250</v>
      </c>
      <c r="P93" cm="1">
        <f t="array" ref="P93">ROUND(INDEX($AF:$AJ,VLOOKUP(A93,$AF:$AJ,5,FALSE)+3,1),0)</f>
        <v>258</v>
      </c>
      <c r="Q93" cm="1">
        <f t="array" ref="Q93">ROUND(INDEX($AF:$AJ,VLOOKUP(A93,$AF:$AJ,5,FALSE)+2,2),0)</f>
        <v>783769</v>
      </c>
      <c r="R93" cm="1">
        <f t="array" ref="R93">ROUND(INDEX($AF:$AJ,VLOOKUP(A93,$AF:$AJ,5,FALSE)+3,2),0)</f>
        <v>859518</v>
      </c>
      <c r="S93" cm="1">
        <f t="array" ref="S93">ROUND(INDEX($AF:$AJ,VLOOKUP(A93,$AF:$AJ,5,FALSE)+2,3),0)</f>
        <v>235</v>
      </c>
      <c r="T93" cm="1">
        <f t="array" ref="T93">ROUND(INDEX($AF:$AJ,VLOOKUP(A93,$AF:$AJ,5,FALSE)+3,3),0)</f>
        <v>242</v>
      </c>
      <c r="U93" cm="1">
        <f t="array" ref="U93">ROUND(INDEX($AF:$AJ,VLOOKUP(A93,$AF:$AJ,5,FALSE)+2,4),0)</f>
        <v>12506</v>
      </c>
      <c r="V93" cm="1">
        <f t="array" ref="V93">ROUND(INDEX($AF:$AJ,VLOOKUP(A93,$AF:$AJ,5,FALSE)+3,4),0)</f>
        <v>13450</v>
      </c>
      <c r="X93">
        <f t="shared" si="31"/>
        <v>-8</v>
      </c>
      <c r="Y93">
        <f t="shared" si="32"/>
        <v>-75749</v>
      </c>
      <c r="Z93">
        <f t="shared" si="33"/>
        <v>-7</v>
      </c>
      <c r="AA93">
        <f t="shared" si="34"/>
        <v>-944</v>
      </c>
      <c r="AE93" s="179" t="s">
        <v>1092</v>
      </c>
      <c r="AF93" s="1">
        <v>1557.5177000000001</v>
      </c>
      <c r="AG93" s="1">
        <v>207799.78125</v>
      </c>
      <c r="AH93" s="1">
        <v>41083.171880000002</v>
      </c>
      <c r="AI93" s="1">
        <v>24764.316409999999</v>
      </c>
      <c r="AJ93">
        <f t="shared" si="26"/>
        <v>93</v>
      </c>
    </row>
    <row r="94" spans="1:36">
      <c r="A94" s="1">
        <v>1373265946</v>
      </c>
      <c r="B94" s="1">
        <f t="shared" si="35"/>
        <v>2687065</v>
      </c>
      <c r="C94" s="1">
        <f t="shared" si="19"/>
        <v>2824965</v>
      </c>
      <c r="D94" s="1">
        <f t="shared" si="20"/>
        <v>5641</v>
      </c>
      <c r="E94" s="1">
        <f t="shared" si="21"/>
        <v>6995</v>
      </c>
      <c r="F94" s="1">
        <f t="shared" si="22"/>
        <v>340001</v>
      </c>
      <c r="G94" s="1">
        <f t="shared" si="23"/>
        <v>356129</v>
      </c>
      <c r="H94" s="1">
        <f t="shared" si="24"/>
        <v>3028</v>
      </c>
      <c r="I94" s="1">
        <f t="shared" si="25"/>
        <v>3291</v>
      </c>
      <c r="J94" s="1">
        <f t="shared" si="27"/>
        <v>137900</v>
      </c>
      <c r="K94" s="1">
        <f t="shared" si="28"/>
        <v>1354</v>
      </c>
      <c r="L94" s="1">
        <f t="shared" si="29"/>
        <v>16128</v>
      </c>
      <c r="M94" s="1">
        <f t="shared" si="30"/>
        <v>263</v>
      </c>
      <c r="O94" cm="1">
        <f t="array" ref="O94">ROUND(INDEX($AF:$AJ,VLOOKUP(A94,$AF:$AJ,5,FALSE)+2,1),0)</f>
        <v>2687065</v>
      </c>
      <c r="P94" cm="1">
        <f t="array" ref="P94">ROUND(INDEX($AF:$AJ,VLOOKUP(A94,$AF:$AJ,5,FALSE)+3,1),0)</f>
        <v>2824965</v>
      </c>
      <c r="Q94" cm="1">
        <f t="array" ref="Q94">ROUND(INDEX($AF:$AJ,VLOOKUP(A94,$AF:$AJ,5,FALSE)+2,2),0)</f>
        <v>5641</v>
      </c>
      <c r="R94" cm="1">
        <f t="array" ref="R94">ROUND(INDEX($AF:$AJ,VLOOKUP(A94,$AF:$AJ,5,FALSE)+3,2),0)</f>
        <v>6995</v>
      </c>
      <c r="S94" cm="1">
        <f t="array" ref="S94">ROUND(INDEX($AF:$AJ,VLOOKUP(A94,$AF:$AJ,5,FALSE)+2,3),0)</f>
        <v>340001</v>
      </c>
      <c r="T94" cm="1">
        <f t="array" ref="T94">ROUND(INDEX($AF:$AJ,VLOOKUP(A94,$AF:$AJ,5,FALSE)+3,3),0)</f>
        <v>356129</v>
      </c>
      <c r="U94" cm="1">
        <f t="array" ref="U94">ROUND(INDEX($AF:$AJ,VLOOKUP(A94,$AF:$AJ,5,FALSE)+2,4),0)</f>
        <v>3028</v>
      </c>
      <c r="V94" cm="1">
        <f t="array" ref="V94">ROUND(INDEX($AF:$AJ,VLOOKUP(A94,$AF:$AJ,5,FALSE)+3,4),0)</f>
        <v>3291</v>
      </c>
      <c r="X94">
        <f t="shared" si="31"/>
        <v>-137900</v>
      </c>
      <c r="Y94">
        <f t="shared" si="32"/>
        <v>-1354</v>
      </c>
      <c r="Z94">
        <f t="shared" si="33"/>
        <v>-16128</v>
      </c>
      <c r="AA94">
        <f t="shared" si="34"/>
        <v>-263</v>
      </c>
      <c r="AE94" s="179" t="s">
        <v>1093</v>
      </c>
      <c r="AF94" s="1">
        <v>1617.51746</v>
      </c>
      <c r="AG94" s="1">
        <v>221704.48438000001</v>
      </c>
      <c r="AH94" s="1">
        <v>44671.449220000002</v>
      </c>
      <c r="AI94" s="1">
        <v>26624.390630000002</v>
      </c>
      <c r="AJ94">
        <f t="shared" si="26"/>
        <v>94</v>
      </c>
    </row>
    <row r="95" spans="1:36">
      <c r="A95" s="1">
        <v>1373265974</v>
      </c>
      <c r="B95" s="1">
        <f t="shared" si="35"/>
        <v>125</v>
      </c>
      <c r="C95" s="1">
        <f t="shared" si="19"/>
        <v>132</v>
      </c>
      <c r="D95" s="1">
        <f t="shared" si="20"/>
        <v>620788</v>
      </c>
      <c r="E95" s="1">
        <f t="shared" si="21"/>
        <v>687140</v>
      </c>
      <c r="F95" s="1">
        <f t="shared" si="22"/>
        <v>255</v>
      </c>
      <c r="G95" s="1">
        <f t="shared" si="23"/>
        <v>280</v>
      </c>
      <c r="H95" s="1">
        <f t="shared" si="24"/>
        <v>10736</v>
      </c>
      <c r="I95" s="1">
        <f t="shared" si="25"/>
        <v>11531</v>
      </c>
      <c r="J95" s="1">
        <f t="shared" si="27"/>
        <v>7</v>
      </c>
      <c r="K95" s="1">
        <f t="shared" si="28"/>
        <v>66352</v>
      </c>
      <c r="L95" s="1">
        <f t="shared" si="29"/>
        <v>25</v>
      </c>
      <c r="M95" s="1">
        <f t="shared" si="30"/>
        <v>795</v>
      </c>
      <c r="O95" cm="1">
        <f t="array" ref="O95">ROUND(INDEX($AF:$AJ,VLOOKUP(A95,$AF:$AJ,5,FALSE)+2,1),0)</f>
        <v>125</v>
      </c>
      <c r="P95" cm="1">
        <f t="array" ref="P95">ROUND(INDEX($AF:$AJ,VLOOKUP(A95,$AF:$AJ,5,FALSE)+3,1),0)</f>
        <v>132</v>
      </c>
      <c r="Q95" cm="1">
        <f t="array" ref="Q95">ROUND(INDEX($AF:$AJ,VLOOKUP(A95,$AF:$AJ,5,FALSE)+2,2),0)</f>
        <v>620788</v>
      </c>
      <c r="R95" cm="1">
        <f t="array" ref="R95">ROUND(INDEX($AF:$AJ,VLOOKUP(A95,$AF:$AJ,5,FALSE)+3,2),0)</f>
        <v>687140</v>
      </c>
      <c r="S95" cm="1">
        <f t="array" ref="S95">ROUND(INDEX($AF:$AJ,VLOOKUP(A95,$AF:$AJ,5,FALSE)+2,3),0)</f>
        <v>255</v>
      </c>
      <c r="T95" cm="1">
        <f t="array" ref="T95">ROUND(INDEX($AF:$AJ,VLOOKUP(A95,$AF:$AJ,5,FALSE)+3,3),0)</f>
        <v>280</v>
      </c>
      <c r="U95" cm="1">
        <f t="array" ref="U95">ROUND(INDEX($AF:$AJ,VLOOKUP(A95,$AF:$AJ,5,FALSE)+2,4),0)</f>
        <v>10736</v>
      </c>
      <c r="V95" cm="1">
        <f t="array" ref="V95">ROUND(INDEX($AF:$AJ,VLOOKUP(A95,$AF:$AJ,5,FALSE)+3,4),0)</f>
        <v>11531</v>
      </c>
      <c r="X95">
        <f t="shared" si="31"/>
        <v>-7</v>
      </c>
      <c r="Y95">
        <f t="shared" si="32"/>
        <v>-66352</v>
      </c>
      <c r="Z95">
        <f t="shared" si="33"/>
        <v>-25</v>
      </c>
      <c r="AA95">
        <f t="shared" si="34"/>
        <v>-795</v>
      </c>
      <c r="AE95" s="179" t="s">
        <v>1094</v>
      </c>
      <c r="AF95" s="1">
        <f>AF94-AF93</f>
        <v>59.999759999999924</v>
      </c>
      <c r="AG95" s="1">
        <f>AG94-AG93</f>
        <v>13904.703130000009</v>
      </c>
      <c r="AH95" s="1">
        <f>AH94-AH93</f>
        <v>3588.2773400000005</v>
      </c>
      <c r="AI95" s="1">
        <f>AI94-AI93</f>
        <v>1860.0742200000022</v>
      </c>
      <c r="AJ95">
        <f t="shared" si="26"/>
        <v>95</v>
      </c>
    </row>
    <row r="96" spans="1:36">
      <c r="A96" s="1">
        <v>1373362497</v>
      </c>
      <c r="B96" s="1">
        <f t="shared" si="35"/>
        <v>520</v>
      </c>
      <c r="C96" s="1">
        <f t="shared" si="19"/>
        <v>904</v>
      </c>
      <c r="D96" s="1">
        <f t="shared" si="20"/>
        <v>1004454</v>
      </c>
      <c r="E96" s="1">
        <f t="shared" si="21"/>
        <v>1081066</v>
      </c>
      <c r="F96" s="1">
        <f t="shared" si="22"/>
        <v>45778</v>
      </c>
      <c r="G96" s="1">
        <f t="shared" si="23"/>
        <v>147374</v>
      </c>
      <c r="H96" s="1">
        <f t="shared" si="24"/>
        <v>12607</v>
      </c>
      <c r="I96" s="1">
        <f t="shared" si="25"/>
        <v>13292</v>
      </c>
      <c r="J96" s="1">
        <f t="shared" si="27"/>
        <v>384</v>
      </c>
      <c r="K96" s="1">
        <f t="shared" si="28"/>
        <v>76612</v>
      </c>
      <c r="L96" s="1">
        <f t="shared" si="29"/>
        <v>101596</v>
      </c>
      <c r="M96" s="1">
        <f t="shared" si="30"/>
        <v>685</v>
      </c>
      <c r="O96" cm="1">
        <f t="array" ref="O96">ROUND(INDEX($AF:$AJ,VLOOKUP(A96,$AF:$AJ,5,FALSE)+2,1),0)</f>
        <v>520</v>
      </c>
      <c r="P96" cm="1">
        <f t="array" ref="P96">ROUND(INDEX($AF:$AJ,VLOOKUP(A96,$AF:$AJ,5,FALSE)+3,1),0)</f>
        <v>904</v>
      </c>
      <c r="Q96" cm="1">
        <f t="array" ref="Q96">ROUND(INDEX($AF:$AJ,VLOOKUP(A96,$AF:$AJ,5,FALSE)+2,2),0)</f>
        <v>1004454</v>
      </c>
      <c r="R96" cm="1">
        <f t="array" ref="R96">ROUND(INDEX($AF:$AJ,VLOOKUP(A96,$AF:$AJ,5,FALSE)+3,2),0)</f>
        <v>1081066</v>
      </c>
      <c r="S96" cm="1">
        <f t="array" ref="S96">ROUND(INDEX($AF:$AJ,VLOOKUP(A96,$AF:$AJ,5,FALSE)+2,3),0)</f>
        <v>45778</v>
      </c>
      <c r="T96" cm="1">
        <f t="array" ref="T96">ROUND(INDEX($AF:$AJ,VLOOKUP(A96,$AF:$AJ,5,FALSE)+3,3),0)</f>
        <v>147374</v>
      </c>
      <c r="U96" cm="1">
        <f t="array" ref="U96">ROUND(INDEX($AF:$AJ,VLOOKUP(A96,$AF:$AJ,5,FALSE)+2,4),0)</f>
        <v>12607</v>
      </c>
      <c r="V96" cm="1">
        <f t="array" ref="V96">ROUND(INDEX($AF:$AJ,VLOOKUP(A96,$AF:$AJ,5,FALSE)+3,4),0)</f>
        <v>13292</v>
      </c>
      <c r="X96">
        <f t="shared" si="31"/>
        <v>-384</v>
      </c>
      <c r="Y96">
        <f t="shared" si="32"/>
        <v>-76612</v>
      </c>
      <c r="Z96">
        <f t="shared" si="33"/>
        <v>-101596</v>
      </c>
      <c r="AA96">
        <f t="shared" si="34"/>
        <v>-685</v>
      </c>
      <c r="AE96" s="179" t="s">
        <v>1090</v>
      </c>
      <c r="AF96" s="560">
        <v>1371019871</v>
      </c>
      <c r="AG96" s="1" t="s">
        <v>1095</v>
      </c>
      <c r="AH96" s="1" t="s">
        <v>1095</v>
      </c>
      <c r="AI96" s="1" t="s">
        <v>1095</v>
      </c>
      <c r="AJ96">
        <f t="shared" si="26"/>
        <v>96</v>
      </c>
    </row>
    <row r="97" spans="1:36">
      <c r="A97" s="1">
        <v>1373362724</v>
      </c>
      <c r="B97" s="1">
        <f t="shared" si="35"/>
        <v>810</v>
      </c>
      <c r="C97" s="1">
        <f t="shared" si="19"/>
        <v>935</v>
      </c>
      <c r="D97" s="1">
        <f t="shared" si="20"/>
        <v>1555608</v>
      </c>
      <c r="E97" s="1">
        <f t="shared" si="21"/>
        <v>1695333</v>
      </c>
      <c r="F97" s="1">
        <f t="shared" si="22"/>
        <v>13549</v>
      </c>
      <c r="G97" s="1">
        <f t="shared" si="23"/>
        <v>14122</v>
      </c>
      <c r="H97" s="1">
        <f t="shared" si="24"/>
        <v>54763</v>
      </c>
      <c r="I97" s="1">
        <f t="shared" si="25"/>
        <v>147347</v>
      </c>
      <c r="J97" s="1">
        <f t="shared" si="27"/>
        <v>125</v>
      </c>
      <c r="K97" s="1">
        <f t="shared" si="28"/>
        <v>139725</v>
      </c>
      <c r="L97" s="1">
        <f t="shared" si="29"/>
        <v>573</v>
      </c>
      <c r="M97" s="1">
        <f t="shared" si="30"/>
        <v>92584</v>
      </c>
      <c r="O97" cm="1">
        <f t="array" ref="O97">ROUND(INDEX($AF:$AJ,VLOOKUP(A97,$AF:$AJ,5,FALSE)+2,1),0)</f>
        <v>810</v>
      </c>
      <c r="P97" cm="1">
        <f t="array" ref="P97">ROUND(INDEX($AF:$AJ,VLOOKUP(A97,$AF:$AJ,5,FALSE)+3,1),0)</f>
        <v>935</v>
      </c>
      <c r="Q97" cm="1">
        <f t="array" ref="Q97">ROUND(INDEX($AF:$AJ,VLOOKUP(A97,$AF:$AJ,5,FALSE)+2,2),0)</f>
        <v>1555608</v>
      </c>
      <c r="R97" cm="1">
        <f t="array" ref="R97">ROUND(INDEX($AF:$AJ,VLOOKUP(A97,$AF:$AJ,5,FALSE)+3,2),0)</f>
        <v>1695333</v>
      </c>
      <c r="S97" cm="1">
        <f t="array" ref="S97">ROUND(INDEX($AF:$AJ,VLOOKUP(A97,$AF:$AJ,5,FALSE)+2,3),0)</f>
        <v>13549</v>
      </c>
      <c r="T97" cm="1">
        <f t="array" ref="T97">ROUND(INDEX($AF:$AJ,VLOOKUP(A97,$AF:$AJ,5,FALSE)+3,3),0)</f>
        <v>14122</v>
      </c>
      <c r="U97" cm="1">
        <f t="array" ref="U97">ROUND(INDEX($AF:$AJ,VLOOKUP(A97,$AF:$AJ,5,FALSE)+2,4),0)</f>
        <v>54763</v>
      </c>
      <c r="V97" cm="1">
        <f t="array" ref="V97">ROUND(INDEX($AF:$AJ,VLOOKUP(A97,$AF:$AJ,5,FALSE)+3,4),0)</f>
        <v>147347</v>
      </c>
      <c r="X97">
        <f t="shared" si="31"/>
        <v>-125</v>
      </c>
      <c r="Y97">
        <f t="shared" si="32"/>
        <v>-139725</v>
      </c>
      <c r="Z97">
        <f t="shared" si="33"/>
        <v>-573</v>
      </c>
      <c r="AA97">
        <f t="shared" si="34"/>
        <v>-92584</v>
      </c>
      <c r="AE97" s="179" t="s">
        <v>1091</v>
      </c>
      <c r="AF97" s="1" t="s">
        <v>440</v>
      </c>
      <c r="AG97" s="1" t="s">
        <v>441</v>
      </c>
      <c r="AH97" s="1" t="s">
        <v>442</v>
      </c>
      <c r="AI97" s="1" t="s">
        <v>1022</v>
      </c>
      <c r="AJ97">
        <f t="shared" si="26"/>
        <v>97</v>
      </c>
    </row>
    <row r="98" spans="1:36">
      <c r="A98" s="1">
        <v>73062692</v>
      </c>
      <c r="B98" s="16">
        <v>11085838</v>
      </c>
      <c r="C98" s="16">
        <v>11188866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">
        <f t="shared" si="27"/>
        <v>103028</v>
      </c>
      <c r="K98" s="1">
        <f t="shared" si="28"/>
        <v>0</v>
      </c>
      <c r="L98" s="1">
        <f t="shared" si="29"/>
        <v>0</v>
      </c>
      <c r="M98" s="1">
        <f t="shared" si="30"/>
        <v>0</v>
      </c>
      <c r="O98" t="e" cm="1">
        <f t="array" ref="O98">ROUND(INDEX($AF:$AJ,VLOOKUP(A98,$AF:$AJ,5,FALSE)+2,1),0)</f>
        <v>#N/A</v>
      </c>
      <c r="P98" t="e" cm="1">
        <f t="array" ref="P98">ROUND(INDEX($AF:$AJ,VLOOKUP(A98,$AF:$AJ,5,FALSE)+3,1),0)</f>
        <v>#N/A</v>
      </c>
      <c r="Q98" t="e" cm="1">
        <f t="array" ref="Q98">ROUND(INDEX($AF:$AJ,VLOOKUP(A98,$AF:$AJ,5,FALSE)+2,2),0)</f>
        <v>#N/A</v>
      </c>
      <c r="R98" t="e" cm="1">
        <f t="array" ref="R98">ROUND(INDEX($AF:$AJ,VLOOKUP(A98,$AF:$AJ,5,FALSE)+3,2),0)</f>
        <v>#N/A</v>
      </c>
      <c r="S98" t="e" cm="1">
        <f t="array" ref="S98">ROUND(INDEX($AF:$AJ,VLOOKUP(A98,$AF:$AJ,5,FALSE)+2,3),0)</f>
        <v>#N/A</v>
      </c>
      <c r="T98" t="e" cm="1">
        <f t="array" ref="T98">ROUND(INDEX($AF:$AJ,VLOOKUP(A98,$AF:$AJ,5,FALSE)+3,3),0)</f>
        <v>#N/A</v>
      </c>
      <c r="U98" t="e" cm="1">
        <f t="array" ref="U98">ROUND(INDEX($AF:$AJ,VLOOKUP(A98,$AF:$AJ,5,FALSE)+2,4),0)</f>
        <v>#N/A</v>
      </c>
      <c r="V98" t="e" cm="1">
        <f t="array" ref="V98">ROUND(INDEX($AF:$AJ,VLOOKUP(A98,$AF:$AJ,5,FALSE)+3,4),0)</f>
        <v>#N/A</v>
      </c>
      <c r="X98" t="e">
        <f t="shared" si="31"/>
        <v>#N/A</v>
      </c>
      <c r="Y98" t="e">
        <f t="shared" si="32"/>
        <v>#N/A</v>
      </c>
      <c r="Z98" t="e">
        <f t="shared" si="33"/>
        <v>#N/A</v>
      </c>
      <c r="AA98" t="e">
        <f t="shared" si="34"/>
        <v>#N/A</v>
      </c>
      <c r="AE98" s="179" t="s">
        <v>1092</v>
      </c>
      <c r="AF98" s="1">
        <v>913.51062000000002</v>
      </c>
      <c r="AG98" s="1">
        <v>813501</v>
      </c>
      <c r="AH98" s="1">
        <v>14749.70703</v>
      </c>
      <c r="AI98" s="1">
        <v>64972.859380000002</v>
      </c>
      <c r="AJ98">
        <f t="shared" si="26"/>
        <v>98</v>
      </c>
    </row>
    <row r="99" spans="1:36">
      <c r="A99" s="1">
        <v>73062693</v>
      </c>
      <c r="B99" s="16">
        <v>9788371</v>
      </c>
      <c r="C99" s="16">
        <v>9829095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">
        <f t="shared" si="27"/>
        <v>40724</v>
      </c>
      <c r="K99" s="1">
        <f t="shared" si="28"/>
        <v>0</v>
      </c>
      <c r="L99" s="1">
        <f t="shared" si="29"/>
        <v>0</v>
      </c>
      <c r="M99" s="1">
        <f t="shared" si="30"/>
        <v>0</v>
      </c>
      <c r="O99" t="e" cm="1">
        <f t="array" ref="O99">ROUND(INDEX($AF:$AJ,VLOOKUP(A99,$AF:$AJ,5,FALSE)+2,1),0)</f>
        <v>#N/A</v>
      </c>
      <c r="P99" t="e" cm="1">
        <f t="array" ref="P99">ROUND(INDEX($AF:$AJ,VLOOKUP(A99,$AF:$AJ,5,FALSE)+3,1),0)</f>
        <v>#N/A</v>
      </c>
      <c r="Q99" t="e" cm="1">
        <f t="array" ref="Q99">ROUND(INDEX($AF:$AJ,VLOOKUP(A99,$AF:$AJ,5,FALSE)+2,2),0)</f>
        <v>#N/A</v>
      </c>
      <c r="R99" t="e" cm="1">
        <f t="array" ref="R99">ROUND(INDEX($AF:$AJ,VLOOKUP(A99,$AF:$AJ,5,FALSE)+3,2),0)</f>
        <v>#N/A</v>
      </c>
      <c r="S99" t="e" cm="1">
        <f t="array" ref="S99">ROUND(INDEX($AF:$AJ,VLOOKUP(A99,$AF:$AJ,5,FALSE)+2,3),0)</f>
        <v>#N/A</v>
      </c>
      <c r="T99" t="e" cm="1">
        <f t="array" ref="T99">ROUND(INDEX($AF:$AJ,VLOOKUP(A99,$AF:$AJ,5,FALSE)+3,3),0)</f>
        <v>#N/A</v>
      </c>
      <c r="U99" t="e" cm="1">
        <f t="array" ref="U99">ROUND(INDEX($AF:$AJ,VLOOKUP(A99,$AF:$AJ,5,FALSE)+2,4),0)</f>
        <v>#N/A</v>
      </c>
      <c r="V99" t="e" cm="1">
        <f t="array" ref="V99">ROUND(INDEX($AF:$AJ,VLOOKUP(A99,$AF:$AJ,5,FALSE)+3,4),0)</f>
        <v>#N/A</v>
      </c>
      <c r="X99" t="e">
        <f t="shared" si="31"/>
        <v>#N/A</v>
      </c>
      <c r="Y99" t="e">
        <f t="shared" si="32"/>
        <v>#N/A</v>
      </c>
      <c r="Z99" t="e">
        <f t="shared" si="33"/>
        <v>#N/A</v>
      </c>
      <c r="AA99" t="e">
        <f t="shared" si="34"/>
        <v>#N/A</v>
      </c>
      <c r="AE99" s="179" t="s">
        <v>1093</v>
      </c>
      <c r="AF99" s="1">
        <v>944.83148000000006</v>
      </c>
      <c r="AG99" s="1">
        <v>857604.0625</v>
      </c>
      <c r="AH99" s="1">
        <v>15228.58008</v>
      </c>
      <c r="AI99" s="1">
        <v>68382.398440000004</v>
      </c>
      <c r="AJ99">
        <f>AJ98+1</f>
        <v>99</v>
      </c>
    </row>
    <row r="100" spans="1:36">
      <c r="A100" s="1">
        <v>73062694</v>
      </c>
      <c r="B100" s="16">
        <v>4246001</v>
      </c>
      <c r="C100" s="16">
        <v>4276286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">
        <f t="shared" si="27"/>
        <v>30285</v>
      </c>
      <c r="K100" s="1">
        <f t="shared" si="28"/>
        <v>0</v>
      </c>
      <c r="L100" s="1">
        <f t="shared" si="29"/>
        <v>0</v>
      </c>
      <c r="M100" s="1">
        <f t="shared" si="30"/>
        <v>0</v>
      </c>
      <c r="O100" t="e" cm="1">
        <f t="array" ref="O100">ROUND(INDEX($AF:$AJ,VLOOKUP(A100,$AF:$AJ,5,FALSE)+2,1),0)</f>
        <v>#N/A</v>
      </c>
      <c r="P100" t="e" cm="1">
        <f t="array" ref="P100">ROUND(INDEX($AF:$AJ,VLOOKUP(A100,$AF:$AJ,5,FALSE)+3,1),0)</f>
        <v>#N/A</v>
      </c>
      <c r="Q100" t="e" cm="1">
        <f t="array" ref="Q100">ROUND(INDEX($AF:$AJ,VLOOKUP(A100,$AF:$AJ,5,FALSE)+2,2),0)</f>
        <v>#N/A</v>
      </c>
      <c r="R100" t="e" cm="1">
        <f t="array" ref="R100">ROUND(INDEX($AF:$AJ,VLOOKUP(A100,$AF:$AJ,5,FALSE)+3,2),0)</f>
        <v>#N/A</v>
      </c>
      <c r="S100" t="e" cm="1">
        <f t="array" ref="S100">ROUND(INDEX($AF:$AJ,VLOOKUP(A100,$AF:$AJ,5,FALSE)+2,3),0)</f>
        <v>#N/A</v>
      </c>
      <c r="T100" t="e" cm="1">
        <f t="array" ref="T100">ROUND(INDEX($AF:$AJ,VLOOKUP(A100,$AF:$AJ,5,FALSE)+3,3),0)</f>
        <v>#N/A</v>
      </c>
      <c r="U100" t="e" cm="1">
        <f t="array" ref="U100">ROUND(INDEX($AF:$AJ,VLOOKUP(A100,$AF:$AJ,5,FALSE)+2,4),0)</f>
        <v>#N/A</v>
      </c>
      <c r="V100" t="e" cm="1">
        <f t="array" ref="V100">ROUND(INDEX($AF:$AJ,VLOOKUP(A100,$AF:$AJ,5,FALSE)+3,4),0)</f>
        <v>#N/A</v>
      </c>
      <c r="X100" t="e">
        <f t="shared" si="31"/>
        <v>#N/A</v>
      </c>
      <c r="Y100" t="e">
        <f t="shared" si="32"/>
        <v>#N/A</v>
      </c>
      <c r="Z100" t="e">
        <f t="shared" si="33"/>
        <v>#N/A</v>
      </c>
      <c r="AA100" t="e">
        <f t="shared" si="34"/>
        <v>#N/A</v>
      </c>
      <c r="AE100" s="179" t="s">
        <v>1094</v>
      </c>
      <c r="AF100" s="1">
        <f>AF99-AF98</f>
        <v>31.320860000000039</v>
      </c>
      <c r="AG100" s="1">
        <f>AG99-AG98</f>
        <v>44103.0625</v>
      </c>
      <c r="AH100" s="1">
        <f>AH99-AH98</f>
        <v>478.87305000000015</v>
      </c>
      <c r="AI100" s="1">
        <f>AI99-AI98</f>
        <v>3409.5390600000028</v>
      </c>
      <c r="AJ100">
        <f>AJ99+1</f>
        <v>100</v>
      </c>
    </row>
    <row r="101" spans="1:36">
      <c r="A101" s="1">
        <v>23298245</v>
      </c>
      <c r="B101" s="16">
        <v>2132.3200000000002</v>
      </c>
      <c r="C101" s="16">
        <v>2332.64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f>(C101-B101)*500</f>
        <v>100159.99999999985</v>
      </c>
      <c r="K101" s="1">
        <f t="shared" si="28"/>
        <v>0</v>
      </c>
      <c r="L101" s="1">
        <f t="shared" si="29"/>
        <v>0</v>
      </c>
      <c r="M101" s="1">
        <f t="shared" si="30"/>
        <v>0</v>
      </c>
      <c r="O101" t="e" cm="1">
        <f t="array" ref="O101">ROUND(INDEX($AF:$AJ,VLOOKUP(A101,$AF:$AJ,5,FALSE)+2,1),0)</f>
        <v>#N/A</v>
      </c>
      <c r="P101" t="e" cm="1">
        <f t="array" ref="P101">ROUND(INDEX($AF:$AJ,VLOOKUP(A101,$AF:$AJ,5,FALSE)+3,1),0)</f>
        <v>#N/A</v>
      </c>
      <c r="Q101" t="e" cm="1">
        <f t="array" ref="Q101">ROUND(INDEX($AF:$AJ,VLOOKUP(A101,$AF:$AJ,5,FALSE)+2,2),0)</f>
        <v>#N/A</v>
      </c>
      <c r="R101" t="e" cm="1">
        <f t="array" ref="R101">ROUND(INDEX($AF:$AJ,VLOOKUP(A101,$AF:$AJ,5,FALSE)+3,2),0)</f>
        <v>#N/A</v>
      </c>
      <c r="S101" t="e" cm="1">
        <f t="array" ref="S101">ROUND(INDEX($AF:$AJ,VLOOKUP(A101,$AF:$AJ,5,FALSE)+2,3),0)</f>
        <v>#N/A</v>
      </c>
      <c r="T101" t="e" cm="1">
        <f t="array" ref="T101">ROUND(INDEX($AF:$AJ,VLOOKUP(A101,$AF:$AJ,5,FALSE)+3,3),0)</f>
        <v>#N/A</v>
      </c>
      <c r="U101" t="e" cm="1">
        <f t="array" ref="U101">ROUND(INDEX($AF:$AJ,VLOOKUP(A101,$AF:$AJ,5,FALSE)+2,4),0)</f>
        <v>#N/A</v>
      </c>
      <c r="V101" t="e" cm="1">
        <f t="array" ref="V101">ROUND(INDEX($AF:$AJ,VLOOKUP(A101,$AF:$AJ,5,FALSE)+3,4),0)</f>
        <v>#N/A</v>
      </c>
      <c r="X101" t="e">
        <f t="shared" si="31"/>
        <v>#N/A</v>
      </c>
      <c r="Y101" t="e">
        <f t="shared" si="32"/>
        <v>#N/A</v>
      </c>
      <c r="Z101" t="e">
        <f t="shared" si="33"/>
        <v>#N/A</v>
      </c>
      <c r="AA101" t="e">
        <f t="shared" si="34"/>
        <v>#N/A</v>
      </c>
      <c r="AE101" s="179" t="s">
        <v>1090</v>
      </c>
      <c r="AF101" s="560">
        <v>1371020412</v>
      </c>
      <c r="AG101" s="1" t="s">
        <v>1095</v>
      </c>
      <c r="AH101" s="1" t="s">
        <v>1095</v>
      </c>
      <c r="AI101" s="1" t="s">
        <v>1095</v>
      </c>
      <c r="AJ101">
        <f t="shared" si="26"/>
        <v>101</v>
      </c>
    </row>
    <row r="102" spans="1:36">
      <c r="A102" s="1">
        <v>1373266817</v>
      </c>
      <c r="B102" s="1">
        <f t="shared" ref="B102:I108" si="36">O102</f>
        <v>880772</v>
      </c>
      <c r="C102" s="1">
        <f t="shared" si="36"/>
        <v>922820</v>
      </c>
      <c r="D102" s="1">
        <f t="shared" ref="D102:I103" si="37">Q102</f>
        <v>1854</v>
      </c>
      <c r="E102" s="1">
        <f t="shared" si="37"/>
        <v>1882</v>
      </c>
      <c r="F102" s="1">
        <f t="shared" si="37"/>
        <v>67463</v>
      </c>
      <c r="G102" s="1">
        <f t="shared" si="37"/>
        <v>67670</v>
      </c>
      <c r="H102" s="1">
        <f t="shared" si="37"/>
        <v>39252</v>
      </c>
      <c r="I102" s="1">
        <f t="shared" si="37"/>
        <v>47259</v>
      </c>
      <c r="J102" s="1">
        <f t="shared" ref="J102:J108" si="38">C102-B102</f>
        <v>42048</v>
      </c>
      <c r="K102" s="1">
        <f t="shared" si="28"/>
        <v>28</v>
      </c>
      <c r="L102" s="1">
        <f t="shared" si="29"/>
        <v>207</v>
      </c>
      <c r="M102" s="1">
        <f t="shared" si="30"/>
        <v>8007</v>
      </c>
      <c r="O102" cm="1">
        <f t="array" ref="O102">ROUND(INDEX($AF:$AJ,VLOOKUP(A102,$AF:$AJ,5,FALSE)+2,1),0)</f>
        <v>880772</v>
      </c>
      <c r="P102" cm="1">
        <f t="array" ref="P102">ROUND(INDEX($AF:$AJ,VLOOKUP(A102,$AF:$AJ,5,FALSE)+3,1),0)</f>
        <v>922820</v>
      </c>
      <c r="Q102" cm="1">
        <f t="array" ref="Q102">ROUND(INDEX($AF:$AJ,VLOOKUP(A102,$AF:$AJ,5,FALSE)+2,2),0)</f>
        <v>1854</v>
      </c>
      <c r="R102" cm="1">
        <f t="array" ref="R102">ROUND(INDEX($AF:$AJ,VLOOKUP(A102,$AF:$AJ,5,FALSE)+3,2),0)</f>
        <v>1882</v>
      </c>
      <c r="S102" cm="1">
        <f t="array" ref="S102">ROUND(INDEX($AF:$AJ,VLOOKUP(A102,$AF:$AJ,5,FALSE)+2,3),0)</f>
        <v>67463</v>
      </c>
      <c r="T102" cm="1">
        <f t="array" ref="T102">ROUND(INDEX($AF:$AJ,VLOOKUP(A102,$AF:$AJ,5,FALSE)+3,3),0)</f>
        <v>67670</v>
      </c>
      <c r="U102" cm="1">
        <f t="array" ref="U102">ROUND(INDEX($AF:$AJ,VLOOKUP(A102,$AF:$AJ,5,FALSE)+2,4),0)</f>
        <v>39252</v>
      </c>
      <c r="V102" cm="1">
        <f t="array" ref="V102">ROUND(INDEX($AF:$AJ,VLOOKUP(A102,$AF:$AJ,5,FALSE)+3,4),0)</f>
        <v>47259</v>
      </c>
      <c r="X102">
        <f t="shared" si="31"/>
        <v>-42048</v>
      </c>
      <c r="Y102">
        <f t="shared" si="32"/>
        <v>-28</v>
      </c>
      <c r="Z102">
        <f t="shared" si="33"/>
        <v>-207</v>
      </c>
      <c r="AA102">
        <f t="shared" si="34"/>
        <v>-8007</v>
      </c>
      <c r="AE102" s="179" t="s">
        <v>1091</v>
      </c>
      <c r="AF102" s="1" t="s">
        <v>440</v>
      </c>
      <c r="AG102" s="1" t="s">
        <v>441</v>
      </c>
      <c r="AH102" s="1" t="s">
        <v>442</v>
      </c>
      <c r="AI102" s="1" t="s">
        <v>1022</v>
      </c>
      <c r="AJ102">
        <f t="shared" si="26"/>
        <v>102</v>
      </c>
    </row>
    <row r="103" spans="1:36">
      <c r="A103" s="1">
        <v>1372628356</v>
      </c>
      <c r="B103" s="1">
        <f t="shared" si="36"/>
        <v>454</v>
      </c>
      <c r="C103" s="1">
        <f t="shared" si="36"/>
        <v>512</v>
      </c>
      <c r="D103" s="1">
        <f t="shared" si="37"/>
        <v>648905</v>
      </c>
      <c r="E103" s="1">
        <f t="shared" si="37"/>
        <v>697826</v>
      </c>
      <c r="F103" s="1">
        <f t="shared" si="37"/>
        <v>1757</v>
      </c>
      <c r="G103" s="1">
        <f t="shared" si="37"/>
        <v>1916</v>
      </c>
      <c r="H103" s="1">
        <f t="shared" si="37"/>
        <v>11322</v>
      </c>
      <c r="I103" s="1">
        <f t="shared" si="37"/>
        <v>12083</v>
      </c>
      <c r="J103" s="1">
        <f t="shared" si="38"/>
        <v>58</v>
      </c>
      <c r="K103" s="1">
        <f t="shared" si="28"/>
        <v>48921</v>
      </c>
      <c r="L103" s="1">
        <f>G103-F103</f>
        <v>159</v>
      </c>
      <c r="M103" s="1">
        <f>I103-H103</f>
        <v>761</v>
      </c>
      <c r="O103" cm="1">
        <f t="array" ref="O103">ROUND(INDEX($AF:$AJ,VLOOKUP(A103,$AF:$AJ,5,FALSE)+2,1),0)</f>
        <v>454</v>
      </c>
      <c r="P103" cm="1">
        <f t="array" ref="P103">ROUND(INDEX($AF:$AJ,VLOOKUP(A103,$AF:$AJ,5,FALSE)+3,1),0)</f>
        <v>512</v>
      </c>
      <c r="Q103" cm="1">
        <f t="array" ref="Q103">ROUND(INDEX($AF:$AJ,VLOOKUP(A103,$AF:$AJ,5,FALSE)+2,2),0)</f>
        <v>648905</v>
      </c>
      <c r="R103" cm="1">
        <f t="array" ref="R103">ROUND(INDEX($AF:$AJ,VLOOKUP(A103,$AF:$AJ,5,FALSE)+3,2),0)</f>
        <v>697826</v>
      </c>
      <c r="S103" cm="1">
        <f t="array" ref="S103">ROUND(INDEX($AF:$AJ,VLOOKUP(A103,$AF:$AJ,5,FALSE)+2,3),0)</f>
        <v>1757</v>
      </c>
      <c r="T103" cm="1">
        <f t="array" ref="T103">ROUND(INDEX($AF:$AJ,VLOOKUP(A103,$AF:$AJ,5,FALSE)+3,3),0)</f>
        <v>1916</v>
      </c>
      <c r="U103" cm="1">
        <f t="array" ref="U103">ROUND(INDEX($AF:$AJ,VLOOKUP(A103,$AF:$AJ,5,FALSE)+2,4),0)</f>
        <v>11322</v>
      </c>
      <c r="V103" cm="1">
        <f t="array" ref="V103">ROUND(INDEX($AF:$AJ,VLOOKUP(A103,$AF:$AJ,5,FALSE)+3,4),0)</f>
        <v>12083</v>
      </c>
      <c r="X103">
        <f t="shared" si="31"/>
        <v>-58</v>
      </c>
      <c r="Y103">
        <f t="shared" si="32"/>
        <v>-48921</v>
      </c>
      <c r="Z103">
        <f t="shared" si="33"/>
        <v>-159</v>
      </c>
      <c r="AA103">
        <f t="shared" si="34"/>
        <v>-761</v>
      </c>
      <c r="AE103" s="179" t="s">
        <v>1092</v>
      </c>
      <c r="AF103" s="1">
        <v>456.58481</v>
      </c>
      <c r="AG103" s="1">
        <v>2146056.5</v>
      </c>
      <c r="AH103" s="1">
        <v>18041.537110000001</v>
      </c>
      <c r="AI103" s="1">
        <v>15744.545899999999</v>
      </c>
      <c r="AJ103">
        <f t="shared" si="26"/>
        <v>103</v>
      </c>
    </row>
    <row r="104" spans="1:36">
      <c r="A104" s="17">
        <v>1371034851</v>
      </c>
      <c r="B104" s="1">
        <f t="shared" si="36"/>
        <v>340331</v>
      </c>
      <c r="C104" s="1">
        <f t="shared" si="36"/>
        <v>346767</v>
      </c>
      <c r="D104" s="1">
        <f t="shared" si="36"/>
        <v>204812</v>
      </c>
      <c r="E104" s="1">
        <f t="shared" si="36"/>
        <v>225116</v>
      </c>
      <c r="F104" s="1">
        <f t="shared" si="36"/>
        <v>250</v>
      </c>
      <c r="G104" s="1">
        <f t="shared" si="36"/>
        <v>250</v>
      </c>
      <c r="H104" s="1">
        <f t="shared" si="36"/>
        <v>165308</v>
      </c>
      <c r="I104" s="1">
        <f t="shared" si="36"/>
        <v>172661</v>
      </c>
      <c r="J104" s="1">
        <f t="shared" si="38"/>
        <v>6436</v>
      </c>
      <c r="K104" s="1">
        <f t="shared" si="28"/>
        <v>20304</v>
      </c>
      <c r="L104" s="1">
        <f t="shared" si="29"/>
        <v>0</v>
      </c>
      <c r="M104" s="1">
        <f t="shared" si="30"/>
        <v>7353</v>
      </c>
      <c r="O104" cm="1">
        <f t="array" ref="O104">ROUND(INDEX($AF:$AJ,VLOOKUP(A104,$AF:$AJ,5,FALSE)+2,1),0)</f>
        <v>340331</v>
      </c>
      <c r="P104" cm="1">
        <f t="array" ref="P104">ROUND(INDEX($AF:$AJ,VLOOKUP(A104,$AF:$AJ,5,FALSE)+3,1),0)</f>
        <v>346767</v>
      </c>
      <c r="Q104" cm="1">
        <f t="array" ref="Q104">ROUND(INDEX($AF:$AJ,VLOOKUP(A104,$AF:$AJ,5,FALSE)+2,2),0)</f>
        <v>204812</v>
      </c>
      <c r="R104" cm="1">
        <f t="array" ref="R104">ROUND(INDEX($AF:$AJ,VLOOKUP(A104,$AF:$AJ,5,FALSE)+3,2),0)</f>
        <v>225116</v>
      </c>
      <c r="S104" cm="1">
        <f t="array" ref="S104">ROUND(INDEX($AF:$AJ,VLOOKUP(A104,$AF:$AJ,5,FALSE)+2,3),0)</f>
        <v>250</v>
      </c>
      <c r="T104" cm="1">
        <f t="array" ref="T104">ROUND(INDEX($AF:$AJ,VLOOKUP(A104,$AF:$AJ,5,FALSE)+3,3),0)</f>
        <v>250</v>
      </c>
      <c r="U104" cm="1">
        <f t="array" ref="U104">ROUND(INDEX($AF:$AJ,VLOOKUP(A104,$AF:$AJ,5,FALSE)+2,4),0)</f>
        <v>165308</v>
      </c>
      <c r="V104" cm="1">
        <f t="array" ref="V104">ROUND(INDEX($AF:$AJ,VLOOKUP(A104,$AF:$AJ,5,FALSE)+3,4),0)</f>
        <v>172661</v>
      </c>
      <c r="X104">
        <f t="shared" si="31"/>
        <v>-6436</v>
      </c>
      <c r="Y104">
        <f t="shared" si="32"/>
        <v>-20304</v>
      </c>
      <c r="Z104">
        <f t="shared" si="33"/>
        <v>0</v>
      </c>
      <c r="AA104">
        <f t="shared" si="34"/>
        <v>-7353</v>
      </c>
      <c r="AE104" s="179" t="s">
        <v>1093</v>
      </c>
      <c r="AF104" s="1">
        <v>475.17284999999998</v>
      </c>
      <c r="AG104" s="1">
        <v>2266090.25</v>
      </c>
      <c r="AH104" s="1">
        <v>19115.816409999999</v>
      </c>
      <c r="AI104" s="1">
        <v>16399.525389999999</v>
      </c>
      <c r="AJ104">
        <f t="shared" si="26"/>
        <v>104</v>
      </c>
    </row>
    <row r="105" spans="1:36">
      <c r="A105" s="17">
        <v>1369359116</v>
      </c>
      <c r="B105" s="1">
        <f t="shared" si="36"/>
        <v>447023</v>
      </c>
      <c r="C105" s="1">
        <f t="shared" si="36"/>
        <v>457260</v>
      </c>
      <c r="D105" s="1">
        <f t="shared" si="36"/>
        <v>239420</v>
      </c>
      <c r="E105" s="1">
        <f t="shared" si="36"/>
        <v>261171</v>
      </c>
      <c r="F105" s="1">
        <f t="shared" si="36"/>
        <v>336</v>
      </c>
      <c r="G105" s="1">
        <f t="shared" si="36"/>
        <v>336</v>
      </c>
      <c r="H105" s="1">
        <f t="shared" si="36"/>
        <v>206390</v>
      </c>
      <c r="I105" s="1">
        <f t="shared" si="36"/>
        <v>214901</v>
      </c>
      <c r="J105" s="1">
        <f t="shared" si="38"/>
        <v>10237</v>
      </c>
      <c r="K105" s="1">
        <f t="shared" si="28"/>
        <v>21751</v>
      </c>
      <c r="L105" s="1">
        <f t="shared" si="29"/>
        <v>0</v>
      </c>
      <c r="M105" s="1">
        <f t="shared" si="30"/>
        <v>8511</v>
      </c>
      <c r="O105" cm="1">
        <f t="array" ref="O105">ROUND(INDEX($AF:$AJ,VLOOKUP(A105,$AF:$AJ,5,FALSE)+2,1),0)</f>
        <v>447023</v>
      </c>
      <c r="P105" cm="1">
        <f t="array" ref="P105">ROUND(INDEX($AF:$AJ,VLOOKUP(A105,$AF:$AJ,5,FALSE)+3,1),0)</f>
        <v>457260</v>
      </c>
      <c r="Q105" cm="1">
        <f t="array" ref="Q105">ROUND(INDEX($AF:$AJ,VLOOKUP(A105,$AF:$AJ,5,FALSE)+2,2),0)</f>
        <v>239420</v>
      </c>
      <c r="R105" cm="1">
        <f t="array" ref="R105">ROUND(INDEX($AF:$AJ,VLOOKUP(A105,$AF:$AJ,5,FALSE)+3,2),0)</f>
        <v>261171</v>
      </c>
      <c r="S105" cm="1">
        <f t="array" ref="S105">ROUND(INDEX($AF:$AJ,VLOOKUP(A105,$AF:$AJ,5,FALSE)+2,3),0)</f>
        <v>336</v>
      </c>
      <c r="T105" cm="1">
        <f t="array" ref="T105">ROUND(INDEX($AF:$AJ,VLOOKUP(A105,$AF:$AJ,5,FALSE)+3,3),0)</f>
        <v>336</v>
      </c>
      <c r="U105" cm="1">
        <f t="array" ref="U105">ROUND(INDEX($AF:$AJ,VLOOKUP(A105,$AF:$AJ,5,FALSE)+2,4),0)</f>
        <v>206390</v>
      </c>
      <c r="V105" cm="1">
        <f t="array" ref="V105">ROUND(INDEX($AF:$AJ,VLOOKUP(A105,$AF:$AJ,5,FALSE)+3,4),0)</f>
        <v>214901</v>
      </c>
      <c r="X105">
        <f t="shared" si="31"/>
        <v>-10237</v>
      </c>
      <c r="Y105">
        <f t="shared" si="32"/>
        <v>-21751</v>
      </c>
      <c r="Z105">
        <f t="shared" si="33"/>
        <v>0</v>
      </c>
      <c r="AA105">
        <f t="shared" si="34"/>
        <v>-8511</v>
      </c>
      <c r="AE105" s="179" t="s">
        <v>1094</v>
      </c>
      <c r="AF105" s="1">
        <f>AF104-AF103</f>
        <v>18.588039999999978</v>
      </c>
      <c r="AG105" s="1">
        <f>AG104-AG103</f>
        <v>120033.75</v>
      </c>
      <c r="AH105" s="1">
        <f>AH104-AH103</f>
        <v>1074.2792999999983</v>
      </c>
      <c r="AI105" s="1">
        <f>AI104-AI103</f>
        <v>654.97948999999971</v>
      </c>
      <c r="AJ105">
        <f t="shared" si="26"/>
        <v>105</v>
      </c>
    </row>
    <row r="106" spans="1:36">
      <c r="A106" s="17">
        <v>1369358824</v>
      </c>
      <c r="B106" s="1">
        <f t="shared" si="36"/>
        <v>240095</v>
      </c>
      <c r="C106" s="1">
        <f t="shared" si="36"/>
        <v>243996</v>
      </c>
      <c r="D106" s="1">
        <f t="shared" si="36"/>
        <v>187666</v>
      </c>
      <c r="E106" s="1">
        <f t="shared" si="36"/>
        <v>210251</v>
      </c>
      <c r="F106" s="1">
        <f t="shared" si="36"/>
        <v>3711</v>
      </c>
      <c r="G106" s="1">
        <f t="shared" si="36"/>
        <v>3762</v>
      </c>
      <c r="H106" s="1">
        <f t="shared" si="36"/>
        <v>77721</v>
      </c>
      <c r="I106" s="1">
        <f t="shared" si="36"/>
        <v>80767</v>
      </c>
      <c r="J106" s="1">
        <f t="shared" si="38"/>
        <v>3901</v>
      </c>
      <c r="K106" s="1">
        <f t="shared" si="28"/>
        <v>22585</v>
      </c>
      <c r="L106" s="1">
        <f t="shared" si="29"/>
        <v>51</v>
      </c>
      <c r="M106" s="1">
        <f t="shared" si="30"/>
        <v>3046</v>
      </c>
      <c r="O106" cm="1">
        <f t="array" ref="O106">ROUND(INDEX($AF:$AJ,VLOOKUP(A106,$AF:$AJ,5,FALSE)+2,1),0)</f>
        <v>240095</v>
      </c>
      <c r="P106" cm="1">
        <f t="array" ref="P106">ROUND(INDEX($AF:$AJ,VLOOKUP(A106,$AF:$AJ,5,FALSE)+3,1),0)</f>
        <v>243996</v>
      </c>
      <c r="Q106" cm="1">
        <f t="array" ref="Q106">ROUND(INDEX($AF:$AJ,VLOOKUP(A106,$AF:$AJ,5,FALSE)+2,2),0)</f>
        <v>187666</v>
      </c>
      <c r="R106" cm="1">
        <f t="array" ref="R106">ROUND(INDEX($AF:$AJ,VLOOKUP(A106,$AF:$AJ,5,FALSE)+3,2),0)</f>
        <v>210251</v>
      </c>
      <c r="S106" cm="1">
        <f t="array" ref="S106">ROUND(INDEX($AF:$AJ,VLOOKUP(A106,$AF:$AJ,5,FALSE)+2,3),0)</f>
        <v>3711</v>
      </c>
      <c r="T106" cm="1">
        <f t="array" ref="T106">ROUND(INDEX($AF:$AJ,VLOOKUP(A106,$AF:$AJ,5,FALSE)+3,3),0)</f>
        <v>3762</v>
      </c>
      <c r="U106" cm="1">
        <f t="array" ref="U106">ROUND(INDEX($AF:$AJ,VLOOKUP(A106,$AF:$AJ,5,FALSE)+2,4),0)</f>
        <v>77721</v>
      </c>
      <c r="V106" cm="1">
        <f t="array" ref="V106">ROUND(INDEX($AF:$AJ,VLOOKUP(A106,$AF:$AJ,5,FALSE)+3,4),0)</f>
        <v>80767</v>
      </c>
      <c r="X106">
        <f t="shared" si="31"/>
        <v>-3901</v>
      </c>
      <c r="Y106">
        <f t="shared" si="32"/>
        <v>-22585</v>
      </c>
      <c r="Z106">
        <f t="shared" si="33"/>
        <v>-51</v>
      </c>
      <c r="AA106">
        <f t="shared" si="34"/>
        <v>-3046</v>
      </c>
      <c r="AE106" s="179" t="s">
        <v>1090</v>
      </c>
      <c r="AF106" s="560">
        <v>1371022908</v>
      </c>
      <c r="AG106" s="1" t="s">
        <v>1095</v>
      </c>
      <c r="AH106" s="1" t="s">
        <v>1095</v>
      </c>
      <c r="AI106" s="1" t="s">
        <v>1095</v>
      </c>
      <c r="AJ106">
        <f t="shared" si="26"/>
        <v>106</v>
      </c>
    </row>
    <row r="107" spans="1:36">
      <c r="A107" s="17">
        <v>1369358662</v>
      </c>
      <c r="B107" s="1">
        <f t="shared" si="36"/>
        <v>867281</v>
      </c>
      <c r="C107" s="1">
        <f t="shared" si="36"/>
        <v>889379</v>
      </c>
      <c r="D107" s="1">
        <f t="shared" si="36"/>
        <v>116839</v>
      </c>
      <c r="E107" s="1">
        <f t="shared" si="36"/>
        <v>117498</v>
      </c>
      <c r="F107" s="1">
        <f t="shared" si="36"/>
        <v>103017</v>
      </c>
      <c r="G107" s="1">
        <f t="shared" si="36"/>
        <v>103981</v>
      </c>
      <c r="H107" s="1">
        <f t="shared" si="36"/>
        <v>92317</v>
      </c>
      <c r="I107" s="1">
        <f t="shared" si="36"/>
        <v>96918</v>
      </c>
      <c r="J107" s="1">
        <f t="shared" si="38"/>
        <v>22098</v>
      </c>
      <c r="K107" s="1">
        <f t="shared" si="28"/>
        <v>659</v>
      </c>
      <c r="L107" s="1">
        <f t="shared" si="29"/>
        <v>964</v>
      </c>
      <c r="M107" s="1">
        <f t="shared" si="30"/>
        <v>4601</v>
      </c>
      <c r="O107" cm="1">
        <f t="array" ref="O107">ROUND(INDEX($AF:$AJ,VLOOKUP(A107,$AF:$AJ,5,FALSE)+2,1),0)</f>
        <v>867281</v>
      </c>
      <c r="P107" cm="1">
        <f t="array" ref="P107">ROUND(INDEX($AF:$AJ,VLOOKUP(A107,$AF:$AJ,5,FALSE)+3,1),0)</f>
        <v>889379</v>
      </c>
      <c r="Q107" cm="1">
        <f t="array" ref="Q107">ROUND(INDEX($AF:$AJ,VLOOKUP(A107,$AF:$AJ,5,FALSE)+2,2),0)</f>
        <v>116839</v>
      </c>
      <c r="R107" cm="1">
        <f t="array" ref="R107">ROUND(INDEX($AF:$AJ,VLOOKUP(A107,$AF:$AJ,5,FALSE)+3,2),0)</f>
        <v>117498</v>
      </c>
      <c r="S107" cm="1">
        <f t="array" ref="S107">ROUND(INDEX($AF:$AJ,VLOOKUP(A107,$AF:$AJ,5,FALSE)+2,3),0)</f>
        <v>103017</v>
      </c>
      <c r="T107" cm="1">
        <f t="array" ref="T107">ROUND(INDEX($AF:$AJ,VLOOKUP(A107,$AF:$AJ,5,FALSE)+3,3),0)</f>
        <v>103981</v>
      </c>
      <c r="U107" cm="1">
        <f t="array" ref="U107">ROUND(INDEX($AF:$AJ,VLOOKUP(A107,$AF:$AJ,5,FALSE)+2,4),0)</f>
        <v>92317</v>
      </c>
      <c r="V107" cm="1">
        <f t="array" ref="V107">ROUND(INDEX($AF:$AJ,VLOOKUP(A107,$AF:$AJ,5,FALSE)+3,4),0)</f>
        <v>96918</v>
      </c>
      <c r="X107">
        <f t="shared" si="31"/>
        <v>-22098</v>
      </c>
      <c r="Y107">
        <f t="shared" si="32"/>
        <v>-659</v>
      </c>
      <c r="Z107">
        <f t="shared" si="33"/>
        <v>-964</v>
      </c>
      <c r="AA107">
        <f t="shared" si="34"/>
        <v>-4601</v>
      </c>
      <c r="AE107" s="179" t="s">
        <v>1091</v>
      </c>
      <c r="AF107" s="1" t="s">
        <v>440</v>
      </c>
      <c r="AG107" s="1" t="s">
        <v>441</v>
      </c>
      <c r="AH107" s="1" t="s">
        <v>442</v>
      </c>
      <c r="AI107" s="1" t="s">
        <v>1022</v>
      </c>
      <c r="AJ107">
        <f t="shared" si="26"/>
        <v>107</v>
      </c>
    </row>
    <row r="108" spans="1:36">
      <c r="A108" s="17">
        <v>1369546098</v>
      </c>
      <c r="B108" s="1">
        <f t="shared" si="36"/>
        <v>599848</v>
      </c>
      <c r="C108" s="1">
        <f t="shared" si="36"/>
        <v>612763</v>
      </c>
      <c r="D108" s="1">
        <f t="shared" si="36"/>
        <v>122864</v>
      </c>
      <c r="E108" s="1">
        <f t="shared" si="36"/>
        <v>136050</v>
      </c>
      <c r="F108" s="1">
        <f t="shared" si="36"/>
        <v>63011</v>
      </c>
      <c r="G108" s="1">
        <f t="shared" si="36"/>
        <v>64016</v>
      </c>
      <c r="H108" s="1">
        <f t="shared" si="36"/>
        <v>45402</v>
      </c>
      <c r="I108" s="1">
        <f t="shared" si="36"/>
        <v>47240</v>
      </c>
      <c r="J108" s="1">
        <f t="shared" si="38"/>
        <v>12915</v>
      </c>
      <c r="K108" s="1">
        <f t="shared" si="28"/>
        <v>13186</v>
      </c>
      <c r="L108" s="1">
        <f t="shared" si="29"/>
        <v>1005</v>
      </c>
      <c r="M108" s="1">
        <f t="shared" si="30"/>
        <v>1838</v>
      </c>
      <c r="O108" cm="1">
        <f t="array" ref="O108">ROUND(INDEX($AF:$AJ,VLOOKUP(A108,$AF:$AJ,5,FALSE)+2,1),0)</f>
        <v>599848</v>
      </c>
      <c r="P108" cm="1">
        <f t="array" ref="P108">ROUND(INDEX($AF:$AJ,VLOOKUP(A108,$AF:$AJ,5,FALSE)+3,1),0)</f>
        <v>612763</v>
      </c>
      <c r="Q108" cm="1">
        <f t="array" ref="Q108">ROUND(INDEX($AF:$AJ,VLOOKUP(A108,$AF:$AJ,5,FALSE)+2,2),0)</f>
        <v>122864</v>
      </c>
      <c r="R108" cm="1">
        <f t="array" ref="R108">ROUND(INDEX($AF:$AJ,VLOOKUP(A108,$AF:$AJ,5,FALSE)+3,2),0)</f>
        <v>136050</v>
      </c>
      <c r="S108" cm="1">
        <f t="array" ref="S108">ROUND(INDEX($AF:$AJ,VLOOKUP(A108,$AF:$AJ,5,FALSE)+2,3),0)</f>
        <v>63011</v>
      </c>
      <c r="T108" cm="1">
        <f t="array" ref="T108">ROUND(INDEX($AF:$AJ,VLOOKUP(A108,$AF:$AJ,5,FALSE)+3,3),0)</f>
        <v>64016</v>
      </c>
      <c r="U108" cm="1">
        <f t="array" ref="U108">ROUND(INDEX($AF:$AJ,VLOOKUP(A108,$AF:$AJ,5,FALSE)+2,4),0)</f>
        <v>45402</v>
      </c>
      <c r="V108" cm="1">
        <f t="array" ref="V108">ROUND(INDEX($AF:$AJ,VLOOKUP(A108,$AF:$AJ,5,FALSE)+3,4),0)</f>
        <v>47240</v>
      </c>
      <c r="X108">
        <f t="shared" si="31"/>
        <v>-12915</v>
      </c>
      <c r="Y108">
        <f t="shared" si="32"/>
        <v>-13186</v>
      </c>
      <c r="Z108">
        <f t="shared" si="33"/>
        <v>-1005</v>
      </c>
      <c r="AA108">
        <f t="shared" si="34"/>
        <v>-1838</v>
      </c>
      <c r="AE108" s="179" t="s">
        <v>1092</v>
      </c>
      <c r="AF108" s="1">
        <v>5130727.5</v>
      </c>
      <c r="AG108" s="1">
        <v>53252.171880000002</v>
      </c>
      <c r="AH108" s="1">
        <v>268876.90625</v>
      </c>
      <c r="AI108" s="1">
        <v>197377.875</v>
      </c>
      <c r="AJ108">
        <f t="shared" si="26"/>
        <v>108</v>
      </c>
    </row>
    <row r="109" spans="1:36">
      <c r="A109" s="17">
        <v>1370127133</v>
      </c>
      <c r="B109" s="1">
        <f t="shared" ref="B109:B119" si="39">O109</f>
        <v>763</v>
      </c>
      <c r="C109" s="1">
        <f t="shared" ref="C109:C119" si="40">P109</f>
        <v>789</v>
      </c>
      <c r="D109" s="1">
        <f t="shared" ref="D109:D119" si="41">Q109</f>
        <v>449179</v>
      </c>
      <c r="E109" s="1">
        <f t="shared" ref="E109:E119" si="42">R109</f>
        <v>480483</v>
      </c>
      <c r="F109" s="1">
        <f t="shared" ref="F109:F119" si="43">S109</f>
        <v>6444</v>
      </c>
      <c r="G109" s="1">
        <f t="shared" ref="G109:G119" si="44">T109</f>
        <v>6792</v>
      </c>
      <c r="H109" s="1">
        <f t="shared" ref="H109:H119" si="45">U109</f>
        <v>4413</v>
      </c>
      <c r="I109" s="1">
        <f t="shared" ref="I109:I119" si="46">V109</f>
        <v>4558</v>
      </c>
      <c r="J109" s="1">
        <f t="shared" ref="J109:J119" si="47">C109-B109</f>
        <v>26</v>
      </c>
      <c r="K109" s="1">
        <f t="shared" ref="K109:K119" si="48">E109-D109</f>
        <v>31304</v>
      </c>
      <c r="L109" s="1">
        <f t="shared" ref="L109:L121" si="49">G109-F109</f>
        <v>348</v>
      </c>
      <c r="M109" s="1">
        <f t="shared" ref="M109:M121" si="50">I109-H109</f>
        <v>145</v>
      </c>
      <c r="O109" cm="1">
        <f t="array" ref="O109">ROUND(INDEX($AF:$AJ,VLOOKUP(A109,$AF:$AJ,5,FALSE)+2,1),0)</f>
        <v>763</v>
      </c>
      <c r="P109" cm="1">
        <f t="array" ref="P109">ROUND(INDEX($AF:$AJ,VLOOKUP(A109,$AF:$AJ,5,FALSE)+3,1),0)</f>
        <v>789</v>
      </c>
      <c r="Q109" cm="1">
        <f t="array" ref="Q109">ROUND(INDEX($AF:$AJ,VLOOKUP(A109,$AF:$AJ,5,FALSE)+2,2),0)</f>
        <v>449179</v>
      </c>
      <c r="R109" cm="1">
        <f t="array" ref="R109">ROUND(INDEX($AF:$AJ,VLOOKUP(A109,$AF:$AJ,5,FALSE)+3,2),0)</f>
        <v>480483</v>
      </c>
      <c r="S109" cm="1">
        <f t="array" ref="S109">ROUND(INDEX($AF:$AJ,VLOOKUP(A109,$AF:$AJ,5,FALSE)+2,3),0)</f>
        <v>6444</v>
      </c>
      <c r="T109" cm="1">
        <f t="array" ref="T109">ROUND(INDEX($AF:$AJ,VLOOKUP(A109,$AF:$AJ,5,FALSE)+3,3),0)</f>
        <v>6792</v>
      </c>
      <c r="U109" cm="1">
        <f t="array" ref="U109">ROUND(INDEX($AF:$AJ,VLOOKUP(A109,$AF:$AJ,5,FALSE)+2,4),0)</f>
        <v>4413</v>
      </c>
      <c r="V109" cm="1">
        <f t="array" ref="V109">ROUND(INDEX($AF:$AJ,VLOOKUP(A109,$AF:$AJ,5,FALSE)+3,4),0)</f>
        <v>4558</v>
      </c>
      <c r="X109">
        <f t="shared" si="31"/>
        <v>-26</v>
      </c>
      <c r="Y109">
        <f t="shared" si="32"/>
        <v>-31304</v>
      </c>
      <c r="Z109">
        <f t="shared" si="33"/>
        <v>-348</v>
      </c>
      <c r="AA109">
        <f t="shared" si="34"/>
        <v>-145</v>
      </c>
      <c r="AE109" s="179" t="s">
        <v>1093</v>
      </c>
      <c r="AF109" s="1">
        <v>5290720.5</v>
      </c>
      <c r="AG109" s="1">
        <v>61335.214840000001</v>
      </c>
      <c r="AH109" s="1">
        <v>270648.5</v>
      </c>
      <c r="AI109" s="1">
        <v>208468.21875</v>
      </c>
      <c r="AJ109">
        <f t="shared" si="26"/>
        <v>109</v>
      </c>
    </row>
    <row r="110" spans="1:36">
      <c r="A110" s="17">
        <v>1371032444</v>
      </c>
      <c r="B110" s="1">
        <f t="shared" si="39"/>
        <v>158</v>
      </c>
      <c r="C110" s="1">
        <f t="shared" si="40"/>
        <v>165</v>
      </c>
      <c r="D110" s="1">
        <f t="shared" si="41"/>
        <v>602669</v>
      </c>
      <c r="E110" s="1">
        <f t="shared" si="42"/>
        <v>644397</v>
      </c>
      <c r="F110" s="1">
        <f t="shared" si="43"/>
        <v>8679</v>
      </c>
      <c r="G110" s="1">
        <f t="shared" si="44"/>
        <v>9186</v>
      </c>
      <c r="H110" s="1">
        <f t="shared" si="45"/>
        <v>4412</v>
      </c>
      <c r="I110" s="1">
        <f t="shared" si="46"/>
        <v>4556</v>
      </c>
      <c r="J110" s="1">
        <f t="shared" si="47"/>
        <v>7</v>
      </c>
      <c r="K110" s="1">
        <f t="shared" si="48"/>
        <v>41728</v>
      </c>
      <c r="L110" s="1">
        <f t="shared" si="49"/>
        <v>507</v>
      </c>
      <c r="M110" s="1">
        <f t="shared" si="50"/>
        <v>144</v>
      </c>
      <c r="O110" cm="1">
        <f t="array" ref="O110">ROUND(INDEX($AF:$AJ,VLOOKUP(A110,$AF:$AJ,5,FALSE)+2,1),0)</f>
        <v>158</v>
      </c>
      <c r="P110" cm="1">
        <f t="array" ref="P110">ROUND(INDEX($AF:$AJ,VLOOKUP(A110,$AF:$AJ,5,FALSE)+3,1),0)</f>
        <v>165</v>
      </c>
      <c r="Q110" cm="1">
        <f t="array" ref="Q110">ROUND(INDEX($AF:$AJ,VLOOKUP(A110,$AF:$AJ,5,FALSE)+2,2),0)</f>
        <v>602669</v>
      </c>
      <c r="R110" cm="1">
        <f t="array" ref="R110">ROUND(INDEX($AF:$AJ,VLOOKUP(A110,$AF:$AJ,5,FALSE)+3,2),0)</f>
        <v>644397</v>
      </c>
      <c r="S110" cm="1">
        <f t="array" ref="S110">ROUND(INDEX($AF:$AJ,VLOOKUP(A110,$AF:$AJ,5,FALSE)+2,3),0)</f>
        <v>8679</v>
      </c>
      <c r="T110" cm="1">
        <f t="array" ref="T110">ROUND(INDEX($AF:$AJ,VLOOKUP(A110,$AF:$AJ,5,FALSE)+3,3),0)</f>
        <v>9186</v>
      </c>
      <c r="U110" cm="1">
        <f t="array" ref="U110">ROUND(INDEX($AF:$AJ,VLOOKUP(A110,$AF:$AJ,5,FALSE)+2,4),0)</f>
        <v>4412</v>
      </c>
      <c r="V110" cm="1">
        <f t="array" ref="V110">ROUND(INDEX($AF:$AJ,VLOOKUP(A110,$AF:$AJ,5,FALSE)+3,4),0)</f>
        <v>4556</v>
      </c>
      <c r="X110">
        <f t="shared" si="31"/>
        <v>-7</v>
      </c>
      <c r="Y110">
        <f t="shared" si="32"/>
        <v>-41728</v>
      </c>
      <c r="Z110">
        <f t="shared" si="33"/>
        <v>-507</v>
      </c>
      <c r="AA110">
        <f t="shared" si="34"/>
        <v>-144</v>
      </c>
      <c r="AE110" s="179" t="s">
        <v>1094</v>
      </c>
      <c r="AF110" s="1">
        <f>AF109-AF108</f>
        <v>159993</v>
      </c>
      <c r="AG110" s="1">
        <f>AG109-AG108</f>
        <v>8083.0429599999989</v>
      </c>
      <c r="AH110" s="1">
        <f>AH109-AH108</f>
        <v>1771.59375</v>
      </c>
      <c r="AI110" s="1">
        <f>AI109-AI108</f>
        <v>11090.34375</v>
      </c>
      <c r="AJ110">
        <f t="shared" si="26"/>
        <v>110</v>
      </c>
    </row>
    <row r="111" spans="1:36">
      <c r="A111" s="17">
        <v>1371514496</v>
      </c>
      <c r="B111" s="1">
        <f t="shared" si="39"/>
        <v>1095</v>
      </c>
      <c r="C111" s="1">
        <f t="shared" si="40"/>
        <v>1135</v>
      </c>
      <c r="D111" s="1">
        <f t="shared" si="41"/>
        <v>358155</v>
      </c>
      <c r="E111" s="1">
        <f t="shared" si="42"/>
        <v>384432</v>
      </c>
      <c r="F111" s="1">
        <f t="shared" si="43"/>
        <v>72957</v>
      </c>
      <c r="G111" s="1">
        <f t="shared" si="44"/>
        <v>80849</v>
      </c>
      <c r="H111" s="1">
        <f t="shared" si="45"/>
        <v>9225</v>
      </c>
      <c r="I111" s="1">
        <f t="shared" si="46"/>
        <v>9509</v>
      </c>
      <c r="J111" s="1">
        <f t="shared" si="47"/>
        <v>40</v>
      </c>
      <c r="K111" s="1">
        <f t="shared" si="48"/>
        <v>26277</v>
      </c>
      <c r="L111" s="1">
        <f t="shared" si="49"/>
        <v>7892</v>
      </c>
      <c r="M111" s="1">
        <f t="shared" si="50"/>
        <v>284</v>
      </c>
      <c r="O111" cm="1">
        <f t="array" ref="O111">ROUND(INDEX($AF:$AJ,VLOOKUP(A111,$AF:$AJ,5,FALSE)+2,1),0)</f>
        <v>1095</v>
      </c>
      <c r="P111" cm="1">
        <f t="array" ref="P111">ROUND(INDEX($AF:$AJ,VLOOKUP(A111,$AF:$AJ,5,FALSE)+3,1),0)</f>
        <v>1135</v>
      </c>
      <c r="Q111" cm="1">
        <f t="array" ref="Q111">ROUND(INDEX($AF:$AJ,VLOOKUP(A111,$AF:$AJ,5,FALSE)+2,2),0)</f>
        <v>358155</v>
      </c>
      <c r="R111" cm="1">
        <f t="array" ref="R111">ROUND(INDEX($AF:$AJ,VLOOKUP(A111,$AF:$AJ,5,FALSE)+3,2),0)</f>
        <v>384432</v>
      </c>
      <c r="S111" cm="1">
        <f t="array" ref="S111">ROUND(INDEX($AF:$AJ,VLOOKUP(A111,$AF:$AJ,5,FALSE)+2,3),0)</f>
        <v>72957</v>
      </c>
      <c r="T111" cm="1">
        <f t="array" ref="T111">ROUND(INDEX($AF:$AJ,VLOOKUP(A111,$AF:$AJ,5,FALSE)+3,3),0)</f>
        <v>80849</v>
      </c>
      <c r="U111" cm="1">
        <f t="array" ref="U111">ROUND(INDEX($AF:$AJ,VLOOKUP(A111,$AF:$AJ,5,FALSE)+2,4),0)</f>
        <v>9225</v>
      </c>
      <c r="V111" cm="1">
        <f t="array" ref="V111">ROUND(INDEX($AF:$AJ,VLOOKUP(A111,$AF:$AJ,5,FALSE)+3,4),0)</f>
        <v>9509</v>
      </c>
      <c r="X111">
        <f t="shared" si="31"/>
        <v>-40</v>
      </c>
      <c r="Y111">
        <f t="shared" si="32"/>
        <v>-26277</v>
      </c>
      <c r="Z111">
        <f t="shared" si="33"/>
        <v>-7892</v>
      </c>
      <c r="AA111">
        <f t="shared" si="34"/>
        <v>-284</v>
      </c>
      <c r="AE111" s="179" t="s">
        <v>1090</v>
      </c>
      <c r="AF111" s="560">
        <v>1371022952</v>
      </c>
      <c r="AG111" s="1" t="s">
        <v>1095</v>
      </c>
      <c r="AH111" s="1" t="s">
        <v>1095</v>
      </c>
      <c r="AI111" s="1" t="s">
        <v>1095</v>
      </c>
      <c r="AJ111">
        <f t="shared" si="26"/>
        <v>111</v>
      </c>
    </row>
    <row r="112" spans="1:36">
      <c r="A112" s="17">
        <v>1371475604</v>
      </c>
      <c r="B112" s="1">
        <f t="shared" si="39"/>
        <v>1261</v>
      </c>
      <c r="C112" s="1">
        <f t="shared" si="40"/>
        <v>1283</v>
      </c>
      <c r="D112" s="1">
        <f t="shared" si="41"/>
        <v>588124</v>
      </c>
      <c r="E112" s="1">
        <f t="shared" si="42"/>
        <v>604121</v>
      </c>
      <c r="F112" s="1">
        <f t="shared" si="43"/>
        <v>60464</v>
      </c>
      <c r="G112" s="1">
        <f t="shared" si="44"/>
        <v>63760</v>
      </c>
      <c r="H112" s="1">
        <f t="shared" si="45"/>
        <v>15311</v>
      </c>
      <c r="I112" s="1">
        <f t="shared" si="46"/>
        <v>15793</v>
      </c>
      <c r="J112" s="1">
        <f t="shared" si="47"/>
        <v>22</v>
      </c>
      <c r="K112" s="1">
        <f t="shared" si="48"/>
        <v>15997</v>
      </c>
      <c r="L112" s="1">
        <f t="shared" si="49"/>
        <v>3296</v>
      </c>
      <c r="M112" s="1">
        <f t="shared" si="50"/>
        <v>482</v>
      </c>
      <c r="O112" cm="1">
        <f t="array" ref="O112">ROUND(INDEX($AF:$AJ,VLOOKUP(A112,$AF:$AJ,5,FALSE)+2,1),0)</f>
        <v>1261</v>
      </c>
      <c r="P112" cm="1">
        <f t="array" ref="P112">ROUND(INDEX($AF:$AJ,VLOOKUP(A112,$AF:$AJ,5,FALSE)+3,1),0)</f>
        <v>1283</v>
      </c>
      <c r="Q112" cm="1">
        <f t="array" ref="Q112">ROUND(INDEX($AF:$AJ,VLOOKUP(A112,$AF:$AJ,5,FALSE)+2,2),0)</f>
        <v>588124</v>
      </c>
      <c r="R112" cm="1">
        <f t="array" ref="R112">ROUND(INDEX($AF:$AJ,VLOOKUP(A112,$AF:$AJ,5,FALSE)+3,2),0)</f>
        <v>604121</v>
      </c>
      <c r="S112" cm="1">
        <f t="array" ref="S112">ROUND(INDEX($AF:$AJ,VLOOKUP(A112,$AF:$AJ,5,FALSE)+2,3),0)</f>
        <v>60464</v>
      </c>
      <c r="T112" cm="1">
        <f t="array" ref="T112">ROUND(INDEX($AF:$AJ,VLOOKUP(A112,$AF:$AJ,5,FALSE)+3,3),0)</f>
        <v>63760</v>
      </c>
      <c r="U112" cm="1">
        <f t="array" ref="U112">ROUND(INDEX($AF:$AJ,VLOOKUP(A112,$AF:$AJ,5,FALSE)+2,4),0)</f>
        <v>15311</v>
      </c>
      <c r="V112" cm="1">
        <f t="array" ref="V112">ROUND(INDEX($AF:$AJ,VLOOKUP(A112,$AF:$AJ,5,FALSE)+3,4),0)</f>
        <v>15793</v>
      </c>
      <c r="X112">
        <f t="shared" si="31"/>
        <v>-22</v>
      </c>
      <c r="Y112">
        <f t="shared" si="32"/>
        <v>-15997</v>
      </c>
      <c r="Z112">
        <f t="shared" si="33"/>
        <v>-3296</v>
      </c>
      <c r="AA112">
        <f t="shared" si="34"/>
        <v>-482</v>
      </c>
      <c r="AE112" s="179" t="s">
        <v>1091</v>
      </c>
      <c r="AF112" s="1" t="s">
        <v>440</v>
      </c>
      <c r="AG112" s="1" t="s">
        <v>441</v>
      </c>
      <c r="AH112" s="1" t="s">
        <v>442</v>
      </c>
      <c r="AI112" s="1" t="s">
        <v>1022</v>
      </c>
      <c r="AJ112">
        <f t="shared" si="26"/>
        <v>112</v>
      </c>
    </row>
    <row r="113" spans="1:36">
      <c r="A113" s="17">
        <v>1371033621</v>
      </c>
      <c r="B113" s="1">
        <f t="shared" si="39"/>
        <v>826</v>
      </c>
      <c r="C113" s="1">
        <f t="shared" si="40"/>
        <v>853</v>
      </c>
      <c r="D113" s="1">
        <f t="shared" si="41"/>
        <v>459257</v>
      </c>
      <c r="E113" s="1">
        <f t="shared" si="42"/>
        <v>487421</v>
      </c>
      <c r="F113" s="1">
        <f t="shared" si="43"/>
        <v>67652</v>
      </c>
      <c r="G113" s="1">
        <f t="shared" si="44"/>
        <v>73419</v>
      </c>
      <c r="H113" s="1">
        <f t="shared" si="45"/>
        <v>10658</v>
      </c>
      <c r="I113" s="1">
        <f t="shared" si="46"/>
        <v>11003</v>
      </c>
      <c r="J113" s="1">
        <f t="shared" si="47"/>
        <v>27</v>
      </c>
      <c r="K113" s="1">
        <f t="shared" si="48"/>
        <v>28164</v>
      </c>
      <c r="L113" s="1">
        <f t="shared" si="49"/>
        <v>5767</v>
      </c>
      <c r="M113" s="1">
        <f t="shared" si="50"/>
        <v>345</v>
      </c>
      <c r="O113" cm="1">
        <f t="array" ref="O113">ROUND(INDEX($AF:$AJ,VLOOKUP(A113,$AF:$AJ,5,FALSE)+2,1),0)</f>
        <v>826</v>
      </c>
      <c r="P113" cm="1">
        <f t="array" ref="P113">ROUND(INDEX($AF:$AJ,VLOOKUP(A113,$AF:$AJ,5,FALSE)+3,1),0)</f>
        <v>853</v>
      </c>
      <c r="Q113" cm="1">
        <f t="array" ref="Q113">ROUND(INDEX($AF:$AJ,VLOOKUP(A113,$AF:$AJ,5,FALSE)+2,2),0)</f>
        <v>459257</v>
      </c>
      <c r="R113" cm="1">
        <f t="array" ref="R113">ROUND(INDEX($AF:$AJ,VLOOKUP(A113,$AF:$AJ,5,FALSE)+3,2),0)</f>
        <v>487421</v>
      </c>
      <c r="S113" cm="1">
        <f t="array" ref="S113">ROUND(INDEX($AF:$AJ,VLOOKUP(A113,$AF:$AJ,5,FALSE)+2,3),0)</f>
        <v>67652</v>
      </c>
      <c r="T113" cm="1">
        <f t="array" ref="T113">ROUND(INDEX($AF:$AJ,VLOOKUP(A113,$AF:$AJ,5,FALSE)+3,3),0)</f>
        <v>73419</v>
      </c>
      <c r="U113" cm="1">
        <f t="array" ref="U113">ROUND(INDEX($AF:$AJ,VLOOKUP(A113,$AF:$AJ,5,FALSE)+2,4),0)</f>
        <v>10658</v>
      </c>
      <c r="V113" cm="1">
        <f t="array" ref="V113">ROUND(INDEX($AF:$AJ,VLOOKUP(A113,$AF:$AJ,5,FALSE)+3,4),0)</f>
        <v>11003</v>
      </c>
      <c r="X113">
        <f t="shared" si="31"/>
        <v>-27</v>
      </c>
      <c r="Y113">
        <f t="shared" si="32"/>
        <v>-28164</v>
      </c>
      <c r="Z113">
        <f t="shared" si="33"/>
        <v>-5767</v>
      </c>
      <c r="AA113">
        <f t="shared" si="34"/>
        <v>-345</v>
      </c>
      <c r="AE113" s="179" t="s">
        <v>1092</v>
      </c>
      <c r="AF113" s="1">
        <v>139.5403</v>
      </c>
      <c r="AG113" s="1">
        <v>1087371.125</v>
      </c>
      <c r="AH113" s="1">
        <v>19557.869139999999</v>
      </c>
      <c r="AI113" s="1">
        <v>83832.078129999994</v>
      </c>
      <c r="AJ113">
        <f t="shared" si="26"/>
        <v>113</v>
      </c>
    </row>
    <row r="114" spans="1:36">
      <c r="A114" s="17">
        <v>1373708422</v>
      </c>
      <c r="B114" s="1">
        <f t="shared" si="39"/>
        <v>986866</v>
      </c>
      <c r="C114" s="1">
        <f t="shared" si="40"/>
        <v>1056180</v>
      </c>
      <c r="D114" s="1">
        <f t="shared" si="41"/>
        <v>1233</v>
      </c>
      <c r="E114" s="1">
        <f t="shared" si="42"/>
        <v>1273</v>
      </c>
      <c r="F114" s="1">
        <f t="shared" si="43"/>
        <v>195</v>
      </c>
      <c r="G114" s="1">
        <f t="shared" si="44"/>
        <v>196</v>
      </c>
      <c r="H114" s="1">
        <f t="shared" si="45"/>
        <v>152218</v>
      </c>
      <c r="I114" s="1">
        <f t="shared" si="46"/>
        <v>173379</v>
      </c>
      <c r="J114" s="1">
        <f t="shared" si="47"/>
        <v>69314</v>
      </c>
      <c r="K114" s="1">
        <f t="shared" si="48"/>
        <v>40</v>
      </c>
      <c r="L114" s="1">
        <f t="shared" si="49"/>
        <v>1</v>
      </c>
      <c r="M114" s="1">
        <f t="shared" si="50"/>
        <v>21161</v>
      </c>
      <c r="O114" cm="1">
        <f t="array" ref="O114">ROUND(INDEX($AF:$AJ,VLOOKUP(A114,$AF:$AJ,5,FALSE)+2,1),0)</f>
        <v>986866</v>
      </c>
      <c r="P114" cm="1">
        <f t="array" ref="P114">ROUND(INDEX($AF:$AJ,VLOOKUP(A114,$AF:$AJ,5,FALSE)+3,1),0)</f>
        <v>1056180</v>
      </c>
      <c r="Q114" cm="1">
        <f t="array" ref="Q114">ROUND(INDEX($AF:$AJ,VLOOKUP(A114,$AF:$AJ,5,FALSE)+2,2),0)</f>
        <v>1233</v>
      </c>
      <c r="R114" cm="1">
        <f t="array" ref="R114">ROUND(INDEX($AF:$AJ,VLOOKUP(A114,$AF:$AJ,5,FALSE)+3,2),0)</f>
        <v>1273</v>
      </c>
      <c r="S114" cm="1">
        <f t="array" ref="S114">ROUND(INDEX($AF:$AJ,VLOOKUP(A114,$AF:$AJ,5,FALSE)+2,3),0)</f>
        <v>195</v>
      </c>
      <c r="T114" cm="1">
        <f t="array" ref="T114">ROUND(INDEX($AF:$AJ,VLOOKUP(A114,$AF:$AJ,5,FALSE)+3,3),0)</f>
        <v>196</v>
      </c>
      <c r="U114" cm="1">
        <f t="array" ref="U114">ROUND(INDEX($AF:$AJ,VLOOKUP(A114,$AF:$AJ,5,FALSE)+2,4),0)</f>
        <v>152218</v>
      </c>
      <c r="V114" cm="1">
        <f t="array" ref="V114">ROUND(INDEX($AF:$AJ,VLOOKUP(A114,$AF:$AJ,5,FALSE)+3,4),0)</f>
        <v>173379</v>
      </c>
      <c r="X114">
        <f t="shared" si="31"/>
        <v>-69314</v>
      </c>
      <c r="Y114">
        <f t="shared" si="32"/>
        <v>-40</v>
      </c>
      <c r="Z114">
        <f t="shared" si="33"/>
        <v>-1</v>
      </c>
      <c r="AA114">
        <f t="shared" si="34"/>
        <v>-21161</v>
      </c>
      <c r="AE114" s="179" t="s">
        <v>1093</v>
      </c>
      <c r="AF114" s="1">
        <v>143.49257</v>
      </c>
      <c r="AG114" s="1">
        <v>1151998.625</v>
      </c>
      <c r="AH114" s="1">
        <v>20230.683590000001</v>
      </c>
      <c r="AI114" s="1">
        <v>88038.6875</v>
      </c>
      <c r="AJ114">
        <f t="shared" si="26"/>
        <v>114</v>
      </c>
    </row>
    <row r="115" spans="1:36">
      <c r="A115" s="17">
        <v>1373706532</v>
      </c>
      <c r="B115" s="1">
        <f t="shared" si="39"/>
        <v>92</v>
      </c>
      <c r="C115" s="1">
        <f t="shared" si="40"/>
        <v>102</v>
      </c>
      <c r="D115" s="1">
        <f t="shared" si="41"/>
        <v>275293</v>
      </c>
      <c r="E115" s="1">
        <f t="shared" si="42"/>
        <v>319563</v>
      </c>
      <c r="F115" s="1">
        <f t="shared" si="43"/>
        <v>187</v>
      </c>
      <c r="G115" s="1">
        <f t="shared" si="44"/>
        <v>214</v>
      </c>
      <c r="H115" s="1">
        <f t="shared" si="45"/>
        <v>4733</v>
      </c>
      <c r="I115" s="1">
        <f t="shared" si="46"/>
        <v>5271</v>
      </c>
      <c r="J115" s="1">
        <f t="shared" si="47"/>
        <v>10</v>
      </c>
      <c r="K115" s="1">
        <f t="shared" si="48"/>
        <v>44270</v>
      </c>
      <c r="L115" s="1">
        <f t="shared" si="49"/>
        <v>27</v>
      </c>
      <c r="M115" s="1">
        <f t="shared" si="50"/>
        <v>538</v>
      </c>
      <c r="O115" cm="1">
        <f t="array" ref="O115">ROUND(INDEX($AF:$AJ,VLOOKUP(A115,$AF:$AJ,5,FALSE)+2,1),0)</f>
        <v>92</v>
      </c>
      <c r="P115" cm="1">
        <f t="array" ref="P115">ROUND(INDEX($AF:$AJ,VLOOKUP(A115,$AF:$AJ,5,FALSE)+3,1),0)</f>
        <v>102</v>
      </c>
      <c r="Q115" cm="1">
        <f t="array" ref="Q115">ROUND(INDEX($AF:$AJ,VLOOKUP(A115,$AF:$AJ,5,FALSE)+2,2),0)</f>
        <v>275293</v>
      </c>
      <c r="R115" cm="1">
        <f t="array" ref="R115">ROUND(INDEX($AF:$AJ,VLOOKUP(A115,$AF:$AJ,5,FALSE)+3,2),0)</f>
        <v>319563</v>
      </c>
      <c r="S115" cm="1">
        <f t="array" ref="S115">ROUND(INDEX($AF:$AJ,VLOOKUP(A115,$AF:$AJ,5,FALSE)+2,3),0)</f>
        <v>187</v>
      </c>
      <c r="T115" cm="1">
        <f t="array" ref="T115">ROUND(INDEX($AF:$AJ,VLOOKUP(A115,$AF:$AJ,5,FALSE)+3,3),0)</f>
        <v>214</v>
      </c>
      <c r="U115" cm="1">
        <f t="array" ref="U115">ROUND(INDEX($AF:$AJ,VLOOKUP(A115,$AF:$AJ,5,FALSE)+2,4),0)</f>
        <v>4733</v>
      </c>
      <c r="V115" cm="1">
        <f t="array" ref="V115">ROUND(INDEX($AF:$AJ,VLOOKUP(A115,$AF:$AJ,5,FALSE)+3,4),0)</f>
        <v>5271</v>
      </c>
      <c r="X115">
        <f t="shared" si="31"/>
        <v>-10</v>
      </c>
      <c r="Y115">
        <f t="shared" si="32"/>
        <v>-44270</v>
      </c>
      <c r="Z115">
        <f t="shared" si="33"/>
        <v>-27</v>
      </c>
      <c r="AA115">
        <f t="shared" si="34"/>
        <v>-538</v>
      </c>
      <c r="AE115" s="179" t="s">
        <v>1094</v>
      </c>
      <c r="AF115" s="1">
        <f>AF114-AF113</f>
        <v>3.9522699999999986</v>
      </c>
      <c r="AG115" s="1">
        <f>AG114-AG113</f>
        <v>64627.5</v>
      </c>
      <c r="AH115" s="1">
        <f>AH114-AH113</f>
        <v>672.81445000000167</v>
      </c>
      <c r="AI115" s="1">
        <f>AI114-AI113</f>
        <v>4206.6093700000056</v>
      </c>
      <c r="AJ115">
        <f t="shared" si="26"/>
        <v>115</v>
      </c>
    </row>
    <row r="116" spans="1:36">
      <c r="A116" s="12">
        <v>1373707619</v>
      </c>
      <c r="B116" s="1">
        <f t="shared" si="39"/>
        <v>1238605</v>
      </c>
      <c r="C116" s="1">
        <f t="shared" si="40"/>
        <v>1352037</v>
      </c>
      <c r="D116" s="1">
        <f t="shared" si="41"/>
        <v>1978</v>
      </c>
      <c r="E116" s="1">
        <f t="shared" si="42"/>
        <v>2001</v>
      </c>
      <c r="F116" s="1">
        <f t="shared" si="43"/>
        <v>4741</v>
      </c>
      <c r="G116" s="1">
        <f t="shared" si="44"/>
        <v>4782</v>
      </c>
      <c r="H116" s="1">
        <f t="shared" si="45"/>
        <v>130562</v>
      </c>
      <c r="I116" s="1">
        <f t="shared" si="46"/>
        <v>145793</v>
      </c>
      <c r="J116" s="1">
        <f t="shared" si="47"/>
        <v>113432</v>
      </c>
      <c r="K116" s="1">
        <f t="shared" si="48"/>
        <v>23</v>
      </c>
      <c r="L116" s="1">
        <f t="shared" si="49"/>
        <v>41</v>
      </c>
      <c r="M116" s="1">
        <f t="shared" si="50"/>
        <v>15231</v>
      </c>
      <c r="O116" cm="1">
        <f t="array" ref="O116">ROUND(INDEX($AF:$AJ,VLOOKUP(A116,$AF:$AJ,5,FALSE)+2,1),0)</f>
        <v>1238605</v>
      </c>
      <c r="P116" cm="1">
        <f t="array" ref="P116">ROUND(INDEX($AF:$AJ,VLOOKUP(A116,$AF:$AJ,5,FALSE)+3,1),0)</f>
        <v>1352037</v>
      </c>
      <c r="Q116" cm="1">
        <f t="array" ref="Q116">ROUND(INDEX($AF:$AJ,VLOOKUP(A116,$AF:$AJ,5,FALSE)+2,2),0)</f>
        <v>1978</v>
      </c>
      <c r="R116" cm="1">
        <f t="array" ref="R116">ROUND(INDEX($AF:$AJ,VLOOKUP(A116,$AF:$AJ,5,FALSE)+3,2),0)</f>
        <v>2001</v>
      </c>
      <c r="S116" cm="1">
        <f t="array" ref="S116">ROUND(INDEX($AF:$AJ,VLOOKUP(A116,$AF:$AJ,5,FALSE)+2,3),0)</f>
        <v>4741</v>
      </c>
      <c r="T116" cm="1">
        <f t="array" ref="T116">ROUND(INDEX($AF:$AJ,VLOOKUP(A116,$AF:$AJ,5,FALSE)+3,3),0)</f>
        <v>4782</v>
      </c>
      <c r="U116" cm="1">
        <f t="array" ref="U116">ROUND(INDEX($AF:$AJ,VLOOKUP(A116,$AF:$AJ,5,FALSE)+2,4),0)</f>
        <v>130562</v>
      </c>
      <c r="V116" cm="1">
        <f t="array" ref="V116">ROUND(INDEX($AF:$AJ,VLOOKUP(A116,$AF:$AJ,5,FALSE)+3,4),0)</f>
        <v>145793</v>
      </c>
      <c r="X116">
        <f t="shared" si="31"/>
        <v>-113432</v>
      </c>
      <c r="Y116">
        <f t="shared" si="32"/>
        <v>-23</v>
      </c>
      <c r="Z116">
        <f t="shared" si="33"/>
        <v>-41</v>
      </c>
      <c r="AA116">
        <f t="shared" si="34"/>
        <v>-15231</v>
      </c>
      <c r="AE116" s="179" t="s">
        <v>1090</v>
      </c>
      <c r="AF116" s="560">
        <v>1371032444</v>
      </c>
      <c r="AG116" s="1" t="s">
        <v>1095</v>
      </c>
      <c r="AH116" s="1" t="s">
        <v>1095</v>
      </c>
      <c r="AI116" s="1" t="s">
        <v>1095</v>
      </c>
      <c r="AJ116">
        <f t="shared" si="26"/>
        <v>116</v>
      </c>
    </row>
    <row r="117" spans="1:36">
      <c r="A117" s="12">
        <v>1373706854</v>
      </c>
      <c r="B117" s="1">
        <f t="shared" si="39"/>
        <v>682249</v>
      </c>
      <c r="C117" s="1">
        <f t="shared" si="40"/>
        <v>716437</v>
      </c>
      <c r="D117" s="1">
        <f t="shared" si="41"/>
        <v>93765</v>
      </c>
      <c r="E117" s="1">
        <f t="shared" si="42"/>
        <v>119968</v>
      </c>
      <c r="F117" s="1">
        <f t="shared" si="43"/>
        <v>96879</v>
      </c>
      <c r="G117" s="1">
        <f t="shared" si="44"/>
        <v>101406</v>
      </c>
      <c r="H117" s="1">
        <f t="shared" si="45"/>
        <v>114593</v>
      </c>
      <c r="I117" s="1">
        <f t="shared" si="46"/>
        <v>126632</v>
      </c>
      <c r="J117" s="1">
        <f t="shared" si="47"/>
        <v>34188</v>
      </c>
      <c r="K117" s="1">
        <f t="shared" si="48"/>
        <v>26203</v>
      </c>
      <c r="L117" s="1">
        <f t="shared" si="49"/>
        <v>4527</v>
      </c>
      <c r="M117" s="1">
        <f t="shared" si="50"/>
        <v>12039</v>
      </c>
      <c r="O117" cm="1">
        <f t="array" ref="O117">ROUND(INDEX($AF:$AJ,VLOOKUP(A117,$AF:$AJ,5,FALSE)+2,1),0)</f>
        <v>682249</v>
      </c>
      <c r="P117" cm="1">
        <f t="array" ref="P117">ROUND(INDEX($AF:$AJ,VLOOKUP(A117,$AF:$AJ,5,FALSE)+3,1),0)</f>
        <v>716437</v>
      </c>
      <c r="Q117" cm="1">
        <f t="array" ref="Q117">ROUND(INDEX($AF:$AJ,VLOOKUP(A117,$AF:$AJ,5,FALSE)+2,2),0)</f>
        <v>93765</v>
      </c>
      <c r="R117" cm="1">
        <f t="array" ref="R117">ROUND(INDEX($AF:$AJ,VLOOKUP(A117,$AF:$AJ,5,FALSE)+3,2),0)</f>
        <v>119968</v>
      </c>
      <c r="S117" cm="1">
        <f t="array" ref="S117">ROUND(INDEX($AF:$AJ,VLOOKUP(A117,$AF:$AJ,5,FALSE)+2,3),0)</f>
        <v>96879</v>
      </c>
      <c r="T117" cm="1">
        <f t="array" ref="T117">ROUND(INDEX($AF:$AJ,VLOOKUP(A117,$AF:$AJ,5,FALSE)+3,3),0)</f>
        <v>101406</v>
      </c>
      <c r="U117" cm="1">
        <f t="array" ref="U117">ROUND(INDEX($AF:$AJ,VLOOKUP(A117,$AF:$AJ,5,FALSE)+2,4),0)</f>
        <v>114593</v>
      </c>
      <c r="V117" cm="1">
        <f t="array" ref="V117">ROUND(INDEX($AF:$AJ,VLOOKUP(A117,$AF:$AJ,5,FALSE)+3,4),0)</f>
        <v>126632</v>
      </c>
      <c r="X117">
        <f t="shared" si="31"/>
        <v>-34188</v>
      </c>
      <c r="Y117">
        <f t="shared" si="32"/>
        <v>-26203</v>
      </c>
      <c r="Z117">
        <f t="shared" si="33"/>
        <v>-4527</v>
      </c>
      <c r="AA117">
        <f>U117-I117</f>
        <v>-12039</v>
      </c>
      <c r="AE117" s="179" t="s">
        <v>1091</v>
      </c>
      <c r="AF117" s="1" t="s">
        <v>440</v>
      </c>
      <c r="AG117" s="1" t="s">
        <v>441</v>
      </c>
      <c r="AH117" s="1" t="s">
        <v>442</v>
      </c>
      <c r="AI117" s="1" t="s">
        <v>1022</v>
      </c>
      <c r="AJ117">
        <f t="shared" si="26"/>
        <v>117</v>
      </c>
    </row>
    <row r="118" spans="1:36">
      <c r="A118" s="12">
        <v>1373706938</v>
      </c>
      <c r="B118" s="1">
        <f t="shared" si="39"/>
        <v>111</v>
      </c>
      <c r="C118" s="1">
        <f t="shared" si="40"/>
        <v>121</v>
      </c>
      <c r="D118" s="1">
        <f t="shared" si="41"/>
        <v>284951</v>
      </c>
      <c r="E118" s="1">
        <f t="shared" si="42"/>
        <v>314008</v>
      </c>
      <c r="F118" s="1">
        <f t="shared" si="43"/>
        <v>6078</v>
      </c>
      <c r="G118" s="1">
        <f t="shared" si="44"/>
        <v>6535</v>
      </c>
      <c r="H118" s="1">
        <f t="shared" si="45"/>
        <v>318</v>
      </c>
      <c r="I118" s="1">
        <f t="shared" si="46"/>
        <v>439</v>
      </c>
      <c r="J118" s="1">
        <f t="shared" si="47"/>
        <v>10</v>
      </c>
      <c r="K118" s="1">
        <f t="shared" si="48"/>
        <v>29057</v>
      </c>
      <c r="L118" s="1">
        <f t="shared" si="49"/>
        <v>457</v>
      </c>
      <c r="M118" s="1">
        <f t="shared" si="50"/>
        <v>121</v>
      </c>
      <c r="O118" cm="1">
        <f t="array" ref="O118">ROUND(INDEX($AF:$AJ,VLOOKUP(A118,$AF:$AJ,5,FALSE)+2,1),0)</f>
        <v>111</v>
      </c>
      <c r="P118" cm="1">
        <f t="array" ref="P118">ROUND(INDEX($AF:$AJ,VLOOKUP(A118,$AF:$AJ,5,FALSE)+3,1),0)</f>
        <v>121</v>
      </c>
      <c r="Q118" cm="1">
        <f t="array" ref="Q118">ROUND(INDEX($AF:$AJ,VLOOKUP(A118,$AF:$AJ,5,FALSE)+2,2),0)</f>
        <v>284951</v>
      </c>
      <c r="R118" cm="1">
        <f t="array" ref="R118">ROUND(INDEX($AF:$AJ,VLOOKUP(A118,$AF:$AJ,5,FALSE)+3,2),0)</f>
        <v>314008</v>
      </c>
      <c r="S118" cm="1">
        <f t="array" ref="S118">ROUND(INDEX($AF:$AJ,VLOOKUP(A118,$AF:$AJ,5,FALSE)+2,3),0)</f>
        <v>6078</v>
      </c>
      <c r="T118" cm="1">
        <f t="array" ref="T118">ROUND(INDEX($AF:$AJ,VLOOKUP(A118,$AF:$AJ,5,FALSE)+3,3),0)</f>
        <v>6535</v>
      </c>
      <c r="U118" cm="1">
        <f t="array" ref="U118">ROUND(INDEX($AF:$AJ,VLOOKUP(A118,$AF:$AJ,5,FALSE)+2,4),0)</f>
        <v>318</v>
      </c>
      <c r="V118" cm="1">
        <f t="array" ref="V118">ROUND(INDEX($AF:$AJ,VLOOKUP(A118,$AF:$AJ,5,FALSE)+3,4),0)</f>
        <v>439</v>
      </c>
      <c r="X118">
        <f t="shared" si="31"/>
        <v>-10</v>
      </c>
      <c r="Y118">
        <f t="shared" si="32"/>
        <v>-29057</v>
      </c>
      <c r="Z118">
        <f t="shared" si="33"/>
        <v>-457</v>
      </c>
      <c r="AA118">
        <f t="shared" si="34"/>
        <v>-121</v>
      </c>
      <c r="AE118" s="179" t="s">
        <v>1092</v>
      </c>
      <c r="AF118" s="1">
        <v>158.19713999999999</v>
      </c>
      <c r="AG118" s="1">
        <v>602668.5</v>
      </c>
      <c r="AH118" s="1">
        <v>8678.7236300000004</v>
      </c>
      <c r="AI118" s="1">
        <v>4412.4770500000004</v>
      </c>
      <c r="AJ118">
        <f t="shared" si="26"/>
        <v>118</v>
      </c>
    </row>
    <row r="119" spans="1:36">
      <c r="A119" s="12">
        <v>1373706594</v>
      </c>
      <c r="B119" s="1">
        <f t="shared" si="39"/>
        <v>88</v>
      </c>
      <c r="C119" s="1">
        <f t="shared" si="40"/>
        <v>97</v>
      </c>
      <c r="D119" s="1">
        <f t="shared" si="41"/>
        <v>360100</v>
      </c>
      <c r="E119" s="1">
        <f t="shared" si="42"/>
        <v>426577</v>
      </c>
      <c r="F119" s="1">
        <f t="shared" si="43"/>
        <v>95</v>
      </c>
      <c r="G119" s="1">
        <f t="shared" si="44"/>
        <v>120</v>
      </c>
      <c r="H119" s="1">
        <f t="shared" si="45"/>
        <v>6103</v>
      </c>
      <c r="I119" s="1">
        <f t="shared" si="46"/>
        <v>6815</v>
      </c>
      <c r="J119" s="1">
        <f t="shared" si="47"/>
        <v>9</v>
      </c>
      <c r="K119" s="1">
        <f t="shared" si="48"/>
        <v>66477</v>
      </c>
      <c r="L119" s="1">
        <f t="shared" si="49"/>
        <v>25</v>
      </c>
      <c r="M119" s="1">
        <f t="shared" si="50"/>
        <v>712</v>
      </c>
      <c r="O119" cm="1">
        <f t="array" ref="O119">ROUND(INDEX($AF:$AJ,VLOOKUP(A119,$AF:$AJ,5,FALSE)+2,1),0)</f>
        <v>88</v>
      </c>
      <c r="P119" cm="1">
        <f t="array" ref="P119">ROUND(INDEX($AF:$AJ,VLOOKUP(A119,$AF:$AJ,5,FALSE)+3,1),0)</f>
        <v>97</v>
      </c>
      <c r="Q119" cm="1">
        <f t="array" ref="Q119">ROUND(INDEX($AF:$AJ,VLOOKUP(A119,$AF:$AJ,5,FALSE)+2,2),0)</f>
        <v>360100</v>
      </c>
      <c r="R119" cm="1">
        <f t="array" ref="R119">ROUND(INDEX($AF:$AJ,VLOOKUP(A119,$AF:$AJ,5,FALSE)+3,2),0)</f>
        <v>426577</v>
      </c>
      <c r="S119" cm="1">
        <f t="array" ref="S119">ROUND(INDEX($AF:$AJ,VLOOKUP(A119,$AF:$AJ,5,FALSE)+2,3),0)</f>
        <v>95</v>
      </c>
      <c r="T119" cm="1">
        <f t="array" ref="T119">ROUND(INDEX($AF:$AJ,VLOOKUP(A119,$AF:$AJ,5,FALSE)+3,3),0)</f>
        <v>120</v>
      </c>
      <c r="U119" cm="1">
        <f t="array" ref="U119">ROUND(INDEX($AF:$AJ,VLOOKUP(A119,$AF:$AJ,5,FALSE)+2,4),0)</f>
        <v>6103</v>
      </c>
      <c r="V119" cm="1">
        <f t="array" ref="V119">ROUND(INDEX($AF:$AJ,VLOOKUP(A119,$AF:$AJ,5,FALSE)+3,4),0)</f>
        <v>6815</v>
      </c>
      <c r="X119">
        <f>O119-C119</f>
        <v>-9</v>
      </c>
      <c r="Y119">
        <f>Q119-E119</f>
        <v>-66477</v>
      </c>
      <c r="Z119">
        <f>S119-G119</f>
        <v>-25</v>
      </c>
      <c r="AA119">
        <f>U119-I119</f>
        <v>-712</v>
      </c>
      <c r="AE119" s="179" t="s">
        <v>1093</v>
      </c>
      <c r="AF119" s="1">
        <v>164.88986</v>
      </c>
      <c r="AG119" s="1">
        <v>644396.9375</v>
      </c>
      <c r="AH119" s="1">
        <v>9185.7539099999995</v>
      </c>
      <c r="AI119" s="1">
        <v>4556.0820299999996</v>
      </c>
      <c r="AJ119">
        <f t="shared" si="26"/>
        <v>119</v>
      </c>
    </row>
    <row r="120" spans="1:36">
      <c r="A120" s="16">
        <v>23298242</v>
      </c>
      <c r="B120" s="16">
        <v>2829.0129999999999</v>
      </c>
      <c r="C120" s="16">
        <v>3143.3</v>
      </c>
      <c r="D120" s="16">
        <v>0.26100000000000001</v>
      </c>
      <c r="E120" s="16">
        <v>0.26100000000000001</v>
      </c>
      <c r="F120" s="16">
        <v>0</v>
      </c>
      <c r="G120" s="16">
        <v>0</v>
      </c>
      <c r="H120" s="16">
        <v>0</v>
      </c>
      <c r="I120" s="16">
        <v>0</v>
      </c>
      <c r="J120" s="16">
        <f>ROUND((C120-B120)*500,0)</f>
        <v>157144</v>
      </c>
      <c r="K120" s="16">
        <f>(E120-D120)*500</f>
        <v>0</v>
      </c>
      <c r="L120" s="16">
        <f t="shared" si="49"/>
        <v>0</v>
      </c>
      <c r="M120" s="16">
        <f t="shared" si="50"/>
        <v>0</v>
      </c>
      <c r="AE120" s="179" t="s">
        <v>1094</v>
      </c>
      <c r="AF120" s="1">
        <f>AF119-AF118</f>
        <v>6.6927200000000084</v>
      </c>
      <c r="AG120" s="1">
        <f>AG119-AG118</f>
        <v>41728.4375</v>
      </c>
      <c r="AH120" s="1">
        <f>AH119-AH118</f>
        <v>507.03027999999904</v>
      </c>
      <c r="AI120" s="1">
        <f>AI119-AI118</f>
        <v>143.60497999999916</v>
      </c>
      <c r="AJ120">
        <f t="shared" si="26"/>
        <v>120</v>
      </c>
    </row>
    <row r="121" spans="1:36">
      <c r="A121" s="16">
        <v>23295929</v>
      </c>
      <c r="B121" s="16">
        <v>0.32800000000000001</v>
      </c>
      <c r="C121" s="16">
        <v>0.32800000000000001</v>
      </c>
      <c r="D121" s="16">
        <v>447.11599999999999</v>
      </c>
      <c r="E121" s="16">
        <v>546.81500000000005</v>
      </c>
      <c r="F121" s="16">
        <v>0</v>
      </c>
      <c r="G121" s="16">
        <v>0</v>
      </c>
      <c r="H121" s="16">
        <v>0</v>
      </c>
      <c r="I121" s="16">
        <v>0</v>
      </c>
      <c r="J121" s="16">
        <f>(C121-B121)*500</f>
        <v>0</v>
      </c>
      <c r="K121" s="16">
        <f>(E121-D121)*500</f>
        <v>49849.500000000036</v>
      </c>
      <c r="L121" s="16">
        <f t="shared" si="49"/>
        <v>0</v>
      </c>
      <c r="M121" s="16">
        <f t="shared" si="50"/>
        <v>0</v>
      </c>
      <c r="AE121" s="179" t="s">
        <v>1090</v>
      </c>
      <c r="AF121" s="560">
        <v>1371033621</v>
      </c>
      <c r="AG121" s="1" t="s">
        <v>1095</v>
      </c>
      <c r="AH121" s="1" t="s">
        <v>1095</v>
      </c>
      <c r="AI121" s="1" t="s">
        <v>1095</v>
      </c>
      <c r="AJ121">
        <f t="shared" si="26"/>
        <v>121</v>
      </c>
    </row>
    <row r="122" spans="1:36">
      <c r="A122" s="255">
        <v>23298249</v>
      </c>
      <c r="B122">
        <v>0</v>
      </c>
      <c r="C122">
        <f>ROUND(65175/500,3)</f>
        <v>130.35</v>
      </c>
      <c r="D122">
        <v>0</v>
      </c>
      <c r="E122">
        <f>ROUND(17996/500,3)</f>
        <v>35.991999999999997</v>
      </c>
      <c r="F122">
        <v>0</v>
      </c>
      <c r="G122">
        <v>0</v>
      </c>
      <c r="H122">
        <v>0</v>
      </c>
      <c r="I122">
        <v>0</v>
      </c>
      <c r="J122">
        <f>ROUND((C122-B122)*O122,0)</f>
        <v>65175</v>
      </c>
      <c r="K122">
        <f>(E122-D122)*O122</f>
        <v>17996</v>
      </c>
      <c r="L122">
        <f t="shared" ref="L122:L127" si="51">(G122-F122)*O122</f>
        <v>0</v>
      </c>
      <c r="M122">
        <f t="shared" ref="M122:M127" si="52">(I122-H122)*O122</f>
        <v>0</v>
      </c>
      <c r="N122" t="s">
        <v>1431</v>
      </c>
      <c r="O122">
        <v>500</v>
      </c>
      <c r="AE122" s="179" t="s">
        <v>1091</v>
      </c>
      <c r="AF122" s="1" t="s">
        <v>440</v>
      </c>
      <c r="AG122" s="1" t="s">
        <v>441</v>
      </c>
      <c r="AH122" s="1" t="s">
        <v>442</v>
      </c>
      <c r="AI122" s="1" t="s">
        <v>1022</v>
      </c>
      <c r="AJ122">
        <f t="shared" si="26"/>
        <v>122</v>
      </c>
    </row>
    <row r="123" spans="1:36">
      <c r="A123" s="255">
        <v>23298248</v>
      </c>
      <c r="B123">
        <v>0</v>
      </c>
      <c r="C123">
        <v>0</v>
      </c>
      <c r="D123">
        <v>0</v>
      </c>
      <c r="E123">
        <f>ROUND(38922/O123,3)</f>
        <v>243.26300000000001</v>
      </c>
      <c r="F123">
        <v>0</v>
      </c>
      <c r="G123">
        <v>0</v>
      </c>
      <c r="H123">
        <v>0</v>
      </c>
      <c r="I123">
        <v>0</v>
      </c>
      <c r="J123">
        <f>(C123-B123)*O123</f>
        <v>0</v>
      </c>
      <c r="K123">
        <f>ROUND((E123-D123)*O123,0)</f>
        <v>38922</v>
      </c>
      <c r="L123">
        <f t="shared" si="51"/>
        <v>0</v>
      </c>
      <c r="M123">
        <f t="shared" si="52"/>
        <v>0</v>
      </c>
      <c r="N123" t="s">
        <v>1434</v>
      </c>
      <c r="O123">
        <v>160</v>
      </c>
      <c r="AE123" s="179" t="s">
        <v>1092</v>
      </c>
      <c r="AF123" s="1">
        <v>826.18939</v>
      </c>
      <c r="AG123" s="1">
        <v>459257.25</v>
      </c>
      <c r="AH123" s="1">
        <v>67652.351559999996</v>
      </c>
      <c r="AI123" s="1">
        <v>10657.860350000001</v>
      </c>
      <c r="AJ123">
        <f t="shared" si="26"/>
        <v>123</v>
      </c>
    </row>
    <row r="124" spans="1:36">
      <c r="A124" s="255">
        <v>23298246</v>
      </c>
      <c r="B124">
        <v>0</v>
      </c>
      <c r="C124">
        <f>ROUND(42048/O124,3)</f>
        <v>84.096000000000004</v>
      </c>
      <c r="D124">
        <v>0</v>
      </c>
      <c r="E124">
        <f>ROUND(207/O124,3)</f>
        <v>0.41399999999999998</v>
      </c>
      <c r="F124">
        <v>0</v>
      </c>
      <c r="G124">
        <v>0</v>
      </c>
      <c r="H124">
        <v>0</v>
      </c>
      <c r="I124">
        <v>0</v>
      </c>
      <c r="J124">
        <f>(C124-B124)*O124</f>
        <v>42048</v>
      </c>
      <c r="K124">
        <f>ROUND((E124-D124)*O124,0)</f>
        <v>207</v>
      </c>
      <c r="L124">
        <f t="shared" si="51"/>
        <v>0</v>
      </c>
      <c r="M124">
        <f t="shared" si="52"/>
        <v>0</v>
      </c>
      <c r="N124" t="s">
        <v>1432</v>
      </c>
      <c r="O124">
        <v>500</v>
      </c>
      <c r="AE124" s="179" t="s">
        <v>1093</v>
      </c>
      <c r="AF124" s="1">
        <v>852.54845999999998</v>
      </c>
      <c r="AG124" s="1">
        <v>487421.3125</v>
      </c>
      <c r="AH124" s="1">
        <v>73419.296879999994</v>
      </c>
      <c r="AI124" s="1">
        <v>11002.782230000001</v>
      </c>
      <c r="AJ124">
        <f t="shared" si="26"/>
        <v>124</v>
      </c>
    </row>
    <row r="125" spans="1:36">
      <c r="A125" s="255">
        <v>23298253</v>
      </c>
      <c r="B125">
        <v>0</v>
      </c>
      <c r="C125">
        <v>0</v>
      </c>
      <c r="D125">
        <v>0</v>
      </c>
      <c r="E125">
        <f>ROUND(48714/O125,3)</f>
        <v>162.38</v>
      </c>
      <c r="F125">
        <v>0</v>
      </c>
      <c r="G125">
        <v>0</v>
      </c>
      <c r="H125">
        <v>0</v>
      </c>
      <c r="I125">
        <v>0</v>
      </c>
      <c r="J125">
        <f>(C125-B125)*O125</f>
        <v>0</v>
      </c>
      <c r="K125">
        <f>ROUND((E125-D125)*O125,0)</f>
        <v>48714</v>
      </c>
      <c r="L125">
        <f t="shared" si="51"/>
        <v>0</v>
      </c>
      <c r="M125">
        <f t="shared" si="52"/>
        <v>0</v>
      </c>
      <c r="N125" t="s">
        <v>1435</v>
      </c>
      <c r="O125">
        <v>300</v>
      </c>
      <c r="AE125" s="179" t="s">
        <v>1094</v>
      </c>
      <c r="AF125" s="1">
        <f>AF124-AF123</f>
        <v>26.359069999999974</v>
      </c>
      <c r="AG125" s="1">
        <f>AG124-AG123</f>
        <v>28164.0625</v>
      </c>
      <c r="AH125" s="1">
        <f>AH124-AH123</f>
        <v>5766.9453199999989</v>
      </c>
      <c r="AI125" s="1">
        <f>AI124-AI123</f>
        <v>344.92187999999987</v>
      </c>
      <c r="AJ125">
        <f t="shared" si="26"/>
        <v>125</v>
      </c>
    </row>
    <row r="126" spans="1:36">
      <c r="A126" s="255">
        <v>23298250</v>
      </c>
      <c r="B126">
        <v>0</v>
      </c>
      <c r="C126">
        <f>ROUND(25691/O126,3)</f>
        <v>128.45500000000001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>(C126-B126)*O126</f>
        <v>25691.000000000004</v>
      </c>
      <c r="K126">
        <f>ROUND((E126-D126)*O126,0)</f>
        <v>0</v>
      </c>
      <c r="L126">
        <f t="shared" si="51"/>
        <v>0</v>
      </c>
      <c r="M126">
        <f t="shared" si="52"/>
        <v>0</v>
      </c>
      <c r="N126" t="s">
        <v>1433</v>
      </c>
      <c r="O126">
        <v>200</v>
      </c>
      <c r="AE126" s="179" t="s">
        <v>1090</v>
      </c>
      <c r="AF126" s="560">
        <v>1371033646</v>
      </c>
      <c r="AG126" s="1" t="s">
        <v>1095</v>
      </c>
      <c r="AH126" s="1" t="s">
        <v>1095</v>
      </c>
      <c r="AI126" s="1" t="s">
        <v>1095</v>
      </c>
      <c r="AJ126">
        <f t="shared" si="26"/>
        <v>126</v>
      </c>
    </row>
    <row r="127" spans="1:36">
      <c r="A127" s="255">
        <v>23298255</v>
      </c>
      <c r="B127">
        <v>0</v>
      </c>
      <c r="C127">
        <v>0</v>
      </c>
      <c r="D127">
        <v>0</v>
      </c>
      <c r="E127">
        <f>ROUND(4594/O127,3)</f>
        <v>114.85</v>
      </c>
      <c r="F127">
        <v>0</v>
      </c>
      <c r="G127">
        <v>0</v>
      </c>
      <c r="H127">
        <v>0</v>
      </c>
      <c r="I127">
        <v>0</v>
      </c>
      <c r="J127">
        <f>(C127-B127)*O127</f>
        <v>0</v>
      </c>
      <c r="K127">
        <f>ROUND((E127-D127)*O127,0)</f>
        <v>4594</v>
      </c>
      <c r="L127">
        <f t="shared" si="51"/>
        <v>0</v>
      </c>
      <c r="M127">
        <f t="shared" si="52"/>
        <v>0</v>
      </c>
      <c r="N127" t="s">
        <v>1436</v>
      </c>
      <c r="O127">
        <v>40</v>
      </c>
      <c r="AE127" s="179" t="s">
        <v>1091</v>
      </c>
      <c r="AF127" s="1" t="s">
        <v>440</v>
      </c>
      <c r="AG127" s="1" t="s">
        <v>441</v>
      </c>
      <c r="AH127" s="1" t="s">
        <v>442</v>
      </c>
      <c r="AI127" s="1" t="s">
        <v>1022</v>
      </c>
      <c r="AJ127">
        <f t="shared" si="26"/>
        <v>127</v>
      </c>
    </row>
    <row r="128" spans="1:36">
      <c r="AE128" s="179" t="s">
        <v>1092</v>
      </c>
      <c r="AF128" s="1">
        <v>6244071</v>
      </c>
      <c r="AG128" s="1">
        <v>20.780619999999999</v>
      </c>
      <c r="AH128" s="1">
        <v>0</v>
      </c>
      <c r="AI128" s="1">
        <v>695.93615999999997</v>
      </c>
      <c r="AJ128">
        <f t="shared" si="26"/>
        <v>128</v>
      </c>
    </row>
    <row r="129" spans="31:36">
      <c r="AE129" s="179" t="s">
        <v>1093</v>
      </c>
      <c r="AF129" s="1">
        <v>6486144.5</v>
      </c>
      <c r="AG129" s="1">
        <v>20.781040000000001</v>
      </c>
      <c r="AH129" s="1">
        <v>0</v>
      </c>
      <c r="AI129" s="1">
        <v>697.04949999999997</v>
      </c>
      <c r="AJ129">
        <f t="shared" si="26"/>
        <v>129</v>
      </c>
    </row>
    <row r="130" spans="31:36">
      <c r="AE130" s="179" t="s">
        <v>1094</v>
      </c>
      <c r="AF130" s="1">
        <f>AF129-AF128</f>
        <v>242073.5</v>
      </c>
      <c r="AG130" s="1">
        <f>AG129-AG128</f>
        <v>4.2000000000186333E-4</v>
      </c>
      <c r="AH130" s="1">
        <f>AH129-AH128</f>
        <v>0</v>
      </c>
      <c r="AI130" s="1">
        <f>AI129-AI128</f>
        <v>1.1133399999999938</v>
      </c>
      <c r="AJ130">
        <f t="shared" si="26"/>
        <v>130</v>
      </c>
    </row>
    <row r="131" spans="31:36">
      <c r="AE131" s="179" t="s">
        <v>1090</v>
      </c>
      <c r="AF131" s="560">
        <v>1371034845</v>
      </c>
      <c r="AG131" s="1" t="s">
        <v>1095</v>
      </c>
      <c r="AH131" s="1" t="s">
        <v>1095</v>
      </c>
      <c r="AI131" s="1" t="s">
        <v>1095</v>
      </c>
      <c r="AJ131">
        <f t="shared" ref="AJ131:AJ194" si="53">AJ130+1</f>
        <v>131</v>
      </c>
    </row>
    <row r="132" spans="31:36">
      <c r="AE132" s="179" t="s">
        <v>1091</v>
      </c>
      <c r="AF132" s="1" t="s">
        <v>440</v>
      </c>
      <c r="AG132" s="1" t="s">
        <v>441</v>
      </c>
      <c r="AH132" s="1" t="s">
        <v>442</v>
      </c>
      <c r="AI132" s="1" t="s">
        <v>1022</v>
      </c>
      <c r="AJ132">
        <f t="shared" si="53"/>
        <v>132</v>
      </c>
    </row>
    <row r="133" spans="31:36">
      <c r="AE133" s="179" t="s">
        <v>1092</v>
      </c>
      <c r="AF133" s="1">
        <v>3036548.5</v>
      </c>
      <c r="AG133" s="1">
        <v>1.8785000000000001</v>
      </c>
      <c r="AH133" s="1">
        <v>429184.46875</v>
      </c>
      <c r="AI133" s="1">
        <v>5408.9506799999999</v>
      </c>
      <c r="AJ133">
        <f t="shared" si="53"/>
        <v>133</v>
      </c>
    </row>
    <row r="134" spans="31:36">
      <c r="AE134" s="179" t="s">
        <v>1093</v>
      </c>
      <c r="AF134" s="1">
        <v>3162689.25</v>
      </c>
      <c r="AG134" s="1">
        <v>1.8786400000000001</v>
      </c>
      <c r="AH134" s="1">
        <v>448219.125</v>
      </c>
      <c r="AI134" s="1">
        <v>5425.2841799999997</v>
      </c>
      <c r="AJ134">
        <f t="shared" si="53"/>
        <v>134</v>
      </c>
    </row>
    <row r="135" spans="31:36">
      <c r="AE135" s="179" t="s">
        <v>1094</v>
      </c>
      <c r="AF135" s="1">
        <f>AF134-AF133</f>
        <v>126140.75</v>
      </c>
      <c r="AG135" s="1">
        <f>AG134-AG133</f>
        <v>1.4000000000002899E-4</v>
      </c>
      <c r="AH135" s="1">
        <f>AH134-AH133</f>
        <v>19034.65625</v>
      </c>
      <c r="AI135" s="1">
        <f>AI134-AI133</f>
        <v>16.333499999999731</v>
      </c>
      <c r="AJ135">
        <f t="shared" si="53"/>
        <v>135</v>
      </c>
    </row>
    <row r="136" spans="31:36">
      <c r="AE136" s="179" t="s">
        <v>1090</v>
      </c>
      <c r="AF136" s="560">
        <v>1371034851</v>
      </c>
      <c r="AG136" s="1" t="s">
        <v>1095</v>
      </c>
      <c r="AH136" s="1" t="s">
        <v>1095</v>
      </c>
      <c r="AI136" s="1" t="s">
        <v>1095</v>
      </c>
      <c r="AJ136">
        <f t="shared" si="53"/>
        <v>136</v>
      </c>
    </row>
    <row r="137" spans="31:36">
      <c r="AE137" s="179" t="s">
        <v>1091</v>
      </c>
      <c r="AF137" s="1" t="s">
        <v>440</v>
      </c>
      <c r="AG137" s="1" t="s">
        <v>441</v>
      </c>
      <c r="AH137" s="1" t="s">
        <v>442</v>
      </c>
      <c r="AI137" s="1" t="s">
        <v>1022</v>
      </c>
      <c r="AJ137">
        <f t="shared" si="53"/>
        <v>137</v>
      </c>
    </row>
    <row r="138" spans="31:36">
      <c r="AE138" s="179" t="s">
        <v>1092</v>
      </c>
      <c r="AF138" s="1">
        <v>340330.90625</v>
      </c>
      <c r="AG138" s="1">
        <v>204811.90625</v>
      </c>
      <c r="AH138" s="1">
        <v>250.00382999999999</v>
      </c>
      <c r="AI138" s="1">
        <v>165308.375</v>
      </c>
      <c r="AJ138">
        <f t="shared" si="53"/>
        <v>138</v>
      </c>
    </row>
    <row r="139" spans="31:36">
      <c r="AE139" s="179" t="s">
        <v>1093</v>
      </c>
      <c r="AF139" s="1">
        <v>346767.25</v>
      </c>
      <c r="AG139" s="1">
        <v>225115.53125</v>
      </c>
      <c r="AH139" s="1">
        <v>250.00382999999999</v>
      </c>
      <c r="AI139" s="1">
        <v>172660.95313000001</v>
      </c>
      <c r="AJ139">
        <f t="shared" si="53"/>
        <v>139</v>
      </c>
    </row>
    <row r="140" spans="31:36">
      <c r="AE140" s="179" t="s">
        <v>1094</v>
      </c>
      <c r="AF140" s="1">
        <f>AF139-AF138</f>
        <v>6436.34375</v>
      </c>
      <c r="AG140" s="1">
        <f>AG139-AG138</f>
        <v>20303.625</v>
      </c>
      <c r="AH140" s="1">
        <f>AH139-AH138</f>
        <v>0</v>
      </c>
      <c r="AI140" s="1">
        <f>AI139-AI138</f>
        <v>7352.578130000009</v>
      </c>
      <c r="AJ140">
        <f t="shared" si="53"/>
        <v>140</v>
      </c>
    </row>
    <row r="141" spans="31:36">
      <c r="AE141" s="179" t="s">
        <v>1090</v>
      </c>
      <c r="AF141" s="560">
        <v>1371475604</v>
      </c>
      <c r="AG141" s="1" t="s">
        <v>1095</v>
      </c>
      <c r="AH141" s="1" t="s">
        <v>1095</v>
      </c>
      <c r="AI141" s="1" t="s">
        <v>1095</v>
      </c>
      <c r="AJ141">
        <f t="shared" si="53"/>
        <v>141</v>
      </c>
    </row>
    <row r="142" spans="31:36">
      <c r="AE142" s="179" t="s">
        <v>1091</v>
      </c>
      <c r="AF142" s="1" t="s">
        <v>440</v>
      </c>
      <c r="AG142" s="1" t="s">
        <v>441</v>
      </c>
      <c r="AH142" s="1" t="s">
        <v>442</v>
      </c>
      <c r="AI142" s="1" t="s">
        <v>1022</v>
      </c>
      <c r="AJ142">
        <f t="shared" si="53"/>
        <v>142</v>
      </c>
    </row>
    <row r="143" spans="31:36">
      <c r="AE143" s="179" t="s">
        <v>1092</v>
      </c>
      <c r="AF143" s="1">
        <v>1261.4627700000001</v>
      </c>
      <c r="AG143" s="1">
        <v>588124.1875</v>
      </c>
      <c r="AH143" s="1">
        <v>60464.347659999999</v>
      </c>
      <c r="AI143" s="1">
        <v>15310.79883</v>
      </c>
      <c r="AJ143">
        <f t="shared" si="53"/>
        <v>143</v>
      </c>
    </row>
    <row r="144" spans="31:36">
      <c r="AE144" s="179" t="s">
        <v>1093</v>
      </c>
      <c r="AF144" s="1">
        <v>1283.0441900000001</v>
      </c>
      <c r="AG144" s="1">
        <v>604120.9375</v>
      </c>
      <c r="AH144" s="1">
        <v>63759.777340000001</v>
      </c>
      <c r="AI144" s="1">
        <v>15793.37695</v>
      </c>
      <c r="AJ144">
        <f t="shared" si="53"/>
        <v>144</v>
      </c>
    </row>
    <row r="145" spans="31:36">
      <c r="AE145" s="179" t="s">
        <v>1094</v>
      </c>
      <c r="AF145" s="1">
        <f>AF144-AF143</f>
        <v>21.58141999999998</v>
      </c>
      <c r="AG145" s="1">
        <f>AG144-AG143</f>
        <v>15996.75</v>
      </c>
      <c r="AH145" s="1">
        <f>AH144-AH143</f>
        <v>3295.4296800000011</v>
      </c>
      <c r="AI145" s="1">
        <f>AI144-AI143</f>
        <v>482.57812000000013</v>
      </c>
      <c r="AJ145">
        <f t="shared" si="53"/>
        <v>145</v>
      </c>
    </row>
    <row r="146" spans="31:36">
      <c r="AE146" s="179" t="s">
        <v>1090</v>
      </c>
      <c r="AF146" s="560">
        <v>1371511160</v>
      </c>
      <c r="AG146" s="1" t="s">
        <v>1095</v>
      </c>
      <c r="AH146" s="1" t="s">
        <v>1095</v>
      </c>
      <c r="AI146" s="1" t="s">
        <v>1095</v>
      </c>
      <c r="AJ146">
        <f t="shared" si="53"/>
        <v>146</v>
      </c>
    </row>
    <row r="147" spans="31:36">
      <c r="AE147" s="179" t="s">
        <v>1091</v>
      </c>
      <c r="AF147" s="1" t="s">
        <v>440</v>
      </c>
      <c r="AG147" s="1" t="s">
        <v>441</v>
      </c>
      <c r="AH147" s="1" t="s">
        <v>442</v>
      </c>
      <c r="AI147" s="1" t="s">
        <v>1022</v>
      </c>
      <c r="AJ147">
        <f t="shared" si="53"/>
        <v>147</v>
      </c>
    </row>
    <row r="148" spans="31:36">
      <c r="AE148" s="179" t="s">
        <v>1092</v>
      </c>
      <c r="AF148" s="1">
        <v>542195.9375</v>
      </c>
      <c r="AG148" s="1">
        <v>1.208E-2</v>
      </c>
      <c r="AH148" s="1">
        <v>12807.764649999999</v>
      </c>
      <c r="AI148" s="1">
        <v>41942.355470000002</v>
      </c>
      <c r="AJ148">
        <f t="shared" si="53"/>
        <v>148</v>
      </c>
    </row>
    <row r="149" spans="31:36">
      <c r="AE149" s="179" t="s">
        <v>1093</v>
      </c>
      <c r="AF149" s="1">
        <v>563522</v>
      </c>
      <c r="AG149" s="1">
        <v>1.2149999999999999E-2</v>
      </c>
      <c r="AH149" s="1">
        <v>13015.56738</v>
      </c>
      <c r="AI149" s="1">
        <v>44497.550779999998</v>
      </c>
      <c r="AJ149">
        <f t="shared" si="53"/>
        <v>149</v>
      </c>
    </row>
    <row r="150" spans="31:36">
      <c r="AE150" s="179" t="s">
        <v>1094</v>
      </c>
      <c r="AF150" s="1">
        <f>AF149-AF148</f>
        <v>21326.0625</v>
      </c>
      <c r="AG150" s="1">
        <f>ROUND(AG149-AG148,2)</f>
        <v>0</v>
      </c>
      <c r="AH150" s="1">
        <f>AH149-AH148</f>
        <v>207.80273000000125</v>
      </c>
      <c r="AI150" s="1">
        <f>AI149-AI148</f>
        <v>2555.1953099999955</v>
      </c>
      <c r="AJ150">
        <f t="shared" si="53"/>
        <v>150</v>
      </c>
    </row>
    <row r="151" spans="31:36">
      <c r="AE151" s="179" t="s">
        <v>1090</v>
      </c>
      <c r="AF151" s="560">
        <v>1371513453</v>
      </c>
      <c r="AG151" s="1" t="s">
        <v>1095</v>
      </c>
      <c r="AH151" s="1" t="s">
        <v>1095</v>
      </c>
      <c r="AI151" s="1" t="s">
        <v>1095</v>
      </c>
      <c r="AJ151">
        <f t="shared" si="53"/>
        <v>151</v>
      </c>
    </row>
    <row r="152" spans="31:36">
      <c r="AE152" s="179" t="s">
        <v>1091</v>
      </c>
      <c r="AF152" s="1" t="s">
        <v>440</v>
      </c>
      <c r="AG152" s="1" t="s">
        <v>441</v>
      </c>
      <c r="AH152" s="1" t="s">
        <v>442</v>
      </c>
      <c r="AI152" s="1" t="s">
        <v>1022</v>
      </c>
      <c r="AJ152">
        <f t="shared" si="53"/>
        <v>152</v>
      </c>
    </row>
    <row r="153" spans="31:36">
      <c r="AE153" s="179" t="s">
        <v>1092</v>
      </c>
      <c r="AF153" s="1">
        <v>1982172.625</v>
      </c>
      <c r="AG153" s="1">
        <v>32347.859380000002</v>
      </c>
      <c r="AH153" s="1">
        <v>195129.34375</v>
      </c>
      <c r="AI153" s="1">
        <v>194767.39063000001</v>
      </c>
      <c r="AJ153">
        <f t="shared" si="53"/>
        <v>153</v>
      </c>
    </row>
    <row r="154" spans="31:36">
      <c r="AE154" s="179" t="s">
        <v>1093</v>
      </c>
      <c r="AF154" s="1">
        <v>2037161.875</v>
      </c>
      <c r="AG154" s="1">
        <v>34665.640630000002</v>
      </c>
      <c r="AH154" s="1">
        <v>198933.45313000001</v>
      </c>
      <c r="AI154" s="1">
        <v>203055.09375</v>
      </c>
      <c r="AJ154">
        <f t="shared" si="53"/>
        <v>154</v>
      </c>
    </row>
    <row r="155" spans="31:36">
      <c r="AE155" s="179" t="s">
        <v>1094</v>
      </c>
      <c r="AF155" s="1">
        <f>AF154-AF153</f>
        <v>54989.25</v>
      </c>
      <c r="AG155" s="1">
        <f>AG154-AG153</f>
        <v>2317.78125</v>
      </c>
      <c r="AH155" s="1">
        <f>AH154-AH153</f>
        <v>3804.109380000009</v>
      </c>
      <c r="AI155" s="1">
        <f>AI154-AI153</f>
        <v>8287.703119999991</v>
      </c>
      <c r="AJ155">
        <f t="shared" si="53"/>
        <v>155</v>
      </c>
    </row>
    <row r="156" spans="31:36">
      <c r="AE156" s="179" t="s">
        <v>1090</v>
      </c>
      <c r="AF156" s="560">
        <v>1371514348</v>
      </c>
      <c r="AG156" s="1" t="s">
        <v>1095</v>
      </c>
      <c r="AH156" s="1" t="s">
        <v>1095</v>
      </c>
      <c r="AI156" s="1" t="s">
        <v>1095</v>
      </c>
      <c r="AJ156">
        <f t="shared" si="53"/>
        <v>156</v>
      </c>
    </row>
    <row r="157" spans="31:36">
      <c r="AE157" s="179" t="s">
        <v>1091</v>
      </c>
      <c r="AF157" s="1" t="s">
        <v>440</v>
      </c>
      <c r="AG157" s="1" t="s">
        <v>441</v>
      </c>
      <c r="AH157" s="1" t="s">
        <v>442</v>
      </c>
      <c r="AI157" s="1" t="s">
        <v>1022</v>
      </c>
      <c r="AJ157">
        <f t="shared" si="53"/>
        <v>157</v>
      </c>
    </row>
    <row r="158" spans="31:36">
      <c r="AE158" s="179" t="s">
        <v>1092</v>
      </c>
      <c r="AF158" s="1">
        <v>2409659.5</v>
      </c>
      <c r="AG158" s="1">
        <v>137090.65625</v>
      </c>
      <c r="AH158" s="1">
        <v>337231.90625</v>
      </c>
      <c r="AI158" s="1">
        <v>19742.82617</v>
      </c>
      <c r="AJ158">
        <f t="shared" si="53"/>
        <v>158</v>
      </c>
    </row>
    <row r="159" spans="31:36">
      <c r="AE159" s="179" t="s">
        <v>1093</v>
      </c>
      <c r="AF159" s="1">
        <v>2508193</v>
      </c>
      <c r="AG159" s="1">
        <v>138515.28125</v>
      </c>
      <c r="AH159" s="1">
        <v>356285.5</v>
      </c>
      <c r="AI159" s="1">
        <v>19903.421880000002</v>
      </c>
      <c r="AJ159">
        <f t="shared" si="53"/>
        <v>159</v>
      </c>
    </row>
    <row r="160" spans="31:36">
      <c r="AE160" s="179" t="s">
        <v>1094</v>
      </c>
      <c r="AF160" s="1">
        <f>AF159-AF158</f>
        <v>98533.5</v>
      </c>
      <c r="AG160" s="1">
        <f>AG159-AG158</f>
        <v>1424.625</v>
      </c>
      <c r="AH160" s="1">
        <f>AH159-AH158</f>
        <v>19053.59375</v>
      </c>
      <c r="AI160" s="1">
        <f>AI159-AI158</f>
        <v>160.59571000000142</v>
      </c>
      <c r="AJ160">
        <f t="shared" si="53"/>
        <v>160</v>
      </c>
    </row>
    <row r="161" spans="31:36">
      <c r="AE161" s="179" t="s">
        <v>1090</v>
      </c>
      <c r="AF161" s="560">
        <v>1371514496</v>
      </c>
      <c r="AG161" s="1" t="s">
        <v>1095</v>
      </c>
      <c r="AH161" s="1" t="s">
        <v>1095</v>
      </c>
      <c r="AI161" s="1" t="s">
        <v>1095</v>
      </c>
      <c r="AJ161">
        <f t="shared" si="53"/>
        <v>161</v>
      </c>
    </row>
    <row r="162" spans="31:36">
      <c r="AE162" s="179" t="s">
        <v>1091</v>
      </c>
      <c r="AF162" s="1" t="s">
        <v>440</v>
      </c>
      <c r="AG162" s="1" t="s">
        <v>441</v>
      </c>
      <c r="AH162" s="1" t="s">
        <v>442</v>
      </c>
      <c r="AI162" s="1" t="s">
        <v>1022</v>
      </c>
      <c r="AJ162">
        <f t="shared" si="53"/>
        <v>162</v>
      </c>
    </row>
    <row r="163" spans="31:36">
      <c r="AE163" s="179" t="s">
        <v>1092</v>
      </c>
      <c r="AF163" s="1">
        <v>1094.90869</v>
      </c>
      <c r="AG163" s="1">
        <v>358155.09375</v>
      </c>
      <c r="AH163" s="1">
        <v>72957.257809999996</v>
      </c>
      <c r="AI163" s="1">
        <v>9224.5918000000001</v>
      </c>
      <c r="AJ163">
        <f t="shared" si="53"/>
        <v>163</v>
      </c>
    </row>
    <row r="164" spans="31:36">
      <c r="AE164" s="179" t="s">
        <v>1093</v>
      </c>
      <c r="AF164" s="1">
        <v>1135.18958</v>
      </c>
      <c r="AG164" s="1">
        <v>384431.875</v>
      </c>
      <c r="AH164" s="1">
        <v>80849.015629999994</v>
      </c>
      <c r="AI164" s="1">
        <v>9509.1103500000008</v>
      </c>
      <c r="AJ164">
        <f t="shared" si="53"/>
        <v>164</v>
      </c>
    </row>
    <row r="165" spans="31:36">
      <c r="AE165" s="179" t="s">
        <v>1094</v>
      </c>
      <c r="AF165" s="1">
        <f>AF164-AF163</f>
        <v>40.280889999999999</v>
      </c>
      <c r="AG165" s="1">
        <f>AG164-AG163</f>
        <v>26276.78125</v>
      </c>
      <c r="AH165" s="1">
        <f>AH164-AH163</f>
        <v>7891.7578199999989</v>
      </c>
      <c r="AI165" s="1">
        <f>AI164-AI163</f>
        <v>284.51855000000069</v>
      </c>
      <c r="AJ165">
        <f t="shared" si="53"/>
        <v>165</v>
      </c>
    </row>
    <row r="166" spans="31:36">
      <c r="AE166" s="179" t="s">
        <v>1090</v>
      </c>
      <c r="AF166" s="560">
        <v>1371621427</v>
      </c>
      <c r="AG166" s="1" t="s">
        <v>1095</v>
      </c>
      <c r="AH166" s="1" t="s">
        <v>1095</v>
      </c>
      <c r="AI166" s="1" t="s">
        <v>1095</v>
      </c>
      <c r="AJ166">
        <f t="shared" si="53"/>
        <v>166</v>
      </c>
    </row>
    <row r="167" spans="31:36">
      <c r="AE167" s="179" t="s">
        <v>1091</v>
      </c>
      <c r="AF167" s="1" t="s">
        <v>440</v>
      </c>
      <c r="AG167" s="1" t="s">
        <v>441</v>
      </c>
      <c r="AH167" s="1" t="s">
        <v>442</v>
      </c>
      <c r="AI167" s="1" t="s">
        <v>1022</v>
      </c>
      <c r="AJ167">
        <f t="shared" si="53"/>
        <v>167</v>
      </c>
    </row>
    <row r="168" spans="31:36">
      <c r="AE168" s="179" t="s">
        <v>1092</v>
      </c>
      <c r="AF168" s="1">
        <v>390.43936000000002</v>
      </c>
      <c r="AG168" s="1">
        <v>1601885.5</v>
      </c>
      <c r="AH168" s="1">
        <v>4040.0192900000002</v>
      </c>
      <c r="AI168" s="1">
        <v>20214.140630000002</v>
      </c>
      <c r="AJ168">
        <f t="shared" si="53"/>
        <v>168</v>
      </c>
    </row>
    <row r="169" spans="31:36">
      <c r="AE169" s="179" t="s">
        <v>1093</v>
      </c>
      <c r="AF169">
        <v>412.97449</v>
      </c>
      <c r="AG169">
        <v>1761772.125</v>
      </c>
      <c r="AH169">
        <v>4431.5683600000002</v>
      </c>
      <c r="AI169">
        <v>21483.828130000002</v>
      </c>
      <c r="AJ169">
        <f t="shared" si="53"/>
        <v>169</v>
      </c>
    </row>
    <row r="170" spans="31:36">
      <c r="AE170" s="179" t="s">
        <v>1094</v>
      </c>
      <c r="AF170" s="1">
        <f>AF169-AF168</f>
        <v>22.535129999999981</v>
      </c>
      <c r="AG170" s="1">
        <f>AG169-AG168</f>
        <v>159886.625</v>
      </c>
      <c r="AH170" s="1">
        <f>AH169-AH168</f>
        <v>391.54907000000003</v>
      </c>
      <c r="AI170" s="1">
        <f>AI169-AI168</f>
        <v>1269.6875</v>
      </c>
      <c r="AJ170">
        <f t="shared" si="53"/>
        <v>170</v>
      </c>
    </row>
    <row r="171" spans="31:36">
      <c r="AE171" s="179" t="s">
        <v>1090</v>
      </c>
      <c r="AF171" s="560">
        <v>1371621501</v>
      </c>
      <c r="AG171" s="1" t="s">
        <v>1095</v>
      </c>
      <c r="AH171" s="1" t="s">
        <v>1095</v>
      </c>
      <c r="AI171" s="1" t="s">
        <v>1095</v>
      </c>
      <c r="AJ171">
        <f t="shared" si="53"/>
        <v>171</v>
      </c>
    </row>
    <row r="172" spans="31:36">
      <c r="AE172" s="179" t="s">
        <v>1091</v>
      </c>
      <c r="AF172" s="1" t="s">
        <v>440</v>
      </c>
      <c r="AG172" s="1" t="s">
        <v>441</v>
      </c>
      <c r="AH172" s="1" t="s">
        <v>442</v>
      </c>
      <c r="AI172" s="1" t="s">
        <v>1022</v>
      </c>
      <c r="AJ172">
        <f t="shared" si="53"/>
        <v>172</v>
      </c>
    </row>
    <row r="173" spans="31:36">
      <c r="AE173" s="179" t="s">
        <v>1092</v>
      </c>
      <c r="AF173" s="1">
        <v>110.32774000000001</v>
      </c>
      <c r="AG173" s="1">
        <v>495215.9375</v>
      </c>
      <c r="AH173" s="1">
        <v>364.22280999999998</v>
      </c>
      <c r="AI173" s="1">
        <v>7782.3354499999996</v>
      </c>
      <c r="AJ173">
        <f t="shared" si="53"/>
        <v>173</v>
      </c>
    </row>
    <row r="174" spans="31:36">
      <c r="AE174" s="179" t="s">
        <v>1093</v>
      </c>
      <c r="AF174" s="1">
        <v>115.10953000000001</v>
      </c>
      <c r="AG174" s="1">
        <v>534694.9375</v>
      </c>
      <c r="AH174" s="1">
        <v>399.27181999999999</v>
      </c>
      <c r="AI174" s="1">
        <v>8194.3671900000008</v>
      </c>
      <c r="AJ174">
        <f t="shared" si="53"/>
        <v>174</v>
      </c>
    </row>
    <row r="175" spans="31:36">
      <c r="AE175" s="179" t="s">
        <v>1094</v>
      </c>
      <c r="AF175" s="1">
        <f>AF174-AF173</f>
        <v>4.7817900000000009</v>
      </c>
      <c r="AG175" s="1">
        <f>AG174-AG173</f>
        <v>39479</v>
      </c>
      <c r="AH175" s="1">
        <f>AH174-AH173</f>
        <v>35.04901000000001</v>
      </c>
      <c r="AI175" s="1">
        <f>AI174-AI173</f>
        <v>412.03174000000126</v>
      </c>
      <c r="AJ175">
        <f t="shared" si="53"/>
        <v>175</v>
      </c>
    </row>
    <row r="176" spans="31:36">
      <c r="AE176" s="179" t="s">
        <v>1090</v>
      </c>
      <c r="AF176" s="560">
        <v>1371621682</v>
      </c>
      <c r="AG176" s="1" t="s">
        <v>1095</v>
      </c>
      <c r="AH176" s="1" t="s">
        <v>1095</v>
      </c>
      <c r="AI176" s="1" t="s">
        <v>1095</v>
      </c>
      <c r="AJ176">
        <f t="shared" si="53"/>
        <v>176</v>
      </c>
    </row>
    <row r="177" spans="31:36">
      <c r="AE177" s="179" t="s">
        <v>1091</v>
      </c>
      <c r="AF177" s="1" t="s">
        <v>440</v>
      </c>
      <c r="AG177" s="1" t="s">
        <v>441</v>
      </c>
      <c r="AH177" s="1" t="s">
        <v>442</v>
      </c>
      <c r="AI177" s="1" t="s">
        <v>1022</v>
      </c>
      <c r="AJ177">
        <f t="shared" si="53"/>
        <v>177</v>
      </c>
    </row>
    <row r="178" spans="31:36">
      <c r="AE178" s="179" t="s">
        <v>1092</v>
      </c>
      <c r="AF178" s="1">
        <v>428.53856999999999</v>
      </c>
      <c r="AG178" s="1">
        <v>1690392.625</v>
      </c>
      <c r="AH178" s="1">
        <v>1298.3009</v>
      </c>
      <c r="AI178" s="1">
        <v>26317.910159999999</v>
      </c>
      <c r="AJ178">
        <f t="shared" si="53"/>
        <v>178</v>
      </c>
    </row>
    <row r="179" spans="31:36">
      <c r="AE179" s="179" t="s">
        <v>1093</v>
      </c>
      <c r="AF179" s="1">
        <v>450.52611999999999</v>
      </c>
      <c r="AG179" s="1">
        <v>1816355</v>
      </c>
      <c r="AH179" s="1">
        <v>1331.4932899999999</v>
      </c>
      <c r="AI179" s="1">
        <v>27998.675780000001</v>
      </c>
      <c r="AJ179">
        <f t="shared" si="53"/>
        <v>179</v>
      </c>
    </row>
    <row r="180" spans="31:36">
      <c r="AE180" s="179" t="s">
        <v>1094</v>
      </c>
      <c r="AF180" s="1">
        <f>AF179-AF178</f>
        <v>21.987549999999999</v>
      </c>
      <c r="AG180" s="1">
        <f>AG179-AG178</f>
        <v>125962.375</v>
      </c>
      <c r="AH180" s="1">
        <f>AH179-AH178</f>
        <v>33.192389999999932</v>
      </c>
      <c r="AI180" s="1">
        <f>AI179-AI178</f>
        <v>1680.7656200000019</v>
      </c>
      <c r="AJ180">
        <f t="shared" si="53"/>
        <v>180</v>
      </c>
    </row>
    <row r="181" spans="31:36">
      <c r="AE181" s="179" t="s">
        <v>1090</v>
      </c>
      <c r="AF181" s="560">
        <v>1371621928</v>
      </c>
      <c r="AG181" s="1" t="s">
        <v>1095</v>
      </c>
      <c r="AH181" s="1" t="s">
        <v>1095</v>
      </c>
      <c r="AI181" s="1" t="s">
        <v>1095</v>
      </c>
      <c r="AJ181">
        <f t="shared" si="53"/>
        <v>181</v>
      </c>
    </row>
    <row r="182" spans="31:36">
      <c r="AE182" s="179" t="s">
        <v>1091</v>
      </c>
      <c r="AF182" s="1" t="s">
        <v>440</v>
      </c>
      <c r="AG182" s="1" t="s">
        <v>441</v>
      </c>
      <c r="AH182" s="1" t="s">
        <v>442</v>
      </c>
      <c r="AI182" s="1" t="s">
        <v>1022</v>
      </c>
      <c r="AJ182">
        <f t="shared" si="53"/>
        <v>182</v>
      </c>
    </row>
    <row r="183" spans="31:36">
      <c r="AE183" s="179" t="s">
        <v>1092</v>
      </c>
      <c r="AF183" s="1">
        <v>150.57419999999999</v>
      </c>
      <c r="AG183" s="1">
        <v>593823</v>
      </c>
      <c r="AH183" s="1">
        <v>174.54001</v>
      </c>
      <c r="AI183" s="1">
        <v>8927.0878900000007</v>
      </c>
      <c r="AJ183">
        <f t="shared" si="53"/>
        <v>183</v>
      </c>
    </row>
    <row r="184" spans="31:36">
      <c r="AE184" s="179" t="s">
        <v>1093</v>
      </c>
      <c r="AF184" s="1">
        <v>158.16068999999999</v>
      </c>
      <c r="AG184" s="1">
        <v>635701.4375</v>
      </c>
      <c r="AH184" s="1">
        <v>186.68987000000001</v>
      </c>
      <c r="AI184" s="1">
        <v>9426.6543000000001</v>
      </c>
      <c r="AJ184">
        <f t="shared" si="53"/>
        <v>184</v>
      </c>
    </row>
    <row r="185" spans="31:36">
      <c r="AE185" s="179" t="s">
        <v>1094</v>
      </c>
      <c r="AF185" s="1">
        <f>AF184-AF183</f>
        <v>7.5864899999999977</v>
      </c>
      <c r="AG185" s="1">
        <f>AG184-AG183</f>
        <v>41878.4375</v>
      </c>
      <c r="AH185" s="1">
        <f>AH184-AH183</f>
        <v>12.149860000000018</v>
      </c>
      <c r="AI185" s="1">
        <f>AI184-AI183</f>
        <v>499.56640999999945</v>
      </c>
      <c r="AJ185">
        <f t="shared" si="53"/>
        <v>185</v>
      </c>
    </row>
    <row r="186" spans="31:36">
      <c r="AE186" s="179" t="s">
        <v>1090</v>
      </c>
      <c r="AF186" s="560">
        <v>1371622702</v>
      </c>
      <c r="AG186" s="1" t="s">
        <v>1095</v>
      </c>
      <c r="AH186" s="1" t="s">
        <v>1095</v>
      </c>
      <c r="AI186" s="1" t="s">
        <v>1095</v>
      </c>
      <c r="AJ186">
        <f t="shared" si="53"/>
        <v>186</v>
      </c>
    </row>
    <row r="187" spans="31:36">
      <c r="AE187" s="179" t="s">
        <v>1091</v>
      </c>
      <c r="AF187" s="1" t="s">
        <v>440</v>
      </c>
      <c r="AG187" s="1" t="s">
        <v>441</v>
      </c>
      <c r="AH187" s="1" t="s">
        <v>442</v>
      </c>
      <c r="AI187" s="1" t="s">
        <v>1022</v>
      </c>
      <c r="AJ187">
        <f t="shared" si="53"/>
        <v>187</v>
      </c>
    </row>
    <row r="188" spans="31:36">
      <c r="AE188" s="179" t="s">
        <v>1092</v>
      </c>
      <c r="AF188" s="1">
        <v>4195314</v>
      </c>
      <c r="AG188" s="1">
        <v>0</v>
      </c>
      <c r="AH188" s="1">
        <v>368847.3125</v>
      </c>
      <c r="AI188" s="1">
        <v>32426.689450000002</v>
      </c>
      <c r="AJ188">
        <f t="shared" si="53"/>
        <v>188</v>
      </c>
    </row>
    <row r="189" spans="31:36">
      <c r="AE189" s="179" t="s">
        <v>1093</v>
      </c>
      <c r="AF189" s="1">
        <v>4359123.5</v>
      </c>
      <c r="AG189" s="1">
        <v>0</v>
      </c>
      <c r="AH189" s="1">
        <v>375943.0625</v>
      </c>
      <c r="AI189" s="1">
        <v>35364.640630000002</v>
      </c>
      <c r="AJ189">
        <f t="shared" si="53"/>
        <v>189</v>
      </c>
    </row>
    <row r="190" spans="31:36">
      <c r="AE190" s="179" t="s">
        <v>1094</v>
      </c>
      <c r="AF190" s="1">
        <f>AF189-AF188</f>
        <v>163809.5</v>
      </c>
      <c r="AG190" s="1">
        <f>AG189-AG188</f>
        <v>0</v>
      </c>
      <c r="AH190" s="1">
        <f>AH189-AH188</f>
        <v>7095.75</v>
      </c>
      <c r="AI190" s="1">
        <f>AI189-AI188</f>
        <v>2937.95118</v>
      </c>
      <c r="AJ190">
        <f t="shared" si="53"/>
        <v>190</v>
      </c>
    </row>
    <row r="191" spans="31:36">
      <c r="AE191" s="179" t="s">
        <v>1090</v>
      </c>
      <c r="AF191" s="560">
        <v>1371623282</v>
      </c>
      <c r="AG191" s="1" t="s">
        <v>1095</v>
      </c>
      <c r="AH191" s="1" t="s">
        <v>1095</v>
      </c>
      <c r="AI191" s="1" t="s">
        <v>1095</v>
      </c>
      <c r="AJ191">
        <f t="shared" si="53"/>
        <v>191</v>
      </c>
    </row>
    <row r="192" spans="31:36">
      <c r="AE192" s="179" t="s">
        <v>1091</v>
      </c>
      <c r="AF192" s="1" t="s">
        <v>440</v>
      </c>
      <c r="AG192" s="1" t="s">
        <v>441</v>
      </c>
      <c r="AH192" s="1" t="s">
        <v>442</v>
      </c>
      <c r="AI192" s="1" t="s">
        <v>1022</v>
      </c>
      <c r="AJ192">
        <f t="shared" si="53"/>
        <v>192</v>
      </c>
    </row>
    <row r="193" spans="31:36">
      <c r="AE193" s="179" t="s">
        <v>1092</v>
      </c>
      <c r="AF193" s="1">
        <v>835197.3125</v>
      </c>
      <c r="AG193" s="1">
        <v>1415.13123</v>
      </c>
      <c r="AH193" s="1">
        <v>28907.054690000001</v>
      </c>
      <c r="AI193" s="1">
        <v>48326.996090000001</v>
      </c>
      <c r="AJ193">
        <f t="shared" si="53"/>
        <v>193</v>
      </c>
    </row>
    <row r="194" spans="31:36">
      <c r="AE194" s="179" t="s">
        <v>1093</v>
      </c>
      <c r="AF194" s="1">
        <v>881113.4375</v>
      </c>
      <c r="AG194" s="1">
        <v>1425.88293</v>
      </c>
      <c r="AH194" s="1">
        <v>29695.195309999999</v>
      </c>
      <c r="AI194" s="1">
        <v>51824.78125</v>
      </c>
      <c r="AJ194">
        <f t="shared" si="53"/>
        <v>194</v>
      </c>
    </row>
    <row r="195" spans="31:36">
      <c r="AE195" s="179" t="s">
        <v>1094</v>
      </c>
      <c r="AF195" s="1">
        <f>AF194-AF193</f>
        <v>45916.125</v>
      </c>
      <c r="AG195" s="1">
        <f>AG194-AG193</f>
        <v>10.751700000000028</v>
      </c>
      <c r="AH195" s="1">
        <f>AH194-AH193</f>
        <v>788.14061999999831</v>
      </c>
      <c r="AI195" s="1">
        <f>AI194-AI193</f>
        <v>3497.7851599999995</v>
      </c>
      <c r="AJ195">
        <f t="shared" ref="AJ195:AJ258" si="54">AJ194+1</f>
        <v>195</v>
      </c>
    </row>
    <row r="196" spans="31:36">
      <c r="AE196" s="179" t="s">
        <v>1090</v>
      </c>
      <c r="AF196" s="560">
        <v>1371623665</v>
      </c>
      <c r="AG196" s="1" t="s">
        <v>1095</v>
      </c>
      <c r="AH196" s="1" t="s">
        <v>1095</v>
      </c>
      <c r="AI196" s="1" t="s">
        <v>1095</v>
      </c>
      <c r="AJ196">
        <f t="shared" si="54"/>
        <v>196</v>
      </c>
    </row>
    <row r="197" spans="31:36">
      <c r="AE197" s="179" t="s">
        <v>1091</v>
      </c>
      <c r="AF197" s="1" t="s">
        <v>440</v>
      </c>
      <c r="AG197" s="1" t="s">
        <v>441</v>
      </c>
      <c r="AH197" s="1" t="s">
        <v>442</v>
      </c>
      <c r="AI197" s="1" t="s">
        <v>1022</v>
      </c>
      <c r="AJ197">
        <f t="shared" si="54"/>
        <v>197</v>
      </c>
    </row>
    <row r="198" spans="31:36">
      <c r="AE198" s="179" t="s">
        <v>1092</v>
      </c>
      <c r="AF198" s="1">
        <v>2815262</v>
      </c>
      <c r="AG198" s="1">
        <v>3808.37646</v>
      </c>
      <c r="AH198" s="1">
        <v>354153.40625</v>
      </c>
      <c r="AI198" s="1">
        <v>1527.6283000000001</v>
      </c>
      <c r="AJ198">
        <f t="shared" si="54"/>
        <v>198</v>
      </c>
    </row>
    <row r="199" spans="31:36">
      <c r="AE199" s="179" t="s">
        <v>1093</v>
      </c>
      <c r="AF199" s="1">
        <v>2951600.25</v>
      </c>
      <c r="AG199" s="1">
        <v>3808.37646</v>
      </c>
      <c r="AH199" s="1">
        <v>371480.5</v>
      </c>
      <c r="AI199" s="1">
        <v>1545.4108900000001</v>
      </c>
      <c r="AJ199">
        <f t="shared" si="54"/>
        <v>199</v>
      </c>
    </row>
    <row r="200" spans="31:36">
      <c r="AE200" s="179" t="s">
        <v>1094</v>
      </c>
      <c r="AF200" s="1">
        <f>AF199-AF198</f>
        <v>136338.25</v>
      </c>
      <c r="AG200" s="1">
        <f>AG199-AG198</f>
        <v>0</v>
      </c>
      <c r="AH200" s="1">
        <f>AH199-AH198</f>
        <v>17327.09375</v>
      </c>
      <c r="AI200" s="1">
        <f>AI199-AI198</f>
        <v>17.782590000000027</v>
      </c>
      <c r="AJ200">
        <f t="shared" si="54"/>
        <v>200</v>
      </c>
    </row>
    <row r="201" spans="31:36">
      <c r="AE201" s="179" t="s">
        <v>1090</v>
      </c>
      <c r="AF201" s="560">
        <v>1371623899</v>
      </c>
      <c r="AG201" s="1" t="s">
        <v>1095</v>
      </c>
      <c r="AH201" s="1" t="s">
        <v>1095</v>
      </c>
      <c r="AI201" s="1" t="s">
        <v>1095</v>
      </c>
      <c r="AJ201">
        <f t="shared" si="54"/>
        <v>201</v>
      </c>
    </row>
    <row r="202" spans="31:36">
      <c r="AE202" s="179" t="s">
        <v>1091</v>
      </c>
      <c r="AF202" s="1" t="s">
        <v>440</v>
      </c>
      <c r="AG202" s="1" t="s">
        <v>441</v>
      </c>
      <c r="AH202" s="1" t="s">
        <v>442</v>
      </c>
      <c r="AI202" s="1" t="s">
        <v>1022</v>
      </c>
      <c r="AJ202">
        <f t="shared" si="54"/>
        <v>202</v>
      </c>
    </row>
    <row r="203" spans="31:36">
      <c r="AE203" s="179" t="s">
        <v>1092</v>
      </c>
      <c r="AF203" s="1">
        <v>192.42957999999999</v>
      </c>
      <c r="AG203" s="1">
        <v>881273.9375</v>
      </c>
      <c r="AH203" s="1">
        <v>432.39645000000002</v>
      </c>
      <c r="AI203" s="1">
        <v>13698.48828</v>
      </c>
      <c r="AJ203">
        <f t="shared" si="54"/>
        <v>203</v>
      </c>
    </row>
    <row r="204" spans="31:36">
      <c r="AE204" s="179" t="s">
        <v>1093</v>
      </c>
      <c r="AF204" s="1">
        <v>204.12848</v>
      </c>
      <c r="AG204" s="1">
        <v>964336.8125</v>
      </c>
      <c r="AH204" s="1">
        <v>484.15784000000002</v>
      </c>
      <c r="AI204" s="1">
        <v>14599.509770000001</v>
      </c>
      <c r="AJ204">
        <f t="shared" si="54"/>
        <v>204</v>
      </c>
    </row>
    <row r="205" spans="31:36">
      <c r="AE205" s="179" t="s">
        <v>1094</v>
      </c>
      <c r="AF205" s="1">
        <f>AF204-AF203</f>
        <v>11.698900000000009</v>
      </c>
      <c r="AG205" s="1">
        <f>AG204-AG203</f>
        <v>83062.875</v>
      </c>
      <c r="AH205" s="1">
        <f>AH204-AH203</f>
        <v>51.761390000000006</v>
      </c>
      <c r="AI205" s="1">
        <f>AI204-AI203</f>
        <v>901.02149000000099</v>
      </c>
      <c r="AJ205">
        <f t="shared" si="54"/>
        <v>205</v>
      </c>
    </row>
    <row r="206" spans="31:36">
      <c r="AE206" s="179" t="s">
        <v>1090</v>
      </c>
      <c r="AF206" s="560">
        <v>1371624064</v>
      </c>
      <c r="AG206" s="1" t="s">
        <v>1095</v>
      </c>
      <c r="AH206" s="1" t="s">
        <v>1095</v>
      </c>
      <c r="AI206" s="1" t="s">
        <v>1095</v>
      </c>
      <c r="AJ206">
        <f t="shared" si="54"/>
        <v>206</v>
      </c>
    </row>
    <row r="207" spans="31:36">
      <c r="AE207" s="179" t="s">
        <v>1091</v>
      </c>
      <c r="AF207" s="1" t="s">
        <v>440</v>
      </c>
      <c r="AG207" s="1" t="s">
        <v>441</v>
      </c>
      <c r="AH207" s="1" t="s">
        <v>442</v>
      </c>
      <c r="AI207" s="1" t="s">
        <v>1022</v>
      </c>
      <c r="AJ207">
        <f t="shared" si="54"/>
        <v>207</v>
      </c>
    </row>
    <row r="208" spans="31:36">
      <c r="AE208" s="179" t="s">
        <v>1092</v>
      </c>
      <c r="AF208" s="1">
        <v>530.44024999999999</v>
      </c>
      <c r="AG208" s="1">
        <v>1493997.25</v>
      </c>
      <c r="AH208" s="1">
        <v>11485.632809999999</v>
      </c>
      <c r="AI208" s="1">
        <v>18486.710940000001</v>
      </c>
      <c r="AJ208">
        <f t="shared" si="54"/>
        <v>208</v>
      </c>
    </row>
    <row r="209" spans="31:36">
      <c r="AE209" s="179" t="s">
        <v>1093</v>
      </c>
      <c r="AF209" s="1">
        <v>556.30291999999997</v>
      </c>
      <c r="AG209" s="1">
        <v>1531742</v>
      </c>
      <c r="AH209" s="1">
        <v>11718.662109999999</v>
      </c>
      <c r="AI209" s="1">
        <v>19129.591799999998</v>
      </c>
      <c r="AJ209">
        <f t="shared" si="54"/>
        <v>209</v>
      </c>
    </row>
    <row r="210" spans="31:36">
      <c r="AE210" s="179" t="s">
        <v>1094</v>
      </c>
      <c r="AF210" s="1">
        <f>AF209-AF208</f>
        <v>25.86266999999998</v>
      </c>
      <c r="AG210" s="1">
        <f>AG209-AG208</f>
        <v>37744.75</v>
      </c>
      <c r="AH210" s="1">
        <f>AH209-AH208</f>
        <v>233.02930000000015</v>
      </c>
      <c r="AI210" s="1">
        <f>AI209-AI208</f>
        <v>642.88085999999748</v>
      </c>
      <c r="AJ210">
        <f t="shared" si="54"/>
        <v>210</v>
      </c>
    </row>
    <row r="211" spans="31:36">
      <c r="AE211" s="179" t="s">
        <v>1090</v>
      </c>
      <c r="AF211" s="560">
        <v>1372642632</v>
      </c>
      <c r="AG211" s="1" t="s">
        <v>1095</v>
      </c>
      <c r="AH211" s="1" t="s">
        <v>1095</v>
      </c>
      <c r="AI211" s="1" t="s">
        <v>1095</v>
      </c>
      <c r="AJ211">
        <f t="shared" si="54"/>
        <v>211</v>
      </c>
    </row>
    <row r="212" spans="31:36">
      <c r="AE212" s="179" t="s">
        <v>1091</v>
      </c>
      <c r="AF212" s="1" t="s">
        <v>440</v>
      </c>
      <c r="AG212" s="1" t="s">
        <v>441</v>
      </c>
      <c r="AH212" s="1" t="s">
        <v>442</v>
      </c>
      <c r="AI212" s="1" t="s">
        <v>1022</v>
      </c>
      <c r="AJ212">
        <f t="shared" si="54"/>
        <v>212</v>
      </c>
    </row>
    <row r="213" spans="31:36">
      <c r="AE213" s="179" t="s">
        <v>1092</v>
      </c>
      <c r="AF213" s="1">
        <v>2643474.5</v>
      </c>
      <c r="AG213" s="1">
        <v>1337.37573</v>
      </c>
      <c r="AH213" s="1">
        <v>173124.57813000001</v>
      </c>
      <c r="AI213" s="1">
        <v>92316.132809999996</v>
      </c>
      <c r="AJ213">
        <f t="shared" si="54"/>
        <v>213</v>
      </c>
    </row>
    <row r="214" spans="31:36">
      <c r="AE214" s="179" t="s">
        <v>1093</v>
      </c>
      <c r="AF214" s="1">
        <v>2736075.75</v>
      </c>
      <c r="AG214" s="1">
        <v>1541.5404100000001</v>
      </c>
      <c r="AH214" s="1">
        <v>181229.48438000001</v>
      </c>
      <c r="AI214" s="1">
        <v>95668.546879999994</v>
      </c>
      <c r="AJ214">
        <f t="shared" si="54"/>
        <v>214</v>
      </c>
    </row>
    <row r="215" spans="31:36">
      <c r="AE215" s="179" t="s">
        <v>1094</v>
      </c>
      <c r="AF215" s="1">
        <f>AF214-AF213</f>
        <v>92601.25</v>
      </c>
      <c r="AG215" s="1">
        <f>AG214-AG213</f>
        <v>204.16468000000009</v>
      </c>
      <c r="AH215" s="1">
        <f>AH214-AH213</f>
        <v>8104.90625</v>
      </c>
      <c r="AI215" s="1">
        <f>AI214-AI213</f>
        <v>3352.4140699999989</v>
      </c>
      <c r="AJ215">
        <f t="shared" si="54"/>
        <v>215</v>
      </c>
    </row>
    <row r="216" spans="31:36">
      <c r="AE216" s="179" t="s">
        <v>1090</v>
      </c>
      <c r="AF216" s="560">
        <v>1371624296</v>
      </c>
      <c r="AG216" s="1" t="s">
        <v>1095</v>
      </c>
      <c r="AH216" s="1" t="s">
        <v>1095</v>
      </c>
      <c r="AI216" s="1" t="s">
        <v>1095</v>
      </c>
      <c r="AJ216">
        <f t="shared" si="54"/>
        <v>216</v>
      </c>
    </row>
    <row r="217" spans="31:36">
      <c r="AE217" s="179" t="s">
        <v>1091</v>
      </c>
      <c r="AF217" s="1" t="s">
        <v>440</v>
      </c>
      <c r="AG217" s="1" t="s">
        <v>441</v>
      </c>
      <c r="AH217" s="1" t="s">
        <v>442</v>
      </c>
      <c r="AI217" s="1" t="s">
        <v>1022</v>
      </c>
      <c r="AJ217">
        <f t="shared" si="54"/>
        <v>217</v>
      </c>
    </row>
    <row r="218" spans="31:36">
      <c r="AE218" s="179" t="s">
        <v>1092</v>
      </c>
      <c r="AF218" s="1">
        <v>5598307</v>
      </c>
      <c r="AG218" s="1">
        <v>1077.23035</v>
      </c>
      <c r="AH218" s="1">
        <v>870511.9375</v>
      </c>
      <c r="AI218" s="1">
        <v>11010.306640000001</v>
      </c>
      <c r="AJ218">
        <f t="shared" si="54"/>
        <v>218</v>
      </c>
    </row>
    <row r="219" spans="31:36">
      <c r="AE219" s="179" t="s">
        <v>1093</v>
      </c>
      <c r="AF219" s="1">
        <v>5920939.5</v>
      </c>
      <c r="AG219" s="1">
        <v>1077.23035</v>
      </c>
      <c r="AH219" s="1">
        <v>929180.9375</v>
      </c>
      <c r="AI219" s="1">
        <v>11152.41113</v>
      </c>
      <c r="AJ219">
        <f t="shared" si="54"/>
        <v>219</v>
      </c>
    </row>
    <row r="220" spans="31:36">
      <c r="AE220" s="179" t="s">
        <v>1094</v>
      </c>
      <c r="AF220" s="1">
        <f>AF219-AF218</f>
        <v>322632.5</v>
      </c>
      <c r="AG220" s="1">
        <f>AG219-AG218</f>
        <v>0</v>
      </c>
      <c r="AH220" s="1">
        <f>AH219-AH218</f>
        <v>58669</v>
      </c>
      <c r="AI220" s="1">
        <f>AI219-AI218</f>
        <v>142.10448999999971</v>
      </c>
      <c r="AJ220">
        <f t="shared" si="54"/>
        <v>220</v>
      </c>
    </row>
    <row r="221" spans="31:36">
      <c r="AE221" s="179" t="s">
        <v>1090</v>
      </c>
      <c r="AF221" s="560">
        <v>1371624621</v>
      </c>
      <c r="AG221" s="1" t="s">
        <v>1095</v>
      </c>
      <c r="AH221" s="1" t="s">
        <v>1095</v>
      </c>
      <c r="AI221" s="1" t="s">
        <v>1095</v>
      </c>
      <c r="AJ221">
        <f t="shared" si="54"/>
        <v>221</v>
      </c>
    </row>
    <row r="222" spans="31:36">
      <c r="AE222" s="179" t="s">
        <v>1091</v>
      </c>
      <c r="AF222" s="1" t="s">
        <v>440</v>
      </c>
      <c r="AG222" s="1" t="s">
        <v>441</v>
      </c>
      <c r="AH222" s="1" t="s">
        <v>442</v>
      </c>
      <c r="AI222" s="1" t="s">
        <v>1022</v>
      </c>
      <c r="AJ222">
        <f t="shared" si="54"/>
        <v>222</v>
      </c>
    </row>
    <row r="223" spans="31:36">
      <c r="AE223" s="179" t="s">
        <v>1092</v>
      </c>
      <c r="AF223" s="1">
        <v>640.50298999999995</v>
      </c>
      <c r="AG223" s="1">
        <v>1889328.75</v>
      </c>
      <c r="AH223" s="1">
        <v>24841.667969999999</v>
      </c>
      <c r="AI223" s="1">
        <v>20304.320309999999</v>
      </c>
      <c r="AJ223">
        <f t="shared" si="54"/>
        <v>223</v>
      </c>
    </row>
    <row r="224" spans="31:36">
      <c r="AE224" s="179" t="s">
        <v>1093</v>
      </c>
      <c r="AF224" s="1">
        <v>667.62378000000001</v>
      </c>
      <c r="AG224" s="1">
        <v>2059989.625</v>
      </c>
      <c r="AH224" s="1">
        <v>26118.585940000001</v>
      </c>
      <c r="AI224" s="1">
        <v>20446.193360000001</v>
      </c>
      <c r="AJ224">
        <f t="shared" si="54"/>
        <v>224</v>
      </c>
    </row>
    <row r="225" spans="31:36">
      <c r="AE225" s="179" t="s">
        <v>1094</v>
      </c>
      <c r="AF225" s="1">
        <f>AF224-AF223</f>
        <v>27.120790000000056</v>
      </c>
      <c r="AG225" s="1">
        <f>AG224-AG223</f>
        <v>170660.875</v>
      </c>
      <c r="AH225" s="1">
        <f>AH224-AH223</f>
        <v>1276.9179700000022</v>
      </c>
      <c r="AI225" s="1">
        <f>AI224-AI223</f>
        <v>141.87305000000197</v>
      </c>
      <c r="AJ225">
        <f t="shared" si="54"/>
        <v>225</v>
      </c>
    </row>
    <row r="226" spans="31:36">
      <c r="AE226" s="179" t="s">
        <v>1090</v>
      </c>
      <c r="AF226" s="560">
        <v>1371624631</v>
      </c>
      <c r="AG226" s="1" t="s">
        <v>1095</v>
      </c>
      <c r="AH226" s="1" t="s">
        <v>1095</v>
      </c>
      <c r="AI226" s="1" t="s">
        <v>1095</v>
      </c>
      <c r="AJ226">
        <f t="shared" si="54"/>
        <v>226</v>
      </c>
    </row>
    <row r="227" spans="31:36">
      <c r="AE227" s="179" t="s">
        <v>1091</v>
      </c>
      <c r="AF227" s="1" t="s">
        <v>440</v>
      </c>
      <c r="AG227" s="1" t="s">
        <v>441</v>
      </c>
      <c r="AH227" s="1" t="s">
        <v>442</v>
      </c>
      <c r="AI227" s="1" t="s">
        <v>1022</v>
      </c>
      <c r="AJ227">
        <f t="shared" si="54"/>
        <v>227</v>
      </c>
    </row>
    <row r="228" spans="31:36">
      <c r="AE228" s="179" t="s">
        <v>1092</v>
      </c>
      <c r="AF228" s="1">
        <v>6963444</v>
      </c>
      <c r="AG228" s="1">
        <v>0</v>
      </c>
      <c r="AH228" s="1">
        <v>204462.54688000001</v>
      </c>
      <c r="AI228" s="1">
        <v>315681.59375</v>
      </c>
      <c r="AJ228">
        <f t="shared" si="54"/>
        <v>228</v>
      </c>
    </row>
    <row r="229" spans="31:36">
      <c r="AE229" s="179" t="s">
        <v>1093</v>
      </c>
      <c r="AF229" s="1">
        <v>7299280</v>
      </c>
      <c r="AG229" s="1">
        <v>0</v>
      </c>
      <c r="AH229" s="1">
        <v>211989.42188000001</v>
      </c>
      <c r="AI229" s="1">
        <v>329798.40625</v>
      </c>
      <c r="AJ229">
        <f t="shared" si="54"/>
        <v>229</v>
      </c>
    </row>
    <row r="230" spans="31:36">
      <c r="AE230" s="179" t="s">
        <v>1094</v>
      </c>
      <c r="AF230" s="1">
        <f>AF229-AF228</f>
        <v>335836</v>
      </c>
      <c r="AG230" s="1">
        <f>AG229-AG228</f>
        <v>0</v>
      </c>
      <c r="AH230" s="1">
        <f>AH229-AH228</f>
        <v>7526.875</v>
      </c>
      <c r="AI230" s="1">
        <f>AI229-AI228</f>
        <v>14116.8125</v>
      </c>
      <c r="AJ230">
        <f t="shared" si="54"/>
        <v>230</v>
      </c>
    </row>
    <row r="231" spans="31:36">
      <c r="AE231" s="179" t="s">
        <v>1090</v>
      </c>
      <c r="AF231" s="560">
        <v>1371624804</v>
      </c>
      <c r="AG231" s="1" t="s">
        <v>1095</v>
      </c>
      <c r="AH231" s="1" t="s">
        <v>1095</v>
      </c>
      <c r="AI231" s="1" t="s">
        <v>1095</v>
      </c>
      <c r="AJ231">
        <f t="shared" si="54"/>
        <v>231</v>
      </c>
    </row>
    <row r="232" spans="31:36">
      <c r="AE232" s="179" t="s">
        <v>1091</v>
      </c>
      <c r="AF232" s="1" t="s">
        <v>440</v>
      </c>
      <c r="AG232" s="1" t="s">
        <v>441</v>
      </c>
      <c r="AH232" s="1" t="s">
        <v>442</v>
      </c>
      <c r="AI232" s="1" t="s">
        <v>1022</v>
      </c>
      <c r="AJ232">
        <f t="shared" si="54"/>
        <v>232</v>
      </c>
    </row>
    <row r="233" spans="31:36">
      <c r="AE233" s="179" t="s">
        <v>1092</v>
      </c>
      <c r="AF233" s="1">
        <v>1139.1917699999999</v>
      </c>
      <c r="AG233" s="1">
        <v>3310718.75</v>
      </c>
      <c r="AH233" s="1">
        <v>77444.53125</v>
      </c>
      <c r="AI233" s="1">
        <v>118595.4375</v>
      </c>
      <c r="AJ233">
        <f t="shared" si="54"/>
        <v>233</v>
      </c>
    </row>
    <row r="234" spans="31:36">
      <c r="AE234" s="179" t="s">
        <v>1093</v>
      </c>
      <c r="AF234" s="1">
        <v>1193.21045</v>
      </c>
      <c r="AG234" s="1">
        <v>3590369.25</v>
      </c>
      <c r="AH234" s="1">
        <v>78307.703129999994</v>
      </c>
      <c r="AI234" s="1">
        <v>120417.35937999999</v>
      </c>
      <c r="AJ234">
        <f t="shared" si="54"/>
        <v>234</v>
      </c>
    </row>
    <row r="235" spans="31:36">
      <c r="AE235" s="179" t="s">
        <v>1094</v>
      </c>
      <c r="AF235" s="1">
        <f>AF234-AF233</f>
        <v>54.018680000000131</v>
      </c>
      <c r="AG235" s="1">
        <f>AG234-AG233</f>
        <v>279650.5</v>
      </c>
      <c r="AH235" s="1">
        <f>AH234-AH233</f>
        <v>863.17187999999442</v>
      </c>
      <c r="AI235" s="1">
        <f>AI234-AI233</f>
        <v>1821.9218799999944</v>
      </c>
      <c r="AJ235">
        <f t="shared" si="54"/>
        <v>235</v>
      </c>
    </row>
    <row r="236" spans="31:36">
      <c r="AE236" s="179" t="s">
        <v>1090</v>
      </c>
      <c r="AF236" s="560">
        <v>1371626280</v>
      </c>
      <c r="AG236" s="1" t="s">
        <v>1095</v>
      </c>
      <c r="AH236" s="1" t="s">
        <v>1095</v>
      </c>
      <c r="AI236" s="1" t="s">
        <v>1095</v>
      </c>
      <c r="AJ236">
        <f t="shared" si="54"/>
        <v>236</v>
      </c>
    </row>
    <row r="237" spans="31:36">
      <c r="AE237" s="179" t="s">
        <v>1091</v>
      </c>
      <c r="AF237" s="1" t="s">
        <v>440</v>
      </c>
      <c r="AG237" s="1" t="s">
        <v>441</v>
      </c>
      <c r="AH237" s="1" t="s">
        <v>442</v>
      </c>
      <c r="AI237" s="1" t="s">
        <v>1022</v>
      </c>
      <c r="AJ237">
        <f t="shared" si="54"/>
        <v>237</v>
      </c>
    </row>
    <row r="238" spans="31:36">
      <c r="AE238" s="179" t="s">
        <v>1092</v>
      </c>
      <c r="AF238" s="1">
        <v>10255418</v>
      </c>
      <c r="AG238" s="1">
        <v>1.0000000000000001E-5</v>
      </c>
      <c r="AH238" s="1">
        <v>836944.375</v>
      </c>
      <c r="AI238" s="1">
        <v>79025.851559999996</v>
      </c>
      <c r="AJ238">
        <f t="shared" si="54"/>
        <v>238</v>
      </c>
    </row>
    <row r="239" spans="31:36">
      <c r="AE239" s="179" t="s">
        <v>1093</v>
      </c>
      <c r="AF239" s="1">
        <v>10784124</v>
      </c>
      <c r="AG239" s="1">
        <v>1.0000000000000001E-5</v>
      </c>
      <c r="AH239" s="1">
        <v>887211.5625</v>
      </c>
      <c r="AI239" s="1">
        <v>81659.195309999996</v>
      </c>
      <c r="AJ239">
        <f t="shared" si="54"/>
        <v>239</v>
      </c>
    </row>
    <row r="240" spans="31:36">
      <c r="AE240" s="179" t="s">
        <v>1094</v>
      </c>
      <c r="AF240" s="1">
        <f>AF239-AF238</f>
        <v>528706</v>
      </c>
      <c r="AG240" s="1">
        <f>AG239-AG238</f>
        <v>0</v>
      </c>
      <c r="AH240" s="1">
        <f>AH239-AH238</f>
        <v>50267.1875</v>
      </c>
      <c r="AI240" s="1">
        <f>AI239-AI238</f>
        <v>2633.34375</v>
      </c>
      <c r="AJ240">
        <f t="shared" si="54"/>
        <v>240</v>
      </c>
    </row>
    <row r="241" spans="31:36">
      <c r="AE241" s="179" t="s">
        <v>1090</v>
      </c>
      <c r="AF241" s="560">
        <v>1371628614</v>
      </c>
      <c r="AG241" s="1" t="s">
        <v>1095</v>
      </c>
      <c r="AH241" s="1" t="s">
        <v>1095</v>
      </c>
      <c r="AI241" s="1" t="s">
        <v>1095</v>
      </c>
      <c r="AJ241">
        <f t="shared" si="54"/>
        <v>241</v>
      </c>
    </row>
    <row r="242" spans="31:36">
      <c r="AE242" s="179" t="s">
        <v>1091</v>
      </c>
      <c r="AF242" s="1" t="s">
        <v>440</v>
      </c>
      <c r="AG242" s="1" t="s">
        <v>441</v>
      </c>
      <c r="AH242" s="1" t="s">
        <v>442</v>
      </c>
      <c r="AI242" s="1" t="s">
        <v>1022</v>
      </c>
      <c r="AJ242">
        <f t="shared" si="54"/>
        <v>242</v>
      </c>
    </row>
    <row r="243" spans="31:36">
      <c r="AE243" s="179" t="s">
        <v>1092</v>
      </c>
      <c r="AF243" s="1">
        <v>1520852.75</v>
      </c>
      <c r="AG243" s="1">
        <v>17108.613280000001</v>
      </c>
      <c r="AH243" s="1">
        <v>292470.03125</v>
      </c>
      <c r="AI243" s="1">
        <v>33390.066409999999</v>
      </c>
      <c r="AJ243">
        <f t="shared" si="54"/>
        <v>243</v>
      </c>
    </row>
    <row r="244" spans="31:36">
      <c r="AE244" s="179" t="s">
        <v>1093</v>
      </c>
      <c r="AF244" s="1">
        <v>1587121.5</v>
      </c>
      <c r="AG244" s="1">
        <v>18255.601559999999</v>
      </c>
      <c r="AH244" s="1">
        <v>307611.09375</v>
      </c>
      <c r="AI244" s="1">
        <v>34646.621090000001</v>
      </c>
      <c r="AJ244">
        <f t="shared" si="54"/>
        <v>244</v>
      </c>
    </row>
    <row r="245" spans="31:36">
      <c r="AE245" s="179" t="s">
        <v>1094</v>
      </c>
      <c r="AF245" s="1">
        <f>AF244-AF243</f>
        <v>66268.75</v>
      </c>
      <c r="AG245" s="1">
        <f>AG244-AG243</f>
        <v>1146.9882799999978</v>
      </c>
      <c r="AH245" s="1">
        <f>AH244-AH243</f>
        <v>15141.0625</v>
      </c>
      <c r="AI245" s="1">
        <f>AI244-AI243</f>
        <v>1256.5546800000011</v>
      </c>
      <c r="AJ245">
        <f t="shared" si="54"/>
        <v>245</v>
      </c>
    </row>
    <row r="246" spans="31:36">
      <c r="AE246" s="179" t="s">
        <v>1090</v>
      </c>
      <c r="AF246" s="560">
        <v>1371628684</v>
      </c>
      <c r="AG246" s="1" t="s">
        <v>1095</v>
      </c>
      <c r="AH246" s="1" t="s">
        <v>1095</v>
      </c>
      <c r="AI246" s="1" t="s">
        <v>1095</v>
      </c>
      <c r="AJ246">
        <f t="shared" si="54"/>
        <v>246</v>
      </c>
    </row>
    <row r="247" spans="31:36">
      <c r="AE247" s="179" t="s">
        <v>1091</v>
      </c>
      <c r="AF247" s="1" t="s">
        <v>440</v>
      </c>
      <c r="AG247" s="1" t="s">
        <v>441</v>
      </c>
      <c r="AH247" s="1" t="s">
        <v>442</v>
      </c>
      <c r="AI247" s="1" t="s">
        <v>1022</v>
      </c>
      <c r="AJ247">
        <f t="shared" si="54"/>
        <v>247</v>
      </c>
    </row>
    <row r="248" spans="31:36">
      <c r="AE248" s="179" t="s">
        <v>1092</v>
      </c>
      <c r="AF248" s="1">
        <v>6191.41309</v>
      </c>
      <c r="AG248" s="1">
        <v>2221679.25</v>
      </c>
      <c r="AH248" s="1">
        <v>67673.476559999996</v>
      </c>
      <c r="AI248" s="1">
        <v>354076.1875</v>
      </c>
      <c r="AJ248">
        <f t="shared" si="54"/>
        <v>248</v>
      </c>
    </row>
    <row r="249" spans="31:36">
      <c r="AE249" s="179" t="s">
        <v>1093</v>
      </c>
      <c r="AF249" s="1">
        <v>7086.2040999999999</v>
      </c>
      <c r="AG249" s="1">
        <v>2390246.25</v>
      </c>
      <c r="AH249" s="1">
        <v>300183.96875</v>
      </c>
      <c r="AI249" s="1">
        <v>356538.8125</v>
      </c>
      <c r="AJ249">
        <f t="shared" si="54"/>
        <v>249</v>
      </c>
    </row>
    <row r="250" spans="31:36">
      <c r="AE250" s="179" t="s">
        <v>1094</v>
      </c>
      <c r="AF250" s="1">
        <f>AF249-AF248</f>
        <v>894.79100999999991</v>
      </c>
      <c r="AG250" s="1">
        <f>AG249-AG248</f>
        <v>168567</v>
      </c>
      <c r="AH250" s="1">
        <f>AH249-AH248</f>
        <v>232510.49219000002</v>
      </c>
      <c r="AI250" s="1">
        <f>AI249-AI248</f>
        <v>2462.625</v>
      </c>
      <c r="AJ250">
        <f t="shared" si="54"/>
        <v>250</v>
      </c>
    </row>
    <row r="251" spans="31:36">
      <c r="AE251" s="179" t="s">
        <v>1090</v>
      </c>
      <c r="AF251" s="560">
        <v>1371628694</v>
      </c>
      <c r="AG251" s="1" t="s">
        <v>1095</v>
      </c>
      <c r="AH251" s="1" t="s">
        <v>1095</v>
      </c>
      <c r="AI251" s="1" t="s">
        <v>1095</v>
      </c>
      <c r="AJ251">
        <f t="shared" si="54"/>
        <v>251</v>
      </c>
    </row>
    <row r="252" spans="31:36">
      <c r="AE252" s="179" t="s">
        <v>1091</v>
      </c>
      <c r="AF252" s="1" t="s">
        <v>440</v>
      </c>
      <c r="AG252" s="1" t="s">
        <v>441</v>
      </c>
      <c r="AH252" s="1" t="s">
        <v>442</v>
      </c>
      <c r="AI252" s="1" t="s">
        <v>1022</v>
      </c>
      <c r="AJ252">
        <f t="shared" si="54"/>
        <v>252</v>
      </c>
    </row>
    <row r="253" spans="31:36">
      <c r="AE253" s="179" t="s">
        <v>1092</v>
      </c>
      <c r="AF253" s="1">
        <v>5241879</v>
      </c>
      <c r="AG253" s="1">
        <v>0</v>
      </c>
      <c r="AH253" s="1">
        <v>578075.25</v>
      </c>
      <c r="AI253" s="1">
        <v>1508.17065</v>
      </c>
      <c r="AJ253">
        <f t="shared" si="54"/>
        <v>253</v>
      </c>
    </row>
    <row r="254" spans="31:36">
      <c r="AE254" s="179" t="s">
        <v>1093</v>
      </c>
      <c r="AF254" s="1">
        <v>5483992.5</v>
      </c>
      <c r="AG254" s="1">
        <v>0</v>
      </c>
      <c r="AH254" s="1">
        <v>602118.625</v>
      </c>
      <c r="AI254" s="1">
        <v>1524.05737</v>
      </c>
      <c r="AJ254">
        <f t="shared" si="54"/>
        <v>254</v>
      </c>
    </row>
    <row r="255" spans="31:36">
      <c r="AE255" s="179" t="s">
        <v>1094</v>
      </c>
      <c r="AF255" s="1">
        <f>AF254-AF253</f>
        <v>242113.5</v>
      </c>
      <c r="AG255" s="1">
        <f>AG254-AG253</f>
        <v>0</v>
      </c>
      <c r="AH255" s="1">
        <f>AH254-AH253</f>
        <v>24043.375</v>
      </c>
      <c r="AI255" s="1">
        <f>AI254-AI253</f>
        <v>15.886719999999968</v>
      </c>
      <c r="AJ255">
        <f t="shared" si="54"/>
        <v>255</v>
      </c>
    </row>
    <row r="256" spans="31:36">
      <c r="AE256" s="179" t="s">
        <v>1090</v>
      </c>
      <c r="AF256" s="560">
        <v>1371628703</v>
      </c>
      <c r="AG256" s="1" t="s">
        <v>1095</v>
      </c>
      <c r="AH256" s="1" t="s">
        <v>1095</v>
      </c>
      <c r="AI256" s="1" t="s">
        <v>1095</v>
      </c>
      <c r="AJ256">
        <f t="shared" si="54"/>
        <v>256</v>
      </c>
    </row>
    <row r="257" spans="31:36">
      <c r="AE257" s="179" t="s">
        <v>1091</v>
      </c>
      <c r="AF257" s="1" t="s">
        <v>440</v>
      </c>
      <c r="AG257" s="1" t="s">
        <v>441</v>
      </c>
      <c r="AH257" s="1" t="s">
        <v>442</v>
      </c>
      <c r="AI257" s="1" t="s">
        <v>1022</v>
      </c>
      <c r="AJ257">
        <f t="shared" si="54"/>
        <v>257</v>
      </c>
    </row>
    <row r="258" spans="31:36">
      <c r="AE258" s="179" t="s">
        <v>1092</v>
      </c>
      <c r="AF258" s="1">
        <v>3501310</v>
      </c>
      <c r="AG258" s="1">
        <v>67629.632809999996</v>
      </c>
      <c r="AH258" s="1">
        <v>200823.75</v>
      </c>
      <c r="AI258" s="1">
        <v>107149.1875</v>
      </c>
      <c r="AJ258">
        <f t="shared" si="54"/>
        <v>258</v>
      </c>
    </row>
    <row r="259" spans="31:36">
      <c r="AE259" s="179" t="s">
        <v>1093</v>
      </c>
      <c r="AF259" s="1">
        <v>3629153.5</v>
      </c>
      <c r="AG259" s="1">
        <v>74459.640629999994</v>
      </c>
      <c r="AH259" s="1">
        <v>207607.1875</v>
      </c>
      <c r="AI259" s="1">
        <v>109715.32812999999</v>
      </c>
      <c r="AJ259">
        <f t="shared" ref="AJ259:AJ322" si="55">AJ258+1</f>
        <v>259</v>
      </c>
    </row>
    <row r="260" spans="31:36">
      <c r="AE260" s="179" t="s">
        <v>1094</v>
      </c>
      <c r="AF260" s="1">
        <f>AF259-AF258</f>
        <v>127843.5</v>
      </c>
      <c r="AG260" s="1">
        <f>AG259-AG258</f>
        <v>6830.0078199999989</v>
      </c>
      <c r="AH260" s="1">
        <f>AH259-AH258</f>
        <v>6783.4375</v>
      </c>
      <c r="AI260" s="1">
        <f>AI259-AI258</f>
        <v>2566.1406299999944</v>
      </c>
      <c r="AJ260">
        <f t="shared" si="55"/>
        <v>260</v>
      </c>
    </row>
    <row r="261" spans="31:36">
      <c r="AE261" s="179" t="s">
        <v>1090</v>
      </c>
      <c r="AF261" s="560">
        <v>1371639203</v>
      </c>
      <c r="AG261" s="1" t="s">
        <v>1095</v>
      </c>
      <c r="AH261" s="1" t="s">
        <v>1095</v>
      </c>
      <c r="AI261" s="1" t="s">
        <v>1095</v>
      </c>
      <c r="AJ261">
        <f t="shared" si="55"/>
        <v>261</v>
      </c>
    </row>
    <row r="262" spans="31:36">
      <c r="AE262" s="179" t="s">
        <v>1091</v>
      </c>
      <c r="AF262" s="1" t="s">
        <v>440</v>
      </c>
      <c r="AG262" s="1" t="s">
        <v>441</v>
      </c>
      <c r="AH262" s="1" t="s">
        <v>442</v>
      </c>
      <c r="AI262" s="1" t="s">
        <v>1022</v>
      </c>
      <c r="AJ262">
        <f t="shared" si="55"/>
        <v>262</v>
      </c>
    </row>
    <row r="263" spans="31:36">
      <c r="AE263" s="179" t="s">
        <v>1092</v>
      </c>
      <c r="AF263" s="1">
        <v>435.87664999999998</v>
      </c>
      <c r="AG263" s="1">
        <v>1473575.625</v>
      </c>
      <c r="AH263" s="1">
        <v>29908.210940000001</v>
      </c>
      <c r="AI263" s="1">
        <v>6286.9384799999998</v>
      </c>
      <c r="AJ263">
        <f t="shared" si="55"/>
        <v>263</v>
      </c>
    </row>
    <row r="264" spans="31:36">
      <c r="AE264" s="179" t="s">
        <v>1093</v>
      </c>
      <c r="AF264" s="1">
        <v>452.58321999999998</v>
      </c>
      <c r="AG264" s="1">
        <v>1586645.75</v>
      </c>
      <c r="AH264" s="1">
        <v>31127.521479999999</v>
      </c>
      <c r="AI264" s="1">
        <v>6369.0766599999997</v>
      </c>
      <c r="AJ264">
        <f t="shared" si="55"/>
        <v>264</v>
      </c>
    </row>
    <row r="265" spans="31:36">
      <c r="AE265" s="179" t="s">
        <v>1094</v>
      </c>
      <c r="AF265" s="1">
        <f>AF264-AF263</f>
        <v>16.706569999999999</v>
      </c>
      <c r="AG265" s="1">
        <f>AG264-AG263</f>
        <v>113070.125</v>
      </c>
      <c r="AH265" s="1">
        <f>AH264-AH263</f>
        <v>1219.3105399999986</v>
      </c>
      <c r="AI265" s="1">
        <f>AI264-AI263</f>
        <v>82.13817999999992</v>
      </c>
      <c r="AJ265">
        <f t="shared" si="55"/>
        <v>265</v>
      </c>
    </row>
    <row r="266" spans="31:36">
      <c r="AE266" s="179" t="s">
        <v>1090</v>
      </c>
      <c r="AF266" s="560">
        <v>1371641041</v>
      </c>
      <c r="AG266" s="1" t="s">
        <v>1095</v>
      </c>
      <c r="AH266" s="1" t="s">
        <v>1095</v>
      </c>
      <c r="AI266" s="1" t="s">
        <v>1095</v>
      </c>
      <c r="AJ266">
        <f t="shared" si="55"/>
        <v>266</v>
      </c>
    </row>
    <row r="267" spans="31:36">
      <c r="AE267" s="179" t="s">
        <v>1091</v>
      </c>
      <c r="AF267" s="1" t="s">
        <v>440</v>
      </c>
      <c r="AG267" s="1" t="s">
        <v>441</v>
      </c>
      <c r="AH267" s="1" t="s">
        <v>442</v>
      </c>
      <c r="AI267" s="1" t="s">
        <v>1022</v>
      </c>
      <c r="AJ267">
        <f t="shared" si="55"/>
        <v>267</v>
      </c>
    </row>
    <row r="268" spans="31:36">
      <c r="AE268" s="179" t="s">
        <v>1092</v>
      </c>
      <c r="AF268" s="1">
        <v>975309</v>
      </c>
      <c r="AG268" s="1">
        <v>648624.625</v>
      </c>
      <c r="AH268" s="1">
        <v>40093.070310000003</v>
      </c>
      <c r="AI268" s="1">
        <v>146847.04688000001</v>
      </c>
      <c r="AJ268">
        <f t="shared" si="55"/>
        <v>268</v>
      </c>
    </row>
    <row r="269" spans="31:36">
      <c r="AE269" s="179" t="s">
        <v>1093</v>
      </c>
      <c r="AF269" s="1">
        <v>1011768.875</v>
      </c>
      <c r="AG269" s="1">
        <v>718908.5</v>
      </c>
      <c r="AH269" s="1">
        <v>40453.984380000002</v>
      </c>
      <c r="AI269" s="1">
        <v>154790.78125</v>
      </c>
      <c r="AJ269">
        <f t="shared" si="55"/>
        <v>269</v>
      </c>
    </row>
    <row r="270" spans="31:36">
      <c r="AE270" s="179" t="s">
        <v>1094</v>
      </c>
      <c r="AF270" s="1">
        <f>AF269-AF268</f>
        <v>36459.875</v>
      </c>
      <c r="AG270" s="1">
        <f>AG269-AG268</f>
        <v>70283.875</v>
      </c>
      <c r="AH270" s="1">
        <f>AH269-AH268</f>
        <v>360.9140699999989</v>
      </c>
      <c r="AI270" s="1">
        <f>AI269-AI268</f>
        <v>7943.734369999991</v>
      </c>
      <c r="AJ270">
        <f t="shared" si="55"/>
        <v>270</v>
      </c>
    </row>
    <row r="271" spans="31:36">
      <c r="AE271" s="179" t="s">
        <v>1090</v>
      </c>
      <c r="AF271" s="560">
        <v>1371641082</v>
      </c>
      <c r="AG271" s="1" t="s">
        <v>1095</v>
      </c>
      <c r="AH271" s="1" t="s">
        <v>1095</v>
      </c>
      <c r="AI271" s="1" t="s">
        <v>1095</v>
      </c>
      <c r="AJ271">
        <f t="shared" si="55"/>
        <v>271</v>
      </c>
    </row>
    <row r="272" spans="31:36">
      <c r="AE272" s="179" t="s">
        <v>1091</v>
      </c>
      <c r="AF272" s="1" t="s">
        <v>440</v>
      </c>
      <c r="AG272" s="1" t="s">
        <v>441</v>
      </c>
      <c r="AH272" s="1" t="s">
        <v>442</v>
      </c>
      <c r="AI272" s="1" t="s">
        <v>1022</v>
      </c>
      <c r="AJ272">
        <f t="shared" si="55"/>
        <v>272</v>
      </c>
    </row>
    <row r="273" spans="31:36">
      <c r="AE273" s="179" t="s">
        <v>1092</v>
      </c>
      <c r="AF273" s="1">
        <v>180.54167000000001</v>
      </c>
      <c r="AG273" s="1">
        <v>516268.09375</v>
      </c>
      <c r="AH273" s="1">
        <v>1706.32935</v>
      </c>
      <c r="AI273" s="1">
        <v>6281.7109399999999</v>
      </c>
      <c r="AJ273">
        <f t="shared" si="55"/>
        <v>273</v>
      </c>
    </row>
    <row r="274" spans="31:36">
      <c r="AE274" s="179" t="s">
        <v>1093</v>
      </c>
      <c r="AF274" s="1">
        <v>194.44618</v>
      </c>
      <c r="AG274" s="1">
        <v>550854.375</v>
      </c>
      <c r="AH274" s="1">
        <v>1830.6372100000001</v>
      </c>
      <c r="AI274" s="1">
        <v>6582.9775399999999</v>
      </c>
      <c r="AJ274">
        <f t="shared" si="55"/>
        <v>274</v>
      </c>
    </row>
    <row r="275" spans="31:36">
      <c r="AE275" s="179" t="s">
        <v>1094</v>
      </c>
      <c r="AF275" s="1">
        <f>AF274-AF273</f>
        <v>13.904509999999988</v>
      </c>
      <c r="AG275" s="1">
        <f>AG274-AG273</f>
        <v>34586.28125</v>
      </c>
      <c r="AH275" s="1">
        <f>AH274-AH273</f>
        <v>124.30786000000012</v>
      </c>
      <c r="AI275" s="1">
        <f>AI274-AI273</f>
        <v>301.26659999999993</v>
      </c>
      <c r="AJ275">
        <f t="shared" si="55"/>
        <v>275</v>
      </c>
    </row>
    <row r="276" spans="31:36">
      <c r="AE276" s="179" t="s">
        <v>1090</v>
      </c>
      <c r="AF276" s="560">
        <v>1371641137</v>
      </c>
      <c r="AG276" s="1" t="s">
        <v>1095</v>
      </c>
      <c r="AH276" s="1" t="s">
        <v>1095</v>
      </c>
      <c r="AI276" s="1" t="s">
        <v>1095</v>
      </c>
      <c r="AJ276">
        <f t="shared" si="55"/>
        <v>276</v>
      </c>
    </row>
    <row r="277" spans="31:36">
      <c r="AE277" s="179" t="s">
        <v>1091</v>
      </c>
      <c r="AF277" s="1" t="s">
        <v>440</v>
      </c>
      <c r="AG277" s="1" t="s">
        <v>441</v>
      </c>
      <c r="AH277" s="1" t="s">
        <v>442</v>
      </c>
      <c r="AI277" s="1" t="s">
        <v>1022</v>
      </c>
      <c r="AJ277">
        <f t="shared" si="55"/>
        <v>277</v>
      </c>
    </row>
    <row r="278" spans="31:36">
      <c r="AE278" s="179" t="s">
        <v>1092</v>
      </c>
      <c r="AF278" s="1">
        <v>1423906.125</v>
      </c>
      <c r="AG278" s="1">
        <v>33394.402340000001</v>
      </c>
      <c r="AH278" s="1">
        <v>15229.01953</v>
      </c>
      <c r="AI278" s="1">
        <v>129213.51562999999</v>
      </c>
      <c r="AJ278">
        <f t="shared" si="55"/>
        <v>278</v>
      </c>
    </row>
    <row r="279" spans="31:36">
      <c r="AE279" s="179" t="s">
        <v>1093</v>
      </c>
      <c r="AF279" s="1">
        <v>1498073.375</v>
      </c>
      <c r="AG279" s="1">
        <v>33394.402340000001</v>
      </c>
      <c r="AH279" s="1">
        <v>15442.327149999999</v>
      </c>
      <c r="AI279" s="1">
        <v>139013.23438000001</v>
      </c>
      <c r="AJ279">
        <f t="shared" si="55"/>
        <v>279</v>
      </c>
    </row>
    <row r="280" spans="31:36">
      <c r="AE280" s="179" t="s">
        <v>1094</v>
      </c>
      <c r="AF280" s="1">
        <f>AF279-AF278</f>
        <v>74167.25</v>
      </c>
      <c r="AG280" s="1">
        <f>AG279-AG278</f>
        <v>0</v>
      </c>
      <c r="AH280" s="1">
        <f>AH279-AH278</f>
        <v>213.30761999999959</v>
      </c>
      <c r="AI280" s="1">
        <f>AI279-AI278</f>
        <v>9799.7187500000146</v>
      </c>
      <c r="AJ280">
        <f t="shared" si="55"/>
        <v>280</v>
      </c>
    </row>
    <row r="281" spans="31:36">
      <c r="AE281" s="179" t="s">
        <v>1090</v>
      </c>
      <c r="AF281" s="560">
        <v>1371641399</v>
      </c>
      <c r="AG281" s="1" t="s">
        <v>1095</v>
      </c>
      <c r="AH281" s="1" t="s">
        <v>1095</v>
      </c>
      <c r="AI281" s="1" t="s">
        <v>1095</v>
      </c>
      <c r="AJ281">
        <f t="shared" si="55"/>
        <v>281</v>
      </c>
    </row>
    <row r="282" spans="31:36">
      <c r="AE282" s="179" t="s">
        <v>1091</v>
      </c>
      <c r="AF282" s="1" t="s">
        <v>440</v>
      </c>
      <c r="AG282" s="1" t="s">
        <v>441</v>
      </c>
      <c r="AH282" s="1" t="s">
        <v>442</v>
      </c>
      <c r="AI282" s="1" t="s">
        <v>1022</v>
      </c>
      <c r="AJ282">
        <f t="shared" si="55"/>
        <v>282</v>
      </c>
    </row>
    <row r="283" spans="31:36">
      <c r="AE283" s="179" t="s">
        <v>1092</v>
      </c>
      <c r="AF283" s="1">
        <v>62.409990000000001</v>
      </c>
      <c r="AG283" s="1">
        <v>241098.82813000001</v>
      </c>
      <c r="AH283" s="1">
        <v>6020.2480500000001</v>
      </c>
      <c r="AI283" s="1">
        <v>2731.5129400000001</v>
      </c>
      <c r="AJ283">
        <f t="shared" si="55"/>
        <v>283</v>
      </c>
    </row>
    <row r="284" spans="31:36">
      <c r="AE284" s="179" t="s">
        <v>1093</v>
      </c>
      <c r="AF284" s="1">
        <v>65.024109999999993</v>
      </c>
      <c r="AG284" s="1">
        <v>255105.57813000001</v>
      </c>
      <c r="AH284" s="1">
        <v>6352.7519499999999</v>
      </c>
      <c r="AI284" s="1">
        <v>2828.8288600000001</v>
      </c>
      <c r="AJ284">
        <f t="shared" si="55"/>
        <v>284</v>
      </c>
    </row>
    <row r="285" spans="31:36">
      <c r="AE285" s="179" t="s">
        <v>1094</v>
      </c>
      <c r="AF285" s="1">
        <f>AF284-AF283</f>
        <v>2.6141199999999927</v>
      </c>
      <c r="AG285" s="1">
        <f>AG284-AG283</f>
        <v>14006.75</v>
      </c>
      <c r="AH285" s="1">
        <f>AH284-AH283</f>
        <v>332.5038999999997</v>
      </c>
      <c r="AI285" s="1">
        <f>AI284-AI283</f>
        <v>97.315920000000006</v>
      </c>
      <c r="AJ285">
        <f t="shared" si="55"/>
        <v>285</v>
      </c>
    </row>
    <row r="286" spans="31:36">
      <c r="AE286" s="179" t="s">
        <v>1090</v>
      </c>
      <c r="AF286" s="560">
        <v>1371641418</v>
      </c>
      <c r="AG286" s="1" t="s">
        <v>1095</v>
      </c>
      <c r="AH286" s="1" t="s">
        <v>1095</v>
      </c>
      <c r="AI286" s="1" t="s">
        <v>1095</v>
      </c>
      <c r="AJ286">
        <f t="shared" si="55"/>
        <v>286</v>
      </c>
    </row>
    <row r="287" spans="31:36">
      <c r="AE287" s="179" t="s">
        <v>1091</v>
      </c>
      <c r="AF287" s="1" t="s">
        <v>440</v>
      </c>
      <c r="AG287" s="1" t="s">
        <v>441</v>
      </c>
      <c r="AH287" s="1" t="s">
        <v>442</v>
      </c>
      <c r="AI287" s="1" t="s">
        <v>1022</v>
      </c>
      <c r="AJ287">
        <f t="shared" si="55"/>
        <v>287</v>
      </c>
    </row>
    <row r="288" spans="31:36">
      <c r="AE288" s="179" t="s">
        <v>1092</v>
      </c>
      <c r="AF288" s="1">
        <v>146.57693</v>
      </c>
      <c r="AG288" s="1">
        <v>1057581.875</v>
      </c>
      <c r="AH288" s="1">
        <v>13434.487300000001</v>
      </c>
      <c r="AI288" s="1">
        <v>8701.6533199999994</v>
      </c>
      <c r="AJ288">
        <f t="shared" si="55"/>
        <v>288</v>
      </c>
    </row>
    <row r="289" spans="31:36">
      <c r="AE289" s="179" t="s">
        <v>1093</v>
      </c>
      <c r="AF289" s="1">
        <v>153.15520000000001</v>
      </c>
      <c r="AG289" s="1">
        <v>1116602</v>
      </c>
      <c r="AH289" s="1">
        <v>14178.89063</v>
      </c>
      <c r="AI289" s="1">
        <v>8994.9394499999999</v>
      </c>
      <c r="AJ289">
        <f t="shared" si="55"/>
        <v>289</v>
      </c>
    </row>
    <row r="290" spans="31:36">
      <c r="AE290" s="179" t="s">
        <v>1094</v>
      </c>
      <c r="AF290" s="1">
        <f>AF289-AF288</f>
        <v>6.5782700000000034</v>
      </c>
      <c r="AG290" s="1">
        <f>AG289-AG288</f>
        <v>59020.125</v>
      </c>
      <c r="AH290" s="1">
        <f>AH289-AH288</f>
        <v>744.40332999999919</v>
      </c>
      <c r="AI290" s="1">
        <f>AI289-AI288</f>
        <v>293.28613000000041</v>
      </c>
      <c r="AJ290">
        <f t="shared" si="55"/>
        <v>290</v>
      </c>
    </row>
    <row r="291" spans="31:36">
      <c r="AE291" s="179" t="s">
        <v>1090</v>
      </c>
      <c r="AF291" s="560">
        <v>1371641581</v>
      </c>
      <c r="AG291" s="1" t="s">
        <v>1095</v>
      </c>
      <c r="AH291" s="1" t="s">
        <v>1095</v>
      </c>
      <c r="AI291" s="1" t="s">
        <v>1095</v>
      </c>
      <c r="AJ291">
        <f t="shared" si="55"/>
        <v>291</v>
      </c>
    </row>
    <row r="292" spans="31:36">
      <c r="AE292" s="179" t="s">
        <v>1091</v>
      </c>
      <c r="AF292" s="1" t="s">
        <v>440</v>
      </c>
      <c r="AG292" s="1" t="s">
        <v>441</v>
      </c>
      <c r="AH292" s="1" t="s">
        <v>442</v>
      </c>
      <c r="AI292" s="1" t="s">
        <v>1022</v>
      </c>
      <c r="AJ292">
        <f t="shared" si="55"/>
        <v>292</v>
      </c>
    </row>
    <row r="293" spans="31:36">
      <c r="AE293" s="179" t="s">
        <v>1092</v>
      </c>
      <c r="AF293" s="1">
        <v>5231954.5</v>
      </c>
      <c r="AG293" s="1">
        <v>62.591670000000001</v>
      </c>
      <c r="AH293" s="1">
        <v>445119.1875</v>
      </c>
      <c r="AI293" s="1">
        <v>25504.51758</v>
      </c>
      <c r="AJ293">
        <f t="shared" si="55"/>
        <v>293</v>
      </c>
    </row>
    <row r="294" spans="31:36">
      <c r="AE294" s="179" t="s">
        <v>1093</v>
      </c>
      <c r="AF294" s="1">
        <v>5447027.5</v>
      </c>
      <c r="AG294" s="1">
        <v>62.591670000000001</v>
      </c>
      <c r="AH294" s="1">
        <v>456626.5625</v>
      </c>
      <c r="AI294" s="1">
        <v>26863.691409999999</v>
      </c>
      <c r="AJ294">
        <f t="shared" si="55"/>
        <v>294</v>
      </c>
    </row>
    <row r="295" spans="31:36">
      <c r="AE295" s="179" t="s">
        <v>1094</v>
      </c>
      <c r="AF295" s="1">
        <f>AF294-AF293</f>
        <v>215073</v>
      </c>
      <c r="AG295" s="1">
        <f>AG294-AG293</f>
        <v>0</v>
      </c>
      <c r="AH295" s="1">
        <f>AH294-AH293</f>
        <v>11507.375</v>
      </c>
      <c r="AI295" s="1">
        <f>AI294-AI293</f>
        <v>1359.1738299999997</v>
      </c>
      <c r="AJ295">
        <f t="shared" si="55"/>
        <v>295</v>
      </c>
    </row>
    <row r="296" spans="31:36">
      <c r="AE296" s="179" t="s">
        <v>1090</v>
      </c>
      <c r="AF296" s="560">
        <v>1371641800</v>
      </c>
      <c r="AG296" s="1" t="s">
        <v>1095</v>
      </c>
      <c r="AH296" s="1" t="s">
        <v>1095</v>
      </c>
      <c r="AI296" s="1" t="s">
        <v>1095</v>
      </c>
      <c r="AJ296">
        <f t="shared" si="55"/>
        <v>296</v>
      </c>
    </row>
    <row r="297" spans="31:36">
      <c r="AE297" s="179" t="s">
        <v>1091</v>
      </c>
      <c r="AF297" s="1" t="s">
        <v>440</v>
      </c>
      <c r="AG297" s="1" t="s">
        <v>441</v>
      </c>
      <c r="AH297" s="1" t="s">
        <v>442</v>
      </c>
      <c r="AI297" s="1" t="s">
        <v>1022</v>
      </c>
      <c r="AJ297">
        <f t="shared" si="55"/>
        <v>297</v>
      </c>
    </row>
    <row r="298" spans="31:36">
      <c r="AE298" s="179" t="s">
        <v>1092</v>
      </c>
      <c r="AF298" s="1">
        <v>164.8381</v>
      </c>
      <c r="AG298" s="1">
        <v>762308.5625</v>
      </c>
      <c r="AH298" s="1">
        <v>1718.88501</v>
      </c>
      <c r="AI298" s="1">
        <v>8138.8622999999998</v>
      </c>
      <c r="AJ298">
        <f t="shared" si="55"/>
        <v>298</v>
      </c>
    </row>
    <row r="299" spans="31:36">
      <c r="AE299" s="179" t="s">
        <v>1093</v>
      </c>
      <c r="AF299" s="1">
        <v>173.22371999999999</v>
      </c>
      <c r="AG299" s="1">
        <v>831452.5625</v>
      </c>
      <c r="AH299" s="1">
        <v>1862.40894</v>
      </c>
      <c r="AI299" s="1">
        <v>8578.6581999999999</v>
      </c>
      <c r="AJ299">
        <f t="shared" si="55"/>
        <v>299</v>
      </c>
    </row>
    <row r="300" spans="31:36">
      <c r="AE300" s="179" t="s">
        <v>1094</v>
      </c>
      <c r="AF300" s="1">
        <f>AF299-AF298</f>
        <v>8.3856199999999887</v>
      </c>
      <c r="AG300" s="1">
        <f>AG299-AG298</f>
        <v>69144</v>
      </c>
      <c r="AH300" s="1">
        <f>AH299-AH298</f>
        <v>143.52393000000006</v>
      </c>
      <c r="AI300" s="1">
        <f>AI299-AI298</f>
        <v>439.79590000000007</v>
      </c>
      <c r="AJ300">
        <f t="shared" si="55"/>
        <v>300</v>
      </c>
    </row>
    <row r="301" spans="31:36">
      <c r="AE301" s="179" t="s">
        <v>1090</v>
      </c>
      <c r="AF301" s="560">
        <v>1371641883</v>
      </c>
      <c r="AG301" s="1" t="s">
        <v>1095</v>
      </c>
      <c r="AH301" s="1" t="s">
        <v>1095</v>
      </c>
      <c r="AI301" s="1" t="s">
        <v>1095</v>
      </c>
      <c r="AJ301">
        <f t="shared" si="55"/>
        <v>301</v>
      </c>
    </row>
    <row r="302" spans="31:36">
      <c r="AE302" s="179" t="s">
        <v>1091</v>
      </c>
      <c r="AF302" s="1" t="s">
        <v>440</v>
      </c>
      <c r="AG302" s="1" t="s">
        <v>441</v>
      </c>
      <c r="AH302" s="1" t="s">
        <v>442</v>
      </c>
      <c r="AI302" s="1" t="s">
        <v>1022</v>
      </c>
      <c r="AJ302">
        <f t="shared" si="55"/>
        <v>302</v>
      </c>
    </row>
    <row r="303" spans="31:36">
      <c r="AE303" s="179" t="s">
        <v>1092</v>
      </c>
      <c r="AF303" s="1">
        <v>2866058.5</v>
      </c>
      <c r="AG303" s="1">
        <v>3.6000000000000002E-4</v>
      </c>
      <c r="AH303" s="1">
        <v>59033.820310000003</v>
      </c>
      <c r="AI303" s="1">
        <v>890692.5625</v>
      </c>
      <c r="AJ303">
        <f t="shared" si="55"/>
        <v>303</v>
      </c>
    </row>
    <row r="304" spans="31:36">
      <c r="AE304" s="179" t="s">
        <v>1093</v>
      </c>
      <c r="AF304" s="1">
        <v>2993546.75</v>
      </c>
      <c r="AG304" s="1">
        <v>3.6000000000000002E-4</v>
      </c>
      <c r="AH304" s="1">
        <v>59150.988279999998</v>
      </c>
      <c r="AI304" s="1">
        <v>932473.8125</v>
      </c>
      <c r="AJ304">
        <f t="shared" si="55"/>
        <v>304</v>
      </c>
    </row>
    <row r="305" spans="31:36">
      <c r="AE305" s="179" t="s">
        <v>1094</v>
      </c>
      <c r="AF305" s="1">
        <f>AF304-AF303</f>
        <v>127488.25</v>
      </c>
      <c r="AG305" s="1">
        <f>AG304-AG303</f>
        <v>0</v>
      </c>
      <c r="AH305" s="1">
        <f>AH304-AH303</f>
        <v>117.16796999999497</v>
      </c>
      <c r="AI305" s="1">
        <f>AI304-AI303</f>
        <v>41781.25</v>
      </c>
      <c r="AJ305">
        <f t="shared" si="55"/>
        <v>305</v>
      </c>
    </row>
    <row r="306" spans="31:36">
      <c r="AE306" s="179" t="s">
        <v>1090</v>
      </c>
      <c r="AF306" s="560">
        <v>1371641982</v>
      </c>
      <c r="AG306" s="1" t="s">
        <v>1095</v>
      </c>
      <c r="AH306" s="1" t="s">
        <v>1095</v>
      </c>
      <c r="AI306" s="1" t="s">
        <v>1095</v>
      </c>
      <c r="AJ306">
        <f t="shared" si="55"/>
        <v>306</v>
      </c>
    </row>
    <row r="307" spans="31:36">
      <c r="AE307" s="179" t="s">
        <v>1091</v>
      </c>
      <c r="AF307" s="1" t="s">
        <v>440</v>
      </c>
      <c r="AG307" s="1" t="s">
        <v>441</v>
      </c>
      <c r="AH307" s="1" t="s">
        <v>442</v>
      </c>
      <c r="AI307" s="1" t="s">
        <v>1022</v>
      </c>
      <c r="AJ307">
        <f t="shared" si="55"/>
        <v>307</v>
      </c>
    </row>
    <row r="308" spans="31:36">
      <c r="AE308" s="179" t="s">
        <v>1092</v>
      </c>
      <c r="AF308" s="1">
        <v>165.61619999999999</v>
      </c>
      <c r="AG308" s="1">
        <v>358055.4375</v>
      </c>
      <c r="AH308" s="1">
        <v>312.19092000000001</v>
      </c>
      <c r="AI308" s="1">
        <v>7631.3588900000004</v>
      </c>
      <c r="AJ308">
        <f t="shared" si="55"/>
        <v>308</v>
      </c>
    </row>
    <row r="309" spans="31:36">
      <c r="AE309" s="179" t="s">
        <v>1093</v>
      </c>
      <c r="AF309">
        <v>242.91453999999999</v>
      </c>
      <c r="AG309">
        <v>374463</v>
      </c>
      <c r="AH309">
        <v>343.21985000000001</v>
      </c>
      <c r="AI309">
        <v>7906.9570299999996</v>
      </c>
      <c r="AJ309">
        <f t="shared" si="55"/>
        <v>309</v>
      </c>
    </row>
    <row r="310" spans="31:36">
      <c r="AE310" s="179" t="s">
        <v>1094</v>
      </c>
      <c r="AF310" s="1">
        <f>AF309-AF308</f>
        <v>77.298339999999996</v>
      </c>
      <c r="AG310" s="1">
        <f>AG309-AG308</f>
        <v>16407.5625</v>
      </c>
      <c r="AH310" s="1">
        <f>AH309-AH308</f>
        <v>31.028930000000003</v>
      </c>
      <c r="AI310" s="1">
        <f>AI309-AI308</f>
        <v>275.59813999999915</v>
      </c>
      <c r="AJ310">
        <f t="shared" si="55"/>
        <v>310</v>
      </c>
    </row>
    <row r="311" spans="31:36">
      <c r="AE311" s="179" t="s">
        <v>1090</v>
      </c>
      <c r="AF311" s="560">
        <v>1371642424</v>
      </c>
      <c r="AG311" s="1" t="s">
        <v>1095</v>
      </c>
      <c r="AH311" s="1" t="s">
        <v>1095</v>
      </c>
      <c r="AI311" s="1" t="s">
        <v>1095</v>
      </c>
      <c r="AJ311">
        <f t="shared" si="55"/>
        <v>311</v>
      </c>
    </row>
    <row r="312" spans="31:36">
      <c r="AE312" s="179" t="s">
        <v>1091</v>
      </c>
      <c r="AF312" s="1" t="s">
        <v>440</v>
      </c>
      <c r="AG312" s="1" t="s">
        <v>441</v>
      </c>
      <c r="AH312" s="1" t="s">
        <v>442</v>
      </c>
      <c r="AI312" s="1" t="s">
        <v>1022</v>
      </c>
      <c r="AJ312">
        <f t="shared" si="55"/>
        <v>312</v>
      </c>
    </row>
    <row r="313" spans="31:36">
      <c r="AE313" s="179" t="s">
        <v>1092</v>
      </c>
      <c r="AF313" s="1">
        <v>191.16611</v>
      </c>
      <c r="AG313" s="1">
        <v>1190619.875</v>
      </c>
      <c r="AH313" s="1">
        <v>14397.38672</v>
      </c>
      <c r="AI313" s="1">
        <v>9870.9150399999999</v>
      </c>
      <c r="AJ313">
        <f t="shared" si="55"/>
        <v>313</v>
      </c>
    </row>
    <row r="314" spans="31:36">
      <c r="AE314" s="179" t="s">
        <v>1093</v>
      </c>
      <c r="AF314" s="1">
        <v>200.85701</v>
      </c>
      <c r="AG314" s="1">
        <v>1259494.5</v>
      </c>
      <c r="AH314" s="1">
        <v>15215.061519999999</v>
      </c>
      <c r="AI314" s="1">
        <v>10216.69434</v>
      </c>
      <c r="AJ314">
        <f t="shared" si="55"/>
        <v>314</v>
      </c>
    </row>
    <row r="315" spans="31:36">
      <c r="AE315" s="179" t="s">
        <v>1094</v>
      </c>
      <c r="AF315" s="1">
        <f>AF314-AF313</f>
        <v>9.6908999999999992</v>
      </c>
      <c r="AG315" s="1">
        <f>AG314-AG313</f>
        <v>68874.625</v>
      </c>
      <c r="AH315" s="1">
        <f>AH314-AH313</f>
        <v>817.67479999999887</v>
      </c>
      <c r="AI315" s="1">
        <f>AI314-AI313</f>
        <v>345.77930000000015</v>
      </c>
      <c r="AJ315">
        <f t="shared" si="55"/>
        <v>315</v>
      </c>
    </row>
    <row r="316" spans="31:36">
      <c r="AE316" s="179" t="s">
        <v>1090</v>
      </c>
      <c r="AF316" s="560">
        <v>1371642903</v>
      </c>
      <c r="AG316" s="1" t="s">
        <v>1095</v>
      </c>
      <c r="AH316" s="1" t="s">
        <v>1095</v>
      </c>
      <c r="AI316" s="1" t="s">
        <v>1095</v>
      </c>
      <c r="AJ316">
        <f t="shared" si="55"/>
        <v>316</v>
      </c>
    </row>
    <row r="317" spans="31:36">
      <c r="AE317" s="179" t="s">
        <v>1091</v>
      </c>
      <c r="AF317" s="1" t="s">
        <v>440</v>
      </c>
      <c r="AG317" s="1" t="s">
        <v>441</v>
      </c>
      <c r="AH317" s="1" t="s">
        <v>442</v>
      </c>
      <c r="AI317" s="1" t="s">
        <v>1022</v>
      </c>
      <c r="AJ317">
        <f t="shared" si="55"/>
        <v>317</v>
      </c>
    </row>
    <row r="318" spans="31:36">
      <c r="AE318" s="179" t="s">
        <v>1092</v>
      </c>
      <c r="AF318" s="1">
        <v>502.38641000000001</v>
      </c>
      <c r="AG318" s="1">
        <v>1665278.125</v>
      </c>
      <c r="AH318" s="1">
        <v>437.36752000000001</v>
      </c>
      <c r="AI318" s="1">
        <v>24156.181639999999</v>
      </c>
      <c r="AJ318">
        <f t="shared" si="55"/>
        <v>318</v>
      </c>
    </row>
    <row r="319" spans="31:36">
      <c r="AE319" s="179" t="s">
        <v>1093</v>
      </c>
      <c r="AF319" s="1">
        <v>523.24329</v>
      </c>
      <c r="AG319" s="1">
        <v>1788097</v>
      </c>
      <c r="AH319" s="1">
        <v>450.98898000000003</v>
      </c>
      <c r="AI319" s="1">
        <v>25495.445309999999</v>
      </c>
      <c r="AJ319">
        <f t="shared" si="55"/>
        <v>319</v>
      </c>
    </row>
    <row r="320" spans="31:36">
      <c r="AE320" s="179" t="s">
        <v>1094</v>
      </c>
      <c r="AF320" s="1">
        <f>AF319-AF318</f>
        <v>20.85687999999999</v>
      </c>
      <c r="AG320" s="1">
        <f>AG319-AG318</f>
        <v>122818.875</v>
      </c>
      <c r="AH320" s="1">
        <f>AH319-AH318</f>
        <v>13.621460000000013</v>
      </c>
      <c r="AI320" s="1">
        <f>AI319-AI318</f>
        <v>1339.2636700000003</v>
      </c>
      <c r="AJ320">
        <f t="shared" si="55"/>
        <v>320</v>
      </c>
    </row>
    <row r="321" spans="31:36">
      <c r="AE321" s="179" t="s">
        <v>1090</v>
      </c>
      <c r="AF321" s="560">
        <v>1371642996</v>
      </c>
      <c r="AG321" s="1" t="s">
        <v>1095</v>
      </c>
      <c r="AH321" s="1" t="s">
        <v>1095</v>
      </c>
      <c r="AI321" s="1" t="s">
        <v>1095</v>
      </c>
      <c r="AJ321">
        <f t="shared" si="55"/>
        <v>321</v>
      </c>
    </row>
    <row r="322" spans="31:36">
      <c r="AE322" s="179" t="s">
        <v>1091</v>
      </c>
      <c r="AF322" s="1" t="s">
        <v>440</v>
      </c>
      <c r="AG322" s="1" t="s">
        <v>441</v>
      </c>
      <c r="AH322" s="1" t="s">
        <v>442</v>
      </c>
      <c r="AI322" s="1" t="s">
        <v>1022</v>
      </c>
      <c r="AJ322">
        <f t="shared" si="55"/>
        <v>322</v>
      </c>
    </row>
    <row r="323" spans="31:36">
      <c r="AE323" s="179" t="s">
        <v>1092</v>
      </c>
      <c r="AF323" s="1">
        <v>7096627</v>
      </c>
      <c r="AG323" s="1">
        <v>3902.7346200000002</v>
      </c>
      <c r="AH323" s="1">
        <v>306611.65625</v>
      </c>
      <c r="AI323" s="1">
        <v>53242.707029999998</v>
      </c>
      <c r="AJ323">
        <f t="shared" ref="AJ323:AJ386" si="56">AJ322+1</f>
        <v>323</v>
      </c>
    </row>
    <row r="324" spans="31:36">
      <c r="AE324" s="179" t="s">
        <v>1093</v>
      </c>
      <c r="AF324" s="1">
        <v>7438527.5</v>
      </c>
      <c r="AG324" s="1">
        <v>3903.1413600000001</v>
      </c>
      <c r="AH324" s="1">
        <v>342181.125</v>
      </c>
      <c r="AI324" s="1">
        <v>54842.28125</v>
      </c>
      <c r="AJ324">
        <f t="shared" si="56"/>
        <v>324</v>
      </c>
    </row>
    <row r="325" spans="31:36">
      <c r="AE325" s="179" t="s">
        <v>1094</v>
      </c>
      <c r="AF325" s="1">
        <f>AF324-AF323</f>
        <v>341900.5</v>
      </c>
      <c r="AG325" s="1">
        <f>AG324-AG323</f>
        <v>0.40673999999989974</v>
      </c>
      <c r="AH325" s="1">
        <f>AH324-AH323</f>
        <v>35569.46875</v>
      </c>
      <c r="AI325" s="1">
        <f>AI324-AI323</f>
        <v>1599.5742200000022</v>
      </c>
      <c r="AJ325">
        <f t="shared" si="56"/>
        <v>325</v>
      </c>
    </row>
    <row r="326" spans="31:36">
      <c r="AE326" s="179" t="s">
        <v>1090</v>
      </c>
      <c r="AF326" s="560">
        <v>1371869788</v>
      </c>
      <c r="AG326" s="1" t="s">
        <v>1095</v>
      </c>
      <c r="AH326" s="1" t="s">
        <v>1095</v>
      </c>
      <c r="AI326" s="1" t="s">
        <v>1095</v>
      </c>
      <c r="AJ326">
        <f t="shared" si="56"/>
        <v>326</v>
      </c>
    </row>
    <row r="327" spans="31:36">
      <c r="AE327" s="179" t="s">
        <v>1091</v>
      </c>
      <c r="AF327" s="1" t="s">
        <v>440</v>
      </c>
      <c r="AG327" s="1" t="s">
        <v>441</v>
      </c>
      <c r="AH327" s="1" t="s">
        <v>442</v>
      </c>
      <c r="AI327" s="1" t="s">
        <v>1022</v>
      </c>
      <c r="AJ327">
        <f t="shared" si="56"/>
        <v>327</v>
      </c>
    </row>
    <row r="328" spans="31:36">
      <c r="AE328" s="179" t="s">
        <v>1092</v>
      </c>
      <c r="AF328" s="1">
        <v>189486.07813000001</v>
      </c>
      <c r="AG328" s="1">
        <v>131906.17188000001</v>
      </c>
      <c r="AH328" s="1">
        <v>1199.65833</v>
      </c>
      <c r="AI328" s="1">
        <v>97169.335940000004</v>
      </c>
      <c r="AJ328">
        <f t="shared" si="56"/>
        <v>328</v>
      </c>
    </row>
    <row r="329" spans="31:36">
      <c r="AE329" s="179" t="s">
        <v>1093</v>
      </c>
      <c r="AF329">
        <v>194072.95313000001</v>
      </c>
      <c r="AG329">
        <v>138411.51563000001</v>
      </c>
      <c r="AH329">
        <v>1200.52649</v>
      </c>
      <c r="AI329">
        <v>102598.125</v>
      </c>
      <c r="AJ329">
        <f t="shared" si="56"/>
        <v>329</v>
      </c>
    </row>
    <row r="330" spans="31:36">
      <c r="AE330" s="179" t="s">
        <v>1094</v>
      </c>
      <c r="AF330" s="1">
        <f>AF329-AF328</f>
        <v>4586.875</v>
      </c>
      <c r="AG330" s="1">
        <f>AG329-AG328</f>
        <v>6505.34375</v>
      </c>
      <c r="AH330" s="1">
        <f>AH329-AH328</f>
        <v>0.86815999999998894</v>
      </c>
      <c r="AI330" s="1">
        <f>AI329-AI328</f>
        <v>5428.7890599999955</v>
      </c>
      <c r="AJ330">
        <f t="shared" si="56"/>
        <v>330</v>
      </c>
    </row>
    <row r="331" spans="31:36">
      <c r="AE331" s="179" t="s">
        <v>1090</v>
      </c>
      <c r="AF331" s="560">
        <v>1371870596</v>
      </c>
      <c r="AG331" s="1" t="s">
        <v>1095</v>
      </c>
      <c r="AH331" s="1" t="s">
        <v>1095</v>
      </c>
      <c r="AI331" s="1" t="s">
        <v>1095</v>
      </c>
      <c r="AJ331">
        <f t="shared" si="56"/>
        <v>331</v>
      </c>
    </row>
    <row r="332" spans="31:36">
      <c r="AE332" s="179" t="s">
        <v>1091</v>
      </c>
      <c r="AF332" s="1" t="s">
        <v>440</v>
      </c>
      <c r="AG332" s="1" t="s">
        <v>441</v>
      </c>
      <c r="AH332" s="1" t="s">
        <v>442</v>
      </c>
      <c r="AI332" s="1" t="s">
        <v>1022</v>
      </c>
      <c r="AJ332">
        <f t="shared" si="56"/>
        <v>332</v>
      </c>
    </row>
    <row r="333" spans="31:36">
      <c r="AE333" s="179" t="s">
        <v>1092</v>
      </c>
      <c r="AF333" s="1">
        <v>2357611.75</v>
      </c>
      <c r="AG333" s="1">
        <v>1398175.875</v>
      </c>
      <c r="AH333" s="1">
        <v>29506.412110000001</v>
      </c>
      <c r="AI333" s="1">
        <v>344757.71875</v>
      </c>
      <c r="AJ333">
        <f t="shared" si="56"/>
        <v>333</v>
      </c>
    </row>
    <row r="334" spans="31:36">
      <c r="AE334" s="179" t="s">
        <v>1093</v>
      </c>
      <c r="AF334" s="1">
        <v>2435835.5</v>
      </c>
      <c r="AG334" s="1">
        <v>1524478.75</v>
      </c>
      <c r="AH334" s="1">
        <v>34270.488279999998</v>
      </c>
      <c r="AI334" s="1">
        <v>358157.75</v>
      </c>
      <c r="AJ334">
        <f t="shared" si="56"/>
        <v>334</v>
      </c>
    </row>
    <row r="335" spans="31:36">
      <c r="AE335" s="179" t="s">
        <v>1094</v>
      </c>
      <c r="AF335" s="1">
        <f>AF334-AF333</f>
        <v>78223.75</v>
      </c>
      <c r="AG335" s="1">
        <f>AG334-AG333</f>
        <v>126302.875</v>
      </c>
      <c r="AH335" s="1">
        <f>AH334-AH333</f>
        <v>4764.0761699999966</v>
      </c>
      <c r="AI335" s="1">
        <f>AI334-AI333</f>
        <v>13400.03125</v>
      </c>
      <c r="AJ335">
        <f t="shared" si="56"/>
        <v>335</v>
      </c>
    </row>
    <row r="336" spans="31:36">
      <c r="AE336" s="179" t="s">
        <v>1090</v>
      </c>
      <c r="AF336" s="560">
        <v>1371870726</v>
      </c>
      <c r="AG336" s="1" t="s">
        <v>1095</v>
      </c>
      <c r="AH336" s="1" t="s">
        <v>1095</v>
      </c>
      <c r="AI336" s="1" t="s">
        <v>1095</v>
      </c>
      <c r="AJ336">
        <f t="shared" si="56"/>
        <v>336</v>
      </c>
    </row>
    <row r="337" spans="31:36">
      <c r="AE337" s="179" t="s">
        <v>1091</v>
      </c>
      <c r="AF337" s="1" t="s">
        <v>440</v>
      </c>
      <c r="AG337" s="1" t="s">
        <v>441</v>
      </c>
      <c r="AH337" s="1" t="s">
        <v>442</v>
      </c>
      <c r="AI337" s="1" t="s">
        <v>1022</v>
      </c>
      <c r="AJ337">
        <f t="shared" si="56"/>
        <v>337</v>
      </c>
    </row>
    <row r="338" spans="31:36">
      <c r="AE338" s="179" t="s">
        <v>1092</v>
      </c>
      <c r="AF338" s="1">
        <v>527639.625</v>
      </c>
      <c r="AG338" s="1">
        <v>0</v>
      </c>
      <c r="AH338" s="1">
        <v>186.95416</v>
      </c>
      <c r="AI338" s="1">
        <v>114691.11719</v>
      </c>
      <c r="AJ338">
        <f t="shared" si="56"/>
        <v>338</v>
      </c>
    </row>
    <row r="339" spans="31:36">
      <c r="AE339" s="179" t="s">
        <v>1093</v>
      </c>
      <c r="AF339">
        <v>547534.25</v>
      </c>
      <c r="AG339">
        <v>0</v>
      </c>
      <c r="AH339">
        <v>186.97828999999999</v>
      </c>
      <c r="AI339">
        <v>121099.33594</v>
      </c>
      <c r="AJ339">
        <f t="shared" si="56"/>
        <v>339</v>
      </c>
    </row>
    <row r="340" spans="31:36">
      <c r="AE340" s="179" t="s">
        <v>1094</v>
      </c>
      <c r="AF340" s="1">
        <f>AF339-AF338</f>
        <v>19894.625</v>
      </c>
      <c r="AG340" s="1">
        <f>AG339-AG338</f>
        <v>0</v>
      </c>
      <c r="AH340" s="1">
        <f>AH339-AH338</f>
        <v>2.412999999998533E-2</v>
      </c>
      <c r="AI340" s="1">
        <f>AI339-AI338</f>
        <v>6408.21875</v>
      </c>
      <c r="AJ340">
        <f t="shared" si="56"/>
        <v>340</v>
      </c>
    </row>
    <row r="341" spans="31:36">
      <c r="AE341" s="179" t="s">
        <v>1090</v>
      </c>
      <c r="AF341" s="560">
        <v>1371871642</v>
      </c>
      <c r="AG341" s="1" t="s">
        <v>1095</v>
      </c>
      <c r="AH341" s="1" t="s">
        <v>1095</v>
      </c>
      <c r="AI341" s="1" t="s">
        <v>1095</v>
      </c>
      <c r="AJ341">
        <f t="shared" si="56"/>
        <v>341</v>
      </c>
    </row>
    <row r="342" spans="31:36">
      <c r="AE342" s="179" t="s">
        <v>1091</v>
      </c>
      <c r="AF342" s="1" t="s">
        <v>440</v>
      </c>
      <c r="AG342" s="1" t="s">
        <v>441</v>
      </c>
      <c r="AH342" s="1" t="s">
        <v>442</v>
      </c>
      <c r="AI342" s="1" t="s">
        <v>1022</v>
      </c>
      <c r="AJ342">
        <f t="shared" si="56"/>
        <v>342</v>
      </c>
    </row>
    <row r="343" spans="31:36">
      <c r="AE343" s="179" t="s">
        <v>1092</v>
      </c>
      <c r="AF343" s="1">
        <v>1045.5709199999999</v>
      </c>
      <c r="AG343" s="1">
        <v>2258138.25</v>
      </c>
      <c r="AH343" s="1">
        <v>9684.66309</v>
      </c>
      <c r="AI343" s="1">
        <v>443426.125</v>
      </c>
      <c r="AJ343">
        <f t="shared" si="56"/>
        <v>343</v>
      </c>
    </row>
    <row r="344" spans="31:36">
      <c r="AE344" s="179" t="s">
        <v>1093</v>
      </c>
      <c r="AF344" s="1">
        <v>1082.1851799999999</v>
      </c>
      <c r="AG344" s="1">
        <v>2372128</v>
      </c>
      <c r="AH344" s="1">
        <v>10048.242190000001</v>
      </c>
      <c r="AI344" s="1">
        <v>444529.1875</v>
      </c>
      <c r="AJ344">
        <f t="shared" si="56"/>
        <v>344</v>
      </c>
    </row>
    <row r="345" spans="31:36">
      <c r="AE345" s="179" t="s">
        <v>1094</v>
      </c>
      <c r="AF345" s="1">
        <f>AF344-AF343</f>
        <v>36.614260000000058</v>
      </c>
      <c r="AG345" s="1">
        <f>AG344-AG343</f>
        <v>113989.75</v>
      </c>
      <c r="AH345" s="1">
        <f>AH344-AH343</f>
        <v>363.57910000000084</v>
      </c>
      <c r="AI345" s="1">
        <f>AI344-AI343</f>
        <v>1103.0625</v>
      </c>
      <c r="AJ345">
        <f t="shared" si="56"/>
        <v>345</v>
      </c>
    </row>
    <row r="346" spans="31:36">
      <c r="AE346" s="179" t="s">
        <v>1090</v>
      </c>
      <c r="AF346" s="560">
        <v>1372627968</v>
      </c>
      <c r="AG346" s="1" t="s">
        <v>1095</v>
      </c>
      <c r="AH346" s="1" t="s">
        <v>1095</v>
      </c>
      <c r="AI346" s="1" t="s">
        <v>1095</v>
      </c>
      <c r="AJ346">
        <f t="shared" si="56"/>
        <v>346</v>
      </c>
    </row>
    <row r="347" spans="31:36">
      <c r="AE347" s="179" t="s">
        <v>1091</v>
      </c>
      <c r="AF347" s="1" t="s">
        <v>440</v>
      </c>
      <c r="AG347" s="1" t="s">
        <v>441</v>
      </c>
      <c r="AH347" s="1" t="s">
        <v>442</v>
      </c>
      <c r="AI347" s="1" t="s">
        <v>1022</v>
      </c>
      <c r="AJ347">
        <f t="shared" si="56"/>
        <v>347</v>
      </c>
    </row>
    <row r="348" spans="31:36">
      <c r="AE348" s="179" t="s">
        <v>1092</v>
      </c>
      <c r="AF348" s="1">
        <v>3793245.5</v>
      </c>
      <c r="AG348" s="1">
        <v>0</v>
      </c>
      <c r="AH348" s="1">
        <v>577763.5</v>
      </c>
      <c r="AI348" s="1">
        <v>378.69708000000003</v>
      </c>
      <c r="AJ348">
        <f t="shared" si="56"/>
        <v>348</v>
      </c>
    </row>
    <row r="349" spans="31:36">
      <c r="AE349" s="179" t="s">
        <v>1093</v>
      </c>
      <c r="AF349" s="1">
        <v>4025529</v>
      </c>
      <c r="AG349" s="1">
        <v>0</v>
      </c>
      <c r="AH349" s="1">
        <v>613156.4375</v>
      </c>
      <c r="AI349" s="1">
        <v>380.90640000000002</v>
      </c>
      <c r="AJ349">
        <f t="shared" si="56"/>
        <v>349</v>
      </c>
    </row>
    <row r="350" spans="31:36">
      <c r="AE350" s="179" t="s">
        <v>1094</v>
      </c>
      <c r="AF350" s="1">
        <f>AF349-AF348</f>
        <v>232283.5</v>
      </c>
      <c r="AG350" s="1">
        <f>AG349-AG348</f>
        <v>0</v>
      </c>
      <c r="AH350" s="1">
        <f>AH349-AH348</f>
        <v>35392.9375</v>
      </c>
      <c r="AI350" s="1">
        <f>AI349-AI348</f>
        <v>2.2093199999999911</v>
      </c>
      <c r="AJ350">
        <f t="shared" si="56"/>
        <v>350</v>
      </c>
    </row>
    <row r="351" spans="31:36">
      <c r="AE351" s="179" t="s">
        <v>1090</v>
      </c>
      <c r="AF351" s="560">
        <v>1372628250</v>
      </c>
      <c r="AG351" s="1" t="s">
        <v>1095</v>
      </c>
      <c r="AH351" s="1" t="s">
        <v>1095</v>
      </c>
      <c r="AI351" s="1" t="s">
        <v>1095</v>
      </c>
      <c r="AJ351">
        <f t="shared" si="56"/>
        <v>351</v>
      </c>
    </row>
    <row r="352" spans="31:36">
      <c r="AE352" s="179" t="s">
        <v>1091</v>
      </c>
      <c r="AF352" s="1" t="s">
        <v>440</v>
      </c>
      <c r="AG352" s="1" t="s">
        <v>441</v>
      </c>
      <c r="AH352" s="1" t="s">
        <v>442</v>
      </c>
      <c r="AI352" s="1" t="s">
        <v>1022</v>
      </c>
      <c r="AJ352">
        <f t="shared" si="56"/>
        <v>352</v>
      </c>
    </row>
    <row r="353" spans="31:36">
      <c r="AE353" s="179" t="s">
        <v>1092</v>
      </c>
      <c r="AF353" s="1">
        <v>1531788.75</v>
      </c>
      <c r="AG353" s="1">
        <v>1.256E-2</v>
      </c>
      <c r="AH353" s="1">
        <v>67106.96875</v>
      </c>
      <c r="AI353" s="1">
        <v>127056.52344</v>
      </c>
      <c r="AJ353">
        <f t="shared" si="56"/>
        <v>353</v>
      </c>
    </row>
    <row r="354" spans="31:36">
      <c r="AE354" s="179" t="s">
        <v>1093</v>
      </c>
      <c r="AF354" s="1">
        <v>1570145.375</v>
      </c>
      <c r="AG354" s="1">
        <v>1.256E-2</v>
      </c>
      <c r="AH354" s="1">
        <v>67126.070309999996</v>
      </c>
      <c r="AI354" s="1">
        <v>137875.54688000001</v>
      </c>
      <c r="AJ354">
        <f t="shared" si="56"/>
        <v>354</v>
      </c>
    </row>
    <row r="355" spans="31:36">
      <c r="AE355" s="179" t="s">
        <v>1094</v>
      </c>
      <c r="AF355" s="1">
        <f>AF354-AF353</f>
        <v>38356.625</v>
      </c>
      <c r="AG355" s="1">
        <f>AG354-AG353</f>
        <v>0</v>
      </c>
      <c r="AH355" s="1">
        <f>AH354-AH353</f>
        <v>19.101559999995516</v>
      </c>
      <c r="AI355" s="1">
        <f>AI354-AI353</f>
        <v>10819.023440000004</v>
      </c>
      <c r="AJ355">
        <f t="shared" si="56"/>
        <v>355</v>
      </c>
    </row>
    <row r="356" spans="31:36">
      <c r="AE356" s="179" t="s">
        <v>1090</v>
      </c>
      <c r="AF356" s="560">
        <v>1372628301</v>
      </c>
      <c r="AG356" s="1" t="s">
        <v>1095</v>
      </c>
      <c r="AH356" s="1" t="s">
        <v>1095</v>
      </c>
      <c r="AI356" s="1" t="s">
        <v>1095</v>
      </c>
      <c r="AJ356">
        <f t="shared" si="56"/>
        <v>356</v>
      </c>
    </row>
    <row r="357" spans="31:36">
      <c r="AE357" s="179" t="s">
        <v>1091</v>
      </c>
      <c r="AF357" s="1" t="s">
        <v>440</v>
      </c>
      <c r="AG357" s="1" t="s">
        <v>441</v>
      </c>
      <c r="AH357" s="1" t="s">
        <v>442</v>
      </c>
      <c r="AI357" s="1" t="s">
        <v>1022</v>
      </c>
      <c r="AJ357">
        <f t="shared" si="56"/>
        <v>357</v>
      </c>
    </row>
    <row r="358" spans="31:36">
      <c r="AE358" s="179" t="s">
        <v>1092</v>
      </c>
      <c r="AF358" s="1">
        <v>7425025</v>
      </c>
      <c r="AG358" s="1">
        <v>0</v>
      </c>
      <c r="AH358" s="1">
        <v>803702.375</v>
      </c>
      <c r="AI358" s="1">
        <v>484.63583</v>
      </c>
      <c r="AJ358">
        <f t="shared" si="56"/>
        <v>358</v>
      </c>
    </row>
    <row r="359" spans="31:36">
      <c r="AE359" s="179" t="s">
        <v>1093</v>
      </c>
      <c r="AF359" s="1">
        <v>7870716</v>
      </c>
      <c r="AG359" s="1">
        <v>0</v>
      </c>
      <c r="AH359" s="1">
        <v>854930.1875</v>
      </c>
      <c r="AI359" s="1">
        <v>502.55016999999998</v>
      </c>
      <c r="AJ359">
        <f t="shared" si="56"/>
        <v>359</v>
      </c>
    </row>
    <row r="360" spans="31:36">
      <c r="AE360" s="179" t="s">
        <v>1094</v>
      </c>
      <c r="AF360" s="1">
        <f>AF359-AF358</f>
        <v>445691</v>
      </c>
      <c r="AG360" s="1">
        <f>AG359-AG358</f>
        <v>0</v>
      </c>
      <c r="AH360" s="1">
        <f>AH359-AH358</f>
        <v>51227.8125</v>
      </c>
      <c r="AI360" s="1">
        <f>AI359-AI358</f>
        <v>17.914339999999982</v>
      </c>
      <c r="AJ360">
        <f t="shared" si="56"/>
        <v>360</v>
      </c>
    </row>
    <row r="361" spans="31:36">
      <c r="AE361" s="179" t="s">
        <v>1090</v>
      </c>
      <c r="AF361" s="560">
        <v>1372628411</v>
      </c>
      <c r="AG361" s="1" t="s">
        <v>1095</v>
      </c>
      <c r="AH361" s="1" t="s">
        <v>1095</v>
      </c>
      <c r="AI361" s="1" t="s">
        <v>1095</v>
      </c>
      <c r="AJ361">
        <f t="shared" si="56"/>
        <v>361</v>
      </c>
    </row>
    <row r="362" spans="31:36">
      <c r="AE362" s="179" t="s">
        <v>1091</v>
      </c>
      <c r="AF362" s="1" t="s">
        <v>440</v>
      </c>
      <c r="AG362" s="1" t="s">
        <v>441</v>
      </c>
      <c r="AH362" s="1" t="s">
        <v>442</v>
      </c>
      <c r="AI362" s="1" t="s">
        <v>1022</v>
      </c>
      <c r="AJ362">
        <f t="shared" si="56"/>
        <v>362</v>
      </c>
    </row>
    <row r="363" spans="31:36">
      <c r="AE363" s="179" t="s">
        <v>1092</v>
      </c>
      <c r="AF363" s="1">
        <v>4235785</v>
      </c>
      <c r="AG363" s="1">
        <v>131823.01563000001</v>
      </c>
      <c r="AH363" s="1">
        <v>0</v>
      </c>
      <c r="AI363" s="1">
        <v>1369.03027</v>
      </c>
      <c r="AJ363">
        <f t="shared" si="56"/>
        <v>363</v>
      </c>
    </row>
    <row r="364" spans="31:36">
      <c r="AE364" s="179" t="s">
        <v>1093</v>
      </c>
      <c r="AF364" s="1">
        <v>4397333</v>
      </c>
      <c r="AG364" s="1">
        <v>169140.82813000001</v>
      </c>
      <c r="AH364" s="1">
        <v>0</v>
      </c>
      <c r="AI364" s="1">
        <v>1398.5290500000001</v>
      </c>
      <c r="AJ364">
        <f t="shared" si="56"/>
        <v>364</v>
      </c>
    </row>
    <row r="365" spans="31:36">
      <c r="AE365" s="179" t="s">
        <v>1094</v>
      </c>
      <c r="AF365" s="1">
        <f>AF364-AF363</f>
        <v>161548</v>
      </c>
      <c r="AG365" s="1">
        <f>AG364-AG363</f>
        <v>37317.8125</v>
      </c>
      <c r="AH365" s="1">
        <f>AH364-AH363</f>
        <v>0</v>
      </c>
      <c r="AI365" s="1">
        <f>AI364-AI363</f>
        <v>29.498780000000124</v>
      </c>
      <c r="AJ365">
        <f t="shared" si="56"/>
        <v>365</v>
      </c>
    </row>
    <row r="366" spans="31:36">
      <c r="AE366" s="179" t="s">
        <v>1090</v>
      </c>
      <c r="AF366" s="560">
        <v>1372628454</v>
      </c>
      <c r="AG366" s="1" t="s">
        <v>1095</v>
      </c>
      <c r="AH366" s="1" t="s">
        <v>1095</v>
      </c>
      <c r="AI366" s="1" t="s">
        <v>1095</v>
      </c>
      <c r="AJ366">
        <f t="shared" si="56"/>
        <v>366</v>
      </c>
    </row>
    <row r="367" spans="31:36">
      <c r="AE367" s="179" t="s">
        <v>1091</v>
      </c>
      <c r="AF367" s="1" t="s">
        <v>440</v>
      </c>
      <c r="AG367" s="1" t="s">
        <v>441</v>
      </c>
      <c r="AH367" s="1" t="s">
        <v>442</v>
      </c>
      <c r="AI367" s="1" t="s">
        <v>1022</v>
      </c>
      <c r="AJ367">
        <f t="shared" si="56"/>
        <v>367</v>
      </c>
    </row>
    <row r="368" spans="31:36">
      <c r="AE368" s="179" t="s">
        <v>1092</v>
      </c>
      <c r="AF368" s="1">
        <v>122.03583</v>
      </c>
      <c r="AG368" s="1">
        <v>357998.25</v>
      </c>
      <c r="AH368" s="1">
        <v>1134.5275899999999</v>
      </c>
      <c r="AI368" s="1">
        <v>4977.1757799999996</v>
      </c>
      <c r="AJ368">
        <f t="shared" si="56"/>
        <v>368</v>
      </c>
    </row>
    <row r="369" spans="31:36">
      <c r="AE369" s="179" t="s">
        <v>1093</v>
      </c>
      <c r="AF369" s="1">
        <v>131.29694000000001</v>
      </c>
      <c r="AG369" s="1">
        <v>382150.5625</v>
      </c>
      <c r="AH369" s="1">
        <v>1218.8751199999999</v>
      </c>
      <c r="AI369" s="1">
        <v>5230.7646500000001</v>
      </c>
      <c r="AJ369">
        <f t="shared" si="56"/>
        <v>369</v>
      </c>
    </row>
    <row r="370" spans="31:36">
      <c r="AE370" s="179" t="s">
        <v>1094</v>
      </c>
      <c r="AF370" s="1">
        <f>AF369-AF368</f>
        <v>9.2611100000000022</v>
      </c>
      <c r="AG370" s="1">
        <f>AG369-AG368</f>
        <v>24152.3125</v>
      </c>
      <c r="AH370" s="1">
        <f>AH369-AH368</f>
        <v>84.347530000000006</v>
      </c>
      <c r="AI370" s="1">
        <f>AI369-AI368</f>
        <v>253.5888700000005</v>
      </c>
      <c r="AJ370">
        <f t="shared" si="56"/>
        <v>370</v>
      </c>
    </row>
    <row r="371" spans="31:36">
      <c r="AE371" s="179" t="s">
        <v>1090</v>
      </c>
      <c r="AF371" s="560">
        <v>1372640362</v>
      </c>
      <c r="AG371" s="1" t="s">
        <v>1095</v>
      </c>
      <c r="AH371" s="1" t="s">
        <v>1095</v>
      </c>
      <c r="AI371" s="1" t="s">
        <v>1095</v>
      </c>
      <c r="AJ371">
        <f t="shared" si="56"/>
        <v>371</v>
      </c>
    </row>
    <row r="372" spans="31:36">
      <c r="AE372" s="179" t="s">
        <v>1091</v>
      </c>
      <c r="AF372" s="1" t="s">
        <v>440</v>
      </c>
      <c r="AG372" s="1" t="s">
        <v>441</v>
      </c>
      <c r="AH372" s="1" t="s">
        <v>442</v>
      </c>
      <c r="AI372" s="1" t="s">
        <v>1022</v>
      </c>
      <c r="AJ372">
        <f t="shared" si="56"/>
        <v>372</v>
      </c>
    </row>
    <row r="373" spans="31:36">
      <c r="AE373" s="179" t="s">
        <v>1092</v>
      </c>
      <c r="AF373" s="1">
        <v>435.27899000000002</v>
      </c>
      <c r="AG373" s="1">
        <v>1408553.5</v>
      </c>
      <c r="AH373" s="1">
        <v>3278.6001000000001</v>
      </c>
      <c r="AI373" s="1">
        <v>30736.283200000002</v>
      </c>
      <c r="AJ373">
        <f t="shared" si="56"/>
        <v>373</v>
      </c>
    </row>
    <row r="374" spans="31:36">
      <c r="AE374" s="179" t="s">
        <v>1093</v>
      </c>
      <c r="AF374" s="1">
        <v>460.16534000000001</v>
      </c>
      <c r="AG374" s="1">
        <v>1535919.375</v>
      </c>
      <c r="AH374" s="1">
        <v>3600.15479</v>
      </c>
      <c r="AI374" s="1">
        <v>33007.46875</v>
      </c>
      <c r="AJ374">
        <f t="shared" si="56"/>
        <v>374</v>
      </c>
    </row>
    <row r="375" spans="31:36">
      <c r="AE375" s="179" t="s">
        <v>1094</v>
      </c>
      <c r="AF375" s="1">
        <f>AF374-AF373</f>
        <v>24.886349999999993</v>
      </c>
      <c r="AG375" s="1">
        <f>AG374-AG373</f>
        <v>127365.875</v>
      </c>
      <c r="AH375" s="1">
        <f>AH374-AH373</f>
        <v>321.55468999999994</v>
      </c>
      <c r="AI375" s="1">
        <f>AI374-AI373</f>
        <v>2271.1855499999983</v>
      </c>
      <c r="AJ375">
        <f t="shared" si="56"/>
        <v>375</v>
      </c>
    </row>
    <row r="376" spans="31:36">
      <c r="AE376" s="179" t="s">
        <v>1090</v>
      </c>
      <c r="AF376" s="560">
        <v>1372640713</v>
      </c>
      <c r="AG376" s="1" t="s">
        <v>1095</v>
      </c>
      <c r="AH376" s="1" t="s">
        <v>1095</v>
      </c>
      <c r="AI376" s="1" t="s">
        <v>1095</v>
      </c>
      <c r="AJ376">
        <f t="shared" si="56"/>
        <v>376</v>
      </c>
    </row>
    <row r="377" spans="31:36">
      <c r="AE377" s="179" t="s">
        <v>1091</v>
      </c>
      <c r="AF377" s="1" t="s">
        <v>440</v>
      </c>
      <c r="AG377" s="1" t="s">
        <v>441</v>
      </c>
      <c r="AH377" s="1" t="s">
        <v>442</v>
      </c>
      <c r="AI377" s="1" t="s">
        <v>1022</v>
      </c>
      <c r="AJ377">
        <f t="shared" si="56"/>
        <v>377</v>
      </c>
    </row>
    <row r="378" spans="31:36">
      <c r="AE378" s="179" t="s">
        <v>1092</v>
      </c>
      <c r="AF378" s="1">
        <v>8356006.5</v>
      </c>
      <c r="AG378" s="1">
        <v>84.123109999999997</v>
      </c>
      <c r="AH378" s="1">
        <v>673905.25</v>
      </c>
      <c r="AI378" s="1">
        <v>193003.89063000001</v>
      </c>
      <c r="AJ378">
        <f t="shared" si="56"/>
        <v>378</v>
      </c>
    </row>
    <row r="379" spans="31:36">
      <c r="AE379" s="179" t="s">
        <v>1093</v>
      </c>
      <c r="AF379" s="1">
        <v>8832062</v>
      </c>
      <c r="AG379" s="1">
        <v>84.123109999999997</v>
      </c>
      <c r="AH379" s="1">
        <v>737674.625</v>
      </c>
      <c r="AI379" s="1">
        <v>199796.51563000001</v>
      </c>
      <c r="AJ379">
        <f t="shared" si="56"/>
        <v>379</v>
      </c>
    </row>
    <row r="380" spans="31:36">
      <c r="AE380" s="179" t="s">
        <v>1094</v>
      </c>
      <c r="AF380" s="1">
        <f>AF379-AF378</f>
        <v>476055.5</v>
      </c>
      <c r="AG380" s="1">
        <f>AG379-AG378</f>
        <v>0</v>
      </c>
      <c r="AH380" s="1">
        <f>AH379-AH378</f>
        <v>63769.375</v>
      </c>
      <c r="AI380" s="1">
        <f>AI379-AI378</f>
        <v>6792.625</v>
      </c>
      <c r="AJ380">
        <f t="shared" si="56"/>
        <v>380</v>
      </c>
    </row>
    <row r="381" spans="31:36">
      <c r="AE381" s="179" t="s">
        <v>1090</v>
      </c>
      <c r="AF381" s="560">
        <v>1372640777</v>
      </c>
      <c r="AG381" s="1" t="s">
        <v>1095</v>
      </c>
      <c r="AH381" s="1" t="s">
        <v>1095</v>
      </c>
      <c r="AI381" s="1" t="s">
        <v>1095</v>
      </c>
      <c r="AJ381">
        <f t="shared" si="56"/>
        <v>381</v>
      </c>
    </row>
    <row r="382" spans="31:36">
      <c r="AE382" s="179" t="s">
        <v>1091</v>
      </c>
      <c r="AF382" s="1" t="s">
        <v>440</v>
      </c>
      <c r="AG382" s="1" t="s">
        <v>441</v>
      </c>
      <c r="AH382" s="1" t="s">
        <v>442</v>
      </c>
      <c r="AI382" s="1" t="s">
        <v>1022</v>
      </c>
      <c r="AJ382">
        <f t="shared" si="56"/>
        <v>382</v>
      </c>
    </row>
    <row r="383" spans="31:36">
      <c r="AE383" s="179" t="s">
        <v>1092</v>
      </c>
      <c r="AF383" s="1">
        <v>3097120.5</v>
      </c>
      <c r="AG383" s="1">
        <v>6.7000000000000002E-4</v>
      </c>
      <c r="AH383" s="1">
        <v>61450.90625</v>
      </c>
      <c r="AI383" s="1">
        <v>90157.210940000004</v>
      </c>
      <c r="AJ383">
        <f t="shared" si="56"/>
        <v>383</v>
      </c>
    </row>
    <row r="384" spans="31:36">
      <c r="AE384" s="179" t="s">
        <v>1093</v>
      </c>
      <c r="AF384" s="1">
        <v>3282560.5</v>
      </c>
      <c r="AG384" s="1">
        <v>6.7000000000000002E-4</v>
      </c>
      <c r="AH384" s="1">
        <v>63546.667970000002</v>
      </c>
      <c r="AI384" s="1">
        <v>94324.617190000004</v>
      </c>
      <c r="AJ384">
        <f t="shared" si="56"/>
        <v>384</v>
      </c>
    </row>
    <row r="385" spans="31:36">
      <c r="AE385" s="179" t="s">
        <v>1094</v>
      </c>
      <c r="AF385" s="1">
        <f>AF384-AF383</f>
        <v>185440</v>
      </c>
      <c r="AG385" s="1">
        <f>AG384-AG383</f>
        <v>0</v>
      </c>
      <c r="AH385" s="1">
        <f>AH384-AH383</f>
        <v>2095.7617200000022</v>
      </c>
      <c r="AI385" s="1">
        <f>AI384-AI383</f>
        <v>4167.40625</v>
      </c>
      <c r="AJ385">
        <f t="shared" si="56"/>
        <v>385</v>
      </c>
    </row>
    <row r="386" spans="31:36">
      <c r="AE386" s="179" t="s">
        <v>1090</v>
      </c>
      <c r="AF386" s="560">
        <v>1372641256</v>
      </c>
      <c r="AG386" s="1" t="s">
        <v>1095</v>
      </c>
      <c r="AH386" s="1" t="s">
        <v>1095</v>
      </c>
      <c r="AI386" s="1" t="s">
        <v>1095</v>
      </c>
      <c r="AJ386">
        <f t="shared" si="56"/>
        <v>386</v>
      </c>
    </row>
    <row r="387" spans="31:36">
      <c r="AE387" s="179" t="s">
        <v>1091</v>
      </c>
      <c r="AF387" s="1" t="s">
        <v>440</v>
      </c>
      <c r="AG387" s="1" t="s">
        <v>441</v>
      </c>
      <c r="AH387" s="1" t="s">
        <v>442</v>
      </c>
      <c r="AI387" s="1" t="s">
        <v>1022</v>
      </c>
      <c r="AJ387">
        <f t="shared" ref="AJ387:AJ450" si="57">AJ386+1</f>
        <v>387</v>
      </c>
    </row>
    <row r="388" spans="31:36">
      <c r="AE388" s="179" t="s">
        <v>1092</v>
      </c>
      <c r="AF388" s="1">
        <v>1794664.125</v>
      </c>
      <c r="AG388" s="1">
        <v>1876.4819299999999</v>
      </c>
      <c r="AH388" s="1">
        <v>209374</v>
      </c>
      <c r="AI388" s="1">
        <v>80605.40625</v>
      </c>
      <c r="AJ388">
        <f t="shared" si="57"/>
        <v>388</v>
      </c>
    </row>
    <row r="389" spans="31:36">
      <c r="AE389" s="179" t="s">
        <v>1093</v>
      </c>
      <c r="AF389" s="1">
        <v>1862681.25</v>
      </c>
      <c r="AG389" s="1">
        <v>1999.16992</v>
      </c>
      <c r="AH389" s="1">
        <v>224922.89063000001</v>
      </c>
      <c r="AI389" s="1">
        <v>82102.28125</v>
      </c>
      <c r="AJ389">
        <f t="shared" si="57"/>
        <v>389</v>
      </c>
    </row>
    <row r="390" spans="31:36">
      <c r="AE390" s="179" t="s">
        <v>1094</v>
      </c>
      <c r="AF390" s="1">
        <f>AF389-AF388</f>
        <v>68017.125</v>
      </c>
      <c r="AG390" s="1">
        <f>AG389-AG388</f>
        <v>122.68799000000013</v>
      </c>
      <c r="AH390" s="1">
        <f>AH389-AH388</f>
        <v>15548.890630000009</v>
      </c>
      <c r="AI390" s="1">
        <f>AI389-AI388</f>
        <v>1496.875</v>
      </c>
      <c r="AJ390">
        <f t="shared" si="57"/>
        <v>390</v>
      </c>
    </row>
    <row r="391" spans="31:36">
      <c r="AE391" s="179" t="s">
        <v>1090</v>
      </c>
      <c r="AF391" s="560">
        <v>1371624214</v>
      </c>
      <c r="AG391" s="1" t="s">
        <v>1095</v>
      </c>
      <c r="AH391" s="1" t="s">
        <v>1095</v>
      </c>
      <c r="AI391" s="1" t="s">
        <v>1095</v>
      </c>
      <c r="AJ391">
        <f t="shared" si="57"/>
        <v>391</v>
      </c>
    </row>
    <row r="392" spans="31:36">
      <c r="AE392" s="179" t="s">
        <v>1091</v>
      </c>
      <c r="AF392" s="1" t="s">
        <v>440</v>
      </c>
      <c r="AG392" s="1" t="s">
        <v>441</v>
      </c>
      <c r="AH392" s="1" t="s">
        <v>442</v>
      </c>
      <c r="AI392" s="1" t="s">
        <v>1022</v>
      </c>
      <c r="AJ392">
        <f t="shared" si="57"/>
        <v>392</v>
      </c>
    </row>
    <row r="393" spans="31:36">
      <c r="AE393" s="179" t="s">
        <v>1092</v>
      </c>
      <c r="AF393" s="1">
        <v>245.18352999999999</v>
      </c>
      <c r="AG393" s="1">
        <v>908223.9375</v>
      </c>
      <c r="AH393" s="1">
        <v>713.90857000000005</v>
      </c>
      <c r="AI393" s="1">
        <v>15191.33887</v>
      </c>
      <c r="AJ393">
        <f t="shared" si="57"/>
        <v>393</v>
      </c>
    </row>
    <row r="394" spans="31:36">
      <c r="AE394" s="179" t="s">
        <v>1093</v>
      </c>
      <c r="AF394" s="1">
        <v>258.28859999999997</v>
      </c>
      <c r="AG394" s="1">
        <v>982822.25</v>
      </c>
      <c r="AH394" s="1">
        <v>784.91602</v>
      </c>
      <c r="AI394" s="1">
        <v>16049.242190000001</v>
      </c>
      <c r="AJ394">
        <f t="shared" si="57"/>
        <v>394</v>
      </c>
    </row>
    <row r="395" spans="31:36">
      <c r="AE395" s="179" t="s">
        <v>1094</v>
      </c>
      <c r="AF395" s="1">
        <f>AF394-AF393</f>
        <v>13.105069999999984</v>
      </c>
      <c r="AG395" s="1">
        <f>AG394-AG393</f>
        <v>74598.3125</v>
      </c>
      <c r="AH395" s="1">
        <f>AH394-AH393</f>
        <v>71.007449999999949</v>
      </c>
      <c r="AI395" s="1">
        <f>AI394-AI393</f>
        <v>857.90332000000126</v>
      </c>
      <c r="AJ395">
        <f t="shared" si="57"/>
        <v>395</v>
      </c>
    </row>
    <row r="396" spans="31:36">
      <c r="AE396" s="179" t="s">
        <v>1090</v>
      </c>
      <c r="AF396" s="560">
        <v>1372642646</v>
      </c>
      <c r="AG396" s="1" t="s">
        <v>1095</v>
      </c>
      <c r="AH396" s="1" t="s">
        <v>1095</v>
      </c>
      <c r="AI396" s="1" t="s">
        <v>1095</v>
      </c>
      <c r="AJ396">
        <f t="shared" si="57"/>
        <v>396</v>
      </c>
    </row>
    <row r="397" spans="31:36">
      <c r="AE397" s="179" t="s">
        <v>1091</v>
      </c>
      <c r="AF397" s="1" t="s">
        <v>440</v>
      </c>
      <c r="AG397" s="1" t="s">
        <v>441</v>
      </c>
      <c r="AH397" s="1" t="s">
        <v>442</v>
      </c>
      <c r="AI397" s="1" t="s">
        <v>1022</v>
      </c>
      <c r="AJ397">
        <f t="shared" si="57"/>
        <v>397</v>
      </c>
    </row>
    <row r="398" spans="31:36">
      <c r="AE398" s="179" t="s">
        <v>1092</v>
      </c>
      <c r="AF398" s="1">
        <v>3259922.25</v>
      </c>
      <c r="AG398" s="1">
        <v>60093.894529999998</v>
      </c>
      <c r="AH398" s="1">
        <v>217768.98438000001</v>
      </c>
      <c r="AI398" s="1">
        <v>173278.59375</v>
      </c>
      <c r="AJ398">
        <f t="shared" si="57"/>
        <v>398</v>
      </c>
    </row>
    <row r="399" spans="31:36">
      <c r="AE399" s="179" t="s">
        <v>1093</v>
      </c>
      <c r="AF399" s="1">
        <v>3422709.25</v>
      </c>
      <c r="AG399" s="1">
        <v>72076.4375</v>
      </c>
      <c r="AH399" s="1">
        <v>236747.75</v>
      </c>
      <c r="AI399" s="1">
        <v>174310.25</v>
      </c>
      <c r="AJ399">
        <f t="shared" si="57"/>
        <v>399</v>
      </c>
    </row>
    <row r="400" spans="31:36">
      <c r="AE400" s="179" t="s">
        <v>1094</v>
      </c>
      <c r="AF400" s="1">
        <f>AF399-AF398</f>
        <v>162787</v>
      </c>
      <c r="AG400" s="1">
        <f>AG399-AG398</f>
        <v>11982.542970000002</v>
      </c>
      <c r="AH400" s="1">
        <f>AH399-AH398</f>
        <v>18978.765619999991</v>
      </c>
      <c r="AI400" s="1">
        <f>AI399-AI398</f>
        <v>1031.65625</v>
      </c>
      <c r="AJ400">
        <f t="shared" si="57"/>
        <v>400</v>
      </c>
    </row>
    <row r="401" spans="31:36">
      <c r="AE401" s="179" t="s">
        <v>1090</v>
      </c>
      <c r="AF401" s="560">
        <v>1372642650</v>
      </c>
      <c r="AG401" s="1" t="s">
        <v>1095</v>
      </c>
      <c r="AH401" s="1" t="s">
        <v>1095</v>
      </c>
      <c r="AI401" s="1" t="s">
        <v>1095</v>
      </c>
      <c r="AJ401">
        <f t="shared" si="57"/>
        <v>401</v>
      </c>
    </row>
    <row r="402" spans="31:36">
      <c r="AE402" s="179" t="s">
        <v>1091</v>
      </c>
      <c r="AF402" s="1" t="s">
        <v>440</v>
      </c>
      <c r="AG402" s="1" t="s">
        <v>441</v>
      </c>
      <c r="AH402" s="1" t="s">
        <v>442</v>
      </c>
      <c r="AI402" s="1" t="s">
        <v>1022</v>
      </c>
      <c r="AJ402">
        <f t="shared" si="57"/>
        <v>402</v>
      </c>
    </row>
    <row r="403" spans="31:36">
      <c r="AE403" s="179" t="s">
        <v>1092</v>
      </c>
      <c r="AF403" s="1">
        <v>4574627</v>
      </c>
      <c r="AG403" s="1">
        <v>0</v>
      </c>
      <c r="AH403" s="1">
        <v>809113.8125</v>
      </c>
      <c r="AI403" s="1">
        <v>3205.1342800000002</v>
      </c>
      <c r="AJ403">
        <f t="shared" si="57"/>
        <v>403</v>
      </c>
    </row>
    <row r="404" spans="31:36">
      <c r="AE404" s="179" t="s">
        <v>1093</v>
      </c>
      <c r="AF404" s="1">
        <v>4827171.5</v>
      </c>
      <c r="AG404" s="1">
        <v>0</v>
      </c>
      <c r="AH404" s="1">
        <v>858465.5</v>
      </c>
      <c r="AI404" s="1">
        <v>3358.2211900000002</v>
      </c>
      <c r="AJ404">
        <f t="shared" si="57"/>
        <v>404</v>
      </c>
    </row>
    <row r="405" spans="31:36">
      <c r="AE405" s="179" t="s">
        <v>1094</v>
      </c>
      <c r="AF405" s="1">
        <f>AF404-AF403</f>
        <v>252544.5</v>
      </c>
      <c r="AG405" s="1">
        <f>AG404-AG403</f>
        <v>0</v>
      </c>
      <c r="AH405" s="1">
        <f>AH404-AH403</f>
        <v>49351.6875</v>
      </c>
      <c r="AI405" s="1">
        <f>AI404-AI403</f>
        <v>153.08690999999999</v>
      </c>
      <c r="AJ405">
        <f t="shared" si="57"/>
        <v>405</v>
      </c>
    </row>
    <row r="406" spans="31:36">
      <c r="AE406" s="179" t="s">
        <v>1090</v>
      </c>
      <c r="AF406" s="560">
        <v>1372643042</v>
      </c>
      <c r="AG406" s="1" t="s">
        <v>1095</v>
      </c>
      <c r="AH406" s="1" t="s">
        <v>1095</v>
      </c>
      <c r="AI406" s="1" t="s">
        <v>1095</v>
      </c>
      <c r="AJ406">
        <f t="shared" si="57"/>
        <v>406</v>
      </c>
    </row>
    <row r="407" spans="31:36">
      <c r="AE407" s="179" t="s">
        <v>1091</v>
      </c>
      <c r="AF407" s="1" t="s">
        <v>440</v>
      </c>
      <c r="AG407" s="1" t="s">
        <v>441</v>
      </c>
      <c r="AH407" s="1" t="s">
        <v>442</v>
      </c>
      <c r="AI407" s="1" t="s">
        <v>1022</v>
      </c>
      <c r="AJ407">
        <f t="shared" si="57"/>
        <v>407</v>
      </c>
    </row>
    <row r="408" spans="31:36">
      <c r="AE408" s="179" t="s">
        <v>1092</v>
      </c>
      <c r="AF408" s="1">
        <v>2851866</v>
      </c>
      <c r="AG408" s="1">
        <v>300642.3125</v>
      </c>
      <c r="AH408" s="1">
        <v>193925.5625</v>
      </c>
      <c r="AI408" s="1">
        <v>15409.101559999999</v>
      </c>
      <c r="AJ408">
        <f t="shared" si="57"/>
        <v>408</v>
      </c>
    </row>
    <row r="409" spans="31:36">
      <c r="AE409" s="179" t="s">
        <v>1093</v>
      </c>
      <c r="AF409" s="1">
        <v>2981064.75</v>
      </c>
      <c r="AG409" s="1">
        <v>317325.53125</v>
      </c>
      <c r="AH409" s="1">
        <v>200084.45313000001</v>
      </c>
      <c r="AI409" s="1">
        <v>16373.983399999999</v>
      </c>
      <c r="AJ409">
        <f t="shared" si="57"/>
        <v>409</v>
      </c>
    </row>
    <row r="410" spans="31:36">
      <c r="AE410" s="179" t="s">
        <v>1094</v>
      </c>
      <c r="AF410" s="1">
        <f>AF409-AF408</f>
        <v>129198.75</v>
      </c>
      <c r="AG410" s="1">
        <f>AG409-AG408</f>
        <v>16683.21875</v>
      </c>
      <c r="AH410" s="1">
        <f>AH409-AH408</f>
        <v>6158.890630000009</v>
      </c>
      <c r="AI410" s="1">
        <f>AI409-AI408</f>
        <v>964.88184000000001</v>
      </c>
      <c r="AJ410">
        <f t="shared" si="57"/>
        <v>410</v>
      </c>
    </row>
    <row r="411" spans="31:36">
      <c r="AE411" s="179" t="s">
        <v>1090</v>
      </c>
      <c r="AF411" s="560">
        <v>1372643267</v>
      </c>
      <c r="AG411" s="1" t="s">
        <v>1095</v>
      </c>
      <c r="AH411" s="1" t="s">
        <v>1095</v>
      </c>
      <c r="AI411" s="1" t="s">
        <v>1095</v>
      </c>
      <c r="AJ411">
        <f t="shared" si="57"/>
        <v>411</v>
      </c>
    </row>
    <row r="412" spans="31:36">
      <c r="AE412" s="179" t="s">
        <v>1091</v>
      </c>
      <c r="AF412" s="1" t="s">
        <v>440</v>
      </c>
      <c r="AG412" s="1" t="s">
        <v>441</v>
      </c>
      <c r="AH412" s="1" t="s">
        <v>442</v>
      </c>
      <c r="AI412" s="1" t="s">
        <v>1022</v>
      </c>
      <c r="AJ412">
        <f t="shared" si="57"/>
        <v>412</v>
      </c>
    </row>
    <row r="413" spans="31:36">
      <c r="AE413" s="179" t="s">
        <v>1092</v>
      </c>
      <c r="AF413" s="1">
        <v>3713748.75</v>
      </c>
      <c r="AG413" s="1">
        <v>0</v>
      </c>
      <c r="AH413" s="1">
        <v>200312.25</v>
      </c>
      <c r="AI413" s="1">
        <v>52074.769529999998</v>
      </c>
      <c r="AJ413">
        <f t="shared" si="57"/>
        <v>413</v>
      </c>
    </row>
    <row r="414" spans="31:36">
      <c r="AE414" s="179" t="s">
        <v>1093</v>
      </c>
      <c r="AF414" s="1">
        <v>3916799.75</v>
      </c>
      <c r="AG414" s="1">
        <v>0</v>
      </c>
      <c r="AH414" s="1">
        <v>204317.375</v>
      </c>
      <c r="AI414" s="1">
        <v>57486.4375</v>
      </c>
      <c r="AJ414">
        <f t="shared" si="57"/>
        <v>414</v>
      </c>
    </row>
    <row r="415" spans="31:36">
      <c r="AE415" s="179" t="s">
        <v>1094</v>
      </c>
      <c r="AF415" s="1">
        <f>AF414-AF413</f>
        <v>203051</v>
      </c>
      <c r="AG415" s="1">
        <f>AG414-AG413</f>
        <v>0</v>
      </c>
      <c r="AH415" s="1">
        <f>AH414-AH413</f>
        <v>4005.125</v>
      </c>
      <c r="AI415" s="1">
        <f>AI414-AI413</f>
        <v>5411.6679700000022</v>
      </c>
      <c r="AJ415">
        <f t="shared" si="57"/>
        <v>415</v>
      </c>
    </row>
    <row r="416" spans="31:36">
      <c r="AE416" s="179" t="s">
        <v>1090</v>
      </c>
      <c r="AF416" s="560">
        <v>1372644167</v>
      </c>
      <c r="AG416" s="1" t="s">
        <v>1095</v>
      </c>
      <c r="AH416" s="1" t="s">
        <v>1095</v>
      </c>
      <c r="AI416" s="1" t="s">
        <v>1095</v>
      </c>
      <c r="AJ416">
        <f t="shared" si="57"/>
        <v>416</v>
      </c>
    </row>
    <row r="417" spans="31:36">
      <c r="AE417" s="179" t="s">
        <v>1091</v>
      </c>
      <c r="AF417" s="1" t="s">
        <v>440</v>
      </c>
      <c r="AG417" s="1" t="s">
        <v>441</v>
      </c>
      <c r="AH417" s="1" t="s">
        <v>442</v>
      </c>
      <c r="AI417" s="1" t="s">
        <v>1022</v>
      </c>
      <c r="AJ417">
        <f t="shared" si="57"/>
        <v>417</v>
      </c>
    </row>
    <row r="418" spans="31:36">
      <c r="AE418" s="179" t="s">
        <v>1092</v>
      </c>
      <c r="AF418" s="1">
        <v>636624.9375</v>
      </c>
      <c r="AG418" s="1">
        <v>228383.07813000001</v>
      </c>
      <c r="AH418" s="1">
        <v>78611</v>
      </c>
      <c r="AI418" s="1">
        <v>41412.6875</v>
      </c>
      <c r="AJ418">
        <f t="shared" si="57"/>
        <v>418</v>
      </c>
    </row>
    <row r="419" spans="31:36">
      <c r="AE419" s="179" t="s">
        <v>1093</v>
      </c>
      <c r="AF419" s="1">
        <v>649442.3125</v>
      </c>
      <c r="AG419" s="1">
        <v>240314.04688000001</v>
      </c>
      <c r="AH419" s="1">
        <v>80191.960940000004</v>
      </c>
      <c r="AI419" s="1">
        <v>42829.070310000003</v>
      </c>
      <c r="AJ419">
        <f t="shared" si="57"/>
        <v>419</v>
      </c>
    </row>
    <row r="420" spans="31:36">
      <c r="AE420" s="179" t="s">
        <v>1094</v>
      </c>
      <c r="AF420" s="1">
        <f>AF419-AF418</f>
        <v>12817.375</v>
      </c>
      <c r="AG420" s="1">
        <f>AG419-AG418</f>
        <v>11930.96875</v>
      </c>
      <c r="AH420" s="1">
        <f>AH419-AH418</f>
        <v>1580.9609400000045</v>
      </c>
      <c r="AI420" s="1">
        <f>AI419-AI418</f>
        <v>1416.3828100000028</v>
      </c>
      <c r="AJ420">
        <f t="shared" si="57"/>
        <v>420</v>
      </c>
    </row>
    <row r="421" spans="31:36">
      <c r="AE421" s="179" t="s">
        <v>1090</v>
      </c>
      <c r="AF421" s="560">
        <v>1372644177</v>
      </c>
      <c r="AG421" s="1" t="s">
        <v>1095</v>
      </c>
      <c r="AH421" s="1" t="s">
        <v>1095</v>
      </c>
      <c r="AI421" s="1" t="s">
        <v>1095</v>
      </c>
      <c r="AJ421">
        <f t="shared" si="57"/>
        <v>421</v>
      </c>
    </row>
    <row r="422" spans="31:36">
      <c r="AE422" s="179" t="s">
        <v>1091</v>
      </c>
      <c r="AF422" s="1" t="s">
        <v>440</v>
      </c>
      <c r="AG422" s="1" t="s">
        <v>441</v>
      </c>
      <c r="AH422" s="1" t="s">
        <v>442</v>
      </c>
      <c r="AI422" s="1" t="s">
        <v>1022</v>
      </c>
      <c r="AJ422">
        <f t="shared" si="57"/>
        <v>422</v>
      </c>
    </row>
    <row r="423" spans="31:36">
      <c r="AE423" s="179" t="s">
        <v>1092</v>
      </c>
      <c r="AF423" s="1">
        <v>207.13631000000001</v>
      </c>
      <c r="AG423" s="1">
        <v>1224361.625</v>
      </c>
      <c r="AH423" s="1">
        <v>7952.8120099999996</v>
      </c>
      <c r="AI423" s="1">
        <v>11398.344730000001</v>
      </c>
      <c r="AJ423">
        <f t="shared" si="57"/>
        <v>423</v>
      </c>
    </row>
    <row r="424" spans="31:36">
      <c r="AE424" s="179" t="s">
        <v>1093</v>
      </c>
      <c r="AF424" s="1">
        <v>218.81281000000001</v>
      </c>
      <c r="AG424" s="1">
        <v>1319228.375</v>
      </c>
      <c r="AH424" s="1">
        <v>9153.2412100000001</v>
      </c>
      <c r="AI424" s="1">
        <v>11745.815430000001</v>
      </c>
      <c r="AJ424">
        <f t="shared" si="57"/>
        <v>424</v>
      </c>
    </row>
    <row r="425" spans="31:36">
      <c r="AE425" s="179" t="s">
        <v>1094</v>
      </c>
      <c r="AF425" s="1">
        <f>AF424-AF423</f>
        <v>11.676500000000004</v>
      </c>
      <c r="AG425" s="1">
        <f>AG424-AG423</f>
        <v>94866.75</v>
      </c>
      <c r="AH425" s="1">
        <f>AH424-AH423</f>
        <v>1200.4292000000005</v>
      </c>
      <c r="AI425" s="1">
        <f>AI424-AI423</f>
        <v>347.47069999999985</v>
      </c>
      <c r="AJ425">
        <f t="shared" si="57"/>
        <v>425</v>
      </c>
    </row>
    <row r="426" spans="31:36">
      <c r="AE426" s="179" t="s">
        <v>1090</v>
      </c>
      <c r="AF426" s="560">
        <v>1372644189</v>
      </c>
      <c r="AG426" s="1" t="s">
        <v>1095</v>
      </c>
      <c r="AH426" s="1" t="s">
        <v>1095</v>
      </c>
      <c r="AI426" s="1" t="s">
        <v>1095</v>
      </c>
      <c r="AJ426">
        <f t="shared" si="57"/>
        <v>426</v>
      </c>
    </row>
    <row r="427" spans="31:36">
      <c r="AE427" s="179" t="s">
        <v>1091</v>
      </c>
      <c r="AF427" s="1" t="s">
        <v>440</v>
      </c>
      <c r="AG427" s="1" t="s">
        <v>441</v>
      </c>
      <c r="AH427" s="1" t="s">
        <v>442</v>
      </c>
      <c r="AI427" s="1" t="s">
        <v>1022</v>
      </c>
      <c r="AJ427">
        <f t="shared" si="57"/>
        <v>427</v>
      </c>
    </row>
    <row r="428" spans="31:36">
      <c r="AE428" s="179" t="s">
        <v>1092</v>
      </c>
      <c r="AF428" s="1">
        <v>1069.05249</v>
      </c>
      <c r="AG428" s="1">
        <v>449985.28125</v>
      </c>
      <c r="AH428" s="1">
        <v>268.41586000000001</v>
      </c>
      <c r="AI428" s="1">
        <v>12111.69238</v>
      </c>
      <c r="AJ428">
        <f t="shared" si="57"/>
        <v>428</v>
      </c>
    </row>
    <row r="429" spans="31:36">
      <c r="AE429" s="179" t="s">
        <v>1093</v>
      </c>
      <c r="AF429" s="1">
        <v>1678.87842</v>
      </c>
      <c r="AG429" s="1">
        <v>455328.5625</v>
      </c>
      <c r="AH429" s="1">
        <v>286.49468999999999</v>
      </c>
      <c r="AI429" s="1">
        <v>12597.43066</v>
      </c>
      <c r="AJ429">
        <f t="shared" si="57"/>
        <v>429</v>
      </c>
    </row>
    <row r="430" spans="31:36">
      <c r="AE430" s="179" t="s">
        <v>1094</v>
      </c>
      <c r="AF430" s="1">
        <f>AF429-AF428</f>
        <v>609.82592999999997</v>
      </c>
      <c r="AG430" s="1">
        <f>AG429-AG428</f>
        <v>5343.28125</v>
      </c>
      <c r="AH430" s="1">
        <f>AH429-AH428</f>
        <v>18.078829999999982</v>
      </c>
      <c r="AI430" s="1">
        <f>AI429-AI428</f>
        <v>485.73827999999958</v>
      </c>
      <c r="AJ430">
        <f t="shared" si="57"/>
        <v>430</v>
      </c>
    </row>
    <row r="431" spans="31:36">
      <c r="AE431" s="179" t="s">
        <v>1090</v>
      </c>
      <c r="AF431" s="560">
        <v>1372644212</v>
      </c>
      <c r="AG431" s="1" t="s">
        <v>1095</v>
      </c>
      <c r="AH431" s="1" t="s">
        <v>1095</v>
      </c>
      <c r="AI431" s="1" t="s">
        <v>1095</v>
      </c>
      <c r="AJ431">
        <f t="shared" si="57"/>
        <v>431</v>
      </c>
    </row>
    <row r="432" spans="31:36">
      <c r="AE432" s="179" t="s">
        <v>1091</v>
      </c>
      <c r="AF432" s="1" t="s">
        <v>440</v>
      </c>
      <c r="AG432" s="1" t="s">
        <v>441</v>
      </c>
      <c r="AH432" s="1" t="s">
        <v>442</v>
      </c>
      <c r="AI432" s="1" t="s">
        <v>1022</v>
      </c>
      <c r="AJ432">
        <f t="shared" si="57"/>
        <v>432</v>
      </c>
    </row>
    <row r="433" spans="31:36">
      <c r="AE433" s="179" t="s">
        <v>1092</v>
      </c>
      <c r="AF433" s="1">
        <v>2014802.375</v>
      </c>
      <c r="AG433" s="1">
        <v>2.9299999999999999E-3</v>
      </c>
      <c r="AH433" s="1">
        <v>312.36752000000001</v>
      </c>
      <c r="AI433" s="1">
        <v>645526.625</v>
      </c>
      <c r="AJ433">
        <f t="shared" si="57"/>
        <v>433</v>
      </c>
    </row>
    <row r="434" spans="31:36">
      <c r="AE434" s="179" t="s">
        <v>1093</v>
      </c>
      <c r="AF434" s="1">
        <v>2119847</v>
      </c>
      <c r="AG434" s="1">
        <v>2.9299999999999999E-3</v>
      </c>
      <c r="AH434" s="1">
        <v>312.46255000000002</v>
      </c>
      <c r="AI434" s="1">
        <v>686840.1875</v>
      </c>
      <c r="AJ434">
        <f t="shared" si="57"/>
        <v>434</v>
      </c>
    </row>
    <row r="435" spans="31:36">
      <c r="AE435" s="179" t="s">
        <v>1094</v>
      </c>
      <c r="AF435" s="1">
        <f>AF434-AF433</f>
        <v>105044.625</v>
      </c>
      <c r="AG435" s="1">
        <f>AG434-AG433</f>
        <v>0</v>
      </c>
      <c r="AH435" s="1">
        <f>AH434-AH433</f>
        <v>9.5030000000008386E-2</v>
      </c>
      <c r="AI435" s="1">
        <f>AI434-AI433</f>
        <v>41313.5625</v>
      </c>
      <c r="AJ435">
        <f t="shared" si="57"/>
        <v>435</v>
      </c>
    </row>
    <row r="436" spans="31:36">
      <c r="AE436" s="179" t="s">
        <v>1090</v>
      </c>
      <c r="AF436" s="560">
        <v>1372654023</v>
      </c>
      <c r="AG436" s="1" t="s">
        <v>1095</v>
      </c>
      <c r="AH436" s="1" t="s">
        <v>1095</v>
      </c>
      <c r="AI436" s="1" t="s">
        <v>1095</v>
      </c>
      <c r="AJ436">
        <f t="shared" si="57"/>
        <v>436</v>
      </c>
    </row>
    <row r="437" spans="31:36">
      <c r="AE437" s="179" t="s">
        <v>1091</v>
      </c>
      <c r="AF437" s="1" t="s">
        <v>440</v>
      </c>
      <c r="AG437" s="1" t="s">
        <v>441</v>
      </c>
      <c r="AH437" s="1" t="s">
        <v>442</v>
      </c>
      <c r="AI437" s="1" t="s">
        <v>1022</v>
      </c>
      <c r="AJ437">
        <f t="shared" si="57"/>
        <v>437</v>
      </c>
    </row>
    <row r="438" spans="31:36">
      <c r="AE438" s="179" t="s">
        <v>1092</v>
      </c>
      <c r="AF438" s="1">
        <v>3092934</v>
      </c>
      <c r="AG438" s="1">
        <v>0</v>
      </c>
      <c r="AH438" s="1">
        <v>356823</v>
      </c>
      <c r="AI438" s="1">
        <v>176.29810000000001</v>
      </c>
      <c r="AJ438">
        <f t="shared" si="57"/>
        <v>438</v>
      </c>
    </row>
    <row r="439" spans="31:36">
      <c r="AE439" s="179" t="s">
        <v>1093</v>
      </c>
      <c r="AF439" s="1">
        <v>3305046.25</v>
      </c>
      <c r="AG439" s="1">
        <v>0</v>
      </c>
      <c r="AH439" s="1">
        <v>378852.6875</v>
      </c>
      <c r="AI439" s="1">
        <v>177.27530999999999</v>
      </c>
      <c r="AJ439">
        <f t="shared" si="57"/>
        <v>439</v>
      </c>
    </row>
    <row r="440" spans="31:36">
      <c r="AE440" s="179" t="s">
        <v>1094</v>
      </c>
      <c r="AF440" s="1">
        <f>AF439-AF438</f>
        <v>212112.25</v>
      </c>
      <c r="AG440" s="1">
        <v>0</v>
      </c>
      <c r="AH440" s="1">
        <v>33020.15625</v>
      </c>
      <c r="AI440" s="1">
        <v>0.30777000000000143</v>
      </c>
      <c r="AJ440">
        <f t="shared" si="57"/>
        <v>440</v>
      </c>
    </row>
    <row r="441" spans="31:36">
      <c r="AE441" s="179" t="s">
        <v>1090</v>
      </c>
      <c r="AF441" s="560">
        <v>1372655644</v>
      </c>
      <c r="AG441" s="1" t="s">
        <v>1095</v>
      </c>
      <c r="AH441" s="1" t="s">
        <v>1095</v>
      </c>
      <c r="AI441" s="1" t="s">
        <v>1095</v>
      </c>
      <c r="AJ441">
        <f t="shared" si="57"/>
        <v>441</v>
      </c>
    </row>
    <row r="442" spans="31:36">
      <c r="AE442" s="179" t="s">
        <v>1091</v>
      </c>
      <c r="AF442" s="1" t="s">
        <v>440</v>
      </c>
      <c r="AG442" s="1" t="s">
        <v>441</v>
      </c>
      <c r="AH442" s="1" t="s">
        <v>442</v>
      </c>
      <c r="AI442" s="1" t="s">
        <v>1022</v>
      </c>
      <c r="AJ442">
        <f t="shared" si="57"/>
        <v>442</v>
      </c>
    </row>
    <row r="443" spans="31:36">
      <c r="AE443" s="179" t="s">
        <v>1092</v>
      </c>
      <c r="AF443" s="1">
        <v>3849668.75</v>
      </c>
      <c r="AG443" s="1">
        <v>197529.875</v>
      </c>
      <c r="AH443" s="1">
        <v>111587.51562999999</v>
      </c>
      <c r="AI443" s="1">
        <v>204616.3125</v>
      </c>
      <c r="AJ443">
        <f t="shared" si="57"/>
        <v>443</v>
      </c>
    </row>
    <row r="444" spans="31:36">
      <c r="AE444" s="179" t="s">
        <v>1093</v>
      </c>
      <c r="AF444" s="1">
        <v>3886638</v>
      </c>
      <c r="AG444" s="1">
        <v>208710.65625</v>
      </c>
      <c r="AH444" s="1">
        <v>129761.6875</v>
      </c>
      <c r="AI444" s="1">
        <v>204927.46875</v>
      </c>
      <c r="AJ444">
        <f t="shared" si="57"/>
        <v>444</v>
      </c>
    </row>
    <row r="445" spans="31:36">
      <c r="AE445" s="179" t="s">
        <v>1094</v>
      </c>
      <c r="AF445" s="1">
        <f>AF444-AF443</f>
        <v>36969.25</v>
      </c>
      <c r="AG445" s="1">
        <f>AG444-AG443</f>
        <v>11180.78125</v>
      </c>
      <c r="AH445" s="1">
        <f>AH444-AH443</f>
        <v>18174.171870000006</v>
      </c>
      <c r="AI445" s="1">
        <f>AI444-AI443</f>
        <v>311.15625</v>
      </c>
      <c r="AJ445">
        <f t="shared" si="57"/>
        <v>445</v>
      </c>
    </row>
    <row r="446" spans="31:36">
      <c r="AE446" s="179" t="s">
        <v>1090</v>
      </c>
      <c r="AF446" s="560">
        <v>1372655654</v>
      </c>
      <c r="AG446" s="1" t="s">
        <v>1095</v>
      </c>
      <c r="AH446" s="1" t="s">
        <v>1095</v>
      </c>
      <c r="AI446" s="1" t="s">
        <v>1095</v>
      </c>
      <c r="AJ446">
        <f t="shared" si="57"/>
        <v>446</v>
      </c>
    </row>
    <row r="447" spans="31:36">
      <c r="AE447" s="179" t="s">
        <v>1091</v>
      </c>
      <c r="AF447" s="1" t="s">
        <v>440</v>
      </c>
      <c r="AG447" s="1" t="s">
        <v>441</v>
      </c>
      <c r="AH447" s="1" t="s">
        <v>442</v>
      </c>
      <c r="AI447" s="1" t="s">
        <v>1022</v>
      </c>
      <c r="AJ447">
        <f t="shared" si="57"/>
        <v>447</v>
      </c>
    </row>
    <row r="448" spans="31:36">
      <c r="AE448" s="179" t="s">
        <v>1092</v>
      </c>
      <c r="AF448" s="1">
        <v>514.31763000000001</v>
      </c>
      <c r="AG448" s="1">
        <v>1384702.75</v>
      </c>
      <c r="AH448" s="1">
        <v>191.08503999999999</v>
      </c>
      <c r="AI448" s="1">
        <v>25961.310549999998</v>
      </c>
      <c r="AJ448">
        <f t="shared" si="57"/>
        <v>448</v>
      </c>
    </row>
    <row r="449" spans="31:36">
      <c r="AE449" s="179" t="s">
        <v>1093</v>
      </c>
      <c r="AF449" s="1">
        <v>544.28197999999998</v>
      </c>
      <c r="AG449" s="1">
        <v>1466166.875</v>
      </c>
      <c r="AH449" s="1">
        <v>219.08438000000001</v>
      </c>
      <c r="AI449" s="1">
        <v>27315.398440000001</v>
      </c>
      <c r="AJ449">
        <f t="shared" si="57"/>
        <v>449</v>
      </c>
    </row>
    <row r="450" spans="31:36">
      <c r="AE450" s="179" t="s">
        <v>1094</v>
      </c>
      <c r="AF450" s="1">
        <f>AF449-AF448</f>
        <v>29.964349999999968</v>
      </c>
      <c r="AG450" s="1">
        <f>AG449-AG448</f>
        <v>81464.125</v>
      </c>
      <c r="AH450" s="1">
        <f>AH449-AH448</f>
        <v>27.999340000000018</v>
      </c>
      <c r="AI450" s="1">
        <f>AI449-AI448</f>
        <v>1354.0878900000025</v>
      </c>
      <c r="AJ450">
        <f t="shared" si="57"/>
        <v>450</v>
      </c>
    </row>
    <row r="451" spans="31:36">
      <c r="AE451" s="179" t="s">
        <v>1090</v>
      </c>
      <c r="AF451" s="560">
        <v>1372655772</v>
      </c>
      <c r="AG451" s="1" t="s">
        <v>1095</v>
      </c>
      <c r="AH451" s="1" t="s">
        <v>1095</v>
      </c>
      <c r="AI451" s="1" t="s">
        <v>1095</v>
      </c>
      <c r="AJ451">
        <f t="shared" ref="AJ451:AJ514" si="58">AJ450+1</f>
        <v>451</v>
      </c>
    </row>
    <row r="452" spans="31:36">
      <c r="AE452" s="179" t="s">
        <v>1091</v>
      </c>
      <c r="AF452" s="1" t="s">
        <v>440</v>
      </c>
      <c r="AG452" s="1" t="s">
        <v>441</v>
      </c>
      <c r="AH452" s="1" t="s">
        <v>442</v>
      </c>
      <c r="AI452" s="1" t="s">
        <v>1022</v>
      </c>
      <c r="AJ452">
        <f t="shared" si="58"/>
        <v>452</v>
      </c>
    </row>
    <row r="453" spans="31:36">
      <c r="AE453" s="179" t="s">
        <v>1092</v>
      </c>
      <c r="AF453" s="1">
        <v>1791352.5</v>
      </c>
      <c r="AG453" s="1">
        <v>357009.0625</v>
      </c>
      <c r="AH453" s="1">
        <v>114516.30469</v>
      </c>
      <c r="AI453" s="1">
        <v>404804.1875</v>
      </c>
      <c r="AJ453">
        <f t="shared" si="58"/>
        <v>453</v>
      </c>
    </row>
    <row r="454" spans="31:36">
      <c r="AE454" s="179" t="s">
        <v>1093</v>
      </c>
      <c r="AF454" s="1">
        <v>1834716.5</v>
      </c>
      <c r="AG454" s="1">
        <v>413752.46875</v>
      </c>
      <c r="AH454" s="1">
        <v>114565.48437999999</v>
      </c>
      <c r="AI454" s="1">
        <v>430238.71875</v>
      </c>
      <c r="AJ454">
        <f t="shared" si="58"/>
        <v>454</v>
      </c>
    </row>
    <row r="455" spans="31:36">
      <c r="AE455" s="179" t="s">
        <v>1094</v>
      </c>
      <c r="AF455" s="1">
        <f>AF454-AF453</f>
        <v>43364</v>
      </c>
      <c r="AG455" s="1">
        <f>AG454-AG453</f>
        <v>56743.40625</v>
      </c>
      <c r="AH455" s="1">
        <f>AH454-AH453</f>
        <v>49.179689999989932</v>
      </c>
      <c r="AI455" s="1">
        <f>AI454-AI453</f>
        <v>25434.53125</v>
      </c>
      <c r="AJ455">
        <f t="shared" si="58"/>
        <v>455</v>
      </c>
    </row>
    <row r="456" spans="31:36">
      <c r="AE456" s="179" t="s">
        <v>1090</v>
      </c>
      <c r="AF456" s="560">
        <v>1372656740</v>
      </c>
      <c r="AG456" s="1" t="s">
        <v>1095</v>
      </c>
      <c r="AH456" s="1" t="s">
        <v>1095</v>
      </c>
      <c r="AI456" s="1" t="s">
        <v>1095</v>
      </c>
      <c r="AJ456">
        <f t="shared" si="58"/>
        <v>456</v>
      </c>
    </row>
    <row r="457" spans="31:36">
      <c r="AE457" s="179" t="s">
        <v>1091</v>
      </c>
      <c r="AF457" s="1" t="s">
        <v>440</v>
      </c>
      <c r="AG457" s="1" t="s">
        <v>441</v>
      </c>
      <c r="AH457" s="1" t="s">
        <v>442</v>
      </c>
      <c r="AI457" s="1" t="s">
        <v>1022</v>
      </c>
      <c r="AJ457">
        <f t="shared" si="58"/>
        <v>457</v>
      </c>
    </row>
    <row r="458" spans="31:36">
      <c r="AE458" s="179" t="s">
        <v>1092</v>
      </c>
      <c r="AF458" s="1">
        <v>1699.24683</v>
      </c>
      <c r="AG458" s="1">
        <v>382429.28125</v>
      </c>
      <c r="AH458" s="1">
        <v>9.8084399999999992</v>
      </c>
      <c r="AI458" s="1">
        <v>12815.16113</v>
      </c>
      <c r="AJ458">
        <f t="shared" si="58"/>
        <v>458</v>
      </c>
    </row>
    <row r="459" spans="31:36">
      <c r="AE459" s="179" t="s">
        <v>1093</v>
      </c>
      <c r="AF459" s="1">
        <v>1757.68127</v>
      </c>
      <c r="AG459" s="1">
        <v>418581.5</v>
      </c>
      <c r="AH459" s="1">
        <v>10.64476</v>
      </c>
      <c r="AI459" s="1">
        <v>13560.09863</v>
      </c>
      <c r="AJ459">
        <f t="shared" si="58"/>
        <v>459</v>
      </c>
    </row>
    <row r="460" spans="31:36">
      <c r="AE460" s="179" t="s">
        <v>1094</v>
      </c>
      <c r="AF460" s="1">
        <f>AF459-AF458</f>
        <v>58.434439999999995</v>
      </c>
      <c r="AG460" s="1">
        <f>AG459-AG458</f>
        <v>36152.21875</v>
      </c>
      <c r="AH460" s="1">
        <f>AH459-AH458</f>
        <v>0.83632000000000062</v>
      </c>
      <c r="AI460" s="1">
        <f>AI459-AI458</f>
        <v>744.9375</v>
      </c>
      <c r="AJ460">
        <f t="shared" si="58"/>
        <v>460</v>
      </c>
    </row>
    <row r="461" spans="31:36">
      <c r="AE461" s="179" t="s">
        <v>1090</v>
      </c>
      <c r="AF461" s="560">
        <v>1372745265</v>
      </c>
      <c r="AG461" s="1" t="s">
        <v>1095</v>
      </c>
      <c r="AH461" s="1" t="s">
        <v>1095</v>
      </c>
      <c r="AI461" s="1" t="s">
        <v>1095</v>
      </c>
      <c r="AJ461">
        <f t="shared" si="58"/>
        <v>461</v>
      </c>
    </row>
    <row r="462" spans="31:36">
      <c r="AE462" s="179" t="s">
        <v>1091</v>
      </c>
      <c r="AF462" s="1" t="s">
        <v>440</v>
      </c>
      <c r="AG462" s="1" t="s">
        <v>441</v>
      </c>
      <c r="AH462" s="1" t="s">
        <v>442</v>
      </c>
      <c r="AI462" s="1" t="s">
        <v>1022</v>
      </c>
      <c r="AJ462">
        <f t="shared" si="58"/>
        <v>462</v>
      </c>
    </row>
    <row r="463" spans="31:36">
      <c r="AE463" s="179" t="s">
        <v>1092</v>
      </c>
      <c r="AF463" s="1">
        <v>0</v>
      </c>
      <c r="AG463" s="1">
        <v>3645899</v>
      </c>
      <c r="AH463" s="1">
        <v>173606.92188000001</v>
      </c>
      <c r="AI463" s="1">
        <v>52342.097659999999</v>
      </c>
      <c r="AJ463">
        <f t="shared" si="58"/>
        <v>463</v>
      </c>
    </row>
    <row r="464" spans="31:36">
      <c r="AE464" s="179" t="s">
        <v>1093</v>
      </c>
      <c r="AF464" s="1">
        <v>0</v>
      </c>
      <c r="AG464" s="1">
        <v>3844060.75</v>
      </c>
      <c r="AH464" s="1">
        <v>176522.54688000001</v>
      </c>
      <c r="AI464" s="1">
        <v>56219.492189999997</v>
      </c>
      <c r="AJ464">
        <f t="shared" si="58"/>
        <v>464</v>
      </c>
    </row>
    <row r="465" spans="31:36">
      <c r="AE465" s="179" t="s">
        <v>1094</v>
      </c>
      <c r="AF465" s="1">
        <f>AF464-AF463</f>
        <v>0</v>
      </c>
      <c r="AG465" s="1">
        <f>AG464-AG463</f>
        <v>198161.75</v>
      </c>
      <c r="AH465" s="1">
        <f>AH464-AH463</f>
        <v>2915.625</v>
      </c>
      <c r="AI465" s="1">
        <f>AI464-AI463</f>
        <v>3877.3945299999978</v>
      </c>
      <c r="AJ465">
        <f t="shared" si="58"/>
        <v>465</v>
      </c>
    </row>
    <row r="466" spans="31:36">
      <c r="AE466" s="179" t="s">
        <v>1090</v>
      </c>
      <c r="AF466" s="560">
        <v>1372745537</v>
      </c>
      <c r="AG466" s="1" t="s">
        <v>1095</v>
      </c>
      <c r="AH466" s="1" t="s">
        <v>1095</v>
      </c>
      <c r="AI466" s="1" t="s">
        <v>1095</v>
      </c>
      <c r="AJ466">
        <f t="shared" si="58"/>
        <v>466</v>
      </c>
    </row>
    <row r="467" spans="31:36">
      <c r="AE467" s="179" t="s">
        <v>1091</v>
      </c>
      <c r="AF467" s="1" t="s">
        <v>440</v>
      </c>
      <c r="AG467" s="1" t="s">
        <v>441</v>
      </c>
      <c r="AH467" s="1" t="s">
        <v>442</v>
      </c>
      <c r="AI467" s="1" t="s">
        <v>1022</v>
      </c>
      <c r="AJ467">
        <f t="shared" si="58"/>
        <v>467</v>
      </c>
    </row>
    <row r="468" spans="31:36">
      <c r="AE468" s="179" t="s">
        <v>1092</v>
      </c>
      <c r="AF468" s="1">
        <v>3566883.5</v>
      </c>
      <c r="AG468" s="1">
        <v>1.7000000000000001E-4</v>
      </c>
      <c r="AH468" s="1">
        <v>0</v>
      </c>
      <c r="AI468" s="1">
        <v>0.13994999999999999</v>
      </c>
      <c r="AJ468">
        <f t="shared" si="58"/>
        <v>468</v>
      </c>
    </row>
    <row r="469" spans="31:36">
      <c r="AE469" s="179" t="s">
        <v>1093</v>
      </c>
      <c r="AF469">
        <v>3622749.25</v>
      </c>
      <c r="AG469">
        <v>1.7000000000000001E-4</v>
      </c>
      <c r="AH469">
        <v>0</v>
      </c>
      <c r="AI469">
        <v>0.13994999999999999</v>
      </c>
      <c r="AJ469">
        <f t="shared" si="58"/>
        <v>469</v>
      </c>
    </row>
    <row r="470" spans="31:36">
      <c r="AE470" s="179" t="s">
        <v>1094</v>
      </c>
      <c r="AF470" s="1">
        <f>AF469-AF468</f>
        <v>55865.75</v>
      </c>
      <c r="AG470" s="1">
        <v>1.7000000000000001E-4</v>
      </c>
      <c r="AH470" s="1">
        <f>AH469-AH468</f>
        <v>0</v>
      </c>
      <c r="AI470" s="1">
        <f>AI469-AI468</f>
        <v>0</v>
      </c>
      <c r="AJ470">
        <f t="shared" si="58"/>
        <v>470</v>
      </c>
    </row>
    <row r="471" spans="31:36">
      <c r="AE471" s="179" t="s">
        <v>1090</v>
      </c>
      <c r="AF471" s="560">
        <v>1373075553</v>
      </c>
      <c r="AG471" s="1" t="s">
        <v>1095</v>
      </c>
      <c r="AH471" s="1" t="s">
        <v>1095</v>
      </c>
      <c r="AI471" s="1" t="s">
        <v>1095</v>
      </c>
      <c r="AJ471">
        <f t="shared" si="58"/>
        <v>471</v>
      </c>
    </row>
    <row r="472" spans="31:36">
      <c r="AE472" s="179" t="s">
        <v>1091</v>
      </c>
      <c r="AF472" s="1" t="s">
        <v>440</v>
      </c>
      <c r="AG472" s="1" t="s">
        <v>441</v>
      </c>
      <c r="AH472" s="1" t="s">
        <v>442</v>
      </c>
      <c r="AI472" s="1" t="s">
        <v>1022</v>
      </c>
      <c r="AJ472">
        <f t="shared" si="58"/>
        <v>472</v>
      </c>
    </row>
    <row r="473" spans="31:36">
      <c r="AE473" s="179" t="s">
        <v>1092</v>
      </c>
      <c r="AF473" s="1">
        <v>2734789</v>
      </c>
      <c r="AG473" s="1">
        <v>13265.014649999999</v>
      </c>
      <c r="AH473" s="1">
        <v>193519.5625</v>
      </c>
      <c r="AI473" s="1">
        <v>55896.277340000001</v>
      </c>
      <c r="AJ473">
        <f t="shared" si="58"/>
        <v>473</v>
      </c>
    </row>
    <row r="474" spans="31:36">
      <c r="AE474" s="179" t="s">
        <v>1093</v>
      </c>
      <c r="AF474" s="1">
        <v>2906835</v>
      </c>
      <c r="AG474" s="1">
        <v>13298.64453</v>
      </c>
      <c r="AH474" s="1">
        <v>243838.01563000001</v>
      </c>
      <c r="AI474" s="1">
        <v>58397.820310000003</v>
      </c>
      <c r="AJ474">
        <f t="shared" si="58"/>
        <v>474</v>
      </c>
    </row>
    <row r="475" spans="31:36">
      <c r="AE475" s="179" t="s">
        <v>1094</v>
      </c>
      <c r="AF475" s="1">
        <f>AF474-AF473</f>
        <v>172046</v>
      </c>
      <c r="AG475" s="1">
        <f>AG474-AG473</f>
        <v>33.629880000000412</v>
      </c>
      <c r="AH475" s="1">
        <f>AH474-AH473</f>
        <v>50318.453130000009</v>
      </c>
      <c r="AI475" s="1">
        <f>AI474-AI473</f>
        <v>2501.5429700000022</v>
      </c>
      <c r="AJ475">
        <f t="shared" si="58"/>
        <v>475</v>
      </c>
    </row>
    <row r="476" spans="31:36">
      <c r="AE476" s="179" t="s">
        <v>1090</v>
      </c>
      <c r="AF476" s="560">
        <v>1373264334</v>
      </c>
      <c r="AG476" s="1" t="s">
        <v>1095</v>
      </c>
      <c r="AH476" s="1" t="s">
        <v>1095</v>
      </c>
      <c r="AI476" s="1" t="s">
        <v>1095</v>
      </c>
      <c r="AJ476">
        <f t="shared" si="58"/>
        <v>476</v>
      </c>
    </row>
    <row r="477" spans="31:36">
      <c r="AE477" s="179" t="s">
        <v>1091</v>
      </c>
      <c r="AF477" s="1" t="s">
        <v>440</v>
      </c>
      <c r="AG477" s="1" t="s">
        <v>441</v>
      </c>
      <c r="AH477" s="1" t="s">
        <v>442</v>
      </c>
      <c r="AI477" s="1" t="s">
        <v>1022</v>
      </c>
      <c r="AJ477">
        <f t="shared" si="58"/>
        <v>477</v>
      </c>
    </row>
    <row r="478" spans="31:36">
      <c r="AE478" s="179" t="s">
        <v>1092</v>
      </c>
      <c r="AF478" s="1">
        <v>218.58161999999999</v>
      </c>
      <c r="AG478" s="1">
        <v>1189707.5</v>
      </c>
      <c r="AH478" s="1">
        <v>6355.0195299999996</v>
      </c>
      <c r="AI478" s="1">
        <v>11645.063480000001</v>
      </c>
      <c r="AJ478">
        <f t="shared" si="58"/>
        <v>478</v>
      </c>
    </row>
    <row r="479" spans="31:36">
      <c r="AE479" s="179" t="s">
        <v>1093</v>
      </c>
      <c r="AF479" s="1">
        <v>230.99913000000001</v>
      </c>
      <c r="AG479" s="1">
        <v>1282876.75</v>
      </c>
      <c r="AH479" s="1">
        <v>6779.1469699999998</v>
      </c>
      <c r="AI479" s="1">
        <v>12222.329100000001</v>
      </c>
      <c r="AJ479">
        <f t="shared" si="58"/>
        <v>479</v>
      </c>
    </row>
    <row r="480" spans="31:36">
      <c r="AE480" s="179" t="s">
        <v>1094</v>
      </c>
      <c r="AF480" s="1">
        <f>AF479-AF478</f>
        <v>12.417510000000021</v>
      </c>
      <c r="AG480" s="1">
        <f>AG479-AG478</f>
        <v>93169.25</v>
      </c>
      <c r="AH480" s="1">
        <f>AH479-AH478</f>
        <v>424.12744000000021</v>
      </c>
      <c r="AI480" s="1">
        <f>AI479-AI478</f>
        <v>577.26562000000013</v>
      </c>
      <c r="AJ480">
        <f t="shared" si="58"/>
        <v>480</v>
      </c>
    </row>
    <row r="481" spans="31:36">
      <c r="AE481" s="179" t="s">
        <v>1090</v>
      </c>
      <c r="AF481" s="560">
        <v>1373264675</v>
      </c>
      <c r="AG481" s="1" t="s">
        <v>1095</v>
      </c>
      <c r="AH481" s="1" t="s">
        <v>1095</v>
      </c>
      <c r="AI481" s="1" t="s">
        <v>1095</v>
      </c>
      <c r="AJ481">
        <f t="shared" si="58"/>
        <v>481</v>
      </c>
    </row>
    <row r="482" spans="31:36">
      <c r="AE482" s="179" t="s">
        <v>1091</v>
      </c>
      <c r="AF482" s="1" t="s">
        <v>440</v>
      </c>
      <c r="AG482" s="1" t="s">
        <v>441</v>
      </c>
      <c r="AH482" s="1" t="s">
        <v>442</v>
      </c>
      <c r="AI482" s="1" t="s">
        <v>1022</v>
      </c>
      <c r="AJ482">
        <f t="shared" si="58"/>
        <v>482</v>
      </c>
    </row>
    <row r="483" spans="31:36">
      <c r="AE483" s="179" t="s">
        <v>1092</v>
      </c>
      <c r="AF483" s="1">
        <v>1355932</v>
      </c>
      <c r="AG483" s="1">
        <v>9.0000000000000006E-5</v>
      </c>
      <c r="AH483" s="1">
        <v>1578.4449500000001</v>
      </c>
      <c r="AI483" s="1">
        <v>448393.90625</v>
      </c>
      <c r="AJ483">
        <f t="shared" si="58"/>
        <v>483</v>
      </c>
    </row>
    <row r="484" spans="31:36">
      <c r="AE484" s="179" t="s">
        <v>1093</v>
      </c>
      <c r="AF484" s="1">
        <v>1438025</v>
      </c>
      <c r="AG484" s="1">
        <v>9.0000000000000006E-5</v>
      </c>
      <c r="AH484" s="1">
        <v>1586.0207499999999</v>
      </c>
      <c r="AI484" s="1">
        <v>476632.3125</v>
      </c>
      <c r="AJ484">
        <f t="shared" si="58"/>
        <v>484</v>
      </c>
    </row>
    <row r="485" spans="31:36">
      <c r="AE485" s="179" t="s">
        <v>1094</v>
      </c>
      <c r="AF485" s="1">
        <f>AF484-AF483</f>
        <v>82093</v>
      </c>
      <c r="AG485" s="1">
        <f>AG484-AG483</f>
        <v>0</v>
      </c>
      <c r="AH485" s="1">
        <f>AH484-AH483</f>
        <v>7.5757999999998447</v>
      </c>
      <c r="AI485" s="1">
        <f>AI484-AI483</f>
        <v>28238.40625</v>
      </c>
      <c r="AJ485">
        <f t="shared" si="58"/>
        <v>485</v>
      </c>
    </row>
    <row r="486" spans="31:36">
      <c r="AE486" s="179" t="s">
        <v>1090</v>
      </c>
      <c r="AF486" s="560">
        <v>1373265813</v>
      </c>
      <c r="AG486" s="1" t="s">
        <v>1095</v>
      </c>
      <c r="AH486" s="1" t="s">
        <v>1095</v>
      </c>
      <c r="AI486" s="1" t="s">
        <v>1095</v>
      </c>
      <c r="AJ486">
        <f t="shared" si="58"/>
        <v>486</v>
      </c>
    </row>
    <row r="487" spans="31:36">
      <c r="AE487" s="179" t="s">
        <v>1091</v>
      </c>
      <c r="AF487" s="1" t="s">
        <v>440</v>
      </c>
      <c r="AG487" s="1" t="s">
        <v>441</v>
      </c>
      <c r="AH487" s="1" t="s">
        <v>442</v>
      </c>
      <c r="AI487" s="1" t="s">
        <v>1022</v>
      </c>
      <c r="AJ487">
        <f t="shared" si="58"/>
        <v>487</v>
      </c>
    </row>
    <row r="488" spans="31:36">
      <c r="AE488" s="179" t="s">
        <v>1092</v>
      </c>
      <c r="AF488" s="1">
        <v>2048373.5</v>
      </c>
      <c r="AG488" s="1">
        <v>199114.14063000001</v>
      </c>
      <c r="AH488" s="1">
        <v>396803.40625</v>
      </c>
      <c r="AI488" s="1">
        <v>16819.369139999999</v>
      </c>
      <c r="AJ488">
        <f t="shared" si="58"/>
        <v>488</v>
      </c>
    </row>
    <row r="489" spans="31:36">
      <c r="AE489" s="179" t="s">
        <v>1093</v>
      </c>
      <c r="AF489" s="1">
        <v>2138200.25</v>
      </c>
      <c r="AG489" s="1">
        <v>228317.03125</v>
      </c>
      <c r="AH489" s="1">
        <v>487523.03125</v>
      </c>
      <c r="AI489" s="1">
        <v>16851.833979999999</v>
      </c>
      <c r="AJ489">
        <f t="shared" si="58"/>
        <v>489</v>
      </c>
    </row>
    <row r="490" spans="31:36">
      <c r="AE490" s="179" t="s">
        <v>1094</v>
      </c>
      <c r="AF490" s="1">
        <f>AF489-AF488</f>
        <v>89826.75</v>
      </c>
      <c r="AG490" s="1">
        <f>AG489-AG488</f>
        <v>29202.890619999991</v>
      </c>
      <c r="AH490" s="1">
        <f>AH489-AH488</f>
        <v>90719.625</v>
      </c>
      <c r="AI490" s="1">
        <f>AI489-AI488</f>
        <v>32.464840000000549</v>
      </c>
      <c r="AJ490">
        <f t="shared" si="58"/>
        <v>490</v>
      </c>
    </row>
    <row r="491" spans="31:36">
      <c r="AE491" s="179" t="s">
        <v>1090</v>
      </c>
      <c r="AF491" s="560">
        <v>1373265936</v>
      </c>
      <c r="AG491" s="1" t="s">
        <v>1095</v>
      </c>
      <c r="AH491" s="1" t="s">
        <v>1095</v>
      </c>
      <c r="AI491" s="1" t="s">
        <v>1095</v>
      </c>
      <c r="AJ491">
        <f t="shared" si="58"/>
        <v>491</v>
      </c>
    </row>
    <row r="492" spans="31:36">
      <c r="AE492" s="179" t="s">
        <v>1091</v>
      </c>
      <c r="AF492" s="1" t="s">
        <v>440</v>
      </c>
      <c r="AG492" s="1" t="s">
        <v>441</v>
      </c>
      <c r="AH492" s="1" t="s">
        <v>442</v>
      </c>
      <c r="AI492" s="1" t="s">
        <v>1022</v>
      </c>
      <c r="AJ492">
        <f t="shared" si="58"/>
        <v>492</v>
      </c>
    </row>
    <row r="493" spans="31:36">
      <c r="AE493" s="179" t="s">
        <v>1092</v>
      </c>
      <c r="AF493" s="1">
        <v>250.17728</v>
      </c>
      <c r="AG493" s="1">
        <v>783769.375</v>
      </c>
      <c r="AH493" s="1">
        <v>235.21547000000001</v>
      </c>
      <c r="AI493" s="1">
        <v>12505.86133</v>
      </c>
      <c r="AJ493">
        <f t="shared" si="58"/>
        <v>493</v>
      </c>
    </row>
    <row r="494" spans="31:36">
      <c r="AE494" s="179" t="s">
        <v>1093</v>
      </c>
      <c r="AF494" s="1">
        <v>257.99788999999998</v>
      </c>
      <c r="AG494" s="1">
        <v>859518.3125</v>
      </c>
      <c r="AH494" s="1">
        <v>242.40595999999999</v>
      </c>
      <c r="AI494" s="1">
        <v>13450.184569999999</v>
      </c>
      <c r="AJ494">
        <f t="shared" si="58"/>
        <v>494</v>
      </c>
    </row>
    <row r="495" spans="31:36">
      <c r="AE495" s="179" t="s">
        <v>1094</v>
      </c>
      <c r="AF495" s="1">
        <f>AF494-AF493</f>
        <v>7.8206099999999878</v>
      </c>
      <c r="AG495" s="1">
        <f>AG494-AG493</f>
        <v>75748.9375</v>
      </c>
      <c r="AH495" s="1">
        <f>AH494-AH493</f>
        <v>7.1904899999999827</v>
      </c>
      <c r="AI495" s="1">
        <f>AI494-AI493</f>
        <v>944.32323999999971</v>
      </c>
      <c r="AJ495">
        <f t="shared" si="58"/>
        <v>495</v>
      </c>
    </row>
    <row r="496" spans="31:36">
      <c r="AE496" s="179" t="s">
        <v>1090</v>
      </c>
      <c r="AF496" s="560">
        <v>1373265946</v>
      </c>
      <c r="AG496" s="1" t="s">
        <v>1095</v>
      </c>
      <c r="AH496" s="1" t="s">
        <v>1095</v>
      </c>
      <c r="AI496" s="1" t="s">
        <v>1095</v>
      </c>
      <c r="AJ496">
        <f t="shared" si="58"/>
        <v>496</v>
      </c>
    </row>
    <row r="497" spans="31:36">
      <c r="AE497" s="179" t="s">
        <v>1091</v>
      </c>
      <c r="AF497" s="1" t="s">
        <v>440</v>
      </c>
      <c r="AG497" s="1" t="s">
        <v>441</v>
      </c>
      <c r="AH497" s="1" t="s">
        <v>442</v>
      </c>
      <c r="AI497" s="1" t="s">
        <v>1022</v>
      </c>
      <c r="AJ497">
        <f t="shared" si="58"/>
        <v>497</v>
      </c>
    </row>
    <row r="498" spans="31:36">
      <c r="AE498" s="179" t="s">
        <v>1092</v>
      </c>
      <c r="AF498" s="1">
        <v>2687064.75</v>
      </c>
      <c r="AG498" s="1">
        <v>5641.3945299999996</v>
      </c>
      <c r="AH498" s="1">
        <v>340001.25</v>
      </c>
      <c r="AI498" s="1">
        <v>3028.0258800000001</v>
      </c>
      <c r="AJ498">
        <f t="shared" si="58"/>
        <v>498</v>
      </c>
    </row>
    <row r="499" spans="31:36">
      <c r="AE499" s="179" t="s">
        <v>1093</v>
      </c>
      <c r="AF499" s="1">
        <v>2824964.5</v>
      </c>
      <c r="AG499" s="1">
        <v>6995.2910199999997</v>
      </c>
      <c r="AH499" s="1">
        <v>356129</v>
      </c>
      <c r="AI499" s="1">
        <v>3291.2966299999998</v>
      </c>
      <c r="AJ499">
        <f t="shared" si="58"/>
        <v>499</v>
      </c>
    </row>
    <row r="500" spans="31:36">
      <c r="AE500" s="179" t="s">
        <v>1094</v>
      </c>
      <c r="AF500" s="1">
        <f>AF499-AF498</f>
        <v>137899.75</v>
      </c>
      <c r="AG500" s="1">
        <f>AG499-AG498</f>
        <v>1353.8964900000001</v>
      </c>
      <c r="AH500" s="1">
        <f>AH499-AH498</f>
        <v>16127.75</v>
      </c>
      <c r="AI500" s="1">
        <f>AI499-AI498</f>
        <v>263.27074999999968</v>
      </c>
      <c r="AJ500">
        <f t="shared" si="58"/>
        <v>500</v>
      </c>
    </row>
    <row r="501" spans="31:36">
      <c r="AE501" s="179" t="s">
        <v>1090</v>
      </c>
      <c r="AF501" s="560">
        <v>1373265974</v>
      </c>
      <c r="AG501" s="1" t="s">
        <v>1095</v>
      </c>
      <c r="AH501" s="1" t="s">
        <v>1095</v>
      </c>
      <c r="AI501" s="1" t="s">
        <v>1095</v>
      </c>
      <c r="AJ501">
        <f t="shared" si="58"/>
        <v>501</v>
      </c>
    </row>
    <row r="502" spans="31:36">
      <c r="AE502" s="179" t="s">
        <v>1091</v>
      </c>
      <c r="AF502" s="1" t="s">
        <v>440</v>
      </c>
      <c r="AG502" s="1" t="s">
        <v>441</v>
      </c>
      <c r="AH502" s="1" t="s">
        <v>442</v>
      </c>
      <c r="AI502" s="1" t="s">
        <v>1022</v>
      </c>
      <c r="AJ502">
        <f t="shared" si="58"/>
        <v>502</v>
      </c>
    </row>
    <row r="503" spans="31:36">
      <c r="AE503" s="179" t="s">
        <v>1092</v>
      </c>
      <c r="AF503" s="1">
        <v>124.68996</v>
      </c>
      <c r="AG503" s="1">
        <v>620788.125</v>
      </c>
      <c r="AH503" s="1">
        <v>255.29523</v>
      </c>
      <c r="AI503" s="1">
        <v>10736.349609999999</v>
      </c>
      <c r="AJ503">
        <f t="shared" si="58"/>
        <v>503</v>
      </c>
    </row>
    <row r="504" spans="31:36">
      <c r="AE504" s="179" t="s">
        <v>1093</v>
      </c>
      <c r="AF504" s="1">
        <v>132.2141</v>
      </c>
      <c r="AG504" s="1">
        <v>687140.25</v>
      </c>
      <c r="AH504" s="1">
        <v>280.06812000000002</v>
      </c>
      <c r="AI504" s="1">
        <v>11531.007809999999</v>
      </c>
      <c r="AJ504">
        <f t="shared" si="58"/>
        <v>504</v>
      </c>
    </row>
    <row r="505" spans="31:36">
      <c r="AE505" s="179" t="s">
        <v>1094</v>
      </c>
      <c r="AF505" s="1">
        <f>AF504-AF503</f>
        <v>7.5241400000000027</v>
      </c>
      <c r="AG505" s="1">
        <f>AG504-AG503</f>
        <v>66352.125</v>
      </c>
      <c r="AH505" s="1">
        <f>AH504-AH503</f>
        <v>24.772890000000018</v>
      </c>
      <c r="AI505" s="1">
        <f>AI504-AI503</f>
        <v>794.65819999999985</v>
      </c>
      <c r="AJ505">
        <f t="shared" si="58"/>
        <v>505</v>
      </c>
    </row>
    <row r="506" spans="31:36">
      <c r="AE506" s="179" t="s">
        <v>1090</v>
      </c>
      <c r="AF506" s="560">
        <v>1373362497</v>
      </c>
      <c r="AG506" s="1" t="s">
        <v>1095</v>
      </c>
      <c r="AH506" s="1" t="s">
        <v>1095</v>
      </c>
      <c r="AI506" s="1" t="s">
        <v>1095</v>
      </c>
      <c r="AJ506">
        <f t="shared" si="58"/>
        <v>506</v>
      </c>
    </row>
    <row r="507" spans="31:36">
      <c r="AE507" s="179" t="s">
        <v>1091</v>
      </c>
      <c r="AF507" s="1" t="s">
        <v>440</v>
      </c>
      <c r="AG507" s="1" t="s">
        <v>441</v>
      </c>
      <c r="AH507" s="1" t="s">
        <v>442</v>
      </c>
      <c r="AI507" s="1" t="s">
        <v>1022</v>
      </c>
      <c r="AJ507">
        <f t="shared" si="58"/>
        <v>507</v>
      </c>
    </row>
    <row r="508" spans="31:36">
      <c r="AE508" s="179" t="s">
        <v>1092</v>
      </c>
      <c r="AF508" s="1">
        <v>519.79254000000003</v>
      </c>
      <c r="AG508" s="1">
        <v>1004453.6875</v>
      </c>
      <c r="AH508" s="1">
        <v>45778.234380000002</v>
      </c>
      <c r="AI508" s="1">
        <v>12607.287109999999</v>
      </c>
      <c r="AJ508">
        <f t="shared" si="58"/>
        <v>508</v>
      </c>
    </row>
    <row r="509" spans="31:36">
      <c r="AE509" s="179" t="s">
        <v>1093</v>
      </c>
      <c r="AF509" s="1">
        <v>904.16827000000001</v>
      </c>
      <c r="AG509" s="1">
        <v>1081065.75</v>
      </c>
      <c r="AH509" s="1">
        <v>147373.78125</v>
      </c>
      <c r="AI509" s="1">
        <v>13292.25488</v>
      </c>
      <c r="AJ509">
        <f t="shared" si="58"/>
        <v>509</v>
      </c>
    </row>
    <row r="510" spans="31:36">
      <c r="AE510" s="179" t="s">
        <v>1094</v>
      </c>
      <c r="AF510" s="1">
        <f>AF509-AF508</f>
        <v>384.37572999999998</v>
      </c>
      <c r="AG510" s="1">
        <f>AG509-AG508</f>
        <v>76612.0625</v>
      </c>
      <c r="AH510" s="1">
        <f>AH509-AH508</f>
        <v>101595.54686999999</v>
      </c>
      <c r="AI510" s="1">
        <f>AI509-AI508</f>
        <v>684.96777000000111</v>
      </c>
      <c r="AJ510">
        <f t="shared" si="58"/>
        <v>510</v>
      </c>
    </row>
    <row r="511" spans="31:36">
      <c r="AE511" s="179" t="s">
        <v>1090</v>
      </c>
      <c r="AF511" s="560">
        <v>1373362724</v>
      </c>
      <c r="AG511" s="1" t="s">
        <v>1095</v>
      </c>
      <c r="AH511" s="1" t="s">
        <v>1095</v>
      </c>
      <c r="AI511" s="1" t="s">
        <v>1095</v>
      </c>
      <c r="AJ511">
        <f t="shared" si="58"/>
        <v>511</v>
      </c>
    </row>
    <row r="512" spans="31:36">
      <c r="AE512" s="179" t="s">
        <v>1091</v>
      </c>
      <c r="AF512" s="1" t="s">
        <v>440</v>
      </c>
      <c r="AG512" s="1" t="s">
        <v>441</v>
      </c>
      <c r="AH512" s="1" t="s">
        <v>442</v>
      </c>
      <c r="AI512" s="1" t="s">
        <v>1022</v>
      </c>
      <c r="AJ512">
        <f t="shared" si="58"/>
        <v>512</v>
      </c>
    </row>
    <row r="513" spans="31:36">
      <c r="AE513" s="179" t="s">
        <v>1092</v>
      </c>
      <c r="AF513" s="1">
        <v>810.19628999999998</v>
      </c>
      <c r="AG513" s="1">
        <v>1555608.125</v>
      </c>
      <c r="AH513" s="1">
        <v>13548.78125</v>
      </c>
      <c r="AI513" s="1">
        <v>54763.355470000002</v>
      </c>
      <c r="AJ513">
        <f t="shared" si="58"/>
        <v>513</v>
      </c>
    </row>
    <row r="514" spans="31:36">
      <c r="AE514" s="179" t="s">
        <v>1093</v>
      </c>
      <c r="AF514" s="1">
        <v>935.00598000000002</v>
      </c>
      <c r="AG514" s="1">
        <v>1695333.25</v>
      </c>
      <c r="AH514" s="1">
        <v>14121.58887</v>
      </c>
      <c r="AI514" s="1">
        <v>147346.96875</v>
      </c>
      <c r="AJ514">
        <f t="shared" si="58"/>
        <v>514</v>
      </c>
    </row>
    <row r="515" spans="31:36">
      <c r="AE515" s="179" t="s">
        <v>1094</v>
      </c>
      <c r="AF515" s="1">
        <f>AF514-AF513</f>
        <v>124.80969000000005</v>
      </c>
      <c r="AG515" s="1">
        <f>AG514-AG513</f>
        <v>139725.125</v>
      </c>
      <c r="AH515" s="1">
        <f>AH514-AH513</f>
        <v>572.80761999999959</v>
      </c>
      <c r="AI515" s="1">
        <f>AI514-AI513</f>
        <v>92583.61327999999</v>
      </c>
      <c r="AJ515">
        <f t="shared" ref="AJ515:AJ555" si="59">AJ514+1</f>
        <v>515</v>
      </c>
    </row>
    <row r="516" spans="31:36">
      <c r="AE516" s="179" t="s">
        <v>1090</v>
      </c>
      <c r="AF516" s="560">
        <v>1373266817</v>
      </c>
      <c r="AG516" s="1"/>
      <c r="AH516" s="1"/>
      <c r="AI516" s="1"/>
      <c r="AJ516">
        <f t="shared" si="59"/>
        <v>516</v>
      </c>
    </row>
    <row r="517" spans="31:36">
      <c r="AE517" s="179" t="s">
        <v>1091</v>
      </c>
      <c r="AF517" s="1" t="s">
        <v>440</v>
      </c>
      <c r="AG517" s="1" t="s">
        <v>441</v>
      </c>
      <c r="AH517" s="1" t="s">
        <v>442</v>
      </c>
      <c r="AI517" s="1" t="s">
        <v>1022</v>
      </c>
      <c r="AJ517">
        <f t="shared" si="59"/>
        <v>517</v>
      </c>
    </row>
    <row r="518" spans="31:36">
      <c r="AE518" s="179" t="s">
        <v>1092</v>
      </c>
      <c r="AF518" s="1">
        <v>880772.125</v>
      </c>
      <c r="AG518" s="1">
        <v>1853.8230000000001</v>
      </c>
      <c r="AH518" s="1">
        <v>67463.234379999994</v>
      </c>
      <c r="AI518" s="1">
        <v>39251.933590000001</v>
      </c>
      <c r="AJ518">
        <f t="shared" si="59"/>
        <v>518</v>
      </c>
    </row>
    <row r="519" spans="31:36">
      <c r="AE519" s="179" t="s">
        <v>1093</v>
      </c>
      <c r="AF519" s="1">
        <v>922820.375</v>
      </c>
      <c r="AG519" s="1">
        <v>1882.4341999999999</v>
      </c>
      <c r="AH519" s="1">
        <v>67670.398440000004</v>
      </c>
      <c r="AI519" s="1">
        <v>47258.558590000001</v>
      </c>
      <c r="AJ519">
        <f t="shared" si="59"/>
        <v>519</v>
      </c>
    </row>
    <row r="520" spans="31:36">
      <c r="AE520" s="179" t="s">
        <v>1094</v>
      </c>
      <c r="AF520" s="1">
        <f>AF519-AF518</f>
        <v>42048.25</v>
      </c>
      <c r="AG520" s="1">
        <f>AG519-AG518</f>
        <v>28.611199999999826</v>
      </c>
      <c r="AH520" s="1">
        <f>AH519-AH518</f>
        <v>207.16406000001007</v>
      </c>
      <c r="AI520" s="1">
        <f>AI519-AI518</f>
        <v>8006.625</v>
      </c>
      <c r="AJ520">
        <f t="shared" si="59"/>
        <v>520</v>
      </c>
    </row>
    <row r="521" spans="31:36">
      <c r="AE521" s="179" t="s">
        <v>1090</v>
      </c>
      <c r="AF521" s="560">
        <v>1372628356</v>
      </c>
      <c r="AG521" s="1"/>
      <c r="AH521" s="1"/>
      <c r="AI521" s="1"/>
      <c r="AJ521">
        <f t="shared" si="59"/>
        <v>521</v>
      </c>
    </row>
    <row r="522" spans="31:36">
      <c r="AE522" s="179" t="s">
        <v>1091</v>
      </c>
      <c r="AF522" s="1" t="s">
        <v>440</v>
      </c>
      <c r="AG522" s="1" t="s">
        <v>441</v>
      </c>
      <c r="AH522" s="1" t="s">
        <v>442</v>
      </c>
      <c r="AI522" s="1" t="s">
        <v>1022</v>
      </c>
      <c r="AJ522">
        <f t="shared" si="59"/>
        <v>522</v>
      </c>
    </row>
    <row r="523" spans="31:36">
      <c r="AE523" s="179" t="s">
        <v>1092</v>
      </c>
      <c r="AF523" s="1">
        <v>454.10730000000001</v>
      </c>
      <c r="AG523" s="1">
        <v>648905.25</v>
      </c>
      <c r="AH523" s="1">
        <v>1757.31592</v>
      </c>
      <c r="AI523" s="1">
        <v>11321.862300000001</v>
      </c>
      <c r="AJ523">
        <f t="shared" si="59"/>
        <v>523</v>
      </c>
    </row>
    <row r="524" spans="31:36">
      <c r="AE524" s="179" t="s">
        <v>1093</v>
      </c>
      <c r="AF524" s="1">
        <v>511.67849999999999</v>
      </c>
      <c r="AG524" s="1">
        <v>697826.3125</v>
      </c>
      <c r="AH524" s="1">
        <v>1916.2883300000001</v>
      </c>
      <c r="AI524" s="1">
        <v>12082.704100000001</v>
      </c>
      <c r="AJ524">
        <f t="shared" si="59"/>
        <v>524</v>
      </c>
    </row>
    <row r="525" spans="31:36">
      <c r="AE525" s="179" t="s">
        <v>1094</v>
      </c>
      <c r="AF525" s="1">
        <f>AF524-AF523</f>
        <v>57.571199999999976</v>
      </c>
      <c r="AG525" s="1">
        <f>AG524-AG523</f>
        <v>48921.0625</v>
      </c>
      <c r="AH525" s="1">
        <f>AH524-AH523</f>
        <v>158.97241000000008</v>
      </c>
      <c r="AI525" s="1">
        <f>AI524-AI523</f>
        <v>760.84180000000015</v>
      </c>
      <c r="AJ525">
        <f t="shared" si="59"/>
        <v>525</v>
      </c>
    </row>
    <row r="526" spans="31:36">
      <c r="AE526" s="179" t="s">
        <v>1090</v>
      </c>
      <c r="AF526" s="560">
        <v>1373708422</v>
      </c>
      <c r="AG526" s="1"/>
      <c r="AH526" s="1"/>
      <c r="AI526" s="1"/>
      <c r="AJ526">
        <f t="shared" si="59"/>
        <v>526</v>
      </c>
    </row>
    <row r="527" spans="31:36">
      <c r="AE527" s="179" t="s">
        <v>1091</v>
      </c>
      <c r="AF527" s="1" t="s">
        <v>440</v>
      </c>
      <c r="AG527" s="1" t="s">
        <v>441</v>
      </c>
      <c r="AH527" s="1" t="s">
        <v>442</v>
      </c>
      <c r="AI527" s="1" t="s">
        <v>1022</v>
      </c>
      <c r="AJ527">
        <f t="shared" si="59"/>
        <v>527</v>
      </c>
    </row>
    <row r="528" spans="31:36">
      <c r="AE528" s="179" t="s">
        <v>1092</v>
      </c>
      <c r="AF528" s="1">
        <v>986865.5625</v>
      </c>
      <c r="AG528" s="1">
        <v>1232.8802499999999</v>
      </c>
      <c r="AH528" s="1">
        <v>195.05363</v>
      </c>
      <c r="AI528" s="1">
        <v>152217.84375</v>
      </c>
      <c r="AJ528">
        <f t="shared" si="59"/>
        <v>528</v>
      </c>
    </row>
    <row r="529" spans="31:36">
      <c r="AE529" s="179" t="s">
        <v>1093</v>
      </c>
      <c r="AF529" s="1">
        <v>1056179.75</v>
      </c>
      <c r="AG529" s="1">
        <v>1272.77124</v>
      </c>
      <c r="AH529" s="1">
        <v>196.02163999999999</v>
      </c>
      <c r="AI529" s="1">
        <v>173378.6875</v>
      </c>
      <c r="AJ529">
        <f t="shared" si="59"/>
        <v>529</v>
      </c>
    </row>
    <row r="530" spans="31:36">
      <c r="AE530" s="179" t="s">
        <v>1094</v>
      </c>
      <c r="AF530" s="1">
        <f>AF529-AF528</f>
        <v>69314.1875</v>
      </c>
      <c r="AG530" s="1">
        <f>AG529-AG528</f>
        <v>39.890990000000102</v>
      </c>
      <c r="AH530" s="1">
        <f>AH529-AH528</f>
        <v>0.96800999999999249</v>
      </c>
      <c r="AI530" s="1">
        <f>AI529-AI528</f>
        <v>21160.84375</v>
      </c>
      <c r="AJ530">
        <f t="shared" si="59"/>
        <v>530</v>
      </c>
    </row>
    <row r="531" spans="31:36">
      <c r="AE531" s="179" t="s">
        <v>1090</v>
      </c>
      <c r="AF531" s="560">
        <v>1373706532</v>
      </c>
      <c r="AG531" s="1"/>
      <c r="AH531" s="1"/>
      <c r="AI531" s="1"/>
      <c r="AJ531">
        <f t="shared" si="59"/>
        <v>531</v>
      </c>
    </row>
    <row r="532" spans="31:36">
      <c r="AE532" s="179" t="s">
        <v>1091</v>
      </c>
      <c r="AF532" s="1" t="s">
        <v>440</v>
      </c>
      <c r="AG532" s="1" t="s">
        <v>441</v>
      </c>
      <c r="AH532" s="1" t="s">
        <v>442</v>
      </c>
      <c r="AI532" s="1" t="s">
        <v>1022</v>
      </c>
      <c r="AJ532">
        <f t="shared" si="59"/>
        <v>532</v>
      </c>
    </row>
    <row r="533" spans="31:36">
      <c r="AE533" s="179" t="s">
        <v>1092</v>
      </c>
      <c r="AF533" s="1">
        <v>91.830889999999997</v>
      </c>
      <c r="AG533" s="1">
        <v>275293.15625</v>
      </c>
      <c r="AH533" s="1">
        <v>187.14554000000001</v>
      </c>
      <c r="AI533" s="1">
        <v>4733.1811500000003</v>
      </c>
      <c r="AJ533">
        <f t="shared" si="59"/>
        <v>533</v>
      </c>
    </row>
    <row r="534" spans="31:36">
      <c r="AE534" s="179" t="s">
        <v>1093</v>
      </c>
      <c r="AF534" s="1">
        <v>101.62517</v>
      </c>
      <c r="AG534" s="1">
        <v>319562.96875</v>
      </c>
      <c r="AH534" s="1">
        <v>214.04176000000001</v>
      </c>
      <c r="AI534" s="1">
        <v>5271.0776400000004</v>
      </c>
      <c r="AJ534">
        <f t="shared" si="59"/>
        <v>534</v>
      </c>
    </row>
    <row r="535" spans="31:36">
      <c r="AE535" s="179" t="s">
        <v>1094</v>
      </c>
      <c r="AF535" s="1">
        <f>AF534-AF533</f>
        <v>9.7942800000000005</v>
      </c>
      <c r="AG535" s="1">
        <f>AG534-AG533</f>
        <v>44269.8125</v>
      </c>
      <c r="AH535" s="1">
        <f>AH534-AH533</f>
        <v>26.89622</v>
      </c>
      <c r="AI535" s="1">
        <f>AI534-AI533</f>
        <v>537.89649000000009</v>
      </c>
      <c r="AJ535">
        <f t="shared" si="59"/>
        <v>535</v>
      </c>
    </row>
    <row r="536" spans="31:36">
      <c r="AE536" s="179" t="s">
        <v>1090</v>
      </c>
      <c r="AF536" s="560">
        <v>1373707619</v>
      </c>
      <c r="AG536" s="1"/>
      <c r="AH536" s="1"/>
      <c r="AI536" s="1"/>
      <c r="AJ536">
        <f t="shared" si="59"/>
        <v>536</v>
      </c>
    </row>
    <row r="537" spans="31:36">
      <c r="AE537" s="179" t="s">
        <v>1091</v>
      </c>
      <c r="AF537" s="1" t="s">
        <v>440</v>
      </c>
      <c r="AG537" s="1" t="s">
        <v>441</v>
      </c>
      <c r="AH537" s="1" t="s">
        <v>442</v>
      </c>
      <c r="AI537" s="1" t="s">
        <v>1022</v>
      </c>
      <c r="AJ537">
        <f t="shared" si="59"/>
        <v>537</v>
      </c>
    </row>
    <row r="538" spans="31:36">
      <c r="AE538" s="179" t="s">
        <v>1092</v>
      </c>
      <c r="AF538" s="1">
        <v>1238605</v>
      </c>
      <c r="AG538" s="1">
        <v>1978.4335900000001</v>
      </c>
      <c r="AH538" s="1">
        <v>4740.7460899999996</v>
      </c>
      <c r="AI538" s="1">
        <v>130562.09375</v>
      </c>
      <c r="AJ538">
        <f t="shared" si="59"/>
        <v>538</v>
      </c>
    </row>
    <row r="539" spans="31:36">
      <c r="AE539" s="179" t="s">
        <v>1093</v>
      </c>
      <c r="AF539" s="1">
        <v>1352036.5</v>
      </c>
      <c r="AG539" s="1">
        <v>2000.5802000000001</v>
      </c>
      <c r="AH539" s="1">
        <v>4781.8622999999998</v>
      </c>
      <c r="AI539" s="1">
        <v>145792.9375</v>
      </c>
      <c r="AJ539">
        <f t="shared" si="59"/>
        <v>539</v>
      </c>
    </row>
    <row r="540" spans="31:36">
      <c r="AE540" s="179" t="s">
        <v>1094</v>
      </c>
      <c r="AF540" s="1">
        <f>AF539-AF538</f>
        <v>113431.5</v>
      </c>
      <c r="AG540" s="1">
        <f>AG539-AG538</f>
        <v>22.14661000000001</v>
      </c>
      <c r="AH540" s="1">
        <f>AH539-AH538</f>
        <v>41.116210000000137</v>
      </c>
      <c r="AI540" s="1">
        <f>AI539-AI538</f>
        <v>15230.84375</v>
      </c>
      <c r="AJ540">
        <f t="shared" si="59"/>
        <v>540</v>
      </c>
    </row>
    <row r="541" spans="31:36">
      <c r="AE541" s="179" t="s">
        <v>1090</v>
      </c>
      <c r="AF541" s="560">
        <v>1373706854</v>
      </c>
      <c r="AG541" s="1"/>
      <c r="AH541" s="1"/>
      <c r="AI541" s="1"/>
      <c r="AJ541">
        <f t="shared" si="59"/>
        <v>541</v>
      </c>
    </row>
    <row r="542" spans="31:36">
      <c r="AE542" s="179" t="s">
        <v>1091</v>
      </c>
      <c r="AF542" s="1" t="s">
        <v>440</v>
      </c>
      <c r="AG542" s="1" t="s">
        <v>441</v>
      </c>
      <c r="AH542" s="1" t="s">
        <v>442</v>
      </c>
      <c r="AI542" s="1" t="s">
        <v>1022</v>
      </c>
      <c r="AJ542">
        <f t="shared" si="59"/>
        <v>542</v>
      </c>
    </row>
    <row r="543" spans="31:36">
      <c r="AE543" s="179" t="s">
        <v>1092</v>
      </c>
      <c r="AF543" s="1">
        <v>682249.25</v>
      </c>
      <c r="AG543" s="1">
        <v>93764.828129999994</v>
      </c>
      <c r="AH543" s="1">
        <v>96879.171879999994</v>
      </c>
      <c r="AI543" s="1">
        <v>114593.26562999999</v>
      </c>
      <c r="AJ543">
        <f t="shared" si="59"/>
        <v>543</v>
      </c>
    </row>
    <row r="544" spans="31:36">
      <c r="AE544" s="179" t="s">
        <v>1093</v>
      </c>
      <c r="AF544" s="1">
        <v>716436.9375</v>
      </c>
      <c r="AG544" s="1">
        <v>119967.99219</v>
      </c>
      <c r="AH544" s="1">
        <v>101405.92969</v>
      </c>
      <c r="AI544" s="1">
        <v>126632.39062999999</v>
      </c>
      <c r="AJ544">
        <f t="shared" si="59"/>
        <v>544</v>
      </c>
    </row>
    <row r="545" spans="31:36">
      <c r="AE545" s="179" t="s">
        <v>1094</v>
      </c>
      <c r="AF545" s="1">
        <f>AF544-AF543</f>
        <v>34187.6875</v>
      </c>
      <c r="AG545" s="1">
        <f>AG544-AG543</f>
        <v>26203.16406000001</v>
      </c>
      <c r="AH545" s="1">
        <f>AH544-AH543</f>
        <v>4526.7578100000101</v>
      </c>
      <c r="AI545" s="1">
        <f>AI544-AI543</f>
        <v>12039.125</v>
      </c>
      <c r="AJ545">
        <f t="shared" si="59"/>
        <v>545</v>
      </c>
    </row>
    <row r="546" spans="31:36">
      <c r="AE546" s="179" t="s">
        <v>1090</v>
      </c>
      <c r="AF546" s="560">
        <v>1373706938</v>
      </c>
      <c r="AG546" s="1"/>
      <c r="AH546" s="1"/>
      <c r="AI546" s="1"/>
      <c r="AJ546">
        <f t="shared" si="59"/>
        <v>546</v>
      </c>
    </row>
    <row r="547" spans="31:36">
      <c r="AE547" s="179" t="s">
        <v>1091</v>
      </c>
      <c r="AF547" s="1" t="s">
        <v>440</v>
      </c>
      <c r="AG547" s="1" t="s">
        <v>441</v>
      </c>
      <c r="AH547" s="1" t="s">
        <v>442</v>
      </c>
      <c r="AI547" s="1" t="s">
        <v>1022</v>
      </c>
      <c r="AJ547">
        <f t="shared" si="59"/>
        <v>547</v>
      </c>
    </row>
    <row r="548" spans="31:36">
      <c r="AE548" s="179" t="s">
        <v>1092</v>
      </c>
      <c r="AF548" s="1">
        <v>111.27249999999999</v>
      </c>
      <c r="AG548" s="1">
        <v>284950.59375</v>
      </c>
      <c r="AH548" s="1">
        <v>6078.1484399999999</v>
      </c>
      <c r="AI548" s="1">
        <v>317.58963</v>
      </c>
      <c r="AJ548">
        <f t="shared" si="59"/>
        <v>548</v>
      </c>
    </row>
    <row r="549" spans="31:36">
      <c r="AE549" s="179" t="s">
        <v>1093</v>
      </c>
      <c r="AF549" s="1">
        <v>121.35387</v>
      </c>
      <c r="AG549" s="1">
        <v>314008.09375</v>
      </c>
      <c r="AH549" s="1">
        <v>6534.9033200000003</v>
      </c>
      <c r="AI549" s="1">
        <v>438.84987999999998</v>
      </c>
      <c r="AJ549">
        <f t="shared" si="59"/>
        <v>549</v>
      </c>
    </row>
    <row r="550" spans="31:36">
      <c r="AE550" s="179" t="s">
        <v>1094</v>
      </c>
      <c r="AF550" s="1">
        <f>AF549-AF548</f>
        <v>10.081370000000007</v>
      </c>
      <c r="AG550" s="1">
        <f>AG549-AG548</f>
        <v>29057.5</v>
      </c>
      <c r="AH550" s="1">
        <f>AH549-AH548</f>
        <v>456.75488000000041</v>
      </c>
      <c r="AI550" s="1">
        <f>AI549-AI548</f>
        <v>121.26024999999998</v>
      </c>
      <c r="AJ550">
        <f t="shared" si="59"/>
        <v>550</v>
      </c>
    </row>
    <row r="551" spans="31:36">
      <c r="AE551" s="179" t="s">
        <v>1090</v>
      </c>
      <c r="AF551" s="560">
        <v>1373706594</v>
      </c>
      <c r="AG551" s="1"/>
      <c r="AH551" s="1"/>
      <c r="AI551" s="1"/>
      <c r="AJ551">
        <f t="shared" si="59"/>
        <v>551</v>
      </c>
    </row>
    <row r="552" spans="31:36">
      <c r="AE552" s="179" t="s">
        <v>1091</v>
      </c>
      <c r="AF552" s="1" t="s">
        <v>440</v>
      </c>
      <c r="AG552" s="1" t="s">
        <v>441</v>
      </c>
      <c r="AH552" s="1" t="s">
        <v>442</v>
      </c>
      <c r="AI552" s="1" t="s">
        <v>1022</v>
      </c>
      <c r="AJ552">
        <f t="shared" si="59"/>
        <v>552</v>
      </c>
    </row>
    <row r="553" spans="31:36">
      <c r="AE553" s="179" t="s">
        <v>1092</v>
      </c>
      <c r="AF553" s="1">
        <v>87.690380000000005</v>
      </c>
      <c r="AG553" s="1">
        <v>360100.46875</v>
      </c>
      <c r="AH553" s="1">
        <v>94.888329999999996</v>
      </c>
      <c r="AI553" s="1">
        <v>6103.4995099999996</v>
      </c>
      <c r="AJ553">
        <f t="shared" si="59"/>
        <v>553</v>
      </c>
    </row>
    <row r="554" spans="31:36">
      <c r="AE554" s="179" t="s">
        <v>1093</v>
      </c>
      <c r="AF554" s="1">
        <v>97.401409999999998</v>
      </c>
      <c r="AG554" s="1">
        <v>426577</v>
      </c>
      <c r="AH554" s="1">
        <v>119.92245</v>
      </c>
      <c r="AI554" s="1">
        <v>6814.69092</v>
      </c>
      <c r="AJ554">
        <f t="shared" si="59"/>
        <v>554</v>
      </c>
    </row>
    <row r="555" spans="31:36">
      <c r="AE555" s="179" t="s">
        <v>1094</v>
      </c>
      <c r="AF555" s="1">
        <f>AF554-AF553</f>
        <v>9.7110299999999938</v>
      </c>
      <c r="AG555" s="1">
        <f>AG554-AG553</f>
        <v>66476.53125</v>
      </c>
      <c r="AH555" s="1">
        <f>AH554-AH553</f>
        <v>25.034120000000001</v>
      </c>
      <c r="AI555" s="1">
        <f>AI554-AI553</f>
        <v>711.19141000000036</v>
      </c>
      <c r="AJ555">
        <f t="shared" si="59"/>
        <v>555</v>
      </c>
    </row>
  </sheetData>
  <autoFilter ref="A1:AJ119" xr:uid="{D29A51BA-5F24-514C-81C8-1D64BA37BD79}"/>
  <mergeCells count="3">
    <mergeCell ref="F2:G2"/>
    <mergeCell ref="H2:I2"/>
    <mergeCell ref="J2:M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B937-4599-D24E-9F30-FC74CA27BF34}">
  <dimension ref="A1:DJ188"/>
  <sheetViews>
    <sheetView zoomScale="70" zoomScaleNormal="70" workbookViewId="0">
      <pane xSplit="2" ySplit="3" topLeftCell="C52" activePane="bottomRight" state="frozen"/>
      <selection pane="topRight" activeCell="C1" sqref="C1"/>
      <selection pane="bottomLeft" activeCell="A4" sqref="A4"/>
      <selection pane="bottomRight" activeCell="R75" sqref="R75"/>
    </sheetView>
  </sheetViews>
  <sheetFormatPr defaultColWidth="10.625" defaultRowHeight="15.75"/>
  <cols>
    <col min="1" max="1" width="10.875" style="4"/>
    <col min="2" max="2" width="21.625" style="4" customWidth="1"/>
    <col min="3" max="3" width="31.5" customWidth="1"/>
    <col min="4" max="4" width="22" customWidth="1"/>
    <col min="5" max="5" width="21.875" customWidth="1"/>
    <col min="6" max="22" width="10.875" customWidth="1"/>
    <col min="23" max="23" width="15.625" customWidth="1"/>
    <col min="24" max="25" width="10.875" customWidth="1"/>
    <col min="26" max="26" width="12.625" style="172" customWidth="1"/>
    <col min="27" max="27" width="10.875" customWidth="1"/>
    <col min="28" max="28" width="13" style="177" bestFit="1" customWidth="1"/>
    <col min="29" max="33" width="10.875" customWidth="1"/>
    <col min="34" max="34" width="12" style="177" bestFit="1" customWidth="1"/>
    <col min="35" max="37" width="10.875" customWidth="1"/>
    <col min="38" max="38" width="13.875" style="177" customWidth="1"/>
    <col min="39" max="39" width="10.875" style="173" customWidth="1"/>
    <col min="40" max="41" width="10.875" customWidth="1"/>
    <col min="42" max="42" width="12.5" customWidth="1"/>
    <col min="43" max="45" width="10.875" customWidth="1"/>
    <col min="46" max="51" width="15.125" customWidth="1"/>
    <col min="52" max="67" width="10.625" customWidth="1"/>
    <col min="68" max="68" width="11.875" customWidth="1"/>
    <col min="69" max="84" width="10.625" customWidth="1"/>
    <col min="85" max="85" width="29.875" customWidth="1"/>
    <col min="86" max="86" width="10.625" customWidth="1"/>
    <col min="87" max="87" width="14.875" customWidth="1"/>
    <col min="88" max="93" width="15" customWidth="1"/>
    <col min="94" max="94" width="13" customWidth="1"/>
  </cols>
  <sheetData>
    <row r="1" spans="1:114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 t="shared" ref="E1:BJ1" si="0">D1+1</f>
        <v>5</v>
      </c>
      <c r="F1" s="5">
        <f t="shared" si="0"/>
        <v>6</v>
      </c>
      <c r="G1" s="5">
        <f t="shared" si="0"/>
        <v>7</v>
      </c>
      <c r="H1" s="5">
        <f t="shared" si="0"/>
        <v>8</v>
      </c>
      <c r="I1" s="5">
        <f t="shared" si="0"/>
        <v>9</v>
      </c>
      <c r="J1" s="5">
        <f t="shared" si="0"/>
        <v>10</v>
      </c>
      <c r="K1" s="5">
        <f t="shared" si="0"/>
        <v>11</v>
      </c>
      <c r="L1" s="5">
        <f t="shared" si="0"/>
        <v>12</v>
      </c>
      <c r="M1" s="5">
        <f t="shared" si="0"/>
        <v>13</v>
      </c>
      <c r="N1" s="5">
        <f t="shared" si="0"/>
        <v>14</v>
      </c>
      <c r="O1" s="5">
        <f t="shared" si="0"/>
        <v>15</v>
      </c>
      <c r="P1" s="5">
        <f t="shared" si="0"/>
        <v>16</v>
      </c>
      <c r="Q1" s="5">
        <f t="shared" si="0"/>
        <v>17</v>
      </c>
      <c r="R1" s="5">
        <f t="shared" si="0"/>
        <v>18</v>
      </c>
      <c r="S1" s="5">
        <f t="shared" si="0"/>
        <v>19</v>
      </c>
      <c r="T1" s="5">
        <f t="shared" si="0"/>
        <v>20</v>
      </c>
      <c r="U1" s="5">
        <f>T1+1</f>
        <v>21</v>
      </c>
      <c r="V1" s="5">
        <f t="shared" si="0"/>
        <v>22</v>
      </c>
      <c r="W1" s="5">
        <f t="shared" si="0"/>
        <v>23</v>
      </c>
      <c r="X1" s="5">
        <f t="shared" si="0"/>
        <v>24</v>
      </c>
      <c r="Y1" s="5">
        <f t="shared" si="0"/>
        <v>25</v>
      </c>
      <c r="Z1" s="5">
        <f t="shared" si="0"/>
        <v>26</v>
      </c>
      <c r="AA1" s="5">
        <f t="shared" si="0"/>
        <v>27</v>
      </c>
      <c r="AB1" s="5">
        <f t="shared" si="0"/>
        <v>28</v>
      </c>
      <c r="AC1" s="5">
        <f t="shared" si="0"/>
        <v>29</v>
      </c>
      <c r="AD1" s="5">
        <f t="shared" si="0"/>
        <v>30</v>
      </c>
      <c r="AE1" s="5">
        <f t="shared" si="0"/>
        <v>31</v>
      </c>
      <c r="AF1" s="5">
        <f t="shared" si="0"/>
        <v>32</v>
      </c>
      <c r="AG1" s="5">
        <f t="shared" si="0"/>
        <v>33</v>
      </c>
      <c r="AH1" s="5">
        <f t="shared" si="0"/>
        <v>34</v>
      </c>
      <c r="AI1" s="5">
        <f t="shared" si="0"/>
        <v>35</v>
      </c>
      <c r="AJ1" s="5">
        <f t="shared" si="0"/>
        <v>36</v>
      </c>
      <c r="AK1" s="5">
        <f t="shared" si="0"/>
        <v>37</v>
      </c>
      <c r="AL1" s="5">
        <f t="shared" si="0"/>
        <v>38</v>
      </c>
      <c r="AM1" s="5">
        <f t="shared" si="0"/>
        <v>39</v>
      </c>
      <c r="AN1" s="5">
        <f t="shared" si="0"/>
        <v>40</v>
      </c>
      <c r="AO1" s="5">
        <f t="shared" si="0"/>
        <v>41</v>
      </c>
      <c r="AP1" s="5">
        <f t="shared" si="0"/>
        <v>42</v>
      </c>
      <c r="AQ1" s="5">
        <f t="shared" si="0"/>
        <v>43</v>
      </c>
      <c r="AR1" s="5">
        <f t="shared" si="0"/>
        <v>44</v>
      </c>
      <c r="AS1" s="5">
        <f t="shared" si="0"/>
        <v>45</v>
      </c>
      <c r="AT1" s="5">
        <f t="shared" si="0"/>
        <v>46</v>
      </c>
      <c r="AU1" s="5">
        <f t="shared" si="0"/>
        <v>47</v>
      </c>
      <c r="AV1" s="5">
        <f t="shared" si="0"/>
        <v>48</v>
      </c>
      <c r="AW1" s="5">
        <f t="shared" si="0"/>
        <v>49</v>
      </c>
      <c r="AX1" s="5">
        <f t="shared" si="0"/>
        <v>50</v>
      </c>
      <c r="AY1" s="5">
        <f t="shared" si="0"/>
        <v>51</v>
      </c>
      <c r="AZ1" s="5">
        <f t="shared" si="0"/>
        <v>52</v>
      </c>
      <c r="BA1" s="5">
        <f t="shared" si="0"/>
        <v>53</v>
      </c>
      <c r="BB1" s="5">
        <f t="shared" si="0"/>
        <v>54</v>
      </c>
      <c r="BC1" s="5">
        <f t="shared" si="0"/>
        <v>55</v>
      </c>
      <c r="BD1" s="5">
        <f t="shared" si="0"/>
        <v>56</v>
      </c>
      <c r="BE1" s="5">
        <f t="shared" si="0"/>
        <v>57</v>
      </c>
      <c r="BF1" s="5">
        <f t="shared" si="0"/>
        <v>58</v>
      </c>
      <c r="BG1" s="5">
        <f t="shared" si="0"/>
        <v>59</v>
      </c>
      <c r="BH1" s="5">
        <f t="shared" si="0"/>
        <v>60</v>
      </c>
      <c r="BI1" s="5">
        <f t="shared" si="0"/>
        <v>61</v>
      </c>
      <c r="BJ1" s="5">
        <f t="shared" si="0"/>
        <v>62</v>
      </c>
      <c r="BL1" s="132" t="s">
        <v>867</v>
      </c>
      <c r="BM1" s="132"/>
      <c r="BP1" s="32">
        <f t="shared" ref="BP1:BV1" si="1">BO1+1</f>
        <v>1</v>
      </c>
      <c r="BQ1" s="32">
        <f t="shared" si="1"/>
        <v>2</v>
      </c>
      <c r="BR1" s="32">
        <f t="shared" si="1"/>
        <v>3</v>
      </c>
      <c r="BS1" s="32">
        <f t="shared" si="1"/>
        <v>4</v>
      </c>
      <c r="BT1" s="32">
        <f t="shared" si="1"/>
        <v>5</v>
      </c>
      <c r="BU1" s="32">
        <f t="shared" si="1"/>
        <v>6</v>
      </c>
      <c r="BV1" s="32">
        <f t="shared" si="1"/>
        <v>7</v>
      </c>
      <c r="BY1" s="32">
        <f t="shared" ref="BY1:CE1" si="2">BX1+1</f>
        <v>1</v>
      </c>
      <c r="BZ1" s="32">
        <f t="shared" si="2"/>
        <v>2</v>
      </c>
      <c r="CA1" s="32">
        <f t="shared" si="2"/>
        <v>3</v>
      </c>
      <c r="CB1" s="32">
        <f t="shared" si="2"/>
        <v>4</v>
      </c>
      <c r="CC1" s="32">
        <f t="shared" si="2"/>
        <v>5</v>
      </c>
      <c r="CD1" s="32">
        <f t="shared" si="2"/>
        <v>6</v>
      </c>
      <c r="CE1" s="32">
        <f t="shared" si="2"/>
        <v>7</v>
      </c>
      <c r="CH1" s="32">
        <v>0</v>
      </c>
      <c r="CI1" s="32">
        <f t="shared" ref="CI1:CO1" si="3">CH1+1</f>
        <v>1</v>
      </c>
      <c r="CJ1" s="32">
        <f t="shared" si="3"/>
        <v>2</v>
      </c>
      <c r="CK1" s="32">
        <f t="shared" si="3"/>
        <v>3</v>
      </c>
      <c r="CL1" s="32">
        <f t="shared" si="3"/>
        <v>4</v>
      </c>
      <c r="CM1" s="32">
        <f t="shared" si="3"/>
        <v>5</v>
      </c>
      <c r="CN1" s="32">
        <f t="shared" si="3"/>
        <v>6</v>
      </c>
      <c r="CO1" s="32">
        <f t="shared" si="3"/>
        <v>7</v>
      </c>
      <c r="CR1" s="5">
        <v>2</v>
      </c>
      <c r="CS1" s="34">
        <v>3</v>
      </c>
      <c r="CT1" s="34">
        <v>4</v>
      </c>
      <c r="CU1" s="34">
        <v>5</v>
      </c>
      <c r="CV1" s="34">
        <v>6</v>
      </c>
      <c r="CW1" s="5">
        <v>7</v>
      </c>
      <c r="CX1" s="25">
        <v>8</v>
      </c>
      <c r="CY1" s="25">
        <v>9</v>
      </c>
      <c r="CZ1" s="25">
        <v>10</v>
      </c>
      <c r="DA1" s="25">
        <v>11</v>
      </c>
      <c r="DB1" s="5">
        <v>12</v>
      </c>
      <c r="DC1" s="27">
        <v>13</v>
      </c>
      <c r="DD1" s="27">
        <v>14</v>
      </c>
      <c r="DE1" s="27">
        <v>15</v>
      </c>
      <c r="DF1" s="27">
        <v>16</v>
      </c>
      <c r="DG1" s="32">
        <v>17</v>
      </c>
      <c r="DH1" s="32">
        <v>18</v>
      </c>
      <c r="DI1" s="32">
        <v>19</v>
      </c>
      <c r="DJ1" s="32">
        <v>20</v>
      </c>
    </row>
    <row r="2" spans="1:114" ht="15.95" customHeight="1">
      <c r="A2" s="6" t="s">
        <v>115</v>
      </c>
      <c r="B2" s="6" t="s">
        <v>695</v>
      </c>
      <c r="C2" s="6" t="s">
        <v>520</v>
      </c>
      <c r="D2" s="6" t="s">
        <v>697</v>
      </c>
      <c r="E2" s="6" t="s">
        <v>413</v>
      </c>
      <c r="F2" s="120" t="s">
        <v>440</v>
      </c>
      <c r="G2" s="120" t="s">
        <v>440</v>
      </c>
      <c r="H2" s="120" t="s">
        <v>441</v>
      </c>
      <c r="I2" s="120" t="s">
        <v>441</v>
      </c>
      <c r="J2" s="120" t="s">
        <v>696</v>
      </c>
      <c r="K2" s="120" t="s">
        <v>696</v>
      </c>
      <c r="L2" s="120" t="s">
        <v>731</v>
      </c>
      <c r="M2" s="120" t="s">
        <v>731</v>
      </c>
      <c r="N2" s="120" t="s">
        <v>440</v>
      </c>
      <c r="O2" s="120" t="s">
        <v>440</v>
      </c>
      <c r="P2" s="120" t="s">
        <v>441</v>
      </c>
      <c r="Q2" s="120" t="s">
        <v>441</v>
      </c>
      <c r="R2" s="120" t="s">
        <v>696</v>
      </c>
      <c r="S2" s="120" t="s">
        <v>696</v>
      </c>
      <c r="T2" s="120" t="s">
        <v>731</v>
      </c>
      <c r="U2" s="120" t="s">
        <v>731</v>
      </c>
      <c r="V2" s="25">
        <v>1</v>
      </c>
      <c r="W2" s="25">
        <v>2</v>
      </c>
      <c r="X2" s="25">
        <v>3</v>
      </c>
      <c r="Y2" s="120">
        <v>4</v>
      </c>
      <c r="Z2" s="155" t="s">
        <v>440</v>
      </c>
      <c r="AA2" s="121" t="s">
        <v>440</v>
      </c>
      <c r="AB2" s="174" t="s">
        <v>440</v>
      </c>
      <c r="AC2" s="121" t="s">
        <v>440</v>
      </c>
      <c r="AD2" s="121" t="s">
        <v>441</v>
      </c>
      <c r="AE2" s="121" t="s">
        <v>441</v>
      </c>
      <c r="AF2" s="121" t="s">
        <v>696</v>
      </c>
      <c r="AG2" s="121" t="s">
        <v>696</v>
      </c>
      <c r="AH2" s="174" t="s">
        <v>696</v>
      </c>
      <c r="AI2" s="121" t="s">
        <v>696</v>
      </c>
      <c r="AJ2" s="121" t="s">
        <v>731</v>
      </c>
      <c r="AK2" s="121" t="s">
        <v>731</v>
      </c>
      <c r="AL2" s="174" t="s">
        <v>731</v>
      </c>
      <c r="AM2" s="156" t="s">
        <v>731</v>
      </c>
      <c r="AN2" s="151">
        <v>1</v>
      </c>
      <c r="AO2" s="113">
        <v>2</v>
      </c>
      <c r="AP2" s="113">
        <v>3</v>
      </c>
      <c r="AQ2" s="113">
        <v>4</v>
      </c>
      <c r="AR2" s="27" t="s">
        <v>705</v>
      </c>
      <c r="AS2" s="27" t="s">
        <v>705</v>
      </c>
      <c r="AT2" s="114" t="s">
        <v>1021</v>
      </c>
      <c r="AU2" s="114" t="s">
        <v>1021</v>
      </c>
      <c r="AV2" s="114" t="s">
        <v>1021</v>
      </c>
      <c r="AW2" s="114" t="s">
        <v>1021</v>
      </c>
      <c r="AX2" s="114" t="s">
        <v>1021</v>
      </c>
      <c r="AY2" s="307" t="s">
        <v>1324</v>
      </c>
      <c r="AZ2" s="307" t="s">
        <v>1324</v>
      </c>
      <c r="BA2" s="307" t="s">
        <v>1324</v>
      </c>
      <c r="BB2" s="307" t="s">
        <v>1324</v>
      </c>
      <c r="BC2" s="307" t="s">
        <v>1324</v>
      </c>
      <c r="BD2" s="307" t="s">
        <v>1324</v>
      </c>
      <c r="BE2" s="307" t="s">
        <v>1324</v>
      </c>
      <c r="BF2" s="307" t="s">
        <v>1324</v>
      </c>
      <c r="BG2" s="307" t="s">
        <v>1324</v>
      </c>
      <c r="BH2" s="307" t="s">
        <v>1324</v>
      </c>
      <c r="BI2" s="307" t="s">
        <v>1324</v>
      </c>
      <c r="BJ2" s="307" t="s">
        <v>1324</v>
      </c>
      <c r="BL2" s="132" t="s">
        <v>1023</v>
      </c>
      <c r="BM2" s="132" t="s">
        <v>1024</v>
      </c>
      <c r="BP2" s="33" t="s">
        <v>698</v>
      </c>
      <c r="BQ2" s="33" t="s">
        <v>699</v>
      </c>
      <c r="BR2" s="33" t="s">
        <v>700</v>
      </c>
      <c r="BS2" s="33" t="s">
        <v>1033</v>
      </c>
      <c r="BT2" s="33" t="s">
        <v>1034</v>
      </c>
      <c r="BU2" s="33" t="s">
        <v>1035</v>
      </c>
      <c r="BV2" s="33" t="s">
        <v>1036</v>
      </c>
      <c r="BY2" s="33" t="s">
        <v>698</v>
      </c>
      <c r="BZ2" s="33" t="s">
        <v>699</v>
      </c>
      <c r="CA2" s="33" t="s">
        <v>700</v>
      </c>
      <c r="CB2" s="33" t="s">
        <v>1037</v>
      </c>
      <c r="CC2" s="33" t="s">
        <v>1038</v>
      </c>
      <c r="CD2" s="33" t="s">
        <v>1039</v>
      </c>
      <c r="CE2" s="33" t="s">
        <v>1040</v>
      </c>
      <c r="CH2" s="33" t="s">
        <v>68</v>
      </c>
      <c r="CI2" s="33" t="s">
        <v>1041</v>
      </c>
      <c r="CJ2" s="33" t="s">
        <v>1042</v>
      </c>
      <c r="CK2" s="33" t="s">
        <v>1043</v>
      </c>
      <c r="CL2" s="33" t="s">
        <v>1044</v>
      </c>
      <c r="CM2" s="33" t="s">
        <v>1045</v>
      </c>
      <c r="CN2" s="33" t="s">
        <v>1046</v>
      </c>
      <c r="CO2" s="33" t="s">
        <v>1047</v>
      </c>
      <c r="CR2" s="6" t="s">
        <v>439</v>
      </c>
      <c r="CS2" s="35" t="s">
        <v>448</v>
      </c>
      <c r="CT2" s="35" t="s">
        <v>449</v>
      </c>
      <c r="CU2" s="35" t="s">
        <v>450</v>
      </c>
      <c r="CV2" s="35" t="s">
        <v>451</v>
      </c>
      <c r="CW2" s="6" t="s">
        <v>506</v>
      </c>
      <c r="CX2" s="26" t="s">
        <v>448</v>
      </c>
      <c r="CY2" s="26" t="s">
        <v>449</v>
      </c>
      <c r="CZ2" s="26" t="s">
        <v>450</v>
      </c>
      <c r="DA2" s="26" t="s">
        <v>451</v>
      </c>
      <c r="DB2" s="6" t="s">
        <v>507</v>
      </c>
      <c r="DC2" s="28" t="s">
        <v>448</v>
      </c>
      <c r="DD2" s="28" t="s">
        <v>449</v>
      </c>
      <c r="DE2" s="28" t="s">
        <v>450</v>
      </c>
      <c r="DF2" s="28" t="s">
        <v>451</v>
      </c>
      <c r="DG2" s="33" t="s">
        <v>509</v>
      </c>
      <c r="DH2" s="33" t="s">
        <v>510</v>
      </c>
      <c r="DI2" s="33" t="s">
        <v>511</v>
      </c>
      <c r="DJ2" s="33" t="s">
        <v>508</v>
      </c>
    </row>
    <row r="3" spans="1:114" ht="16.5" thickBot="1">
      <c r="A3" s="6" t="s">
        <v>69</v>
      </c>
      <c r="B3" s="6">
        <v>1</v>
      </c>
      <c r="C3" s="6">
        <f>B3+1</f>
        <v>2</v>
      </c>
      <c r="D3" s="6">
        <f>C3+1</f>
        <v>3</v>
      </c>
      <c r="E3" s="6">
        <f>D3+1</f>
        <v>4</v>
      </c>
      <c r="F3" s="25" t="s">
        <v>444</v>
      </c>
      <c r="G3" s="25" t="s">
        <v>445</v>
      </c>
      <c r="H3" s="25" t="s">
        <v>444</v>
      </c>
      <c r="I3" s="25" t="s">
        <v>445</v>
      </c>
      <c r="J3" s="25" t="s">
        <v>444</v>
      </c>
      <c r="K3" s="25" t="s">
        <v>445</v>
      </c>
      <c r="L3" s="25" t="s">
        <v>444</v>
      </c>
      <c r="M3" s="25" t="s">
        <v>445</v>
      </c>
      <c r="N3" s="25" t="s">
        <v>1020</v>
      </c>
      <c r="O3" s="25" t="s">
        <v>1020</v>
      </c>
      <c r="P3" s="25" t="s">
        <v>1020</v>
      </c>
      <c r="Q3" s="25" t="s">
        <v>1020</v>
      </c>
      <c r="R3" s="25" t="s">
        <v>1020</v>
      </c>
      <c r="S3" s="25" t="s">
        <v>1020</v>
      </c>
      <c r="T3" s="25" t="s">
        <v>1020</v>
      </c>
      <c r="U3" s="25" t="s">
        <v>1020</v>
      </c>
      <c r="V3" s="25" t="s">
        <v>448</v>
      </c>
      <c r="W3" s="25" t="s">
        <v>449</v>
      </c>
      <c r="X3" s="25" t="s">
        <v>450</v>
      </c>
      <c r="Y3" s="120" t="s">
        <v>451</v>
      </c>
      <c r="Z3" s="157" t="s">
        <v>444</v>
      </c>
      <c r="AA3" s="113" t="s">
        <v>1020</v>
      </c>
      <c r="AB3" s="32" t="s">
        <v>445</v>
      </c>
      <c r="AC3" s="113" t="s">
        <v>1020</v>
      </c>
      <c r="AD3" s="113" t="s">
        <v>444</v>
      </c>
      <c r="AE3" s="113" t="s">
        <v>445</v>
      </c>
      <c r="AF3" s="113" t="s">
        <v>444</v>
      </c>
      <c r="AG3" s="113" t="s">
        <v>1020</v>
      </c>
      <c r="AH3" s="32" t="s">
        <v>445</v>
      </c>
      <c r="AI3" s="113" t="s">
        <v>1020</v>
      </c>
      <c r="AJ3" s="113" t="s">
        <v>444</v>
      </c>
      <c r="AK3" s="113" t="s">
        <v>1020</v>
      </c>
      <c r="AL3" s="32" t="s">
        <v>445</v>
      </c>
      <c r="AM3" s="156" t="s">
        <v>1020</v>
      </c>
      <c r="AN3" s="151" t="s">
        <v>448</v>
      </c>
      <c r="AO3" s="113" t="s">
        <v>449</v>
      </c>
      <c r="AP3" s="113" t="s">
        <v>450</v>
      </c>
      <c r="AQ3" s="113" t="s">
        <v>451</v>
      </c>
      <c r="AR3" s="27" t="s">
        <v>1019</v>
      </c>
      <c r="AS3" s="27" t="s">
        <v>1341</v>
      </c>
      <c r="AT3" s="114" t="s">
        <v>909</v>
      </c>
      <c r="AU3" s="114" t="s">
        <v>913</v>
      </c>
      <c r="AV3" s="114" t="s">
        <v>914</v>
      </c>
      <c r="AW3" s="114" t="s">
        <v>915</v>
      </c>
      <c r="AX3" s="114" t="s">
        <v>916</v>
      </c>
      <c r="AY3" s="307" t="s">
        <v>695</v>
      </c>
      <c r="AZ3" s="307" t="s">
        <v>1321</v>
      </c>
      <c r="BA3" s="578" t="s">
        <v>1322</v>
      </c>
      <c r="BB3" s="579"/>
      <c r="BC3" s="573" t="s">
        <v>1323</v>
      </c>
      <c r="BD3" s="575"/>
      <c r="BE3" s="573" t="s">
        <v>914</v>
      </c>
      <c r="BF3" s="575"/>
      <c r="BG3" s="573" t="s">
        <v>915</v>
      </c>
      <c r="BH3" s="575"/>
      <c r="BI3" s="573" t="s">
        <v>916</v>
      </c>
      <c r="BJ3" s="575"/>
      <c r="BL3" s="122">
        <f>SUM(AN4:AN68)</f>
        <v>4578</v>
      </c>
      <c r="BM3" s="122">
        <f>SUM(AT69:AT183)-SUM(AS4:AS68)+AT8+AT9+AT22+AT27+AT28+AT29+AT42+AT43+AT51+AT54</f>
        <v>4579</v>
      </c>
      <c r="BN3">
        <f>BL3-BM3</f>
        <v>-1</v>
      </c>
      <c r="BP3" s="33" t="s">
        <v>446</v>
      </c>
      <c r="BQ3" s="33" t="s">
        <v>446</v>
      </c>
      <c r="BR3" s="33" t="s">
        <v>446</v>
      </c>
      <c r="BS3" s="33" t="s">
        <v>447</v>
      </c>
      <c r="BT3" s="33" t="s">
        <v>447</v>
      </c>
      <c r="BU3" s="33" t="s">
        <v>447</v>
      </c>
      <c r="BV3" s="33" t="s">
        <v>447</v>
      </c>
      <c r="BY3" s="81" t="s">
        <v>446</v>
      </c>
      <c r="BZ3" s="81" t="s">
        <v>446</v>
      </c>
      <c r="CA3" s="81" t="s">
        <v>446</v>
      </c>
      <c r="CB3" s="81" t="s">
        <v>447</v>
      </c>
      <c r="CC3" s="81" t="s">
        <v>447</v>
      </c>
      <c r="CD3" s="81" t="s">
        <v>447</v>
      </c>
      <c r="CE3" s="81" t="s">
        <v>447</v>
      </c>
      <c r="CH3" s="33"/>
      <c r="CI3" s="33" t="s">
        <v>446</v>
      </c>
      <c r="CJ3" s="33" t="s">
        <v>446</v>
      </c>
      <c r="CK3" s="33" t="s">
        <v>446</v>
      </c>
      <c r="CL3" s="33" t="s">
        <v>447</v>
      </c>
      <c r="CM3" s="33" t="s">
        <v>447</v>
      </c>
      <c r="CN3" s="33" t="s">
        <v>447</v>
      </c>
      <c r="CO3" s="33" t="s">
        <v>447</v>
      </c>
      <c r="CR3" s="77" t="s">
        <v>69</v>
      </c>
      <c r="CS3" s="78" t="s">
        <v>446</v>
      </c>
      <c r="CT3" s="78" t="s">
        <v>446</v>
      </c>
      <c r="CU3" s="78" t="s">
        <v>447</v>
      </c>
      <c r="CV3" s="78" t="s">
        <v>447</v>
      </c>
      <c r="CW3" s="77" t="s">
        <v>69</v>
      </c>
      <c r="CX3" s="79" t="s">
        <v>446</v>
      </c>
      <c r="CY3" s="79" t="s">
        <v>446</v>
      </c>
      <c r="CZ3" s="79" t="s">
        <v>447</v>
      </c>
      <c r="DA3" s="79" t="s">
        <v>447</v>
      </c>
      <c r="DB3" s="77" t="s">
        <v>69</v>
      </c>
      <c r="DC3" s="80" t="s">
        <v>446</v>
      </c>
      <c r="DD3" s="80" t="s">
        <v>446</v>
      </c>
      <c r="DE3" s="80" t="s">
        <v>447</v>
      </c>
      <c r="DF3" s="80" t="s">
        <v>447</v>
      </c>
      <c r="DG3" s="81" t="s">
        <v>446</v>
      </c>
      <c r="DH3" s="81" t="s">
        <v>446</v>
      </c>
      <c r="DI3" s="81" t="s">
        <v>446</v>
      </c>
      <c r="DJ3" s="81" t="s">
        <v>446</v>
      </c>
    </row>
    <row r="4" spans="1:114" ht="16.5" thickBot="1">
      <c r="A4" s="17">
        <v>1</v>
      </c>
      <c r="B4" s="37" t="s">
        <v>521</v>
      </c>
      <c r="C4" s="17" t="s">
        <v>521</v>
      </c>
      <c r="D4" s="17"/>
      <c r="E4" s="17" t="s">
        <v>11</v>
      </c>
      <c r="F4" s="16"/>
      <c r="G4" s="16"/>
      <c r="H4" s="16"/>
      <c r="I4" s="16"/>
      <c r="J4" s="16"/>
      <c r="K4" s="16"/>
      <c r="L4" s="16"/>
      <c r="M4" s="16"/>
      <c r="N4" s="12"/>
      <c r="O4" s="12"/>
      <c r="P4" s="12"/>
      <c r="Q4" s="12"/>
      <c r="R4" s="12"/>
      <c r="S4" s="12"/>
      <c r="T4" s="12"/>
      <c r="U4" s="12"/>
      <c r="V4" s="22"/>
      <c r="W4" s="22"/>
      <c r="X4" s="22"/>
      <c r="Y4" s="22"/>
      <c r="Z4" s="158"/>
      <c r="AA4" s="12"/>
      <c r="AB4" s="284"/>
      <c r="AC4" s="12"/>
      <c r="AD4" s="12"/>
      <c r="AE4" s="12"/>
      <c r="AF4" s="123"/>
      <c r="AG4" s="12"/>
      <c r="AH4" s="284"/>
      <c r="AI4" s="12"/>
      <c r="AJ4" s="123"/>
      <c r="AK4" s="12"/>
      <c r="AL4" s="284"/>
      <c r="AM4" s="159"/>
      <c r="AN4" s="152">
        <f>SUMIF('Date masura OD'!$G:$G,B4,'Date masura OD'!$BC:$BC)</f>
        <v>0</v>
      </c>
      <c r="AO4" s="16">
        <v>0</v>
      </c>
      <c r="AP4" s="16">
        <v>0</v>
      </c>
      <c r="AQ4" s="16">
        <v>0</v>
      </c>
      <c r="AR4" s="1">
        <f t="shared" ref="AR4:AR35" si="4">IFERROR(SUMIF($CR:$CR,B4,DJ:DJ),0)</f>
        <v>3449</v>
      </c>
      <c r="AS4" s="1">
        <f>IF(AR4=0,0,ROUNDUP(AN4*1.5%,0))</f>
        <v>0</v>
      </c>
      <c r="AT4" s="1">
        <f t="shared" ref="AT4:AT53" si="5">(AN4-V4)+AS4</f>
        <v>0</v>
      </c>
      <c r="AU4" s="1">
        <f>SUMIF('Date masura OD'!$G:$G,B4,'Date masura OD'!$AY:$AY)</f>
        <v>0</v>
      </c>
      <c r="AV4" s="1">
        <f>SUMIF('Date masura OD'!$G:$G,B4,'Date masura OD'!$AZ:$AZ)</f>
        <v>0</v>
      </c>
      <c r="AW4" s="1">
        <f>SUMIF('Date masura OD'!$G:$G,B4,'Date masura OD'!$BA:$BA)</f>
        <v>1880</v>
      </c>
      <c r="AX4" s="1">
        <f>SUMIF('Date masura OD'!$G:$G,B4,'Date masura OD'!$BB:$BB)</f>
        <v>7970</v>
      </c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13"/>
      <c r="BL4" s="132" t="s">
        <v>1025</v>
      </c>
      <c r="BM4" s="132" t="s">
        <v>1026</v>
      </c>
      <c r="BP4" s="46"/>
      <c r="BQ4" s="1"/>
      <c r="BR4" s="1"/>
      <c r="BS4" s="1"/>
      <c r="BT4" s="1"/>
      <c r="BU4" s="1"/>
      <c r="BV4" s="1"/>
      <c r="BX4" s="1" t="str">
        <f t="shared" ref="BX4:BX67" si="6">IF(LEFT(B5,4)&lt;&gt;LEFT(B4,4),LEFT(B4,4),"")</f>
        <v>RRVS</v>
      </c>
      <c r="BY4" s="1">
        <f t="shared" ref="BY4:BY67" si="7">IF(LEFT(B4,4)&lt;&gt;LEFT(B3,4),BP4,BP4+BY3)</f>
        <v>0</v>
      </c>
      <c r="BZ4" s="1">
        <f t="shared" ref="BZ4:BZ67" si="8">IF(LEFT(B4,4)&lt;&gt;LEFT(B3,4),BQ4,BQ4+BZ3)</f>
        <v>0</v>
      </c>
      <c r="CA4" s="1">
        <f t="shared" ref="CA4:CA67" si="9">IF(LEFT(B4,4)&lt;&gt;LEFT(B3,4),BR4,BR4+CA3)</f>
        <v>0</v>
      </c>
      <c r="CB4" s="1">
        <f t="shared" ref="CB4:CB67" si="10">IF(LEFT(B4,4)&lt;&gt;LEFT(B3,4),BS4,BS4+CB3)</f>
        <v>0</v>
      </c>
      <c r="CC4" s="1">
        <f t="shared" ref="CC4:CC67" si="11">IF(LEFT(B4,4)&lt;&gt;LEFT(B3,4),BT4,BT4+CC3)</f>
        <v>0</v>
      </c>
      <c r="CD4" s="1">
        <f t="shared" ref="CD4:CD67" si="12">IF(LEFT(B4,4)&lt;&gt;LEFT(B3,4),BU4,BU4+CD3)</f>
        <v>0</v>
      </c>
      <c r="CE4" s="1">
        <f t="shared" ref="CE4:CE67" si="13">IF(LEFT(B4,4)&lt;&gt;LEFT(B3,4),BV4,BV4+CE3)</f>
        <v>0</v>
      </c>
      <c r="CG4" s="1" t="str">
        <f>VLOOKUP(CH4,'Date SPV'!$B$4:$D$25,3,FALSE)</f>
        <v>Ramnicu Valcea Shopping City SRL</v>
      </c>
      <c r="CH4" s="1" t="s">
        <v>11</v>
      </c>
      <c r="CI4" s="74">
        <f t="shared" ref="CI4:CI27" si="14">SUMIF($BX:$BX,CH4,BY:BY)</f>
        <v>0</v>
      </c>
      <c r="CJ4" s="1">
        <f t="shared" ref="CJ4:CJ27" si="15">SUMIF($BX:$BX,CH4,BZ:BZ)</f>
        <v>0</v>
      </c>
      <c r="CK4" s="1">
        <f t="shared" ref="CK4:CK27" si="16">SUMIF($BX:$BX,CH4,CA:CA)</f>
        <v>0</v>
      </c>
      <c r="CL4" s="1">
        <f t="shared" ref="CL4:CL27" si="17">SUMIF($BX:$BX,CH4,CB:CB)</f>
        <v>0</v>
      </c>
      <c r="CM4" s="1">
        <f t="shared" ref="CM4:CM27" si="18">SUMIF($BX:$BX,CH4,CC:CC)</f>
        <v>0</v>
      </c>
      <c r="CN4" s="1">
        <f t="shared" ref="CN4:CN27" si="19">SUMIF($BX:$BX,CH4,CD:CD)</f>
        <v>1880</v>
      </c>
      <c r="CO4" s="1">
        <f t="shared" ref="CO4:CO27" si="20">SUMIF($BX:$BX,CH4,CE:CE)</f>
        <v>7970</v>
      </c>
      <c r="CP4" s="75"/>
      <c r="CR4" s="86" t="s">
        <v>521</v>
      </c>
      <c r="CS4" s="291">
        <v>229901</v>
      </c>
      <c r="CT4" s="291">
        <v>0</v>
      </c>
      <c r="CU4" s="291">
        <v>0</v>
      </c>
      <c r="CV4" s="291">
        <v>0</v>
      </c>
      <c r="CW4" s="182" t="s">
        <v>568</v>
      </c>
      <c r="CX4" s="312">
        <v>27888</v>
      </c>
      <c r="CY4" s="184">
        <v>69813</v>
      </c>
      <c r="CZ4" s="88">
        <v>373</v>
      </c>
      <c r="DA4" s="88">
        <v>8541</v>
      </c>
      <c r="DB4" s="89" t="s">
        <v>662</v>
      </c>
      <c r="DC4" s="87">
        <v>0</v>
      </c>
      <c r="DD4" s="88">
        <v>116155</v>
      </c>
      <c r="DE4" s="88">
        <v>10</v>
      </c>
      <c r="DF4" s="88">
        <v>1336</v>
      </c>
      <c r="DG4" s="88">
        <v>27888</v>
      </c>
      <c r="DH4" s="88">
        <v>46342</v>
      </c>
      <c r="DI4" s="321">
        <v>0</v>
      </c>
      <c r="DJ4" s="88">
        <v>419</v>
      </c>
    </row>
    <row r="5" spans="1:114" ht="16.5" thickBot="1">
      <c r="A5" s="17">
        <f>A4+1</f>
        <v>2</v>
      </c>
      <c r="B5" s="37" t="s">
        <v>522</v>
      </c>
      <c r="C5" s="17" t="s">
        <v>522</v>
      </c>
      <c r="D5" s="17"/>
      <c r="E5" s="17" t="s">
        <v>2</v>
      </c>
      <c r="F5" s="16"/>
      <c r="G5" s="16"/>
      <c r="H5" s="16"/>
      <c r="I5" s="16"/>
      <c r="J5" s="16"/>
      <c r="K5" s="16"/>
      <c r="L5" s="16"/>
      <c r="M5" s="16"/>
      <c r="N5" s="12"/>
      <c r="O5" s="12"/>
      <c r="P5" s="12"/>
      <c r="Q5" s="12"/>
      <c r="R5" s="12"/>
      <c r="S5" s="12"/>
      <c r="T5" s="12"/>
      <c r="U5" s="12"/>
      <c r="V5" s="22"/>
      <c r="W5" s="22"/>
      <c r="X5" s="22"/>
      <c r="Y5" s="22"/>
      <c r="Z5" s="160"/>
      <c r="AA5" s="12"/>
      <c r="AB5" s="284"/>
      <c r="AC5" s="12"/>
      <c r="AD5" s="12"/>
      <c r="AE5" s="12"/>
      <c r="AF5" s="125"/>
      <c r="AG5" s="12"/>
      <c r="AH5" s="284"/>
      <c r="AI5" s="12"/>
      <c r="AJ5" s="125"/>
      <c r="AK5" s="12"/>
      <c r="AL5" s="284"/>
      <c r="AM5" s="161"/>
      <c r="AN5" s="152">
        <f>SUMIF('Date masura OD'!$G:$G,B5,'Date masura OD'!$BC:$BC)</f>
        <v>0</v>
      </c>
      <c r="AO5" s="16">
        <v>0</v>
      </c>
      <c r="AP5" s="16">
        <v>0</v>
      </c>
      <c r="AQ5" s="16">
        <v>0</v>
      </c>
      <c r="AR5" s="1">
        <f t="shared" si="4"/>
        <v>60</v>
      </c>
      <c r="AS5" s="1">
        <f t="shared" ref="AS5:AS67" si="21">IF(AR5=0,0,ROUNDUP(AN5*1.5%,0))</f>
        <v>0</v>
      </c>
      <c r="AT5" s="1">
        <f t="shared" si="5"/>
        <v>0</v>
      </c>
      <c r="AU5" s="1">
        <f>SUMIF('Date masura OD'!$G:$G,B5,'Date masura OD'!$AY:$AY)</f>
        <v>25</v>
      </c>
      <c r="AV5" s="1">
        <f>SUMIF('Date masura OD'!$G:$G,B5,'Date masura OD'!$AZ:$AZ)</f>
        <v>956</v>
      </c>
      <c r="AW5" s="1">
        <f>SUMIF('Date masura OD'!$G:$G,B5,'Date masura OD'!$BA:$BA)</f>
        <v>0</v>
      </c>
      <c r="AX5" s="1">
        <f>SUMIF('Date masura OD'!$G:$G,B5,'Date masura OD'!$BB:$BB)</f>
        <v>1</v>
      </c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13"/>
      <c r="BL5" s="122">
        <f>SUM(AU4:AU68)</f>
        <v>31742</v>
      </c>
      <c r="BM5" s="122">
        <f>SUM(AU69:AU183)+AU8+AU9+AU22+AU27+AU28+AU29+AU42+AU43+AU51+AU54</f>
        <v>31745</v>
      </c>
      <c r="BN5">
        <f>BL5-BM5</f>
        <v>-3</v>
      </c>
      <c r="BP5" s="46"/>
      <c r="BQ5" s="1"/>
      <c r="BR5" s="1"/>
      <c r="BS5" s="1"/>
      <c r="BT5" s="1"/>
      <c r="BU5" s="1"/>
      <c r="BV5" s="1"/>
      <c r="BX5" s="1" t="str">
        <f t="shared" si="6"/>
        <v/>
      </c>
      <c r="BY5" s="1">
        <f t="shared" si="7"/>
        <v>0</v>
      </c>
      <c r="BZ5" s="1">
        <f t="shared" si="8"/>
        <v>0</v>
      </c>
      <c r="CA5" s="1">
        <f t="shared" si="9"/>
        <v>0</v>
      </c>
      <c r="CB5" s="1">
        <f t="shared" si="10"/>
        <v>0</v>
      </c>
      <c r="CC5" s="1">
        <f t="shared" si="11"/>
        <v>0</v>
      </c>
      <c r="CD5" s="1">
        <f t="shared" si="12"/>
        <v>0</v>
      </c>
      <c r="CE5" s="1">
        <f t="shared" si="13"/>
        <v>0</v>
      </c>
      <c r="CG5" s="1" t="str">
        <f>VLOOKUP(CH5,'Date SPV'!$B$4:$D$25,3,FALSE)</f>
        <v>Braila Promenada Mall SRL</v>
      </c>
      <c r="CH5" s="1" t="s">
        <v>2</v>
      </c>
      <c r="CI5" s="74">
        <f t="shared" si="14"/>
        <v>716</v>
      </c>
      <c r="CJ5" s="1">
        <f t="shared" si="15"/>
        <v>0</v>
      </c>
      <c r="CK5" s="1">
        <f t="shared" si="16"/>
        <v>0</v>
      </c>
      <c r="CL5" s="1">
        <f t="shared" si="17"/>
        <v>11005</v>
      </c>
      <c r="CM5" s="1">
        <f t="shared" si="18"/>
        <v>54085</v>
      </c>
      <c r="CN5" s="1">
        <f t="shared" si="19"/>
        <v>671</v>
      </c>
      <c r="CO5" s="1">
        <f t="shared" si="20"/>
        <v>5581</v>
      </c>
      <c r="CP5" s="75"/>
      <c r="CR5" s="30" t="s">
        <v>521</v>
      </c>
      <c r="CS5" s="291">
        <v>229901</v>
      </c>
      <c r="CT5" s="291">
        <v>0</v>
      </c>
      <c r="CU5" s="291">
        <v>0</v>
      </c>
      <c r="CV5" s="291">
        <v>0</v>
      </c>
      <c r="CW5" s="183" t="s">
        <v>569</v>
      </c>
      <c r="CX5" s="312">
        <v>59556</v>
      </c>
      <c r="CY5" s="184">
        <v>0</v>
      </c>
      <c r="CZ5" s="88">
        <v>179</v>
      </c>
      <c r="DA5" s="88">
        <v>8276</v>
      </c>
      <c r="DB5" s="29" t="s">
        <v>69</v>
      </c>
      <c r="DC5" s="87">
        <v>0</v>
      </c>
      <c r="DD5" s="88">
        <v>0</v>
      </c>
      <c r="DE5" s="88">
        <v>0</v>
      </c>
      <c r="DF5" s="88">
        <v>0</v>
      </c>
      <c r="DG5" s="88">
        <v>59556</v>
      </c>
      <c r="DH5" s="88">
        <v>0</v>
      </c>
      <c r="DI5" s="1">
        <v>35472</v>
      </c>
      <c r="DJ5" s="88">
        <v>894</v>
      </c>
    </row>
    <row r="6" spans="1:114" ht="16.5" thickBot="1">
      <c r="A6" s="17">
        <f t="shared" ref="A6:A69" si="22">A5+1</f>
        <v>3</v>
      </c>
      <c r="B6" s="37" t="s">
        <v>523</v>
      </c>
      <c r="C6" s="17" t="s">
        <v>523</v>
      </c>
      <c r="D6" s="17"/>
      <c r="E6" s="17" t="s">
        <v>2</v>
      </c>
      <c r="F6" s="16"/>
      <c r="G6" s="16"/>
      <c r="H6" s="16"/>
      <c r="I6" s="16"/>
      <c r="J6" s="16"/>
      <c r="K6" s="16"/>
      <c r="L6" s="16"/>
      <c r="M6" s="16"/>
      <c r="N6" s="12"/>
      <c r="O6" s="12"/>
      <c r="P6" s="12"/>
      <c r="Q6" s="12"/>
      <c r="R6" s="12"/>
      <c r="S6" s="12"/>
      <c r="T6" s="12"/>
      <c r="U6" s="12"/>
      <c r="V6" s="22"/>
      <c r="W6" s="22"/>
      <c r="X6" s="22"/>
      <c r="Y6" s="22"/>
      <c r="Z6" s="160"/>
      <c r="AA6" s="12"/>
      <c r="AB6" s="284"/>
      <c r="AC6" s="12"/>
      <c r="AD6" s="12"/>
      <c r="AE6" s="12"/>
      <c r="AF6" s="125"/>
      <c r="AG6" s="12"/>
      <c r="AH6" s="284"/>
      <c r="AI6" s="12"/>
      <c r="AJ6" s="125"/>
      <c r="AK6" s="12"/>
      <c r="AL6" s="284"/>
      <c r="AM6" s="161"/>
      <c r="AN6" s="152">
        <f>SUMIF('Date masura OD'!$G:$G,B6,'Date masura OD'!$BC:$BC)</f>
        <v>0</v>
      </c>
      <c r="AO6" s="16">
        <v>0</v>
      </c>
      <c r="AP6" s="16">
        <v>0</v>
      </c>
      <c r="AQ6" s="16">
        <v>0</v>
      </c>
      <c r="AR6" s="1">
        <f t="shared" si="4"/>
        <v>3656</v>
      </c>
      <c r="AS6" s="1">
        <f t="shared" si="21"/>
        <v>0</v>
      </c>
      <c r="AT6" s="1">
        <f t="shared" si="5"/>
        <v>0</v>
      </c>
      <c r="AU6" s="1">
        <f>SUMIF('Date masura OD'!$G:$G,B6,'Date masura OD'!$AY:$AY)</f>
        <v>10921</v>
      </c>
      <c r="AV6" s="1">
        <f>SUMIF('Date masura OD'!$G:$G,B6,'Date masura OD'!$AZ:$AZ)</f>
        <v>48712</v>
      </c>
      <c r="AW6" s="1">
        <f>SUMIF('Date masura OD'!$G:$G,B6,'Date masura OD'!$BA:$BA)</f>
        <v>99</v>
      </c>
      <c r="AX6" s="1">
        <f>SUMIF('Date masura OD'!$G:$G,B6,'Date masura OD'!$BB:$BB)</f>
        <v>0</v>
      </c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13"/>
      <c r="BL6" s="132" t="s">
        <v>1027</v>
      </c>
      <c r="BM6" s="132" t="s">
        <v>1028</v>
      </c>
      <c r="BP6" s="46"/>
      <c r="BQ6" s="1"/>
      <c r="BR6" s="1"/>
      <c r="BS6" s="1"/>
      <c r="BT6" s="1"/>
      <c r="BU6" s="1"/>
      <c r="BV6" s="1"/>
      <c r="BX6" s="1" t="str">
        <f t="shared" si="6"/>
        <v/>
      </c>
      <c r="BY6" s="1">
        <f t="shared" si="7"/>
        <v>0</v>
      </c>
      <c r="BZ6" s="1">
        <f t="shared" si="8"/>
        <v>0</v>
      </c>
      <c r="CA6" s="1">
        <f t="shared" si="9"/>
        <v>0</v>
      </c>
      <c r="CB6" s="1">
        <f t="shared" si="10"/>
        <v>0</v>
      </c>
      <c r="CC6" s="1">
        <f t="shared" si="11"/>
        <v>0</v>
      </c>
      <c r="CD6" s="1">
        <f t="shared" si="12"/>
        <v>0</v>
      </c>
      <c r="CE6" s="1">
        <f t="shared" si="13"/>
        <v>0</v>
      </c>
      <c r="CG6" s="1" t="str">
        <f>VLOOKUP(CH6,'Date SPV'!$B$4:$D$25,3,FALSE)</f>
        <v>Ploiesti Shopping City SRL</v>
      </c>
      <c r="CH6" s="1" t="s">
        <v>9</v>
      </c>
      <c r="CI6" s="74">
        <f t="shared" si="14"/>
        <v>1</v>
      </c>
      <c r="CJ6" s="1">
        <f t="shared" si="15"/>
        <v>0</v>
      </c>
      <c r="CK6" s="1">
        <f t="shared" si="16"/>
        <v>0</v>
      </c>
      <c r="CL6" s="1">
        <f t="shared" si="17"/>
        <v>0</v>
      </c>
      <c r="CM6" s="1">
        <f t="shared" si="18"/>
        <v>0</v>
      </c>
      <c r="CN6" s="1">
        <f t="shared" si="19"/>
        <v>0</v>
      </c>
      <c r="CO6" s="1">
        <f t="shared" si="20"/>
        <v>0</v>
      </c>
      <c r="CP6" s="75"/>
      <c r="CR6" s="30" t="s">
        <v>521</v>
      </c>
      <c r="CS6" s="291">
        <v>229901</v>
      </c>
      <c r="CT6" s="291">
        <v>0</v>
      </c>
      <c r="CU6" s="291">
        <v>0</v>
      </c>
      <c r="CV6" s="291">
        <v>0</v>
      </c>
      <c r="CW6" s="183" t="s">
        <v>570</v>
      </c>
      <c r="CX6" s="312">
        <v>49967</v>
      </c>
      <c r="CY6" s="184">
        <v>1131</v>
      </c>
      <c r="CZ6" s="88">
        <v>13737</v>
      </c>
      <c r="DA6" s="88">
        <v>1257</v>
      </c>
      <c r="DB6" s="29" t="s">
        <v>663</v>
      </c>
      <c r="DC6" s="87">
        <v>0</v>
      </c>
      <c r="DD6" s="88">
        <v>39365</v>
      </c>
      <c r="DE6" s="88">
        <v>14</v>
      </c>
      <c r="DF6" s="88">
        <v>497</v>
      </c>
      <c r="DG6" s="88">
        <v>49967</v>
      </c>
      <c r="DH6" s="88">
        <v>38234</v>
      </c>
      <c r="DI6" s="321">
        <v>0</v>
      </c>
      <c r="DJ6" s="88">
        <v>750</v>
      </c>
    </row>
    <row r="7" spans="1:114" ht="16.5" thickBot="1">
      <c r="A7" s="17">
        <f t="shared" si="22"/>
        <v>4</v>
      </c>
      <c r="B7" s="37" t="s">
        <v>524</v>
      </c>
      <c r="C7" s="17" t="s">
        <v>524</v>
      </c>
      <c r="D7" s="17"/>
      <c r="E7" s="17" t="s">
        <v>2</v>
      </c>
      <c r="F7" s="16"/>
      <c r="G7" s="16"/>
      <c r="H7" s="16"/>
      <c r="I7" s="16"/>
      <c r="J7" s="16"/>
      <c r="K7" s="16"/>
      <c r="L7" s="16"/>
      <c r="M7" s="16"/>
      <c r="N7" s="12"/>
      <c r="O7" s="12"/>
      <c r="P7" s="12"/>
      <c r="Q7" s="12"/>
      <c r="R7" s="12"/>
      <c r="S7" s="12"/>
      <c r="T7" s="12"/>
      <c r="U7" s="12"/>
      <c r="V7" s="22"/>
      <c r="W7" s="22"/>
      <c r="X7" s="22"/>
      <c r="Y7" s="22"/>
      <c r="Z7" s="160"/>
      <c r="AA7" s="12"/>
      <c r="AB7" s="284"/>
      <c r="AC7" s="12"/>
      <c r="AD7" s="12"/>
      <c r="AE7" s="12"/>
      <c r="AF7" s="125"/>
      <c r="AG7" s="12"/>
      <c r="AH7" s="284"/>
      <c r="AI7" s="12"/>
      <c r="AJ7" s="125"/>
      <c r="AK7" s="12"/>
      <c r="AL7" s="284"/>
      <c r="AM7" s="161"/>
      <c r="AN7" s="152">
        <f>SUMIF('Date masura OD'!$G:$G,B7,'Date masura OD'!$BC:$BC)</f>
        <v>0</v>
      </c>
      <c r="AO7" s="16">
        <v>0</v>
      </c>
      <c r="AP7" s="16">
        <v>0</v>
      </c>
      <c r="AQ7" s="16">
        <v>0</v>
      </c>
      <c r="AR7" s="1">
        <f t="shared" si="4"/>
        <v>506</v>
      </c>
      <c r="AS7" s="1">
        <f t="shared" si="21"/>
        <v>0</v>
      </c>
      <c r="AT7" s="1">
        <f t="shared" si="5"/>
        <v>0</v>
      </c>
      <c r="AU7" s="1">
        <f>SUMIF('Date masura OD'!$G:$G,B7,'Date masura OD'!$AY:$AY)</f>
        <v>0</v>
      </c>
      <c r="AV7" s="1">
        <f>SUMIF('Date masura OD'!$G:$G,B7,'Date masura OD'!$AZ:$AZ)</f>
        <v>0</v>
      </c>
      <c r="AW7" s="1">
        <f>SUMIF('Date masura OD'!$G:$G,B7,'Date masura OD'!$BA:$BA)</f>
        <v>570</v>
      </c>
      <c r="AX7" s="1">
        <f>SUMIF('Date masura OD'!$G:$G,B7,'Date masura OD'!$BB:$BB)</f>
        <v>5490</v>
      </c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13"/>
      <c r="BL7" s="122">
        <f>SUM(AV4:AV68)</f>
        <v>63192</v>
      </c>
      <c r="BM7" s="122">
        <f>SUM(AV69:AV183)+AV8+AV9+AV22+AV27+AV28+AV29+AV42+AV43+AV51+AV54</f>
        <v>63195</v>
      </c>
      <c r="BN7">
        <f>BL7-BM7</f>
        <v>-3</v>
      </c>
      <c r="BP7" s="46"/>
      <c r="BQ7" s="1"/>
      <c r="BR7" s="1"/>
      <c r="BS7" s="1"/>
      <c r="BT7" s="1"/>
      <c r="BU7" s="1"/>
      <c r="BV7" s="1"/>
      <c r="BX7" s="1" t="str">
        <f t="shared" si="6"/>
        <v/>
      </c>
      <c r="BY7" s="1">
        <f t="shared" si="7"/>
        <v>0</v>
      </c>
      <c r="BZ7" s="1">
        <f t="shared" si="8"/>
        <v>0</v>
      </c>
      <c r="CA7" s="1">
        <f t="shared" si="9"/>
        <v>0</v>
      </c>
      <c r="CB7" s="1">
        <f t="shared" si="10"/>
        <v>0</v>
      </c>
      <c r="CC7" s="1">
        <f t="shared" si="11"/>
        <v>0</v>
      </c>
      <c r="CD7" s="1">
        <f t="shared" si="12"/>
        <v>0</v>
      </c>
      <c r="CE7" s="1">
        <f t="shared" si="13"/>
        <v>0</v>
      </c>
      <c r="CG7" s="1" t="str">
        <f>VLOOKUP(CH7,'Date SPV'!$B$4:$D$25,3,FALSE)</f>
        <v>Shopping City Piatra Neamt SRL</v>
      </c>
      <c r="CH7" s="1" t="s">
        <v>15</v>
      </c>
      <c r="CI7" s="74">
        <f t="shared" si="14"/>
        <v>0</v>
      </c>
      <c r="CJ7" s="1">
        <f t="shared" si="15"/>
        <v>0</v>
      </c>
      <c r="CK7" s="1">
        <f t="shared" si="16"/>
        <v>0</v>
      </c>
      <c r="CL7" s="1">
        <f t="shared" si="17"/>
        <v>382</v>
      </c>
      <c r="CM7" s="1">
        <f t="shared" si="18"/>
        <v>65</v>
      </c>
      <c r="CN7" s="1">
        <f t="shared" si="19"/>
        <v>0</v>
      </c>
      <c r="CO7" s="1">
        <f t="shared" si="20"/>
        <v>0</v>
      </c>
      <c r="CP7" s="75"/>
      <c r="CR7" s="30" t="s">
        <v>521</v>
      </c>
      <c r="CS7" s="291">
        <v>229901</v>
      </c>
      <c r="CT7" s="291">
        <v>0</v>
      </c>
      <c r="CU7" s="291">
        <v>0</v>
      </c>
      <c r="CV7" s="291">
        <v>0</v>
      </c>
      <c r="CW7" s="183" t="s">
        <v>571</v>
      </c>
      <c r="CX7" s="312">
        <v>89041</v>
      </c>
      <c r="CY7" s="184">
        <v>0</v>
      </c>
      <c r="CZ7" s="88">
        <v>0</v>
      </c>
      <c r="DA7" s="88">
        <v>41276</v>
      </c>
      <c r="DB7" s="29" t="s">
        <v>69</v>
      </c>
      <c r="DC7" s="87">
        <v>0</v>
      </c>
      <c r="DD7" s="88">
        <v>0</v>
      </c>
      <c r="DE7" s="88">
        <v>0</v>
      </c>
      <c r="DF7" s="88">
        <v>0</v>
      </c>
      <c r="DG7" s="88">
        <v>89041</v>
      </c>
      <c r="DH7" s="88">
        <v>0</v>
      </c>
      <c r="DI7" s="1">
        <v>35472</v>
      </c>
      <c r="DJ7" s="88">
        <v>1386</v>
      </c>
    </row>
    <row r="8" spans="1:114" ht="16.5" thickBot="1">
      <c r="A8" s="17">
        <f t="shared" si="22"/>
        <v>5</v>
      </c>
      <c r="B8" s="131" t="s">
        <v>525</v>
      </c>
      <c r="C8" s="17" t="s">
        <v>525</v>
      </c>
      <c r="D8" s="17"/>
      <c r="E8" s="17" t="s">
        <v>2</v>
      </c>
      <c r="F8" s="16"/>
      <c r="G8" s="16"/>
      <c r="H8" s="16"/>
      <c r="I8" s="16"/>
      <c r="J8" s="16"/>
      <c r="K8" s="16"/>
      <c r="L8" s="16"/>
      <c r="M8" s="16"/>
      <c r="N8" s="12"/>
      <c r="O8" s="12"/>
      <c r="P8" s="12"/>
      <c r="Q8" s="12"/>
      <c r="R8" s="12"/>
      <c r="S8" s="12"/>
      <c r="T8" s="12"/>
      <c r="U8" s="12"/>
      <c r="V8" s="22"/>
      <c r="W8" s="22"/>
      <c r="X8" s="22"/>
      <c r="Y8" s="22"/>
      <c r="Z8" s="162"/>
      <c r="AA8" s="12"/>
      <c r="AB8" s="284"/>
      <c r="AC8" s="12"/>
      <c r="AD8" s="12"/>
      <c r="AE8" s="12"/>
      <c r="AF8" s="126"/>
      <c r="AG8" s="12"/>
      <c r="AH8" s="284"/>
      <c r="AI8" s="12"/>
      <c r="AJ8" s="126"/>
      <c r="AK8" s="12"/>
      <c r="AL8" s="284"/>
      <c r="AM8" s="163"/>
      <c r="AN8" s="152">
        <f>SUMIF('Date masura OD'!$G:$G,B8,'Date masura OD'!$BC:$BC)</f>
        <v>0</v>
      </c>
      <c r="AO8" s="16">
        <v>0</v>
      </c>
      <c r="AP8" s="16">
        <v>0</v>
      </c>
      <c r="AQ8" s="16">
        <v>0</v>
      </c>
      <c r="AR8" s="1">
        <f t="shared" si="4"/>
        <v>0</v>
      </c>
      <c r="AS8" s="1">
        <f t="shared" si="21"/>
        <v>0</v>
      </c>
      <c r="AT8" s="1">
        <f t="shared" si="5"/>
        <v>0</v>
      </c>
      <c r="AU8" s="1">
        <f>SUMIF('Date masura OD'!$G:$G,B8,'Date masura OD'!$AY:$AY)</f>
        <v>0</v>
      </c>
      <c r="AV8" s="1">
        <f>SUMIF('Date masura OD'!$G:$G,B8,'Date masura OD'!$AZ:$AZ)</f>
        <v>0</v>
      </c>
      <c r="AW8" s="1">
        <f>SUMIF('Date masura OD'!$G:$G,B8,'Date masura OD'!$BA:$BA)</f>
        <v>0</v>
      </c>
      <c r="AX8" s="1">
        <f>SUMIF('Date masura OD'!$G:$G,B8,'Date masura OD'!$BB:$BB)</f>
        <v>0</v>
      </c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13"/>
      <c r="BL8" s="132" t="s">
        <v>1029</v>
      </c>
      <c r="BM8" s="132" t="s">
        <v>1030</v>
      </c>
      <c r="BP8" s="44">
        <f>AN8</f>
        <v>0</v>
      </c>
      <c r="BQ8" s="1"/>
      <c r="BR8" s="1"/>
      <c r="BS8" s="16">
        <f t="shared" ref="BS8:BV9" si="23">AU8</f>
        <v>0</v>
      </c>
      <c r="BT8" s="16">
        <f t="shared" si="23"/>
        <v>0</v>
      </c>
      <c r="BU8" s="16">
        <f t="shared" si="23"/>
        <v>0</v>
      </c>
      <c r="BV8" s="16">
        <f t="shared" si="23"/>
        <v>0</v>
      </c>
      <c r="BX8" s="1" t="str">
        <f t="shared" si="6"/>
        <v/>
      </c>
      <c r="BY8" s="1">
        <f t="shared" si="7"/>
        <v>0</v>
      </c>
      <c r="BZ8" s="1">
        <f t="shared" si="8"/>
        <v>0</v>
      </c>
      <c r="CA8" s="1">
        <f t="shared" si="9"/>
        <v>0</v>
      </c>
      <c r="CB8" s="1">
        <f t="shared" si="10"/>
        <v>0</v>
      </c>
      <c r="CC8" s="1">
        <f t="shared" si="11"/>
        <v>0</v>
      </c>
      <c r="CD8" s="1">
        <f t="shared" si="12"/>
        <v>0</v>
      </c>
      <c r="CE8" s="1">
        <f t="shared" si="13"/>
        <v>0</v>
      </c>
      <c r="CG8" s="1" t="str">
        <f>VLOOKUP(CH8,'Date SPV'!$B$4:$D$25,3,FALSE)</f>
        <v>Satu Mare Shopping City SRL</v>
      </c>
      <c r="CH8" s="1" t="s">
        <v>7</v>
      </c>
      <c r="CI8" s="74">
        <f t="shared" si="14"/>
        <v>0</v>
      </c>
      <c r="CJ8" s="1">
        <f t="shared" si="15"/>
        <v>0</v>
      </c>
      <c r="CK8" s="1">
        <f t="shared" si="16"/>
        <v>0</v>
      </c>
      <c r="CL8" s="1">
        <f t="shared" si="17"/>
        <v>0</v>
      </c>
      <c r="CM8" s="1">
        <f t="shared" si="18"/>
        <v>0</v>
      </c>
      <c r="CN8" s="1">
        <f t="shared" si="19"/>
        <v>0</v>
      </c>
      <c r="CO8" s="1">
        <f t="shared" si="20"/>
        <v>0</v>
      </c>
      <c r="CP8" s="75"/>
      <c r="CR8" s="93" t="s">
        <v>521</v>
      </c>
      <c r="CS8" s="291">
        <v>229901</v>
      </c>
      <c r="CT8" s="291">
        <v>0</v>
      </c>
      <c r="CU8" s="291">
        <v>0</v>
      </c>
      <c r="CV8" s="291">
        <v>0</v>
      </c>
      <c r="CW8" s="108" t="s">
        <v>955</v>
      </c>
      <c r="CX8" s="312">
        <v>3449</v>
      </c>
      <c r="CY8" s="184">
        <v>0</v>
      </c>
      <c r="CZ8" s="88">
        <v>0</v>
      </c>
      <c r="DA8" s="88">
        <v>0</v>
      </c>
      <c r="DB8" s="94" t="s">
        <v>69</v>
      </c>
      <c r="DC8" s="87">
        <v>0</v>
      </c>
      <c r="DD8" s="88">
        <v>0</v>
      </c>
      <c r="DE8" s="88">
        <v>0</v>
      </c>
      <c r="DF8" s="88">
        <v>0</v>
      </c>
      <c r="DG8" s="88">
        <v>0</v>
      </c>
      <c r="DH8" s="88">
        <v>0</v>
      </c>
      <c r="DI8" s="321">
        <v>0</v>
      </c>
      <c r="DJ8" s="88">
        <v>0</v>
      </c>
    </row>
    <row r="9" spans="1:114" ht="16.5" thickBot="1">
      <c r="A9" s="17">
        <f t="shared" si="22"/>
        <v>6</v>
      </c>
      <c r="B9" s="131" t="s">
        <v>1317</v>
      </c>
      <c r="C9" s="17" t="s">
        <v>1317</v>
      </c>
      <c r="D9" s="17"/>
      <c r="E9" s="17" t="s">
        <v>2</v>
      </c>
      <c r="F9" s="16"/>
      <c r="G9" s="16"/>
      <c r="H9" s="16"/>
      <c r="I9" s="16"/>
      <c r="J9" s="16"/>
      <c r="K9" s="16"/>
      <c r="L9" s="16"/>
      <c r="M9" s="16"/>
      <c r="N9" s="12"/>
      <c r="O9" s="12"/>
      <c r="P9" s="12"/>
      <c r="Q9" s="12"/>
      <c r="R9" s="12"/>
      <c r="S9" s="12"/>
      <c r="T9" s="12"/>
      <c r="U9" s="12"/>
      <c r="V9" s="22"/>
      <c r="W9" s="22"/>
      <c r="X9" s="22"/>
      <c r="Y9" s="22"/>
      <c r="Z9" s="160"/>
      <c r="AA9" s="12"/>
      <c r="AB9" s="284"/>
      <c r="AC9" s="12"/>
      <c r="AD9" s="12"/>
      <c r="AE9" s="12"/>
      <c r="AF9" s="125"/>
      <c r="AG9" s="12"/>
      <c r="AH9" s="284"/>
      <c r="AI9" s="12"/>
      <c r="AJ9" s="125"/>
      <c r="AK9" s="12"/>
      <c r="AL9" s="284"/>
      <c r="AM9" s="161"/>
      <c r="AN9" s="152">
        <f>SUMIF('Date masura OD'!$G:$G,B9,'Date masura OD'!$BC:$BC)</f>
        <v>716</v>
      </c>
      <c r="AO9" s="16">
        <v>0</v>
      </c>
      <c r="AP9" s="16">
        <v>0</v>
      </c>
      <c r="AQ9" s="16">
        <v>0</v>
      </c>
      <c r="AR9" s="1">
        <f t="shared" si="4"/>
        <v>0</v>
      </c>
      <c r="AS9" s="1">
        <f t="shared" si="21"/>
        <v>0</v>
      </c>
      <c r="AT9" s="1">
        <f t="shared" si="5"/>
        <v>716</v>
      </c>
      <c r="AU9" s="1">
        <f>SUMIF('Date masura OD'!$G:$G,B9,'Date masura OD'!$AY:$AY)</f>
        <v>59</v>
      </c>
      <c r="AV9" s="1">
        <f>SUMIF('Date masura OD'!$G:$G,B9,'Date masura OD'!$AZ:$AZ)</f>
        <v>4417</v>
      </c>
      <c r="AW9" s="1">
        <f>SUMIF('Date masura OD'!$G:$G,B9,'Date masura OD'!$BA:$BA)</f>
        <v>2</v>
      </c>
      <c r="AX9" s="1">
        <f>SUMIF('Date masura OD'!$G:$G,B9,'Date masura OD'!$BB:$BB)</f>
        <v>90</v>
      </c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13"/>
      <c r="BL9" s="122">
        <f>SUM(AW4:AW68)</f>
        <v>21053</v>
      </c>
      <c r="BM9" s="122">
        <f>SUM(AW69:AW183)+AW8+AW9+AW22+AW27+AW28+AW29+AW42+AW43+AW51+AW54</f>
        <v>21053</v>
      </c>
      <c r="BN9">
        <f>BL9-BM9</f>
        <v>0</v>
      </c>
      <c r="BP9" s="44">
        <f>AN9</f>
        <v>716</v>
      </c>
      <c r="BQ9" s="1"/>
      <c r="BR9" s="1"/>
      <c r="BS9" s="16">
        <f t="shared" si="23"/>
        <v>59</v>
      </c>
      <c r="BT9" s="16">
        <f t="shared" si="23"/>
        <v>4417</v>
      </c>
      <c r="BU9" s="16">
        <f t="shared" si="23"/>
        <v>2</v>
      </c>
      <c r="BV9" s="16">
        <f t="shared" si="23"/>
        <v>90</v>
      </c>
      <c r="BX9" s="1" t="str">
        <f t="shared" si="6"/>
        <v>RBPM</v>
      </c>
      <c r="BY9" s="1">
        <f t="shared" si="7"/>
        <v>716</v>
      </c>
      <c r="BZ9" s="1">
        <f t="shared" si="8"/>
        <v>0</v>
      </c>
      <c r="CA9" s="1">
        <f t="shared" si="9"/>
        <v>0</v>
      </c>
      <c r="CB9" s="1">
        <f t="shared" si="10"/>
        <v>59</v>
      </c>
      <c r="CC9" s="1">
        <f t="shared" si="11"/>
        <v>4417</v>
      </c>
      <c r="CD9" s="1">
        <f t="shared" si="12"/>
        <v>2</v>
      </c>
      <c r="CE9" s="1">
        <f t="shared" si="13"/>
        <v>90</v>
      </c>
      <c r="CG9" s="1" t="str">
        <f>VLOOKUP(CH9,'Date SPV'!$B$4:$D$25,3,FALSE)</f>
        <v>Deva Shopping City SRL</v>
      </c>
      <c r="CH9" s="1" t="s">
        <v>0</v>
      </c>
      <c r="CI9" s="74">
        <f t="shared" si="14"/>
        <v>0</v>
      </c>
      <c r="CJ9" s="1">
        <f t="shared" si="15"/>
        <v>0</v>
      </c>
      <c r="CK9" s="1">
        <f t="shared" si="16"/>
        <v>0</v>
      </c>
      <c r="CL9" s="1">
        <f t="shared" si="17"/>
        <v>4452</v>
      </c>
      <c r="CM9" s="1">
        <f t="shared" si="18"/>
        <v>2366</v>
      </c>
      <c r="CN9" s="1">
        <f t="shared" si="19"/>
        <v>0</v>
      </c>
      <c r="CO9" s="1">
        <f t="shared" si="20"/>
        <v>0</v>
      </c>
      <c r="CP9" s="75"/>
      <c r="CR9" s="86" t="s">
        <v>522</v>
      </c>
      <c r="CS9" s="291">
        <v>3972</v>
      </c>
      <c r="CT9" s="291">
        <v>0</v>
      </c>
      <c r="CU9" s="291">
        <v>0</v>
      </c>
      <c r="CV9" s="291">
        <v>0</v>
      </c>
      <c r="CW9" s="106" t="s">
        <v>572</v>
      </c>
      <c r="CX9" s="312">
        <v>3912</v>
      </c>
      <c r="CY9" s="184">
        <v>0</v>
      </c>
      <c r="CZ9" s="88">
        <v>0</v>
      </c>
      <c r="DA9" s="88">
        <v>0</v>
      </c>
      <c r="DB9" s="89" t="s">
        <v>69</v>
      </c>
      <c r="DC9" s="87">
        <v>0</v>
      </c>
      <c r="DD9" s="88">
        <v>0</v>
      </c>
      <c r="DE9" s="88">
        <v>0</v>
      </c>
      <c r="DF9" s="88">
        <v>0</v>
      </c>
      <c r="DG9" s="88">
        <v>3912</v>
      </c>
      <c r="DH9" s="88">
        <v>0</v>
      </c>
      <c r="DI9" s="321">
        <v>0</v>
      </c>
      <c r="DJ9" s="88">
        <v>60</v>
      </c>
    </row>
    <row r="10" spans="1:114" ht="16.5" thickBot="1">
      <c r="A10" s="17">
        <f t="shared" si="22"/>
        <v>7</v>
      </c>
      <c r="B10" s="37" t="s">
        <v>526</v>
      </c>
      <c r="C10" s="17" t="s">
        <v>526</v>
      </c>
      <c r="D10" s="17"/>
      <c r="E10" s="17" t="s">
        <v>9</v>
      </c>
      <c r="F10" s="16"/>
      <c r="G10" s="16"/>
      <c r="H10" s="16"/>
      <c r="I10" s="16"/>
      <c r="J10" s="16"/>
      <c r="K10" s="16"/>
      <c r="L10" s="16"/>
      <c r="M10" s="16"/>
      <c r="N10" s="12"/>
      <c r="O10" s="12"/>
      <c r="P10" s="12"/>
      <c r="Q10" s="12"/>
      <c r="R10" s="12"/>
      <c r="S10" s="12"/>
      <c r="T10" s="12"/>
      <c r="U10" s="12"/>
      <c r="V10" s="22"/>
      <c r="W10" s="22"/>
      <c r="X10" s="22"/>
      <c r="Y10" s="22"/>
      <c r="Z10" s="160"/>
      <c r="AA10" s="12"/>
      <c r="AB10" s="284"/>
      <c r="AC10" s="12"/>
      <c r="AD10" s="12"/>
      <c r="AE10" s="12"/>
      <c r="AF10" s="125"/>
      <c r="AG10" s="12"/>
      <c r="AH10" s="284"/>
      <c r="AI10" s="12"/>
      <c r="AJ10" s="125"/>
      <c r="AK10" s="12"/>
      <c r="AL10" s="284"/>
      <c r="AM10" s="161"/>
      <c r="AN10" s="152">
        <f>SUMIF('Date masura OD'!$G:$G,B10,'Date masura OD'!$BC:$BC)</f>
        <v>0</v>
      </c>
      <c r="AO10" s="16">
        <v>0</v>
      </c>
      <c r="AP10" s="16">
        <v>0</v>
      </c>
      <c r="AQ10" s="16">
        <v>0</v>
      </c>
      <c r="AR10" s="1">
        <f t="shared" si="4"/>
        <v>8557</v>
      </c>
      <c r="AS10" s="1">
        <f t="shared" si="21"/>
        <v>0</v>
      </c>
      <c r="AT10" s="1">
        <f t="shared" si="5"/>
        <v>0</v>
      </c>
      <c r="AU10" s="1">
        <f>SUMIF('Date masura OD'!$G:$G,B10,'Date masura OD'!$AY:$AY)</f>
        <v>0</v>
      </c>
      <c r="AV10" s="1">
        <f>SUMIF('Date masura OD'!$G:$G,B10,'Date masura OD'!$AZ:$AZ)</f>
        <v>0</v>
      </c>
      <c r="AW10" s="1">
        <f>SUMIF('Date masura OD'!$G:$G,B10,'Date masura OD'!$BA:$BA)</f>
        <v>0</v>
      </c>
      <c r="AX10" s="1">
        <f>SUMIF('Date masura OD'!$G:$G,B10,'Date masura OD'!$BB:$BB)</f>
        <v>0</v>
      </c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13"/>
      <c r="BL10" s="132" t="s">
        <v>1031</v>
      </c>
      <c r="BM10" s="132" t="s">
        <v>1032</v>
      </c>
      <c r="BP10" s="46"/>
      <c r="BQ10" s="1"/>
      <c r="BR10" s="1"/>
      <c r="BS10" s="1"/>
      <c r="BT10" s="1"/>
      <c r="BU10" s="1"/>
      <c r="BV10" s="1"/>
      <c r="BX10" s="1" t="str">
        <f t="shared" si="6"/>
        <v/>
      </c>
      <c r="BY10" s="1">
        <f t="shared" si="7"/>
        <v>0</v>
      </c>
      <c r="BZ10" s="1">
        <f t="shared" si="8"/>
        <v>0</v>
      </c>
      <c r="CA10" s="1">
        <f t="shared" si="9"/>
        <v>0</v>
      </c>
      <c r="CB10" s="1">
        <f t="shared" si="10"/>
        <v>0</v>
      </c>
      <c r="CC10" s="1">
        <f t="shared" si="11"/>
        <v>0</v>
      </c>
      <c r="CD10" s="1">
        <f t="shared" si="12"/>
        <v>0</v>
      </c>
      <c r="CE10" s="1">
        <f t="shared" si="13"/>
        <v>0</v>
      </c>
      <c r="CG10" s="1" t="str">
        <f>VLOOKUP(CH10,'Date SPV'!$B$4:$D$25,3,FALSE)</f>
        <v>Galati Shopping City SRL</v>
      </c>
      <c r="CH10" s="1" t="s">
        <v>5</v>
      </c>
      <c r="CI10" s="74">
        <f t="shared" si="14"/>
        <v>0</v>
      </c>
      <c r="CJ10" s="1">
        <f t="shared" si="15"/>
        <v>0</v>
      </c>
      <c r="CK10" s="1">
        <f t="shared" si="16"/>
        <v>0</v>
      </c>
      <c r="CL10" s="1">
        <f t="shared" si="17"/>
        <v>6914</v>
      </c>
      <c r="CM10" s="1">
        <f t="shared" si="18"/>
        <v>4365</v>
      </c>
      <c r="CN10" s="1">
        <f t="shared" si="19"/>
        <v>0</v>
      </c>
      <c r="CO10" s="1">
        <f t="shared" si="20"/>
        <v>0</v>
      </c>
      <c r="CP10" s="75"/>
      <c r="CR10" s="30" t="s">
        <v>522</v>
      </c>
      <c r="CS10" s="291">
        <v>3972</v>
      </c>
      <c r="CT10" s="291">
        <v>0</v>
      </c>
      <c r="CU10" s="291">
        <v>0</v>
      </c>
      <c r="CV10" s="291">
        <v>0</v>
      </c>
      <c r="CW10" s="107" t="s">
        <v>956</v>
      </c>
      <c r="CX10" s="312">
        <v>60</v>
      </c>
      <c r="CY10" s="184">
        <v>0</v>
      </c>
      <c r="CZ10" s="88">
        <v>0</v>
      </c>
      <c r="DA10" s="88">
        <v>0</v>
      </c>
      <c r="DB10" s="29" t="s">
        <v>69</v>
      </c>
      <c r="DC10" s="87">
        <v>0</v>
      </c>
      <c r="DD10" s="88">
        <v>0</v>
      </c>
      <c r="DE10" s="88">
        <v>0</v>
      </c>
      <c r="DF10" s="88">
        <v>0</v>
      </c>
      <c r="DG10" s="88">
        <v>0</v>
      </c>
      <c r="DH10" s="88">
        <v>0</v>
      </c>
      <c r="DI10" s="321">
        <v>0</v>
      </c>
      <c r="DJ10" s="88">
        <v>0</v>
      </c>
    </row>
    <row r="11" spans="1:114" ht="16.5" thickBot="1">
      <c r="A11" s="17">
        <f t="shared" si="22"/>
        <v>8</v>
      </c>
      <c r="B11" s="37" t="s">
        <v>499</v>
      </c>
      <c r="C11" s="17" t="s">
        <v>499</v>
      </c>
      <c r="D11" s="17"/>
      <c r="E11" s="17" t="s">
        <v>9</v>
      </c>
      <c r="F11" s="16"/>
      <c r="G11" s="16"/>
      <c r="H11" s="16"/>
      <c r="I11" s="16"/>
      <c r="J11" s="16"/>
      <c r="K11" s="16"/>
      <c r="L11" s="16"/>
      <c r="M11" s="16"/>
      <c r="N11" s="12"/>
      <c r="O11" s="12"/>
      <c r="P11" s="12"/>
      <c r="Q11" s="12"/>
      <c r="R11" s="12"/>
      <c r="S11" s="12"/>
      <c r="T11" s="12"/>
      <c r="U11" s="12"/>
      <c r="V11" s="22"/>
      <c r="W11" s="22"/>
      <c r="X11" s="22"/>
      <c r="Y11" s="22"/>
      <c r="Z11" s="160"/>
      <c r="AA11" s="12"/>
      <c r="AB11" s="284"/>
      <c r="AC11" s="12"/>
      <c r="AD11" s="12"/>
      <c r="AE11" s="12"/>
      <c r="AF11" s="125"/>
      <c r="AG11" s="12"/>
      <c r="AH11" s="284"/>
      <c r="AI11" s="12"/>
      <c r="AJ11" s="125"/>
      <c r="AK11" s="12"/>
      <c r="AL11" s="284"/>
      <c r="AM11" s="161"/>
      <c r="AN11" s="152">
        <f>SUMIF('Date masura OD'!$G:$G,B11,'Date masura OD'!$BC:$BC)</f>
        <v>0</v>
      </c>
      <c r="AO11" s="16">
        <v>0</v>
      </c>
      <c r="AP11" s="16">
        <v>0</v>
      </c>
      <c r="AQ11" s="16">
        <v>0</v>
      </c>
      <c r="AR11" s="1">
        <f t="shared" si="4"/>
        <v>0</v>
      </c>
      <c r="AS11" s="1">
        <f t="shared" si="21"/>
        <v>0</v>
      </c>
      <c r="AT11" s="1">
        <f t="shared" si="5"/>
        <v>0</v>
      </c>
      <c r="AU11" s="1">
        <f>SUMIF('Date masura OD'!$G:$G,B11,'Date masura OD'!$AY:$AY)</f>
        <v>0</v>
      </c>
      <c r="AV11" s="1">
        <f>SUMIF('Date masura OD'!$G:$G,B11,'Date masura OD'!$AZ:$AZ)</f>
        <v>0</v>
      </c>
      <c r="AW11" s="1">
        <f>SUMIF('Date masura OD'!$G:$G,B11,'Date masura OD'!$BA:$BA)</f>
        <v>0</v>
      </c>
      <c r="AX11" s="1">
        <f>SUMIF('Date masura OD'!$G:$G,B11,'Date masura OD'!$BB:$BB)</f>
        <v>0</v>
      </c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13"/>
      <c r="BL11" s="122">
        <f>SUM(AX4:AX68)</f>
        <v>30571</v>
      </c>
      <c r="BM11" s="122">
        <f>SUM(AX69:AX183)+AX8+AX9+AX22+AX27+AX28+AX29+AX42+AX43+AX51+AX54</f>
        <v>30571</v>
      </c>
      <c r="BN11">
        <f>BL11-BM11</f>
        <v>0</v>
      </c>
      <c r="BP11" s="46"/>
      <c r="BQ11" s="1"/>
      <c r="BR11" s="1"/>
      <c r="BS11" s="1"/>
      <c r="BT11" s="1"/>
      <c r="BU11" s="1"/>
      <c r="BV11" s="1"/>
      <c r="BX11" s="1" t="str">
        <f t="shared" si="6"/>
        <v>RPSC</v>
      </c>
      <c r="BY11" s="1">
        <f t="shared" si="7"/>
        <v>0</v>
      </c>
      <c r="BZ11" s="1">
        <f t="shared" si="8"/>
        <v>0</v>
      </c>
      <c r="CA11" s="1">
        <f t="shared" si="9"/>
        <v>0</v>
      </c>
      <c r="CB11" s="1">
        <f t="shared" si="10"/>
        <v>0</v>
      </c>
      <c r="CC11" s="1">
        <f t="shared" si="11"/>
        <v>0</v>
      </c>
      <c r="CD11" s="1">
        <f t="shared" si="12"/>
        <v>0</v>
      </c>
      <c r="CE11" s="1">
        <f t="shared" si="13"/>
        <v>0</v>
      </c>
      <c r="CG11" s="1" t="str">
        <f>VLOOKUP(CH11,'Date SPV'!$B$4:$D$25,3,FALSE)</f>
        <v>Shopping City Timisoara SRL</v>
      </c>
      <c r="CH11" s="1" t="s">
        <v>8</v>
      </c>
      <c r="CI11" s="74">
        <f t="shared" si="14"/>
        <v>0</v>
      </c>
      <c r="CJ11" s="1">
        <f t="shared" si="15"/>
        <v>0</v>
      </c>
      <c r="CK11" s="1">
        <f t="shared" si="16"/>
        <v>0</v>
      </c>
      <c r="CL11" s="1">
        <f t="shared" si="17"/>
        <v>348</v>
      </c>
      <c r="CM11" s="1">
        <f t="shared" si="18"/>
        <v>125</v>
      </c>
      <c r="CN11" s="1">
        <f t="shared" si="19"/>
        <v>0</v>
      </c>
      <c r="CO11" s="1">
        <f t="shared" si="20"/>
        <v>0</v>
      </c>
      <c r="CP11" s="75"/>
      <c r="CR11" s="30" t="s">
        <v>523</v>
      </c>
      <c r="CS11" s="291">
        <v>243680</v>
      </c>
      <c r="CT11" s="291">
        <v>0</v>
      </c>
      <c r="CU11" s="291">
        <v>0</v>
      </c>
      <c r="CV11" s="291">
        <v>0</v>
      </c>
      <c r="CW11" s="107" t="s">
        <v>573</v>
      </c>
      <c r="CX11" s="312">
        <v>138955</v>
      </c>
      <c r="CY11" s="184">
        <v>3376</v>
      </c>
      <c r="CZ11" s="88">
        <v>23694</v>
      </c>
      <c r="DA11" s="88">
        <v>2392</v>
      </c>
      <c r="DB11" s="29" t="s">
        <v>664</v>
      </c>
      <c r="DC11" s="87">
        <v>0</v>
      </c>
      <c r="DD11" s="88">
        <v>87833</v>
      </c>
      <c r="DE11" s="88">
        <v>44225</v>
      </c>
      <c r="DF11" s="88">
        <v>1064</v>
      </c>
      <c r="DG11" s="88">
        <v>138955</v>
      </c>
      <c r="DH11" s="88">
        <v>84457</v>
      </c>
      <c r="DI11" s="1">
        <v>19595</v>
      </c>
      <c r="DJ11" s="88">
        <v>2085</v>
      </c>
    </row>
    <row r="12" spans="1:114" ht="16.5" thickBot="1">
      <c r="A12" s="17">
        <f t="shared" si="22"/>
        <v>9</v>
      </c>
      <c r="B12" s="37" t="s">
        <v>527</v>
      </c>
      <c r="C12" s="17" t="s">
        <v>527</v>
      </c>
      <c r="D12" s="17"/>
      <c r="E12" s="17" t="s">
        <v>15</v>
      </c>
      <c r="F12" s="16"/>
      <c r="G12" s="16"/>
      <c r="H12" s="16"/>
      <c r="I12" s="16"/>
      <c r="J12" s="16"/>
      <c r="K12" s="16"/>
      <c r="L12" s="16"/>
      <c r="M12" s="16"/>
      <c r="N12" s="12"/>
      <c r="O12" s="12"/>
      <c r="P12" s="12"/>
      <c r="Q12" s="12"/>
      <c r="R12" s="12"/>
      <c r="S12" s="12"/>
      <c r="T12" s="12"/>
      <c r="U12" s="12"/>
      <c r="V12" s="22"/>
      <c r="W12" s="22"/>
      <c r="X12" s="22"/>
      <c r="Y12" s="22"/>
      <c r="Z12" s="160"/>
      <c r="AA12" s="12"/>
      <c r="AB12" s="284"/>
      <c r="AC12" s="12"/>
      <c r="AD12" s="12"/>
      <c r="AE12" s="12"/>
      <c r="AF12" s="125"/>
      <c r="AG12" s="12"/>
      <c r="AH12" s="284"/>
      <c r="AI12" s="12"/>
      <c r="AJ12" s="125"/>
      <c r="AK12" s="12"/>
      <c r="AL12" s="284"/>
      <c r="AM12" s="161"/>
      <c r="AN12" s="152">
        <f>SUMIF('Date masura OD'!$G:$G,B12,'Date masura OD'!$BC:$BC)</f>
        <v>0</v>
      </c>
      <c r="AO12" s="16">
        <v>0</v>
      </c>
      <c r="AP12" s="16">
        <v>0</v>
      </c>
      <c r="AQ12" s="16">
        <v>0</v>
      </c>
      <c r="AR12" s="1">
        <f t="shared" si="4"/>
        <v>4152</v>
      </c>
      <c r="AS12" s="1">
        <f t="shared" si="21"/>
        <v>0</v>
      </c>
      <c r="AT12" s="1">
        <f t="shared" si="5"/>
        <v>0</v>
      </c>
      <c r="AU12" s="1">
        <f>SUMIF('Date masura OD'!$G:$G,B12,'Date masura OD'!$AY:$AY)</f>
        <v>382</v>
      </c>
      <c r="AV12" s="1">
        <f>SUMIF('Date masura OD'!$G:$G,B12,'Date masura OD'!$AZ:$AZ)</f>
        <v>65</v>
      </c>
      <c r="AW12" s="1">
        <f>SUMIF('Date masura OD'!$G:$G,B12,'Date masura OD'!$BA:$BA)</f>
        <v>0</v>
      </c>
      <c r="AX12" s="1">
        <f>SUMIF('Date masura OD'!$G:$G,B12,'Date masura OD'!$BB:$BB)</f>
        <v>0</v>
      </c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13"/>
      <c r="BP12" s="46"/>
      <c r="BQ12" s="1"/>
      <c r="BR12" s="1"/>
      <c r="BS12" s="1"/>
      <c r="BT12" s="1"/>
      <c r="BU12" s="1"/>
      <c r="BV12" s="1"/>
      <c r="BX12" s="1" t="str">
        <f t="shared" si="6"/>
        <v>RSCP</v>
      </c>
      <c r="BY12" s="1">
        <f t="shared" si="7"/>
        <v>0</v>
      </c>
      <c r="BZ12" s="1">
        <f t="shared" si="8"/>
        <v>0</v>
      </c>
      <c r="CA12" s="1">
        <f t="shared" si="9"/>
        <v>0</v>
      </c>
      <c r="CB12" s="1">
        <f t="shared" si="10"/>
        <v>0</v>
      </c>
      <c r="CC12" s="1">
        <f t="shared" si="11"/>
        <v>0</v>
      </c>
      <c r="CD12" s="1">
        <f t="shared" si="12"/>
        <v>0</v>
      </c>
      <c r="CE12" s="1">
        <f t="shared" si="13"/>
        <v>0</v>
      </c>
      <c r="CG12" s="1" t="str">
        <f>VLOOKUP(CH12,'Date SPV'!$B$4:$D$25,3,FALSE)</f>
        <v>Targu Jiu Development SRL</v>
      </c>
      <c r="CH12" s="1" t="s">
        <v>13</v>
      </c>
      <c r="CI12" s="74">
        <f t="shared" si="14"/>
        <v>79</v>
      </c>
      <c r="CJ12" s="1">
        <f t="shared" si="15"/>
        <v>0</v>
      </c>
      <c r="CK12" s="1">
        <f t="shared" si="16"/>
        <v>0</v>
      </c>
      <c r="CL12" s="1">
        <f t="shared" si="17"/>
        <v>0</v>
      </c>
      <c r="CM12" s="1">
        <f t="shared" si="18"/>
        <v>0</v>
      </c>
      <c r="CN12" s="1">
        <f t="shared" si="19"/>
        <v>0</v>
      </c>
      <c r="CO12" s="1">
        <f t="shared" si="20"/>
        <v>0</v>
      </c>
      <c r="CP12" s="75"/>
      <c r="CR12" s="30" t="s">
        <v>523</v>
      </c>
      <c r="CS12" s="291">
        <v>243680</v>
      </c>
      <c r="CT12" s="291">
        <v>0</v>
      </c>
      <c r="CU12" s="291">
        <v>0</v>
      </c>
      <c r="CV12" s="291">
        <v>0</v>
      </c>
      <c r="CW12" s="107" t="s">
        <v>574</v>
      </c>
      <c r="CX12" s="312">
        <v>101069</v>
      </c>
      <c r="CY12" s="184">
        <v>19595</v>
      </c>
      <c r="CZ12" s="88">
        <v>50434</v>
      </c>
      <c r="DA12" s="88">
        <v>968</v>
      </c>
      <c r="DB12" s="29" t="s">
        <v>665</v>
      </c>
      <c r="DC12" s="87">
        <v>0</v>
      </c>
      <c r="DD12" s="88">
        <v>91231</v>
      </c>
      <c r="DE12" s="88">
        <v>801</v>
      </c>
      <c r="DF12" s="88">
        <v>47920</v>
      </c>
      <c r="DG12" s="88">
        <v>101069</v>
      </c>
      <c r="DH12" s="88">
        <v>71636</v>
      </c>
      <c r="DI12" s="1">
        <v>3376</v>
      </c>
      <c r="DJ12" s="88">
        <v>1571</v>
      </c>
    </row>
    <row r="13" spans="1:114" ht="16.5" thickBot="1">
      <c r="A13" s="17">
        <f t="shared" si="22"/>
        <v>10</v>
      </c>
      <c r="B13" s="37" t="s">
        <v>528</v>
      </c>
      <c r="C13" s="17" t="s">
        <v>528</v>
      </c>
      <c r="D13" s="17"/>
      <c r="E13" s="17" t="s">
        <v>7</v>
      </c>
      <c r="F13" s="16"/>
      <c r="G13" s="16"/>
      <c r="H13" s="16"/>
      <c r="I13" s="16"/>
      <c r="J13" s="16"/>
      <c r="K13" s="16"/>
      <c r="L13" s="16"/>
      <c r="M13" s="16"/>
      <c r="N13" s="12"/>
      <c r="O13" s="12"/>
      <c r="P13" s="12"/>
      <c r="Q13" s="12"/>
      <c r="R13" s="12"/>
      <c r="S13" s="12"/>
      <c r="T13" s="12"/>
      <c r="U13" s="12"/>
      <c r="V13" s="22"/>
      <c r="W13" s="22"/>
      <c r="X13" s="22"/>
      <c r="Y13" s="22"/>
      <c r="Z13" s="160"/>
      <c r="AA13" s="12"/>
      <c r="AB13" s="284"/>
      <c r="AC13" s="12"/>
      <c r="AD13" s="12"/>
      <c r="AE13" s="12"/>
      <c r="AF13" s="125"/>
      <c r="AG13" s="12"/>
      <c r="AH13" s="284"/>
      <c r="AI13" s="12"/>
      <c r="AJ13" s="125"/>
      <c r="AK13" s="12"/>
      <c r="AL13" s="284"/>
      <c r="AM13" s="161"/>
      <c r="AN13" s="152">
        <f>SUMIF('Date masura OD'!$G:$G,B13,'Date masura OD'!$BC:$BC)</f>
        <v>0</v>
      </c>
      <c r="AO13" s="16">
        <v>0</v>
      </c>
      <c r="AP13" s="16">
        <v>0</v>
      </c>
      <c r="AQ13" s="16">
        <v>0</v>
      </c>
      <c r="AR13" s="1">
        <f t="shared" si="4"/>
        <v>5583</v>
      </c>
      <c r="AS13" s="1">
        <f t="shared" si="21"/>
        <v>0</v>
      </c>
      <c r="AT13" s="1">
        <f t="shared" si="5"/>
        <v>0</v>
      </c>
      <c r="AU13" s="1">
        <f>SUMIF('Date masura OD'!$G:$G,B13,'Date masura OD'!$AY:$AY)</f>
        <v>0</v>
      </c>
      <c r="AV13" s="1">
        <f>SUMIF('Date masura OD'!$G:$G,B13,'Date masura OD'!$AZ:$AZ)</f>
        <v>0</v>
      </c>
      <c r="AW13" s="1">
        <f>SUMIF('Date masura OD'!$G:$G,B13,'Date masura OD'!$BA:$BA)</f>
        <v>0</v>
      </c>
      <c r="AX13" s="1">
        <f>SUMIF('Date masura OD'!$G:$G,B13,'Date masura OD'!$BB:$BB)</f>
        <v>0</v>
      </c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13"/>
      <c r="BP13" s="46"/>
      <c r="BQ13" s="1"/>
      <c r="BR13" s="1"/>
      <c r="BS13" s="1"/>
      <c r="BT13" s="1"/>
      <c r="BU13" s="1"/>
      <c r="BV13" s="1"/>
      <c r="BX13" s="1" t="str">
        <f t="shared" si="6"/>
        <v>RSMS</v>
      </c>
      <c r="BY13" s="1">
        <f t="shared" si="7"/>
        <v>0</v>
      </c>
      <c r="BZ13" s="1">
        <f t="shared" si="8"/>
        <v>0</v>
      </c>
      <c r="CA13" s="1">
        <f t="shared" si="9"/>
        <v>0</v>
      </c>
      <c r="CB13" s="1">
        <f t="shared" si="10"/>
        <v>0</v>
      </c>
      <c r="CC13" s="1">
        <f t="shared" si="11"/>
        <v>0</v>
      </c>
      <c r="CD13" s="1">
        <f t="shared" si="12"/>
        <v>0</v>
      </c>
      <c r="CE13" s="1">
        <f t="shared" si="13"/>
        <v>0</v>
      </c>
      <c r="CG13" s="1" t="str">
        <f>VLOOKUP(CH13,'Date SPV'!$B$4:$D$25,3,FALSE)</f>
        <v>Vulcan Value Centre SRL</v>
      </c>
      <c r="CH13" s="1" t="s">
        <v>14</v>
      </c>
      <c r="CI13" s="74">
        <f t="shared" si="14"/>
        <v>0</v>
      </c>
      <c r="CJ13" s="1">
        <f t="shared" si="15"/>
        <v>0</v>
      </c>
      <c r="CK13" s="1">
        <f t="shared" si="16"/>
        <v>0</v>
      </c>
      <c r="CL13" s="1">
        <f t="shared" si="17"/>
        <v>0</v>
      </c>
      <c r="CM13" s="1">
        <f t="shared" si="18"/>
        <v>0</v>
      </c>
      <c r="CN13" s="1">
        <f t="shared" si="19"/>
        <v>0</v>
      </c>
      <c r="CO13" s="1">
        <f t="shared" si="20"/>
        <v>0</v>
      </c>
      <c r="CP13" s="75"/>
      <c r="CR13" s="30" t="s">
        <v>523</v>
      </c>
      <c r="CS13" s="291">
        <v>243680</v>
      </c>
      <c r="CT13" s="291">
        <v>0</v>
      </c>
      <c r="CU13" s="291">
        <v>0</v>
      </c>
      <c r="CV13" s="291">
        <v>0</v>
      </c>
      <c r="CW13" s="107" t="s">
        <v>957</v>
      </c>
      <c r="CX13" s="312">
        <v>3656</v>
      </c>
      <c r="CY13" s="184">
        <v>0</v>
      </c>
      <c r="CZ13" s="88">
        <v>0</v>
      </c>
      <c r="DA13" s="88">
        <v>0</v>
      </c>
      <c r="DB13" s="29" t="s">
        <v>69</v>
      </c>
      <c r="DC13" s="87">
        <v>0</v>
      </c>
      <c r="DD13" s="88">
        <v>0</v>
      </c>
      <c r="DE13" s="88">
        <v>0</v>
      </c>
      <c r="DF13" s="88">
        <v>0</v>
      </c>
      <c r="DG13" s="88">
        <v>0</v>
      </c>
      <c r="DH13" s="88">
        <v>0</v>
      </c>
      <c r="DI13" s="321">
        <v>0</v>
      </c>
      <c r="DJ13" s="88">
        <v>0</v>
      </c>
    </row>
    <row r="14" spans="1:114" ht="16.5" thickBot="1">
      <c r="A14" s="17">
        <f t="shared" si="22"/>
        <v>11</v>
      </c>
      <c r="B14" s="37" t="s">
        <v>529</v>
      </c>
      <c r="C14" s="17" t="s">
        <v>529</v>
      </c>
      <c r="D14" s="17"/>
      <c r="E14" s="17" t="s">
        <v>0</v>
      </c>
      <c r="F14" s="16"/>
      <c r="G14" s="16"/>
      <c r="H14" s="16"/>
      <c r="I14" s="16"/>
      <c r="J14" s="16"/>
      <c r="K14" s="16"/>
      <c r="L14" s="16"/>
      <c r="M14" s="16"/>
      <c r="N14" s="12"/>
      <c r="O14" s="12"/>
      <c r="P14" s="12"/>
      <c r="Q14" s="12"/>
      <c r="R14" s="12"/>
      <c r="S14" s="12"/>
      <c r="T14" s="12"/>
      <c r="U14" s="12"/>
      <c r="V14" s="22"/>
      <c r="W14" s="22"/>
      <c r="X14" s="22"/>
      <c r="Y14" s="22"/>
      <c r="Z14" s="160"/>
      <c r="AA14" s="12"/>
      <c r="AB14" s="284"/>
      <c r="AC14" s="12"/>
      <c r="AD14" s="12"/>
      <c r="AE14" s="12"/>
      <c r="AF14" s="125"/>
      <c r="AG14" s="12"/>
      <c r="AH14" s="284"/>
      <c r="AI14" s="12"/>
      <c r="AJ14" s="125"/>
      <c r="AK14" s="12"/>
      <c r="AL14" s="284"/>
      <c r="AM14" s="161"/>
      <c r="AN14" s="152">
        <f>SUMIF('Date masura OD'!$G:$G,B14,'Date masura OD'!$BC:$BC)</f>
        <v>0</v>
      </c>
      <c r="AO14" s="16">
        <v>0</v>
      </c>
      <c r="AP14" s="16">
        <v>0</v>
      </c>
      <c r="AQ14" s="16">
        <v>0</v>
      </c>
      <c r="AR14" s="1">
        <f t="shared" si="4"/>
        <v>1353</v>
      </c>
      <c r="AS14" s="1">
        <f t="shared" si="21"/>
        <v>0</v>
      </c>
      <c r="AT14" s="1">
        <f t="shared" si="5"/>
        <v>0</v>
      </c>
      <c r="AU14" s="1">
        <f>SUMIF('Date masura OD'!$G:$G,B14,'Date masura OD'!$AY:$AY)</f>
        <v>0</v>
      </c>
      <c r="AV14" s="1">
        <f>SUMIF('Date masura OD'!$G:$G,B14,'Date masura OD'!$AZ:$AZ)</f>
        <v>0</v>
      </c>
      <c r="AW14" s="1">
        <f>SUMIF('Date masura OD'!$G:$G,B14,'Date masura OD'!$BA:$BA)</f>
        <v>0</v>
      </c>
      <c r="AX14" s="1">
        <f>SUMIF('Date masura OD'!$G:$G,B14,'Date masura OD'!$BB:$BB)</f>
        <v>0</v>
      </c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13"/>
      <c r="BP14" s="46"/>
      <c r="BQ14" s="1"/>
      <c r="BR14" s="1"/>
      <c r="BS14" s="1"/>
      <c r="BT14" s="1"/>
      <c r="BU14" s="1"/>
      <c r="BV14" s="1"/>
      <c r="BX14" s="1" t="str">
        <f t="shared" si="6"/>
        <v/>
      </c>
      <c r="BY14" s="1">
        <f t="shared" si="7"/>
        <v>0</v>
      </c>
      <c r="BZ14" s="1">
        <f t="shared" si="8"/>
        <v>0</v>
      </c>
      <c r="CA14" s="1">
        <f t="shared" si="9"/>
        <v>0</v>
      </c>
      <c r="CB14" s="1">
        <f t="shared" si="10"/>
        <v>0</v>
      </c>
      <c r="CC14" s="1">
        <f t="shared" si="11"/>
        <v>0</v>
      </c>
      <c r="CD14" s="1">
        <f t="shared" si="12"/>
        <v>0</v>
      </c>
      <c r="CE14" s="1">
        <f t="shared" si="13"/>
        <v>0</v>
      </c>
      <c r="CG14" s="1" t="str">
        <f>VLOOKUP(CH14,'Date SPV'!$B$4:$D$25,3,FALSE)</f>
        <v>Festival Shopping Center SRL</v>
      </c>
      <c r="CH14" s="1" t="s">
        <v>19</v>
      </c>
      <c r="CI14" s="74">
        <f t="shared" si="14"/>
        <v>0</v>
      </c>
      <c r="CJ14" s="1">
        <f t="shared" si="15"/>
        <v>0</v>
      </c>
      <c r="CK14" s="1">
        <f t="shared" si="16"/>
        <v>0</v>
      </c>
      <c r="CL14" s="1">
        <f t="shared" si="17"/>
        <v>0</v>
      </c>
      <c r="CM14" s="1">
        <f t="shared" si="18"/>
        <v>0</v>
      </c>
      <c r="CN14" s="1">
        <f t="shared" si="19"/>
        <v>0</v>
      </c>
      <c r="CO14" s="1">
        <f t="shared" si="20"/>
        <v>0</v>
      </c>
      <c r="CP14" s="75"/>
      <c r="CR14" s="30" t="s">
        <v>524</v>
      </c>
      <c r="CS14" s="291">
        <v>33684</v>
      </c>
      <c r="CT14" s="291">
        <v>0</v>
      </c>
      <c r="CU14" s="291">
        <v>0</v>
      </c>
      <c r="CV14" s="291">
        <v>0</v>
      </c>
      <c r="CW14" s="107" t="s">
        <v>575</v>
      </c>
      <c r="CX14" s="312">
        <v>33178</v>
      </c>
      <c r="CY14" s="184">
        <v>0</v>
      </c>
      <c r="CZ14" s="88">
        <v>0</v>
      </c>
      <c r="DA14" s="88">
        <v>0</v>
      </c>
      <c r="DB14" s="29" t="s">
        <v>69</v>
      </c>
      <c r="DC14" s="87">
        <v>0</v>
      </c>
      <c r="DD14" s="88">
        <v>0</v>
      </c>
      <c r="DE14" s="88">
        <v>0</v>
      </c>
      <c r="DF14" s="88">
        <v>0</v>
      </c>
      <c r="DG14" s="88">
        <v>33178</v>
      </c>
      <c r="DH14" s="88">
        <v>0</v>
      </c>
      <c r="DI14" s="321">
        <v>0</v>
      </c>
      <c r="DJ14" s="88">
        <v>506</v>
      </c>
    </row>
    <row r="15" spans="1:114" ht="16.5" thickBot="1">
      <c r="A15" s="17">
        <f t="shared" si="22"/>
        <v>12</v>
      </c>
      <c r="B15" s="37" t="s">
        <v>530</v>
      </c>
      <c r="C15" s="17" t="s">
        <v>530</v>
      </c>
      <c r="D15" s="17"/>
      <c r="E15" s="17" t="s">
        <v>0</v>
      </c>
      <c r="F15" s="16"/>
      <c r="G15" s="16"/>
      <c r="H15" s="16"/>
      <c r="I15" s="16"/>
      <c r="J15" s="16"/>
      <c r="K15" s="16"/>
      <c r="L15" s="16"/>
      <c r="M15" s="16"/>
      <c r="N15" s="12"/>
      <c r="O15" s="12"/>
      <c r="P15" s="12"/>
      <c r="Q15" s="12"/>
      <c r="R15" s="12"/>
      <c r="S15" s="12"/>
      <c r="T15" s="12"/>
      <c r="U15" s="12"/>
      <c r="V15" s="22"/>
      <c r="W15" s="22"/>
      <c r="X15" s="22"/>
      <c r="Y15" s="22"/>
      <c r="Z15" s="160"/>
      <c r="AA15" s="12"/>
      <c r="AB15" s="284"/>
      <c r="AC15" s="12"/>
      <c r="AD15" s="12"/>
      <c r="AE15" s="12"/>
      <c r="AF15" s="125"/>
      <c r="AG15" s="12"/>
      <c r="AH15" s="284"/>
      <c r="AI15" s="12"/>
      <c r="AJ15" s="125"/>
      <c r="AK15" s="12"/>
      <c r="AL15" s="284"/>
      <c r="AM15" s="161"/>
      <c r="AN15" s="152">
        <f>SUMIF('Date masura OD'!$G:$G,B15,'Date masura OD'!$BC:$BC)</f>
        <v>0</v>
      </c>
      <c r="AO15" s="16">
        <v>0</v>
      </c>
      <c r="AP15" s="16">
        <v>0</v>
      </c>
      <c r="AQ15" s="16">
        <v>0</v>
      </c>
      <c r="AR15" s="1">
        <f t="shared" si="4"/>
        <v>3118</v>
      </c>
      <c r="AS15" s="1">
        <f t="shared" si="21"/>
        <v>0</v>
      </c>
      <c r="AT15" s="1">
        <f t="shared" si="5"/>
        <v>0</v>
      </c>
      <c r="AU15" s="1">
        <f>SUMIF('Date masura OD'!$G:$G,B15,'Date masura OD'!$AY:$AY)</f>
        <v>558</v>
      </c>
      <c r="AV15" s="1">
        <f>SUMIF('Date masura OD'!$G:$G,B15,'Date masura OD'!$AZ:$AZ)</f>
        <v>354</v>
      </c>
      <c r="AW15" s="1">
        <f>SUMIF('Date masura OD'!$G:$G,B15,'Date masura OD'!$BA:$BA)</f>
        <v>0</v>
      </c>
      <c r="AX15" s="1">
        <f>SUMIF('Date masura OD'!$G:$G,B15,'Date masura OD'!$BB:$BB)</f>
        <v>0</v>
      </c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13"/>
      <c r="BP15" s="46"/>
      <c r="BQ15" s="1"/>
      <c r="BR15" s="1"/>
      <c r="BS15" s="1"/>
      <c r="BT15" s="1"/>
      <c r="BU15" s="1"/>
      <c r="BV15" s="1"/>
      <c r="BX15" s="1" t="str">
        <f t="shared" si="6"/>
        <v/>
      </c>
      <c r="BY15" s="1">
        <f t="shared" si="7"/>
        <v>0</v>
      </c>
      <c r="BZ15" s="1">
        <f t="shared" si="8"/>
        <v>0</v>
      </c>
      <c r="CA15" s="1">
        <f t="shared" si="9"/>
        <v>0</v>
      </c>
      <c r="CB15" s="1">
        <f t="shared" si="10"/>
        <v>0</v>
      </c>
      <c r="CC15" s="1">
        <f t="shared" si="11"/>
        <v>0</v>
      </c>
      <c r="CD15" s="1">
        <f t="shared" si="12"/>
        <v>0</v>
      </c>
      <c r="CE15" s="1">
        <f t="shared" si="13"/>
        <v>0</v>
      </c>
      <c r="CG15" s="1" t="str">
        <f>VLOOKUP(CH15,'Date SPV'!$B$4:$D$25,3,FALSE)</f>
        <v>Promenada Mall Bucuresti SRL</v>
      </c>
      <c r="CH15" s="1" t="s">
        <v>4</v>
      </c>
      <c r="CI15" s="74">
        <f t="shared" si="14"/>
        <v>0</v>
      </c>
      <c r="CJ15" s="1">
        <f t="shared" si="15"/>
        <v>0</v>
      </c>
      <c r="CK15" s="1">
        <f t="shared" si="16"/>
        <v>0</v>
      </c>
      <c r="CL15" s="1">
        <f t="shared" si="17"/>
        <v>0</v>
      </c>
      <c r="CM15" s="1">
        <f t="shared" si="18"/>
        <v>0</v>
      </c>
      <c r="CN15" s="1">
        <f t="shared" si="19"/>
        <v>0</v>
      </c>
      <c r="CO15" s="1">
        <f t="shared" si="20"/>
        <v>0</v>
      </c>
      <c r="CP15" s="75"/>
      <c r="CR15" s="30" t="s">
        <v>524</v>
      </c>
      <c r="CS15" s="291">
        <v>33684</v>
      </c>
      <c r="CT15" s="291">
        <v>0</v>
      </c>
      <c r="CU15" s="291">
        <v>0</v>
      </c>
      <c r="CV15" s="291">
        <v>0</v>
      </c>
      <c r="CW15" s="107" t="s">
        <v>958</v>
      </c>
      <c r="CX15" s="312">
        <v>506</v>
      </c>
      <c r="CY15" s="184">
        <v>0</v>
      </c>
      <c r="CZ15" s="88">
        <v>0</v>
      </c>
      <c r="DA15" s="88">
        <v>0</v>
      </c>
      <c r="DB15" s="29" t="s">
        <v>69</v>
      </c>
      <c r="DC15" s="87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321">
        <v>0</v>
      </c>
      <c r="DJ15" s="88">
        <v>0</v>
      </c>
    </row>
    <row r="16" spans="1:114" ht="16.5" thickBot="1">
      <c r="A16" s="17">
        <f t="shared" si="22"/>
        <v>13</v>
      </c>
      <c r="B16" s="37" t="s">
        <v>531</v>
      </c>
      <c r="C16" s="17" t="s">
        <v>531</v>
      </c>
      <c r="D16" s="123"/>
      <c r="E16" s="17" t="s">
        <v>0</v>
      </c>
      <c r="F16" s="16"/>
      <c r="G16" s="16"/>
      <c r="H16" s="16"/>
      <c r="I16" s="16"/>
      <c r="J16" s="16"/>
      <c r="K16" s="16"/>
      <c r="L16" s="16"/>
      <c r="M16" s="16"/>
      <c r="N16" s="12"/>
      <c r="O16" s="12"/>
      <c r="P16" s="12"/>
      <c r="Q16" s="12"/>
      <c r="R16" s="12"/>
      <c r="S16" s="12"/>
      <c r="T16" s="12"/>
      <c r="U16" s="12"/>
      <c r="V16" s="243"/>
      <c r="W16" s="22"/>
      <c r="X16" s="22"/>
      <c r="Y16" s="22"/>
      <c r="Z16" s="160"/>
      <c r="AA16" s="127"/>
      <c r="AB16" s="284"/>
      <c r="AC16" s="127"/>
      <c r="AD16" s="36"/>
      <c r="AE16" s="36"/>
      <c r="AF16" s="127"/>
      <c r="AG16" s="127"/>
      <c r="AH16" s="284"/>
      <c r="AI16" s="127"/>
      <c r="AJ16" s="127"/>
      <c r="AK16" s="127"/>
      <c r="AL16" s="284"/>
      <c r="AM16" s="164"/>
      <c r="AN16" s="152">
        <f>SUMIF('Date masura OD'!$G:$G,B16,'Date masura OD'!$BC:$BC)</f>
        <v>0</v>
      </c>
      <c r="AO16" s="16">
        <v>0</v>
      </c>
      <c r="AP16" s="16">
        <v>0</v>
      </c>
      <c r="AQ16" s="16">
        <v>0</v>
      </c>
      <c r="AR16" s="1">
        <f t="shared" si="4"/>
        <v>2187</v>
      </c>
      <c r="AS16" s="1">
        <f t="shared" si="21"/>
        <v>0</v>
      </c>
      <c r="AT16" s="1">
        <f t="shared" si="5"/>
        <v>0</v>
      </c>
      <c r="AU16" s="1">
        <f>SUMIF('Date masura OD'!$G:$G,B16,'Date masura OD'!$AY:$AY)</f>
        <v>3894</v>
      </c>
      <c r="AV16" s="1">
        <f>SUMIF('Date masura OD'!$G:$G,B16,'Date masura OD'!$AZ:$AZ)</f>
        <v>2012</v>
      </c>
      <c r="AW16" s="1">
        <f>SUMIF('Date masura OD'!$G:$G,B16,'Date masura OD'!$BA:$BA)</f>
        <v>0</v>
      </c>
      <c r="AX16" s="1">
        <f>SUMIF('Date masura OD'!$G:$G,B16,'Date masura OD'!$BB:$BB)</f>
        <v>0</v>
      </c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13"/>
      <c r="BP16" s="46"/>
      <c r="BQ16" s="1"/>
      <c r="BR16" s="1"/>
      <c r="BS16" s="1"/>
      <c r="BT16" s="1"/>
      <c r="BU16" s="1"/>
      <c r="BV16" s="1"/>
      <c r="BX16" s="1" t="str">
        <f t="shared" si="6"/>
        <v>RDSC</v>
      </c>
      <c r="BY16" s="1">
        <f t="shared" si="7"/>
        <v>0</v>
      </c>
      <c r="BZ16" s="1">
        <f t="shared" si="8"/>
        <v>0</v>
      </c>
      <c r="CA16" s="1">
        <f t="shared" si="9"/>
        <v>0</v>
      </c>
      <c r="CB16" s="1">
        <f t="shared" si="10"/>
        <v>0</v>
      </c>
      <c r="CC16" s="1">
        <f t="shared" si="11"/>
        <v>0</v>
      </c>
      <c r="CD16" s="1">
        <f t="shared" si="12"/>
        <v>0</v>
      </c>
      <c r="CE16" s="1">
        <f t="shared" si="13"/>
        <v>0</v>
      </c>
      <c r="CG16" s="1" t="str">
        <f>VLOOKUP(CH16,'Date SPV'!$B$4:$D$25,3,FALSE)</f>
        <v>Targu Mures Shopping City SRL</v>
      </c>
      <c r="CH16" s="1" t="s">
        <v>20</v>
      </c>
      <c r="CI16" s="74">
        <f t="shared" si="14"/>
        <v>0</v>
      </c>
      <c r="CJ16" s="1">
        <f t="shared" si="15"/>
        <v>0</v>
      </c>
      <c r="CK16" s="1">
        <f t="shared" si="16"/>
        <v>0</v>
      </c>
      <c r="CL16" s="1">
        <f t="shared" si="17"/>
        <v>0</v>
      </c>
      <c r="CM16" s="1">
        <f t="shared" si="18"/>
        <v>0</v>
      </c>
      <c r="CN16" s="1">
        <f t="shared" si="19"/>
        <v>0</v>
      </c>
      <c r="CO16" s="1">
        <f t="shared" si="20"/>
        <v>0</v>
      </c>
      <c r="CP16" s="75"/>
      <c r="CR16" s="93" t="s">
        <v>525</v>
      </c>
      <c r="CS16" s="291">
        <v>4158</v>
      </c>
      <c r="CT16" s="291">
        <v>0</v>
      </c>
      <c r="CU16" s="291">
        <v>0</v>
      </c>
      <c r="CV16" s="291">
        <v>0</v>
      </c>
      <c r="CW16" s="109" t="s">
        <v>525</v>
      </c>
      <c r="CX16" s="312">
        <v>4158</v>
      </c>
      <c r="CY16" s="184">
        <v>0</v>
      </c>
      <c r="CZ16" s="88">
        <v>0</v>
      </c>
      <c r="DA16" s="88">
        <v>0</v>
      </c>
      <c r="DB16" s="94" t="s">
        <v>69</v>
      </c>
      <c r="DC16" s="87">
        <v>0</v>
      </c>
      <c r="DD16" s="88">
        <v>0</v>
      </c>
      <c r="DE16" s="88">
        <v>0</v>
      </c>
      <c r="DF16" s="88">
        <v>0</v>
      </c>
      <c r="DG16" s="88">
        <v>4158</v>
      </c>
      <c r="DH16" s="88">
        <v>0</v>
      </c>
      <c r="DI16" s="321">
        <v>0</v>
      </c>
      <c r="DJ16" s="88">
        <v>0</v>
      </c>
    </row>
    <row r="17" spans="1:114" ht="16.5" thickBot="1">
      <c r="A17" s="17">
        <f t="shared" si="22"/>
        <v>14</v>
      </c>
      <c r="B17" s="37" t="s">
        <v>532</v>
      </c>
      <c r="C17" s="17" t="s">
        <v>532</v>
      </c>
      <c r="D17" s="123"/>
      <c r="E17" s="17" t="s">
        <v>5</v>
      </c>
      <c r="F17" s="16"/>
      <c r="G17" s="16"/>
      <c r="H17" s="16"/>
      <c r="I17" s="16"/>
      <c r="J17" s="16"/>
      <c r="K17" s="16"/>
      <c r="L17" s="16"/>
      <c r="M17" s="16"/>
      <c r="N17" s="12"/>
      <c r="O17" s="12"/>
      <c r="P17" s="12"/>
      <c r="Q17" s="12"/>
      <c r="R17" s="12"/>
      <c r="S17" s="12"/>
      <c r="T17" s="12"/>
      <c r="U17" s="12"/>
      <c r="V17" s="243"/>
      <c r="W17" s="22"/>
      <c r="X17" s="22"/>
      <c r="Y17" s="22"/>
      <c r="Z17" s="160"/>
      <c r="AA17" s="127"/>
      <c r="AB17" s="284"/>
      <c r="AC17" s="127"/>
      <c r="AD17" s="36"/>
      <c r="AE17" s="36"/>
      <c r="AF17" s="127"/>
      <c r="AG17" s="127"/>
      <c r="AH17" s="284"/>
      <c r="AI17" s="127"/>
      <c r="AJ17" s="127"/>
      <c r="AK17" s="127"/>
      <c r="AL17" s="284"/>
      <c r="AM17" s="164"/>
      <c r="AN17" s="152">
        <f>SUMIF('Date masura OD'!$G:$G,B17,'Date masura OD'!$BC:$BC)</f>
        <v>0</v>
      </c>
      <c r="AO17" s="16">
        <v>0</v>
      </c>
      <c r="AP17" s="16">
        <v>0</v>
      </c>
      <c r="AQ17" s="16">
        <v>0</v>
      </c>
      <c r="AR17" s="1">
        <f t="shared" si="4"/>
        <v>4860</v>
      </c>
      <c r="AS17" s="1">
        <f t="shared" si="21"/>
        <v>0</v>
      </c>
      <c r="AT17" s="1">
        <f t="shared" si="5"/>
        <v>0</v>
      </c>
      <c r="AU17" s="1">
        <f>SUMIF('Date masura OD'!$G:$G,B17,'Date masura OD'!$AY:$AY)</f>
        <v>6914</v>
      </c>
      <c r="AV17" s="1">
        <f>SUMIF('Date masura OD'!$G:$G,B17,'Date masura OD'!$AZ:$AZ)</f>
        <v>4365</v>
      </c>
      <c r="AW17" s="1">
        <f>SUMIF('Date masura OD'!$G:$G,B17,'Date masura OD'!$BA:$BA)</f>
        <v>0</v>
      </c>
      <c r="AX17" s="1">
        <f>SUMIF('Date masura OD'!$G:$G,B17,'Date masura OD'!$BB:$BB)</f>
        <v>0</v>
      </c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13"/>
      <c r="BP17" s="46"/>
      <c r="BQ17" s="1"/>
      <c r="BR17" s="1"/>
      <c r="BS17" s="1"/>
      <c r="BT17" s="1"/>
      <c r="BU17" s="1"/>
      <c r="BV17" s="1"/>
      <c r="BX17" s="1" t="str">
        <f t="shared" si="6"/>
        <v/>
      </c>
      <c r="BY17" s="1">
        <f t="shared" si="7"/>
        <v>0</v>
      </c>
      <c r="BZ17" s="1">
        <f t="shared" si="8"/>
        <v>0</v>
      </c>
      <c r="CA17" s="1">
        <f t="shared" si="9"/>
        <v>0</v>
      </c>
      <c r="CB17" s="1">
        <f t="shared" si="10"/>
        <v>0</v>
      </c>
      <c r="CC17" s="1">
        <f t="shared" si="11"/>
        <v>0</v>
      </c>
      <c r="CD17" s="1">
        <f t="shared" si="12"/>
        <v>0</v>
      </c>
      <c r="CE17" s="1">
        <f t="shared" si="13"/>
        <v>0</v>
      </c>
      <c r="CG17" s="1" t="str">
        <f>VLOOKUP(CH17,'Date SPV'!$B$4:$D$25,3,FALSE)</f>
        <v>Constanta Shopping City SRL</v>
      </c>
      <c r="CH17" s="1" t="s">
        <v>1</v>
      </c>
      <c r="CI17" s="74">
        <f t="shared" si="14"/>
        <v>0</v>
      </c>
      <c r="CJ17" s="1">
        <f t="shared" si="15"/>
        <v>0</v>
      </c>
      <c r="CK17" s="1">
        <f t="shared" si="16"/>
        <v>0</v>
      </c>
      <c r="CL17" s="1">
        <f t="shared" si="17"/>
        <v>29</v>
      </c>
      <c r="CM17" s="1">
        <f t="shared" si="18"/>
        <v>0</v>
      </c>
      <c r="CN17" s="1">
        <f t="shared" si="19"/>
        <v>0</v>
      </c>
      <c r="CO17" s="1">
        <f t="shared" si="20"/>
        <v>0</v>
      </c>
      <c r="CP17" s="75"/>
      <c r="CR17" s="86" t="s">
        <v>526</v>
      </c>
      <c r="CS17" s="291">
        <v>570420</v>
      </c>
      <c r="CT17" s="291">
        <v>0</v>
      </c>
      <c r="CU17" s="291">
        <v>0</v>
      </c>
      <c r="CV17" s="291">
        <v>0</v>
      </c>
      <c r="CW17" s="106" t="s">
        <v>576</v>
      </c>
      <c r="CX17" s="312">
        <v>311612</v>
      </c>
      <c r="CY17" s="184">
        <v>0</v>
      </c>
      <c r="CZ17" s="88">
        <v>3104</v>
      </c>
      <c r="DA17" s="88">
        <v>15325</v>
      </c>
      <c r="DB17" s="89" t="s">
        <v>69</v>
      </c>
      <c r="DC17" s="87">
        <v>0</v>
      </c>
      <c r="DD17" s="88">
        <v>0</v>
      </c>
      <c r="DE17" s="88">
        <v>0</v>
      </c>
      <c r="DF17" s="88">
        <v>0</v>
      </c>
      <c r="DG17" s="88">
        <v>311612</v>
      </c>
      <c r="DH17" s="88">
        <v>0</v>
      </c>
      <c r="DI17" s="88">
        <v>33291</v>
      </c>
      <c r="DJ17" s="88">
        <v>4675</v>
      </c>
    </row>
    <row r="18" spans="1:114" ht="16.5" thickBot="1">
      <c r="A18" s="17">
        <f t="shared" si="22"/>
        <v>15</v>
      </c>
      <c r="B18" s="37" t="s">
        <v>504</v>
      </c>
      <c r="C18" s="17" t="s">
        <v>504</v>
      </c>
      <c r="D18" s="17"/>
      <c r="E18" s="17" t="s">
        <v>5</v>
      </c>
      <c r="F18" s="16"/>
      <c r="G18" s="16"/>
      <c r="H18" s="16"/>
      <c r="I18" s="16"/>
      <c r="J18" s="16"/>
      <c r="K18" s="16"/>
      <c r="L18" s="16"/>
      <c r="M18" s="16"/>
      <c r="N18" s="12"/>
      <c r="O18" s="12"/>
      <c r="P18" s="12"/>
      <c r="Q18" s="12"/>
      <c r="R18" s="12"/>
      <c r="S18" s="12"/>
      <c r="T18" s="12"/>
      <c r="U18" s="12"/>
      <c r="V18" s="22"/>
      <c r="W18" s="22"/>
      <c r="X18" s="22"/>
      <c r="Y18" s="22"/>
      <c r="Z18" s="160"/>
      <c r="AA18" s="12"/>
      <c r="AB18" s="284"/>
      <c r="AC18" s="12"/>
      <c r="AD18" s="12"/>
      <c r="AE18" s="12"/>
      <c r="AF18" s="125"/>
      <c r="AG18" s="12"/>
      <c r="AH18" s="284"/>
      <c r="AI18" s="12"/>
      <c r="AJ18" s="125"/>
      <c r="AK18" s="12"/>
      <c r="AL18" s="284"/>
      <c r="AM18" s="161"/>
      <c r="AN18" s="152">
        <f>SUMIF('Date masura OD'!$G:$G,B18,'Date masura OD'!$BC:$BC)</f>
        <v>0</v>
      </c>
      <c r="AO18" s="16">
        <v>0</v>
      </c>
      <c r="AP18" s="16">
        <v>0</v>
      </c>
      <c r="AQ18" s="16">
        <v>0</v>
      </c>
      <c r="AR18" s="1">
        <f t="shared" si="4"/>
        <v>4726</v>
      </c>
      <c r="AS18" s="1">
        <f t="shared" si="21"/>
        <v>0</v>
      </c>
      <c r="AT18" s="1">
        <f t="shared" si="5"/>
        <v>0</v>
      </c>
      <c r="AU18" s="1">
        <f>SUMIF('Date masura OD'!$G:$G,B18,'Date masura OD'!$AY:$AY)</f>
        <v>0</v>
      </c>
      <c r="AV18" s="1">
        <f>SUMIF('Date masura OD'!$G:$G,B18,'Date masura OD'!$AZ:$AZ)</f>
        <v>0</v>
      </c>
      <c r="AW18" s="1">
        <f>SUMIF('Date masura OD'!$G:$G,B18,'Date masura OD'!$BA:$BA)</f>
        <v>0</v>
      </c>
      <c r="AX18" s="1">
        <f>SUMIF('Date masura OD'!$G:$G,B18,'Date masura OD'!$BB:$BB)</f>
        <v>0</v>
      </c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13"/>
      <c r="BP18" s="46"/>
      <c r="BQ18" s="1"/>
      <c r="BR18" s="1"/>
      <c r="BS18" s="1"/>
      <c r="BT18" s="1"/>
      <c r="BU18" s="1"/>
      <c r="BV18" s="1"/>
      <c r="BX18" s="1" t="str">
        <f t="shared" si="6"/>
        <v>RGSC</v>
      </c>
      <c r="BY18" s="1">
        <f t="shared" si="7"/>
        <v>0</v>
      </c>
      <c r="BZ18" s="1">
        <f t="shared" si="8"/>
        <v>0</v>
      </c>
      <c r="CA18" s="1">
        <f t="shared" si="9"/>
        <v>0</v>
      </c>
      <c r="CB18" s="1">
        <f t="shared" si="10"/>
        <v>0</v>
      </c>
      <c r="CC18" s="1">
        <f t="shared" si="11"/>
        <v>0</v>
      </c>
      <c r="CD18" s="1">
        <f t="shared" si="12"/>
        <v>0</v>
      </c>
      <c r="CE18" s="1">
        <f t="shared" si="13"/>
        <v>0</v>
      </c>
      <c r="CG18" s="1" t="str">
        <f>VLOOKUP(CH18,'Date SPV'!$B$4:$D$25,3,FALSE)</f>
        <v>Aurora Mall Buzau SRL</v>
      </c>
      <c r="CH18" s="1" t="s">
        <v>6</v>
      </c>
      <c r="CI18" s="74">
        <f t="shared" si="14"/>
        <v>0</v>
      </c>
      <c r="CJ18" s="1">
        <f t="shared" si="15"/>
        <v>0</v>
      </c>
      <c r="CK18" s="1">
        <f t="shared" si="16"/>
        <v>0</v>
      </c>
      <c r="CL18" s="1">
        <f t="shared" si="17"/>
        <v>0</v>
      </c>
      <c r="CM18" s="1">
        <f t="shared" si="18"/>
        <v>0</v>
      </c>
      <c r="CN18" s="1">
        <f t="shared" si="19"/>
        <v>334</v>
      </c>
      <c r="CO18" s="1">
        <f t="shared" si="20"/>
        <v>0</v>
      </c>
      <c r="CP18" s="75"/>
      <c r="CR18" s="30" t="s">
        <v>526</v>
      </c>
      <c r="CS18" s="291">
        <v>570420</v>
      </c>
      <c r="CT18" s="291">
        <v>0</v>
      </c>
      <c r="CU18" s="291">
        <v>0</v>
      </c>
      <c r="CV18" s="291">
        <v>0</v>
      </c>
      <c r="CW18" s="107" t="s">
        <v>577</v>
      </c>
      <c r="CX18" s="312">
        <v>148181</v>
      </c>
      <c r="CY18" s="184">
        <v>33291</v>
      </c>
      <c r="CZ18" s="88">
        <v>6897</v>
      </c>
      <c r="DA18" s="88">
        <v>42</v>
      </c>
      <c r="DB18" s="29" t="s">
        <v>666</v>
      </c>
      <c r="DC18" s="87">
        <v>0</v>
      </c>
      <c r="DD18" s="88">
        <v>147393</v>
      </c>
      <c r="DE18" s="88">
        <v>1260</v>
      </c>
      <c r="DF18" s="88">
        <v>19532</v>
      </c>
      <c r="DG18" s="88">
        <v>148181</v>
      </c>
      <c r="DH18" s="88">
        <v>114102</v>
      </c>
      <c r="DI18" s="321">
        <v>0</v>
      </c>
      <c r="DJ18" s="88">
        <v>2223</v>
      </c>
    </row>
    <row r="19" spans="1:114" ht="16.5" thickBot="1">
      <c r="A19" s="17">
        <f t="shared" si="22"/>
        <v>16</v>
      </c>
      <c r="B19" s="37" t="s">
        <v>533</v>
      </c>
      <c r="C19" s="17" t="s">
        <v>533</v>
      </c>
      <c r="D19" s="17"/>
      <c r="E19" s="17" t="s">
        <v>8</v>
      </c>
      <c r="F19" s="16"/>
      <c r="G19" s="16"/>
      <c r="H19" s="16"/>
      <c r="I19" s="16"/>
      <c r="J19" s="16"/>
      <c r="K19" s="16"/>
      <c r="L19" s="16"/>
      <c r="M19" s="16"/>
      <c r="N19" s="12"/>
      <c r="O19" s="12"/>
      <c r="P19" s="12"/>
      <c r="Q19" s="12"/>
      <c r="R19" s="12"/>
      <c r="S19" s="12"/>
      <c r="T19" s="12"/>
      <c r="U19" s="12"/>
      <c r="V19" s="22"/>
      <c r="W19" s="22"/>
      <c r="X19" s="22"/>
      <c r="Y19" s="22"/>
      <c r="Z19" s="160"/>
      <c r="AA19" s="12"/>
      <c r="AB19" s="284"/>
      <c r="AC19" s="12"/>
      <c r="AD19" s="12"/>
      <c r="AE19" s="12"/>
      <c r="AF19" s="125"/>
      <c r="AG19" s="12"/>
      <c r="AH19" s="284"/>
      <c r="AI19" s="12"/>
      <c r="AJ19" s="125"/>
      <c r="AK19" s="12"/>
      <c r="AL19" s="284"/>
      <c r="AM19" s="161"/>
      <c r="AN19" s="152">
        <f>SUMIF('Date masura OD'!$G:$G,B19,'Date masura OD'!$BC:$BC)</f>
        <v>0</v>
      </c>
      <c r="AO19" s="16">
        <v>0</v>
      </c>
      <c r="AP19" s="16">
        <v>0</v>
      </c>
      <c r="AQ19" s="16">
        <v>0</v>
      </c>
      <c r="AR19" s="1">
        <f t="shared" si="4"/>
        <v>15012</v>
      </c>
      <c r="AS19" s="1">
        <f t="shared" si="21"/>
        <v>0</v>
      </c>
      <c r="AT19" s="1">
        <f t="shared" si="5"/>
        <v>0</v>
      </c>
      <c r="AU19" s="1">
        <f>SUMIF('Date masura OD'!$G:$G,B19,'Date masura OD'!$AY:$AY)</f>
        <v>345</v>
      </c>
      <c r="AV19" s="1">
        <f>SUMIF('Date masura OD'!$G:$G,B19,'Date masura OD'!$AZ:$AZ)</f>
        <v>122</v>
      </c>
      <c r="AW19" s="1">
        <f>SUMIF('Date masura OD'!$G:$G,B19,'Date masura OD'!$BA:$BA)</f>
        <v>0</v>
      </c>
      <c r="AX19" s="1">
        <f>SUMIF('Date masura OD'!$G:$G,B19,'Date masura OD'!$BB:$BB)</f>
        <v>0</v>
      </c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13"/>
      <c r="BP19" s="46"/>
      <c r="BQ19" s="1"/>
      <c r="BR19" s="1"/>
      <c r="BS19" s="1"/>
      <c r="BT19" s="1"/>
      <c r="BU19" s="1"/>
      <c r="BV19" s="1"/>
      <c r="BX19" s="1" t="str">
        <f t="shared" si="6"/>
        <v/>
      </c>
      <c r="BY19" s="1">
        <f t="shared" si="7"/>
        <v>0</v>
      </c>
      <c r="BZ19" s="1">
        <f t="shared" si="8"/>
        <v>0</v>
      </c>
      <c r="CA19" s="1">
        <f t="shared" si="9"/>
        <v>0</v>
      </c>
      <c r="CB19" s="1">
        <f t="shared" si="10"/>
        <v>0</v>
      </c>
      <c r="CC19" s="1">
        <f t="shared" si="11"/>
        <v>0</v>
      </c>
      <c r="CD19" s="1">
        <f t="shared" si="12"/>
        <v>0</v>
      </c>
      <c r="CE19" s="1">
        <f t="shared" si="13"/>
        <v>0</v>
      </c>
      <c r="CG19" s="1" t="str">
        <f>VLOOKUP(CH19,'Date SPV'!$B$4:$D$25,3,FALSE)</f>
        <v>General Building Management SRL</v>
      </c>
      <c r="CH19" s="1" t="s">
        <v>21</v>
      </c>
      <c r="CI19" s="74">
        <f t="shared" si="14"/>
        <v>0</v>
      </c>
      <c r="CJ19" s="1">
        <f t="shared" si="15"/>
        <v>0</v>
      </c>
      <c r="CK19" s="1">
        <f t="shared" si="16"/>
        <v>0</v>
      </c>
      <c r="CL19" s="1">
        <f t="shared" si="17"/>
        <v>598</v>
      </c>
      <c r="CM19" s="1">
        <f t="shared" si="18"/>
        <v>0</v>
      </c>
      <c r="CN19" s="1">
        <f t="shared" si="19"/>
        <v>2221</v>
      </c>
      <c r="CO19" s="1">
        <f t="shared" si="20"/>
        <v>5957</v>
      </c>
      <c r="CP19" s="75"/>
      <c r="CR19" s="30" t="s">
        <v>526</v>
      </c>
      <c r="CS19" s="291">
        <v>570420</v>
      </c>
      <c r="CT19" s="291">
        <v>0</v>
      </c>
      <c r="CU19" s="291">
        <v>0</v>
      </c>
      <c r="CV19" s="291">
        <v>0</v>
      </c>
      <c r="CW19" s="107" t="s">
        <v>1188</v>
      </c>
      <c r="CX19" s="312">
        <v>102070</v>
      </c>
      <c r="CY19" s="184">
        <v>0</v>
      </c>
      <c r="CZ19" s="88">
        <v>0</v>
      </c>
      <c r="DA19" s="88">
        <v>0</v>
      </c>
      <c r="DB19" s="29" t="s">
        <v>1422</v>
      </c>
      <c r="DC19" s="87">
        <v>0</v>
      </c>
      <c r="DD19" s="88">
        <v>145584.99999999997</v>
      </c>
      <c r="DE19" s="88">
        <v>0</v>
      </c>
      <c r="DF19" s="88">
        <v>0</v>
      </c>
      <c r="DG19" s="88">
        <v>102070</v>
      </c>
      <c r="DH19" s="88">
        <v>145584.99999999997</v>
      </c>
      <c r="DI19" s="321">
        <v>0</v>
      </c>
      <c r="DJ19" s="88">
        <v>1659</v>
      </c>
    </row>
    <row r="20" spans="1:114" ht="16.5" thickBot="1">
      <c r="A20" s="17">
        <f t="shared" si="22"/>
        <v>17</v>
      </c>
      <c r="B20" s="37" t="s">
        <v>534</v>
      </c>
      <c r="C20" s="17" t="s">
        <v>534</v>
      </c>
      <c r="D20" s="17"/>
      <c r="E20" s="17" t="s">
        <v>8</v>
      </c>
      <c r="F20" s="16"/>
      <c r="G20" s="16"/>
      <c r="H20" s="16"/>
      <c r="I20" s="16"/>
      <c r="J20" s="16"/>
      <c r="K20" s="16"/>
      <c r="L20" s="16"/>
      <c r="M20" s="16"/>
      <c r="N20" s="12"/>
      <c r="O20" s="12"/>
      <c r="P20" s="12"/>
      <c r="Q20" s="12"/>
      <c r="R20" s="12"/>
      <c r="S20" s="12"/>
      <c r="T20" s="12"/>
      <c r="U20" s="12"/>
      <c r="V20" s="22"/>
      <c r="W20" s="22"/>
      <c r="X20" s="22"/>
      <c r="Y20" s="22"/>
      <c r="Z20" s="158"/>
      <c r="AA20" s="12"/>
      <c r="AB20" s="284"/>
      <c r="AC20" s="12"/>
      <c r="AD20" s="12"/>
      <c r="AE20" s="12"/>
      <c r="AF20" s="123"/>
      <c r="AG20" s="12"/>
      <c r="AH20" s="284"/>
      <c r="AI20" s="12"/>
      <c r="AJ20" s="123"/>
      <c r="AK20" s="12"/>
      <c r="AL20" s="284"/>
      <c r="AM20" s="159"/>
      <c r="AN20" s="152">
        <f>SUMIF('Date masura OD'!$G:$G,B20,'Date masura OD'!$BC:$BC)</f>
        <v>0</v>
      </c>
      <c r="AO20" s="16">
        <v>0</v>
      </c>
      <c r="AP20" s="16">
        <v>0</v>
      </c>
      <c r="AQ20" s="16">
        <v>0</v>
      </c>
      <c r="AR20" s="1">
        <f t="shared" si="4"/>
        <v>0</v>
      </c>
      <c r="AS20" s="1">
        <f t="shared" si="21"/>
        <v>0</v>
      </c>
      <c r="AT20" s="1">
        <f t="shared" si="5"/>
        <v>0</v>
      </c>
      <c r="AU20" s="1">
        <f>SUMIF('Date masura OD'!$G:$G,B20,'Date masura OD'!$AY:$AY)</f>
        <v>0</v>
      </c>
      <c r="AV20" s="1">
        <f>SUMIF('Date masura OD'!$G:$G,B20,'Date masura OD'!$AZ:$AZ)</f>
        <v>0</v>
      </c>
      <c r="AW20" s="1">
        <f>SUMIF('Date masura OD'!$G:$G,B20,'Date masura OD'!$BA:$BA)</f>
        <v>0</v>
      </c>
      <c r="AX20" s="1">
        <f>SUMIF('Date masura OD'!$G:$G,B20,'Date masura OD'!$BB:$BB)</f>
        <v>0</v>
      </c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13"/>
      <c r="BP20" s="46"/>
      <c r="BQ20" s="1"/>
      <c r="BR20" s="1"/>
      <c r="BS20" s="1"/>
      <c r="BT20" s="1"/>
      <c r="BU20" s="1"/>
      <c r="BV20" s="1"/>
      <c r="BX20" s="1" t="str">
        <f t="shared" si="6"/>
        <v>RTIM</v>
      </c>
      <c r="BY20" s="1">
        <f t="shared" si="7"/>
        <v>0</v>
      </c>
      <c r="BZ20" s="1">
        <f t="shared" si="8"/>
        <v>0</v>
      </c>
      <c r="CA20" s="1">
        <f t="shared" si="9"/>
        <v>0</v>
      </c>
      <c r="CB20" s="1">
        <f t="shared" si="10"/>
        <v>0</v>
      </c>
      <c r="CC20" s="1">
        <f t="shared" si="11"/>
        <v>0</v>
      </c>
      <c r="CD20" s="1">
        <f t="shared" si="12"/>
        <v>0</v>
      </c>
      <c r="CE20" s="1">
        <f t="shared" si="13"/>
        <v>0</v>
      </c>
      <c r="CG20" s="1" t="str">
        <f>VLOOKUP(CH20,'Date SPV'!$B$4:$D$25,3,FALSE)</f>
        <v>Mega Mall Bucuresti SRL</v>
      </c>
      <c r="CH20" s="1" t="s">
        <v>3</v>
      </c>
      <c r="CI20" s="74">
        <f t="shared" si="14"/>
        <v>0</v>
      </c>
      <c r="CJ20" s="1">
        <f t="shared" si="15"/>
        <v>0</v>
      </c>
      <c r="CK20" s="1">
        <f t="shared" si="16"/>
        <v>0</v>
      </c>
      <c r="CL20" s="1">
        <f t="shared" si="17"/>
        <v>0</v>
      </c>
      <c r="CM20" s="1">
        <f t="shared" si="18"/>
        <v>0</v>
      </c>
      <c r="CN20" s="1">
        <f t="shared" si="19"/>
        <v>0</v>
      </c>
      <c r="CO20" s="1">
        <f t="shared" si="20"/>
        <v>0</v>
      </c>
      <c r="CP20" s="75"/>
      <c r="CR20" s="30" t="s">
        <v>526</v>
      </c>
      <c r="CS20" s="291">
        <v>570420</v>
      </c>
      <c r="CT20" s="291">
        <v>0</v>
      </c>
      <c r="CU20" s="291">
        <v>0</v>
      </c>
      <c r="CV20" s="291">
        <v>0</v>
      </c>
      <c r="CW20" s="107" t="s">
        <v>959</v>
      </c>
      <c r="CX20" s="312">
        <v>8557</v>
      </c>
      <c r="CY20" s="184">
        <v>0</v>
      </c>
      <c r="CZ20" s="88">
        <v>0</v>
      </c>
      <c r="DA20" s="88">
        <v>0</v>
      </c>
      <c r="DB20" s="29" t="s">
        <v>69</v>
      </c>
      <c r="DC20" s="87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321">
        <v>0</v>
      </c>
      <c r="DJ20" s="88">
        <v>0</v>
      </c>
    </row>
    <row r="21" spans="1:114" ht="16.5" thickBot="1">
      <c r="A21" s="17">
        <f t="shared" si="22"/>
        <v>18</v>
      </c>
      <c r="B21" s="37" t="s">
        <v>535</v>
      </c>
      <c r="C21" s="17" t="s">
        <v>535</v>
      </c>
      <c r="D21" s="17"/>
      <c r="E21" s="17" t="s">
        <v>13</v>
      </c>
      <c r="F21" s="16"/>
      <c r="G21" s="16"/>
      <c r="H21" s="16"/>
      <c r="I21" s="16"/>
      <c r="J21" s="16"/>
      <c r="K21" s="16"/>
      <c r="L21" s="16"/>
      <c r="M21" s="16"/>
      <c r="N21" s="12"/>
      <c r="O21" s="12"/>
      <c r="P21" s="12"/>
      <c r="Q21" s="12"/>
      <c r="R21" s="12"/>
      <c r="S21" s="12"/>
      <c r="T21" s="12"/>
      <c r="U21" s="12"/>
      <c r="V21" s="22"/>
      <c r="W21" s="22"/>
      <c r="X21" s="22"/>
      <c r="Y21" s="22"/>
      <c r="Z21" s="158"/>
      <c r="AA21" s="12"/>
      <c r="AB21" s="284"/>
      <c r="AC21" s="12"/>
      <c r="AD21" s="12"/>
      <c r="AE21" s="12"/>
      <c r="AF21" s="123"/>
      <c r="AG21" s="12"/>
      <c r="AH21" s="284"/>
      <c r="AI21" s="12"/>
      <c r="AJ21" s="123"/>
      <c r="AK21" s="12"/>
      <c r="AL21" s="284"/>
      <c r="AM21" s="159"/>
      <c r="AN21" s="152">
        <f>SUMIF('Date masura OD'!$G:$G,B21,'Date masura OD'!$BC:$BC)</f>
        <v>0</v>
      </c>
      <c r="AO21" s="16">
        <v>0</v>
      </c>
      <c r="AP21" s="16">
        <v>0</v>
      </c>
      <c r="AQ21" s="16">
        <v>0</v>
      </c>
      <c r="AR21" s="1">
        <f t="shared" si="4"/>
        <v>4413</v>
      </c>
      <c r="AS21" s="1">
        <f t="shared" si="21"/>
        <v>0</v>
      </c>
      <c r="AT21" s="1">
        <f t="shared" si="5"/>
        <v>0</v>
      </c>
      <c r="AU21" s="1">
        <f>SUMIF('Date masura OD'!$G:$G,B21,'Date masura OD'!$AY:$AY)</f>
        <v>0</v>
      </c>
      <c r="AV21" s="1">
        <f>SUMIF('Date masura OD'!$G:$G,B21,'Date masura OD'!$AZ:$AZ)</f>
        <v>0</v>
      </c>
      <c r="AW21" s="1">
        <f>SUMIF('Date masura OD'!$G:$G,B21,'Date masura OD'!$BA:$BA)</f>
        <v>0</v>
      </c>
      <c r="AX21" s="1">
        <f>SUMIF('Date masura OD'!$G:$G,B21,'Date masura OD'!$BB:$BB)</f>
        <v>0</v>
      </c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13"/>
      <c r="BP21" s="46"/>
      <c r="BQ21" s="1"/>
      <c r="BR21" s="1"/>
      <c r="BS21" s="1"/>
      <c r="BT21" s="1"/>
      <c r="BU21" s="1"/>
      <c r="BV21" s="1"/>
      <c r="BX21" s="1" t="str">
        <f t="shared" si="6"/>
        <v/>
      </c>
      <c r="BY21" s="1">
        <f t="shared" si="7"/>
        <v>0</v>
      </c>
      <c r="BZ21" s="1">
        <f t="shared" si="8"/>
        <v>0</v>
      </c>
      <c r="CA21" s="1">
        <f t="shared" si="9"/>
        <v>0</v>
      </c>
      <c r="CB21" s="1">
        <f t="shared" si="10"/>
        <v>0</v>
      </c>
      <c r="CC21" s="1">
        <f t="shared" si="11"/>
        <v>0</v>
      </c>
      <c r="CD21" s="1">
        <f t="shared" si="12"/>
        <v>0</v>
      </c>
      <c r="CE21" s="1">
        <f t="shared" si="13"/>
        <v>0</v>
      </c>
      <c r="CG21" s="1" t="str">
        <f>VLOOKUP(CH21,'Date SPV'!$B$4:$D$25,3,FALSE)</f>
        <v>Severin Shopping Center SRL</v>
      </c>
      <c r="CH21" s="1" t="s">
        <v>12</v>
      </c>
      <c r="CI21" s="74">
        <f t="shared" si="14"/>
        <v>1563</v>
      </c>
      <c r="CJ21" s="1">
        <f t="shared" si="15"/>
        <v>0</v>
      </c>
      <c r="CK21" s="1">
        <f t="shared" si="16"/>
        <v>0</v>
      </c>
      <c r="CL21" s="1">
        <f t="shared" si="17"/>
        <v>3811</v>
      </c>
      <c r="CM21" s="1">
        <f t="shared" si="18"/>
        <v>1893</v>
      </c>
      <c r="CN21" s="1">
        <f t="shared" si="19"/>
        <v>42</v>
      </c>
      <c r="CO21" s="1">
        <f t="shared" si="20"/>
        <v>0</v>
      </c>
      <c r="CP21" s="75"/>
      <c r="CR21" s="30" t="s">
        <v>499</v>
      </c>
      <c r="CS21" s="291">
        <v>0</v>
      </c>
      <c r="CT21" s="291">
        <v>0</v>
      </c>
      <c r="CU21" s="291">
        <v>0</v>
      </c>
      <c r="CV21" s="291">
        <v>0</v>
      </c>
      <c r="CW21" s="107" t="s">
        <v>578</v>
      </c>
      <c r="CX21" s="312">
        <v>0</v>
      </c>
      <c r="CY21" s="184">
        <v>0</v>
      </c>
      <c r="CZ21" s="88">
        <v>0</v>
      </c>
      <c r="DA21" s="88">
        <v>0</v>
      </c>
      <c r="DB21" s="29" t="s">
        <v>69</v>
      </c>
      <c r="DC21" s="87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</row>
    <row r="22" spans="1:114" ht="16.5" thickBot="1">
      <c r="A22" s="17">
        <f t="shared" si="22"/>
        <v>19</v>
      </c>
      <c r="B22" s="131" t="s">
        <v>536</v>
      </c>
      <c r="C22" s="17" t="s">
        <v>536</v>
      </c>
      <c r="D22" s="12"/>
      <c r="E22" s="17" t="s">
        <v>13</v>
      </c>
      <c r="F22" s="16"/>
      <c r="G22" s="16"/>
      <c r="H22" s="16"/>
      <c r="I22" s="16"/>
      <c r="J22" s="16"/>
      <c r="K22" s="16"/>
      <c r="L22" s="16"/>
      <c r="M22" s="16"/>
      <c r="N22" s="12"/>
      <c r="O22" s="12"/>
      <c r="P22" s="12"/>
      <c r="Q22" s="12"/>
      <c r="R22" s="12"/>
      <c r="S22" s="12"/>
      <c r="T22" s="12"/>
      <c r="U22" s="12"/>
      <c r="V22" s="243"/>
      <c r="W22" s="22"/>
      <c r="X22" s="22"/>
      <c r="Y22" s="22"/>
      <c r="Z22" s="160"/>
      <c r="AA22" s="12"/>
      <c r="AB22" s="284"/>
      <c r="AC22" s="12"/>
      <c r="AD22" s="12"/>
      <c r="AE22" s="12"/>
      <c r="AF22" s="123"/>
      <c r="AG22" s="12"/>
      <c r="AH22" s="284"/>
      <c r="AI22" s="12"/>
      <c r="AJ22" s="125"/>
      <c r="AK22" s="12"/>
      <c r="AL22" s="284"/>
      <c r="AM22" s="161"/>
      <c r="AN22" s="152">
        <f>SUMIF('Date masura OD'!$G:$G,B22,'Date masura OD'!$BC:$BC)</f>
        <v>79</v>
      </c>
      <c r="AO22" s="16">
        <v>0</v>
      </c>
      <c r="AP22" s="16">
        <v>0</v>
      </c>
      <c r="AQ22" s="16">
        <v>0</v>
      </c>
      <c r="AR22" s="1">
        <f t="shared" si="4"/>
        <v>0</v>
      </c>
      <c r="AS22" s="1">
        <f t="shared" si="21"/>
        <v>0</v>
      </c>
      <c r="AT22" s="1">
        <f t="shared" si="5"/>
        <v>79</v>
      </c>
      <c r="AU22" s="1">
        <f>SUMIF('Date masura OD'!$G:$G,B22,'Date masura OD'!$AY:$AY)</f>
        <v>0</v>
      </c>
      <c r="AV22" s="1">
        <f>SUMIF('Date masura OD'!$G:$G,B22,'Date masura OD'!$AZ:$AZ)</f>
        <v>0</v>
      </c>
      <c r="AW22" s="1">
        <f>SUMIF('Date masura OD'!$G:$G,B22,'Date masura OD'!$BA:$BA)</f>
        <v>0</v>
      </c>
      <c r="AX22" s="1">
        <f>SUMIF('Date masura OD'!$G:$G,B22,'Date masura OD'!$BB:$BB)</f>
        <v>0</v>
      </c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13"/>
      <c r="BP22" s="44">
        <f>AN22</f>
        <v>79</v>
      </c>
      <c r="BQ22" s="1"/>
      <c r="BR22" s="1"/>
      <c r="BS22" s="16">
        <f>AU22</f>
        <v>0</v>
      </c>
      <c r="BT22" s="16">
        <f>AV22</f>
        <v>0</v>
      </c>
      <c r="BU22" s="16">
        <f>AW22</f>
        <v>0</v>
      </c>
      <c r="BV22" s="16">
        <f>AX22</f>
        <v>0</v>
      </c>
      <c r="BX22" s="1" t="str">
        <f t="shared" si="6"/>
        <v>RTJD</v>
      </c>
      <c r="BY22" s="1">
        <f t="shared" si="7"/>
        <v>79</v>
      </c>
      <c r="BZ22" s="1">
        <f t="shared" si="8"/>
        <v>0</v>
      </c>
      <c r="CA22" s="1">
        <f t="shared" si="9"/>
        <v>0</v>
      </c>
      <c r="CB22" s="1">
        <f t="shared" si="10"/>
        <v>0</v>
      </c>
      <c r="CC22" s="1">
        <f t="shared" si="11"/>
        <v>0</v>
      </c>
      <c r="CD22" s="1">
        <f t="shared" si="12"/>
        <v>0</v>
      </c>
      <c r="CE22" s="1">
        <f t="shared" si="13"/>
        <v>0</v>
      </c>
      <c r="CG22" s="1" t="str">
        <f>VLOOKUP(CH22,'Date SPV'!$B$4:$D$25,3,FALSE)</f>
        <v>Iris Titan Shopping Center SRL</v>
      </c>
      <c r="CH22" s="1" t="s">
        <v>16</v>
      </c>
      <c r="CI22" s="74">
        <f t="shared" si="14"/>
        <v>0</v>
      </c>
      <c r="CJ22" s="1">
        <f t="shared" si="15"/>
        <v>0</v>
      </c>
      <c r="CK22" s="1">
        <f t="shared" si="16"/>
        <v>0</v>
      </c>
      <c r="CL22" s="1">
        <f t="shared" si="17"/>
        <v>3292</v>
      </c>
      <c r="CM22" s="1">
        <f t="shared" si="18"/>
        <v>0</v>
      </c>
      <c r="CN22" s="1">
        <f t="shared" si="19"/>
        <v>0</v>
      </c>
      <c r="CO22" s="1">
        <f t="shared" si="20"/>
        <v>0</v>
      </c>
      <c r="CP22" s="75"/>
      <c r="CR22" s="30" t="s">
        <v>499</v>
      </c>
      <c r="CS22" s="291">
        <v>0</v>
      </c>
      <c r="CT22" s="291">
        <v>0</v>
      </c>
      <c r="CU22" s="291">
        <v>0</v>
      </c>
      <c r="CV22" s="291">
        <v>0</v>
      </c>
      <c r="CW22" s="107" t="s">
        <v>579</v>
      </c>
      <c r="CX22" s="312">
        <v>0</v>
      </c>
      <c r="CY22" s="184">
        <v>0</v>
      </c>
      <c r="CZ22" s="88">
        <v>0</v>
      </c>
      <c r="DA22" s="88">
        <v>0</v>
      </c>
      <c r="DB22" s="29" t="s">
        <v>69</v>
      </c>
      <c r="DC22" s="87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321">
        <v>0</v>
      </c>
      <c r="DJ22" s="88">
        <v>0</v>
      </c>
    </row>
    <row r="23" spans="1:114" ht="16.5" thickBot="1">
      <c r="A23" s="17">
        <f t="shared" si="22"/>
        <v>20</v>
      </c>
      <c r="B23" s="37" t="s">
        <v>537</v>
      </c>
      <c r="C23" s="17" t="s">
        <v>537</v>
      </c>
      <c r="D23" s="17"/>
      <c r="E23" s="17" t="s">
        <v>14</v>
      </c>
      <c r="F23" s="16"/>
      <c r="G23" s="16"/>
      <c r="H23" s="16"/>
      <c r="I23" s="16"/>
      <c r="J23" s="16"/>
      <c r="K23" s="16"/>
      <c r="L23" s="16"/>
      <c r="M23" s="16"/>
      <c r="N23" s="12"/>
      <c r="O23" s="12"/>
      <c r="P23" s="12"/>
      <c r="Q23" s="12"/>
      <c r="R23" s="12"/>
      <c r="S23" s="12"/>
      <c r="T23" s="12"/>
      <c r="U23" s="12"/>
      <c r="V23" s="22"/>
      <c r="W23" s="22"/>
      <c r="X23" s="22"/>
      <c r="Y23" s="22"/>
      <c r="Z23" s="160"/>
      <c r="AA23" s="12"/>
      <c r="AB23" s="284"/>
      <c r="AC23" s="12"/>
      <c r="AD23" s="12"/>
      <c r="AE23" s="12"/>
      <c r="AF23" s="125"/>
      <c r="AG23" s="12"/>
      <c r="AH23" s="284"/>
      <c r="AI23" s="12"/>
      <c r="AJ23" s="125"/>
      <c r="AK23" s="12"/>
      <c r="AL23" s="284"/>
      <c r="AM23" s="161"/>
      <c r="AN23" s="152">
        <f>SUMIF('Date masura OD'!$G:$G,B23,'Date masura OD'!$BC:$BC)</f>
        <v>0</v>
      </c>
      <c r="AO23" s="16">
        <v>0</v>
      </c>
      <c r="AP23" s="16">
        <v>0</v>
      </c>
      <c r="AQ23" s="16">
        <v>0</v>
      </c>
      <c r="AR23" s="1">
        <f t="shared" si="4"/>
        <v>2748</v>
      </c>
      <c r="AS23" s="1">
        <f t="shared" si="21"/>
        <v>0</v>
      </c>
      <c r="AT23" s="1">
        <f t="shared" si="5"/>
        <v>0</v>
      </c>
      <c r="AU23" s="1">
        <f>SUMIF('Date masura OD'!$G:$G,B23,'Date masura OD'!$AY:$AY)</f>
        <v>0</v>
      </c>
      <c r="AV23" s="1">
        <f>SUMIF('Date masura OD'!$G:$G,B23,'Date masura OD'!$AZ:$AZ)</f>
        <v>0</v>
      </c>
      <c r="AW23" s="1">
        <f>SUMIF('Date masura OD'!$G:$G,B23,'Date masura OD'!$BA:$BA)</f>
        <v>0</v>
      </c>
      <c r="AX23" s="1">
        <f>SUMIF('Date masura OD'!$G:$G,B23,'Date masura OD'!$BB:$BB)</f>
        <v>0</v>
      </c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13"/>
      <c r="BP23" s="46"/>
      <c r="BQ23" s="1"/>
      <c r="BR23" s="1"/>
      <c r="BS23" s="1"/>
      <c r="BT23" s="1"/>
      <c r="BU23" s="1"/>
      <c r="BV23" s="1"/>
      <c r="BX23" s="1" t="str">
        <f t="shared" si="6"/>
        <v>RVUL</v>
      </c>
      <c r="BY23" s="1">
        <f t="shared" si="7"/>
        <v>0</v>
      </c>
      <c r="BZ23" s="1">
        <f t="shared" si="8"/>
        <v>0</v>
      </c>
      <c r="CA23" s="1">
        <f t="shared" si="9"/>
        <v>0</v>
      </c>
      <c r="CB23" s="1">
        <f t="shared" si="10"/>
        <v>0</v>
      </c>
      <c r="CC23" s="1">
        <f t="shared" si="11"/>
        <v>0</v>
      </c>
      <c r="CD23" s="1">
        <f t="shared" si="12"/>
        <v>0</v>
      </c>
      <c r="CE23" s="1">
        <f t="shared" si="13"/>
        <v>0</v>
      </c>
      <c r="CG23" s="1" t="str">
        <f>VLOOKUP(CH23,'Date SPV'!$B$4:$D$25,3,FALSE)</f>
        <v>NRE Sibiu Shopping City SRL</v>
      </c>
      <c r="CH23" s="1" t="s">
        <v>18</v>
      </c>
      <c r="CI23" s="74">
        <f t="shared" si="14"/>
        <v>0</v>
      </c>
      <c r="CJ23" s="1">
        <f t="shared" si="15"/>
        <v>0</v>
      </c>
      <c r="CK23" s="1">
        <f t="shared" si="16"/>
        <v>0</v>
      </c>
      <c r="CL23" s="1">
        <f t="shared" si="17"/>
        <v>897</v>
      </c>
      <c r="CM23" s="1">
        <f t="shared" si="18"/>
        <v>292</v>
      </c>
      <c r="CN23" s="1">
        <f t="shared" si="19"/>
        <v>47</v>
      </c>
      <c r="CO23" s="1">
        <f t="shared" si="20"/>
        <v>0</v>
      </c>
      <c r="CP23" s="75"/>
      <c r="CR23" s="93" t="s">
        <v>499</v>
      </c>
      <c r="CS23" s="291">
        <v>0</v>
      </c>
      <c r="CT23" s="291">
        <v>0</v>
      </c>
      <c r="CU23" s="291">
        <v>0</v>
      </c>
      <c r="CV23" s="291">
        <v>0</v>
      </c>
      <c r="CW23" s="108" t="s">
        <v>960</v>
      </c>
      <c r="CX23" s="312">
        <v>0</v>
      </c>
      <c r="CY23" s="184">
        <v>0</v>
      </c>
      <c r="CZ23" s="88">
        <v>0</v>
      </c>
      <c r="DA23" s="88">
        <v>0</v>
      </c>
      <c r="DB23" s="94" t="s">
        <v>69</v>
      </c>
      <c r="DC23" s="87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321">
        <v>0</v>
      </c>
      <c r="DJ23" s="88">
        <v>0</v>
      </c>
    </row>
    <row r="24" spans="1:114" ht="16.5" thickBot="1">
      <c r="A24" s="17">
        <f t="shared" si="22"/>
        <v>21</v>
      </c>
      <c r="B24" s="37" t="s">
        <v>538</v>
      </c>
      <c r="C24" s="17" t="s">
        <v>538</v>
      </c>
      <c r="D24" s="17"/>
      <c r="E24" s="17" t="s">
        <v>19</v>
      </c>
      <c r="F24" s="16"/>
      <c r="G24" s="16"/>
      <c r="H24" s="16"/>
      <c r="I24" s="16"/>
      <c r="J24" s="16"/>
      <c r="K24" s="16"/>
      <c r="L24" s="16"/>
      <c r="M24" s="16"/>
      <c r="N24" s="12"/>
      <c r="O24" s="12"/>
      <c r="P24" s="12"/>
      <c r="Q24" s="12"/>
      <c r="R24" s="12"/>
      <c r="S24" s="12"/>
      <c r="T24" s="12"/>
      <c r="U24" s="12"/>
      <c r="V24" s="22"/>
      <c r="W24" s="22"/>
      <c r="X24" s="22"/>
      <c r="Y24" s="22"/>
      <c r="Z24" s="160"/>
      <c r="AA24" s="12"/>
      <c r="AB24" s="284"/>
      <c r="AC24" s="12"/>
      <c r="AD24" s="12"/>
      <c r="AE24" s="12"/>
      <c r="AF24" s="125"/>
      <c r="AG24" s="12"/>
      <c r="AH24" s="284"/>
      <c r="AI24" s="12"/>
      <c r="AJ24" s="125"/>
      <c r="AK24" s="12"/>
      <c r="AL24" s="284"/>
      <c r="AM24" s="161"/>
      <c r="AN24" s="152">
        <f>SUMIF('Date masura OD'!$G:$G,B24,'Date masura OD'!$BC:$BC)</f>
        <v>0</v>
      </c>
      <c r="AO24" s="16">
        <v>0</v>
      </c>
      <c r="AP24" s="16">
        <v>0</v>
      </c>
      <c r="AQ24" s="16">
        <v>0</v>
      </c>
      <c r="AR24" s="1">
        <f t="shared" si="4"/>
        <v>12977</v>
      </c>
      <c r="AS24" s="1">
        <f t="shared" si="21"/>
        <v>0</v>
      </c>
      <c r="AT24" s="1">
        <f t="shared" si="5"/>
        <v>0</v>
      </c>
      <c r="AU24" s="1">
        <f>SUMIF('Date masura OD'!$G:$G,B24,'Date masura OD'!$AY:$AY)</f>
        <v>0</v>
      </c>
      <c r="AV24" s="1">
        <f>SUMIF('Date masura OD'!$G:$G,B24,'Date masura OD'!$AZ:$AZ)</f>
        <v>0</v>
      </c>
      <c r="AW24" s="1">
        <f>SUMIF('Date masura OD'!$G:$G,B24,'Date masura OD'!$BA:$BA)</f>
        <v>0</v>
      </c>
      <c r="AX24" s="1">
        <f>SUMIF('Date masura OD'!$G:$G,B24,'Date masura OD'!$BB:$BB)</f>
        <v>0</v>
      </c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13"/>
      <c r="BP24" s="46"/>
      <c r="BQ24" s="1"/>
      <c r="BR24" s="1"/>
      <c r="BS24" s="1"/>
      <c r="BT24" s="1"/>
      <c r="BU24" s="1"/>
      <c r="BV24" s="1"/>
      <c r="BX24" s="1" t="str">
        <f t="shared" si="6"/>
        <v/>
      </c>
      <c r="BY24" s="1">
        <f t="shared" si="7"/>
        <v>0</v>
      </c>
      <c r="BZ24" s="1">
        <f t="shared" si="8"/>
        <v>0</v>
      </c>
      <c r="CA24" s="1">
        <f t="shared" si="9"/>
        <v>0</v>
      </c>
      <c r="CB24" s="1">
        <f t="shared" si="10"/>
        <v>0</v>
      </c>
      <c r="CC24" s="1">
        <f t="shared" si="11"/>
        <v>0</v>
      </c>
      <c r="CD24" s="1">
        <f t="shared" si="12"/>
        <v>0</v>
      </c>
      <c r="CE24" s="1">
        <f t="shared" si="13"/>
        <v>0</v>
      </c>
      <c r="CG24" s="1" t="str">
        <f>VLOOKUP(CH24,'Date SPV'!$B$4:$D$25,3,FALSE)</f>
        <v>Sibiu Shopping City 2 SRL</v>
      </c>
      <c r="CH24" s="1" t="s">
        <v>17</v>
      </c>
      <c r="CI24" s="74">
        <f t="shared" si="14"/>
        <v>0</v>
      </c>
      <c r="CJ24" s="1">
        <f t="shared" si="15"/>
        <v>0</v>
      </c>
      <c r="CK24" s="1">
        <f t="shared" si="16"/>
        <v>0</v>
      </c>
      <c r="CL24" s="1">
        <f t="shared" si="17"/>
        <v>3</v>
      </c>
      <c r="CM24" s="1">
        <f t="shared" si="18"/>
        <v>0</v>
      </c>
      <c r="CN24" s="1">
        <f t="shared" si="19"/>
        <v>102</v>
      </c>
      <c r="CO24" s="1">
        <f t="shared" si="20"/>
        <v>0</v>
      </c>
      <c r="CP24" s="75"/>
      <c r="CR24" s="86" t="s">
        <v>527</v>
      </c>
      <c r="CS24" s="291">
        <v>276760</v>
      </c>
      <c r="CT24" s="291">
        <v>0</v>
      </c>
      <c r="CU24" s="291">
        <v>0</v>
      </c>
      <c r="CV24" s="291">
        <v>0</v>
      </c>
      <c r="CW24" s="106" t="s">
        <v>580</v>
      </c>
      <c r="CX24" s="312">
        <v>166065</v>
      </c>
      <c r="CY24" s="184">
        <v>0</v>
      </c>
      <c r="CZ24" s="88">
        <v>3838</v>
      </c>
      <c r="DA24" s="88">
        <v>5144</v>
      </c>
      <c r="DB24" s="89" t="s">
        <v>69</v>
      </c>
      <c r="DC24" s="87">
        <v>0</v>
      </c>
      <c r="DD24" s="88">
        <v>0</v>
      </c>
      <c r="DE24" s="88">
        <v>0</v>
      </c>
      <c r="DF24" s="88">
        <v>0</v>
      </c>
      <c r="DG24" s="88">
        <v>166065</v>
      </c>
      <c r="DH24" s="88">
        <v>0</v>
      </c>
      <c r="DI24" s="88">
        <v>28112</v>
      </c>
      <c r="DJ24" s="88">
        <v>2491</v>
      </c>
    </row>
    <row r="25" spans="1:114" ht="16.5" thickBot="1">
      <c r="A25" s="17">
        <f t="shared" si="22"/>
        <v>22</v>
      </c>
      <c r="B25" s="37" t="s">
        <v>997</v>
      </c>
      <c r="C25" s="17" t="s">
        <v>997</v>
      </c>
      <c r="D25" s="17"/>
      <c r="E25" s="17" t="s">
        <v>19</v>
      </c>
      <c r="F25" s="16"/>
      <c r="G25" s="16"/>
      <c r="H25" s="16"/>
      <c r="I25" s="16"/>
      <c r="J25" s="16"/>
      <c r="K25" s="16"/>
      <c r="L25" s="16"/>
      <c r="M25" s="16"/>
      <c r="N25" s="12"/>
      <c r="O25" s="12"/>
      <c r="P25" s="12"/>
      <c r="Q25" s="12"/>
      <c r="R25" s="12"/>
      <c r="S25" s="12"/>
      <c r="T25" s="12"/>
      <c r="U25" s="12"/>
      <c r="V25" s="22"/>
      <c r="W25" s="22"/>
      <c r="X25" s="22"/>
      <c r="Y25" s="22"/>
      <c r="Z25" s="160"/>
      <c r="AA25" s="12"/>
      <c r="AB25" s="284"/>
      <c r="AC25" s="12"/>
      <c r="AD25" s="12"/>
      <c r="AE25" s="12"/>
      <c r="AF25" s="125"/>
      <c r="AG25" s="12"/>
      <c r="AH25" s="284"/>
      <c r="AI25" s="12"/>
      <c r="AJ25" s="125"/>
      <c r="AK25" s="12"/>
      <c r="AL25" s="284"/>
      <c r="AM25" s="161"/>
      <c r="AN25" s="152">
        <f>SUMIF('Date masura OD'!$G:$G,B25,'Date masura OD'!$BC:$BC)</f>
        <v>0</v>
      </c>
      <c r="AO25" s="16">
        <v>0</v>
      </c>
      <c r="AP25" s="16">
        <v>0</v>
      </c>
      <c r="AQ25" s="16">
        <v>0</v>
      </c>
      <c r="AR25" s="1">
        <f t="shared" si="4"/>
        <v>0</v>
      </c>
      <c r="AS25" s="1">
        <f t="shared" si="21"/>
        <v>0</v>
      </c>
      <c r="AT25" s="1">
        <f t="shared" si="5"/>
        <v>0</v>
      </c>
      <c r="AU25" s="1">
        <f>SUMIF('Date masura OD'!$G:$G,B25,'Date masura OD'!$AY:$AY)</f>
        <v>0</v>
      </c>
      <c r="AV25" s="1">
        <f>SUMIF('Date masura OD'!$G:$G,B25,'Date masura OD'!$AZ:$AZ)</f>
        <v>0</v>
      </c>
      <c r="AW25" s="1">
        <f>SUMIF('Date masura OD'!$G:$G,B25,'Date masura OD'!$BA:$BA)</f>
        <v>0</v>
      </c>
      <c r="AX25" s="1">
        <f>SUMIF('Date masura OD'!$G:$G,B25,'Date masura OD'!$BB:$BB)</f>
        <v>0</v>
      </c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13"/>
      <c r="BP25" s="46"/>
      <c r="BQ25" s="1"/>
      <c r="BR25" s="1"/>
      <c r="BS25" s="1"/>
      <c r="BT25" s="1"/>
      <c r="BU25" s="1"/>
      <c r="BV25" s="1"/>
      <c r="BX25" s="1" t="str">
        <f t="shared" si="6"/>
        <v>RFSC</v>
      </c>
      <c r="BY25" s="1">
        <f t="shared" si="7"/>
        <v>0</v>
      </c>
      <c r="BZ25" s="1">
        <f t="shared" si="8"/>
        <v>0</v>
      </c>
      <c r="CA25" s="1">
        <f t="shared" si="9"/>
        <v>0</v>
      </c>
      <c r="CB25" s="1">
        <f t="shared" si="10"/>
        <v>0</v>
      </c>
      <c r="CC25" s="1">
        <f t="shared" si="11"/>
        <v>0</v>
      </c>
      <c r="CD25" s="1">
        <f t="shared" si="12"/>
        <v>0</v>
      </c>
      <c r="CE25" s="1">
        <f t="shared" si="13"/>
        <v>0</v>
      </c>
      <c r="CG25" s="1" t="str">
        <f>VLOOKUP(CH25,'Date SPV'!$B$4:$D$25,3,FALSE)</f>
        <v>Retail Park Pitesti SRL</v>
      </c>
      <c r="CH25" s="1" t="s">
        <v>10</v>
      </c>
      <c r="CI25" s="74">
        <f t="shared" si="14"/>
        <v>0</v>
      </c>
      <c r="CJ25" s="1">
        <f t="shared" si="15"/>
        <v>0</v>
      </c>
      <c r="CK25" s="1">
        <f t="shared" si="16"/>
        <v>0</v>
      </c>
      <c r="CL25" s="1">
        <f t="shared" si="17"/>
        <v>0</v>
      </c>
      <c r="CM25" s="1">
        <f t="shared" si="18"/>
        <v>0</v>
      </c>
      <c r="CN25" s="1">
        <f t="shared" si="19"/>
        <v>11931</v>
      </c>
      <c r="CO25" s="1">
        <f t="shared" si="20"/>
        <v>10195</v>
      </c>
      <c r="CP25" s="75"/>
      <c r="CR25" s="30" t="s">
        <v>527</v>
      </c>
      <c r="CS25" s="291">
        <v>276760</v>
      </c>
      <c r="CT25" s="291">
        <v>0</v>
      </c>
      <c r="CU25" s="291">
        <v>0</v>
      </c>
      <c r="CV25" s="291">
        <v>0</v>
      </c>
      <c r="CW25" s="107" t="s">
        <v>581</v>
      </c>
      <c r="CX25" s="312">
        <v>106543</v>
      </c>
      <c r="CY25" s="184">
        <v>28112</v>
      </c>
      <c r="CZ25" s="88">
        <v>6106</v>
      </c>
      <c r="DA25" s="88">
        <v>1026</v>
      </c>
      <c r="DB25" s="29" t="s">
        <v>667</v>
      </c>
      <c r="DC25" s="87">
        <v>0</v>
      </c>
      <c r="DD25" s="88">
        <v>135589</v>
      </c>
      <c r="DE25" s="88">
        <v>71</v>
      </c>
      <c r="DF25" s="88">
        <v>1635</v>
      </c>
      <c r="DG25" s="88">
        <v>106543</v>
      </c>
      <c r="DH25" s="88">
        <v>107477</v>
      </c>
      <c r="DI25" s="321">
        <v>0</v>
      </c>
      <c r="DJ25" s="88">
        <v>1661</v>
      </c>
    </row>
    <row r="26" spans="1:114" ht="16.5" thickBot="1">
      <c r="A26" s="17">
        <f t="shared" si="22"/>
        <v>23</v>
      </c>
      <c r="B26" s="37" t="s">
        <v>539</v>
      </c>
      <c r="C26" s="17" t="s">
        <v>539</v>
      </c>
      <c r="D26" s="17"/>
      <c r="E26" s="17" t="s">
        <v>4</v>
      </c>
      <c r="F26" s="16"/>
      <c r="G26" s="16"/>
      <c r="H26" s="16"/>
      <c r="I26" s="16"/>
      <c r="J26" s="16"/>
      <c r="K26" s="16"/>
      <c r="L26" s="16"/>
      <c r="M26" s="16"/>
      <c r="N26" s="12"/>
      <c r="O26" s="12"/>
      <c r="P26" s="12"/>
      <c r="Q26" s="12"/>
      <c r="R26" s="12"/>
      <c r="S26" s="12"/>
      <c r="T26" s="12"/>
      <c r="U26" s="12"/>
      <c r="V26" s="22"/>
      <c r="W26" s="22"/>
      <c r="X26" s="22"/>
      <c r="Y26" s="22"/>
      <c r="Z26" s="160"/>
      <c r="AA26" s="12"/>
      <c r="AB26" s="284"/>
      <c r="AC26" s="12"/>
      <c r="AD26" s="12"/>
      <c r="AE26" s="12"/>
      <c r="AF26" s="125"/>
      <c r="AG26" s="12"/>
      <c r="AH26" s="284"/>
      <c r="AI26" s="12"/>
      <c r="AJ26" s="125"/>
      <c r="AK26" s="12"/>
      <c r="AL26" s="284"/>
      <c r="AM26" s="161"/>
      <c r="AN26" s="152">
        <f>SUMIF('Date masura OD'!$G:$G,B26,'Date masura OD'!$BC:$BC)</f>
        <v>0</v>
      </c>
      <c r="AO26" s="16">
        <v>0</v>
      </c>
      <c r="AP26" s="16">
        <v>0</v>
      </c>
      <c r="AQ26" s="16">
        <v>0</v>
      </c>
      <c r="AR26" s="1">
        <f t="shared" si="4"/>
        <v>18660</v>
      </c>
      <c r="AS26" s="1">
        <f t="shared" si="21"/>
        <v>0</v>
      </c>
      <c r="AT26" s="1">
        <f t="shared" si="5"/>
        <v>0</v>
      </c>
      <c r="AU26" s="1">
        <f>SUMIF('Date masura OD'!$G:$G,B26,'Date masura OD'!$AY:$AY)</f>
        <v>0</v>
      </c>
      <c r="AV26" s="1">
        <f>SUMIF('Date masura OD'!$G:$G,B26,'Date masura OD'!$AZ:$AZ)</f>
        <v>0</v>
      </c>
      <c r="AW26" s="1">
        <f>SUMIF('Date masura OD'!$G:$G,B26,'Date masura OD'!$BA:$BA)</f>
        <v>0</v>
      </c>
      <c r="AX26" s="1">
        <f>SUMIF('Date masura OD'!$G:$G,B26,'Date masura OD'!$BB:$BB)</f>
        <v>0</v>
      </c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13"/>
      <c r="BP26" s="46"/>
      <c r="BQ26" s="1"/>
      <c r="BR26" s="1"/>
      <c r="BS26" s="1"/>
      <c r="BT26" s="1"/>
      <c r="BU26" s="1"/>
      <c r="BV26" s="1"/>
      <c r="BX26" s="1" t="str">
        <f t="shared" si="6"/>
        <v/>
      </c>
      <c r="BY26" s="1">
        <f t="shared" si="7"/>
        <v>0</v>
      </c>
      <c r="BZ26" s="1">
        <f t="shared" si="8"/>
        <v>0</v>
      </c>
      <c r="CA26" s="1">
        <f t="shared" si="9"/>
        <v>0</v>
      </c>
      <c r="CB26" s="1">
        <f t="shared" si="10"/>
        <v>0</v>
      </c>
      <c r="CC26" s="1">
        <f t="shared" si="11"/>
        <v>0</v>
      </c>
      <c r="CD26" s="1">
        <f t="shared" si="12"/>
        <v>0</v>
      </c>
      <c r="CE26" s="1">
        <f t="shared" si="13"/>
        <v>0</v>
      </c>
      <c r="CG26" s="1" t="s">
        <v>1200</v>
      </c>
      <c r="CH26" s="1" t="s">
        <v>1198</v>
      </c>
      <c r="CI26" s="74">
        <f t="shared" si="14"/>
        <v>2220</v>
      </c>
      <c r="CJ26" s="1">
        <f t="shared" si="15"/>
        <v>0</v>
      </c>
      <c r="CK26" s="1">
        <f t="shared" si="16"/>
        <v>0</v>
      </c>
      <c r="CL26" s="1">
        <f t="shared" si="17"/>
        <v>8</v>
      </c>
      <c r="CM26" s="1">
        <f t="shared" si="18"/>
        <v>4</v>
      </c>
      <c r="CN26" s="1">
        <f t="shared" si="19"/>
        <v>3645</v>
      </c>
      <c r="CO26" s="1">
        <f t="shared" si="20"/>
        <v>864</v>
      </c>
      <c r="CP26" s="75"/>
      <c r="CR26" s="93" t="s">
        <v>527</v>
      </c>
      <c r="CS26" s="291">
        <v>276760</v>
      </c>
      <c r="CT26" s="291">
        <v>0</v>
      </c>
      <c r="CU26" s="291">
        <v>0</v>
      </c>
      <c r="CV26" s="291">
        <v>0</v>
      </c>
      <c r="CW26" s="108" t="s">
        <v>961</v>
      </c>
      <c r="CX26" s="312">
        <v>4152</v>
      </c>
      <c r="CY26" s="184">
        <v>0</v>
      </c>
      <c r="CZ26" s="88">
        <v>0</v>
      </c>
      <c r="DA26" s="88">
        <v>0</v>
      </c>
      <c r="DB26" s="94" t="s">
        <v>69</v>
      </c>
      <c r="DC26" s="87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321">
        <v>0</v>
      </c>
      <c r="DJ26" s="88">
        <v>0</v>
      </c>
    </row>
    <row r="27" spans="1:114" ht="16.5" thickBot="1">
      <c r="A27" s="17">
        <f t="shared" si="22"/>
        <v>24</v>
      </c>
      <c r="B27" s="131" t="s">
        <v>540</v>
      </c>
      <c r="C27" s="17" t="s">
        <v>540</v>
      </c>
      <c r="D27" s="17"/>
      <c r="E27" s="17" t="s">
        <v>4</v>
      </c>
      <c r="F27" s="16"/>
      <c r="G27" s="16"/>
      <c r="H27" s="16"/>
      <c r="I27" s="16"/>
      <c r="J27" s="16"/>
      <c r="K27" s="16"/>
      <c r="L27" s="16"/>
      <c r="M27" s="16"/>
      <c r="N27" s="12"/>
      <c r="O27" s="12"/>
      <c r="P27" s="12"/>
      <c r="Q27" s="12"/>
      <c r="R27" s="12"/>
      <c r="S27" s="12"/>
      <c r="T27" s="12"/>
      <c r="U27" s="12"/>
      <c r="V27" s="22"/>
      <c r="W27" s="22"/>
      <c r="X27" s="22"/>
      <c r="Y27" s="22"/>
      <c r="Z27" s="158"/>
      <c r="AA27" s="12"/>
      <c r="AB27" s="284"/>
      <c r="AC27" s="12"/>
      <c r="AD27" s="12"/>
      <c r="AE27" s="12"/>
      <c r="AF27" s="123"/>
      <c r="AG27" s="12"/>
      <c r="AH27" s="284"/>
      <c r="AI27" s="12"/>
      <c r="AJ27" s="123"/>
      <c r="AK27" s="12"/>
      <c r="AL27" s="284"/>
      <c r="AM27" s="159"/>
      <c r="AN27" s="152">
        <f>SUMIF('Date masura OD'!$G:$G,B27,'Date masura OD'!$BC:$BC)</f>
        <v>0</v>
      </c>
      <c r="AO27" s="16">
        <v>0</v>
      </c>
      <c r="AP27" s="16">
        <v>0</v>
      </c>
      <c r="AQ27" s="16">
        <v>0</v>
      </c>
      <c r="AR27" s="1">
        <f t="shared" si="4"/>
        <v>0</v>
      </c>
      <c r="AS27" s="1">
        <f t="shared" si="21"/>
        <v>0</v>
      </c>
      <c r="AT27" s="1">
        <f t="shared" si="5"/>
        <v>0</v>
      </c>
      <c r="AU27" s="1">
        <f>SUMIF('Date masura OD'!$G:$G,B27,'Date masura OD'!$AY:$AY)</f>
        <v>0</v>
      </c>
      <c r="AV27" s="1">
        <f>SUMIF('Date masura OD'!$G:$G,B27,'Date masura OD'!$AZ:$AZ)</f>
        <v>0</v>
      </c>
      <c r="AW27" s="1">
        <f>SUMIF('Date masura OD'!$G:$G,B27,'Date masura OD'!$BA:$BA)</f>
        <v>0</v>
      </c>
      <c r="AX27" s="1">
        <f>SUMIF('Date masura OD'!$G:$G,B27,'Date masura OD'!$BB:$BB)</f>
        <v>0</v>
      </c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13"/>
      <c r="BP27" s="44">
        <f>AN27</f>
        <v>0</v>
      </c>
      <c r="BQ27" s="1"/>
      <c r="BR27" s="1"/>
      <c r="BS27" s="16">
        <f t="shared" ref="BS27:BV29" si="24">AU27</f>
        <v>0</v>
      </c>
      <c r="BT27" s="16">
        <f t="shared" si="24"/>
        <v>0</v>
      </c>
      <c r="BU27" s="16">
        <f t="shared" si="24"/>
        <v>0</v>
      </c>
      <c r="BV27" s="16">
        <f t="shared" si="24"/>
        <v>0</v>
      </c>
      <c r="BX27" s="1" t="str">
        <f t="shared" si="6"/>
        <v/>
      </c>
      <c r="BY27" s="1">
        <f t="shared" si="7"/>
        <v>0</v>
      </c>
      <c r="BZ27" s="1">
        <f t="shared" si="8"/>
        <v>0</v>
      </c>
      <c r="CA27" s="1">
        <f t="shared" si="9"/>
        <v>0</v>
      </c>
      <c r="CB27" s="1">
        <f t="shared" si="10"/>
        <v>0</v>
      </c>
      <c r="CC27" s="1">
        <f t="shared" si="11"/>
        <v>0</v>
      </c>
      <c r="CD27" s="1">
        <f t="shared" si="12"/>
        <v>0</v>
      </c>
      <c r="CE27" s="1">
        <f t="shared" si="13"/>
        <v>0</v>
      </c>
      <c r="CG27" s="1" t="s">
        <v>1213</v>
      </c>
      <c r="CH27" s="1" t="s">
        <v>1197</v>
      </c>
      <c r="CI27" s="74">
        <f t="shared" si="14"/>
        <v>0</v>
      </c>
      <c r="CJ27" s="1">
        <f t="shared" si="15"/>
        <v>0</v>
      </c>
      <c r="CK27" s="1">
        <f t="shared" si="16"/>
        <v>0</v>
      </c>
      <c r="CL27" s="1">
        <f t="shared" si="17"/>
        <v>0</v>
      </c>
      <c r="CM27" s="1">
        <f t="shared" si="18"/>
        <v>0</v>
      </c>
      <c r="CN27" s="1">
        <f t="shared" si="19"/>
        <v>0</v>
      </c>
      <c r="CO27" s="1">
        <f t="shared" si="20"/>
        <v>0</v>
      </c>
      <c r="CP27" s="75"/>
      <c r="CR27" s="86" t="s">
        <v>528</v>
      </c>
      <c r="CS27" s="291">
        <v>372180</v>
      </c>
      <c r="CT27" s="291">
        <v>0</v>
      </c>
      <c r="CU27" s="291">
        <v>0</v>
      </c>
      <c r="CV27" s="291">
        <v>0</v>
      </c>
      <c r="CW27" s="106" t="s">
        <v>582</v>
      </c>
      <c r="CX27" s="312">
        <v>162940</v>
      </c>
      <c r="CY27" s="184">
        <v>0</v>
      </c>
      <c r="CZ27" s="88">
        <v>6916</v>
      </c>
      <c r="DA27" s="88">
        <v>2807</v>
      </c>
      <c r="DB27" s="89" t="s">
        <v>69</v>
      </c>
      <c r="DC27" s="87">
        <v>0</v>
      </c>
      <c r="DD27" s="88">
        <v>0</v>
      </c>
      <c r="DE27" s="88">
        <v>0</v>
      </c>
      <c r="DF27" s="88">
        <v>0</v>
      </c>
      <c r="DG27" s="88">
        <v>162940</v>
      </c>
      <c r="DH27" s="88">
        <v>0</v>
      </c>
      <c r="DI27" s="88">
        <v>14</v>
      </c>
      <c r="DJ27" s="88">
        <v>2445</v>
      </c>
    </row>
    <row r="28" spans="1:114" ht="15.95" customHeight="1" thickBot="1">
      <c r="A28" s="17">
        <f t="shared" si="22"/>
        <v>25</v>
      </c>
      <c r="B28" s="131" t="s">
        <v>541</v>
      </c>
      <c r="C28" s="17" t="s">
        <v>541</v>
      </c>
      <c r="D28" s="17"/>
      <c r="E28" s="17" t="s">
        <v>4</v>
      </c>
      <c r="F28" s="16"/>
      <c r="G28" s="16"/>
      <c r="H28" s="16"/>
      <c r="I28" s="16"/>
      <c r="J28" s="16"/>
      <c r="K28" s="16"/>
      <c r="L28" s="16"/>
      <c r="M28" s="16"/>
      <c r="N28" s="12"/>
      <c r="O28" s="12"/>
      <c r="P28" s="12"/>
      <c r="Q28" s="12"/>
      <c r="R28" s="12"/>
      <c r="S28" s="12"/>
      <c r="T28" s="12"/>
      <c r="U28" s="12"/>
      <c r="V28" s="22"/>
      <c r="W28" s="22"/>
      <c r="X28" s="22"/>
      <c r="Y28" s="22"/>
      <c r="Z28" s="162"/>
      <c r="AA28" s="12"/>
      <c r="AB28" s="284"/>
      <c r="AC28" s="12"/>
      <c r="AD28" s="12"/>
      <c r="AE28" s="12"/>
      <c r="AF28" s="126"/>
      <c r="AG28" s="12"/>
      <c r="AH28" s="284"/>
      <c r="AI28" s="12"/>
      <c r="AJ28" s="126"/>
      <c r="AK28" s="12"/>
      <c r="AL28" s="284"/>
      <c r="AM28" s="163"/>
      <c r="AN28" s="152">
        <f>SUMIF('Date masura OD'!$G:$G,B28,'Date masura OD'!$BC:$BC)</f>
        <v>0</v>
      </c>
      <c r="AO28" s="16">
        <v>0</v>
      </c>
      <c r="AP28" s="16">
        <v>0</v>
      </c>
      <c r="AQ28" s="16">
        <v>0</v>
      </c>
      <c r="AR28" s="1">
        <f t="shared" si="4"/>
        <v>0</v>
      </c>
      <c r="AS28" s="1">
        <f t="shared" si="21"/>
        <v>0</v>
      </c>
      <c r="AT28" s="1">
        <f t="shared" si="5"/>
        <v>0</v>
      </c>
      <c r="AU28" s="1">
        <f>SUMIF('Date masura OD'!$G:$G,B28,'Date masura OD'!$AY:$AY)</f>
        <v>0</v>
      </c>
      <c r="AV28" s="1">
        <f>SUMIF('Date masura OD'!$G:$G,B28,'Date masura OD'!$AZ:$AZ)</f>
        <v>0</v>
      </c>
      <c r="AW28" s="1">
        <f>SUMIF('Date masura OD'!$G:$G,B28,'Date masura OD'!$BA:$BA)</f>
        <v>0</v>
      </c>
      <c r="AX28" s="1">
        <f>SUMIF('Date masura OD'!$G:$G,B28,'Date masura OD'!$BB:$BB)</f>
        <v>0</v>
      </c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13"/>
      <c r="BP28" s="44">
        <f>AN28</f>
        <v>0</v>
      </c>
      <c r="BQ28" s="1"/>
      <c r="BR28" s="1"/>
      <c r="BS28" s="16">
        <f t="shared" si="24"/>
        <v>0</v>
      </c>
      <c r="BT28" s="16">
        <f t="shared" si="24"/>
        <v>0</v>
      </c>
      <c r="BU28" s="16">
        <f t="shared" si="24"/>
        <v>0</v>
      </c>
      <c r="BV28" s="16">
        <f t="shared" si="24"/>
        <v>0</v>
      </c>
      <c r="BX28" s="1" t="str">
        <f t="shared" si="6"/>
        <v/>
      </c>
      <c r="BY28" s="1">
        <f t="shared" si="7"/>
        <v>0</v>
      </c>
      <c r="BZ28" s="1">
        <f t="shared" si="8"/>
        <v>0</v>
      </c>
      <c r="CA28" s="1">
        <f t="shared" si="9"/>
        <v>0</v>
      </c>
      <c r="CB28" s="1">
        <f t="shared" si="10"/>
        <v>0</v>
      </c>
      <c r="CC28" s="1">
        <f t="shared" si="11"/>
        <v>0</v>
      </c>
      <c r="CD28" s="1">
        <f t="shared" si="12"/>
        <v>0</v>
      </c>
      <c r="CE28" s="1">
        <f t="shared" si="13"/>
        <v>0</v>
      </c>
      <c r="CH28" s="48" t="s">
        <v>702</v>
      </c>
      <c r="CI28" s="74">
        <f>SUM(CI4:CI27)</f>
        <v>4579</v>
      </c>
      <c r="CJ28" s="74">
        <f t="shared" ref="CJ28:CO28" si="25">SUM(CJ4:CJ27)</f>
        <v>0</v>
      </c>
      <c r="CK28" s="74">
        <f t="shared" si="25"/>
        <v>0</v>
      </c>
      <c r="CL28" s="74">
        <f>SUM(CL4:CL27)</f>
        <v>31739</v>
      </c>
      <c r="CM28" s="74">
        <f t="shared" si="25"/>
        <v>63195</v>
      </c>
      <c r="CN28" s="74">
        <f t="shared" si="25"/>
        <v>20873</v>
      </c>
      <c r="CO28" s="74">
        <f t="shared" si="25"/>
        <v>30567</v>
      </c>
      <c r="CP28" s="75"/>
      <c r="CR28" s="30" t="s">
        <v>528</v>
      </c>
      <c r="CS28" s="291">
        <v>372180</v>
      </c>
      <c r="CT28" s="291">
        <v>0</v>
      </c>
      <c r="CU28" s="291">
        <v>0</v>
      </c>
      <c r="CV28" s="291">
        <v>0</v>
      </c>
      <c r="CW28" s="107" t="s">
        <v>583</v>
      </c>
      <c r="CX28" s="312">
        <v>203657</v>
      </c>
      <c r="CY28" s="184">
        <v>14</v>
      </c>
      <c r="CZ28" s="88">
        <v>14681</v>
      </c>
      <c r="DA28" s="88">
        <v>917</v>
      </c>
      <c r="DB28" s="29" t="s">
        <v>668</v>
      </c>
      <c r="DC28" s="87">
        <v>0</v>
      </c>
      <c r="DD28" s="88">
        <v>33576</v>
      </c>
      <c r="DE28" s="88">
        <v>21</v>
      </c>
      <c r="DF28" s="88">
        <v>392</v>
      </c>
      <c r="DG28" s="88">
        <v>203657</v>
      </c>
      <c r="DH28" s="88">
        <v>33562</v>
      </c>
      <c r="DI28" s="321">
        <v>0</v>
      </c>
      <c r="DJ28" s="88">
        <v>3138</v>
      </c>
    </row>
    <row r="29" spans="1:114" ht="16.5" thickBot="1">
      <c r="A29" s="17">
        <f t="shared" si="22"/>
        <v>26</v>
      </c>
      <c r="B29" s="131" t="s">
        <v>542</v>
      </c>
      <c r="C29" s="17" t="s">
        <v>542</v>
      </c>
      <c r="D29" s="17"/>
      <c r="E29" s="17" t="s">
        <v>4</v>
      </c>
      <c r="F29" s="16"/>
      <c r="G29" s="16"/>
      <c r="H29" s="16"/>
      <c r="I29" s="16"/>
      <c r="J29" s="16"/>
      <c r="K29" s="16"/>
      <c r="L29" s="16"/>
      <c r="M29" s="16"/>
      <c r="N29" s="12"/>
      <c r="O29" s="12"/>
      <c r="P29" s="12"/>
      <c r="Q29" s="12"/>
      <c r="R29" s="12"/>
      <c r="S29" s="12"/>
      <c r="T29" s="12"/>
      <c r="U29" s="12"/>
      <c r="V29" s="22"/>
      <c r="W29" s="22"/>
      <c r="X29" s="22"/>
      <c r="Y29" s="22"/>
      <c r="Z29" s="160"/>
      <c r="AA29" s="12"/>
      <c r="AB29" s="284"/>
      <c r="AC29" s="12"/>
      <c r="AD29" s="12"/>
      <c r="AE29" s="12"/>
      <c r="AF29" s="125"/>
      <c r="AG29" s="12"/>
      <c r="AH29" s="284"/>
      <c r="AI29" s="12"/>
      <c r="AJ29" s="125"/>
      <c r="AK29" s="12"/>
      <c r="AL29" s="284"/>
      <c r="AM29" s="161"/>
      <c r="AN29" s="152">
        <f>SUMIF('Date masura OD'!$G:$G,B29,'Date masura OD'!$BC:$BC)</f>
        <v>0</v>
      </c>
      <c r="AO29" s="16">
        <v>0</v>
      </c>
      <c r="AP29" s="16">
        <v>0</v>
      </c>
      <c r="AQ29" s="16">
        <v>0</v>
      </c>
      <c r="AR29" s="1">
        <f t="shared" si="4"/>
        <v>0</v>
      </c>
      <c r="AS29" s="1">
        <f t="shared" si="21"/>
        <v>0</v>
      </c>
      <c r="AT29" s="1">
        <f t="shared" si="5"/>
        <v>0</v>
      </c>
      <c r="AU29" s="1">
        <f>SUMIF('Date masura OD'!$G:$G,B29,'Date masura OD'!$AY:$AY)</f>
        <v>0</v>
      </c>
      <c r="AV29" s="1">
        <f>SUMIF('Date masura OD'!$G:$G,B29,'Date masura OD'!$AZ:$AZ)</f>
        <v>0</v>
      </c>
      <c r="AW29" s="1">
        <f>SUMIF('Date masura OD'!$G:$G,B29,'Date masura OD'!$BA:$BA)</f>
        <v>0</v>
      </c>
      <c r="AX29" s="1">
        <f>SUMIF('Date masura OD'!$G:$G,B29,'Date masura OD'!$BB:$BB)</f>
        <v>0</v>
      </c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13"/>
      <c r="BP29" s="44">
        <f>AN29</f>
        <v>0</v>
      </c>
      <c r="BQ29" s="1"/>
      <c r="BR29" s="1"/>
      <c r="BS29" s="16">
        <f t="shared" si="24"/>
        <v>0</v>
      </c>
      <c r="BT29" s="16">
        <f t="shared" si="24"/>
        <v>0</v>
      </c>
      <c r="BU29" s="16">
        <f t="shared" si="24"/>
        <v>0</v>
      </c>
      <c r="BV29" s="16">
        <f t="shared" si="24"/>
        <v>0</v>
      </c>
      <c r="BX29" s="1" t="str">
        <f t="shared" si="6"/>
        <v>RPMB</v>
      </c>
      <c r="BY29" s="1">
        <f t="shared" si="7"/>
        <v>0</v>
      </c>
      <c r="BZ29" s="1">
        <f t="shared" si="8"/>
        <v>0</v>
      </c>
      <c r="CA29" s="1">
        <f t="shared" si="9"/>
        <v>0</v>
      </c>
      <c r="CB29" s="1">
        <f t="shared" si="10"/>
        <v>0</v>
      </c>
      <c r="CC29" s="1">
        <f t="shared" si="11"/>
        <v>0</v>
      </c>
      <c r="CD29" s="1">
        <f t="shared" si="12"/>
        <v>0</v>
      </c>
      <c r="CE29" s="1">
        <f t="shared" si="13"/>
        <v>0</v>
      </c>
      <c r="CH29" s="48" t="s">
        <v>704</v>
      </c>
      <c r="CI29" s="74">
        <f>SUM('Date masura OD'!BC5:BC82)+SUM(AS4:AS68)</f>
        <v>4578</v>
      </c>
      <c r="CJ29" s="1">
        <f>SUMIF($BX:$BX,CH29,BZ:BZ)</f>
        <v>0</v>
      </c>
      <c r="CK29" s="1">
        <f>SUMIF($BX:$BX,CH29,CA:CA)</f>
        <v>0</v>
      </c>
      <c r="CL29" s="59">
        <f>SUM('Date masura OD'!AY5:AY82)</f>
        <v>31742</v>
      </c>
      <c r="CM29" s="59">
        <f>SUM('Date masura OD'!AZ5:AZ82)</f>
        <v>63192</v>
      </c>
      <c r="CN29" s="59">
        <f>SUM('Date masura OD'!BA5:BA82)</f>
        <v>21053</v>
      </c>
      <c r="CO29" s="59">
        <f>SUM('Date masura OD'!BB5:BB82)</f>
        <v>30571</v>
      </c>
      <c r="CP29" s="75"/>
      <c r="CR29" s="93" t="s">
        <v>528</v>
      </c>
      <c r="CS29" s="291">
        <v>372180</v>
      </c>
      <c r="CT29" s="291">
        <v>0</v>
      </c>
      <c r="CU29" s="291">
        <v>0</v>
      </c>
      <c r="CV29" s="291">
        <v>0</v>
      </c>
      <c r="CW29" s="108" t="s">
        <v>962</v>
      </c>
      <c r="CX29" s="312">
        <v>5583</v>
      </c>
      <c r="CY29" s="184">
        <v>0</v>
      </c>
      <c r="CZ29" s="88">
        <v>0</v>
      </c>
      <c r="DA29" s="88">
        <v>0</v>
      </c>
      <c r="DB29" s="94" t="s">
        <v>69</v>
      </c>
      <c r="DC29" s="87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321">
        <v>0</v>
      </c>
      <c r="DJ29" s="88">
        <v>0</v>
      </c>
    </row>
    <row r="30" spans="1:114" ht="16.5" thickBot="1">
      <c r="A30" s="17">
        <f t="shared" si="22"/>
        <v>27</v>
      </c>
      <c r="B30" s="37" t="s">
        <v>543</v>
      </c>
      <c r="C30" s="17" t="s">
        <v>543</v>
      </c>
      <c r="D30" s="17"/>
      <c r="E30" s="17" t="s">
        <v>20</v>
      </c>
      <c r="F30" s="16"/>
      <c r="G30" s="16"/>
      <c r="H30" s="16"/>
      <c r="I30" s="16"/>
      <c r="J30" s="16"/>
      <c r="K30" s="16"/>
      <c r="L30" s="16"/>
      <c r="M30" s="16"/>
      <c r="N30" s="12"/>
      <c r="O30" s="12"/>
      <c r="P30" s="12"/>
      <c r="Q30" s="12"/>
      <c r="R30" s="12"/>
      <c r="S30" s="12"/>
      <c r="T30" s="12"/>
      <c r="U30" s="12"/>
      <c r="V30" s="22"/>
      <c r="W30" s="22"/>
      <c r="X30" s="22"/>
      <c r="Y30" s="22"/>
      <c r="Z30" s="160"/>
      <c r="AA30" s="12"/>
      <c r="AB30" s="284"/>
      <c r="AC30" s="12"/>
      <c r="AD30" s="12"/>
      <c r="AE30" s="12"/>
      <c r="AF30" s="125"/>
      <c r="AG30" s="12"/>
      <c r="AH30" s="284"/>
      <c r="AI30" s="12"/>
      <c r="AJ30" s="125"/>
      <c r="AK30" s="12"/>
      <c r="AL30" s="284"/>
      <c r="AM30" s="161"/>
      <c r="AN30" s="152">
        <f>SUMIF('Date masura OD'!$G:$G,B30,'Date masura OD'!$BC:$BC)</f>
        <v>0</v>
      </c>
      <c r="AO30" s="16">
        <v>0</v>
      </c>
      <c r="AP30" s="16">
        <v>0</v>
      </c>
      <c r="AQ30" s="16">
        <v>0</v>
      </c>
      <c r="AR30" s="1">
        <f t="shared" si="4"/>
        <v>9711</v>
      </c>
      <c r="AS30" s="1">
        <f t="shared" si="21"/>
        <v>0</v>
      </c>
      <c r="AT30" s="1">
        <f t="shared" si="5"/>
        <v>0</v>
      </c>
      <c r="AU30" s="1">
        <f>SUMIF('Date masura OD'!$G:$G,B30,'Date masura OD'!$AY:$AY)</f>
        <v>0</v>
      </c>
      <c r="AV30" s="1">
        <f>SUMIF('Date masura OD'!$G:$G,B30,'Date masura OD'!$AZ:$AZ)</f>
        <v>0</v>
      </c>
      <c r="AW30" s="1">
        <f>SUMIF('Date masura OD'!$G:$G,B30,'Date masura OD'!$BA:$BA)</f>
        <v>0</v>
      </c>
      <c r="AX30" s="1">
        <f>SUMIF('Date masura OD'!$G:$G,B30,'Date masura OD'!$BB:$BB)</f>
        <v>0</v>
      </c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13"/>
      <c r="BP30" s="46"/>
      <c r="BQ30" s="1"/>
      <c r="BR30" s="1"/>
      <c r="BS30" s="1"/>
      <c r="BT30" s="1"/>
      <c r="BU30" s="1"/>
      <c r="BV30" s="1"/>
      <c r="BX30" s="1" t="str">
        <f t="shared" si="6"/>
        <v>RTGU</v>
      </c>
      <c r="BY30" s="1">
        <f t="shared" si="7"/>
        <v>0</v>
      </c>
      <c r="BZ30" s="1">
        <f t="shared" si="8"/>
        <v>0</v>
      </c>
      <c r="CA30" s="1">
        <f t="shared" si="9"/>
        <v>0</v>
      </c>
      <c r="CB30" s="1">
        <f t="shared" si="10"/>
        <v>0</v>
      </c>
      <c r="CC30" s="1">
        <f t="shared" si="11"/>
        <v>0</v>
      </c>
      <c r="CD30" s="1">
        <f t="shared" si="12"/>
        <v>0</v>
      </c>
      <c r="CE30" s="1">
        <f t="shared" si="13"/>
        <v>0</v>
      </c>
      <c r="CH30" s="48" t="s">
        <v>703</v>
      </c>
      <c r="CI30" s="1">
        <f t="shared" ref="CI30:CO30" si="26">CI28-CI29</f>
        <v>1</v>
      </c>
      <c r="CJ30" s="1">
        <f t="shared" si="26"/>
        <v>0</v>
      </c>
      <c r="CK30" s="1">
        <f t="shared" si="26"/>
        <v>0</v>
      </c>
      <c r="CL30" s="1">
        <f t="shared" si="26"/>
        <v>-3</v>
      </c>
      <c r="CM30" s="1">
        <f t="shared" si="26"/>
        <v>3</v>
      </c>
      <c r="CN30" s="1">
        <f t="shared" si="26"/>
        <v>-180</v>
      </c>
      <c r="CO30" s="1">
        <f t="shared" si="26"/>
        <v>-4</v>
      </c>
      <c r="CR30" s="86" t="s">
        <v>529</v>
      </c>
      <c r="CS30" s="291">
        <v>90180</v>
      </c>
      <c r="CT30" s="291">
        <v>0</v>
      </c>
      <c r="CU30" s="291">
        <v>0</v>
      </c>
      <c r="CV30" s="291">
        <v>0</v>
      </c>
      <c r="CW30" s="106" t="s">
        <v>584</v>
      </c>
      <c r="CX30" s="312">
        <v>43193</v>
      </c>
      <c r="CY30" s="184">
        <v>0</v>
      </c>
      <c r="CZ30" s="88">
        <v>12220</v>
      </c>
      <c r="DA30" s="88">
        <v>1</v>
      </c>
      <c r="DB30" s="89" t="s">
        <v>669</v>
      </c>
      <c r="DC30" s="87">
        <v>0</v>
      </c>
      <c r="DD30" s="88">
        <v>28112</v>
      </c>
      <c r="DE30" s="88">
        <v>129</v>
      </c>
      <c r="DF30" s="88">
        <v>295</v>
      </c>
      <c r="DG30" s="88">
        <v>43193</v>
      </c>
      <c r="DH30" s="88">
        <v>28112</v>
      </c>
      <c r="DI30" s="88">
        <v>0</v>
      </c>
      <c r="DJ30" s="88">
        <v>648</v>
      </c>
    </row>
    <row r="31" spans="1:114" ht="16.5" thickBot="1">
      <c r="A31" s="17">
        <f t="shared" si="22"/>
        <v>28</v>
      </c>
      <c r="B31" s="37" t="s">
        <v>544</v>
      </c>
      <c r="C31" s="17" t="s">
        <v>544</v>
      </c>
      <c r="D31" s="17"/>
      <c r="E31" s="17" t="s">
        <v>1</v>
      </c>
      <c r="F31" s="16"/>
      <c r="G31" s="16"/>
      <c r="H31" s="16"/>
      <c r="I31" s="16"/>
      <c r="J31" s="16"/>
      <c r="K31" s="16"/>
      <c r="L31" s="16"/>
      <c r="M31" s="16"/>
      <c r="N31" s="12"/>
      <c r="O31" s="12"/>
      <c r="P31" s="12"/>
      <c r="Q31" s="12"/>
      <c r="R31" s="12"/>
      <c r="S31" s="12"/>
      <c r="T31" s="12"/>
      <c r="U31" s="12"/>
      <c r="V31" s="22"/>
      <c r="W31" s="22"/>
      <c r="X31" s="22"/>
      <c r="Y31" s="22"/>
      <c r="Z31" s="160"/>
      <c r="AA31" s="12"/>
      <c r="AB31" s="284"/>
      <c r="AC31" s="12"/>
      <c r="AD31" s="12"/>
      <c r="AE31" s="12"/>
      <c r="AF31" s="125"/>
      <c r="AG31" s="12"/>
      <c r="AH31" s="284"/>
      <c r="AI31" s="12"/>
      <c r="AJ31" s="125"/>
      <c r="AK31" s="12"/>
      <c r="AL31" s="284"/>
      <c r="AM31" s="161"/>
      <c r="AN31" s="152">
        <f>SUMIF('Date masura OD'!$G:$G,B31,'Date masura OD'!$BC:$BC)</f>
        <v>0</v>
      </c>
      <c r="AO31" s="16">
        <v>0</v>
      </c>
      <c r="AP31" s="16">
        <v>0</v>
      </c>
      <c r="AQ31" s="16">
        <v>0</v>
      </c>
      <c r="AR31" s="1">
        <f t="shared" si="4"/>
        <v>8228</v>
      </c>
      <c r="AS31" s="1">
        <f t="shared" si="21"/>
        <v>0</v>
      </c>
      <c r="AT31" s="1">
        <f t="shared" si="5"/>
        <v>0</v>
      </c>
      <c r="AU31" s="1">
        <f>SUMIF('Date masura OD'!$G:$G,B31,'Date masura OD'!$AY:$AY)</f>
        <v>29</v>
      </c>
      <c r="AV31" s="1">
        <f>SUMIF('Date masura OD'!$G:$G,B31,'Date masura OD'!$AZ:$AZ)</f>
        <v>0</v>
      </c>
      <c r="AW31" s="1">
        <f>SUMIF('Date masura OD'!$G:$G,B31,'Date masura OD'!$BA:$BA)</f>
        <v>0</v>
      </c>
      <c r="AX31" s="1">
        <f>SUMIF('Date masura OD'!$G:$G,B31,'Date masura OD'!$BB:$BB)</f>
        <v>0</v>
      </c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13"/>
      <c r="BP31" s="46"/>
      <c r="BQ31" s="1"/>
      <c r="BR31" s="1"/>
      <c r="BS31" s="1"/>
      <c r="BT31" s="1"/>
      <c r="BU31" s="1"/>
      <c r="BV31" s="1"/>
      <c r="BX31" s="1" t="str">
        <f t="shared" si="6"/>
        <v/>
      </c>
      <c r="BY31" s="1">
        <f t="shared" si="7"/>
        <v>0</v>
      </c>
      <c r="BZ31" s="1">
        <f t="shared" si="8"/>
        <v>0</v>
      </c>
      <c r="CA31" s="1">
        <f t="shared" si="9"/>
        <v>0</v>
      </c>
      <c r="CB31" s="1">
        <f t="shared" si="10"/>
        <v>0</v>
      </c>
      <c r="CC31" s="1">
        <f t="shared" si="11"/>
        <v>0</v>
      </c>
      <c r="CD31" s="1">
        <f t="shared" si="12"/>
        <v>0</v>
      </c>
      <c r="CE31" s="1">
        <f t="shared" si="13"/>
        <v>0</v>
      </c>
      <c r="CR31" s="30" t="s">
        <v>529</v>
      </c>
      <c r="CS31" s="291">
        <v>90180</v>
      </c>
      <c r="CT31" s="291">
        <v>0</v>
      </c>
      <c r="CU31" s="291">
        <v>0</v>
      </c>
      <c r="CV31" s="291">
        <v>0</v>
      </c>
      <c r="CW31" s="107" t="s">
        <v>585</v>
      </c>
      <c r="CX31" s="312">
        <v>45634</v>
      </c>
      <c r="CY31" s="184">
        <v>0</v>
      </c>
      <c r="CZ31" s="88">
        <v>12711</v>
      </c>
      <c r="DA31" s="88">
        <v>1</v>
      </c>
      <c r="DB31" s="29" t="s">
        <v>670</v>
      </c>
      <c r="DC31" s="87">
        <v>0</v>
      </c>
      <c r="DD31" s="88">
        <v>22718</v>
      </c>
      <c r="DE31" s="88">
        <v>84</v>
      </c>
      <c r="DF31" s="88">
        <v>297</v>
      </c>
      <c r="DG31" s="88">
        <v>45634</v>
      </c>
      <c r="DH31" s="88">
        <v>22718</v>
      </c>
      <c r="DI31" s="88">
        <v>0</v>
      </c>
      <c r="DJ31" s="88">
        <v>705</v>
      </c>
    </row>
    <row r="32" spans="1:114" ht="16.5" thickBot="1">
      <c r="A32" s="17">
        <f t="shared" si="22"/>
        <v>29</v>
      </c>
      <c r="B32" s="37" t="s">
        <v>545</v>
      </c>
      <c r="C32" s="17" t="s">
        <v>545</v>
      </c>
      <c r="D32" s="17"/>
      <c r="E32" s="17" t="s">
        <v>1</v>
      </c>
      <c r="F32" s="16"/>
      <c r="G32" s="16"/>
      <c r="H32" s="16"/>
      <c r="I32" s="16"/>
      <c r="J32" s="16"/>
      <c r="K32" s="16"/>
      <c r="L32" s="16"/>
      <c r="M32" s="16"/>
      <c r="N32" s="12"/>
      <c r="O32" s="12"/>
      <c r="P32" s="12"/>
      <c r="Q32" s="12"/>
      <c r="R32" s="12"/>
      <c r="S32" s="12"/>
      <c r="T32" s="12"/>
      <c r="U32" s="12"/>
      <c r="V32" s="22"/>
      <c r="W32" s="22"/>
      <c r="X32" s="22"/>
      <c r="Y32" s="22"/>
      <c r="Z32" s="160"/>
      <c r="AA32" s="12"/>
      <c r="AB32" s="284"/>
      <c r="AC32" s="12"/>
      <c r="AD32" s="12"/>
      <c r="AE32" s="12"/>
      <c r="AF32" s="125"/>
      <c r="AG32" s="12"/>
      <c r="AH32" s="284"/>
      <c r="AI32" s="12"/>
      <c r="AJ32" s="125"/>
      <c r="AK32" s="12"/>
      <c r="AL32" s="284"/>
      <c r="AM32" s="161"/>
      <c r="AN32" s="152">
        <f>SUMIF('Date masura OD'!$G:$G,B32,'Date masura OD'!$BC:$BC)</f>
        <v>0</v>
      </c>
      <c r="AO32" s="16">
        <v>0</v>
      </c>
      <c r="AP32" s="16">
        <v>0</v>
      </c>
      <c r="AQ32" s="16">
        <v>0</v>
      </c>
      <c r="AR32" s="1">
        <f t="shared" si="4"/>
        <v>10647</v>
      </c>
      <c r="AS32" s="1">
        <f t="shared" si="21"/>
        <v>0</v>
      </c>
      <c r="AT32" s="1">
        <f t="shared" si="5"/>
        <v>0</v>
      </c>
      <c r="AU32" s="1">
        <f>SUMIF('Date masura OD'!$G:$G,B32,'Date masura OD'!$AY:$AY)</f>
        <v>0</v>
      </c>
      <c r="AV32" s="1">
        <f>SUMIF('Date masura OD'!$G:$G,B32,'Date masura OD'!$AZ:$AZ)</f>
        <v>0</v>
      </c>
      <c r="AW32" s="1">
        <f>SUMIF('Date masura OD'!$G:$G,B32,'Date masura OD'!$BA:$BA)</f>
        <v>0</v>
      </c>
      <c r="AX32" s="1">
        <f>SUMIF('Date masura OD'!$G:$G,B32,'Date masura OD'!$BB:$BB)</f>
        <v>0</v>
      </c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13"/>
      <c r="BP32" s="46"/>
      <c r="BQ32" s="1"/>
      <c r="BR32" s="1"/>
      <c r="BS32" s="1"/>
      <c r="BT32" s="1"/>
      <c r="BU32" s="1"/>
      <c r="BV32" s="1"/>
      <c r="BX32" s="1" t="str">
        <f t="shared" si="6"/>
        <v>RCSC</v>
      </c>
      <c r="BY32" s="1">
        <f t="shared" si="7"/>
        <v>0</v>
      </c>
      <c r="BZ32" s="1">
        <f t="shared" si="8"/>
        <v>0</v>
      </c>
      <c r="CA32" s="1">
        <f t="shared" si="9"/>
        <v>0</v>
      </c>
      <c r="CB32" s="1">
        <f t="shared" si="10"/>
        <v>0</v>
      </c>
      <c r="CC32" s="1">
        <f t="shared" si="11"/>
        <v>0</v>
      </c>
      <c r="CD32" s="1">
        <f t="shared" si="12"/>
        <v>0</v>
      </c>
      <c r="CE32" s="1">
        <f t="shared" si="13"/>
        <v>0</v>
      </c>
      <c r="CR32" s="30" t="s">
        <v>529</v>
      </c>
      <c r="CS32" s="291">
        <v>90180</v>
      </c>
      <c r="CT32" s="291">
        <v>0</v>
      </c>
      <c r="CU32" s="291">
        <v>0</v>
      </c>
      <c r="CV32" s="291">
        <v>0</v>
      </c>
      <c r="CW32" s="107" t="s">
        <v>963</v>
      </c>
      <c r="CX32" s="312">
        <v>1353</v>
      </c>
      <c r="CY32" s="184">
        <v>0</v>
      </c>
      <c r="CZ32" s="88">
        <v>0</v>
      </c>
      <c r="DA32" s="88">
        <v>0</v>
      </c>
      <c r="DB32" s="29" t="s">
        <v>69</v>
      </c>
      <c r="DC32" s="87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321">
        <v>0</v>
      </c>
      <c r="DJ32" s="88">
        <v>0</v>
      </c>
    </row>
    <row r="33" spans="1:114" ht="16.5" thickBot="1">
      <c r="A33" s="17">
        <f t="shared" si="22"/>
        <v>30</v>
      </c>
      <c r="B33" s="37" t="s">
        <v>546</v>
      </c>
      <c r="C33" s="17" t="s">
        <v>546</v>
      </c>
      <c r="D33" s="17"/>
      <c r="E33" s="17" t="s">
        <v>6</v>
      </c>
      <c r="F33" s="16"/>
      <c r="G33" s="16"/>
      <c r="H33" s="16"/>
      <c r="I33" s="16"/>
      <c r="J33" s="16"/>
      <c r="K33" s="16"/>
      <c r="L33" s="16"/>
      <c r="M33" s="16"/>
      <c r="N33" s="12"/>
      <c r="O33" s="12"/>
      <c r="P33" s="12"/>
      <c r="Q33" s="12"/>
      <c r="R33" s="12"/>
      <c r="S33" s="12"/>
      <c r="T33" s="12"/>
      <c r="U33" s="12"/>
      <c r="V33" s="22"/>
      <c r="W33" s="22"/>
      <c r="X33" s="22"/>
      <c r="Y33" s="22"/>
      <c r="Z33" s="160"/>
      <c r="AA33" s="12"/>
      <c r="AB33" s="284"/>
      <c r="AC33" s="12"/>
      <c r="AD33" s="12"/>
      <c r="AE33" s="12"/>
      <c r="AF33" s="125"/>
      <c r="AG33" s="12"/>
      <c r="AH33" s="284"/>
      <c r="AI33" s="12"/>
      <c r="AJ33" s="125"/>
      <c r="AK33" s="12"/>
      <c r="AL33" s="284"/>
      <c r="AM33" s="161"/>
      <c r="AN33" s="152">
        <f>SUMIF('Date masura OD'!$G:$G,B33,'Date masura OD'!$BC:$BC)</f>
        <v>0</v>
      </c>
      <c r="AO33" s="16">
        <v>0</v>
      </c>
      <c r="AP33" s="16">
        <v>0</v>
      </c>
      <c r="AQ33" s="16">
        <v>0</v>
      </c>
      <c r="AR33" s="1">
        <f t="shared" si="4"/>
        <v>3147</v>
      </c>
      <c r="AS33" s="1">
        <f t="shared" si="21"/>
        <v>0</v>
      </c>
      <c r="AT33" s="1">
        <f t="shared" si="5"/>
        <v>0</v>
      </c>
      <c r="AU33" s="1">
        <f>SUMIF('Date masura OD'!$G:$G,B33,'Date masura OD'!$AY:$AY)</f>
        <v>0</v>
      </c>
      <c r="AV33" s="1">
        <f>SUMIF('Date masura OD'!$G:$G,B33,'Date masura OD'!$AZ:$AZ)</f>
        <v>0</v>
      </c>
      <c r="AW33" s="1">
        <f>SUMIF('Date masura OD'!$G:$G,B33,'Date masura OD'!$BA:$BA)</f>
        <v>334</v>
      </c>
      <c r="AX33" s="1">
        <f>SUMIF('Date masura OD'!$G:$G,B33,'Date masura OD'!$BB:$BB)</f>
        <v>0</v>
      </c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13"/>
      <c r="BP33" s="46"/>
      <c r="BQ33" s="1"/>
      <c r="BR33" s="1"/>
      <c r="BS33" s="1"/>
      <c r="BT33" s="1"/>
      <c r="BU33" s="1"/>
      <c r="BV33" s="1"/>
      <c r="BX33" s="1" t="str">
        <f t="shared" si="6"/>
        <v/>
      </c>
      <c r="BY33" s="1">
        <f t="shared" si="7"/>
        <v>0</v>
      </c>
      <c r="BZ33" s="1">
        <f t="shared" si="8"/>
        <v>0</v>
      </c>
      <c r="CA33" s="1">
        <f t="shared" si="9"/>
        <v>0</v>
      </c>
      <c r="CB33" s="1">
        <f t="shared" si="10"/>
        <v>0</v>
      </c>
      <c r="CC33" s="1">
        <f t="shared" si="11"/>
        <v>0</v>
      </c>
      <c r="CD33" s="1">
        <f t="shared" si="12"/>
        <v>0</v>
      </c>
      <c r="CE33" s="1">
        <f t="shared" si="13"/>
        <v>0</v>
      </c>
      <c r="CR33" s="30" t="s">
        <v>530</v>
      </c>
      <c r="CS33" s="291">
        <v>207840</v>
      </c>
      <c r="CT33" s="291">
        <v>0</v>
      </c>
      <c r="CU33" s="291">
        <v>0</v>
      </c>
      <c r="CV33" s="291">
        <v>0</v>
      </c>
      <c r="CW33" s="107" t="s">
        <v>586</v>
      </c>
      <c r="CX33" s="312">
        <v>120467</v>
      </c>
      <c r="CY33" s="184">
        <v>0</v>
      </c>
      <c r="CZ33" s="88">
        <v>13071</v>
      </c>
      <c r="DA33" s="88">
        <v>72</v>
      </c>
      <c r="DB33" s="29" t="s">
        <v>671</v>
      </c>
      <c r="DC33" s="87">
        <v>0</v>
      </c>
      <c r="DD33" s="88">
        <v>91479</v>
      </c>
      <c r="DE33" s="88">
        <v>16</v>
      </c>
      <c r="DF33" s="88">
        <v>1514</v>
      </c>
      <c r="DG33" s="88">
        <v>120467</v>
      </c>
      <c r="DH33" s="88">
        <v>91479</v>
      </c>
      <c r="DI33" s="321">
        <v>0</v>
      </c>
      <c r="DJ33" s="88">
        <v>1808</v>
      </c>
    </row>
    <row r="34" spans="1:114" ht="16.5" thickBot="1">
      <c r="A34" s="17">
        <f t="shared" si="22"/>
        <v>31</v>
      </c>
      <c r="B34" s="37" t="s">
        <v>505</v>
      </c>
      <c r="C34" s="17" t="s">
        <v>505</v>
      </c>
      <c r="D34" s="17"/>
      <c r="E34" s="17" t="s">
        <v>6</v>
      </c>
      <c r="F34" s="16"/>
      <c r="G34" s="16"/>
      <c r="H34" s="16"/>
      <c r="I34" s="16"/>
      <c r="J34" s="16"/>
      <c r="K34" s="16"/>
      <c r="L34" s="16"/>
      <c r="M34" s="16"/>
      <c r="N34" s="12"/>
      <c r="O34" s="12"/>
      <c r="P34" s="12"/>
      <c r="Q34" s="12"/>
      <c r="R34" s="12"/>
      <c r="S34" s="12"/>
      <c r="T34" s="12"/>
      <c r="U34" s="12"/>
      <c r="V34" s="22"/>
      <c r="W34" s="22"/>
      <c r="X34" s="22"/>
      <c r="Y34" s="22"/>
      <c r="Z34" s="158"/>
      <c r="AA34" s="12"/>
      <c r="AB34" s="284"/>
      <c r="AC34" s="12"/>
      <c r="AD34" s="12"/>
      <c r="AE34" s="12"/>
      <c r="AF34" s="123"/>
      <c r="AG34" s="12"/>
      <c r="AH34" s="284"/>
      <c r="AI34" s="12"/>
      <c r="AJ34" s="123"/>
      <c r="AK34" s="12"/>
      <c r="AL34" s="284"/>
      <c r="AM34" s="159"/>
      <c r="AN34" s="152">
        <f>SUMIF('Date masura OD'!$G:$G,B34,'Date masura OD'!$BC:$BC)</f>
        <v>0</v>
      </c>
      <c r="AO34" s="16">
        <v>0</v>
      </c>
      <c r="AP34" s="16">
        <v>0</v>
      </c>
      <c r="AQ34" s="16">
        <v>0</v>
      </c>
      <c r="AR34" s="1">
        <f t="shared" si="4"/>
        <v>1640</v>
      </c>
      <c r="AS34" s="1">
        <f t="shared" si="21"/>
        <v>0</v>
      </c>
      <c r="AT34" s="1">
        <f t="shared" si="5"/>
        <v>0</v>
      </c>
      <c r="AU34" s="1">
        <f>SUMIF('Date masura OD'!$G:$G,B34,'Date masura OD'!$AY:$AY)</f>
        <v>0</v>
      </c>
      <c r="AV34" s="1">
        <f>SUMIF('Date masura OD'!$G:$G,B34,'Date masura OD'!$AZ:$AZ)</f>
        <v>0</v>
      </c>
      <c r="AW34" s="1">
        <f>SUMIF('Date masura OD'!$G:$G,B34,'Date masura OD'!$BA:$BA)</f>
        <v>0</v>
      </c>
      <c r="AX34" s="1">
        <f>SUMIF('Date masura OD'!$G:$G,B34,'Date masura OD'!$BB:$BB)</f>
        <v>0</v>
      </c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13"/>
      <c r="BP34" s="46"/>
      <c r="BQ34" s="1"/>
      <c r="BR34" s="1"/>
      <c r="BS34" s="1"/>
      <c r="BT34" s="1"/>
      <c r="BU34" s="1"/>
      <c r="BV34" s="1"/>
      <c r="BX34" s="1" t="str">
        <f t="shared" si="6"/>
        <v>RAMB</v>
      </c>
      <c r="BY34" s="1">
        <f t="shared" si="7"/>
        <v>0</v>
      </c>
      <c r="BZ34" s="1">
        <f t="shared" si="8"/>
        <v>0</v>
      </c>
      <c r="CA34" s="1">
        <f t="shared" si="9"/>
        <v>0</v>
      </c>
      <c r="CB34" s="1">
        <f t="shared" si="10"/>
        <v>0</v>
      </c>
      <c r="CC34" s="1">
        <f t="shared" si="11"/>
        <v>0</v>
      </c>
      <c r="CD34" s="1">
        <f t="shared" si="12"/>
        <v>0</v>
      </c>
      <c r="CE34" s="1">
        <f t="shared" si="13"/>
        <v>0</v>
      </c>
      <c r="CR34" s="30" t="s">
        <v>530</v>
      </c>
      <c r="CS34" s="291">
        <v>207840</v>
      </c>
      <c r="CT34" s="291">
        <v>0</v>
      </c>
      <c r="CU34" s="291">
        <v>0</v>
      </c>
      <c r="CV34" s="291">
        <v>0</v>
      </c>
      <c r="CW34" s="107" t="s">
        <v>587</v>
      </c>
      <c r="CX34" s="312">
        <v>84255</v>
      </c>
      <c r="CY34" s="184">
        <v>0</v>
      </c>
      <c r="CZ34" s="88">
        <v>14184</v>
      </c>
      <c r="DA34" s="88">
        <v>18</v>
      </c>
      <c r="DB34" s="29" t="s">
        <v>69</v>
      </c>
      <c r="DC34" s="87">
        <v>0</v>
      </c>
      <c r="DD34" s="88">
        <v>0</v>
      </c>
      <c r="DE34" s="88">
        <v>0</v>
      </c>
      <c r="DF34" s="88">
        <v>0</v>
      </c>
      <c r="DG34" s="88">
        <v>84255</v>
      </c>
      <c r="DH34" s="88">
        <v>0</v>
      </c>
      <c r="DI34" s="88">
        <v>0</v>
      </c>
      <c r="DJ34" s="88">
        <v>1310</v>
      </c>
    </row>
    <row r="35" spans="1:114" ht="16.5" thickBot="1">
      <c r="A35" s="17">
        <f t="shared" si="22"/>
        <v>32</v>
      </c>
      <c r="B35" s="37" t="s">
        <v>547</v>
      </c>
      <c r="C35" s="17" t="s">
        <v>547</v>
      </c>
      <c r="D35" s="17"/>
      <c r="E35" s="17" t="s">
        <v>21</v>
      </c>
      <c r="F35" s="16"/>
      <c r="G35" s="16"/>
      <c r="H35" s="16"/>
      <c r="I35" s="16"/>
      <c r="J35" s="16"/>
      <c r="K35" s="16"/>
      <c r="L35" s="16"/>
      <c r="M35" s="16"/>
      <c r="N35" s="12"/>
      <c r="O35" s="12"/>
      <c r="P35" s="12"/>
      <c r="Q35" s="12"/>
      <c r="R35" s="12"/>
      <c r="S35" s="12"/>
      <c r="T35" s="12"/>
      <c r="U35" s="12"/>
      <c r="V35" s="22"/>
      <c r="W35" s="22"/>
      <c r="X35" s="22"/>
      <c r="Y35" s="22"/>
      <c r="Z35" s="158"/>
      <c r="AA35" s="12"/>
      <c r="AB35" s="284"/>
      <c r="AC35" s="12"/>
      <c r="AD35" s="12"/>
      <c r="AE35" s="12"/>
      <c r="AF35" s="123"/>
      <c r="AG35" s="12"/>
      <c r="AH35" s="284"/>
      <c r="AI35" s="12"/>
      <c r="AJ35" s="123"/>
      <c r="AK35" s="12"/>
      <c r="AL35" s="284"/>
      <c r="AM35" s="159"/>
      <c r="AN35" s="152">
        <f>SUMIF('Date masura OD'!$G:$G,B35,'Date masura OD'!$BC:$BC)</f>
        <v>0</v>
      </c>
      <c r="AO35" s="16">
        <v>0</v>
      </c>
      <c r="AP35" s="16">
        <v>0</v>
      </c>
      <c r="AQ35" s="16">
        <v>0</v>
      </c>
      <c r="AR35" s="1">
        <f t="shared" si="4"/>
        <v>10420</v>
      </c>
      <c r="AS35" s="1">
        <f t="shared" si="21"/>
        <v>0</v>
      </c>
      <c r="AT35" s="1">
        <f t="shared" si="5"/>
        <v>0</v>
      </c>
      <c r="AU35" s="1">
        <f>SUMIF('Date masura OD'!$G:$G,B35,'Date masura OD'!$AY:$AY)</f>
        <v>598</v>
      </c>
      <c r="AV35" s="1">
        <f>SUMIF('Date masura OD'!$G:$G,B35,'Date masura OD'!$AZ:$AZ)</f>
        <v>0</v>
      </c>
      <c r="AW35" s="1">
        <f>SUMIF('Date masura OD'!$G:$G,B35,'Date masura OD'!$BA:$BA)</f>
        <v>13</v>
      </c>
      <c r="AX35" s="1">
        <f>SUMIF('Date masura OD'!$G:$G,B35,'Date masura OD'!$BB:$BB)</f>
        <v>0</v>
      </c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13"/>
      <c r="BP35" s="46"/>
      <c r="BQ35" s="1"/>
      <c r="BR35" s="1"/>
      <c r="BS35" s="1"/>
      <c r="BT35" s="1"/>
      <c r="BU35" s="1"/>
      <c r="BV35" s="1"/>
      <c r="BX35" s="1" t="str">
        <f t="shared" si="6"/>
        <v/>
      </c>
      <c r="BY35" s="1">
        <f t="shared" si="7"/>
        <v>0</v>
      </c>
      <c r="BZ35" s="1">
        <f t="shared" si="8"/>
        <v>0</v>
      </c>
      <c r="CA35" s="1">
        <f t="shared" si="9"/>
        <v>0</v>
      </c>
      <c r="CB35" s="1">
        <f t="shared" si="10"/>
        <v>0</v>
      </c>
      <c r="CC35" s="1">
        <f t="shared" si="11"/>
        <v>0</v>
      </c>
      <c r="CD35" s="1">
        <f t="shared" si="12"/>
        <v>0</v>
      </c>
      <c r="CE35" s="1">
        <f t="shared" si="13"/>
        <v>0</v>
      </c>
      <c r="CR35" s="30" t="s">
        <v>530</v>
      </c>
      <c r="CS35" s="291">
        <v>207840</v>
      </c>
      <c r="CT35" s="291">
        <v>0</v>
      </c>
      <c r="CU35" s="291">
        <v>0</v>
      </c>
      <c r="CV35" s="291">
        <v>0</v>
      </c>
      <c r="CW35" s="107" t="s">
        <v>964</v>
      </c>
      <c r="CX35" s="312">
        <v>3118</v>
      </c>
      <c r="CY35" s="184">
        <v>0</v>
      </c>
      <c r="CZ35" s="88">
        <v>0</v>
      </c>
      <c r="DA35" s="88">
        <v>0</v>
      </c>
      <c r="DB35" s="29" t="s">
        <v>69</v>
      </c>
      <c r="DC35" s="87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321">
        <v>0</v>
      </c>
      <c r="DJ35" s="88">
        <v>0</v>
      </c>
    </row>
    <row r="36" spans="1:114" ht="16.5" thickBot="1">
      <c r="A36" s="17">
        <f t="shared" si="22"/>
        <v>33</v>
      </c>
      <c r="B36" s="37" t="s">
        <v>548</v>
      </c>
      <c r="C36" s="17" t="s">
        <v>548</v>
      </c>
      <c r="D36" s="17"/>
      <c r="E36" s="17" t="s">
        <v>21</v>
      </c>
      <c r="F36" s="16"/>
      <c r="G36" s="16"/>
      <c r="H36" s="16"/>
      <c r="I36" s="16"/>
      <c r="J36" s="16"/>
      <c r="K36" s="16"/>
      <c r="L36" s="16"/>
      <c r="M36" s="16"/>
      <c r="N36" s="12"/>
      <c r="O36" s="12"/>
      <c r="P36" s="12"/>
      <c r="Q36" s="12"/>
      <c r="R36" s="12"/>
      <c r="S36" s="12"/>
      <c r="T36" s="12"/>
      <c r="U36" s="12"/>
      <c r="V36" s="22"/>
      <c r="W36" s="22"/>
      <c r="X36" s="22"/>
      <c r="Y36" s="22"/>
      <c r="Z36" s="160"/>
      <c r="AA36" s="12"/>
      <c r="AB36" s="284"/>
      <c r="AC36" s="12"/>
      <c r="AD36" s="12"/>
      <c r="AE36" s="12"/>
      <c r="AF36" s="125"/>
      <c r="AG36" s="12"/>
      <c r="AH36" s="284"/>
      <c r="AI36" s="12"/>
      <c r="AJ36" s="125"/>
      <c r="AK36" s="12"/>
      <c r="AL36" s="284"/>
      <c r="AM36" s="161"/>
      <c r="AN36" s="152">
        <f>SUMIF('Date masura OD'!$G:$G,B36,'Date masura OD'!$BC:$BC)</f>
        <v>0</v>
      </c>
      <c r="AO36" s="16">
        <v>0</v>
      </c>
      <c r="AP36" s="16">
        <v>0</v>
      </c>
      <c r="AQ36" s="16">
        <v>0</v>
      </c>
      <c r="AR36" s="1">
        <f t="shared" ref="AR36:AR53" si="27">IFERROR(SUMIF($CR:$CR,B36,DJ:DJ),0)</f>
        <v>1158</v>
      </c>
      <c r="AS36" s="1">
        <f t="shared" si="21"/>
        <v>0</v>
      </c>
      <c r="AT36" s="1">
        <f t="shared" si="5"/>
        <v>0</v>
      </c>
      <c r="AU36" s="1">
        <f>SUMIF('Date masura OD'!$G:$G,B36,'Date masura OD'!$AY:$AY)</f>
        <v>0</v>
      </c>
      <c r="AV36" s="1">
        <f>SUMIF('Date masura OD'!$G:$G,B36,'Date masura OD'!$AZ:$AZ)</f>
        <v>0</v>
      </c>
      <c r="AW36" s="1">
        <f>SUMIF('Date masura OD'!$G:$G,B36,'Date masura OD'!$BA:$BA)</f>
        <v>2208</v>
      </c>
      <c r="AX36" s="1">
        <f>SUMIF('Date masura OD'!$G:$G,B36,'Date masura OD'!$BB:$BB)</f>
        <v>5957</v>
      </c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13"/>
      <c r="BP36" s="46"/>
      <c r="BQ36" s="1"/>
      <c r="BR36" s="1"/>
      <c r="BS36" s="1"/>
      <c r="BT36" s="1"/>
      <c r="BU36" s="1"/>
      <c r="BV36" s="1"/>
      <c r="BX36" s="1" t="str">
        <f t="shared" si="6"/>
        <v>RGBM</v>
      </c>
      <c r="BY36" s="1">
        <f t="shared" si="7"/>
        <v>0</v>
      </c>
      <c r="BZ36" s="1">
        <f t="shared" si="8"/>
        <v>0</v>
      </c>
      <c r="CA36" s="1">
        <f t="shared" si="9"/>
        <v>0</v>
      </c>
      <c r="CB36" s="1">
        <f t="shared" si="10"/>
        <v>0</v>
      </c>
      <c r="CC36" s="1">
        <f t="shared" si="11"/>
        <v>0</v>
      </c>
      <c r="CD36" s="1">
        <f t="shared" si="12"/>
        <v>0</v>
      </c>
      <c r="CE36" s="1">
        <f t="shared" si="13"/>
        <v>0</v>
      </c>
      <c r="CR36" s="30" t="s">
        <v>531</v>
      </c>
      <c r="CS36" s="291">
        <v>145760</v>
      </c>
      <c r="CT36" s="291">
        <v>0</v>
      </c>
      <c r="CU36" s="291">
        <v>0</v>
      </c>
      <c r="CV36" s="291">
        <v>0</v>
      </c>
      <c r="CW36" s="107" t="s">
        <v>588</v>
      </c>
      <c r="CX36" s="312">
        <v>26095</v>
      </c>
      <c r="CY36" s="184">
        <v>50980</v>
      </c>
      <c r="CZ36" s="88">
        <v>12</v>
      </c>
      <c r="DA36" s="88">
        <v>24017</v>
      </c>
      <c r="DB36" s="29" t="s">
        <v>672</v>
      </c>
      <c r="DC36" s="87">
        <v>0</v>
      </c>
      <c r="DD36" s="88">
        <v>124742</v>
      </c>
      <c r="DE36" s="88">
        <v>314</v>
      </c>
      <c r="DF36" s="88">
        <v>2391</v>
      </c>
      <c r="DG36" s="88">
        <v>26095</v>
      </c>
      <c r="DH36" s="88">
        <v>73762</v>
      </c>
      <c r="DI36" s="321">
        <v>0</v>
      </c>
      <c r="DJ36" s="88">
        <v>392</v>
      </c>
    </row>
    <row r="37" spans="1:114" ht="16.5" thickBot="1">
      <c r="A37" s="17">
        <f t="shared" si="22"/>
        <v>34</v>
      </c>
      <c r="B37" s="37" t="s">
        <v>549</v>
      </c>
      <c r="C37" s="17" t="s">
        <v>549</v>
      </c>
      <c r="D37" s="17"/>
      <c r="E37" s="17" t="s">
        <v>3</v>
      </c>
      <c r="F37" s="16"/>
      <c r="G37" s="16"/>
      <c r="H37" s="16"/>
      <c r="I37" s="16"/>
      <c r="J37" s="16"/>
      <c r="K37" s="16"/>
      <c r="L37" s="16"/>
      <c r="M37" s="16"/>
      <c r="N37" s="12"/>
      <c r="O37" s="12"/>
      <c r="P37" s="12"/>
      <c r="Q37" s="12"/>
      <c r="R37" s="12"/>
      <c r="S37" s="12"/>
      <c r="T37" s="12"/>
      <c r="U37" s="12"/>
      <c r="V37" s="22"/>
      <c r="W37" s="22"/>
      <c r="X37" s="22"/>
      <c r="Y37" s="22"/>
      <c r="Z37" s="160"/>
      <c r="AA37" s="12"/>
      <c r="AB37" s="284"/>
      <c r="AC37" s="12"/>
      <c r="AD37" s="12"/>
      <c r="AE37" s="12"/>
      <c r="AF37" s="125"/>
      <c r="AG37" s="12"/>
      <c r="AH37" s="284"/>
      <c r="AI37" s="12"/>
      <c r="AJ37" s="125"/>
      <c r="AK37" s="12"/>
      <c r="AL37" s="284"/>
      <c r="AM37" s="161"/>
      <c r="AN37" s="152">
        <f>SUMIF('Date masura OD'!$G:$G,B37,'Date masura OD'!$BC:$BC)</f>
        <v>0</v>
      </c>
      <c r="AO37" s="16">
        <v>0</v>
      </c>
      <c r="AP37" s="16">
        <v>0</v>
      </c>
      <c r="AQ37" s="16">
        <v>0</v>
      </c>
      <c r="AR37" s="1">
        <f t="shared" si="27"/>
        <v>10995</v>
      </c>
      <c r="AS37" s="1">
        <f t="shared" si="21"/>
        <v>0</v>
      </c>
      <c r="AT37" s="1">
        <f t="shared" si="5"/>
        <v>0</v>
      </c>
      <c r="AU37" s="1">
        <f>SUMIF('Date masura OD'!$G:$G,B37,'Date masura OD'!$AY:$AY)</f>
        <v>0</v>
      </c>
      <c r="AV37" s="1">
        <f>SUMIF('Date masura OD'!$G:$G,B37,'Date masura OD'!$AZ:$AZ)</f>
        <v>0</v>
      </c>
      <c r="AW37" s="1">
        <f>SUMIF('Date masura OD'!$G:$G,B37,'Date masura OD'!$BA:$BA)</f>
        <v>0</v>
      </c>
      <c r="AX37" s="1">
        <f>SUMIF('Date masura OD'!$G:$G,B37,'Date masura OD'!$BB:$BB)</f>
        <v>0</v>
      </c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13"/>
      <c r="BP37" s="46"/>
      <c r="BQ37" s="1"/>
      <c r="BR37" s="1"/>
      <c r="BS37" s="1"/>
      <c r="BT37" s="1"/>
      <c r="BU37" s="1"/>
      <c r="BV37" s="1"/>
      <c r="BX37" s="1" t="str">
        <f t="shared" si="6"/>
        <v/>
      </c>
      <c r="BY37" s="1">
        <f t="shared" si="7"/>
        <v>0</v>
      </c>
      <c r="BZ37" s="1">
        <f t="shared" si="8"/>
        <v>0</v>
      </c>
      <c r="CA37" s="1">
        <f t="shared" si="9"/>
        <v>0</v>
      </c>
      <c r="CB37" s="1">
        <f t="shared" si="10"/>
        <v>0</v>
      </c>
      <c r="CC37" s="1">
        <f t="shared" si="11"/>
        <v>0</v>
      </c>
      <c r="CD37" s="1">
        <f t="shared" si="12"/>
        <v>0</v>
      </c>
      <c r="CE37" s="1">
        <f t="shared" si="13"/>
        <v>0</v>
      </c>
      <c r="CR37" s="30" t="s">
        <v>531</v>
      </c>
      <c r="CS37" s="291">
        <v>145760</v>
      </c>
      <c r="CT37" s="291">
        <v>0</v>
      </c>
      <c r="CU37" s="291">
        <v>0</v>
      </c>
      <c r="CV37" s="291">
        <v>0</v>
      </c>
      <c r="CW37" s="107" t="s">
        <v>589</v>
      </c>
      <c r="CX37" s="312">
        <v>117478</v>
      </c>
      <c r="CY37" s="184">
        <v>0</v>
      </c>
      <c r="CZ37" s="88">
        <v>23280</v>
      </c>
      <c r="DA37" s="88">
        <v>5</v>
      </c>
      <c r="DB37" s="29" t="s">
        <v>69</v>
      </c>
      <c r="DC37" s="87">
        <v>0</v>
      </c>
      <c r="DD37" s="88">
        <v>0</v>
      </c>
      <c r="DE37" s="88">
        <v>0</v>
      </c>
      <c r="DF37" s="88">
        <v>0</v>
      </c>
      <c r="DG37" s="88">
        <v>117478</v>
      </c>
      <c r="DH37" s="88">
        <v>0</v>
      </c>
      <c r="DI37" s="88">
        <v>50980</v>
      </c>
      <c r="DJ37" s="88">
        <v>1795</v>
      </c>
    </row>
    <row r="38" spans="1:114" ht="16.5" thickBot="1">
      <c r="A38" s="17">
        <f t="shared" si="22"/>
        <v>35</v>
      </c>
      <c r="B38" s="37" t="s">
        <v>550</v>
      </c>
      <c r="C38" s="17" t="s">
        <v>550</v>
      </c>
      <c r="D38" s="17"/>
      <c r="E38" s="17" t="s">
        <v>3</v>
      </c>
      <c r="F38" s="16"/>
      <c r="G38" s="16"/>
      <c r="H38" s="16"/>
      <c r="I38" s="16"/>
      <c r="J38" s="16"/>
      <c r="K38" s="16"/>
      <c r="L38" s="16"/>
      <c r="M38" s="16"/>
      <c r="N38" s="12"/>
      <c r="O38" s="12"/>
      <c r="P38" s="12"/>
      <c r="Q38" s="12"/>
      <c r="R38" s="12"/>
      <c r="S38" s="12"/>
      <c r="T38" s="12"/>
      <c r="U38" s="12"/>
      <c r="V38" s="22"/>
      <c r="W38" s="22"/>
      <c r="X38" s="22"/>
      <c r="Y38" s="22"/>
      <c r="Z38" s="160"/>
      <c r="AA38" s="12"/>
      <c r="AB38" s="284"/>
      <c r="AC38" s="12"/>
      <c r="AD38" s="12"/>
      <c r="AE38" s="12"/>
      <c r="AF38" s="125"/>
      <c r="AG38" s="12"/>
      <c r="AH38" s="284"/>
      <c r="AI38" s="12"/>
      <c r="AJ38" s="125"/>
      <c r="AK38" s="12"/>
      <c r="AL38" s="284"/>
      <c r="AM38" s="161"/>
      <c r="AN38" s="152">
        <f>SUMIF('Date masura OD'!$G:$G,B38,'Date masura OD'!$BC:$BC)</f>
        <v>0</v>
      </c>
      <c r="AO38" s="16">
        <v>0</v>
      </c>
      <c r="AP38" s="16">
        <v>0</v>
      </c>
      <c r="AQ38" s="16">
        <v>0</v>
      </c>
      <c r="AR38" s="1">
        <f t="shared" si="27"/>
        <v>10474</v>
      </c>
      <c r="AS38" s="1">
        <f t="shared" si="21"/>
        <v>0</v>
      </c>
      <c r="AT38" s="1">
        <f t="shared" si="5"/>
        <v>0</v>
      </c>
      <c r="AU38" s="1">
        <f>SUMIF('Date masura OD'!$G:$G,B38,'Date masura OD'!$AY:$AY)</f>
        <v>0</v>
      </c>
      <c r="AV38" s="1">
        <f>SUMIF('Date masura OD'!$G:$G,B38,'Date masura OD'!$AZ:$AZ)</f>
        <v>0</v>
      </c>
      <c r="AW38" s="1">
        <f>SUMIF('Date masura OD'!$G:$G,B38,'Date masura OD'!$BA:$BA)</f>
        <v>0</v>
      </c>
      <c r="AX38" s="1">
        <f>SUMIF('Date masura OD'!$G:$G,B38,'Date masura OD'!$BB:$BB)</f>
        <v>0</v>
      </c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13"/>
      <c r="BP38" s="46"/>
      <c r="BQ38" s="1"/>
      <c r="BR38" s="1"/>
      <c r="BS38" s="1"/>
      <c r="BT38" s="1"/>
      <c r="BU38" s="1"/>
      <c r="BV38" s="1"/>
      <c r="BX38" s="1" t="str">
        <f t="shared" si="6"/>
        <v/>
      </c>
      <c r="BY38" s="1">
        <f t="shared" si="7"/>
        <v>0</v>
      </c>
      <c r="BZ38" s="1">
        <f t="shared" si="8"/>
        <v>0</v>
      </c>
      <c r="CA38" s="1">
        <f t="shared" si="9"/>
        <v>0</v>
      </c>
      <c r="CB38" s="1">
        <f t="shared" si="10"/>
        <v>0</v>
      </c>
      <c r="CC38" s="1">
        <f t="shared" si="11"/>
        <v>0</v>
      </c>
      <c r="CD38" s="1">
        <f t="shared" si="12"/>
        <v>0</v>
      </c>
      <c r="CE38" s="1">
        <f t="shared" si="13"/>
        <v>0</v>
      </c>
      <c r="CG38" s="73" t="s">
        <v>865</v>
      </c>
      <c r="CI38" s="75">
        <f t="shared" ref="CI38:CO38" si="28">CI28</f>
        <v>4579</v>
      </c>
      <c r="CJ38" s="75">
        <f t="shared" si="28"/>
        <v>0</v>
      </c>
      <c r="CK38" s="75">
        <f t="shared" si="28"/>
        <v>0</v>
      </c>
      <c r="CL38" s="75">
        <f t="shared" si="28"/>
        <v>31739</v>
      </c>
      <c r="CM38" s="75">
        <f t="shared" si="28"/>
        <v>63195</v>
      </c>
      <c r="CN38" s="75">
        <f t="shared" si="28"/>
        <v>20873</v>
      </c>
      <c r="CO38" s="75">
        <f t="shared" si="28"/>
        <v>30567</v>
      </c>
      <c r="CR38" s="93" t="s">
        <v>531</v>
      </c>
      <c r="CS38" s="291">
        <v>145760</v>
      </c>
      <c r="CT38" s="291">
        <v>0</v>
      </c>
      <c r="CU38" s="291">
        <v>0</v>
      </c>
      <c r="CV38" s="291">
        <v>0</v>
      </c>
      <c r="CW38" s="108" t="s">
        <v>965</v>
      </c>
      <c r="CX38" s="312">
        <v>2187</v>
      </c>
      <c r="CY38" s="184">
        <v>0</v>
      </c>
      <c r="CZ38" s="88">
        <v>0</v>
      </c>
      <c r="DA38" s="88">
        <v>0</v>
      </c>
      <c r="DB38" s="94" t="s">
        <v>69</v>
      </c>
      <c r="DC38" s="87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321">
        <v>0</v>
      </c>
      <c r="DJ38" s="88">
        <v>0</v>
      </c>
    </row>
    <row r="39" spans="1:114" ht="16.5" thickBot="1">
      <c r="A39" s="17">
        <f t="shared" si="22"/>
        <v>36</v>
      </c>
      <c r="B39" s="37" t="s">
        <v>551</v>
      </c>
      <c r="C39" s="17" t="s">
        <v>551</v>
      </c>
      <c r="D39" s="17"/>
      <c r="E39" s="17" t="s">
        <v>3</v>
      </c>
      <c r="F39" s="16"/>
      <c r="G39" s="16"/>
      <c r="H39" s="16"/>
      <c r="I39" s="16"/>
      <c r="J39" s="16"/>
      <c r="K39" s="16"/>
      <c r="L39" s="16"/>
      <c r="M39" s="16"/>
      <c r="N39" s="12"/>
      <c r="O39" s="12"/>
      <c r="P39" s="12"/>
      <c r="Q39" s="12"/>
      <c r="R39" s="12"/>
      <c r="S39" s="12"/>
      <c r="T39" s="12"/>
      <c r="U39" s="12"/>
      <c r="V39" s="22"/>
      <c r="W39" s="22"/>
      <c r="X39" s="22"/>
      <c r="Y39" s="22"/>
      <c r="Z39" s="158"/>
      <c r="AA39" s="12"/>
      <c r="AB39" s="284"/>
      <c r="AC39" s="12"/>
      <c r="AD39" s="12"/>
      <c r="AE39" s="12"/>
      <c r="AF39" s="123"/>
      <c r="AG39" s="12"/>
      <c r="AH39" s="284"/>
      <c r="AI39" s="12"/>
      <c r="AJ39" s="123"/>
      <c r="AK39" s="12"/>
      <c r="AL39" s="284"/>
      <c r="AM39" s="159"/>
      <c r="AN39" s="152">
        <f>SUMIF('Date masura OD'!$G:$G,B39,'Date masura OD'!$BC:$BC)</f>
        <v>0</v>
      </c>
      <c r="AO39" s="16">
        <v>0</v>
      </c>
      <c r="AP39" s="16">
        <v>0</v>
      </c>
      <c r="AQ39" s="16">
        <v>0</v>
      </c>
      <c r="AR39" s="1">
        <f t="shared" si="27"/>
        <v>5048</v>
      </c>
      <c r="AS39" s="1">
        <f t="shared" si="21"/>
        <v>0</v>
      </c>
      <c r="AT39" s="1">
        <f t="shared" si="5"/>
        <v>0</v>
      </c>
      <c r="AU39" s="1">
        <f>SUMIF('Date masura OD'!$G:$G,B39,'Date masura OD'!$AY:$AY)</f>
        <v>0</v>
      </c>
      <c r="AV39" s="1">
        <f>SUMIF('Date masura OD'!$G:$G,B39,'Date masura OD'!$AZ:$AZ)</f>
        <v>0</v>
      </c>
      <c r="AW39" s="1">
        <f>SUMIF('Date masura OD'!$G:$G,B39,'Date masura OD'!$BA:$BA)</f>
        <v>0</v>
      </c>
      <c r="AX39" s="1">
        <f>SUMIF('Date masura OD'!$G:$G,B39,'Date masura OD'!$BB:$BB)</f>
        <v>0</v>
      </c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13"/>
      <c r="BP39" s="46"/>
      <c r="BQ39" s="1"/>
      <c r="BR39" s="1"/>
      <c r="BS39" s="1"/>
      <c r="BT39" s="1"/>
      <c r="BU39" s="1"/>
      <c r="BV39" s="1"/>
      <c r="BX39" s="1" t="str">
        <f t="shared" si="6"/>
        <v>RMEG</v>
      </c>
      <c r="BY39" s="1">
        <f t="shared" si="7"/>
        <v>0</v>
      </c>
      <c r="BZ39" s="1">
        <f t="shared" si="8"/>
        <v>0</v>
      </c>
      <c r="CA39" s="1">
        <f t="shared" si="9"/>
        <v>0</v>
      </c>
      <c r="CB39" s="1">
        <f t="shared" si="10"/>
        <v>0</v>
      </c>
      <c r="CC39" s="1">
        <f t="shared" si="11"/>
        <v>0</v>
      </c>
      <c r="CD39" s="1">
        <f t="shared" si="12"/>
        <v>0</v>
      </c>
      <c r="CE39" s="1">
        <f t="shared" si="13"/>
        <v>0</v>
      </c>
      <c r="CG39" s="73" t="s">
        <v>866</v>
      </c>
      <c r="CI39" s="75">
        <f>CI38</f>
        <v>4579</v>
      </c>
      <c r="CJ39" s="75">
        <f>CJ38</f>
        <v>0</v>
      </c>
      <c r="CK39" s="75">
        <f>CK38</f>
        <v>0</v>
      </c>
      <c r="CR39" s="86" t="s">
        <v>532</v>
      </c>
      <c r="CS39" s="291">
        <v>324000</v>
      </c>
      <c r="CT39" s="291">
        <v>0</v>
      </c>
      <c r="CU39" s="291">
        <v>0</v>
      </c>
      <c r="CV39" s="291">
        <v>0</v>
      </c>
      <c r="CW39" s="106" t="s">
        <v>590</v>
      </c>
      <c r="CX39" s="312">
        <v>210839</v>
      </c>
      <c r="CY39" s="184">
        <v>0</v>
      </c>
      <c r="CZ39" s="88">
        <v>21209</v>
      </c>
      <c r="DA39" s="88">
        <v>37</v>
      </c>
      <c r="DB39" s="89" t="s">
        <v>69</v>
      </c>
      <c r="DC39" s="87">
        <v>0</v>
      </c>
      <c r="DD39" s="88">
        <v>0</v>
      </c>
      <c r="DE39" s="88">
        <v>0</v>
      </c>
      <c r="DF39" s="88">
        <v>0</v>
      </c>
      <c r="DG39" s="88">
        <v>210839</v>
      </c>
      <c r="DH39" s="88">
        <v>0</v>
      </c>
      <c r="DI39" s="88">
        <v>40823</v>
      </c>
      <c r="DJ39" s="88">
        <v>3163</v>
      </c>
    </row>
    <row r="40" spans="1:114" ht="16.5" thickBot="1">
      <c r="A40" s="17">
        <f t="shared" si="22"/>
        <v>37</v>
      </c>
      <c r="B40" s="37" t="s">
        <v>552</v>
      </c>
      <c r="C40" s="17" t="s">
        <v>552</v>
      </c>
      <c r="D40" s="17"/>
      <c r="E40" s="17" t="s">
        <v>12</v>
      </c>
      <c r="F40" s="16"/>
      <c r="G40" s="16"/>
      <c r="H40" s="16"/>
      <c r="I40" s="16"/>
      <c r="J40" s="16"/>
      <c r="K40" s="16"/>
      <c r="L40" s="16"/>
      <c r="M40" s="16"/>
      <c r="N40" s="12"/>
      <c r="O40" s="12"/>
      <c r="P40" s="12"/>
      <c r="Q40" s="12"/>
      <c r="R40" s="12"/>
      <c r="S40" s="12"/>
      <c r="T40" s="12"/>
      <c r="U40" s="12"/>
      <c r="V40" s="22"/>
      <c r="W40" s="22"/>
      <c r="X40" s="22"/>
      <c r="Y40" s="22"/>
      <c r="Z40" s="158"/>
      <c r="AA40" s="12"/>
      <c r="AB40" s="284"/>
      <c r="AC40" s="12"/>
      <c r="AD40" s="12"/>
      <c r="AE40" s="12"/>
      <c r="AF40" s="123"/>
      <c r="AG40" s="12"/>
      <c r="AH40" s="284"/>
      <c r="AI40" s="12"/>
      <c r="AJ40" s="123"/>
      <c r="AK40" s="12"/>
      <c r="AL40" s="284"/>
      <c r="AM40" s="159"/>
      <c r="AN40" s="152">
        <f>SUMIF('Date masura OD'!$G:$G,B40,'Date masura OD'!$BC:$BC)</f>
        <v>0</v>
      </c>
      <c r="AO40" s="16">
        <v>0</v>
      </c>
      <c r="AP40" s="16">
        <v>0</v>
      </c>
      <c r="AQ40" s="16">
        <v>0</v>
      </c>
      <c r="AR40" s="1">
        <f t="shared" si="27"/>
        <v>1343</v>
      </c>
      <c r="AS40" s="1">
        <f t="shared" si="21"/>
        <v>0</v>
      </c>
      <c r="AT40" s="1">
        <f t="shared" si="5"/>
        <v>0</v>
      </c>
      <c r="AU40" s="1">
        <f>SUMIF('Date masura OD'!$G:$G,B40,'Date masura OD'!$AY:$AY)</f>
        <v>593</v>
      </c>
      <c r="AV40" s="1">
        <f>SUMIF('Date masura OD'!$G:$G,B40,'Date masura OD'!$AZ:$AZ)</f>
        <v>1854</v>
      </c>
      <c r="AW40" s="1">
        <f>SUMIF('Date masura OD'!$G:$G,B40,'Date masura OD'!$BA:$BA)</f>
        <v>2</v>
      </c>
      <c r="AX40" s="1">
        <f>SUMIF('Date masura OD'!$G:$G,B40,'Date masura OD'!$BB:$BB)</f>
        <v>0</v>
      </c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13"/>
      <c r="BP40" s="46"/>
      <c r="BQ40" s="1"/>
      <c r="BR40" s="1"/>
      <c r="BS40" s="1"/>
      <c r="BT40" s="1"/>
      <c r="BU40" s="1"/>
      <c r="BV40" s="1"/>
      <c r="BX40" s="1" t="str">
        <f t="shared" si="6"/>
        <v/>
      </c>
      <c r="BY40" s="1">
        <f t="shared" si="7"/>
        <v>0</v>
      </c>
      <c r="BZ40" s="1">
        <f t="shared" si="8"/>
        <v>0</v>
      </c>
      <c r="CA40" s="1">
        <f t="shared" si="9"/>
        <v>0</v>
      </c>
      <c r="CB40" s="1">
        <f t="shared" si="10"/>
        <v>0</v>
      </c>
      <c r="CC40" s="1">
        <f t="shared" si="11"/>
        <v>0</v>
      </c>
      <c r="CD40" s="1">
        <f t="shared" si="12"/>
        <v>0</v>
      </c>
      <c r="CE40" s="1">
        <f t="shared" si="13"/>
        <v>0</v>
      </c>
      <c r="CR40" s="30" t="s">
        <v>532</v>
      </c>
      <c r="CS40" s="291">
        <v>324000</v>
      </c>
      <c r="CT40" s="291">
        <v>0</v>
      </c>
      <c r="CU40" s="291">
        <v>0</v>
      </c>
      <c r="CV40" s="291">
        <v>0</v>
      </c>
      <c r="CW40" s="107" t="s">
        <v>591</v>
      </c>
      <c r="CX40" s="312">
        <v>108301</v>
      </c>
      <c r="CY40" s="184">
        <v>40823</v>
      </c>
      <c r="CZ40" s="88">
        <v>32494</v>
      </c>
      <c r="DA40" s="88">
        <v>3219</v>
      </c>
      <c r="DB40" s="29" t="s">
        <v>673</v>
      </c>
      <c r="DC40" s="87">
        <v>0</v>
      </c>
      <c r="DD40" s="88">
        <v>179540</v>
      </c>
      <c r="DE40" s="88">
        <v>65268</v>
      </c>
      <c r="DF40" s="88">
        <v>3186</v>
      </c>
      <c r="DG40" s="88">
        <v>108301</v>
      </c>
      <c r="DH40" s="88">
        <v>138717</v>
      </c>
      <c r="DI40" s="321">
        <v>0</v>
      </c>
      <c r="DJ40" s="88">
        <v>1697</v>
      </c>
    </row>
    <row r="41" spans="1:114" ht="16.5" thickBot="1">
      <c r="A41" s="17">
        <f t="shared" si="22"/>
        <v>38</v>
      </c>
      <c r="B41" s="37" t="s">
        <v>553</v>
      </c>
      <c r="C41" s="17" t="s">
        <v>553</v>
      </c>
      <c r="D41" s="17"/>
      <c r="E41" s="17" t="s">
        <v>12</v>
      </c>
      <c r="F41" s="16"/>
      <c r="G41" s="16"/>
      <c r="H41" s="16"/>
      <c r="I41" s="16"/>
      <c r="J41" s="16"/>
      <c r="K41" s="16"/>
      <c r="L41" s="16"/>
      <c r="M41" s="16"/>
      <c r="N41" s="12"/>
      <c r="O41" s="12"/>
      <c r="P41" s="12"/>
      <c r="Q41" s="12"/>
      <c r="R41" s="12"/>
      <c r="S41" s="12"/>
      <c r="T41" s="12"/>
      <c r="U41" s="12"/>
      <c r="V41" s="22"/>
      <c r="W41" s="22"/>
      <c r="X41" s="22"/>
      <c r="Y41" s="22"/>
      <c r="Z41" s="158"/>
      <c r="AA41" s="12"/>
      <c r="AB41" s="284"/>
      <c r="AC41" s="12"/>
      <c r="AD41" s="12"/>
      <c r="AE41" s="12"/>
      <c r="AF41" s="123"/>
      <c r="AG41" s="12"/>
      <c r="AH41" s="284"/>
      <c r="AI41" s="12"/>
      <c r="AJ41" s="123"/>
      <c r="AK41" s="12"/>
      <c r="AL41" s="284"/>
      <c r="AM41" s="159"/>
      <c r="AN41" s="152">
        <f>SUMIF('Date masura OD'!$G:$G,B41,'Date masura OD'!$BC:$BC)</f>
        <v>0</v>
      </c>
      <c r="AO41" s="16">
        <v>0</v>
      </c>
      <c r="AP41" s="16">
        <v>0</v>
      </c>
      <c r="AQ41" s="16">
        <v>0</v>
      </c>
      <c r="AR41" s="1">
        <f t="shared" si="27"/>
        <v>1561</v>
      </c>
      <c r="AS41" s="1">
        <f t="shared" si="21"/>
        <v>0</v>
      </c>
      <c r="AT41" s="1">
        <f t="shared" si="5"/>
        <v>0</v>
      </c>
      <c r="AU41" s="1">
        <f>SUMIF('Date masura OD'!$G:$G,B41,'Date masura OD'!$AY:$AY)</f>
        <v>99</v>
      </c>
      <c r="AV41" s="1">
        <f>SUMIF('Date masura OD'!$G:$G,B41,'Date masura OD'!$AZ:$AZ)</f>
        <v>6</v>
      </c>
      <c r="AW41" s="1">
        <f>SUMIF('Date masura OD'!$G:$G,B41,'Date masura OD'!$BA:$BA)</f>
        <v>40</v>
      </c>
      <c r="AX41" s="1">
        <f>SUMIF('Date masura OD'!$G:$G,B41,'Date masura OD'!$BB:$BB)</f>
        <v>0</v>
      </c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13"/>
      <c r="BP41" s="46"/>
      <c r="BQ41" s="1"/>
      <c r="BR41" s="1"/>
      <c r="BS41" s="1"/>
      <c r="BT41" s="1"/>
      <c r="BU41" s="1"/>
      <c r="BV41" s="1"/>
      <c r="BX41" s="1" t="str">
        <f t="shared" si="6"/>
        <v/>
      </c>
      <c r="BY41" s="1">
        <f t="shared" si="7"/>
        <v>0</v>
      </c>
      <c r="BZ41" s="1">
        <f t="shared" si="8"/>
        <v>0</v>
      </c>
      <c r="CA41" s="1">
        <f t="shared" si="9"/>
        <v>0</v>
      </c>
      <c r="CB41" s="1">
        <f t="shared" si="10"/>
        <v>0</v>
      </c>
      <c r="CC41" s="1">
        <f t="shared" si="11"/>
        <v>0</v>
      </c>
      <c r="CD41" s="1">
        <f t="shared" si="12"/>
        <v>0</v>
      </c>
      <c r="CE41" s="1">
        <f t="shared" si="13"/>
        <v>0</v>
      </c>
      <c r="CR41" s="30" t="s">
        <v>532</v>
      </c>
      <c r="CS41" s="291">
        <v>324000</v>
      </c>
      <c r="CT41" s="291">
        <v>0</v>
      </c>
      <c r="CU41" s="291">
        <v>0</v>
      </c>
      <c r="CV41" s="291">
        <v>0</v>
      </c>
      <c r="CW41" s="107" t="s">
        <v>966</v>
      </c>
      <c r="CX41" s="312">
        <v>4860</v>
      </c>
      <c r="CY41" s="184">
        <v>0</v>
      </c>
      <c r="CZ41" s="88">
        <v>0</v>
      </c>
      <c r="DA41" s="88">
        <v>0</v>
      </c>
      <c r="DB41" s="29" t="s">
        <v>69</v>
      </c>
      <c r="DC41" s="87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321">
        <v>0</v>
      </c>
      <c r="DJ41" s="88">
        <v>0</v>
      </c>
    </row>
    <row r="42" spans="1:114" ht="16.5" thickBot="1">
      <c r="A42" s="17">
        <f t="shared" si="22"/>
        <v>39</v>
      </c>
      <c r="B42" s="131" t="s">
        <v>554</v>
      </c>
      <c r="C42" s="17" t="s">
        <v>554</v>
      </c>
      <c r="D42" s="36"/>
      <c r="E42" s="36" t="s">
        <v>12</v>
      </c>
      <c r="F42" s="16"/>
      <c r="G42" s="16"/>
      <c r="H42" s="16"/>
      <c r="I42" s="16"/>
      <c r="J42" s="16"/>
      <c r="K42" s="16"/>
      <c r="L42" s="16"/>
      <c r="M42" s="16"/>
      <c r="N42" s="36"/>
      <c r="O42" s="36"/>
      <c r="P42" s="36"/>
      <c r="Q42" s="36"/>
      <c r="R42" s="36"/>
      <c r="S42" s="36"/>
      <c r="T42" s="36"/>
      <c r="U42" s="36"/>
      <c r="V42" s="22"/>
      <c r="W42" s="22"/>
      <c r="X42" s="22"/>
      <c r="Y42" s="22"/>
      <c r="Z42" s="165"/>
      <c r="AA42" s="36"/>
      <c r="AB42" s="285"/>
      <c r="AC42" s="36"/>
      <c r="AD42" s="36"/>
      <c r="AE42" s="36"/>
      <c r="AF42" s="128"/>
      <c r="AG42" s="36"/>
      <c r="AH42" s="285"/>
      <c r="AI42" s="36"/>
      <c r="AJ42" s="128"/>
      <c r="AK42" s="36"/>
      <c r="AL42" s="285"/>
      <c r="AM42" s="166"/>
      <c r="AN42" s="152">
        <f>SUMIF('Date masura OD'!$G:$G,B42,'Date masura OD'!$BC:$BC)</f>
        <v>0</v>
      </c>
      <c r="AO42" s="16">
        <v>0</v>
      </c>
      <c r="AP42" s="16">
        <v>0</v>
      </c>
      <c r="AQ42" s="16">
        <v>0</v>
      </c>
      <c r="AR42" s="1">
        <f t="shared" si="27"/>
        <v>0</v>
      </c>
      <c r="AS42" s="1">
        <f t="shared" si="21"/>
        <v>0</v>
      </c>
      <c r="AT42" s="1">
        <f t="shared" si="5"/>
        <v>0</v>
      </c>
      <c r="AU42" s="1">
        <f>SUMIF('Date masura OD'!$G:$G,B42,'Date masura OD'!$AY:$AY)</f>
        <v>0</v>
      </c>
      <c r="AV42" s="1">
        <f>SUMIF('Date masura OD'!$G:$G,B42,'Date masura OD'!$AZ:$AZ)</f>
        <v>0</v>
      </c>
      <c r="AW42" s="1">
        <f>SUMIF('Date masura OD'!$G:$G,B42,'Date masura OD'!$BA:$BA)</f>
        <v>0</v>
      </c>
      <c r="AX42" s="1">
        <f>SUMIF('Date masura OD'!$G:$G,B42,'Date masura OD'!$BB:$BB)</f>
        <v>0</v>
      </c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13"/>
      <c r="BP42" s="44">
        <f>AN42</f>
        <v>0</v>
      </c>
      <c r="BQ42" s="1"/>
      <c r="BR42" s="1"/>
      <c r="BS42" s="16">
        <f t="shared" ref="BS42:BV43" si="29">AU42</f>
        <v>0</v>
      </c>
      <c r="BT42" s="16">
        <f t="shared" si="29"/>
        <v>0</v>
      </c>
      <c r="BU42" s="16">
        <f t="shared" si="29"/>
        <v>0</v>
      </c>
      <c r="BV42" s="16">
        <f t="shared" si="29"/>
        <v>0</v>
      </c>
      <c r="BX42" s="1" t="str">
        <f t="shared" si="6"/>
        <v/>
      </c>
      <c r="BY42" s="1">
        <f t="shared" si="7"/>
        <v>0</v>
      </c>
      <c r="BZ42" s="1">
        <f t="shared" si="8"/>
        <v>0</v>
      </c>
      <c r="CA42" s="1">
        <f t="shared" si="9"/>
        <v>0</v>
      </c>
      <c r="CB42" s="1">
        <f t="shared" si="10"/>
        <v>0</v>
      </c>
      <c r="CC42" s="1">
        <f t="shared" si="11"/>
        <v>0</v>
      </c>
      <c r="CD42" s="1">
        <f t="shared" si="12"/>
        <v>0</v>
      </c>
      <c r="CE42" s="1">
        <f t="shared" si="13"/>
        <v>0</v>
      </c>
      <c r="CR42" s="30" t="s">
        <v>504</v>
      </c>
      <c r="CS42" s="291">
        <v>315060</v>
      </c>
      <c r="CT42" s="291">
        <v>0</v>
      </c>
      <c r="CU42" s="291">
        <v>0</v>
      </c>
      <c r="CV42" s="291">
        <v>0</v>
      </c>
      <c r="CW42" s="107" t="s">
        <v>592</v>
      </c>
      <c r="CX42" s="312">
        <v>199324</v>
      </c>
      <c r="CY42" s="184">
        <v>0</v>
      </c>
      <c r="CZ42" s="88">
        <v>0</v>
      </c>
      <c r="DA42" s="88">
        <v>0</v>
      </c>
      <c r="DB42" s="29" t="s">
        <v>69</v>
      </c>
      <c r="DC42" s="87">
        <v>0</v>
      </c>
      <c r="DD42" s="88">
        <v>0</v>
      </c>
      <c r="DE42" s="88">
        <v>0</v>
      </c>
      <c r="DF42" s="88">
        <v>0</v>
      </c>
      <c r="DG42" s="88">
        <v>199324</v>
      </c>
      <c r="DH42" s="88">
        <v>0</v>
      </c>
      <c r="DI42" s="1">
        <v>27106</v>
      </c>
      <c r="DJ42" s="88">
        <v>2990</v>
      </c>
    </row>
    <row r="43" spans="1:114" ht="16.5" thickBot="1">
      <c r="A43" s="17">
        <f t="shared" si="22"/>
        <v>40</v>
      </c>
      <c r="B43" s="131" t="s">
        <v>1084</v>
      </c>
      <c r="C43" s="17" t="s">
        <v>1084</v>
      </c>
      <c r="D43" s="17"/>
      <c r="E43" s="17" t="s">
        <v>12</v>
      </c>
      <c r="F43" s="16"/>
      <c r="G43" s="16"/>
      <c r="H43" s="16"/>
      <c r="I43" s="16"/>
      <c r="J43" s="16"/>
      <c r="K43" s="16"/>
      <c r="L43" s="16"/>
      <c r="M43" s="16"/>
      <c r="N43" s="12"/>
      <c r="O43" s="12"/>
      <c r="P43" s="12"/>
      <c r="Q43" s="12"/>
      <c r="R43" s="12"/>
      <c r="S43" s="12"/>
      <c r="T43" s="12"/>
      <c r="U43" s="12"/>
      <c r="V43" s="22"/>
      <c r="W43" s="22"/>
      <c r="X43" s="22"/>
      <c r="Y43" s="22"/>
      <c r="Z43" s="160"/>
      <c r="AA43" s="12"/>
      <c r="AB43" s="284"/>
      <c r="AC43" s="12"/>
      <c r="AD43" s="12"/>
      <c r="AE43" s="12"/>
      <c r="AF43" s="125"/>
      <c r="AG43" s="12"/>
      <c r="AH43" s="284"/>
      <c r="AI43" s="12"/>
      <c r="AJ43" s="125"/>
      <c r="AK43" s="12"/>
      <c r="AL43" s="284"/>
      <c r="AM43" s="161"/>
      <c r="AN43" s="152">
        <f>SUMIF('Date masura OD'!$G:$G,B43,'Date masura OD'!$BC:$BC)</f>
        <v>1563</v>
      </c>
      <c r="AO43" s="16">
        <v>0</v>
      </c>
      <c r="AP43" s="16">
        <v>0</v>
      </c>
      <c r="AQ43" s="16">
        <v>0</v>
      </c>
      <c r="AR43" s="1">
        <f t="shared" si="27"/>
        <v>0</v>
      </c>
      <c r="AS43" s="1">
        <f t="shared" si="21"/>
        <v>0</v>
      </c>
      <c r="AT43" s="1">
        <f t="shared" si="5"/>
        <v>1563</v>
      </c>
      <c r="AU43" s="1">
        <f>SUMIF('Date masura OD'!$G:$G,B43,'Date masura OD'!$AY:$AY)</f>
        <v>3119</v>
      </c>
      <c r="AV43" s="1">
        <f>SUMIF('Date masura OD'!$G:$G,B43,'Date masura OD'!$AZ:$AZ)</f>
        <v>33</v>
      </c>
      <c r="AW43" s="1">
        <f>SUMIF('Date masura OD'!$G:$G,B43,'Date masura OD'!$BA:$BA)</f>
        <v>0</v>
      </c>
      <c r="AX43" s="1">
        <f>SUMIF('Date masura OD'!$G:$G,B43,'Date masura OD'!$BB:$BB)</f>
        <v>0</v>
      </c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13"/>
      <c r="BP43" s="44">
        <f>AN43</f>
        <v>1563</v>
      </c>
      <c r="BQ43" s="1"/>
      <c r="BR43" s="1"/>
      <c r="BS43" s="16">
        <f t="shared" si="29"/>
        <v>3119</v>
      </c>
      <c r="BT43" s="16">
        <f t="shared" si="29"/>
        <v>33</v>
      </c>
      <c r="BU43" s="16">
        <f t="shared" si="29"/>
        <v>0</v>
      </c>
      <c r="BV43" s="16">
        <f t="shared" si="29"/>
        <v>0</v>
      </c>
      <c r="BX43" s="1" t="str">
        <f t="shared" si="6"/>
        <v>RSEV</v>
      </c>
      <c r="BY43" s="1">
        <f t="shared" si="7"/>
        <v>1563</v>
      </c>
      <c r="BZ43" s="1">
        <f t="shared" si="8"/>
        <v>0</v>
      </c>
      <c r="CA43" s="1">
        <f t="shared" si="9"/>
        <v>0</v>
      </c>
      <c r="CB43" s="1">
        <f t="shared" si="10"/>
        <v>3119</v>
      </c>
      <c r="CC43" s="1">
        <f t="shared" si="11"/>
        <v>33</v>
      </c>
      <c r="CD43" s="1">
        <f t="shared" si="12"/>
        <v>0</v>
      </c>
      <c r="CE43" s="1">
        <f t="shared" si="13"/>
        <v>0</v>
      </c>
      <c r="CR43" s="30" t="s">
        <v>504</v>
      </c>
      <c r="CS43" s="291">
        <v>315060</v>
      </c>
      <c r="CT43" s="291">
        <v>0</v>
      </c>
      <c r="CU43" s="291">
        <v>0</v>
      </c>
      <c r="CV43" s="291">
        <v>0</v>
      </c>
      <c r="CW43" s="107" t="s">
        <v>593</v>
      </c>
      <c r="CX43" s="312">
        <v>111010</v>
      </c>
      <c r="CY43" s="184">
        <v>27106</v>
      </c>
      <c r="CZ43" s="88">
        <v>5022</v>
      </c>
      <c r="DA43" s="88">
        <v>5262</v>
      </c>
      <c r="DB43" s="29" t="s">
        <v>674</v>
      </c>
      <c r="DC43" s="87">
        <v>0</v>
      </c>
      <c r="DD43" s="88">
        <v>125517</v>
      </c>
      <c r="DE43" s="88">
        <v>1258</v>
      </c>
      <c r="DF43" s="88">
        <v>4407</v>
      </c>
      <c r="DG43" s="88">
        <v>111010</v>
      </c>
      <c r="DH43" s="88">
        <v>98411</v>
      </c>
      <c r="DI43" s="321">
        <v>0</v>
      </c>
      <c r="DJ43" s="88">
        <v>1736</v>
      </c>
    </row>
    <row r="44" spans="1:114" ht="16.5" thickBot="1">
      <c r="A44" s="17">
        <f t="shared" si="22"/>
        <v>41</v>
      </c>
      <c r="B44" s="37" t="s">
        <v>555</v>
      </c>
      <c r="C44" s="17" t="s">
        <v>555</v>
      </c>
      <c r="D44" s="17"/>
      <c r="E44" s="17" t="s">
        <v>16</v>
      </c>
      <c r="F44" s="16"/>
      <c r="G44" s="16"/>
      <c r="H44" s="16"/>
      <c r="I44" s="16"/>
      <c r="J44" s="16"/>
      <c r="K44" s="16"/>
      <c r="L44" s="16"/>
      <c r="M44" s="16"/>
      <c r="N44" s="12"/>
      <c r="O44" s="12"/>
      <c r="P44" s="12"/>
      <c r="Q44" s="12"/>
      <c r="R44" s="12"/>
      <c r="S44" s="12"/>
      <c r="T44" s="12"/>
      <c r="U44" s="12"/>
      <c r="V44" s="22"/>
      <c r="W44" s="22"/>
      <c r="X44" s="22"/>
      <c r="Y44" s="22"/>
      <c r="Z44" s="160"/>
      <c r="AA44" s="12"/>
      <c r="AB44" s="284"/>
      <c r="AC44" s="12"/>
      <c r="AD44" s="12"/>
      <c r="AE44" s="12"/>
      <c r="AF44" s="125"/>
      <c r="AG44" s="12"/>
      <c r="AH44" s="284"/>
      <c r="AI44" s="12"/>
      <c r="AJ44" s="125"/>
      <c r="AK44" s="12"/>
      <c r="AL44" s="284"/>
      <c r="AM44" s="161"/>
      <c r="AN44" s="152">
        <f>SUMIF('Date masura OD'!$G:$G,B44,'Date masura OD'!$BC:$BC)</f>
        <v>0</v>
      </c>
      <c r="AO44" s="16">
        <v>0</v>
      </c>
      <c r="AP44" s="16">
        <v>0</v>
      </c>
      <c r="AQ44" s="16">
        <v>0</v>
      </c>
      <c r="AR44" s="1">
        <f t="shared" si="27"/>
        <v>3768</v>
      </c>
      <c r="AS44" s="1">
        <f t="shared" si="21"/>
        <v>0</v>
      </c>
      <c r="AT44" s="1">
        <f t="shared" si="5"/>
        <v>0</v>
      </c>
      <c r="AU44" s="1">
        <f>SUMIF('Date masura OD'!$G:$G,B44,'Date masura OD'!$AY:$AY)</f>
        <v>0</v>
      </c>
      <c r="AV44" s="1">
        <f>SUMIF('Date masura OD'!$G:$G,B44,'Date masura OD'!$AZ:$AZ)</f>
        <v>0</v>
      </c>
      <c r="AW44" s="1">
        <f>SUMIF('Date masura OD'!$G:$G,B44,'Date masura OD'!$BA:$BA)</f>
        <v>0</v>
      </c>
      <c r="AX44" s="1">
        <f>SUMIF('Date masura OD'!$G:$G,B44,'Date masura OD'!$BB:$BB)</f>
        <v>0</v>
      </c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13"/>
      <c r="BP44" s="46"/>
      <c r="BQ44" s="1"/>
      <c r="BR44" s="1"/>
      <c r="BS44" s="1"/>
      <c r="BT44" s="1"/>
      <c r="BU44" s="1"/>
      <c r="BV44" s="1"/>
      <c r="BX44" s="1" t="str">
        <f t="shared" si="6"/>
        <v/>
      </c>
      <c r="BY44" s="1">
        <f t="shared" si="7"/>
        <v>0</v>
      </c>
      <c r="BZ44" s="1">
        <f t="shared" si="8"/>
        <v>0</v>
      </c>
      <c r="CA44" s="1">
        <f t="shared" si="9"/>
        <v>0</v>
      </c>
      <c r="CB44" s="1">
        <f t="shared" si="10"/>
        <v>0</v>
      </c>
      <c r="CC44" s="1">
        <f t="shared" si="11"/>
        <v>0</v>
      </c>
      <c r="CD44" s="1">
        <f t="shared" si="12"/>
        <v>0</v>
      </c>
      <c r="CE44" s="1">
        <f t="shared" si="13"/>
        <v>0</v>
      </c>
      <c r="CR44" s="93" t="s">
        <v>504</v>
      </c>
      <c r="CS44" s="291">
        <v>315060</v>
      </c>
      <c r="CT44" s="291">
        <v>0</v>
      </c>
      <c r="CU44" s="291">
        <v>0</v>
      </c>
      <c r="CV44" s="291">
        <v>0</v>
      </c>
      <c r="CW44" s="108" t="s">
        <v>967</v>
      </c>
      <c r="CX44" s="312">
        <v>4726</v>
      </c>
      <c r="CY44" s="184">
        <v>0</v>
      </c>
      <c r="CZ44" s="88">
        <v>0</v>
      </c>
      <c r="DA44" s="88">
        <v>0</v>
      </c>
      <c r="DB44" s="94" t="s">
        <v>69</v>
      </c>
      <c r="DC44" s="87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321">
        <v>0</v>
      </c>
      <c r="DJ44" s="88">
        <v>0</v>
      </c>
    </row>
    <row r="45" spans="1:114" ht="16.5" thickBot="1">
      <c r="A45" s="17">
        <f t="shared" si="22"/>
        <v>42</v>
      </c>
      <c r="B45" s="37" t="s">
        <v>556</v>
      </c>
      <c r="C45" s="17" t="s">
        <v>556</v>
      </c>
      <c r="D45" s="17"/>
      <c r="E45" s="17" t="s">
        <v>16</v>
      </c>
      <c r="F45" s="16"/>
      <c r="G45" s="16"/>
      <c r="H45" s="16"/>
      <c r="I45" s="16"/>
      <c r="J45" s="16"/>
      <c r="K45" s="16"/>
      <c r="L45" s="16"/>
      <c r="M45" s="16"/>
      <c r="N45" s="12"/>
      <c r="O45" s="12"/>
      <c r="P45" s="12"/>
      <c r="Q45" s="12"/>
      <c r="R45" s="12"/>
      <c r="S45" s="12"/>
      <c r="T45" s="12"/>
      <c r="U45" s="12"/>
      <c r="V45" s="22"/>
      <c r="W45" s="22"/>
      <c r="X45" s="22"/>
      <c r="Y45" s="22"/>
      <c r="Z45" s="160"/>
      <c r="AA45" s="12"/>
      <c r="AB45" s="284"/>
      <c r="AC45" s="12"/>
      <c r="AD45" s="12"/>
      <c r="AE45" s="12"/>
      <c r="AF45" s="125"/>
      <c r="AG45" s="12"/>
      <c r="AH45" s="284"/>
      <c r="AI45" s="12"/>
      <c r="AJ45" s="125"/>
      <c r="AK45" s="12"/>
      <c r="AL45" s="284"/>
      <c r="AM45" s="161"/>
      <c r="AN45" s="152">
        <f>SUMIF('Date masura OD'!$G:$G,B45,'Date masura OD'!$BC:$BC)</f>
        <v>0</v>
      </c>
      <c r="AO45" s="16">
        <v>0</v>
      </c>
      <c r="AP45" s="16">
        <v>0</v>
      </c>
      <c r="AQ45" s="16">
        <v>0</v>
      </c>
      <c r="AR45" s="1">
        <f t="shared" si="27"/>
        <v>5006</v>
      </c>
      <c r="AS45" s="1">
        <f t="shared" si="21"/>
        <v>0</v>
      </c>
      <c r="AT45" s="1">
        <f t="shared" si="5"/>
        <v>0</v>
      </c>
      <c r="AU45" s="1">
        <f>SUMIF('Date masura OD'!$G:$G,B45,'Date masura OD'!$AY:$AY)</f>
        <v>0</v>
      </c>
      <c r="AV45" s="1">
        <f>SUMIF('Date masura OD'!$G:$G,B45,'Date masura OD'!$AZ:$AZ)</f>
        <v>0</v>
      </c>
      <c r="AW45" s="1">
        <f>SUMIF('Date masura OD'!$G:$G,B45,'Date masura OD'!$BA:$BA)</f>
        <v>0</v>
      </c>
      <c r="AX45" s="1">
        <f>SUMIF('Date masura OD'!$G:$G,B45,'Date masura OD'!$BB:$BB)</f>
        <v>0</v>
      </c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13"/>
      <c r="BP45" s="46"/>
      <c r="BQ45" s="1"/>
      <c r="BR45" s="1"/>
      <c r="BS45" s="1"/>
      <c r="BT45" s="1"/>
      <c r="BU45" s="1"/>
      <c r="BV45" s="1"/>
      <c r="BX45" s="1" t="str">
        <f t="shared" si="6"/>
        <v/>
      </c>
      <c r="BY45" s="1">
        <f t="shared" si="7"/>
        <v>0</v>
      </c>
      <c r="BZ45" s="1">
        <f t="shared" si="8"/>
        <v>0</v>
      </c>
      <c r="CA45" s="1">
        <f t="shared" si="9"/>
        <v>0</v>
      </c>
      <c r="CB45" s="1">
        <f t="shared" si="10"/>
        <v>0</v>
      </c>
      <c r="CC45" s="1">
        <f t="shared" si="11"/>
        <v>0</v>
      </c>
      <c r="CD45" s="1">
        <f t="shared" si="12"/>
        <v>0</v>
      </c>
      <c r="CE45" s="1">
        <f t="shared" si="13"/>
        <v>0</v>
      </c>
      <c r="CR45" s="86" t="s">
        <v>533</v>
      </c>
      <c r="CS45" s="291">
        <v>1000800</v>
      </c>
      <c r="CT45" s="291">
        <v>0</v>
      </c>
      <c r="CU45" s="291">
        <v>0</v>
      </c>
      <c r="CV45" s="291">
        <v>0</v>
      </c>
      <c r="CW45" s="106" t="s">
        <v>594</v>
      </c>
      <c r="CX45" s="312">
        <v>235586</v>
      </c>
      <c r="CY45" s="184">
        <v>0</v>
      </c>
      <c r="CZ45" s="88">
        <v>39926</v>
      </c>
      <c r="DA45" s="88">
        <v>41</v>
      </c>
      <c r="DB45" s="89" t="s">
        <v>69</v>
      </c>
      <c r="DC45" s="87">
        <v>0</v>
      </c>
      <c r="DD45" s="88">
        <v>0</v>
      </c>
      <c r="DE45" s="88">
        <v>0</v>
      </c>
      <c r="DF45" s="88">
        <v>0</v>
      </c>
      <c r="DG45" s="88">
        <v>235586</v>
      </c>
      <c r="DH45" s="88">
        <v>0</v>
      </c>
      <c r="DI45" s="88">
        <v>13653</v>
      </c>
      <c r="DJ45" s="88">
        <v>3534</v>
      </c>
    </row>
    <row r="46" spans="1:114" ht="16.5" thickBot="1">
      <c r="A46" s="17">
        <f t="shared" si="22"/>
        <v>43</v>
      </c>
      <c r="B46" s="37" t="s">
        <v>557</v>
      </c>
      <c r="C46" s="17" t="s">
        <v>557</v>
      </c>
      <c r="D46" s="12"/>
      <c r="E46" s="17" t="s">
        <v>16</v>
      </c>
      <c r="F46" s="16"/>
      <c r="G46" s="16"/>
      <c r="H46" s="16"/>
      <c r="I46" s="16"/>
      <c r="J46" s="16"/>
      <c r="K46" s="16"/>
      <c r="L46" s="16"/>
      <c r="M46" s="16"/>
      <c r="N46" s="12"/>
      <c r="O46" s="12"/>
      <c r="P46" s="12"/>
      <c r="Q46" s="12"/>
      <c r="R46" s="12"/>
      <c r="S46" s="12"/>
      <c r="T46" s="12"/>
      <c r="U46" s="12"/>
      <c r="V46" s="22"/>
      <c r="W46" s="22"/>
      <c r="X46" s="22"/>
      <c r="Y46" s="22"/>
      <c r="Z46" s="160"/>
      <c r="AA46" s="12"/>
      <c r="AB46" s="284"/>
      <c r="AC46" s="12"/>
      <c r="AD46" s="12"/>
      <c r="AE46" s="12"/>
      <c r="AF46" s="125"/>
      <c r="AG46" s="12"/>
      <c r="AH46" s="284"/>
      <c r="AI46" s="12"/>
      <c r="AJ46" s="125"/>
      <c r="AK46" s="12"/>
      <c r="AL46" s="284"/>
      <c r="AM46" s="161"/>
      <c r="AN46" s="152">
        <f>SUMIF('Date masura OD'!$G:$G,B46,'Date masura OD'!$BC:$BC)</f>
        <v>0</v>
      </c>
      <c r="AO46" s="16">
        <v>0</v>
      </c>
      <c r="AP46" s="16">
        <v>0</v>
      </c>
      <c r="AQ46" s="16">
        <v>0</v>
      </c>
      <c r="AR46" s="1">
        <f t="shared" si="27"/>
        <v>351</v>
      </c>
      <c r="AS46" s="1">
        <f t="shared" si="21"/>
        <v>0</v>
      </c>
      <c r="AT46" s="1">
        <f t="shared" si="5"/>
        <v>0</v>
      </c>
      <c r="AU46" s="1">
        <f>SUMIF('Date masura OD'!$G:$G,B46,'Date masura OD'!$AY:$AY)</f>
        <v>3292</v>
      </c>
      <c r="AV46" s="1">
        <f>SUMIF('Date masura OD'!$G:$G,B46,'Date masura OD'!$AZ:$AZ)</f>
        <v>0</v>
      </c>
      <c r="AW46" s="1">
        <f>SUMIF('Date masura OD'!$G:$G,B46,'Date masura OD'!$BA:$BA)</f>
        <v>0</v>
      </c>
      <c r="AX46" s="1">
        <f>SUMIF('Date masura OD'!$G:$G,B46,'Date masura OD'!$BB:$BB)</f>
        <v>0</v>
      </c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13"/>
      <c r="BP46" s="46"/>
      <c r="BQ46" s="1"/>
      <c r="BR46" s="1"/>
      <c r="BS46" s="1"/>
      <c r="BT46" s="1"/>
      <c r="BU46" s="1"/>
      <c r="BV46" s="1"/>
      <c r="BX46" s="1" t="str">
        <f t="shared" si="6"/>
        <v/>
      </c>
      <c r="BY46" s="1">
        <f t="shared" si="7"/>
        <v>0</v>
      </c>
      <c r="BZ46" s="1">
        <f t="shared" si="8"/>
        <v>0</v>
      </c>
      <c r="CA46" s="1">
        <f t="shared" si="9"/>
        <v>0</v>
      </c>
      <c r="CB46" s="1">
        <f t="shared" si="10"/>
        <v>0</v>
      </c>
      <c r="CC46" s="1">
        <f t="shared" si="11"/>
        <v>0</v>
      </c>
      <c r="CD46" s="1">
        <f t="shared" si="12"/>
        <v>0</v>
      </c>
      <c r="CE46" s="1">
        <f t="shared" si="13"/>
        <v>0</v>
      </c>
      <c r="CR46" s="30" t="s">
        <v>533</v>
      </c>
      <c r="CS46" s="291">
        <v>1000800</v>
      </c>
      <c r="CT46" s="291">
        <v>0</v>
      </c>
      <c r="CU46" s="291">
        <v>0</v>
      </c>
      <c r="CV46" s="291">
        <v>0</v>
      </c>
      <c r="CW46" s="107" t="s">
        <v>595</v>
      </c>
      <c r="CX46" s="312">
        <v>420915</v>
      </c>
      <c r="CY46" s="184">
        <v>0</v>
      </c>
      <c r="CZ46" s="88">
        <v>44476</v>
      </c>
      <c r="DA46" s="88">
        <v>70</v>
      </c>
      <c r="DB46" s="29" t="s">
        <v>69</v>
      </c>
      <c r="DC46" s="87">
        <v>0</v>
      </c>
      <c r="DD46" s="88">
        <v>0</v>
      </c>
      <c r="DE46" s="88">
        <v>0</v>
      </c>
      <c r="DF46" s="88">
        <v>0</v>
      </c>
      <c r="DG46" s="88">
        <v>420915</v>
      </c>
      <c r="DH46" s="88">
        <v>0</v>
      </c>
      <c r="DI46" s="321">
        <v>0</v>
      </c>
      <c r="DJ46" s="88">
        <v>6314</v>
      </c>
    </row>
    <row r="47" spans="1:114" ht="16.5" thickBot="1">
      <c r="A47" s="17">
        <f t="shared" si="22"/>
        <v>44</v>
      </c>
      <c r="B47" s="37" t="s">
        <v>558</v>
      </c>
      <c r="C47" s="17" t="s">
        <v>558</v>
      </c>
      <c r="D47" s="17"/>
      <c r="E47" s="17" t="s">
        <v>16</v>
      </c>
      <c r="F47" s="16"/>
      <c r="G47" s="16"/>
      <c r="H47" s="16"/>
      <c r="I47" s="16"/>
      <c r="J47" s="16"/>
      <c r="K47" s="16"/>
      <c r="L47" s="16"/>
      <c r="M47" s="16"/>
      <c r="N47" s="12"/>
      <c r="O47" s="12"/>
      <c r="P47" s="12"/>
      <c r="Q47" s="12"/>
      <c r="R47" s="12"/>
      <c r="S47" s="12"/>
      <c r="T47" s="12"/>
      <c r="U47" s="12"/>
      <c r="V47" s="22"/>
      <c r="W47" s="22"/>
      <c r="X47" s="22"/>
      <c r="Y47" s="22"/>
      <c r="Z47" s="160"/>
      <c r="AA47" s="12"/>
      <c r="AB47" s="284"/>
      <c r="AC47" s="12"/>
      <c r="AD47" s="12"/>
      <c r="AE47" s="12"/>
      <c r="AF47" s="125"/>
      <c r="AG47" s="12"/>
      <c r="AH47" s="284"/>
      <c r="AI47" s="12"/>
      <c r="AJ47" s="125"/>
      <c r="AK47" s="12"/>
      <c r="AL47" s="284"/>
      <c r="AM47" s="161"/>
      <c r="AN47" s="152">
        <f>SUMIF('Date masura OD'!$G:$G,B47,'Date masura OD'!$BC:$BC)</f>
        <v>0</v>
      </c>
      <c r="AO47" s="16">
        <v>0</v>
      </c>
      <c r="AP47" s="16">
        <v>0</v>
      </c>
      <c r="AQ47" s="16">
        <v>0</v>
      </c>
      <c r="AR47" s="1">
        <f t="shared" si="27"/>
        <v>1738</v>
      </c>
      <c r="AS47" s="1">
        <f t="shared" si="21"/>
        <v>0</v>
      </c>
      <c r="AT47" s="1">
        <f t="shared" si="5"/>
        <v>0</v>
      </c>
      <c r="AU47" s="1">
        <f>SUMIF('Date masura OD'!$G:$G,B47,'Date masura OD'!$AY:$AY)</f>
        <v>0</v>
      </c>
      <c r="AV47" s="1">
        <f>SUMIF('Date masura OD'!$G:$G,B47,'Date masura OD'!$AZ:$AZ)</f>
        <v>0</v>
      </c>
      <c r="AW47" s="1">
        <f>SUMIF('Date masura OD'!$G:$G,B47,'Date masura OD'!$BA:$BA)</f>
        <v>0</v>
      </c>
      <c r="AX47" s="1">
        <f>SUMIF('Date masura OD'!$G:$G,B47,'Date masura OD'!$BB:$BB)</f>
        <v>0</v>
      </c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13"/>
      <c r="BP47" s="46"/>
      <c r="BQ47" s="1"/>
      <c r="BR47" s="1"/>
      <c r="BS47" s="1"/>
      <c r="BT47" s="1"/>
      <c r="BU47" s="1"/>
      <c r="BV47" s="1"/>
      <c r="BX47" s="1" t="str">
        <f t="shared" si="6"/>
        <v>RITS</v>
      </c>
      <c r="BY47" s="1">
        <f t="shared" si="7"/>
        <v>0</v>
      </c>
      <c r="BZ47" s="1">
        <f t="shared" si="8"/>
        <v>0</v>
      </c>
      <c r="CA47" s="1">
        <f t="shared" si="9"/>
        <v>0</v>
      </c>
      <c r="CB47" s="1">
        <f t="shared" si="10"/>
        <v>0</v>
      </c>
      <c r="CC47" s="1">
        <f t="shared" si="11"/>
        <v>0</v>
      </c>
      <c r="CD47" s="1">
        <f t="shared" si="12"/>
        <v>0</v>
      </c>
      <c r="CE47" s="1">
        <f t="shared" si="13"/>
        <v>0</v>
      </c>
      <c r="CR47" s="30" t="s">
        <v>533</v>
      </c>
      <c r="CS47" s="291">
        <v>1000800</v>
      </c>
      <c r="CT47" s="291">
        <v>0</v>
      </c>
      <c r="CU47" s="291">
        <v>0</v>
      </c>
      <c r="CV47" s="291">
        <v>0</v>
      </c>
      <c r="CW47" s="107" t="s">
        <v>596</v>
      </c>
      <c r="CX47" s="312">
        <v>145806</v>
      </c>
      <c r="CY47" s="184">
        <v>13653</v>
      </c>
      <c r="CZ47" s="88">
        <v>11715</v>
      </c>
      <c r="DA47" s="88">
        <v>3168</v>
      </c>
      <c r="DB47" s="29" t="s">
        <v>675</v>
      </c>
      <c r="DC47" s="87">
        <v>0</v>
      </c>
      <c r="DD47" s="88">
        <v>146298</v>
      </c>
      <c r="DE47" s="88">
        <v>361</v>
      </c>
      <c r="DF47" s="88">
        <v>1235</v>
      </c>
      <c r="DG47" s="88">
        <v>145806</v>
      </c>
      <c r="DH47" s="88">
        <v>132645</v>
      </c>
      <c r="DI47" s="321">
        <v>0</v>
      </c>
      <c r="DJ47" s="88">
        <v>2188</v>
      </c>
    </row>
    <row r="48" spans="1:114" ht="16.5" thickBot="1">
      <c r="A48" s="17">
        <f t="shared" si="22"/>
        <v>45</v>
      </c>
      <c r="B48" s="37" t="s">
        <v>559</v>
      </c>
      <c r="C48" s="17" t="s">
        <v>559</v>
      </c>
      <c r="D48" s="17"/>
      <c r="E48" s="17" t="s">
        <v>18</v>
      </c>
      <c r="F48" s="16"/>
      <c r="G48" s="16"/>
      <c r="H48" s="16"/>
      <c r="I48" s="16"/>
      <c r="J48" s="16"/>
      <c r="K48" s="16"/>
      <c r="L48" s="16"/>
      <c r="M48" s="16"/>
      <c r="N48" s="12"/>
      <c r="O48" s="12"/>
      <c r="P48" s="12"/>
      <c r="Q48" s="12"/>
      <c r="R48" s="12"/>
      <c r="S48" s="12"/>
      <c r="T48" s="12"/>
      <c r="U48" s="12"/>
      <c r="V48" s="22"/>
      <c r="W48" s="22"/>
      <c r="X48" s="22"/>
      <c r="Y48" s="22"/>
      <c r="Z48" s="160"/>
      <c r="AA48" s="12"/>
      <c r="AB48" s="284"/>
      <c r="AC48" s="12"/>
      <c r="AD48" s="12"/>
      <c r="AE48" s="12"/>
      <c r="AF48" s="125"/>
      <c r="AG48" s="12"/>
      <c r="AH48" s="284"/>
      <c r="AI48" s="12"/>
      <c r="AJ48" s="125"/>
      <c r="AK48" s="12"/>
      <c r="AL48" s="284"/>
      <c r="AM48" s="161"/>
      <c r="AN48" s="152">
        <f>SUMIF('Date masura OD'!$G:$G,B48,'Date masura OD'!$BC:$BC)</f>
        <v>0</v>
      </c>
      <c r="AO48" s="16">
        <v>0</v>
      </c>
      <c r="AP48" s="16">
        <v>0</v>
      </c>
      <c r="AQ48" s="16">
        <v>0</v>
      </c>
      <c r="AR48" s="1">
        <f t="shared" si="27"/>
        <v>3428</v>
      </c>
      <c r="AS48" s="1">
        <f t="shared" si="21"/>
        <v>0</v>
      </c>
      <c r="AT48" s="1">
        <f t="shared" si="5"/>
        <v>0</v>
      </c>
      <c r="AU48" s="1">
        <f>SUMIF('Date masura OD'!$G:$G,B48,'Date masura OD'!$AY:$AY)</f>
        <v>237</v>
      </c>
      <c r="AV48" s="1">
        <f>SUMIF('Date masura OD'!$G:$G,B48,'Date masura OD'!$AZ:$AZ)</f>
        <v>292</v>
      </c>
      <c r="AW48" s="1">
        <f>SUMIF('Date masura OD'!$G:$G,B48,'Date masura OD'!$BA:$BA)</f>
        <v>2</v>
      </c>
      <c r="AX48" s="1">
        <f>SUMIF('Date masura OD'!$G:$G,B48,'Date masura OD'!$BB:$BB)</f>
        <v>0</v>
      </c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13"/>
      <c r="BP48" s="46"/>
      <c r="BQ48" s="1"/>
      <c r="BR48" s="1"/>
      <c r="BS48" s="1"/>
      <c r="BT48" s="1"/>
      <c r="BU48" s="1"/>
      <c r="BV48" s="1"/>
      <c r="BX48" s="1" t="str">
        <f t="shared" si="6"/>
        <v/>
      </c>
      <c r="BY48" s="1">
        <f t="shared" si="7"/>
        <v>0</v>
      </c>
      <c r="BZ48" s="1">
        <f t="shared" si="8"/>
        <v>0</v>
      </c>
      <c r="CA48" s="1">
        <f t="shared" si="9"/>
        <v>0</v>
      </c>
      <c r="CB48" s="1">
        <f t="shared" si="10"/>
        <v>0</v>
      </c>
      <c r="CC48" s="1">
        <f t="shared" si="11"/>
        <v>0</v>
      </c>
      <c r="CD48" s="1">
        <f t="shared" si="12"/>
        <v>0</v>
      </c>
      <c r="CE48" s="1">
        <f t="shared" si="13"/>
        <v>0</v>
      </c>
      <c r="CR48" s="30" t="s">
        <v>533</v>
      </c>
      <c r="CS48" s="291">
        <v>1000800</v>
      </c>
      <c r="CT48" s="291">
        <v>0</v>
      </c>
      <c r="CU48" s="291">
        <v>0</v>
      </c>
      <c r="CV48" s="291">
        <v>0</v>
      </c>
      <c r="CW48" s="29" t="s">
        <v>597</v>
      </c>
      <c r="CX48" s="312">
        <v>183481</v>
      </c>
      <c r="CY48" s="184">
        <v>0</v>
      </c>
      <c r="CZ48" s="88">
        <v>30217</v>
      </c>
      <c r="DA48" s="88">
        <v>27</v>
      </c>
      <c r="DB48" s="29" t="s">
        <v>69</v>
      </c>
      <c r="DC48" s="87">
        <v>0</v>
      </c>
      <c r="DD48" s="88">
        <v>0</v>
      </c>
      <c r="DE48" s="88">
        <v>0</v>
      </c>
      <c r="DF48" s="88">
        <v>0</v>
      </c>
      <c r="DG48" s="88">
        <v>183481</v>
      </c>
      <c r="DH48" s="88">
        <v>0</v>
      </c>
      <c r="DI48" s="321">
        <v>0</v>
      </c>
      <c r="DJ48" s="88">
        <v>2976</v>
      </c>
    </row>
    <row r="49" spans="1:114" ht="16.5" thickBot="1">
      <c r="A49" s="17">
        <f t="shared" si="22"/>
        <v>46</v>
      </c>
      <c r="B49" s="37" t="s">
        <v>560</v>
      </c>
      <c r="C49" s="17" t="s">
        <v>560</v>
      </c>
      <c r="D49" s="17"/>
      <c r="E49" s="17" t="s">
        <v>18</v>
      </c>
      <c r="F49" s="16"/>
      <c r="G49" s="16"/>
      <c r="H49" s="16"/>
      <c r="I49" s="16"/>
      <c r="J49" s="16"/>
      <c r="K49" s="16"/>
      <c r="L49" s="16"/>
      <c r="M49" s="16"/>
      <c r="N49" s="12"/>
      <c r="O49" s="12"/>
      <c r="P49" s="12"/>
      <c r="Q49" s="12"/>
      <c r="R49" s="12"/>
      <c r="S49" s="12"/>
      <c r="T49" s="12"/>
      <c r="U49" s="12"/>
      <c r="V49" s="22"/>
      <c r="W49" s="22"/>
      <c r="X49" s="22"/>
      <c r="Y49" s="22"/>
      <c r="Z49" s="160"/>
      <c r="AA49" s="12"/>
      <c r="AB49" s="284"/>
      <c r="AC49" s="12"/>
      <c r="AD49" s="12"/>
      <c r="AE49" s="12"/>
      <c r="AF49" s="125"/>
      <c r="AG49" s="12"/>
      <c r="AH49" s="284"/>
      <c r="AI49" s="12"/>
      <c r="AJ49" s="125"/>
      <c r="AK49" s="12"/>
      <c r="AL49" s="284"/>
      <c r="AM49" s="161"/>
      <c r="AN49" s="152">
        <f>SUMIF('Date masura OD'!$G:$G,B49,'Date masura OD'!$BC:$BC)</f>
        <v>0</v>
      </c>
      <c r="AO49" s="16">
        <v>0</v>
      </c>
      <c r="AP49" s="16">
        <v>0</v>
      </c>
      <c r="AQ49" s="16">
        <v>0</v>
      </c>
      <c r="AR49" s="1">
        <f t="shared" si="27"/>
        <v>300</v>
      </c>
      <c r="AS49" s="1">
        <f t="shared" si="21"/>
        <v>0</v>
      </c>
      <c r="AT49" s="1">
        <f t="shared" si="5"/>
        <v>0</v>
      </c>
      <c r="AU49" s="1">
        <f>SUMIF('Date masura OD'!$G:$G,B49,'Date masura OD'!$AY:$AY)</f>
        <v>189</v>
      </c>
      <c r="AV49" s="1">
        <f>SUMIF('Date masura OD'!$G:$G,B49,'Date masura OD'!$AZ:$AZ)</f>
        <v>0</v>
      </c>
      <c r="AW49" s="1">
        <f>SUMIF('Date masura OD'!$G:$G,B49,'Date masura OD'!$BA:$BA)</f>
        <v>0</v>
      </c>
      <c r="AX49" s="1">
        <f>SUMIF('Date masura OD'!$G:$G,B49,'Date masura OD'!$BB:$BB)</f>
        <v>0</v>
      </c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13"/>
      <c r="BP49" s="46"/>
      <c r="BQ49" s="1"/>
      <c r="BR49" s="1"/>
      <c r="BS49" s="1"/>
      <c r="BT49" s="1"/>
      <c r="BU49" s="1"/>
      <c r="BV49" s="1"/>
      <c r="BX49" s="1" t="str">
        <f t="shared" si="6"/>
        <v/>
      </c>
      <c r="BY49" s="1">
        <f t="shared" si="7"/>
        <v>0</v>
      </c>
      <c r="BZ49" s="1">
        <f t="shared" si="8"/>
        <v>0</v>
      </c>
      <c r="CA49" s="1">
        <f t="shared" si="9"/>
        <v>0</v>
      </c>
      <c r="CB49" s="1">
        <f t="shared" si="10"/>
        <v>0</v>
      </c>
      <c r="CC49" s="1">
        <f t="shared" si="11"/>
        <v>0</v>
      </c>
      <c r="CD49" s="1">
        <f t="shared" si="12"/>
        <v>0</v>
      </c>
      <c r="CE49" s="1">
        <f t="shared" si="13"/>
        <v>0</v>
      </c>
      <c r="CR49" s="30" t="s">
        <v>533</v>
      </c>
      <c r="CS49" s="291">
        <v>1000800</v>
      </c>
      <c r="CT49" s="291">
        <v>0</v>
      </c>
      <c r="CU49" s="291">
        <v>0</v>
      </c>
      <c r="CV49" s="291">
        <v>0</v>
      </c>
      <c r="CW49" s="29" t="s">
        <v>598</v>
      </c>
      <c r="CX49" s="316">
        <v>0</v>
      </c>
      <c r="CY49" s="317">
        <v>0</v>
      </c>
      <c r="CZ49" s="88">
        <v>0</v>
      </c>
      <c r="DA49" s="88">
        <v>0</v>
      </c>
      <c r="DB49" s="29" t="s">
        <v>69</v>
      </c>
      <c r="DC49" s="87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321">
        <v>0</v>
      </c>
      <c r="DJ49" s="88">
        <v>0</v>
      </c>
    </row>
    <row r="50" spans="1:114" ht="16.5" thickBot="1">
      <c r="A50" s="17">
        <f t="shared" si="22"/>
        <v>47</v>
      </c>
      <c r="B50" s="37" t="s">
        <v>561</v>
      </c>
      <c r="C50" s="17" t="s">
        <v>561</v>
      </c>
      <c r="D50" s="17"/>
      <c r="E50" s="17" t="s">
        <v>18</v>
      </c>
      <c r="F50" s="16"/>
      <c r="G50" s="16"/>
      <c r="H50" s="16"/>
      <c r="I50" s="16"/>
      <c r="J50" s="16"/>
      <c r="K50" s="16"/>
      <c r="L50" s="16"/>
      <c r="M50" s="16"/>
      <c r="N50" s="12"/>
      <c r="O50" s="12"/>
      <c r="P50" s="12"/>
      <c r="Q50" s="12"/>
      <c r="R50" s="12"/>
      <c r="S50" s="12"/>
      <c r="T50" s="12"/>
      <c r="U50" s="12"/>
      <c r="V50" s="22"/>
      <c r="W50" s="22"/>
      <c r="X50" s="22"/>
      <c r="Y50" s="22"/>
      <c r="Z50" s="162"/>
      <c r="AA50" s="12"/>
      <c r="AB50" s="284"/>
      <c r="AC50" s="12"/>
      <c r="AD50" s="12"/>
      <c r="AE50" s="12"/>
      <c r="AF50" s="126"/>
      <c r="AG50" s="12"/>
      <c r="AH50" s="284"/>
      <c r="AI50" s="12"/>
      <c r="AJ50" s="126"/>
      <c r="AK50" s="12"/>
      <c r="AL50" s="284"/>
      <c r="AM50" s="163"/>
      <c r="AN50" s="152">
        <f>SUMIF('Date masura OD'!$G:$G,B50,'Date masura OD'!$BC:$BC)</f>
        <v>0</v>
      </c>
      <c r="AO50" s="16">
        <v>0</v>
      </c>
      <c r="AP50" s="16">
        <v>0</v>
      </c>
      <c r="AQ50" s="16">
        <v>0</v>
      </c>
      <c r="AR50" s="1">
        <f t="shared" si="27"/>
        <v>614</v>
      </c>
      <c r="AS50" s="1">
        <f t="shared" si="21"/>
        <v>0</v>
      </c>
      <c r="AT50" s="1">
        <f t="shared" si="5"/>
        <v>0</v>
      </c>
      <c r="AU50" s="1">
        <f>SUMIF('Date masura OD'!$G:$G,B50,'Date masura OD'!$AY:$AY)</f>
        <v>471</v>
      </c>
      <c r="AV50" s="1">
        <f>SUMIF('Date masura OD'!$G:$G,B50,'Date masura OD'!$AZ:$AZ)</f>
        <v>0</v>
      </c>
      <c r="AW50" s="1">
        <f>SUMIF('Date masura OD'!$G:$G,B50,'Date masura OD'!$BA:$BA)</f>
        <v>0</v>
      </c>
      <c r="AX50" s="1">
        <f>SUMIF('Date masura OD'!$G:$G,B50,'Date masura OD'!$BB:$BB)</f>
        <v>0</v>
      </c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13"/>
      <c r="BP50" s="46"/>
      <c r="BQ50" s="1"/>
      <c r="BR50" s="1"/>
      <c r="BS50" s="1"/>
      <c r="BT50" s="1"/>
      <c r="BU50" s="1"/>
      <c r="BV50" s="1"/>
      <c r="BX50" s="1" t="str">
        <f t="shared" si="6"/>
        <v/>
      </c>
      <c r="BY50" s="1">
        <f t="shared" si="7"/>
        <v>0</v>
      </c>
      <c r="BZ50" s="1">
        <f t="shared" si="8"/>
        <v>0</v>
      </c>
      <c r="CA50" s="1">
        <f t="shared" si="9"/>
        <v>0</v>
      </c>
      <c r="CB50" s="1">
        <f t="shared" si="10"/>
        <v>0</v>
      </c>
      <c r="CC50" s="1">
        <f t="shared" si="11"/>
        <v>0</v>
      </c>
      <c r="CD50" s="1">
        <f t="shared" si="12"/>
        <v>0</v>
      </c>
      <c r="CE50" s="1">
        <f t="shared" si="13"/>
        <v>0</v>
      </c>
      <c r="CR50" s="30" t="s">
        <v>533</v>
      </c>
      <c r="CS50" s="291">
        <v>1000800</v>
      </c>
      <c r="CT50" s="291">
        <v>0</v>
      </c>
      <c r="CU50" s="291">
        <v>0</v>
      </c>
      <c r="CV50" s="291">
        <v>0</v>
      </c>
      <c r="CW50" s="29" t="s">
        <v>968</v>
      </c>
      <c r="CX50" s="312">
        <v>15012</v>
      </c>
      <c r="CY50" s="184">
        <v>0</v>
      </c>
      <c r="CZ50" s="88">
        <v>0</v>
      </c>
      <c r="DA50" s="88">
        <v>0</v>
      </c>
      <c r="DB50" s="29" t="s">
        <v>69</v>
      </c>
      <c r="DC50" s="87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321">
        <v>0</v>
      </c>
      <c r="DJ50" s="88">
        <v>0</v>
      </c>
    </row>
    <row r="51" spans="1:114" ht="16.5" thickBot="1">
      <c r="A51" s="17">
        <f t="shared" si="22"/>
        <v>48</v>
      </c>
      <c r="B51" s="131" t="s">
        <v>562</v>
      </c>
      <c r="C51" s="17" t="s">
        <v>562</v>
      </c>
      <c r="D51" s="17"/>
      <c r="E51" s="17" t="s">
        <v>18</v>
      </c>
      <c r="F51" s="16"/>
      <c r="G51" s="16"/>
      <c r="H51" s="16"/>
      <c r="I51" s="16"/>
      <c r="J51" s="16"/>
      <c r="K51" s="16"/>
      <c r="L51" s="16"/>
      <c r="M51" s="16"/>
      <c r="N51" s="12"/>
      <c r="O51" s="12"/>
      <c r="P51" s="12"/>
      <c r="Q51" s="12"/>
      <c r="R51" s="12"/>
      <c r="S51" s="12"/>
      <c r="T51" s="12"/>
      <c r="U51" s="12"/>
      <c r="V51" s="22"/>
      <c r="W51" s="22"/>
      <c r="X51" s="22"/>
      <c r="Y51" s="22"/>
      <c r="Z51" s="160"/>
      <c r="AA51" s="12"/>
      <c r="AB51" s="284"/>
      <c r="AC51" s="12"/>
      <c r="AD51" s="12"/>
      <c r="AE51" s="12"/>
      <c r="AF51" s="125"/>
      <c r="AG51" s="12"/>
      <c r="AH51" s="284"/>
      <c r="AI51" s="12"/>
      <c r="AJ51" s="125"/>
      <c r="AK51" s="12"/>
      <c r="AL51" s="284"/>
      <c r="AM51" s="161"/>
      <c r="AN51" s="152">
        <f>SUMIF('Date masura OD'!$G:$G,B51,'Date masura OD'!$BC:$BC)</f>
        <v>0</v>
      </c>
      <c r="AO51" s="16">
        <v>0</v>
      </c>
      <c r="AP51" s="16">
        <v>0</v>
      </c>
      <c r="AQ51" s="16">
        <v>0</v>
      </c>
      <c r="AR51" s="1">
        <f t="shared" si="27"/>
        <v>0</v>
      </c>
      <c r="AS51" s="1">
        <f t="shared" si="21"/>
        <v>0</v>
      </c>
      <c r="AT51" s="1">
        <f t="shared" si="5"/>
        <v>0</v>
      </c>
      <c r="AU51" s="1">
        <f>SUMIF('Date masura OD'!$G:$G,B51,'Date masura OD'!$AY:$AY)</f>
        <v>0</v>
      </c>
      <c r="AV51" s="1">
        <f>SUMIF('Date masura OD'!$G:$G,B51,'Date masura OD'!$AZ:$AZ)</f>
        <v>0</v>
      </c>
      <c r="AW51" s="1">
        <f>SUMIF('Date masura OD'!$G:$G,B51,'Date masura OD'!$BA:$BA)</f>
        <v>45</v>
      </c>
      <c r="AX51" s="1">
        <f>SUMIF('Date masura OD'!$G:$G,B51,'Date masura OD'!$BB:$BB)</f>
        <v>0</v>
      </c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13"/>
      <c r="BP51" s="44">
        <f>AN51</f>
        <v>0</v>
      </c>
      <c r="BQ51" s="1"/>
      <c r="BR51" s="1"/>
      <c r="BS51" s="16">
        <f>AU51</f>
        <v>0</v>
      </c>
      <c r="BT51" s="16">
        <f>AV51</f>
        <v>0</v>
      </c>
      <c r="BU51" s="16">
        <f>AW51</f>
        <v>45</v>
      </c>
      <c r="BV51" s="16">
        <f>AX51</f>
        <v>0</v>
      </c>
      <c r="BX51" s="1" t="str">
        <f t="shared" si="6"/>
        <v>RNSS</v>
      </c>
      <c r="BY51" s="1">
        <f t="shared" si="7"/>
        <v>0</v>
      </c>
      <c r="BZ51" s="1">
        <f t="shared" si="8"/>
        <v>0</v>
      </c>
      <c r="CA51" s="1">
        <f t="shared" si="9"/>
        <v>0</v>
      </c>
      <c r="CB51" s="1">
        <f t="shared" si="10"/>
        <v>0</v>
      </c>
      <c r="CC51" s="1">
        <f t="shared" si="11"/>
        <v>0</v>
      </c>
      <c r="CD51" s="1">
        <f t="shared" si="12"/>
        <v>45</v>
      </c>
      <c r="CE51" s="1">
        <f t="shared" si="13"/>
        <v>0</v>
      </c>
      <c r="CR51" s="30" t="s">
        <v>534</v>
      </c>
      <c r="CS51" s="291">
        <v>0</v>
      </c>
      <c r="CT51" s="291">
        <v>0</v>
      </c>
      <c r="CU51" s="291">
        <v>0</v>
      </c>
      <c r="CV51" s="291">
        <v>0</v>
      </c>
      <c r="CW51" s="29" t="s">
        <v>599</v>
      </c>
      <c r="CX51" s="312">
        <v>0</v>
      </c>
      <c r="CY51" s="184">
        <v>0</v>
      </c>
      <c r="CZ51" s="88">
        <v>0</v>
      </c>
      <c r="DA51" s="88">
        <v>0</v>
      </c>
      <c r="DB51" s="29" t="s">
        <v>69</v>
      </c>
      <c r="DC51" s="87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</row>
    <row r="52" spans="1:114" ht="16.5" thickBot="1">
      <c r="A52" s="17">
        <f t="shared" si="22"/>
        <v>49</v>
      </c>
      <c r="B52" s="37" t="s">
        <v>563</v>
      </c>
      <c r="C52" s="17" t="s">
        <v>563</v>
      </c>
      <c r="D52" s="17"/>
      <c r="E52" s="17" t="s">
        <v>17</v>
      </c>
      <c r="F52" s="16"/>
      <c r="G52" s="16"/>
      <c r="H52" s="16"/>
      <c r="I52" s="16"/>
      <c r="J52" s="16"/>
      <c r="K52" s="16"/>
      <c r="L52" s="16"/>
      <c r="M52" s="16"/>
      <c r="N52" s="12"/>
      <c r="O52" s="12"/>
      <c r="P52" s="12"/>
      <c r="Q52" s="12"/>
      <c r="R52" s="12"/>
      <c r="S52" s="12"/>
      <c r="T52" s="12"/>
      <c r="U52" s="12"/>
      <c r="V52" s="22"/>
      <c r="W52" s="22"/>
      <c r="X52" s="22"/>
      <c r="Y52" s="22"/>
      <c r="Z52" s="160"/>
      <c r="AA52" s="12"/>
      <c r="AB52" s="284"/>
      <c r="AC52" s="12"/>
      <c r="AD52" s="12"/>
      <c r="AE52" s="12"/>
      <c r="AF52" s="125"/>
      <c r="AG52" s="12"/>
      <c r="AH52" s="284"/>
      <c r="AI52" s="12"/>
      <c r="AJ52" s="125"/>
      <c r="AK52" s="12"/>
      <c r="AL52" s="284"/>
      <c r="AM52" s="161"/>
      <c r="AN52" s="152">
        <f>SUMIF('Date masura OD'!$G:$G,B52,'Date masura OD'!$BC:$BC)</f>
        <v>0</v>
      </c>
      <c r="AO52" s="16">
        <v>0</v>
      </c>
      <c r="AP52" s="16">
        <v>0</v>
      </c>
      <c r="AQ52" s="16">
        <v>0</v>
      </c>
      <c r="AR52" s="1">
        <f t="shared" si="27"/>
        <v>731</v>
      </c>
      <c r="AS52" s="1">
        <f t="shared" si="21"/>
        <v>0</v>
      </c>
      <c r="AT52" s="1">
        <f t="shared" si="5"/>
        <v>0</v>
      </c>
      <c r="AU52" s="1">
        <f>SUMIF('Date masura OD'!$G:$G,B52,'Date masura OD'!$AY:$AY)</f>
        <v>1</v>
      </c>
      <c r="AV52" s="1">
        <f>SUMIF('Date masura OD'!$G:$G,B52,'Date masura OD'!$AZ:$AZ)</f>
        <v>0</v>
      </c>
      <c r="AW52" s="1">
        <f>SUMIF('Date masura OD'!$G:$G,B52,'Date masura OD'!$BA:$BA)</f>
        <v>0</v>
      </c>
      <c r="AX52" s="1">
        <f>SUMIF('Date masura OD'!$G:$G,B52,'Date masura OD'!$BB:$BB)</f>
        <v>0</v>
      </c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13"/>
      <c r="BP52" s="46"/>
      <c r="BQ52" s="1"/>
      <c r="BR52" s="1"/>
      <c r="BS52" s="1"/>
      <c r="BT52" s="1"/>
      <c r="BU52" s="1"/>
      <c r="BV52" s="1"/>
      <c r="BX52" s="1" t="str">
        <f t="shared" si="6"/>
        <v/>
      </c>
      <c r="BY52" s="1">
        <f t="shared" si="7"/>
        <v>0</v>
      </c>
      <c r="BZ52" s="1">
        <f t="shared" si="8"/>
        <v>0</v>
      </c>
      <c r="CA52" s="1">
        <f t="shared" si="9"/>
        <v>0</v>
      </c>
      <c r="CB52" s="1">
        <f t="shared" si="10"/>
        <v>0</v>
      </c>
      <c r="CC52" s="1">
        <f t="shared" si="11"/>
        <v>0</v>
      </c>
      <c r="CD52" s="1">
        <f t="shared" si="12"/>
        <v>0</v>
      </c>
      <c r="CE52" s="1">
        <f t="shared" si="13"/>
        <v>0</v>
      </c>
      <c r="CR52" s="30" t="s">
        <v>534</v>
      </c>
      <c r="CS52" s="291">
        <v>0</v>
      </c>
      <c r="CT52" s="291">
        <v>0</v>
      </c>
      <c r="CU52" s="291">
        <v>0</v>
      </c>
      <c r="CV52" s="291">
        <v>0</v>
      </c>
      <c r="CW52" s="29" t="s">
        <v>600</v>
      </c>
      <c r="CX52" s="312">
        <v>0</v>
      </c>
      <c r="CY52" s="184">
        <v>0</v>
      </c>
      <c r="CZ52" s="88">
        <v>0</v>
      </c>
      <c r="DA52" s="88">
        <v>0</v>
      </c>
      <c r="DB52" s="29" t="s">
        <v>69</v>
      </c>
      <c r="DC52" s="87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321">
        <v>0</v>
      </c>
      <c r="DJ52" s="88">
        <v>0</v>
      </c>
    </row>
    <row r="53" spans="1:114" ht="16.5" thickBot="1">
      <c r="A53" s="17">
        <f t="shared" si="22"/>
        <v>50</v>
      </c>
      <c r="B53" s="37" t="s">
        <v>564</v>
      </c>
      <c r="C53" s="17" t="s">
        <v>564</v>
      </c>
      <c r="D53" s="17"/>
      <c r="E53" s="17" t="s">
        <v>17</v>
      </c>
      <c r="F53" s="16"/>
      <c r="G53" s="16"/>
      <c r="H53" s="16"/>
      <c r="I53" s="16"/>
      <c r="J53" s="16"/>
      <c r="K53" s="16"/>
      <c r="L53" s="16"/>
      <c r="M53" s="16"/>
      <c r="N53" s="12"/>
      <c r="O53" s="12"/>
      <c r="P53" s="12"/>
      <c r="Q53" s="12"/>
      <c r="R53" s="12"/>
      <c r="S53" s="12"/>
      <c r="T53" s="12"/>
      <c r="U53" s="12"/>
      <c r="V53" s="22"/>
      <c r="W53" s="22"/>
      <c r="X53" s="22"/>
      <c r="Y53" s="22"/>
      <c r="Z53" s="162"/>
      <c r="AA53" s="12"/>
      <c r="AB53" s="284"/>
      <c r="AC53" s="12"/>
      <c r="AD53" s="12"/>
      <c r="AE53" s="12"/>
      <c r="AF53" s="126"/>
      <c r="AG53" s="12"/>
      <c r="AH53" s="284"/>
      <c r="AI53" s="12"/>
      <c r="AJ53" s="126"/>
      <c r="AK53" s="12"/>
      <c r="AL53" s="284"/>
      <c r="AM53" s="163"/>
      <c r="AN53" s="152">
        <f>SUMIF('Date masura OD'!$G:$G,B53,'Date masura OD'!$BC:$BC)</f>
        <v>0</v>
      </c>
      <c r="AO53" s="16">
        <v>0</v>
      </c>
      <c r="AP53" s="16">
        <v>0</v>
      </c>
      <c r="AQ53" s="16">
        <v>0</v>
      </c>
      <c r="AR53" s="1">
        <f t="shared" si="27"/>
        <v>522</v>
      </c>
      <c r="AS53" s="1">
        <f t="shared" si="21"/>
        <v>0</v>
      </c>
      <c r="AT53" s="1">
        <f t="shared" si="5"/>
        <v>0</v>
      </c>
      <c r="AU53" s="1">
        <f>SUMIF('Date masura OD'!$G:$G,B53,'Date masura OD'!$AY:$AY)</f>
        <v>2</v>
      </c>
      <c r="AV53" s="1">
        <f>SUMIF('Date masura OD'!$G:$G,B53,'Date masura OD'!$AZ:$AZ)</f>
        <v>0</v>
      </c>
      <c r="AW53" s="1">
        <f>SUMIF('Date masura OD'!$G:$G,B53,'Date masura OD'!$BA:$BA)</f>
        <v>102</v>
      </c>
      <c r="AX53" s="1">
        <f>SUMIF('Date masura OD'!$G:$G,B53,'Date masura OD'!$BB:$BB)</f>
        <v>0</v>
      </c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13"/>
      <c r="BP53" s="46"/>
      <c r="BQ53" s="1"/>
      <c r="BR53" s="1"/>
      <c r="BS53" s="1"/>
      <c r="BT53" s="1"/>
      <c r="BU53" s="1"/>
      <c r="BV53" s="1"/>
      <c r="BX53" s="1" t="str">
        <f t="shared" si="6"/>
        <v/>
      </c>
      <c r="BY53" s="1">
        <f t="shared" si="7"/>
        <v>0</v>
      </c>
      <c r="BZ53" s="1">
        <f t="shared" si="8"/>
        <v>0</v>
      </c>
      <c r="CA53" s="1">
        <f t="shared" si="9"/>
        <v>0</v>
      </c>
      <c r="CB53" s="1">
        <f t="shared" si="10"/>
        <v>0</v>
      </c>
      <c r="CC53" s="1">
        <f t="shared" si="11"/>
        <v>0</v>
      </c>
      <c r="CD53" s="1">
        <f t="shared" si="12"/>
        <v>0</v>
      </c>
      <c r="CE53" s="1">
        <f t="shared" si="13"/>
        <v>0</v>
      </c>
      <c r="CR53" s="30" t="s">
        <v>534</v>
      </c>
      <c r="CS53" s="291">
        <v>0</v>
      </c>
      <c r="CT53" s="291">
        <v>0</v>
      </c>
      <c r="CU53" s="291">
        <v>0</v>
      </c>
      <c r="CV53" s="291">
        <v>0</v>
      </c>
      <c r="CW53" s="29" t="s">
        <v>601</v>
      </c>
      <c r="CX53" s="312">
        <v>0</v>
      </c>
      <c r="CY53" s="184">
        <v>0</v>
      </c>
      <c r="CZ53" s="88">
        <v>0</v>
      </c>
      <c r="DA53" s="88">
        <v>0</v>
      </c>
      <c r="DB53" s="29" t="s">
        <v>676</v>
      </c>
      <c r="DC53" s="87">
        <v>0</v>
      </c>
      <c r="DD53" s="87">
        <v>0</v>
      </c>
      <c r="DE53" s="87">
        <v>0</v>
      </c>
      <c r="DF53" s="87">
        <v>0</v>
      </c>
      <c r="DG53" s="88">
        <v>0</v>
      </c>
      <c r="DH53" s="88">
        <v>0</v>
      </c>
      <c r="DI53" s="321">
        <v>0</v>
      </c>
      <c r="DJ53" s="88">
        <v>0</v>
      </c>
    </row>
    <row r="54" spans="1:114" ht="16.5" thickBot="1">
      <c r="A54" s="17">
        <f t="shared" si="22"/>
        <v>51</v>
      </c>
      <c r="B54" s="131" t="s">
        <v>565</v>
      </c>
      <c r="C54" s="17" t="s">
        <v>565</v>
      </c>
      <c r="D54" s="17"/>
      <c r="E54" s="17" t="s">
        <v>17</v>
      </c>
      <c r="F54" s="16"/>
      <c r="G54" s="16"/>
      <c r="H54" s="16"/>
      <c r="I54" s="16"/>
      <c r="J54" s="16"/>
      <c r="K54" s="16"/>
      <c r="L54" s="16"/>
      <c r="M54" s="16"/>
      <c r="N54" s="12"/>
      <c r="O54" s="12"/>
      <c r="P54" s="12"/>
      <c r="Q54" s="12"/>
      <c r="R54" s="12"/>
      <c r="S54" s="12"/>
      <c r="T54" s="12"/>
      <c r="U54" s="12"/>
      <c r="V54" s="22"/>
      <c r="W54" s="22"/>
      <c r="X54" s="22"/>
      <c r="Y54" s="22"/>
      <c r="Z54" s="158"/>
      <c r="AA54" s="12"/>
      <c r="AB54" s="284"/>
      <c r="AC54" s="12"/>
      <c r="AD54" s="12"/>
      <c r="AE54" s="12"/>
      <c r="AF54" s="123"/>
      <c r="AG54" s="12"/>
      <c r="AH54" s="284"/>
      <c r="AI54" s="12"/>
      <c r="AJ54" s="123"/>
      <c r="AK54" s="12"/>
      <c r="AL54" s="284"/>
      <c r="AM54" s="159"/>
      <c r="AN54" s="152">
        <f>SUMIF('Date masura OD'!$G:$G,B54,'Date masura OD'!$BC:$BC)</f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">
        <f>SUMIF('Date masura OD'!$G:$G,B54,'Date masura OD'!$AY:$AY)</f>
        <v>0</v>
      </c>
      <c r="AV54" s="1">
        <f>SUMIF('Date masura OD'!$G:$G,B54,'Date masura OD'!$AZ:$AZ)</f>
        <v>0</v>
      </c>
      <c r="AW54" s="1">
        <f>SUMIF('Date masura OD'!$G:$G,B54,'Date masura OD'!$BA:$BA)</f>
        <v>0</v>
      </c>
      <c r="AX54" s="1">
        <f>SUMIF('Date masura OD'!$G:$G,B54,'Date masura OD'!$BB:$BB)</f>
        <v>0</v>
      </c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13"/>
      <c r="BP54" s="44">
        <f>AN54</f>
        <v>0</v>
      </c>
      <c r="BQ54" s="1"/>
      <c r="BR54" s="1"/>
      <c r="BS54" s="16">
        <f>AU54</f>
        <v>0</v>
      </c>
      <c r="BT54" s="16">
        <f>AV54</f>
        <v>0</v>
      </c>
      <c r="BU54" s="16">
        <f>AW54</f>
        <v>0</v>
      </c>
      <c r="BV54" s="16">
        <f>AX54</f>
        <v>0</v>
      </c>
      <c r="BX54" s="1" t="str">
        <f t="shared" si="6"/>
        <v>RSSC</v>
      </c>
      <c r="BY54" s="1">
        <f t="shared" si="7"/>
        <v>0</v>
      </c>
      <c r="BZ54" s="1">
        <f t="shared" si="8"/>
        <v>0</v>
      </c>
      <c r="CA54" s="1">
        <f t="shared" si="9"/>
        <v>0</v>
      </c>
      <c r="CB54" s="1">
        <f t="shared" si="10"/>
        <v>0</v>
      </c>
      <c r="CC54" s="1">
        <f t="shared" si="11"/>
        <v>0</v>
      </c>
      <c r="CD54" s="1">
        <f t="shared" si="12"/>
        <v>0</v>
      </c>
      <c r="CE54" s="1">
        <f t="shared" si="13"/>
        <v>0</v>
      </c>
      <c r="CR54" s="30" t="s">
        <v>534</v>
      </c>
      <c r="CS54" s="291">
        <v>0</v>
      </c>
      <c r="CT54" s="291">
        <v>0</v>
      </c>
      <c r="CU54" s="291">
        <v>0</v>
      </c>
      <c r="CV54" s="291">
        <v>0</v>
      </c>
      <c r="CW54" s="29" t="s">
        <v>602</v>
      </c>
      <c r="CX54" s="312">
        <v>0</v>
      </c>
      <c r="CY54" s="184">
        <v>0</v>
      </c>
      <c r="CZ54" s="88">
        <v>0</v>
      </c>
      <c r="DA54" s="88">
        <v>0</v>
      </c>
      <c r="DB54" s="29" t="s">
        <v>69</v>
      </c>
      <c r="DC54" s="87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321">
        <v>0</v>
      </c>
      <c r="DJ54" s="88">
        <v>0</v>
      </c>
    </row>
    <row r="55" spans="1:114" ht="16.5" thickBot="1">
      <c r="A55" s="136">
        <f t="shared" si="22"/>
        <v>52</v>
      </c>
      <c r="B55" s="137" t="s">
        <v>566</v>
      </c>
      <c r="C55" s="17" t="s">
        <v>566</v>
      </c>
      <c r="D55" s="136"/>
      <c r="E55" s="136" t="s">
        <v>10</v>
      </c>
      <c r="F55" s="16"/>
      <c r="G55" s="16"/>
      <c r="H55" s="16"/>
      <c r="I55" s="16"/>
      <c r="J55" s="16"/>
      <c r="K55" s="16"/>
      <c r="L55" s="16"/>
      <c r="M55" s="16"/>
      <c r="N55" s="133"/>
      <c r="O55" s="133"/>
      <c r="P55" s="133"/>
      <c r="Q55" s="133"/>
      <c r="R55" s="133"/>
      <c r="S55" s="133"/>
      <c r="T55" s="133"/>
      <c r="U55" s="133"/>
      <c r="V55" s="22"/>
      <c r="W55" s="22"/>
      <c r="X55" s="22"/>
      <c r="Y55" s="22"/>
      <c r="Z55" s="167"/>
      <c r="AA55" s="133"/>
      <c r="AB55" s="284"/>
      <c r="AC55" s="133"/>
      <c r="AD55" s="133"/>
      <c r="AE55" s="133"/>
      <c r="AF55" s="140"/>
      <c r="AG55" s="133"/>
      <c r="AH55" s="284"/>
      <c r="AI55" s="133"/>
      <c r="AJ55" s="140"/>
      <c r="AK55" s="133"/>
      <c r="AL55" s="284"/>
      <c r="AM55" s="168"/>
      <c r="AN55" s="152">
        <f>SUMIF('Date masura OD'!$G:$G,B55,'Date masura OD'!$BC:$BC)</f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">
        <f>SUMIF('Date masura OD'!$G:$G,B55,'Date masura OD'!$AY:$AY)</f>
        <v>0</v>
      </c>
      <c r="AV55" s="1">
        <f>SUMIF('Date masura OD'!$G:$G,B55,'Date masura OD'!$AZ:$AZ)</f>
        <v>0</v>
      </c>
      <c r="AW55" s="1">
        <f>SUMIF('Date masura OD'!$G:$G,B55,'Date masura OD'!$BA:$BA)</f>
        <v>11931</v>
      </c>
      <c r="AX55" s="1">
        <f>SUMIF('Date masura OD'!$G:$G,B55,'Date masura OD'!$BB:$BB)</f>
        <v>10195</v>
      </c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13"/>
      <c r="BP55" s="46"/>
      <c r="BQ55" s="1"/>
      <c r="BR55" s="1"/>
      <c r="BS55" s="1"/>
      <c r="BT55" s="1"/>
      <c r="BU55" s="1"/>
      <c r="BV55" s="1"/>
      <c r="BX55" s="1" t="str">
        <f t="shared" si="6"/>
        <v/>
      </c>
      <c r="BY55" s="1">
        <f t="shared" si="7"/>
        <v>0</v>
      </c>
      <c r="BZ55" s="1">
        <f t="shared" si="8"/>
        <v>0</v>
      </c>
      <c r="CA55" s="1">
        <f t="shared" si="9"/>
        <v>0</v>
      </c>
      <c r="CB55" s="1">
        <f t="shared" si="10"/>
        <v>0</v>
      </c>
      <c r="CC55" s="1">
        <f t="shared" si="11"/>
        <v>0</v>
      </c>
      <c r="CD55" s="1">
        <f t="shared" si="12"/>
        <v>0</v>
      </c>
      <c r="CE55" s="1">
        <f t="shared" si="13"/>
        <v>0</v>
      </c>
      <c r="CR55" s="30" t="s">
        <v>534</v>
      </c>
      <c r="CS55" s="291">
        <v>0</v>
      </c>
      <c r="CT55" s="291">
        <v>0</v>
      </c>
      <c r="CU55" s="291">
        <v>0</v>
      </c>
      <c r="CV55" s="291">
        <v>0</v>
      </c>
      <c r="CW55" s="29" t="s">
        <v>603</v>
      </c>
      <c r="CX55" s="312">
        <v>0</v>
      </c>
      <c r="CY55" s="184">
        <v>0</v>
      </c>
      <c r="CZ55" s="88">
        <v>0</v>
      </c>
      <c r="DA55" s="88">
        <v>0</v>
      </c>
      <c r="DB55" s="29" t="s">
        <v>69</v>
      </c>
      <c r="DC55" s="87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321">
        <v>0</v>
      </c>
      <c r="DJ55" s="88">
        <v>0</v>
      </c>
    </row>
    <row r="56" spans="1:114" ht="16.5" thickBot="1">
      <c r="A56" s="17">
        <f t="shared" si="22"/>
        <v>53</v>
      </c>
      <c r="B56" s="137" t="s">
        <v>567</v>
      </c>
      <c r="C56" s="17" t="s">
        <v>567</v>
      </c>
      <c r="D56" s="12"/>
      <c r="E56" s="12" t="s">
        <v>10</v>
      </c>
      <c r="F56" s="16"/>
      <c r="G56" s="16"/>
      <c r="H56" s="16"/>
      <c r="I56" s="16"/>
      <c r="J56" s="16"/>
      <c r="K56" s="16"/>
      <c r="L56" s="16"/>
      <c r="M56" s="16"/>
      <c r="N56" s="133"/>
      <c r="O56" s="133"/>
      <c r="P56" s="133"/>
      <c r="Q56" s="133"/>
      <c r="R56" s="133"/>
      <c r="S56" s="133"/>
      <c r="T56" s="133"/>
      <c r="U56" s="133"/>
      <c r="V56" s="22"/>
      <c r="W56" s="22"/>
      <c r="X56" s="22"/>
      <c r="Y56" s="22"/>
      <c r="Z56" s="167"/>
      <c r="AA56" s="133"/>
      <c r="AB56" s="284"/>
      <c r="AC56" s="133"/>
      <c r="AD56" s="133"/>
      <c r="AE56" s="133"/>
      <c r="AF56" s="140"/>
      <c r="AG56" s="133"/>
      <c r="AH56" s="284"/>
      <c r="AI56" s="133"/>
      <c r="AJ56" s="140"/>
      <c r="AK56" s="133"/>
      <c r="AL56" s="284"/>
      <c r="AM56" s="168"/>
      <c r="AN56" s="152">
        <f>SUMIF('Date masura OD'!$G:$G,B56,'Date masura OD'!$BC:$BC)</f>
        <v>0</v>
      </c>
      <c r="AO56" s="138">
        <v>0</v>
      </c>
      <c r="AP56" s="138">
        <v>0</v>
      </c>
      <c r="AQ56" s="138">
        <v>0</v>
      </c>
      <c r="AR56" s="1">
        <f t="shared" ref="AR56:AR68" si="30">IFERROR(SUMIF($CR:$CR,B56,DJ:DJ),0)</f>
        <v>3560.9999999999563</v>
      </c>
      <c r="AS56" s="1">
        <f t="shared" si="21"/>
        <v>0</v>
      </c>
      <c r="AT56" s="1">
        <f t="shared" ref="AT56:AT68" si="31">(AN56-V56)+AS56</f>
        <v>0</v>
      </c>
      <c r="AU56" s="1">
        <f>SUMIF('Date masura OD'!$G:$G,B56,'Date masura OD'!$AY:$AY)</f>
        <v>0</v>
      </c>
      <c r="AV56" s="1">
        <f>SUMIF('Date masura OD'!$G:$G,B56,'Date masura OD'!$AZ:$AZ)</f>
        <v>0</v>
      </c>
      <c r="AW56" s="1">
        <f>SUMIF('Date masura OD'!$G:$G,B56,'Date masura OD'!$BA:$BA)</f>
        <v>0</v>
      </c>
      <c r="AX56" s="1">
        <f>SUMIF('Date masura OD'!$G:$G,B56,'Date masura OD'!$BB:$BB)</f>
        <v>0</v>
      </c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13"/>
      <c r="BP56" s="46"/>
      <c r="BQ56" s="1"/>
      <c r="BR56" s="1"/>
      <c r="BS56" s="1"/>
      <c r="BT56" s="1"/>
      <c r="BU56" s="1"/>
      <c r="BV56" s="1"/>
      <c r="BX56" s="1" t="str">
        <f t="shared" si="6"/>
        <v>RRPP</v>
      </c>
      <c r="BY56" s="1">
        <f t="shared" si="7"/>
        <v>0</v>
      </c>
      <c r="BZ56" s="1">
        <f t="shared" si="8"/>
        <v>0</v>
      </c>
      <c r="CA56" s="1">
        <f t="shared" si="9"/>
        <v>0</v>
      </c>
      <c r="CB56" s="1">
        <f t="shared" si="10"/>
        <v>0</v>
      </c>
      <c r="CC56" s="1">
        <f t="shared" si="11"/>
        <v>0</v>
      </c>
      <c r="CD56" s="1">
        <f t="shared" si="12"/>
        <v>0</v>
      </c>
      <c r="CE56" s="1">
        <f t="shared" si="13"/>
        <v>0</v>
      </c>
      <c r="CR56" s="93" t="s">
        <v>534</v>
      </c>
      <c r="CS56" s="291">
        <v>0</v>
      </c>
      <c r="CT56" s="291">
        <v>0</v>
      </c>
      <c r="CU56" s="291">
        <v>0</v>
      </c>
      <c r="CV56" s="291">
        <v>0</v>
      </c>
      <c r="CW56" s="94" t="s">
        <v>969</v>
      </c>
      <c r="CX56" s="312">
        <v>0</v>
      </c>
      <c r="CY56" s="184">
        <v>0</v>
      </c>
      <c r="CZ56" s="88">
        <v>0</v>
      </c>
      <c r="DA56" s="88">
        <v>0</v>
      </c>
      <c r="DB56" s="94" t="s">
        <v>69</v>
      </c>
      <c r="DC56" s="87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321">
        <v>0</v>
      </c>
      <c r="DJ56" s="88">
        <v>0</v>
      </c>
    </row>
    <row r="57" spans="1:114" ht="16.5" thickBot="1">
      <c r="A57" s="136">
        <f t="shared" si="22"/>
        <v>54</v>
      </c>
      <c r="B57" s="137" t="s">
        <v>1221</v>
      </c>
      <c r="C57" s="17" t="s">
        <v>1221</v>
      </c>
      <c r="D57" s="251"/>
      <c r="E57" s="12" t="s">
        <v>1221</v>
      </c>
      <c r="F57" s="16"/>
      <c r="G57" s="16"/>
      <c r="H57" s="16"/>
      <c r="I57" s="16"/>
      <c r="J57" s="16"/>
      <c r="K57" s="16"/>
      <c r="L57" s="16"/>
      <c r="M57" s="16"/>
      <c r="N57" s="133"/>
      <c r="O57" s="133"/>
      <c r="P57" s="133"/>
      <c r="Q57" s="133"/>
      <c r="R57" s="133"/>
      <c r="S57" s="133"/>
      <c r="T57" s="133"/>
      <c r="U57" s="133"/>
      <c r="V57" s="22"/>
      <c r="W57" s="22"/>
      <c r="X57" s="22"/>
      <c r="Y57" s="22"/>
      <c r="Z57" s="286"/>
      <c r="AA57" s="287"/>
      <c r="AB57" s="288"/>
      <c r="AC57" s="287"/>
      <c r="AD57" s="287"/>
      <c r="AE57" s="287"/>
      <c r="AF57" s="289"/>
      <c r="AG57" s="287"/>
      <c r="AH57" s="288"/>
      <c r="AI57" s="287"/>
      <c r="AJ57" s="289"/>
      <c r="AK57" s="287"/>
      <c r="AL57" s="288"/>
      <c r="AM57" s="290"/>
      <c r="AN57" s="152">
        <f>SUMIF('Date masura OD'!$G:$G,B57,'Date masura OD'!$BC:$BC)</f>
        <v>0</v>
      </c>
      <c r="AO57" s="138">
        <v>0</v>
      </c>
      <c r="AP57" s="138">
        <v>0</v>
      </c>
      <c r="AQ57" s="138">
        <v>0</v>
      </c>
      <c r="AR57" s="1">
        <f t="shared" si="30"/>
        <v>236</v>
      </c>
      <c r="AS57" s="1">
        <f t="shared" si="21"/>
        <v>0</v>
      </c>
      <c r="AT57" s="1">
        <f t="shared" si="31"/>
        <v>0</v>
      </c>
      <c r="AU57" s="1">
        <f>SUMIF('Date masura OD'!$G:$G,B57,'Date masura OD'!$AY:$AY)</f>
        <v>8</v>
      </c>
      <c r="AV57" s="1">
        <f>SUMIF('Date masura OD'!$G:$G,B57,'Date masura OD'!$AZ:$AZ)</f>
        <v>3</v>
      </c>
      <c r="AW57" s="1">
        <f>SUMIF('Date masura OD'!$G:$G,B57,'Date masura OD'!$BA:$BA)</f>
        <v>1</v>
      </c>
      <c r="AX57" s="1">
        <f>SUMIF('Date masura OD'!$G:$G,B57,'Date masura OD'!$BB:$BB)</f>
        <v>0</v>
      </c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13"/>
      <c r="BP57" s="46"/>
      <c r="BQ57" s="1"/>
      <c r="BR57" s="1"/>
      <c r="BS57" s="1"/>
      <c r="BT57" s="1"/>
      <c r="BU57" s="1"/>
      <c r="BV57" s="1"/>
      <c r="BX57" s="1" t="str">
        <f t="shared" si="6"/>
        <v/>
      </c>
      <c r="BY57" s="1">
        <f t="shared" si="7"/>
        <v>0</v>
      </c>
      <c r="BZ57" s="1">
        <f t="shared" si="8"/>
        <v>0</v>
      </c>
      <c r="CA57" s="1">
        <f t="shared" si="9"/>
        <v>0</v>
      </c>
      <c r="CB57" s="1">
        <f t="shared" si="10"/>
        <v>0</v>
      </c>
      <c r="CC57" s="1">
        <f t="shared" si="11"/>
        <v>0</v>
      </c>
      <c r="CD57" s="1">
        <f t="shared" si="12"/>
        <v>0</v>
      </c>
      <c r="CE57" s="1">
        <f t="shared" si="13"/>
        <v>0</v>
      </c>
      <c r="CR57" s="86" t="s">
        <v>535</v>
      </c>
      <c r="CS57" s="291">
        <v>294165</v>
      </c>
      <c r="CT57" s="291">
        <v>0</v>
      </c>
      <c r="CU57" s="291">
        <v>0</v>
      </c>
      <c r="CV57" s="291">
        <v>0</v>
      </c>
      <c r="CW57" s="89" t="s">
        <v>604</v>
      </c>
      <c r="CX57" s="312">
        <v>132975</v>
      </c>
      <c r="CY57" s="184">
        <v>0</v>
      </c>
      <c r="CZ57" s="88">
        <v>20601</v>
      </c>
      <c r="DA57" s="88">
        <v>6</v>
      </c>
      <c r="DB57" s="89" t="s">
        <v>69</v>
      </c>
      <c r="DC57" s="87">
        <v>0</v>
      </c>
      <c r="DD57" s="88">
        <v>0</v>
      </c>
      <c r="DE57" s="88">
        <v>0</v>
      </c>
      <c r="DF57" s="88">
        <v>0</v>
      </c>
      <c r="DG57" s="88">
        <v>132975</v>
      </c>
      <c r="DH57" s="88">
        <v>0</v>
      </c>
      <c r="DI57" s="88">
        <v>4699</v>
      </c>
      <c r="DJ57" s="88">
        <v>1995</v>
      </c>
    </row>
    <row r="58" spans="1:114" ht="16.5" thickBot="1">
      <c r="A58" s="136">
        <f t="shared" si="22"/>
        <v>55</v>
      </c>
      <c r="B58" s="137" t="s">
        <v>1223</v>
      </c>
      <c r="C58" s="17" t="s">
        <v>1223</v>
      </c>
      <c r="D58" s="12"/>
      <c r="E58" s="12" t="s">
        <v>1223</v>
      </c>
      <c r="F58" s="16"/>
      <c r="G58" s="16"/>
      <c r="H58" s="16"/>
      <c r="I58" s="16"/>
      <c r="J58" s="16"/>
      <c r="K58" s="16"/>
      <c r="L58" s="16"/>
      <c r="M58" s="16"/>
      <c r="N58" s="133"/>
      <c r="O58" s="133"/>
      <c r="P58" s="133"/>
      <c r="Q58" s="133"/>
      <c r="R58" s="133"/>
      <c r="S58" s="133"/>
      <c r="T58" s="133"/>
      <c r="U58" s="133"/>
      <c r="V58" s="22"/>
      <c r="W58" s="22"/>
      <c r="X58" s="22"/>
      <c r="Y58" s="22"/>
      <c r="Z58" s="167"/>
      <c r="AA58" s="133"/>
      <c r="AB58" s="284"/>
      <c r="AC58" s="133"/>
      <c r="AD58" s="133"/>
      <c r="AE58" s="133"/>
      <c r="AF58" s="140"/>
      <c r="AG58" s="133"/>
      <c r="AH58" s="284"/>
      <c r="AI58" s="133"/>
      <c r="AJ58" s="140"/>
      <c r="AK58" s="133"/>
      <c r="AL58" s="284"/>
      <c r="AM58" s="168"/>
      <c r="AN58" s="152">
        <f>SUMIF('Date masura OD'!$G:$G,B58,'Date masura OD'!$BC:$BC)</f>
        <v>0</v>
      </c>
      <c r="AO58" s="138">
        <v>0</v>
      </c>
      <c r="AP58" s="138">
        <v>0</v>
      </c>
      <c r="AQ58" s="138">
        <v>0</v>
      </c>
      <c r="AR58" s="1">
        <f t="shared" si="30"/>
        <v>106</v>
      </c>
      <c r="AS58" s="1">
        <f t="shared" si="21"/>
        <v>0</v>
      </c>
      <c r="AT58" s="1">
        <f t="shared" si="31"/>
        <v>0</v>
      </c>
      <c r="AU58" s="1">
        <f>SUMIF('Date masura OD'!$G:$G,B58,'Date masura OD'!$AY:$AY)</f>
        <v>0</v>
      </c>
      <c r="AV58" s="1">
        <f>SUMIF('Date masura OD'!$G:$G,B58,'Date masura OD'!$AZ:$AZ)</f>
        <v>1</v>
      </c>
      <c r="AW58" s="1">
        <f>SUMIF('Date masura OD'!$G:$G,B58,'Date masura OD'!$BA:$BA)</f>
        <v>10</v>
      </c>
      <c r="AX58" s="1">
        <f>SUMIF('Date masura OD'!$G:$G,B58,'Date masura OD'!$BB:$BB)</f>
        <v>14</v>
      </c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13"/>
      <c r="BP58" s="46"/>
      <c r="BQ58" s="1"/>
      <c r="BR58" s="1"/>
      <c r="BS58" s="1"/>
      <c r="BT58" s="1"/>
      <c r="BU58" s="1"/>
      <c r="BV58" s="1"/>
      <c r="BX58" s="1" t="str">
        <f t="shared" si="6"/>
        <v/>
      </c>
      <c r="BY58" s="1">
        <f t="shared" si="7"/>
        <v>0</v>
      </c>
      <c r="BZ58" s="1">
        <f t="shared" si="8"/>
        <v>0</v>
      </c>
      <c r="CA58" s="1">
        <f t="shared" si="9"/>
        <v>0</v>
      </c>
      <c r="CB58" s="1">
        <f t="shared" si="10"/>
        <v>0</v>
      </c>
      <c r="CC58" s="1">
        <f t="shared" si="11"/>
        <v>0</v>
      </c>
      <c r="CD58" s="1">
        <f t="shared" si="12"/>
        <v>0</v>
      </c>
      <c r="CE58" s="1">
        <f t="shared" si="13"/>
        <v>0</v>
      </c>
      <c r="CR58" s="30" t="s">
        <v>535</v>
      </c>
      <c r="CS58" s="291">
        <v>294165</v>
      </c>
      <c r="CT58" s="291">
        <v>0</v>
      </c>
      <c r="CU58" s="291">
        <v>0</v>
      </c>
      <c r="CV58" s="291">
        <v>0</v>
      </c>
      <c r="CW58" s="29" t="s">
        <v>605</v>
      </c>
      <c r="CX58" s="312">
        <v>156777</v>
      </c>
      <c r="CY58" s="184">
        <v>4699</v>
      </c>
      <c r="CZ58" s="88">
        <v>1988</v>
      </c>
      <c r="DA58" s="88">
        <v>10445</v>
      </c>
      <c r="DB58" s="29" t="s">
        <v>677</v>
      </c>
      <c r="DC58" s="87">
        <v>0</v>
      </c>
      <c r="DD58" s="88">
        <v>102827</v>
      </c>
      <c r="DE58" s="88">
        <v>883</v>
      </c>
      <c r="DF58" s="88">
        <v>630</v>
      </c>
      <c r="DG58" s="88">
        <v>156777</v>
      </c>
      <c r="DH58" s="88">
        <v>98128</v>
      </c>
      <c r="DI58" s="321">
        <v>0</v>
      </c>
      <c r="DJ58" s="88">
        <v>2418</v>
      </c>
    </row>
    <row r="59" spans="1:114" ht="16.5" thickBot="1">
      <c r="A59" s="17">
        <f t="shared" si="22"/>
        <v>56</v>
      </c>
      <c r="B59" s="137" t="s">
        <v>1225</v>
      </c>
      <c r="C59" s="17" t="s">
        <v>1225</v>
      </c>
      <c r="D59" s="12"/>
      <c r="E59" s="12" t="s">
        <v>1225</v>
      </c>
      <c r="F59" s="16"/>
      <c r="G59" s="16"/>
      <c r="H59" s="16"/>
      <c r="I59" s="16"/>
      <c r="J59" s="16"/>
      <c r="K59" s="16"/>
      <c r="L59" s="16"/>
      <c r="M59" s="16"/>
      <c r="N59" s="133"/>
      <c r="O59" s="133"/>
      <c r="P59" s="133"/>
      <c r="Q59" s="133"/>
      <c r="R59" s="133"/>
      <c r="S59" s="133"/>
      <c r="T59" s="133"/>
      <c r="U59" s="133"/>
      <c r="V59" s="22"/>
      <c r="W59" s="22"/>
      <c r="X59" s="22"/>
      <c r="Y59" s="22"/>
      <c r="Z59" s="167"/>
      <c r="AA59" s="133"/>
      <c r="AB59" s="284"/>
      <c r="AC59" s="133"/>
      <c r="AD59" s="133"/>
      <c r="AE59" s="133"/>
      <c r="AF59" s="140"/>
      <c r="AG59" s="133"/>
      <c r="AH59" s="284"/>
      <c r="AI59" s="133"/>
      <c r="AJ59" s="140"/>
      <c r="AK59" s="133"/>
      <c r="AL59" s="284"/>
      <c r="AM59" s="168"/>
      <c r="AN59" s="152">
        <f>SUMIF('Date masura OD'!$G:$G,B59,'Date masura OD'!$BC:$BC)</f>
        <v>0</v>
      </c>
      <c r="AO59" s="138">
        <v>0</v>
      </c>
      <c r="AP59" s="138">
        <v>0</v>
      </c>
      <c r="AQ59" s="138">
        <v>0</v>
      </c>
      <c r="AR59" s="1">
        <f t="shared" si="30"/>
        <v>175</v>
      </c>
      <c r="AS59" s="1">
        <f t="shared" si="21"/>
        <v>0</v>
      </c>
      <c r="AT59" s="1">
        <f t="shared" si="31"/>
        <v>0</v>
      </c>
      <c r="AU59" s="1">
        <f>SUMIF('Date masura OD'!$G:$G,B59,'Date masura OD'!$AY:$AY)</f>
        <v>0</v>
      </c>
      <c r="AV59" s="1">
        <f>SUMIF('Date masura OD'!$G:$G,B59,'Date masura OD'!$AZ:$AZ)</f>
        <v>0</v>
      </c>
      <c r="AW59" s="1">
        <f>SUMIF('Date masura OD'!$G:$G,B59,'Date masura OD'!$BA:$BA)</f>
        <v>81</v>
      </c>
      <c r="AX59" s="1">
        <f>SUMIF('Date masura OD'!$G:$G,B59,'Date masura OD'!$BB:$BB)</f>
        <v>78</v>
      </c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4"/>
      <c r="BP59" s="46"/>
      <c r="BQ59" s="1"/>
      <c r="BR59" s="1"/>
      <c r="BS59" s="1"/>
      <c r="BT59" s="1"/>
      <c r="BU59" s="1"/>
      <c r="BV59" s="1"/>
      <c r="BX59" s="1" t="str">
        <f t="shared" si="6"/>
        <v/>
      </c>
      <c r="BY59" s="1">
        <f t="shared" si="7"/>
        <v>0</v>
      </c>
      <c r="BZ59" s="1">
        <f t="shared" si="8"/>
        <v>0</v>
      </c>
      <c r="CA59" s="1">
        <f t="shared" si="9"/>
        <v>0</v>
      </c>
      <c r="CB59" s="1">
        <f t="shared" si="10"/>
        <v>0</v>
      </c>
      <c r="CC59" s="1">
        <f t="shared" si="11"/>
        <v>0</v>
      </c>
      <c r="CD59" s="1">
        <f t="shared" si="12"/>
        <v>0</v>
      </c>
      <c r="CE59" s="1">
        <f t="shared" si="13"/>
        <v>0</v>
      </c>
      <c r="CR59" s="30" t="s">
        <v>535</v>
      </c>
      <c r="CS59" s="291">
        <v>294165</v>
      </c>
      <c r="CT59" s="291">
        <v>0</v>
      </c>
      <c r="CU59" s="291">
        <v>0</v>
      </c>
      <c r="CV59" s="291">
        <v>0</v>
      </c>
      <c r="CW59" s="29" t="s">
        <v>970</v>
      </c>
      <c r="CX59" s="312">
        <v>4413</v>
      </c>
      <c r="CY59" s="184">
        <v>0</v>
      </c>
      <c r="CZ59" s="88">
        <v>0</v>
      </c>
      <c r="DA59" s="88">
        <v>0</v>
      </c>
      <c r="DB59" s="29" t="s">
        <v>69</v>
      </c>
      <c r="DC59" s="87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321">
        <v>0</v>
      </c>
      <c r="DJ59" s="88">
        <v>0</v>
      </c>
    </row>
    <row r="60" spans="1:114" ht="16.5" thickBot="1">
      <c r="A60" s="136">
        <f t="shared" si="22"/>
        <v>57</v>
      </c>
      <c r="B60" s="137" t="s">
        <v>1227</v>
      </c>
      <c r="C60" s="17" t="s">
        <v>1227</v>
      </c>
      <c r="D60" s="12"/>
      <c r="E60" s="12" t="s">
        <v>1227</v>
      </c>
      <c r="F60" s="16"/>
      <c r="G60" s="16"/>
      <c r="H60" s="16"/>
      <c r="I60" s="16"/>
      <c r="J60" s="16"/>
      <c r="K60" s="16"/>
      <c r="L60" s="16"/>
      <c r="M60" s="16"/>
      <c r="N60" s="133"/>
      <c r="O60" s="133"/>
      <c r="P60" s="133"/>
      <c r="Q60" s="133"/>
      <c r="R60" s="133"/>
      <c r="S60" s="133"/>
      <c r="T60" s="133"/>
      <c r="U60" s="133"/>
      <c r="V60" s="22"/>
      <c r="W60" s="22"/>
      <c r="X60" s="22"/>
      <c r="Y60" s="22"/>
      <c r="Z60" s="167"/>
      <c r="AA60" s="133"/>
      <c r="AB60" s="284"/>
      <c r="AC60" s="133"/>
      <c r="AD60" s="133"/>
      <c r="AE60" s="133"/>
      <c r="AF60" s="140"/>
      <c r="AG60" s="133"/>
      <c r="AH60" s="284"/>
      <c r="AI60" s="133"/>
      <c r="AJ60" s="140"/>
      <c r="AK60" s="133"/>
      <c r="AL60" s="284"/>
      <c r="AM60" s="168"/>
      <c r="AN60" s="152">
        <f>SUMIF('Date masura OD'!$G:$G,B60,'Date masura OD'!$BC:$BC)</f>
        <v>0</v>
      </c>
      <c r="AO60" s="138">
        <v>0</v>
      </c>
      <c r="AP60" s="138">
        <v>0</v>
      </c>
      <c r="AQ60" s="138">
        <v>0</v>
      </c>
      <c r="AR60" s="1">
        <f t="shared" si="30"/>
        <v>79</v>
      </c>
      <c r="AS60" s="1">
        <f t="shared" si="21"/>
        <v>0</v>
      </c>
      <c r="AT60" s="1">
        <f t="shared" si="31"/>
        <v>0</v>
      </c>
      <c r="AU60" s="1">
        <f>SUMIF('Date masura OD'!$G:$G,B60,'Date masura OD'!$AY:$AY)</f>
        <v>0</v>
      </c>
      <c r="AV60" s="1">
        <f>SUMIF('Date masura OD'!$G:$G,B60,'Date masura OD'!$AZ:$AZ)</f>
        <v>0</v>
      </c>
      <c r="AW60" s="1">
        <f>SUMIF('Date masura OD'!$G:$G,B60,'Date masura OD'!$BA:$BA)</f>
        <v>0</v>
      </c>
      <c r="AX60" s="1">
        <f>SUMIF('Date masura OD'!$G:$G,B60,'Date masura OD'!$BB:$BB)</f>
        <v>0</v>
      </c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4"/>
      <c r="BP60" s="46"/>
      <c r="BQ60" s="1"/>
      <c r="BR60" s="1"/>
      <c r="BS60" s="1"/>
      <c r="BT60" s="1"/>
      <c r="BU60" s="1"/>
      <c r="BV60" s="1"/>
      <c r="BX60" s="1" t="str">
        <f t="shared" si="6"/>
        <v/>
      </c>
      <c r="BY60" s="1">
        <f t="shared" si="7"/>
        <v>0</v>
      </c>
      <c r="BZ60" s="1">
        <f t="shared" si="8"/>
        <v>0</v>
      </c>
      <c r="CA60" s="1">
        <f t="shared" si="9"/>
        <v>0</v>
      </c>
      <c r="CB60" s="1">
        <f t="shared" si="10"/>
        <v>0</v>
      </c>
      <c r="CC60" s="1">
        <f t="shared" si="11"/>
        <v>0</v>
      </c>
      <c r="CD60" s="1">
        <f t="shared" si="12"/>
        <v>0</v>
      </c>
      <c r="CE60" s="1">
        <f t="shared" si="13"/>
        <v>0</v>
      </c>
      <c r="CR60" s="93" t="s">
        <v>536</v>
      </c>
      <c r="CS60" s="291">
        <v>100</v>
      </c>
      <c r="CT60" s="291">
        <v>0</v>
      </c>
      <c r="CU60" s="291">
        <v>0</v>
      </c>
      <c r="CV60" s="291">
        <v>0</v>
      </c>
      <c r="CW60" s="109" t="s">
        <v>536</v>
      </c>
      <c r="CX60" s="312">
        <v>100</v>
      </c>
      <c r="CY60" s="184">
        <v>0</v>
      </c>
      <c r="CZ60" s="88">
        <v>0</v>
      </c>
      <c r="DA60" s="88">
        <v>0</v>
      </c>
      <c r="DB60" s="94" t="s">
        <v>69</v>
      </c>
      <c r="DC60" s="87">
        <v>0</v>
      </c>
      <c r="DD60" s="88">
        <v>0</v>
      </c>
      <c r="DE60" s="88">
        <v>0</v>
      </c>
      <c r="DF60" s="88">
        <v>0</v>
      </c>
      <c r="DG60" s="88">
        <v>100</v>
      </c>
      <c r="DH60" s="88">
        <v>0</v>
      </c>
      <c r="DI60" s="321">
        <v>0</v>
      </c>
      <c r="DJ60" s="88">
        <v>0</v>
      </c>
    </row>
    <row r="61" spans="1:114" ht="16.5" thickBot="1">
      <c r="A61" s="136">
        <f t="shared" si="22"/>
        <v>58</v>
      </c>
      <c r="B61" s="137" t="s">
        <v>1265</v>
      </c>
      <c r="C61" s="17" t="s">
        <v>1265</v>
      </c>
      <c r="D61" s="12"/>
      <c r="E61" s="12" t="s">
        <v>1265</v>
      </c>
      <c r="F61" s="16"/>
      <c r="G61" s="16"/>
      <c r="H61" s="16"/>
      <c r="I61" s="16"/>
      <c r="J61" s="16"/>
      <c r="K61" s="16"/>
      <c r="L61" s="16"/>
      <c r="M61" s="16"/>
      <c r="N61" s="133"/>
      <c r="O61" s="133"/>
      <c r="P61" s="133"/>
      <c r="Q61" s="133"/>
      <c r="R61" s="133"/>
      <c r="S61" s="133"/>
      <c r="T61" s="133"/>
      <c r="U61" s="133"/>
      <c r="V61" s="22"/>
      <c r="W61" s="22"/>
      <c r="X61" s="22"/>
      <c r="Y61" s="22"/>
      <c r="Z61" s="167"/>
      <c r="AA61" s="133"/>
      <c r="AB61" s="284"/>
      <c r="AC61" s="133"/>
      <c r="AD61" s="133"/>
      <c r="AE61" s="133"/>
      <c r="AF61" s="140"/>
      <c r="AG61" s="133"/>
      <c r="AH61" s="284"/>
      <c r="AI61" s="133"/>
      <c r="AJ61" s="140"/>
      <c r="AK61" s="133"/>
      <c r="AL61" s="284"/>
      <c r="AM61" s="168"/>
      <c r="AN61" s="152">
        <f>SUMIF('Date masura OD'!$G:$G,B61,'Date masura OD'!$BC:$BC)</f>
        <v>0</v>
      </c>
      <c r="AO61" s="138">
        <v>0</v>
      </c>
      <c r="AP61" s="138">
        <v>0</v>
      </c>
      <c r="AQ61" s="138">
        <v>0</v>
      </c>
      <c r="AR61" s="1">
        <f t="shared" si="30"/>
        <v>294</v>
      </c>
      <c r="AS61" s="1">
        <f t="shared" si="21"/>
        <v>0</v>
      </c>
      <c r="AT61" s="1">
        <f t="shared" si="31"/>
        <v>0</v>
      </c>
      <c r="AU61" s="1">
        <f>SUMIF('Date masura OD'!$G:$G,B61,'Date masura OD'!$AY:$AY)</f>
        <v>0</v>
      </c>
      <c r="AV61" s="1">
        <f>SUMIF('Date masura OD'!$G:$G,B61,'Date masura OD'!$AZ:$AZ)</f>
        <v>0</v>
      </c>
      <c r="AW61" s="1">
        <f>SUMIF('Date masura OD'!$G:$G,B61,'Date masura OD'!$BA:$BA)</f>
        <v>3553</v>
      </c>
      <c r="AX61" s="1">
        <f>SUMIF('Date masura OD'!$G:$G,B61,'Date masura OD'!$BB:$BB)</f>
        <v>772</v>
      </c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4"/>
      <c r="BP61" s="46"/>
      <c r="BQ61" s="1"/>
      <c r="BR61" s="1"/>
      <c r="BS61" s="1"/>
      <c r="BT61" s="1"/>
      <c r="BU61" s="1"/>
      <c r="BV61" s="1"/>
      <c r="BX61" s="1" t="str">
        <f t="shared" si="6"/>
        <v/>
      </c>
      <c r="BY61" s="1">
        <f t="shared" si="7"/>
        <v>0</v>
      </c>
      <c r="BZ61" s="1">
        <f t="shared" si="8"/>
        <v>0</v>
      </c>
      <c r="CA61" s="1">
        <f t="shared" si="9"/>
        <v>0</v>
      </c>
      <c r="CB61" s="1">
        <f t="shared" si="10"/>
        <v>0</v>
      </c>
      <c r="CC61" s="1">
        <f t="shared" si="11"/>
        <v>0</v>
      </c>
      <c r="CD61" s="1">
        <f t="shared" si="12"/>
        <v>0</v>
      </c>
      <c r="CE61" s="1">
        <f t="shared" si="13"/>
        <v>0</v>
      </c>
      <c r="CR61" s="86" t="s">
        <v>537</v>
      </c>
      <c r="CS61" s="291">
        <v>183200</v>
      </c>
      <c r="CT61" s="291">
        <v>0</v>
      </c>
      <c r="CU61" s="291">
        <v>0</v>
      </c>
      <c r="CV61" s="291">
        <v>0</v>
      </c>
      <c r="CW61" s="89" t="s">
        <v>606</v>
      </c>
      <c r="CX61" s="312">
        <v>105931</v>
      </c>
      <c r="CY61" s="184">
        <v>1045</v>
      </c>
      <c r="CZ61" s="88">
        <v>11330</v>
      </c>
      <c r="DA61" s="88">
        <v>476</v>
      </c>
      <c r="DB61" s="89" t="s">
        <v>864</v>
      </c>
      <c r="DC61" s="87">
        <v>0</v>
      </c>
      <c r="DD61" s="88">
        <v>57020</v>
      </c>
      <c r="DE61" s="88">
        <v>816</v>
      </c>
      <c r="DF61" s="88">
        <v>367</v>
      </c>
      <c r="DG61" s="88">
        <v>105931</v>
      </c>
      <c r="DH61" s="185">
        <v>67996</v>
      </c>
      <c r="DI61" s="323">
        <v>1785</v>
      </c>
      <c r="DJ61" s="88">
        <v>1589</v>
      </c>
    </row>
    <row r="62" spans="1:114" ht="16.5" thickBot="1">
      <c r="A62" s="17">
        <f t="shared" si="22"/>
        <v>59</v>
      </c>
      <c r="B62" s="137" t="s">
        <v>1266</v>
      </c>
      <c r="C62" s="17" t="s">
        <v>1266</v>
      </c>
      <c r="D62" s="12"/>
      <c r="E62" s="12" t="s">
        <v>1231</v>
      </c>
      <c r="F62" s="16"/>
      <c r="G62" s="16"/>
      <c r="H62" s="16"/>
      <c r="I62" s="16"/>
      <c r="J62" s="16"/>
      <c r="K62" s="16"/>
      <c r="L62" s="16"/>
      <c r="M62" s="16"/>
      <c r="N62" s="133"/>
      <c r="O62" s="133"/>
      <c r="P62" s="133"/>
      <c r="Q62" s="133"/>
      <c r="R62" s="133"/>
      <c r="S62" s="133"/>
      <c r="T62" s="133"/>
      <c r="U62" s="133"/>
      <c r="V62" s="22"/>
      <c r="W62" s="22"/>
      <c r="X62" s="22"/>
      <c r="Y62" s="22"/>
      <c r="Z62" s="167"/>
      <c r="AA62" s="133"/>
      <c r="AB62" s="284"/>
      <c r="AC62" s="133"/>
      <c r="AD62" s="133"/>
      <c r="AE62" s="133"/>
      <c r="AF62" s="140"/>
      <c r="AG62" s="133"/>
      <c r="AH62" s="284"/>
      <c r="AI62" s="133"/>
      <c r="AJ62" s="140"/>
      <c r="AK62" s="133"/>
      <c r="AL62" s="284"/>
      <c r="AM62" s="168"/>
      <c r="AN62" s="152">
        <f>SUMIF('Date masura OD'!$G:$G,B62,'Date masura OD'!$BC:$BC)</f>
        <v>1820</v>
      </c>
      <c r="AO62" s="138">
        <v>0</v>
      </c>
      <c r="AP62" s="138">
        <v>0</v>
      </c>
      <c r="AQ62" s="138">
        <v>0</v>
      </c>
      <c r="AR62" s="1">
        <f t="shared" si="30"/>
        <v>0</v>
      </c>
      <c r="AS62" s="1">
        <f t="shared" si="21"/>
        <v>0</v>
      </c>
      <c r="AT62" s="1">
        <f t="shared" si="31"/>
        <v>1820</v>
      </c>
      <c r="AU62" s="1">
        <f>SUMIF('Date masura OD'!$G:$G,B62,'Date masura OD'!$AY:$AY)</f>
        <v>0</v>
      </c>
      <c r="AV62" s="1">
        <f>SUMIF('Date masura OD'!$G:$G,B62,'Date masura OD'!$AZ:$AZ)</f>
        <v>0</v>
      </c>
      <c r="AW62" s="1">
        <f>SUMIF('Date masura OD'!$G:$G,B62,'Date masura OD'!$BA:$BA)</f>
        <v>0</v>
      </c>
      <c r="AX62" s="1">
        <f>SUMIF('Date masura OD'!$G:$G,B62,'Date masura OD'!$BB:$BB)</f>
        <v>0</v>
      </c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4"/>
      <c r="BP62" s="46"/>
      <c r="BQ62" s="1"/>
      <c r="BR62" s="1"/>
      <c r="BS62" s="1"/>
      <c r="BT62" s="1"/>
      <c r="BU62" s="1"/>
      <c r="BV62" s="1"/>
      <c r="BX62" s="1" t="str">
        <f t="shared" si="6"/>
        <v/>
      </c>
      <c r="BY62" s="1">
        <f t="shared" si="7"/>
        <v>0</v>
      </c>
      <c r="BZ62" s="1">
        <f t="shared" si="8"/>
        <v>0</v>
      </c>
      <c r="CA62" s="1">
        <f t="shared" si="9"/>
        <v>0</v>
      </c>
      <c r="CB62" s="1">
        <f t="shared" si="10"/>
        <v>0</v>
      </c>
      <c r="CC62" s="1">
        <f t="shared" si="11"/>
        <v>0</v>
      </c>
      <c r="CD62" s="1">
        <f t="shared" si="12"/>
        <v>0</v>
      </c>
      <c r="CE62" s="1">
        <f t="shared" si="13"/>
        <v>0</v>
      </c>
      <c r="CR62" s="30" t="s">
        <v>537</v>
      </c>
      <c r="CS62" s="291">
        <v>183200</v>
      </c>
      <c r="CT62" s="291">
        <v>0</v>
      </c>
      <c r="CU62" s="291">
        <v>0</v>
      </c>
      <c r="CV62" s="291">
        <v>0</v>
      </c>
      <c r="CW62" s="29" t="s">
        <v>69</v>
      </c>
      <c r="CX62" s="316">
        <v>0</v>
      </c>
      <c r="CY62" s="317">
        <v>0</v>
      </c>
      <c r="CZ62" s="316">
        <v>0</v>
      </c>
      <c r="DA62" s="317">
        <v>0</v>
      </c>
      <c r="DB62" s="29" t="s">
        <v>863</v>
      </c>
      <c r="DC62" s="87">
        <v>0</v>
      </c>
      <c r="DD62" s="88">
        <v>12021</v>
      </c>
      <c r="DE62" s="88">
        <v>293</v>
      </c>
      <c r="DF62" s="88">
        <v>105</v>
      </c>
      <c r="DG62" s="88">
        <v>0</v>
      </c>
      <c r="DH62" s="185">
        <v>0</v>
      </c>
      <c r="DI62" s="321">
        <v>0</v>
      </c>
      <c r="DJ62" s="88">
        <v>0</v>
      </c>
    </row>
    <row r="63" spans="1:114" ht="16.5" thickBot="1">
      <c r="A63" s="136">
        <f t="shared" si="22"/>
        <v>60</v>
      </c>
      <c r="B63" s="137" t="s">
        <v>1267</v>
      </c>
      <c r="C63" s="17" t="s">
        <v>1267</v>
      </c>
      <c r="D63" s="12"/>
      <c r="E63" s="12" t="s">
        <v>1231</v>
      </c>
      <c r="F63" s="16"/>
      <c r="G63" s="16"/>
      <c r="H63" s="16"/>
      <c r="I63" s="16"/>
      <c r="J63" s="16"/>
      <c r="K63" s="16"/>
      <c r="L63" s="16"/>
      <c r="M63" s="16"/>
      <c r="N63" s="133"/>
      <c r="O63" s="133"/>
      <c r="P63" s="133"/>
      <c r="Q63" s="133"/>
      <c r="R63" s="133"/>
      <c r="S63" s="133"/>
      <c r="T63" s="133"/>
      <c r="U63" s="133"/>
      <c r="V63" s="22"/>
      <c r="W63" s="22"/>
      <c r="X63" s="22"/>
      <c r="Y63" s="22"/>
      <c r="Z63" s="167"/>
      <c r="AA63" s="133"/>
      <c r="AB63" s="284"/>
      <c r="AC63" s="133"/>
      <c r="AD63" s="133"/>
      <c r="AE63" s="133"/>
      <c r="AF63" s="140"/>
      <c r="AG63" s="133"/>
      <c r="AH63" s="284"/>
      <c r="AI63" s="133"/>
      <c r="AJ63" s="140"/>
      <c r="AK63" s="133"/>
      <c r="AL63" s="284"/>
      <c r="AM63" s="168"/>
      <c r="AN63" s="152">
        <f>SUMIF('Date masura OD'!$G:$G,B63,'Date masura OD'!$BC:$BC)</f>
        <v>0</v>
      </c>
      <c r="AO63" s="138">
        <v>0</v>
      </c>
      <c r="AP63" s="138">
        <v>0</v>
      </c>
      <c r="AQ63" s="138">
        <v>0</v>
      </c>
      <c r="AR63" s="1">
        <f t="shared" si="30"/>
        <v>0</v>
      </c>
      <c r="AS63" s="1">
        <f t="shared" si="21"/>
        <v>0</v>
      </c>
      <c r="AT63" s="1">
        <f t="shared" si="31"/>
        <v>0</v>
      </c>
      <c r="AU63" s="1">
        <f>SUMIF('Date masura OD'!$G:$G,B63,'Date masura OD'!$AY:$AY)</f>
        <v>0</v>
      </c>
      <c r="AV63" s="1">
        <f>SUMIF('Date masura OD'!$G:$G,B63,'Date masura OD'!$AZ:$AZ)</f>
        <v>0</v>
      </c>
      <c r="AW63" s="1">
        <f>SUMIF('Date masura OD'!$G:$G,B63,'Date masura OD'!$BA:$BA)</f>
        <v>0</v>
      </c>
      <c r="AX63" s="1">
        <f>SUMIF('Date masura OD'!$G:$G,B63,'Date masura OD'!$BB:$BB)</f>
        <v>0</v>
      </c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4"/>
      <c r="BP63" s="46"/>
      <c r="BQ63" s="1"/>
      <c r="BR63" s="1"/>
      <c r="BS63" s="1"/>
      <c r="BT63" s="1"/>
      <c r="BU63" s="1"/>
      <c r="BV63" s="1"/>
      <c r="BX63" s="1" t="str">
        <f t="shared" si="6"/>
        <v/>
      </c>
      <c r="BY63" s="1">
        <f t="shared" si="7"/>
        <v>0</v>
      </c>
      <c r="BZ63" s="1">
        <f t="shared" si="8"/>
        <v>0</v>
      </c>
      <c r="CA63" s="1">
        <f t="shared" si="9"/>
        <v>0</v>
      </c>
      <c r="CB63" s="1">
        <f t="shared" si="10"/>
        <v>0</v>
      </c>
      <c r="CC63" s="1">
        <f t="shared" si="11"/>
        <v>0</v>
      </c>
      <c r="CD63" s="1">
        <f t="shared" si="12"/>
        <v>0</v>
      </c>
      <c r="CE63" s="1">
        <f t="shared" si="13"/>
        <v>0</v>
      </c>
      <c r="CR63" s="30" t="s">
        <v>537</v>
      </c>
      <c r="CS63" s="291">
        <v>183200</v>
      </c>
      <c r="CT63" s="291">
        <v>0</v>
      </c>
      <c r="CU63" s="291">
        <v>0</v>
      </c>
      <c r="CV63" s="291">
        <v>0</v>
      </c>
      <c r="CW63" s="29" t="s">
        <v>861</v>
      </c>
      <c r="CX63" s="312">
        <v>56518</v>
      </c>
      <c r="CY63" s="184">
        <v>1785</v>
      </c>
      <c r="CZ63" s="88">
        <v>828</v>
      </c>
      <c r="DA63" s="88">
        <v>12815</v>
      </c>
      <c r="DB63" s="29" t="s">
        <v>678</v>
      </c>
      <c r="DC63" s="87">
        <v>0</v>
      </c>
      <c r="DD63" s="88">
        <v>49461</v>
      </c>
      <c r="DE63" s="88">
        <v>649</v>
      </c>
      <c r="DF63" s="88">
        <v>324</v>
      </c>
      <c r="DG63" s="88">
        <v>56518</v>
      </c>
      <c r="DH63" s="88">
        <v>47676</v>
      </c>
      <c r="DI63" s="323">
        <v>1045</v>
      </c>
      <c r="DJ63" s="88">
        <v>848</v>
      </c>
    </row>
    <row r="64" spans="1:114" ht="16.5" thickBot="1">
      <c r="A64" s="136">
        <f t="shared" si="22"/>
        <v>61</v>
      </c>
      <c r="B64" s="137" t="s">
        <v>1268</v>
      </c>
      <c r="C64" s="17" t="s">
        <v>1268</v>
      </c>
      <c r="D64" s="12"/>
      <c r="E64" s="12" t="s">
        <v>1231</v>
      </c>
      <c r="F64" s="16"/>
      <c r="G64" s="16"/>
      <c r="H64" s="16"/>
      <c r="I64" s="16"/>
      <c r="J64" s="16"/>
      <c r="K64" s="16"/>
      <c r="L64" s="16"/>
      <c r="M64" s="16"/>
      <c r="N64" s="133"/>
      <c r="O64" s="133"/>
      <c r="P64" s="133"/>
      <c r="Q64" s="133"/>
      <c r="R64" s="133"/>
      <c r="S64" s="133"/>
      <c r="T64" s="133"/>
      <c r="U64" s="133"/>
      <c r="V64" s="22"/>
      <c r="W64" s="22"/>
      <c r="X64" s="22"/>
      <c r="Y64" s="22"/>
      <c r="Z64" s="167"/>
      <c r="AA64" s="133"/>
      <c r="AB64" s="284"/>
      <c r="AC64" s="133"/>
      <c r="AD64" s="133"/>
      <c r="AE64" s="133"/>
      <c r="AF64" s="140"/>
      <c r="AG64" s="133"/>
      <c r="AH64" s="284"/>
      <c r="AI64" s="133"/>
      <c r="AJ64" s="140"/>
      <c r="AK64" s="133"/>
      <c r="AL64" s="284"/>
      <c r="AM64" s="168"/>
      <c r="AN64" s="152">
        <f>SUMIF('Date masura OD'!$G:$G,B64,'Date masura OD'!$BC:$BC)</f>
        <v>0</v>
      </c>
      <c r="AO64" s="138">
        <v>0</v>
      </c>
      <c r="AP64" s="138">
        <v>0</v>
      </c>
      <c r="AQ64" s="138">
        <v>0</v>
      </c>
      <c r="AR64" s="1">
        <f t="shared" si="30"/>
        <v>0</v>
      </c>
      <c r="AS64" s="1">
        <f t="shared" si="21"/>
        <v>0</v>
      </c>
      <c r="AT64" s="1">
        <f t="shared" si="31"/>
        <v>0</v>
      </c>
      <c r="AU64" s="1">
        <f>SUMIF('Date masura OD'!$G:$G,B64,'Date masura OD'!$AY:$AY)</f>
        <v>0</v>
      </c>
      <c r="AV64" s="1">
        <f>SUMIF('Date masura OD'!$G:$G,B64,'Date masura OD'!$AZ:$AZ)</f>
        <v>0</v>
      </c>
      <c r="AW64" s="1">
        <f>SUMIF('Date masura OD'!$G:$G,B64,'Date masura OD'!$BA:$BA)</f>
        <v>0</v>
      </c>
      <c r="AX64" s="1">
        <f>SUMIF('Date masura OD'!$G:$G,B64,'Date masura OD'!$BB:$BB)</f>
        <v>0</v>
      </c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4"/>
      <c r="BP64" s="46"/>
      <c r="BQ64" s="1"/>
      <c r="BR64" s="1"/>
      <c r="BS64" s="1"/>
      <c r="BT64" s="1"/>
      <c r="BU64" s="1"/>
      <c r="BV64" s="1"/>
      <c r="BX64" s="1" t="str">
        <f t="shared" si="6"/>
        <v/>
      </c>
      <c r="BY64" s="1">
        <f t="shared" si="7"/>
        <v>0</v>
      </c>
      <c r="BZ64" s="1">
        <f t="shared" si="8"/>
        <v>0</v>
      </c>
      <c r="CA64" s="1">
        <f t="shared" si="9"/>
        <v>0</v>
      </c>
      <c r="CB64" s="1">
        <f t="shared" si="10"/>
        <v>0</v>
      </c>
      <c r="CC64" s="1">
        <f t="shared" si="11"/>
        <v>0</v>
      </c>
      <c r="CD64" s="1">
        <f t="shared" si="12"/>
        <v>0</v>
      </c>
      <c r="CE64" s="1">
        <f t="shared" si="13"/>
        <v>0</v>
      </c>
      <c r="CR64" s="30" t="s">
        <v>537</v>
      </c>
      <c r="CS64" s="291">
        <v>183200</v>
      </c>
      <c r="CT64" s="291">
        <v>0</v>
      </c>
      <c r="CU64" s="291">
        <v>0</v>
      </c>
      <c r="CV64" s="291">
        <v>0</v>
      </c>
      <c r="CW64" s="29" t="s">
        <v>607</v>
      </c>
      <c r="CX64" s="312">
        <v>18003</v>
      </c>
      <c r="CY64" s="184">
        <v>0</v>
      </c>
      <c r="CZ64" s="88">
        <v>102</v>
      </c>
      <c r="DA64" s="88">
        <v>3163</v>
      </c>
      <c r="DB64" s="29" t="s">
        <v>69</v>
      </c>
      <c r="DC64" s="87">
        <v>0</v>
      </c>
      <c r="DD64" s="88">
        <v>0</v>
      </c>
      <c r="DE64" s="88">
        <v>0</v>
      </c>
      <c r="DF64" s="88">
        <v>0</v>
      </c>
      <c r="DG64" s="88">
        <v>18003</v>
      </c>
      <c r="DH64" s="88">
        <v>0</v>
      </c>
      <c r="DI64" s="321">
        <v>0</v>
      </c>
      <c r="DJ64" s="88">
        <v>311</v>
      </c>
    </row>
    <row r="65" spans="1:114" ht="16.5" thickBot="1">
      <c r="A65" s="17">
        <f t="shared" si="22"/>
        <v>62</v>
      </c>
      <c r="B65" s="137" t="s">
        <v>1269</v>
      </c>
      <c r="C65" s="17" t="s">
        <v>1269</v>
      </c>
      <c r="D65" s="12"/>
      <c r="E65" s="12" t="s">
        <v>1231</v>
      </c>
      <c r="F65" s="16"/>
      <c r="G65" s="16"/>
      <c r="H65" s="16"/>
      <c r="I65" s="16"/>
      <c r="J65" s="16"/>
      <c r="K65" s="16"/>
      <c r="L65" s="16"/>
      <c r="M65" s="16"/>
      <c r="N65" s="133"/>
      <c r="O65" s="133"/>
      <c r="P65" s="133"/>
      <c r="Q65" s="133"/>
      <c r="R65" s="133"/>
      <c r="S65" s="133"/>
      <c r="T65" s="133"/>
      <c r="U65" s="133"/>
      <c r="V65" s="22"/>
      <c r="W65" s="22"/>
      <c r="X65" s="22"/>
      <c r="Y65" s="22"/>
      <c r="Z65" s="167"/>
      <c r="AA65" s="133"/>
      <c r="AB65" s="284"/>
      <c r="AC65" s="133"/>
      <c r="AD65" s="133"/>
      <c r="AE65" s="133"/>
      <c r="AF65" s="140"/>
      <c r="AG65" s="133"/>
      <c r="AH65" s="284"/>
      <c r="AI65" s="133"/>
      <c r="AJ65" s="140"/>
      <c r="AK65" s="133"/>
      <c r="AL65" s="284"/>
      <c r="AM65" s="168"/>
      <c r="AN65" s="152">
        <f>SUMIF('Date masura OD'!$G:$G,B65,'Date masura OD'!$BC:$BC)</f>
        <v>100</v>
      </c>
      <c r="AO65" s="138">
        <v>0</v>
      </c>
      <c r="AP65" s="138">
        <v>0</v>
      </c>
      <c r="AQ65" s="138">
        <v>0</v>
      </c>
      <c r="AR65" s="1">
        <f t="shared" si="30"/>
        <v>0</v>
      </c>
      <c r="AS65" s="1">
        <f t="shared" si="21"/>
        <v>0</v>
      </c>
      <c r="AT65" s="1">
        <f t="shared" si="31"/>
        <v>100</v>
      </c>
      <c r="AU65" s="1">
        <f>SUMIF('Date masura OD'!$G:$G,B65,'Date masura OD'!$AY:$AY)</f>
        <v>0</v>
      </c>
      <c r="AV65" s="1">
        <f>SUMIF('Date masura OD'!$G:$G,B65,'Date masura OD'!$AZ:$AZ)</f>
        <v>0</v>
      </c>
      <c r="AW65" s="1">
        <f>SUMIF('Date masura OD'!$G:$G,B65,'Date masura OD'!$BA:$BA)</f>
        <v>0</v>
      </c>
      <c r="AX65" s="1">
        <f>SUMIF('Date masura OD'!$G:$G,B65,'Date masura OD'!$BB:$BB)</f>
        <v>0</v>
      </c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4"/>
      <c r="BP65" s="46"/>
      <c r="BQ65" s="1"/>
      <c r="BR65" s="1"/>
      <c r="BS65" s="1"/>
      <c r="BT65" s="1"/>
      <c r="BU65" s="1"/>
      <c r="BV65" s="1"/>
      <c r="BX65" s="1" t="str">
        <f t="shared" si="6"/>
        <v/>
      </c>
      <c r="BY65" s="1">
        <f t="shared" si="7"/>
        <v>0</v>
      </c>
      <c r="BZ65" s="1">
        <f t="shared" si="8"/>
        <v>0</v>
      </c>
      <c r="CA65" s="1">
        <f t="shared" si="9"/>
        <v>0</v>
      </c>
      <c r="CB65" s="1">
        <f t="shared" si="10"/>
        <v>0</v>
      </c>
      <c r="CC65" s="1">
        <f t="shared" si="11"/>
        <v>0</v>
      </c>
      <c r="CD65" s="1">
        <f t="shared" si="12"/>
        <v>0</v>
      </c>
      <c r="CE65" s="1">
        <f t="shared" si="13"/>
        <v>0</v>
      </c>
      <c r="CR65" s="93" t="s">
        <v>537</v>
      </c>
      <c r="CS65" s="291">
        <v>183200</v>
      </c>
      <c r="CT65" s="291">
        <v>0</v>
      </c>
      <c r="CU65" s="291">
        <v>0</v>
      </c>
      <c r="CV65" s="291">
        <v>0</v>
      </c>
      <c r="CW65" s="94" t="s">
        <v>971</v>
      </c>
      <c r="CX65" s="312">
        <v>2748</v>
      </c>
      <c r="CY65" s="184">
        <v>0</v>
      </c>
      <c r="CZ65" s="88">
        <v>0</v>
      </c>
      <c r="DA65" s="88">
        <v>0</v>
      </c>
      <c r="DB65" s="94" t="s">
        <v>69</v>
      </c>
      <c r="DC65" s="87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321">
        <v>0</v>
      </c>
      <c r="DJ65" s="88">
        <v>0</v>
      </c>
    </row>
    <row r="66" spans="1:114" ht="16.5" thickBot="1">
      <c r="A66" s="136">
        <f t="shared" si="22"/>
        <v>63</v>
      </c>
      <c r="B66" s="137" t="s">
        <v>1270</v>
      </c>
      <c r="C66" s="17" t="s">
        <v>1270</v>
      </c>
      <c r="D66" s="12"/>
      <c r="E66" s="12" t="s">
        <v>1231</v>
      </c>
      <c r="F66" s="16"/>
      <c r="G66" s="16"/>
      <c r="H66" s="16"/>
      <c r="I66" s="16"/>
      <c r="J66" s="16"/>
      <c r="K66" s="16"/>
      <c r="L66" s="16"/>
      <c r="M66" s="16"/>
      <c r="N66" s="133"/>
      <c r="O66" s="133"/>
      <c r="P66" s="133"/>
      <c r="Q66" s="133"/>
      <c r="R66" s="133"/>
      <c r="S66" s="133"/>
      <c r="T66" s="133"/>
      <c r="U66" s="133"/>
      <c r="V66" s="22"/>
      <c r="W66" s="22"/>
      <c r="X66" s="22"/>
      <c r="Y66" s="22"/>
      <c r="Z66" s="167"/>
      <c r="AA66" s="133"/>
      <c r="AB66" s="284"/>
      <c r="AC66" s="133"/>
      <c r="AD66" s="133"/>
      <c r="AE66" s="133"/>
      <c r="AF66" s="140"/>
      <c r="AG66" s="133"/>
      <c r="AH66" s="284"/>
      <c r="AI66" s="133"/>
      <c r="AJ66" s="140"/>
      <c r="AK66" s="133"/>
      <c r="AL66" s="284"/>
      <c r="AM66" s="168"/>
      <c r="AN66" s="152">
        <f>SUMIF('Date masura OD'!$G:$G,B66,'Date masura OD'!$BC:$BC)</f>
        <v>300</v>
      </c>
      <c r="AO66" s="138">
        <v>0</v>
      </c>
      <c r="AP66" s="138">
        <v>0</v>
      </c>
      <c r="AQ66" s="138">
        <v>0</v>
      </c>
      <c r="AR66" s="1">
        <f t="shared" si="30"/>
        <v>0</v>
      </c>
      <c r="AS66" s="1">
        <f t="shared" si="21"/>
        <v>0</v>
      </c>
      <c r="AT66" s="1">
        <f t="shared" si="31"/>
        <v>300</v>
      </c>
      <c r="AU66" s="1">
        <f>SUMIF('Date masura OD'!$G:$G,B66,'Date masura OD'!$AY:$AY)</f>
        <v>0</v>
      </c>
      <c r="AV66" s="1">
        <f>SUMIF('Date masura OD'!$G:$G,B66,'Date masura OD'!$AZ:$AZ)</f>
        <v>0</v>
      </c>
      <c r="AW66" s="1">
        <f>SUMIF('Date masura OD'!$G:$G,B66,'Date masura OD'!$BA:$BA)</f>
        <v>0</v>
      </c>
      <c r="AX66" s="1">
        <f>SUMIF('Date masura OD'!$G:$G,B66,'Date masura OD'!$BB:$BB)</f>
        <v>0</v>
      </c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4"/>
      <c r="BP66" s="46"/>
      <c r="BQ66" s="1"/>
      <c r="BR66" s="1"/>
      <c r="BS66" s="1"/>
      <c r="BT66" s="1"/>
      <c r="BU66" s="1"/>
      <c r="BV66" s="1"/>
      <c r="BX66" s="1" t="str">
        <f t="shared" si="6"/>
        <v/>
      </c>
      <c r="BY66" s="1">
        <f t="shared" si="7"/>
        <v>0</v>
      </c>
      <c r="BZ66" s="1">
        <f t="shared" si="8"/>
        <v>0</v>
      </c>
      <c r="CA66" s="1">
        <f t="shared" si="9"/>
        <v>0</v>
      </c>
      <c r="CB66" s="1">
        <f t="shared" si="10"/>
        <v>0</v>
      </c>
      <c r="CC66" s="1">
        <f t="shared" si="11"/>
        <v>0</v>
      </c>
      <c r="CD66" s="1">
        <f t="shared" si="12"/>
        <v>0</v>
      </c>
      <c r="CE66" s="1">
        <f t="shared" si="13"/>
        <v>0</v>
      </c>
      <c r="CR66" s="86" t="s">
        <v>538</v>
      </c>
      <c r="CS66" s="291">
        <v>865120</v>
      </c>
      <c r="CT66" s="291">
        <v>0</v>
      </c>
      <c r="CU66" s="291">
        <v>0</v>
      </c>
      <c r="CV66" s="291">
        <v>0</v>
      </c>
      <c r="CW66" s="89" t="s">
        <v>608</v>
      </c>
      <c r="CX66" s="312">
        <v>103522</v>
      </c>
      <c r="CY66" s="184">
        <v>0</v>
      </c>
      <c r="CZ66" s="88">
        <v>11777</v>
      </c>
      <c r="DA66" s="88">
        <v>2296</v>
      </c>
      <c r="DB66" s="89" t="s">
        <v>69</v>
      </c>
      <c r="DC66" s="87">
        <v>0</v>
      </c>
      <c r="DD66" s="88">
        <v>0</v>
      </c>
      <c r="DE66" s="88">
        <v>0</v>
      </c>
      <c r="DF66" s="88">
        <v>0</v>
      </c>
      <c r="DG66" s="88">
        <v>103522</v>
      </c>
      <c r="DH66" s="88">
        <v>0</v>
      </c>
      <c r="DI66" s="88">
        <v>7</v>
      </c>
      <c r="DJ66" s="88">
        <v>1553</v>
      </c>
    </row>
    <row r="67" spans="1:114" ht="16.5" thickBot="1">
      <c r="A67" s="136">
        <f t="shared" si="22"/>
        <v>64</v>
      </c>
      <c r="B67" s="137" t="s">
        <v>1271</v>
      </c>
      <c r="C67" s="17" t="s">
        <v>1271</v>
      </c>
      <c r="D67" s="12"/>
      <c r="E67" s="12" t="s">
        <v>1231</v>
      </c>
      <c r="F67" s="16"/>
      <c r="G67" s="16"/>
      <c r="H67" s="16"/>
      <c r="I67" s="16"/>
      <c r="J67" s="16"/>
      <c r="K67" s="16"/>
      <c r="L67" s="16"/>
      <c r="M67" s="16"/>
      <c r="N67" s="133"/>
      <c r="O67" s="133"/>
      <c r="P67" s="133"/>
      <c r="Q67" s="133"/>
      <c r="R67" s="133"/>
      <c r="S67" s="133"/>
      <c r="T67" s="133"/>
      <c r="U67" s="133"/>
      <c r="V67" s="22"/>
      <c r="W67" s="22"/>
      <c r="X67" s="22"/>
      <c r="Y67" s="22"/>
      <c r="Z67" s="167"/>
      <c r="AA67" s="133"/>
      <c r="AB67" s="284"/>
      <c r="AC67" s="133"/>
      <c r="AD67" s="133"/>
      <c r="AE67" s="133"/>
      <c r="AF67" s="140"/>
      <c r="AG67" s="133"/>
      <c r="AH67" s="284"/>
      <c r="AI67" s="133"/>
      <c r="AJ67" s="140"/>
      <c r="AK67" s="133"/>
      <c r="AL67" s="284"/>
      <c r="AM67" s="168"/>
      <c r="AN67" s="152">
        <f>SUMIF('Date masura OD'!$G:$G,B67,'Date masura OD'!$BC:$BC)</f>
        <v>0</v>
      </c>
      <c r="AO67" s="138">
        <v>0</v>
      </c>
      <c r="AP67" s="138">
        <v>0</v>
      </c>
      <c r="AQ67" s="138">
        <v>0</v>
      </c>
      <c r="AR67" s="1">
        <f t="shared" si="30"/>
        <v>0</v>
      </c>
      <c r="AS67" s="1">
        <f t="shared" si="21"/>
        <v>0</v>
      </c>
      <c r="AT67" s="1">
        <f t="shared" si="31"/>
        <v>0</v>
      </c>
      <c r="AU67" s="1">
        <f>SUMIF('Date masura OD'!$G:$G,B67,'Date masura OD'!$AY:$AY)</f>
        <v>0</v>
      </c>
      <c r="AV67" s="1">
        <f>SUMIF('Date masura OD'!$G:$G,B67,'Date masura OD'!$AZ:$AZ)</f>
        <v>0</v>
      </c>
      <c r="AW67" s="1">
        <f>SUMIF('Date masura OD'!$G:$G,B67,'Date masura OD'!$BA:$BA)</f>
        <v>0</v>
      </c>
      <c r="AX67" s="1">
        <f>SUMIF('Date masura OD'!$G:$G,B67,'Date masura OD'!$BB:$BB)</f>
        <v>0</v>
      </c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4"/>
      <c r="BL67">
        <f>SUM(AU4:AU68)-SUM(CB4:CB68)</f>
        <v>28564</v>
      </c>
      <c r="BM67">
        <f>SUM(AV4:AV68)-SUM(CC4:CC68)</f>
        <v>58742</v>
      </c>
      <c r="BN67">
        <f>SUM(AW4:AW68)-SUM(CD4:CD68)</f>
        <v>21006</v>
      </c>
      <c r="BO67">
        <f>SUM(AX4:AX68)-SUM(CE4:CE68)</f>
        <v>30481</v>
      </c>
      <c r="BP67" s="46"/>
      <c r="BQ67" s="1"/>
      <c r="BR67" s="1"/>
      <c r="BS67" s="1"/>
      <c r="BT67" s="1"/>
      <c r="BU67" s="1"/>
      <c r="BV67" s="1"/>
      <c r="BX67" s="1" t="str">
        <f t="shared" si="6"/>
        <v>RN10</v>
      </c>
      <c r="BY67" s="1">
        <f t="shared" si="7"/>
        <v>0</v>
      </c>
      <c r="BZ67" s="1">
        <f t="shared" si="8"/>
        <v>0</v>
      </c>
      <c r="CA67" s="1">
        <f t="shared" si="9"/>
        <v>0</v>
      </c>
      <c r="CB67" s="1">
        <f t="shared" si="10"/>
        <v>0</v>
      </c>
      <c r="CC67" s="1">
        <f t="shared" si="11"/>
        <v>0</v>
      </c>
      <c r="CD67" s="1">
        <f t="shared" si="12"/>
        <v>0</v>
      </c>
      <c r="CE67" s="1">
        <f t="shared" si="13"/>
        <v>0</v>
      </c>
      <c r="CR67" s="30" t="s">
        <v>538</v>
      </c>
      <c r="CS67" s="291">
        <v>865120</v>
      </c>
      <c r="CT67" s="291">
        <v>0</v>
      </c>
      <c r="CU67" s="291">
        <v>0</v>
      </c>
      <c r="CV67" s="291">
        <v>0</v>
      </c>
      <c r="CW67" s="29" t="s">
        <v>609</v>
      </c>
      <c r="CX67" s="312">
        <v>83598</v>
      </c>
      <c r="CY67" s="184">
        <v>7</v>
      </c>
      <c r="CZ67" s="88">
        <v>8631</v>
      </c>
      <c r="DA67" s="88">
        <v>4034</v>
      </c>
      <c r="DB67" s="29" t="s">
        <v>679</v>
      </c>
      <c r="DC67" s="87">
        <v>0</v>
      </c>
      <c r="DD67" s="88">
        <v>38513</v>
      </c>
      <c r="DE67" s="88">
        <v>530</v>
      </c>
      <c r="DF67" s="88">
        <v>2987</v>
      </c>
      <c r="DG67" s="88">
        <v>83598</v>
      </c>
      <c r="DH67" s="88">
        <v>38506</v>
      </c>
      <c r="DI67" s="321">
        <v>0</v>
      </c>
      <c r="DJ67" s="88">
        <v>1254</v>
      </c>
    </row>
    <row r="68" spans="1:114" ht="16.5" thickBot="1">
      <c r="A68" s="17">
        <f t="shared" si="22"/>
        <v>65</v>
      </c>
      <c r="B68" s="137" t="s">
        <v>1272</v>
      </c>
      <c r="C68" s="17" t="s">
        <v>1272</v>
      </c>
      <c r="D68" s="12"/>
      <c r="E68" s="12" t="s">
        <v>1272</v>
      </c>
      <c r="F68" s="16"/>
      <c r="G68" s="16"/>
      <c r="H68" s="16"/>
      <c r="I68" s="16"/>
      <c r="J68" s="16"/>
      <c r="K68" s="16"/>
      <c r="L68" s="16"/>
      <c r="M68" s="16"/>
      <c r="N68" s="133"/>
      <c r="O68" s="133"/>
      <c r="P68" s="133"/>
      <c r="Q68" s="133"/>
      <c r="R68" s="133"/>
      <c r="S68" s="133"/>
      <c r="T68" s="133"/>
      <c r="U68" s="133"/>
      <c r="V68" s="22"/>
      <c r="W68" s="22"/>
      <c r="X68" s="22"/>
      <c r="Y68" s="22"/>
      <c r="Z68" s="167"/>
      <c r="AA68" s="133"/>
      <c r="AB68" s="284"/>
      <c r="AC68" s="133"/>
      <c r="AD68" s="133"/>
      <c r="AE68" s="133"/>
      <c r="AF68" s="140"/>
      <c r="AG68" s="133"/>
      <c r="AH68" s="284"/>
      <c r="AI68" s="133"/>
      <c r="AJ68" s="140"/>
      <c r="AK68" s="133"/>
      <c r="AL68" s="284"/>
      <c r="AM68" s="168"/>
      <c r="AN68" s="152">
        <f>SUMIF('Date masura OD'!$G:$G,B68,'Date masura OD'!$BC:$BC)</f>
        <v>0</v>
      </c>
      <c r="AO68" s="138">
        <v>0</v>
      </c>
      <c r="AP68" s="138">
        <v>0</v>
      </c>
      <c r="AQ68" s="138">
        <v>0</v>
      </c>
      <c r="AR68" s="1">
        <f t="shared" si="30"/>
        <v>427</v>
      </c>
      <c r="AS68" s="1">
        <f>IF(AR68=0,0,ROUNDUP(AN68*1.5%,0))</f>
        <v>0</v>
      </c>
      <c r="AT68" s="1">
        <f t="shared" si="31"/>
        <v>0</v>
      </c>
      <c r="AU68" s="1">
        <f>SUMIF('Date masura OD'!$G:$G,B68,'Date masura OD'!$AY:$AY)</f>
        <v>6</v>
      </c>
      <c r="AV68" s="1">
        <f>SUMIF('Date masura OD'!$G:$G,B68,'Date masura OD'!$AZ:$AZ)</f>
        <v>0</v>
      </c>
      <c r="AW68" s="1">
        <f>SUMIF('Date masura OD'!$G:$G,B68,'Date masura OD'!$BA:$BA)</f>
        <v>180</v>
      </c>
      <c r="AX68" s="1">
        <f>SUMIF('Date masura OD'!$G:$G,B68,'Date masura OD'!$BB:$BB)</f>
        <v>4</v>
      </c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4"/>
      <c r="BP68" s="46"/>
      <c r="BQ68" s="1"/>
      <c r="BR68" s="1"/>
      <c r="BS68" s="1"/>
      <c r="BT68" s="1"/>
      <c r="BU68" s="1"/>
      <c r="BV68" s="1"/>
      <c r="BX68" s="1" t="str">
        <f t="shared" ref="BX68:BX131" si="32">IF(LEFT(B69,4)&lt;&gt;LEFT(B68,4),LEFT(B68,4),"")</f>
        <v>RN1_</v>
      </c>
      <c r="BY68" s="1">
        <f t="shared" ref="BY68:BY131" si="33">IF(LEFT(B68,4)&lt;&gt;LEFT(B67,4),BP68,BP68+BY67)</f>
        <v>0</v>
      </c>
      <c r="BZ68" s="1">
        <f>IF(LEFT(B68,4)&lt;&gt;LEFT(B67,4),BQ68,BQ68+BZ67)</f>
        <v>0</v>
      </c>
      <c r="CA68" s="1">
        <f>IF(LEFT(B68,4)&lt;&gt;LEFT(B67,4),BR68,BR68+CA67)</f>
        <v>0</v>
      </c>
      <c r="CB68" s="1">
        <f>IF(LEFT(B68,4)&lt;&gt;LEFT(B67,4),BS68,BS68+CB67)</f>
        <v>0</v>
      </c>
      <c r="CC68" s="1">
        <f>IF(LEFT(B68,4)&lt;&gt;LEFT(B67,4),BT68,BT68+CC67)</f>
        <v>0</v>
      </c>
      <c r="CD68" s="1">
        <f>IF(LEFT(B68,4)&lt;&gt;LEFT(B67,4),BU68,BU68+CD67)</f>
        <v>0</v>
      </c>
      <c r="CE68" s="1">
        <f>IF(LEFT(B68,4)&lt;&gt;LEFT(B67,4),BV68,BV68+CE67)</f>
        <v>0</v>
      </c>
      <c r="CR68" s="30" t="s">
        <v>538</v>
      </c>
      <c r="CS68" s="291">
        <v>865120</v>
      </c>
      <c r="CT68" s="291">
        <v>0</v>
      </c>
      <c r="CU68" s="291">
        <v>0</v>
      </c>
      <c r="CV68" s="291">
        <v>0</v>
      </c>
      <c r="CW68" s="29" t="s">
        <v>610</v>
      </c>
      <c r="CX68" s="312">
        <v>58941</v>
      </c>
      <c r="CY68" s="184">
        <v>0</v>
      </c>
      <c r="CZ68" s="88">
        <v>3797</v>
      </c>
      <c r="DA68" s="88">
        <v>8305</v>
      </c>
      <c r="DB68" s="29" t="s">
        <v>69</v>
      </c>
      <c r="DC68" s="87">
        <v>0</v>
      </c>
      <c r="DD68" s="88">
        <v>0</v>
      </c>
      <c r="DE68" s="88">
        <v>0</v>
      </c>
      <c r="DF68" s="88">
        <v>0</v>
      </c>
      <c r="DG68" s="88">
        <v>58941</v>
      </c>
      <c r="DH68" s="88">
        <v>0</v>
      </c>
      <c r="DI68" s="321">
        <v>0</v>
      </c>
      <c r="DJ68" s="88">
        <v>885</v>
      </c>
    </row>
    <row r="69" spans="1:114" s="141" customFormat="1" ht="17.25" thickTop="1" thickBot="1">
      <c r="A69" s="136">
        <f t="shared" si="22"/>
        <v>66</v>
      </c>
      <c r="B69" s="143" t="s">
        <v>568</v>
      </c>
      <c r="C69" s="142" t="s">
        <v>127</v>
      </c>
      <c r="D69" s="142">
        <v>1371641041</v>
      </c>
      <c r="E69" s="142" t="str">
        <f>LEFT(B69,4)</f>
        <v>RRVS</v>
      </c>
      <c r="F69" s="16">
        <v>903778</v>
      </c>
      <c r="G69" s="16">
        <v>931666</v>
      </c>
      <c r="H69" s="16">
        <v>0</v>
      </c>
      <c r="I69" s="16">
        <v>0</v>
      </c>
      <c r="J69" s="16">
        <v>34505</v>
      </c>
      <c r="K69" s="16">
        <v>34505</v>
      </c>
      <c r="L69" s="16">
        <v>94991</v>
      </c>
      <c r="M69" s="16">
        <v>94991</v>
      </c>
      <c r="N69" s="145" t="s">
        <v>917</v>
      </c>
      <c r="O69" s="145" t="s">
        <v>1019</v>
      </c>
      <c r="P69" s="145" t="s">
        <v>917</v>
      </c>
      <c r="Q69" s="145" t="s">
        <v>917</v>
      </c>
      <c r="R69" s="145" t="s">
        <v>917</v>
      </c>
      <c r="S69" s="145" t="s">
        <v>1019</v>
      </c>
      <c r="T69" s="145" t="s">
        <v>917</v>
      </c>
      <c r="U69" s="145" t="s">
        <v>1019</v>
      </c>
      <c r="V69" s="22">
        <v>27888</v>
      </c>
      <c r="W69" s="22">
        <v>0</v>
      </c>
      <c r="X69" s="22">
        <v>0</v>
      </c>
      <c r="Y69" s="22">
        <v>0</v>
      </c>
      <c r="Z69" s="169">
        <f t="shared" ref="Z69:Z133" si="34">F69</f>
        <v>903778</v>
      </c>
      <c r="AA69" s="148" t="str">
        <f t="shared" ref="AA69:AA133" si="35">IF(Z69&lt;&gt;F69,"corectie","citit")</f>
        <v>citit</v>
      </c>
      <c r="AB69" s="175">
        <f>Z69+AN69</f>
        <v>931666</v>
      </c>
      <c r="AC69" s="145" t="s">
        <v>917</v>
      </c>
      <c r="AD69" s="145">
        <f t="shared" ref="AD69:AF101" si="36">H69</f>
        <v>0</v>
      </c>
      <c r="AE69" s="145">
        <f t="shared" si="36"/>
        <v>0</v>
      </c>
      <c r="AF69" s="145">
        <f t="shared" si="36"/>
        <v>34505</v>
      </c>
      <c r="AG69" s="145" t="str">
        <f t="shared" ref="AG69:AG133" si="37">IF(J69&lt;&gt;AF69,"corectie","citit")</f>
        <v>citit</v>
      </c>
      <c r="AH69" s="176">
        <f>AF69+AP69</f>
        <v>34505</v>
      </c>
      <c r="AI69" s="145" t="s">
        <v>917</v>
      </c>
      <c r="AJ69" s="145">
        <f t="shared" ref="AJ69:AJ133" si="38">L69</f>
        <v>94991</v>
      </c>
      <c r="AK69" s="145" t="str">
        <f t="shared" ref="AK69:AK133" si="39">IF(L69&lt;&gt;AJ69,"corectie","citit")</f>
        <v>citit</v>
      </c>
      <c r="AL69" s="175">
        <f>AJ69+AQ69</f>
        <v>96205</v>
      </c>
      <c r="AM69" s="170" t="s">
        <v>917</v>
      </c>
      <c r="AN69" s="154">
        <f>V69+AT69</f>
        <v>27888</v>
      </c>
      <c r="AO69" s="146">
        <f>AE69-AD69</f>
        <v>0</v>
      </c>
      <c r="AP69" s="147">
        <f>AU69+AV69</f>
        <v>0</v>
      </c>
      <c r="AQ69" s="147">
        <f>AW69+AX69</f>
        <v>1214</v>
      </c>
      <c r="AR69" s="144">
        <v>0</v>
      </c>
      <c r="AS69" s="144">
        <v>0</v>
      </c>
      <c r="AT69" s="1">
        <f>BA69</f>
        <v>0</v>
      </c>
      <c r="AU69" s="154">
        <f>BC69</f>
        <v>0</v>
      </c>
      <c r="AV69" s="154">
        <f>BE69</f>
        <v>0</v>
      </c>
      <c r="AW69" s="154">
        <f>BG69</f>
        <v>232</v>
      </c>
      <c r="AX69" s="154">
        <f>BI69</f>
        <v>982</v>
      </c>
      <c r="AY69" s="308" t="str">
        <f>IF(LEFT(B69,FIND(".",B69,1)-1)&lt;&gt;LEFT(B70,FIND(".",B70,1)-1),LEFT(B69,FIND(".",B69,1)-1),"-")</f>
        <v>-</v>
      </c>
      <c r="AZ69" s="308">
        <f t="shared" ref="AZ69:AZ133" si="40">IF(AND(COUNTIF(AY68,"-")=0,AY69&lt;&gt;AY68),V69,AZ68+V69)</f>
        <v>27888</v>
      </c>
      <c r="BA69" s="308">
        <f>IFERROR(IF(_xlfn.NUMBERVALUE(RIGHT(B69,LEN(B69)-FIND(".",B69,1)))=COUNTIF('Contorizare in SDI'!$B:$B,LEFT(B69,FIND(".",B69,1)-1))-1,IF((COUNTIF('Contorizare in SDI'!$B:$B,LEFT(B69,FIND(".",B69,1)-1))-1)=1,VLOOKUP(LEFT(B69,FIND(".",B69,1)-1),$B$4:$AZ$68,45,FALSE),VLOOKUP(LEFT(B69,FIND(".",B69,1)-1),$B$4:$AZ$68,45,FALSE)-BB68),ROUNDUP(V69/VLOOKUP(LEFT(B69,FIND(".",B69,1)-1),$AY:$AZ,2,FALSE)*VLOOKUP(LEFT(B69,FIND(".",B69,1)-1),$B$4:$AZ$68,45,FALSE),0)),0)</f>
        <v>0</v>
      </c>
      <c r="BB69" s="308">
        <f>IF(AND(COUNTIF(AY68,"-")=0,AY69&lt;&gt;AY68),BA69,BB68+BA69)</f>
        <v>0</v>
      </c>
      <c r="BC69" s="308">
        <f>IFERROR(IF(_xlfn.NUMBERVALUE(RIGHT(B69,LEN(B69)-FIND(".",B69,1)))=COUNTIF('Contorizare in SDI'!$B:$B,LEFT(B69,FIND(".",B69,1)-1))-1,IF((COUNTIF('Contorizare in SDI'!$B:$B,LEFT(B69,FIND(".",B69,1)-1))-1)=1,VLOOKUP(LEFT(B69,FIND(".",B69,1)-1),$B$4:$AZ$68,46,FALSE),VLOOKUP(LEFT(B69,FIND(".",B69,1)-1),$B$4:$AZ$68,46,FALSE)-BD68),ROUNDUP(V69/VLOOKUP(LEFT(B69,FIND(".",B69,1)-1),$AY:$AZ,2,FALSE)*VLOOKUP(LEFT(B69,FIND(".",B69,1)-1),$B$4:$AZ$68,46,FALSE),0)),0)</f>
        <v>0</v>
      </c>
      <c r="BD69" s="308">
        <f>IF(AND(COUNTIF(AY68,"-")=0,AY69&lt;&gt;AY68),BC69,BD68+BC69)</f>
        <v>0</v>
      </c>
      <c r="BE69" s="308">
        <f>IFERROR(IF(_xlfn.NUMBERVALUE(RIGHT(B69,LEN(B69)-FIND(".",B69,1)))=COUNTIF('Contorizare in SDI'!$B:$B,LEFT(B69,FIND(".",B69,1)-1))-1,IF((COUNTIF('Contorizare in SDI'!$B:$B,LEFT(B69,FIND(".",B69,1)-1))-1)=1,VLOOKUP(LEFT(B69,FIND(".",B69,1)-1),$B$4:$AZ$68,47,FALSE),VLOOKUP(LEFT(B69,FIND(".",B69,1)-1),$B$4:$AZ$68,47,FALSE)-BF68),ROUNDUP(V69/VLOOKUP(LEFT(B69,FIND(".",B69,1)-1),$AY:$AZ,2,FALSE)*VLOOKUP(LEFT(B69,FIND(".",B69,1)-1),$B$4:$AZ$68,47,FALSE),0)),0)</f>
        <v>0</v>
      </c>
      <c r="BF69" s="308">
        <f>IF(AND(COUNTIF(AY68,"-")=0,AY69&lt;&gt;AY68),BE69,BF68+BE69)</f>
        <v>0</v>
      </c>
      <c r="BG69" s="308">
        <f>IFERROR(IF(_xlfn.NUMBERVALUE(RIGHT(B69,LEN(B69)-FIND(".",B69,1)))=COUNTIF('Contorizare in SDI'!$B:$B,LEFT(B69,FIND(".",B69,1)-1))-1,IF((COUNTIF('Contorizare in SDI'!$B:$B,LEFT(B69,FIND(".",B69,1)-1))-1)=1,VLOOKUP(LEFT(B69,FIND(".",B69,1)-1),$B$4:$AZ$68,48,FALSE),VLOOKUP(LEFT(B69,FIND(".",B69,1)-1),$B$4:$AZ$68,48,FALSE)-BH68),ROUNDUP(V69/VLOOKUP(LEFT(B69,FIND(".",B69,1)-1),$AY:$AZ,2,FALSE)*VLOOKUP(LEFT(B69,FIND(".",B69,1)-1),$B$4:$AZ$68,48,FALSE),0)),0)</f>
        <v>232</v>
      </c>
      <c r="BH69" s="308">
        <f>IF(AND(COUNTIF(AY68,"-")=0,AY69&lt;&gt;AY68),BG69,BH68+BG69)</f>
        <v>232</v>
      </c>
      <c r="BI69" s="308">
        <f>IFERROR(IF(_xlfn.NUMBERVALUE(RIGHT(B69,LEN(B69)-FIND(".",B69,1)))=COUNTIF('Contorizare in SDI'!$B:$B,LEFT(B69,FIND(".",B69,1)-1))-1,IF((COUNTIF('Contorizare in SDI'!$B:$B,LEFT(B69,FIND(".",B69,1)-1))-1)=1,VLOOKUP(LEFT(B69,FIND(".",B69,1)-1),$B$4:$AZ$68,49,FALSE),VLOOKUP(LEFT(B69,FIND(".",B69,1)-1),$B$4:$AZ$68,49,FALSE)-BJ68),ROUNDUP(V69/VLOOKUP(LEFT(B69,FIND(".",B69,1)-1),$AY:$AZ,2,FALSE)*VLOOKUP(LEFT(B69,FIND(".",B69,1)-1),$B$4:$AZ$68,49,FALSE),0)),0)</f>
        <v>982</v>
      </c>
      <c r="BJ69" s="308">
        <f>IF(AND(COUNTIF(AY68,"-")=0,AY69&lt;&gt;AY68),BI69,BJ68+BI69)</f>
        <v>982</v>
      </c>
      <c r="BK69" s="4"/>
      <c r="BL69"/>
      <c r="BM69"/>
      <c r="BP69" s="44">
        <f>AT69</f>
        <v>0</v>
      </c>
      <c r="BQ69" s="1">
        <v>0</v>
      </c>
      <c r="BR69" s="1">
        <v>0</v>
      </c>
      <c r="BS69" s="16">
        <f>AU69</f>
        <v>0</v>
      </c>
      <c r="BT69" s="16">
        <f>AV69</f>
        <v>0</v>
      </c>
      <c r="BU69" s="16">
        <f>AW69</f>
        <v>232</v>
      </c>
      <c r="BV69" s="16">
        <f>AX69</f>
        <v>982</v>
      </c>
      <c r="BX69" s="1" t="str">
        <f t="shared" si="32"/>
        <v/>
      </c>
      <c r="BY69" s="1">
        <f t="shared" si="33"/>
        <v>0</v>
      </c>
      <c r="BZ69" s="1">
        <f>IF(LEFT(B69,4)&lt;&gt;LEFT(B68,4),BQ69,BQ69+BZ68)</f>
        <v>0</v>
      </c>
      <c r="CA69" s="1">
        <f>IF(LEFT(B69,4)&lt;&gt;LEFT(B68,4),BR69,BR69+CA68)</f>
        <v>0</v>
      </c>
      <c r="CB69" s="1">
        <f>IF(LEFT(B69,4)&lt;&gt;LEFT(B68,4),BS69,BS69+CB68)</f>
        <v>0</v>
      </c>
      <c r="CC69" s="1">
        <f>IF(LEFT(B69,4)&lt;&gt;LEFT(B68,4),BT69,BT69+CC68)</f>
        <v>0</v>
      </c>
      <c r="CD69" s="1">
        <f>IF(LEFT(B69,4)&lt;&gt;LEFT(B68,4),BU69,BU69+CD68)</f>
        <v>232</v>
      </c>
      <c r="CE69" s="1">
        <f>IF(LEFT(B69,4)&lt;&gt;LEFT(B68,4),BV69,BV69+CE68)</f>
        <v>982</v>
      </c>
      <c r="CF69"/>
      <c r="CG69"/>
      <c r="CH69"/>
      <c r="CI69"/>
      <c r="CJ69"/>
      <c r="CR69" s="30" t="s">
        <v>538</v>
      </c>
      <c r="CS69" s="291">
        <v>865120</v>
      </c>
      <c r="CT69" s="291">
        <v>0</v>
      </c>
      <c r="CU69" s="291">
        <v>0</v>
      </c>
      <c r="CV69" s="291">
        <v>0</v>
      </c>
      <c r="CW69" s="29" t="s">
        <v>611</v>
      </c>
      <c r="CX69" s="312">
        <v>311870</v>
      </c>
      <c r="CY69" s="184">
        <v>0</v>
      </c>
      <c r="CZ69" s="88">
        <v>0</v>
      </c>
      <c r="DA69" s="88">
        <v>0</v>
      </c>
      <c r="DB69" s="29" t="s">
        <v>69</v>
      </c>
      <c r="DC69" s="87">
        <v>0</v>
      </c>
      <c r="DD69" s="88">
        <v>0</v>
      </c>
      <c r="DE69" s="88">
        <v>0</v>
      </c>
      <c r="DF69" s="88">
        <v>0</v>
      </c>
      <c r="DG69" s="88">
        <v>311870</v>
      </c>
      <c r="DH69" s="88">
        <v>0</v>
      </c>
      <c r="DI69" s="321">
        <v>0</v>
      </c>
      <c r="DJ69" s="88">
        <v>4679</v>
      </c>
    </row>
    <row r="70" spans="1:114" ht="17.25" thickTop="1" thickBot="1">
      <c r="A70" s="17">
        <f t="shared" ref="A70:A134" si="41">A69+1</f>
        <v>67</v>
      </c>
      <c r="B70" s="38" t="s">
        <v>569</v>
      </c>
      <c r="C70" s="17" t="s">
        <v>128</v>
      </c>
      <c r="D70" s="17">
        <v>1371641137</v>
      </c>
      <c r="E70" s="142" t="str">
        <f t="shared" ref="E70:E134" si="42">LEFT(B70,4)</f>
        <v>RRVS</v>
      </c>
      <c r="F70" s="16">
        <v>1291494</v>
      </c>
      <c r="G70" s="16">
        <v>1351050</v>
      </c>
      <c r="H70" s="16">
        <v>0</v>
      </c>
      <c r="I70" s="16">
        <v>0</v>
      </c>
      <c r="J70" s="16">
        <v>28372</v>
      </c>
      <c r="K70" s="16">
        <v>28372</v>
      </c>
      <c r="L70" s="16">
        <v>68741</v>
      </c>
      <c r="M70" s="16">
        <v>68741</v>
      </c>
      <c r="N70" s="12" t="s">
        <v>917</v>
      </c>
      <c r="O70" s="12" t="s">
        <v>1019</v>
      </c>
      <c r="P70" s="12" t="s">
        <v>917</v>
      </c>
      <c r="Q70" s="12" t="s">
        <v>917</v>
      </c>
      <c r="R70" s="12" t="s">
        <v>917</v>
      </c>
      <c r="S70" s="12" t="s">
        <v>1019</v>
      </c>
      <c r="T70" s="12" t="s">
        <v>917</v>
      </c>
      <c r="U70" s="12" t="s">
        <v>1019</v>
      </c>
      <c r="V70" s="22">
        <v>59556</v>
      </c>
      <c r="W70" s="22">
        <v>0</v>
      </c>
      <c r="X70" s="22">
        <v>0</v>
      </c>
      <c r="Y70" s="22">
        <v>0</v>
      </c>
      <c r="Z70" s="171">
        <f t="shared" si="34"/>
        <v>1291494</v>
      </c>
      <c r="AA70" s="130" t="str">
        <f t="shared" si="35"/>
        <v>citit</v>
      </c>
      <c r="AB70" s="176">
        <f t="shared" ref="AB70:AB134" si="43">Z70+AN70</f>
        <v>1351050</v>
      </c>
      <c r="AC70" s="12" t="s">
        <v>917</v>
      </c>
      <c r="AD70" s="12">
        <f t="shared" si="36"/>
        <v>0</v>
      </c>
      <c r="AE70" s="12">
        <f t="shared" si="36"/>
        <v>0</v>
      </c>
      <c r="AF70" s="12">
        <f t="shared" si="36"/>
        <v>28372</v>
      </c>
      <c r="AG70" s="12" t="str">
        <f t="shared" si="37"/>
        <v>citit</v>
      </c>
      <c r="AH70" s="176">
        <f t="shared" ref="AH70:AH134" si="44">AF70+AP70</f>
        <v>28372</v>
      </c>
      <c r="AI70" s="12" t="s">
        <v>917</v>
      </c>
      <c r="AJ70" s="12">
        <f t="shared" si="38"/>
        <v>68741</v>
      </c>
      <c r="AK70" s="12" t="str">
        <f t="shared" si="39"/>
        <v>citit</v>
      </c>
      <c r="AL70" s="175">
        <f t="shared" ref="AL70:AL134" si="45">AJ70+AQ70</f>
        <v>71333</v>
      </c>
      <c r="AM70" s="159" t="s">
        <v>917</v>
      </c>
      <c r="AN70" s="154">
        <f t="shared" ref="AN70:AN134" si="46">V70+AT70</f>
        <v>59556</v>
      </c>
      <c r="AO70" s="14">
        <f t="shared" ref="AO70:AO134" si="47">AE70-AD70</f>
        <v>0</v>
      </c>
      <c r="AP70" s="147">
        <f t="shared" ref="AP70:AP134" si="48">AU70+AV70</f>
        <v>0</v>
      </c>
      <c r="AQ70" s="147">
        <f t="shared" ref="AQ70:AQ134" si="49">AW70+AX70</f>
        <v>2592</v>
      </c>
      <c r="AR70" s="16">
        <v>0</v>
      </c>
      <c r="AS70" s="16">
        <v>0</v>
      </c>
      <c r="AT70" s="1">
        <f t="shared" ref="AT70:AT134" si="50">BA70</f>
        <v>0</v>
      </c>
      <c r="AU70" s="154">
        <f t="shared" ref="AU70:AU134" si="51">BC70</f>
        <v>0</v>
      </c>
      <c r="AV70" s="154">
        <f t="shared" ref="AV70:AV134" si="52">BE70</f>
        <v>0</v>
      </c>
      <c r="AW70" s="154">
        <f t="shared" ref="AW70:AW134" si="53">BG70</f>
        <v>495</v>
      </c>
      <c r="AX70" s="154">
        <f t="shared" ref="AX70:AX134" si="54">BI70</f>
        <v>2097</v>
      </c>
      <c r="AY70" s="308" t="str">
        <f t="shared" ref="AY70:AY133" si="55">IF(LEFT(B70,FIND(".",B70,1)-1)&lt;&gt;LEFT(B71,FIND(".",B71,1)-1),LEFT(B70,FIND(".",B70,1)-1),"-")</f>
        <v>-</v>
      </c>
      <c r="AZ70" s="308">
        <f t="shared" si="40"/>
        <v>87444</v>
      </c>
      <c r="BA70" s="308">
        <f>IFERROR(IF(_xlfn.NUMBERVALUE(RIGHT(B70,LEN(B70)-FIND(".",B70,1)))=COUNTIF('Contorizare in SDI'!$B:$B,LEFT(B70,FIND(".",B70,1)-1))-1,IF((COUNTIF('Contorizare in SDI'!$B:$B,LEFT(B70,FIND(".",B70,1)-1))-1)=1,VLOOKUP(LEFT(B70,FIND(".",B70,1)-1),$B$4:$AZ$68,45,FALSE),VLOOKUP(LEFT(B70,FIND(".",B70,1)-1),$B$4:$AZ$68,45,FALSE)-BB69),ROUNDUP(V70/VLOOKUP(LEFT(B70,FIND(".",B70,1)-1),$AY:$AZ,2,FALSE)*VLOOKUP(LEFT(B70,FIND(".",B70,1)-1),$B$4:$AZ$68,45,FALSE),0)),0)</f>
        <v>0</v>
      </c>
      <c r="BB70" s="308">
        <f t="shared" ref="BB70:BB134" si="56">IF(AND(COUNTIF(AY69,"-")=0,AY70&lt;&gt;AY69),BA70,BB69+BA70)</f>
        <v>0</v>
      </c>
      <c r="BC70" s="308">
        <f>IFERROR(IF(_xlfn.NUMBERVALUE(RIGHT(B70,LEN(B70)-FIND(".",B70,1)))=COUNTIF('Contorizare in SDI'!$B:$B,LEFT(B70,FIND(".",B70,1)-1))-1,IF((COUNTIF('Contorizare in SDI'!$B:$B,LEFT(B70,FIND(".",B70,1)-1))-1)=1,VLOOKUP(LEFT(B70,FIND(".",B70,1)-1),$B$4:$AZ$68,46,FALSE),VLOOKUP(LEFT(B70,FIND(".",B70,1)-1),$B$4:$AZ$68,46,FALSE)-BD69),ROUNDUP(V70/VLOOKUP(LEFT(B70,FIND(".",B70,1)-1),$AY:$AZ,2,FALSE)*VLOOKUP(LEFT(B70,FIND(".",B70,1)-1),$B$4:$AZ$68,46,FALSE),0)),0)</f>
        <v>0</v>
      </c>
      <c r="BD70" s="308">
        <f t="shared" ref="BD70:BD134" si="57">IF(AND(COUNTIF(AY69,"-")=0,AY70&lt;&gt;AY69),BC70,BD69+BC70)</f>
        <v>0</v>
      </c>
      <c r="BE70" s="308">
        <f>IFERROR(IF(_xlfn.NUMBERVALUE(RIGHT(B70,LEN(B70)-FIND(".",B70,1)))=COUNTIF('Contorizare in SDI'!$B:$B,LEFT(B70,FIND(".",B70,1)-1))-1,IF((COUNTIF('Contorizare in SDI'!$B:$B,LEFT(B70,FIND(".",B70,1)-1))-1)=1,VLOOKUP(LEFT(B70,FIND(".",B70,1)-1),$B$4:$AZ$68,47,FALSE),VLOOKUP(LEFT(B70,FIND(".",B70,1)-1),$B$4:$AZ$68,47,FALSE)-BF69),ROUNDUP(V70/VLOOKUP(LEFT(B70,FIND(".",B70,1)-1),$AY:$AZ,2,FALSE)*VLOOKUP(LEFT(B70,FIND(".",B70,1)-1),$B$4:$AZ$68,47,FALSE),0)),0)</f>
        <v>0</v>
      </c>
      <c r="BF70" s="308">
        <f t="shared" ref="BF70:BF134" si="58">IF(AND(COUNTIF(AY69,"-")=0,AY70&lt;&gt;AY69),BE70,BF69+BE70)</f>
        <v>0</v>
      </c>
      <c r="BG70" s="308">
        <f>IFERROR(IF(_xlfn.NUMBERVALUE(RIGHT(B70,LEN(B70)-FIND(".",B70,1)))=COUNTIF('Contorizare in SDI'!$B:$B,LEFT(B70,FIND(".",B70,1)-1))-1,IF((COUNTIF('Contorizare in SDI'!$B:$B,LEFT(B70,FIND(".",B70,1)-1))-1)=1,VLOOKUP(LEFT(B70,FIND(".",B70,1)-1),$B$4:$AZ$68,48,FALSE),VLOOKUP(LEFT(B70,FIND(".",B70,1)-1),$B$4:$AZ$68,48,FALSE)-BH69),ROUNDUP(V70/VLOOKUP(LEFT(B70,FIND(".",B70,1)-1),$AY:$AZ,2,FALSE)*VLOOKUP(LEFT(B70,FIND(".",B70,1)-1),$B$4:$AZ$68,48,FALSE),0)),0)</f>
        <v>495</v>
      </c>
      <c r="BH70" s="308">
        <f t="shared" ref="BH70:BH134" si="59">IF(AND(COUNTIF(AY69,"-")=0,AY70&lt;&gt;AY69),BG70,BH69+BG70)</f>
        <v>727</v>
      </c>
      <c r="BI70" s="308">
        <f>IFERROR(IF(_xlfn.NUMBERVALUE(RIGHT(B70,LEN(B70)-FIND(".",B70,1)))=COUNTIF('Contorizare in SDI'!$B:$B,LEFT(B70,FIND(".",B70,1)-1))-1,IF((COUNTIF('Contorizare in SDI'!$B:$B,LEFT(B70,FIND(".",B70,1)-1))-1)=1,VLOOKUP(LEFT(B70,FIND(".",B70,1)-1),$B$4:$AZ$68,49,FALSE),VLOOKUP(LEFT(B70,FIND(".",B70,1)-1),$B$4:$AZ$68,49,FALSE)-BJ69),ROUNDUP(V70/VLOOKUP(LEFT(B70,FIND(".",B70,1)-1),$AY:$AZ,2,FALSE)*VLOOKUP(LEFT(B70,FIND(".",B70,1)-1),$B$4:$AZ$68,49,FALSE),0)),0)</f>
        <v>2097</v>
      </c>
      <c r="BJ70" s="308">
        <f t="shared" ref="BJ70:BJ134" si="60">IF(AND(COUNTIF(AY69,"-")=0,AY70&lt;&gt;AY69),BI70,BJ69+BI70)</f>
        <v>3079</v>
      </c>
      <c r="BK70" s="4"/>
      <c r="BP70" s="44">
        <f t="shared" ref="BP70:BP134" si="61">AT70</f>
        <v>0</v>
      </c>
      <c r="BQ70" s="1">
        <v>0</v>
      </c>
      <c r="BR70" s="1">
        <v>0</v>
      </c>
      <c r="BS70" s="16">
        <f t="shared" ref="BS70:BS101" si="62">AU70</f>
        <v>0</v>
      </c>
      <c r="BT70" s="16">
        <f t="shared" ref="BT70:BT101" si="63">AV70</f>
        <v>0</v>
      </c>
      <c r="BU70" s="16">
        <f t="shared" ref="BU70:BU101" si="64">AW70</f>
        <v>495</v>
      </c>
      <c r="BV70" s="16">
        <f t="shared" ref="BV70:BV101" si="65">AX70</f>
        <v>2097</v>
      </c>
      <c r="BX70" s="1" t="str">
        <f t="shared" si="32"/>
        <v/>
      </c>
      <c r="BY70" s="1">
        <f t="shared" si="33"/>
        <v>0</v>
      </c>
      <c r="BZ70" s="1">
        <f>IF(LEFT(B70,4)&lt;&gt;LEFT(B69,4),BQ70,BQ70+BZ69)</f>
        <v>0</v>
      </c>
      <c r="CA70" s="1">
        <f>IF(LEFT(B70,4)&lt;&gt;LEFT(B69,4),BR70,BR70+CA69)</f>
        <v>0</v>
      </c>
      <c r="CB70" s="1">
        <f>IF(LEFT(B70,4)&lt;&gt;LEFT(B69,4),BS70,BS70+CB69)</f>
        <v>0</v>
      </c>
      <c r="CC70" s="1">
        <f>IF(LEFT(B70,4)&lt;&gt;LEFT(B69,4),BT70,BT70+CC69)</f>
        <v>0</v>
      </c>
      <c r="CD70" s="1">
        <f>IF(LEFT(B70,4)&lt;&gt;LEFT(B69,4),BU70,BU70+CD69)</f>
        <v>727</v>
      </c>
      <c r="CE70" s="1">
        <f>IF(LEFT(B70,4)&lt;&gt;LEFT(B69,4),BV70,BV70+CE69)</f>
        <v>3079</v>
      </c>
      <c r="CR70" s="30" t="s">
        <v>538</v>
      </c>
      <c r="CS70" s="291">
        <v>865120</v>
      </c>
      <c r="CT70" s="291">
        <v>0</v>
      </c>
      <c r="CU70" s="291">
        <v>0</v>
      </c>
      <c r="CV70" s="291">
        <v>0</v>
      </c>
      <c r="CW70" s="29" t="s">
        <v>612</v>
      </c>
      <c r="CX70" s="312">
        <v>294212</v>
      </c>
      <c r="CY70" s="184">
        <v>0</v>
      </c>
      <c r="CZ70" s="88">
        <v>0</v>
      </c>
      <c r="DA70" s="88">
        <v>0</v>
      </c>
      <c r="DB70" s="29" t="s">
        <v>69</v>
      </c>
      <c r="DC70" s="87">
        <v>0</v>
      </c>
      <c r="DD70" s="88">
        <v>0</v>
      </c>
      <c r="DE70" s="88">
        <v>0</v>
      </c>
      <c r="DF70" s="88">
        <v>0</v>
      </c>
      <c r="DG70" s="88">
        <v>294212</v>
      </c>
      <c r="DH70" s="88">
        <v>0</v>
      </c>
      <c r="DI70" s="321">
        <v>0</v>
      </c>
      <c r="DJ70" s="88">
        <v>4606</v>
      </c>
    </row>
    <row r="71" spans="1:114" ht="17.25" thickTop="1" thickBot="1">
      <c r="A71" s="136">
        <f t="shared" si="41"/>
        <v>68</v>
      </c>
      <c r="B71" s="38" t="s">
        <v>570</v>
      </c>
      <c r="C71" s="17" t="s">
        <v>129</v>
      </c>
      <c r="D71" s="17">
        <v>1371628614</v>
      </c>
      <c r="E71" s="142" t="str">
        <f t="shared" si="42"/>
        <v>RRVS</v>
      </c>
      <c r="F71" s="16">
        <v>1399409</v>
      </c>
      <c r="G71" s="16">
        <v>1449376</v>
      </c>
      <c r="H71" s="16">
        <v>0</v>
      </c>
      <c r="I71" s="16">
        <v>0</v>
      </c>
      <c r="J71" s="16">
        <v>117170</v>
      </c>
      <c r="K71" s="16">
        <v>117170</v>
      </c>
      <c r="L71" s="16">
        <v>50604</v>
      </c>
      <c r="M71" s="16">
        <v>50604</v>
      </c>
      <c r="N71" s="12" t="s">
        <v>917</v>
      </c>
      <c r="O71" s="12" t="s">
        <v>1019</v>
      </c>
      <c r="P71" s="12" t="s">
        <v>917</v>
      </c>
      <c r="Q71" s="12" t="s">
        <v>917</v>
      </c>
      <c r="R71" s="12" t="s">
        <v>917</v>
      </c>
      <c r="S71" s="12" t="s">
        <v>1019</v>
      </c>
      <c r="T71" s="12" t="s">
        <v>917</v>
      </c>
      <c r="U71" s="12" t="s">
        <v>1019</v>
      </c>
      <c r="V71" s="22">
        <v>49967</v>
      </c>
      <c r="W71" s="22">
        <v>0</v>
      </c>
      <c r="X71" s="22">
        <v>0</v>
      </c>
      <c r="Y71" s="22">
        <v>0</v>
      </c>
      <c r="Z71" s="171">
        <f t="shared" si="34"/>
        <v>1399409</v>
      </c>
      <c r="AA71" s="130" t="str">
        <f t="shared" si="35"/>
        <v>citit</v>
      </c>
      <c r="AB71" s="176">
        <f t="shared" si="43"/>
        <v>1449376</v>
      </c>
      <c r="AC71" s="12" t="s">
        <v>917</v>
      </c>
      <c r="AD71" s="12">
        <f t="shared" si="36"/>
        <v>0</v>
      </c>
      <c r="AE71" s="12">
        <f t="shared" si="36"/>
        <v>0</v>
      </c>
      <c r="AF71" s="12">
        <f t="shared" si="36"/>
        <v>117170</v>
      </c>
      <c r="AG71" s="12" t="str">
        <f t="shared" si="37"/>
        <v>citit</v>
      </c>
      <c r="AH71" s="176">
        <f t="shared" si="44"/>
        <v>117170</v>
      </c>
      <c r="AI71" s="12" t="s">
        <v>917</v>
      </c>
      <c r="AJ71" s="12">
        <f t="shared" si="38"/>
        <v>50604</v>
      </c>
      <c r="AK71" s="12" t="str">
        <f t="shared" si="39"/>
        <v>citit</v>
      </c>
      <c r="AL71" s="175">
        <f t="shared" si="45"/>
        <v>52778</v>
      </c>
      <c r="AM71" s="159" t="s">
        <v>917</v>
      </c>
      <c r="AN71" s="154">
        <f t="shared" si="46"/>
        <v>49967</v>
      </c>
      <c r="AO71" s="14">
        <f t="shared" si="47"/>
        <v>0</v>
      </c>
      <c r="AP71" s="147">
        <f t="shared" si="48"/>
        <v>0</v>
      </c>
      <c r="AQ71" s="147">
        <f t="shared" si="49"/>
        <v>2174</v>
      </c>
      <c r="AR71" s="16">
        <v>0</v>
      </c>
      <c r="AS71" s="16">
        <v>0</v>
      </c>
      <c r="AT71" s="1">
        <f t="shared" si="50"/>
        <v>0</v>
      </c>
      <c r="AU71" s="154">
        <f t="shared" si="51"/>
        <v>0</v>
      </c>
      <c r="AV71" s="154">
        <f t="shared" si="52"/>
        <v>0</v>
      </c>
      <c r="AW71" s="154">
        <f t="shared" si="53"/>
        <v>415</v>
      </c>
      <c r="AX71" s="154">
        <f t="shared" si="54"/>
        <v>1759</v>
      </c>
      <c r="AY71" s="308" t="str">
        <f t="shared" si="55"/>
        <v>-</v>
      </c>
      <c r="AZ71" s="308">
        <f t="shared" si="40"/>
        <v>137411</v>
      </c>
      <c r="BA71" s="308">
        <f>IFERROR(IF(_xlfn.NUMBERVALUE(RIGHT(B71,LEN(B71)-FIND(".",B71,1)))=COUNTIF('Contorizare in SDI'!$B:$B,LEFT(B71,FIND(".",B71,1)-1))-1,IF((COUNTIF('Contorizare in SDI'!$B:$B,LEFT(B71,FIND(".",B71,1)-1))-1)=1,VLOOKUP(LEFT(B71,FIND(".",B71,1)-1),$B$4:$AZ$68,45,FALSE),VLOOKUP(LEFT(B71,FIND(".",B71,1)-1),$B$4:$AZ$68,45,FALSE)-BB70),ROUNDUP(V71/VLOOKUP(LEFT(B71,FIND(".",B71,1)-1),$AY:$AZ,2,FALSE)*VLOOKUP(LEFT(B71,FIND(".",B71,1)-1),$B$4:$AZ$68,45,FALSE),0)),0)</f>
        <v>0</v>
      </c>
      <c r="BB71" s="308">
        <f t="shared" si="56"/>
        <v>0</v>
      </c>
      <c r="BC71" s="308">
        <f>IFERROR(IF(_xlfn.NUMBERVALUE(RIGHT(B71,LEN(B71)-FIND(".",B71,1)))=COUNTIF('Contorizare in SDI'!$B:$B,LEFT(B71,FIND(".",B71,1)-1))-1,IF((COUNTIF('Contorizare in SDI'!$B:$B,LEFT(B71,FIND(".",B71,1)-1))-1)=1,VLOOKUP(LEFT(B71,FIND(".",B71,1)-1),$B$4:$AZ$68,46,FALSE),VLOOKUP(LEFT(B71,FIND(".",B71,1)-1),$B$4:$AZ$68,46,FALSE)-BD70),ROUNDUP(V71/VLOOKUP(LEFT(B71,FIND(".",B71,1)-1),$AY:$AZ,2,FALSE)*VLOOKUP(LEFT(B71,FIND(".",B71,1)-1),$B$4:$AZ$68,46,FALSE),0)),0)</f>
        <v>0</v>
      </c>
      <c r="BD71" s="308">
        <f t="shared" si="57"/>
        <v>0</v>
      </c>
      <c r="BE71" s="308">
        <f>IFERROR(IF(_xlfn.NUMBERVALUE(RIGHT(B71,LEN(B71)-FIND(".",B71,1)))=COUNTIF('Contorizare in SDI'!$B:$B,LEFT(B71,FIND(".",B71,1)-1))-1,IF((COUNTIF('Contorizare in SDI'!$B:$B,LEFT(B71,FIND(".",B71,1)-1))-1)=1,VLOOKUP(LEFT(B71,FIND(".",B71,1)-1),$B$4:$AZ$68,47,FALSE),VLOOKUP(LEFT(B71,FIND(".",B71,1)-1),$B$4:$AZ$68,47,FALSE)-BF70),ROUNDUP(V71/VLOOKUP(LEFT(B71,FIND(".",B71,1)-1),$AY:$AZ,2,FALSE)*VLOOKUP(LEFT(B71,FIND(".",B71,1)-1),$B$4:$AZ$68,47,FALSE),0)),0)</f>
        <v>0</v>
      </c>
      <c r="BF71" s="308">
        <f t="shared" si="58"/>
        <v>0</v>
      </c>
      <c r="BG71" s="308">
        <f>IFERROR(IF(_xlfn.NUMBERVALUE(RIGHT(B71,LEN(B71)-FIND(".",B71,1)))=COUNTIF('Contorizare in SDI'!$B:$B,LEFT(B71,FIND(".",B71,1)-1))-1,IF((COUNTIF('Contorizare in SDI'!$B:$B,LEFT(B71,FIND(".",B71,1)-1))-1)=1,VLOOKUP(LEFT(B71,FIND(".",B71,1)-1),$B$4:$AZ$68,48,FALSE),VLOOKUP(LEFT(B71,FIND(".",B71,1)-1),$B$4:$AZ$68,48,FALSE)-BH70),ROUNDUP(V71/VLOOKUP(LEFT(B71,FIND(".",B71,1)-1),$AY:$AZ,2,FALSE)*VLOOKUP(LEFT(B71,FIND(".",B71,1)-1),$B$4:$AZ$68,48,FALSE),0)),0)</f>
        <v>415</v>
      </c>
      <c r="BH71" s="308">
        <f t="shared" si="59"/>
        <v>1142</v>
      </c>
      <c r="BI71" s="308">
        <f>IFERROR(IF(_xlfn.NUMBERVALUE(RIGHT(B71,LEN(B71)-FIND(".",B71,1)))=COUNTIF('Contorizare in SDI'!$B:$B,LEFT(B71,FIND(".",B71,1)-1))-1,IF((COUNTIF('Contorizare in SDI'!$B:$B,LEFT(B71,FIND(".",B71,1)-1))-1)=1,VLOOKUP(LEFT(B71,FIND(".",B71,1)-1),$B$4:$AZ$68,49,FALSE),VLOOKUP(LEFT(B71,FIND(".",B71,1)-1),$B$4:$AZ$68,49,FALSE)-BJ70),ROUNDUP(V71/VLOOKUP(LEFT(B71,FIND(".",B71,1)-1),$AY:$AZ,2,FALSE)*VLOOKUP(LEFT(B71,FIND(".",B71,1)-1),$B$4:$AZ$68,49,FALSE),0)),0)</f>
        <v>1759</v>
      </c>
      <c r="BJ71" s="308">
        <f t="shared" si="60"/>
        <v>4838</v>
      </c>
      <c r="BK71" s="4"/>
      <c r="BP71" s="44">
        <f t="shared" si="61"/>
        <v>0</v>
      </c>
      <c r="BQ71" s="1">
        <v>0</v>
      </c>
      <c r="BR71" s="1">
        <v>0</v>
      </c>
      <c r="BS71" s="16">
        <f t="shared" si="62"/>
        <v>0</v>
      </c>
      <c r="BT71" s="16">
        <f t="shared" si="63"/>
        <v>0</v>
      </c>
      <c r="BU71" s="16">
        <f t="shared" si="64"/>
        <v>415</v>
      </c>
      <c r="BV71" s="16">
        <f t="shared" si="65"/>
        <v>1759</v>
      </c>
      <c r="BX71" s="1" t="str">
        <f t="shared" si="32"/>
        <v/>
      </c>
      <c r="BY71" s="1">
        <f t="shared" si="33"/>
        <v>0</v>
      </c>
      <c r="BZ71" s="1">
        <f t="shared" ref="BZ71:BZ134" si="66">IF(LEFT(B71,4)&lt;&gt;LEFT(B70,4),BQ71,BQ71+BZ70)</f>
        <v>0</v>
      </c>
      <c r="CA71" s="1">
        <f t="shared" ref="CA71:CA134" si="67">IF(LEFT(B71,4)&lt;&gt;LEFT(B70,4),BR71,BR71+CA70)</f>
        <v>0</v>
      </c>
      <c r="CB71" s="1">
        <f t="shared" ref="CB71:CB134" si="68">IF(LEFT(B71,4)&lt;&gt;LEFT(B70,4),BS71,BS71+CB70)</f>
        <v>0</v>
      </c>
      <c r="CC71" s="1">
        <f t="shared" ref="CC71:CC134" si="69">IF(LEFT(B71,4)&lt;&gt;LEFT(B70,4),BT71,BT71+CC70)</f>
        <v>0</v>
      </c>
      <c r="CD71" s="1">
        <f t="shared" ref="CD71:CD134" si="70">IF(LEFT(B71,4)&lt;&gt;LEFT(B70,4),BU71,BU71+CD70)</f>
        <v>1142</v>
      </c>
      <c r="CE71" s="1">
        <f t="shared" ref="CE71:CE134" si="71">IF(LEFT(B71,4)&lt;&gt;LEFT(B70,4),BV71,BV71+CE70)</f>
        <v>4838</v>
      </c>
      <c r="CR71" s="30" t="s">
        <v>538</v>
      </c>
      <c r="CS71" s="291">
        <v>865120</v>
      </c>
      <c r="CT71" s="291">
        <v>0</v>
      </c>
      <c r="CU71" s="291">
        <v>0</v>
      </c>
      <c r="CV71" s="291">
        <v>0</v>
      </c>
      <c r="CW71" s="29" t="s">
        <v>972</v>
      </c>
      <c r="CX71" s="312">
        <v>12977</v>
      </c>
      <c r="CY71" s="184">
        <v>0</v>
      </c>
      <c r="CZ71" s="88">
        <v>0</v>
      </c>
      <c r="DA71" s="88">
        <v>0</v>
      </c>
      <c r="DB71" s="29" t="s">
        <v>69</v>
      </c>
      <c r="DC71" s="87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321">
        <v>0</v>
      </c>
      <c r="DJ71" s="88">
        <v>0</v>
      </c>
    </row>
    <row r="72" spans="1:114" ht="17.25" thickTop="1" thickBot="1">
      <c r="A72" s="17">
        <f t="shared" si="41"/>
        <v>69</v>
      </c>
      <c r="B72" s="38" t="s">
        <v>571</v>
      </c>
      <c r="C72" s="17" t="s">
        <v>130</v>
      </c>
      <c r="D72" s="17">
        <v>1371641883</v>
      </c>
      <c r="E72" s="142" t="str">
        <f t="shared" si="42"/>
        <v>RRVS</v>
      </c>
      <c r="F72" s="16">
        <v>2560106</v>
      </c>
      <c r="G72" s="16">
        <v>2649147</v>
      </c>
      <c r="H72" s="16">
        <v>0</v>
      </c>
      <c r="I72" s="16">
        <v>0</v>
      </c>
      <c r="J72" s="16">
        <v>31736</v>
      </c>
      <c r="K72" s="16">
        <v>31736</v>
      </c>
      <c r="L72" s="16">
        <v>391078</v>
      </c>
      <c r="M72" s="16">
        <v>391078</v>
      </c>
      <c r="N72" s="12" t="s">
        <v>917</v>
      </c>
      <c r="O72" s="12" t="s">
        <v>1019</v>
      </c>
      <c r="P72" s="12" t="s">
        <v>917</v>
      </c>
      <c r="Q72" s="12" t="s">
        <v>917</v>
      </c>
      <c r="R72" s="12" t="s">
        <v>917</v>
      </c>
      <c r="S72" s="12" t="s">
        <v>1019</v>
      </c>
      <c r="T72" s="12" t="s">
        <v>917</v>
      </c>
      <c r="U72" s="12" t="s">
        <v>1019</v>
      </c>
      <c r="V72" s="22">
        <v>89041</v>
      </c>
      <c r="W72" s="22">
        <v>0</v>
      </c>
      <c r="X72" s="22">
        <v>0</v>
      </c>
      <c r="Y72" s="22">
        <v>0</v>
      </c>
      <c r="Z72" s="171">
        <f t="shared" si="34"/>
        <v>2560106</v>
      </c>
      <c r="AA72" s="130" t="str">
        <f t="shared" si="35"/>
        <v>citit</v>
      </c>
      <c r="AB72" s="176">
        <f t="shared" si="43"/>
        <v>2649147</v>
      </c>
      <c r="AC72" s="12" t="s">
        <v>917</v>
      </c>
      <c r="AD72" s="12">
        <f t="shared" si="36"/>
        <v>0</v>
      </c>
      <c r="AE72" s="12">
        <f t="shared" si="36"/>
        <v>0</v>
      </c>
      <c r="AF72" s="12">
        <f t="shared" si="36"/>
        <v>31736</v>
      </c>
      <c r="AG72" s="12" t="str">
        <f t="shared" si="37"/>
        <v>citit</v>
      </c>
      <c r="AH72" s="176">
        <f t="shared" si="44"/>
        <v>31736</v>
      </c>
      <c r="AI72" s="12" t="s">
        <v>917</v>
      </c>
      <c r="AJ72" s="12">
        <f t="shared" si="38"/>
        <v>391078</v>
      </c>
      <c r="AK72" s="12" t="str">
        <f t="shared" si="39"/>
        <v>citit</v>
      </c>
      <c r="AL72" s="175">
        <f t="shared" si="45"/>
        <v>394948</v>
      </c>
      <c r="AM72" s="159" t="s">
        <v>917</v>
      </c>
      <c r="AN72" s="154">
        <f t="shared" si="46"/>
        <v>89041</v>
      </c>
      <c r="AO72" s="14">
        <f t="shared" si="47"/>
        <v>0</v>
      </c>
      <c r="AP72" s="147">
        <f t="shared" si="48"/>
        <v>0</v>
      </c>
      <c r="AQ72" s="147">
        <f t="shared" si="49"/>
        <v>3870</v>
      </c>
      <c r="AR72" s="16">
        <v>0</v>
      </c>
      <c r="AS72" s="16">
        <v>0</v>
      </c>
      <c r="AT72" s="1">
        <f t="shared" si="50"/>
        <v>0</v>
      </c>
      <c r="AU72" s="154">
        <f t="shared" si="51"/>
        <v>0</v>
      </c>
      <c r="AV72" s="154">
        <f t="shared" si="52"/>
        <v>0</v>
      </c>
      <c r="AW72" s="154">
        <f t="shared" si="53"/>
        <v>738</v>
      </c>
      <c r="AX72" s="154">
        <f t="shared" si="54"/>
        <v>3132</v>
      </c>
      <c r="AY72" s="308" t="str">
        <f t="shared" si="55"/>
        <v>RRVS_1</v>
      </c>
      <c r="AZ72" s="308">
        <f t="shared" si="40"/>
        <v>226452</v>
      </c>
      <c r="BA72" s="308">
        <f>IFERROR(IF(_xlfn.NUMBERVALUE(RIGHT(B72,LEN(B72)-FIND(".",B72,1)))=COUNTIF('Contorizare in SDI'!$B:$B,LEFT(B72,FIND(".",B72,1)-1))-1,IF((COUNTIF('Contorizare in SDI'!$B:$B,LEFT(B72,FIND(".",B72,1)-1))-1)=1,VLOOKUP(LEFT(B72,FIND(".",B72,1)-1),$B$4:$AZ$68,45,FALSE),VLOOKUP(LEFT(B72,FIND(".",B72,1)-1),$B$4:$AZ$68,45,FALSE)-BB71),ROUNDUP(V72/VLOOKUP(LEFT(B72,FIND(".",B72,1)-1),$AY:$AZ,2,FALSE)*VLOOKUP(LEFT(B72,FIND(".",B72,1)-1),$B$4:$AZ$68,45,FALSE),0)),0)</f>
        <v>0</v>
      </c>
      <c r="BB72" s="308">
        <f t="shared" si="56"/>
        <v>0</v>
      </c>
      <c r="BC72" s="308">
        <f>IFERROR(IF(_xlfn.NUMBERVALUE(RIGHT(B72,LEN(B72)-FIND(".",B72,1)))=COUNTIF('Contorizare in SDI'!$B:$B,LEFT(B72,FIND(".",B72,1)-1))-1,IF((COUNTIF('Contorizare in SDI'!$B:$B,LEFT(B72,FIND(".",B72,1)-1))-1)=1,VLOOKUP(LEFT(B72,FIND(".",B72,1)-1),$B$4:$AZ$68,46,FALSE),VLOOKUP(LEFT(B72,FIND(".",B72,1)-1),$B$4:$AZ$68,46,FALSE)-BD71),ROUNDUP(V72/VLOOKUP(LEFT(B72,FIND(".",B72,1)-1),$AY:$AZ,2,FALSE)*VLOOKUP(LEFT(B72,FIND(".",B72,1)-1),$B$4:$AZ$68,46,FALSE),0)),0)</f>
        <v>0</v>
      </c>
      <c r="BD72" s="308">
        <f t="shared" si="57"/>
        <v>0</v>
      </c>
      <c r="BE72" s="308">
        <f>IFERROR(IF(_xlfn.NUMBERVALUE(RIGHT(B72,LEN(B72)-FIND(".",B72,1)))=COUNTIF('Contorizare in SDI'!$B:$B,LEFT(B72,FIND(".",B72,1)-1))-1,IF((COUNTIF('Contorizare in SDI'!$B:$B,LEFT(B72,FIND(".",B72,1)-1))-1)=1,VLOOKUP(LEFT(B72,FIND(".",B72,1)-1),$B$4:$AZ$68,47,FALSE),VLOOKUP(LEFT(B72,FIND(".",B72,1)-1),$B$4:$AZ$68,47,FALSE)-BF71),ROUNDUP(V72/VLOOKUP(LEFT(B72,FIND(".",B72,1)-1),$AY:$AZ,2,FALSE)*VLOOKUP(LEFT(B72,FIND(".",B72,1)-1),$B$4:$AZ$68,47,FALSE),0)),0)</f>
        <v>0</v>
      </c>
      <c r="BF72" s="308">
        <f t="shared" si="58"/>
        <v>0</v>
      </c>
      <c r="BG72" s="308">
        <f>IFERROR(IF(_xlfn.NUMBERVALUE(RIGHT(B72,LEN(B72)-FIND(".",B72,1)))=COUNTIF('Contorizare in SDI'!$B:$B,LEFT(B72,FIND(".",B72,1)-1))-1,IF((COUNTIF('Contorizare in SDI'!$B:$B,LEFT(B72,FIND(".",B72,1)-1))-1)=1,VLOOKUP(LEFT(B72,FIND(".",B72,1)-1),$B$4:$AZ$68,48,FALSE),VLOOKUP(LEFT(B72,FIND(".",B72,1)-1),$B$4:$AZ$68,48,FALSE)-BH71),ROUNDUP(V72/VLOOKUP(LEFT(B72,FIND(".",B72,1)-1),$AY:$AZ,2,FALSE)*VLOOKUP(LEFT(B72,FIND(".",B72,1)-1),$B$4:$AZ$68,48,FALSE),0)),0)</f>
        <v>738</v>
      </c>
      <c r="BH72" s="308">
        <f t="shared" si="59"/>
        <v>1880</v>
      </c>
      <c r="BI72" s="308">
        <f>IFERROR(IF(_xlfn.NUMBERVALUE(RIGHT(B72,LEN(B72)-FIND(".",B72,1)))=COUNTIF('Contorizare in SDI'!$B:$B,LEFT(B72,FIND(".",B72,1)-1))-1,IF((COUNTIF('Contorizare in SDI'!$B:$B,LEFT(B72,FIND(".",B72,1)-1))-1)=1,VLOOKUP(LEFT(B72,FIND(".",B72,1)-1),$B$4:$AZ$68,49,FALSE),VLOOKUP(LEFT(B72,FIND(".",B72,1)-1),$B$4:$AZ$68,49,FALSE)-BJ71),ROUNDUP(V72/VLOOKUP(LEFT(B72,FIND(".",B72,1)-1),$AY:$AZ,2,FALSE)*VLOOKUP(LEFT(B72,FIND(".",B72,1)-1),$B$4:$AZ$68,49,FALSE),0)),0)</f>
        <v>3132</v>
      </c>
      <c r="BJ72" s="308">
        <f t="shared" si="60"/>
        <v>7970</v>
      </c>
      <c r="BK72" s="4"/>
      <c r="BP72" s="44">
        <f t="shared" si="61"/>
        <v>0</v>
      </c>
      <c r="BQ72" s="1">
        <v>0</v>
      </c>
      <c r="BR72" s="1">
        <v>0</v>
      </c>
      <c r="BS72" s="16">
        <f t="shared" si="62"/>
        <v>0</v>
      </c>
      <c r="BT72" s="16">
        <f t="shared" si="63"/>
        <v>0</v>
      </c>
      <c r="BU72" s="16">
        <f t="shared" si="64"/>
        <v>738</v>
      </c>
      <c r="BV72" s="16">
        <f t="shared" si="65"/>
        <v>3132</v>
      </c>
      <c r="BX72" s="1" t="str">
        <f t="shared" si="32"/>
        <v>RRVS</v>
      </c>
      <c r="BY72" s="1">
        <f t="shared" si="33"/>
        <v>0</v>
      </c>
      <c r="BZ72" s="1">
        <f t="shared" si="66"/>
        <v>0</v>
      </c>
      <c r="CA72" s="1">
        <f t="shared" si="67"/>
        <v>0</v>
      </c>
      <c r="CB72" s="1">
        <f t="shared" si="68"/>
        <v>0</v>
      </c>
      <c r="CC72" s="1">
        <f t="shared" si="69"/>
        <v>0</v>
      </c>
      <c r="CD72" s="1">
        <f t="shared" si="70"/>
        <v>1880</v>
      </c>
      <c r="CE72" s="1">
        <f t="shared" si="71"/>
        <v>7970</v>
      </c>
      <c r="CR72" s="83" t="s">
        <v>997</v>
      </c>
      <c r="CS72" s="291">
        <v>0</v>
      </c>
      <c r="CT72" s="291">
        <v>0</v>
      </c>
      <c r="CU72" s="291">
        <v>0</v>
      </c>
      <c r="CV72" s="291">
        <v>0</v>
      </c>
      <c r="CW72" s="84" t="s">
        <v>998</v>
      </c>
      <c r="CX72" s="312">
        <v>0</v>
      </c>
      <c r="CY72" s="184">
        <v>0</v>
      </c>
      <c r="CZ72" s="88">
        <v>0</v>
      </c>
      <c r="DA72" s="88">
        <v>0</v>
      </c>
      <c r="DB72" s="84" t="s">
        <v>69</v>
      </c>
      <c r="DC72" s="87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321">
        <v>0</v>
      </c>
      <c r="DJ72" s="88">
        <v>0</v>
      </c>
    </row>
    <row r="73" spans="1:114" ht="17.25" thickTop="1" thickBot="1">
      <c r="A73" s="136">
        <f t="shared" si="41"/>
        <v>70</v>
      </c>
      <c r="B73" s="38" t="s">
        <v>572</v>
      </c>
      <c r="C73" s="17" t="s">
        <v>136</v>
      </c>
      <c r="D73" s="17" t="s">
        <v>922</v>
      </c>
      <c r="E73" s="142" t="str">
        <f t="shared" si="42"/>
        <v>RBPM</v>
      </c>
      <c r="F73" s="16">
        <v>182789</v>
      </c>
      <c r="G73" s="16">
        <v>186701</v>
      </c>
      <c r="H73" s="16">
        <v>0</v>
      </c>
      <c r="I73" s="16">
        <v>0</v>
      </c>
      <c r="J73" s="16">
        <v>23915</v>
      </c>
      <c r="K73" s="16">
        <v>23915</v>
      </c>
      <c r="L73" s="16">
        <v>2703</v>
      </c>
      <c r="M73" s="16">
        <v>2703</v>
      </c>
      <c r="N73" s="12" t="s">
        <v>917</v>
      </c>
      <c r="O73" s="12" t="s">
        <v>1019</v>
      </c>
      <c r="P73" s="12" t="s">
        <v>917</v>
      </c>
      <c r="Q73" s="12" t="s">
        <v>917</v>
      </c>
      <c r="R73" s="12" t="s">
        <v>917</v>
      </c>
      <c r="S73" s="12" t="s">
        <v>1019</v>
      </c>
      <c r="T73" s="12" t="s">
        <v>917</v>
      </c>
      <c r="U73" s="12" t="s">
        <v>1019</v>
      </c>
      <c r="V73" s="22">
        <v>3912</v>
      </c>
      <c r="W73" s="22">
        <v>0</v>
      </c>
      <c r="X73" s="22">
        <v>0</v>
      </c>
      <c r="Y73" s="22">
        <v>0</v>
      </c>
      <c r="Z73" s="171">
        <f t="shared" si="34"/>
        <v>182789</v>
      </c>
      <c r="AA73" s="130" t="str">
        <f t="shared" si="35"/>
        <v>citit</v>
      </c>
      <c r="AB73" s="176">
        <f t="shared" si="43"/>
        <v>186701</v>
      </c>
      <c r="AC73" s="12" t="s">
        <v>917</v>
      </c>
      <c r="AD73" s="12">
        <f t="shared" si="36"/>
        <v>0</v>
      </c>
      <c r="AE73" s="12">
        <f t="shared" si="36"/>
        <v>0</v>
      </c>
      <c r="AF73" s="12">
        <f t="shared" si="36"/>
        <v>23915</v>
      </c>
      <c r="AG73" s="12" t="str">
        <f t="shared" si="37"/>
        <v>citit</v>
      </c>
      <c r="AH73" s="176">
        <f t="shared" si="44"/>
        <v>24896</v>
      </c>
      <c r="AI73" s="12" t="s">
        <v>917</v>
      </c>
      <c r="AJ73" s="12">
        <f t="shared" si="38"/>
        <v>2703</v>
      </c>
      <c r="AK73" s="12" t="str">
        <f t="shared" si="39"/>
        <v>citit</v>
      </c>
      <c r="AL73" s="175">
        <f t="shared" si="45"/>
        <v>2704</v>
      </c>
      <c r="AM73" s="159" t="s">
        <v>917</v>
      </c>
      <c r="AN73" s="154">
        <f t="shared" si="46"/>
        <v>3912</v>
      </c>
      <c r="AO73" s="14">
        <f t="shared" si="47"/>
        <v>0</v>
      </c>
      <c r="AP73" s="147">
        <f t="shared" si="48"/>
        <v>981</v>
      </c>
      <c r="AQ73" s="147">
        <f t="shared" si="49"/>
        <v>1</v>
      </c>
      <c r="AR73" s="16">
        <v>0</v>
      </c>
      <c r="AS73" s="16">
        <v>0</v>
      </c>
      <c r="AT73" s="1">
        <f t="shared" si="50"/>
        <v>0</v>
      </c>
      <c r="AU73" s="154">
        <f t="shared" si="51"/>
        <v>25</v>
      </c>
      <c r="AV73" s="154">
        <f t="shared" si="52"/>
        <v>956</v>
      </c>
      <c r="AW73" s="154">
        <f t="shared" si="53"/>
        <v>0</v>
      </c>
      <c r="AX73" s="154">
        <f t="shared" si="54"/>
        <v>1</v>
      </c>
      <c r="AY73" s="308" t="str">
        <f t="shared" si="55"/>
        <v>RBPM_1</v>
      </c>
      <c r="AZ73" s="308">
        <f t="shared" si="40"/>
        <v>3912</v>
      </c>
      <c r="BA73" s="308">
        <f>IFERROR(IF(_xlfn.NUMBERVALUE(RIGHT(B73,LEN(B73)-FIND(".",B73,1)))=COUNTIF('Contorizare in SDI'!$B:$B,LEFT(B73,FIND(".",B73,1)-1))-1,IF((COUNTIF('Contorizare in SDI'!$B:$B,LEFT(B73,FIND(".",B73,1)-1))-1)=1,VLOOKUP(LEFT(B73,FIND(".",B73,1)-1),$B$4:$AZ$68,45,FALSE),VLOOKUP(LEFT(B73,FIND(".",B73,1)-1),$B$4:$AZ$68,45,FALSE)-BB72),ROUNDUP(V73/VLOOKUP(LEFT(B73,FIND(".",B73,1)-1),$AY:$AZ,2,FALSE)*VLOOKUP(LEFT(B73,FIND(".",B73,1)-1),$B$4:$AZ$68,45,FALSE),0)),0)</f>
        <v>0</v>
      </c>
      <c r="BB73" s="308">
        <f t="shared" si="56"/>
        <v>0</v>
      </c>
      <c r="BC73" s="308">
        <f>IFERROR(IF(_xlfn.NUMBERVALUE(RIGHT(B73,LEN(B73)-FIND(".",B73,1)))=COUNTIF('Contorizare in SDI'!$B:$B,LEFT(B73,FIND(".",B73,1)-1))-1,IF((COUNTIF('Contorizare in SDI'!$B:$B,LEFT(B73,FIND(".",B73,1)-1))-1)=1,VLOOKUP(LEFT(B73,FIND(".",B73,1)-1),$B$4:$AZ$68,46,FALSE),VLOOKUP(LEFT(B73,FIND(".",B73,1)-1),$B$4:$AZ$68,46,FALSE)-BD72),ROUNDUP(V73/VLOOKUP(LEFT(B73,FIND(".",B73,1)-1),$AY:$AZ,2,FALSE)*VLOOKUP(LEFT(B73,FIND(".",B73,1)-1),$B$4:$AZ$68,46,FALSE),0)),0)</f>
        <v>25</v>
      </c>
      <c r="BD73" s="308">
        <f t="shared" si="57"/>
        <v>25</v>
      </c>
      <c r="BE73" s="308">
        <f>IFERROR(IF(_xlfn.NUMBERVALUE(RIGHT(B73,LEN(B73)-FIND(".",B73,1)))=COUNTIF('Contorizare in SDI'!$B:$B,LEFT(B73,FIND(".",B73,1)-1))-1,IF((COUNTIF('Contorizare in SDI'!$B:$B,LEFT(B73,FIND(".",B73,1)-1))-1)=1,VLOOKUP(LEFT(B73,FIND(".",B73,1)-1),$B$4:$AZ$68,47,FALSE),VLOOKUP(LEFT(B73,FIND(".",B73,1)-1),$B$4:$AZ$68,47,FALSE)-BF72),ROUNDUP(V73/VLOOKUP(LEFT(B73,FIND(".",B73,1)-1),$AY:$AZ,2,FALSE)*VLOOKUP(LEFT(B73,FIND(".",B73,1)-1),$B$4:$AZ$68,47,FALSE),0)),0)</f>
        <v>956</v>
      </c>
      <c r="BF73" s="308">
        <f t="shared" si="58"/>
        <v>956</v>
      </c>
      <c r="BG73" s="308">
        <f>IFERROR(IF(_xlfn.NUMBERVALUE(RIGHT(B73,LEN(B73)-FIND(".",B73,1)))=COUNTIF('Contorizare in SDI'!$B:$B,LEFT(B73,FIND(".",B73,1)-1))-1,IF((COUNTIF('Contorizare in SDI'!$B:$B,LEFT(B73,FIND(".",B73,1)-1))-1)=1,VLOOKUP(LEFT(B73,FIND(".",B73,1)-1),$B$4:$AZ$68,48,FALSE),VLOOKUP(LEFT(B73,FIND(".",B73,1)-1),$B$4:$AZ$68,48,FALSE)-BH72),ROUNDUP(V73/VLOOKUP(LEFT(B73,FIND(".",B73,1)-1),$AY:$AZ,2,FALSE)*VLOOKUP(LEFT(B73,FIND(".",B73,1)-1),$B$4:$AZ$68,48,FALSE),0)),0)</f>
        <v>0</v>
      </c>
      <c r="BH73" s="308">
        <f t="shared" si="59"/>
        <v>0</v>
      </c>
      <c r="BI73" s="308">
        <f>IFERROR(IF(_xlfn.NUMBERVALUE(RIGHT(B73,LEN(B73)-FIND(".",B73,1)))=COUNTIF('Contorizare in SDI'!$B:$B,LEFT(B73,FIND(".",B73,1)-1))-1,IF((COUNTIF('Contorizare in SDI'!$B:$B,LEFT(B73,FIND(".",B73,1)-1))-1)=1,VLOOKUP(LEFT(B73,FIND(".",B73,1)-1),$B$4:$AZ$68,49,FALSE),VLOOKUP(LEFT(B73,FIND(".",B73,1)-1),$B$4:$AZ$68,49,FALSE)-BJ72),ROUNDUP(V73/VLOOKUP(LEFT(B73,FIND(".",B73,1)-1),$AY:$AZ,2,FALSE)*VLOOKUP(LEFT(B73,FIND(".",B73,1)-1),$B$4:$AZ$68,49,FALSE),0)),0)</f>
        <v>1</v>
      </c>
      <c r="BJ73" s="308">
        <f t="shared" si="60"/>
        <v>1</v>
      </c>
      <c r="BK73" s="4"/>
      <c r="BP73" s="44">
        <f t="shared" si="61"/>
        <v>0</v>
      </c>
      <c r="BQ73" s="1">
        <v>0</v>
      </c>
      <c r="BR73" s="1">
        <v>0</v>
      </c>
      <c r="BS73" s="16">
        <f t="shared" si="62"/>
        <v>25</v>
      </c>
      <c r="BT73" s="16">
        <f t="shared" si="63"/>
        <v>956</v>
      </c>
      <c r="BU73" s="16">
        <f t="shared" si="64"/>
        <v>0</v>
      </c>
      <c r="BV73" s="16">
        <f t="shared" si="65"/>
        <v>1</v>
      </c>
      <c r="BX73" s="1" t="str">
        <f t="shared" si="32"/>
        <v/>
      </c>
      <c r="BY73" s="1">
        <f t="shared" si="33"/>
        <v>0</v>
      </c>
      <c r="BZ73" s="1">
        <f t="shared" si="66"/>
        <v>0</v>
      </c>
      <c r="CA73" s="1">
        <f t="shared" si="67"/>
        <v>0</v>
      </c>
      <c r="CB73" s="1">
        <f t="shared" si="68"/>
        <v>25</v>
      </c>
      <c r="CC73" s="1">
        <f t="shared" si="69"/>
        <v>956</v>
      </c>
      <c r="CD73" s="1">
        <f t="shared" si="70"/>
        <v>0</v>
      </c>
      <c r="CE73" s="1">
        <f t="shared" si="71"/>
        <v>1</v>
      </c>
      <c r="CR73" s="30" t="s">
        <v>997</v>
      </c>
      <c r="CS73" s="291">
        <v>0</v>
      </c>
      <c r="CT73" s="291">
        <v>0</v>
      </c>
      <c r="CU73" s="291">
        <v>0</v>
      </c>
      <c r="CV73" s="291">
        <v>0</v>
      </c>
      <c r="CW73" s="29" t="s">
        <v>999</v>
      </c>
      <c r="CX73" s="312">
        <v>0</v>
      </c>
      <c r="CY73" s="184">
        <v>0</v>
      </c>
      <c r="CZ73" s="88">
        <v>0</v>
      </c>
      <c r="DA73" s="88">
        <v>0</v>
      </c>
      <c r="DB73" s="29" t="s">
        <v>1004</v>
      </c>
      <c r="DC73" s="87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321">
        <v>0</v>
      </c>
      <c r="DJ73" s="88">
        <v>0</v>
      </c>
    </row>
    <row r="74" spans="1:114" ht="17.25" thickTop="1" thickBot="1">
      <c r="A74" s="17">
        <f t="shared" si="41"/>
        <v>71</v>
      </c>
      <c r="B74" s="38" t="s">
        <v>573</v>
      </c>
      <c r="C74" s="17" t="s">
        <v>138</v>
      </c>
      <c r="D74" s="17">
        <v>1373075553</v>
      </c>
      <c r="E74" s="142" t="str">
        <f t="shared" si="42"/>
        <v>RBPM</v>
      </c>
      <c r="F74" s="16">
        <v>2563673</v>
      </c>
      <c r="G74" s="16">
        <v>2702628</v>
      </c>
      <c r="H74" s="16">
        <v>0</v>
      </c>
      <c r="I74" s="16">
        <v>0</v>
      </c>
      <c r="J74" s="16">
        <v>309384</v>
      </c>
      <c r="K74" s="16">
        <v>309384</v>
      </c>
      <c r="L74" s="16">
        <v>17782</v>
      </c>
      <c r="M74" s="16">
        <v>17782</v>
      </c>
      <c r="N74" s="12" t="s">
        <v>917</v>
      </c>
      <c r="O74" s="12" t="s">
        <v>1019</v>
      </c>
      <c r="P74" s="12" t="s">
        <v>917</v>
      </c>
      <c r="Q74" s="12" t="s">
        <v>917</v>
      </c>
      <c r="R74" s="12" t="s">
        <v>917</v>
      </c>
      <c r="S74" s="12" t="s">
        <v>1019</v>
      </c>
      <c r="T74" s="12" t="s">
        <v>917</v>
      </c>
      <c r="U74" s="12" t="s">
        <v>1019</v>
      </c>
      <c r="V74" s="22">
        <v>138955</v>
      </c>
      <c r="W74" s="22">
        <v>0</v>
      </c>
      <c r="X74" s="22">
        <v>0</v>
      </c>
      <c r="Y74" s="22">
        <v>0</v>
      </c>
      <c r="Z74" s="171">
        <f t="shared" si="34"/>
        <v>2563673</v>
      </c>
      <c r="AA74" s="130" t="str">
        <f t="shared" si="35"/>
        <v>citit</v>
      </c>
      <c r="AB74" s="176">
        <f t="shared" si="43"/>
        <v>2702628</v>
      </c>
      <c r="AC74" s="12" t="s">
        <v>917</v>
      </c>
      <c r="AD74" s="12">
        <f t="shared" si="36"/>
        <v>0</v>
      </c>
      <c r="AE74" s="12">
        <f t="shared" si="36"/>
        <v>0</v>
      </c>
      <c r="AF74" s="12">
        <f t="shared" si="36"/>
        <v>309384</v>
      </c>
      <c r="AG74" s="12" t="str">
        <f t="shared" si="37"/>
        <v>citit</v>
      </c>
      <c r="AH74" s="176">
        <f t="shared" si="44"/>
        <v>343908</v>
      </c>
      <c r="AI74" s="12" t="s">
        <v>917</v>
      </c>
      <c r="AJ74" s="12">
        <f t="shared" si="38"/>
        <v>17782</v>
      </c>
      <c r="AK74" s="12" t="str">
        <f t="shared" si="39"/>
        <v>citit</v>
      </c>
      <c r="AL74" s="175">
        <f t="shared" si="45"/>
        <v>17840</v>
      </c>
      <c r="AM74" s="159" t="s">
        <v>917</v>
      </c>
      <c r="AN74" s="154">
        <f t="shared" si="46"/>
        <v>138955</v>
      </c>
      <c r="AO74" s="14">
        <f t="shared" si="47"/>
        <v>0</v>
      </c>
      <c r="AP74" s="147">
        <f t="shared" si="48"/>
        <v>34524</v>
      </c>
      <c r="AQ74" s="147">
        <f t="shared" si="49"/>
        <v>58</v>
      </c>
      <c r="AR74" s="16">
        <v>0</v>
      </c>
      <c r="AS74" s="16">
        <v>0</v>
      </c>
      <c r="AT74" s="1">
        <f t="shared" si="50"/>
        <v>0</v>
      </c>
      <c r="AU74" s="154">
        <f t="shared" si="51"/>
        <v>6323</v>
      </c>
      <c r="AV74" s="154">
        <f t="shared" si="52"/>
        <v>28201</v>
      </c>
      <c r="AW74" s="154">
        <f t="shared" si="53"/>
        <v>58</v>
      </c>
      <c r="AX74" s="154">
        <f t="shared" si="54"/>
        <v>0</v>
      </c>
      <c r="AY74" s="308" t="str">
        <f t="shared" si="55"/>
        <v>-</v>
      </c>
      <c r="AZ74" s="308">
        <f t="shared" si="40"/>
        <v>138955</v>
      </c>
      <c r="BA74" s="308">
        <f>IFERROR(IF(_xlfn.NUMBERVALUE(RIGHT(B74,LEN(B74)-FIND(".",B74,1)))=COUNTIF('Contorizare in SDI'!$B:$B,LEFT(B74,FIND(".",B74,1)-1))-1,IF((COUNTIF('Contorizare in SDI'!$B:$B,LEFT(B74,FIND(".",B74,1)-1))-1)=1,VLOOKUP(LEFT(B74,FIND(".",B74,1)-1),$B$4:$AZ$68,45,FALSE),VLOOKUP(LEFT(B74,FIND(".",B74,1)-1),$B$4:$AZ$68,45,FALSE)-BB73),ROUNDUP(V74/VLOOKUP(LEFT(B74,FIND(".",B74,1)-1),$AY:$AZ,2,FALSE)*VLOOKUP(LEFT(B74,FIND(".",B74,1)-1),$B$4:$AZ$68,45,FALSE),0)),0)</f>
        <v>0</v>
      </c>
      <c r="BB74" s="308">
        <f t="shared" si="56"/>
        <v>0</v>
      </c>
      <c r="BC74" s="308">
        <f>IFERROR(IF(_xlfn.NUMBERVALUE(RIGHT(B74,LEN(B74)-FIND(".",B74,1)))=COUNTIF('Contorizare in SDI'!$B:$B,LEFT(B74,FIND(".",B74,1)-1))-1,IF((COUNTIF('Contorizare in SDI'!$B:$B,LEFT(B74,FIND(".",B74,1)-1))-1)=1,VLOOKUP(LEFT(B74,FIND(".",B74,1)-1),$B$4:$AZ$68,46,FALSE),VLOOKUP(LEFT(B74,FIND(".",B74,1)-1),$B$4:$AZ$68,46,FALSE)-BD73),ROUNDUP(V74/VLOOKUP(LEFT(B74,FIND(".",B74,1)-1),$AY:$AZ,2,FALSE)*VLOOKUP(LEFT(B74,FIND(".",B74,1)-1),$B$4:$AZ$68,46,FALSE),0)),0)</f>
        <v>6323</v>
      </c>
      <c r="BD74" s="308">
        <f t="shared" si="57"/>
        <v>6323</v>
      </c>
      <c r="BE74" s="308">
        <f>IFERROR(IF(_xlfn.NUMBERVALUE(RIGHT(B74,LEN(B74)-FIND(".",B74,1)))=COUNTIF('Contorizare in SDI'!$B:$B,LEFT(B74,FIND(".",B74,1)-1))-1,IF((COUNTIF('Contorizare in SDI'!$B:$B,LEFT(B74,FIND(".",B74,1)-1))-1)=1,VLOOKUP(LEFT(B74,FIND(".",B74,1)-1),$B$4:$AZ$68,47,FALSE),VLOOKUP(LEFT(B74,FIND(".",B74,1)-1),$B$4:$AZ$68,47,FALSE)-BF73),ROUNDUP(V74/VLOOKUP(LEFT(B74,FIND(".",B74,1)-1),$AY:$AZ,2,FALSE)*VLOOKUP(LEFT(B74,FIND(".",B74,1)-1),$B$4:$AZ$68,47,FALSE),0)),0)</f>
        <v>28201</v>
      </c>
      <c r="BF74" s="308">
        <f t="shared" si="58"/>
        <v>28201</v>
      </c>
      <c r="BG74" s="308">
        <f>IFERROR(IF(_xlfn.NUMBERVALUE(RIGHT(B74,LEN(B74)-FIND(".",B74,1)))=COUNTIF('Contorizare in SDI'!$B:$B,LEFT(B74,FIND(".",B74,1)-1))-1,IF((COUNTIF('Contorizare in SDI'!$B:$B,LEFT(B74,FIND(".",B74,1)-1))-1)=1,VLOOKUP(LEFT(B74,FIND(".",B74,1)-1),$B$4:$AZ$68,48,FALSE),VLOOKUP(LEFT(B74,FIND(".",B74,1)-1),$B$4:$AZ$68,48,FALSE)-BH73),ROUNDUP(V74/VLOOKUP(LEFT(B74,FIND(".",B74,1)-1),$AY:$AZ,2,FALSE)*VLOOKUP(LEFT(B74,FIND(".",B74,1)-1),$B$4:$AZ$68,48,FALSE),0)),0)</f>
        <v>58</v>
      </c>
      <c r="BH74" s="308">
        <f t="shared" si="59"/>
        <v>58</v>
      </c>
      <c r="BI74" s="308">
        <f>IFERROR(IF(_xlfn.NUMBERVALUE(RIGHT(B74,LEN(B74)-FIND(".",B74,1)))=COUNTIF('Contorizare in SDI'!$B:$B,LEFT(B74,FIND(".",B74,1)-1))-1,IF((COUNTIF('Contorizare in SDI'!$B:$B,LEFT(B74,FIND(".",B74,1)-1))-1)=1,VLOOKUP(LEFT(B74,FIND(".",B74,1)-1),$B$4:$AZ$68,49,FALSE),VLOOKUP(LEFT(B74,FIND(".",B74,1)-1),$B$4:$AZ$68,49,FALSE)-BJ73),ROUNDUP(V74/VLOOKUP(LEFT(B74,FIND(".",B74,1)-1),$AY:$AZ,2,FALSE)*VLOOKUP(LEFT(B74,FIND(".",B74,1)-1),$B$4:$AZ$68,49,FALSE),0)),0)</f>
        <v>0</v>
      </c>
      <c r="BJ74" s="308">
        <f t="shared" si="60"/>
        <v>0</v>
      </c>
      <c r="BK74" s="4"/>
      <c r="BP74" s="44">
        <f t="shared" si="61"/>
        <v>0</v>
      </c>
      <c r="BQ74" s="1">
        <v>0</v>
      </c>
      <c r="BR74" s="1">
        <v>0</v>
      </c>
      <c r="BS74" s="16">
        <f t="shared" si="62"/>
        <v>6323</v>
      </c>
      <c r="BT74" s="16">
        <f t="shared" si="63"/>
        <v>28201</v>
      </c>
      <c r="BU74" s="16">
        <f t="shared" si="64"/>
        <v>58</v>
      </c>
      <c r="BV74" s="16">
        <f t="shared" si="65"/>
        <v>0</v>
      </c>
      <c r="BX74" s="1" t="str">
        <f t="shared" si="32"/>
        <v/>
      </c>
      <c r="BY74" s="1">
        <f t="shared" si="33"/>
        <v>0</v>
      </c>
      <c r="BZ74" s="1">
        <f t="shared" si="66"/>
        <v>0</v>
      </c>
      <c r="CA74" s="1">
        <f t="shared" si="67"/>
        <v>0</v>
      </c>
      <c r="CB74" s="1">
        <f t="shared" si="68"/>
        <v>6348</v>
      </c>
      <c r="CC74" s="1">
        <f t="shared" si="69"/>
        <v>29157</v>
      </c>
      <c r="CD74" s="1">
        <f t="shared" si="70"/>
        <v>58</v>
      </c>
      <c r="CE74" s="1">
        <f t="shared" si="71"/>
        <v>1</v>
      </c>
      <c r="CR74" s="30" t="s">
        <v>997</v>
      </c>
      <c r="CS74" s="291">
        <v>0</v>
      </c>
      <c r="CT74" s="291">
        <v>0</v>
      </c>
      <c r="CU74" s="291">
        <v>0</v>
      </c>
      <c r="CV74" s="291">
        <v>0</v>
      </c>
      <c r="CW74" s="29" t="s">
        <v>1000</v>
      </c>
      <c r="CX74" s="312">
        <v>0</v>
      </c>
      <c r="CY74" s="184">
        <v>0</v>
      </c>
      <c r="CZ74" s="88">
        <v>0</v>
      </c>
      <c r="DA74" s="88">
        <v>0</v>
      </c>
      <c r="DB74" s="29" t="s">
        <v>69</v>
      </c>
      <c r="DC74" s="87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321">
        <v>0</v>
      </c>
      <c r="DJ74" s="88">
        <v>0</v>
      </c>
    </row>
    <row r="75" spans="1:114" ht="17.25" thickTop="1" thickBot="1">
      <c r="A75" s="136">
        <f t="shared" si="41"/>
        <v>72</v>
      </c>
      <c r="B75" s="38" t="s">
        <v>574</v>
      </c>
      <c r="C75" s="17" t="s">
        <v>139</v>
      </c>
      <c r="D75" s="17">
        <v>1373265813</v>
      </c>
      <c r="E75" s="142" t="str">
        <f t="shared" si="42"/>
        <v>RBPM</v>
      </c>
      <c r="F75" s="16">
        <v>1833369</v>
      </c>
      <c r="G75" s="16">
        <v>1934438</v>
      </c>
      <c r="H75" s="16">
        <v>0</v>
      </c>
      <c r="I75" s="16">
        <v>0</v>
      </c>
      <c r="J75" s="16">
        <v>314906</v>
      </c>
      <c r="K75" s="16">
        <v>314906</v>
      </c>
      <c r="L75" s="16">
        <v>2275</v>
      </c>
      <c r="M75" s="16">
        <v>2275</v>
      </c>
      <c r="N75" s="12" t="s">
        <v>917</v>
      </c>
      <c r="O75" s="12" t="s">
        <v>1019</v>
      </c>
      <c r="P75" s="12" t="s">
        <v>917</v>
      </c>
      <c r="Q75" s="12" t="s">
        <v>917</v>
      </c>
      <c r="R75" s="12" t="s">
        <v>917</v>
      </c>
      <c r="S75" s="12" t="s">
        <v>1019</v>
      </c>
      <c r="T75" s="12" t="s">
        <v>917</v>
      </c>
      <c r="U75" s="12" t="s">
        <v>1019</v>
      </c>
      <c r="V75" s="22">
        <v>101069</v>
      </c>
      <c r="W75" s="22">
        <v>0</v>
      </c>
      <c r="X75" s="22">
        <v>0</v>
      </c>
      <c r="Y75" s="22">
        <v>0</v>
      </c>
      <c r="Z75" s="171">
        <f t="shared" si="34"/>
        <v>1833369</v>
      </c>
      <c r="AA75" s="130" t="str">
        <f t="shared" si="35"/>
        <v>citit</v>
      </c>
      <c r="AB75" s="176">
        <f t="shared" si="43"/>
        <v>1934438</v>
      </c>
      <c r="AC75" s="12" t="s">
        <v>917</v>
      </c>
      <c r="AD75" s="12">
        <f t="shared" si="36"/>
        <v>0</v>
      </c>
      <c r="AE75" s="12">
        <f t="shared" si="36"/>
        <v>0</v>
      </c>
      <c r="AF75" s="12">
        <f t="shared" si="36"/>
        <v>314906</v>
      </c>
      <c r="AG75" s="12" t="str">
        <f t="shared" si="37"/>
        <v>citit</v>
      </c>
      <c r="AH75" s="176">
        <f t="shared" si="44"/>
        <v>340015</v>
      </c>
      <c r="AI75" s="12" t="s">
        <v>917</v>
      </c>
      <c r="AJ75" s="12">
        <f t="shared" si="38"/>
        <v>2275</v>
      </c>
      <c r="AK75" s="12" t="str">
        <f t="shared" si="39"/>
        <v>citit</v>
      </c>
      <c r="AL75" s="175">
        <f t="shared" si="45"/>
        <v>2316</v>
      </c>
      <c r="AM75" s="159" t="s">
        <v>917</v>
      </c>
      <c r="AN75" s="154">
        <f t="shared" si="46"/>
        <v>101069</v>
      </c>
      <c r="AO75" s="14">
        <f t="shared" si="47"/>
        <v>0</v>
      </c>
      <c r="AP75" s="147">
        <f t="shared" si="48"/>
        <v>25109</v>
      </c>
      <c r="AQ75" s="147">
        <f t="shared" si="49"/>
        <v>41</v>
      </c>
      <c r="AR75" s="16">
        <v>0</v>
      </c>
      <c r="AS75" s="16">
        <v>0</v>
      </c>
      <c r="AT75" s="1">
        <f t="shared" si="50"/>
        <v>0</v>
      </c>
      <c r="AU75" s="154">
        <f t="shared" si="51"/>
        <v>4598</v>
      </c>
      <c r="AV75" s="154">
        <f t="shared" si="52"/>
        <v>20511</v>
      </c>
      <c r="AW75" s="154">
        <f t="shared" si="53"/>
        <v>41</v>
      </c>
      <c r="AX75" s="154">
        <f t="shared" si="54"/>
        <v>0</v>
      </c>
      <c r="AY75" s="308" t="str">
        <f t="shared" si="55"/>
        <v>RBPM_2</v>
      </c>
      <c r="AZ75" s="308">
        <f t="shared" si="40"/>
        <v>240024</v>
      </c>
      <c r="BA75" s="308">
        <f>IFERROR(IF(_xlfn.NUMBERVALUE(RIGHT(B75,LEN(B75)-FIND(".",B75,1)))=COUNTIF('Contorizare in SDI'!$B:$B,LEFT(B75,FIND(".",B75,1)-1))-1,IF((COUNTIF('Contorizare in SDI'!$B:$B,LEFT(B75,FIND(".",B75,1)-1))-1)=1,VLOOKUP(LEFT(B75,FIND(".",B75,1)-1),$B$4:$AZ$68,45,FALSE),VLOOKUP(LEFT(B75,FIND(".",B75,1)-1),$B$4:$AZ$68,45,FALSE)-BB74),ROUNDUP(V75/VLOOKUP(LEFT(B75,FIND(".",B75,1)-1),$AY:$AZ,2,FALSE)*VLOOKUP(LEFT(B75,FIND(".",B75,1)-1),$B$4:$AZ$68,45,FALSE),0)),0)</f>
        <v>0</v>
      </c>
      <c r="BB75" s="308">
        <f t="shared" si="56"/>
        <v>0</v>
      </c>
      <c r="BC75" s="308">
        <f>IFERROR(IF(_xlfn.NUMBERVALUE(RIGHT(B75,LEN(B75)-FIND(".",B75,1)))=COUNTIF('Contorizare in SDI'!$B:$B,LEFT(B75,FIND(".",B75,1)-1))-1,IF((COUNTIF('Contorizare in SDI'!$B:$B,LEFT(B75,FIND(".",B75,1)-1))-1)=1,VLOOKUP(LEFT(B75,FIND(".",B75,1)-1),$B$4:$AZ$68,46,FALSE),VLOOKUP(LEFT(B75,FIND(".",B75,1)-1),$B$4:$AZ$68,46,FALSE)-BD74),ROUNDUP(V75/VLOOKUP(LEFT(B75,FIND(".",B75,1)-1),$AY:$AZ,2,FALSE)*VLOOKUP(LEFT(B75,FIND(".",B75,1)-1),$B$4:$AZ$68,46,FALSE),0)),0)</f>
        <v>4598</v>
      </c>
      <c r="BD75" s="308">
        <f t="shared" si="57"/>
        <v>10921</v>
      </c>
      <c r="BE75" s="308">
        <f>IFERROR(IF(_xlfn.NUMBERVALUE(RIGHT(B75,LEN(B75)-FIND(".",B75,1)))=COUNTIF('Contorizare in SDI'!$B:$B,LEFT(B75,FIND(".",B75,1)-1))-1,IF((COUNTIF('Contorizare in SDI'!$B:$B,LEFT(B75,FIND(".",B75,1)-1))-1)=1,VLOOKUP(LEFT(B75,FIND(".",B75,1)-1),$B$4:$AZ$68,47,FALSE),VLOOKUP(LEFT(B75,FIND(".",B75,1)-1),$B$4:$AZ$68,47,FALSE)-BF74),ROUNDUP(V75/VLOOKUP(LEFT(B75,FIND(".",B75,1)-1),$AY:$AZ,2,FALSE)*VLOOKUP(LEFT(B75,FIND(".",B75,1)-1),$B$4:$AZ$68,47,FALSE),0)),0)</f>
        <v>20511</v>
      </c>
      <c r="BF75" s="308">
        <f t="shared" si="58"/>
        <v>48712</v>
      </c>
      <c r="BG75" s="308">
        <f>IFERROR(IF(_xlfn.NUMBERVALUE(RIGHT(B75,LEN(B75)-FIND(".",B75,1)))=COUNTIF('Contorizare in SDI'!$B:$B,LEFT(B75,FIND(".",B75,1)-1))-1,IF((COUNTIF('Contorizare in SDI'!$B:$B,LEFT(B75,FIND(".",B75,1)-1))-1)=1,VLOOKUP(LEFT(B75,FIND(".",B75,1)-1),$B$4:$AZ$68,48,FALSE),VLOOKUP(LEFT(B75,FIND(".",B75,1)-1),$B$4:$AZ$68,48,FALSE)-BH74),ROUNDUP(V75/VLOOKUP(LEFT(B75,FIND(".",B75,1)-1),$AY:$AZ,2,FALSE)*VLOOKUP(LEFT(B75,FIND(".",B75,1)-1),$B$4:$AZ$68,48,FALSE),0)),0)</f>
        <v>41</v>
      </c>
      <c r="BH75" s="308">
        <f t="shared" si="59"/>
        <v>99</v>
      </c>
      <c r="BI75" s="308">
        <f>IFERROR(IF(_xlfn.NUMBERVALUE(RIGHT(B75,LEN(B75)-FIND(".",B75,1)))=COUNTIF('Contorizare in SDI'!$B:$B,LEFT(B75,FIND(".",B75,1)-1))-1,IF((COUNTIF('Contorizare in SDI'!$B:$B,LEFT(B75,FIND(".",B75,1)-1))-1)=1,VLOOKUP(LEFT(B75,FIND(".",B75,1)-1),$B$4:$AZ$68,49,FALSE),VLOOKUP(LEFT(B75,FIND(".",B75,1)-1),$B$4:$AZ$68,49,FALSE)-BJ74),ROUNDUP(V75/VLOOKUP(LEFT(B75,FIND(".",B75,1)-1),$AY:$AZ,2,FALSE)*VLOOKUP(LEFT(B75,FIND(".",B75,1)-1),$B$4:$AZ$68,49,FALSE),0)),0)</f>
        <v>0</v>
      </c>
      <c r="BJ75" s="308">
        <f t="shared" si="60"/>
        <v>0</v>
      </c>
      <c r="BK75" s="4"/>
      <c r="BP75" s="44">
        <f t="shared" si="61"/>
        <v>0</v>
      </c>
      <c r="BQ75" s="1">
        <v>0</v>
      </c>
      <c r="BR75" s="1">
        <v>0</v>
      </c>
      <c r="BS75" s="16">
        <f t="shared" si="62"/>
        <v>4598</v>
      </c>
      <c r="BT75" s="16">
        <f t="shared" si="63"/>
        <v>20511</v>
      </c>
      <c r="BU75" s="16">
        <f t="shared" si="64"/>
        <v>41</v>
      </c>
      <c r="BV75" s="16">
        <f t="shared" si="65"/>
        <v>0</v>
      </c>
      <c r="BX75" s="1" t="str">
        <f t="shared" si="32"/>
        <v/>
      </c>
      <c r="BY75" s="1">
        <f t="shared" si="33"/>
        <v>0</v>
      </c>
      <c r="BZ75" s="1">
        <f t="shared" si="66"/>
        <v>0</v>
      </c>
      <c r="CA75" s="1">
        <f t="shared" si="67"/>
        <v>0</v>
      </c>
      <c r="CB75" s="1">
        <f t="shared" si="68"/>
        <v>10946</v>
      </c>
      <c r="CC75" s="1">
        <f t="shared" si="69"/>
        <v>49668</v>
      </c>
      <c r="CD75" s="1">
        <f t="shared" si="70"/>
        <v>99</v>
      </c>
      <c r="CE75" s="1">
        <f t="shared" si="71"/>
        <v>1</v>
      </c>
      <c r="CR75" s="30" t="s">
        <v>997</v>
      </c>
      <c r="CS75" s="291">
        <v>0</v>
      </c>
      <c r="CT75" s="291">
        <v>0</v>
      </c>
      <c r="CU75" s="291">
        <v>0</v>
      </c>
      <c r="CV75" s="291">
        <v>0</v>
      </c>
      <c r="CW75" s="29" t="s">
        <v>1001</v>
      </c>
      <c r="CX75" s="312">
        <v>0</v>
      </c>
      <c r="CY75" s="184">
        <v>0</v>
      </c>
      <c r="CZ75" s="88">
        <v>0</v>
      </c>
      <c r="DA75" s="88">
        <v>0</v>
      </c>
      <c r="DB75" s="29" t="s">
        <v>69</v>
      </c>
      <c r="DC75" s="87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321">
        <v>0</v>
      </c>
      <c r="DJ75" s="88">
        <v>0</v>
      </c>
    </row>
    <row r="76" spans="1:114" ht="17.25" thickTop="1" thickBot="1">
      <c r="A76" s="17">
        <f t="shared" si="41"/>
        <v>73</v>
      </c>
      <c r="B76" s="38" t="s">
        <v>575</v>
      </c>
      <c r="C76" s="17" t="s">
        <v>141</v>
      </c>
      <c r="D76" s="17" t="s">
        <v>923</v>
      </c>
      <c r="E76" s="142" t="str">
        <f t="shared" si="42"/>
        <v>RBPM</v>
      </c>
      <c r="F76" s="16">
        <v>524483</v>
      </c>
      <c r="G76" s="16">
        <v>557661</v>
      </c>
      <c r="H76" s="16">
        <v>0</v>
      </c>
      <c r="I76" s="16">
        <v>0</v>
      </c>
      <c r="J76" s="16">
        <v>9581</v>
      </c>
      <c r="K76" s="16">
        <v>9581</v>
      </c>
      <c r="L76" s="16">
        <v>99220</v>
      </c>
      <c r="M76" s="16">
        <v>99220</v>
      </c>
      <c r="N76" s="12" t="s">
        <v>917</v>
      </c>
      <c r="O76" s="12" t="s">
        <v>1019</v>
      </c>
      <c r="P76" s="12" t="s">
        <v>917</v>
      </c>
      <c r="Q76" s="12" t="s">
        <v>917</v>
      </c>
      <c r="R76" s="12" t="s">
        <v>917</v>
      </c>
      <c r="S76" s="12" t="s">
        <v>1019</v>
      </c>
      <c r="T76" s="12" t="s">
        <v>917</v>
      </c>
      <c r="U76" s="12" t="s">
        <v>1019</v>
      </c>
      <c r="V76" s="22">
        <v>33178</v>
      </c>
      <c r="W76" s="22">
        <v>0</v>
      </c>
      <c r="X76" s="22">
        <v>0</v>
      </c>
      <c r="Y76" s="22">
        <v>0</v>
      </c>
      <c r="Z76" s="171">
        <f t="shared" si="34"/>
        <v>524483</v>
      </c>
      <c r="AA76" s="130" t="str">
        <f t="shared" si="35"/>
        <v>citit</v>
      </c>
      <c r="AB76" s="176">
        <f t="shared" si="43"/>
        <v>557661</v>
      </c>
      <c r="AC76" s="12" t="s">
        <v>917</v>
      </c>
      <c r="AD76" s="12">
        <f t="shared" si="36"/>
        <v>0</v>
      </c>
      <c r="AE76" s="12">
        <f t="shared" si="36"/>
        <v>0</v>
      </c>
      <c r="AF76" s="12">
        <f t="shared" si="36"/>
        <v>9581</v>
      </c>
      <c r="AG76" s="12" t="str">
        <f t="shared" si="37"/>
        <v>citit</v>
      </c>
      <c r="AH76" s="176">
        <f t="shared" si="44"/>
        <v>9581</v>
      </c>
      <c r="AI76" s="12" t="s">
        <v>917</v>
      </c>
      <c r="AJ76" s="12">
        <f t="shared" si="38"/>
        <v>99220</v>
      </c>
      <c r="AK76" s="12" t="str">
        <f t="shared" si="39"/>
        <v>citit</v>
      </c>
      <c r="AL76" s="175">
        <f t="shared" si="45"/>
        <v>105280</v>
      </c>
      <c r="AM76" s="159" t="s">
        <v>917</v>
      </c>
      <c r="AN76" s="154">
        <f t="shared" si="46"/>
        <v>33178</v>
      </c>
      <c r="AO76" s="14">
        <f t="shared" si="47"/>
        <v>0</v>
      </c>
      <c r="AP76" s="147">
        <f t="shared" si="48"/>
        <v>0</v>
      </c>
      <c r="AQ76" s="147">
        <f t="shared" si="49"/>
        <v>6060</v>
      </c>
      <c r="AR76" s="16">
        <v>0</v>
      </c>
      <c r="AS76" s="16">
        <v>0</v>
      </c>
      <c r="AT76" s="1">
        <f t="shared" si="50"/>
        <v>0</v>
      </c>
      <c r="AU76" s="154">
        <f t="shared" si="51"/>
        <v>0</v>
      </c>
      <c r="AV76" s="154">
        <f t="shared" si="52"/>
        <v>0</v>
      </c>
      <c r="AW76" s="154">
        <f t="shared" si="53"/>
        <v>570</v>
      </c>
      <c r="AX76" s="154">
        <f t="shared" si="54"/>
        <v>5490</v>
      </c>
      <c r="AY76" s="308" t="str">
        <f t="shared" si="55"/>
        <v>RBPM_3</v>
      </c>
      <c r="AZ76" s="308">
        <f t="shared" si="40"/>
        <v>33178</v>
      </c>
      <c r="BA76" s="308">
        <f>IFERROR(IF(_xlfn.NUMBERVALUE(RIGHT(B76,LEN(B76)-FIND(".",B76,1)))=COUNTIF('Contorizare in SDI'!$B:$B,LEFT(B76,FIND(".",B76,1)-1))-1,IF((COUNTIF('Contorizare in SDI'!$B:$B,LEFT(B76,FIND(".",B76,1)-1))-1)=1,VLOOKUP(LEFT(B76,FIND(".",B76,1)-1),$B$4:$AZ$68,45,FALSE),VLOOKUP(LEFT(B76,FIND(".",B76,1)-1),$B$4:$AZ$68,45,FALSE)-BB75),ROUNDUP(V76/VLOOKUP(LEFT(B76,FIND(".",B76,1)-1),$AY:$AZ,2,FALSE)*VLOOKUP(LEFT(B76,FIND(".",B76,1)-1),$B$4:$AZ$68,45,FALSE),0)),0)</f>
        <v>0</v>
      </c>
      <c r="BB76" s="308">
        <f t="shared" si="56"/>
        <v>0</v>
      </c>
      <c r="BC76" s="308">
        <f>IFERROR(IF(_xlfn.NUMBERVALUE(RIGHT(B76,LEN(B76)-FIND(".",B76,1)))=COUNTIF('Contorizare in SDI'!$B:$B,LEFT(B76,FIND(".",B76,1)-1))-1,IF((COUNTIF('Contorizare in SDI'!$B:$B,LEFT(B76,FIND(".",B76,1)-1))-1)=1,VLOOKUP(LEFT(B76,FIND(".",B76,1)-1),$B$4:$AZ$68,46,FALSE),VLOOKUP(LEFT(B76,FIND(".",B76,1)-1),$B$4:$AZ$68,46,FALSE)-BD75),ROUNDUP(V76/VLOOKUP(LEFT(B76,FIND(".",B76,1)-1),$AY:$AZ,2,FALSE)*VLOOKUP(LEFT(B76,FIND(".",B76,1)-1),$B$4:$AZ$68,46,FALSE),0)),0)</f>
        <v>0</v>
      </c>
      <c r="BD76" s="308">
        <f t="shared" si="57"/>
        <v>0</v>
      </c>
      <c r="BE76" s="308">
        <f>IFERROR(IF(_xlfn.NUMBERVALUE(RIGHT(B76,LEN(B76)-FIND(".",B76,1)))=COUNTIF('Contorizare in SDI'!$B:$B,LEFT(B76,FIND(".",B76,1)-1))-1,IF((COUNTIF('Contorizare in SDI'!$B:$B,LEFT(B76,FIND(".",B76,1)-1))-1)=1,VLOOKUP(LEFT(B76,FIND(".",B76,1)-1),$B$4:$AZ$68,47,FALSE),VLOOKUP(LEFT(B76,FIND(".",B76,1)-1),$B$4:$AZ$68,47,FALSE)-BF75),ROUNDUP(V76/VLOOKUP(LEFT(B76,FIND(".",B76,1)-1),$AY:$AZ,2,FALSE)*VLOOKUP(LEFT(B76,FIND(".",B76,1)-1),$B$4:$AZ$68,47,FALSE),0)),0)</f>
        <v>0</v>
      </c>
      <c r="BF76" s="308">
        <f t="shared" si="58"/>
        <v>0</v>
      </c>
      <c r="BG76" s="308">
        <f>IFERROR(IF(_xlfn.NUMBERVALUE(RIGHT(B76,LEN(B76)-FIND(".",B76,1)))=COUNTIF('Contorizare in SDI'!$B:$B,LEFT(B76,FIND(".",B76,1)-1))-1,IF((COUNTIF('Contorizare in SDI'!$B:$B,LEFT(B76,FIND(".",B76,1)-1))-1)=1,VLOOKUP(LEFT(B76,FIND(".",B76,1)-1),$B$4:$AZ$68,48,FALSE),VLOOKUP(LEFT(B76,FIND(".",B76,1)-1),$B$4:$AZ$68,48,FALSE)-BH75),ROUNDUP(V76/VLOOKUP(LEFT(B76,FIND(".",B76,1)-1),$AY:$AZ,2,FALSE)*VLOOKUP(LEFT(B76,FIND(".",B76,1)-1),$B$4:$AZ$68,48,FALSE),0)),0)</f>
        <v>570</v>
      </c>
      <c r="BH76" s="308">
        <f t="shared" si="59"/>
        <v>570</v>
      </c>
      <c r="BI76" s="308">
        <f>IFERROR(IF(_xlfn.NUMBERVALUE(RIGHT(B76,LEN(B76)-FIND(".",B76,1)))=COUNTIF('Contorizare in SDI'!$B:$B,LEFT(B76,FIND(".",B76,1)-1))-1,IF((COUNTIF('Contorizare in SDI'!$B:$B,LEFT(B76,FIND(".",B76,1)-1))-1)=1,VLOOKUP(LEFT(B76,FIND(".",B76,1)-1),$B$4:$AZ$68,49,FALSE),VLOOKUP(LEFT(B76,FIND(".",B76,1)-1),$B$4:$AZ$68,49,FALSE)-BJ75),ROUNDUP(V76/VLOOKUP(LEFT(B76,FIND(".",B76,1)-1),$AY:$AZ,2,FALSE)*VLOOKUP(LEFT(B76,FIND(".",B76,1)-1),$B$4:$AZ$68,49,FALSE),0)),0)</f>
        <v>5490</v>
      </c>
      <c r="BJ76" s="308">
        <f t="shared" si="60"/>
        <v>5490</v>
      </c>
      <c r="BK76" s="4"/>
      <c r="BP76" s="44">
        <f t="shared" si="61"/>
        <v>0</v>
      </c>
      <c r="BQ76" s="1">
        <v>0</v>
      </c>
      <c r="BR76" s="1">
        <v>0</v>
      </c>
      <c r="BS76" s="16">
        <f t="shared" si="62"/>
        <v>0</v>
      </c>
      <c r="BT76" s="16">
        <f t="shared" si="63"/>
        <v>0</v>
      </c>
      <c r="BU76" s="16">
        <f t="shared" si="64"/>
        <v>570</v>
      </c>
      <c r="BV76" s="16">
        <f t="shared" si="65"/>
        <v>5490</v>
      </c>
      <c r="BX76" s="1" t="str">
        <f t="shared" si="32"/>
        <v>RBPM</v>
      </c>
      <c r="BY76" s="1">
        <f t="shared" si="33"/>
        <v>0</v>
      </c>
      <c r="BZ76" s="1">
        <f t="shared" si="66"/>
        <v>0</v>
      </c>
      <c r="CA76" s="1">
        <f t="shared" si="67"/>
        <v>0</v>
      </c>
      <c r="CB76" s="1">
        <f t="shared" si="68"/>
        <v>10946</v>
      </c>
      <c r="CC76" s="1">
        <f t="shared" si="69"/>
        <v>49668</v>
      </c>
      <c r="CD76" s="1">
        <f t="shared" si="70"/>
        <v>669</v>
      </c>
      <c r="CE76" s="1">
        <f t="shared" si="71"/>
        <v>5491</v>
      </c>
      <c r="CR76" s="30" t="s">
        <v>997</v>
      </c>
      <c r="CS76" s="291">
        <v>0</v>
      </c>
      <c r="CT76" s="291">
        <v>0</v>
      </c>
      <c r="CU76" s="291">
        <v>0</v>
      </c>
      <c r="CV76" s="291">
        <v>0</v>
      </c>
      <c r="CW76" s="29" t="s">
        <v>1002</v>
      </c>
      <c r="CX76" s="312">
        <v>0</v>
      </c>
      <c r="CY76" s="184">
        <v>0</v>
      </c>
      <c r="CZ76" s="88">
        <v>0</v>
      </c>
      <c r="DA76" s="88">
        <v>0</v>
      </c>
      <c r="DB76" s="29" t="s">
        <v>69</v>
      </c>
      <c r="DC76" s="87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321">
        <v>0</v>
      </c>
      <c r="DJ76" s="88">
        <v>0</v>
      </c>
    </row>
    <row r="77" spans="1:114" ht="17.25" thickTop="1" thickBot="1">
      <c r="A77" s="136">
        <f t="shared" si="41"/>
        <v>74</v>
      </c>
      <c r="B77" s="38" t="s">
        <v>576</v>
      </c>
      <c r="C77" s="17" t="s">
        <v>145</v>
      </c>
      <c r="D77" s="17">
        <v>1371624631</v>
      </c>
      <c r="E77" s="142" t="str">
        <f t="shared" si="42"/>
        <v>RPSC</v>
      </c>
      <c r="F77" s="16">
        <v>7012847</v>
      </c>
      <c r="G77" s="16">
        <v>7324459</v>
      </c>
      <c r="H77" s="16">
        <v>0</v>
      </c>
      <c r="I77" s="16">
        <v>0</v>
      </c>
      <c r="J77" s="16">
        <v>219556</v>
      </c>
      <c r="K77" s="16">
        <v>219556</v>
      </c>
      <c r="L77" s="16">
        <v>91152</v>
      </c>
      <c r="M77" s="16">
        <v>91152</v>
      </c>
      <c r="N77" s="12" t="s">
        <v>917</v>
      </c>
      <c r="O77" s="12" t="s">
        <v>1019</v>
      </c>
      <c r="P77" s="12" t="s">
        <v>917</v>
      </c>
      <c r="Q77" s="12" t="s">
        <v>917</v>
      </c>
      <c r="R77" s="12" t="s">
        <v>917</v>
      </c>
      <c r="S77" s="12" t="s">
        <v>1019</v>
      </c>
      <c r="T77" s="12" t="s">
        <v>917</v>
      </c>
      <c r="U77" s="12" t="s">
        <v>1019</v>
      </c>
      <c r="V77" s="22">
        <v>311612</v>
      </c>
      <c r="W77" s="22">
        <v>0</v>
      </c>
      <c r="X77" s="22">
        <v>0</v>
      </c>
      <c r="Y77" s="22">
        <v>0</v>
      </c>
      <c r="Z77" s="171">
        <f t="shared" si="34"/>
        <v>7012847</v>
      </c>
      <c r="AA77" s="130" t="str">
        <f t="shared" si="35"/>
        <v>citit</v>
      </c>
      <c r="AB77" s="176">
        <f t="shared" si="43"/>
        <v>7324459</v>
      </c>
      <c r="AC77" s="12" t="s">
        <v>917</v>
      </c>
      <c r="AD77" s="12">
        <f t="shared" si="36"/>
        <v>0</v>
      </c>
      <c r="AE77" s="12">
        <f t="shared" si="36"/>
        <v>0</v>
      </c>
      <c r="AF77" s="12">
        <f t="shared" si="36"/>
        <v>219556</v>
      </c>
      <c r="AG77" s="12" t="str">
        <f t="shared" si="37"/>
        <v>citit</v>
      </c>
      <c r="AH77" s="176">
        <f t="shared" si="44"/>
        <v>219556</v>
      </c>
      <c r="AI77" s="12" t="s">
        <v>917</v>
      </c>
      <c r="AJ77" s="12">
        <f t="shared" si="38"/>
        <v>91152</v>
      </c>
      <c r="AK77" s="12" t="str">
        <f t="shared" si="39"/>
        <v>citit</v>
      </c>
      <c r="AL77" s="175">
        <f t="shared" si="45"/>
        <v>91152</v>
      </c>
      <c r="AM77" s="159" t="s">
        <v>917</v>
      </c>
      <c r="AN77" s="154">
        <f t="shared" si="46"/>
        <v>311612</v>
      </c>
      <c r="AO77" s="14">
        <f t="shared" si="47"/>
        <v>0</v>
      </c>
      <c r="AP77" s="147">
        <f t="shared" si="48"/>
        <v>0</v>
      </c>
      <c r="AQ77" s="147">
        <f t="shared" si="49"/>
        <v>0</v>
      </c>
      <c r="AR77" s="16">
        <v>0</v>
      </c>
      <c r="AS77" s="16">
        <v>0</v>
      </c>
      <c r="AT77" s="1">
        <f t="shared" si="50"/>
        <v>0</v>
      </c>
      <c r="AU77" s="154">
        <f t="shared" si="51"/>
        <v>0</v>
      </c>
      <c r="AV77" s="154">
        <f t="shared" si="52"/>
        <v>0</v>
      </c>
      <c r="AW77" s="154">
        <f t="shared" si="53"/>
        <v>0</v>
      </c>
      <c r="AX77" s="154">
        <f t="shared" si="54"/>
        <v>0</v>
      </c>
      <c r="AY77" s="308" t="str">
        <f t="shared" si="55"/>
        <v>-</v>
      </c>
      <c r="AZ77" s="308">
        <f t="shared" si="40"/>
        <v>311612</v>
      </c>
      <c r="BA77" s="308">
        <f>IFERROR(IF(_xlfn.NUMBERVALUE(RIGHT(B77,LEN(B77)-FIND(".",B77,1)))=COUNTIF('Contorizare in SDI'!$B:$B,LEFT(B77,FIND(".",B77,1)-1))-1,IF((COUNTIF('Contorizare in SDI'!$B:$B,LEFT(B77,FIND(".",B77,1)-1))-1)=1,VLOOKUP(LEFT(B77,FIND(".",B77,1)-1),$B$4:$AZ$68,45,FALSE),VLOOKUP(LEFT(B77,FIND(".",B77,1)-1),$B$4:$AZ$68,45,FALSE)-BB76),ROUNDUP(V77/VLOOKUP(LEFT(B77,FIND(".",B77,1)-1),$AY:$AZ,2,FALSE)*VLOOKUP(LEFT(B77,FIND(".",B77,1)-1),$B$4:$AZ$68,45,FALSE),0)),0)</f>
        <v>0</v>
      </c>
      <c r="BB77" s="308">
        <f t="shared" si="56"/>
        <v>0</v>
      </c>
      <c r="BC77" s="308">
        <f>IFERROR(IF(_xlfn.NUMBERVALUE(RIGHT(B77,LEN(B77)-FIND(".",B77,1)))=COUNTIF('Contorizare in SDI'!$B:$B,LEFT(B77,FIND(".",B77,1)-1))-1,IF((COUNTIF('Contorizare in SDI'!$B:$B,LEFT(B77,FIND(".",B77,1)-1))-1)=1,VLOOKUP(LEFT(B77,FIND(".",B77,1)-1),$B$4:$AZ$68,46,FALSE),VLOOKUP(LEFT(B77,FIND(".",B77,1)-1),$B$4:$AZ$68,46,FALSE)-BD76),ROUNDUP(V77/VLOOKUP(LEFT(B77,FIND(".",B77,1)-1),$AY:$AZ,2,FALSE)*VLOOKUP(LEFT(B77,FIND(".",B77,1)-1),$B$4:$AZ$68,46,FALSE),0)),0)</f>
        <v>0</v>
      </c>
      <c r="BD77" s="308">
        <f t="shared" si="57"/>
        <v>0</v>
      </c>
      <c r="BE77" s="308">
        <f>IFERROR(IF(_xlfn.NUMBERVALUE(RIGHT(B77,LEN(B77)-FIND(".",B77,1)))=COUNTIF('Contorizare in SDI'!$B:$B,LEFT(B77,FIND(".",B77,1)-1))-1,IF((COUNTIF('Contorizare in SDI'!$B:$B,LEFT(B77,FIND(".",B77,1)-1))-1)=1,VLOOKUP(LEFT(B77,FIND(".",B77,1)-1),$B$4:$AZ$68,47,FALSE),VLOOKUP(LEFT(B77,FIND(".",B77,1)-1),$B$4:$AZ$68,47,FALSE)-BF76),ROUNDUP(V77/VLOOKUP(LEFT(B77,FIND(".",B77,1)-1),$AY:$AZ,2,FALSE)*VLOOKUP(LEFT(B77,FIND(".",B77,1)-1),$B$4:$AZ$68,47,FALSE),0)),0)</f>
        <v>0</v>
      </c>
      <c r="BF77" s="308">
        <f t="shared" si="58"/>
        <v>0</v>
      </c>
      <c r="BG77" s="308">
        <f>IFERROR(IF(_xlfn.NUMBERVALUE(RIGHT(B77,LEN(B77)-FIND(".",B77,1)))=COUNTIF('Contorizare in SDI'!$B:$B,LEFT(B77,FIND(".",B77,1)-1))-1,IF((COUNTIF('Contorizare in SDI'!$B:$B,LEFT(B77,FIND(".",B77,1)-1))-1)=1,VLOOKUP(LEFT(B77,FIND(".",B77,1)-1),$B$4:$AZ$68,48,FALSE),VLOOKUP(LEFT(B77,FIND(".",B77,1)-1),$B$4:$AZ$68,48,FALSE)-BH76),ROUNDUP(V77/VLOOKUP(LEFT(B77,FIND(".",B77,1)-1),$AY:$AZ,2,FALSE)*VLOOKUP(LEFT(B77,FIND(".",B77,1)-1),$B$4:$AZ$68,48,FALSE),0)),0)</f>
        <v>0</v>
      </c>
      <c r="BH77" s="308">
        <f t="shared" si="59"/>
        <v>0</v>
      </c>
      <c r="BI77" s="308">
        <f>IFERROR(IF(_xlfn.NUMBERVALUE(RIGHT(B77,LEN(B77)-FIND(".",B77,1)))=COUNTIF('Contorizare in SDI'!$B:$B,LEFT(B77,FIND(".",B77,1)-1))-1,IF((COUNTIF('Contorizare in SDI'!$B:$B,LEFT(B77,FIND(".",B77,1)-1))-1)=1,VLOOKUP(LEFT(B77,FIND(".",B77,1)-1),$B$4:$AZ$68,49,FALSE),VLOOKUP(LEFT(B77,FIND(".",B77,1)-1),$B$4:$AZ$68,49,FALSE)-BJ76),ROUNDUP(V77/VLOOKUP(LEFT(B77,FIND(".",B77,1)-1),$AY:$AZ,2,FALSE)*VLOOKUP(LEFT(B77,FIND(".",B77,1)-1),$B$4:$AZ$68,49,FALSE),0)),0)</f>
        <v>0</v>
      </c>
      <c r="BJ77" s="308">
        <f t="shared" si="60"/>
        <v>0</v>
      </c>
      <c r="BK77" s="4"/>
      <c r="BP77" s="44">
        <f t="shared" si="61"/>
        <v>0</v>
      </c>
      <c r="BQ77" s="1">
        <v>0</v>
      </c>
      <c r="BR77" s="1">
        <v>0</v>
      </c>
      <c r="BS77" s="16">
        <f t="shared" si="62"/>
        <v>0</v>
      </c>
      <c r="BT77" s="16">
        <f t="shared" si="63"/>
        <v>0</v>
      </c>
      <c r="BU77" s="16">
        <f t="shared" si="64"/>
        <v>0</v>
      </c>
      <c r="BV77" s="16">
        <f t="shared" si="65"/>
        <v>0</v>
      </c>
      <c r="BX77" s="1" t="str">
        <f t="shared" si="32"/>
        <v/>
      </c>
      <c r="BY77" s="1">
        <f t="shared" si="33"/>
        <v>0</v>
      </c>
      <c r="BZ77" s="1">
        <f t="shared" si="66"/>
        <v>0</v>
      </c>
      <c r="CA77" s="1">
        <f t="shared" si="67"/>
        <v>0</v>
      </c>
      <c r="CB77" s="1">
        <f t="shared" si="68"/>
        <v>0</v>
      </c>
      <c r="CC77" s="1">
        <f t="shared" si="69"/>
        <v>0</v>
      </c>
      <c r="CD77" s="1">
        <f t="shared" si="70"/>
        <v>0</v>
      </c>
      <c r="CE77" s="1">
        <f t="shared" si="71"/>
        <v>0</v>
      </c>
      <c r="CR77" s="30" t="s">
        <v>997</v>
      </c>
      <c r="CS77" s="291">
        <v>0</v>
      </c>
      <c r="CT77" s="291">
        <v>0</v>
      </c>
      <c r="CU77" s="291">
        <v>0</v>
      </c>
      <c r="CV77" s="291">
        <v>0</v>
      </c>
      <c r="CW77" s="94" t="s">
        <v>1003</v>
      </c>
      <c r="CX77" s="312">
        <v>0</v>
      </c>
      <c r="CY77" s="184">
        <v>0</v>
      </c>
      <c r="CZ77" s="88">
        <v>0</v>
      </c>
      <c r="DA77" s="88">
        <v>0</v>
      </c>
      <c r="DB77" s="94" t="s">
        <v>69</v>
      </c>
      <c r="DC77" s="87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321">
        <v>0</v>
      </c>
      <c r="DJ77" s="88">
        <v>0</v>
      </c>
    </row>
    <row r="78" spans="1:114" ht="17.25" thickTop="1" thickBot="1">
      <c r="A78" s="17">
        <f t="shared" si="41"/>
        <v>75</v>
      </c>
      <c r="B78" s="38" t="s">
        <v>577</v>
      </c>
      <c r="C78" s="17" t="s">
        <v>146</v>
      </c>
      <c r="D78" s="17">
        <v>1372628411</v>
      </c>
      <c r="E78" s="142" t="str">
        <f t="shared" si="42"/>
        <v>RPSC</v>
      </c>
      <c r="F78" s="16">
        <v>4393002</v>
      </c>
      <c r="G78" s="16">
        <v>4541183</v>
      </c>
      <c r="H78" s="16">
        <v>0</v>
      </c>
      <c r="I78" s="16">
        <v>0</v>
      </c>
      <c r="J78" s="16">
        <v>409408</v>
      </c>
      <c r="K78" s="16">
        <v>409408</v>
      </c>
      <c r="L78" s="16">
        <v>1419</v>
      </c>
      <c r="M78" s="16">
        <v>1419</v>
      </c>
      <c r="N78" s="12" t="s">
        <v>917</v>
      </c>
      <c r="O78" s="12" t="s">
        <v>1019</v>
      </c>
      <c r="P78" s="12" t="s">
        <v>917</v>
      </c>
      <c r="Q78" s="12" t="s">
        <v>917</v>
      </c>
      <c r="R78" s="12" t="s">
        <v>917</v>
      </c>
      <c r="S78" s="12" t="s">
        <v>1019</v>
      </c>
      <c r="T78" s="12" t="s">
        <v>917</v>
      </c>
      <c r="U78" s="12" t="s">
        <v>1019</v>
      </c>
      <c r="V78" s="22">
        <v>148181</v>
      </c>
      <c r="W78" s="22">
        <v>0</v>
      </c>
      <c r="X78" s="22">
        <v>0</v>
      </c>
      <c r="Y78" s="22">
        <v>0</v>
      </c>
      <c r="Z78" s="171">
        <f t="shared" si="34"/>
        <v>4393002</v>
      </c>
      <c r="AA78" s="130" t="str">
        <f t="shared" si="35"/>
        <v>citit</v>
      </c>
      <c r="AB78" s="176">
        <f>Z78+AN78</f>
        <v>4541183</v>
      </c>
      <c r="AC78" s="12" t="s">
        <v>917</v>
      </c>
      <c r="AD78" s="12">
        <f t="shared" si="36"/>
        <v>0</v>
      </c>
      <c r="AE78" s="12">
        <f t="shared" si="36"/>
        <v>0</v>
      </c>
      <c r="AF78" s="12">
        <f t="shared" si="36"/>
        <v>409408</v>
      </c>
      <c r="AG78" s="12" t="str">
        <f t="shared" si="37"/>
        <v>citit</v>
      </c>
      <c r="AH78" s="176">
        <f t="shared" si="44"/>
        <v>409408</v>
      </c>
      <c r="AI78" s="12" t="s">
        <v>917</v>
      </c>
      <c r="AJ78" s="12">
        <f t="shared" si="38"/>
        <v>1419</v>
      </c>
      <c r="AK78" s="12" t="str">
        <f t="shared" si="39"/>
        <v>citit</v>
      </c>
      <c r="AL78" s="175">
        <f t="shared" si="45"/>
        <v>1419</v>
      </c>
      <c r="AM78" s="159" t="s">
        <v>917</v>
      </c>
      <c r="AN78" s="154">
        <f t="shared" si="46"/>
        <v>148181</v>
      </c>
      <c r="AO78" s="14">
        <f t="shared" si="47"/>
        <v>0</v>
      </c>
      <c r="AP78" s="147">
        <f t="shared" si="48"/>
        <v>0</v>
      </c>
      <c r="AQ78" s="147">
        <f t="shared" si="49"/>
        <v>0</v>
      </c>
      <c r="AR78" s="16">
        <v>0</v>
      </c>
      <c r="AS78" s="16">
        <v>0</v>
      </c>
      <c r="AT78" s="1">
        <f t="shared" si="50"/>
        <v>0</v>
      </c>
      <c r="AU78" s="154">
        <f t="shared" si="51"/>
        <v>0</v>
      </c>
      <c r="AV78" s="154">
        <f t="shared" si="52"/>
        <v>0</v>
      </c>
      <c r="AW78" s="154">
        <f t="shared" si="53"/>
        <v>0</v>
      </c>
      <c r="AX78" s="154">
        <f t="shared" si="54"/>
        <v>0</v>
      </c>
      <c r="AY78" s="308" t="str">
        <f t="shared" si="55"/>
        <v>-</v>
      </c>
      <c r="AZ78" s="308">
        <f t="shared" si="40"/>
        <v>459793</v>
      </c>
      <c r="BA78" s="308">
        <f>IFERROR(IF(_xlfn.NUMBERVALUE(RIGHT(B78,LEN(B78)-FIND(".",B78,1)))=COUNTIF('Contorizare in SDI'!$B:$B,LEFT(B78,FIND(".",B78,1)-1))-1,IF((COUNTIF('Contorizare in SDI'!$B:$B,LEFT(B78,FIND(".",B78,1)-1))-1)=1,VLOOKUP(LEFT(B78,FIND(".",B78,1)-1),$B$4:$AZ$68,45,FALSE),VLOOKUP(LEFT(B78,FIND(".",B78,1)-1),$B$4:$AZ$68,45,FALSE)-BB77),ROUNDUP(V78/VLOOKUP(LEFT(B78,FIND(".",B78,1)-1),$AY:$AZ,2,FALSE)*VLOOKUP(LEFT(B78,FIND(".",B78,1)-1),$B$4:$AZ$68,45,FALSE),0)),0)</f>
        <v>0</v>
      </c>
      <c r="BB78" s="308">
        <f t="shared" si="56"/>
        <v>0</v>
      </c>
      <c r="BC78" s="308">
        <f>IFERROR(IF(_xlfn.NUMBERVALUE(RIGHT(B78,LEN(B78)-FIND(".",B78,1)))=COUNTIF('Contorizare in SDI'!$B:$B,LEFT(B78,FIND(".",B78,1)-1))-1,IF((COUNTIF('Contorizare in SDI'!$B:$B,LEFT(B78,FIND(".",B78,1)-1))-1)=1,VLOOKUP(LEFT(B78,FIND(".",B78,1)-1),$B$4:$AZ$68,46,FALSE),VLOOKUP(LEFT(B78,FIND(".",B78,1)-1),$B$4:$AZ$68,46,FALSE)-BD77),ROUNDUP(V78/VLOOKUP(LEFT(B78,FIND(".",B78,1)-1),$AY:$AZ,2,FALSE)*VLOOKUP(LEFT(B78,FIND(".",B78,1)-1),$B$4:$AZ$68,46,FALSE),0)),0)</f>
        <v>0</v>
      </c>
      <c r="BD78" s="308">
        <f t="shared" si="57"/>
        <v>0</v>
      </c>
      <c r="BE78" s="308">
        <f>IFERROR(IF(_xlfn.NUMBERVALUE(RIGHT(B78,LEN(B78)-FIND(".",B78,1)))=COUNTIF('Contorizare in SDI'!$B:$B,LEFT(B78,FIND(".",B78,1)-1))-1,IF((COUNTIF('Contorizare in SDI'!$B:$B,LEFT(B78,FIND(".",B78,1)-1))-1)=1,VLOOKUP(LEFT(B78,FIND(".",B78,1)-1),$B$4:$AZ$68,47,FALSE),VLOOKUP(LEFT(B78,FIND(".",B78,1)-1),$B$4:$AZ$68,47,FALSE)-BF77),ROUNDUP(V78/VLOOKUP(LEFT(B78,FIND(".",B78,1)-1),$AY:$AZ,2,FALSE)*VLOOKUP(LEFT(B78,FIND(".",B78,1)-1),$B$4:$AZ$68,47,FALSE),0)),0)</f>
        <v>0</v>
      </c>
      <c r="BF78" s="308">
        <f t="shared" si="58"/>
        <v>0</v>
      </c>
      <c r="BG78" s="308">
        <f>IFERROR(IF(_xlfn.NUMBERVALUE(RIGHT(B78,LEN(B78)-FIND(".",B78,1)))=COUNTIF('Contorizare in SDI'!$B:$B,LEFT(B78,FIND(".",B78,1)-1))-1,IF((COUNTIF('Contorizare in SDI'!$B:$B,LEFT(B78,FIND(".",B78,1)-1))-1)=1,VLOOKUP(LEFT(B78,FIND(".",B78,1)-1),$B$4:$AZ$68,48,FALSE),VLOOKUP(LEFT(B78,FIND(".",B78,1)-1),$B$4:$AZ$68,48,FALSE)-BH77),ROUNDUP(V78/VLOOKUP(LEFT(B78,FIND(".",B78,1)-1),$AY:$AZ,2,FALSE)*VLOOKUP(LEFT(B78,FIND(".",B78,1)-1),$B$4:$AZ$68,48,FALSE),0)),0)</f>
        <v>0</v>
      </c>
      <c r="BH78" s="308">
        <f t="shared" si="59"/>
        <v>0</v>
      </c>
      <c r="BI78" s="308">
        <f>IFERROR(IF(_xlfn.NUMBERVALUE(RIGHT(B78,LEN(B78)-FIND(".",B78,1)))=COUNTIF('Contorizare in SDI'!$B:$B,LEFT(B78,FIND(".",B78,1)-1))-1,IF((COUNTIF('Contorizare in SDI'!$B:$B,LEFT(B78,FIND(".",B78,1)-1))-1)=1,VLOOKUP(LEFT(B78,FIND(".",B78,1)-1),$B$4:$AZ$68,49,FALSE),VLOOKUP(LEFT(B78,FIND(".",B78,1)-1),$B$4:$AZ$68,49,FALSE)-BJ77),ROUNDUP(V78/VLOOKUP(LEFT(B78,FIND(".",B78,1)-1),$AY:$AZ,2,FALSE)*VLOOKUP(LEFT(B78,FIND(".",B78,1)-1),$B$4:$AZ$68,49,FALSE),0)),0)</f>
        <v>0</v>
      </c>
      <c r="BJ78" s="308">
        <f t="shared" si="60"/>
        <v>0</v>
      </c>
      <c r="BK78" s="4"/>
      <c r="BP78" s="44">
        <f>AT78</f>
        <v>0</v>
      </c>
      <c r="BQ78" s="1">
        <v>0</v>
      </c>
      <c r="BR78" s="1">
        <v>0</v>
      </c>
      <c r="BS78" s="16">
        <f t="shared" si="62"/>
        <v>0</v>
      </c>
      <c r="BT78" s="16">
        <f t="shared" si="63"/>
        <v>0</v>
      </c>
      <c r="BU78" s="16">
        <f t="shared" si="64"/>
        <v>0</v>
      </c>
      <c r="BV78" s="16">
        <f t="shared" si="65"/>
        <v>0</v>
      </c>
      <c r="BX78" s="1" t="str">
        <f t="shared" si="32"/>
        <v/>
      </c>
      <c r="BY78" s="1">
        <f t="shared" si="33"/>
        <v>0</v>
      </c>
      <c r="BZ78" s="1">
        <f t="shared" si="66"/>
        <v>0</v>
      </c>
      <c r="CA78" s="1">
        <f t="shared" si="67"/>
        <v>0</v>
      </c>
      <c r="CB78" s="1">
        <f t="shared" si="68"/>
        <v>0</v>
      </c>
      <c r="CC78" s="1">
        <f t="shared" si="69"/>
        <v>0</v>
      </c>
      <c r="CD78" s="1">
        <f t="shared" si="70"/>
        <v>0</v>
      </c>
      <c r="CE78" s="1">
        <f t="shared" si="71"/>
        <v>0</v>
      </c>
      <c r="CR78" s="86" t="s">
        <v>539</v>
      </c>
      <c r="CS78" s="291">
        <v>1244000</v>
      </c>
      <c r="CT78" s="291">
        <v>0</v>
      </c>
      <c r="CU78" s="291">
        <v>0</v>
      </c>
      <c r="CV78" s="291">
        <v>0</v>
      </c>
      <c r="CW78" s="89" t="s">
        <v>613</v>
      </c>
      <c r="CX78" s="312">
        <v>290715</v>
      </c>
      <c r="CY78" s="184">
        <v>0</v>
      </c>
      <c r="CZ78" s="88">
        <v>64</v>
      </c>
      <c r="DA78" s="88">
        <v>16665</v>
      </c>
      <c r="DB78" s="89" t="s">
        <v>680</v>
      </c>
      <c r="DC78" s="87">
        <v>0</v>
      </c>
      <c r="DD78" s="88">
        <v>56688</v>
      </c>
      <c r="DE78" s="88">
        <v>726</v>
      </c>
      <c r="DF78" s="88">
        <v>3967</v>
      </c>
      <c r="DG78" s="88">
        <v>290715</v>
      </c>
      <c r="DH78" s="88">
        <v>56688</v>
      </c>
      <c r="DI78" s="321">
        <v>0</v>
      </c>
      <c r="DJ78" s="88">
        <v>4361</v>
      </c>
    </row>
    <row r="79" spans="1:114" s="443" customFormat="1" ht="17.25" thickTop="1" thickBot="1">
      <c r="A79" s="531">
        <f t="shared" si="41"/>
        <v>76</v>
      </c>
      <c r="B79" s="531" t="s">
        <v>1188</v>
      </c>
      <c r="C79" s="531" t="s">
        <v>147</v>
      </c>
      <c r="D79" s="531">
        <v>23298242</v>
      </c>
      <c r="E79" s="532" t="str">
        <f t="shared" ref="E79" si="72">LEFT(B79,4)</f>
        <v>RPSC</v>
      </c>
      <c r="F79" s="533">
        <v>2468.7799999999997</v>
      </c>
      <c r="G79" s="533">
        <v>2672.9199999999996</v>
      </c>
      <c r="H79" s="533"/>
      <c r="I79" s="533"/>
      <c r="J79" s="533">
        <v>0</v>
      </c>
      <c r="K79" s="533">
        <v>0</v>
      </c>
      <c r="L79" s="533">
        <v>0</v>
      </c>
      <c r="M79" s="533">
        <v>0</v>
      </c>
      <c r="N79" s="534" t="s">
        <v>917</v>
      </c>
      <c r="O79" s="534" t="s">
        <v>1019</v>
      </c>
      <c r="P79" s="534" t="s">
        <v>917</v>
      </c>
      <c r="Q79" s="534" t="s">
        <v>917</v>
      </c>
      <c r="R79" s="534" t="s">
        <v>917</v>
      </c>
      <c r="S79" s="534" t="s">
        <v>1019</v>
      </c>
      <c r="T79" s="534" t="s">
        <v>917</v>
      </c>
      <c r="U79" s="534" t="s">
        <v>1019</v>
      </c>
      <c r="V79" s="531">
        <v>102070</v>
      </c>
      <c r="W79" s="531">
        <v>0</v>
      </c>
      <c r="X79" s="531">
        <v>0</v>
      </c>
      <c r="Y79" s="531">
        <v>0</v>
      </c>
      <c r="Z79" s="535">
        <f t="shared" ref="Z79" si="73">F79</f>
        <v>2468.7799999999997</v>
      </c>
      <c r="AA79" s="536" t="str">
        <f t="shared" ref="AA79" si="74">IF(Z79&lt;&gt;F79,"corectie","citit")</f>
        <v>citit</v>
      </c>
      <c r="AB79" s="534">
        <f>Z79+AN79/500</f>
        <v>2672.9219999999996</v>
      </c>
      <c r="AC79" s="534" t="s">
        <v>917</v>
      </c>
      <c r="AD79" s="534">
        <f t="shared" ref="AD79" si="75">H79</f>
        <v>0</v>
      </c>
      <c r="AE79" s="534">
        <f t="shared" ref="AE79" si="76">I79</f>
        <v>0</v>
      </c>
      <c r="AF79" s="534">
        <f t="shared" ref="AF79" si="77">J79</f>
        <v>0</v>
      </c>
      <c r="AG79" s="534" t="str">
        <f t="shared" ref="AG79" si="78">IF(J79&lt;&gt;AF79,"corectie","citit")</f>
        <v>citit</v>
      </c>
      <c r="AH79" s="534">
        <f t="shared" ref="AH79" si="79">AF79+AP79</f>
        <v>0</v>
      </c>
      <c r="AI79" s="534" t="s">
        <v>917</v>
      </c>
      <c r="AJ79" s="534">
        <f t="shared" ref="AJ79" si="80">L79</f>
        <v>0</v>
      </c>
      <c r="AK79" s="534" t="str">
        <f t="shared" ref="AK79" si="81">IF(L79&lt;&gt;AJ79,"corectie","citit")</f>
        <v>citit</v>
      </c>
      <c r="AL79" s="537">
        <f t="shared" ref="AL79" si="82">AJ79+AQ79</f>
        <v>0</v>
      </c>
      <c r="AM79" s="538" t="s">
        <v>917</v>
      </c>
      <c r="AN79" s="539">
        <f t="shared" ref="AN79" si="83">V79+AT79</f>
        <v>102071</v>
      </c>
      <c r="AO79" s="533">
        <f t="shared" ref="AO79" si="84">AE79-AD79</f>
        <v>0</v>
      </c>
      <c r="AP79" s="540">
        <f t="shared" ref="AP79" si="85">AU79+AV79</f>
        <v>0</v>
      </c>
      <c r="AQ79" s="540">
        <f t="shared" ref="AQ79" si="86">AW79+AX79</f>
        <v>0</v>
      </c>
      <c r="AR79" s="533">
        <v>0</v>
      </c>
      <c r="AS79" s="533">
        <v>0</v>
      </c>
      <c r="AT79" s="533">
        <f t="shared" ref="AT79" si="87">BA79</f>
        <v>1</v>
      </c>
      <c r="AU79" s="539">
        <f t="shared" ref="AU79" si="88">BC79</f>
        <v>0</v>
      </c>
      <c r="AV79" s="539">
        <f t="shared" ref="AV79" si="89">BE79</f>
        <v>0</v>
      </c>
      <c r="AW79" s="539">
        <f t="shared" ref="AW79" si="90">BG79</f>
        <v>0</v>
      </c>
      <c r="AX79" s="539">
        <f t="shared" ref="AX79" si="91">BI79</f>
        <v>0</v>
      </c>
      <c r="AY79" s="308" t="str">
        <f t="shared" si="55"/>
        <v>RPSC_1</v>
      </c>
      <c r="AZ79" s="308">
        <f t="shared" si="40"/>
        <v>561863</v>
      </c>
      <c r="BA79" s="153">
        <f>IFERROR(IF(_xlfn.NUMBERVALUE(RIGHT(B79,LEN(B79)-FIND(".",B79,1)))=COUNTIF('Contorizare in SDI'!$B:$B,LEFT(B79,FIND(".",B79,1)-1))-1,IF((COUNTIF('Contorizare in SDI'!$B:$B,LEFT(B79,FIND(".",B79,1)-1))-1)=1,VLOOKUP(LEFT(B79,FIND(".",B79,1)-1),$B$4:$AZ$68,45,FALSE),VLOOKUP(LEFT(B79,FIND(".",B79,1)-1),$B$4:$AZ$68,45,FALSE)-BB78),ROUNDUP(V79/VLOOKUP(LEFT(B79,FIND(".",B79,1)-1),$AY:$AZ,2,FALSE)*VLOOKUP(LEFT(B79,FIND(".",B79,1)-1),$B$4:$AZ$68,45,FALSE),0)),0)+1</f>
        <v>1</v>
      </c>
      <c r="BB79" s="308">
        <f t="shared" ref="BB79" si="92">IF(AND(COUNTIF(AY78,"-")=0,AY79&lt;&gt;AY78),BA79,BB78+BA79)</f>
        <v>1</v>
      </c>
      <c r="BC79" s="308">
        <f>IFERROR(IF(_xlfn.NUMBERVALUE(RIGHT(B79,LEN(B79)-FIND(".",B79,1)))=COUNTIF('Contorizare in SDI'!$B:$B,LEFT(B79,FIND(".",B79,1)-1))-1,IF((COUNTIF('Contorizare in SDI'!$B:$B,LEFT(B79,FIND(".",B79,1)-1))-1)=1,VLOOKUP(LEFT(B79,FIND(".",B79,1)-1),$B$4:$AZ$68,46,FALSE),VLOOKUP(LEFT(B79,FIND(".",B79,1)-1),$B$4:$AZ$68,46,FALSE)-BD78),ROUNDUP(V79/VLOOKUP(LEFT(B79,FIND(".",B79,1)-1),$AY:$AZ,2,FALSE)*VLOOKUP(LEFT(B79,FIND(".",B79,1)-1),$B$4:$AZ$68,46,FALSE),0)),0)</f>
        <v>0</v>
      </c>
      <c r="BD79" s="308">
        <f t="shared" ref="BD79" si="93">IF(AND(COUNTIF(AY78,"-")=0,AY79&lt;&gt;AY78),BC79,BD78+BC79)</f>
        <v>0</v>
      </c>
      <c r="BE79" s="308">
        <f>IFERROR(IF(_xlfn.NUMBERVALUE(RIGHT(B79,LEN(B79)-FIND(".",B79,1)))=COUNTIF('Contorizare in SDI'!$B:$B,LEFT(B79,FIND(".",B79,1)-1))-1,IF((COUNTIF('Contorizare in SDI'!$B:$B,LEFT(B79,FIND(".",B79,1)-1))-1)=1,VLOOKUP(LEFT(B79,FIND(".",B79,1)-1),$B$4:$AZ$68,47,FALSE),VLOOKUP(LEFT(B79,FIND(".",B79,1)-1),$B$4:$AZ$68,47,FALSE)-BF78),ROUNDUP(V79/VLOOKUP(LEFT(B79,FIND(".",B79,1)-1),$AY:$AZ,2,FALSE)*VLOOKUP(LEFT(B79,FIND(".",B79,1)-1),$B$4:$AZ$68,47,FALSE),0)),0)</f>
        <v>0</v>
      </c>
      <c r="BF79" s="308">
        <f t="shared" ref="BF79" si="94">IF(AND(COUNTIF(AY78,"-")=0,AY79&lt;&gt;AY78),BE79,BF78+BE79)</f>
        <v>0</v>
      </c>
      <c r="BG79" s="308">
        <f>IFERROR(IF(_xlfn.NUMBERVALUE(RIGHT(B79,LEN(B79)-FIND(".",B79,1)))=COUNTIF('Contorizare in SDI'!$B:$B,LEFT(B79,FIND(".",B79,1)-1))-1,IF((COUNTIF('Contorizare in SDI'!$B:$B,LEFT(B79,FIND(".",B79,1)-1))-1)=1,VLOOKUP(LEFT(B79,FIND(".",B79,1)-1),$B$4:$AZ$68,48,FALSE),VLOOKUP(LEFT(B79,FIND(".",B79,1)-1),$B$4:$AZ$68,48,FALSE)-BH78),ROUNDUP(V79/VLOOKUP(LEFT(B79,FIND(".",B79,1)-1),$AY:$AZ,2,FALSE)*VLOOKUP(LEFT(B79,FIND(".",B79,1)-1),$B$4:$AZ$68,48,FALSE),0)),0)</f>
        <v>0</v>
      </c>
      <c r="BH79" s="308">
        <f t="shared" ref="BH79" si="95">IF(AND(COUNTIF(AY78,"-")=0,AY79&lt;&gt;AY78),BG79,BH78+BG79)</f>
        <v>0</v>
      </c>
      <c r="BI79" s="308">
        <f>IFERROR(IF(_xlfn.NUMBERVALUE(RIGHT(B79,LEN(B79)-FIND(".",B79,1)))=COUNTIF('Contorizare in SDI'!$B:$B,LEFT(B79,FIND(".",B79,1)-1))-1,IF((COUNTIF('Contorizare in SDI'!$B:$B,LEFT(B79,FIND(".",B79,1)-1))-1)=1,VLOOKUP(LEFT(B79,FIND(".",B79,1)-1),$B$4:$AZ$68,49,FALSE),VLOOKUP(LEFT(B79,FIND(".",B79,1)-1),$B$4:$AZ$68,49,FALSE)-BJ78),ROUNDUP(V79/VLOOKUP(LEFT(B79,FIND(".",B79,1)-1),$AY:$AZ,2,FALSE)*VLOOKUP(LEFT(B79,FIND(".",B79,1)-1),$B$4:$AZ$68,49,FALSE),0)),0)</f>
        <v>0</v>
      </c>
      <c r="BJ79" s="308">
        <f t="shared" ref="BJ79" si="96">IF(AND(COUNTIF(AY78,"-")=0,AY79&lt;&gt;AY78),BI79,BJ78+BI79)</f>
        <v>0</v>
      </c>
      <c r="BK79" s="541"/>
      <c r="BP79" s="44">
        <f>AT79</f>
        <v>1</v>
      </c>
      <c r="BQ79" s="1">
        <v>0</v>
      </c>
      <c r="BR79" s="1">
        <v>0</v>
      </c>
      <c r="BS79" s="16">
        <f t="shared" ref="BS79" si="97">AU79</f>
        <v>0</v>
      </c>
      <c r="BT79" s="16">
        <f t="shared" ref="BT79" si="98">AV79</f>
        <v>0</v>
      </c>
      <c r="BU79" s="16">
        <f t="shared" ref="BU79" si="99">AW79</f>
        <v>0</v>
      </c>
      <c r="BV79" s="16">
        <f t="shared" ref="BV79" si="100">AX79</f>
        <v>0</v>
      </c>
      <c r="BX79" s="1" t="str">
        <f t="shared" si="32"/>
        <v/>
      </c>
      <c r="BY79" s="1">
        <f t="shared" si="33"/>
        <v>1</v>
      </c>
      <c r="BZ79" s="533"/>
      <c r="CA79" s="533"/>
      <c r="CB79" s="533"/>
      <c r="CC79" s="533"/>
      <c r="CD79" s="533"/>
      <c r="CE79" s="533"/>
      <c r="CR79" s="30" t="s">
        <v>539</v>
      </c>
      <c r="CS79" s="291">
        <v>1244000</v>
      </c>
      <c r="CT79" s="291">
        <v>0</v>
      </c>
      <c r="CU79" s="291">
        <v>0</v>
      </c>
      <c r="CV79" s="291">
        <v>0</v>
      </c>
      <c r="CW79" s="29" t="s">
        <v>614</v>
      </c>
      <c r="CX79" s="312">
        <v>301914</v>
      </c>
      <c r="CY79" s="184">
        <v>0</v>
      </c>
      <c r="CZ79" s="88">
        <v>10325</v>
      </c>
      <c r="DA79" s="88">
        <v>6438</v>
      </c>
      <c r="DB79" s="29" t="s">
        <v>69</v>
      </c>
      <c r="DC79" s="87">
        <v>0</v>
      </c>
      <c r="DD79" s="88">
        <v>0</v>
      </c>
      <c r="DE79" s="88">
        <v>0</v>
      </c>
      <c r="DF79" s="88">
        <v>0</v>
      </c>
      <c r="DG79" s="88">
        <v>301914</v>
      </c>
      <c r="DH79" s="88">
        <v>0</v>
      </c>
      <c r="DI79" s="1">
        <v>0</v>
      </c>
      <c r="DJ79" s="88">
        <v>4529</v>
      </c>
    </row>
    <row r="80" spans="1:114" ht="17.25" thickTop="1" thickBot="1">
      <c r="A80" s="531">
        <f t="shared" si="41"/>
        <v>77</v>
      </c>
      <c r="B80" s="38" t="s">
        <v>578</v>
      </c>
      <c r="C80" s="17" t="s">
        <v>498</v>
      </c>
      <c r="D80" s="17" t="s">
        <v>924</v>
      </c>
      <c r="E80" s="142" t="str">
        <f t="shared" si="42"/>
        <v>RPSC</v>
      </c>
      <c r="F80" s="16">
        <v>15618</v>
      </c>
      <c r="G80" s="16">
        <v>15618</v>
      </c>
      <c r="H80" s="16">
        <v>0</v>
      </c>
      <c r="I80" s="16">
        <v>0</v>
      </c>
      <c r="J80" s="16">
        <v>442</v>
      </c>
      <c r="K80" s="16">
        <v>442</v>
      </c>
      <c r="L80" s="16">
        <v>812</v>
      </c>
      <c r="M80" s="16">
        <v>812</v>
      </c>
      <c r="N80" s="12" t="s">
        <v>917</v>
      </c>
      <c r="O80" s="12" t="s">
        <v>1019</v>
      </c>
      <c r="P80" s="12" t="s">
        <v>917</v>
      </c>
      <c r="Q80" s="12" t="s">
        <v>917</v>
      </c>
      <c r="R80" s="12" t="s">
        <v>917</v>
      </c>
      <c r="S80" s="12" t="s">
        <v>1019</v>
      </c>
      <c r="T80" s="12" t="s">
        <v>917</v>
      </c>
      <c r="U80" s="12" t="s">
        <v>1019</v>
      </c>
      <c r="V80" s="22">
        <v>0</v>
      </c>
      <c r="W80" s="22">
        <v>0</v>
      </c>
      <c r="X80" s="22">
        <v>0</v>
      </c>
      <c r="Y80" s="22">
        <v>0</v>
      </c>
      <c r="Z80" s="171">
        <f t="shared" si="34"/>
        <v>15618</v>
      </c>
      <c r="AA80" s="130" t="str">
        <f t="shared" si="35"/>
        <v>citit</v>
      </c>
      <c r="AB80" s="176">
        <f>Z80+AN80</f>
        <v>15618</v>
      </c>
      <c r="AC80" s="12" t="s">
        <v>917</v>
      </c>
      <c r="AD80" s="12">
        <f t="shared" si="36"/>
        <v>0</v>
      </c>
      <c r="AE80" s="12">
        <f t="shared" si="36"/>
        <v>0</v>
      </c>
      <c r="AF80" s="12">
        <f t="shared" si="36"/>
        <v>442</v>
      </c>
      <c r="AG80" s="12" t="str">
        <f t="shared" si="37"/>
        <v>citit</v>
      </c>
      <c r="AH80" s="176">
        <f t="shared" si="44"/>
        <v>442</v>
      </c>
      <c r="AI80" s="12" t="s">
        <v>917</v>
      </c>
      <c r="AJ80" s="12">
        <f t="shared" si="38"/>
        <v>812</v>
      </c>
      <c r="AK80" s="12" t="str">
        <f t="shared" si="39"/>
        <v>citit</v>
      </c>
      <c r="AL80" s="175">
        <f t="shared" si="45"/>
        <v>812</v>
      </c>
      <c r="AM80" s="159" t="s">
        <v>917</v>
      </c>
      <c r="AN80" s="154">
        <f t="shared" si="46"/>
        <v>0</v>
      </c>
      <c r="AO80" s="14">
        <f t="shared" si="47"/>
        <v>0</v>
      </c>
      <c r="AP80" s="147">
        <f t="shared" si="48"/>
        <v>0</v>
      </c>
      <c r="AQ80" s="147">
        <f t="shared" si="49"/>
        <v>0</v>
      </c>
      <c r="AR80" s="16">
        <v>0</v>
      </c>
      <c r="AS80" s="16">
        <v>0</v>
      </c>
      <c r="AT80" s="1">
        <f t="shared" si="50"/>
        <v>0</v>
      </c>
      <c r="AU80" s="154">
        <f t="shared" si="51"/>
        <v>0</v>
      </c>
      <c r="AV80" s="154">
        <f t="shared" si="52"/>
        <v>0</v>
      </c>
      <c r="AW80" s="154">
        <f t="shared" si="53"/>
        <v>0</v>
      </c>
      <c r="AX80" s="154">
        <f t="shared" si="54"/>
        <v>0</v>
      </c>
      <c r="AY80" s="308" t="str">
        <f t="shared" si="55"/>
        <v>-</v>
      </c>
      <c r="AZ80" s="308">
        <f>IF(AND(COUNTIF(AY78,"-")=0,AY80&lt;&gt;AY78),V80,AZ78+V80)</f>
        <v>459793</v>
      </c>
      <c r="BA80" s="308">
        <f>IFERROR(IF(_xlfn.NUMBERVALUE(RIGHT(B80,LEN(B80)-FIND(".",B80,1)))=COUNTIF('Contorizare in SDI'!$B:$B,LEFT(B80,FIND(".",B80,1)-1))-1,IF((COUNTIF('Contorizare in SDI'!$B:$B,LEFT(B80,FIND(".",B80,1)-1))-1)=1,VLOOKUP(LEFT(B80,FIND(".",B80,1)-1),$B$4:$AZ$68,45,FALSE),VLOOKUP(LEFT(B80,FIND(".",B80,1)-1),$B$4:$AZ$68,45,FALSE)-BB78),ROUNDUP(V80/VLOOKUP(LEFT(B80,FIND(".",B80,1)-1),$AY:$AZ,2,FALSE)*VLOOKUP(LEFT(B80,FIND(".",B80,1)-1),$B$4:$AZ$68,45,FALSE),0)),0)</f>
        <v>0</v>
      </c>
      <c r="BB80" s="308">
        <f>IF(AND(COUNTIF(AY78,"-")=0,AY80&lt;&gt;AY78),BA80,BB78+BA80)</f>
        <v>0</v>
      </c>
      <c r="BC80" s="308">
        <f>IFERROR(IF(_xlfn.NUMBERVALUE(RIGHT(B80,LEN(B80)-FIND(".",B80,1)))=COUNTIF('Contorizare in SDI'!$B:$B,LEFT(B80,FIND(".",B80,1)-1))-1,IF((COUNTIF('Contorizare in SDI'!$B:$B,LEFT(B80,FIND(".",B80,1)-1))-1)=1,VLOOKUP(LEFT(B80,FIND(".",B80,1)-1),$B$4:$AZ$68,46,FALSE),VLOOKUP(LEFT(B80,FIND(".",B80,1)-1),$B$4:$AZ$68,46,FALSE)-BD78),ROUNDUP(V80/VLOOKUP(LEFT(B80,FIND(".",B80,1)-1),$AY:$AZ,2,FALSE)*VLOOKUP(LEFT(B80,FIND(".",B80,1)-1),$B$4:$AZ$68,46,FALSE),0)),0)</f>
        <v>0</v>
      </c>
      <c r="BD80" s="308">
        <f>IF(AND(COUNTIF(AY78,"-")=0,AY80&lt;&gt;AY78),BC80,BD78+BC80)</f>
        <v>0</v>
      </c>
      <c r="BE80" s="308">
        <f>IFERROR(IF(_xlfn.NUMBERVALUE(RIGHT(B80,LEN(B80)-FIND(".",B80,1)))=COUNTIF('Contorizare in SDI'!$B:$B,LEFT(B80,FIND(".",B80,1)-1))-1,IF((COUNTIF('Contorizare in SDI'!$B:$B,LEFT(B80,FIND(".",B80,1)-1))-1)=1,VLOOKUP(LEFT(B80,FIND(".",B80,1)-1),$B$4:$AZ$68,47,FALSE),VLOOKUP(LEFT(B80,FIND(".",B80,1)-1),$B$4:$AZ$68,47,FALSE)-BF78),ROUNDUP(V80/VLOOKUP(LEFT(B80,FIND(".",B80,1)-1),$AY:$AZ,2,FALSE)*VLOOKUP(LEFT(B80,FIND(".",B80,1)-1),$B$4:$AZ$68,47,FALSE),0)),0)</f>
        <v>0</v>
      </c>
      <c r="BF80" s="308">
        <f>IF(AND(COUNTIF(AY78,"-")=0,AY80&lt;&gt;AY78),BE80,BF78+BE80)</f>
        <v>0</v>
      </c>
      <c r="BG80" s="308">
        <f>IFERROR(IF(_xlfn.NUMBERVALUE(RIGHT(B80,LEN(B80)-FIND(".",B80,1)))=COUNTIF('Contorizare in SDI'!$B:$B,LEFT(B80,FIND(".",B80,1)-1))-1,IF((COUNTIF('Contorizare in SDI'!$B:$B,LEFT(B80,FIND(".",B80,1)-1))-1)=1,VLOOKUP(LEFT(B80,FIND(".",B80,1)-1),$B$4:$AZ$68,48,FALSE),VLOOKUP(LEFT(B80,FIND(".",B80,1)-1),$B$4:$AZ$68,48,FALSE)-BH78),ROUNDUP(V80/VLOOKUP(LEFT(B80,FIND(".",B80,1)-1),$AY:$AZ,2,FALSE)*VLOOKUP(LEFT(B80,FIND(".",B80,1)-1),$B$4:$AZ$68,48,FALSE),0)),0)</f>
        <v>0</v>
      </c>
      <c r="BH80" s="308">
        <f>IF(AND(COUNTIF(AY78,"-")=0,AY80&lt;&gt;AY78),BG80,BH78+BG80)</f>
        <v>0</v>
      </c>
      <c r="BI80" s="308">
        <f>IFERROR(IF(_xlfn.NUMBERVALUE(RIGHT(B80,LEN(B80)-FIND(".",B80,1)))=COUNTIF('Contorizare in SDI'!$B:$B,LEFT(B80,FIND(".",B80,1)-1))-1,IF((COUNTIF('Contorizare in SDI'!$B:$B,LEFT(B80,FIND(".",B80,1)-1))-1)=1,VLOOKUP(LEFT(B80,FIND(".",B80,1)-1),$B$4:$AZ$68,49,FALSE),VLOOKUP(LEFT(B80,FIND(".",B80,1)-1),$B$4:$AZ$68,49,FALSE)-BJ78),ROUNDUP(V80/VLOOKUP(LEFT(B80,FIND(".",B80,1)-1),$AY:$AZ,2,FALSE)*VLOOKUP(LEFT(B80,FIND(".",B80,1)-1),$B$4:$AZ$68,49,FALSE),0)),0)</f>
        <v>0</v>
      </c>
      <c r="BJ80" s="308">
        <f>IF(AND(COUNTIF(AY78,"-")=0,AY80&lt;&gt;AY78),BI80,BJ78+BI80)</f>
        <v>0</v>
      </c>
      <c r="BK80" s="4"/>
      <c r="BP80" s="44">
        <f t="shared" si="61"/>
        <v>0</v>
      </c>
      <c r="BQ80" s="1">
        <v>0</v>
      </c>
      <c r="BR80" s="1">
        <v>0</v>
      </c>
      <c r="BS80" s="16">
        <f t="shared" si="62"/>
        <v>0</v>
      </c>
      <c r="BT80" s="16">
        <f t="shared" si="63"/>
        <v>0</v>
      </c>
      <c r="BU80" s="16">
        <f t="shared" si="64"/>
        <v>0</v>
      </c>
      <c r="BV80" s="16">
        <f t="shared" si="65"/>
        <v>0</v>
      </c>
      <c r="BX80" s="1" t="str">
        <f t="shared" si="32"/>
        <v/>
      </c>
      <c r="BY80" s="1">
        <f t="shared" si="33"/>
        <v>1</v>
      </c>
      <c r="BZ80" s="1">
        <f>IF(LEFT(B80,4)&lt;&gt;LEFT(B78,4),BQ80,BQ80+BZ78)</f>
        <v>0</v>
      </c>
      <c r="CA80" s="1">
        <f>IF(LEFT(B80,4)&lt;&gt;LEFT(B78,4),BR80,BR80+CA78)</f>
        <v>0</v>
      </c>
      <c r="CB80" s="1">
        <f>IF(LEFT(B80,4)&lt;&gt;LEFT(B78,4),BS80,BS80+CB78)</f>
        <v>0</v>
      </c>
      <c r="CC80" s="1">
        <f>IF(LEFT(B80,4)&lt;&gt;LEFT(B78,4),BT80,BT80+CC78)</f>
        <v>0</v>
      </c>
      <c r="CD80" s="1">
        <f>IF(LEFT(B80,4)&lt;&gt;LEFT(B78,4),BU80,BU80+CD78)</f>
        <v>0</v>
      </c>
      <c r="CE80" s="1">
        <f>IF(LEFT(B80,4)&lt;&gt;LEFT(B78,4),BV80,BV80+CE78)</f>
        <v>0</v>
      </c>
      <c r="CR80" s="30" t="s">
        <v>539</v>
      </c>
      <c r="CS80" s="291">
        <v>1244000</v>
      </c>
      <c r="CT80" s="291">
        <v>0</v>
      </c>
      <c r="CU80" s="291">
        <v>0</v>
      </c>
      <c r="CV80" s="291">
        <v>0</v>
      </c>
      <c r="CW80" s="29" t="s">
        <v>615</v>
      </c>
      <c r="CX80" s="312">
        <v>389045</v>
      </c>
      <c r="CY80" s="184">
        <v>0</v>
      </c>
      <c r="CZ80" s="88">
        <v>0</v>
      </c>
      <c r="DA80" s="88">
        <v>0</v>
      </c>
      <c r="DB80" s="29" t="s">
        <v>69</v>
      </c>
      <c r="DC80" s="87">
        <v>0</v>
      </c>
      <c r="DD80" s="88">
        <v>0</v>
      </c>
      <c r="DE80" s="88">
        <v>0</v>
      </c>
      <c r="DF80" s="88">
        <v>0</v>
      </c>
      <c r="DG80" s="88">
        <v>389045</v>
      </c>
      <c r="DH80" s="88">
        <v>0</v>
      </c>
      <c r="DI80" s="321">
        <v>0</v>
      </c>
      <c r="DJ80" s="88">
        <v>5836</v>
      </c>
    </row>
    <row r="81" spans="1:114" ht="17.25" thickTop="1" thickBot="1">
      <c r="A81" s="531">
        <f t="shared" si="41"/>
        <v>78</v>
      </c>
      <c r="B81" s="38" t="s">
        <v>579</v>
      </c>
      <c r="C81" s="17" t="s">
        <v>502</v>
      </c>
      <c r="D81" s="17" t="s">
        <v>925</v>
      </c>
      <c r="E81" s="142" t="str">
        <f t="shared" si="42"/>
        <v>RPSC</v>
      </c>
      <c r="F81" s="16">
        <v>0</v>
      </c>
      <c r="G81" s="16">
        <v>0</v>
      </c>
      <c r="H81" s="16">
        <v>0</v>
      </c>
      <c r="I81" s="16">
        <v>0</v>
      </c>
      <c r="J81" s="16">
        <v>814</v>
      </c>
      <c r="K81" s="16">
        <v>814</v>
      </c>
      <c r="L81" s="16">
        <v>888</v>
      </c>
      <c r="M81" s="16">
        <v>888</v>
      </c>
      <c r="N81" s="12" t="s">
        <v>917</v>
      </c>
      <c r="O81" s="12" t="s">
        <v>1019</v>
      </c>
      <c r="P81" s="12" t="s">
        <v>917</v>
      </c>
      <c r="Q81" s="12" t="s">
        <v>917</v>
      </c>
      <c r="R81" s="12" t="s">
        <v>917</v>
      </c>
      <c r="S81" s="12" t="s">
        <v>1019</v>
      </c>
      <c r="T81" s="12" t="s">
        <v>917</v>
      </c>
      <c r="U81" s="12" t="s">
        <v>1019</v>
      </c>
      <c r="V81" s="22">
        <v>0</v>
      </c>
      <c r="W81" s="22">
        <v>0</v>
      </c>
      <c r="X81" s="22">
        <v>0</v>
      </c>
      <c r="Y81" s="22">
        <v>0</v>
      </c>
      <c r="Z81" s="171">
        <f t="shared" si="34"/>
        <v>0</v>
      </c>
      <c r="AA81" s="130" t="str">
        <f t="shared" si="35"/>
        <v>citit</v>
      </c>
      <c r="AB81" s="176">
        <f t="shared" si="43"/>
        <v>0</v>
      </c>
      <c r="AC81" s="12" t="s">
        <v>917</v>
      </c>
      <c r="AD81" s="12">
        <f t="shared" si="36"/>
        <v>0</v>
      </c>
      <c r="AE81" s="12">
        <f t="shared" si="36"/>
        <v>0</v>
      </c>
      <c r="AF81" s="12">
        <f t="shared" si="36"/>
        <v>814</v>
      </c>
      <c r="AG81" s="12" t="str">
        <f t="shared" si="37"/>
        <v>citit</v>
      </c>
      <c r="AH81" s="176">
        <f t="shared" si="44"/>
        <v>814</v>
      </c>
      <c r="AI81" s="12" t="s">
        <v>917</v>
      </c>
      <c r="AJ81" s="12">
        <f t="shared" si="38"/>
        <v>888</v>
      </c>
      <c r="AK81" s="12" t="str">
        <f t="shared" si="39"/>
        <v>citit</v>
      </c>
      <c r="AL81" s="175">
        <f t="shared" si="45"/>
        <v>888</v>
      </c>
      <c r="AM81" s="159" t="s">
        <v>917</v>
      </c>
      <c r="AN81" s="154">
        <f t="shared" si="46"/>
        <v>0</v>
      </c>
      <c r="AO81" s="14">
        <f t="shared" si="47"/>
        <v>0</v>
      </c>
      <c r="AP81" s="147">
        <f t="shared" si="48"/>
        <v>0</v>
      </c>
      <c r="AQ81" s="147">
        <f t="shared" si="49"/>
        <v>0</v>
      </c>
      <c r="AR81" s="16">
        <v>0</v>
      </c>
      <c r="AS81" s="16">
        <v>0</v>
      </c>
      <c r="AT81" s="1">
        <f t="shared" si="50"/>
        <v>0</v>
      </c>
      <c r="AU81" s="154">
        <f t="shared" si="51"/>
        <v>0</v>
      </c>
      <c r="AV81" s="154">
        <f t="shared" si="52"/>
        <v>0</v>
      </c>
      <c r="AW81" s="154">
        <f t="shared" si="53"/>
        <v>0</v>
      </c>
      <c r="AX81" s="154">
        <f t="shared" si="54"/>
        <v>0</v>
      </c>
      <c r="AY81" s="308" t="str">
        <f t="shared" si="55"/>
        <v>RPSC_2</v>
      </c>
      <c r="AZ81" s="308">
        <f t="shared" si="40"/>
        <v>459793</v>
      </c>
      <c r="BA81" s="308">
        <f>IFERROR(IF(_xlfn.NUMBERVALUE(RIGHT(B81,LEN(B81)-FIND(".",B81,1)))=COUNTIF('Contorizare in SDI'!$B:$B,LEFT(B81,FIND(".",B81,1)-1))-1,IF((COUNTIF('Contorizare in SDI'!$B:$B,LEFT(B81,FIND(".",B81,1)-1))-1)=1,VLOOKUP(LEFT(B81,FIND(".",B81,1)-1),$B$4:$AZ$68,45,FALSE),VLOOKUP(LEFT(B81,FIND(".",B81,1)-1),$B$4:$AZ$68,45,FALSE)-BB80),ROUNDUP(V81/VLOOKUP(LEFT(B81,FIND(".",B81,1)-1),$AY:$AZ,2,FALSE)*VLOOKUP(LEFT(B81,FIND(".",B81,1)-1),$B$4:$AZ$68,45,FALSE),0)),0)</f>
        <v>0</v>
      </c>
      <c r="BB81" s="308">
        <f t="shared" si="56"/>
        <v>0</v>
      </c>
      <c r="BC81" s="308">
        <f>IFERROR(IF(_xlfn.NUMBERVALUE(RIGHT(B81,LEN(B81)-FIND(".",B81,1)))=COUNTIF('Contorizare in SDI'!$B:$B,LEFT(B81,FIND(".",B81,1)-1))-1,IF((COUNTIF('Contorizare in SDI'!$B:$B,LEFT(B81,FIND(".",B81,1)-1))-1)=1,VLOOKUP(LEFT(B81,FIND(".",B81,1)-1),$B$4:$AZ$68,46,FALSE),VLOOKUP(LEFT(B81,FIND(".",B81,1)-1),$B$4:$AZ$68,46,FALSE)-BD80),ROUNDUP(V81/VLOOKUP(LEFT(B81,FIND(".",B81,1)-1),$AY:$AZ,2,FALSE)*VLOOKUP(LEFT(B81,FIND(".",B81,1)-1),$B$4:$AZ$68,46,FALSE),0)),0)</f>
        <v>0</v>
      </c>
      <c r="BD81" s="308">
        <f t="shared" si="57"/>
        <v>0</v>
      </c>
      <c r="BE81" s="308">
        <f>IFERROR(IF(_xlfn.NUMBERVALUE(RIGHT(B81,LEN(B81)-FIND(".",B81,1)))=COUNTIF('Contorizare in SDI'!$B:$B,LEFT(B81,FIND(".",B81,1)-1))-1,IF((COUNTIF('Contorizare in SDI'!$B:$B,LEFT(B81,FIND(".",B81,1)-1))-1)=1,VLOOKUP(LEFT(B81,FIND(".",B81,1)-1),$B$4:$AZ$68,47,FALSE),VLOOKUP(LEFT(B81,FIND(".",B81,1)-1),$B$4:$AZ$68,47,FALSE)-BF80),ROUNDUP(V81/VLOOKUP(LEFT(B81,FIND(".",B81,1)-1),$AY:$AZ,2,FALSE)*VLOOKUP(LEFT(B81,FIND(".",B81,1)-1),$B$4:$AZ$68,47,FALSE),0)),0)</f>
        <v>0</v>
      </c>
      <c r="BF81" s="308">
        <f t="shared" si="58"/>
        <v>0</v>
      </c>
      <c r="BG81" s="308">
        <f>IFERROR(IF(_xlfn.NUMBERVALUE(RIGHT(B81,LEN(B81)-FIND(".",B81,1)))=COUNTIF('Contorizare in SDI'!$B:$B,LEFT(B81,FIND(".",B81,1)-1))-1,IF((COUNTIF('Contorizare in SDI'!$B:$B,LEFT(B81,FIND(".",B81,1)-1))-1)=1,VLOOKUP(LEFT(B81,FIND(".",B81,1)-1),$B$4:$AZ$68,48,FALSE),VLOOKUP(LEFT(B81,FIND(".",B81,1)-1),$B$4:$AZ$68,48,FALSE)-BH80),ROUNDUP(V81/VLOOKUP(LEFT(B81,FIND(".",B81,1)-1),$AY:$AZ,2,FALSE)*VLOOKUP(LEFT(B81,FIND(".",B81,1)-1),$B$4:$AZ$68,48,FALSE),0)),0)</f>
        <v>0</v>
      </c>
      <c r="BH81" s="308">
        <f t="shared" si="59"/>
        <v>0</v>
      </c>
      <c r="BI81" s="308">
        <f>IFERROR(IF(_xlfn.NUMBERVALUE(RIGHT(B81,LEN(B81)-FIND(".",B81,1)))=COUNTIF('Contorizare in SDI'!$B:$B,LEFT(B81,FIND(".",B81,1)-1))-1,IF((COUNTIF('Contorizare in SDI'!$B:$B,LEFT(B81,FIND(".",B81,1)-1))-1)=1,VLOOKUP(LEFT(B81,FIND(".",B81,1)-1),$B$4:$AZ$68,49,FALSE),VLOOKUP(LEFT(B81,FIND(".",B81,1)-1),$B$4:$AZ$68,49,FALSE)-BJ80),ROUNDUP(V81/VLOOKUP(LEFT(B81,FIND(".",B81,1)-1),$AY:$AZ,2,FALSE)*VLOOKUP(LEFT(B81,FIND(".",B81,1)-1),$B$4:$AZ$68,49,FALSE),0)),0)</f>
        <v>0</v>
      </c>
      <c r="BJ81" s="308">
        <f t="shared" si="60"/>
        <v>0</v>
      </c>
      <c r="BK81" s="4"/>
      <c r="BP81" s="44">
        <f t="shared" si="61"/>
        <v>0</v>
      </c>
      <c r="BQ81" s="1">
        <v>0</v>
      </c>
      <c r="BR81" s="1">
        <v>0</v>
      </c>
      <c r="BS81" s="16">
        <f t="shared" si="62"/>
        <v>0</v>
      </c>
      <c r="BT81" s="16">
        <f t="shared" si="63"/>
        <v>0</v>
      </c>
      <c r="BU81" s="16">
        <f t="shared" si="64"/>
        <v>0</v>
      </c>
      <c r="BV81" s="16">
        <f t="shared" si="65"/>
        <v>0</v>
      </c>
      <c r="BX81" s="1" t="str">
        <f t="shared" si="32"/>
        <v>RPSC</v>
      </c>
      <c r="BY81" s="1">
        <f t="shared" si="33"/>
        <v>1</v>
      </c>
      <c r="BZ81" s="1">
        <f t="shared" si="66"/>
        <v>0</v>
      </c>
      <c r="CA81" s="1">
        <f t="shared" si="67"/>
        <v>0</v>
      </c>
      <c r="CB81" s="1">
        <f t="shared" si="68"/>
        <v>0</v>
      </c>
      <c r="CC81" s="1">
        <f t="shared" si="69"/>
        <v>0</v>
      </c>
      <c r="CD81" s="1">
        <f t="shared" si="70"/>
        <v>0</v>
      </c>
      <c r="CE81" s="1">
        <f t="shared" si="71"/>
        <v>0</v>
      </c>
      <c r="CR81" s="30" t="s">
        <v>539</v>
      </c>
      <c r="CS81" s="291">
        <v>1244000</v>
      </c>
      <c r="CT81" s="291">
        <v>0</v>
      </c>
      <c r="CU81" s="291">
        <v>0</v>
      </c>
      <c r="CV81" s="291">
        <v>0</v>
      </c>
      <c r="CW81" s="29" t="s">
        <v>616</v>
      </c>
      <c r="CX81" s="312">
        <v>243666</v>
      </c>
      <c r="CY81" s="184">
        <v>0</v>
      </c>
      <c r="CZ81" s="88">
        <v>0</v>
      </c>
      <c r="DA81" s="88">
        <v>1954</v>
      </c>
      <c r="DB81" s="29" t="s">
        <v>69</v>
      </c>
      <c r="DC81" s="87">
        <v>0</v>
      </c>
      <c r="DD81" s="88">
        <v>0</v>
      </c>
      <c r="DE81" s="88">
        <v>0</v>
      </c>
      <c r="DF81" s="88">
        <v>0</v>
      </c>
      <c r="DG81" s="88">
        <v>243666</v>
      </c>
      <c r="DH81" s="88">
        <v>0</v>
      </c>
      <c r="DI81" s="321">
        <v>0</v>
      </c>
      <c r="DJ81" s="88">
        <v>3934</v>
      </c>
    </row>
    <row r="82" spans="1:114" ht="17.25" thickTop="1" thickBot="1">
      <c r="A82" s="531">
        <f t="shared" si="41"/>
        <v>79</v>
      </c>
      <c r="B82" s="38" t="s">
        <v>580</v>
      </c>
      <c r="C82" s="17" t="s">
        <v>150</v>
      </c>
      <c r="D82" s="17">
        <v>1372745265</v>
      </c>
      <c r="E82" s="142" t="str">
        <f t="shared" si="42"/>
        <v>RSCP</v>
      </c>
      <c r="F82" s="16">
        <v>3229067</v>
      </c>
      <c r="G82" s="16">
        <v>3395132</v>
      </c>
      <c r="H82" s="16">
        <v>0</v>
      </c>
      <c r="I82" s="16">
        <v>0</v>
      </c>
      <c r="J82" s="16">
        <v>136228</v>
      </c>
      <c r="K82" s="16">
        <v>136228</v>
      </c>
      <c r="L82" s="16">
        <v>20388</v>
      </c>
      <c r="M82" s="16">
        <v>20388</v>
      </c>
      <c r="N82" s="12" t="s">
        <v>917</v>
      </c>
      <c r="O82" s="12" t="s">
        <v>1019</v>
      </c>
      <c r="P82" s="12" t="s">
        <v>917</v>
      </c>
      <c r="Q82" s="12" t="s">
        <v>917</v>
      </c>
      <c r="R82" s="12" t="s">
        <v>917</v>
      </c>
      <c r="S82" s="12" t="s">
        <v>1019</v>
      </c>
      <c r="T82" s="12" t="s">
        <v>917</v>
      </c>
      <c r="U82" s="12" t="s">
        <v>1019</v>
      </c>
      <c r="V82" s="22">
        <v>166065</v>
      </c>
      <c r="W82" s="22">
        <v>0</v>
      </c>
      <c r="X82" s="22">
        <v>0</v>
      </c>
      <c r="Y82" s="22">
        <v>0</v>
      </c>
      <c r="Z82" s="171">
        <f t="shared" si="34"/>
        <v>3229067</v>
      </c>
      <c r="AA82" s="130" t="str">
        <f t="shared" si="35"/>
        <v>citit</v>
      </c>
      <c r="AB82" s="176">
        <f t="shared" si="43"/>
        <v>3395132</v>
      </c>
      <c r="AC82" s="12" t="s">
        <v>917</v>
      </c>
      <c r="AD82" s="12">
        <f t="shared" si="36"/>
        <v>0</v>
      </c>
      <c r="AE82" s="12">
        <f t="shared" si="36"/>
        <v>0</v>
      </c>
      <c r="AF82" s="12">
        <f t="shared" si="36"/>
        <v>136228</v>
      </c>
      <c r="AG82" s="12" t="str">
        <f t="shared" si="37"/>
        <v>citit</v>
      </c>
      <c r="AH82" s="176">
        <f t="shared" si="44"/>
        <v>136501</v>
      </c>
      <c r="AI82" s="12" t="s">
        <v>917</v>
      </c>
      <c r="AJ82" s="12">
        <f t="shared" si="38"/>
        <v>20388</v>
      </c>
      <c r="AK82" s="12" t="str">
        <f t="shared" si="39"/>
        <v>citit</v>
      </c>
      <c r="AL82" s="175">
        <f t="shared" si="45"/>
        <v>20388</v>
      </c>
      <c r="AM82" s="159" t="s">
        <v>917</v>
      </c>
      <c r="AN82" s="154">
        <f t="shared" si="46"/>
        <v>166065</v>
      </c>
      <c r="AO82" s="14">
        <f t="shared" si="47"/>
        <v>0</v>
      </c>
      <c r="AP82" s="147">
        <f t="shared" si="48"/>
        <v>273</v>
      </c>
      <c r="AQ82" s="147">
        <f t="shared" si="49"/>
        <v>0</v>
      </c>
      <c r="AR82" s="16">
        <v>0</v>
      </c>
      <c r="AS82" s="16">
        <v>0</v>
      </c>
      <c r="AT82" s="1">
        <f t="shared" si="50"/>
        <v>0</v>
      </c>
      <c r="AU82" s="154">
        <f t="shared" si="51"/>
        <v>233</v>
      </c>
      <c r="AV82" s="154">
        <f t="shared" si="52"/>
        <v>40</v>
      </c>
      <c r="AW82" s="154">
        <f t="shared" si="53"/>
        <v>0</v>
      </c>
      <c r="AX82" s="154">
        <f t="shared" si="54"/>
        <v>0</v>
      </c>
      <c r="AY82" s="308" t="str">
        <f t="shared" si="55"/>
        <v>-</v>
      </c>
      <c r="AZ82" s="308">
        <f t="shared" si="40"/>
        <v>166065</v>
      </c>
      <c r="BA82" s="308">
        <f>IFERROR(IF(_xlfn.NUMBERVALUE(RIGHT(B82,LEN(B82)-FIND(".",B82,1)))=COUNTIF('Contorizare in SDI'!$B:$B,LEFT(B82,FIND(".",B82,1)-1))-1,IF((COUNTIF('Contorizare in SDI'!$B:$B,LEFT(B82,FIND(".",B82,1)-1))-1)=1,VLOOKUP(LEFT(B82,FIND(".",B82,1)-1),$B$4:$AZ$68,45,FALSE),VLOOKUP(LEFT(B82,FIND(".",B82,1)-1),$B$4:$AZ$68,45,FALSE)-BB81),ROUNDUP(V82/VLOOKUP(LEFT(B82,FIND(".",B82,1)-1),$AY:$AZ,2,FALSE)*VLOOKUP(LEFT(B82,FIND(".",B82,1)-1),$B$4:$AZ$68,45,FALSE),0)),0)</f>
        <v>0</v>
      </c>
      <c r="BB82" s="308">
        <f t="shared" si="56"/>
        <v>0</v>
      </c>
      <c r="BC82" s="308">
        <f>IFERROR(IF(_xlfn.NUMBERVALUE(RIGHT(B82,LEN(B82)-FIND(".",B82,1)))=COUNTIF('Contorizare in SDI'!$B:$B,LEFT(B82,FIND(".",B82,1)-1))-1,IF((COUNTIF('Contorizare in SDI'!$B:$B,LEFT(B82,FIND(".",B82,1)-1))-1)=1,VLOOKUP(LEFT(B82,FIND(".",B82,1)-1),$B$4:$AZ$68,46,FALSE),VLOOKUP(LEFT(B82,FIND(".",B82,1)-1),$B$4:$AZ$68,46,FALSE)-BD81),ROUNDUP(V82/VLOOKUP(LEFT(B82,FIND(".",B82,1)-1),$AY:$AZ,2,FALSE)*VLOOKUP(LEFT(B82,FIND(".",B82,1)-1),$B$4:$AZ$68,46,FALSE),0)),0)</f>
        <v>233</v>
      </c>
      <c r="BD82" s="308">
        <f t="shared" si="57"/>
        <v>233</v>
      </c>
      <c r="BE82" s="308">
        <f>IFERROR(IF(_xlfn.NUMBERVALUE(RIGHT(B82,LEN(B82)-FIND(".",B82,1)))=COUNTIF('Contorizare in SDI'!$B:$B,LEFT(B82,FIND(".",B82,1)-1))-1,IF((COUNTIF('Contorizare in SDI'!$B:$B,LEFT(B82,FIND(".",B82,1)-1))-1)=1,VLOOKUP(LEFT(B82,FIND(".",B82,1)-1),$B$4:$AZ$68,47,FALSE),VLOOKUP(LEFT(B82,FIND(".",B82,1)-1),$B$4:$AZ$68,47,FALSE)-BF81),ROUNDUP(V82/VLOOKUP(LEFT(B82,FIND(".",B82,1)-1),$AY:$AZ,2,FALSE)*VLOOKUP(LEFT(B82,FIND(".",B82,1)-1),$B$4:$AZ$68,47,FALSE),0)),0)</f>
        <v>40</v>
      </c>
      <c r="BF82" s="308">
        <f t="shared" si="58"/>
        <v>40</v>
      </c>
      <c r="BG82" s="308">
        <f>IFERROR(IF(_xlfn.NUMBERVALUE(RIGHT(B82,LEN(B82)-FIND(".",B82,1)))=COUNTIF('Contorizare in SDI'!$B:$B,LEFT(B82,FIND(".",B82,1)-1))-1,IF((COUNTIF('Contorizare in SDI'!$B:$B,LEFT(B82,FIND(".",B82,1)-1))-1)=1,VLOOKUP(LEFT(B82,FIND(".",B82,1)-1),$B$4:$AZ$68,48,FALSE),VLOOKUP(LEFT(B82,FIND(".",B82,1)-1),$B$4:$AZ$68,48,FALSE)-BH81),ROUNDUP(V82/VLOOKUP(LEFT(B82,FIND(".",B82,1)-1),$AY:$AZ,2,FALSE)*VLOOKUP(LEFT(B82,FIND(".",B82,1)-1),$B$4:$AZ$68,48,FALSE),0)),0)</f>
        <v>0</v>
      </c>
      <c r="BH82" s="308">
        <f t="shared" si="59"/>
        <v>0</v>
      </c>
      <c r="BI82" s="308">
        <f>IFERROR(IF(_xlfn.NUMBERVALUE(RIGHT(B82,LEN(B82)-FIND(".",B82,1)))=COUNTIF('Contorizare in SDI'!$B:$B,LEFT(B82,FIND(".",B82,1)-1))-1,IF((COUNTIF('Contorizare in SDI'!$B:$B,LEFT(B82,FIND(".",B82,1)-1))-1)=1,VLOOKUP(LEFT(B82,FIND(".",B82,1)-1),$B$4:$AZ$68,49,FALSE),VLOOKUP(LEFT(B82,FIND(".",B82,1)-1),$B$4:$AZ$68,49,FALSE)-BJ81),ROUNDUP(V82/VLOOKUP(LEFT(B82,FIND(".",B82,1)-1),$AY:$AZ,2,FALSE)*VLOOKUP(LEFT(B82,FIND(".",B82,1)-1),$B$4:$AZ$68,49,FALSE),0)),0)</f>
        <v>0</v>
      </c>
      <c r="BJ82" s="308">
        <f t="shared" si="60"/>
        <v>0</v>
      </c>
      <c r="BK82" s="4"/>
      <c r="BP82" s="44">
        <f t="shared" si="61"/>
        <v>0</v>
      </c>
      <c r="BQ82" s="1">
        <v>0</v>
      </c>
      <c r="BR82" s="1">
        <v>0</v>
      </c>
      <c r="BS82" s="16">
        <f t="shared" si="62"/>
        <v>233</v>
      </c>
      <c r="BT82" s="16">
        <f t="shared" si="63"/>
        <v>40</v>
      </c>
      <c r="BU82" s="16">
        <f t="shared" si="64"/>
        <v>0</v>
      </c>
      <c r="BV82" s="16">
        <f t="shared" si="65"/>
        <v>0</v>
      </c>
      <c r="BX82" s="1" t="str">
        <f t="shared" si="32"/>
        <v/>
      </c>
      <c r="BY82" s="1">
        <f t="shared" si="33"/>
        <v>0</v>
      </c>
      <c r="BZ82" s="1">
        <f t="shared" si="66"/>
        <v>0</v>
      </c>
      <c r="CA82" s="1">
        <f t="shared" si="67"/>
        <v>0</v>
      </c>
      <c r="CB82" s="1">
        <f t="shared" si="68"/>
        <v>233</v>
      </c>
      <c r="CC82" s="1">
        <f t="shared" si="69"/>
        <v>40</v>
      </c>
      <c r="CD82" s="1">
        <f t="shared" si="70"/>
        <v>0</v>
      </c>
      <c r="CE82" s="1">
        <f t="shared" si="71"/>
        <v>0</v>
      </c>
      <c r="CR82" s="30" t="s">
        <v>539</v>
      </c>
      <c r="CS82" s="291">
        <v>1244000</v>
      </c>
      <c r="CT82" s="291">
        <v>0</v>
      </c>
      <c r="CU82" s="291">
        <v>0</v>
      </c>
      <c r="CV82" s="291">
        <v>0</v>
      </c>
      <c r="CW82" s="29" t="s">
        <v>973</v>
      </c>
      <c r="CX82" s="312">
        <v>18660</v>
      </c>
      <c r="CY82" s="184">
        <v>0</v>
      </c>
      <c r="CZ82" s="88">
        <v>0</v>
      </c>
      <c r="DA82" s="88">
        <v>0</v>
      </c>
      <c r="DB82" s="29" t="s">
        <v>69</v>
      </c>
      <c r="DC82" s="87">
        <v>0</v>
      </c>
      <c r="DD82" s="88">
        <v>0</v>
      </c>
      <c r="DE82" s="88">
        <v>0</v>
      </c>
      <c r="DF82" s="88">
        <v>0</v>
      </c>
      <c r="DG82" s="88">
        <v>0</v>
      </c>
      <c r="DH82" s="88">
        <v>0</v>
      </c>
      <c r="DI82" s="321">
        <v>0</v>
      </c>
      <c r="DJ82" s="88">
        <v>0</v>
      </c>
    </row>
    <row r="83" spans="1:114" ht="17.25" thickTop="1" thickBot="1">
      <c r="A83" s="531">
        <f t="shared" si="41"/>
        <v>80</v>
      </c>
      <c r="B83" s="38" t="s">
        <v>581</v>
      </c>
      <c r="C83" s="17" t="s">
        <v>151</v>
      </c>
      <c r="D83" s="17">
        <v>1372643042</v>
      </c>
      <c r="E83" s="142" t="str">
        <f t="shared" si="42"/>
        <v>RSCP</v>
      </c>
      <c r="F83" s="16">
        <v>2738906</v>
      </c>
      <c r="G83" s="16">
        <v>2845449</v>
      </c>
      <c r="H83" s="16">
        <v>0</v>
      </c>
      <c r="I83" s="16">
        <v>0</v>
      </c>
      <c r="J83" s="16">
        <v>163253</v>
      </c>
      <c r="K83" s="16">
        <v>163253</v>
      </c>
      <c r="L83" s="16">
        <v>7237</v>
      </c>
      <c r="M83" s="16">
        <v>7237</v>
      </c>
      <c r="N83" s="12" t="s">
        <v>917</v>
      </c>
      <c r="O83" s="12" t="s">
        <v>1019</v>
      </c>
      <c r="P83" s="12" t="s">
        <v>917</v>
      </c>
      <c r="Q83" s="12" t="s">
        <v>917</v>
      </c>
      <c r="R83" s="12" t="s">
        <v>917</v>
      </c>
      <c r="S83" s="12" t="s">
        <v>1019</v>
      </c>
      <c r="T83" s="12" t="s">
        <v>917</v>
      </c>
      <c r="U83" s="12" t="s">
        <v>1019</v>
      </c>
      <c r="V83" s="22">
        <v>106543</v>
      </c>
      <c r="W83" s="22">
        <v>0</v>
      </c>
      <c r="X83" s="22">
        <v>0</v>
      </c>
      <c r="Y83" s="22">
        <v>0</v>
      </c>
      <c r="Z83" s="171">
        <f t="shared" si="34"/>
        <v>2738906</v>
      </c>
      <c r="AA83" s="130" t="str">
        <f t="shared" si="35"/>
        <v>citit</v>
      </c>
      <c r="AB83" s="176">
        <f t="shared" si="43"/>
        <v>2845449</v>
      </c>
      <c r="AC83" s="12" t="s">
        <v>917</v>
      </c>
      <c r="AD83" s="12">
        <f t="shared" si="36"/>
        <v>0</v>
      </c>
      <c r="AE83" s="12">
        <f t="shared" si="36"/>
        <v>0</v>
      </c>
      <c r="AF83" s="12">
        <f t="shared" si="36"/>
        <v>163253</v>
      </c>
      <c r="AG83" s="12" t="str">
        <f t="shared" si="37"/>
        <v>citit</v>
      </c>
      <c r="AH83" s="176">
        <f t="shared" si="44"/>
        <v>163427</v>
      </c>
      <c r="AI83" s="12" t="s">
        <v>917</v>
      </c>
      <c r="AJ83" s="12">
        <f t="shared" si="38"/>
        <v>7237</v>
      </c>
      <c r="AK83" s="12" t="str">
        <f t="shared" si="39"/>
        <v>citit</v>
      </c>
      <c r="AL83" s="175">
        <f t="shared" si="45"/>
        <v>7237</v>
      </c>
      <c r="AM83" s="159" t="s">
        <v>917</v>
      </c>
      <c r="AN83" s="154">
        <f t="shared" si="46"/>
        <v>106543</v>
      </c>
      <c r="AO83" s="14">
        <f t="shared" si="47"/>
        <v>0</v>
      </c>
      <c r="AP83" s="147">
        <f t="shared" si="48"/>
        <v>174</v>
      </c>
      <c r="AQ83" s="147">
        <f t="shared" si="49"/>
        <v>0</v>
      </c>
      <c r="AR83" s="16">
        <v>0</v>
      </c>
      <c r="AS83" s="16">
        <v>0</v>
      </c>
      <c r="AT83" s="1">
        <f t="shared" si="50"/>
        <v>0</v>
      </c>
      <c r="AU83" s="154">
        <f t="shared" si="51"/>
        <v>149</v>
      </c>
      <c r="AV83" s="154">
        <f t="shared" si="52"/>
        <v>25</v>
      </c>
      <c r="AW83" s="154">
        <f t="shared" si="53"/>
        <v>0</v>
      </c>
      <c r="AX83" s="154">
        <f t="shared" si="54"/>
        <v>0</v>
      </c>
      <c r="AY83" s="308" t="str">
        <f t="shared" si="55"/>
        <v>RSCP_1</v>
      </c>
      <c r="AZ83" s="308">
        <f t="shared" si="40"/>
        <v>272608</v>
      </c>
      <c r="BA83" s="308">
        <f>IFERROR(IF(_xlfn.NUMBERVALUE(RIGHT(B83,LEN(B83)-FIND(".",B83,1)))=COUNTIF('Contorizare in SDI'!$B:$B,LEFT(B83,FIND(".",B83,1)-1))-1,IF((COUNTIF('Contorizare in SDI'!$B:$B,LEFT(B83,FIND(".",B83,1)-1))-1)=1,VLOOKUP(LEFT(B83,FIND(".",B83,1)-1),$B$4:$AZ$68,45,FALSE),VLOOKUP(LEFT(B83,FIND(".",B83,1)-1),$B$4:$AZ$68,45,FALSE)-BB82),ROUNDUP(V83/VLOOKUP(LEFT(B83,FIND(".",B83,1)-1),$AY:$AZ,2,FALSE)*VLOOKUP(LEFT(B83,FIND(".",B83,1)-1),$B$4:$AZ$68,45,FALSE),0)),0)</f>
        <v>0</v>
      </c>
      <c r="BB83" s="308">
        <f t="shared" si="56"/>
        <v>0</v>
      </c>
      <c r="BC83" s="308">
        <f>IFERROR(IF(_xlfn.NUMBERVALUE(RIGHT(B83,LEN(B83)-FIND(".",B83,1)))=COUNTIF('Contorizare in SDI'!$B:$B,LEFT(B83,FIND(".",B83,1)-1))-1,IF((COUNTIF('Contorizare in SDI'!$B:$B,LEFT(B83,FIND(".",B83,1)-1))-1)=1,VLOOKUP(LEFT(B83,FIND(".",B83,1)-1),$B$4:$AZ$68,46,FALSE),VLOOKUP(LEFT(B83,FIND(".",B83,1)-1),$B$4:$AZ$68,46,FALSE)-BD82),ROUNDUP(V83/VLOOKUP(LEFT(B83,FIND(".",B83,1)-1),$AY:$AZ,2,FALSE)*VLOOKUP(LEFT(B83,FIND(".",B83,1)-1),$B$4:$AZ$68,46,FALSE),0)),0)</f>
        <v>149</v>
      </c>
      <c r="BD83" s="308">
        <f t="shared" si="57"/>
        <v>382</v>
      </c>
      <c r="BE83" s="308">
        <f>IFERROR(IF(_xlfn.NUMBERVALUE(RIGHT(B83,LEN(B83)-FIND(".",B83,1)))=COUNTIF('Contorizare in SDI'!$B:$B,LEFT(B83,FIND(".",B83,1)-1))-1,IF((COUNTIF('Contorizare in SDI'!$B:$B,LEFT(B83,FIND(".",B83,1)-1))-1)=1,VLOOKUP(LEFT(B83,FIND(".",B83,1)-1),$B$4:$AZ$68,47,FALSE),VLOOKUP(LEFT(B83,FIND(".",B83,1)-1),$B$4:$AZ$68,47,FALSE)-BF82),ROUNDUP(V83/VLOOKUP(LEFT(B83,FIND(".",B83,1)-1),$AY:$AZ,2,FALSE)*VLOOKUP(LEFT(B83,FIND(".",B83,1)-1),$B$4:$AZ$68,47,FALSE),0)),0)</f>
        <v>25</v>
      </c>
      <c r="BF83" s="308">
        <f t="shared" si="58"/>
        <v>65</v>
      </c>
      <c r="BG83" s="308">
        <f>IFERROR(IF(_xlfn.NUMBERVALUE(RIGHT(B83,LEN(B83)-FIND(".",B83,1)))=COUNTIF('Contorizare in SDI'!$B:$B,LEFT(B83,FIND(".",B83,1)-1))-1,IF((COUNTIF('Contorizare in SDI'!$B:$B,LEFT(B83,FIND(".",B83,1)-1))-1)=1,VLOOKUP(LEFT(B83,FIND(".",B83,1)-1),$B$4:$AZ$68,48,FALSE),VLOOKUP(LEFT(B83,FIND(".",B83,1)-1),$B$4:$AZ$68,48,FALSE)-BH82),ROUNDUP(V83/VLOOKUP(LEFT(B83,FIND(".",B83,1)-1),$AY:$AZ,2,FALSE)*VLOOKUP(LEFT(B83,FIND(".",B83,1)-1),$B$4:$AZ$68,48,FALSE),0)),0)</f>
        <v>0</v>
      </c>
      <c r="BH83" s="308">
        <f t="shared" si="59"/>
        <v>0</v>
      </c>
      <c r="BI83" s="308">
        <f>IFERROR(IF(_xlfn.NUMBERVALUE(RIGHT(B83,LEN(B83)-FIND(".",B83,1)))=COUNTIF('Contorizare in SDI'!$B:$B,LEFT(B83,FIND(".",B83,1)-1))-1,IF((COUNTIF('Contorizare in SDI'!$B:$B,LEFT(B83,FIND(".",B83,1)-1))-1)=1,VLOOKUP(LEFT(B83,FIND(".",B83,1)-1),$B$4:$AZ$68,49,FALSE),VLOOKUP(LEFT(B83,FIND(".",B83,1)-1),$B$4:$AZ$68,49,FALSE)-BJ82),ROUNDUP(V83/VLOOKUP(LEFT(B83,FIND(".",B83,1)-1),$AY:$AZ,2,FALSE)*VLOOKUP(LEFT(B83,FIND(".",B83,1)-1),$B$4:$AZ$68,49,FALSE),0)),0)</f>
        <v>0</v>
      </c>
      <c r="BJ83" s="308">
        <f t="shared" si="60"/>
        <v>0</v>
      </c>
      <c r="BK83" s="4"/>
      <c r="BP83" s="44">
        <f t="shared" si="61"/>
        <v>0</v>
      </c>
      <c r="BQ83" s="1">
        <v>0</v>
      </c>
      <c r="BR83" s="1">
        <v>0</v>
      </c>
      <c r="BS83" s="16">
        <f t="shared" si="62"/>
        <v>149</v>
      </c>
      <c r="BT83" s="16">
        <f t="shared" si="63"/>
        <v>25</v>
      </c>
      <c r="BU83" s="16">
        <f t="shared" si="64"/>
        <v>0</v>
      </c>
      <c r="BV83" s="16">
        <f t="shared" si="65"/>
        <v>0</v>
      </c>
      <c r="BX83" s="1" t="str">
        <f t="shared" si="32"/>
        <v>RSCP</v>
      </c>
      <c r="BY83" s="1">
        <f t="shared" si="33"/>
        <v>0</v>
      </c>
      <c r="BZ83" s="1">
        <f t="shared" si="66"/>
        <v>0</v>
      </c>
      <c r="CA83" s="1">
        <f t="shared" si="67"/>
        <v>0</v>
      </c>
      <c r="CB83" s="1">
        <f t="shared" si="68"/>
        <v>382</v>
      </c>
      <c r="CC83" s="1">
        <f t="shared" si="69"/>
        <v>65</v>
      </c>
      <c r="CD83" s="1">
        <f t="shared" si="70"/>
        <v>0</v>
      </c>
      <c r="CE83" s="1">
        <f t="shared" si="71"/>
        <v>0</v>
      </c>
      <c r="CR83" s="30" t="s">
        <v>540</v>
      </c>
      <c r="CS83" s="291">
        <v>51040</v>
      </c>
      <c r="CT83" s="291">
        <v>0</v>
      </c>
      <c r="CU83" s="291">
        <v>0</v>
      </c>
      <c r="CV83" s="291">
        <v>0</v>
      </c>
      <c r="CW83" s="109" t="s">
        <v>540</v>
      </c>
      <c r="CX83" s="312">
        <v>51040</v>
      </c>
      <c r="CY83" s="184">
        <v>0</v>
      </c>
      <c r="CZ83" s="88">
        <v>0</v>
      </c>
      <c r="DA83" s="88">
        <v>0</v>
      </c>
      <c r="DB83" s="29" t="s">
        <v>69</v>
      </c>
      <c r="DC83" s="87">
        <v>0</v>
      </c>
      <c r="DD83" s="88">
        <v>0</v>
      </c>
      <c r="DE83" s="88">
        <v>0</v>
      </c>
      <c r="DF83" s="88">
        <v>0</v>
      </c>
      <c r="DG83" s="88">
        <v>51040</v>
      </c>
      <c r="DH83" s="88">
        <v>0</v>
      </c>
      <c r="DI83" s="321">
        <v>0</v>
      </c>
      <c r="DJ83" s="88">
        <v>0</v>
      </c>
    </row>
    <row r="84" spans="1:114" ht="17.25" thickTop="1" thickBot="1">
      <c r="A84" s="531">
        <f t="shared" si="41"/>
        <v>81</v>
      </c>
      <c r="B84" s="38" t="s">
        <v>582</v>
      </c>
      <c r="C84" s="17" t="s">
        <v>155</v>
      </c>
      <c r="D84" s="17">
        <v>1371622702</v>
      </c>
      <c r="E84" s="142" t="str">
        <f t="shared" si="42"/>
        <v>RSMS</v>
      </c>
      <c r="F84" s="16">
        <v>4051406</v>
      </c>
      <c r="G84" s="16">
        <v>4214346</v>
      </c>
      <c r="H84" s="16">
        <v>0</v>
      </c>
      <c r="I84" s="16">
        <v>0</v>
      </c>
      <c r="J84" s="16">
        <v>223568</v>
      </c>
      <c r="K84" s="16">
        <v>223568</v>
      </c>
      <c r="L84" s="16">
        <v>11184</v>
      </c>
      <c r="M84" s="16">
        <v>11184</v>
      </c>
      <c r="N84" s="12" t="s">
        <v>917</v>
      </c>
      <c r="O84" s="12" t="s">
        <v>1019</v>
      </c>
      <c r="P84" s="12" t="s">
        <v>917</v>
      </c>
      <c r="Q84" s="12" t="s">
        <v>917</v>
      </c>
      <c r="R84" s="12" t="s">
        <v>917</v>
      </c>
      <c r="S84" s="12" t="s">
        <v>1019</v>
      </c>
      <c r="T84" s="12" t="s">
        <v>917</v>
      </c>
      <c r="U84" s="12" t="s">
        <v>1019</v>
      </c>
      <c r="V84" s="22">
        <v>162940</v>
      </c>
      <c r="W84" s="22">
        <v>0</v>
      </c>
      <c r="X84" s="22">
        <v>0</v>
      </c>
      <c r="Y84" s="22">
        <v>0</v>
      </c>
      <c r="Z84" s="171">
        <f t="shared" si="34"/>
        <v>4051406</v>
      </c>
      <c r="AA84" s="130" t="str">
        <f t="shared" si="35"/>
        <v>citit</v>
      </c>
      <c r="AB84" s="176">
        <f t="shared" si="43"/>
        <v>4214346</v>
      </c>
      <c r="AC84" s="12" t="s">
        <v>917</v>
      </c>
      <c r="AD84" s="12">
        <f t="shared" si="36"/>
        <v>0</v>
      </c>
      <c r="AE84" s="12">
        <f t="shared" si="36"/>
        <v>0</v>
      </c>
      <c r="AF84" s="12">
        <f t="shared" si="36"/>
        <v>223568</v>
      </c>
      <c r="AG84" s="12" t="str">
        <f t="shared" si="37"/>
        <v>citit</v>
      </c>
      <c r="AH84" s="176">
        <f t="shared" si="44"/>
        <v>223568</v>
      </c>
      <c r="AI84" s="12" t="s">
        <v>917</v>
      </c>
      <c r="AJ84" s="12">
        <f t="shared" si="38"/>
        <v>11184</v>
      </c>
      <c r="AK84" s="12" t="str">
        <f t="shared" si="39"/>
        <v>citit</v>
      </c>
      <c r="AL84" s="175">
        <f t="shared" si="45"/>
        <v>11184</v>
      </c>
      <c r="AM84" s="159" t="s">
        <v>917</v>
      </c>
      <c r="AN84" s="154">
        <f t="shared" si="46"/>
        <v>162940</v>
      </c>
      <c r="AO84" s="14">
        <f t="shared" si="47"/>
        <v>0</v>
      </c>
      <c r="AP84" s="147">
        <f t="shared" si="48"/>
        <v>0</v>
      </c>
      <c r="AQ84" s="147">
        <f t="shared" si="49"/>
        <v>0</v>
      </c>
      <c r="AR84" s="16">
        <v>0</v>
      </c>
      <c r="AS84" s="16">
        <v>0</v>
      </c>
      <c r="AT84" s="1">
        <f t="shared" si="50"/>
        <v>0</v>
      </c>
      <c r="AU84" s="154">
        <f t="shared" si="51"/>
        <v>0</v>
      </c>
      <c r="AV84" s="154">
        <f t="shared" si="52"/>
        <v>0</v>
      </c>
      <c r="AW84" s="154">
        <f t="shared" si="53"/>
        <v>0</v>
      </c>
      <c r="AX84" s="154">
        <f t="shared" si="54"/>
        <v>0</v>
      </c>
      <c r="AY84" s="308" t="str">
        <f t="shared" si="55"/>
        <v>-</v>
      </c>
      <c r="AZ84" s="308">
        <f t="shared" si="40"/>
        <v>162940</v>
      </c>
      <c r="BA84" s="308">
        <f>IFERROR(IF(_xlfn.NUMBERVALUE(RIGHT(B84,LEN(B84)-FIND(".",B84,1)))=COUNTIF('Contorizare in SDI'!$B:$B,LEFT(B84,FIND(".",B84,1)-1))-1,IF((COUNTIF('Contorizare in SDI'!$B:$B,LEFT(B84,FIND(".",B84,1)-1))-1)=1,VLOOKUP(LEFT(B84,FIND(".",B84,1)-1),$B$4:$AZ$68,45,FALSE),VLOOKUP(LEFT(B84,FIND(".",B84,1)-1),$B$4:$AZ$68,45,FALSE)-BB83),ROUNDUP(V84/VLOOKUP(LEFT(B84,FIND(".",B84,1)-1),$AY:$AZ,2,FALSE)*VLOOKUP(LEFT(B84,FIND(".",B84,1)-1),$B$4:$AZ$68,45,FALSE),0)),0)</f>
        <v>0</v>
      </c>
      <c r="BB84" s="308">
        <f t="shared" si="56"/>
        <v>0</v>
      </c>
      <c r="BC84" s="308">
        <f>IFERROR(IF(_xlfn.NUMBERVALUE(RIGHT(B84,LEN(B84)-FIND(".",B84,1)))=COUNTIF('Contorizare in SDI'!$B:$B,LEFT(B84,FIND(".",B84,1)-1))-1,IF((COUNTIF('Contorizare in SDI'!$B:$B,LEFT(B84,FIND(".",B84,1)-1))-1)=1,VLOOKUP(LEFT(B84,FIND(".",B84,1)-1),$B$4:$AZ$68,46,FALSE),VLOOKUP(LEFT(B84,FIND(".",B84,1)-1),$B$4:$AZ$68,46,FALSE)-BD83),ROUNDUP(V84/VLOOKUP(LEFT(B84,FIND(".",B84,1)-1),$AY:$AZ,2,FALSE)*VLOOKUP(LEFT(B84,FIND(".",B84,1)-1),$B$4:$AZ$68,46,FALSE),0)),0)</f>
        <v>0</v>
      </c>
      <c r="BD84" s="308">
        <f t="shared" si="57"/>
        <v>0</v>
      </c>
      <c r="BE84" s="308">
        <f>IFERROR(IF(_xlfn.NUMBERVALUE(RIGHT(B84,LEN(B84)-FIND(".",B84,1)))=COUNTIF('Contorizare in SDI'!$B:$B,LEFT(B84,FIND(".",B84,1)-1))-1,IF((COUNTIF('Contorizare in SDI'!$B:$B,LEFT(B84,FIND(".",B84,1)-1))-1)=1,VLOOKUP(LEFT(B84,FIND(".",B84,1)-1),$B$4:$AZ$68,47,FALSE),VLOOKUP(LEFT(B84,FIND(".",B84,1)-1),$B$4:$AZ$68,47,FALSE)-BF83),ROUNDUP(V84/VLOOKUP(LEFT(B84,FIND(".",B84,1)-1),$AY:$AZ,2,FALSE)*VLOOKUP(LEFT(B84,FIND(".",B84,1)-1),$B$4:$AZ$68,47,FALSE),0)),0)</f>
        <v>0</v>
      </c>
      <c r="BF84" s="308">
        <f t="shared" si="58"/>
        <v>0</v>
      </c>
      <c r="BG84" s="308">
        <f>IFERROR(IF(_xlfn.NUMBERVALUE(RIGHT(B84,LEN(B84)-FIND(".",B84,1)))=COUNTIF('Contorizare in SDI'!$B:$B,LEFT(B84,FIND(".",B84,1)-1))-1,IF((COUNTIF('Contorizare in SDI'!$B:$B,LEFT(B84,FIND(".",B84,1)-1))-1)=1,VLOOKUP(LEFT(B84,FIND(".",B84,1)-1),$B$4:$AZ$68,48,FALSE),VLOOKUP(LEFT(B84,FIND(".",B84,1)-1),$B$4:$AZ$68,48,FALSE)-BH83),ROUNDUP(V84/VLOOKUP(LEFT(B84,FIND(".",B84,1)-1),$AY:$AZ,2,FALSE)*VLOOKUP(LEFT(B84,FIND(".",B84,1)-1),$B$4:$AZ$68,48,FALSE),0)),0)</f>
        <v>0</v>
      </c>
      <c r="BH84" s="308">
        <f t="shared" si="59"/>
        <v>0</v>
      </c>
      <c r="BI84" s="308">
        <f>IFERROR(IF(_xlfn.NUMBERVALUE(RIGHT(B84,LEN(B84)-FIND(".",B84,1)))=COUNTIF('Contorizare in SDI'!$B:$B,LEFT(B84,FIND(".",B84,1)-1))-1,IF((COUNTIF('Contorizare in SDI'!$B:$B,LEFT(B84,FIND(".",B84,1)-1))-1)=1,VLOOKUP(LEFT(B84,FIND(".",B84,1)-1),$B$4:$AZ$68,49,FALSE),VLOOKUP(LEFT(B84,FIND(".",B84,1)-1),$B$4:$AZ$68,49,FALSE)-BJ83),ROUNDUP(V84/VLOOKUP(LEFT(B84,FIND(".",B84,1)-1),$AY:$AZ,2,FALSE)*VLOOKUP(LEFT(B84,FIND(".",B84,1)-1),$B$4:$AZ$68,49,FALSE),0)),0)</f>
        <v>0</v>
      </c>
      <c r="BJ84" s="308">
        <f t="shared" si="60"/>
        <v>0</v>
      </c>
      <c r="BK84" s="4"/>
      <c r="BP84" s="44">
        <f t="shared" si="61"/>
        <v>0</v>
      </c>
      <c r="BQ84" s="1">
        <v>0</v>
      </c>
      <c r="BR84" s="1">
        <v>0</v>
      </c>
      <c r="BS84" s="16">
        <f t="shared" si="62"/>
        <v>0</v>
      </c>
      <c r="BT84" s="16">
        <f t="shared" si="63"/>
        <v>0</v>
      </c>
      <c r="BU84" s="16">
        <f t="shared" si="64"/>
        <v>0</v>
      </c>
      <c r="BV84" s="16">
        <f t="shared" si="65"/>
        <v>0</v>
      </c>
      <c r="BX84" s="1" t="str">
        <f t="shared" si="32"/>
        <v/>
      </c>
      <c r="BY84" s="1">
        <f t="shared" si="33"/>
        <v>0</v>
      </c>
      <c r="BZ84" s="1">
        <f t="shared" si="66"/>
        <v>0</v>
      </c>
      <c r="CA84" s="1">
        <f t="shared" si="67"/>
        <v>0</v>
      </c>
      <c r="CB84" s="1">
        <f t="shared" si="68"/>
        <v>0</v>
      </c>
      <c r="CC84" s="1">
        <f t="shared" si="69"/>
        <v>0</v>
      </c>
      <c r="CD84" s="1">
        <f t="shared" si="70"/>
        <v>0</v>
      </c>
      <c r="CE84" s="1">
        <f t="shared" si="71"/>
        <v>0</v>
      </c>
      <c r="CR84" s="30" t="s">
        <v>541</v>
      </c>
      <c r="CS84" s="291">
        <v>608</v>
      </c>
      <c r="CT84" s="291">
        <v>0</v>
      </c>
      <c r="CU84" s="291">
        <v>0</v>
      </c>
      <c r="CV84" s="291">
        <v>0</v>
      </c>
      <c r="CW84" s="109" t="s">
        <v>541</v>
      </c>
      <c r="CX84" s="312">
        <v>608</v>
      </c>
      <c r="CY84" s="184">
        <v>0</v>
      </c>
      <c r="CZ84" s="88">
        <v>0</v>
      </c>
      <c r="DA84" s="88">
        <v>0</v>
      </c>
      <c r="DB84" s="29" t="s">
        <v>69</v>
      </c>
      <c r="DC84" s="87">
        <v>0</v>
      </c>
      <c r="DD84" s="88">
        <v>0</v>
      </c>
      <c r="DE84" s="88">
        <v>0</v>
      </c>
      <c r="DF84" s="88">
        <v>0</v>
      </c>
      <c r="DG84" s="88">
        <v>608</v>
      </c>
      <c r="DH84" s="88">
        <v>0</v>
      </c>
      <c r="DI84" s="321">
        <v>0</v>
      </c>
      <c r="DJ84" s="88">
        <v>0</v>
      </c>
    </row>
    <row r="85" spans="1:114" ht="17.25" thickTop="1" thickBot="1">
      <c r="A85" s="531">
        <f t="shared" si="41"/>
        <v>82</v>
      </c>
      <c r="B85" s="38" t="s">
        <v>583</v>
      </c>
      <c r="C85" s="17" t="s">
        <v>157</v>
      </c>
      <c r="D85" s="17">
        <v>1371641581</v>
      </c>
      <c r="E85" s="142" t="str">
        <f t="shared" si="42"/>
        <v>RSMS</v>
      </c>
      <c r="F85" s="16">
        <v>4982053</v>
      </c>
      <c r="G85" s="16">
        <v>5185710</v>
      </c>
      <c r="H85" s="16">
        <v>0</v>
      </c>
      <c r="I85" s="16">
        <v>0</v>
      </c>
      <c r="J85" s="16">
        <v>236837</v>
      </c>
      <c r="K85" s="16">
        <v>236837</v>
      </c>
      <c r="L85" s="16">
        <v>9539</v>
      </c>
      <c r="M85" s="16">
        <v>9539</v>
      </c>
      <c r="N85" s="12" t="s">
        <v>917</v>
      </c>
      <c r="O85" s="12" t="s">
        <v>1019</v>
      </c>
      <c r="P85" s="12" t="s">
        <v>917</v>
      </c>
      <c r="Q85" s="12" t="s">
        <v>917</v>
      </c>
      <c r="R85" s="12" t="s">
        <v>917</v>
      </c>
      <c r="S85" s="12" t="s">
        <v>1019</v>
      </c>
      <c r="T85" s="12" t="s">
        <v>917</v>
      </c>
      <c r="U85" s="12" t="s">
        <v>1019</v>
      </c>
      <c r="V85" s="22">
        <v>203657</v>
      </c>
      <c r="W85" s="22">
        <v>0</v>
      </c>
      <c r="X85" s="22">
        <v>0</v>
      </c>
      <c r="Y85" s="22">
        <v>0</v>
      </c>
      <c r="Z85" s="171">
        <f t="shared" si="34"/>
        <v>4982053</v>
      </c>
      <c r="AA85" s="130" t="str">
        <f t="shared" si="35"/>
        <v>citit</v>
      </c>
      <c r="AB85" s="176">
        <f t="shared" si="43"/>
        <v>5185710</v>
      </c>
      <c r="AC85" s="12" t="s">
        <v>917</v>
      </c>
      <c r="AD85" s="12">
        <f t="shared" si="36"/>
        <v>0</v>
      </c>
      <c r="AE85" s="12">
        <f t="shared" si="36"/>
        <v>0</v>
      </c>
      <c r="AF85" s="12">
        <f t="shared" si="36"/>
        <v>236837</v>
      </c>
      <c r="AG85" s="12" t="str">
        <f t="shared" si="37"/>
        <v>citit</v>
      </c>
      <c r="AH85" s="176">
        <f t="shared" si="44"/>
        <v>236837</v>
      </c>
      <c r="AI85" s="12" t="s">
        <v>917</v>
      </c>
      <c r="AJ85" s="12">
        <f t="shared" si="38"/>
        <v>9539</v>
      </c>
      <c r="AK85" s="12" t="str">
        <f t="shared" si="39"/>
        <v>citit</v>
      </c>
      <c r="AL85" s="175">
        <f t="shared" si="45"/>
        <v>9539</v>
      </c>
      <c r="AM85" s="159" t="s">
        <v>917</v>
      </c>
      <c r="AN85" s="154">
        <f t="shared" si="46"/>
        <v>203657</v>
      </c>
      <c r="AO85" s="14">
        <f t="shared" si="47"/>
        <v>0</v>
      </c>
      <c r="AP85" s="147">
        <f t="shared" si="48"/>
        <v>0</v>
      </c>
      <c r="AQ85" s="147">
        <f t="shared" si="49"/>
        <v>0</v>
      </c>
      <c r="AR85" s="16">
        <v>0</v>
      </c>
      <c r="AS85" s="16">
        <v>0</v>
      </c>
      <c r="AT85" s="1">
        <f t="shared" si="50"/>
        <v>0</v>
      </c>
      <c r="AU85" s="154">
        <f t="shared" si="51"/>
        <v>0</v>
      </c>
      <c r="AV85" s="154">
        <f t="shared" si="52"/>
        <v>0</v>
      </c>
      <c r="AW85" s="154">
        <f t="shared" si="53"/>
        <v>0</v>
      </c>
      <c r="AX85" s="154">
        <f t="shared" si="54"/>
        <v>0</v>
      </c>
      <c r="AY85" s="308" t="str">
        <f t="shared" si="55"/>
        <v>RSMS_1</v>
      </c>
      <c r="AZ85" s="308">
        <f t="shared" si="40"/>
        <v>366597</v>
      </c>
      <c r="BA85" s="308">
        <f>IFERROR(IF(_xlfn.NUMBERVALUE(RIGHT(B85,LEN(B85)-FIND(".",B85,1)))=COUNTIF('Contorizare in SDI'!$B:$B,LEFT(B85,FIND(".",B85,1)-1))-1,IF((COUNTIF('Contorizare in SDI'!$B:$B,LEFT(B85,FIND(".",B85,1)-1))-1)=1,VLOOKUP(LEFT(B85,FIND(".",B85,1)-1),$B$4:$AZ$68,45,FALSE),VLOOKUP(LEFT(B85,FIND(".",B85,1)-1),$B$4:$AZ$68,45,FALSE)-BB84),ROUNDUP(V85/VLOOKUP(LEFT(B85,FIND(".",B85,1)-1),$AY:$AZ,2,FALSE)*VLOOKUP(LEFT(B85,FIND(".",B85,1)-1),$B$4:$AZ$68,45,FALSE),0)),0)</f>
        <v>0</v>
      </c>
      <c r="BB85" s="308">
        <f t="shared" si="56"/>
        <v>0</v>
      </c>
      <c r="BC85" s="308">
        <f>IFERROR(IF(_xlfn.NUMBERVALUE(RIGHT(B85,LEN(B85)-FIND(".",B85,1)))=COUNTIF('Contorizare in SDI'!$B:$B,LEFT(B85,FIND(".",B85,1)-1))-1,IF((COUNTIF('Contorizare in SDI'!$B:$B,LEFT(B85,FIND(".",B85,1)-1))-1)=1,VLOOKUP(LEFT(B85,FIND(".",B85,1)-1),$B$4:$AZ$68,46,FALSE),VLOOKUP(LEFT(B85,FIND(".",B85,1)-1),$B$4:$AZ$68,46,FALSE)-BD84),ROUNDUP(V85/VLOOKUP(LEFT(B85,FIND(".",B85,1)-1),$AY:$AZ,2,FALSE)*VLOOKUP(LEFT(B85,FIND(".",B85,1)-1),$B$4:$AZ$68,46,FALSE),0)),0)</f>
        <v>0</v>
      </c>
      <c r="BD85" s="308">
        <f t="shared" si="57"/>
        <v>0</v>
      </c>
      <c r="BE85" s="308">
        <f>IFERROR(IF(_xlfn.NUMBERVALUE(RIGHT(B85,LEN(B85)-FIND(".",B85,1)))=COUNTIF('Contorizare in SDI'!$B:$B,LEFT(B85,FIND(".",B85,1)-1))-1,IF((COUNTIF('Contorizare in SDI'!$B:$B,LEFT(B85,FIND(".",B85,1)-1))-1)=1,VLOOKUP(LEFT(B85,FIND(".",B85,1)-1),$B$4:$AZ$68,47,FALSE),VLOOKUP(LEFT(B85,FIND(".",B85,1)-1),$B$4:$AZ$68,47,FALSE)-BF84),ROUNDUP(V85/VLOOKUP(LEFT(B85,FIND(".",B85,1)-1),$AY:$AZ,2,FALSE)*VLOOKUP(LEFT(B85,FIND(".",B85,1)-1),$B$4:$AZ$68,47,FALSE),0)),0)</f>
        <v>0</v>
      </c>
      <c r="BF85" s="308">
        <f t="shared" si="58"/>
        <v>0</v>
      </c>
      <c r="BG85" s="308">
        <f>IFERROR(IF(_xlfn.NUMBERVALUE(RIGHT(B85,LEN(B85)-FIND(".",B85,1)))=COUNTIF('Contorizare in SDI'!$B:$B,LEFT(B85,FIND(".",B85,1)-1))-1,IF((COUNTIF('Contorizare in SDI'!$B:$B,LEFT(B85,FIND(".",B85,1)-1))-1)=1,VLOOKUP(LEFT(B85,FIND(".",B85,1)-1),$B$4:$AZ$68,48,FALSE),VLOOKUP(LEFT(B85,FIND(".",B85,1)-1),$B$4:$AZ$68,48,FALSE)-BH84),ROUNDUP(V85/VLOOKUP(LEFT(B85,FIND(".",B85,1)-1),$AY:$AZ,2,FALSE)*VLOOKUP(LEFT(B85,FIND(".",B85,1)-1),$B$4:$AZ$68,48,FALSE),0)),0)</f>
        <v>0</v>
      </c>
      <c r="BH85" s="308">
        <f t="shared" si="59"/>
        <v>0</v>
      </c>
      <c r="BI85" s="308">
        <f>IFERROR(IF(_xlfn.NUMBERVALUE(RIGHT(B85,LEN(B85)-FIND(".",B85,1)))=COUNTIF('Contorizare in SDI'!$B:$B,LEFT(B85,FIND(".",B85,1)-1))-1,IF((COUNTIF('Contorizare in SDI'!$B:$B,LEFT(B85,FIND(".",B85,1)-1))-1)=1,VLOOKUP(LEFT(B85,FIND(".",B85,1)-1),$B$4:$AZ$68,49,FALSE),VLOOKUP(LEFT(B85,FIND(".",B85,1)-1),$B$4:$AZ$68,49,FALSE)-BJ84),ROUNDUP(V85/VLOOKUP(LEFT(B85,FIND(".",B85,1)-1),$AY:$AZ,2,FALSE)*VLOOKUP(LEFT(B85,FIND(".",B85,1)-1),$B$4:$AZ$68,49,FALSE),0)),0)</f>
        <v>0</v>
      </c>
      <c r="BJ85" s="308">
        <f t="shared" si="60"/>
        <v>0</v>
      </c>
      <c r="BK85" s="4"/>
      <c r="BP85" s="44">
        <f t="shared" si="61"/>
        <v>0</v>
      </c>
      <c r="BQ85" s="1">
        <v>0</v>
      </c>
      <c r="BR85" s="1">
        <v>0</v>
      </c>
      <c r="BS85" s="16">
        <f t="shared" si="62"/>
        <v>0</v>
      </c>
      <c r="BT85" s="16">
        <f t="shared" si="63"/>
        <v>0</v>
      </c>
      <c r="BU85" s="16">
        <f t="shared" si="64"/>
        <v>0</v>
      </c>
      <c r="BV85" s="16">
        <f t="shared" si="65"/>
        <v>0</v>
      </c>
      <c r="BX85" s="1" t="str">
        <f t="shared" si="32"/>
        <v>RSMS</v>
      </c>
      <c r="BY85" s="1">
        <f t="shared" si="33"/>
        <v>0</v>
      </c>
      <c r="BZ85" s="1">
        <f t="shared" si="66"/>
        <v>0</v>
      </c>
      <c r="CA85" s="1">
        <f t="shared" si="67"/>
        <v>0</v>
      </c>
      <c r="CB85" s="1">
        <f t="shared" si="68"/>
        <v>0</v>
      </c>
      <c r="CC85" s="1">
        <f t="shared" si="69"/>
        <v>0</v>
      </c>
      <c r="CD85" s="1">
        <f t="shared" si="70"/>
        <v>0</v>
      </c>
      <c r="CE85" s="1">
        <f t="shared" si="71"/>
        <v>0</v>
      </c>
      <c r="CR85" s="93" t="s">
        <v>542</v>
      </c>
      <c r="CS85" s="291">
        <v>7122</v>
      </c>
      <c r="CT85" s="291">
        <v>0</v>
      </c>
      <c r="CU85" s="291">
        <v>0</v>
      </c>
      <c r="CV85" s="291">
        <v>0</v>
      </c>
      <c r="CW85" s="109" t="s">
        <v>542</v>
      </c>
      <c r="CX85" s="312">
        <v>7122</v>
      </c>
      <c r="CY85" s="184">
        <v>0</v>
      </c>
      <c r="CZ85" s="88">
        <v>0</v>
      </c>
      <c r="DA85" s="88">
        <v>0</v>
      </c>
      <c r="DB85" s="94" t="s">
        <v>69</v>
      </c>
      <c r="DC85" s="87">
        <v>0</v>
      </c>
      <c r="DD85" s="88">
        <v>0</v>
      </c>
      <c r="DE85" s="88">
        <v>0</v>
      </c>
      <c r="DF85" s="88">
        <v>0</v>
      </c>
      <c r="DG85" s="88">
        <v>7122</v>
      </c>
      <c r="DH85" s="88">
        <v>0</v>
      </c>
      <c r="DI85" s="321">
        <v>0</v>
      </c>
      <c r="DJ85" s="88">
        <v>0</v>
      </c>
    </row>
    <row r="86" spans="1:114" ht="17.25" thickTop="1" thickBot="1">
      <c r="A86" s="531">
        <f t="shared" si="41"/>
        <v>83</v>
      </c>
      <c r="B86" s="38" t="s">
        <v>584</v>
      </c>
      <c r="C86" s="17" t="s">
        <v>181</v>
      </c>
      <c r="D86" s="17">
        <v>1369534319</v>
      </c>
      <c r="E86" s="142" t="str">
        <f t="shared" si="42"/>
        <v>RDSC</v>
      </c>
      <c r="F86" s="16">
        <v>1127317</v>
      </c>
      <c r="G86" s="16">
        <v>1170510</v>
      </c>
      <c r="H86" s="16">
        <v>0</v>
      </c>
      <c r="I86" s="16">
        <v>0</v>
      </c>
      <c r="J86" s="16">
        <v>157078</v>
      </c>
      <c r="K86" s="16">
        <v>157078</v>
      </c>
      <c r="L86" s="16">
        <v>2357</v>
      </c>
      <c r="M86" s="16">
        <v>2357</v>
      </c>
      <c r="N86" s="12" t="s">
        <v>917</v>
      </c>
      <c r="O86" s="12" t="s">
        <v>1019</v>
      </c>
      <c r="P86" s="12" t="s">
        <v>917</v>
      </c>
      <c r="Q86" s="12" t="s">
        <v>917</v>
      </c>
      <c r="R86" s="12" t="s">
        <v>917</v>
      </c>
      <c r="S86" s="12" t="s">
        <v>1019</v>
      </c>
      <c r="T86" s="12" t="s">
        <v>917</v>
      </c>
      <c r="U86" s="12" t="s">
        <v>1019</v>
      </c>
      <c r="V86" s="22">
        <v>43193</v>
      </c>
      <c r="W86" s="22">
        <v>0</v>
      </c>
      <c r="X86" s="22">
        <v>0</v>
      </c>
      <c r="Y86" s="22">
        <v>0</v>
      </c>
      <c r="Z86" s="171">
        <f t="shared" si="34"/>
        <v>1127317</v>
      </c>
      <c r="AA86" s="130" t="str">
        <f t="shared" si="35"/>
        <v>citit</v>
      </c>
      <c r="AB86" s="176">
        <f t="shared" si="43"/>
        <v>1170510</v>
      </c>
      <c r="AC86" s="12" t="s">
        <v>917</v>
      </c>
      <c r="AD86" s="12">
        <f t="shared" si="36"/>
        <v>0</v>
      </c>
      <c r="AE86" s="12">
        <f t="shared" si="36"/>
        <v>0</v>
      </c>
      <c r="AF86" s="12">
        <f t="shared" si="36"/>
        <v>157078</v>
      </c>
      <c r="AG86" s="12" t="str">
        <f t="shared" si="37"/>
        <v>citit</v>
      </c>
      <c r="AH86" s="176">
        <f t="shared" si="44"/>
        <v>157078</v>
      </c>
      <c r="AI86" s="12" t="s">
        <v>917</v>
      </c>
      <c r="AJ86" s="12">
        <f t="shared" si="38"/>
        <v>2357</v>
      </c>
      <c r="AK86" s="12" t="str">
        <f t="shared" si="39"/>
        <v>citit</v>
      </c>
      <c r="AL86" s="175">
        <f t="shared" si="45"/>
        <v>2357</v>
      </c>
      <c r="AM86" s="159" t="s">
        <v>917</v>
      </c>
      <c r="AN86" s="154">
        <f t="shared" si="46"/>
        <v>43193</v>
      </c>
      <c r="AO86" s="14">
        <f t="shared" si="47"/>
        <v>0</v>
      </c>
      <c r="AP86" s="147">
        <f t="shared" si="48"/>
        <v>0</v>
      </c>
      <c r="AQ86" s="147">
        <f t="shared" si="49"/>
        <v>0</v>
      </c>
      <c r="AR86" s="16">
        <v>0</v>
      </c>
      <c r="AS86" s="16">
        <v>0</v>
      </c>
      <c r="AT86" s="1">
        <f t="shared" si="50"/>
        <v>0</v>
      </c>
      <c r="AU86" s="154">
        <f t="shared" si="51"/>
        <v>0</v>
      </c>
      <c r="AV86" s="154">
        <f t="shared" si="52"/>
        <v>0</v>
      </c>
      <c r="AW86" s="154">
        <f t="shared" si="53"/>
        <v>0</v>
      </c>
      <c r="AX86" s="154">
        <f t="shared" si="54"/>
        <v>0</v>
      </c>
      <c r="AY86" s="308" t="str">
        <f t="shared" si="55"/>
        <v>-</v>
      </c>
      <c r="AZ86" s="308">
        <f t="shared" si="40"/>
        <v>43193</v>
      </c>
      <c r="BA86" s="308">
        <f>IFERROR(IF(_xlfn.NUMBERVALUE(RIGHT(B86,LEN(B86)-FIND(".",B86,1)))=COUNTIF('Contorizare in SDI'!$B:$B,LEFT(B86,FIND(".",B86,1)-1))-1,IF((COUNTIF('Contorizare in SDI'!$B:$B,LEFT(B86,FIND(".",B86,1)-1))-1)=1,VLOOKUP(LEFT(B86,FIND(".",B86,1)-1),$B$4:$AZ$68,45,FALSE),VLOOKUP(LEFT(B86,FIND(".",B86,1)-1),$B$4:$AZ$68,45,FALSE)-BB85),ROUNDUP(V86/VLOOKUP(LEFT(B86,FIND(".",B86,1)-1),$AY:$AZ,2,FALSE)*VLOOKUP(LEFT(B86,FIND(".",B86,1)-1),$B$4:$AZ$68,45,FALSE),0)),0)</f>
        <v>0</v>
      </c>
      <c r="BB86" s="308">
        <f t="shared" si="56"/>
        <v>0</v>
      </c>
      <c r="BC86" s="308">
        <f>IFERROR(IF(_xlfn.NUMBERVALUE(RIGHT(B86,LEN(B86)-FIND(".",B86,1)))=COUNTIF('Contorizare in SDI'!$B:$B,LEFT(B86,FIND(".",B86,1)-1))-1,IF((COUNTIF('Contorizare in SDI'!$B:$B,LEFT(B86,FIND(".",B86,1)-1))-1)=1,VLOOKUP(LEFT(B86,FIND(".",B86,1)-1),$B$4:$AZ$68,46,FALSE),VLOOKUP(LEFT(B86,FIND(".",B86,1)-1),$B$4:$AZ$68,46,FALSE)-BD85),ROUNDUP(V86/VLOOKUP(LEFT(B86,FIND(".",B86,1)-1),$AY:$AZ,2,FALSE)*VLOOKUP(LEFT(B86,FIND(".",B86,1)-1),$B$4:$AZ$68,46,FALSE),0)),0)</f>
        <v>0</v>
      </c>
      <c r="BD86" s="308">
        <f t="shared" si="57"/>
        <v>0</v>
      </c>
      <c r="BE86" s="308">
        <f>IFERROR(IF(_xlfn.NUMBERVALUE(RIGHT(B86,LEN(B86)-FIND(".",B86,1)))=COUNTIF('Contorizare in SDI'!$B:$B,LEFT(B86,FIND(".",B86,1)-1))-1,IF((COUNTIF('Contorizare in SDI'!$B:$B,LEFT(B86,FIND(".",B86,1)-1))-1)=1,VLOOKUP(LEFT(B86,FIND(".",B86,1)-1),$B$4:$AZ$68,47,FALSE),VLOOKUP(LEFT(B86,FIND(".",B86,1)-1),$B$4:$AZ$68,47,FALSE)-BF85),ROUNDUP(V86/VLOOKUP(LEFT(B86,FIND(".",B86,1)-1),$AY:$AZ,2,FALSE)*VLOOKUP(LEFT(B86,FIND(".",B86,1)-1),$B$4:$AZ$68,47,FALSE),0)),0)</f>
        <v>0</v>
      </c>
      <c r="BF86" s="308">
        <f t="shared" si="58"/>
        <v>0</v>
      </c>
      <c r="BG86" s="308">
        <f>IFERROR(IF(_xlfn.NUMBERVALUE(RIGHT(B86,LEN(B86)-FIND(".",B86,1)))=COUNTIF('Contorizare in SDI'!$B:$B,LEFT(B86,FIND(".",B86,1)-1))-1,IF((COUNTIF('Contorizare in SDI'!$B:$B,LEFT(B86,FIND(".",B86,1)-1))-1)=1,VLOOKUP(LEFT(B86,FIND(".",B86,1)-1),$B$4:$AZ$68,48,FALSE),VLOOKUP(LEFT(B86,FIND(".",B86,1)-1),$B$4:$AZ$68,48,FALSE)-BH85),ROUNDUP(V86/VLOOKUP(LEFT(B86,FIND(".",B86,1)-1),$AY:$AZ,2,FALSE)*VLOOKUP(LEFT(B86,FIND(".",B86,1)-1),$B$4:$AZ$68,48,FALSE),0)),0)</f>
        <v>0</v>
      </c>
      <c r="BH86" s="308">
        <f t="shared" si="59"/>
        <v>0</v>
      </c>
      <c r="BI86" s="308">
        <f>IFERROR(IF(_xlfn.NUMBERVALUE(RIGHT(B86,LEN(B86)-FIND(".",B86,1)))=COUNTIF('Contorizare in SDI'!$B:$B,LEFT(B86,FIND(".",B86,1)-1))-1,IF((COUNTIF('Contorizare in SDI'!$B:$B,LEFT(B86,FIND(".",B86,1)-1))-1)=1,VLOOKUP(LEFT(B86,FIND(".",B86,1)-1),$B$4:$AZ$68,49,FALSE),VLOOKUP(LEFT(B86,FIND(".",B86,1)-1),$B$4:$AZ$68,49,FALSE)-BJ85),ROUNDUP(V86/VLOOKUP(LEFT(B86,FIND(".",B86,1)-1),$AY:$AZ,2,FALSE)*VLOOKUP(LEFT(B86,FIND(".",B86,1)-1),$B$4:$AZ$68,49,FALSE),0)),0)</f>
        <v>0</v>
      </c>
      <c r="BJ86" s="308">
        <f t="shared" si="60"/>
        <v>0</v>
      </c>
      <c r="BK86" s="4"/>
      <c r="BP86" s="44">
        <f t="shared" si="61"/>
        <v>0</v>
      </c>
      <c r="BQ86" s="1">
        <v>0</v>
      </c>
      <c r="BR86" s="1">
        <v>0</v>
      </c>
      <c r="BS86" s="16">
        <f t="shared" si="62"/>
        <v>0</v>
      </c>
      <c r="BT86" s="16">
        <f t="shared" si="63"/>
        <v>0</v>
      </c>
      <c r="BU86" s="16">
        <f t="shared" si="64"/>
        <v>0</v>
      </c>
      <c r="BV86" s="16">
        <f t="shared" si="65"/>
        <v>0</v>
      </c>
      <c r="BX86" s="1" t="str">
        <f t="shared" si="32"/>
        <v/>
      </c>
      <c r="BY86" s="1">
        <f t="shared" si="33"/>
        <v>0</v>
      </c>
      <c r="BZ86" s="1">
        <f t="shared" si="66"/>
        <v>0</v>
      </c>
      <c r="CA86" s="1">
        <f t="shared" si="67"/>
        <v>0</v>
      </c>
      <c r="CB86" s="1">
        <f t="shared" si="68"/>
        <v>0</v>
      </c>
      <c r="CC86" s="1">
        <f t="shared" si="69"/>
        <v>0</v>
      </c>
      <c r="CD86" s="1">
        <f t="shared" si="70"/>
        <v>0</v>
      </c>
      <c r="CE86" s="1">
        <f t="shared" si="71"/>
        <v>0</v>
      </c>
      <c r="CR86" s="86" t="s">
        <v>543</v>
      </c>
      <c r="CS86" s="291">
        <v>647340</v>
      </c>
      <c r="CT86" s="291">
        <v>0</v>
      </c>
      <c r="CU86" s="291">
        <v>0</v>
      </c>
      <c r="CV86" s="291">
        <v>0</v>
      </c>
      <c r="CW86" s="89" t="s">
        <v>617</v>
      </c>
      <c r="CX86" s="312">
        <v>97521</v>
      </c>
      <c r="CY86" s="184">
        <v>4</v>
      </c>
      <c r="CZ86" s="88">
        <v>0</v>
      </c>
      <c r="DA86" s="88">
        <v>13</v>
      </c>
      <c r="DB86" s="89" t="s">
        <v>681</v>
      </c>
      <c r="DC86" s="87">
        <v>0</v>
      </c>
      <c r="DD86" s="88">
        <v>38588</v>
      </c>
      <c r="DE86" s="88">
        <v>519</v>
      </c>
      <c r="DF86" s="88">
        <v>3099</v>
      </c>
      <c r="DG86" s="88">
        <v>97521</v>
      </c>
      <c r="DH86" s="88">
        <v>38584</v>
      </c>
      <c r="DI86" s="321">
        <v>0</v>
      </c>
      <c r="DJ86" s="88">
        <v>1463</v>
      </c>
    </row>
    <row r="87" spans="1:114" ht="17.25" thickTop="1" thickBot="1">
      <c r="A87" s="531">
        <f t="shared" si="41"/>
        <v>84</v>
      </c>
      <c r="B87" s="38" t="s">
        <v>585</v>
      </c>
      <c r="C87" s="17" t="s">
        <v>173</v>
      </c>
      <c r="D87" s="17">
        <v>1369546405</v>
      </c>
      <c r="E87" s="142" t="str">
        <f t="shared" si="42"/>
        <v>RDSC</v>
      </c>
      <c r="F87" s="16">
        <v>1188334</v>
      </c>
      <c r="G87" s="16">
        <v>1233968</v>
      </c>
      <c r="H87" s="16">
        <v>0</v>
      </c>
      <c r="I87" s="16">
        <v>0</v>
      </c>
      <c r="J87" s="16">
        <v>159835</v>
      </c>
      <c r="K87" s="16">
        <v>159835</v>
      </c>
      <c r="L87" s="16">
        <v>3873</v>
      </c>
      <c r="M87" s="16">
        <v>3873</v>
      </c>
      <c r="N87" s="12" t="s">
        <v>917</v>
      </c>
      <c r="O87" s="12" t="s">
        <v>1019</v>
      </c>
      <c r="P87" s="12" t="s">
        <v>917</v>
      </c>
      <c r="Q87" s="12" t="s">
        <v>917</v>
      </c>
      <c r="R87" s="12" t="s">
        <v>917</v>
      </c>
      <c r="S87" s="12" t="s">
        <v>1019</v>
      </c>
      <c r="T87" s="12" t="s">
        <v>917</v>
      </c>
      <c r="U87" s="12" t="s">
        <v>1019</v>
      </c>
      <c r="V87" s="22">
        <v>45634</v>
      </c>
      <c r="W87" s="22">
        <v>0</v>
      </c>
      <c r="X87" s="22">
        <v>0</v>
      </c>
      <c r="Y87" s="22">
        <v>0</v>
      </c>
      <c r="Z87" s="171">
        <f t="shared" si="34"/>
        <v>1188334</v>
      </c>
      <c r="AA87" s="130" t="str">
        <f t="shared" si="35"/>
        <v>citit</v>
      </c>
      <c r="AB87" s="176">
        <f t="shared" si="43"/>
        <v>1233968</v>
      </c>
      <c r="AC87" s="12" t="s">
        <v>917</v>
      </c>
      <c r="AD87" s="12">
        <f t="shared" si="36"/>
        <v>0</v>
      </c>
      <c r="AE87" s="12">
        <f t="shared" si="36"/>
        <v>0</v>
      </c>
      <c r="AF87" s="12">
        <f t="shared" si="36"/>
        <v>159835</v>
      </c>
      <c r="AG87" s="12" t="str">
        <f t="shared" si="37"/>
        <v>citit</v>
      </c>
      <c r="AH87" s="176">
        <f t="shared" si="44"/>
        <v>159835</v>
      </c>
      <c r="AI87" s="12" t="s">
        <v>917</v>
      </c>
      <c r="AJ87" s="12">
        <f t="shared" si="38"/>
        <v>3873</v>
      </c>
      <c r="AK87" s="12" t="str">
        <f t="shared" si="39"/>
        <v>citit</v>
      </c>
      <c r="AL87" s="175">
        <f t="shared" si="45"/>
        <v>3873</v>
      </c>
      <c r="AM87" s="159" t="s">
        <v>917</v>
      </c>
      <c r="AN87" s="154">
        <f t="shared" si="46"/>
        <v>45634</v>
      </c>
      <c r="AO87" s="14">
        <f t="shared" si="47"/>
        <v>0</v>
      </c>
      <c r="AP87" s="147">
        <f t="shared" si="48"/>
        <v>0</v>
      </c>
      <c r="AQ87" s="147">
        <f t="shared" si="49"/>
        <v>0</v>
      </c>
      <c r="AR87" s="16">
        <v>0</v>
      </c>
      <c r="AS87" s="16">
        <v>0</v>
      </c>
      <c r="AT87" s="1">
        <f t="shared" si="50"/>
        <v>0</v>
      </c>
      <c r="AU87" s="154">
        <f t="shared" si="51"/>
        <v>0</v>
      </c>
      <c r="AV87" s="154">
        <f t="shared" si="52"/>
        <v>0</v>
      </c>
      <c r="AW87" s="154">
        <f t="shared" si="53"/>
        <v>0</v>
      </c>
      <c r="AX87" s="154">
        <f t="shared" si="54"/>
        <v>0</v>
      </c>
      <c r="AY87" s="308" t="str">
        <f t="shared" si="55"/>
        <v>RDSC_1</v>
      </c>
      <c r="AZ87" s="308">
        <f t="shared" si="40"/>
        <v>88827</v>
      </c>
      <c r="BA87" s="308">
        <f>IFERROR(IF(_xlfn.NUMBERVALUE(RIGHT(B87,LEN(B87)-FIND(".",B87,1)))=COUNTIF('Contorizare in SDI'!$B:$B,LEFT(B87,FIND(".",B87,1)-1))-1,IF((COUNTIF('Contorizare in SDI'!$B:$B,LEFT(B87,FIND(".",B87,1)-1))-1)=1,VLOOKUP(LEFT(B87,FIND(".",B87,1)-1),$B$4:$AZ$68,45,FALSE),VLOOKUP(LEFT(B87,FIND(".",B87,1)-1),$B$4:$AZ$68,45,FALSE)-BB86),ROUNDUP(V87/VLOOKUP(LEFT(B87,FIND(".",B87,1)-1),$AY:$AZ,2,FALSE)*VLOOKUP(LEFT(B87,FIND(".",B87,1)-1),$B$4:$AZ$68,45,FALSE),0)),0)</f>
        <v>0</v>
      </c>
      <c r="BB87" s="308">
        <f t="shared" si="56"/>
        <v>0</v>
      </c>
      <c r="BC87" s="308">
        <f>IFERROR(IF(_xlfn.NUMBERVALUE(RIGHT(B87,LEN(B87)-FIND(".",B87,1)))=COUNTIF('Contorizare in SDI'!$B:$B,LEFT(B87,FIND(".",B87,1)-1))-1,IF((COUNTIF('Contorizare in SDI'!$B:$B,LEFT(B87,FIND(".",B87,1)-1))-1)=1,VLOOKUP(LEFT(B87,FIND(".",B87,1)-1),$B$4:$AZ$68,46,FALSE),VLOOKUP(LEFT(B87,FIND(".",B87,1)-1),$B$4:$AZ$68,46,FALSE)-BD86),ROUNDUP(V87/VLOOKUP(LEFT(B87,FIND(".",B87,1)-1),$AY:$AZ,2,FALSE)*VLOOKUP(LEFT(B87,FIND(".",B87,1)-1),$B$4:$AZ$68,46,FALSE),0)),0)</f>
        <v>0</v>
      </c>
      <c r="BD87" s="308">
        <f t="shared" si="57"/>
        <v>0</v>
      </c>
      <c r="BE87" s="308">
        <f>IFERROR(IF(_xlfn.NUMBERVALUE(RIGHT(B87,LEN(B87)-FIND(".",B87,1)))=COUNTIF('Contorizare in SDI'!$B:$B,LEFT(B87,FIND(".",B87,1)-1))-1,IF((COUNTIF('Contorizare in SDI'!$B:$B,LEFT(B87,FIND(".",B87,1)-1))-1)=1,VLOOKUP(LEFT(B87,FIND(".",B87,1)-1),$B$4:$AZ$68,47,FALSE),VLOOKUP(LEFT(B87,FIND(".",B87,1)-1),$B$4:$AZ$68,47,FALSE)-BF86),ROUNDUP(V87/VLOOKUP(LEFT(B87,FIND(".",B87,1)-1),$AY:$AZ,2,FALSE)*VLOOKUP(LEFT(B87,FIND(".",B87,1)-1),$B$4:$AZ$68,47,FALSE),0)),0)</f>
        <v>0</v>
      </c>
      <c r="BF87" s="308">
        <f t="shared" si="58"/>
        <v>0</v>
      </c>
      <c r="BG87" s="308">
        <f>IFERROR(IF(_xlfn.NUMBERVALUE(RIGHT(B87,LEN(B87)-FIND(".",B87,1)))=COUNTIF('Contorizare in SDI'!$B:$B,LEFT(B87,FIND(".",B87,1)-1))-1,IF((COUNTIF('Contorizare in SDI'!$B:$B,LEFT(B87,FIND(".",B87,1)-1))-1)=1,VLOOKUP(LEFT(B87,FIND(".",B87,1)-1),$B$4:$AZ$68,48,FALSE),VLOOKUP(LEFT(B87,FIND(".",B87,1)-1),$B$4:$AZ$68,48,FALSE)-BH86),ROUNDUP(V87/VLOOKUP(LEFT(B87,FIND(".",B87,1)-1),$AY:$AZ,2,FALSE)*VLOOKUP(LEFT(B87,FIND(".",B87,1)-1),$B$4:$AZ$68,48,FALSE),0)),0)</f>
        <v>0</v>
      </c>
      <c r="BH87" s="308">
        <f t="shared" si="59"/>
        <v>0</v>
      </c>
      <c r="BI87" s="308">
        <f>IFERROR(IF(_xlfn.NUMBERVALUE(RIGHT(B87,LEN(B87)-FIND(".",B87,1)))=COUNTIF('Contorizare in SDI'!$B:$B,LEFT(B87,FIND(".",B87,1)-1))-1,IF((COUNTIF('Contorizare in SDI'!$B:$B,LEFT(B87,FIND(".",B87,1)-1))-1)=1,VLOOKUP(LEFT(B87,FIND(".",B87,1)-1),$B$4:$AZ$68,49,FALSE),VLOOKUP(LEFT(B87,FIND(".",B87,1)-1),$B$4:$AZ$68,49,FALSE)-BJ86),ROUNDUP(V87/VLOOKUP(LEFT(B87,FIND(".",B87,1)-1),$AY:$AZ,2,FALSE)*VLOOKUP(LEFT(B87,FIND(".",B87,1)-1),$B$4:$AZ$68,49,FALSE),0)),0)</f>
        <v>0</v>
      </c>
      <c r="BJ87" s="308">
        <f t="shared" si="60"/>
        <v>0</v>
      </c>
      <c r="BK87" s="4"/>
      <c r="BP87" s="44">
        <f t="shared" si="61"/>
        <v>0</v>
      </c>
      <c r="BQ87" s="1">
        <v>0</v>
      </c>
      <c r="BR87" s="1">
        <v>0</v>
      </c>
      <c r="BS87" s="16">
        <f t="shared" si="62"/>
        <v>0</v>
      </c>
      <c r="BT87" s="16">
        <f t="shared" si="63"/>
        <v>0</v>
      </c>
      <c r="BU87" s="16">
        <f t="shared" si="64"/>
        <v>0</v>
      </c>
      <c r="BV87" s="16">
        <f t="shared" si="65"/>
        <v>0</v>
      </c>
      <c r="BX87" s="1" t="str">
        <f t="shared" si="32"/>
        <v/>
      </c>
      <c r="BY87" s="1">
        <f t="shared" si="33"/>
        <v>0</v>
      </c>
      <c r="BZ87" s="1">
        <f t="shared" si="66"/>
        <v>0</v>
      </c>
      <c r="CA87" s="1">
        <f t="shared" si="67"/>
        <v>0</v>
      </c>
      <c r="CB87" s="1">
        <f t="shared" si="68"/>
        <v>0</v>
      </c>
      <c r="CC87" s="1">
        <f t="shared" si="69"/>
        <v>0</v>
      </c>
      <c r="CD87" s="1">
        <f t="shared" si="70"/>
        <v>0</v>
      </c>
      <c r="CE87" s="1">
        <f t="shared" si="71"/>
        <v>0</v>
      </c>
      <c r="CR87" s="30" t="s">
        <v>543</v>
      </c>
      <c r="CS87" s="291">
        <v>647340</v>
      </c>
      <c r="CT87" s="291">
        <v>0</v>
      </c>
      <c r="CU87" s="291">
        <v>0</v>
      </c>
      <c r="CV87" s="291">
        <v>0</v>
      </c>
      <c r="CW87" s="29" t="s">
        <v>618</v>
      </c>
      <c r="CX87" s="312">
        <v>276988</v>
      </c>
      <c r="CY87" s="184">
        <v>0</v>
      </c>
      <c r="CZ87" s="88">
        <v>0</v>
      </c>
      <c r="DA87" s="88">
        <v>0</v>
      </c>
      <c r="DB87" s="29" t="s">
        <v>69</v>
      </c>
      <c r="DC87" s="87">
        <v>0</v>
      </c>
      <c r="DD87" s="88">
        <v>0</v>
      </c>
      <c r="DE87" s="88">
        <v>0</v>
      </c>
      <c r="DF87" s="88">
        <v>0</v>
      </c>
      <c r="DG87" s="88">
        <v>276988</v>
      </c>
      <c r="DH87" s="88">
        <v>0</v>
      </c>
      <c r="DI87" s="1">
        <v>4</v>
      </c>
      <c r="DJ87" s="88">
        <v>4155</v>
      </c>
    </row>
    <row r="88" spans="1:114" ht="17.25" thickTop="1" thickBot="1">
      <c r="A88" s="531">
        <f t="shared" si="41"/>
        <v>85</v>
      </c>
      <c r="B88" s="38" t="s">
        <v>586</v>
      </c>
      <c r="C88" s="17" t="s">
        <v>175</v>
      </c>
      <c r="D88" s="17">
        <v>1371623665</v>
      </c>
      <c r="E88" s="142" t="str">
        <f t="shared" si="42"/>
        <v>RDSC</v>
      </c>
      <c r="F88" s="16">
        <v>2579695</v>
      </c>
      <c r="G88" s="16">
        <v>2700162</v>
      </c>
      <c r="H88" s="16">
        <v>0</v>
      </c>
      <c r="I88" s="16">
        <v>0</v>
      </c>
      <c r="J88" s="16">
        <v>154643</v>
      </c>
      <c r="K88" s="16">
        <v>154643</v>
      </c>
      <c r="L88" s="16">
        <v>1655</v>
      </c>
      <c r="M88" s="16">
        <v>1655</v>
      </c>
      <c r="N88" s="12" t="s">
        <v>917</v>
      </c>
      <c r="O88" s="12" t="s">
        <v>1019</v>
      </c>
      <c r="P88" s="12" t="s">
        <v>917</v>
      </c>
      <c r="Q88" s="12" t="s">
        <v>917</v>
      </c>
      <c r="R88" s="12" t="s">
        <v>917</v>
      </c>
      <c r="S88" s="12" t="s">
        <v>1019</v>
      </c>
      <c r="T88" s="12" t="s">
        <v>917</v>
      </c>
      <c r="U88" s="12" t="s">
        <v>1019</v>
      </c>
      <c r="V88" s="22">
        <v>120467</v>
      </c>
      <c r="W88" s="22">
        <v>0</v>
      </c>
      <c r="X88" s="22">
        <v>0</v>
      </c>
      <c r="Y88" s="22">
        <v>0</v>
      </c>
      <c r="Z88" s="171">
        <f t="shared" si="34"/>
        <v>2579695</v>
      </c>
      <c r="AA88" s="130" t="str">
        <f t="shared" si="35"/>
        <v>citit</v>
      </c>
      <c r="AB88" s="176">
        <f t="shared" si="43"/>
        <v>2700162</v>
      </c>
      <c r="AC88" s="12" t="s">
        <v>917</v>
      </c>
      <c r="AD88" s="12">
        <f t="shared" si="36"/>
        <v>0</v>
      </c>
      <c r="AE88" s="12">
        <f t="shared" si="36"/>
        <v>0</v>
      </c>
      <c r="AF88" s="12">
        <f t="shared" si="36"/>
        <v>154643</v>
      </c>
      <c r="AG88" s="12" t="str">
        <f t="shared" si="37"/>
        <v>citit</v>
      </c>
      <c r="AH88" s="176">
        <f t="shared" si="44"/>
        <v>155181</v>
      </c>
      <c r="AI88" s="12" t="s">
        <v>917</v>
      </c>
      <c r="AJ88" s="12">
        <f t="shared" si="38"/>
        <v>1655</v>
      </c>
      <c r="AK88" s="12" t="str">
        <f t="shared" si="39"/>
        <v>citit</v>
      </c>
      <c r="AL88" s="175">
        <f t="shared" si="45"/>
        <v>1655</v>
      </c>
      <c r="AM88" s="159" t="s">
        <v>917</v>
      </c>
      <c r="AN88" s="154">
        <f t="shared" si="46"/>
        <v>120467</v>
      </c>
      <c r="AO88" s="14">
        <f t="shared" si="47"/>
        <v>0</v>
      </c>
      <c r="AP88" s="147">
        <f t="shared" si="48"/>
        <v>538</v>
      </c>
      <c r="AQ88" s="147">
        <f t="shared" si="49"/>
        <v>0</v>
      </c>
      <c r="AR88" s="16">
        <v>0</v>
      </c>
      <c r="AS88" s="16">
        <v>0</v>
      </c>
      <c r="AT88" s="1">
        <f t="shared" si="50"/>
        <v>0</v>
      </c>
      <c r="AU88" s="154">
        <f t="shared" si="51"/>
        <v>329</v>
      </c>
      <c r="AV88" s="154">
        <f t="shared" si="52"/>
        <v>209</v>
      </c>
      <c r="AW88" s="154">
        <f t="shared" si="53"/>
        <v>0</v>
      </c>
      <c r="AX88" s="154">
        <f t="shared" si="54"/>
        <v>0</v>
      </c>
      <c r="AY88" s="308" t="str">
        <f t="shared" si="55"/>
        <v>-</v>
      </c>
      <c r="AZ88" s="308">
        <f t="shared" si="40"/>
        <v>120467</v>
      </c>
      <c r="BA88" s="308">
        <f>IFERROR(IF(_xlfn.NUMBERVALUE(RIGHT(B88,LEN(B88)-FIND(".",B88,1)))=COUNTIF('Contorizare in SDI'!$B:$B,LEFT(B88,FIND(".",B88,1)-1))-1,IF((COUNTIF('Contorizare in SDI'!$B:$B,LEFT(B88,FIND(".",B88,1)-1))-1)=1,VLOOKUP(LEFT(B88,FIND(".",B88,1)-1),$B$4:$AZ$68,45,FALSE),VLOOKUP(LEFT(B88,FIND(".",B88,1)-1),$B$4:$AZ$68,45,FALSE)-BB87),ROUNDUP(V88/VLOOKUP(LEFT(B88,FIND(".",B88,1)-1),$AY:$AZ,2,FALSE)*VLOOKUP(LEFT(B88,FIND(".",B88,1)-1),$B$4:$AZ$68,45,FALSE),0)),0)</f>
        <v>0</v>
      </c>
      <c r="BB88" s="308">
        <f t="shared" si="56"/>
        <v>0</v>
      </c>
      <c r="BC88" s="308">
        <f>IFERROR(IF(_xlfn.NUMBERVALUE(RIGHT(B88,LEN(B88)-FIND(".",B88,1)))=COUNTIF('Contorizare in SDI'!$B:$B,LEFT(B88,FIND(".",B88,1)-1))-1,IF((COUNTIF('Contorizare in SDI'!$B:$B,LEFT(B88,FIND(".",B88,1)-1))-1)=1,VLOOKUP(LEFT(B88,FIND(".",B88,1)-1),$B$4:$AZ$68,46,FALSE),VLOOKUP(LEFT(B88,FIND(".",B88,1)-1),$B$4:$AZ$68,46,FALSE)-BD87),ROUNDUP(V88/VLOOKUP(LEFT(B88,FIND(".",B88,1)-1),$AY:$AZ,2,FALSE)*VLOOKUP(LEFT(B88,FIND(".",B88,1)-1),$B$4:$AZ$68,46,FALSE),0)),0)</f>
        <v>329</v>
      </c>
      <c r="BD88" s="308">
        <f t="shared" si="57"/>
        <v>329</v>
      </c>
      <c r="BE88" s="308">
        <f>IFERROR(IF(_xlfn.NUMBERVALUE(RIGHT(B88,LEN(B88)-FIND(".",B88,1)))=COUNTIF('Contorizare in SDI'!$B:$B,LEFT(B88,FIND(".",B88,1)-1))-1,IF((COUNTIF('Contorizare in SDI'!$B:$B,LEFT(B88,FIND(".",B88,1)-1))-1)=1,VLOOKUP(LEFT(B88,FIND(".",B88,1)-1),$B$4:$AZ$68,47,FALSE),VLOOKUP(LEFT(B88,FIND(".",B88,1)-1),$B$4:$AZ$68,47,FALSE)-BF87),ROUNDUP(V88/VLOOKUP(LEFT(B88,FIND(".",B88,1)-1),$AY:$AZ,2,FALSE)*VLOOKUP(LEFT(B88,FIND(".",B88,1)-1),$B$4:$AZ$68,47,FALSE),0)),0)</f>
        <v>209</v>
      </c>
      <c r="BF88" s="308">
        <f t="shared" si="58"/>
        <v>209</v>
      </c>
      <c r="BG88" s="308">
        <f>IFERROR(IF(_xlfn.NUMBERVALUE(RIGHT(B88,LEN(B88)-FIND(".",B88,1)))=COUNTIF('Contorizare in SDI'!$B:$B,LEFT(B88,FIND(".",B88,1)-1))-1,IF((COUNTIF('Contorizare in SDI'!$B:$B,LEFT(B88,FIND(".",B88,1)-1))-1)=1,VLOOKUP(LEFT(B88,FIND(".",B88,1)-1),$B$4:$AZ$68,48,FALSE),VLOOKUP(LEFT(B88,FIND(".",B88,1)-1),$B$4:$AZ$68,48,FALSE)-BH87),ROUNDUP(V88/VLOOKUP(LEFT(B88,FIND(".",B88,1)-1),$AY:$AZ,2,FALSE)*VLOOKUP(LEFT(B88,FIND(".",B88,1)-1),$B$4:$AZ$68,48,FALSE),0)),0)</f>
        <v>0</v>
      </c>
      <c r="BH88" s="308">
        <f t="shared" si="59"/>
        <v>0</v>
      </c>
      <c r="BI88" s="308">
        <f>IFERROR(IF(_xlfn.NUMBERVALUE(RIGHT(B88,LEN(B88)-FIND(".",B88,1)))=COUNTIF('Contorizare in SDI'!$B:$B,LEFT(B88,FIND(".",B88,1)-1))-1,IF((COUNTIF('Contorizare in SDI'!$B:$B,LEFT(B88,FIND(".",B88,1)-1))-1)=1,VLOOKUP(LEFT(B88,FIND(".",B88,1)-1),$B$4:$AZ$68,49,FALSE),VLOOKUP(LEFT(B88,FIND(".",B88,1)-1),$B$4:$AZ$68,49,FALSE)-BJ87),ROUNDUP(V88/VLOOKUP(LEFT(B88,FIND(".",B88,1)-1),$AY:$AZ,2,FALSE)*VLOOKUP(LEFT(B88,FIND(".",B88,1)-1),$B$4:$AZ$68,49,FALSE),0)),0)</f>
        <v>0</v>
      </c>
      <c r="BJ88" s="308">
        <f t="shared" si="60"/>
        <v>0</v>
      </c>
      <c r="BK88" s="4"/>
      <c r="BP88" s="44">
        <f t="shared" si="61"/>
        <v>0</v>
      </c>
      <c r="BQ88" s="1">
        <v>0</v>
      </c>
      <c r="BR88" s="1">
        <v>0</v>
      </c>
      <c r="BS88" s="16">
        <f t="shared" si="62"/>
        <v>329</v>
      </c>
      <c r="BT88" s="16">
        <f t="shared" si="63"/>
        <v>209</v>
      </c>
      <c r="BU88" s="16">
        <f t="shared" si="64"/>
        <v>0</v>
      </c>
      <c r="BV88" s="16">
        <f t="shared" si="65"/>
        <v>0</v>
      </c>
      <c r="BX88" s="1" t="str">
        <f t="shared" si="32"/>
        <v/>
      </c>
      <c r="BY88" s="1">
        <f t="shared" si="33"/>
        <v>0</v>
      </c>
      <c r="BZ88" s="1">
        <f t="shared" si="66"/>
        <v>0</v>
      </c>
      <c r="CA88" s="1">
        <f t="shared" si="67"/>
        <v>0</v>
      </c>
      <c r="CB88" s="1">
        <f t="shared" si="68"/>
        <v>329</v>
      </c>
      <c r="CC88" s="1">
        <f t="shared" si="69"/>
        <v>209</v>
      </c>
      <c r="CD88" s="1">
        <f t="shared" si="70"/>
        <v>0</v>
      </c>
      <c r="CE88" s="1">
        <f t="shared" si="71"/>
        <v>0</v>
      </c>
      <c r="CR88" s="30" t="s">
        <v>543</v>
      </c>
      <c r="CS88" s="291">
        <v>647340</v>
      </c>
      <c r="CT88" s="291">
        <v>0</v>
      </c>
      <c r="CU88" s="291">
        <v>0</v>
      </c>
      <c r="CV88" s="291">
        <v>0</v>
      </c>
      <c r="CW88" s="29" t="s">
        <v>619</v>
      </c>
      <c r="CX88" s="312">
        <v>263120</v>
      </c>
      <c r="CY88" s="184">
        <v>0</v>
      </c>
      <c r="CZ88" s="88">
        <v>0</v>
      </c>
      <c r="DA88" s="88">
        <v>0</v>
      </c>
      <c r="DB88" s="29" t="s">
        <v>69</v>
      </c>
      <c r="DC88" s="87">
        <v>0</v>
      </c>
      <c r="DD88" s="88">
        <v>0</v>
      </c>
      <c r="DE88" s="88">
        <v>0</v>
      </c>
      <c r="DF88" s="88">
        <v>0</v>
      </c>
      <c r="DG88" s="88">
        <v>263120</v>
      </c>
      <c r="DH88" s="88">
        <v>0</v>
      </c>
      <c r="DI88" s="321">
        <v>0</v>
      </c>
      <c r="DJ88" s="88">
        <v>4093</v>
      </c>
    </row>
    <row r="89" spans="1:114" ht="17.25" thickTop="1" thickBot="1">
      <c r="A89" s="531">
        <f t="shared" si="41"/>
        <v>86</v>
      </c>
      <c r="B89" s="38" t="s">
        <v>587</v>
      </c>
      <c r="C89" s="17" t="s">
        <v>176</v>
      </c>
      <c r="D89" s="17">
        <v>1369534409</v>
      </c>
      <c r="E89" s="142" t="str">
        <f t="shared" si="42"/>
        <v>RDSC</v>
      </c>
      <c r="F89" s="16">
        <v>2007078</v>
      </c>
      <c r="G89" s="16">
        <v>2091333</v>
      </c>
      <c r="H89" s="16">
        <v>0</v>
      </c>
      <c r="I89" s="16">
        <v>0</v>
      </c>
      <c r="J89" s="16">
        <v>167022</v>
      </c>
      <c r="K89" s="16">
        <v>167022</v>
      </c>
      <c r="L89" s="16">
        <v>4042</v>
      </c>
      <c r="M89" s="16">
        <v>4042</v>
      </c>
      <c r="N89" s="12" t="s">
        <v>917</v>
      </c>
      <c r="O89" s="12" t="s">
        <v>1019</v>
      </c>
      <c r="P89" s="12" t="s">
        <v>917</v>
      </c>
      <c r="Q89" s="12" t="s">
        <v>917</v>
      </c>
      <c r="R89" s="12" t="s">
        <v>917</v>
      </c>
      <c r="S89" s="12" t="s">
        <v>1019</v>
      </c>
      <c r="T89" s="12" t="s">
        <v>917</v>
      </c>
      <c r="U89" s="12" t="s">
        <v>1019</v>
      </c>
      <c r="V89" s="22">
        <v>84255</v>
      </c>
      <c r="W89" s="22">
        <v>0</v>
      </c>
      <c r="X89" s="22">
        <v>0</v>
      </c>
      <c r="Y89" s="22">
        <v>0</v>
      </c>
      <c r="Z89" s="171">
        <f t="shared" si="34"/>
        <v>2007078</v>
      </c>
      <c r="AA89" s="130" t="str">
        <f t="shared" si="35"/>
        <v>citit</v>
      </c>
      <c r="AB89" s="176">
        <f t="shared" si="43"/>
        <v>2091333</v>
      </c>
      <c r="AC89" s="12" t="s">
        <v>917</v>
      </c>
      <c r="AD89" s="12">
        <f t="shared" si="36"/>
        <v>0</v>
      </c>
      <c r="AE89" s="12">
        <f t="shared" si="36"/>
        <v>0</v>
      </c>
      <c r="AF89" s="12">
        <f t="shared" si="36"/>
        <v>167022</v>
      </c>
      <c r="AG89" s="12" t="str">
        <f t="shared" si="37"/>
        <v>citit</v>
      </c>
      <c r="AH89" s="176">
        <f t="shared" si="44"/>
        <v>167396</v>
      </c>
      <c r="AI89" s="12" t="s">
        <v>917</v>
      </c>
      <c r="AJ89" s="12">
        <f t="shared" si="38"/>
        <v>4042</v>
      </c>
      <c r="AK89" s="12" t="str">
        <f t="shared" si="39"/>
        <v>citit</v>
      </c>
      <c r="AL89" s="175">
        <f t="shared" si="45"/>
        <v>4042</v>
      </c>
      <c r="AM89" s="159" t="s">
        <v>917</v>
      </c>
      <c r="AN89" s="154">
        <f t="shared" si="46"/>
        <v>84255</v>
      </c>
      <c r="AO89" s="14">
        <f t="shared" si="47"/>
        <v>0</v>
      </c>
      <c r="AP89" s="147">
        <f t="shared" si="48"/>
        <v>374</v>
      </c>
      <c r="AQ89" s="147">
        <f t="shared" si="49"/>
        <v>0</v>
      </c>
      <c r="AR89" s="16">
        <v>0</v>
      </c>
      <c r="AS89" s="16">
        <v>0</v>
      </c>
      <c r="AT89" s="1">
        <f t="shared" si="50"/>
        <v>0</v>
      </c>
      <c r="AU89" s="154">
        <f t="shared" si="51"/>
        <v>229</v>
      </c>
      <c r="AV89" s="154">
        <f t="shared" si="52"/>
        <v>145</v>
      </c>
      <c r="AW89" s="154">
        <f t="shared" si="53"/>
        <v>0</v>
      </c>
      <c r="AX89" s="154">
        <f t="shared" si="54"/>
        <v>0</v>
      </c>
      <c r="AY89" s="308" t="str">
        <f t="shared" si="55"/>
        <v>RDSC_2</v>
      </c>
      <c r="AZ89" s="308">
        <f t="shared" si="40"/>
        <v>204722</v>
      </c>
      <c r="BA89" s="308">
        <f>IFERROR(IF(_xlfn.NUMBERVALUE(RIGHT(B89,LEN(B89)-FIND(".",B89,1)))=COUNTIF('Contorizare in SDI'!$B:$B,LEFT(B89,FIND(".",B89,1)-1))-1,IF((COUNTIF('Contorizare in SDI'!$B:$B,LEFT(B89,FIND(".",B89,1)-1))-1)=1,VLOOKUP(LEFT(B89,FIND(".",B89,1)-1),$B$4:$AZ$68,45,FALSE),VLOOKUP(LEFT(B89,FIND(".",B89,1)-1),$B$4:$AZ$68,45,FALSE)-BB88),ROUNDUP(V89/VLOOKUP(LEFT(B89,FIND(".",B89,1)-1),$AY:$AZ,2,FALSE)*VLOOKUP(LEFT(B89,FIND(".",B89,1)-1),$B$4:$AZ$68,45,FALSE),0)),0)</f>
        <v>0</v>
      </c>
      <c r="BB89" s="308">
        <f t="shared" si="56"/>
        <v>0</v>
      </c>
      <c r="BC89" s="308">
        <f>IFERROR(IF(_xlfn.NUMBERVALUE(RIGHT(B89,LEN(B89)-FIND(".",B89,1)))=COUNTIF('Contorizare in SDI'!$B:$B,LEFT(B89,FIND(".",B89,1)-1))-1,IF((COUNTIF('Contorizare in SDI'!$B:$B,LEFT(B89,FIND(".",B89,1)-1))-1)=1,VLOOKUP(LEFT(B89,FIND(".",B89,1)-1),$B$4:$AZ$68,46,FALSE),VLOOKUP(LEFT(B89,FIND(".",B89,1)-1),$B$4:$AZ$68,46,FALSE)-BD88),ROUNDUP(V89/VLOOKUP(LEFT(B89,FIND(".",B89,1)-1),$AY:$AZ,2,FALSE)*VLOOKUP(LEFT(B89,FIND(".",B89,1)-1),$B$4:$AZ$68,46,FALSE),0)),0)</f>
        <v>229</v>
      </c>
      <c r="BD89" s="308">
        <f t="shared" si="57"/>
        <v>558</v>
      </c>
      <c r="BE89" s="308">
        <f>IFERROR(IF(_xlfn.NUMBERVALUE(RIGHT(B89,LEN(B89)-FIND(".",B89,1)))=COUNTIF('Contorizare in SDI'!$B:$B,LEFT(B89,FIND(".",B89,1)-1))-1,IF((COUNTIF('Contorizare in SDI'!$B:$B,LEFT(B89,FIND(".",B89,1)-1))-1)=1,VLOOKUP(LEFT(B89,FIND(".",B89,1)-1),$B$4:$AZ$68,47,FALSE),VLOOKUP(LEFT(B89,FIND(".",B89,1)-1),$B$4:$AZ$68,47,FALSE)-BF88),ROUNDUP(V89/VLOOKUP(LEFT(B89,FIND(".",B89,1)-1),$AY:$AZ,2,FALSE)*VLOOKUP(LEFT(B89,FIND(".",B89,1)-1),$B$4:$AZ$68,47,FALSE),0)),0)</f>
        <v>145</v>
      </c>
      <c r="BF89" s="308">
        <f t="shared" si="58"/>
        <v>354</v>
      </c>
      <c r="BG89" s="308">
        <f>IFERROR(IF(_xlfn.NUMBERVALUE(RIGHT(B89,LEN(B89)-FIND(".",B89,1)))=COUNTIF('Contorizare in SDI'!$B:$B,LEFT(B89,FIND(".",B89,1)-1))-1,IF((COUNTIF('Contorizare in SDI'!$B:$B,LEFT(B89,FIND(".",B89,1)-1))-1)=1,VLOOKUP(LEFT(B89,FIND(".",B89,1)-1),$B$4:$AZ$68,48,FALSE),VLOOKUP(LEFT(B89,FIND(".",B89,1)-1),$B$4:$AZ$68,48,FALSE)-BH88),ROUNDUP(V89/VLOOKUP(LEFT(B89,FIND(".",B89,1)-1),$AY:$AZ,2,FALSE)*VLOOKUP(LEFT(B89,FIND(".",B89,1)-1),$B$4:$AZ$68,48,FALSE),0)),0)</f>
        <v>0</v>
      </c>
      <c r="BH89" s="308">
        <f t="shared" si="59"/>
        <v>0</v>
      </c>
      <c r="BI89" s="308">
        <f>IFERROR(IF(_xlfn.NUMBERVALUE(RIGHT(B89,LEN(B89)-FIND(".",B89,1)))=COUNTIF('Contorizare in SDI'!$B:$B,LEFT(B89,FIND(".",B89,1)-1))-1,IF((COUNTIF('Contorizare in SDI'!$B:$B,LEFT(B89,FIND(".",B89,1)-1))-1)=1,VLOOKUP(LEFT(B89,FIND(".",B89,1)-1),$B$4:$AZ$68,49,FALSE),VLOOKUP(LEFT(B89,FIND(".",B89,1)-1),$B$4:$AZ$68,49,FALSE)-BJ88),ROUNDUP(V89/VLOOKUP(LEFT(B89,FIND(".",B89,1)-1),$AY:$AZ,2,FALSE)*VLOOKUP(LEFT(B89,FIND(".",B89,1)-1),$B$4:$AZ$68,49,FALSE),0)),0)</f>
        <v>0</v>
      </c>
      <c r="BJ89" s="308">
        <f t="shared" si="60"/>
        <v>0</v>
      </c>
      <c r="BK89" s="4"/>
      <c r="BP89" s="44">
        <f t="shared" si="61"/>
        <v>0</v>
      </c>
      <c r="BQ89" s="1">
        <v>0</v>
      </c>
      <c r="BR89" s="1">
        <v>0</v>
      </c>
      <c r="BS89" s="16">
        <f t="shared" si="62"/>
        <v>229</v>
      </c>
      <c r="BT89" s="16">
        <f t="shared" si="63"/>
        <v>145</v>
      </c>
      <c r="BU89" s="16">
        <f t="shared" si="64"/>
        <v>0</v>
      </c>
      <c r="BV89" s="16">
        <f t="shared" si="65"/>
        <v>0</v>
      </c>
      <c r="BX89" s="1" t="str">
        <f t="shared" si="32"/>
        <v/>
      </c>
      <c r="BY89" s="1">
        <f t="shared" si="33"/>
        <v>0</v>
      </c>
      <c r="BZ89" s="1">
        <f t="shared" si="66"/>
        <v>0</v>
      </c>
      <c r="CA89" s="1">
        <f t="shared" si="67"/>
        <v>0</v>
      </c>
      <c r="CB89" s="1">
        <f t="shared" si="68"/>
        <v>558</v>
      </c>
      <c r="CC89" s="1">
        <f t="shared" si="69"/>
        <v>354</v>
      </c>
      <c r="CD89" s="1">
        <f t="shared" si="70"/>
        <v>0</v>
      </c>
      <c r="CE89" s="1">
        <f t="shared" si="71"/>
        <v>0</v>
      </c>
      <c r="CR89" s="93" t="s">
        <v>543</v>
      </c>
      <c r="CS89" s="291">
        <v>647340</v>
      </c>
      <c r="CT89" s="291">
        <v>0</v>
      </c>
      <c r="CU89" s="291">
        <v>0</v>
      </c>
      <c r="CV89" s="291">
        <v>0</v>
      </c>
      <c r="CW89" s="94" t="s">
        <v>974</v>
      </c>
      <c r="CX89" s="312">
        <v>9711</v>
      </c>
      <c r="CY89" s="184">
        <v>0</v>
      </c>
      <c r="CZ89" s="88">
        <v>0</v>
      </c>
      <c r="DA89" s="88">
        <v>0</v>
      </c>
      <c r="DB89" s="94" t="s">
        <v>69</v>
      </c>
      <c r="DC89" s="87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321">
        <v>0</v>
      </c>
      <c r="DJ89" s="88">
        <v>0</v>
      </c>
    </row>
    <row r="90" spans="1:114" ht="17.25" thickTop="1" thickBot="1">
      <c r="A90" s="531">
        <f t="shared" si="41"/>
        <v>87</v>
      </c>
      <c r="B90" s="38" t="s">
        <v>588</v>
      </c>
      <c r="C90" s="17" t="s">
        <v>178</v>
      </c>
      <c r="D90" s="17">
        <v>1372655772</v>
      </c>
      <c r="E90" s="142" t="str">
        <f t="shared" si="42"/>
        <v>RDSC</v>
      </c>
      <c r="F90" s="16">
        <v>1299002</v>
      </c>
      <c r="G90" s="16">
        <v>1325097</v>
      </c>
      <c r="H90" s="16">
        <v>0</v>
      </c>
      <c r="I90" s="16">
        <v>0</v>
      </c>
      <c r="J90" s="16">
        <v>170961</v>
      </c>
      <c r="K90" s="16">
        <v>170961</v>
      </c>
      <c r="L90" s="16">
        <v>138991</v>
      </c>
      <c r="M90" s="16">
        <v>138991</v>
      </c>
      <c r="N90" s="12" t="s">
        <v>917</v>
      </c>
      <c r="O90" s="12" t="s">
        <v>1019</v>
      </c>
      <c r="P90" s="12" t="s">
        <v>917</v>
      </c>
      <c r="Q90" s="12" t="s">
        <v>917</v>
      </c>
      <c r="R90" s="12" t="s">
        <v>917</v>
      </c>
      <c r="S90" s="12" t="s">
        <v>1019</v>
      </c>
      <c r="T90" s="12" t="s">
        <v>917</v>
      </c>
      <c r="U90" s="12" t="s">
        <v>1019</v>
      </c>
      <c r="V90" s="22">
        <v>26095</v>
      </c>
      <c r="W90" s="22">
        <v>0</v>
      </c>
      <c r="X90" s="22">
        <v>0</v>
      </c>
      <c r="Y90" s="22">
        <v>0</v>
      </c>
      <c r="Z90" s="171">
        <f t="shared" si="34"/>
        <v>1299002</v>
      </c>
      <c r="AA90" s="130" t="str">
        <f t="shared" si="35"/>
        <v>citit</v>
      </c>
      <c r="AB90" s="176">
        <f t="shared" si="43"/>
        <v>1325097</v>
      </c>
      <c r="AC90" s="12" t="s">
        <v>917</v>
      </c>
      <c r="AD90" s="12">
        <f t="shared" si="36"/>
        <v>0</v>
      </c>
      <c r="AE90" s="12">
        <f t="shared" si="36"/>
        <v>0</v>
      </c>
      <c r="AF90" s="12">
        <f t="shared" si="36"/>
        <v>170961</v>
      </c>
      <c r="AG90" s="12" t="str">
        <f t="shared" si="37"/>
        <v>citit</v>
      </c>
      <c r="AH90" s="176">
        <f t="shared" si="44"/>
        <v>172035</v>
      </c>
      <c r="AI90" s="12" t="s">
        <v>917</v>
      </c>
      <c r="AJ90" s="12">
        <f t="shared" si="38"/>
        <v>138991</v>
      </c>
      <c r="AK90" s="12" t="str">
        <f t="shared" si="39"/>
        <v>citit</v>
      </c>
      <c r="AL90" s="175">
        <f t="shared" si="45"/>
        <v>138991</v>
      </c>
      <c r="AM90" s="159" t="s">
        <v>917</v>
      </c>
      <c r="AN90" s="154">
        <f t="shared" si="46"/>
        <v>26095</v>
      </c>
      <c r="AO90" s="14">
        <f t="shared" si="47"/>
        <v>0</v>
      </c>
      <c r="AP90" s="147">
        <f t="shared" si="48"/>
        <v>1074</v>
      </c>
      <c r="AQ90" s="147">
        <f t="shared" si="49"/>
        <v>0</v>
      </c>
      <c r="AR90" s="16">
        <v>0</v>
      </c>
      <c r="AS90" s="16">
        <v>0</v>
      </c>
      <c r="AT90" s="1">
        <f t="shared" si="50"/>
        <v>0</v>
      </c>
      <c r="AU90" s="154">
        <f t="shared" si="51"/>
        <v>708</v>
      </c>
      <c r="AV90" s="154">
        <f t="shared" si="52"/>
        <v>366</v>
      </c>
      <c r="AW90" s="154">
        <f t="shared" si="53"/>
        <v>0</v>
      </c>
      <c r="AX90" s="154">
        <f t="shared" si="54"/>
        <v>0</v>
      </c>
      <c r="AY90" s="308" t="str">
        <f t="shared" si="55"/>
        <v>-</v>
      </c>
      <c r="AZ90" s="308">
        <f t="shared" si="40"/>
        <v>26095</v>
      </c>
      <c r="BA90" s="308">
        <f>IFERROR(IF(_xlfn.NUMBERVALUE(RIGHT(B90,LEN(B90)-FIND(".",B90,1)))=COUNTIF('Contorizare in SDI'!$B:$B,LEFT(B90,FIND(".",B90,1)-1))-1,IF((COUNTIF('Contorizare in SDI'!$B:$B,LEFT(B90,FIND(".",B90,1)-1))-1)=1,VLOOKUP(LEFT(B90,FIND(".",B90,1)-1),$B$4:$AZ$68,45,FALSE),VLOOKUP(LEFT(B90,FIND(".",B90,1)-1),$B$4:$AZ$68,45,FALSE)-BB89),ROUNDUP(V90/VLOOKUP(LEFT(B90,FIND(".",B90,1)-1),$AY:$AZ,2,FALSE)*VLOOKUP(LEFT(B90,FIND(".",B90,1)-1),$B$4:$AZ$68,45,FALSE),0)),0)</f>
        <v>0</v>
      </c>
      <c r="BB90" s="308">
        <f t="shared" si="56"/>
        <v>0</v>
      </c>
      <c r="BC90" s="308">
        <f>IFERROR(IF(_xlfn.NUMBERVALUE(RIGHT(B90,LEN(B90)-FIND(".",B90,1)))=COUNTIF('Contorizare in SDI'!$B:$B,LEFT(B90,FIND(".",B90,1)-1))-1,IF((COUNTIF('Contorizare in SDI'!$B:$B,LEFT(B90,FIND(".",B90,1)-1))-1)=1,VLOOKUP(LEFT(B90,FIND(".",B90,1)-1),$B$4:$AZ$68,46,FALSE),VLOOKUP(LEFT(B90,FIND(".",B90,1)-1),$B$4:$AZ$68,46,FALSE)-BD89),ROUNDUP(V90/VLOOKUP(LEFT(B90,FIND(".",B90,1)-1),$AY:$AZ,2,FALSE)*VLOOKUP(LEFT(B90,FIND(".",B90,1)-1),$B$4:$AZ$68,46,FALSE),0)),0)</f>
        <v>708</v>
      </c>
      <c r="BD90" s="308">
        <f t="shared" si="57"/>
        <v>708</v>
      </c>
      <c r="BE90" s="308">
        <f>IFERROR(IF(_xlfn.NUMBERVALUE(RIGHT(B90,LEN(B90)-FIND(".",B90,1)))=COUNTIF('Contorizare in SDI'!$B:$B,LEFT(B90,FIND(".",B90,1)-1))-1,IF((COUNTIF('Contorizare in SDI'!$B:$B,LEFT(B90,FIND(".",B90,1)-1))-1)=1,VLOOKUP(LEFT(B90,FIND(".",B90,1)-1),$B$4:$AZ$68,47,FALSE),VLOOKUP(LEFT(B90,FIND(".",B90,1)-1),$B$4:$AZ$68,47,FALSE)-BF89),ROUNDUP(V90/VLOOKUP(LEFT(B90,FIND(".",B90,1)-1),$AY:$AZ,2,FALSE)*VLOOKUP(LEFT(B90,FIND(".",B90,1)-1),$B$4:$AZ$68,47,FALSE),0)),0)</f>
        <v>366</v>
      </c>
      <c r="BF90" s="308">
        <f t="shared" si="58"/>
        <v>366</v>
      </c>
      <c r="BG90" s="308">
        <f>IFERROR(IF(_xlfn.NUMBERVALUE(RIGHT(B90,LEN(B90)-FIND(".",B90,1)))=COUNTIF('Contorizare in SDI'!$B:$B,LEFT(B90,FIND(".",B90,1)-1))-1,IF((COUNTIF('Contorizare in SDI'!$B:$B,LEFT(B90,FIND(".",B90,1)-1))-1)=1,VLOOKUP(LEFT(B90,FIND(".",B90,1)-1),$B$4:$AZ$68,48,FALSE),VLOOKUP(LEFT(B90,FIND(".",B90,1)-1),$B$4:$AZ$68,48,FALSE)-BH89),ROUNDUP(V90/VLOOKUP(LEFT(B90,FIND(".",B90,1)-1),$AY:$AZ,2,FALSE)*VLOOKUP(LEFT(B90,FIND(".",B90,1)-1),$B$4:$AZ$68,48,FALSE),0)),0)</f>
        <v>0</v>
      </c>
      <c r="BH90" s="308">
        <f t="shared" si="59"/>
        <v>0</v>
      </c>
      <c r="BI90" s="308">
        <f>IFERROR(IF(_xlfn.NUMBERVALUE(RIGHT(B90,LEN(B90)-FIND(".",B90,1)))=COUNTIF('Contorizare in SDI'!$B:$B,LEFT(B90,FIND(".",B90,1)-1))-1,IF((COUNTIF('Contorizare in SDI'!$B:$B,LEFT(B90,FIND(".",B90,1)-1))-1)=1,VLOOKUP(LEFT(B90,FIND(".",B90,1)-1),$B$4:$AZ$68,49,FALSE),VLOOKUP(LEFT(B90,FIND(".",B90,1)-1),$B$4:$AZ$68,49,FALSE)-BJ89),ROUNDUP(V90/VLOOKUP(LEFT(B90,FIND(".",B90,1)-1),$AY:$AZ,2,FALSE)*VLOOKUP(LEFT(B90,FIND(".",B90,1)-1),$B$4:$AZ$68,49,FALSE),0)),0)</f>
        <v>0</v>
      </c>
      <c r="BJ90" s="308">
        <f t="shared" si="60"/>
        <v>0</v>
      </c>
      <c r="BK90" s="4"/>
      <c r="BP90" s="44">
        <f t="shared" si="61"/>
        <v>0</v>
      </c>
      <c r="BQ90" s="1">
        <v>0</v>
      </c>
      <c r="BR90" s="1">
        <v>0</v>
      </c>
      <c r="BS90" s="16">
        <f t="shared" si="62"/>
        <v>708</v>
      </c>
      <c r="BT90" s="16">
        <f t="shared" si="63"/>
        <v>366</v>
      </c>
      <c r="BU90" s="16">
        <f t="shared" si="64"/>
        <v>0</v>
      </c>
      <c r="BV90" s="16">
        <f t="shared" si="65"/>
        <v>0</v>
      </c>
      <c r="BX90" s="1" t="str">
        <f t="shared" si="32"/>
        <v/>
      </c>
      <c r="BY90" s="1">
        <f t="shared" si="33"/>
        <v>0</v>
      </c>
      <c r="BZ90" s="1">
        <f t="shared" si="66"/>
        <v>0</v>
      </c>
      <c r="CA90" s="1">
        <f t="shared" si="67"/>
        <v>0</v>
      </c>
      <c r="CB90" s="1">
        <f t="shared" si="68"/>
        <v>1266</v>
      </c>
      <c r="CC90" s="1">
        <f t="shared" si="69"/>
        <v>720</v>
      </c>
      <c r="CD90" s="1">
        <f t="shared" si="70"/>
        <v>0</v>
      </c>
      <c r="CE90" s="1">
        <f t="shared" si="71"/>
        <v>0</v>
      </c>
      <c r="CR90" s="86" t="s">
        <v>544</v>
      </c>
      <c r="CS90" s="291">
        <v>548480</v>
      </c>
      <c r="CT90" s="291">
        <v>0</v>
      </c>
      <c r="CU90" s="291">
        <v>0</v>
      </c>
      <c r="CV90" s="291">
        <v>0</v>
      </c>
      <c r="CW90" s="89" t="s">
        <v>620</v>
      </c>
      <c r="CX90" s="312">
        <v>353225</v>
      </c>
      <c r="CY90" s="184">
        <v>0</v>
      </c>
      <c r="CZ90" s="88">
        <v>18771</v>
      </c>
      <c r="DA90" s="88">
        <v>6063</v>
      </c>
      <c r="DB90" s="89" t="s">
        <v>69</v>
      </c>
      <c r="DC90" s="87">
        <v>0</v>
      </c>
      <c r="DD90" s="88">
        <v>0</v>
      </c>
      <c r="DE90" s="88">
        <v>0</v>
      </c>
      <c r="DF90" s="88">
        <v>0</v>
      </c>
      <c r="DG90" s="88">
        <v>353225</v>
      </c>
      <c r="DH90" s="88">
        <v>0</v>
      </c>
      <c r="DI90" s="88">
        <v>212</v>
      </c>
      <c r="DJ90" s="88">
        <v>5299</v>
      </c>
    </row>
    <row r="91" spans="1:114" ht="17.25" thickTop="1" thickBot="1">
      <c r="A91" s="531">
        <f t="shared" si="41"/>
        <v>88</v>
      </c>
      <c r="B91" s="38" t="s">
        <v>589</v>
      </c>
      <c r="C91" s="17" t="s">
        <v>179</v>
      </c>
      <c r="D91" s="17">
        <v>1372654023</v>
      </c>
      <c r="E91" s="142" t="str">
        <f t="shared" si="42"/>
        <v>RDSC</v>
      </c>
      <c r="F91" s="16">
        <v>2106434</v>
      </c>
      <c r="G91" s="16">
        <v>2223912</v>
      </c>
      <c r="H91" s="16">
        <v>0</v>
      </c>
      <c r="I91" s="16">
        <v>0</v>
      </c>
      <c r="J91" s="16">
        <v>249691</v>
      </c>
      <c r="K91" s="16">
        <v>249691</v>
      </c>
      <c r="L91" s="16">
        <v>64</v>
      </c>
      <c r="M91" s="16">
        <v>64</v>
      </c>
      <c r="N91" s="12" t="s">
        <v>917</v>
      </c>
      <c r="O91" s="12" t="s">
        <v>1019</v>
      </c>
      <c r="P91" s="12" t="s">
        <v>917</v>
      </c>
      <c r="Q91" s="12" t="s">
        <v>917</v>
      </c>
      <c r="R91" s="12" t="s">
        <v>917</v>
      </c>
      <c r="S91" s="12" t="s">
        <v>1019</v>
      </c>
      <c r="T91" s="12" t="s">
        <v>917</v>
      </c>
      <c r="U91" s="12" t="s">
        <v>1019</v>
      </c>
      <c r="V91" s="22">
        <v>117478</v>
      </c>
      <c r="W91" s="22">
        <v>0</v>
      </c>
      <c r="X91" s="22">
        <v>0</v>
      </c>
      <c r="Y91" s="22">
        <v>0</v>
      </c>
      <c r="Z91" s="171">
        <f t="shared" si="34"/>
        <v>2106434</v>
      </c>
      <c r="AA91" s="130" t="str">
        <f t="shared" si="35"/>
        <v>citit</v>
      </c>
      <c r="AB91" s="176">
        <f t="shared" si="43"/>
        <v>2223912</v>
      </c>
      <c r="AC91" s="12" t="s">
        <v>917</v>
      </c>
      <c r="AD91" s="12">
        <f t="shared" si="36"/>
        <v>0</v>
      </c>
      <c r="AE91" s="12">
        <f t="shared" si="36"/>
        <v>0</v>
      </c>
      <c r="AF91" s="12">
        <f t="shared" si="36"/>
        <v>249691</v>
      </c>
      <c r="AG91" s="12" t="str">
        <f t="shared" si="37"/>
        <v>citit</v>
      </c>
      <c r="AH91" s="176">
        <f t="shared" si="44"/>
        <v>254523</v>
      </c>
      <c r="AI91" s="12" t="s">
        <v>917</v>
      </c>
      <c r="AJ91" s="12">
        <f t="shared" si="38"/>
        <v>64</v>
      </c>
      <c r="AK91" s="12" t="str">
        <f t="shared" si="39"/>
        <v>citit</v>
      </c>
      <c r="AL91" s="175">
        <f t="shared" si="45"/>
        <v>64</v>
      </c>
      <c r="AM91" s="159" t="s">
        <v>917</v>
      </c>
      <c r="AN91" s="154">
        <f t="shared" si="46"/>
        <v>117478</v>
      </c>
      <c r="AO91" s="14">
        <f t="shared" si="47"/>
        <v>0</v>
      </c>
      <c r="AP91" s="147">
        <f t="shared" si="48"/>
        <v>4832</v>
      </c>
      <c r="AQ91" s="147">
        <f t="shared" si="49"/>
        <v>0</v>
      </c>
      <c r="AR91" s="16">
        <v>0</v>
      </c>
      <c r="AS91" s="16">
        <v>0</v>
      </c>
      <c r="AT91" s="1">
        <f t="shared" si="50"/>
        <v>0</v>
      </c>
      <c r="AU91" s="154">
        <f t="shared" si="51"/>
        <v>3186</v>
      </c>
      <c r="AV91" s="154">
        <f t="shared" si="52"/>
        <v>1646</v>
      </c>
      <c r="AW91" s="154">
        <f t="shared" si="53"/>
        <v>0</v>
      </c>
      <c r="AX91" s="154">
        <f t="shared" si="54"/>
        <v>0</v>
      </c>
      <c r="AY91" s="308" t="str">
        <f t="shared" si="55"/>
        <v>RDSC_3</v>
      </c>
      <c r="AZ91" s="308">
        <f t="shared" si="40"/>
        <v>143573</v>
      </c>
      <c r="BA91" s="308">
        <f>IFERROR(IF(_xlfn.NUMBERVALUE(RIGHT(B91,LEN(B91)-FIND(".",B91,1)))=COUNTIF('Contorizare in SDI'!$B:$B,LEFT(B91,FIND(".",B91,1)-1))-1,IF((COUNTIF('Contorizare in SDI'!$B:$B,LEFT(B91,FIND(".",B91,1)-1))-1)=1,VLOOKUP(LEFT(B91,FIND(".",B91,1)-1),$B$4:$AZ$68,45,FALSE),VLOOKUP(LEFT(B91,FIND(".",B91,1)-1),$B$4:$AZ$68,45,FALSE)-BB90),ROUNDUP(V91/VLOOKUP(LEFT(B91,FIND(".",B91,1)-1),$AY:$AZ,2,FALSE)*VLOOKUP(LEFT(B91,FIND(".",B91,1)-1),$B$4:$AZ$68,45,FALSE),0)),0)</f>
        <v>0</v>
      </c>
      <c r="BB91" s="308">
        <f t="shared" si="56"/>
        <v>0</v>
      </c>
      <c r="BC91" s="308">
        <f>IFERROR(IF(_xlfn.NUMBERVALUE(RIGHT(B91,LEN(B91)-FIND(".",B91,1)))=COUNTIF('Contorizare in SDI'!$B:$B,LEFT(B91,FIND(".",B91,1)-1))-1,IF((COUNTIF('Contorizare in SDI'!$B:$B,LEFT(B91,FIND(".",B91,1)-1))-1)=1,VLOOKUP(LEFT(B91,FIND(".",B91,1)-1),$B$4:$AZ$68,46,FALSE),VLOOKUP(LEFT(B91,FIND(".",B91,1)-1),$B$4:$AZ$68,46,FALSE)-BD90),ROUNDUP(V91/VLOOKUP(LEFT(B91,FIND(".",B91,1)-1),$AY:$AZ,2,FALSE)*VLOOKUP(LEFT(B91,FIND(".",B91,1)-1),$B$4:$AZ$68,46,FALSE),0)),0)</f>
        <v>3186</v>
      </c>
      <c r="BD91" s="308">
        <f t="shared" si="57"/>
        <v>3894</v>
      </c>
      <c r="BE91" s="308">
        <f>IFERROR(IF(_xlfn.NUMBERVALUE(RIGHT(B91,LEN(B91)-FIND(".",B91,1)))=COUNTIF('Contorizare in SDI'!$B:$B,LEFT(B91,FIND(".",B91,1)-1))-1,IF((COUNTIF('Contorizare in SDI'!$B:$B,LEFT(B91,FIND(".",B91,1)-1))-1)=1,VLOOKUP(LEFT(B91,FIND(".",B91,1)-1),$B$4:$AZ$68,47,FALSE),VLOOKUP(LEFT(B91,FIND(".",B91,1)-1),$B$4:$AZ$68,47,FALSE)-BF90),ROUNDUP(V91/VLOOKUP(LEFT(B91,FIND(".",B91,1)-1),$AY:$AZ,2,FALSE)*VLOOKUP(LEFT(B91,FIND(".",B91,1)-1),$B$4:$AZ$68,47,FALSE),0)),0)</f>
        <v>1646</v>
      </c>
      <c r="BF91" s="308">
        <f t="shared" si="58"/>
        <v>2012</v>
      </c>
      <c r="BG91" s="308">
        <f>IFERROR(IF(_xlfn.NUMBERVALUE(RIGHT(B91,LEN(B91)-FIND(".",B91,1)))=COUNTIF('Contorizare in SDI'!$B:$B,LEFT(B91,FIND(".",B91,1)-1))-1,IF((COUNTIF('Contorizare in SDI'!$B:$B,LEFT(B91,FIND(".",B91,1)-1))-1)=1,VLOOKUP(LEFT(B91,FIND(".",B91,1)-1),$B$4:$AZ$68,48,FALSE),VLOOKUP(LEFT(B91,FIND(".",B91,1)-1),$B$4:$AZ$68,48,FALSE)-BH90),ROUNDUP(V91/VLOOKUP(LEFT(B91,FIND(".",B91,1)-1),$AY:$AZ,2,FALSE)*VLOOKUP(LEFT(B91,FIND(".",B91,1)-1),$B$4:$AZ$68,48,FALSE),0)),0)</f>
        <v>0</v>
      </c>
      <c r="BH91" s="308">
        <f t="shared" si="59"/>
        <v>0</v>
      </c>
      <c r="BI91" s="308">
        <f>IFERROR(IF(_xlfn.NUMBERVALUE(RIGHT(B91,LEN(B91)-FIND(".",B91,1)))=COUNTIF('Contorizare in SDI'!$B:$B,LEFT(B91,FIND(".",B91,1)-1))-1,IF((COUNTIF('Contorizare in SDI'!$B:$B,LEFT(B91,FIND(".",B91,1)-1))-1)=1,VLOOKUP(LEFT(B91,FIND(".",B91,1)-1),$B$4:$AZ$68,49,FALSE),VLOOKUP(LEFT(B91,FIND(".",B91,1)-1),$B$4:$AZ$68,49,FALSE)-BJ90),ROUNDUP(V91/VLOOKUP(LEFT(B91,FIND(".",B91,1)-1),$AY:$AZ,2,FALSE)*VLOOKUP(LEFT(B91,FIND(".",B91,1)-1),$B$4:$AZ$68,49,FALSE),0)),0)</f>
        <v>0</v>
      </c>
      <c r="BJ91" s="308">
        <f t="shared" si="60"/>
        <v>0</v>
      </c>
      <c r="BK91" s="4"/>
      <c r="BP91" s="44">
        <f t="shared" si="61"/>
        <v>0</v>
      </c>
      <c r="BQ91" s="1">
        <v>0</v>
      </c>
      <c r="BR91" s="1">
        <v>0</v>
      </c>
      <c r="BS91" s="16">
        <f t="shared" si="62"/>
        <v>3186</v>
      </c>
      <c r="BT91" s="16">
        <f t="shared" si="63"/>
        <v>1646</v>
      </c>
      <c r="BU91" s="16">
        <f t="shared" si="64"/>
        <v>0</v>
      </c>
      <c r="BV91" s="16">
        <f t="shared" si="65"/>
        <v>0</v>
      </c>
      <c r="BX91" s="1" t="str">
        <f t="shared" si="32"/>
        <v>RDSC</v>
      </c>
      <c r="BY91" s="1">
        <f t="shared" si="33"/>
        <v>0</v>
      </c>
      <c r="BZ91" s="1">
        <f t="shared" si="66"/>
        <v>0</v>
      </c>
      <c r="CA91" s="1">
        <f t="shared" si="67"/>
        <v>0</v>
      </c>
      <c r="CB91" s="1">
        <f t="shared" si="68"/>
        <v>4452</v>
      </c>
      <c r="CC91" s="1">
        <f t="shared" si="69"/>
        <v>2366</v>
      </c>
      <c r="CD91" s="1">
        <f t="shared" si="70"/>
        <v>0</v>
      </c>
      <c r="CE91" s="1">
        <f t="shared" si="71"/>
        <v>0</v>
      </c>
      <c r="CR91" s="30" t="s">
        <v>544</v>
      </c>
      <c r="CS91" s="291">
        <v>548480</v>
      </c>
      <c r="CT91" s="291">
        <v>0</v>
      </c>
      <c r="CU91" s="291">
        <v>0</v>
      </c>
      <c r="CV91" s="291">
        <v>0</v>
      </c>
      <c r="CW91" s="29" t="s">
        <v>621</v>
      </c>
      <c r="CX91" s="312">
        <v>187027</v>
      </c>
      <c r="CY91" s="184">
        <v>212</v>
      </c>
      <c r="CZ91" s="88">
        <v>27445</v>
      </c>
      <c r="DA91" s="88">
        <v>546</v>
      </c>
      <c r="DB91" s="29" t="s">
        <v>682</v>
      </c>
      <c r="DC91" s="87">
        <v>0</v>
      </c>
      <c r="DD91" s="88">
        <v>55141</v>
      </c>
      <c r="DE91" s="88">
        <v>108</v>
      </c>
      <c r="DF91" s="88">
        <v>415</v>
      </c>
      <c r="DG91" s="88">
        <v>187027</v>
      </c>
      <c r="DH91" s="88">
        <v>54929</v>
      </c>
      <c r="DI91" s="321">
        <v>0</v>
      </c>
      <c r="DJ91" s="88">
        <v>2929</v>
      </c>
    </row>
    <row r="92" spans="1:114" ht="17.25" thickTop="1" thickBot="1">
      <c r="A92" s="531">
        <f t="shared" si="41"/>
        <v>89</v>
      </c>
      <c r="B92" s="243" t="s">
        <v>590</v>
      </c>
      <c r="C92" s="17" t="s">
        <v>184</v>
      </c>
      <c r="D92" s="17">
        <v>1371628694</v>
      </c>
      <c r="E92" s="142" t="str">
        <f t="shared" si="42"/>
        <v>RGSC</v>
      </c>
      <c r="F92" s="16">
        <v>4931122</v>
      </c>
      <c r="G92" s="16">
        <v>5141961</v>
      </c>
      <c r="H92" s="16">
        <v>0</v>
      </c>
      <c r="I92" s="16">
        <v>0</v>
      </c>
      <c r="J92" s="16">
        <v>252379</v>
      </c>
      <c r="K92" s="16">
        <v>252379</v>
      </c>
      <c r="L92" s="16">
        <v>3792</v>
      </c>
      <c r="M92" s="16">
        <v>3792</v>
      </c>
      <c r="N92" s="12" t="s">
        <v>917</v>
      </c>
      <c r="O92" s="12" t="s">
        <v>1019</v>
      </c>
      <c r="P92" s="12" t="s">
        <v>917</v>
      </c>
      <c r="Q92" s="12" t="s">
        <v>917</v>
      </c>
      <c r="R92" s="12" t="s">
        <v>917</v>
      </c>
      <c r="S92" s="12" t="s">
        <v>1019</v>
      </c>
      <c r="T92" s="12" t="s">
        <v>917</v>
      </c>
      <c r="U92" s="12" t="s">
        <v>1019</v>
      </c>
      <c r="V92" s="22">
        <v>210839</v>
      </c>
      <c r="W92" s="22">
        <v>0</v>
      </c>
      <c r="X92" s="22">
        <v>0</v>
      </c>
      <c r="Y92" s="22">
        <v>0</v>
      </c>
      <c r="Z92" s="171">
        <f t="shared" si="34"/>
        <v>4931122</v>
      </c>
      <c r="AA92" s="130" t="str">
        <f t="shared" si="35"/>
        <v>citit</v>
      </c>
      <c r="AB92" s="176">
        <f t="shared" si="43"/>
        <v>5141961</v>
      </c>
      <c r="AC92" s="12" t="s">
        <v>917</v>
      </c>
      <c r="AD92" s="12">
        <f t="shared" si="36"/>
        <v>0</v>
      </c>
      <c r="AE92" s="12">
        <f t="shared" si="36"/>
        <v>0</v>
      </c>
      <c r="AF92" s="12">
        <f t="shared" si="36"/>
        <v>252379</v>
      </c>
      <c r="AG92" s="12" t="str">
        <f t="shared" si="37"/>
        <v>citit</v>
      </c>
      <c r="AH92" s="176">
        <f t="shared" si="44"/>
        <v>259831</v>
      </c>
      <c r="AI92" s="12" t="s">
        <v>917</v>
      </c>
      <c r="AJ92" s="12">
        <f t="shared" si="38"/>
        <v>3792</v>
      </c>
      <c r="AK92" s="12" t="str">
        <f t="shared" si="39"/>
        <v>citit</v>
      </c>
      <c r="AL92" s="175">
        <f t="shared" si="45"/>
        <v>3792</v>
      </c>
      <c r="AM92" s="159" t="s">
        <v>917</v>
      </c>
      <c r="AN92" s="154">
        <f t="shared" si="46"/>
        <v>210839</v>
      </c>
      <c r="AO92" s="14">
        <f t="shared" si="47"/>
        <v>0</v>
      </c>
      <c r="AP92" s="147">
        <f t="shared" si="48"/>
        <v>7452</v>
      </c>
      <c r="AQ92" s="147">
        <f t="shared" si="49"/>
        <v>0</v>
      </c>
      <c r="AR92" s="16">
        <v>0</v>
      </c>
      <c r="AS92" s="16">
        <v>0</v>
      </c>
      <c r="AT92" s="1">
        <f t="shared" si="50"/>
        <v>0</v>
      </c>
      <c r="AU92" s="154">
        <f t="shared" si="51"/>
        <v>4568</v>
      </c>
      <c r="AV92" s="154">
        <f t="shared" si="52"/>
        <v>2884</v>
      </c>
      <c r="AW92" s="154">
        <f t="shared" si="53"/>
        <v>0</v>
      </c>
      <c r="AX92" s="154">
        <f t="shared" si="54"/>
        <v>0</v>
      </c>
      <c r="AY92" s="308" t="str">
        <f t="shared" si="55"/>
        <v>-</v>
      </c>
      <c r="AZ92" s="308">
        <f t="shared" si="40"/>
        <v>210839</v>
      </c>
      <c r="BA92" s="308">
        <f>IFERROR(IF(_xlfn.NUMBERVALUE(RIGHT(B92,LEN(B92)-FIND(".",B92,1)))=COUNTIF('Contorizare in SDI'!$B:$B,LEFT(B92,FIND(".",B92,1)-1))-1,IF((COUNTIF('Contorizare in SDI'!$B:$B,LEFT(B92,FIND(".",B92,1)-1))-1)=1,VLOOKUP(LEFT(B92,FIND(".",B92,1)-1),$B$4:$AZ$68,45,FALSE),VLOOKUP(LEFT(B92,FIND(".",B92,1)-1),$B$4:$AZ$68,45,FALSE)-BB91),ROUNDUP(V92/VLOOKUP(LEFT(B92,FIND(".",B92,1)-1),$AY:$AZ,2,FALSE)*VLOOKUP(LEFT(B92,FIND(".",B92,1)-1),$B$4:$AZ$68,45,FALSE),0)),0)</f>
        <v>0</v>
      </c>
      <c r="BB92" s="308">
        <f t="shared" si="56"/>
        <v>0</v>
      </c>
      <c r="BC92" s="308">
        <f>IFERROR(IF(_xlfn.NUMBERVALUE(RIGHT(B92,LEN(B92)-FIND(".",B92,1)))=COUNTIF('Contorizare in SDI'!$B:$B,LEFT(B92,FIND(".",B92,1)-1))-1,IF((COUNTIF('Contorizare in SDI'!$B:$B,LEFT(B92,FIND(".",B92,1)-1))-1)=1,VLOOKUP(LEFT(B92,FIND(".",B92,1)-1),$B$4:$AZ$68,46,FALSE),VLOOKUP(LEFT(B92,FIND(".",B92,1)-1),$B$4:$AZ$68,46,FALSE)-BD91),ROUNDUP(V92/VLOOKUP(LEFT(B92,FIND(".",B92,1)-1),$AY:$AZ,2,FALSE)*VLOOKUP(LEFT(B92,FIND(".",B92,1)-1),$B$4:$AZ$68,46,FALSE),0)),0)</f>
        <v>4568</v>
      </c>
      <c r="BD92" s="308">
        <f t="shared" si="57"/>
        <v>4568</v>
      </c>
      <c r="BE92" s="308">
        <f>IFERROR(IF(_xlfn.NUMBERVALUE(RIGHT(B92,LEN(B92)-FIND(".",B92,1)))=COUNTIF('Contorizare in SDI'!$B:$B,LEFT(B92,FIND(".",B92,1)-1))-1,IF((COUNTIF('Contorizare in SDI'!$B:$B,LEFT(B92,FIND(".",B92,1)-1))-1)=1,VLOOKUP(LEFT(B92,FIND(".",B92,1)-1),$B$4:$AZ$68,47,FALSE),VLOOKUP(LEFT(B92,FIND(".",B92,1)-1),$B$4:$AZ$68,47,FALSE)-BF91),ROUNDUP(V92/VLOOKUP(LEFT(B92,FIND(".",B92,1)-1),$AY:$AZ,2,FALSE)*VLOOKUP(LEFT(B92,FIND(".",B92,1)-1),$B$4:$AZ$68,47,FALSE),0)),0)</f>
        <v>2884</v>
      </c>
      <c r="BF92" s="308">
        <f t="shared" si="58"/>
        <v>2884</v>
      </c>
      <c r="BG92" s="308">
        <f>IFERROR(IF(_xlfn.NUMBERVALUE(RIGHT(B92,LEN(B92)-FIND(".",B92,1)))=COUNTIF('Contorizare in SDI'!$B:$B,LEFT(B92,FIND(".",B92,1)-1))-1,IF((COUNTIF('Contorizare in SDI'!$B:$B,LEFT(B92,FIND(".",B92,1)-1))-1)=1,VLOOKUP(LEFT(B92,FIND(".",B92,1)-1),$B$4:$AZ$68,48,FALSE),VLOOKUP(LEFT(B92,FIND(".",B92,1)-1),$B$4:$AZ$68,48,FALSE)-BH91),ROUNDUP(V92/VLOOKUP(LEFT(B92,FIND(".",B92,1)-1),$AY:$AZ,2,FALSE)*VLOOKUP(LEFT(B92,FIND(".",B92,1)-1),$B$4:$AZ$68,48,FALSE),0)),0)</f>
        <v>0</v>
      </c>
      <c r="BH92" s="308">
        <f t="shared" si="59"/>
        <v>0</v>
      </c>
      <c r="BI92" s="308">
        <f>IFERROR(IF(_xlfn.NUMBERVALUE(RIGHT(B92,LEN(B92)-FIND(".",B92,1)))=COUNTIF('Contorizare in SDI'!$B:$B,LEFT(B92,FIND(".",B92,1)-1))-1,IF((COUNTIF('Contorizare in SDI'!$B:$B,LEFT(B92,FIND(".",B92,1)-1))-1)=1,VLOOKUP(LEFT(B92,FIND(".",B92,1)-1),$B$4:$AZ$68,49,FALSE),VLOOKUP(LEFT(B92,FIND(".",B92,1)-1),$B$4:$AZ$68,49,FALSE)-BJ91),ROUNDUP(V92/VLOOKUP(LEFT(B92,FIND(".",B92,1)-1),$AY:$AZ,2,FALSE)*VLOOKUP(LEFT(B92,FIND(".",B92,1)-1),$B$4:$AZ$68,49,FALSE),0)),0)</f>
        <v>0</v>
      </c>
      <c r="BJ92" s="308">
        <f t="shared" si="60"/>
        <v>0</v>
      </c>
      <c r="BK92" s="4"/>
      <c r="BP92" s="44">
        <f t="shared" si="61"/>
        <v>0</v>
      </c>
      <c r="BQ92" s="1">
        <v>0</v>
      </c>
      <c r="BR92" s="1">
        <v>0</v>
      </c>
      <c r="BS92" s="16">
        <f t="shared" si="62"/>
        <v>4568</v>
      </c>
      <c r="BT92" s="16">
        <f t="shared" si="63"/>
        <v>2884</v>
      </c>
      <c r="BU92" s="16">
        <f t="shared" si="64"/>
        <v>0</v>
      </c>
      <c r="BV92" s="16">
        <f t="shared" si="65"/>
        <v>0</v>
      </c>
      <c r="BX92" s="1" t="str">
        <f t="shared" si="32"/>
        <v/>
      </c>
      <c r="BY92" s="1">
        <f t="shared" si="33"/>
        <v>0</v>
      </c>
      <c r="BZ92" s="1">
        <f t="shared" si="66"/>
        <v>0</v>
      </c>
      <c r="CA92" s="1">
        <f t="shared" si="67"/>
        <v>0</v>
      </c>
      <c r="CB92" s="1">
        <f t="shared" si="68"/>
        <v>4568</v>
      </c>
      <c r="CC92" s="1">
        <f t="shared" si="69"/>
        <v>2884</v>
      </c>
      <c r="CD92" s="1">
        <f t="shared" si="70"/>
        <v>0</v>
      </c>
      <c r="CE92" s="1">
        <f t="shared" si="71"/>
        <v>0</v>
      </c>
      <c r="CR92" s="30" t="s">
        <v>544</v>
      </c>
      <c r="CS92" s="291">
        <v>548480</v>
      </c>
      <c r="CT92" s="291">
        <v>0</v>
      </c>
      <c r="CU92" s="291">
        <v>0</v>
      </c>
      <c r="CV92" s="291">
        <v>0</v>
      </c>
      <c r="CW92" s="29" t="s">
        <v>975</v>
      </c>
      <c r="CX92" s="312">
        <v>8228</v>
      </c>
      <c r="CY92" s="184">
        <v>0</v>
      </c>
      <c r="CZ92" s="88">
        <v>0</v>
      </c>
      <c r="DA92" s="88">
        <v>0</v>
      </c>
      <c r="DB92" s="29" t="s">
        <v>69</v>
      </c>
      <c r="DC92" s="87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321">
        <v>0</v>
      </c>
      <c r="DJ92" s="88">
        <v>0</v>
      </c>
    </row>
    <row r="93" spans="1:114" ht="17.25" thickTop="1" thickBot="1">
      <c r="A93" s="531">
        <f t="shared" si="41"/>
        <v>90</v>
      </c>
      <c r="B93" s="243" t="s">
        <v>591</v>
      </c>
      <c r="C93" s="17" t="s">
        <v>186</v>
      </c>
      <c r="D93" s="17">
        <v>1372655644</v>
      </c>
      <c r="E93" s="142" t="str">
        <f t="shared" si="42"/>
        <v>RGSC</v>
      </c>
      <c r="F93" s="16">
        <v>3599670.0000000009</v>
      </c>
      <c r="G93" s="16">
        <v>3707971.0000000009</v>
      </c>
      <c r="H93" s="16">
        <v>0</v>
      </c>
      <c r="I93" s="16">
        <v>0</v>
      </c>
      <c r="J93" s="16">
        <v>94696</v>
      </c>
      <c r="K93" s="16">
        <v>94696</v>
      </c>
      <c r="L93" s="16">
        <v>61553</v>
      </c>
      <c r="M93" s="16">
        <v>61553</v>
      </c>
      <c r="N93" s="12" t="s">
        <v>917</v>
      </c>
      <c r="O93" s="12" t="s">
        <v>1019</v>
      </c>
      <c r="P93" s="12" t="s">
        <v>917</v>
      </c>
      <c r="Q93" s="12" t="s">
        <v>917</v>
      </c>
      <c r="R93" s="12" t="s">
        <v>917</v>
      </c>
      <c r="S93" s="12" t="s">
        <v>1019</v>
      </c>
      <c r="T93" s="12" t="s">
        <v>917</v>
      </c>
      <c r="U93" s="12" t="s">
        <v>1019</v>
      </c>
      <c r="V93" s="22">
        <v>108301</v>
      </c>
      <c r="W93" s="22">
        <v>0</v>
      </c>
      <c r="X93" s="22">
        <v>0</v>
      </c>
      <c r="Y93" s="22">
        <v>0</v>
      </c>
      <c r="Z93" s="171">
        <f t="shared" si="34"/>
        <v>3599670.0000000009</v>
      </c>
      <c r="AA93" s="130" t="str">
        <f t="shared" si="35"/>
        <v>citit</v>
      </c>
      <c r="AB93" s="176">
        <f t="shared" si="43"/>
        <v>3707971.0000000009</v>
      </c>
      <c r="AC93" s="12" t="s">
        <v>917</v>
      </c>
      <c r="AD93" s="12">
        <f t="shared" si="36"/>
        <v>0</v>
      </c>
      <c r="AE93" s="12">
        <f t="shared" si="36"/>
        <v>0</v>
      </c>
      <c r="AF93" s="12">
        <f t="shared" si="36"/>
        <v>94696</v>
      </c>
      <c r="AG93" s="12" t="str">
        <f t="shared" si="37"/>
        <v>citit</v>
      </c>
      <c r="AH93" s="176">
        <f t="shared" si="44"/>
        <v>98523</v>
      </c>
      <c r="AI93" s="12" t="s">
        <v>917</v>
      </c>
      <c r="AJ93" s="12">
        <f t="shared" si="38"/>
        <v>61553</v>
      </c>
      <c r="AK93" s="12" t="str">
        <f t="shared" si="39"/>
        <v>citit</v>
      </c>
      <c r="AL93" s="175">
        <f t="shared" si="45"/>
        <v>61553</v>
      </c>
      <c r="AM93" s="159" t="s">
        <v>917</v>
      </c>
      <c r="AN93" s="154">
        <f t="shared" si="46"/>
        <v>108301</v>
      </c>
      <c r="AO93" s="14">
        <f t="shared" si="47"/>
        <v>0</v>
      </c>
      <c r="AP93" s="147">
        <f t="shared" si="48"/>
        <v>3827</v>
      </c>
      <c r="AQ93" s="147">
        <f t="shared" si="49"/>
        <v>0</v>
      </c>
      <c r="AR93" s="16">
        <v>0</v>
      </c>
      <c r="AS93" s="16">
        <v>0</v>
      </c>
      <c r="AT93" s="1">
        <f t="shared" si="50"/>
        <v>0</v>
      </c>
      <c r="AU93" s="154">
        <f t="shared" si="51"/>
        <v>2346</v>
      </c>
      <c r="AV93" s="154">
        <f t="shared" si="52"/>
        <v>1481</v>
      </c>
      <c r="AW93" s="154">
        <f t="shared" si="53"/>
        <v>0</v>
      </c>
      <c r="AX93" s="154">
        <f t="shared" si="54"/>
        <v>0</v>
      </c>
      <c r="AY93" s="308" t="str">
        <f t="shared" si="55"/>
        <v>RGSC_1</v>
      </c>
      <c r="AZ93" s="308">
        <f t="shared" si="40"/>
        <v>319140</v>
      </c>
      <c r="BA93" s="308">
        <f>IFERROR(IF(_xlfn.NUMBERVALUE(RIGHT(B93,LEN(B93)-FIND(".",B93,1)))=COUNTIF('Contorizare in SDI'!$B:$B,LEFT(B93,FIND(".",B93,1)-1))-1,IF((COUNTIF('Contorizare in SDI'!$B:$B,LEFT(B93,FIND(".",B93,1)-1))-1)=1,VLOOKUP(LEFT(B93,FIND(".",B93,1)-1),$B$4:$AZ$68,45,FALSE),VLOOKUP(LEFT(B93,FIND(".",B93,1)-1),$B$4:$AZ$68,45,FALSE)-BB92),ROUNDUP(V93/VLOOKUP(LEFT(B93,FIND(".",B93,1)-1),$AY:$AZ,2,FALSE)*VLOOKUP(LEFT(B93,FIND(".",B93,1)-1),$B$4:$AZ$68,45,FALSE),0)),0)</f>
        <v>0</v>
      </c>
      <c r="BB93" s="308">
        <f t="shared" si="56"/>
        <v>0</v>
      </c>
      <c r="BC93" s="308">
        <f>IFERROR(IF(_xlfn.NUMBERVALUE(RIGHT(B93,LEN(B93)-FIND(".",B93,1)))=COUNTIF('Contorizare in SDI'!$B:$B,LEFT(B93,FIND(".",B93,1)-1))-1,IF((COUNTIF('Contorizare in SDI'!$B:$B,LEFT(B93,FIND(".",B93,1)-1))-1)=1,VLOOKUP(LEFT(B93,FIND(".",B93,1)-1),$B$4:$AZ$68,46,FALSE),VLOOKUP(LEFT(B93,FIND(".",B93,1)-1),$B$4:$AZ$68,46,FALSE)-BD92),ROUNDUP(V93/VLOOKUP(LEFT(B93,FIND(".",B93,1)-1),$AY:$AZ,2,FALSE)*VLOOKUP(LEFT(B93,FIND(".",B93,1)-1),$B$4:$AZ$68,46,FALSE),0)),0)</f>
        <v>2346</v>
      </c>
      <c r="BD93" s="308">
        <f t="shared" si="57"/>
        <v>6914</v>
      </c>
      <c r="BE93" s="308">
        <f>IFERROR(IF(_xlfn.NUMBERVALUE(RIGHT(B93,LEN(B93)-FIND(".",B93,1)))=COUNTIF('Contorizare in SDI'!$B:$B,LEFT(B93,FIND(".",B93,1)-1))-1,IF((COUNTIF('Contorizare in SDI'!$B:$B,LEFT(B93,FIND(".",B93,1)-1))-1)=1,VLOOKUP(LEFT(B93,FIND(".",B93,1)-1),$B$4:$AZ$68,47,FALSE),VLOOKUP(LEFT(B93,FIND(".",B93,1)-1),$B$4:$AZ$68,47,FALSE)-BF92),ROUNDUP(V93/VLOOKUP(LEFT(B93,FIND(".",B93,1)-1),$AY:$AZ,2,FALSE)*VLOOKUP(LEFT(B93,FIND(".",B93,1)-1),$B$4:$AZ$68,47,FALSE),0)),0)</f>
        <v>1481</v>
      </c>
      <c r="BF93" s="308">
        <f t="shared" si="58"/>
        <v>4365</v>
      </c>
      <c r="BG93" s="308">
        <f>IFERROR(IF(_xlfn.NUMBERVALUE(RIGHT(B93,LEN(B93)-FIND(".",B93,1)))=COUNTIF('Contorizare in SDI'!$B:$B,LEFT(B93,FIND(".",B93,1)-1))-1,IF((COUNTIF('Contorizare in SDI'!$B:$B,LEFT(B93,FIND(".",B93,1)-1))-1)=1,VLOOKUP(LEFT(B93,FIND(".",B93,1)-1),$B$4:$AZ$68,48,FALSE),VLOOKUP(LEFT(B93,FIND(".",B93,1)-1),$B$4:$AZ$68,48,FALSE)-BH92),ROUNDUP(V93/VLOOKUP(LEFT(B93,FIND(".",B93,1)-1),$AY:$AZ,2,FALSE)*VLOOKUP(LEFT(B93,FIND(".",B93,1)-1),$B$4:$AZ$68,48,FALSE),0)),0)</f>
        <v>0</v>
      </c>
      <c r="BH93" s="308">
        <f t="shared" si="59"/>
        <v>0</v>
      </c>
      <c r="BI93" s="308">
        <f>IFERROR(IF(_xlfn.NUMBERVALUE(RIGHT(B93,LEN(B93)-FIND(".",B93,1)))=COUNTIF('Contorizare in SDI'!$B:$B,LEFT(B93,FIND(".",B93,1)-1))-1,IF((COUNTIF('Contorizare in SDI'!$B:$B,LEFT(B93,FIND(".",B93,1)-1))-1)=1,VLOOKUP(LEFT(B93,FIND(".",B93,1)-1),$B$4:$AZ$68,49,FALSE),VLOOKUP(LEFT(B93,FIND(".",B93,1)-1),$B$4:$AZ$68,49,FALSE)-BJ92),ROUNDUP(V93/VLOOKUP(LEFT(B93,FIND(".",B93,1)-1),$AY:$AZ,2,FALSE)*VLOOKUP(LEFT(B93,FIND(".",B93,1)-1),$B$4:$AZ$68,49,FALSE),0)),0)</f>
        <v>0</v>
      </c>
      <c r="BJ93" s="308">
        <f t="shared" si="60"/>
        <v>0</v>
      </c>
      <c r="BK93" s="4"/>
      <c r="BP93" s="44">
        <f t="shared" si="61"/>
        <v>0</v>
      </c>
      <c r="BQ93" s="1">
        <v>0</v>
      </c>
      <c r="BR93" s="1">
        <v>0</v>
      </c>
      <c r="BS93" s="16">
        <f t="shared" si="62"/>
        <v>2346</v>
      </c>
      <c r="BT93" s="16">
        <f t="shared" si="63"/>
        <v>1481</v>
      </c>
      <c r="BU93" s="16">
        <f t="shared" si="64"/>
        <v>0</v>
      </c>
      <c r="BV93" s="16">
        <f t="shared" si="65"/>
        <v>0</v>
      </c>
      <c r="BX93" s="1" t="str">
        <f t="shared" si="32"/>
        <v/>
      </c>
      <c r="BY93" s="1">
        <f t="shared" si="33"/>
        <v>0</v>
      </c>
      <c r="BZ93" s="1">
        <f t="shared" si="66"/>
        <v>0</v>
      </c>
      <c r="CA93" s="1">
        <f t="shared" si="67"/>
        <v>0</v>
      </c>
      <c r="CB93" s="1">
        <f t="shared" si="68"/>
        <v>6914</v>
      </c>
      <c r="CC93" s="1">
        <f t="shared" si="69"/>
        <v>4365</v>
      </c>
      <c r="CD93" s="1">
        <f t="shared" si="70"/>
        <v>0</v>
      </c>
      <c r="CE93" s="1">
        <f t="shared" si="71"/>
        <v>0</v>
      </c>
      <c r="CR93" s="30" t="s">
        <v>545</v>
      </c>
      <c r="CS93" s="291">
        <v>709760</v>
      </c>
      <c r="CT93" s="291">
        <v>0</v>
      </c>
      <c r="CU93" s="291">
        <v>0</v>
      </c>
      <c r="CV93" s="291">
        <v>0</v>
      </c>
      <c r="CW93" s="29" t="s">
        <v>622</v>
      </c>
      <c r="CX93" s="312">
        <v>357562</v>
      </c>
      <c r="CY93" s="184">
        <v>0</v>
      </c>
      <c r="CZ93" s="88">
        <v>0</v>
      </c>
      <c r="DA93" s="88">
        <v>0</v>
      </c>
      <c r="DB93" s="29" t="s">
        <v>69</v>
      </c>
      <c r="DC93" s="87">
        <v>0</v>
      </c>
      <c r="DD93" s="88">
        <v>0</v>
      </c>
      <c r="DE93" s="88">
        <v>0</v>
      </c>
      <c r="DF93" s="88">
        <v>0</v>
      </c>
      <c r="DG93" s="88">
        <v>357562</v>
      </c>
      <c r="DH93" s="88">
        <v>0</v>
      </c>
      <c r="DI93" s="321">
        <v>0</v>
      </c>
      <c r="DJ93" s="88">
        <v>5364</v>
      </c>
    </row>
    <row r="94" spans="1:114" ht="17.25" thickTop="1" thickBot="1">
      <c r="A94" s="531">
        <f t="shared" si="41"/>
        <v>91</v>
      </c>
      <c r="B94" s="243" t="s">
        <v>592</v>
      </c>
      <c r="C94" s="17" t="s">
        <v>189</v>
      </c>
      <c r="D94" s="17">
        <v>1372745537</v>
      </c>
      <c r="E94" s="142" t="str">
        <f t="shared" si="42"/>
        <v>RGSC</v>
      </c>
      <c r="F94" s="16">
        <v>3674267</v>
      </c>
      <c r="G94" s="16">
        <v>3873591</v>
      </c>
      <c r="H94" s="16">
        <v>0</v>
      </c>
      <c r="I94" s="16">
        <v>0</v>
      </c>
      <c r="J94" s="16">
        <v>439355</v>
      </c>
      <c r="K94" s="16">
        <v>439355</v>
      </c>
      <c r="L94" s="16">
        <v>231</v>
      </c>
      <c r="M94" s="16">
        <v>231</v>
      </c>
      <c r="N94" s="12" t="s">
        <v>917</v>
      </c>
      <c r="O94" s="12" t="s">
        <v>1019</v>
      </c>
      <c r="P94" s="12" t="s">
        <v>917</v>
      </c>
      <c r="Q94" s="12" t="s">
        <v>917</v>
      </c>
      <c r="R94" s="12" t="s">
        <v>917</v>
      </c>
      <c r="S94" s="12" t="s">
        <v>1019</v>
      </c>
      <c r="T94" s="12" t="s">
        <v>917</v>
      </c>
      <c r="U94" s="12" t="s">
        <v>1019</v>
      </c>
      <c r="V94" s="22">
        <v>199324</v>
      </c>
      <c r="W94" s="22">
        <v>0</v>
      </c>
      <c r="X94" s="22">
        <v>0</v>
      </c>
      <c r="Y94" s="22">
        <v>0</v>
      </c>
      <c r="Z94" s="171">
        <f t="shared" si="34"/>
        <v>3674267</v>
      </c>
      <c r="AA94" s="130" t="str">
        <f t="shared" si="35"/>
        <v>citit</v>
      </c>
      <c r="AB94" s="176">
        <f t="shared" si="43"/>
        <v>3873591</v>
      </c>
      <c r="AC94" s="12" t="s">
        <v>917</v>
      </c>
      <c r="AD94" s="12">
        <f t="shared" si="36"/>
        <v>0</v>
      </c>
      <c r="AE94" s="12">
        <f t="shared" si="36"/>
        <v>0</v>
      </c>
      <c r="AF94" s="12">
        <f t="shared" si="36"/>
        <v>439355</v>
      </c>
      <c r="AG94" s="12" t="str">
        <f t="shared" si="37"/>
        <v>citit</v>
      </c>
      <c r="AH94" s="176">
        <f t="shared" si="44"/>
        <v>439355</v>
      </c>
      <c r="AI94" s="12" t="s">
        <v>917</v>
      </c>
      <c r="AJ94" s="12">
        <f t="shared" si="38"/>
        <v>231</v>
      </c>
      <c r="AK94" s="12" t="str">
        <f t="shared" si="39"/>
        <v>citit</v>
      </c>
      <c r="AL94" s="175">
        <f t="shared" si="45"/>
        <v>231</v>
      </c>
      <c r="AM94" s="159" t="s">
        <v>917</v>
      </c>
      <c r="AN94" s="154">
        <f t="shared" si="46"/>
        <v>199324</v>
      </c>
      <c r="AO94" s="14">
        <f t="shared" si="47"/>
        <v>0</v>
      </c>
      <c r="AP94" s="147">
        <f t="shared" si="48"/>
        <v>0</v>
      </c>
      <c r="AQ94" s="147">
        <f t="shared" si="49"/>
        <v>0</v>
      </c>
      <c r="AR94" s="16">
        <v>0</v>
      </c>
      <c r="AS94" s="16">
        <v>0</v>
      </c>
      <c r="AT94" s="1">
        <f t="shared" si="50"/>
        <v>0</v>
      </c>
      <c r="AU94" s="154">
        <f t="shared" si="51"/>
        <v>0</v>
      </c>
      <c r="AV94" s="154">
        <f t="shared" si="52"/>
        <v>0</v>
      </c>
      <c r="AW94" s="154">
        <f t="shared" si="53"/>
        <v>0</v>
      </c>
      <c r="AX94" s="154">
        <f t="shared" si="54"/>
        <v>0</v>
      </c>
      <c r="AY94" s="308" t="str">
        <f t="shared" si="55"/>
        <v>-</v>
      </c>
      <c r="AZ94" s="308">
        <f t="shared" si="40"/>
        <v>199324</v>
      </c>
      <c r="BA94" s="308">
        <f>IFERROR(IF(_xlfn.NUMBERVALUE(RIGHT(B94,LEN(B94)-FIND(".",B94,1)))=COUNTIF('Contorizare in SDI'!$B:$B,LEFT(B94,FIND(".",B94,1)-1))-1,IF((COUNTIF('Contorizare in SDI'!$B:$B,LEFT(B94,FIND(".",B94,1)-1))-1)=1,VLOOKUP(LEFT(B94,FIND(".",B94,1)-1),$B$4:$AZ$68,45,FALSE),VLOOKUP(LEFT(B94,FIND(".",B94,1)-1),$B$4:$AZ$68,45,FALSE)-BB93),ROUNDUP(V94/VLOOKUP(LEFT(B94,FIND(".",B94,1)-1),$AY:$AZ,2,FALSE)*VLOOKUP(LEFT(B94,FIND(".",B94,1)-1),$B$4:$AZ$68,45,FALSE),0)),0)</f>
        <v>0</v>
      </c>
      <c r="BB94" s="308">
        <f t="shared" si="56"/>
        <v>0</v>
      </c>
      <c r="BC94" s="308">
        <f>IFERROR(IF(_xlfn.NUMBERVALUE(RIGHT(B94,LEN(B94)-FIND(".",B94,1)))=COUNTIF('Contorizare in SDI'!$B:$B,LEFT(B94,FIND(".",B94,1)-1))-1,IF((COUNTIF('Contorizare in SDI'!$B:$B,LEFT(B94,FIND(".",B94,1)-1))-1)=1,VLOOKUP(LEFT(B94,FIND(".",B94,1)-1),$B$4:$AZ$68,46,FALSE),VLOOKUP(LEFT(B94,FIND(".",B94,1)-1),$B$4:$AZ$68,46,FALSE)-BD93),ROUNDUP(V94/VLOOKUP(LEFT(B94,FIND(".",B94,1)-1),$AY:$AZ,2,FALSE)*VLOOKUP(LEFT(B94,FIND(".",B94,1)-1),$B$4:$AZ$68,46,FALSE),0)),0)</f>
        <v>0</v>
      </c>
      <c r="BD94" s="308">
        <f t="shared" si="57"/>
        <v>0</v>
      </c>
      <c r="BE94" s="308">
        <f>IFERROR(IF(_xlfn.NUMBERVALUE(RIGHT(B94,LEN(B94)-FIND(".",B94,1)))=COUNTIF('Contorizare in SDI'!$B:$B,LEFT(B94,FIND(".",B94,1)-1))-1,IF((COUNTIF('Contorizare in SDI'!$B:$B,LEFT(B94,FIND(".",B94,1)-1))-1)=1,VLOOKUP(LEFT(B94,FIND(".",B94,1)-1),$B$4:$AZ$68,47,FALSE),VLOOKUP(LEFT(B94,FIND(".",B94,1)-1),$B$4:$AZ$68,47,FALSE)-BF93),ROUNDUP(V94/VLOOKUP(LEFT(B94,FIND(".",B94,1)-1),$AY:$AZ,2,FALSE)*VLOOKUP(LEFT(B94,FIND(".",B94,1)-1),$B$4:$AZ$68,47,FALSE),0)),0)</f>
        <v>0</v>
      </c>
      <c r="BF94" s="308">
        <f t="shared" si="58"/>
        <v>0</v>
      </c>
      <c r="BG94" s="308">
        <f>IFERROR(IF(_xlfn.NUMBERVALUE(RIGHT(B94,LEN(B94)-FIND(".",B94,1)))=COUNTIF('Contorizare in SDI'!$B:$B,LEFT(B94,FIND(".",B94,1)-1))-1,IF((COUNTIF('Contorizare in SDI'!$B:$B,LEFT(B94,FIND(".",B94,1)-1))-1)=1,VLOOKUP(LEFT(B94,FIND(".",B94,1)-1),$B$4:$AZ$68,48,FALSE),VLOOKUP(LEFT(B94,FIND(".",B94,1)-1),$B$4:$AZ$68,48,FALSE)-BH93),ROUNDUP(V94/VLOOKUP(LEFT(B94,FIND(".",B94,1)-1),$AY:$AZ,2,FALSE)*VLOOKUP(LEFT(B94,FIND(".",B94,1)-1),$B$4:$AZ$68,48,FALSE),0)),0)</f>
        <v>0</v>
      </c>
      <c r="BH94" s="308">
        <f t="shared" si="59"/>
        <v>0</v>
      </c>
      <c r="BI94" s="308">
        <f>IFERROR(IF(_xlfn.NUMBERVALUE(RIGHT(B94,LEN(B94)-FIND(".",B94,1)))=COUNTIF('Contorizare in SDI'!$B:$B,LEFT(B94,FIND(".",B94,1)-1))-1,IF((COUNTIF('Contorizare in SDI'!$B:$B,LEFT(B94,FIND(".",B94,1)-1))-1)=1,VLOOKUP(LEFT(B94,FIND(".",B94,1)-1),$B$4:$AZ$68,49,FALSE),VLOOKUP(LEFT(B94,FIND(".",B94,1)-1),$B$4:$AZ$68,49,FALSE)-BJ93),ROUNDUP(V94/VLOOKUP(LEFT(B94,FIND(".",B94,1)-1),$AY:$AZ,2,FALSE)*VLOOKUP(LEFT(B94,FIND(".",B94,1)-1),$B$4:$AZ$68,49,FALSE),0)),0)</f>
        <v>0</v>
      </c>
      <c r="BJ94" s="308">
        <f t="shared" si="60"/>
        <v>0</v>
      </c>
      <c r="BK94" s="4"/>
      <c r="BP94" s="44">
        <f t="shared" si="61"/>
        <v>0</v>
      </c>
      <c r="BQ94" s="1">
        <v>0</v>
      </c>
      <c r="BR94" s="1">
        <v>0</v>
      </c>
      <c r="BS94" s="16">
        <f t="shared" si="62"/>
        <v>0</v>
      </c>
      <c r="BT94" s="16">
        <f t="shared" si="63"/>
        <v>0</v>
      </c>
      <c r="BU94" s="16">
        <f t="shared" si="64"/>
        <v>0</v>
      </c>
      <c r="BV94" s="16">
        <f t="shared" si="65"/>
        <v>0</v>
      </c>
      <c r="BX94" s="1" t="str">
        <f t="shared" si="32"/>
        <v/>
      </c>
      <c r="BY94" s="1">
        <f t="shared" si="33"/>
        <v>0</v>
      </c>
      <c r="BZ94" s="1">
        <f t="shared" si="66"/>
        <v>0</v>
      </c>
      <c r="CA94" s="1">
        <f t="shared" si="67"/>
        <v>0</v>
      </c>
      <c r="CB94" s="1">
        <f t="shared" si="68"/>
        <v>6914</v>
      </c>
      <c r="CC94" s="1">
        <f t="shared" si="69"/>
        <v>4365</v>
      </c>
      <c r="CD94" s="1">
        <f t="shared" si="70"/>
        <v>0</v>
      </c>
      <c r="CE94" s="1">
        <f t="shared" si="71"/>
        <v>0</v>
      </c>
      <c r="CR94" s="30" t="s">
        <v>545</v>
      </c>
      <c r="CS94" s="291">
        <v>709760</v>
      </c>
      <c r="CT94" s="291">
        <v>0</v>
      </c>
      <c r="CU94" s="291">
        <v>0</v>
      </c>
      <c r="CV94" s="291">
        <v>0</v>
      </c>
      <c r="CW94" s="29" t="s">
        <v>623</v>
      </c>
      <c r="CX94" s="312">
        <v>341551</v>
      </c>
      <c r="CY94" s="184">
        <v>0</v>
      </c>
      <c r="CZ94" s="88">
        <v>0</v>
      </c>
      <c r="DA94" s="88">
        <v>0</v>
      </c>
      <c r="DB94" s="29" t="s">
        <v>69</v>
      </c>
      <c r="DC94" s="87">
        <v>0</v>
      </c>
      <c r="DD94" s="88">
        <v>0</v>
      </c>
      <c r="DE94" s="88">
        <v>0</v>
      </c>
      <c r="DF94" s="88">
        <v>0</v>
      </c>
      <c r="DG94" s="88">
        <v>341551</v>
      </c>
      <c r="DH94" s="88">
        <v>0</v>
      </c>
      <c r="DI94" s="321">
        <v>0</v>
      </c>
      <c r="DJ94" s="88">
        <v>5283</v>
      </c>
    </row>
    <row r="95" spans="1:114" ht="17.25" thickTop="1" thickBot="1">
      <c r="A95" s="531">
        <f t="shared" si="41"/>
        <v>92</v>
      </c>
      <c r="B95" s="243" t="s">
        <v>593</v>
      </c>
      <c r="C95" s="17" t="s">
        <v>191</v>
      </c>
      <c r="D95" s="17">
        <v>1371628703</v>
      </c>
      <c r="E95" s="142" t="str">
        <f t="shared" si="42"/>
        <v>RGSC</v>
      </c>
      <c r="F95" s="16">
        <v>3366507</v>
      </c>
      <c r="G95" s="16">
        <v>3477517</v>
      </c>
      <c r="H95" s="16">
        <v>0</v>
      </c>
      <c r="I95" s="16">
        <v>0</v>
      </c>
      <c r="J95" s="16">
        <v>272596</v>
      </c>
      <c r="K95" s="16">
        <v>272596</v>
      </c>
      <c r="L95" s="16">
        <v>40904</v>
      </c>
      <c r="M95" s="16">
        <v>40904</v>
      </c>
      <c r="N95" s="12" t="s">
        <v>917</v>
      </c>
      <c r="O95" s="12" t="s">
        <v>1019</v>
      </c>
      <c r="P95" s="12" t="s">
        <v>917</v>
      </c>
      <c r="Q95" s="12" t="s">
        <v>917</v>
      </c>
      <c r="R95" s="12" t="s">
        <v>917</v>
      </c>
      <c r="S95" s="12" t="s">
        <v>1019</v>
      </c>
      <c r="T95" s="12" t="s">
        <v>917</v>
      </c>
      <c r="U95" s="12" t="s">
        <v>1019</v>
      </c>
      <c r="V95" s="22">
        <v>111010</v>
      </c>
      <c r="W95" s="22">
        <v>0</v>
      </c>
      <c r="X95" s="22">
        <v>0</v>
      </c>
      <c r="Y95" s="22">
        <v>0</v>
      </c>
      <c r="Z95" s="171">
        <f t="shared" si="34"/>
        <v>3366507</v>
      </c>
      <c r="AA95" s="130" t="str">
        <f t="shared" si="35"/>
        <v>citit</v>
      </c>
      <c r="AB95" s="176">
        <f t="shared" si="43"/>
        <v>3477517</v>
      </c>
      <c r="AC95" s="12" t="s">
        <v>917</v>
      </c>
      <c r="AD95" s="12">
        <f t="shared" si="36"/>
        <v>0</v>
      </c>
      <c r="AE95" s="12">
        <f t="shared" si="36"/>
        <v>0</v>
      </c>
      <c r="AF95" s="12">
        <f t="shared" si="36"/>
        <v>272596</v>
      </c>
      <c r="AG95" s="12" t="str">
        <f t="shared" si="37"/>
        <v>citit</v>
      </c>
      <c r="AH95" s="176">
        <f t="shared" si="44"/>
        <v>272596</v>
      </c>
      <c r="AI95" s="12" t="s">
        <v>917</v>
      </c>
      <c r="AJ95" s="12">
        <f t="shared" si="38"/>
        <v>40904</v>
      </c>
      <c r="AK95" s="12" t="str">
        <f t="shared" si="39"/>
        <v>citit</v>
      </c>
      <c r="AL95" s="175">
        <f t="shared" si="45"/>
        <v>40904</v>
      </c>
      <c r="AM95" s="159" t="s">
        <v>917</v>
      </c>
      <c r="AN95" s="154">
        <f t="shared" si="46"/>
        <v>111010</v>
      </c>
      <c r="AO95" s="14">
        <f t="shared" si="47"/>
        <v>0</v>
      </c>
      <c r="AP95" s="147">
        <f t="shared" si="48"/>
        <v>0</v>
      </c>
      <c r="AQ95" s="147">
        <f t="shared" si="49"/>
        <v>0</v>
      </c>
      <c r="AR95" s="16">
        <v>0</v>
      </c>
      <c r="AS95" s="16">
        <v>0</v>
      </c>
      <c r="AT95" s="1">
        <f t="shared" si="50"/>
        <v>0</v>
      </c>
      <c r="AU95" s="154">
        <f t="shared" si="51"/>
        <v>0</v>
      </c>
      <c r="AV95" s="154">
        <f t="shared" si="52"/>
        <v>0</v>
      </c>
      <c r="AW95" s="154">
        <f t="shared" si="53"/>
        <v>0</v>
      </c>
      <c r="AX95" s="154">
        <f t="shared" si="54"/>
        <v>0</v>
      </c>
      <c r="AY95" s="308" t="str">
        <f t="shared" si="55"/>
        <v>RGSC_2</v>
      </c>
      <c r="AZ95" s="308">
        <f t="shared" si="40"/>
        <v>310334</v>
      </c>
      <c r="BA95" s="308">
        <f>IFERROR(IF(_xlfn.NUMBERVALUE(RIGHT(B95,LEN(B95)-FIND(".",B95,1)))=COUNTIF('Contorizare in SDI'!$B:$B,LEFT(B95,FIND(".",B95,1)-1))-1,IF((COUNTIF('Contorizare in SDI'!$B:$B,LEFT(B95,FIND(".",B95,1)-1))-1)=1,VLOOKUP(LEFT(B95,FIND(".",B95,1)-1),$B$4:$AZ$68,45,FALSE),VLOOKUP(LEFT(B95,FIND(".",B95,1)-1),$B$4:$AZ$68,45,FALSE)-BB94),ROUNDUP(V95/VLOOKUP(LEFT(B95,FIND(".",B95,1)-1),$AY:$AZ,2,FALSE)*VLOOKUP(LEFT(B95,FIND(".",B95,1)-1),$B$4:$AZ$68,45,FALSE),0)),0)</f>
        <v>0</v>
      </c>
      <c r="BB95" s="308">
        <f t="shared" si="56"/>
        <v>0</v>
      </c>
      <c r="BC95" s="308">
        <f>IFERROR(IF(_xlfn.NUMBERVALUE(RIGHT(B95,LEN(B95)-FIND(".",B95,1)))=COUNTIF('Contorizare in SDI'!$B:$B,LEFT(B95,FIND(".",B95,1)-1))-1,IF((COUNTIF('Contorizare in SDI'!$B:$B,LEFT(B95,FIND(".",B95,1)-1))-1)=1,VLOOKUP(LEFT(B95,FIND(".",B95,1)-1),$B$4:$AZ$68,46,FALSE),VLOOKUP(LEFT(B95,FIND(".",B95,1)-1),$B$4:$AZ$68,46,FALSE)-BD94),ROUNDUP(V95/VLOOKUP(LEFT(B95,FIND(".",B95,1)-1),$AY:$AZ,2,FALSE)*VLOOKUP(LEFT(B95,FIND(".",B95,1)-1),$B$4:$AZ$68,46,FALSE),0)),0)</f>
        <v>0</v>
      </c>
      <c r="BD95" s="308">
        <f t="shared" si="57"/>
        <v>0</v>
      </c>
      <c r="BE95" s="308">
        <f>IFERROR(IF(_xlfn.NUMBERVALUE(RIGHT(B95,LEN(B95)-FIND(".",B95,1)))=COUNTIF('Contorizare in SDI'!$B:$B,LEFT(B95,FIND(".",B95,1)-1))-1,IF((COUNTIF('Contorizare in SDI'!$B:$B,LEFT(B95,FIND(".",B95,1)-1))-1)=1,VLOOKUP(LEFT(B95,FIND(".",B95,1)-1),$B$4:$AZ$68,47,FALSE),VLOOKUP(LEFT(B95,FIND(".",B95,1)-1),$B$4:$AZ$68,47,FALSE)-BF94),ROUNDUP(V95/VLOOKUP(LEFT(B95,FIND(".",B95,1)-1),$AY:$AZ,2,FALSE)*VLOOKUP(LEFT(B95,FIND(".",B95,1)-1),$B$4:$AZ$68,47,FALSE),0)),0)</f>
        <v>0</v>
      </c>
      <c r="BF95" s="308">
        <f t="shared" si="58"/>
        <v>0</v>
      </c>
      <c r="BG95" s="308">
        <f>IFERROR(IF(_xlfn.NUMBERVALUE(RIGHT(B95,LEN(B95)-FIND(".",B95,1)))=COUNTIF('Contorizare in SDI'!$B:$B,LEFT(B95,FIND(".",B95,1)-1))-1,IF((COUNTIF('Contorizare in SDI'!$B:$B,LEFT(B95,FIND(".",B95,1)-1))-1)=1,VLOOKUP(LEFT(B95,FIND(".",B95,1)-1),$B$4:$AZ$68,48,FALSE),VLOOKUP(LEFT(B95,FIND(".",B95,1)-1),$B$4:$AZ$68,48,FALSE)-BH94),ROUNDUP(V95/VLOOKUP(LEFT(B95,FIND(".",B95,1)-1),$AY:$AZ,2,FALSE)*VLOOKUP(LEFT(B95,FIND(".",B95,1)-1),$B$4:$AZ$68,48,FALSE),0)),0)</f>
        <v>0</v>
      </c>
      <c r="BH95" s="308">
        <f t="shared" si="59"/>
        <v>0</v>
      </c>
      <c r="BI95" s="308">
        <f>IFERROR(IF(_xlfn.NUMBERVALUE(RIGHT(B95,LEN(B95)-FIND(".",B95,1)))=COUNTIF('Contorizare in SDI'!$B:$B,LEFT(B95,FIND(".",B95,1)-1))-1,IF((COUNTIF('Contorizare in SDI'!$B:$B,LEFT(B95,FIND(".",B95,1)-1))-1)=1,VLOOKUP(LEFT(B95,FIND(".",B95,1)-1),$B$4:$AZ$68,49,FALSE),VLOOKUP(LEFT(B95,FIND(".",B95,1)-1),$B$4:$AZ$68,49,FALSE)-BJ94),ROUNDUP(V95/VLOOKUP(LEFT(B95,FIND(".",B95,1)-1),$AY:$AZ,2,FALSE)*VLOOKUP(LEFT(B95,FIND(".",B95,1)-1),$B$4:$AZ$68,49,FALSE),0)),0)</f>
        <v>0</v>
      </c>
      <c r="BJ95" s="308">
        <f t="shared" si="60"/>
        <v>0</v>
      </c>
      <c r="BK95" s="4"/>
      <c r="BP95" s="44">
        <f t="shared" si="61"/>
        <v>0</v>
      </c>
      <c r="BQ95" s="1">
        <v>0</v>
      </c>
      <c r="BR95" s="1">
        <v>0</v>
      </c>
      <c r="BS95" s="16">
        <f t="shared" si="62"/>
        <v>0</v>
      </c>
      <c r="BT95" s="16">
        <f t="shared" si="63"/>
        <v>0</v>
      </c>
      <c r="BU95" s="16">
        <f t="shared" si="64"/>
        <v>0</v>
      </c>
      <c r="BV95" s="16">
        <f t="shared" si="65"/>
        <v>0</v>
      </c>
      <c r="BX95" s="1" t="str">
        <f t="shared" si="32"/>
        <v>RGSC</v>
      </c>
      <c r="BY95" s="1">
        <f t="shared" si="33"/>
        <v>0</v>
      </c>
      <c r="BZ95" s="1">
        <f t="shared" si="66"/>
        <v>0</v>
      </c>
      <c r="CA95" s="1">
        <f t="shared" si="67"/>
        <v>0</v>
      </c>
      <c r="CB95" s="1">
        <f t="shared" si="68"/>
        <v>6914</v>
      </c>
      <c r="CC95" s="1">
        <f t="shared" si="69"/>
        <v>4365</v>
      </c>
      <c r="CD95" s="1">
        <f t="shared" si="70"/>
        <v>0</v>
      </c>
      <c r="CE95" s="1">
        <f t="shared" si="71"/>
        <v>0</v>
      </c>
      <c r="CR95" s="93" t="s">
        <v>545</v>
      </c>
      <c r="CS95" s="291">
        <v>709760</v>
      </c>
      <c r="CT95" s="291">
        <v>0</v>
      </c>
      <c r="CU95" s="291">
        <v>0</v>
      </c>
      <c r="CV95" s="291">
        <v>0</v>
      </c>
      <c r="CW95" s="94" t="s">
        <v>976</v>
      </c>
      <c r="CX95" s="312">
        <v>10647</v>
      </c>
      <c r="CY95" s="184">
        <v>0</v>
      </c>
      <c r="CZ95" s="88">
        <v>0</v>
      </c>
      <c r="DA95" s="88">
        <v>0</v>
      </c>
      <c r="DB95" s="94" t="s">
        <v>69</v>
      </c>
      <c r="DC95" s="87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321">
        <v>0</v>
      </c>
      <c r="DJ95" s="88">
        <v>0</v>
      </c>
    </row>
    <row r="96" spans="1:114" ht="17.25" thickTop="1" thickBot="1">
      <c r="A96" s="531">
        <f t="shared" si="41"/>
        <v>93</v>
      </c>
      <c r="B96" s="38" t="s">
        <v>594</v>
      </c>
      <c r="C96" s="17" t="s">
        <v>207</v>
      </c>
      <c r="D96" s="17">
        <v>1372642650</v>
      </c>
      <c r="E96" s="142" t="str">
        <f t="shared" si="42"/>
        <v>RTIM</v>
      </c>
      <c r="F96" s="16">
        <v>4305420</v>
      </c>
      <c r="G96" s="16">
        <v>4541006</v>
      </c>
      <c r="H96" s="16">
        <v>0</v>
      </c>
      <c r="I96" s="16">
        <v>0</v>
      </c>
      <c r="J96" s="16">
        <v>277796</v>
      </c>
      <c r="K96" s="16">
        <v>277796</v>
      </c>
      <c r="L96" s="16">
        <v>3740</v>
      </c>
      <c r="M96" s="16">
        <v>3740</v>
      </c>
      <c r="N96" s="12" t="s">
        <v>917</v>
      </c>
      <c r="O96" s="12" t="s">
        <v>1019</v>
      </c>
      <c r="P96" s="12" t="s">
        <v>917</v>
      </c>
      <c r="Q96" s="12" t="s">
        <v>917</v>
      </c>
      <c r="R96" s="12" t="s">
        <v>917</v>
      </c>
      <c r="S96" s="12" t="s">
        <v>1019</v>
      </c>
      <c r="T96" s="12" t="s">
        <v>917</v>
      </c>
      <c r="U96" s="12" t="s">
        <v>1019</v>
      </c>
      <c r="V96" s="22">
        <v>235586</v>
      </c>
      <c r="W96" s="22">
        <v>0</v>
      </c>
      <c r="X96" s="22">
        <v>0</v>
      </c>
      <c r="Y96" s="22">
        <v>0</v>
      </c>
      <c r="Z96" s="171">
        <f t="shared" si="34"/>
        <v>4305420</v>
      </c>
      <c r="AA96" s="130" t="str">
        <f t="shared" si="35"/>
        <v>citit</v>
      </c>
      <c r="AB96" s="176">
        <f t="shared" si="43"/>
        <v>4541006</v>
      </c>
      <c r="AC96" s="12" t="s">
        <v>917</v>
      </c>
      <c r="AD96" s="12">
        <f t="shared" si="36"/>
        <v>0</v>
      </c>
      <c r="AE96" s="12">
        <f t="shared" si="36"/>
        <v>0</v>
      </c>
      <c r="AF96" s="12">
        <f t="shared" si="36"/>
        <v>277796</v>
      </c>
      <c r="AG96" s="12" t="str">
        <f t="shared" si="37"/>
        <v>citit</v>
      </c>
      <c r="AH96" s="176">
        <f t="shared" si="44"/>
        <v>277909</v>
      </c>
      <c r="AI96" s="12" t="s">
        <v>917</v>
      </c>
      <c r="AJ96" s="12">
        <f t="shared" si="38"/>
        <v>3740</v>
      </c>
      <c r="AK96" s="12" t="str">
        <f t="shared" si="39"/>
        <v>citit</v>
      </c>
      <c r="AL96" s="175">
        <f t="shared" si="45"/>
        <v>3740</v>
      </c>
      <c r="AM96" s="159" t="s">
        <v>917</v>
      </c>
      <c r="AN96" s="154">
        <f t="shared" si="46"/>
        <v>235586</v>
      </c>
      <c r="AO96" s="14">
        <f t="shared" si="47"/>
        <v>0</v>
      </c>
      <c r="AP96" s="147">
        <f t="shared" si="48"/>
        <v>113</v>
      </c>
      <c r="AQ96" s="147">
        <f t="shared" si="49"/>
        <v>0</v>
      </c>
      <c r="AR96" s="16">
        <v>0</v>
      </c>
      <c r="AS96" s="16">
        <v>0</v>
      </c>
      <c r="AT96" s="1">
        <f t="shared" si="50"/>
        <v>0</v>
      </c>
      <c r="AU96" s="154">
        <f t="shared" si="51"/>
        <v>83</v>
      </c>
      <c r="AV96" s="154">
        <f t="shared" si="52"/>
        <v>30</v>
      </c>
      <c r="AW96" s="154">
        <f t="shared" si="53"/>
        <v>0</v>
      </c>
      <c r="AX96" s="154">
        <f t="shared" si="54"/>
        <v>0</v>
      </c>
      <c r="AY96" s="308" t="str">
        <f t="shared" si="55"/>
        <v>-</v>
      </c>
      <c r="AZ96" s="308">
        <f t="shared" si="40"/>
        <v>235586</v>
      </c>
      <c r="BA96" s="306">
        <f>IFERROR(IF(_xlfn.NUMBERVALUE(RIGHT(B96,LEN(B96)-FIND(".",B96,1)))=COUNTIF('Contorizare in SDI'!$B:$B,LEFT(B96,FIND(".",B96,1)-1))-1,IF((COUNTIF('Contorizare in SDI'!$B:$B,LEFT(B96,FIND(".",B96,1)-1))-1)=1,VLOOKUP(LEFT(B96,FIND(".",B96,1)-1),$B$4:$AZ$68,45,FALSE),VLOOKUP(LEFT(B96,FIND(".",B96,1)-1),$B$4:$AZ$68,45,FALSE)-BB95),ROUNDUP(V96/VLOOKUP(LEFT(B96,FIND(".",B96,1)-1),$AY:$AZ,2,FALSE)*VLOOKUP(LEFT(B96,FIND(".",B96,1)-1),$B$4:$AZ$68,45,FALSE),0)),0)</f>
        <v>0</v>
      </c>
      <c r="BB96" s="306">
        <f t="shared" si="56"/>
        <v>0</v>
      </c>
      <c r="BC96" s="306">
        <f>IFERROR(IF(_xlfn.NUMBERVALUE(RIGHT(B96,LEN(B96)-FIND(".",B96,1)))=COUNTIF('Contorizare in SDI'!$B:$B,LEFT(B96,FIND(".",B96,1)-1))-1,IF((COUNTIF('Contorizare in SDI'!$B:$B,LEFT(B96,FIND(".",B96,1)-1))-1)=1,VLOOKUP(LEFT(B96,FIND(".",B96,1)-1),$B$4:$AZ$68,46,FALSE),VLOOKUP(LEFT(B96,FIND(".",B96,1)-1),$B$4:$AZ$68,46,FALSE)-BD95),ROUNDUP(V96/VLOOKUP(LEFT(B96,FIND(".",B96,1)-1),$AY:$AZ,2,FALSE)*VLOOKUP(LEFT(B96,FIND(".",B96,1)-1),$B$4:$AZ$68,46,FALSE),0)),0)</f>
        <v>83</v>
      </c>
      <c r="BD96" s="306">
        <f t="shared" si="57"/>
        <v>83</v>
      </c>
      <c r="BE96" s="306">
        <f>IFERROR(IF(_xlfn.NUMBERVALUE(RIGHT(B96,LEN(B96)-FIND(".",B96,1)))=COUNTIF('Contorizare in SDI'!$B:$B,LEFT(B96,FIND(".",B96,1)-1))-1,IF((COUNTIF('Contorizare in SDI'!$B:$B,LEFT(B96,FIND(".",B96,1)-1))-1)=1,VLOOKUP(LEFT(B96,FIND(".",B96,1)-1),$B$4:$AZ$68,47,FALSE),VLOOKUP(LEFT(B96,FIND(".",B96,1)-1),$B$4:$AZ$68,47,FALSE)-BF95),ROUNDUP(V96/VLOOKUP(LEFT(B96,FIND(".",B96,1)-1),$AY:$AZ,2,FALSE)*VLOOKUP(LEFT(B96,FIND(".",B96,1)-1),$B$4:$AZ$68,47,FALSE),0)),0)</f>
        <v>30</v>
      </c>
      <c r="BF96" s="306">
        <f t="shared" si="58"/>
        <v>30</v>
      </c>
      <c r="BG96" s="306">
        <f>IFERROR(IF(_xlfn.NUMBERVALUE(RIGHT(B96,LEN(B96)-FIND(".",B96,1)))=COUNTIF('Contorizare in SDI'!$B:$B,LEFT(B96,FIND(".",B96,1)-1))-1,IF((COUNTIF('Contorizare in SDI'!$B:$B,LEFT(B96,FIND(".",B96,1)-1))-1)=1,VLOOKUP(LEFT(B96,FIND(".",B96,1)-1),$B$4:$AZ$68,48,FALSE),VLOOKUP(LEFT(B96,FIND(".",B96,1)-1),$B$4:$AZ$68,48,FALSE)-BH95),ROUNDUP(V96/VLOOKUP(LEFT(B96,FIND(".",B96,1)-1),$AY:$AZ,2,FALSE)*VLOOKUP(LEFT(B96,FIND(".",B96,1)-1),$B$4:$AZ$68,48,FALSE),0)),0)</f>
        <v>0</v>
      </c>
      <c r="BH96" s="306">
        <f t="shared" si="59"/>
        <v>0</v>
      </c>
      <c r="BI96" s="306">
        <f>IFERROR(IF(_xlfn.NUMBERVALUE(RIGHT(B96,LEN(B96)-FIND(".",B96,1)))=COUNTIF('Contorizare in SDI'!$B:$B,LEFT(B96,FIND(".",B96,1)-1))-1,IF((COUNTIF('Contorizare in SDI'!$B:$B,LEFT(B96,FIND(".",B96,1)-1))-1)=1,VLOOKUP(LEFT(B96,FIND(".",B96,1)-1),$B$4:$AZ$68,49,FALSE),VLOOKUP(LEFT(B96,FIND(".",B96,1)-1),$B$4:$AZ$68,49,FALSE)-BJ95),ROUNDUP(V96/VLOOKUP(LEFT(B96,FIND(".",B96,1)-1),$AY:$AZ,2,FALSE)*VLOOKUP(LEFT(B96,FIND(".",B96,1)-1),$B$4:$AZ$68,49,FALSE),0)),0)</f>
        <v>0</v>
      </c>
      <c r="BJ96" s="306">
        <f t="shared" si="60"/>
        <v>0</v>
      </c>
      <c r="BK96" s="4"/>
      <c r="BP96" s="44">
        <f t="shared" si="61"/>
        <v>0</v>
      </c>
      <c r="BQ96" s="1">
        <v>0</v>
      </c>
      <c r="BR96" s="1">
        <v>0</v>
      </c>
      <c r="BS96" s="16">
        <f t="shared" si="62"/>
        <v>83</v>
      </c>
      <c r="BT96" s="16">
        <f t="shared" si="63"/>
        <v>30</v>
      </c>
      <c r="BU96" s="16">
        <f t="shared" si="64"/>
        <v>0</v>
      </c>
      <c r="BV96" s="16">
        <f t="shared" si="65"/>
        <v>0</v>
      </c>
      <c r="BX96" s="1" t="str">
        <f t="shared" si="32"/>
        <v/>
      </c>
      <c r="BY96" s="1">
        <f t="shared" si="33"/>
        <v>0</v>
      </c>
      <c r="BZ96" s="1">
        <f t="shared" si="66"/>
        <v>0</v>
      </c>
      <c r="CA96" s="1">
        <f t="shared" si="67"/>
        <v>0</v>
      </c>
      <c r="CB96" s="1">
        <f t="shared" si="68"/>
        <v>83</v>
      </c>
      <c r="CC96" s="1">
        <f t="shared" si="69"/>
        <v>30</v>
      </c>
      <c r="CD96" s="1">
        <f t="shared" si="70"/>
        <v>0</v>
      </c>
      <c r="CE96" s="1">
        <f t="shared" si="71"/>
        <v>0</v>
      </c>
      <c r="CR96" s="86" t="s">
        <v>546</v>
      </c>
      <c r="CS96" s="291">
        <v>209800</v>
      </c>
      <c r="CT96" s="291">
        <v>0</v>
      </c>
      <c r="CU96" s="291">
        <v>0</v>
      </c>
      <c r="CV96" s="291">
        <v>0</v>
      </c>
      <c r="CW96" s="89" t="s">
        <v>624</v>
      </c>
      <c r="CX96" s="312">
        <v>167564</v>
      </c>
      <c r="CY96" s="184">
        <v>0</v>
      </c>
      <c r="CZ96" s="88">
        <v>7</v>
      </c>
      <c r="DA96" s="88">
        <v>28875</v>
      </c>
      <c r="DB96" s="89" t="s">
        <v>69</v>
      </c>
      <c r="DC96" s="87">
        <v>0</v>
      </c>
      <c r="DD96" s="88">
        <v>0</v>
      </c>
      <c r="DE96" s="88">
        <v>0</v>
      </c>
      <c r="DF96" s="88">
        <v>0</v>
      </c>
      <c r="DG96" s="88">
        <v>167564</v>
      </c>
      <c r="DH96" s="88">
        <v>0</v>
      </c>
      <c r="DI96" s="88">
        <v>24227</v>
      </c>
      <c r="DJ96" s="88">
        <v>2514</v>
      </c>
    </row>
    <row r="97" spans="1:114" ht="17.25" thickTop="1" thickBot="1">
      <c r="A97" s="531">
        <f t="shared" si="41"/>
        <v>94</v>
      </c>
      <c r="B97" s="38" t="s">
        <v>595</v>
      </c>
      <c r="C97" s="17" t="s">
        <v>208</v>
      </c>
      <c r="D97" s="17">
        <v>1372628301</v>
      </c>
      <c r="E97" s="142" t="str">
        <f t="shared" si="42"/>
        <v>RTIM</v>
      </c>
      <c r="F97" s="16">
        <v>7133568</v>
      </c>
      <c r="G97" s="16">
        <v>7554483</v>
      </c>
      <c r="H97" s="16">
        <v>0</v>
      </c>
      <c r="I97" s="16">
        <v>0</v>
      </c>
      <c r="J97" s="16">
        <v>369972</v>
      </c>
      <c r="K97" s="16">
        <v>369972</v>
      </c>
      <c r="L97" s="16">
        <v>1793</v>
      </c>
      <c r="M97" s="16">
        <v>1793</v>
      </c>
      <c r="N97" s="12" t="s">
        <v>917</v>
      </c>
      <c r="O97" s="12" t="s">
        <v>1019</v>
      </c>
      <c r="P97" s="12" t="s">
        <v>917</v>
      </c>
      <c r="Q97" s="12" t="s">
        <v>917</v>
      </c>
      <c r="R97" s="12" t="s">
        <v>917</v>
      </c>
      <c r="S97" s="12" t="s">
        <v>1019</v>
      </c>
      <c r="T97" s="12" t="s">
        <v>917</v>
      </c>
      <c r="U97" s="12" t="s">
        <v>1019</v>
      </c>
      <c r="V97" s="22">
        <v>420915</v>
      </c>
      <c r="W97" s="22">
        <v>0</v>
      </c>
      <c r="X97" s="22">
        <v>0</v>
      </c>
      <c r="Y97" s="22">
        <v>0</v>
      </c>
      <c r="Z97" s="171">
        <f t="shared" si="34"/>
        <v>7133568</v>
      </c>
      <c r="AA97" s="130" t="str">
        <f t="shared" si="35"/>
        <v>citit</v>
      </c>
      <c r="AB97" s="176">
        <f t="shared" si="43"/>
        <v>7554483</v>
      </c>
      <c r="AC97" s="12" t="s">
        <v>917</v>
      </c>
      <c r="AD97" s="12">
        <f t="shared" si="36"/>
        <v>0</v>
      </c>
      <c r="AE97" s="12">
        <f t="shared" si="36"/>
        <v>0</v>
      </c>
      <c r="AF97" s="12">
        <f t="shared" si="36"/>
        <v>369972</v>
      </c>
      <c r="AG97" s="12" t="str">
        <f t="shared" si="37"/>
        <v>citit</v>
      </c>
      <c r="AH97" s="176">
        <f t="shared" si="44"/>
        <v>370173</v>
      </c>
      <c r="AI97" s="12" t="s">
        <v>917</v>
      </c>
      <c r="AJ97" s="12">
        <f t="shared" si="38"/>
        <v>1793</v>
      </c>
      <c r="AK97" s="12" t="str">
        <f t="shared" si="39"/>
        <v>citit</v>
      </c>
      <c r="AL97" s="175">
        <f t="shared" si="45"/>
        <v>1793</v>
      </c>
      <c r="AM97" s="159" t="s">
        <v>917</v>
      </c>
      <c r="AN97" s="154">
        <f t="shared" si="46"/>
        <v>420915</v>
      </c>
      <c r="AO97" s="14">
        <f t="shared" si="47"/>
        <v>0</v>
      </c>
      <c r="AP97" s="147">
        <f t="shared" si="48"/>
        <v>201</v>
      </c>
      <c r="AQ97" s="147">
        <f t="shared" si="49"/>
        <v>0</v>
      </c>
      <c r="AR97" s="16">
        <v>0</v>
      </c>
      <c r="AS97" s="16">
        <v>0</v>
      </c>
      <c r="AT97" s="1">
        <f t="shared" si="50"/>
        <v>0</v>
      </c>
      <c r="AU97" s="154">
        <f t="shared" si="51"/>
        <v>148</v>
      </c>
      <c r="AV97" s="154">
        <f t="shared" si="52"/>
        <v>53</v>
      </c>
      <c r="AW97" s="154">
        <f t="shared" si="53"/>
        <v>0</v>
      </c>
      <c r="AX97" s="154">
        <f t="shared" si="54"/>
        <v>0</v>
      </c>
      <c r="AY97" s="308" t="str">
        <f t="shared" si="55"/>
        <v>-</v>
      </c>
      <c r="AZ97" s="308">
        <f t="shared" si="40"/>
        <v>656501</v>
      </c>
      <c r="BA97" s="306">
        <f>IFERROR(IF(_xlfn.NUMBERVALUE(RIGHT(B97,LEN(B97)-FIND(".",B97,1)))=COUNTIF('Contorizare in SDI'!$B:$B,LEFT(B97,FIND(".",B97,1)-1))-1,IF((COUNTIF('Contorizare in SDI'!$B:$B,LEFT(B97,FIND(".",B97,1)-1))-1)=1,VLOOKUP(LEFT(B97,FIND(".",B97,1)-1),$B$4:$AZ$68,45,FALSE),VLOOKUP(LEFT(B97,FIND(".",B97,1)-1),$B$4:$AZ$68,45,FALSE)-BB96),ROUNDUP(V97/VLOOKUP(LEFT(B97,FIND(".",B97,1)-1),$AY:$AZ,2,FALSE)*VLOOKUP(LEFT(B97,FIND(".",B97,1)-1),$B$4:$AZ$68,45,FALSE),0)),0)</f>
        <v>0</v>
      </c>
      <c r="BB97" s="306">
        <f t="shared" si="56"/>
        <v>0</v>
      </c>
      <c r="BC97" s="306">
        <f>IFERROR(IF(_xlfn.NUMBERVALUE(RIGHT(B97,LEN(B97)-FIND(".",B97,1)))=COUNTIF('Contorizare in SDI'!$B:$B,LEFT(B97,FIND(".",B97,1)-1))-1,IF((COUNTIF('Contorizare in SDI'!$B:$B,LEFT(B97,FIND(".",B97,1)-1))-1)=1,VLOOKUP(LEFT(B97,FIND(".",B97,1)-1),$B$4:$AZ$68,46,FALSE),VLOOKUP(LEFT(B97,FIND(".",B97,1)-1),$B$4:$AZ$68,46,FALSE)-BD96),ROUNDUP(V97/VLOOKUP(LEFT(B97,FIND(".",B97,1)-1),$AY:$AZ,2,FALSE)*VLOOKUP(LEFT(B97,FIND(".",B97,1)-1),$B$4:$AZ$68,46,FALSE),0)),0)</f>
        <v>148</v>
      </c>
      <c r="BD97" s="306">
        <f t="shared" si="57"/>
        <v>231</v>
      </c>
      <c r="BE97" s="306">
        <f>IFERROR(IF(_xlfn.NUMBERVALUE(RIGHT(B97,LEN(B97)-FIND(".",B97,1)))=COUNTIF('Contorizare in SDI'!$B:$B,LEFT(B97,FIND(".",B97,1)-1))-1,IF((COUNTIF('Contorizare in SDI'!$B:$B,LEFT(B97,FIND(".",B97,1)-1))-1)=1,VLOOKUP(LEFT(B97,FIND(".",B97,1)-1),$B$4:$AZ$68,47,FALSE),VLOOKUP(LEFT(B97,FIND(".",B97,1)-1),$B$4:$AZ$68,47,FALSE)-BF96),ROUNDUP(V97/VLOOKUP(LEFT(B97,FIND(".",B97,1)-1),$AY:$AZ,2,FALSE)*VLOOKUP(LEFT(B97,FIND(".",B97,1)-1),$B$4:$AZ$68,47,FALSE),0)),0)</f>
        <v>53</v>
      </c>
      <c r="BF97" s="306">
        <f t="shared" si="58"/>
        <v>83</v>
      </c>
      <c r="BG97" s="306">
        <f>IFERROR(IF(_xlfn.NUMBERVALUE(RIGHT(B97,LEN(B97)-FIND(".",B97,1)))=COUNTIF('Contorizare in SDI'!$B:$B,LEFT(B97,FIND(".",B97,1)-1))-1,IF((COUNTIF('Contorizare in SDI'!$B:$B,LEFT(B97,FIND(".",B97,1)-1))-1)=1,VLOOKUP(LEFT(B97,FIND(".",B97,1)-1),$B$4:$AZ$68,48,FALSE),VLOOKUP(LEFT(B97,FIND(".",B97,1)-1),$B$4:$AZ$68,48,FALSE)-BH96),ROUNDUP(V97/VLOOKUP(LEFT(B97,FIND(".",B97,1)-1),$AY:$AZ,2,FALSE)*VLOOKUP(LEFT(B97,FIND(".",B97,1)-1),$B$4:$AZ$68,48,FALSE),0)),0)</f>
        <v>0</v>
      </c>
      <c r="BH97" s="306">
        <f t="shared" si="59"/>
        <v>0</v>
      </c>
      <c r="BI97" s="306">
        <f>IFERROR(IF(_xlfn.NUMBERVALUE(RIGHT(B97,LEN(B97)-FIND(".",B97,1)))=COUNTIF('Contorizare in SDI'!$B:$B,LEFT(B97,FIND(".",B97,1)-1))-1,IF((COUNTIF('Contorizare in SDI'!$B:$B,LEFT(B97,FIND(".",B97,1)-1))-1)=1,VLOOKUP(LEFT(B97,FIND(".",B97,1)-1),$B$4:$AZ$68,49,FALSE),VLOOKUP(LEFT(B97,FIND(".",B97,1)-1),$B$4:$AZ$68,49,FALSE)-BJ96),ROUNDUP(V97/VLOOKUP(LEFT(B97,FIND(".",B97,1)-1),$AY:$AZ,2,FALSE)*VLOOKUP(LEFT(B97,FIND(".",B97,1)-1),$B$4:$AZ$68,49,FALSE),0)),0)</f>
        <v>0</v>
      </c>
      <c r="BJ97" s="306">
        <f t="shared" si="60"/>
        <v>0</v>
      </c>
      <c r="BK97" s="4"/>
      <c r="BP97" s="44">
        <f t="shared" si="61"/>
        <v>0</v>
      </c>
      <c r="BQ97" s="1">
        <v>0</v>
      </c>
      <c r="BR97" s="1">
        <v>0</v>
      </c>
      <c r="BS97" s="16">
        <f t="shared" si="62"/>
        <v>148</v>
      </c>
      <c r="BT97" s="16">
        <f t="shared" si="63"/>
        <v>53</v>
      </c>
      <c r="BU97" s="16">
        <f t="shared" si="64"/>
        <v>0</v>
      </c>
      <c r="BV97" s="16">
        <f t="shared" si="65"/>
        <v>0</v>
      </c>
      <c r="BX97" s="1" t="str">
        <f t="shared" si="32"/>
        <v/>
      </c>
      <c r="BY97" s="1">
        <f t="shared" si="33"/>
        <v>0</v>
      </c>
      <c r="BZ97" s="1">
        <f t="shared" si="66"/>
        <v>0</v>
      </c>
      <c r="CA97" s="1">
        <f t="shared" si="67"/>
        <v>0</v>
      </c>
      <c r="CB97" s="1">
        <f t="shared" si="68"/>
        <v>231</v>
      </c>
      <c r="CC97" s="1">
        <f t="shared" si="69"/>
        <v>83</v>
      </c>
      <c r="CD97" s="1">
        <f t="shared" si="70"/>
        <v>0</v>
      </c>
      <c r="CE97" s="1">
        <f t="shared" si="71"/>
        <v>0</v>
      </c>
      <c r="CR97" s="30" t="s">
        <v>546</v>
      </c>
      <c r="CS97" s="291">
        <v>209800</v>
      </c>
      <c r="CT97" s="291">
        <v>0</v>
      </c>
      <c r="CU97" s="291">
        <v>0</v>
      </c>
      <c r="CV97" s="291">
        <v>0</v>
      </c>
      <c r="CW97" s="29" t="s">
        <v>625</v>
      </c>
      <c r="CX97" s="312">
        <v>39089</v>
      </c>
      <c r="CY97" s="184">
        <v>24227</v>
      </c>
      <c r="CZ97" s="88">
        <v>2024</v>
      </c>
      <c r="DA97" s="88">
        <v>2712</v>
      </c>
      <c r="DB97" s="29" t="s">
        <v>683</v>
      </c>
      <c r="DC97" s="87">
        <v>0</v>
      </c>
      <c r="DD97" s="88">
        <v>47687</v>
      </c>
      <c r="DE97" s="88">
        <v>24</v>
      </c>
      <c r="DF97" s="88">
        <v>679</v>
      </c>
      <c r="DG97" s="88">
        <v>39089</v>
      </c>
      <c r="DH97" s="88">
        <v>23460</v>
      </c>
      <c r="DI97" s="321">
        <v>0</v>
      </c>
      <c r="DJ97" s="88">
        <v>633</v>
      </c>
    </row>
    <row r="98" spans="1:114" ht="17.25" thickTop="1" thickBot="1">
      <c r="A98" s="531">
        <f t="shared" si="41"/>
        <v>95</v>
      </c>
      <c r="B98" s="38" t="s">
        <v>596</v>
      </c>
      <c r="C98" s="17" t="s">
        <v>209</v>
      </c>
      <c r="D98" s="17">
        <v>1372642646</v>
      </c>
      <c r="E98" s="142" t="str">
        <f t="shared" si="42"/>
        <v>RTIM</v>
      </c>
      <c r="F98" s="16">
        <v>3046494</v>
      </c>
      <c r="G98" s="16">
        <v>3192300</v>
      </c>
      <c r="H98" s="16">
        <v>0</v>
      </c>
      <c r="I98" s="16">
        <v>0</v>
      </c>
      <c r="J98" s="16">
        <v>236709</v>
      </c>
      <c r="K98" s="16">
        <v>236709</v>
      </c>
      <c r="L98" s="16">
        <v>53981</v>
      </c>
      <c r="M98" s="16">
        <v>53981</v>
      </c>
      <c r="N98" s="12" t="s">
        <v>917</v>
      </c>
      <c r="O98" s="12" t="s">
        <v>1019</v>
      </c>
      <c r="P98" s="12" t="s">
        <v>917</v>
      </c>
      <c r="Q98" s="12" t="s">
        <v>917</v>
      </c>
      <c r="R98" s="12" t="s">
        <v>917</v>
      </c>
      <c r="S98" s="12" t="s">
        <v>1019</v>
      </c>
      <c r="T98" s="12" t="s">
        <v>917</v>
      </c>
      <c r="U98" s="12" t="s">
        <v>1019</v>
      </c>
      <c r="V98" s="22">
        <v>145806</v>
      </c>
      <c r="W98" s="22">
        <v>0</v>
      </c>
      <c r="X98" s="22">
        <v>0</v>
      </c>
      <c r="Y98" s="22">
        <v>0</v>
      </c>
      <c r="Z98" s="171">
        <f t="shared" si="34"/>
        <v>3046494</v>
      </c>
      <c r="AA98" s="130" t="str">
        <f t="shared" si="35"/>
        <v>citit</v>
      </c>
      <c r="AB98" s="176">
        <f t="shared" si="43"/>
        <v>3192300</v>
      </c>
      <c r="AC98" s="12" t="s">
        <v>917</v>
      </c>
      <c r="AD98" s="12">
        <f t="shared" si="36"/>
        <v>0</v>
      </c>
      <c r="AE98" s="12">
        <f t="shared" si="36"/>
        <v>0</v>
      </c>
      <c r="AF98" s="12">
        <f t="shared" si="36"/>
        <v>236709</v>
      </c>
      <c r="AG98" s="12" t="str">
        <f t="shared" si="37"/>
        <v>citit</v>
      </c>
      <c r="AH98" s="176">
        <f t="shared" si="44"/>
        <v>236780</v>
      </c>
      <c r="AI98" s="12" t="s">
        <v>917</v>
      </c>
      <c r="AJ98" s="12">
        <f t="shared" si="38"/>
        <v>53981</v>
      </c>
      <c r="AK98" s="12" t="str">
        <f t="shared" si="39"/>
        <v>citit</v>
      </c>
      <c r="AL98" s="175">
        <f t="shared" si="45"/>
        <v>53981</v>
      </c>
      <c r="AM98" s="159" t="s">
        <v>917</v>
      </c>
      <c r="AN98" s="154">
        <f t="shared" si="46"/>
        <v>145806</v>
      </c>
      <c r="AO98" s="14">
        <f t="shared" si="47"/>
        <v>0</v>
      </c>
      <c r="AP98" s="147">
        <f t="shared" si="48"/>
        <v>71</v>
      </c>
      <c r="AQ98" s="147">
        <f t="shared" si="49"/>
        <v>0</v>
      </c>
      <c r="AR98" s="16">
        <v>0</v>
      </c>
      <c r="AS98" s="16">
        <v>0</v>
      </c>
      <c r="AT98" s="1">
        <f t="shared" si="50"/>
        <v>0</v>
      </c>
      <c r="AU98" s="154">
        <f t="shared" si="51"/>
        <v>52</v>
      </c>
      <c r="AV98" s="154">
        <f t="shared" si="52"/>
        <v>19</v>
      </c>
      <c r="AW98" s="154">
        <f t="shared" si="53"/>
        <v>0</v>
      </c>
      <c r="AX98" s="154">
        <f t="shared" si="54"/>
        <v>0</v>
      </c>
      <c r="AY98" s="308" t="str">
        <f t="shared" si="55"/>
        <v>-</v>
      </c>
      <c r="AZ98" s="308">
        <f t="shared" si="40"/>
        <v>802307</v>
      </c>
      <c r="BA98" s="306">
        <f>IFERROR(IF(_xlfn.NUMBERVALUE(RIGHT(B98,LEN(B98)-FIND(".",B98,1)))=COUNTIF('Contorizare in SDI'!$B:$B,LEFT(B98,FIND(".",B98,1)-1))-1,IF((COUNTIF('Contorizare in SDI'!$B:$B,LEFT(B98,FIND(".",B98,1)-1))-1)=1,VLOOKUP(LEFT(B98,FIND(".",B98,1)-1),$B$4:$AZ$68,45,FALSE),VLOOKUP(LEFT(B98,FIND(".",B98,1)-1),$B$4:$AZ$68,45,FALSE)-BB97),ROUNDUP(V98/VLOOKUP(LEFT(B98,FIND(".",B98,1)-1),$AY:$AZ,2,FALSE)*VLOOKUP(LEFT(B98,FIND(".",B98,1)-1),$B$4:$AZ$68,45,FALSE),0)),0)</f>
        <v>0</v>
      </c>
      <c r="BB98" s="306">
        <f t="shared" si="56"/>
        <v>0</v>
      </c>
      <c r="BC98" s="306">
        <f>IFERROR(IF(_xlfn.NUMBERVALUE(RIGHT(B98,LEN(B98)-FIND(".",B98,1)))=COUNTIF('Contorizare in SDI'!$B:$B,LEFT(B98,FIND(".",B98,1)-1))-1,IF((COUNTIF('Contorizare in SDI'!$B:$B,LEFT(B98,FIND(".",B98,1)-1))-1)=1,VLOOKUP(LEFT(B98,FIND(".",B98,1)-1),$B$4:$AZ$68,46,FALSE),VLOOKUP(LEFT(B98,FIND(".",B98,1)-1),$B$4:$AZ$68,46,FALSE)-BD97),ROUNDUP(V98/VLOOKUP(LEFT(B98,FIND(".",B98,1)-1),$AY:$AZ,2,FALSE)*VLOOKUP(LEFT(B98,FIND(".",B98,1)-1),$B$4:$AZ$68,46,FALSE),0)),0)</f>
        <v>52</v>
      </c>
      <c r="BD98" s="306">
        <f t="shared" si="57"/>
        <v>283</v>
      </c>
      <c r="BE98" s="306">
        <f>IFERROR(IF(_xlfn.NUMBERVALUE(RIGHT(B98,LEN(B98)-FIND(".",B98,1)))=COUNTIF('Contorizare in SDI'!$B:$B,LEFT(B98,FIND(".",B98,1)-1))-1,IF((COUNTIF('Contorizare in SDI'!$B:$B,LEFT(B98,FIND(".",B98,1)-1))-1)=1,VLOOKUP(LEFT(B98,FIND(".",B98,1)-1),$B$4:$AZ$68,47,FALSE),VLOOKUP(LEFT(B98,FIND(".",B98,1)-1),$B$4:$AZ$68,47,FALSE)-BF97),ROUNDUP(V98/VLOOKUP(LEFT(B98,FIND(".",B98,1)-1),$AY:$AZ,2,FALSE)*VLOOKUP(LEFT(B98,FIND(".",B98,1)-1),$B$4:$AZ$68,47,FALSE),0)),0)</f>
        <v>19</v>
      </c>
      <c r="BF98" s="306">
        <f t="shared" si="58"/>
        <v>102</v>
      </c>
      <c r="BG98" s="306">
        <f>IFERROR(IF(_xlfn.NUMBERVALUE(RIGHT(B98,LEN(B98)-FIND(".",B98,1)))=COUNTIF('Contorizare in SDI'!$B:$B,LEFT(B98,FIND(".",B98,1)-1))-1,IF((COUNTIF('Contorizare in SDI'!$B:$B,LEFT(B98,FIND(".",B98,1)-1))-1)=1,VLOOKUP(LEFT(B98,FIND(".",B98,1)-1),$B$4:$AZ$68,48,FALSE),VLOOKUP(LEFT(B98,FIND(".",B98,1)-1),$B$4:$AZ$68,48,FALSE)-BH97),ROUNDUP(V98/VLOOKUP(LEFT(B98,FIND(".",B98,1)-1),$AY:$AZ,2,FALSE)*VLOOKUP(LEFT(B98,FIND(".",B98,1)-1),$B$4:$AZ$68,48,FALSE),0)),0)</f>
        <v>0</v>
      </c>
      <c r="BH98" s="306">
        <f t="shared" si="59"/>
        <v>0</v>
      </c>
      <c r="BI98" s="306">
        <f>IFERROR(IF(_xlfn.NUMBERVALUE(RIGHT(B98,LEN(B98)-FIND(".",B98,1)))=COUNTIF('Contorizare in SDI'!$B:$B,LEFT(B98,FIND(".",B98,1)-1))-1,IF((COUNTIF('Contorizare in SDI'!$B:$B,LEFT(B98,FIND(".",B98,1)-1))-1)=1,VLOOKUP(LEFT(B98,FIND(".",B98,1)-1),$B$4:$AZ$68,49,FALSE),VLOOKUP(LEFT(B98,FIND(".",B98,1)-1),$B$4:$AZ$68,49,FALSE)-BJ97),ROUNDUP(V98/VLOOKUP(LEFT(B98,FIND(".",B98,1)-1),$AY:$AZ,2,FALSE)*VLOOKUP(LEFT(B98,FIND(".",B98,1)-1),$B$4:$AZ$68,49,FALSE),0)),0)</f>
        <v>0</v>
      </c>
      <c r="BJ98" s="306">
        <f t="shared" si="60"/>
        <v>0</v>
      </c>
      <c r="BK98" s="4"/>
      <c r="BP98" s="44">
        <f t="shared" si="61"/>
        <v>0</v>
      </c>
      <c r="BQ98" s="1">
        <v>0</v>
      </c>
      <c r="BR98" s="1">
        <v>0</v>
      </c>
      <c r="BS98" s="16">
        <f t="shared" si="62"/>
        <v>52</v>
      </c>
      <c r="BT98" s="16">
        <f t="shared" si="63"/>
        <v>19</v>
      </c>
      <c r="BU98" s="16">
        <f t="shared" si="64"/>
        <v>0</v>
      </c>
      <c r="BV98" s="16">
        <f t="shared" si="65"/>
        <v>0</v>
      </c>
      <c r="BX98" s="1" t="str">
        <f t="shared" si="32"/>
        <v/>
      </c>
      <c r="BY98" s="1">
        <f t="shared" si="33"/>
        <v>0</v>
      </c>
      <c r="BZ98" s="1">
        <f t="shared" si="66"/>
        <v>0</v>
      </c>
      <c r="CA98" s="1">
        <f t="shared" si="67"/>
        <v>0</v>
      </c>
      <c r="CB98" s="1">
        <f t="shared" si="68"/>
        <v>283</v>
      </c>
      <c r="CC98" s="1">
        <f t="shared" si="69"/>
        <v>102</v>
      </c>
      <c r="CD98" s="1">
        <f t="shared" si="70"/>
        <v>0</v>
      </c>
      <c r="CE98" s="1">
        <f t="shared" si="71"/>
        <v>0</v>
      </c>
      <c r="CR98" s="30" t="s">
        <v>546</v>
      </c>
      <c r="CS98" s="291">
        <v>209800</v>
      </c>
      <c r="CT98" s="291">
        <v>0</v>
      </c>
      <c r="CU98" s="291">
        <v>0</v>
      </c>
      <c r="CV98" s="291">
        <v>0</v>
      </c>
      <c r="CW98" s="29" t="s">
        <v>977</v>
      </c>
      <c r="CX98" s="312">
        <v>3147</v>
      </c>
      <c r="CY98" s="184">
        <v>0</v>
      </c>
      <c r="CZ98" s="88">
        <v>0</v>
      </c>
      <c r="DA98" s="88">
        <v>0</v>
      </c>
      <c r="DB98" s="29" t="s">
        <v>69</v>
      </c>
      <c r="DC98" s="87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321">
        <v>0</v>
      </c>
      <c r="DJ98" s="88">
        <v>0</v>
      </c>
    </row>
    <row r="99" spans="1:114" ht="17.25" thickTop="1" thickBot="1">
      <c r="A99" s="531">
        <f t="shared" si="41"/>
        <v>96</v>
      </c>
      <c r="B99" s="38" t="s">
        <v>597</v>
      </c>
      <c r="C99" s="17" t="s">
        <v>210</v>
      </c>
      <c r="D99" s="17">
        <v>1372627968</v>
      </c>
      <c r="E99" s="142" t="str">
        <f t="shared" si="42"/>
        <v>RTIM</v>
      </c>
      <c r="F99" s="16">
        <v>3461150</v>
      </c>
      <c r="G99" s="16">
        <v>3644631</v>
      </c>
      <c r="H99" s="16">
        <v>0</v>
      </c>
      <c r="I99" s="16">
        <v>0</v>
      </c>
      <c r="J99" s="16">
        <v>327280</v>
      </c>
      <c r="K99" s="16">
        <v>327280</v>
      </c>
      <c r="L99" s="16">
        <v>1643</v>
      </c>
      <c r="M99" s="16">
        <v>1643</v>
      </c>
      <c r="N99" s="12" t="s">
        <v>917</v>
      </c>
      <c r="O99" s="12" t="s">
        <v>1019</v>
      </c>
      <c r="P99" s="12" t="s">
        <v>917</v>
      </c>
      <c r="Q99" s="12" t="s">
        <v>917</v>
      </c>
      <c r="R99" s="12" t="s">
        <v>917</v>
      </c>
      <c r="S99" s="12" t="s">
        <v>1019</v>
      </c>
      <c r="T99" s="12" t="s">
        <v>917</v>
      </c>
      <c r="U99" s="12" t="s">
        <v>1019</v>
      </c>
      <c r="V99" s="22">
        <v>183481</v>
      </c>
      <c r="W99" s="22">
        <v>0</v>
      </c>
      <c r="X99" s="22">
        <v>0</v>
      </c>
      <c r="Y99" s="22">
        <v>0</v>
      </c>
      <c r="Z99" s="171">
        <f t="shared" si="34"/>
        <v>3461150</v>
      </c>
      <c r="AA99" s="130" t="str">
        <f t="shared" si="35"/>
        <v>citit</v>
      </c>
      <c r="AB99" s="176">
        <f t="shared" si="43"/>
        <v>3644631</v>
      </c>
      <c r="AC99" s="12" t="s">
        <v>917</v>
      </c>
      <c r="AD99" s="12">
        <f t="shared" si="36"/>
        <v>0</v>
      </c>
      <c r="AE99" s="12">
        <f t="shared" si="36"/>
        <v>0</v>
      </c>
      <c r="AF99" s="12">
        <f t="shared" si="36"/>
        <v>327280</v>
      </c>
      <c r="AG99" s="12" t="str">
        <f t="shared" si="37"/>
        <v>citit</v>
      </c>
      <c r="AH99" s="176">
        <f t="shared" si="44"/>
        <v>327368</v>
      </c>
      <c r="AI99" s="12" t="s">
        <v>917</v>
      </c>
      <c r="AJ99" s="12">
        <f t="shared" si="38"/>
        <v>1643</v>
      </c>
      <c r="AK99" s="12" t="str">
        <f t="shared" si="39"/>
        <v>citit</v>
      </c>
      <c r="AL99" s="175">
        <f t="shared" si="45"/>
        <v>1643</v>
      </c>
      <c r="AM99" s="159" t="s">
        <v>917</v>
      </c>
      <c r="AN99" s="154">
        <f t="shared" si="46"/>
        <v>183481</v>
      </c>
      <c r="AO99" s="14">
        <f t="shared" si="47"/>
        <v>0</v>
      </c>
      <c r="AP99" s="147">
        <f t="shared" si="48"/>
        <v>88</v>
      </c>
      <c r="AQ99" s="147">
        <f t="shared" si="49"/>
        <v>0</v>
      </c>
      <c r="AR99" s="16">
        <v>0</v>
      </c>
      <c r="AS99" s="16">
        <v>0</v>
      </c>
      <c r="AT99" s="1">
        <f t="shared" si="50"/>
        <v>0</v>
      </c>
      <c r="AU99" s="154">
        <f t="shared" si="51"/>
        <v>65</v>
      </c>
      <c r="AV99" s="154">
        <f t="shared" si="52"/>
        <v>23</v>
      </c>
      <c r="AW99" s="154">
        <f t="shared" si="53"/>
        <v>0</v>
      </c>
      <c r="AX99" s="154">
        <f t="shared" si="54"/>
        <v>0</v>
      </c>
      <c r="AY99" s="308" t="str">
        <f t="shared" si="55"/>
        <v>-</v>
      </c>
      <c r="AZ99" s="308">
        <f t="shared" si="40"/>
        <v>985788</v>
      </c>
      <c r="BA99" s="306">
        <f>IFERROR(IF(_xlfn.NUMBERVALUE(RIGHT(B99,LEN(B99)-FIND(".",B99,1)))=COUNTIF('Contorizare in SDI'!$B:$B,LEFT(B99,FIND(".",B99,1)-1))-1,IF((COUNTIF('Contorizare in SDI'!$B:$B,LEFT(B99,FIND(".",B99,1)-1))-1)=1,VLOOKUP(LEFT(B99,FIND(".",B99,1)-1),$B$4:$AZ$68,45,FALSE),VLOOKUP(LEFT(B99,FIND(".",B99,1)-1),$B$4:$AZ$68,45,FALSE)-BB98),ROUNDUP(V99/VLOOKUP(LEFT(B99,FIND(".",B99,1)-1),$AY:$AZ,2,FALSE)*VLOOKUP(LEFT(B99,FIND(".",B99,1)-1),$B$4:$AZ$68,45,FALSE),0)),0)</f>
        <v>0</v>
      </c>
      <c r="BB99" s="306">
        <f t="shared" si="56"/>
        <v>0</v>
      </c>
      <c r="BC99" s="306">
        <f>IFERROR(IF(_xlfn.NUMBERVALUE(RIGHT(B99,LEN(B99)-FIND(".",B99,1)))=COUNTIF('Contorizare in SDI'!$B:$B,LEFT(B99,FIND(".",B99,1)-1))-1,IF((COUNTIF('Contorizare in SDI'!$B:$B,LEFT(B99,FIND(".",B99,1)-1))-1)=1,VLOOKUP(LEFT(B99,FIND(".",B99,1)-1),$B$4:$AZ$68,46,FALSE),VLOOKUP(LEFT(B99,FIND(".",B99,1)-1),$B$4:$AZ$68,46,FALSE)-BD98),ROUNDUP(V99/VLOOKUP(LEFT(B99,FIND(".",B99,1)-1),$AY:$AZ,2,FALSE)*VLOOKUP(LEFT(B99,FIND(".",B99,1)-1),$B$4:$AZ$68,46,FALSE),0)),0)</f>
        <v>65</v>
      </c>
      <c r="BD99" s="306">
        <f t="shared" si="57"/>
        <v>348</v>
      </c>
      <c r="BE99" s="306">
        <f>IFERROR(IF(_xlfn.NUMBERVALUE(RIGHT(B99,LEN(B99)-FIND(".",B99,1)))=COUNTIF('Contorizare in SDI'!$B:$B,LEFT(B99,FIND(".",B99,1)-1))-1,IF((COUNTIF('Contorizare in SDI'!$B:$B,LEFT(B99,FIND(".",B99,1)-1))-1)=1,VLOOKUP(LEFT(B99,FIND(".",B99,1)-1),$B$4:$AZ$68,47,FALSE),VLOOKUP(LEFT(B99,FIND(".",B99,1)-1),$B$4:$AZ$68,47,FALSE)-BF98),ROUNDUP(V99/VLOOKUP(LEFT(B99,FIND(".",B99,1)-1),$AY:$AZ,2,FALSE)*VLOOKUP(LEFT(B99,FIND(".",B99,1)-1),$B$4:$AZ$68,47,FALSE),0)),0)</f>
        <v>23</v>
      </c>
      <c r="BF99" s="306">
        <f t="shared" si="58"/>
        <v>125</v>
      </c>
      <c r="BG99" s="306">
        <f>IFERROR(IF(_xlfn.NUMBERVALUE(RIGHT(B99,LEN(B99)-FIND(".",B99,1)))=COUNTIF('Contorizare in SDI'!$B:$B,LEFT(B99,FIND(".",B99,1)-1))-1,IF((COUNTIF('Contorizare in SDI'!$B:$B,LEFT(B99,FIND(".",B99,1)-1))-1)=1,VLOOKUP(LEFT(B99,FIND(".",B99,1)-1),$B$4:$AZ$68,48,FALSE),VLOOKUP(LEFT(B99,FIND(".",B99,1)-1),$B$4:$AZ$68,48,FALSE)-BH98),ROUNDUP(V99/VLOOKUP(LEFT(B99,FIND(".",B99,1)-1),$AY:$AZ,2,FALSE)*VLOOKUP(LEFT(B99,FIND(".",B99,1)-1),$B$4:$AZ$68,48,FALSE),0)),0)</f>
        <v>0</v>
      </c>
      <c r="BH99" s="306">
        <f t="shared" si="59"/>
        <v>0</v>
      </c>
      <c r="BI99" s="306">
        <f>IFERROR(IF(_xlfn.NUMBERVALUE(RIGHT(B99,LEN(B99)-FIND(".",B99,1)))=COUNTIF('Contorizare in SDI'!$B:$B,LEFT(B99,FIND(".",B99,1)-1))-1,IF((COUNTIF('Contorizare in SDI'!$B:$B,LEFT(B99,FIND(".",B99,1)-1))-1)=1,VLOOKUP(LEFT(B99,FIND(".",B99,1)-1),$B$4:$AZ$68,49,FALSE),VLOOKUP(LEFT(B99,FIND(".",B99,1)-1),$B$4:$AZ$68,49,FALSE)-BJ98),ROUNDUP(V99/VLOOKUP(LEFT(B99,FIND(".",B99,1)-1),$AY:$AZ,2,FALSE)*VLOOKUP(LEFT(B99,FIND(".",B99,1)-1),$B$4:$AZ$68,49,FALSE),0)),0)</f>
        <v>0</v>
      </c>
      <c r="BJ99" s="306">
        <f t="shared" si="60"/>
        <v>0</v>
      </c>
      <c r="BK99" s="4"/>
      <c r="BP99" s="44">
        <f t="shared" si="61"/>
        <v>0</v>
      </c>
      <c r="BQ99" s="1">
        <v>0</v>
      </c>
      <c r="BR99" s="1">
        <v>0</v>
      </c>
      <c r="BS99" s="16">
        <f t="shared" si="62"/>
        <v>65</v>
      </c>
      <c r="BT99" s="16">
        <f t="shared" si="63"/>
        <v>23</v>
      </c>
      <c r="BU99" s="16">
        <f t="shared" si="64"/>
        <v>0</v>
      </c>
      <c r="BV99" s="16">
        <f t="shared" si="65"/>
        <v>0</v>
      </c>
      <c r="BX99" s="1" t="str">
        <f t="shared" si="32"/>
        <v/>
      </c>
      <c r="BY99" s="1">
        <f t="shared" si="33"/>
        <v>0</v>
      </c>
      <c r="BZ99" s="1">
        <f t="shared" si="66"/>
        <v>0</v>
      </c>
      <c r="CA99" s="1">
        <f t="shared" si="67"/>
        <v>0</v>
      </c>
      <c r="CB99" s="1">
        <f t="shared" si="68"/>
        <v>348</v>
      </c>
      <c r="CC99" s="1">
        <f t="shared" si="69"/>
        <v>125</v>
      </c>
      <c r="CD99" s="1">
        <f t="shared" si="70"/>
        <v>0</v>
      </c>
      <c r="CE99" s="1">
        <f t="shared" si="71"/>
        <v>0</v>
      </c>
      <c r="CR99" s="30" t="s">
        <v>505</v>
      </c>
      <c r="CS99" s="291">
        <v>109320</v>
      </c>
      <c r="CT99" s="291">
        <v>0</v>
      </c>
      <c r="CU99" s="291">
        <v>0</v>
      </c>
      <c r="CV99" s="291">
        <v>0</v>
      </c>
      <c r="CW99" s="29" t="s">
        <v>626</v>
      </c>
      <c r="CX99" s="312">
        <v>50017</v>
      </c>
      <c r="CY99" s="184">
        <v>0</v>
      </c>
      <c r="CZ99" s="88">
        <v>0</v>
      </c>
      <c r="DA99" s="88">
        <v>41807</v>
      </c>
      <c r="DB99" s="29" t="s">
        <v>69</v>
      </c>
      <c r="DC99" s="87">
        <v>0</v>
      </c>
      <c r="DD99" s="88">
        <v>0</v>
      </c>
      <c r="DE99" s="88">
        <v>0</v>
      </c>
      <c r="DF99" s="88">
        <v>0</v>
      </c>
      <c r="DG99" s="88">
        <v>50017</v>
      </c>
      <c r="DH99" s="88">
        <v>0</v>
      </c>
      <c r="DI99" s="88">
        <v>924</v>
      </c>
      <c r="DJ99" s="88">
        <v>751</v>
      </c>
    </row>
    <row r="100" spans="1:114" ht="17.25" thickTop="1" thickBot="1">
      <c r="A100" s="531">
        <f t="shared" si="41"/>
        <v>97</v>
      </c>
      <c r="B100" s="38" t="s">
        <v>598</v>
      </c>
      <c r="C100" s="17" t="s">
        <v>211</v>
      </c>
      <c r="D100" s="17" t="s">
        <v>926</v>
      </c>
      <c r="E100" s="142" t="str">
        <f t="shared" si="42"/>
        <v>RTIM</v>
      </c>
      <c r="F100" s="16">
        <v>0</v>
      </c>
      <c r="G100" s="16">
        <v>0</v>
      </c>
      <c r="H100" s="16">
        <v>0</v>
      </c>
      <c r="I100" s="16">
        <v>0</v>
      </c>
      <c r="J100" s="16">
        <v>234174</v>
      </c>
      <c r="K100" s="16">
        <v>234174</v>
      </c>
      <c r="L100" s="16">
        <v>1684</v>
      </c>
      <c r="M100" s="16">
        <v>1684</v>
      </c>
      <c r="N100" s="12" t="s">
        <v>917</v>
      </c>
      <c r="O100" s="12" t="s">
        <v>1019</v>
      </c>
      <c r="P100" s="12" t="s">
        <v>917</v>
      </c>
      <c r="Q100" s="12" t="s">
        <v>917</v>
      </c>
      <c r="R100" s="12" t="s">
        <v>917</v>
      </c>
      <c r="S100" s="12" t="s">
        <v>1019</v>
      </c>
      <c r="T100" s="12" t="s">
        <v>917</v>
      </c>
      <c r="U100" s="12" t="s">
        <v>1019</v>
      </c>
      <c r="V100" s="22">
        <v>0</v>
      </c>
      <c r="W100" s="22">
        <v>0</v>
      </c>
      <c r="X100" s="22">
        <v>0</v>
      </c>
      <c r="Y100" s="22">
        <v>0</v>
      </c>
      <c r="Z100" s="171">
        <f t="shared" si="34"/>
        <v>0</v>
      </c>
      <c r="AA100" s="130" t="str">
        <f t="shared" si="35"/>
        <v>citit</v>
      </c>
      <c r="AB100" s="176">
        <f t="shared" si="43"/>
        <v>0</v>
      </c>
      <c r="AC100" s="12" t="s">
        <v>917</v>
      </c>
      <c r="AD100" s="12">
        <f t="shared" si="36"/>
        <v>0</v>
      </c>
      <c r="AE100" s="12">
        <f t="shared" si="36"/>
        <v>0</v>
      </c>
      <c r="AF100" s="12">
        <f t="shared" si="36"/>
        <v>234174</v>
      </c>
      <c r="AG100" s="12" t="str">
        <f t="shared" si="37"/>
        <v>citit</v>
      </c>
      <c r="AH100" s="176">
        <f t="shared" si="44"/>
        <v>234174</v>
      </c>
      <c r="AI100" s="12" t="s">
        <v>917</v>
      </c>
      <c r="AJ100" s="12">
        <f t="shared" si="38"/>
        <v>1684</v>
      </c>
      <c r="AK100" s="12" t="str">
        <f t="shared" si="39"/>
        <v>citit</v>
      </c>
      <c r="AL100" s="175">
        <f t="shared" si="45"/>
        <v>1684</v>
      </c>
      <c r="AM100" s="159" t="s">
        <v>917</v>
      </c>
      <c r="AN100" s="154">
        <f t="shared" si="46"/>
        <v>0</v>
      </c>
      <c r="AO100" s="14">
        <f t="shared" si="47"/>
        <v>0</v>
      </c>
      <c r="AP100" s="147">
        <f t="shared" si="48"/>
        <v>0</v>
      </c>
      <c r="AQ100" s="147">
        <f t="shared" si="49"/>
        <v>0</v>
      </c>
      <c r="AR100" s="16">
        <v>0</v>
      </c>
      <c r="AS100" s="16">
        <v>0</v>
      </c>
      <c r="AT100" s="1">
        <f t="shared" si="50"/>
        <v>0</v>
      </c>
      <c r="AU100" s="154">
        <f t="shared" si="51"/>
        <v>0</v>
      </c>
      <c r="AV100" s="154">
        <f t="shared" si="52"/>
        <v>0</v>
      </c>
      <c r="AW100" s="154">
        <f t="shared" si="53"/>
        <v>0</v>
      </c>
      <c r="AX100" s="154">
        <f t="shared" si="54"/>
        <v>0</v>
      </c>
      <c r="AY100" s="308" t="str">
        <f t="shared" si="55"/>
        <v>RTIM_1</v>
      </c>
      <c r="AZ100" s="308">
        <f t="shared" si="40"/>
        <v>985788</v>
      </c>
      <c r="BA100" s="306">
        <f>IFERROR(IF(_xlfn.NUMBERVALUE(RIGHT(B100,LEN(B100)-FIND(".",B100,1)))=COUNTIF('Contorizare in SDI'!$B:$B,LEFT(B100,FIND(".",B100,1)-2))-1,IF((COUNTIF('Contorizare in SDI'!$B:$B,LEFT(B100,FIND(".",B100,1)-2))-1)=1,VLOOKUP(LEFT(B100,FIND(".",B100,1)-2),$B$4:$AZ$68,45,FALSE),VLOOKUP(LEFT(B100,FIND(".",B100,1)-2),$B$4:$AZ$68,45,FALSE)-BB99),ROUNDUP(V100/VLOOKUP(LEFT(B100,FIND(".",B100,1)-2),$AY:$AZ,2,FALSE)*VLOOKUP(LEFT(B100,FIND(".",B100,1)-2),$B$4:$AZ$68,45,FALSE),0)),0)</f>
        <v>0</v>
      </c>
      <c r="BB100" s="306">
        <f t="shared" si="56"/>
        <v>0</v>
      </c>
      <c r="BC100" s="306">
        <f>IFERROR(IF(_xlfn.NUMBERVALUE(RIGHT(B100,LEN(B100)-FIND(".",B100,1)))=COUNTIF('Contorizare in SDI'!$B:$B,LEFT(B100,FIND(".",B100,1)-2))-1,IF((COUNTIF('Contorizare in SDI'!$B:$B,LEFT(B100,FIND(".",B100,1)-2))-1)=1,VLOOKUP(LEFT(B100,FIND(".",B100,1)-2),$B$4:$AZ$68,46,FALSE),VLOOKUP(LEFT(B100,FIND(".",B100,1)-2),$B$4:$AZ$68,46,FALSE)-BD99),ROUNDUP(V100/VLOOKUP(LEFT(B100,FIND(".",B100,1)-2),$AY:$AZ,2,FALSE)*VLOOKUP(LEFT(B100,FIND(".",B100,1)-2),$B$4:$AZ$68,46,FALSE),0)),0)</f>
        <v>0</v>
      </c>
      <c r="BD100" s="306">
        <f t="shared" si="57"/>
        <v>348</v>
      </c>
      <c r="BE100" s="306">
        <f>IFERROR(IF(_xlfn.NUMBERVALUE(RIGHT(B100,LEN(B100)-FIND(".",B100,1)))=COUNTIF('Contorizare in SDI'!$B:$B,LEFT(B100,FIND(".",B100,1)-2))-1,IF((COUNTIF('Contorizare in SDI'!$B:$B,LEFT(B100,FIND(".",B100,1)-2))-1)=1,VLOOKUP(LEFT(B100,FIND(".",B100,1)-2),$B$4:$AZ$68,47,FALSE),VLOOKUP(LEFT(B100,FIND(".",B100,1)-2),$B$4:$AZ$68,47,FALSE)-BF99),ROUNDUP(V100/VLOOKUP(LEFT(B100,FIND(".",B100,1)-2),$AY:$AZ,2,FALSE)*VLOOKUP(LEFT(B100,FIND(".",B100,1)-2),$B$4:$AZ$68,47,FALSE),0)),0)</f>
        <v>0</v>
      </c>
      <c r="BF100" s="306">
        <f t="shared" si="58"/>
        <v>125</v>
      </c>
      <c r="BG100" s="306">
        <f>IFERROR(IF(_xlfn.NUMBERVALUE(RIGHT(B100,LEN(B100)-FIND(".",B100,1)))=COUNTIF('Contorizare in SDI'!$B:$B,LEFT(B100,FIND(".",B100,1)-2))-1,IF((COUNTIF('Contorizare in SDI'!$B:$B,LEFT(B100,FIND(".",B100,1)-2))-1)=1,VLOOKUP(LEFT(B100,FIND(".",B100,1)-2),$B$4:$AZ$68,48,FALSE),VLOOKUP(LEFT(B100,FIND(".",B100,1)-2),$B$4:$AZ$68,48,FALSE)-BH99),ROUNDUP(V100/VLOOKUP(LEFT(B100,FIND(".",B100,1)-2),$AY:$AZ,2,FALSE)*VLOOKUP(LEFT(B100,FIND(".",B100,1)-2),$B$4:$AZ$68,48,FALSE),0)),0)</f>
        <v>0</v>
      </c>
      <c r="BH100" s="306">
        <f t="shared" si="59"/>
        <v>0</v>
      </c>
      <c r="BI100" s="306">
        <f>IFERROR(IF(_xlfn.NUMBERVALUE(RIGHT(B100,LEN(B100)-FIND(".",B100,1)))=COUNTIF('Contorizare in SDI'!$B:$B,LEFT(B100,FIND(".",B100,1)-2))-1,IF((COUNTIF('Contorizare in SDI'!$B:$B,LEFT(B100,FIND(".",B100,1)-2))-1)=1,VLOOKUP(LEFT(B100,FIND(".",B100,1)-2),$B$4:$AZ$68,49,FALSE),VLOOKUP(LEFT(B100,FIND(".",B100,1)-2),$B$4:$AZ$68,49,FALSE)-BJ99),ROUNDUP(V100/VLOOKUP(LEFT(B100,FIND(".",B100,1)-2),$AY:$AZ,2,FALSE)*VLOOKUP(LEFT(B100,FIND(".",B100,1)-2),$B$4:$AZ$68,49,FALSE),0)),0)</f>
        <v>0</v>
      </c>
      <c r="BJ100" s="306">
        <f t="shared" si="60"/>
        <v>0</v>
      </c>
      <c r="BP100" s="44">
        <f t="shared" si="61"/>
        <v>0</v>
      </c>
      <c r="BQ100" s="1">
        <v>0</v>
      </c>
      <c r="BR100" s="1">
        <v>0</v>
      </c>
      <c r="BS100" s="16">
        <f t="shared" si="62"/>
        <v>0</v>
      </c>
      <c r="BT100" s="16">
        <f t="shared" si="63"/>
        <v>0</v>
      </c>
      <c r="BU100" s="16">
        <f t="shared" si="64"/>
        <v>0</v>
      </c>
      <c r="BV100" s="16">
        <f t="shared" si="65"/>
        <v>0</v>
      </c>
      <c r="BX100" s="1" t="str">
        <f t="shared" si="32"/>
        <v/>
      </c>
      <c r="BY100" s="1">
        <f t="shared" si="33"/>
        <v>0</v>
      </c>
      <c r="BZ100" s="1">
        <f t="shared" si="66"/>
        <v>0</v>
      </c>
      <c r="CA100" s="1">
        <f t="shared" si="67"/>
        <v>0</v>
      </c>
      <c r="CB100" s="1">
        <f t="shared" si="68"/>
        <v>348</v>
      </c>
      <c r="CC100" s="1">
        <f t="shared" si="69"/>
        <v>125</v>
      </c>
      <c r="CD100" s="1">
        <f t="shared" si="70"/>
        <v>0</v>
      </c>
      <c r="CE100" s="1">
        <f t="shared" si="71"/>
        <v>0</v>
      </c>
      <c r="CR100" s="30" t="s">
        <v>505</v>
      </c>
      <c r="CS100" s="291">
        <v>109320</v>
      </c>
      <c r="CT100" s="291">
        <v>0</v>
      </c>
      <c r="CU100" s="291">
        <v>0</v>
      </c>
      <c r="CV100" s="291">
        <v>0</v>
      </c>
      <c r="CW100" s="29" t="s">
        <v>627</v>
      </c>
      <c r="CX100" s="312">
        <v>57663</v>
      </c>
      <c r="CY100" s="184">
        <v>924</v>
      </c>
      <c r="CZ100" s="88">
        <v>12665</v>
      </c>
      <c r="DA100" s="88">
        <v>232</v>
      </c>
      <c r="DB100" s="29" t="s">
        <v>684</v>
      </c>
      <c r="DC100" s="87">
        <v>0</v>
      </c>
      <c r="DD100" s="88">
        <v>66270</v>
      </c>
      <c r="DE100" s="88">
        <v>8</v>
      </c>
      <c r="DF100" s="88">
        <v>860</v>
      </c>
      <c r="DG100" s="88">
        <v>57663</v>
      </c>
      <c r="DH100" s="88">
        <v>65346</v>
      </c>
      <c r="DI100" s="321">
        <v>0</v>
      </c>
      <c r="DJ100" s="88">
        <v>889</v>
      </c>
    </row>
    <row r="101" spans="1:114" ht="17.25" thickTop="1" thickBot="1">
      <c r="A101" s="531">
        <f t="shared" si="41"/>
        <v>98</v>
      </c>
      <c r="B101" s="38" t="s">
        <v>599</v>
      </c>
      <c r="C101" s="17" t="s">
        <v>213</v>
      </c>
      <c r="D101" s="17" t="s">
        <v>927</v>
      </c>
      <c r="E101" s="142" t="str">
        <f t="shared" si="42"/>
        <v>RTIM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32</v>
      </c>
      <c r="M101" s="16">
        <v>32</v>
      </c>
      <c r="N101" s="12" t="s">
        <v>917</v>
      </c>
      <c r="O101" s="12" t="s">
        <v>1019</v>
      </c>
      <c r="P101" s="12" t="s">
        <v>917</v>
      </c>
      <c r="Q101" s="12" t="s">
        <v>917</v>
      </c>
      <c r="R101" s="12" t="s">
        <v>917</v>
      </c>
      <c r="S101" s="12" t="s">
        <v>1019</v>
      </c>
      <c r="T101" s="12" t="s">
        <v>917</v>
      </c>
      <c r="U101" s="12" t="s">
        <v>1019</v>
      </c>
      <c r="V101" s="22">
        <v>0</v>
      </c>
      <c r="W101" s="22">
        <v>0</v>
      </c>
      <c r="X101" s="22">
        <v>0</v>
      </c>
      <c r="Y101" s="22">
        <v>0</v>
      </c>
      <c r="Z101" s="171">
        <f t="shared" si="34"/>
        <v>0</v>
      </c>
      <c r="AA101" s="130" t="str">
        <f t="shared" si="35"/>
        <v>citit</v>
      </c>
      <c r="AB101" s="176">
        <f t="shared" si="43"/>
        <v>0</v>
      </c>
      <c r="AC101" s="12" t="s">
        <v>917</v>
      </c>
      <c r="AD101" s="12">
        <f t="shared" si="36"/>
        <v>0</v>
      </c>
      <c r="AE101" s="12">
        <f t="shared" si="36"/>
        <v>0</v>
      </c>
      <c r="AF101" s="12">
        <f t="shared" si="36"/>
        <v>0</v>
      </c>
      <c r="AG101" s="12" t="str">
        <f t="shared" si="37"/>
        <v>citit</v>
      </c>
      <c r="AH101" s="176">
        <f t="shared" si="44"/>
        <v>0</v>
      </c>
      <c r="AI101" s="12" t="s">
        <v>917</v>
      </c>
      <c r="AJ101" s="12">
        <f t="shared" si="38"/>
        <v>32</v>
      </c>
      <c r="AK101" s="12" t="str">
        <f t="shared" si="39"/>
        <v>citit</v>
      </c>
      <c r="AL101" s="175">
        <f t="shared" si="45"/>
        <v>32</v>
      </c>
      <c r="AM101" s="159" t="s">
        <v>917</v>
      </c>
      <c r="AN101" s="154">
        <f t="shared" si="46"/>
        <v>0</v>
      </c>
      <c r="AO101" s="14">
        <f t="shared" si="47"/>
        <v>0</v>
      </c>
      <c r="AP101" s="147">
        <f t="shared" si="48"/>
        <v>0</v>
      </c>
      <c r="AQ101" s="147">
        <f t="shared" si="49"/>
        <v>0</v>
      </c>
      <c r="AR101" s="16">
        <v>0</v>
      </c>
      <c r="AS101" s="16">
        <v>0</v>
      </c>
      <c r="AT101" s="1">
        <f t="shared" si="50"/>
        <v>0</v>
      </c>
      <c r="AU101" s="154">
        <f t="shared" si="51"/>
        <v>0</v>
      </c>
      <c r="AV101" s="154">
        <f t="shared" si="52"/>
        <v>0</v>
      </c>
      <c r="AW101" s="154">
        <f t="shared" si="53"/>
        <v>0</v>
      </c>
      <c r="AX101" s="154">
        <f t="shared" si="54"/>
        <v>0</v>
      </c>
      <c r="AY101" s="308" t="str">
        <f t="shared" si="55"/>
        <v>-</v>
      </c>
      <c r="AZ101" s="308">
        <f t="shared" si="40"/>
        <v>0</v>
      </c>
      <c r="BA101" s="306">
        <f>IFERROR(IF(_xlfn.NUMBERVALUE(RIGHT(B101,LEN(B101)-FIND(".",B101,1)))=COUNTIF('Contorizare in SDI'!$B:$B,LEFT(B101,FIND(".",B101,1)-1))-1,IF((COUNTIF('Contorizare in SDI'!$B:$B,LEFT(B101,FIND(".",B101,1)-1))-1)=1,VLOOKUP(LEFT(B101,FIND(".",B101,1)-1),$B$4:$AZ$68,45,FALSE),VLOOKUP(LEFT(B101,FIND(".",B101,1)-1),$B$4:$AZ$68,45,FALSE)-BB100),ROUNDUP(V101/VLOOKUP(LEFT(B101,FIND(".",B101,1)-1),$AY:$AZ,2,FALSE)*VLOOKUP(LEFT(B101,FIND(".",B101,1)-1),$B$4:$AZ$68,45,FALSE),0)),0)</f>
        <v>0</v>
      </c>
      <c r="BB101" s="306">
        <f t="shared" si="56"/>
        <v>0</v>
      </c>
      <c r="BC101" s="306">
        <f>IFERROR(IF(_xlfn.NUMBERVALUE(RIGHT(B101,LEN(B101)-FIND(".",B101,1)))=COUNTIF('Contorizare in SDI'!$B:$B,LEFT(B101,FIND(".",B101,1)-1))-1,IF((COUNTIF('Contorizare in SDI'!$B:$B,LEFT(B101,FIND(".",B101,1)-1))-1)=1,VLOOKUP(LEFT(B101,FIND(".",B101,1)-1),$B$4:$AZ$68,46,FALSE),VLOOKUP(LEFT(B101,FIND(".",B101,1)-1),$B$4:$AZ$68,46,FALSE)-BD100),ROUNDUP(V101/VLOOKUP(LEFT(B101,FIND(".",B101,1)-1),$AY:$AZ,2,FALSE)*VLOOKUP(LEFT(B101,FIND(".",B101,1)-1),$B$4:$AZ$68,46,FALSE),0)),0)</f>
        <v>0</v>
      </c>
      <c r="BD101" s="306">
        <f t="shared" si="57"/>
        <v>0</v>
      </c>
      <c r="BE101" s="306">
        <f>IFERROR(IF(_xlfn.NUMBERVALUE(RIGHT(B101,LEN(B101)-FIND(".",B101,1)))=COUNTIF('Contorizare in SDI'!$B:$B,LEFT(B101,FIND(".",B101,1)-1))-1,IF((COUNTIF('Contorizare in SDI'!$B:$B,LEFT(B101,FIND(".",B101,1)-1))-1)=1,VLOOKUP(LEFT(B101,FIND(".",B101,1)-1),$B$4:$AZ$68,47,FALSE),VLOOKUP(LEFT(B101,FIND(".",B101,1)-1),$B$4:$AZ$68,47,FALSE)-BF100),ROUNDUP(V101/VLOOKUP(LEFT(B101,FIND(".",B101,1)-1),$AY:$AZ,2,FALSE)*VLOOKUP(LEFT(B101,FIND(".",B101,1)-1),$B$4:$AZ$68,47,FALSE),0)),0)</f>
        <v>0</v>
      </c>
      <c r="BF101" s="306">
        <f t="shared" si="58"/>
        <v>0</v>
      </c>
      <c r="BG101" s="306">
        <f>IFERROR(IF(_xlfn.NUMBERVALUE(RIGHT(B101,LEN(B101)-FIND(".",B101,1)))=COUNTIF('Contorizare in SDI'!$B:$B,LEFT(B101,FIND(".",B101,1)-1))-1,IF((COUNTIF('Contorizare in SDI'!$B:$B,LEFT(B101,FIND(".",B101,1)-1))-1)=1,VLOOKUP(LEFT(B101,FIND(".",B101,1)-1),$B$4:$AZ$68,48,FALSE),VLOOKUP(LEFT(B101,FIND(".",B101,1)-1),$B$4:$AZ$68,48,FALSE)-BH100),ROUNDUP(V101/VLOOKUP(LEFT(B101,FIND(".",B101,1)-1),$AY:$AZ,2,FALSE)*VLOOKUP(LEFT(B101,FIND(".",B101,1)-1),$B$4:$AZ$68,48,FALSE),0)),0)</f>
        <v>0</v>
      </c>
      <c r="BH101" s="306">
        <f t="shared" si="59"/>
        <v>0</v>
      </c>
      <c r="BI101" s="306">
        <f>IFERROR(IF(_xlfn.NUMBERVALUE(RIGHT(B101,LEN(B101)-FIND(".",B101,1)))=COUNTIF('Contorizare in SDI'!$B:$B,LEFT(B101,FIND(".",B101,1)-1))-1,IF((COUNTIF('Contorizare in SDI'!$B:$B,LEFT(B101,FIND(".",B101,1)-1))-1)=1,VLOOKUP(LEFT(B101,FIND(".",B101,1)-1),$B$4:$AZ$68,49,FALSE),VLOOKUP(LEFT(B101,FIND(".",B101,1)-1),$B$4:$AZ$68,49,FALSE)-BJ100),ROUNDUP(V101/VLOOKUP(LEFT(B101,FIND(".",B101,1)-1),$AY:$AZ,2,FALSE)*VLOOKUP(LEFT(B101,FIND(".",B101,1)-1),$B$4:$AZ$68,49,FALSE),0)),0)</f>
        <v>0</v>
      </c>
      <c r="BJ101" s="306">
        <f t="shared" si="60"/>
        <v>0</v>
      </c>
      <c r="BP101" s="44">
        <f t="shared" si="61"/>
        <v>0</v>
      </c>
      <c r="BQ101" s="1">
        <v>0</v>
      </c>
      <c r="BR101" s="1">
        <v>0</v>
      </c>
      <c r="BS101" s="16">
        <f t="shared" si="62"/>
        <v>0</v>
      </c>
      <c r="BT101" s="16">
        <f t="shared" si="63"/>
        <v>0</v>
      </c>
      <c r="BU101" s="16">
        <f t="shared" si="64"/>
        <v>0</v>
      </c>
      <c r="BV101" s="16">
        <f t="shared" si="65"/>
        <v>0</v>
      </c>
      <c r="BX101" s="1" t="str">
        <f t="shared" si="32"/>
        <v/>
      </c>
      <c r="BY101" s="1">
        <f t="shared" si="33"/>
        <v>0</v>
      </c>
      <c r="BZ101" s="1">
        <f t="shared" si="66"/>
        <v>0</v>
      </c>
      <c r="CA101" s="1">
        <f t="shared" si="67"/>
        <v>0</v>
      </c>
      <c r="CB101" s="1">
        <f t="shared" si="68"/>
        <v>348</v>
      </c>
      <c r="CC101" s="1">
        <f t="shared" si="69"/>
        <v>125</v>
      </c>
      <c r="CD101" s="1">
        <f t="shared" si="70"/>
        <v>0</v>
      </c>
      <c r="CE101" s="1">
        <f t="shared" si="71"/>
        <v>0</v>
      </c>
      <c r="CR101" s="93" t="s">
        <v>505</v>
      </c>
      <c r="CS101" s="291">
        <v>109320</v>
      </c>
      <c r="CT101" s="291">
        <v>0</v>
      </c>
      <c r="CU101" s="291">
        <v>0</v>
      </c>
      <c r="CV101" s="291">
        <v>0</v>
      </c>
      <c r="CW101" s="94" t="s">
        <v>978</v>
      </c>
      <c r="CX101" s="312">
        <v>1640</v>
      </c>
      <c r="CY101" s="184">
        <v>0</v>
      </c>
      <c r="CZ101" s="88">
        <v>0</v>
      </c>
      <c r="DA101" s="88">
        <v>0</v>
      </c>
      <c r="DB101" s="94" t="s">
        <v>69</v>
      </c>
      <c r="DC101" s="87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321">
        <v>0</v>
      </c>
      <c r="DJ101" s="88">
        <v>0</v>
      </c>
    </row>
    <row r="102" spans="1:114" ht="17.25" thickTop="1" thickBot="1">
      <c r="A102" s="531">
        <f t="shared" si="41"/>
        <v>99</v>
      </c>
      <c r="B102" s="38" t="s">
        <v>600</v>
      </c>
      <c r="C102" s="17" t="s">
        <v>214</v>
      </c>
      <c r="D102" s="17" t="s">
        <v>928</v>
      </c>
      <c r="E102" s="142" t="str">
        <f t="shared" si="42"/>
        <v>RTIM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32</v>
      </c>
      <c r="M102" s="16">
        <v>32</v>
      </c>
      <c r="N102" s="12" t="s">
        <v>917</v>
      </c>
      <c r="O102" s="12" t="s">
        <v>1019</v>
      </c>
      <c r="P102" s="12" t="s">
        <v>917</v>
      </c>
      <c r="Q102" s="12" t="s">
        <v>917</v>
      </c>
      <c r="R102" s="12" t="s">
        <v>917</v>
      </c>
      <c r="S102" s="12" t="s">
        <v>1019</v>
      </c>
      <c r="T102" s="12" t="s">
        <v>917</v>
      </c>
      <c r="U102" s="12" t="s">
        <v>1019</v>
      </c>
      <c r="V102" s="22">
        <v>0</v>
      </c>
      <c r="W102" s="22">
        <v>0</v>
      </c>
      <c r="X102" s="22">
        <v>0</v>
      </c>
      <c r="Y102" s="22">
        <v>0</v>
      </c>
      <c r="Z102" s="171">
        <f t="shared" si="34"/>
        <v>0</v>
      </c>
      <c r="AA102" s="130" t="str">
        <f t="shared" si="35"/>
        <v>citit</v>
      </c>
      <c r="AB102" s="176">
        <f t="shared" si="43"/>
        <v>0</v>
      </c>
      <c r="AC102" s="12" t="s">
        <v>917</v>
      </c>
      <c r="AD102" s="12">
        <f t="shared" ref="AD102:AF133" si="101">H102</f>
        <v>0</v>
      </c>
      <c r="AE102" s="12">
        <f t="shared" si="101"/>
        <v>0</v>
      </c>
      <c r="AF102" s="12">
        <f t="shared" si="101"/>
        <v>0</v>
      </c>
      <c r="AG102" s="12" t="str">
        <f t="shared" si="37"/>
        <v>citit</v>
      </c>
      <c r="AH102" s="176">
        <f t="shared" si="44"/>
        <v>0</v>
      </c>
      <c r="AI102" s="12" t="s">
        <v>917</v>
      </c>
      <c r="AJ102" s="12">
        <f t="shared" si="38"/>
        <v>32</v>
      </c>
      <c r="AK102" s="12" t="str">
        <f t="shared" si="39"/>
        <v>citit</v>
      </c>
      <c r="AL102" s="175">
        <f t="shared" si="45"/>
        <v>32</v>
      </c>
      <c r="AM102" s="159" t="s">
        <v>917</v>
      </c>
      <c r="AN102" s="154">
        <f t="shared" si="46"/>
        <v>0</v>
      </c>
      <c r="AO102" s="14">
        <f t="shared" si="47"/>
        <v>0</v>
      </c>
      <c r="AP102" s="147">
        <f t="shared" si="48"/>
        <v>0</v>
      </c>
      <c r="AQ102" s="147">
        <f t="shared" si="49"/>
        <v>0</v>
      </c>
      <c r="AR102" s="16">
        <v>0</v>
      </c>
      <c r="AS102" s="16">
        <v>0</v>
      </c>
      <c r="AT102" s="1">
        <f t="shared" si="50"/>
        <v>0</v>
      </c>
      <c r="AU102" s="154">
        <f t="shared" si="51"/>
        <v>0</v>
      </c>
      <c r="AV102" s="154">
        <f t="shared" si="52"/>
        <v>0</v>
      </c>
      <c r="AW102" s="154">
        <f t="shared" si="53"/>
        <v>0</v>
      </c>
      <c r="AX102" s="154">
        <f t="shared" si="54"/>
        <v>0</v>
      </c>
      <c r="AY102" s="308" t="str">
        <f t="shared" si="55"/>
        <v>-</v>
      </c>
      <c r="AZ102" s="308">
        <f t="shared" si="40"/>
        <v>0</v>
      </c>
      <c r="BA102" s="306">
        <f>IFERROR(IF(_xlfn.NUMBERVALUE(RIGHT(B102,LEN(B102)-FIND(".",B102,1)))=COUNTIF('Contorizare in SDI'!$B:$B,LEFT(B102,FIND(".",B102,1)-1))-1,IF((COUNTIF('Contorizare in SDI'!$B:$B,LEFT(B102,FIND(".",B102,1)-1))-1)=1,VLOOKUP(LEFT(B102,FIND(".",B102,1)-1),$B$4:$AZ$68,45,FALSE),VLOOKUP(LEFT(B102,FIND(".",B102,1)-1),$B$4:$AZ$68,45,FALSE)-BB101),ROUNDUP(V102/VLOOKUP(LEFT(B102,FIND(".",B102,1)-1),$AY:$AZ,2,FALSE)*VLOOKUP(LEFT(B102,FIND(".",B102,1)-1),$B$4:$AZ$68,45,FALSE),0)),0)</f>
        <v>0</v>
      </c>
      <c r="BB102" s="306">
        <f t="shared" si="56"/>
        <v>0</v>
      </c>
      <c r="BC102" s="306">
        <f>IFERROR(IF(_xlfn.NUMBERVALUE(RIGHT(B102,LEN(B102)-FIND(".",B102,1)))=COUNTIF('Contorizare in SDI'!$B:$B,LEFT(B102,FIND(".",B102,1)-1))-1,IF((COUNTIF('Contorizare in SDI'!$B:$B,LEFT(B102,FIND(".",B102,1)-1))-1)=1,VLOOKUP(LEFT(B102,FIND(".",B102,1)-1),$B$4:$AZ$68,46,FALSE),VLOOKUP(LEFT(B102,FIND(".",B102,1)-1),$B$4:$AZ$68,46,FALSE)-BD101),ROUNDUP(V102/VLOOKUP(LEFT(B102,FIND(".",B102,1)-1),$AY:$AZ,2,FALSE)*VLOOKUP(LEFT(B102,FIND(".",B102,1)-1),$B$4:$AZ$68,46,FALSE),0)),0)</f>
        <v>0</v>
      </c>
      <c r="BD102" s="306">
        <f t="shared" si="57"/>
        <v>0</v>
      </c>
      <c r="BE102" s="306">
        <f>IFERROR(IF(_xlfn.NUMBERVALUE(RIGHT(B102,LEN(B102)-FIND(".",B102,1)))=COUNTIF('Contorizare in SDI'!$B:$B,LEFT(B102,FIND(".",B102,1)-1))-1,IF((COUNTIF('Contorizare in SDI'!$B:$B,LEFT(B102,FIND(".",B102,1)-1))-1)=1,VLOOKUP(LEFT(B102,FIND(".",B102,1)-1),$B$4:$AZ$68,47,FALSE),VLOOKUP(LEFT(B102,FIND(".",B102,1)-1),$B$4:$AZ$68,47,FALSE)-BF101),ROUNDUP(V102/VLOOKUP(LEFT(B102,FIND(".",B102,1)-1),$AY:$AZ,2,FALSE)*VLOOKUP(LEFT(B102,FIND(".",B102,1)-1),$B$4:$AZ$68,47,FALSE),0)),0)</f>
        <v>0</v>
      </c>
      <c r="BF102" s="306">
        <f t="shared" si="58"/>
        <v>0</v>
      </c>
      <c r="BG102" s="306">
        <f>IFERROR(IF(_xlfn.NUMBERVALUE(RIGHT(B102,LEN(B102)-FIND(".",B102,1)))=COUNTIF('Contorizare in SDI'!$B:$B,LEFT(B102,FIND(".",B102,1)-1))-1,IF((COUNTIF('Contorizare in SDI'!$B:$B,LEFT(B102,FIND(".",B102,1)-1))-1)=1,VLOOKUP(LEFT(B102,FIND(".",B102,1)-1),$B$4:$AZ$68,48,FALSE),VLOOKUP(LEFT(B102,FIND(".",B102,1)-1),$B$4:$AZ$68,48,FALSE)-BH101),ROUNDUP(V102/VLOOKUP(LEFT(B102,FIND(".",B102,1)-1),$AY:$AZ,2,FALSE)*VLOOKUP(LEFT(B102,FIND(".",B102,1)-1),$B$4:$AZ$68,48,FALSE),0)),0)</f>
        <v>0</v>
      </c>
      <c r="BH102" s="306">
        <f t="shared" si="59"/>
        <v>0</v>
      </c>
      <c r="BI102" s="306">
        <f>IFERROR(IF(_xlfn.NUMBERVALUE(RIGHT(B102,LEN(B102)-FIND(".",B102,1)))=COUNTIF('Contorizare in SDI'!$B:$B,LEFT(B102,FIND(".",B102,1)-1))-1,IF((COUNTIF('Contorizare in SDI'!$B:$B,LEFT(B102,FIND(".",B102,1)-1))-1)=1,VLOOKUP(LEFT(B102,FIND(".",B102,1)-1),$B$4:$AZ$68,49,FALSE),VLOOKUP(LEFT(B102,FIND(".",B102,1)-1),$B$4:$AZ$68,49,FALSE)-BJ101),ROUNDUP(V102/VLOOKUP(LEFT(B102,FIND(".",B102,1)-1),$AY:$AZ,2,FALSE)*VLOOKUP(LEFT(B102,FIND(".",B102,1)-1),$B$4:$AZ$68,49,FALSE),0)),0)</f>
        <v>0</v>
      </c>
      <c r="BJ102" s="306">
        <f t="shared" si="60"/>
        <v>0</v>
      </c>
      <c r="BP102" s="44">
        <f t="shared" si="61"/>
        <v>0</v>
      </c>
      <c r="BQ102" s="1">
        <v>0</v>
      </c>
      <c r="BR102" s="1">
        <v>0</v>
      </c>
      <c r="BS102" s="16">
        <f t="shared" ref="BS102:BS133" si="102">AU102</f>
        <v>0</v>
      </c>
      <c r="BT102" s="16">
        <f t="shared" ref="BT102:BT133" si="103">AV102</f>
        <v>0</v>
      </c>
      <c r="BU102" s="16">
        <f t="shared" ref="BU102:BU133" si="104">AW102</f>
        <v>0</v>
      </c>
      <c r="BV102" s="16">
        <f t="shared" ref="BV102:BV133" si="105">AX102</f>
        <v>0</v>
      </c>
      <c r="BX102" s="1" t="str">
        <f t="shared" si="32"/>
        <v/>
      </c>
      <c r="BY102" s="1">
        <f t="shared" si="33"/>
        <v>0</v>
      </c>
      <c r="BZ102" s="1">
        <f t="shared" si="66"/>
        <v>0</v>
      </c>
      <c r="CA102" s="1">
        <f t="shared" si="67"/>
        <v>0</v>
      </c>
      <c r="CB102" s="1">
        <f t="shared" si="68"/>
        <v>348</v>
      </c>
      <c r="CC102" s="1">
        <f t="shared" si="69"/>
        <v>125</v>
      </c>
      <c r="CD102" s="1">
        <f t="shared" si="70"/>
        <v>0</v>
      </c>
      <c r="CE102" s="1">
        <f t="shared" si="71"/>
        <v>0</v>
      </c>
      <c r="CR102" s="86" t="s">
        <v>547</v>
      </c>
      <c r="CS102" s="291">
        <v>694639</v>
      </c>
      <c r="CT102" s="291">
        <v>0</v>
      </c>
      <c r="CU102" s="291">
        <v>0</v>
      </c>
      <c r="CV102" s="291">
        <v>0</v>
      </c>
      <c r="CW102" s="89" t="s">
        <v>628</v>
      </c>
      <c r="CX102" s="312">
        <v>341735</v>
      </c>
      <c r="CY102" s="184">
        <v>41</v>
      </c>
      <c r="CZ102" s="88">
        <v>32737</v>
      </c>
      <c r="DA102" s="88">
        <v>9945</v>
      </c>
      <c r="DB102" s="89" t="s">
        <v>685</v>
      </c>
      <c r="DC102" s="87">
        <v>0</v>
      </c>
      <c r="DD102" s="88">
        <v>82005</v>
      </c>
      <c r="DE102" s="88">
        <v>286</v>
      </c>
      <c r="DF102" s="88">
        <v>792</v>
      </c>
      <c r="DG102" s="88">
        <v>341735</v>
      </c>
      <c r="DH102" s="88">
        <v>81964</v>
      </c>
      <c r="DI102" s="323">
        <v>482</v>
      </c>
      <c r="DJ102" s="88">
        <v>5127</v>
      </c>
    </row>
    <row r="103" spans="1:114" ht="17.25" thickTop="1" thickBot="1">
      <c r="A103" s="531">
        <f t="shared" si="41"/>
        <v>100</v>
      </c>
      <c r="B103" s="38" t="s">
        <v>601</v>
      </c>
      <c r="C103" s="17" t="s">
        <v>215</v>
      </c>
      <c r="D103" s="17" t="s">
        <v>929</v>
      </c>
      <c r="E103" s="142" t="str">
        <f t="shared" si="42"/>
        <v>RTIM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32</v>
      </c>
      <c r="M103" s="16">
        <v>32</v>
      </c>
      <c r="N103" s="12" t="s">
        <v>917</v>
      </c>
      <c r="O103" s="12" t="s">
        <v>1019</v>
      </c>
      <c r="P103" s="12" t="s">
        <v>917</v>
      </c>
      <c r="Q103" s="12" t="s">
        <v>917</v>
      </c>
      <c r="R103" s="12" t="s">
        <v>917</v>
      </c>
      <c r="S103" s="12" t="s">
        <v>1019</v>
      </c>
      <c r="T103" s="12" t="s">
        <v>917</v>
      </c>
      <c r="U103" s="12" t="s">
        <v>1019</v>
      </c>
      <c r="V103" s="22">
        <v>0</v>
      </c>
      <c r="W103" s="22">
        <v>0</v>
      </c>
      <c r="X103" s="22">
        <v>0</v>
      </c>
      <c r="Y103" s="22">
        <v>0</v>
      </c>
      <c r="Z103" s="171">
        <f t="shared" si="34"/>
        <v>0</v>
      </c>
      <c r="AA103" s="130" t="str">
        <f t="shared" si="35"/>
        <v>citit</v>
      </c>
      <c r="AB103" s="176">
        <f t="shared" si="43"/>
        <v>0</v>
      </c>
      <c r="AC103" s="12" t="s">
        <v>917</v>
      </c>
      <c r="AD103" s="12">
        <f t="shared" si="101"/>
        <v>0</v>
      </c>
      <c r="AE103" s="12">
        <f t="shared" si="101"/>
        <v>0</v>
      </c>
      <c r="AF103" s="12">
        <f t="shared" si="101"/>
        <v>0</v>
      </c>
      <c r="AG103" s="12" t="str">
        <f t="shared" si="37"/>
        <v>citit</v>
      </c>
      <c r="AH103" s="176">
        <f t="shared" si="44"/>
        <v>0</v>
      </c>
      <c r="AI103" s="12" t="s">
        <v>917</v>
      </c>
      <c r="AJ103" s="12">
        <f t="shared" si="38"/>
        <v>32</v>
      </c>
      <c r="AK103" s="12" t="str">
        <f t="shared" si="39"/>
        <v>citit</v>
      </c>
      <c r="AL103" s="175">
        <f t="shared" si="45"/>
        <v>32</v>
      </c>
      <c r="AM103" s="159" t="s">
        <v>917</v>
      </c>
      <c r="AN103" s="154">
        <f t="shared" si="46"/>
        <v>0</v>
      </c>
      <c r="AO103" s="14">
        <f t="shared" si="47"/>
        <v>0</v>
      </c>
      <c r="AP103" s="147">
        <f t="shared" si="48"/>
        <v>0</v>
      </c>
      <c r="AQ103" s="147">
        <f t="shared" si="49"/>
        <v>0</v>
      </c>
      <c r="AR103" s="16">
        <v>0</v>
      </c>
      <c r="AS103" s="16">
        <v>0</v>
      </c>
      <c r="AT103" s="1">
        <f t="shared" si="50"/>
        <v>0</v>
      </c>
      <c r="AU103" s="154">
        <f t="shared" si="51"/>
        <v>0</v>
      </c>
      <c r="AV103" s="154">
        <f t="shared" si="52"/>
        <v>0</v>
      </c>
      <c r="AW103" s="154">
        <f t="shared" si="53"/>
        <v>0</v>
      </c>
      <c r="AX103" s="154">
        <f t="shared" si="54"/>
        <v>0</v>
      </c>
      <c r="AY103" s="308" t="str">
        <f t="shared" si="55"/>
        <v>-</v>
      </c>
      <c r="AZ103" s="308">
        <f t="shared" si="40"/>
        <v>0</v>
      </c>
      <c r="BA103" s="306">
        <f>IFERROR(IF(_xlfn.NUMBERVALUE(RIGHT(B103,LEN(B103)-FIND(".",B103,1)))=COUNTIF('Contorizare in SDI'!$B:$B,LEFT(B103,FIND(".",B103,1)-1))-1,IF((COUNTIF('Contorizare in SDI'!$B:$B,LEFT(B103,FIND(".",B103,1)-1))-1)=1,VLOOKUP(LEFT(B103,FIND(".",B103,1)-1),$B$4:$AZ$68,45,FALSE),VLOOKUP(LEFT(B103,FIND(".",B103,1)-1),$B$4:$AZ$68,45,FALSE)-BB102),ROUNDUP(V103/VLOOKUP(LEFT(B103,FIND(".",B103,1)-1),$AY:$AZ,2,FALSE)*VLOOKUP(LEFT(B103,FIND(".",B103,1)-1),$B$4:$AZ$68,45,FALSE),0)),0)</f>
        <v>0</v>
      </c>
      <c r="BB103" s="306">
        <f t="shared" si="56"/>
        <v>0</v>
      </c>
      <c r="BC103" s="306">
        <f>IFERROR(IF(_xlfn.NUMBERVALUE(RIGHT(B103,LEN(B103)-FIND(".",B103,1)))=COUNTIF('Contorizare in SDI'!$B:$B,LEFT(B103,FIND(".",B103,1)-1))-1,IF((COUNTIF('Contorizare in SDI'!$B:$B,LEFT(B103,FIND(".",B103,1)-1))-1)=1,VLOOKUP(LEFT(B103,FIND(".",B103,1)-1),$B$4:$AZ$68,46,FALSE),VLOOKUP(LEFT(B103,FIND(".",B103,1)-1),$B$4:$AZ$68,46,FALSE)-BD102),ROUNDUP(V103/VLOOKUP(LEFT(B103,FIND(".",B103,1)-1),$AY:$AZ,2,FALSE)*VLOOKUP(LEFT(B103,FIND(".",B103,1)-1),$B$4:$AZ$68,46,FALSE),0)),0)</f>
        <v>0</v>
      </c>
      <c r="BD103" s="306">
        <f t="shared" si="57"/>
        <v>0</v>
      </c>
      <c r="BE103" s="306">
        <f>IFERROR(IF(_xlfn.NUMBERVALUE(RIGHT(B103,LEN(B103)-FIND(".",B103,1)))=COUNTIF('Contorizare in SDI'!$B:$B,LEFT(B103,FIND(".",B103,1)-1))-1,IF((COUNTIF('Contorizare in SDI'!$B:$B,LEFT(B103,FIND(".",B103,1)-1))-1)=1,VLOOKUP(LEFT(B103,FIND(".",B103,1)-1),$B$4:$AZ$68,47,FALSE),VLOOKUP(LEFT(B103,FIND(".",B103,1)-1),$B$4:$AZ$68,47,FALSE)-BF102),ROUNDUP(V103/VLOOKUP(LEFT(B103,FIND(".",B103,1)-1),$AY:$AZ,2,FALSE)*VLOOKUP(LEFT(B103,FIND(".",B103,1)-1),$B$4:$AZ$68,47,FALSE),0)),0)</f>
        <v>0</v>
      </c>
      <c r="BF103" s="306">
        <f t="shared" si="58"/>
        <v>0</v>
      </c>
      <c r="BG103" s="306">
        <f>IFERROR(IF(_xlfn.NUMBERVALUE(RIGHT(B103,LEN(B103)-FIND(".",B103,1)))=COUNTIF('Contorizare in SDI'!$B:$B,LEFT(B103,FIND(".",B103,1)-1))-1,IF((COUNTIF('Contorizare in SDI'!$B:$B,LEFT(B103,FIND(".",B103,1)-1))-1)=1,VLOOKUP(LEFT(B103,FIND(".",B103,1)-1),$B$4:$AZ$68,48,FALSE),VLOOKUP(LEFT(B103,FIND(".",B103,1)-1),$B$4:$AZ$68,48,FALSE)-BH102),ROUNDUP(V103/VLOOKUP(LEFT(B103,FIND(".",B103,1)-1),$AY:$AZ,2,FALSE)*VLOOKUP(LEFT(B103,FIND(".",B103,1)-1),$B$4:$AZ$68,48,FALSE),0)),0)</f>
        <v>0</v>
      </c>
      <c r="BH103" s="306">
        <f t="shared" si="59"/>
        <v>0</v>
      </c>
      <c r="BI103" s="306">
        <f>IFERROR(IF(_xlfn.NUMBERVALUE(RIGHT(B103,LEN(B103)-FIND(".",B103,1)))=COUNTIF('Contorizare in SDI'!$B:$B,LEFT(B103,FIND(".",B103,1)-1))-1,IF((COUNTIF('Contorizare in SDI'!$B:$B,LEFT(B103,FIND(".",B103,1)-1))-1)=1,VLOOKUP(LEFT(B103,FIND(".",B103,1)-1),$B$4:$AZ$68,49,FALSE),VLOOKUP(LEFT(B103,FIND(".",B103,1)-1),$B$4:$AZ$68,49,FALSE)-BJ102),ROUNDUP(V103/VLOOKUP(LEFT(B103,FIND(".",B103,1)-1),$AY:$AZ,2,FALSE)*VLOOKUP(LEFT(B103,FIND(".",B103,1)-1),$B$4:$AZ$68,49,FALSE),0)),0)</f>
        <v>0</v>
      </c>
      <c r="BJ103" s="306">
        <f t="shared" si="60"/>
        <v>0</v>
      </c>
      <c r="BP103" s="44">
        <f t="shared" si="61"/>
        <v>0</v>
      </c>
      <c r="BQ103" s="1">
        <v>0</v>
      </c>
      <c r="BR103" s="1">
        <v>0</v>
      </c>
      <c r="BS103" s="16">
        <f t="shared" si="102"/>
        <v>0</v>
      </c>
      <c r="BT103" s="16">
        <f t="shared" si="103"/>
        <v>0</v>
      </c>
      <c r="BU103" s="16">
        <f t="shared" si="104"/>
        <v>0</v>
      </c>
      <c r="BV103" s="16">
        <f t="shared" si="105"/>
        <v>0</v>
      </c>
      <c r="BX103" s="1" t="str">
        <f t="shared" si="32"/>
        <v/>
      </c>
      <c r="BY103" s="1">
        <f t="shared" si="33"/>
        <v>0</v>
      </c>
      <c r="BZ103" s="1">
        <f t="shared" si="66"/>
        <v>0</v>
      </c>
      <c r="CA103" s="1">
        <f t="shared" si="67"/>
        <v>0</v>
      </c>
      <c r="CB103" s="1">
        <f t="shared" si="68"/>
        <v>348</v>
      </c>
      <c r="CC103" s="1">
        <f t="shared" si="69"/>
        <v>125</v>
      </c>
      <c r="CD103" s="1">
        <f t="shared" si="70"/>
        <v>0</v>
      </c>
      <c r="CE103" s="1">
        <f t="shared" si="71"/>
        <v>0</v>
      </c>
      <c r="CR103" s="30" t="s">
        <v>547</v>
      </c>
      <c r="CS103" s="291">
        <v>694639</v>
      </c>
      <c r="CT103" s="291">
        <v>0</v>
      </c>
      <c r="CU103" s="291">
        <v>0</v>
      </c>
      <c r="CV103" s="291">
        <v>0</v>
      </c>
      <c r="CW103" s="29" t="s">
        <v>629</v>
      </c>
      <c r="CX103" s="312">
        <v>283280</v>
      </c>
      <c r="CY103" s="184">
        <v>482</v>
      </c>
      <c r="CZ103" s="88">
        <v>30125</v>
      </c>
      <c r="DA103" s="88">
        <v>2064</v>
      </c>
      <c r="DB103" s="29" t="s">
        <v>686</v>
      </c>
      <c r="DC103" s="87">
        <v>0</v>
      </c>
      <c r="DD103" s="88">
        <v>139337</v>
      </c>
      <c r="DE103" s="88">
        <v>407</v>
      </c>
      <c r="DF103" s="88">
        <v>1197</v>
      </c>
      <c r="DG103" s="88">
        <v>283280</v>
      </c>
      <c r="DH103" s="88">
        <v>138855</v>
      </c>
      <c r="DI103" s="322">
        <v>86727</v>
      </c>
      <c r="DJ103" s="88">
        <v>4250</v>
      </c>
    </row>
    <row r="104" spans="1:114" ht="17.25" thickTop="1" thickBot="1">
      <c r="A104" s="531">
        <f t="shared" si="41"/>
        <v>101</v>
      </c>
      <c r="B104" s="38" t="s">
        <v>602</v>
      </c>
      <c r="C104" s="17" t="s">
        <v>216</v>
      </c>
      <c r="D104" s="17" t="s">
        <v>930</v>
      </c>
      <c r="E104" s="142" t="str">
        <f t="shared" si="42"/>
        <v>RTIM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32</v>
      </c>
      <c r="M104" s="16">
        <v>32</v>
      </c>
      <c r="N104" s="12" t="s">
        <v>917</v>
      </c>
      <c r="O104" s="12" t="s">
        <v>1019</v>
      </c>
      <c r="P104" s="12" t="s">
        <v>917</v>
      </c>
      <c r="Q104" s="12" t="s">
        <v>917</v>
      </c>
      <c r="R104" s="12" t="s">
        <v>917</v>
      </c>
      <c r="S104" s="12" t="s">
        <v>1019</v>
      </c>
      <c r="T104" s="12" t="s">
        <v>917</v>
      </c>
      <c r="U104" s="12" t="s">
        <v>1019</v>
      </c>
      <c r="V104" s="22">
        <v>0</v>
      </c>
      <c r="W104" s="22">
        <v>0</v>
      </c>
      <c r="X104" s="22">
        <v>0</v>
      </c>
      <c r="Y104" s="22">
        <v>0</v>
      </c>
      <c r="Z104" s="171">
        <f t="shared" si="34"/>
        <v>0</v>
      </c>
      <c r="AA104" s="130" t="str">
        <f t="shared" si="35"/>
        <v>citit</v>
      </c>
      <c r="AB104" s="176">
        <f t="shared" si="43"/>
        <v>0</v>
      </c>
      <c r="AC104" s="12" t="s">
        <v>917</v>
      </c>
      <c r="AD104" s="12">
        <f t="shared" si="101"/>
        <v>0</v>
      </c>
      <c r="AE104" s="12">
        <f t="shared" si="101"/>
        <v>0</v>
      </c>
      <c r="AF104" s="12">
        <f t="shared" si="101"/>
        <v>0</v>
      </c>
      <c r="AG104" s="12" t="str">
        <f t="shared" si="37"/>
        <v>citit</v>
      </c>
      <c r="AH104" s="176">
        <f t="shared" si="44"/>
        <v>0</v>
      </c>
      <c r="AI104" s="12" t="s">
        <v>917</v>
      </c>
      <c r="AJ104" s="12">
        <f t="shared" si="38"/>
        <v>32</v>
      </c>
      <c r="AK104" s="12" t="str">
        <f t="shared" si="39"/>
        <v>citit</v>
      </c>
      <c r="AL104" s="175">
        <f t="shared" si="45"/>
        <v>32</v>
      </c>
      <c r="AM104" s="159" t="s">
        <v>917</v>
      </c>
      <c r="AN104" s="154">
        <f t="shared" si="46"/>
        <v>0</v>
      </c>
      <c r="AO104" s="14">
        <f t="shared" si="47"/>
        <v>0</v>
      </c>
      <c r="AP104" s="147">
        <f t="shared" si="48"/>
        <v>0</v>
      </c>
      <c r="AQ104" s="147">
        <f t="shared" si="49"/>
        <v>0</v>
      </c>
      <c r="AR104" s="16">
        <v>0</v>
      </c>
      <c r="AS104" s="16">
        <v>0</v>
      </c>
      <c r="AT104" s="1">
        <f t="shared" si="50"/>
        <v>0</v>
      </c>
      <c r="AU104" s="154">
        <f t="shared" si="51"/>
        <v>0</v>
      </c>
      <c r="AV104" s="154">
        <f t="shared" si="52"/>
        <v>0</v>
      </c>
      <c r="AW104" s="154">
        <f t="shared" si="53"/>
        <v>0</v>
      </c>
      <c r="AX104" s="154">
        <f t="shared" si="54"/>
        <v>0</v>
      </c>
      <c r="AY104" s="308" t="str">
        <f t="shared" si="55"/>
        <v>-</v>
      </c>
      <c r="AZ104" s="308">
        <f t="shared" si="40"/>
        <v>0</v>
      </c>
      <c r="BA104" s="306">
        <f>IFERROR(IF(_xlfn.NUMBERVALUE(RIGHT(B104,LEN(B104)-FIND(".",B104,1)))=COUNTIF('Contorizare in SDI'!$B:$B,LEFT(B104,FIND(".",B104,1)-1))-1,IF((COUNTIF('Contorizare in SDI'!$B:$B,LEFT(B104,FIND(".",B104,1)-1))-1)=1,VLOOKUP(LEFT(B104,FIND(".",B104,1)-1),$B$4:$AZ$68,45,FALSE),VLOOKUP(LEFT(B104,FIND(".",B104,1)-1),$B$4:$AZ$68,45,FALSE)-BB103),ROUNDUP(V104/VLOOKUP(LEFT(B104,FIND(".",B104,1)-1),$AY:$AZ,2,FALSE)*VLOOKUP(LEFT(B104,FIND(".",B104,1)-1),$B$4:$AZ$68,45,FALSE),0)),0)</f>
        <v>0</v>
      </c>
      <c r="BB104" s="306">
        <f t="shared" si="56"/>
        <v>0</v>
      </c>
      <c r="BC104" s="306">
        <f>IFERROR(IF(_xlfn.NUMBERVALUE(RIGHT(B104,LEN(B104)-FIND(".",B104,1)))=COUNTIF('Contorizare in SDI'!$B:$B,LEFT(B104,FIND(".",B104,1)-1))-1,IF((COUNTIF('Contorizare in SDI'!$B:$B,LEFT(B104,FIND(".",B104,1)-1))-1)=1,VLOOKUP(LEFT(B104,FIND(".",B104,1)-1),$B$4:$AZ$68,46,FALSE),VLOOKUP(LEFT(B104,FIND(".",B104,1)-1),$B$4:$AZ$68,46,FALSE)-BD103),ROUNDUP(V104/VLOOKUP(LEFT(B104,FIND(".",B104,1)-1),$AY:$AZ,2,FALSE)*VLOOKUP(LEFT(B104,FIND(".",B104,1)-1),$B$4:$AZ$68,46,FALSE),0)),0)</f>
        <v>0</v>
      </c>
      <c r="BD104" s="306">
        <f t="shared" si="57"/>
        <v>0</v>
      </c>
      <c r="BE104" s="306">
        <f>IFERROR(IF(_xlfn.NUMBERVALUE(RIGHT(B104,LEN(B104)-FIND(".",B104,1)))=COUNTIF('Contorizare in SDI'!$B:$B,LEFT(B104,FIND(".",B104,1)-1))-1,IF((COUNTIF('Contorizare in SDI'!$B:$B,LEFT(B104,FIND(".",B104,1)-1))-1)=1,VLOOKUP(LEFT(B104,FIND(".",B104,1)-1),$B$4:$AZ$68,47,FALSE),VLOOKUP(LEFT(B104,FIND(".",B104,1)-1),$B$4:$AZ$68,47,FALSE)-BF103),ROUNDUP(V104/VLOOKUP(LEFT(B104,FIND(".",B104,1)-1),$AY:$AZ,2,FALSE)*VLOOKUP(LEFT(B104,FIND(".",B104,1)-1),$B$4:$AZ$68,47,FALSE),0)),0)</f>
        <v>0</v>
      </c>
      <c r="BF104" s="306">
        <f t="shared" si="58"/>
        <v>0</v>
      </c>
      <c r="BG104" s="306">
        <f>IFERROR(IF(_xlfn.NUMBERVALUE(RIGHT(B104,LEN(B104)-FIND(".",B104,1)))=COUNTIF('Contorizare in SDI'!$B:$B,LEFT(B104,FIND(".",B104,1)-1))-1,IF((COUNTIF('Contorizare in SDI'!$B:$B,LEFT(B104,FIND(".",B104,1)-1))-1)=1,VLOOKUP(LEFT(B104,FIND(".",B104,1)-1),$B$4:$AZ$68,48,FALSE),VLOOKUP(LEFT(B104,FIND(".",B104,1)-1),$B$4:$AZ$68,48,FALSE)-BH103),ROUNDUP(V104/VLOOKUP(LEFT(B104,FIND(".",B104,1)-1),$AY:$AZ,2,FALSE)*VLOOKUP(LEFT(B104,FIND(".",B104,1)-1),$B$4:$AZ$68,48,FALSE),0)),0)</f>
        <v>0</v>
      </c>
      <c r="BH104" s="306">
        <f t="shared" si="59"/>
        <v>0</v>
      </c>
      <c r="BI104" s="306">
        <f>IFERROR(IF(_xlfn.NUMBERVALUE(RIGHT(B104,LEN(B104)-FIND(".",B104,1)))=COUNTIF('Contorizare in SDI'!$B:$B,LEFT(B104,FIND(".",B104,1)-1))-1,IF((COUNTIF('Contorizare in SDI'!$B:$B,LEFT(B104,FIND(".",B104,1)-1))-1)=1,VLOOKUP(LEFT(B104,FIND(".",B104,1)-1),$B$4:$AZ$68,49,FALSE),VLOOKUP(LEFT(B104,FIND(".",B104,1)-1),$B$4:$AZ$68,49,FALSE)-BJ103),ROUNDUP(V104/VLOOKUP(LEFT(B104,FIND(".",B104,1)-1),$AY:$AZ,2,FALSE)*VLOOKUP(LEFT(B104,FIND(".",B104,1)-1),$B$4:$AZ$68,49,FALSE),0)),0)</f>
        <v>0</v>
      </c>
      <c r="BJ104" s="306">
        <f t="shared" si="60"/>
        <v>0</v>
      </c>
      <c r="BP104" s="44">
        <f t="shared" si="61"/>
        <v>0</v>
      </c>
      <c r="BQ104" s="1">
        <v>0</v>
      </c>
      <c r="BR104" s="1">
        <v>0</v>
      </c>
      <c r="BS104" s="16">
        <f t="shared" si="102"/>
        <v>0</v>
      </c>
      <c r="BT104" s="16">
        <f t="shared" si="103"/>
        <v>0</v>
      </c>
      <c r="BU104" s="16">
        <f t="shared" si="104"/>
        <v>0</v>
      </c>
      <c r="BV104" s="16">
        <f t="shared" si="105"/>
        <v>0</v>
      </c>
      <c r="BX104" s="1" t="str">
        <f t="shared" si="32"/>
        <v/>
      </c>
      <c r="BY104" s="1">
        <f t="shared" si="33"/>
        <v>0</v>
      </c>
      <c r="BZ104" s="1">
        <f t="shared" si="66"/>
        <v>0</v>
      </c>
      <c r="CA104" s="1">
        <f t="shared" si="67"/>
        <v>0</v>
      </c>
      <c r="CB104" s="1">
        <f t="shared" si="68"/>
        <v>348</v>
      </c>
      <c r="CC104" s="1">
        <f t="shared" si="69"/>
        <v>125</v>
      </c>
      <c r="CD104" s="1">
        <f t="shared" si="70"/>
        <v>0</v>
      </c>
      <c r="CE104" s="1">
        <f t="shared" si="71"/>
        <v>0</v>
      </c>
      <c r="CR104" s="30" t="s">
        <v>547</v>
      </c>
      <c r="CS104" s="291">
        <v>694639</v>
      </c>
      <c r="CT104" s="291">
        <v>0</v>
      </c>
      <c r="CU104" s="291">
        <v>0</v>
      </c>
      <c r="CV104" s="291">
        <v>0</v>
      </c>
      <c r="CW104" s="29" t="s">
        <v>630</v>
      </c>
      <c r="CX104" s="312">
        <v>59204</v>
      </c>
      <c r="CY104" s="184">
        <v>86727</v>
      </c>
      <c r="CZ104" s="88">
        <v>1624</v>
      </c>
      <c r="DA104" s="88">
        <v>22113</v>
      </c>
      <c r="DB104" s="29" t="s">
        <v>687</v>
      </c>
      <c r="DC104" s="87">
        <v>0</v>
      </c>
      <c r="DD104" s="88">
        <v>209908</v>
      </c>
      <c r="DE104" s="88">
        <v>663</v>
      </c>
      <c r="DF104" s="88">
        <v>1754</v>
      </c>
      <c r="DG104" s="88">
        <v>59204</v>
      </c>
      <c r="DH104" s="88">
        <v>123181</v>
      </c>
      <c r="DI104" s="322">
        <v>41</v>
      </c>
      <c r="DJ104" s="88">
        <v>1043</v>
      </c>
    </row>
    <row r="105" spans="1:114" ht="17.25" thickTop="1" thickBot="1">
      <c r="A105" s="531">
        <f t="shared" si="41"/>
        <v>102</v>
      </c>
      <c r="B105" s="38" t="s">
        <v>603</v>
      </c>
      <c r="C105" s="17" t="s">
        <v>217</v>
      </c>
      <c r="D105" s="17" t="s">
        <v>931</v>
      </c>
      <c r="E105" s="142" t="str">
        <f t="shared" si="42"/>
        <v>RTIM</v>
      </c>
      <c r="F105" s="16">
        <v>-48</v>
      </c>
      <c r="G105" s="16">
        <v>-48</v>
      </c>
      <c r="H105" s="16">
        <v>0</v>
      </c>
      <c r="I105" s="16">
        <v>0</v>
      </c>
      <c r="J105" s="16">
        <v>48</v>
      </c>
      <c r="K105" s="16">
        <v>48</v>
      </c>
      <c r="L105" s="16">
        <v>80</v>
      </c>
      <c r="M105" s="16">
        <v>80</v>
      </c>
      <c r="N105" s="12" t="s">
        <v>917</v>
      </c>
      <c r="O105" s="12" t="s">
        <v>1019</v>
      </c>
      <c r="P105" s="12" t="s">
        <v>917</v>
      </c>
      <c r="Q105" s="12" t="s">
        <v>917</v>
      </c>
      <c r="R105" s="12" t="s">
        <v>917</v>
      </c>
      <c r="S105" s="12" t="s">
        <v>1019</v>
      </c>
      <c r="T105" s="12" t="s">
        <v>917</v>
      </c>
      <c r="U105" s="12" t="s">
        <v>1019</v>
      </c>
      <c r="V105" s="22">
        <v>0</v>
      </c>
      <c r="W105" s="22">
        <v>0</v>
      </c>
      <c r="X105" s="22">
        <v>0</v>
      </c>
      <c r="Y105" s="22">
        <v>0</v>
      </c>
      <c r="Z105" s="171">
        <f t="shared" si="34"/>
        <v>-48</v>
      </c>
      <c r="AA105" s="130" t="str">
        <f t="shared" si="35"/>
        <v>citit</v>
      </c>
      <c r="AB105" s="176">
        <f t="shared" si="43"/>
        <v>-48</v>
      </c>
      <c r="AC105" s="12" t="s">
        <v>917</v>
      </c>
      <c r="AD105" s="12">
        <f t="shared" si="101"/>
        <v>0</v>
      </c>
      <c r="AE105" s="12">
        <f t="shared" si="101"/>
        <v>0</v>
      </c>
      <c r="AF105" s="12">
        <f t="shared" si="101"/>
        <v>48</v>
      </c>
      <c r="AG105" s="12" t="str">
        <f t="shared" si="37"/>
        <v>citit</v>
      </c>
      <c r="AH105" s="176">
        <f t="shared" si="44"/>
        <v>48</v>
      </c>
      <c r="AI105" s="12" t="s">
        <v>917</v>
      </c>
      <c r="AJ105" s="12">
        <f t="shared" si="38"/>
        <v>80</v>
      </c>
      <c r="AK105" s="12" t="str">
        <f t="shared" si="39"/>
        <v>citit</v>
      </c>
      <c r="AL105" s="175">
        <f t="shared" si="45"/>
        <v>80</v>
      </c>
      <c r="AM105" s="159" t="s">
        <v>917</v>
      </c>
      <c r="AN105" s="154">
        <f t="shared" si="46"/>
        <v>0</v>
      </c>
      <c r="AO105" s="14">
        <f t="shared" si="47"/>
        <v>0</v>
      </c>
      <c r="AP105" s="147">
        <f t="shared" si="48"/>
        <v>0</v>
      </c>
      <c r="AQ105" s="147">
        <f t="shared" si="49"/>
        <v>0</v>
      </c>
      <c r="AR105" s="16">
        <v>0</v>
      </c>
      <c r="AS105" s="16">
        <v>0</v>
      </c>
      <c r="AT105" s="1">
        <f t="shared" si="50"/>
        <v>0</v>
      </c>
      <c r="AU105" s="154">
        <f t="shared" si="51"/>
        <v>0</v>
      </c>
      <c r="AV105" s="154">
        <f t="shared" si="52"/>
        <v>0</v>
      </c>
      <c r="AW105" s="154">
        <f t="shared" si="53"/>
        <v>0</v>
      </c>
      <c r="AX105" s="154">
        <f t="shared" si="54"/>
        <v>0</v>
      </c>
      <c r="AY105" s="308" t="str">
        <f t="shared" si="55"/>
        <v>RTIM_2</v>
      </c>
      <c r="AZ105" s="308">
        <f t="shared" si="40"/>
        <v>0</v>
      </c>
      <c r="BA105" s="306">
        <f>IFERROR(IF(_xlfn.NUMBERVALUE(RIGHT(B105,LEN(B105)-FIND(".",B105,1)))=COUNTIF('Contorizare in SDI'!$B:$B,LEFT(B105,FIND(".",B105,1)-1))-1,IF((COUNTIF('Contorizare in SDI'!$B:$B,LEFT(B105,FIND(".",B105,1)-1))-1)=1,VLOOKUP(LEFT(B105,FIND(".",B105,1)-1),$B$4:$AZ$68,45,FALSE),VLOOKUP(LEFT(B105,FIND(".",B105,1)-1),$B$4:$AZ$68,45,FALSE)-BB104),ROUNDUP(V105/VLOOKUP(LEFT(B105,FIND(".",B105,1)-1),$AY:$AZ,2,FALSE)*VLOOKUP(LEFT(B105,FIND(".",B105,1)-1),$B$4:$AZ$68,45,FALSE),0)),0)</f>
        <v>0</v>
      </c>
      <c r="BB105" s="306">
        <f t="shared" si="56"/>
        <v>0</v>
      </c>
      <c r="BC105" s="306">
        <f>IFERROR(IF(_xlfn.NUMBERVALUE(RIGHT(B105,LEN(B105)-FIND(".",B105,1)))=COUNTIF('Contorizare in SDI'!$B:$B,LEFT(B105,FIND(".",B105,1)-1))-1,IF((COUNTIF('Contorizare in SDI'!$B:$B,LEFT(B105,FIND(".",B105,1)-1))-1)=1,VLOOKUP(LEFT(B105,FIND(".",B105,1)-1),$B$4:$AZ$68,46,FALSE),VLOOKUP(LEFT(B105,FIND(".",B105,1)-1),$B$4:$AZ$68,46,FALSE)-BD104),ROUNDUP(V105/VLOOKUP(LEFT(B105,FIND(".",B105,1)-1),$AY:$AZ,2,FALSE)*VLOOKUP(LEFT(B105,FIND(".",B105,1)-1),$B$4:$AZ$68,46,FALSE),0)),0)</f>
        <v>0</v>
      </c>
      <c r="BD105" s="306">
        <f t="shared" si="57"/>
        <v>0</v>
      </c>
      <c r="BE105" s="306">
        <f>IFERROR(IF(_xlfn.NUMBERVALUE(RIGHT(B105,LEN(B105)-FIND(".",B105,1)))=COUNTIF('Contorizare in SDI'!$B:$B,LEFT(B105,FIND(".",B105,1)-1))-1,IF((COUNTIF('Contorizare in SDI'!$B:$B,LEFT(B105,FIND(".",B105,1)-1))-1)=1,VLOOKUP(LEFT(B105,FIND(".",B105,1)-1),$B$4:$AZ$68,47,FALSE),VLOOKUP(LEFT(B105,FIND(".",B105,1)-1),$B$4:$AZ$68,47,FALSE)-BF104),ROUNDUP(V105/VLOOKUP(LEFT(B105,FIND(".",B105,1)-1),$AY:$AZ,2,FALSE)*VLOOKUP(LEFT(B105,FIND(".",B105,1)-1),$B$4:$AZ$68,47,FALSE),0)),0)</f>
        <v>0</v>
      </c>
      <c r="BF105" s="306">
        <f t="shared" si="58"/>
        <v>0</v>
      </c>
      <c r="BG105" s="306">
        <f>IFERROR(IF(_xlfn.NUMBERVALUE(RIGHT(B105,LEN(B105)-FIND(".",B105,1)))=COUNTIF('Contorizare in SDI'!$B:$B,LEFT(B105,FIND(".",B105,1)-1))-1,IF((COUNTIF('Contorizare in SDI'!$B:$B,LEFT(B105,FIND(".",B105,1)-1))-1)=1,VLOOKUP(LEFT(B105,FIND(".",B105,1)-1),$B$4:$AZ$68,48,FALSE),VLOOKUP(LEFT(B105,FIND(".",B105,1)-1),$B$4:$AZ$68,48,FALSE)-BH104),ROUNDUP(V105/VLOOKUP(LEFT(B105,FIND(".",B105,1)-1),$AY:$AZ,2,FALSE)*VLOOKUP(LEFT(B105,FIND(".",B105,1)-1),$B$4:$AZ$68,48,FALSE),0)),0)</f>
        <v>0</v>
      </c>
      <c r="BH105" s="306">
        <f t="shared" si="59"/>
        <v>0</v>
      </c>
      <c r="BI105" s="306">
        <f>IFERROR(IF(_xlfn.NUMBERVALUE(RIGHT(B105,LEN(B105)-FIND(".",B105,1)))=COUNTIF('Contorizare in SDI'!$B:$B,LEFT(B105,FIND(".",B105,1)-1))-1,IF((COUNTIF('Contorizare in SDI'!$B:$B,LEFT(B105,FIND(".",B105,1)-1))-1)=1,VLOOKUP(LEFT(B105,FIND(".",B105,1)-1),$B$4:$AZ$68,49,FALSE),VLOOKUP(LEFT(B105,FIND(".",B105,1)-1),$B$4:$AZ$68,49,FALSE)-BJ104),ROUNDUP(V105/VLOOKUP(LEFT(B105,FIND(".",B105,1)-1),$AY:$AZ,2,FALSE)*VLOOKUP(LEFT(B105,FIND(".",B105,1)-1),$B$4:$AZ$68,49,FALSE),0)),0)</f>
        <v>0</v>
      </c>
      <c r="BJ105" s="306">
        <f t="shared" si="60"/>
        <v>0</v>
      </c>
      <c r="BP105" s="44">
        <f t="shared" si="61"/>
        <v>0</v>
      </c>
      <c r="BQ105" s="1">
        <v>0</v>
      </c>
      <c r="BR105" s="1">
        <v>0</v>
      </c>
      <c r="BS105" s="16">
        <f t="shared" si="102"/>
        <v>0</v>
      </c>
      <c r="BT105" s="16">
        <f t="shared" si="103"/>
        <v>0</v>
      </c>
      <c r="BU105" s="16">
        <f t="shared" si="104"/>
        <v>0</v>
      </c>
      <c r="BV105" s="16">
        <f t="shared" si="105"/>
        <v>0</v>
      </c>
      <c r="BX105" s="1" t="str">
        <f t="shared" si="32"/>
        <v>RTIM</v>
      </c>
      <c r="BY105" s="1">
        <f t="shared" si="33"/>
        <v>0</v>
      </c>
      <c r="BZ105" s="1">
        <f t="shared" si="66"/>
        <v>0</v>
      </c>
      <c r="CA105" s="1">
        <f t="shared" si="67"/>
        <v>0</v>
      </c>
      <c r="CB105" s="1">
        <f t="shared" si="68"/>
        <v>348</v>
      </c>
      <c r="CC105" s="1">
        <f t="shared" si="69"/>
        <v>125</v>
      </c>
      <c r="CD105" s="1">
        <f t="shared" si="70"/>
        <v>0</v>
      </c>
      <c r="CE105" s="1">
        <f t="shared" si="71"/>
        <v>0</v>
      </c>
      <c r="CR105" s="30" t="s">
        <v>547</v>
      </c>
      <c r="CS105" s="291">
        <v>694639</v>
      </c>
      <c r="CT105" s="291">
        <v>0</v>
      </c>
      <c r="CU105" s="291">
        <v>0</v>
      </c>
      <c r="CV105" s="291">
        <v>0</v>
      </c>
      <c r="CW105" s="29" t="s">
        <v>979</v>
      </c>
      <c r="CX105" s="312">
        <v>10420</v>
      </c>
      <c r="CY105" s="184">
        <v>0</v>
      </c>
      <c r="CZ105" s="88">
        <v>0</v>
      </c>
      <c r="DA105" s="88">
        <v>0</v>
      </c>
      <c r="DB105" s="29" t="s">
        <v>69</v>
      </c>
      <c r="DC105" s="87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321">
        <v>0</v>
      </c>
      <c r="DJ105" s="88">
        <v>0</v>
      </c>
    </row>
    <row r="106" spans="1:114" ht="17.25" thickTop="1" thickBot="1">
      <c r="A106" s="531">
        <f t="shared" si="41"/>
        <v>103</v>
      </c>
      <c r="B106" s="38" t="s">
        <v>604</v>
      </c>
      <c r="C106" s="17" t="s">
        <v>222</v>
      </c>
      <c r="D106" s="17">
        <v>1371034845</v>
      </c>
      <c r="E106" s="142" t="str">
        <f t="shared" si="42"/>
        <v>RTJD</v>
      </c>
      <c r="F106" s="16">
        <v>2938670</v>
      </c>
      <c r="G106" s="16">
        <v>3071645</v>
      </c>
      <c r="H106" s="16">
        <v>0</v>
      </c>
      <c r="I106" s="16">
        <v>0</v>
      </c>
      <c r="J106" s="16">
        <v>313261</v>
      </c>
      <c r="K106" s="16">
        <v>313261</v>
      </c>
      <c r="L106" s="16">
        <v>3526</v>
      </c>
      <c r="M106" s="16">
        <v>3526</v>
      </c>
      <c r="N106" s="12" t="s">
        <v>917</v>
      </c>
      <c r="O106" s="12" t="s">
        <v>1019</v>
      </c>
      <c r="P106" s="12" t="s">
        <v>917</v>
      </c>
      <c r="Q106" s="12" t="s">
        <v>917</v>
      </c>
      <c r="R106" s="12" t="s">
        <v>917</v>
      </c>
      <c r="S106" s="12" t="s">
        <v>1019</v>
      </c>
      <c r="T106" s="12" t="s">
        <v>917</v>
      </c>
      <c r="U106" s="12" t="s">
        <v>1019</v>
      </c>
      <c r="V106" s="22">
        <v>132975</v>
      </c>
      <c r="W106" s="22">
        <v>0</v>
      </c>
      <c r="X106" s="22">
        <v>0</v>
      </c>
      <c r="Y106" s="22">
        <v>0</v>
      </c>
      <c r="Z106" s="171">
        <f t="shared" si="34"/>
        <v>2938670</v>
      </c>
      <c r="AA106" s="130" t="str">
        <f t="shared" si="35"/>
        <v>citit</v>
      </c>
      <c r="AB106" s="176">
        <f t="shared" si="43"/>
        <v>3071645</v>
      </c>
      <c r="AC106" s="12" t="s">
        <v>917</v>
      </c>
      <c r="AD106" s="12">
        <f t="shared" si="101"/>
        <v>0</v>
      </c>
      <c r="AE106" s="12">
        <f t="shared" si="101"/>
        <v>0</v>
      </c>
      <c r="AF106" s="12">
        <f t="shared" si="101"/>
        <v>313261</v>
      </c>
      <c r="AG106" s="12" t="str">
        <f t="shared" si="37"/>
        <v>citit</v>
      </c>
      <c r="AH106" s="176">
        <f t="shared" si="44"/>
        <v>313261</v>
      </c>
      <c r="AI106" s="12" t="s">
        <v>917</v>
      </c>
      <c r="AJ106" s="12">
        <f t="shared" si="38"/>
        <v>3526</v>
      </c>
      <c r="AK106" s="12" t="str">
        <f t="shared" si="39"/>
        <v>citit</v>
      </c>
      <c r="AL106" s="175">
        <f t="shared" si="45"/>
        <v>3526</v>
      </c>
      <c r="AM106" s="159" t="s">
        <v>917</v>
      </c>
      <c r="AN106" s="154">
        <f t="shared" si="46"/>
        <v>132975</v>
      </c>
      <c r="AO106" s="14">
        <f t="shared" si="47"/>
        <v>0</v>
      </c>
      <c r="AP106" s="147">
        <f t="shared" si="48"/>
        <v>0</v>
      </c>
      <c r="AQ106" s="147">
        <f t="shared" si="49"/>
        <v>0</v>
      </c>
      <c r="AR106" s="16">
        <v>0</v>
      </c>
      <c r="AS106" s="16">
        <v>0</v>
      </c>
      <c r="AT106" s="1">
        <f t="shared" si="50"/>
        <v>0</v>
      </c>
      <c r="AU106" s="154">
        <f t="shared" si="51"/>
        <v>0</v>
      </c>
      <c r="AV106" s="154">
        <f t="shared" si="52"/>
        <v>0</v>
      </c>
      <c r="AW106" s="154">
        <f t="shared" si="53"/>
        <v>0</v>
      </c>
      <c r="AX106" s="154">
        <f t="shared" si="54"/>
        <v>0</v>
      </c>
      <c r="AY106" s="308" t="str">
        <f t="shared" si="55"/>
        <v>-</v>
      </c>
      <c r="AZ106" s="308">
        <f t="shared" si="40"/>
        <v>132975</v>
      </c>
      <c r="BA106" s="308">
        <f>IFERROR(IF(_xlfn.NUMBERVALUE(RIGHT(B106,LEN(B106)-FIND(".",B106,1)))=COUNTIF('Contorizare in SDI'!$B:$B,LEFT(B106,FIND(".",B106,1)-1))-1,IF((COUNTIF('Contorizare in SDI'!$B:$B,LEFT(B106,FIND(".",B106,1)-1))-1)=1,VLOOKUP(LEFT(B106,FIND(".",B106,1)-1),$B$4:$AZ$68,45,FALSE),VLOOKUP(LEFT(B106,FIND(".",B106,1)-1),$B$4:$AZ$68,45,FALSE)-BB105),ROUNDUP(V106/VLOOKUP(LEFT(B106,FIND(".",B106,1)-1),$AY:$AZ,2,FALSE)*VLOOKUP(LEFT(B106,FIND(".",B106,1)-1),$B$4:$AZ$68,45,FALSE),0)),0)</f>
        <v>0</v>
      </c>
      <c r="BB106" s="308">
        <f t="shared" si="56"/>
        <v>0</v>
      </c>
      <c r="BC106" s="308">
        <f>IFERROR(IF(_xlfn.NUMBERVALUE(RIGHT(B106,LEN(B106)-FIND(".",B106,1)))=COUNTIF('Contorizare in SDI'!$B:$B,LEFT(B106,FIND(".",B106,1)-1))-1,IF((COUNTIF('Contorizare in SDI'!$B:$B,LEFT(B106,FIND(".",B106,1)-1))-1)=1,VLOOKUP(LEFT(B106,FIND(".",B106,1)-1),$B$4:$AZ$68,46,FALSE),VLOOKUP(LEFT(B106,FIND(".",B106,1)-1),$B$4:$AZ$68,46,FALSE)-BD105),ROUNDUP(V106/VLOOKUP(LEFT(B106,FIND(".",B106,1)-1),$AY:$AZ,2,FALSE)*VLOOKUP(LEFT(B106,FIND(".",B106,1)-1),$B$4:$AZ$68,46,FALSE),0)),0)</f>
        <v>0</v>
      </c>
      <c r="BD106" s="308">
        <f t="shared" si="57"/>
        <v>0</v>
      </c>
      <c r="BE106" s="308">
        <f>IFERROR(IF(_xlfn.NUMBERVALUE(RIGHT(B106,LEN(B106)-FIND(".",B106,1)))=COUNTIF('Contorizare in SDI'!$B:$B,LEFT(B106,FIND(".",B106,1)-1))-1,IF((COUNTIF('Contorizare in SDI'!$B:$B,LEFT(B106,FIND(".",B106,1)-1))-1)=1,VLOOKUP(LEFT(B106,FIND(".",B106,1)-1),$B$4:$AZ$68,47,FALSE),VLOOKUP(LEFT(B106,FIND(".",B106,1)-1),$B$4:$AZ$68,47,FALSE)-BF105),ROUNDUP(V106/VLOOKUP(LEFT(B106,FIND(".",B106,1)-1),$AY:$AZ,2,FALSE)*VLOOKUP(LEFT(B106,FIND(".",B106,1)-1),$B$4:$AZ$68,47,FALSE),0)),0)</f>
        <v>0</v>
      </c>
      <c r="BF106" s="308">
        <f t="shared" si="58"/>
        <v>0</v>
      </c>
      <c r="BG106" s="308">
        <f>IFERROR(IF(_xlfn.NUMBERVALUE(RIGHT(B106,LEN(B106)-FIND(".",B106,1)))=COUNTIF('Contorizare in SDI'!$B:$B,LEFT(B106,FIND(".",B106,1)-1))-1,IF((COUNTIF('Contorizare in SDI'!$B:$B,LEFT(B106,FIND(".",B106,1)-1))-1)=1,VLOOKUP(LEFT(B106,FIND(".",B106,1)-1),$B$4:$AZ$68,48,FALSE),VLOOKUP(LEFT(B106,FIND(".",B106,1)-1),$B$4:$AZ$68,48,FALSE)-BH105),ROUNDUP(V106/VLOOKUP(LEFT(B106,FIND(".",B106,1)-1),$AY:$AZ,2,FALSE)*VLOOKUP(LEFT(B106,FIND(".",B106,1)-1),$B$4:$AZ$68,48,FALSE),0)),0)</f>
        <v>0</v>
      </c>
      <c r="BH106" s="308">
        <f t="shared" si="59"/>
        <v>0</v>
      </c>
      <c r="BI106" s="308">
        <f>IFERROR(IF(_xlfn.NUMBERVALUE(RIGHT(B106,LEN(B106)-FIND(".",B106,1)))=COUNTIF('Contorizare in SDI'!$B:$B,LEFT(B106,FIND(".",B106,1)-1))-1,IF((COUNTIF('Contorizare in SDI'!$B:$B,LEFT(B106,FIND(".",B106,1)-1))-1)=1,VLOOKUP(LEFT(B106,FIND(".",B106,1)-1),$B$4:$AZ$68,49,FALSE),VLOOKUP(LEFT(B106,FIND(".",B106,1)-1),$B$4:$AZ$68,49,FALSE)-BJ105),ROUNDUP(V106/VLOOKUP(LEFT(B106,FIND(".",B106,1)-1),$AY:$AZ,2,FALSE)*VLOOKUP(LEFT(B106,FIND(".",B106,1)-1),$B$4:$AZ$68,49,FALSE),0)),0)</f>
        <v>0</v>
      </c>
      <c r="BJ106" s="308">
        <f t="shared" si="60"/>
        <v>0</v>
      </c>
      <c r="BP106" s="44">
        <f t="shared" si="61"/>
        <v>0</v>
      </c>
      <c r="BQ106" s="1">
        <v>0</v>
      </c>
      <c r="BR106" s="1">
        <v>0</v>
      </c>
      <c r="BS106" s="16">
        <f t="shared" si="102"/>
        <v>0</v>
      </c>
      <c r="BT106" s="16">
        <f t="shared" si="103"/>
        <v>0</v>
      </c>
      <c r="BU106" s="16">
        <f t="shared" si="104"/>
        <v>0</v>
      </c>
      <c r="BV106" s="16">
        <f t="shared" si="105"/>
        <v>0</v>
      </c>
      <c r="BX106" s="1" t="str">
        <f t="shared" si="32"/>
        <v/>
      </c>
      <c r="BY106" s="1">
        <f t="shared" si="33"/>
        <v>0</v>
      </c>
      <c r="BZ106" s="1">
        <f t="shared" si="66"/>
        <v>0</v>
      </c>
      <c r="CA106" s="1">
        <f t="shared" si="67"/>
        <v>0</v>
      </c>
      <c r="CB106" s="1">
        <f t="shared" si="68"/>
        <v>0</v>
      </c>
      <c r="CC106" s="1">
        <f t="shared" si="69"/>
        <v>0</v>
      </c>
      <c r="CD106" s="1">
        <f t="shared" si="70"/>
        <v>0</v>
      </c>
      <c r="CE106" s="1">
        <f t="shared" si="71"/>
        <v>0</v>
      </c>
      <c r="CR106" s="30" t="s">
        <v>548</v>
      </c>
      <c r="CS106" s="291">
        <v>77176</v>
      </c>
      <c r="CT106" s="291">
        <v>0</v>
      </c>
      <c r="CU106" s="291">
        <v>0</v>
      </c>
      <c r="CV106" s="291">
        <v>0</v>
      </c>
      <c r="CW106" s="29" t="s">
        <v>631</v>
      </c>
      <c r="CX106" s="312">
        <v>76018</v>
      </c>
      <c r="CY106" s="317">
        <v>0</v>
      </c>
      <c r="CZ106" s="88">
        <v>2</v>
      </c>
      <c r="DA106" s="88">
        <v>19219</v>
      </c>
      <c r="DB106" s="29" t="s">
        <v>1178</v>
      </c>
      <c r="DC106" s="87">
        <v>0</v>
      </c>
      <c r="DD106" s="88">
        <v>40715</v>
      </c>
      <c r="DE106" s="88">
        <v>24</v>
      </c>
      <c r="DF106" s="88">
        <v>536</v>
      </c>
      <c r="DG106" s="88">
        <v>76018</v>
      </c>
      <c r="DH106" s="88">
        <v>40715</v>
      </c>
      <c r="DI106" s="321">
        <v>0</v>
      </c>
      <c r="DJ106" s="88">
        <v>1158</v>
      </c>
    </row>
    <row r="107" spans="1:114" ht="17.25" thickTop="1" thickBot="1">
      <c r="A107" s="531">
        <f t="shared" si="41"/>
        <v>104</v>
      </c>
      <c r="B107" s="38" t="s">
        <v>605</v>
      </c>
      <c r="C107" s="17" t="s">
        <v>224</v>
      </c>
      <c r="D107" s="17">
        <v>1371022908</v>
      </c>
      <c r="E107" s="142" t="str">
        <f t="shared" si="42"/>
        <v>RTJD</v>
      </c>
      <c r="F107" s="16">
        <v>4956440</v>
      </c>
      <c r="G107" s="16">
        <v>5113217</v>
      </c>
      <c r="H107" s="16">
        <v>0</v>
      </c>
      <c r="I107" s="16">
        <v>0</v>
      </c>
      <c r="J107" s="16">
        <v>244391</v>
      </c>
      <c r="K107" s="16">
        <v>244391</v>
      </c>
      <c r="L107" s="16">
        <v>105113</v>
      </c>
      <c r="M107" s="16">
        <v>105113</v>
      </c>
      <c r="N107" s="12" t="s">
        <v>917</v>
      </c>
      <c r="O107" s="12" t="s">
        <v>1019</v>
      </c>
      <c r="P107" s="12" t="s">
        <v>917</v>
      </c>
      <c r="Q107" s="12" t="s">
        <v>917</v>
      </c>
      <c r="R107" s="12" t="s">
        <v>917</v>
      </c>
      <c r="S107" s="12" t="s">
        <v>1019</v>
      </c>
      <c r="T107" s="12" t="s">
        <v>917</v>
      </c>
      <c r="U107" s="12" t="s">
        <v>1019</v>
      </c>
      <c r="V107" s="22">
        <v>156777</v>
      </c>
      <c r="W107" s="22">
        <v>0</v>
      </c>
      <c r="X107" s="22">
        <v>0</v>
      </c>
      <c r="Y107" s="22">
        <v>0</v>
      </c>
      <c r="Z107" s="171">
        <f t="shared" si="34"/>
        <v>4956440</v>
      </c>
      <c r="AA107" s="130" t="str">
        <f t="shared" si="35"/>
        <v>citit</v>
      </c>
      <c r="AB107" s="176">
        <f t="shared" si="43"/>
        <v>5113217</v>
      </c>
      <c r="AC107" s="12" t="s">
        <v>917</v>
      </c>
      <c r="AD107" s="12">
        <f t="shared" si="101"/>
        <v>0</v>
      </c>
      <c r="AE107" s="12">
        <f t="shared" si="101"/>
        <v>0</v>
      </c>
      <c r="AF107" s="12">
        <f t="shared" si="101"/>
        <v>244391</v>
      </c>
      <c r="AG107" s="12" t="str">
        <f t="shared" si="37"/>
        <v>citit</v>
      </c>
      <c r="AH107" s="176">
        <f t="shared" si="44"/>
        <v>244391</v>
      </c>
      <c r="AI107" s="12" t="s">
        <v>917</v>
      </c>
      <c r="AJ107" s="12">
        <f t="shared" si="38"/>
        <v>105113</v>
      </c>
      <c r="AK107" s="12" t="str">
        <f t="shared" si="39"/>
        <v>citit</v>
      </c>
      <c r="AL107" s="175">
        <f t="shared" si="45"/>
        <v>105113</v>
      </c>
      <c r="AM107" s="159" t="s">
        <v>917</v>
      </c>
      <c r="AN107" s="154">
        <f t="shared" si="46"/>
        <v>156777</v>
      </c>
      <c r="AO107" s="14">
        <f t="shared" si="47"/>
        <v>0</v>
      </c>
      <c r="AP107" s="147">
        <f t="shared" si="48"/>
        <v>0</v>
      </c>
      <c r="AQ107" s="147">
        <f t="shared" si="49"/>
        <v>0</v>
      </c>
      <c r="AR107" s="16">
        <v>0</v>
      </c>
      <c r="AS107" s="16">
        <v>0</v>
      </c>
      <c r="AT107" s="1">
        <f t="shared" si="50"/>
        <v>0</v>
      </c>
      <c r="AU107" s="154">
        <f t="shared" si="51"/>
        <v>0</v>
      </c>
      <c r="AV107" s="154">
        <f t="shared" si="52"/>
        <v>0</v>
      </c>
      <c r="AW107" s="154">
        <f t="shared" si="53"/>
        <v>0</v>
      </c>
      <c r="AX107" s="154">
        <f t="shared" si="54"/>
        <v>0</v>
      </c>
      <c r="AY107" s="308" t="str">
        <f t="shared" si="55"/>
        <v>RTJD_1</v>
      </c>
      <c r="AZ107" s="308">
        <f t="shared" si="40"/>
        <v>289752</v>
      </c>
      <c r="BA107" s="308">
        <f>IFERROR(IF(_xlfn.NUMBERVALUE(RIGHT(B107,LEN(B107)-FIND(".",B107,1)))=COUNTIF('Contorizare in SDI'!$B:$B,LEFT(B107,FIND(".",B107,1)-1))-1,IF((COUNTIF('Contorizare in SDI'!$B:$B,LEFT(B107,FIND(".",B107,1)-1))-1)=1,VLOOKUP(LEFT(B107,FIND(".",B107,1)-1),$B$4:$AZ$68,45,FALSE),VLOOKUP(LEFT(B107,FIND(".",B107,1)-1),$B$4:$AZ$68,45,FALSE)-BB106),ROUNDUP(V107/VLOOKUP(LEFT(B107,FIND(".",B107,1)-1),$AY:$AZ,2,FALSE)*VLOOKUP(LEFT(B107,FIND(".",B107,1)-1),$B$4:$AZ$68,45,FALSE),0)),0)</f>
        <v>0</v>
      </c>
      <c r="BB107" s="308">
        <f t="shared" si="56"/>
        <v>0</v>
      </c>
      <c r="BC107" s="308">
        <f>IFERROR(IF(_xlfn.NUMBERVALUE(RIGHT(B107,LEN(B107)-FIND(".",B107,1)))=COUNTIF('Contorizare in SDI'!$B:$B,LEFT(B107,FIND(".",B107,1)-1))-1,IF((COUNTIF('Contorizare in SDI'!$B:$B,LEFT(B107,FIND(".",B107,1)-1))-1)=1,VLOOKUP(LEFT(B107,FIND(".",B107,1)-1),$B$4:$AZ$68,46,FALSE),VLOOKUP(LEFT(B107,FIND(".",B107,1)-1),$B$4:$AZ$68,46,FALSE)-BD106),ROUNDUP(V107/VLOOKUP(LEFT(B107,FIND(".",B107,1)-1),$AY:$AZ,2,FALSE)*VLOOKUP(LEFT(B107,FIND(".",B107,1)-1),$B$4:$AZ$68,46,FALSE),0)),0)</f>
        <v>0</v>
      </c>
      <c r="BD107" s="308">
        <f t="shared" si="57"/>
        <v>0</v>
      </c>
      <c r="BE107" s="308">
        <f>IFERROR(IF(_xlfn.NUMBERVALUE(RIGHT(B107,LEN(B107)-FIND(".",B107,1)))=COUNTIF('Contorizare in SDI'!$B:$B,LEFT(B107,FIND(".",B107,1)-1))-1,IF((COUNTIF('Contorizare in SDI'!$B:$B,LEFT(B107,FIND(".",B107,1)-1))-1)=1,VLOOKUP(LEFT(B107,FIND(".",B107,1)-1),$B$4:$AZ$68,47,FALSE),VLOOKUP(LEFT(B107,FIND(".",B107,1)-1),$B$4:$AZ$68,47,FALSE)-BF106),ROUNDUP(V107/VLOOKUP(LEFT(B107,FIND(".",B107,1)-1),$AY:$AZ,2,FALSE)*VLOOKUP(LEFT(B107,FIND(".",B107,1)-1),$B$4:$AZ$68,47,FALSE),0)),0)</f>
        <v>0</v>
      </c>
      <c r="BF107" s="308">
        <f t="shared" si="58"/>
        <v>0</v>
      </c>
      <c r="BG107" s="308">
        <f>IFERROR(IF(_xlfn.NUMBERVALUE(RIGHT(B107,LEN(B107)-FIND(".",B107,1)))=COUNTIF('Contorizare in SDI'!$B:$B,LEFT(B107,FIND(".",B107,1)-1))-1,IF((COUNTIF('Contorizare in SDI'!$B:$B,LEFT(B107,FIND(".",B107,1)-1))-1)=1,VLOOKUP(LEFT(B107,FIND(".",B107,1)-1),$B$4:$AZ$68,48,FALSE),VLOOKUP(LEFT(B107,FIND(".",B107,1)-1),$B$4:$AZ$68,48,FALSE)-BH106),ROUNDUP(V107/VLOOKUP(LEFT(B107,FIND(".",B107,1)-1),$AY:$AZ,2,FALSE)*VLOOKUP(LEFT(B107,FIND(".",B107,1)-1),$B$4:$AZ$68,48,FALSE),0)),0)</f>
        <v>0</v>
      </c>
      <c r="BH107" s="308">
        <f t="shared" si="59"/>
        <v>0</v>
      </c>
      <c r="BI107" s="308">
        <f>IFERROR(IF(_xlfn.NUMBERVALUE(RIGHT(B107,LEN(B107)-FIND(".",B107,1)))=COUNTIF('Contorizare in SDI'!$B:$B,LEFT(B107,FIND(".",B107,1)-1))-1,IF((COUNTIF('Contorizare in SDI'!$B:$B,LEFT(B107,FIND(".",B107,1)-1))-1)=1,VLOOKUP(LEFT(B107,FIND(".",B107,1)-1),$B$4:$AZ$68,49,FALSE),VLOOKUP(LEFT(B107,FIND(".",B107,1)-1),$B$4:$AZ$68,49,FALSE)-BJ106),ROUNDUP(V107/VLOOKUP(LEFT(B107,FIND(".",B107,1)-1),$AY:$AZ,2,FALSE)*VLOOKUP(LEFT(B107,FIND(".",B107,1)-1),$B$4:$AZ$68,49,FALSE),0)),0)</f>
        <v>0</v>
      </c>
      <c r="BJ107" s="308">
        <f t="shared" si="60"/>
        <v>0</v>
      </c>
      <c r="BP107" s="44">
        <f t="shared" si="61"/>
        <v>0</v>
      </c>
      <c r="BQ107" s="1">
        <v>0</v>
      </c>
      <c r="BR107" s="1">
        <v>0</v>
      </c>
      <c r="BS107" s="16">
        <f t="shared" si="102"/>
        <v>0</v>
      </c>
      <c r="BT107" s="16">
        <f t="shared" si="103"/>
        <v>0</v>
      </c>
      <c r="BU107" s="16">
        <f t="shared" si="104"/>
        <v>0</v>
      </c>
      <c r="BV107" s="16">
        <f t="shared" si="105"/>
        <v>0</v>
      </c>
      <c r="BX107" s="1" t="str">
        <f t="shared" si="32"/>
        <v>RTJD</v>
      </c>
      <c r="BY107" s="1">
        <f t="shared" si="33"/>
        <v>0</v>
      </c>
      <c r="BZ107" s="1">
        <f t="shared" si="66"/>
        <v>0</v>
      </c>
      <c r="CA107" s="1">
        <f t="shared" si="67"/>
        <v>0</v>
      </c>
      <c r="CB107" s="1">
        <f t="shared" si="68"/>
        <v>0</v>
      </c>
      <c r="CC107" s="1">
        <f t="shared" si="69"/>
        <v>0</v>
      </c>
      <c r="CD107" s="1">
        <f t="shared" si="70"/>
        <v>0</v>
      </c>
      <c r="CE107" s="1">
        <f t="shared" si="71"/>
        <v>0</v>
      </c>
      <c r="CR107" s="93" t="s">
        <v>548</v>
      </c>
      <c r="CS107" s="291">
        <v>77176</v>
      </c>
      <c r="CT107" s="291">
        <v>0</v>
      </c>
      <c r="CU107" s="291">
        <v>0</v>
      </c>
      <c r="CV107" s="291">
        <v>0</v>
      </c>
      <c r="CW107" s="94" t="s">
        <v>980</v>
      </c>
      <c r="CX107" s="312">
        <v>1158</v>
      </c>
      <c r="CY107" s="184">
        <v>0</v>
      </c>
      <c r="CZ107" s="88">
        <v>0</v>
      </c>
      <c r="DA107" s="88">
        <v>0</v>
      </c>
      <c r="DB107" s="94" t="s">
        <v>69</v>
      </c>
      <c r="DC107" s="87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321">
        <v>0</v>
      </c>
      <c r="DJ107" s="88">
        <v>0</v>
      </c>
    </row>
    <row r="108" spans="1:114" ht="17.25" thickTop="1" thickBot="1">
      <c r="A108" s="531">
        <f t="shared" si="41"/>
        <v>105</v>
      </c>
      <c r="B108" s="38" t="s">
        <v>606</v>
      </c>
      <c r="C108" s="17" t="s">
        <v>228</v>
      </c>
      <c r="D108" s="17">
        <v>1371514348</v>
      </c>
      <c r="E108" s="142" t="str">
        <f t="shared" si="42"/>
        <v>RVUL</v>
      </c>
      <c r="F108" s="16">
        <v>2381196</v>
      </c>
      <c r="G108" s="16">
        <v>2487127</v>
      </c>
      <c r="H108" s="16">
        <v>0</v>
      </c>
      <c r="I108" s="16">
        <v>0</v>
      </c>
      <c r="J108" s="16">
        <v>156020</v>
      </c>
      <c r="K108" s="16">
        <v>156020</v>
      </c>
      <c r="L108" s="16">
        <v>18037</v>
      </c>
      <c r="M108" s="16">
        <v>18037</v>
      </c>
      <c r="N108" s="12" t="s">
        <v>917</v>
      </c>
      <c r="O108" s="12" t="s">
        <v>1019</v>
      </c>
      <c r="P108" s="12" t="s">
        <v>917</v>
      </c>
      <c r="Q108" s="12" t="s">
        <v>917</v>
      </c>
      <c r="R108" s="12" t="s">
        <v>917</v>
      </c>
      <c r="S108" s="12" t="s">
        <v>1019</v>
      </c>
      <c r="T108" s="12" t="s">
        <v>917</v>
      </c>
      <c r="U108" s="12" t="s">
        <v>1019</v>
      </c>
      <c r="V108" s="22">
        <v>105931</v>
      </c>
      <c r="W108" s="22">
        <v>0</v>
      </c>
      <c r="X108" s="22">
        <v>0</v>
      </c>
      <c r="Y108" s="22">
        <v>0</v>
      </c>
      <c r="Z108" s="171">
        <f t="shared" si="34"/>
        <v>2381196</v>
      </c>
      <c r="AA108" s="130" t="str">
        <f t="shared" si="35"/>
        <v>citit</v>
      </c>
      <c r="AB108" s="176">
        <f t="shared" si="43"/>
        <v>2487127</v>
      </c>
      <c r="AC108" s="12" t="s">
        <v>917</v>
      </c>
      <c r="AD108" s="12">
        <f t="shared" si="101"/>
        <v>0</v>
      </c>
      <c r="AE108" s="12">
        <f t="shared" si="101"/>
        <v>0</v>
      </c>
      <c r="AF108" s="12">
        <f t="shared" si="101"/>
        <v>156020</v>
      </c>
      <c r="AG108" s="12" t="str">
        <f t="shared" si="37"/>
        <v>citit</v>
      </c>
      <c r="AH108" s="176">
        <f t="shared" si="44"/>
        <v>156020</v>
      </c>
      <c r="AI108" s="12" t="s">
        <v>917</v>
      </c>
      <c r="AJ108" s="12">
        <f t="shared" si="38"/>
        <v>18037</v>
      </c>
      <c r="AK108" s="12" t="str">
        <f t="shared" si="39"/>
        <v>citit</v>
      </c>
      <c r="AL108" s="175">
        <f t="shared" si="45"/>
        <v>18037</v>
      </c>
      <c r="AM108" s="159" t="s">
        <v>917</v>
      </c>
      <c r="AN108" s="154">
        <f t="shared" si="46"/>
        <v>105931</v>
      </c>
      <c r="AO108" s="14">
        <f t="shared" si="47"/>
        <v>0</v>
      </c>
      <c r="AP108" s="147">
        <f t="shared" si="48"/>
        <v>0</v>
      </c>
      <c r="AQ108" s="147">
        <f t="shared" si="49"/>
        <v>0</v>
      </c>
      <c r="AR108" s="16">
        <v>0</v>
      </c>
      <c r="AS108" s="16">
        <v>0</v>
      </c>
      <c r="AT108" s="1">
        <f t="shared" si="50"/>
        <v>0</v>
      </c>
      <c r="AU108" s="154">
        <f t="shared" si="51"/>
        <v>0</v>
      </c>
      <c r="AV108" s="154">
        <f t="shared" si="52"/>
        <v>0</v>
      </c>
      <c r="AW108" s="154">
        <f t="shared" si="53"/>
        <v>0</v>
      </c>
      <c r="AX108" s="154">
        <f t="shared" si="54"/>
        <v>0</v>
      </c>
      <c r="AY108" s="308" t="str">
        <f t="shared" si="55"/>
        <v>-</v>
      </c>
      <c r="AZ108" s="308">
        <f t="shared" si="40"/>
        <v>105931</v>
      </c>
      <c r="BA108" s="308">
        <f>IFERROR(IF(_xlfn.NUMBERVALUE(RIGHT(B108,LEN(B108)-FIND(".",B108,1)))=COUNTIF('Contorizare in SDI'!$B:$B,LEFT(B108,FIND(".",B108,1)-1))-1,IF((COUNTIF('Contorizare in SDI'!$B:$B,LEFT(B108,FIND(".",B108,1)-1))-1)=1,VLOOKUP(LEFT(B108,FIND(".",B108,1)-1),$B$4:$AZ$68,45,FALSE),VLOOKUP(LEFT(B108,FIND(".",B108,1)-1),$B$4:$AZ$68,45,FALSE)-BB107),ROUNDUP(V108/VLOOKUP(LEFT(B108,FIND(".",B108,1)-1),$AY:$AZ,2,FALSE)*VLOOKUP(LEFT(B108,FIND(".",B108,1)-1),$B$4:$AZ$68,45,FALSE),0)),0)</f>
        <v>0</v>
      </c>
      <c r="BB108" s="308">
        <f t="shared" si="56"/>
        <v>0</v>
      </c>
      <c r="BC108" s="308">
        <f>IFERROR(IF(_xlfn.NUMBERVALUE(RIGHT(B108,LEN(B108)-FIND(".",B108,1)))=COUNTIF('Contorizare in SDI'!$B:$B,LEFT(B108,FIND(".",B108,1)-1))-1,IF((COUNTIF('Contorizare in SDI'!$B:$B,LEFT(B108,FIND(".",B108,1)-1))-1)=1,VLOOKUP(LEFT(B108,FIND(".",B108,1)-1),$B$4:$AZ$68,46,FALSE),VLOOKUP(LEFT(B108,FIND(".",B108,1)-1),$B$4:$AZ$68,46,FALSE)-BD107),ROUNDUP(V108/VLOOKUP(LEFT(B108,FIND(".",B108,1)-1),$AY:$AZ,2,FALSE)*VLOOKUP(LEFT(B108,FIND(".",B108,1)-1),$B$4:$AZ$68,46,FALSE),0)),0)</f>
        <v>0</v>
      </c>
      <c r="BD108" s="308">
        <f t="shared" si="57"/>
        <v>0</v>
      </c>
      <c r="BE108" s="308">
        <f>IFERROR(IF(_xlfn.NUMBERVALUE(RIGHT(B108,LEN(B108)-FIND(".",B108,1)))=COUNTIF('Contorizare in SDI'!$B:$B,LEFT(B108,FIND(".",B108,1)-1))-1,IF((COUNTIF('Contorizare in SDI'!$B:$B,LEFT(B108,FIND(".",B108,1)-1))-1)=1,VLOOKUP(LEFT(B108,FIND(".",B108,1)-1),$B$4:$AZ$68,47,FALSE),VLOOKUP(LEFT(B108,FIND(".",B108,1)-1),$B$4:$AZ$68,47,FALSE)-BF107),ROUNDUP(V108/VLOOKUP(LEFT(B108,FIND(".",B108,1)-1),$AY:$AZ,2,FALSE)*VLOOKUP(LEFT(B108,FIND(".",B108,1)-1),$B$4:$AZ$68,47,FALSE),0)),0)</f>
        <v>0</v>
      </c>
      <c r="BF108" s="308">
        <f t="shared" si="58"/>
        <v>0</v>
      </c>
      <c r="BG108" s="308">
        <f>IFERROR(IF(_xlfn.NUMBERVALUE(RIGHT(B108,LEN(B108)-FIND(".",B108,1)))=COUNTIF('Contorizare in SDI'!$B:$B,LEFT(B108,FIND(".",B108,1)-1))-1,IF((COUNTIF('Contorizare in SDI'!$B:$B,LEFT(B108,FIND(".",B108,1)-1))-1)=1,VLOOKUP(LEFT(B108,FIND(".",B108,1)-1),$B$4:$AZ$68,48,FALSE),VLOOKUP(LEFT(B108,FIND(".",B108,1)-1),$B$4:$AZ$68,48,FALSE)-BH107),ROUNDUP(V108/VLOOKUP(LEFT(B108,FIND(".",B108,1)-1),$AY:$AZ,2,FALSE)*VLOOKUP(LEFT(B108,FIND(".",B108,1)-1),$B$4:$AZ$68,48,FALSE),0)),0)</f>
        <v>0</v>
      </c>
      <c r="BH108" s="308">
        <f t="shared" si="59"/>
        <v>0</v>
      </c>
      <c r="BI108" s="308">
        <f>IFERROR(IF(_xlfn.NUMBERVALUE(RIGHT(B108,LEN(B108)-FIND(".",B108,1)))=COUNTIF('Contorizare in SDI'!$B:$B,LEFT(B108,FIND(".",B108,1)-1))-1,IF((COUNTIF('Contorizare in SDI'!$B:$B,LEFT(B108,FIND(".",B108,1)-1))-1)=1,VLOOKUP(LEFT(B108,FIND(".",B108,1)-1),$B$4:$AZ$68,49,FALSE),VLOOKUP(LEFT(B108,FIND(".",B108,1)-1),$B$4:$AZ$68,49,FALSE)-BJ107),ROUNDUP(V108/VLOOKUP(LEFT(B108,FIND(".",B108,1)-1),$AY:$AZ,2,FALSE)*VLOOKUP(LEFT(B108,FIND(".",B108,1)-1),$B$4:$AZ$68,49,FALSE),0)),0)</f>
        <v>0</v>
      </c>
      <c r="BJ108" s="308">
        <f t="shared" si="60"/>
        <v>0</v>
      </c>
      <c r="BP108" s="44">
        <f t="shared" si="61"/>
        <v>0</v>
      </c>
      <c r="BQ108" s="1">
        <v>0</v>
      </c>
      <c r="BR108" s="1">
        <v>0</v>
      </c>
      <c r="BS108" s="16">
        <f t="shared" si="102"/>
        <v>0</v>
      </c>
      <c r="BT108" s="16">
        <f t="shared" si="103"/>
        <v>0</v>
      </c>
      <c r="BU108" s="16">
        <f t="shared" si="104"/>
        <v>0</v>
      </c>
      <c r="BV108" s="16">
        <f t="shared" si="105"/>
        <v>0</v>
      </c>
      <c r="BX108" s="1" t="str">
        <f t="shared" si="32"/>
        <v/>
      </c>
      <c r="BY108" s="1">
        <f t="shared" si="33"/>
        <v>0</v>
      </c>
      <c r="BZ108" s="1">
        <f t="shared" si="66"/>
        <v>0</v>
      </c>
      <c r="CA108" s="1">
        <f t="shared" si="67"/>
        <v>0</v>
      </c>
      <c r="CB108" s="1">
        <f t="shared" si="68"/>
        <v>0</v>
      </c>
      <c r="CC108" s="1">
        <f t="shared" si="69"/>
        <v>0</v>
      </c>
      <c r="CD108" s="1">
        <f t="shared" si="70"/>
        <v>0</v>
      </c>
      <c r="CE108" s="1">
        <f t="shared" si="71"/>
        <v>0</v>
      </c>
      <c r="CR108" s="86" t="s">
        <v>549</v>
      </c>
      <c r="CS108" s="291">
        <v>732960</v>
      </c>
      <c r="CT108" s="291">
        <v>0</v>
      </c>
      <c r="CU108" s="291">
        <v>0</v>
      </c>
      <c r="CV108" s="291">
        <v>0</v>
      </c>
      <c r="CW108" s="89" t="s">
        <v>632</v>
      </c>
      <c r="CX108" s="312">
        <v>27816</v>
      </c>
      <c r="CY108" s="317">
        <v>0</v>
      </c>
      <c r="CZ108" s="88">
        <v>24559</v>
      </c>
      <c r="DA108" s="88">
        <v>26</v>
      </c>
      <c r="DB108" s="89" t="s">
        <v>69</v>
      </c>
      <c r="DC108" s="87">
        <v>0</v>
      </c>
      <c r="DD108" s="88">
        <v>0</v>
      </c>
      <c r="DE108" s="88">
        <v>0</v>
      </c>
      <c r="DF108" s="88">
        <v>0</v>
      </c>
      <c r="DG108" s="88">
        <v>27816</v>
      </c>
      <c r="DH108" s="88">
        <v>0</v>
      </c>
      <c r="DI108" s="321">
        <v>0</v>
      </c>
      <c r="DJ108" s="88">
        <v>418</v>
      </c>
    </row>
    <row r="109" spans="1:114" ht="17.25" thickTop="1" thickBot="1">
      <c r="A109" s="531">
        <f t="shared" si="41"/>
        <v>106</v>
      </c>
      <c r="B109" s="38" t="s">
        <v>861</v>
      </c>
      <c r="C109" s="17" t="s">
        <v>230</v>
      </c>
      <c r="D109" s="17">
        <v>1371513453</v>
      </c>
      <c r="E109" s="142" t="str">
        <f t="shared" si="42"/>
        <v>RVUL</v>
      </c>
      <c r="F109" s="16">
        <v>1954843</v>
      </c>
      <c r="G109" s="16">
        <v>2011361</v>
      </c>
      <c r="H109" s="16">
        <v>0</v>
      </c>
      <c r="I109" s="16">
        <v>0</v>
      </c>
      <c r="J109" s="16">
        <v>124289</v>
      </c>
      <c r="K109" s="16">
        <v>124289</v>
      </c>
      <c r="L109" s="16">
        <v>82816</v>
      </c>
      <c r="M109" s="16">
        <v>82816</v>
      </c>
      <c r="N109" s="12" t="s">
        <v>917</v>
      </c>
      <c r="O109" s="12" t="s">
        <v>1019</v>
      </c>
      <c r="P109" s="12" t="s">
        <v>917</v>
      </c>
      <c r="Q109" s="12" t="s">
        <v>917</v>
      </c>
      <c r="R109" s="12" t="s">
        <v>917</v>
      </c>
      <c r="S109" s="12" t="s">
        <v>1019</v>
      </c>
      <c r="T109" s="12" t="s">
        <v>917</v>
      </c>
      <c r="U109" s="12" t="s">
        <v>1019</v>
      </c>
      <c r="V109" s="22">
        <v>56518</v>
      </c>
      <c r="W109" s="22">
        <v>0</v>
      </c>
      <c r="X109" s="22">
        <v>0</v>
      </c>
      <c r="Y109" s="22">
        <v>0</v>
      </c>
      <c r="Z109" s="171">
        <f t="shared" si="34"/>
        <v>1954843</v>
      </c>
      <c r="AA109" s="130" t="str">
        <f t="shared" si="35"/>
        <v>citit</v>
      </c>
      <c r="AB109" s="176">
        <f t="shared" si="43"/>
        <v>2011361</v>
      </c>
      <c r="AC109" s="12" t="s">
        <v>917</v>
      </c>
      <c r="AD109" s="12">
        <f t="shared" si="101"/>
        <v>0</v>
      </c>
      <c r="AE109" s="12">
        <f t="shared" si="101"/>
        <v>0</v>
      </c>
      <c r="AF109" s="12">
        <f t="shared" si="101"/>
        <v>124289</v>
      </c>
      <c r="AG109" s="12" t="str">
        <f t="shared" si="37"/>
        <v>citit</v>
      </c>
      <c r="AH109" s="176">
        <f t="shared" si="44"/>
        <v>124289</v>
      </c>
      <c r="AI109" s="12" t="s">
        <v>917</v>
      </c>
      <c r="AJ109" s="12">
        <f t="shared" si="38"/>
        <v>82816</v>
      </c>
      <c r="AK109" s="12" t="str">
        <f t="shared" si="39"/>
        <v>citit</v>
      </c>
      <c r="AL109" s="175">
        <f t="shared" si="45"/>
        <v>82816</v>
      </c>
      <c r="AM109" s="159" t="s">
        <v>917</v>
      </c>
      <c r="AN109" s="154">
        <f t="shared" si="46"/>
        <v>56518</v>
      </c>
      <c r="AO109" s="14">
        <f t="shared" si="47"/>
        <v>0</v>
      </c>
      <c r="AP109" s="147">
        <f t="shared" si="48"/>
        <v>0</v>
      </c>
      <c r="AQ109" s="147">
        <f t="shared" si="49"/>
        <v>0</v>
      </c>
      <c r="AR109" s="16">
        <v>0</v>
      </c>
      <c r="AS109" s="16">
        <v>0</v>
      </c>
      <c r="AT109" s="1">
        <f t="shared" si="50"/>
        <v>0</v>
      </c>
      <c r="AU109" s="154">
        <f t="shared" si="51"/>
        <v>0</v>
      </c>
      <c r="AV109" s="154">
        <f t="shared" si="52"/>
        <v>0</v>
      </c>
      <c r="AW109" s="154">
        <f t="shared" si="53"/>
        <v>0</v>
      </c>
      <c r="AX109" s="154">
        <f t="shared" si="54"/>
        <v>0</v>
      </c>
      <c r="AY109" s="308" t="str">
        <f t="shared" si="55"/>
        <v>-</v>
      </c>
      <c r="AZ109" s="308">
        <f t="shared" si="40"/>
        <v>162449</v>
      </c>
      <c r="BA109" s="308">
        <f>IFERROR(IF(_xlfn.NUMBERVALUE(RIGHT(B109,LEN(B109)-FIND(".",B109,1)))=COUNTIF('Contorizare in SDI'!$B:$B,LEFT(B109,FIND(".",B109,1)-1))-1,IF((COUNTIF('Contorizare in SDI'!$B:$B,LEFT(B109,FIND(".",B109,1)-1))-1)=1,VLOOKUP(LEFT(B109,FIND(".",B109,1)-1),$B$4:$AZ$68,45,FALSE),VLOOKUP(LEFT(B109,FIND(".",B109,1)-1),$B$4:$AZ$68,45,FALSE)-BB108),ROUNDUP(V109/VLOOKUP(LEFT(B109,FIND(".",B109,1)-1),$AY:$AZ,2,FALSE)*VLOOKUP(LEFT(B109,FIND(".",B109,1)-1),$B$4:$AZ$68,45,FALSE),0)),0)</f>
        <v>0</v>
      </c>
      <c r="BB109" s="308">
        <f t="shared" si="56"/>
        <v>0</v>
      </c>
      <c r="BC109" s="308">
        <f>IFERROR(IF(_xlfn.NUMBERVALUE(RIGHT(B109,LEN(B109)-FIND(".",B109,1)))=COUNTIF('Contorizare in SDI'!$B:$B,LEFT(B109,FIND(".",B109,1)-1))-1,IF((COUNTIF('Contorizare in SDI'!$B:$B,LEFT(B109,FIND(".",B109,1)-1))-1)=1,VLOOKUP(LEFT(B109,FIND(".",B109,1)-1),$B$4:$AZ$68,46,FALSE),VLOOKUP(LEFT(B109,FIND(".",B109,1)-1),$B$4:$AZ$68,46,FALSE)-BD108),ROUNDUP(V109/VLOOKUP(LEFT(B109,FIND(".",B109,1)-1),$AY:$AZ,2,FALSE)*VLOOKUP(LEFT(B109,FIND(".",B109,1)-1),$B$4:$AZ$68,46,FALSE),0)),0)</f>
        <v>0</v>
      </c>
      <c r="BD109" s="308">
        <f t="shared" si="57"/>
        <v>0</v>
      </c>
      <c r="BE109" s="308">
        <f>IFERROR(IF(_xlfn.NUMBERVALUE(RIGHT(B109,LEN(B109)-FIND(".",B109,1)))=COUNTIF('Contorizare in SDI'!$B:$B,LEFT(B109,FIND(".",B109,1)-1))-1,IF((COUNTIF('Contorizare in SDI'!$B:$B,LEFT(B109,FIND(".",B109,1)-1))-1)=1,VLOOKUP(LEFT(B109,FIND(".",B109,1)-1),$B$4:$AZ$68,47,FALSE),VLOOKUP(LEFT(B109,FIND(".",B109,1)-1),$B$4:$AZ$68,47,FALSE)-BF108),ROUNDUP(V109/VLOOKUP(LEFT(B109,FIND(".",B109,1)-1),$AY:$AZ,2,FALSE)*VLOOKUP(LEFT(B109,FIND(".",B109,1)-1),$B$4:$AZ$68,47,FALSE),0)),0)</f>
        <v>0</v>
      </c>
      <c r="BF109" s="308">
        <f t="shared" si="58"/>
        <v>0</v>
      </c>
      <c r="BG109" s="308">
        <f>IFERROR(IF(_xlfn.NUMBERVALUE(RIGHT(B109,LEN(B109)-FIND(".",B109,1)))=COUNTIF('Contorizare in SDI'!$B:$B,LEFT(B109,FIND(".",B109,1)-1))-1,IF((COUNTIF('Contorizare in SDI'!$B:$B,LEFT(B109,FIND(".",B109,1)-1))-1)=1,VLOOKUP(LEFT(B109,FIND(".",B109,1)-1),$B$4:$AZ$68,48,FALSE),VLOOKUP(LEFT(B109,FIND(".",B109,1)-1),$B$4:$AZ$68,48,FALSE)-BH108),ROUNDUP(V109/VLOOKUP(LEFT(B109,FIND(".",B109,1)-1),$AY:$AZ,2,FALSE)*VLOOKUP(LEFT(B109,FIND(".",B109,1)-1),$B$4:$AZ$68,48,FALSE),0)),0)</f>
        <v>0</v>
      </c>
      <c r="BH109" s="308">
        <f t="shared" si="59"/>
        <v>0</v>
      </c>
      <c r="BI109" s="308">
        <f>IFERROR(IF(_xlfn.NUMBERVALUE(RIGHT(B109,LEN(B109)-FIND(".",B109,1)))=COUNTIF('Contorizare in SDI'!$B:$B,LEFT(B109,FIND(".",B109,1)-1))-1,IF((COUNTIF('Contorizare in SDI'!$B:$B,LEFT(B109,FIND(".",B109,1)-1))-1)=1,VLOOKUP(LEFT(B109,FIND(".",B109,1)-1),$B$4:$AZ$68,49,FALSE),VLOOKUP(LEFT(B109,FIND(".",B109,1)-1),$B$4:$AZ$68,49,FALSE)-BJ108),ROUNDUP(V109/VLOOKUP(LEFT(B109,FIND(".",B109,1)-1),$AY:$AZ,2,FALSE)*VLOOKUP(LEFT(B109,FIND(".",B109,1)-1),$B$4:$AZ$68,49,FALSE),0)),0)</f>
        <v>0</v>
      </c>
      <c r="BJ109" s="308">
        <f t="shared" si="60"/>
        <v>0</v>
      </c>
      <c r="BP109" s="44">
        <f t="shared" si="61"/>
        <v>0</v>
      </c>
      <c r="BQ109" s="1">
        <v>0</v>
      </c>
      <c r="BR109" s="1">
        <v>0</v>
      </c>
      <c r="BS109" s="16">
        <f t="shared" si="102"/>
        <v>0</v>
      </c>
      <c r="BT109" s="16">
        <f t="shared" si="103"/>
        <v>0</v>
      </c>
      <c r="BU109" s="16">
        <f t="shared" si="104"/>
        <v>0</v>
      </c>
      <c r="BV109" s="16">
        <f t="shared" si="105"/>
        <v>0</v>
      </c>
      <c r="BX109" s="1" t="str">
        <f t="shared" si="32"/>
        <v/>
      </c>
      <c r="BY109" s="1">
        <f t="shared" si="33"/>
        <v>0</v>
      </c>
      <c r="BZ109" s="1">
        <f t="shared" si="66"/>
        <v>0</v>
      </c>
      <c r="CA109" s="1">
        <f t="shared" si="67"/>
        <v>0</v>
      </c>
      <c r="CB109" s="1">
        <f t="shared" si="68"/>
        <v>0</v>
      </c>
      <c r="CC109" s="1">
        <f t="shared" si="69"/>
        <v>0</v>
      </c>
      <c r="CD109" s="1">
        <f t="shared" si="70"/>
        <v>0</v>
      </c>
      <c r="CE109" s="1">
        <f t="shared" si="71"/>
        <v>0</v>
      </c>
      <c r="CR109" s="30" t="s">
        <v>549</v>
      </c>
      <c r="CS109" s="291">
        <v>732960</v>
      </c>
      <c r="CT109" s="291">
        <v>0</v>
      </c>
      <c r="CU109" s="291">
        <v>0</v>
      </c>
      <c r="CV109" s="291">
        <v>0</v>
      </c>
      <c r="CW109" s="29" t="s">
        <v>633</v>
      </c>
      <c r="CX109" s="312">
        <v>26745</v>
      </c>
      <c r="CY109" s="184">
        <v>0</v>
      </c>
      <c r="CZ109" s="88">
        <v>4837</v>
      </c>
      <c r="DA109" s="88">
        <v>309</v>
      </c>
      <c r="DB109" s="29" t="s">
        <v>688</v>
      </c>
      <c r="DC109" s="87">
        <v>0</v>
      </c>
      <c r="DD109" s="88">
        <v>12244</v>
      </c>
      <c r="DE109" s="88">
        <v>3116</v>
      </c>
      <c r="DF109" s="88">
        <v>1726</v>
      </c>
      <c r="DG109" s="88">
        <v>26745</v>
      </c>
      <c r="DH109" s="88">
        <v>12244</v>
      </c>
      <c r="DI109" s="321">
        <v>0</v>
      </c>
      <c r="DJ109" s="88">
        <v>402</v>
      </c>
    </row>
    <row r="110" spans="1:114" ht="17.25" thickTop="1" thickBot="1">
      <c r="A110" s="531">
        <f t="shared" si="41"/>
        <v>107</v>
      </c>
      <c r="B110" s="38" t="s">
        <v>607</v>
      </c>
      <c r="C110" s="17" t="s">
        <v>232</v>
      </c>
      <c r="D110" s="17">
        <v>1371511160</v>
      </c>
      <c r="E110" s="142" t="str">
        <f t="shared" si="42"/>
        <v>RVUL</v>
      </c>
      <c r="F110" s="16">
        <v>539089.99999999884</v>
      </c>
      <c r="G110" s="16">
        <v>557092.99999999884</v>
      </c>
      <c r="H110" s="16">
        <v>0</v>
      </c>
      <c r="I110" s="16">
        <v>0</v>
      </c>
      <c r="J110" s="16">
        <v>53993</v>
      </c>
      <c r="K110" s="16">
        <v>53993</v>
      </c>
      <c r="L110" s="16">
        <v>13610</v>
      </c>
      <c r="M110" s="16">
        <v>13610</v>
      </c>
      <c r="N110" s="12" t="s">
        <v>917</v>
      </c>
      <c r="O110" s="12" t="s">
        <v>1019</v>
      </c>
      <c r="P110" s="12" t="s">
        <v>917</v>
      </c>
      <c r="Q110" s="12" t="s">
        <v>917</v>
      </c>
      <c r="R110" s="12" t="s">
        <v>917</v>
      </c>
      <c r="S110" s="12" t="s">
        <v>1019</v>
      </c>
      <c r="T110" s="12" t="s">
        <v>917</v>
      </c>
      <c r="U110" s="12" t="s">
        <v>1019</v>
      </c>
      <c r="V110" s="22">
        <v>18003</v>
      </c>
      <c r="W110" s="22">
        <v>0</v>
      </c>
      <c r="X110" s="22">
        <v>0</v>
      </c>
      <c r="Y110" s="22">
        <v>0</v>
      </c>
      <c r="Z110" s="171">
        <f t="shared" si="34"/>
        <v>539089.99999999884</v>
      </c>
      <c r="AA110" s="130" t="str">
        <f t="shared" si="35"/>
        <v>citit</v>
      </c>
      <c r="AB110" s="176">
        <f t="shared" si="43"/>
        <v>557092.99999999884</v>
      </c>
      <c r="AC110" s="12" t="s">
        <v>917</v>
      </c>
      <c r="AD110" s="12">
        <f t="shared" si="101"/>
        <v>0</v>
      </c>
      <c r="AE110" s="12">
        <f t="shared" si="101"/>
        <v>0</v>
      </c>
      <c r="AF110" s="12">
        <f t="shared" si="101"/>
        <v>53993</v>
      </c>
      <c r="AG110" s="12" t="str">
        <f t="shared" si="37"/>
        <v>citit</v>
      </c>
      <c r="AH110" s="176">
        <f t="shared" si="44"/>
        <v>53993</v>
      </c>
      <c r="AI110" s="12" t="s">
        <v>917</v>
      </c>
      <c r="AJ110" s="12">
        <f t="shared" si="38"/>
        <v>13610</v>
      </c>
      <c r="AK110" s="12" t="str">
        <f t="shared" si="39"/>
        <v>citit</v>
      </c>
      <c r="AL110" s="175">
        <f t="shared" si="45"/>
        <v>13610</v>
      </c>
      <c r="AM110" s="159" t="s">
        <v>917</v>
      </c>
      <c r="AN110" s="154">
        <f t="shared" si="46"/>
        <v>18003</v>
      </c>
      <c r="AO110" s="14">
        <f t="shared" si="47"/>
        <v>0</v>
      </c>
      <c r="AP110" s="147">
        <f t="shared" si="48"/>
        <v>0</v>
      </c>
      <c r="AQ110" s="147">
        <f t="shared" si="49"/>
        <v>0</v>
      </c>
      <c r="AR110" s="16">
        <v>0</v>
      </c>
      <c r="AS110" s="16">
        <v>0</v>
      </c>
      <c r="AT110" s="1">
        <f t="shared" si="50"/>
        <v>0</v>
      </c>
      <c r="AU110" s="154">
        <f t="shared" si="51"/>
        <v>0</v>
      </c>
      <c r="AV110" s="154">
        <f t="shared" si="52"/>
        <v>0</v>
      </c>
      <c r="AW110" s="154">
        <f t="shared" si="53"/>
        <v>0</v>
      </c>
      <c r="AX110" s="154">
        <f t="shared" si="54"/>
        <v>0</v>
      </c>
      <c r="AY110" s="308" t="str">
        <f t="shared" si="55"/>
        <v>RVUL_1</v>
      </c>
      <c r="AZ110" s="308">
        <f t="shared" si="40"/>
        <v>180452</v>
      </c>
      <c r="BA110" s="308">
        <f>IFERROR(IF(_xlfn.NUMBERVALUE(RIGHT(B110,LEN(B110)-FIND(".",B110,1)))=COUNTIF('Contorizare in SDI'!$B:$B,LEFT(B110,FIND(".",B110,1)-1))-1,IF((COUNTIF('Contorizare in SDI'!$B:$B,LEFT(B110,FIND(".",B110,1)-1))-1)=1,VLOOKUP(LEFT(B110,FIND(".",B110,1)-1),$B$4:$AZ$68,45,FALSE),VLOOKUP(LEFT(B110,FIND(".",B110,1)-1),$B$4:$AZ$68,45,FALSE)-BB109),ROUNDUP(V110/VLOOKUP(LEFT(B110,FIND(".",B110,1)-1),$AY:$AZ,2,FALSE)*VLOOKUP(LEFT(B110,FIND(".",B110,1)-1),$B$4:$AZ$68,45,FALSE),0)),0)</f>
        <v>0</v>
      </c>
      <c r="BB110" s="308">
        <f t="shared" si="56"/>
        <v>0</v>
      </c>
      <c r="BC110" s="308">
        <f>IFERROR(IF(_xlfn.NUMBERVALUE(RIGHT(B110,LEN(B110)-FIND(".",B110,1)))=COUNTIF('Contorizare in SDI'!$B:$B,LEFT(B110,FIND(".",B110,1)-1))-1,IF((COUNTIF('Contorizare in SDI'!$B:$B,LEFT(B110,FIND(".",B110,1)-1))-1)=1,VLOOKUP(LEFT(B110,FIND(".",B110,1)-1),$B$4:$AZ$68,46,FALSE),VLOOKUP(LEFT(B110,FIND(".",B110,1)-1),$B$4:$AZ$68,46,FALSE)-BD109),ROUNDUP(V110/VLOOKUP(LEFT(B110,FIND(".",B110,1)-1),$AY:$AZ,2,FALSE)*VLOOKUP(LEFT(B110,FIND(".",B110,1)-1),$B$4:$AZ$68,46,FALSE),0)),0)</f>
        <v>0</v>
      </c>
      <c r="BD110" s="308">
        <f t="shared" si="57"/>
        <v>0</v>
      </c>
      <c r="BE110" s="308">
        <f>IFERROR(IF(_xlfn.NUMBERVALUE(RIGHT(B110,LEN(B110)-FIND(".",B110,1)))=COUNTIF('Contorizare in SDI'!$B:$B,LEFT(B110,FIND(".",B110,1)-1))-1,IF((COUNTIF('Contorizare in SDI'!$B:$B,LEFT(B110,FIND(".",B110,1)-1))-1)=1,VLOOKUP(LEFT(B110,FIND(".",B110,1)-1),$B$4:$AZ$68,47,FALSE),VLOOKUP(LEFT(B110,FIND(".",B110,1)-1),$B$4:$AZ$68,47,FALSE)-BF109),ROUNDUP(V110/VLOOKUP(LEFT(B110,FIND(".",B110,1)-1),$AY:$AZ,2,FALSE)*VLOOKUP(LEFT(B110,FIND(".",B110,1)-1),$B$4:$AZ$68,47,FALSE),0)),0)</f>
        <v>0</v>
      </c>
      <c r="BF110" s="308">
        <f t="shared" si="58"/>
        <v>0</v>
      </c>
      <c r="BG110" s="308">
        <f>IFERROR(IF(_xlfn.NUMBERVALUE(RIGHT(B110,LEN(B110)-FIND(".",B110,1)))=COUNTIF('Contorizare in SDI'!$B:$B,LEFT(B110,FIND(".",B110,1)-1))-1,IF((COUNTIF('Contorizare in SDI'!$B:$B,LEFT(B110,FIND(".",B110,1)-1))-1)=1,VLOOKUP(LEFT(B110,FIND(".",B110,1)-1),$B$4:$AZ$68,48,FALSE),VLOOKUP(LEFT(B110,FIND(".",B110,1)-1),$B$4:$AZ$68,48,FALSE)-BH109),ROUNDUP(V110/VLOOKUP(LEFT(B110,FIND(".",B110,1)-1),$AY:$AZ,2,FALSE)*VLOOKUP(LEFT(B110,FIND(".",B110,1)-1),$B$4:$AZ$68,48,FALSE),0)),0)</f>
        <v>0</v>
      </c>
      <c r="BH110" s="308">
        <f t="shared" si="59"/>
        <v>0</v>
      </c>
      <c r="BI110" s="308">
        <f>IFERROR(IF(_xlfn.NUMBERVALUE(RIGHT(B110,LEN(B110)-FIND(".",B110,1)))=COUNTIF('Contorizare in SDI'!$B:$B,LEFT(B110,FIND(".",B110,1)-1))-1,IF((COUNTIF('Contorizare in SDI'!$B:$B,LEFT(B110,FIND(".",B110,1)-1))-1)=1,VLOOKUP(LEFT(B110,FIND(".",B110,1)-1),$B$4:$AZ$68,49,FALSE),VLOOKUP(LEFT(B110,FIND(".",B110,1)-1),$B$4:$AZ$68,49,FALSE)-BJ109),ROUNDUP(V110/VLOOKUP(LEFT(B110,FIND(".",B110,1)-1),$AY:$AZ,2,FALSE)*VLOOKUP(LEFT(B110,FIND(".",B110,1)-1),$B$4:$AZ$68,49,FALSE),0)),0)</f>
        <v>0</v>
      </c>
      <c r="BJ110" s="308">
        <f t="shared" si="60"/>
        <v>0</v>
      </c>
      <c r="BP110" s="44">
        <f t="shared" si="61"/>
        <v>0</v>
      </c>
      <c r="BQ110" s="1">
        <v>0</v>
      </c>
      <c r="BR110" s="1">
        <v>0</v>
      </c>
      <c r="BS110" s="16">
        <f t="shared" si="102"/>
        <v>0</v>
      </c>
      <c r="BT110" s="16">
        <f t="shared" si="103"/>
        <v>0</v>
      </c>
      <c r="BU110" s="16">
        <f t="shared" si="104"/>
        <v>0</v>
      </c>
      <c r="BV110" s="16">
        <f t="shared" si="105"/>
        <v>0</v>
      </c>
      <c r="BX110" s="1" t="str">
        <f t="shared" si="32"/>
        <v>RVUL</v>
      </c>
      <c r="BY110" s="1">
        <f t="shared" si="33"/>
        <v>0</v>
      </c>
      <c r="BZ110" s="1">
        <f t="shared" si="66"/>
        <v>0</v>
      </c>
      <c r="CA110" s="1">
        <f t="shared" si="67"/>
        <v>0</v>
      </c>
      <c r="CB110" s="1">
        <f t="shared" si="68"/>
        <v>0</v>
      </c>
      <c r="CC110" s="1">
        <f t="shared" si="69"/>
        <v>0</v>
      </c>
      <c r="CD110" s="1">
        <f t="shared" si="70"/>
        <v>0</v>
      </c>
      <c r="CE110" s="1">
        <f t="shared" si="71"/>
        <v>0</v>
      </c>
      <c r="CR110" s="30" t="s">
        <v>549</v>
      </c>
      <c r="CS110" s="291">
        <v>732960</v>
      </c>
      <c r="CT110" s="291">
        <v>0</v>
      </c>
      <c r="CU110" s="291">
        <v>0</v>
      </c>
      <c r="CV110" s="291">
        <v>0</v>
      </c>
      <c r="CW110" s="29" t="s">
        <v>634</v>
      </c>
      <c r="CX110" s="312">
        <v>227270</v>
      </c>
      <c r="CY110" s="184">
        <v>0</v>
      </c>
      <c r="CZ110" s="88">
        <v>0</v>
      </c>
      <c r="DA110" s="88">
        <v>0</v>
      </c>
      <c r="DB110" s="29" t="s">
        <v>69</v>
      </c>
      <c r="DC110" s="87">
        <v>0</v>
      </c>
      <c r="DD110" s="88">
        <v>0</v>
      </c>
      <c r="DE110" s="88">
        <v>0</v>
      </c>
      <c r="DF110" s="88">
        <v>0</v>
      </c>
      <c r="DG110" s="88">
        <v>227270</v>
      </c>
      <c r="DH110" s="88">
        <v>0</v>
      </c>
      <c r="DI110" s="321">
        <v>0</v>
      </c>
      <c r="DJ110" s="88">
        <v>3410</v>
      </c>
    </row>
    <row r="111" spans="1:114" ht="17.25" thickTop="1" thickBot="1">
      <c r="A111" s="531">
        <f t="shared" si="41"/>
        <v>108</v>
      </c>
      <c r="B111" s="38" t="s">
        <v>608</v>
      </c>
      <c r="C111" s="17" t="s">
        <v>237</v>
      </c>
      <c r="D111" s="17">
        <v>1369546436</v>
      </c>
      <c r="E111" s="142" t="str">
        <f t="shared" si="42"/>
        <v>RFSC</v>
      </c>
      <c r="F111" s="16">
        <v>7102761</v>
      </c>
      <c r="G111" s="16">
        <v>7206283</v>
      </c>
      <c r="H111" s="16">
        <v>0</v>
      </c>
      <c r="I111" s="16">
        <v>0</v>
      </c>
      <c r="J111" s="16">
        <v>351747</v>
      </c>
      <c r="K111" s="16">
        <v>351747</v>
      </c>
      <c r="L111" s="16">
        <v>61101</v>
      </c>
      <c r="M111" s="16">
        <v>61101</v>
      </c>
      <c r="N111" s="12" t="s">
        <v>917</v>
      </c>
      <c r="O111" s="12" t="s">
        <v>1019</v>
      </c>
      <c r="P111" s="12" t="s">
        <v>917</v>
      </c>
      <c r="Q111" s="12" t="s">
        <v>917</v>
      </c>
      <c r="R111" s="12" t="s">
        <v>917</v>
      </c>
      <c r="S111" s="12" t="s">
        <v>1019</v>
      </c>
      <c r="T111" s="12" t="s">
        <v>917</v>
      </c>
      <c r="U111" s="12" t="s">
        <v>1019</v>
      </c>
      <c r="V111" s="22">
        <v>103522</v>
      </c>
      <c r="W111" s="22">
        <v>0</v>
      </c>
      <c r="X111" s="22">
        <v>0</v>
      </c>
      <c r="Y111" s="22">
        <v>0</v>
      </c>
      <c r="Z111" s="171">
        <f t="shared" si="34"/>
        <v>7102761</v>
      </c>
      <c r="AA111" s="130" t="str">
        <f t="shared" si="35"/>
        <v>citit</v>
      </c>
      <c r="AB111" s="176">
        <f t="shared" si="43"/>
        <v>7206283</v>
      </c>
      <c r="AC111" s="12" t="s">
        <v>917</v>
      </c>
      <c r="AD111" s="12">
        <f t="shared" si="101"/>
        <v>0</v>
      </c>
      <c r="AE111" s="12">
        <f t="shared" si="101"/>
        <v>0</v>
      </c>
      <c r="AF111" s="12">
        <f t="shared" si="101"/>
        <v>351747</v>
      </c>
      <c r="AG111" s="12" t="str">
        <f t="shared" si="37"/>
        <v>citit</v>
      </c>
      <c r="AH111" s="176">
        <f t="shared" si="44"/>
        <v>351747</v>
      </c>
      <c r="AI111" s="12" t="s">
        <v>917</v>
      </c>
      <c r="AJ111" s="12">
        <f t="shared" si="38"/>
        <v>61101</v>
      </c>
      <c r="AK111" s="12" t="str">
        <f t="shared" si="39"/>
        <v>citit</v>
      </c>
      <c r="AL111" s="175">
        <f t="shared" si="45"/>
        <v>61101</v>
      </c>
      <c r="AM111" s="159" t="s">
        <v>917</v>
      </c>
      <c r="AN111" s="154">
        <f t="shared" si="46"/>
        <v>103522</v>
      </c>
      <c r="AO111" s="14">
        <f t="shared" si="47"/>
        <v>0</v>
      </c>
      <c r="AP111" s="147">
        <f t="shared" si="48"/>
        <v>0</v>
      </c>
      <c r="AQ111" s="147">
        <f t="shared" si="49"/>
        <v>0</v>
      </c>
      <c r="AR111" s="16">
        <v>0</v>
      </c>
      <c r="AS111" s="16">
        <v>0</v>
      </c>
      <c r="AT111" s="1">
        <f t="shared" si="50"/>
        <v>0</v>
      </c>
      <c r="AU111" s="154">
        <f t="shared" si="51"/>
        <v>0</v>
      </c>
      <c r="AV111" s="154">
        <f t="shared" si="52"/>
        <v>0</v>
      </c>
      <c r="AW111" s="154">
        <f t="shared" si="53"/>
        <v>0</v>
      </c>
      <c r="AX111" s="154">
        <f t="shared" si="54"/>
        <v>0</v>
      </c>
      <c r="AY111" s="308" t="str">
        <f t="shared" si="55"/>
        <v>-</v>
      </c>
      <c r="AZ111" s="308">
        <f t="shared" si="40"/>
        <v>103522</v>
      </c>
      <c r="BA111" s="308">
        <f>IFERROR(IF(_xlfn.NUMBERVALUE(RIGHT(B111,LEN(B111)-FIND(".",B111,1)))=COUNTIF('Contorizare in SDI'!$B:$B,LEFT(B111,FIND(".",B111,1)-1))-1,IF((COUNTIF('Contorizare in SDI'!$B:$B,LEFT(B111,FIND(".",B111,1)-1))-1)=1,VLOOKUP(LEFT(B111,FIND(".",B111,1)-1),$B$4:$AZ$68,45,FALSE),VLOOKUP(LEFT(B111,FIND(".",B111,1)-1),$B$4:$AZ$68,45,FALSE)-BB110),ROUNDUP(V111/VLOOKUP(LEFT(B111,FIND(".",B111,1)-1),$AY:$AZ,2,FALSE)*VLOOKUP(LEFT(B111,FIND(".",B111,1)-1),$B$4:$AZ$68,45,FALSE),0)),0)</f>
        <v>0</v>
      </c>
      <c r="BB111" s="308">
        <f t="shared" si="56"/>
        <v>0</v>
      </c>
      <c r="BC111" s="308">
        <f>IFERROR(IF(_xlfn.NUMBERVALUE(RIGHT(B111,LEN(B111)-FIND(".",B111,1)))=COUNTIF('Contorizare in SDI'!$B:$B,LEFT(B111,FIND(".",B111,1)-1))-1,IF((COUNTIF('Contorizare in SDI'!$B:$B,LEFT(B111,FIND(".",B111,1)-1))-1)=1,VLOOKUP(LEFT(B111,FIND(".",B111,1)-1),$B$4:$AZ$68,46,FALSE),VLOOKUP(LEFT(B111,FIND(".",B111,1)-1),$B$4:$AZ$68,46,FALSE)-BD110),ROUNDUP(V111/VLOOKUP(LEFT(B111,FIND(".",B111,1)-1),$AY:$AZ,2,FALSE)*VLOOKUP(LEFT(B111,FIND(".",B111,1)-1),$B$4:$AZ$68,46,FALSE),0)),0)</f>
        <v>0</v>
      </c>
      <c r="BD111" s="308">
        <f t="shared" si="57"/>
        <v>0</v>
      </c>
      <c r="BE111" s="308">
        <f>IFERROR(IF(_xlfn.NUMBERVALUE(RIGHT(B111,LEN(B111)-FIND(".",B111,1)))=COUNTIF('Contorizare in SDI'!$B:$B,LEFT(B111,FIND(".",B111,1)-1))-1,IF((COUNTIF('Contorizare in SDI'!$B:$B,LEFT(B111,FIND(".",B111,1)-1))-1)=1,VLOOKUP(LEFT(B111,FIND(".",B111,1)-1),$B$4:$AZ$68,47,FALSE),VLOOKUP(LEFT(B111,FIND(".",B111,1)-1),$B$4:$AZ$68,47,FALSE)-BF110),ROUNDUP(V111/VLOOKUP(LEFT(B111,FIND(".",B111,1)-1),$AY:$AZ,2,FALSE)*VLOOKUP(LEFT(B111,FIND(".",B111,1)-1),$B$4:$AZ$68,47,FALSE),0)),0)</f>
        <v>0</v>
      </c>
      <c r="BF111" s="308">
        <f t="shared" si="58"/>
        <v>0</v>
      </c>
      <c r="BG111" s="308">
        <f>IFERROR(IF(_xlfn.NUMBERVALUE(RIGHT(B111,LEN(B111)-FIND(".",B111,1)))=COUNTIF('Contorizare in SDI'!$B:$B,LEFT(B111,FIND(".",B111,1)-1))-1,IF((COUNTIF('Contorizare in SDI'!$B:$B,LEFT(B111,FIND(".",B111,1)-1))-1)=1,VLOOKUP(LEFT(B111,FIND(".",B111,1)-1),$B$4:$AZ$68,48,FALSE),VLOOKUP(LEFT(B111,FIND(".",B111,1)-1),$B$4:$AZ$68,48,FALSE)-BH110),ROUNDUP(V111/VLOOKUP(LEFT(B111,FIND(".",B111,1)-1),$AY:$AZ,2,FALSE)*VLOOKUP(LEFT(B111,FIND(".",B111,1)-1),$B$4:$AZ$68,48,FALSE),0)),0)</f>
        <v>0</v>
      </c>
      <c r="BH111" s="308">
        <f t="shared" si="59"/>
        <v>0</v>
      </c>
      <c r="BI111" s="308">
        <f>IFERROR(IF(_xlfn.NUMBERVALUE(RIGHT(B111,LEN(B111)-FIND(".",B111,1)))=COUNTIF('Contorizare in SDI'!$B:$B,LEFT(B111,FIND(".",B111,1)-1))-1,IF((COUNTIF('Contorizare in SDI'!$B:$B,LEFT(B111,FIND(".",B111,1)-1))-1)=1,VLOOKUP(LEFT(B111,FIND(".",B111,1)-1),$B$4:$AZ$68,49,FALSE),VLOOKUP(LEFT(B111,FIND(".",B111,1)-1),$B$4:$AZ$68,49,FALSE)-BJ110),ROUNDUP(V111/VLOOKUP(LEFT(B111,FIND(".",B111,1)-1),$AY:$AZ,2,FALSE)*VLOOKUP(LEFT(B111,FIND(".",B111,1)-1),$B$4:$AZ$68,49,FALSE),0)),0)</f>
        <v>0</v>
      </c>
      <c r="BJ111" s="308">
        <f t="shared" si="60"/>
        <v>0</v>
      </c>
      <c r="BP111" s="44">
        <f t="shared" si="61"/>
        <v>0</v>
      </c>
      <c r="BQ111" s="1">
        <v>0</v>
      </c>
      <c r="BR111" s="1">
        <v>0</v>
      </c>
      <c r="BS111" s="16">
        <f t="shared" si="102"/>
        <v>0</v>
      </c>
      <c r="BT111" s="16">
        <f t="shared" si="103"/>
        <v>0</v>
      </c>
      <c r="BU111" s="16">
        <f t="shared" si="104"/>
        <v>0</v>
      </c>
      <c r="BV111" s="16">
        <f t="shared" si="105"/>
        <v>0</v>
      </c>
      <c r="BX111" s="1" t="str">
        <f t="shared" si="32"/>
        <v/>
      </c>
      <c r="BY111" s="1">
        <f t="shared" si="33"/>
        <v>0</v>
      </c>
      <c r="BZ111" s="1">
        <f t="shared" si="66"/>
        <v>0</v>
      </c>
      <c r="CA111" s="1">
        <f t="shared" si="67"/>
        <v>0</v>
      </c>
      <c r="CB111" s="1">
        <f t="shared" si="68"/>
        <v>0</v>
      </c>
      <c r="CC111" s="1">
        <f t="shared" si="69"/>
        <v>0</v>
      </c>
      <c r="CD111" s="1">
        <f t="shared" si="70"/>
        <v>0</v>
      </c>
      <c r="CE111" s="1">
        <f t="shared" si="71"/>
        <v>0</v>
      </c>
      <c r="CR111" s="30" t="s">
        <v>549</v>
      </c>
      <c r="CS111" s="291">
        <v>732960</v>
      </c>
      <c r="CT111" s="291">
        <v>0</v>
      </c>
      <c r="CU111" s="291">
        <v>0</v>
      </c>
      <c r="CV111" s="291">
        <v>0</v>
      </c>
      <c r="CW111" s="29" t="s">
        <v>635</v>
      </c>
      <c r="CX111" s="312">
        <v>227270</v>
      </c>
      <c r="CY111" s="184">
        <v>0</v>
      </c>
      <c r="CZ111" s="88">
        <v>0</v>
      </c>
      <c r="DA111" s="88">
        <v>0</v>
      </c>
      <c r="DB111" s="29" t="s">
        <v>69</v>
      </c>
      <c r="DC111" s="87">
        <v>0</v>
      </c>
      <c r="DD111" s="88">
        <v>0</v>
      </c>
      <c r="DE111" s="88">
        <v>0</v>
      </c>
      <c r="DF111" s="88">
        <v>0</v>
      </c>
      <c r="DG111" s="88">
        <v>227270</v>
      </c>
      <c r="DH111" s="88">
        <v>0</v>
      </c>
      <c r="DI111" s="321">
        <v>0</v>
      </c>
      <c r="DJ111" s="88">
        <v>3410</v>
      </c>
    </row>
    <row r="112" spans="1:114" ht="17.25" thickTop="1" thickBot="1">
      <c r="A112" s="531">
        <f t="shared" si="41"/>
        <v>109</v>
      </c>
      <c r="B112" s="38" t="s">
        <v>609</v>
      </c>
      <c r="C112" s="17" t="s">
        <v>239</v>
      </c>
      <c r="D112" s="17">
        <v>1369546423</v>
      </c>
      <c r="E112" s="142" t="str">
        <f t="shared" si="42"/>
        <v>RFSC</v>
      </c>
      <c r="F112" s="16">
        <v>5427255</v>
      </c>
      <c r="G112" s="16">
        <v>5510853</v>
      </c>
      <c r="H112" s="16">
        <v>0</v>
      </c>
      <c r="I112" s="16">
        <v>0</v>
      </c>
      <c r="J112" s="16">
        <v>328696</v>
      </c>
      <c r="K112" s="16">
        <v>328696</v>
      </c>
      <c r="L112" s="16">
        <v>69251</v>
      </c>
      <c r="M112" s="16">
        <v>69251</v>
      </c>
      <c r="N112" s="12" t="s">
        <v>917</v>
      </c>
      <c r="O112" s="12" t="s">
        <v>1019</v>
      </c>
      <c r="P112" s="12" t="s">
        <v>917</v>
      </c>
      <c r="Q112" s="12" t="s">
        <v>917</v>
      </c>
      <c r="R112" s="12" t="s">
        <v>917</v>
      </c>
      <c r="S112" s="12" t="s">
        <v>1019</v>
      </c>
      <c r="T112" s="12" t="s">
        <v>917</v>
      </c>
      <c r="U112" s="12" t="s">
        <v>1019</v>
      </c>
      <c r="V112" s="22">
        <v>83598</v>
      </c>
      <c r="W112" s="22">
        <v>0</v>
      </c>
      <c r="X112" s="22">
        <v>0</v>
      </c>
      <c r="Y112" s="22">
        <v>0</v>
      </c>
      <c r="Z112" s="171">
        <f t="shared" si="34"/>
        <v>5427255</v>
      </c>
      <c r="AA112" s="130" t="str">
        <f t="shared" si="35"/>
        <v>citit</v>
      </c>
      <c r="AB112" s="176">
        <f t="shared" si="43"/>
        <v>5510853</v>
      </c>
      <c r="AC112" s="12" t="s">
        <v>917</v>
      </c>
      <c r="AD112" s="12">
        <f t="shared" si="101"/>
        <v>0</v>
      </c>
      <c r="AE112" s="12">
        <f t="shared" si="101"/>
        <v>0</v>
      </c>
      <c r="AF112" s="12">
        <f t="shared" si="101"/>
        <v>328696</v>
      </c>
      <c r="AG112" s="12" t="str">
        <f t="shared" si="37"/>
        <v>citit</v>
      </c>
      <c r="AH112" s="176">
        <f t="shared" si="44"/>
        <v>328696</v>
      </c>
      <c r="AI112" s="12" t="s">
        <v>917</v>
      </c>
      <c r="AJ112" s="12">
        <f t="shared" si="38"/>
        <v>69251</v>
      </c>
      <c r="AK112" s="12" t="str">
        <f t="shared" si="39"/>
        <v>citit</v>
      </c>
      <c r="AL112" s="175">
        <f t="shared" si="45"/>
        <v>69251</v>
      </c>
      <c r="AM112" s="159" t="s">
        <v>917</v>
      </c>
      <c r="AN112" s="154">
        <f t="shared" si="46"/>
        <v>83598</v>
      </c>
      <c r="AO112" s="14">
        <f t="shared" si="47"/>
        <v>0</v>
      </c>
      <c r="AP112" s="147">
        <f t="shared" si="48"/>
        <v>0</v>
      </c>
      <c r="AQ112" s="147">
        <f t="shared" si="49"/>
        <v>0</v>
      </c>
      <c r="AR112" s="16">
        <v>0</v>
      </c>
      <c r="AS112" s="16">
        <v>0</v>
      </c>
      <c r="AT112" s="1">
        <f t="shared" si="50"/>
        <v>0</v>
      </c>
      <c r="AU112" s="154">
        <f t="shared" si="51"/>
        <v>0</v>
      </c>
      <c r="AV112" s="154">
        <f t="shared" si="52"/>
        <v>0</v>
      </c>
      <c r="AW112" s="154">
        <f t="shared" si="53"/>
        <v>0</v>
      </c>
      <c r="AX112" s="154">
        <f t="shared" si="54"/>
        <v>0</v>
      </c>
      <c r="AY112" s="308" t="str">
        <f t="shared" si="55"/>
        <v>-</v>
      </c>
      <c r="AZ112" s="308">
        <f t="shared" si="40"/>
        <v>187120</v>
      </c>
      <c r="BA112" s="308">
        <f>IFERROR(IF(_xlfn.NUMBERVALUE(RIGHT(B112,LEN(B112)-FIND(".",B112,1)))=COUNTIF('Contorizare in SDI'!$B:$B,LEFT(B112,FIND(".",B112,1)-1))-1,IF((COUNTIF('Contorizare in SDI'!$B:$B,LEFT(B112,FIND(".",B112,1)-1))-1)=1,VLOOKUP(LEFT(B112,FIND(".",B112,1)-1),$B$4:$AZ$68,45,FALSE),VLOOKUP(LEFT(B112,FIND(".",B112,1)-1),$B$4:$AZ$68,45,FALSE)-BB111),ROUNDUP(V112/VLOOKUP(LEFT(B112,FIND(".",B112,1)-1),$AY:$AZ,2,FALSE)*VLOOKUP(LEFT(B112,FIND(".",B112,1)-1),$B$4:$AZ$68,45,FALSE),0)),0)</f>
        <v>0</v>
      </c>
      <c r="BB112" s="308">
        <f t="shared" si="56"/>
        <v>0</v>
      </c>
      <c r="BC112" s="308">
        <f>IFERROR(IF(_xlfn.NUMBERVALUE(RIGHT(B112,LEN(B112)-FIND(".",B112,1)))=COUNTIF('Contorizare in SDI'!$B:$B,LEFT(B112,FIND(".",B112,1)-1))-1,IF((COUNTIF('Contorizare in SDI'!$B:$B,LEFT(B112,FIND(".",B112,1)-1))-1)=1,VLOOKUP(LEFT(B112,FIND(".",B112,1)-1),$B$4:$AZ$68,46,FALSE),VLOOKUP(LEFT(B112,FIND(".",B112,1)-1),$B$4:$AZ$68,46,FALSE)-BD111),ROUNDUP(V112/VLOOKUP(LEFT(B112,FIND(".",B112,1)-1),$AY:$AZ,2,FALSE)*VLOOKUP(LEFT(B112,FIND(".",B112,1)-1),$B$4:$AZ$68,46,FALSE),0)),0)</f>
        <v>0</v>
      </c>
      <c r="BD112" s="308">
        <f t="shared" si="57"/>
        <v>0</v>
      </c>
      <c r="BE112" s="308">
        <f>IFERROR(IF(_xlfn.NUMBERVALUE(RIGHT(B112,LEN(B112)-FIND(".",B112,1)))=COUNTIF('Contorizare in SDI'!$B:$B,LEFT(B112,FIND(".",B112,1)-1))-1,IF((COUNTIF('Contorizare in SDI'!$B:$B,LEFT(B112,FIND(".",B112,1)-1))-1)=1,VLOOKUP(LEFT(B112,FIND(".",B112,1)-1),$B$4:$AZ$68,47,FALSE),VLOOKUP(LEFT(B112,FIND(".",B112,1)-1),$B$4:$AZ$68,47,FALSE)-BF111),ROUNDUP(V112/VLOOKUP(LEFT(B112,FIND(".",B112,1)-1),$AY:$AZ,2,FALSE)*VLOOKUP(LEFT(B112,FIND(".",B112,1)-1),$B$4:$AZ$68,47,FALSE),0)),0)</f>
        <v>0</v>
      </c>
      <c r="BF112" s="308">
        <f t="shared" si="58"/>
        <v>0</v>
      </c>
      <c r="BG112" s="308">
        <f>IFERROR(IF(_xlfn.NUMBERVALUE(RIGHT(B112,LEN(B112)-FIND(".",B112,1)))=COUNTIF('Contorizare in SDI'!$B:$B,LEFT(B112,FIND(".",B112,1)-1))-1,IF((COUNTIF('Contorizare in SDI'!$B:$B,LEFT(B112,FIND(".",B112,1)-1))-1)=1,VLOOKUP(LEFT(B112,FIND(".",B112,1)-1),$B$4:$AZ$68,48,FALSE),VLOOKUP(LEFT(B112,FIND(".",B112,1)-1),$B$4:$AZ$68,48,FALSE)-BH111),ROUNDUP(V112/VLOOKUP(LEFT(B112,FIND(".",B112,1)-1),$AY:$AZ,2,FALSE)*VLOOKUP(LEFT(B112,FIND(".",B112,1)-1),$B$4:$AZ$68,48,FALSE),0)),0)</f>
        <v>0</v>
      </c>
      <c r="BH112" s="308">
        <f t="shared" si="59"/>
        <v>0</v>
      </c>
      <c r="BI112" s="308">
        <f>IFERROR(IF(_xlfn.NUMBERVALUE(RIGHT(B112,LEN(B112)-FIND(".",B112,1)))=COUNTIF('Contorizare in SDI'!$B:$B,LEFT(B112,FIND(".",B112,1)-1))-1,IF((COUNTIF('Contorizare in SDI'!$B:$B,LEFT(B112,FIND(".",B112,1)-1))-1)=1,VLOOKUP(LEFT(B112,FIND(".",B112,1)-1),$B$4:$AZ$68,49,FALSE),VLOOKUP(LEFT(B112,FIND(".",B112,1)-1),$B$4:$AZ$68,49,FALSE)-BJ111),ROUNDUP(V112/VLOOKUP(LEFT(B112,FIND(".",B112,1)-1),$AY:$AZ,2,FALSE)*VLOOKUP(LEFT(B112,FIND(".",B112,1)-1),$B$4:$AZ$68,49,FALSE),0)),0)</f>
        <v>0</v>
      </c>
      <c r="BJ112" s="308">
        <f t="shared" si="60"/>
        <v>0</v>
      </c>
      <c r="BP112" s="44">
        <f t="shared" si="61"/>
        <v>0</v>
      </c>
      <c r="BQ112" s="1">
        <v>0</v>
      </c>
      <c r="BR112" s="1">
        <v>0</v>
      </c>
      <c r="BS112" s="16">
        <f t="shared" si="102"/>
        <v>0</v>
      </c>
      <c r="BT112" s="16">
        <f t="shared" si="103"/>
        <v>0</v>
      </c>
      <c r="BU112" s="16">
        <f t="shared" si="104"/>
        <v>0</v>
      </c>
      <c r="BV112" s="16">
        <f t="shared" si="105"/>
        <v>0</v>
      </c>
      <c r="BX112" s="1" t="str">
        <f t="shared" si="32"/>
        <v/>
      </c>
      <c r="BY112" s="1">
        <f t="shared" si="33"/>
        <v>0</v>
      </c>
      <c r="BZ112" s="1">
        <f t="shared" si="66"/>
        <v>0</v>
      </c>
      <c r="CA112" s="1">
        <f t="shared" si="67"/>
        <v>0</v>
      </c>
      <c r="CB112" s="1">
        <f t="shared" si="68"/>
        <v>0</v>
      </c>
      <c r="CC112" s="1">
        <f t="shared" si="69"/>
        <v>0</v>
      </c>
      <c r="CD112" s="1">
        <f t="shared" si="70"/>
        <v>0</v>
      </c>
      <c r="CE112" s="1">
        <f t="shared" si="71"/>
        <v>0</v>
      </c>
      <c r="CR112" s="30" t="s">
        <v>549</v>
      </c>
      <c r="CS112" s="291">
        <v>732960</v>
      </c>
      <c r="CT112" s="291">
        <v>0</v>
      </c>
      <c r="CU112" s="291">
        <v>0</v>
      </c>
      <c r="CV112" s="291">
        <v>0</v>
      </c>
      <c r="CW112" s="29" t="s">
        <v>636</v>
      </c>
      <c r="CX112" s="312">
        <v>212864</v>
      </c>
      <c r="CY112" s="184">
        <v>0</v>
      </c>
      <c r="CZ112" s="88">
        <v>0</v>
      </c>
      <c r="DA112" s="88">
        <v>0</v>
      </c>
      <c r="DB112" s="29" t="s">
        <v>69</v>
      </c>
      <c r="DC112" s="87">
        <v>0</v>
      </c>
      <c r="DD112" s="88">
        <v>0</v>
      </c>
      <c r="DE112" s="88">
        <v>0</v>
      </c>
      <c r="DF112" s="88">
        <v>0</v>
      </c>
      <c r="DG112" s="88">
        <v>212864</v>
      </c>
      <c r="DH112" s="88">
        <v>0</v>
      </c>
      <c r="DI112" s="321">
        <v>0</v>
      </c>
      <c r="DJ112" s="88">
        <v>3355</v>
      </c>
    </row>
    <row r="113" spans="1:114" ht="17.25" thickTop="1" thickBot="1">
      <c r="A113" s="531">
        <f t="shared" si="41"/>
        <v>110</v>
      </c>
      <c r="B113" s="38" t="s">
        <v>610</v>
      </c>
      <c r="C113" s="17" t="s">
        <v>241</v>
      </c>
      <c r="D113" s="17">
        <v>1369357831</v>
      </c>
      <c r="E113" s="142" t="str">
        <f t="shared" si="42"/>
        <v>RFSC</v>
      </c>
      <c r="F113" s="16">
        <v>4194097</v>
      </c>
      <c r="G113" s="16">
        <v>4253038</v>
      </c>
      <c r="H113" s="16">
        <v>0</v>
      </c>
      <c r="I113" s="16">
        <v>0</v>
      </c>
      <c r="J113" s="16">
        <v>181116</v>
      </c>
      <c r="K113" s="16">
        <v>181116</v>
      </c>
      <c r="L113" s="16">
        <v>105944</v>
      </c>
      <c r="M113" s="16">
        <v>105944</v>
      </c>
      <c r="N113" s="12" t="s">
        <v>917</v>
      </c>
      <c r="O113" s="12" t="s">
        <v>1019</v>
      </c>
      <c r="P113" s="12" t="s">
        <v>917</v>
      </c>
      <c r="Q113" s="12" t="s">
        <v>917</v>
      </c>
      <c r="R113" s="12" t="s">
        <v>917</v>
      </c>
      <c r="S113" s="12" t="s">
        <v>1019</v>
      </c>
      <c r="T113" s="12" t="s">
        <v>917</v>
      </c>
      <c r="U113" s="12" t="s">
        <v>1019</v>
      </c>
      <c r="V113" s="22">
        <v>58941</v>
      </c>
      <c r="W113" s="22">
        <v>0</v>
      </c>
      <c r="X113" s="22">
        <v>0</v>
      </c>
      <c r="Y113" s="22">
        <v>0</v>
      </c>
      <c r="Z113" s="171">
        <f t="shared" si="34"/>
        <v>4194097</v>
      </c>
      <c r="AA113" s="130" t="str">
        <f t="shared" si="35"/>
        <v>citit</v>
      </c>
      <c r="AB113" s="176">
        <f t="shared" si="43"/>
        <v>4253038</v>
      </c>
      <c r="AC113" s="12" t="s">
        <v>917</v>
      </c>
      <c r="AD113" s="12">
        <f t="shared" si="101"/>
        <v>0</v>
      </c>
      <c r="AE113" s="12">
        <f t="shared" si="101"/>
        <v>0</v>
      </c>
      <c r="AF113" s="12">
        <f t="shared" si="101"/>
        <v>181116</v>
      </c>
      <c r="AG113" s="12" t="str">
        <f t="shared" si="37"/>
        <v>citit</v>
      </c>
      <c r="AH113" s="176">
        <f t="shared" si="44"/>
        <v>181116</v>
      </c>
      <c r="AI113" s="12" t="s">
        <v>917</v>
      </c>
      <c r="AJ113" s="12">
        <f t="shared" si="38"/>
        <v>105944</v>
      </c>
      <c r="AK113" s="12" t="str">
        <f t="shared" si="39"/>
        <v>citit</v>
      </c>
      <c r="AL113" s="175">
        <f t="shared" si="45"/>
        <v>105944</v>
      </c>
      <c r="AM113" s="159" t="s">
        <v>917</v>
      </c>
      <c r="AN113" s="154">
        <f t="shared" si="46"/>
        <v>58941</v>
      </c>
      <c r="AO113" s="14">
        <f t="shared" si="47"/>
        <v>0</v>
      </c>
      <c r="AP113" s="147">
        <f t="shared" si="48"/>
        <v>0</v>
      </c>
      <c r="AQ113" s="147">
        <f t="shared" si="49"/>
        <v>0</v>
      </c>
      <c r="AR113" s="16">
        <v>0</v>
      </c>
      <c r="AS113" s="16">
        <v>0</v>
      </c>
      <c r="AT113" s="1">
        <f t="shared" si="50"/>
        <v>0</v>
      </c>
      <c r="AU113" s="154">
        <f t="shared" si="51"/>
        <v>0</v>
      </c>
      <c r="AV113" s="154">
        <f t="shared" si="52"/>
        <v>0</v>
      </c>
      <c r="AW113" s="154">
        <f t="shared" si="53"/>
        <v>0</v>
      </c>
      <c r="AX113" s="154">
        <f t="shared" si="54"/>
        <v>0</v>
      </c>
      <c r="AY113" s="308" t="str">
        <f t="shared" si="55"/>
        <v>-</v>
      </c>
      <c r="AZ113" s="308">
        <f t="shared" si="40"/>
        <v>246061</v>
      </c>
      <c r="BA113" s="308">
        <f>IFERROR(IF(_xlfn.NUMBERVALUE(RIGHT(B113,LEN(B113)-FIND(".",B113,1)))=COUNTIF('Contorizare in SDI'!$B:$B,LEFT(B113,FIND(".",B113,1)-1))-1,IF((COUNTIF('Contorizare in SDI'!$B:$B,LEFT(B113,FIND(".",B113,1)-1))-1)=1,VLOOKUP(LEFT(B113,FIND(".",B113,1)-1),$B$4:$AZ$68,45,FALSE),VLOOKUP(LEFT(B113,FIND(".",B113,1)-1),$B$4:$AZ$68,45,FALSE)-BB112),ROUNDUP(V113/VLOOKUP(LEFT(B113,FIND(".",B113,1)-1),$AY:$AZ,2,FALSE)*VLOOKUP(LEFT(B113,FIND(".",B113,1)-1),$B$4:$AZ$68,45,FALSE),0)),0)</f>
        <v>0</v>
      </c>
      <c r="BB113" s="308">
        <f t="shared" si="56"/>
        <v>0</v>
      </c>
      <c r="BC113" s="308">
        <f>IFERROR(IF(_xlfn.NUMBERVALUE(RIGHT(B113,LEN(B113)-FIND(".",B113,1)))=COUNTIF('Contorizare in SDI'!$B:$B,LEFT(B113,FIND(".",B113,1)-1))-1,IF((COUNTIF('Contorizare in SDI'!$B:$B,LEFT(B113,FIND(".",B113,1)-1))-1)=1,VLOOKUP(LEFT(B113,FIND(".",B113,1)-1),$B$4:$AZ$68,46,FALSE),VLOOKUP(LEFT(B113,FIND(".",B113,1)-1),$B$4:$AZ$68,46,FALSE)-BD112),ROUNDUP(V113/VLOOKUP(LEFT(B113,FIND(".",B113,1)-1),$AY:$AZ,2,FALSE)*VLOOKUP(LEFT(B113,FIND(".",B113,1)-1),$B$4:$AZ$68,46,FALSE),0)),0)</f>
        <v>0</v>
      </c>
      <c r="BD113" s="308">
        <f t="shared" si="57"/>
        <v>0</v>
      </c>
      <c r="BE113" s="308">
        <f>IFERROR(IF(_xlfn.NUMBERVALUE(RIGHT(B113,LEN(B113)-FIND(".",B113,1)))=COUNTIF('Contorizare in SDI'!$B:$B,LEFT(B113,FIND(".",B113,1)-1))-1,IF((COUNTIF('Contorizare in SDI'!$B:$B,LEFT(B113,FIND(".",B113,1)-1))-1)=1,VLOOKUP(LEFT(B113,FIND(".",B113,1)-1),$B$4:$AZ$68,47,FALSE),VLOOKUP(LEFT(B113,FIND(".",B113,1)-1),$B$4:$AZ$68,47,FALSE)-BF112),ROUNDUP(V113/VLOOKUP(LEFT(B113,FIND(".",B113,1)-1),$AY:$AZ,2,FALSE)*VLOOKUP(LEFT(B113,FIND(".",B113,1)-1),$B$4:$AZ$68,47,FALSE),0)),0)</f>
        <v>0</v>
      </c>
      <c r="BF113" s="308">
        <f t="shared" si="58"/>
        <v>0</v>
      </c>
      <c r="BG113" s="308">
        <f>IFERROR(IF(_xlfn.NUMBERVALUE(RIGHT(B113,LEN(B113)-FIND(".",B113,1)))=COUNTIF('Contorizare in SDI'!$B:$B,LEFT(B113,FIND(".",B113,1)-1))-1,IF((COUNTIF('Contorizare in SDI'!$B:$B,LEFT(B113,FIND(".",B113,1)-1))-1)=1,VLOOKUP(LEFT(B113,FIND(".",B113,1)-1),$B$4:$AZ$68,48,FALSE),VLOOKUP(LEFT(B113,FIND(".",B113,1)-1),$B$4:$AZ$68,48,FALSE)-BH112),ROUNDUP(V113/VLOOKUP(LEFT(B113,FIND(".",B113,1)-1),$AY:$AZ,2,FALSE)*VLOOKUP(LEFT(B113,FIND(".",B113,1)-1),$B$4:$AZ$68,48,FALSE),0)),0)</f>
        <v>0</v>
      </c>
      <c r="BH113" s="308">
        <f t="shared" si="59"/>
        <v>0</v>
      </c>
      <c r="BI113" s="308">
        <f>IFERROR(IF(_xlfn.NUMBERVALUE(RIGHT(B113,LEN(B113)-FIND(".",B113,1)))=COUNTIF('Contorizare in SDI'!$B:$B,LEFT(B113,FIND(".",B113,1)-1))-1,IF((COUNTIF('Contorizare in SDI'!$B:$B,LEFT(B113,FIND(".",B113,1)-1))-1)=1,VLOOKUP(LEFT(B113,FIND(".",B113,1)-1),$B$4:$AZ$68,49,FALSE),VLOOKUP(LEFT(B113,FIND(".",B113,1)-1),$B$4:$AZ$68,49,FALSE)-BJ112),ROUNDUP(V113/VLOOKUP(LEFT(B113,FIND(".",B113,1)-1),$AY:$AZ,2,FALSE)*VLOOKUP(LEFT(B113,FIND(".",B113,1)-1),$B$4:$AZ$68,49,FALSE),0)),0)</f>
        <v>0</v>
      </c>
      <c r="BJ113" s="308">
        <f t="shared" si="60"/>
        <v>0</v>
      </c>
      <c r="BP113" s="44">
        <f t="shared" si="61"/>
        <v>0</v>
      </c>
      <c r="BQ113" s="1">
        <v>0</v>
      </c>
      <c r="BR113" s="1">
        <v>0</v>
      </c>
      <c r="BS113" s="16">
        <f t="shared" si="102"/>
        <v>0</v>
      </c>
      <c r="BT113" s="16">
        <f t="shared" si="103"/>
        <v>0</v>
      </c>
      <c r="BU113" s="16">
        <f t="shared" si="104"/>
        <v>0</v>
      </c>
      <c r="BV113" s="16">
        <f t="shared" si="105"/>
        <v>0</v>
      </c>
      <c r="BX113" s="1" t="str">
        <f t="shared" si="32"/>
        <v/>
      </c>
      <c r="BY113" s="1">
        <f t="shared" si="33"/>
        <v>0</v>
      </c>
      <c r="BZ113" s="1">
        <f t="shared" si="66"/>
        <v>0</v>
      </c>
      <c r="CA113" s="1">
        <f t="shared" si="67"/>
        <v>0</v>
      </c>
      <c r="CB113" s="1">
        <f t="shared" si="68"/>
        <v>0</v>
      </c>
      <c r="CC113" s="1">
        <f t="shared" si="69"/>
        <v>0</v>
      </c>
      <c r="CD113" s="1">
        <f t="shared" si="70"/>
        <v>0</v>
      </c>
      <c r="CE113" s="1">
        <f t="shared" si="71"/>
        <v>0</v>
      </c>
      <c r="CR113" s="30" t="s">
        <v>549</v>
      </c>
      <c r="CS113" s="291">
        <v>732960</v>
      </c>
      <c r="CT113" s="291">
        <v>0</v>
      </c>
      <c r="CU113" s="291">
        <v>0</v>
      </c>
      <c r="CV113" s="291">
        <v>0</v>
      </c>
      <c r="CW113" s="29" t="s">
        <v>981</v>
      </c>
      <c r="CX113" s="312">
        <v>10995</v>
      </c>
      <c r="CY113" s="184">
        <v>0</v>
      </c>
      <c r="CZ113" s="88">
        <v>0</v>
      </c>
      <c r="DA113" s="88">
        <v>0</v>
      </c>
      <c r="DB113" s="29" t="s">
        <v>69</v>
      </c>
      <c r="DC113" s="87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321">
        <v>0</v>
      </c>
      <c r="DJ113" s="88">
        <v>0</v>
      </c>
    </row>
    <row r="114" spans="1:114" ht="17.25" thickTop="1" thickBot="1">
      <c r="A114" s="531">
        <f t="shared" si="41"/>
        <v>111</v>
      </c>
      <c r="B114" s="38" t="s">
        <v>611</v>
      </c>
      <c r="C114" s="17" t="s">
        <v>243</v>
      </c>
      <c r="D114" s="17" t="s">
        <v>1018</v>
      </c>
      <c r="E114" s="142" t="str">
        <f t="shared" si="42"/>
        <v>RFSC</v>
      </c>
      <c r="F114" s="16">
        <v>2637662.5</v>
      </c>
      <c r="G114" s="16">
        <v>2949532.5</v>
      </c>
      <c r="H114" s="16">
        <v>0</v>
      </c>
      <c r="I114" s="16">
        <v>0</v>
      </c>
      <c r="J114" s="16">
        <v>90050</v>
      </c>
      <c r="K114" s="16">
        <v>90050</v>
      </c>
      <c r="L114" s="16">
        <v>8952</v>
      </c>
      <c r="M114" s="16">
        <v>8952</v>
      </c>
      <c r="N114" s="12" t="s">
        <v>917</v>
      </c>
      <c r="O114" s="12" t="s">
        <v>1019</v>
      </c>
      <c r="P114" s="12" t="s">
        <v>917</v>
      </c>
      <c r="Q114" s="12" t="s">
        <v>917</v>
      </c>
      <c r="R114" s="12" t="s">
        <v>917</v>
      </c>
      <c r="S114" s="12" t="s">
        <v>1019</v>
      </c>
      <c r="T114" s="12" t="s">
        <v>917</v>
      </c>
      <c r="U114" s="12" t="s">
        <v>1019</v>
      </c>
      <c r="V114" s="22">
        <v>311870</v>
      </c>
      <c r="W114" s="22">
        <v>0</v>
      </c>
      <c r="X114" s="22">
        <v>0</v>
      </c>
      <c r="Y114" s="22">
        <v>0</v>
      </c>
      <c r="Z114" s="171">
        <f t="shared" si="34"/>
        <v>2637662.5</v>
      </c>
      <c r="AA114" s="130" t="str">
        <f t="shared" si="35"/>
        <v>citit</v>
      </c>
      <c r="AB114" s="176">
        <f t="shared" si="43"/>
        <v>2949532.5</v>
      </c>
      <c r="AC114" s="12" t="s">
        <v>917</v>
      </c>
      <c r="AD114" s="12">
        <f t="shared" si="101"/>
        <v>0</v>
      </c>
      <c r="AE114" s="12">
        <f t="shared" si="101"/>
        <v>0</v>
      </c>
      <c r="AF114" s="12">
        <f t="shared" si="101"/>
        <v>90050</v>
      </c>
      <c r="AG114" s="12" t="str">
        <f t="shared" si="37"/>
        <v>citit</v>
      </c>
      <c r="AH114" s="176">
        <f t="shared" si="44"/>
        <v>90050</v>
      </c>
      <c r="AI114" s="12" t="s">
        <v>917</v>
      </c>
      <c r="AJ114" s="12">
        <f t="shared" si="38"/>
        <v>8952</v>
      </c>
      <c r="AK114" s="12" t="str">
        <f t="shared" si="39"/>
        <v>citit</v>
      </c>
      <c r="AL114" s="175">
        <f t="shared" si="45"/>
        <v>8952</v>
      </c>
      <c r="AM114" s="159" t="s">
        <v>917</v>
      </c>
      <c r="AN114" s="154">
        <f t="shared" si="46"/>
        <v>311870</v>
      </c>
      <c r="AO114" s="14">
        <f t="shared" si="47"/>
        <v>0</v>
      </c>
      <c r="AP114" s="147">
        <f t="shared" si="48"/>
        <v>0</v>
      </c>
      <c r="AQ114" s="147">
        <f t="shared" si="49"/>
        <v>0</v>
      </c>
      <c r="AR114" s="16">
        <v>0</v>
      </c>
      <c r="AS114" s="16">
        <v>0</v>
      </c>
      <c r="AT114" s="1">
        <f t="shared" si="50"/>
        <v>0</v>
      </c>
      <c r="AU114" s="154">
        <f t="shared" si="51"/>
        <v>0</v>
      </c>
      <c r="AV114" s="154">
        <f t="shared" si="52"/>
        <v>0</v>
      </c>
      <c r="AW114" s="154">
        <f t="shared" si="53"/>
        <v>0</v>
      </c>
      <c r="AX114" s="154">
        <f t="shared" si="54"/>
        <v>0</v>
      </c>
      <c r="AY114" s="308" t="str">
        <f t="shared" si="55"/>
        <v>-</v>
      </c>
      <c r="AZ114" s="308">
        <f t="shared" si="40"/>
        <v>557931</v>
      </c>
      <c r="BA114" s="308">
        <f>IFERROR(IF(_xlfn.NUMBERVALUE(RIGHT(B114,LEN(B114)-FIND(".",B114,1)))=COUNTIF('Contorizare in SDI'!$B:$B,LEFT(B114,FIND(".",B114,1)-1))-1,IF((COUNTIF('Contorizare in SDI'!$B:$B,LEFT(B114,FIND(".",B114,1)-1))-1)=1,VLOOKUP(LEFT(B114,FIND(".",B114,1)-1),$B$4:$AZ$68,45,FALSE),VLOOKUP(LEFT(B114,FIND(".",B114,1)-1),$B$4:$AZ$68,45,FALSE)-BB113),ROUNDUP(V114/VLOOKUP(LEFT(B114,FIND(".",B114,1)-1),$AY:$AZ,2,FALSE)*VLOOKUP(LEFT(B114,FIND(".",B114,1)-1),$B$4:$AZ$68,45,FALSE),0)),0)</f>
        <v>0</v>
      </c>
      <c r="BB114" s="308">
        <f t="shared" si="56"/>
        <v>0</v>
      </c>
      <c r="BC114" s="308">
        <f>IFERROR(IF(_xlfn.NUMBERVALUE(RIGHT(B114,LEN(B114)-FIND(".",B114,1)))=COUNTIF('Contorizare in SDI'!$B:$B,LEFT(B114,FIND(".",B114,1)-1))-1,IF((COUNTIF('Contorizare in SDI'!$B:$B,LEFT(B114,FIND(".",B114,1)-1))-1)=1,VLOOKUP(LEFT(B114,FIND(".",B114,1)-1),$B$4:$AZ$68,46,FALSE),VLOOKUP(LEFT(B114,FIND(".",B114,1)-1),$B$4:$AZ$68,46,FALSE)-BD113),ROUNDUP(V114/VLOOKUP(LEFT(B114,FIND(".",B114,1)-1),$AY:$AZ,2,FALSE)*VLOOKUP(LEFT(B114,FIND(".",B114,1)-1),$B$4:$AZ$68,46,FALSE),0)),0)</f>
        <v>0</v>
      </c>
      <c r="BD114" s="308">
        <f t="shared" si="57"/>
        <v>0</v>
      </c>
      <c r="BE114" s="308">
        <f>IFERROR(IF(_xlfn.NUMBERVALUE(RIGHT(B114,LEN(B114)-FIND(".",B114,1)))=COUNTIF('Contorizare in SDI'!$B:$B,LEFT(B114,FIND(".",B114,1)-1))-1,IF((COUNTIF('Contorizare in SDI'!$B:$B,LEFT(B114,FIND(".",B114,1)-1))-1)=1,VLOOKUP(LEFT(B114,FIND(".",B114,1)-1),$B$4:$AZ$68,47,FALSE),VLOOKUP(LEFT(B114,FIND(".",B114,1)-1),$B$4:$AZ$68,47,FALSE)-BF113),ROUNDUP(V114/VLOOKUP(LEFT(B114,FIND(".",B114,1)-1),$AY:$AZ,2,FALSE)*VLOOKUP(LEFT(B114,FIND(".",B114,1)-1),$B$4:$AZ$68,47,FALSE),0)),0)</f>
        <v>0</v>
      </c>
      <c r="BF114" s="308">
        <f t="shared" si="58"/>
        <v>0</v>
      </c>
      <c r="BG114" s="308">
        <f>IFERROR(IF(_xlfn.NUMBERVALUE(RIGHT(B114,LEN(B114)-FIND(".",B114,1)))=COUNTIF('Contorizare in SDI'!$B:$B,LEFT(B114,FIND(".",B114,1)-1))-1,IF((COUNTIF('Contorizare in SDI'!$B:$B,LEFT(B114,FIND(".",B114,1)-1))-1)=1,VLOOKUP(LEFT(B114,FIND(".",B114,1)-1),$B$4:$AZ$68,48,FALSE),VLOOKUP(LEFT(B114,FIND(".",B114,1)-1),$B$4:$AZ$68,48,FALSE)-BH113),ROUNDUP(V114/VLOOKUP(LEFT(B114,FIND(".",B114,1)-1),$AY:$AZ,2,FALSE)*VLOOKUP(LEFT(B114,FIND(".",B114,1)-1),$B$4:$AZ$68,48,FALSE),0)),0)</f>
        <v>0</v>
      </c>
      <c r="BH114" s="308">
        <f t="shared" si="59"/>
        <v>0</v>
      </c>
      <c r="BI114" s="308">
        <f>IFERROR(IF(_xlfn.NUMBERVALUE(RIGHT(B114,LEN(B114)-FIND(".",B114,1)))=COUNTIF('Contorizare in SDI'!$B:$B,LEFT(B114,FIND(".",B114,1)-1))-1,IF((COUNTIF('Contorizare in SDI'!$B:$B,LEFT(B114,FIND(".",B114,1)-1))-1)=1,VLOOKUP(LEFT(B114,FIND(".",B114,1)-1),$B$4:$AZ$68,49,FALSE),VLOOKUP(LEFT(B114,FIND(".",B114,1)-1),$B$4:$AZ$68,49,FALSE)-BJ113),ROUNDUP(V114/VLOOKUP(LEFT(B114,FIND(".",B114,1)-1),$AY:$AZ,2,FALSE)*VLOOKUP(LEFT(B114,FIND(".",B114,1)-1),$B$4:$AZ$68,49,FALSE),0)),0)</f>
        <v>0</v>
      </c>
      <c r="BJ114" s="308">
        <f t="shared" si="60"/>
        <v>0</v>
      </c>
      <c r="BP114" s="44">
        <f t="shared" si="61"/>
        <v>0</v>
      </c>
      <c r="BQ114" s="1">
        <v>0</v>
      </c>
      <c r="BR114" s="1">
        <v>0</v>
      </c>
      <c r="BS114" s="16">
        <f t="shared" si="102"/>
        <v>0</v>
      </c>
      <c r="BT114" s="16">
        <f t="shared" si="103"/>
        <v>0</v>
      </c>
      <c r="BU114" s="16">
        <f t="shared" si="104"/>
        <v>0</v>
      </c>
      <c r="BV114" s="16">
        <f t="shared" si="105"/>
        <v>0</v>
      </c>
      <c r="BX114" s="1" t="str">
        <f t="shared" si="32"/>
        <v/>
      </c>
      <c r="BY114" s="1">
        <f t="shared" si="33"/>
        <v>0</v>
      </c>
      <c r="BZ114" s="1">
        <f t="shared" si="66"/>
        <v>0</v>
      </c>
      <c r="CA114" s="1">
        <f t="shared" si="67"/>
        <v>0</v>
      </c>
      <c r="CB114" s="1">
        <f t="shared" si="68"/>
        <v>0</v>
      </c>
      <c r="CC114" s="1">
        <f t="shared" si="69"/>
        <v>0</v>
      </c>
      <c r="CD114" s="1">
        <f t="shared" si="70"/>
        <v>0</v>
      </c>
      <c r="CE114" s="1">
        <f t="shared" si="71"/>
        <v>0</v>
      </c>
      <c r="CR114" s="30" t="s">
        <v>550</v>
      </c>
      <c r="CS114" s="291">
        <v>698240</v>
      </c>
      <c r="CT114" s="291">
        <v>0</v>
      </c>
      <c r="CU114" s="291">
        <v>0</v>
      </c>
      <c r="CV114" s="291">
        <v>0</v>
      </c>
      <c r="CW114" s="29" t="s">
        <v>637</v>
      </c>
      <c r="CX114" s="312">
        <v>175218</v>
      </c>
      <c r="CY114" s="184">
        <v>0</v>
      </c>
      <c r="CZ114" s="88">
        <v>0</v>
      </c>
      <c r="DA114" s="88">
        <v>0</v>
      </c>
      <c r="DB114" s="29" t="s">
        <v>69</v>
      </c>
      <c r="DC114" s="87">
        <v>0</v>
      </c>
      <c r="DD114" s="88">
        <v>0</v>
      </c>
      <c r="DE114" s="88">
        <v>0</v>
      </c>
      <c r="DF114" s="88">
        <v>0</v>
      </c>
      <c r="DG114" s="88">
        <v>175218</v>
      </c>
      <c r="DH114" s="88">
        <v>0</v>
      </c>
      <c r="DI114" s="321">
        <v>0</v>
      </c>
      <c r="DJ114" s="88">
        <v>2629</v>
      </c>
    </row>
    <row r="115" spans="1:114" ht="17.25" thickTop="1" thickBot="1">
      <c r="A115" s="531">
        <f t="shared" si="41"/>
        <v>112</v>
      </c>
      <c r="B115" s="38" t="s">
        <v>612</v>
      </c>
      <c r="C115" s="17" t="s">
        <v>245</v>
      </c>
      <c r="D115" s="17" t="s">
        <v>1017</v>
      </c>
      <c r="E115" s="142" t="str">
        <f t="shared" si="42"/>
        <v>RFSC</v>
      </c>
      <c r="F115" s="16">
        <v>2524022.5</v>
      </c>
      <c r="G115" s="16">
        <v>2818234.5</v>
      </c>
      <c r="H115" s="16">
        <v>0</v>
      </c>
      <c r="I115" s="16">
        <v>0</v>
      </c>
      <c r="J115" s="16">
        <v>90098</v>
      </c>
      <c r="K115" s="16">
        <v>90098</v>
      </c>
      <c r="L115" s="16">
        <v>9000</v>
      </c>
      <c r="M115" s="16">
        <v>9000</v>
      </c>
      <c r="N115" s="12" t="s">
        <v>917</v>
      </c>
      <c r="O115" s="12" t="s">
        <v>1019</v>
      </c>
      <c r="P115" s="12" t="s">
        <v>917</v>
      </c>
      <c r="Q115" s="12" t="s">
        <v>917</v>
      </c>
      <c r="R115" s="12" t="s">
        <v>917</v>
      </c>
      <c r="S115" s="12" t="s">
        <v>1019</v>
      </c>
      <c r="T115" s="12" t="s">
        <v>917</v>
      </c>
      <c r="U115" s="12" t="s">
        <v>1019</v>
      </c>
      <c r="V115" s="22">
        <v>294212</v>
      </c>
      <c r="W115" s="22">
        <v>0</v>
      </c>
      <c r="X115" s="22">
        <v>0</v>
      </c>
      <c r="Y115" s="22">
        <v>0</v>
      </c>
      <c r="Z115" s="171">
        <f t="shared" si="34"/>
        <v>2524022.5</v>
      </c>
      <c r="AA115" s="130" t="str">
        <f t="shared" si="35"/>
        <v>citit</v>
      </c>
      <c r="AB115" s="176">
        <f t="shared" si="43"/>
        <v>2818234.5</v>
      </c>
      <c r="AC115" s="12" t="s">
        <v>917</v>
      </c>
      <c r="AD115" s="12">
        <f t="shared" si="101"/>
        <v>0</v>
      </c>
      <c r="AE115" s="12">
        <f t="shared" si="101"/>
        <v>0</v>
      </c>
      <c r="AF115" s="12">
        <f t="shared" si="101"/>
        <v>90098</v>
      </c>
      <c r="AG115" s="12" t="str">
        <f t="shared" si="37"/>
        <v>citit</v>
      </c>
      <c r="AH115" s="176">
        <f t="shared" si="44"/>
        <v>90098</v>
      </c>
      <c r="AI115" s="12" t="s">
        <v>917</v>
      </c>
      <c r="AJ115" s="12">
        <f t="shared" si="38"/>
        <v>9000</v>
      </c>
      <c r="AK115" s="12" t="str">
        <f t="shared" si="39"/>
        <v>citit</v>
      </c>
      <c r="AL115" s="175">
        <f t="shared" si="45"/>
        <v>9000</v>
      </c>
      <c r="AM115" s="159" t="s">
        <v>917</v>
      </c>
      <c r="AN115" s="154">
        <f t="shared" si="46"/>
        <v>294212</v>
      </c>
      <c r="AO115" s="14">
        <f t="shared" si="47"/>
        <v>0</v>
      </c>
      <c r="AP115" s="147">
        <f t="shared" si="48"/>
        <v>0</v>
      </c>
      <c r="AQ115" s="147">
        <f t="shared" si="49"/>
        <v>0</v>
      </c>
      <c r="AR115" s="16">
        <v>0</v>
      </c>
      <c r="AS115" s="16">
        <v>0</v>
      </c>
      <c r="AT115" s="1">
        <f t="shared" si="50"/>
        <v>0</v>
      </c>
      <c r="AU115" s="154">
        <f t="shared" si="51"/>
        <v>0</v>
      </c>
      <c r="AV115" s="154">
        <f t="shared" si="52"/>
        <v>0</v>
      </c>
      <c r="AW115" s="154">
        <f t="shared" si="53"/>
        <v>0</v>
      </c>
      <c r="AX115" s="154">
        <f t="shared" si="54"/>
        <v>0</v>
      </c>
      <c r="AY115" s="308" t="str">
        <f t="shared" si="55"/>
        <v>RFSC_1</v>
      </c>
      <c r="AZ115" s="308">
        <f t="shared" si="40"/>
        <v>852143</v>
      </c>
      <c r="BA115" s="308">
        <f>IFERROR(IF(_xlfn.NUMBERVALUE(RIGHT(B115,LEN(B115)-FIND(".",B115,1)))=COUNTIF('Contorizare in SDI'!$B:$B,LEFT(B115,FIND(".",B115,1)-1))-1,IF((COUNTIF('Contorizare in SDI'!$B:$B,LEFT(B115,FIND(".",B115,1)-1))-1)=1,VLOOKUP(LEFT(B115,FIND(".",B115,1)-1),$B$4:$AZ$68,45,FALSE),VLOOKUP(LEFT(B115,FIND(".",B115,1)-1),$B$4:$AZ$68,45,FALSE)-BB114),ROUNDUP(V115/VLOOKUP(LEFT(B115,FIND(".",B115,1)-1),$AY:$AZ,2,FALSE)*VLOOKUP(LEFT(B115,FIND(".",B115,1)-1),$B$4:$AZ$68,45,FALSE),0)),0)</f>
        <v>0</v>
      </c>
      <c r="BB115" s="308">
        <f t="shared" si="56"/>
        <v>0</v>
      </c>
      <c r="BC115" s="308">
        <f>IFERROR(IF(_xlfn.NUMBERVALUE(RIGHT(B115,LEN(B115)-FIND(".",B115,1)))=COUNTIF('Contorizare in SDI'!$B:$B,LEFT(B115,FIND(".",B115,1)-1))-1,IF((COUNTIF('Contorizare in SDI'!$B:$B,LEFT(B115,FIND(".",B115,1)-1))-1)=1,VLOOKUP(LEFT(B115,FIND(".",B115,1)-1),$B$4:$AZ$68,46,FALSE),VLOOKUP(LEFT(B115,FIND(".",B115,1)-1),$B$4:$AZ$68,46,FALSE)-BD114),ROUNDUP(V115/VLOOKUP(LEFT(B115,FIND(".",B115,1)-1),$AY:$AZ,2,FALSE)*VLOOKUP(LEFT(B115,FIND(".",B115,1)-1),$B$4:$AZ$68,46,FALSE),0)),0)</f>
        <v>0</v>
      </c>
      <c r="BD115" s="308">
        <f t="shared" si="57"/>
        <v>0</v>
      </c>
      <c r="BE115" s="308">
        <f>IFERROR(IF(_xlfn.NUMBERVALUE(RIGHT(B115,LEN(B115)-FIND(".",B115,1)))=COUNTIF('Contorizare in SDI'!$B:$B,LEFT(B115,FIND(".",B115,1)-1))-1,IF((COUNTIF('Contorizare in SDI'!$B:$B,LEFT(B115,FIND(".",B115,1)-1))-1)=1,VLOOKUP(LEFT(B115,FIND(".",B115,1)-1),$B$4:$AZ$68,47,FALSE),VLOOKUP(LEFT(B115,FIND(".",B115,1)-1),$B$4:$AZ$68,47,FALSE)-BF114),ROUNDUP(V115/VLOOKUP(LEFT(B115,FIND(".",B115,1)-1),$AY:$AZ,2,FALSE)*VLOOKUP(LEFT(B115,FIND(".",B115,1)-1),$B$4:$AZ$68,47,FALSE),0)),0)</f>
        <v>0</v>
      </c>
      <c r="BF115" s="308">
        <f t="shared" si="58"/>
        <v>0</v>
      </c>
      <c r="BG115" s="308">
        <f>IFERROR(IF(_xlfn.NUMBERVALUE(RIGHT(B115,LEN(B115)-FIND(".",B115,1)))=COUNTIF('Contorizare in SDI'!$B:$B,LEFT(B115,FIND(".",B115,1)-1))-1,IF((COUNTIF('Contorizare in SDI'!$B:$B,LEFT(B115,FIND(".",B115,1)-1))-1)=1,VLOOKUP(LEFT(B115,FIND(".",B115,1)-1),$B$4:$AZ$68,48,FALSE),VLOOKUP(LEFT(B115,FIND(".",B115,1)-1),$B$4:$AZ$68,48,FALSE)-BH114),ROUNDUP(V115/VLOOKUP(LEFT(B115,FIND(".",B115,1)-1),$AY:$AZ,2,FALSE)*VLOOKUP(LEFT(B115,FIND(".",B115,1)-1),$B$4:$AZ$68,48,FALSE),0)),0)</f>
        <v>0</v>
      </c>
      <c r="BH115" s="308">
        <f t="shared" si="59"/>
        <v>0</v>
      </c>
      <c r="BI115" s="308">
        <f>IFERROR(IF(_xlfn.NUMBERVALUE(RIGHT(B115,LEN(B115)-FIND(".",B115,1)))=COUNTIF('Contorizare in SDI'!$B:$B,LEFT(B115,FIND(".",B115,1)-1))-1,IF((COUNTIF('Contorizare in SDI'!$B:$B,LEFT(B115,FIND(".",B115,1)-1))-1)=1,VLOOKUP(LEFT(B115,FIND(".",B115,1)-1),$B$4:$AZ$68,49,FALSE),VLOOKUP(LEFT(B115,FIND(".",B115,1)-1),$B$4:$AZ$68,49,FALSE)-BJ114),ROUNDUP(V115/VLOOKUP(LEFT(B115,FIND(".",B115,1)-1),$AY:$AZ,2,FALSE)*VLOOKUP(LEFT(B115,FIND(".",B115,1)-1),$B$4:$AZ$68,49,FALSE),0)),0)</f>
        <v>0</v>
      </c>
      <c r="BJ115" s="308">
        <f t="shared" si="60"/>
        <v>0</v>
      </c>
      <c r="BP115" s="44">
        <f t="shared" si="61"/>
        <v>0</v>
      </c>
      <c r="BQ115" s="1">
        <v>0</v>
      </c>
      <c r="BR115" s="1">
        <v>0</v>
      </c>
      <c r="BS115" s="16">
        <f t="shared" si="102"/>
        <v>0</v>
      </c>
      <c r="BT115" s="16">
        <f t="shared" si="103"/>
        <v>0</v>
      </c>
      <c r="BU115" s="16">
        <f t="shared" si="104"/>
        <v>0</v>
      </c>
      <c r="BV115" s="16">
        <f t="shared" si="105"/>
        <v>0</v>
      </c>
      <c r="BX115" s="1" t="str">
        <f t="shared" si="32"/>
        <v/>
      </c>
      <c r="BY115" s="1">
        <f t="shared" si="33"/>
        <v>0</v>
      </c>
      <c r="BZ115" s="1">
        <f t="shared" si="66"/>
        <v>0</v>
      </c>
      <c r="CA115" s="1">
        <f t="shared" si="67"/>
        <v>0</v>
      </c>
      <c r="CB115" s="1">
        <f t="shared" si="68"/>
        <v>0</v>
      </c>
      <c r="CC115" s="1">
        <f t="shared" si="69"/>
        <v>0</v>
      </c>
      <c r="CD115" s="1">
        <f t="shared" si="70"/>
        <v>0</v>
      </c>
      <c r="CE115" s="1">
        <f t="shared" si="71"/>
        <v>0</v>
      </c>
      <c r="CR115" s="30" t="s">
        <v>550</v>
      </c>
      <c r="CS115" s="291">
        <v>698240</v>
      </c>
      <c r="CT115" s="291">
        <v>0</v>
      </c>
      <c r="CU115" s="291">
        <v>0</v>
      </c>
      <c r="CV115" s="291">
        <v>0</v>
      </c>
      <c r="CW115" s="29" t="s">
        <v>638</v>
      </c>
      <c r="CX115" s="312">
        <v>175218</v>
      </c>
      <c r="CY115" s="184">
        <v>0</v>
      </c>
      <c r="CZ115" s="88">
        <v>0</v>
      </c>
      <c r="DA115" s="88">
        <v>0</v>
      </c>
      <c r="DB115" s="29" t="s">
        <v>69</v>
      </c>
      <c r="DC115" s="87">
        <v>0</v>
      </c>
      <c r="DD115" s="88">
        <v>0</v>
      </c>
      <c r="DE115" s="88">
        <v>0</v>
      </c>
      <c r="DF115" s="88">
        <v>0</v>
      </c>
      <c r="DG115" s="88">
        <v>175218</v>
      </c>
      <c r="DH115" s="88">
        <v>0</v>
      </c>
      <c r="DI115" s="321">
        <v>0</v>
      </c>
      <c r="DJ115" s="88">
        <v>2629</v>
      </c>
    </row>
    <row r="116" spans="1:114" ht="17.25" thickTop="1" thickBot="1">
      <c r="A116" s="531">
        <f t="shared" si="41"/>
        <v>113</v>
      </c>
      <c r="B116" s="22" t="s">
        <v>998</v>
      </c>
      <c r="C116" s="17" t="s">
        <v>1005</v>
      </c>
      <c r="D116" s="22" t="s">
        <v>1325</v>
      </c>
      <c r="E116" s="142" t="str">
        <f t="shared" si="42"/>
        <v>RFSC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2" t="s">
        <v>917</v>
      </c>
      <c r="O116" s="12" t="s">
        <v>1019</v>
      </c>
      <c r="P116" s="12" t="s">
        <v>917</v>
      </c>
      <c r="Q116" s="12" t="s">
        <v>917</v>
      </c>
      <c r="R116" s="12" t="s">
        <v>917</v>
      </c>
      <c r="S116" s="12" t="s">
        <v>1019</v>
      </c>
      <c r="T116" s="12" t="s">
        <v>917</v>
      </c>
      <c r="U116" s="12" t="s">
        <v>1019</v>
      </c>
      <c r="V116" s="22">
        <v>0</v>
      </c>
      <c r="W116" s="22">
        <v>0</v>
      </c>
      <c r="X116" s="22">
        <v>0</v>
      </c>
      <c r="Y116" s="22">
        <v>0</v>
      </c>
      <c r="Z116" s="171">
        <f t="shared" si="34"/>
        <v>0</v>
      </c>
      <c r="AA116" s="130" t="str">
        <f t="shared" si="35"/>
        <v>citit</v>
      </c>
      <c r="AB116" s="176">
        <f t="shared" si="43"/>
        <v>0</v>
      </c>
      <c r="AC116" s="12" t="s">
        <v>917</v>
      </c>
      <c r="AD116" s="12">
        <f t="shared" si="101"/>
        <v>0</v>
      </c>
      <c r="AE116" s="12">
        <f t="shared" si="101"/>
        <v>0</v>
      </c>
      <c r="AF116" s="12">
        <f t="shared" si="101"/>
        <v>0</v>
      </c>
      <c r="AG116" s="12" t="str">
        <f t="shared" si="37"/>
        <v>citit</v>
      </c>
      <c r="AH116" s="176">
        <f t="shared" si="44"/>
        <v>0</v>
      </c>
      <c r="AI116" s="12" t="s">
        <v>917</v>
      </c>
      <c r="AJ116" s="12">
        <f t="shared" si="38"/>
        <v>0</v>
      </c>
      <c r="AK116" s="12" t="str">
        <f t="shared" si="39"/>
        <v>citit</v>
      </c>
      <c r="AL116" s="175">
        <f t="shared" si="45"/>
        <v>0</v>
      </c>
      <c r="AM116" s="159" t="s">
        <v>917</v>
      </c>
      <c r="AN116" s="154">
        <f t="shared" si="46"/>
        <v>0</v>
      </c>
      <c r="AO116" s="14">
        <f t="shared" si="47"/>
        <v>0</v>
      </c>
      <c r="AP116" s="147">
        <f t="shared" si="48"/>
        <v>0</v>
      </c>
      <c r="AQ116" s="147">
        <f t="shared" si="49"/>
        <v>0</v>
      </c>
      <c r="AR116" s="16">
        <v>0</v>
      </c>
      <c r="AS116" s="16">
        <v>0</v>
      </c>
      <c r="AT116" s="1">
        <f t="shared" si="50"/>
        <v>0</v>
      </c>
      <c r="AU116" s="154">
        <f t="shared" si="51"/>
        <v>0</v>
      </c>
      <c r="AV116" s="154">
        <f t="shared" si="52"/>
        <v>0</v>
      </c>
      <c r="AW116" s="154">
        <f t="shared" si="53"/>
        <v>0</v>
      </c>
      <c r="AX116" s="154">
        <f t="shared" si="54"/>
        <v>0</v>
      </c>
      <c r="AY116" s="308" t="str">
        <f t="shared" si="55"/>
        <v>-</v>
      </c>
      <c r="AZ116" s="308">
        <f t="shared" si="40"/>
        <v>0</v>
      </c>
      <c r="BA116" s="308">
        <f>IFERROR(IF(_xlfn.NUMBERVALUE(RIGHT(B116,LEN(B116)-FIND(".",B116,1)))=COUNTIF('Contorizare in SDI'!$B:$B,LEFT(B116,FIND(".",B116,1)-1))-1,IF((COUNTIF('Contorizare in SDI'!$B:$B,LEFT(B116,FIND(".",B116,1)-1))-1)=1,VLOOKUP(LEFT(B116,FIND(".",B116,1)-1),$B$4:$AZ$68,45,FALSE),VLOOKUP(LEFT(B116,FIND(".",B116,1)-1),$B$4:$AZ$68,45,FALSE)-BB115),ROUNDUP(V116/VLOOKUP(LEFT(B116,FIND(".",B116,1)-1),$AY:$AZ,2,FALSE)*VLOOKUP(LEFT(B116,FIND(".",B116,1)-1),$B$4:$AZ$68,45,FALSE),0)),0)</f>
        <v>0</v>
      </c>
      <c r="BB116" s="308">
        <f t="shared" si="56"/>
        <v>0</v>
      </c>
      <c r="BC116" s="308">
        <f>IFERROR(IF(_xlfn.NUMBERVALUE(RIGHT(B116,LEN(B116)-FIND(".",B116,1)))=COUNTIF('Contorizare in SDI'!$B:$B,LEFT(B116,FIND(".",B116,1)-1))-1,IF((COUNTIF('Contorizare in SDI'!$B:$B,LEFT(B116,FIND(".",B116,1)-1))-1)=1,VLOOKUP(LEFT(B116,FIND(".",B116,1)-1),$B$4:$AZ$68,46,FALSE),VLOOKUP(LEFT(B116,FIND(".",B116,1)-1),$B$4:$AZ$68,46,FALSE)-BD115),ROUNDUP(V116/VLOOKUP(LEFT(B116,FIND(".",B116,1)-1),$AY:$AZ,2,FALSE)*VLOOKUP(LEFT(B116,FIND(".",B116,1)-1),$B$4:$AZ$68,46,FALSE),0)),0)</f>
        <v>0</v>
      </c>
      <c r="BD116" s="308">
        <f t="shared" si="57"/>
        <v>0</v>
      </c>
      <c r="BE116" s="308">
        <f>IFERROR(IF(_xlfn.NUMBERVALUE(RIGHT(B116,LEN(B116)-FIND(".",B116,1)))=COUNTIF('Contorizare in SDI'!$B:$B,LEFT(B116,FIND(".",B116,1)-1))-1,IF((COUNTIF('Contorizare in SDI'!$B:$B,LEFT(B116,FIND(".",B116,1)-1))-1)=1,VLOOKUP(LEFT(B116,FIND(".",B116,1)-1),$B$4:$AZ$68,47,FALSE),VLOOKUP(LEFT(B116,FIND(".",B116,1)-1),$B$4:$AZ$68,47,FALSE)-BF115),ROUNDUP(V116/VLOOKUP(LEFT(B116,FIND(".",B116,1)-1),$AY:$AZ,2,FALSE)*VLOOKUP(LEFT(B116,FIND(".",B116,1)-1),$B$4:$AZ$68,47,FALSE),0)),0)</f>
        <v>0</v>
      </c>
      <c r="BF116" s="308">
        <f t="shared" si="58"/>
        <v>0</v>
      </c>
      <c r="BG116" s="308">
        <f>IFERROR(IF(_xlfn.NUMBERVALUE(RIGHT(B116,LEN(B116)-FIND(".",B116,1)))=COUNTIF('Contorizare in SDI'!$B:$B,LEFT(B116,FIND(".",B116,1)-1))-1,IF((COUNTIF('Contorizare in SDI'!$B:$B,LEFT(B116,FIND(".",B116,1)-1))-1)=1,VLOOKUP(LEFT(B116,FIND(".",B116,1)-1),$B$4:$AZ$68,48,FALSE),VLOOKUP(LEFT(B116,FIND(".",B116,1)-1),$B$4:$AZ$68,48,FALSE)-BH115),ROUNDUP(V116/VLOOKUP(LEFT(B116,FIND(".",B116,1)-1),$AY:$AZ,2,FALSE)*VLOOKUP(LEFT(B116,FIND(".",B116,1)-1),$B$4:$AZ$68,48,FALSE),0)),0)</f>
        <v>0</v>
      </c>
      <c r="BH116" s="308">
        <f t="shared" si="59"/>
        <v>0</v>
      </c>
      <c r="BI116" s="308">
        <f>IFERROR(IF(_xlfn.NUMBERVALUE(RIGHT(B116,LEN(B116)-FIND(".",B116,1)))=COUNTIF('Contorizare in SDI'!$B:$B,LEFT(B116,FIND(".",B116,1)-1))-1,IF((COUNTIF('Contorizare in SDI'!$B:$B,LEFT(B116,FIND(".",B116,1)-1))-1)=1,VLOOKUP(LEFT(B116,FIND(".",B116,1)-1),$B$4:$AZ$68,49,FALSE),VLOOKUP(LEFT(B116,FIND(".",B116,1)-1),$B$4:$AZ$68,49,FALSE)-BJ115),ROUNDUP(V116/VLOOKUP(LEFT(B116,FIND(".",B116,1)-1),$AY:$AZ,2,FALSE)*VLOOKUP(LEFT(B116,FIND(".",B116,1)-1),$B$4:$AZ$68,49,FALSE),0)),0)</f>
        <v>0</v>
      </c>
      <c r="BJ116" s="308">
        <f t="shared" si="60"/>
        <v>0</v>
      </c>
      <c r="BP116" s="44">
        <f t="shared" si="61"/>
        <v>0</v>
      </c>
      <c r="BQ116" s="1">
        <v>0</v>
      </c>
      <c r="BR116" s="1">
        <v>0</v>
      </c>
      <c r="BS116" s="16">
        <f t="shared" si="102"/>
        <v>0</v>
      </c>
      <c r="BT116" s="16">
        <f t="shared" si="103"/>
        <v>0</v>
      </c>
      <c r="BU116" s="16">
        <f t="shared" si="104"/>
        <v>0</v>
      </c>
      <c r="BV116" s="16">
        <f t="shared" si="105"/>
        <v>0</v>
      </c>
      <c r="BX116" s="1" t="str">
        <f t="shared" si="32"/>
        <v/>
      </c>
      <c r="BY116" s="1">
        <f t="shared" si="33"/>
        <v>0</v>
      </c>
      <c r="BZ116" s="1">
        <f t="shared" si="66"/>
        <v>0</v>
      </c>
      <c r="CA116" s="1">
        <f t="shared" si="67"/>
        <v>0</v>
      </c>
      <c r="CB116" s="1">
        <f t="shared" si="68"/>
        <v>0</v>
      </c>
      <c r="CC116" s="1">
        <f t="shared" si="69"/>
        <v>0</v>
      </c>
      <c r="CD116" s="1">
        <f t="shared" si="70"/>
        <v>0</v>
      </c>
      <c r="CE116" s="1">
        <f t="shared" si="71"/>
        <v>0</v>
      </c>
      <c r="CR116" s="30" t="s">
        <v>550</v>
      </c>
      <c r="CS116" s="291">
        <v>698240</v>
      </c>
      <c r="CT116" s="291">
        <v>0</v>
      </c>
      <c r="CU116" s="291">
        <v>0</v>
      </c>
      <c r="CV116" s="291">
        <v>0</v>
      </c>
      <c r="CW116" s="29" t="s">
        <v>639</v>
      </c>
      <c r="CX116" s="312">
        <v>175218</v>
      </c>
      <c r="CY116" s="184">
        <v>0</v>
      </c>
      <c r="CZ116" s="88">
        <v>0</v>
      </c>
      <c r="DA116" s="88">
        <v>0</v>
      </c>
      <c r="DB116" s="29" t="s">
        <v>69</v>
      </c>
      <c r="DC116" s="87">
        <v>0</v>
      </c>
      <c r="DD116" s="88">
        <v>0</v>
      </c>
      <c r="DE116" s="88">
        <v>0</v>
      </c>
      <c r="DF116" s="88">
        <v>0</v>
      </c>
      <c r="DG116" s="88">
        <v>175218</v>
      </c>
      <c r="DH116" s="88">
        <v>0</v>
      </c>
      <c r="DI116" s="321">
        <v>0</v>
      </c>
      <c r="DJ116" s="88">
        <v>2629</v>
      </c>
    </row>
    <row r="117" spans="1:114" ht="17.25" thickTop="1" thickBot="1">
      <c r="A117" s="531">
        <f t="shared" si="41"/>
        <v>114</v>
      </c>
      <c r="B117" s="22" t="s">
        <v>999</v>
      </c>
      <c r="C117" s="17" t="s">
        <v>1006</v>
      </c>
      <c r="D117" s="22" t="s">
        <v>1326</v>
      </c>
      <c r="E117" s="142" t="str">
        <f t="shared" si="42"/>
        <v>RFSC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2" t="s">
        <v>917</v>
      </c>
      <c r="O117" s="12" t="s">
        <v>1019</v>
      </c>
      <c r="P117" s="12" t="s">
        <v>917</v>
      </c>
      <c r="Q117" s="12" t="s">
        <v>917</v>
      </c>
      <c r="R117" s="12" t="s">
        <v>917</v>
      </c>
      <c r="S117" s="12" t="s">
        <v>1019</v>
      </c>
      <c r="T117" s="12" t="s">
        <v>917</v>
      </c>
      <c r="U117" s="12" t="s">
        <v>1019</v>
      </c>
      <c r="V117" s="22">
        <v>0</v>
      </c>
      <c r="W117" s="22">
        <v>0</v>
      </c>
      <c r="X117" s="22">
        <v>0</v>
      </c>
      <c r="Y117" s="22">
        <v>0</v>
      </c>
      <c r="Z117" s="171">
        <f t="shared" si="34"/>
        <v>0</v>
      </c>
      <c r="AA117" s="130" t="str">
        <f t="shared" si="35"/>
        <v>citit</v>
      </c>
      <c r="AB117" s="176">
        <f t="shared" si="43"/>
        <v>0</v>
      </c>
      <c r="AC117" s="12" t="s">
        <v>917</v>
      </c>
      <c r="AD117" s="12">
        <f t="shared" si="101"/>
        <v>0</v>
      </c>
      <c r="AE117" s="12">
        <f t="shared" si="101"/>
        <v>0</v>
      </c>
      <c r="AF117" s="12">
        <f t="shared" si="101"/>
        <v>0</v>
      </c>
      <c r="AG117" s="12" t="str">
        <f t="shared" si="37"/>
        <v>citit</v>
      </c>
      <c r="AH117" s="176">
        <f t="shared" si="44"/>
        <v>0</v>
      </c>
      <c r="AI117" s="12" t="s">
        <v>917</v>
      </c>
      <c r="AJ117" s="12">
        <f t="shared" si="38"/>
        <v>0</v>
      </c>
      <c r="AK117" s="12" t="str">
        <f t="shared" si="39"/>
        <v>citit</v>
      </c>
      <c r="AL117" s="175">
        <f t="shared" si="45"/>
        <v>0</v>
      </c>
      <c r="AM117" s="159" t="s">
        <v>917</v>
      </c>
      <c r="AN117" s="154">
        <f t="shared" si="46"/>
        <v>0</v>
      </c>
      <c r="AO117" s="14">
        <f t="shared" si="47"/>
        <v>0</v>
      </c>
      <c r="AP117" s="147">
        <f t="shared" si="48"/>
        <v>0</v>
      </c>
      <c r="AQ117" s="147">
        <f t="shared" si="49"/>
        <v>0</v>
      </c>
      <c r="AR117" s="16">
        <v>0</v>
      </c>
      <c r="AS117" s="16">
        <v>0</v>
      </c>
      <c r="AT117" s="1">
        <f t="shared" si="50"/>
        <v>0</v>
      </c>
      <c r="AU117" s="154">
        <f t="shared" si="51"/>
        <v>0</v>
      </c>
      <c r="AV117" s="154">
        <f t="shared" si="52"/>
        <v>0</v>
      </c>
      <c r="AW117" s="154">
        <f t="shared" si="53"/>
        <v>0</v>
      </c>
      <c r="AX117" s="154">
        <f t="shared" si="54"/>
        <v>0</v>
      </c>
      <c r="AY117" s="308" t="str">
        <f t="shared" si="55"/>
        <v>-</v>
      </c>
      <c r="AZ117" s="308">
        <f t="shared" si="40"/>
        <v>0</v>
      </c>
      <c r="BA117" s="308">
        <f>IFERROR(IF(_xlfn.NUMBERVALUE(RIGHT(B117,LEN(B117)-FIND(".",B117,1)))=COUNTIF('Contorizare in SDI'!$B:$B,LEFT(B117,FIND(".",B117,1)-1))-1,IF((COUNTIF('Contorizare in SDI'!$B:$B,LEFT(B117,FIND(".",B117,1)-1))-1)=1,VLOOKUP(LEFT(B117,FIND(".",B117,1)-1),$B$4:$AZ$68,45,FALSE),VLOOKUP(LEFT(B117,FIND(".",B117,1)-1),$B$4:$AZ$68,45,FALSE)-BB116),ROUNDUP(V117/VLOOKUP(LEFT(B117,FIND(".",B117,1)-1),$AY:$AZ,2,FALSE)*VLOOKUP(LEFT(B117,FIND(".",B117,1)-1),$B$4:$AZ$68,45,FALSE),0)),0)</f>
        <v>0</v>
      </c>
      <c r="BB117" s="308">
        <f t="shared" si="56"/>
        <v>0</v>
      </c>
      <c r="BC117" s="308">
        <f>IFERROR(IF(_xlfn.NUMBERVALUE(RIGHT(B117,LEN(B117)-FIND(".",B117,1)))=COUNTIF('Contorizare in SDI'!$B:$B,LEFT(B117,FIND(".",B117,1)-1))-1,IF((COUNTIF('Contorizare in SDI'!$B:$B,LEFT(B117,FIND(".",B117,1)-1))-1)=1,VLOOKUP(LEFT(B117,FIND(".",B117,1)-1),$B$4:$AZ$68,46,FALSE),VLOOKUP(LEFT(B117,FIND(".",B117,1)-1),$B$4:$AZ$68,46,FALSE)-BD116),ROUNDUP(V117/VLOOKUP(LEFT(B117,FIND(".",B117,1)-1),$AY:$AZ,2,FALSE)*VLOOKUP(LEFT(B117,FIND(".",B117,1)-1),$B$4:$AZ$68,46,FALSE),0)),0)</f>
        <v>0</v>
      </c>
      <c r="BD117" s="308">
        <f t="shared" si="57"/>
        <v>0</v>
      </c>
      <c r="BE117" s="308">
        <f>IFERROR(IF(_xlfn.NUMBERVALUE(RIGHT(B117,LEN(B117)-FIND(".",B117,1)))=COUNTIF('Contorizare in SDI'!$B:$B,LEFT(B117,FIND(".",B117,1)-1))-1,IF((COUNTIF('Contorizare in SDI'!$B:$B,LEFT(B117,FIND(".",B117,1)-1))-1)=1,VLOOKUP(LEFT(B117,FIND(".",B117,1)-1),$B$4:$AZ$68,47,FALSE),VLOOKUP(LEFT(B117,FIND(".",B117,1)-1),$B$4:$AZ$68,47,FALSE)-BF116),ROUNDUP(V117/VLOOKUP(LEFT(B117,FIND(".",B117,1)-1),$AY:$AZ,2,FALSE)*VLOOKUP(LEFT(B117,FIND(".",B117,1)-1),$B$4:$AZ$68,47,FALSE),0)),0)</f>
        <v>0</v>
      </c>
      <c r="BF117" s="308">
        <f t="shared" si="58"/>
        <v>0</v>
      </c>
      <c r="BG117" s="308">
        <f>IFERROR(IF(_xlfn.NUMBERVALUE(RIGHT(B117,LEN(B117)-FIND(".",B117,1)))=COUNTIF('Contorizare in SDI'!$B:$B,LEFT(B117,FIND(".",B117,1)-1))-1,IF((COUNTIF('Contorizare in SDI'!$B:$B,LEFT(B117,FIND(".",B117,1)-1))-1)=1,VLOOKUP(LEFT(B117,FIND(".",B117,1)-1),$B$4:$AZ$68,48,FALSE),VLOOKUP(LEFT(B117,FIND(".",B117,1)-1),$B$4:$AZ$68,48,FALSE)-BH116),ROUNDUP(V117/VLOOKUP(LEFT(B117,FIND(".",B117,1)-1),$AY:$AZ,2,FALSE)*VLOOKUP(LEFT(B117,FIND(".",B117,1)-1),$B$4:$AZ$68,48,FALSE),0)),0)</f>
        <v>0</v>
      </c>
      <c r="BH117" s="308">
        <f t="shared" si="59"/>
        <v>0</v>
      </c>
      <c r="BI117" s="308">
        <f>IFERROR(IF(_xlfn.NUMBERVALUE(RIGHT(B117,LEN(B117)-FIND(".",B117,1)))=COUNTIF('Contorizare in SDI'!$B:$B,LEFT(B117,FIND(".",B117,1)-1))-1,IF((COUNTIF('Contorizare in SDI'!$B:$B,LEFT(B117,FIND(".",B117,1)-1))-1)=1,VLOOKUP(LEFT(B117,FIND(".",B117,1)-1),$B$4:$AZ$68,49,FALSE),VLOOKUP(LEFT(B117,FIND(".",B117,1)-1),$B$4:$AZ$68,49,FALSE)-BJ116),ROUNDUP(V117/VLOOKUP(LEFT(B117,FIND(".",B117,1)-1),$AY:$AZ,2,FALSE)*VLOOKUP(LEFT(B117,FIND(".",B117,1)-1),$B$4:$AZ$68,49,FALSE),0)),0)</f>
        <v>0</v>
      </c>
      <c r="BJ117" s="308">
        <f t="shared" si="60"/>
        <v>0</v>
      </c>
      <c r="BP117" s="44">
        <f t="shared" si="61"/>
        <v>0</v>
      </c>
      <c r="BQ117" s="1">
        <v>0</v>
      </c>
      <c r="BR117" s="1">
        <v>0</v>
      </c>
      <c r="BS117" s="16">
        <f t="shared" si="102"/>
        <v>0</v>
      </c>
      <c r="BT117" s="16">
        <f t="shared" si="103"/>
        <v>0</v>
      </c>
      <c r="BU117" s="16">
        <f t="shared" si="104"/>
        <v>0</v>
      </c>
      <c r="BV117" s="16">
        <f t="shared" si="105"/>
        <v>0</v>
      </c>
      <c r="BX117" s="1" t="str">
        <f t="shared" si="32"/>
        <v/>
      </c>
      <c r="BY117" s="1">
        <f t="shared" si="33"/>
        <v>0</v>
      </c>
      <c r="BZ117" s="1">
        <f t="shared" si="66"/>
        <v>0</v>
      </c>
      <c r="CA117" s="1">
        <f t="shared" si="67"/>
        <v>0</v>
      </c>
      <c r="CB117" s="1">
        <f t="shared" si="68"/>
        <v>0</v>
      </c>
      <c r="CC117" s="1">
        <f t="shared" si="69"/>
        <v>0</v>
      </c>
      <c r="CD117" s="1">
        <f t="shared" si="70"/>
        <v>0</v>
      </c>
      <c r="CE117" s="1">
        <f t="shared" si="71"/>
        <v>0</v>
      </c>
      <c r="CR117" s="30" t="s">
        <v>550</v>
      </c>
      <c r="CS117" s="291">
        <v>698240</v>
      </c>
      <c r="CT117" s="291">
        <v>0</v>
      </c>
      <c r="CU117" s="291">
        <v>0</v>
      </c>
      <c r="CV117" s="291">
        <v>0</v>
      </c>
      <c r="CW117" s="29" t="s">
        <v>640</v>
      </c>
      <c r="CX117" s="312">
        <v>162112</v>
      </c>
      <c r="CY117" s="184">
        <v>0</v>
      </c>
      <c r="CZ117" s="88">
        <v>0</v>
      </c>
      <c r="DA117" s="88">
        <v>0</v>
      </c>
      <c r="DB117" s="29" t="s">
        <v>69</v>
      </c>
      <c r="DC117" s="87">
        <v>0</v>
      </c>
      <c r="DD117" s="88">
        <v>0</v>
      </c>
      <c r="DE117" s="88">
        <v>0</v>
      </c>
      <c r="DF117" s="88">
        <v>0</v>
      </c>
      <c r="DG117" s="88">
        <v>162112</v>
      </c>
      <c r="DH117" s="88">
        <v>0</v>
      </c>
      <c r="DI117" s="321">
        <v>0</v>
      </c>
      <c r="DJ117" s="88">
        <v>2587</v>
      </c>
    </row>
    <row r="118" spans="1:114" ht="17.25" thickTop="1" thickBot="1">
      <c r="A118" s="531">
        <f t="shared" si="41"/>
        <v>115</v>
      </c>
      <c r="B118" s="22" t="s">
        <v>1000</v>
      </c>
      <c r="C118" s="17" t="s">
        <v>1007</v>
      </c>
      <c r="D118" s="22" t="s">
        <v>1327</v>
      </c>
      <c r="E118" s="142" t="str">
        <f t="shared" si="42"/>
        <v>RFSC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2" t="s">
        <v>917</v>
      </c>
      <c r="O118" s="12" t="s">
        <v>1019</v>
      </c>
      <c r="P118" s="12" t="s">
        <v>917</v>
      </c>
      <c r="Q118" s="12" t="s">
        <v>917</v>
      </c>
      <c r="R118" s="12" t="s">
        <v>917</v>
      </c>
      <c r="S118" s="12" t="s">
        <v>1019</v>
      </c>
      <c r="T118" s="12" t="s">
        <v>917</v>
      </c>
      <c r="U118" s="12" t="s">
        <v>1019</v>
      </c>
      <c r="V118" s="22">
        <v>0</v>
      </c>
      <c r="W118" s="22">
        <v>0</v>
      </c>
      <c r="X118" s="22">
        <v>0</v>
      </c>
      <c r="Y118" s="22">
        <v>0</v>
      </c>
      <c r="Z118" s="171">
        <f t="shared" si="34"/>
        <v>0</v>
      </c>
      <c r="AA118" s="130" t="str">
        <f t="shared" si="35"/>
        <v>citit</v>
      </c>
      <c r="AB118" s="176">
        <f t="shared" si="43"/>
        <v>0</v>
      </c>
      <c r="AC118" s="12" t="s">
        <v>917</v>
      </c>
      <c r="AD118" s="12">
        <f t="shared" si="101"/>
        <v>0</v>
      </c>
      <c r="AE118" s="12">
        <f t="shared" si="101"/>
        <v>0</v>
      </c>
      <c r="AF118" s="12">
        <f t="shared" si="101"/>
        <v>0</v>
      </c>
      <c r="AG118" s="12" t="str">
        <f t="shared" si="37"/>
        <v>citit</v>
      </c>
      <c r="AH118" s="176">
        <f t="shared" si="44"/>
        <v>0</v>
      </c>
      <c r="AI118" s="12" t="s">
        <v>917</v>
      </c>
      <c r="AJ118" s="12">
        <f t="shared" si="38"/>
        <v>0</v>
      </c>
      <c r="AK118" s="12" t="str">
        <f t="shared" si="39"/>
        <v>citit</v>
      </c>
      <c r="AL118" s="175">
        <f t="shared" si="45"/>
        <v>0</v>
      </c>
      <c r="AM118" s="159" t="s">
        <v>917</v>
      </c>
      <c r="AN118" s="154">
        <f t="shared" si="46"/>
        <v>0</v>
      </c>
      <c r="AO118" s="14">
        <f t="shared" si="47"/>
        <v>0</v>
      </c>
      <c r="AP118" s="147">
        <f t="shared" si="48"/>
        <v>0</v>
      </c>
      <c r="AQ118" s="147">
        <f t="shared" si="49"/>
        <v>0</v>
      </c>
      <c r="AR118" s="16">
        <v>0</v>
      </c>
      <c r="AS118" s="16">
        <v>0</v>
      </c>
      <c r="AT118" s="1">
        <f t="shared" si="50"/>
        <v>0</v>
      </c>
      <c r="AU118" s="154">
        <f t="shared" si="51"/>
        <v>0</v>
      </c>
      <c r="AV118" s="154">
        <f t="shared" si="52"/>
        <v>0</v>
      </c>
      <c r="AW118" s="154">
        <f t="shared" si="53"/>
        <v>0</v>
      </c>
      <c r="AX118" s="154">
        <f t="shared" si="54"/>
        <v>0</v>
      </c>
      <c r="AY118" s="308" t="str">
        <f t="shared" si="55"/>
        <v>-</v>
      </c>
      <c r="AZ118" s="308">
        <f t="shared" si="40"/>
        <v>0</v>
      </c>
      <c r="BA118" s="308">
        <f>IFERROR(IF(_xlfn.NUMBERVALUE(RIGHT(B118,LEN(B118)-FIND(".",B118,1)))=COUNTIF('Contorizare in SDI'!$B:$B,LEFT(B118,FIND(".",B118,1)-1))-1,IF((COUNTIF('Contorizare in SDI'!$B:$B,LEFT(B118,FIND(".",B118,1)-1))-1)=1,VLOOKUP(LEFT(B118,FIND(".",B118,1)-1),$B$4:$AZ$68,45,FALSE),VLOOKUP(LEFT(B118,FIND(".",B118,1)-1),$B$4:$AZ$68,45,FALSE)-BB117),ROUNDUP(V118/VLOOKUP(LEFT(B118,FIND(".",B118,1)-1),$AY:$AZ,2,FALSE)*VLOOKUP(LEFT(B118,FIND(".",B118,1)-1),$B$4:$AZ$68,45,FALSE),0)),0)</f>
        <v>0</v>
      </c>
      <c r="BB118" s="308">
        <f t="shared" si="56"/>
        <v>0</v>
      </c>
      <c r="BC118" s="308">
        <f>IFERROR(IF(_xlfn.NUMBERVALUE(RIGHT(B118,LEN(B118)-FIND(".",B118,1)))=COUNTIF('Contorizare in SDI'!$B:$B,LEFT(B118,FIND(".",B118,1)-1))-1,IF((COUNTIF('Contorizare in SDI'!$B:$B,LEFT(B118,FIND(".",B118,1)-1))-1)=1,VLOOKUP(LEFT(B118,FIND(".",B118,1)-1),$B$4:$AZ$68,46,FALSE),VLOOKUP(LEFT(B118,FIND(".",B118,1)-1),$B$4:$AZ$68,46,FALSE)-BD117),ROUNDUP(V118/VLOOKUP(LEFT(B118,FIND(".",B118,1)-1),$AY:$AZ,2,FALSE)*VLOOKUP(LEFT(B118,FIND(".",B118,1)-1),$B$4:$AZ$68,46,FALSE),0)),0)</f>
        <v>0</v>
      </c>
      <c r="BD118" s="308">
        <f t="shared" si="57"/>
        <v>0</v>
      </c>
      <c r="BE118" s="308">
        <f>IFERROR(IF(_xlfn.NUMBERVALUE(RIGHT(B118,LEN(B118)-FIND(".",B118,1)))=COUNTIF('Contorizare in SDI'!$B:$B,LEFT(B118,FIND(".",B118,1)-1))-1,IF((COUNTIF('Contorizare in SDI'!$B:$B,LEFT(B118,FIND(".",B118,1)-1))-1)=1,VLOOKUP(LEFT(B118,FIND(".",B118,1)-1),$B$4:$AZ$68,47,FALSE),VLOOKUP(LEFT(B118,FIND(".",B118,1)-1),$B$4:$AZ$68,47,FALSE)-BF117),ROUNDUP(V118/VLOOKUP(LEFT(B118,FIND(".",B118,1)-1),$AY:$AZ,2,FALSE)*VLOOKUP(LEFT(B118,FIND(".",B118,1)-1),$B$4:$AZ$68,47,FALSE),0)),0)</f>
        <v>0</v>
      </c>
      <c r="BF118" s="308">
        <f t="shared" si="58"/>
        <v>0</v>
      </c>
      <c r="BG118" s="308">
        <f>IFERROR(IF(_xlfn.NUMBERVALUE(RIGHT(B118,LEN(B118)-FIND(".",B118,1)))=COUNTIF('Contorizare in SDI'!$B:$B,LEFT(B118,FIND(".",B118,1)-1))-1,IF((COUNTIF('Contorizare in SDI'!$B:$B,LEFT(B118,FIND(".",B118,1)-1))-1)=1,VLOOKUP(LEFT(B118,FIND(".",B118,1)-1),$B$4:$AZ$68,48,FALSE),VLOOKUP(LEFT(B118,FIND(".",B118,1)-1),$B$4:$AZ$68,48,FALSE)-BH117),ROUNDUP(V118/VLOOKUP(LEFT(B118,FIND(".",B118,1)-1),$AY:$AZ,2,FALSE)*VLOOKUP(LEFT(B118,FIND(".",B118,1)-1),$B$4:$AZ$68,48,FALSE),0)),0)</f>
        <v>0</v>
      </c>
      <c r="BH118" s="308">
        <f t="shared" si="59"/>
        <v>0</v>
      </c>
      <c r="BI118" s="308">
        <f>IFERROR(IF(_xlfn.NUMBERVALUE(RIGHT(B118,LEN(B118)-FIND(".",B118,1)))=COUNTIF('Contorizare in SDI'!$B:$B,LEFT(B118,FIND(".",B118,1)-1))-1,IF((COUNTIF('Contorizare in SDI'!$B:$B,LEFT(B118,FIND(".",B118,1)-1))-1)=1,VLOOKUP(LEFT(B118,FIND(".",B118,1)-1),$B$4:$AZ$68,49,FALSE),VLOOKUP(LEFT(B118,FIND(".",B118,1)-1),$B$4:$AZ$68,49,FALSE)-BJ117),ROUNDUP(V118/VLOOKUP(LEFT(B118,FIND(".",B118,1)-1),$AY:$AZ,2,FALSE)*VLOOKUP(LEFT(B118,FIND(".",B118,1)-1),$B$4:$AZ$68,49,FALSE),0)),0)</f>
        <v>0</v>
      </c>
      <c r="BJ118" s="308">
        <f t="shared" si="60"/>
        <v>0</v>
      </c>
      <c r="BP118" s="44">
        <f t="shared" si="61"/>
        <v>0</v>
      </c>
      <c r="BQ118" s="1">
        <v>0</v>
      </c>
      <c r="BR118" s="1">
        <v>0</v>
      </c>
      <c r="BS118" s="16">
        <f t="shared" si="102"/>
        <v>0</v>
      </c>
      <c r="BT118" s="16">
        <f t="shared" si="103"/>
        <v>0</v>
      </c>
      <c r="BU118" s="16">
        <f t="shared" si="104"/>
        <v>0</v>
      </c>
      <c r="BV118" s="16">
        <f t="shared" si="105"/>
        <v>0</v>
      </c>
      <c r="BX118" s="1" t="str">
        <f t="shared" si="32"/>
        <v/>
      </c>
      <c r="BY118" s="1">
        <f t="shared" si="33"/>
        <v>0</v>
      </c>
      <c r="BZ118" s="1">
        <f t="shared" si="66"/>
        <v>0</v>
      </c>
      <c r="CA118" s="1">
        <f t="shared" si="67"/>
        <v>0</v>
      </c>
      <c r="CB118" s="1">
        <f t="shared" si="68"/>
        <v>0</v>
      </c>
      <c r="CC118" s="1">
        <f t="shared" si="69"/>
        <v>0</v>
      </c>
      <c r="CD118" s="1">
        <f t="shared" si="70"/>
        <v>0</v>
      </c>
      <c r="CE118" s="1">
        <f t="shared" si="71"/>
        <v>0</v>
      </c>
      <c r="CR118" s="30" t="s">
        <v>550</v>
      </c>
      <c r="CS118" s="291">
        <v>698240</v>
      </c>
      <c r="CT118" s="291">
        <v>0</v>
      </c>
      <c r="CU118" s="291">
        <v>0</v>
      </c>
      <c r="CV118" s="291">
        <v>0</v>
      </c>
      <c r="CW118" s="29" t="s">
        <v>982</v>
      </c>
      <c r="CX118" s="312">
        <v>10474</v>
      </c>
      <c r="CY118" s="184">
        <v>0</v>
      </c>
      <c r="CZ118" s="88">
        <v>0</v>
      </c>
      <c r="DA118" s="88">
        <v>0</v>
      </c>
      <c r="DB118" s="29" t="s">
        <v>69</v>
      </c>
      <c r="DC118" s="87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321">
        <v>0</v>
      </c>
      <c r="DJ118" s="88">
        <v>0</v>
      </c>
    </row>
    <row r="119" spans="1:114" ht="17.25" thickTop="1" thickBot="1">
      <c r="A119" s="531">
        <f t="shared" si="41"/>
        <v>116</v>
      </c>
      <c r="B119" s="22" t="s">
        <v>1001</v>
      </c>
      <c r="C119" s="17" t="s">
        <v>1008</v>
      </c>
      <c r="D119" s="22" t="s">
        <v>1096</v>
      </c>
      <c r="E119" s="142" t="str">
        <f t="shared" si="42"/>
        <v>RFSC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2" t="s">
        <v>917</v>
      </c>
      <c r="O119" s="12" t="s">
        <v>1019</v>
      </c>
      <c r="P119" s="12" t="s">
        <v>917</v>
      </c>
      <c r="Q119" s="12" t="s">
        <v>917</v>
      </c>
      <c r="R119" s="12" t="s">
        <v>917</v>
      </c>
      <c r="S119" s="12" t="s">
        <v>1019</v>
      </c>
      <c r="T119" s="12" t="s">
        <v>917</v>
      </c>
      <c r="U119" s="12" t="s">
        <v>1019</v>
      </c>
      <c r="V119" s="22">
        <v>0</v>
      </c>
      <c r="W119" s="22">
        <v>0</v>
      </c>
      <c r="X119" s="22">
        <v>0</v>
      </c>
      <c r="Y119" s="22">
        <v>0</v>
      </c>
      <c r="Z119" s="171">
        <f t="shared" si="34"/>
        <v>0</v>
      </c>
      <c r="AA119" s="130" t="str">
        <f t="shared" si="35"/>
        <v>citit</v>
      </c>
      <c r="AB119" s="176">
        <f t="shared" si="43"/>
        <v>0</v>
      </c>
      <c r="AC119" s="12" t="s">
        <v>917</v>
      </c>
      <c r="AD119" s="12">
        <f t="shared" si="101"/>
        <v>0</v>
      </c>
      <c r="AE119" s="12">
        <f t="shared" si="101"/>
        <v>0</v>
      </c>
      <c r="AF119" s="12">
        <f t="shared" si="101"/>
        <v>0</v>
      </c>
      <c r="AG119" s="12" t="str">
        <f t="shared" si="37"/>
        <v>citit</v>
      </c>
      <c r="AH119" s="176">
        <f t="shared" si="44"/>
        <v>0</v>
      </c>
      <c r="AI119" s="12" t="s">
        <v>917</v>
      </c>
      <c r="AJ119" s="12">
        <f t="shared" si="38"/>
        <v>0</v>
      </c>
      <c r="AK119" s="12" t="str">
        <f t="shared" si="39"/>
        <v>citit</v>
      </c>
      <c r="AL119" s="175">
        <f t="shared" si="45"/>
        <v>0</v>
      </c>
      <c r="AM119" s="159" t="s">
        <v>917</v>
      </c>
      <c r="AN119" s="154">
        <f t="shared" si="46"/>
        <v>0</v>
      </c>
      <c r="AO119" s="14">
        <f t="shared" si="47"/>
        <v>0</v>
      </c>
      <c r="AP119" s="147">
        <f t="shared" si="48"/>
        <v>0</v>
      </c>
      <c r="AQ119" s="147">
        <f t="shared" si="49"/>
        <v>0</v>
      </c>
      <c r="AR119" s="16">
        <v>0</v>
      </c>
      <c r="AS119" s="16">
        <v>0</v>
      </c>
      <c r="AT119" s="1">
        <f t="shared" si="50"/>
        <v>0</v>
      </c>
      <c r="AU119" s="154">
        <f t="shared" si="51"/>
        <v>0</v>
      </c>
      <c r="AV119" s="154">
        <f t="shared" si="52"/>
        <v>0</v>
      </c>
      <c r="AW119" s="154">
        <f t="shared" si="53"/>
        <v>0</v>
      </c>
      <c r="AX119" s="154">
        <f t="shared" si="54"/>
        <v>0</v>
      </c>
      <c r="AY119" s="308" t="str">
        <f t="shared" si="55"/>
        <v>-</v>
      </c>
      <c r="AZ119" s="308">
        <f t="shared" si="40"/>
        <v>0</v>
      </c>
      <c r="BA119" s="308">
        <f>IFERROR(IF(_xlfn.NUMBERVALUE(RIGHT(B119,LEN(B119)-FIND(".",B119,1)))=COUNTIF('Contorizare in SDI'!$B:$B,LEFT(B119,FIND(".",B119,1)-1))-1,IF((COUNTIF('Contorizare in SDI'!$B:$B,LEFT(B119,FIND(".",B119,1)-1))-1)=1,VLOOKUP(LEFT(B119,FIND(".",B119,1)-1),$B$4:$AZ$68,45,FALSE),VLOOKUP(LEFT(B119,FIND(".",B119,1)-1),$B$4:$AZ$68,45,FALSE)-BB118),ROUNDUP(V119/VLOOKUP(LEFT(B119,FIND(".",B119,1)-1),$AY:$AZ,2,FALSE)*VLOOKUP(LEFT(B119,FIND(".",B119,1)-1),$B$4:$AZ$68,45,FALSE),0)),0)</f>
        <v>0</v>
      </c>
      <c r="BB119" s="308">
        <f t="shared" si="56"/>
        <v>0</v>
      </c>
      <c r="BC119" s="308">
        <f>IFERROR(IF(_xlfn.NUMBERVALUE(RIGHT(B119,LEN(B119)-FIND(".",B119,1)))=COUNTIF('Contorizare in SDI'!$B:$B,LEFT(B119,FIND(".",B119,1)-1))-1,IF((COUNTIF('Contorizare in SDI'!$B:$B,LEFT(B119,FIND(".",B119,1)-1))-1)=1,VLOOKUP(LEFT(B119,FIND(".",B119,1)-1),$B$4:$AZ$68,46,FALSE),VLOOKUP(LEFT(B119,FIND(".",B119,1)-1),$B$4:$AZ$68,46,FALSE)-BD118),ROUNDUP(V119/VLOOKUP(LEFT(B119,FIND(".",B119,1)-1),$AY:$AZ,2,FALSE)*VLOOKUP(LEFT(B119,FIND(".",B119,1)-1),$B$4:$AZ$68,46,FALSE),0)),0)</f>
        <v>0</v>
      </c>
      <c r="BD119" s="308">
        <f t="shared" si="57"/>
        <v>0</v>
      </c>
      <c r="BE119" s="308">
        <f>IFERROR(IF(_xlfn.NUMBERVALUE(RIGHT(B119,LEN(B119)-FIND(".",B119,1)))=COUNTIF('Contorizare in SDI'!$B:$B,LEFT(B119,FIND(".",B119,1)-1))-1,IF((COUNTIF('Contorizare in SDI'!$B:$B,LEFT(B119,FIND(".",B119,1)-1))-1)=1,VLOOKUP(LEFT(B119,FIND(".",B119,1)-1),$B$4:$AZ$68,47,FALSE),VLOOKUP(LEFT(B119,FIND(".",B119,1)-1),$B$4:$AZ$68,47,FALSE)-BF118),ROUNDUP(V119/VLOOKUP(LEFT(B119,FIND(".",B119,1)-1),$AY:$AZ,2,FALSE)*VLOOKUP(LEFT(B119,FIND(".",B119,1)-1),$B$4:$AZ$68,47,FALSE),0)),0)</f>
        <v>0</v>
      </c>
      <c r="BF119" s="308">
        <f t="shared" si="58"/>
        <v>0</v>
      </c>
      <c r="BG119" s="308">
        <f>IFERROR(IF(_xlfn.NUMBERVALUE(RIGHT(B119,LEN(B119)-FIND(".",B119,1)))=COUNTIF('Contorizare in SDI'!$B:$B,LEFT(B119,FIND(".",B119,1)-1))-1,IF((COUNTIF('Contorizare in SDI'!$B:$B,LEFT(B119,FIND(".",B119,1)-1))-1)=1,VLOOKUP(LEFT(B119,FIND(".",B119,1)-1),$B$4:$AZ$68,48,FALSE),VLOOKUP(LEFT(B119,FIND(".",B119,1)-1),$B$4:$AZ$68,48,FALSE)-BH118),ROUNDUP(V119/VLOOKUP(LEFT(B119,FIND(".",B119,1)-1),$AY:$AZ,2,FALSE)*VLOOKUP(LEFT(B119,FIND(".",B119,1)-1),$B$4:$AZ$68,48,FALSE),0)),0)</f>
        <v>0</v>
      </c>
      <c r="BH119" s="308">
        <f t="shared" si="59"/>
        <v>0</v>
      </c>
      <c r="BI119" s="308">
        <f>IFERROR(IF(_xlfn.NUMBERVALUE(RIGHT(B119,LEN(B119)-FIND(".",B119,1)))=COUNTIF('Contorizare in SDI'!$B:$B,LEFT(B119,FIND(".",B119,1)-1))-1,IF((COUNTIF('Contorizare in SDI'!$B:$B,LEFT(B119,FIND(".",B119,1)-1))-1)=1,VLOOKUP(LEFT(B119,FIND(".",B119,1)-1),$B$4:$AZ$68,49,FALSE),VLOOKUP(LEFT(B119,FIND(".",B119,1)-1),$B$4:$AZ$68,49,FALSE)-BJ118),ROUNDUP(V119/VLOOKUP(LEFT(B119,FIND(".",B119,1)-1),$AY:$AZ,2,FALSE)*VLOOKUP(LEFT(B119,FIND(".",B119,1)-1),$B$4:$AZ$68,49,FALSE),0)),0)</f>
        <v>0</v>
      </c>
      <c r="BJ119" s="308">
        <f t="shared" si="60"/>
        <v>0</v>
      </c>
      <c r="BP119" s="44">
        <f t="shared" si="61"/>
        <v>0</v>
      </c>
      <c r="BQ119" s="1">
        <v>0</v>
      </c>
      <c r="BR119" s="1">
        <v>0</v>
      </c>
      <c r="BS119" s="16">
        <f t="shared" si="102"/>
        <v>0</v>
      </c>
      <c r="BT119" s="16">
        <f t="shared" si="103"/>
        <v>0</v>
      </c>
      <c r="BU119" s="16">
        <f t="shared" si="104"/>
        <v>0</v>
      </c>
      <c r="BV119" s="16">
        <f t="shared" si="105"/>
        <v>0</v>
      </c>
      <c r="BX119" s="1" t="str">
        <f t="shared" si="32"/>
        <v/>
      </c>
      <c r="BY119" s="1">
        <f t="shared" si="33"/>
        <v>0</v>
      </c>
      <c r="BZ119" s="1">
        <f t="shared" si="66"/>
        <v>0</v>
      </c>
      <c r="CA119" s="1">
        <f t="shared" si="67"/>
        <v>0</v>
      </c>
      <c r="CB119" s="1">
        <f t="shared" si="68"/>
        <v>0</v>
      </c>
      <c r="CC119" s="1">
        <f t="shared" si="69"/>
        <v>0</v>
      </c>
      <c r="CD119" s="1">
        <f t="shared" si="70"/>
        <v>0</v>
      </c>
      <c r="CE119" s="1">
        <f t="shared" si="71"/>
        <v>0</v>
      </c>
      <c r="CR119" s="30" t="s">
        <v>551</v>
      </c>
      <c r="CS119" s="291">
        <v>336480</v>
      </c>
      <c r="CT119" s="291">
        <v>0</v>
      </c>
      <c r="CU119" s="291">
        <v>0</v>
      </c>
      <c r="CV119" s="291">
        <v>0</v>
      </c>
      <c r="CW119" s="29" t="s">
        <v>641</v>
      </c>
      <c r="CX119" s="312">
        <v>84437</v>
      </c>
      <c r="CY119" s="184">
        <v>0</v>
      </c>
      <c r="CZ119" s="88">
        <v>0</v>
      </c>
      <c r="DA119" s="88">
        <v>0</v>
      </c>
      <c r="DB119" s="29" t="s">
        <v>69</v>
      </c>
      <c r="DC119" s="87">
        <v>0</v>
      </c>
      <c r="DD119" s="88">
        <v>0</v>
      </c>
      <c r="DE119" s="88">
        <v>0</v>
      </c>
      <c r="DF119" s="88">
        <v>0</v>
      </c>
      <c r="DG119" s="88">
        <v>84437</v>
      </c>
      <c r="DH119" s="88">
        <v>0</v>
      </c>
      <c r="DI119" s="321">
        <v>0</v>
      </c>
      <c r="DJ119" s="88">
        <v>1267</v>
      </c>
    </row>
    <row r="120" spans="1:114" ht="17.25" thickTop="1" thickBot="1">
      <c r="A120" s="531">
        <f t="shared" si="41"/>
        <v>117</v>
      </c>
      <c r="B120" s="22" t="s">
        <v>1002</v>
      </c>
      <c r="C120" s="17" t="s">
        <v>1009</v>
      </c>
      <c r="D120" s="22" t="s">
        <v>1097</v>
      </c>
      <c r="E120" s="142" t="str">
        <f t="shared" si="42"/>
        <v>RFSC</v>
      </c>
      <c r="F120" s="16">
        <v>0</v>
      </c>
      <c r="G120" s="16">
        <v>0</v>
      </c>
      <c r="H120" s="16">
        <v>0</v>
      </c>
      <c r="I120" s="16">
        <v>0</v>
      </c>
      <c r="J120" s="16">
        <v>48</v>
      </c>
      <c r="K120" s="16">
        <v>48</v>
      </c>
      <c r="L120" s="16">
        <v>48</v>
      </c>
      <c r="M120" s="16">
        <v>48</v>
      </c>
      <c r="N120" s="12" t="s">
        <v>917</v>
      </c>
      <c r="O120" s="12" t="s">
        <v>1019</v>
      </c>
      <c r="P120" s="12" t="s">
        <v>917</v>
      </c>
      <c r="Q120" s="12" t="s">
        <v>917</v>
      </c>
      <c r="R120" s="12" t="s">
        <v>917</v>
      </c>
      <c r="S120" s="12" t="s">
        <v>1019</v>
      </c>
      <c r="T120" s="12" t="s">
        <v>917</v>
      </c>
      <c r="U120" s="12" t="s">
        <v>1019</v>
      </c>
      <c r="V120" s="22">
        <v>0</v>
      </c>
      <c r="W120" s="22">
        <v>0</v>
      </c>
      <c r="X120" s="22">
        <v>0</v>
      </c>
      <c r="Y120" s="22">
        <v>0</v>
      </c>
      <c r="Z120" s="171">
        <f t="shared" si="34"/>
        <v>0</v>
      </c>
      <c r="AA120" s="130" t="str">
        <f t="shared" si="35"/>
        <v>citit</v>
      </c>
      <c r="AB120" s="176">
        <f t="shared" si="43"/>
        <v>0</v>
      </c>
      <c r="AC120" s="12" t="s">
        <v>917</v>
      </c>
      <c r="AD120" s="12">
        <f t="shared" si="101"/>
        <v>0</v>
      </c>
      <c r="AE120" s="12">
        <f t="shared" si="101"/>
        <v>0</v>
      </c>
      <c r="AF120" s="12">
        <f t="shared" si="101"/>
        <v>48</v>
      </c>
      <c r="AG120" s="12" t="str">
        <f t="shared" si="37"/>
        <v>citit</v>
      </c>
      <c r="AH120" s="176">
        <f t="shared" si="44"/>
        <v>48</v>
      </c>
      <c r="AI120" s="12" t="s">
        <v>917</v>
      </c>
      <c r="AJ120" s="12">
        <f t="shared" si="38"/>
        <v>48</v>
      </c>
      <c r="AK120" s="12" t="str">
        <f t="shared" si="39"/>
        <v>citit</v>
      </c>
      <c r="AL120" s="175">
        <f t="shared" si="45"/>
        <v>48</v>
      </c>
      <c r="AM120" s="159" t="s">
        <v>917</v>
      </c>
      <c r="AN120" s="154">
        <f t="shared" si="46"/>
        <v>0</v>
      </c>
      <c r="AO120" s="14">
        <f t="shared" si="47"/>
        <v>0</v>
      </c>
      <c r="AP120" s="147">
        <f t="shared" si="48"/>
        <v>0</v>
      </c>
      <c r="AQ120" s="147">
        <f t="shared" si="49"/>
        <v>0</v>
      </c>
      <c r="AR120" s="16">
        <v>0</v>
      </c>
      <c r="AS120" s="16">
        <v>0</v>
      </c>
      <c r="AT120" s="1">
        <f t="shared" si="50"/>
        <v>0</v>
      </c>
      <c r="AU120" s="154">
        <f t="shared" si="51"/>
        <v>0</v>
      </c>
      <c r="AV120" s="154">
        <f t="shared" si="52"/>
        <v>0</v>
      </c>
      <c r="AW120" s="154">
        <f t="shared" si="53"/>
        <v>0</v>
      </c>
      <c r="AX120" s="154">
        <f t="shared" si="54"/>
        <v>0</v>
      </c>
      <c r="AY120" s="308" t="str">
        <f t="shared" si="55"/>
        <v>RFSC_2</v>
      </c>
      <c r="AZ120" s="308">
        <f t="shared" si="40"/>
        <v>0</v>
      </c>
      <c r="BA120" s="308">
        <f>IFERROR(IF(_xlfn.NUMBERVALUE(RIGHT(B120,LEN(B120)-FIND(".",B120,1)))=COUNTIF('Contorizare in SDI'!$B:$B,LEFT(B120,FIND(".",B120,1)-1))-1,IF((COUNTIF('Contorizare in SDI'!$B:$B,LEFT(B120,FIND(".",B120,1)-1))-1)=1,VLOOKUP(LEFT(B120,FIND(".",B120,1)-1),$B$4:$AZ$68,45,FALSE),VLOOKUP(LEFT(B120,FIND(".",B120,1)-1),$B$4:$AZ$68,45,FALSE)-BB119),ROUNDUP(V120/VLOOKUP(LEFT(B120,FIND(".",B120,1)-1),$AY:$AZ,2,FALSE)*VLOOKUP(LEFT(B120,FIND(".",B120,1)-1),$B$4:$AZ$68,45,FALSE),0)),0)</f>
        <v>0</v>
      </c>
      <c r="BB120" s="308">
        <f t="shared" si="56"/>
        <v>0</v>
      </c>
      <c r="BC120" s="308">
        <f>IFERROR(IF(_xlfn.NUMBERVALUE(RIGHT(B120,LEN(B120)-FIND(".",B120,1)))=COUNTIF('Contorizare in SDI'!$B:$B,LEFT(B120,FIND(".",B120,1)-1))-1,IF((COUNTIF('Contorizare in SDI'!$B:$B,LEFT(B120,FIND(".",B120,1)-1))-1)=1,VLOOKUP(LEFT(B120,FIND(".",B120,1)-1),$B$4:$AZ$68,46,FALSE),VLOOKUP(LEFT(B120,FIND(".",B120,1)-1),$B$4:$AZ$68,46,FALSE)-BD119),ROUNDUP(V120/VLOOKUP(LEFT(B120,FIND(".",B120,1)-1),$AY:$AZ,2,FALSE)*VLOOKUP(LEFT(B120,FIND(".",B120,1)-1),$B$4:$AZ$68,46,FALSE),0)),0)</f>
        <v>0</v>
      </c>
      <c r="BD120" s="308">
        <f t="shared" si="57"/>
        <v>0</v>
      </c>
      <c r="BE120" s="308">
        <f>IFERROR(IF(_xlfn.NUMBERVALUE(RIGHT(B120,LEN(B120)-FIND(".",B120,1)))=COUNTIF('Contorizare in SDI'!$B:$B,LEFT(B120,FIND(".",B120,1)-1))-1,IF((COUNTIF('Contorizare in SDI'!$B:$B,LEFT(B120,FIND(".",B120,1)-1))-1)=1,VLOOKUP(LEFT(B120,FIND(".",B120,1)-1),$B$4:$AZ$68,47,FALSE),VLOOKUP(LEFT(B120,FIND(".",B120,1)-1),$B$4:$AZ$68,47,FALSE)-BF119),ROUNDUP(V120/VLOOKUP(LEFT(B120,FIND(".",B120,1)-1),$AY:$AZ,2,FALSE)*VLOOKUP(LEFT(B120,FIND(".",B120,1)-1),$B$4:$AZ$68,47,FALSE),0)),0)</f>
        <v>0</v>
      </c>
      <c r="BF120" s="308">
        <f t="shared" si="58"/>
        <v>0</v>
      </c>
      <c r="BG120" s="308">
        <f>IFERROR(IF(_xlfn.NUMBERVALUE(RIGHT(B120,LEN(B120)-FIND(".",B120,1)))=COUNTIF('Contorizare in SDI'!$B:$B,LEFT(B120,FIND(".",B120,1)-1))-1,IF((COUNTIF('Contorizare in SDI'!$B:$B,LEFT(B120,FIND(".",B120,1)-1))-1)=1,VLOOKUP(LEFT(B120,FIND(".",B120,1)-1),$B$4:$AZ$68,48,FALSE),VLOOKUP(LEFT(B120,FIND(".",B120,1)-1),$B$4:$AZ$68,48,FALSE)-BH119),ROUNDUP(V120/VLOOKUP(LEFT(B120,FIND(".",B120,1)-1),$AY:$AZ,2,FALSE)*VLOOKUP(LEFT(B120,FIND(".",B120,1)-1),$B$4:$AZ$68,48,FALSE),0)),0)</f>
        <v>0</v>
      </c>
      <c r="BH120" s="308">
        <f t="shared" si="59"/>
        <v>0</v>
      </c>
      <c r="BI120" s="308">
        <f>IFERROR(IF(_xlfn.NUMBERVALUE(RIGHT(B120,LEN(B120)-FIND(".",B120,1)))=COUNTIF('Contorizare in SDI'!$B:$B,LEFT(B120,FIND(".",B120,1)-1))-1,IF((COUNTIF('Contorizare in SDI'!$B:$B,LEFT(B120,FIND(".",B120,1)-1))-1)=1,VLOOKUP(LEFT(B120,FIND(".",B120,1)-1),$B$4:$AZ$68,49,FALSE),VLOOKUP(LEFT(B120,FIND(".",B120,1)-1),$B$4:$AZ$68,49,FALSE)-BJ119),ROUNDUP(V120/VLOOKUP(LEFT(B120,FIND(".",B120,1)-1),$AY:$AZ,2,FALSE)*VLOOKUP(LEFT(B120,FIND(".",B120,1)-1),$B$4:$AZ$68,49,FALSE),0)),0)</f>
        <v>0</v>
      </c>
      <c r="BJ120" s="308">
        <f t="shared" si="60"/>
        <v>0</v>
      </c>
      <c r="BP120" s="44">
        <f t="shared" si="61"/>
        <v>0</v>
      </c>
      <c r="BQ120" s="1">
        <v>0</v>
      </c>
      <c r="BR120" s="1">
        <v>0</v>
      </c>
      <c r="BS120" s="16">
        <f t="shared" si="102"/>
        <v>0</v>
      </c>
      <c r="BT120" s="16">
        <f t="shared" si="103"/>
        <v>0</v>
      </c>
      <c r="BU120" s="16">
        <f t="shared" si="104"/>
        <v>0</v>
      </c>
      <c r="BV120" s="16">
        <f t="shared" si="105"/>
        <v>0</v>
      </c>
      <c r="BX120" s="1" t="str">
        <f t="shared" si="32"/>
        <v>RFSC</v>
      </c>
      <c r="BY120" s="1">
        <f t="shared" si="33"/>
        <v>0</v>
      </c>
      <c r="BZ120" s="1">
        <f t="shared" si="66"/>
        <v>0</v>
      </c>
      <c r="CA120" s="1">
        <f t="shared" si="67"/>
        <v>0</v>
      </c>
      <c r="CB120" s="1">
        <f t="shared" si="68"/>
        <v>0</v>
      </c>
      <c r="CC120" s="1">
        <f t="shared" si="69"/>
        <v>0</v>
      </c>
      <c r="CD120" s="1">
        <f t="shared" si="70"/>
        <v>0</v>
      </c>
      <c r="CE120" s="1">
        <f t="shared" si="71"/>
        <v>0</v>
      </c>
      <c r="CR120" s="30" t="s">
        <v>551</v>
      </c>
      <c r="CS120" s="291">
        <v>336480</v>
      </c>
      <c r="CT120" s="291">
        <v>0</v>
      </c>
      <c r="CU120" s="291">
        <v>0</v>
      </c>
      <c r="CV120" s="291">
        <v>0</v>
      </c>
      <c r="CW120" s="29" t="s">
        <v>642</v>
      </c>
      <c r="CX120" s="312">
        <v>84437</v>
      </c>
      <c r="CY120" s="184">
        <v>0</v>
      </c>
      <c r="CZ120" s="88">
        <v>0</v>
      </c>
      <c r="DA120" s="88">
        <v>0</v>
      </c>
      <c r="DB120" s="29" t="s">
        <v>69</v>
      </c>
      <c r="DC120" s="87">
        <v>0</v>
      </c>
      <c r="DD120" s="88">
        <v>0</v>
      </c>
      <c r="DE120" s="88">
        <v>0</v>
      </c>
      <c r="DF120" s="88">
        <v>0</v>
      </c>
      <c r="DG120" s="88">
        <v>84437</v>
      </c>
      <c r="DH120" s="88">
        <v>0</v>
      </c>
      <c r="DI120" s="321">
        <v>0</v>
      </c>
      <c r="DJ120" s="88">
        <v>1267</v>
      </c>
    </row>
    <row r="121" spans="1:114" ht="17.25" thickTop="1" thickBot="1">
      <c r="A121" s="531">
        <f t="shared" si="41"/>
        <v>118</v>
      </c>
      <c r="B121" s="38" t="s">
        <v>613</v>
      </c>
      <c r="C121" s="17" t="s">
        <v>250</v>
      </c>
      <c r="D121" s="17">
        <v>1370137686</v>
      </c>
      <c r="E121" s="142" t="str">
        <f t="shared" si="42"/>
        <v>RPMB</v>
      </c>
      <c r="F121" s="16">
        <v>8894409</v>
      </c>
      <c r="G121" s="16">
        <v>9185124</v>
      </c>
      <c r="H121" s="16">
        <v>0</v>
      </c>
      <c r="I121" s="16">
        <v>0</v>
      </c>
      <c r="J121" s="16">
        <v>466472</v>
      </c>
      <c r="K121" s="16">
        <v>466472</v>
      </c>
      <c r="L121" s="16">
        <v>12437</v>
      </c>
      <c r="M121" s="16">
        <v>12437</v>
      </c>
      <c r="N121" s="12" t="s">
        <v>917</v>
      </c>
      <c r="O121" s="12" t="s">
        <v>1019</v>
      </c>
      <c r="P121" s="12" t="s">
        <v>917</v>
      </c>
      <c r="Q121" s="12" t="s">
        <v>917</v>
      </c>
      <c r="R121" s="12" t="s">
        <v>917</v>
      </c>
      <c r="S121" s="12" t="s">
        <v>1019</v>
      </c>
      <c r="T121" s="12" t="s">
        <v>917</v>
      </c>
      <c r="U121" s="12" t="s">
        <v>1019</v>
      </c>
      <c r="V121" s="22">
        <v>290715</v>
      </c>
      <c r="W121" s="22">
        <v>0</v>
      </c>
      <c r="X121" s="22">
        <v>0</v>
      </c>
      <c r="Y121" s="22">
        <v>0</v>
      </c>
      <c r="Z121" s="171">
        <f t="shared" si="34"/>
        <v>8894409</v>
      </c>
      <c r="AA121" s="130" t="str">
        <f t="shared" si="35"/>
        <v>citit</v>
      </c>
      <c r="AB121" s="176">
        <f t="shared" si="43"/>
        <v>9185124</v>
      </c>
      <c r="AC121" s="12" t="s">
        <v>917</v>
      </c>
      <c r="AD121" s="12">
        <f t="shared" si="101"/>
        <v>0</v>
      </c>
      <c r="AE121" s="12">
        <f t="shared" si="101"/>
        <v>0</v>
      </c>
      <c r="AF121" s="12">
        <f t="shared" si="101"/>
        <v>466472</v>
      </c>
      <c r="AG121" s="12" t="str">
        <f t="shared" si="37"/>
        <v>citit</v>
      </c>
      <c r="AH121" s="176">
        <f t="shared" si="44"/>
        <v>466472</v>
      </c>
      <c r="AI121" s="12" t="s">
        <v>917</v>
      </c>
      <c r="AJ121" s="12">
        <f t="shared" si="38"/>
        <v>12437</v>
      </c>
      <c r="AK121" s="12" t="str">
        <f t="shared" si="39"/>
        <v>citit</v>
      </c>
      <c r="AL121" s="175">
        <f t="shared" si="45"/>
        <v>12437</v>
      </c>
      <c r="AM121" s="159" t="s">
        <v>917</v>
      </c>
      <c r="AN121" s="154">
        <f t="shared" si="46"/>
        <v>290715</v>
      </c>
      <c r="AO121" s="14">
        <f t="shared" si="47"/>
        <v>0</v>
      </c>
      <c r="AP121" s="147">
        <f t="shared" si="48"/>
        <v>0</v>
      </c>
      <c r="AQ121" s="147">
        <f t="shared" si="49"/>
        <v>0</v>
      </c>
      <c r="AR121" s="16">
        <v>0</v>
      </c>
      <c r="AS121" s="16">
        <v>0</v>
      </c>
      <c r="AT121" s="1">
        <f t="shared" si="50"/>
        <v>0</v>
      </c>
      <c r="AU121" s="154">
        <f t="shared" si="51"/>
        <v>0</v>
      </c>
      <c r="AV121" s="154">
        <f t="shared" si="52"/>
        <v>0</v>
      </c>
      <c r="AW121" s="154">
        <f t="shared" si="53"/>
        <v>0</v>
      </c>
      <c r="AX121" s="154">
        <f t="shared" si="54"/>
        <v>0</v>
      </c>
      <c r="AY121" s="308" t="str">
        <f t="shared" si="55"/>
        <v>-</v>
      </c>
      <c r="AZ121" s="308">
        <f t="shared" si="40"/>
        <v>290715</v>
      </c>
      <c r="BA121" s="308">
        <f>IFERROR(IF(_xlfn.NUMBERVALUE(RIGHT(B121,LEN(B121)-FIND(".",B121,1)))=COUNTIF('Contorizare in SDI'!$B:$B,LEFT(B121,FIND(".",B121,1)-1))-1,IF((COUNTIF('Contorizare in SDI'!$B:$B,LEFT(B121,FIND(".",B121,1)-1))-1)=1,VLOOKUP(LEFT(B121,FIND(".",B121,1)-1),$B$4:$AZ$68,45,FALSE),VLOOKUP(LEFT(B121,FIND(".",B121,1)-1),$B$4:$AZ$68,45,FALSE)-BB120),ROUNDUP(V121/VLOOKUP(LEFT(B121,FIND(".",B121,1)-1),$AY:$AZ,2,FALSE)*VLOOKUP(LEFT(B121,FIND(".",B121,1)-1),$B$4:$AZ$68,45,FALSE),0)),0)</f>
        <v>0</v>
      </c>
      <c r="BB121" s="308">
        <f t="shared" si="56"/>
        <v>0</v>
      </c>
      <c r="BC121" s="308">
        <f>IFERROR(IF(_xlfn.NUMBERVALUE(RIGHT(B121,LEN(B121)-FIND(".",B121,1)))=COUNTIF('Contorizare in SDI'!$B:$B,LEFT(B121,FIND(".",B121,1)-1))-1,IF((COUNTIF('Contorizare in SDI'!$B:$B,LEFT(B121,FIND(".",B121,1)-1))-1)=1,VLOOKUP(LEFT(B121,FIND(".",B121,1)-1),$B$4:$AZ$68,46,FALSE),VLOOKUP(LEFT(B121,FIND(".",B121,1)-1),$B$4:$AZ$68,46,FALSE)-BD120),ROUNDUP(V121/VLOOKUP(LEFT(B121,FIND(".",B121,1)-1),$AY:$AZ,2,FALSE)*VLOOKUP(LEFT(B121,FIND(".",B121,1)-1),$B$4:$AZ$68,46,FALSE),0)),0)</f>
        <v>0</v>
      </c>
      <c r="BD121" s="308">
        <f t="shared" si="57"/>
        <v>0</v>
      </c>
      <c r="BE121" s="308">
        <f>IFERROR(IF(_xlfn.NUMBERVALUE(RIGHT(B121,LEN(B121)-FIND(".",B121,1)))=COUNTIF('Contorizare in SDI'!$B:$B,LEFT(B121,FIND(".",B121,1)-1))-1,IF((COUNTIF('Contorizare in SDI'!$B:$B,LEFT(B121,FIND(".",B121,1)-1))-1)=1,VLOOKUP(LEFT(B121,FIND(".",B121,1)-1),$B$4:$AZ$68,47,FALSE),VLOOKUP(LEFT(B121,FIND(".",B121,1)-1),$B$4:$AZ$68,47,FALSE)-BF120),ROUNDUP(V121/VLOOKUP(LEFT(B121,FIND(".",B121,1)-1),$AY:$AZ,2,FALSE)*VLOOKUP(LEFT(B121,FIND(".",B121,1)-1),$B$4:$AZ$68,47,FALSE),0)),0)</f>
        <v>0</v>
      </c>
      <c r="BF121" s="308">
        <f t="shared" si="58"/>
        <v>0</v>
      </c>
      <c r="BG121" s="308">
        <f>IFERROR(IF(_xlfn.NUMBERVALUE(RIGHT(B121,LEN(B121)-FIND(".",B121,1)))=COUNTIF('Contorizare in SDI'!$B:$B,LEFT(B121,FIND(".",B121,1)-1))-1,IF((COUNTIF('Contorizare in SDI'!$B:$B,LEFT(B121,FIND(".",B121,1)-1))-1)=1,VLOOKUP(LEFT(B121,FIND(".",B121,1)-1),$B$4:$AZ$68,48,FALSE),VLOOKUP(LEFT(B121,FIND(".",B121,1)-1),$B$4:$AZ$68,48,FALSE)-BH120),ROUNDUP(V121/VLOOKUP(LEFT(B121,FIND(".",B121,1)-1),$AY:$AZ,2,FALSE)*VLOOKUP(LEFT(B121,FIND(".",B121,1)-1),$B$4:$AZ$68,48,FALSE),0)),0)</f>
        <v>0</v>
      </c>
      <c r="BH121" s="308">
        <f t="shared" si="59"/>
        <v>0</v>
      </c>
      <c r="BI121" s="308">
        <f>IFERROR(IF(_xlfn.NUMBERVALUE(RIGHT(B121,LEN(B121)-FIND(".",B121,1)))=COUNTIF('Contorizare in SDI'!$B:$B,LEFT(B121,FIND(".",B121,1)-1))-1,IF((COUNTIF('Contorizare in SDI'!$B:$B,LEFT(B121,FIND(".",B121,1)-1))-1)=1,VLOOKUP(LEFT(B121,FIND(".",B121,1)-1),$B$4:$AZ$68,49,FALSE),VLOOKUP(LEFT(B121,FIND(".",B121,1)-1),$B$4:$AZ$68,49,FALSE)-BJ120),ROUNDUP(V121/VLOOKUP(LEFT(B121,FIND(".",B121,1)-1),$AY:$AZ,2,FALSE)*VLOOKUP(LEFT(B121,FIND(".",B121,1)-1),$B$4:$AZ$68,49,FALSE),0)),0)</f>
        <v>0</v>
      </c>
      <c r="BJ121" s="308">
        <f t="shared" si="60"/>
        <v>0</v>
      </c>
      <c r="BP121" s="44">
        <f t="shared" si="61"/>
        <v>0</v>
      </c>
      <c r="BQ121" s="1">
        <v>0</v>
      </c>
      <c r="BR121" s="1">
        <v>0</v>
      </c>
      <c r="BS121" s="16">
        <f t="shared" si="102"/>
        <v>0</v>
      </c>
      <c r="BT121" s="16">
        <f t="shared" si="103"/>
        <v>0</v>
      </c>
      <c r="BU121" s="16">
        <f t="shared" si="104"/>
        <v>0</v>
      </c>
      <c r="BV121" s="16">
        <f t="shared" si="105"/>
        <v>0</v>
      </c>
      <c r="BX121" s="1" t="str">
        <f t="shared" si="32"/>
        <v/>
      </c>
      <c r="BY121" s="1">
        <f t="shared" si="33"/>
        <v>0</v>
      </c>
      <c r="BZ121" s="1">
        <f t="shared" si="66"/>
        <v>0</v>
      </c>
      <c r="CA121" s="1">
        <f t="shared" si="67"/>
        <v>0</v>
      </c>
      <c r="CB121" s="1">
        <f t="shared" si="68"/>
        <v>0</v>
      </c>
      <c r="CC121" s="1">
        <f t="shared" si="69"/>
        <v>0</v>
      </c>
      <c r="CD121" s="1">
        <f t="shared" si="70"/>
        <v>0</v>
      </c>
      <c r="CE121" s="1">
        <f t="shared" si="71"/>
        <v>0</v>
      </c>
      <c r="CR121" s="30" t="s">
        <v>551</v>
      </c>
      <c r="CS121" s="291">
        <v>336480</v>
      </c>
      <c r="CT121" s="291">
        <v>0</v>
      </c>
      <c r="CU121" s="291">
        <v>0</v>
      </c>
      <c r="CV121" s="291">
        <v>0</v>
      </c>
      <c r="CW121" s="29" t="s">
        <v>643</v>
      </c>
      <c r="CX121" s="312">
        <v>84437</v>
      </c>
      <c r="CY121" s="184">
        <v>0</v>
      </c>
      <c r="CZ121" s="88">
        <v>0</v>
      </c>
      <c r="DA121" s="88">
        <v>0</v>
      </c>
      <c r="DB121" s="29" t="s">
        <v>69</v>
      </c>
      <c r="DC121" s="87">
        <v>0</v>
      </c>
      <c r="DD121" s="88">
        <v>0</v>
      </c>
      <c r="DE121" s="88">
        <v>0</v>
      </c>
      <c r="DF121" s="88">
        <v>0</v>
      </c>
      <c r="DG121" s="88">
        <v>84437</v>
      </c>
      <c r="DH121" s="88">
        <v>0</v>
      </c>
      <c r="DI121" s="321">
        <v>0</v>
      </c>
      <c r="DJ121" s="88">
        <v>1267</v>
      </c>
    </row>
    <row r="122" spans="1:114" ht="17.25" thickTop="1" thickBot="1">
      <c r="A122" s="531">
        <f t="shared" si="41"/>
        <v>119</v>
      </c>
      <c r="B122" s="38" t="s">
        <v>614</v>
      </c>
      <c r="C122" s="17" t="s">
        <v>252</v>
      </c>
      <c r="D122" s="17">
        <v>1370137899</v>
      </c>
      <c r="E122" s="142" t="str">
        <f t="shared" si="42"/>
        <v>RPMB</v>
      </c>
      <c r="F122" s="16">
        <v>9141435</v>
      </c>
      <c r="G122" s="16">
        <v>9443349</v>
      </c>
      <c r="H122" s="16">
        <v>0</v>
      </c>
      <c r="I122" s="16">
        <v>0</v>
      </c>
      <c r="J122" s="16">
        <v>452306</v>
      </c>
      <c r="K122" s="16">
        <v>452306</v>
      </c>
      <c r="L122" s="16">
        <v>83484</v>
      </c>
      <c r="M122" s="16">
        <v>83484</v>
      </c>
      <c r="N122" s="12" t="s">
        <v>917</v>
      </c>
      <c r="O122" s="12" t="s">
        <v>1019</v>
      </c>
      <c r="P122" s="12" t="s">
        <v>917</v>
      </c>
      <c r="Q122" s="12" t="s">
        <v>917</v>
      </c>
      <c r="R122" s="12" t="s">
        <v>917</v>
      </c>
      <c r="S122" s="12" t="s">
        <v>1019</v>
      </c>
      <c r="T122" s="12" t="s">
        <v>917</v>
      </c>
      <c r="U122" s="12" t="s">
        <v>1019</v>
      </c>
      <c r="V122" s="22">
        <v>301914</v>
      </c>
      <c r="W122" s="22">
        <v>0</v>
      </c>
      <c r="X122" s="22">
        <v>0</v>
      </c>
      <c r="Y122" s="22">
        <v>0</v>
      </c>
      <c r="Z122" s="171">
        <f t="shared" si="34"/>
        <v>9141435</v>
      </c>
      <c r="AA122" s="130" t="str">
        <f t="shared" si="35"/>
        <v>citit</v>
      </c>
      <c r="AB122" s="176">
        <f t="shared" si="43"/>
        <v>9443349</v>
      </c>
      <c r="AC122" s="12" t="s">
        <v>917</v>
      </c>
      <c r="AD122" s="12">
        <f t="shared" si="101"/>
        <v>0</v>
      </c>
      <c r="AE122" s="12">
        <f t="shared" si="101"/>
        <v>0</v>
      </c>
      <c r="AF122" s="12">
        <f t="shared" si="101"/>
        <v>452306</v>
      </c>
      <c r="AG122" s="12" t="str">
        <f t="shared" si="37"/>
        <v>citit</v>
      </c>
      <c r="AH122" s="176">
        <f t="shared" si="44"/>
        <v>452306</v>
      </c>
      <c r="AI122" s="12" t="s">
        <v>917</v>
      </c>
      <c r="AJ122" s="12">
        <f t="shared" si="38"/>
        <v>83484</v>
      </c>
      <c r="AK122" s="12" t="str">
        <f t="shared" si="39"/>
        <v>citit</v>
      </c>
      <c r="AL122" s="175">
        <f t="shared" si="45"/>
        <v>83484</v>
      </c>
      <c r="AM122" s="159" t="s">
        <v>917</v>
      </c>
      <c r="AN122" s="154">
        <f t="shared" si="46"/>
        <v>301914</v>
      </c>
      <c r="AO122" s="14">
        <f t="shared" si="47"/>
        <v>0</v>
      </c>
      <c r="AP122" s="147">
        <f t="shared" si="48"/>
        <v>0</v>
      </c>
      <c r="AQ122" s="147">
        <f t="shared" si="49"/>
        <v>0</v>
      </c>
      <c r="AR122" s="16">
        <v>0</v>
      </c>
      <c r="AS122" s="16">
        <v>0</v>
      </c>
      <c r="AT122" s="1">
        <f t="shared" si="50"/>
        <v>0</v>
      </c>
      <c r="AU122" s="154">
        <f t="shared" si="51"/>
        <v>0</v>
      </c>
      <c r="AV122" s="154">
        <f t="shared" si="52"/>
        <v>0</v>
      </c>
      <c r="AW122" s="154">
        <f t="shared" si="53"/>
        <v>0</v>
      </c>
      <c r="AX122" s="154">
        <f t="shared" si="54"/>
        <v>0</v>
      </c>
      <c r="AY122" s="308" t="str">
        <f t="shared" si="55"/>
        <v>-</v>
      </c>
      <c r="AZ122" s="308">
        <f t="shared" si="40"/>
        <v>592629</v>
      </c>
      <c r="BA122" s="308">
        <f>IFERROR(IF(_xlfn.NUMBERVALUE(RIGHT(B122,LEN(B122)-FIND(".",B122,1)))=COUNTIF('Contorizare in SDI'!$B:$B,LEFT(B122,FIND(".",B122,1)-1))-1,IF((COUNTIF('Contorizare in SDI'!$B:$B,LEFT(B122,FIND(".",B122,1)-1))-1)=1,VLOOKUP(LEFT(B122,FIND(".",B122,1)-1),$B$4:$AZ$68,45,FALSE),VLOOKUP(LEFT(B122,FIND(".",B122,1)-1),$B$4:$AZ$68,45,FALSE)-BB121),ROUNDUP(V122/VLOOKUP(LEFT(B122,FIND(".",B122,1)-1),$AY:$AZ,2,FALSE)*VLOOKUP(LEFT(B122,FIND(".",B122,1)-1),$B$4:$AZ$68,45,FALSE),0)),0)</f>
        <v>0</v>
      </c>
      <c r="BB122" s="308">
        <f t="shared" si="56"/>
        <v>0</v>
      </c>
      <c r="BC122" s="308">
        <f>IFERROR(IF(_xlfn.NUMBERVALUE(RIGHT(B122,LEN(B122)-FIND(".",B122,1)))=COUNTIF('Contorizare in SDI'!$B:$B,LEFT(B122,FIND(".",B122,1)-1))-1,IF((COUNTIF('Contorizare in SDI'!$B:$B,LEFT(B122,FIND(".",B122,1)-1))-1)=1,VLOOKUP(LEFT(B122,FIND(".",B122,1)-1),$B$4:$AZ$68,46,FALSE),VLOOKUP(LEFT(B122,FIND(".",B122,1)-1),$B$4:$AZ$68,46,FALSE)-BD121),ROUNDUP(V122/VLOOKUP(LEFT(B122,FIND(".",B122,1)-1),$AY:$AZ,2,FALSE)*VLOOKUP(LEFT(B122,FIND(".",B122,1)-1),$B$4:$AZ$68,46,FALSE),0)),0)</f>
        <v>0</v>
      </c>
      <c r="BD122" s="308">
        <f t="shared" si="57"/>
        <v>0</v>
      </c>
      <c r="BE122" s="308">
        <f>IFERROR(IF(_xlfn.NUMBERVALUE(RIGHT(B122,LEN(B122)-FIND(".",B122,1)))=COUNTIF('Contorizare in SDI'!$B:$B,LEFT(B122,FIND(".",B122,1)-1))-1,IF((COUNTIF('Contorizare in SDI'!$B:$B,LEFT(B122,FIND(".",B122,1)-1))-1)=1,VLOOKUP(LEFT(B122,FIND(".",B122,1)-1),$B$4:$AZ$68,47,FALSE),VLOOKUP(LEFT(B122,FIND(".",B122,1)-1),$B$4:$AZ$68,47,FALSE)-BF121),ROUNDUP(V122/VLOOKUP(LEFT(B122,FIND(".",B122,1)-1),$AY:$AZ,2,FALSE)*VLOOKUP(LEFT(B122,FIND(".",B122,1)-1),$B$4:$AZ$68,47,FALSE),0)),0)</f>
        <v>0</v>
      </c>
      <c r="BF122" s="308">
        <f t="shared" si="58"/>
        <v>0</v>
      </c>
      <c r="BG122" s="308">
        <f>IFERROR(IF(_xlfn.NUMBERVALUE(RIGHT(B122,LEN(B122)-FIND(".",B122,1)))=COUNTIF('Contorizare in SDI'!$B:$B,LEFT(B122,FIND(".",B122,1)-1))-1,IF((COUNTIF('Contorizare in SDI'!$B:$B,LEFT(B122,FIND(".",B122,1)-1))-1)=1,VLOOKUP(LEFT(B122,FIND(".",B122,1)-1),$B$4:$AZ$68,48,FALSE),VLOOKUP(LEFT(B122,FIND(".",B122,1)-1),$B$4:$AZ$68,48,FALSE)-BH121),ROUNDUP(V122/VLOOKUP(LEFT(B122,FIND(".",B122,1)-1),$AY:$AZ,2,FALSE)*VLOOKUP(LEFT(B122,FIND(".",B122,1)-1),$B$4:$AZ$68,48,FALSE),0)),0)</f>
        <v>0</v>
      </c>
      <c r="BH122" s="308">
        <f t="shared" si="59"/>
        <v>0</v>
      </c>
      <c r="BI122" s="308">
        <f>IFERROR(IF(_xlfn.NUMBERVALUE(RIGHT(B122,LEN(B122)-FIND(".",B122,1)))=COUNTIF('Contorizare in SDI'!$B:$B,LEFT(B122,FIND(".",B122,1)-1))-1,IF((COUNTIF('Contorizare in SDI'!$B:$B,LEFT(B122,FIND(".",B122,1)-1))-1)=1,VLOOKUP(LEFT(B122,FIND(".",B122,1)-1),$B$4:$AZ$68,49,FALSE),VLOOKUP(LEFT(B122,FIND(".",B122,1)-1),$B$4:$AZ$68,49,FALSE)-BJ121),ROUNDUP(V122/VLOOKUP(LEFT(B122,FIND(".",B122,1)-1),$AY:$AZ,2,FALSE)*VLOOKUP(LEFT(B122,FIND(".",B122,1)-1),$B$4:$AZ$68,49,FALSE),0)),0)</f>
        <v>0</v>
      </c>
      <c r="BJ122" s="308">
        <f t="shared" si="60"/>
        <v>0</v>
      </c>
      <c r="BP122" s="44">
        <f t="shared" si="61"/>
        <v>0</v>
      </c>
      <c r="BQ122" s="1">
        <v>0</v>
      </c>
      <c r="BR122" s="1">
        <v>0</v>
      </c>
      <c r="BS122" s="16">
        <f t="shared" si="102"/>
        <v>0</v>
      </c>
      <c r="BT122" s="16">
        <f t="shared" si="103"/>
        <v>0</v>
      </c>
      <c r="BU122" s="16">
        <f t="shared" si="104"/>
        <v>0</v>
      </c>
      <c r="BV122" s="16">
        <f t="shared" si="105"/>
        <v>0</v>
      </c>
      <c r="BX122" s="1" t="str">
        <f t="shared" si="32"/>
        <v/>
      </c>
      <c r="BY122" s="1">
        <f t="shared" si="33"/>
        <v>0</v>
      </c>
      <c r="BZ122" s="1">
        <f t="shared" si="66"/>
        <v>0</v>
      </c>
      <c r="CA122" s="1">
        <f t="shared" si="67"/>
        <v>0</v>
      </c>
      <c r="CB122" s="1">
        <f t="shared" si="68"/>
        <v>0</v>
      </c>
      <c r="CC122" s="1">
        <f t="shared" si="69"/>
        <v>0</v>
      </c>
      <c r="CD122" s="1">
        <f t="shared" si="70"/>
        <v>0</v>
      </c>
      <c r="CE122" s="1">
        <f t="shared" si="71"/>
        <v>0</v>
      </c>
      <c r="CR122" s="30" t="s">
        <v>551</v>
      </c>
      <c r="CS122" s="291">
        <v>336480</v>
      </c>
      <c r="CT122" s="291">
        <v>0</v>
      </c>
      <c r="CU122" s="291">
        <v>0</v>
      </c>
      <c r="CV122" s="291">
        <v>0</v>
      </c>
      <c r="CW122" s="29" t="s">
        <v>644</v>
      </c>
      <c r="CX122" s="312">
        <v>78121</v>
      </c>
      <c r="CY122" s="184">
        <v>0</v>
      </c>
      <c r="CZ122" s="88">
        <v>0</v>
      </c>
      <c r="DA122" s="88">
        <v>0</v>
      </c>
      <c r="DB122" s="29" t="s">
        <v>69</v>
      </c>
      <c r="DC122" s="87">
        <v>0</v>
      </c>
      <c r="DD122" s="88">
        <v>0</v>
      </c>
      <c r="DE122" s="88">
        <v>0</v>
      </c>
      <c r="DF122" s="88">
        <v>0</v>
      </c>
      <c r="DG122" s="88">
        <v>78121</v>
      </c>
      <c r="DH122" s="88">
        <v>0</v>
      </c>
      <c r="DI122" s="321">
        <v>0</v>
      </c>
      <c r="DJ122" s="88">
        <v>1247</v>
      </c>
    </row>
    <row r="123" spans="1:114" ht="17.25" thickTop="1" thickBot="1">
      <c r="A123" s="531">
        <f t="shared" si="41"/>
        <v>120</v>
      </c>
      <c r="B123" s="38" t="s">
        <v>615</v>
      </c>
      <c r="C123" s="17" t="s">
        <v>254</v>
      </c>
      <c r="D123" s="17">
        <v>1370139991</v>
      </c>
      <c r="E123" s="142" t="str">
        <f t="shared" si="42"/>
        <v>RPMB</v>
      </c>
      <c r="F123" s="16">
        <v>10826637</v>
      </c>
      <c r="G123" s="16">
        <v>11215682</v>
      </c>
      <c r="H123" s="16">
        <v>0</v>
      </c>
      <c r="I123" s="16">
        <v>0</v>
      </c>
      <c r="J123" s="16">
        <v>270522</v>
      </c>
      <c r="K123" s="16">
        <v>270522</v>
      </c>
      <c r="L123" s="16">
        <v>97</v>
      </c>
      <c r="M123" s="16">
        <v>97</v>
      </c>
      <c r="N123" s="12" t="s">
        <v>917</v>
      </c>
      <c r="O123" s="12" t="s">
        <v>1019</v>
      </c>
      <c r="P123" s="12" t="s">
        <v>917</v>
      </c>
      <c r="Q123" s="12" t="s">
        <v>917</v>
      </c>
      <c r="R123" s="12" t="s">
        <v>917</v>
      </c>
      <c r="S123" s="12" t="s">
        <v>1019</v>
      </c>
      <c r="T123" s="12" t="s">
        <v>917</v>
      </c>
      <c r="U123" s="12" t="s">
        <v>1019</v>
      </c>
      <c r="V123" s="22">
        <v>389045</v>
      </c>
      <c r="W123" s="22">
        <v>0</v>
      </c>
      <c r="X123" s="22">
        <v>0</v>
      </c>
      <c r="Y123" s="22">
        <v>0</v>
      </c>
      <c r="Z123" s="171">
        <f t="shared" si="34"/>
        <v>10826637</v>
      </c>
      <c r="AA123" s="130" t="str">
        <f t="shared" si="35"/>
        <v>citit</v>
      </c>
      <c r="AB123" s="176">
        <f t="shared" si="43"/>
        <v>11215682</v>
      </c>
      <c r="AC123" s="12" t="s">
        <v>917</v>
      </c>
      <c r="AD123" s="12">
        <f t="shared" si="101"/>
        <v>0</v>
      </c>
      <c r="AE123" s="12">
        <f t="shared" si="101"/>
        <v>0</v>
      </c>
      <c r="AF123" s="12">
        <f t="shared" si="101"/>
        <v>270522</v>
      </c>
      <c r="AG123" s="12" t="str">
        <f t="shared" si="37"/>
        <v>citit</v>
      </c>
      <c r="AH123" s="176">
        <f t="shared" si="44"/>
        <v>270522</v>
      </c>
      <c r="AI123" s="12" t="s">
        <v>917</v>
      </c>
      <c r="AJ123" s="12">
        <f t="shared" si="38"/>
        <v>97</v>
      </c>
      <c r="AK123" s="12" t="str">
        <f t="shared" si="39"/>
        <v>citit</v>
      </c>
      <c r="AL123" s="175">
        <f t="shared" si="45"/>
        <v>97</v>
      </c>
      <c r="AM123" s="159" t="s">
        <v>917</v>
      </c>
      <c r="AN123" s="154">
        <f t="shared" si="46"/>
        <v>389045</v>
      </c>
      <c r="AO123" s="14">
        <f t="shared" si="47"/>
        <v>0</v>
      </c>
      <c r="AP123" s="147">
        <f t="shared" si="48"/>
        <v>0</v>
      </c>
      <c r="AQ123" s="147">
        <f t="shared" si="49"/>
        <v>0</v>
      </c>
      <c r="AR123" s="16">
        <v>0</v>
      </c>
      <c r="AS123" s="16">
        <v>0</v>
      </c>
      <c r="AT123" s="1">
        <f t="shared" si="50"/>
        <v>0</v>
      </c>
      <c r="AU123" s="154">
        <f t="shared" si="51"/>
        <v>0</v>
      </c>
      <c r="AV123" s="154">
        <f t="shared" si="52"/>
        <v>0</v>
      </c>
      <c r="AW123" s="154">
        <f t="shared" si="53"/>
        <v>0</v>
      </c>
      <c r="AX123" s="154">
        <f t="shared" si="54"/>
        <v>0</v>
      </c>
      <c r="AY123" s="308" t="str">
        <f t="shared" si="55"/>
        <v>-</v>
      </c>
      <c r="AZ123" s="308">
        <f t="shared" si="40"/>
        <v>981674</v>
      </c>
      <c r="BA123" s="308">
        <f>IFERROR(IF(_xlfn.NUMBERVALUE(RIGHT(B123,LEN(B123)-FIND(".",B123,1)))=COUNTIF('Contorizare in SDI'!$B:$B,LEFT(B123,FIND(".",B123,1)-1))-1,IF((COUNTIF('Contorizare in SDI'!$B:$B,LEFT(B123,FIND(".",B123,1)-1))-1)=1,VLOOKUP(LEFT(B123,FIND(".",B123,1)-1),$B$4:$AZ$68,45,FALSE),VLOOKUP(LEFT(B123,FIND(".",B123,1)-1),$B$4:$AZ$68,45,FALSE)-BB122),ROUNDUP(V123/VLOOKUP(LEFT(B123,FIND(".",B123,1)-1),$AY:$AZ,2,FALSE)*VLOOKUP(LEFT(B123,FIND(".",B123,1)-1),$B$4:$AZ$68,45,FALSE),0)),0)</f>
        <v>0</v>
      </c>
      <c r="BB123" s="308">
        <f t="shared" si="56"/>
        <v>0</v>
      </c>
      <c r="BC123" s="308">
        <f>IFERROR(IF(_xlfn.NUMBERVALUE(RIGHT(B123,LEN(B123)-FIND(".",B123,1)))=COUNTIF('Contorizare in SDI'!$B:$B,LEFT(B123,FIND(".",B123,1)-1))-1,IF((COUNTIF('Contorizare in SDI'!$B:$B,LEFT(B123,FIND(".",B123,1)-1))-1)=1,VLOOKUP(LEFT(B123,FIND(".",B123,1)-1),$B$4:$AZ$68,46,FALSE),VLOOKUP(LEFT(B123,FIND(".",B123,1)-1),$B$4:$AZ$68,46,FALSE)-BD122),ROUNDUP(V123/VLOOKUP(LEFT(B123,FIND(".",B123,1)-1),$AY:$AZ,2,FALSE)*VLOOKUP(LEFT(B123,FIND(".",B123,1)-1),$B$4:$AZ$68,46,FALSE),0)),0)</f>
        <v>0</v>
      </c>
      <c r="BD123" s="308">
        <f t="shared" si="57"/>
        <v>0</v>
      </c>
      <c r="BE123" s="308">
        <f>IFERROR(IF(_xlfn.NUMBERVALUE(RIGHT(B123,LEN(B123)-FIND(".",B123,1)))=COUNTIF('Contorizare in SDI'!$B:$B,LEFT(B123,FIND(".",B123,1)-1))-1,IF((COUNTIF('Contorizare in SDI'!$B:$B,LEFT(B123,FIND(".",B123,1)-1))-1)=1,VLOOKUP(LEFT(B123,FIND(".",B123,1)-1),$B$4:$AZ$68,47,FALSE),VLOOKUP(LEFT(B123,FIND(".",B123,1)-1),$B$4:$AZ$68,47,FALSE)-BF122),ROUNDUP(V123/VLOOKUP(LEFT(B123,FIND(".",B123,1)-1),$AY:$AZ,2,FALSE)*VLOOKUP(LEFT(B123,FIND(".",B123,1)-1),$B$4:$AZ$68,47,FALSE),0)),0)</f>
        <v>0</v>
      </c>
      <c r="BF123" s="308">
        <f t="shared" si="58"/>
        <v>0</v>
      </c>
      <c r="BG123" s="308">
        <f>IFERROR(IF(_xlfn.NUMBERVALUE(RIGHT(B123,LEN(B123)-FIND(".",B123,1)))=COUNTIF('Contorizare in SDI'!$B:$B,LEFT(B123,FIND(".",B123,1)-1))-1,IF((COUNTIF('Contorizare in SDI'!$B:$B,LEFT(B123,FIND(".",B123,1)-1))-1)=1,VLOOKUP(LEFT(B123,FIND(".",B123,1)-1),$B$4:$AZ$68,48,FALSE),VLOOKUP(LEFT(B123,FIND(".",B123,1)-1),$B$4:$AZ$68,48,FALSE)-BH122),ROUNDUP(V123/VLOOKUP(LEFT(B123,FIND(".",B123,1)-1),$AY:$AZ,2,FALSE)*VLOOKUP(LEFT(B123,FIND(".",B123,1)-1),$B$4:$AZ$68,48,FALSE),0)),0)</f>
        <v>0</v>
      </c>
      <c r="BH123" s="308">
        <f t="shared" si="59"/>
        <v>0</v>
      </c>
      <c r="BI123" s="308">
        <f>IFERROR(IF(_xlfn.NUMBERVALUE(RIGHT(B123,LEN(B123)-FIND(".",B123,1)))=COUNTIF('Contorizare in SDI'!$B:$B,LEFT(B123,FIND(".",B123,1)-1))-1,IF((COUNTIF('Contorizare in SDI'!$B:$B,LEFT(B123,FIND(".",B123,1)-1))-1)=1,VLOOKUP(LEFT(B123,FIND(".",B123,1)-1),$B$4:$AZ$68,49,FALSE),VLOOKUP(LEFT(B123,FIND(".",B123,1)-1),$B$4:$AZ$68,49,FALSE)-BJ122),ROUNDUP(V123/VLOOKUP(LEFT(B123,FIND(".",B123,1)-1),$AY:$AZ,2,FALSE)*VLOOKUP(LEFT(B123,FIND(".",B123,1)-1),$B$4:$AZ$68,49,FALSE),0)),0)</f>
        <v>0</v>
      </c>
      <c r="BJ123" s="308">
        <f t="shared" si="60"/>
        <v>0</v>
      </c>
      <c r="BP123" s="44">
        <f t="shared" si="61"/>
        <v>0</v>
      </c>
      <c r="BQ123" s="1">
        <v>0</v>
      </c>
      <c r="BR123" s="1">
        <v>0</v>
      </c>
      <c r="BS123" s="16">
        <f t="shared" si="102"/>
        <v>0</v>
      </c>
      <c r="BT123" s="16">
        <f t="shared" si="103"/>
        <v>0</v>
      </c>
      <c r="BU123" s="16">
        <f t="shared" si="104"/>
        <v>0</v>
      </c>
      <c r="BV123" s="16">
        <f t="shared" si="105"/>
        <v>0</v>
      </c>
      <c r="BX123" s="1" t="str">
        <f t="shared" si="32"/>
        <v/>
      </c>
      <c r="BY123" s="1">
        <f t="shared" si="33"/>
        <v>0</v>
      </c>
      <c r="BZ123" s="1">
        <f t="shared" si="66"/>
        <v>0</v>
      </c>
      <c r="CA123" s="1">
        <f t="shared" si="67"/>
        <v>0</v>
      </c>
      <c r="CB123" s="1">
        <f t="shared" si="68"/>
        <v>0</v>
      </c>
      <c r="CC123" s="1">
        <f t="shared" si="69"/>
        <v>0</v>
      </c>
      <c r="CD123" s="1">
        <f t="shared" si="70"/>
        <v>0</v>
      </c>
      <c r="CE123" s="1">
        <f t="shared" si="71"/>
        <v>0</v>
      </c>
      <c r="CR123" s="93" t="s">
        <v>551</v>
      </c>
      <c r="CS123" s="291">
        <v>336480</v>
      </c>
      <c r="CT123" s="291">
        <v>0</v>
      </c>
      <c r="CU123" s="291">
        <v>0</v>
      </c>
      <c r="CV123" s="291">
        <v>0</v>
      </c>
      <c r="CW123" s="94" t="s">
        <v>983</v>
      </c>
      <c r="CX123" s="312">
        <v>5048</v>
      </c>
      <c r="CY123" s="184">
        <v>0</v>
      </c>
      <c r="CZ123" s="88">
        <v>0</v>
      </c>
      <c r="DA123" s="88">
        <v>0</v>
      </c>
      <c r="DB123" s="94" t="s">
        <v>69</v>
      </c>
      <c r="DC123" s="87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321">
        <v>0</v>
      </c>
      <c r="DJ123" s="88">
        <v>0</v>
      </c>
    </row>
    <row r="124" spans="1:114" ht="17.25" thickTop="1" thickBot="1">
      <c r="A124" s="531">
        <f t="shared" si="41"/>
        <v>121</v>
      </c>
      <c r="B124" s="38" t="s">
        <v>616</v>
      </c>
      <c r="C124" s="17" t="s">
        <v>256</v>
      </c>
      <c r="D124" s="17">
        <v>1370139975</v>
      </c>
      <c r="E124" s="142" t="str">
        <f t="shared" si="42"/>
        <v>RPMB</v>
      </c>
      <c r="F124" s="16">
        <v>8421363</v>
      </c>
      <c r="G124" s="16">
        <v>8665029</v>
      </c>
      <c r="H124" s="16">
        <v>0</v>
      </c>
      <c r="I124" s="16">
        <v>0</v>
      </c>
      <c r="J124" s="16">
        <v>960029</v>
      </c>
      <c r="K124" s="16">
        <v>960029</v>
      </c>
      <c r="L124" s="16">
        <v>17479</v>
      </c>
      <c r="M124" s="16">
        <v>17479</v>
      </c>
      <c r="N124" s="12" t="s">
        <v>917</v>
      </c>
      <c r="O124" s="12" t="s">
        <v>1019</v>
      </c>
      <c r="P124" s="12" t="s">
        <v>917</v>
      </c>
      <c r="Q124" s="12" t="s">
        <v>917</v>
      </c>
      <c r="R124" s="12" t="s">
        <v>917</v>
      </c>
      <c r="S124" s="12" t="s">
        <v>1019</v>
      </c>
      <c r="T124" s="12" t="s">
        <v>917</v>
      </c>
      <c r="U124" s="12" t="s">
        <v>1019</v>
      </c>
      <c r="V124" s="22">
        <v>243666</v>
      </c>
      <c r="W124" s="22">
        <v>0</v>
      </c>
      <c r="X124" s="22">
        <v>0</v>
      </c>
      <c r="Y124" s="22">
        <v>0</v>
      </c>
      <c r="Z124" s="171">
        <f t="shared" si="34"/>
        <v>8421363</v>
      </c>
      <c r="AA124" s="130" t="str">
        <f t="shared" si="35"/>
        <v>citit</v>
      </c>
      <c r="AB124" s="176">
        <f t="shared" si="43"/>
        <v>8665029</v>
      </c>
      <c r="AC124" s="12" t="s">
        <v>917</v>
      </c>
      <c r="AD124" s="12">
        <f t="shared" si="101"/>
        <v>0</v>
      </c>
      <c r="AE124" s="12">
        <f t="shared" si="101"/>
        <v>0</v>
      </c>
      <c r="AF124" s="12">
        <f t="shared" si="101"/>
        <v>960029</v>
      </c>
      <c r="AG124" s="12" t="str">
        <f t="shared" si="37"/>
        <v>citit</v>
      </c>
      <c r="AH124" s="176">
        <f t="shared" si="44"/>
        <v>960029</v>
      </c>
      <c r="AI124" s="12" t="s">
        <v>917</v>
      </c>
      <c r="AJ124" s="12">
        <f t="shared" si="38"/>
        <v>17479</v>
      </c>
      <c r="AK124" s="12" t="str">
        <f t="shared" si="39"/>
        <v>citit</v>
      </c>
      <c r="AL124" s="175">
        <f t="shared" si="45"/>
        <v>17479</v>
      </c>
      <c r="AM124" s="159" t="s">
        <v>917</v>
      </c>
      <c r="AN124" s="154">
        <f t="shared" si="46"/>
        <v>243666</v>
      </c>
      <c r="AO124" s="14">
        <f t="shared" si="47"/>
        <v>0</v>
      </c>
      <c r="AP124" s="147">
        <f t="shared" si="48"/>
        <v>0</v>
      </c>
      <c r="AQ124" s="147">
        <f t="shared" si="49"/>
        <v>0</v>
      </c>
      <c r="AR124" s="16">
        <v>0</v>
      </c>
      <c r="AS124" s="16">
        <v>0</v>
      </c>
      <c r="AT124" s="1">
        <f t="shared" si="50"/>
        <v>0</v>
      </c>
      <c r="AU124" s="154">
        <f t="shared" si="51"/>
        <v>0</v>
      </c>
      <c r="AV124" s="154">
        <f t="shared" si="52"/>
        <v>0</v>
      </c>
      <c r="AW124" s="154">
        <f t="shared" si="53"/>
        <v>0</v>
      </c>
      <c r="AX124" s="154">
        <f t="shared" si="54"/>
        <v>0</v>
      </c>
      <c r="AY124" s="308" t="str">
        <f t="shared" si="55"/>
        <v>RPMB_1</v>
      </c>
      <c r="AZ124" s="308">
        <f t="shared" si="40"/>
        <v>1225340</v>
      </c>
      <c r="BA124" s="308">
        <f>IFERROR(IF(_xlfn.NUMBERVALUE(RIGHT(B124,LEN(B124)-FIND(".",B124,1)))=COUNTIF('Contorizare in SDI'!$B:$B,LEFT(B124,FIND(".",B124,1)-1))-1,IF((COUNTIF('Contorizare in SDI'!$B:$B,LEFT(B124,FIND(".",B124,1)-1))-1)=1,VLOOKUP(LEFT(B124,FIND(".",B124,1)-1),$B$4:$AZ$68,45,FALSE),VLOOKUP(LEFT(B124,FIND(".",B124,1)-1),$B$4:$AZ$68,45,FALSE)-BB123),ROUNDUP(V124/VLOOKUP(LEFT(B124,FIND(".",B124,1)-1),$AY:$AZ,2,FALSE)*VLOOKUP(LEFT(B124,FIND(".",B124,1)-1),$B$4:$AZ$68,45,FALSE),0)),0)</f>
        <v>0</v>
      </c>
      <c r="BB124" s="308">
        <f t="shared" si="56"/>
        <v>0</v>
      </c>
      <c r="BC124" s="308">
        <f>IFERROR(IF(_xlfn.NUMBERVALUE(RIGHT(B124,LEN(B124)-FIND(".",B124,1)))=COUNTIF('Contorizare in SDI'!$B:$B,LEFT(B124,FIND(".",B124,1)-1))-1,IF((COUNTIF('Contorizare in SDI'!$B:$B,LEFT(B124,FIND(".",B124,1)-1))-1)=1,VLOOKUP(LEFT(B124,FIND(".",B124,1)-1),$B$4:$AZ$68,46,FALSE),VLOOKUP(LEFT(B124,FIND(".",B124,1)-1),$B$4:$AZ$68,46,FALSE)-BD123),ROUNDUP(V124/VLOOKUP(LEFT(B124,FIND(".",B124,1)-1),$AY:$AZ,2,FALSE)*VLOOKUP(LEFT(B124,FIND(".",B124,1)-1),$B$4:$AZ$68,46,FALSE),0)),0)</f>
        <v>0</v>
      </c>
      <c r="BD124" s="308">
        <f t="shared" si="57"/>
        <v>0</v>
      </c>
      <c r="BE124" s="308">
        <f>IFERROR(IF(_xlfn.NUMBERVALUE(RIGHT(B124,LEN(B124)-FIND(".",B124,1)))=COUNTIF('Contorizare in SDI'!$B:$B,LEFT(B124,FIND(".",B124,1)-1))-1,IF((COUNTIF('Contorizare in SDI'!$B:$B,LEFT(B124,FIND(".",B124,1)-1))-1)=1,VLOOKUP(LEFT(B124,FIND(".",B124,1)-1),$B$4:$AZ$68,47,FALSE),VLOOKUP(LEFT(B124,FIND(".",B124,1)-1),$B$4:$AZ$68,47,FALSE)-BF123),ROUNDUP(V124/VLOOKUP(LEFT(B124,FIND(".",B124,1)-1),$AY:$AZ,2,FALSE)*VLOOKUP(LEFT(B124,FIND(".",B124,1)-1),$B$4:$AZ$68,47,FALSE),0)),0)</f>
        <v>0</v>
      </c>
      <c r="BF124" s="308">
        <f t="shared" si="58"/>
        <v>0</v>
      </c>
      <c r="BG124" s="308">
        <f>IFERROR(IF(_xlfn.NUMBERVALUE(RIGHT(B124,LEN(B124)-FIND(".",B124,1)))=COUNTIF('Contorizare in SDI'!$B:$B,LEFT(B124,FIND(".",B124,1)-1))-1,IF((COUNTIF('Contorizare in SDI'!$B:$B,LEFT(B124,FIND(".",B124,1)-1))-1)=1,VLOOKUP(LEFT(B124,FIND(".",B124,1)-1),$B$4:$AZ$68,48,FALSE),VLOOKUP(LEFT(B124,FIND(".",B124,1)-1),$B$4:$AZ$68,48,FALSE)-BH123),ROUNDUP(V124/VLOOKUP(LEFT(B124,FIND(".",B124,1)-1),$AY:$AZ,2,FALSE)*VLOOKUP(LEFT(B124,FIND(".",B124,1)-1),$B$4:$AZ$68,48,FALSE),0)),0)</f>
        <v>0</v>
      </c>
      <c r="BH124" s="308">
        <f t="shared" si="59"/>
        <v>0</v>
      </c>
      <c r="BI124" s="308">
        <f>IFERROR(IF(_xlfn.NUMBERVALUE(RIGHT(B124,LEN(B124)-FIND(".",B124,1)))=COUNTIF('Contorizare in SDI'!$B:$B,LEFT(B124,FIND(".",B124,1)-1))-1,IF((COUNTIF('Contorizare in SDI'!$B:$B,LEFT(B124,FIND(".",B124,1)-1))-1)=1,VLOOKUP(LEFT(B124,FIND(".",B124,1)-1),$B$4:$AZ$68,49,FALSE),VLOOKUP(LEFT(B124,FIND(".",B124,1)-1),$B$4:$AZ$68,49,FALSE)-BJ123),ROUNDUP(V124/VLOOKUP(LEFT(B124,FIND(".",B124,1)-1),$AY:$AZ,2,FALSE)*VLOOKUP(LEFT(B124,FIND(".",B124,1)-1),$B$4:$AZ$68,49,FALSE),0)),0)</f>
        <v>0</v>
      </c>
      <c r="BJ124" s="308">
        <f t="shared" si="60"/>
        <v>0</v>
      </c>
      <c r="BP124" s="44">
        <f t="shared" si="61"/>
        <v>0</v>
      </c>
      <c r="BQ124" s="1">
        <v>0</v>
      </c>
      <c r="BR124" s="1">
        <v>0</v>
      </c>
      <c r="BS124" s="16">
        <f t="shared" si="102"/>
        <v>0</v>
      </c>
      <c r="BT124" s="16">
        <f t="shared" si="103"/>
        <v>0</v>
      </c>
      <c r="BU124" s="16">
        <f t="shared" si="104"/>
        <v>0</v>
      </c>
      <c r="BV124" s="16">
        <f t="shared" si="105"/>
        <v>0</v>
      </c>
      <c r="BX124" s="1" t="str">
        <f t="shared" si="32"/>
        <v>RPMB</v>
      </c>
      <c r="BY124" s="1">
        <f t="shared" si="33"/>
        <v>0</v>
      </c>
      <c r="BZ124" s="1">
        <f t="shared" si="66"/>
        <v>0</v>
      </c>
      <c r="CA124" s="1">
        <f t="shared" si="67"/>
        <v>0</v>
      </c>
      <c r="CB124" s="1">
        <f t="shared" si="68"/>
        <v>0</v>
      </c>
      <c r="CC124" s="1">
        <f t="shared" si="69"/>
        <v>0</v>
      </c>
      <c r="CD124" s="1">
        <f t="shared" si="70"/>
        <v>0</v>
      </c>
      <c r="CE124" s="1">
        <f t="shared" si="71"/>
        <v>0</v>
      </c>
      <c r="CR124" s="86" t="s">
        <v>552</v>
      </c>
      <c r="CS124" s="291">
        <v>89530</v>
      </c>
      <c r="CT124" s="291">
        <v>0</v>
      </c>
      <c r="CU124" s="291">
        <v>0</v>
      </c>
      <c r="CV124" s="291">
        <v>0</v>
      </c>
      <c r="CW124" s="89" t="s">
        <v>645</v>
      </c>
      <c r="CX124" s="312">
        <v>88187</v>
      </c>
      <c r="CY124" s="317">
        <v>0</v>
      </c>
      <c r="CZ124" s="88">
        <v>2151</v>
      </c>
      <c r="DA124" s="88">
        <v>6960</v>
      </c>
      <c r="DB124" s="89" t="s">
        <v>689</v>
      </c>
      <c r="DC124" s="87">
        <v>0</v>
      </c>
      <c r="DD124" s="88">
        <v>56756</v>
      </c>
      <c r="DE124" s="88">
        <v>31</v>
      </c>
      <c r="DF124" s="88">
        <v>688</v>
      </c>
      <c r="DG124" s="88">
        <v>88187</v>
      </c>
      <c r="DH124" s="88">
        <v>56756</v>
      </c>
      <c r="DI124" s="321">
        <v>0</v>
      </c>
      <c r="DJ124" s="88">
        <v>1343</v>
      </c>
    </row>
    <row r="125" spans="1:114" ht="17.25" thickTop="1" thickBot="1">
      <c r="A125" s="531">
        <f t="shared" si="41"/>
        <v>122</v>
      </c>
      <c r="B125" s="38" t="s">
        <v>617</v>
      </c>
      <c r="C125" s="17" t="s">
        <v>261</v>
      </c>
      <c r="D125" s="17">
        <v>1371033646</v>
      </c>
      <c r="E125" s="142" t="str">
        <f t="shared" si="42"/>
        <v>RTGU</v>
      </c>
      <c r="F125" s="16">
        <v>5131168</v>
      </c>
      <c r="G125" s="16">
        <v>5228689</v>
      </c>
      <c r="H125" s="16">
        <v>0</v>
      </c>
      <c r="I125" s="16">
        <v>0</v>
      </c>
      <c r="J125" s="16">
        <v>668230</v>
      </c>
      <c r="K125" s="16">
        <v>668230</v>
      </c>
      <c r="L125" s="16">
        <v>11928</v>
      </c>
      <c r="M125" s="16">
        <v>11928</v>
      </c>
      <c r="N125" s="12" t="s">
        <v>917</v>
      </c>
      <c r="O125" s="12" t="s">
        <v>1019</v>
      </c>
      <c r="P125" s="12" t="s">
        <v>917</v>
      </c>
      <c r="Q125" s="12" t="s">
        <v>917</v>
      </c>
      <c r="R125" s="12" t="s">
        <v>917</v>
      </c>
      <c r="S125" s="12" t="s">
        <v>1019</v>
      </c>
      <c r="T125" s="12" t="s">
        <v>917</v>
      </c>
      <c r="U125" s="12" t="s">
        <v>1019</v>
      </c>
      <c r="V125" s="22">
        <v>97521</v>
      </c>
      <c r="W125" s="22">
        <v>0</v>
      </c>
      <c r="X125" s="22">
        <v>0</v>
      </c>
      <c r="Y125" s="22">
        <v>0</v>
      </c>
      <c r="Z125" s="171">
        <f t="shared" si="34"/>
        <v>5131168</v>
      </c>
      <c r="AA125" s="130" t="str">
        <f t="shared" si="35"/>
        <v>citit</v>
      </c>
      <c r="AB125" s="176">
        <f t="shared" si="43"/>
        <v>5228689</v>
      </c>
      <c r="AC125" s="12" t="s">
        <v>917</v>
      </c>
      <c r="AD125" s="12">
        <f t="shared" si="101"/>
        <v>0</v>
      </c>
      <c r="AE125" s="12">
        <f t="shared" si="101"/>
        <v>0</v>
      </c>
      <c r="AF125" s="12">
        <f t="shared" si="101"/>
        <v>668230</v>
      </c>
      <c r="AG125" s="12" t="str">
        <f t="shared" si="37"/>
        <v>citit</v>
      </c>
      <c r="AH125" s="176">
        <f t="shared" si="44"/>
        <v>668230</v>
      </c>
      <c r="AI125" s="12" t="s">
        <v>917</v>
      </c>
      <c r="AJ125" s="12">
        <f t="shared" si="38"/>
        <v>11928</v>
      </c>
      <c r="AK125" s="12" t="str">
        <f t="shared" si="39"/>
        <v>citit</v>
      </c>
      <c r="AL125" s="175">
        <f t="shared" si="45"/>
        <v>11928</v>
      </c>
      <c r="AM125" s="159" t="s">
        <v>917</v>
      </c>
      <c r="AN125" s="154">
        <f t="shared" si="46"/>
        <v>97521</v>
      </c>
      <c r="AO125" s="14">
        <f t="shared" si="47"/>
        <v>0</v>
      </c>
      <c r="AP125" s="147">
        <f t="shared" si="48"/>
        <v>0</v>
      </c>
      <c r="AQ125" s="147">
        <f t="shared" si="49"/>
        <v>0</v>
      </c>
      <c r="AR125" s="16">
        <v>0</v>
      </c>
      <c r="AS125" s="16">
        <v>0</v>
      </c>
      <c r="AT125" s="1">
        <f t="shared" si="50"/>
        <v>0</v>
      </c>
      <c r="AU125" s="154">
        <f t="shared" si="51"/>
        <v>0</v>
      </c>
      <c r="AV125" s="154">
        <f t="shared" si="52"/>
        <v>0</v>
      </c>
      <c r="AW125" s="154">
        <f t="shared" si="53"/>
        <v>0</v>
      </c>
      <c r="AX125" s="154">
        <f t="shared" si="54"/>
        <v>0</v>
      </c>
      <c r="AY125" s="308" t="str">
        <f t="shared" si="55"/>
        <v>-</v>
      </c>
      <c r="AZ125" s="308">
        <f t="shared" si="40"/>
        <v>97521</v>
      </c>
      <c r="BA125" s="308">
        <f>IFERROR(IF(_xlfn.NUMBERVALUE(RIGHT(B125,LEN(B125)-FIND(".",B125,1)))=COUNTIF('Contorizare in SDI'!$B:$B,LEFT(B125,FIND(".",B125,1)-1))-1,IF((COUNTIF('Contorizare in SDI'!$B:$B,LEFT(B125,FIND(".",B125,1)-1))-1)=1,VLOOKUP(LEFT(B125,FIND(".",B125,1)-1),$B$4:$AZ$68,45,FALSE),VLOOKUP(LEFT(B125,FIND(".",B125,1)-1),$B$4:$AZ$68,45,FALSE)-BB124),ROUNDUP(V125/VLOOKUP(LEFT(B125,FIND(".",B125,1)-1),$AY:$AZ,2,FALSE)*VLOOKUP(LEFT(B125,FIND(".",B125,1)-1),$B$4:$AZ$68,45,FALSE),0)),0)</f>
        <v>0</v>
      </c>
      <c r="BB125" s="308">
        <f t="shared" si="56"/>
        <v>0</v>
      </c>
      <c r="BC125" s="308">
        <f>IFERROR(IF(_xlfn.NUMBERVALUE(RIGHT(B125,LEN(B125)-FIND(".",B125,1)))=COUNTIF('Contorizare in SDI'!$B:$B,LEFT(B125,FIND(".",B125,1)-1))-1,IF((COUNTIF('Contorizare in SDI'!$B:$B,LEFT(B125,FIND(".",B125,1)-1))-1)=1,VLOOKUP(LEFT(B125,FIND(".",B125,1)-1),$B$4:$AZ$68,46,FALSE),VLOOKUP(LEFT(B125,FIND(".",B125,1)-1),$B$4:$AZ$68,46,FALSE)-BD124),ROUNDUP(V125/VLOOKUP(LEFT(B125,FIND(".",B125,1)-1),$AY:$AZ,2,FALSE)*VLOOKUP(LEFT(B125,FIND(".",B125,1)-1),$B$4:$AZ$68,46,FALSE),0)),0)</f>
        <v>0</v>
      </c>
      <c r="BD125" s="308">
        <f t="shared" si="57"/>
        <v>0</v>
      </c>
      <c r="BE125" s="308">
        <f>IFERROR(IF(_xlfn.NUMBERVALUE(RIGHT(B125,LEN(B125)-FIND(".",B125,1)))=COUNTIF('Contorizare in SDI'!$B:$B,LEFT(B125,FIND(".",B125,1)-1))-1,IF((COUNTIF('Contorizare in SDI'!$B:$B,LEFT(B125,FIND(".",B125,1)-1))-1)=1,VLOOKUP(LEFT(B125,FIND(".",B125,1)-1),$B$4:$AZ$68,47,FALSE),VLOOKUP(LEFT(B125,FIND(".",B125,1)-1),$B$4:$AZ$68,47,FALSE)-BF124),ROUNDUP(V125/VLOOKUP(LEFT(B125,FIND(".",B125,1)-1),$AY:$AZ,2,FALSE)*VLOOKUP(LEFT(B125,FIND(".",B125,1)-1),$B$4:$AZ$68,47,FALSE),0)),0)</f>
        <v>0</v>
      </c>
      <c r="BF125" s="308">
        <f t="shared" si="58"/>
        <v>0</v>
      </c>
      <c r="BG125" s="308">
        <f>IFERROR(IF(_xlfn.NUMBERVALUE(RIGHT(B125,LEN(B125)-FIND(".",B125,1)))=COUNTIF('Contorizare in SDI'!$B:$B,LEFT(B125,FIND(".",B125,1)-1))-1,IF((COUNTIF('Contorizare in SDI'!$B:$B,LEFT(B125,FIND(".",B125,1)-1))-1)=1,VLOOKUP(LEFT(B125,FIND(".",B125,1)-1),$B$4:$AZ$68,48,FALSE),VLOOKUP(LEFT(B125,FIND(".",B125,1)-1),$B$4:$AZ$68,48,FALSE)-BH124),ROUNDUP(V125/VLOOKUP(LEFT(B125,FIND(".",B125,1)-1),$AY:$AZ,2,FALSE)*VLOOKUP(LEFT(B125,FIND(".",B125,1)-1),$B$4:$AZ$68,48,FALSE),0)),0)</f>
        <v>0</v>
      </c>
      <c r="BH125" s="308">
        <f t="shared" si="59"/>
        <v>0</v>
      </c>
      <c r="BI125" s="308">
        <f>IFERROR(IF(_xlfn.NUMBERVALUE(RIGHT(B125,LEN(B125)-FIND(".",B125,1)))=COUNTIF('Contorizare in SDI'!$B:$B,LEFT(B125,FIND(".",B125,1)-1))-1,IF((COUNTIF('Contorizare in SDI'!$B:$B,LEFT(B125,FIND(".",B125,1)-1))-1)=1,VLOOKUP(LEFT(B125,FIND(".",B125,1)-1),$B$4:$AZ$68,49,FALSE),VLOOKUP(LEFT(B125,FIND(".",B125,1)-1),$B$4:$AZ$68,49,FALSE)-BJ124),ROUNDUP(V125/VLOOKUP(LEFT(B125,FIND(".",B125,1)-1),$AY:$AZ,2,FALSE)*VLOOKUP(LEFT(B125,FIND(".",B125,1)-1),$B$4:$AZ$68,49,FALSE),0)),0)</f>
        <v>0</v>
      </c>
      <c r="BJ125" s="308">
        <f t="shared" si="60"/>
        <v>0</v>
      </c>
      <c r="BP125" s="44">
        <f t="shared" si="61"/>
        <v>0</v>
      </c>
      <c r="BQ125" s="1">
        <v>0</v>
      </c>
      <c r="BR125" s="1">
        <v>0</v>
      </c>
      <c r="BS125" s="16">
        <f t="shared" si="102"/>
        <v>0</v>
      </c>
      <c r="BT125" s="16">
        <f t="shared" si="103"/>
        <v>0</v>
      </c>
      <c r="BU125" s="16">
        <f t="shared" si="104"/>
        <v>0</v>
      </c>
      <c r="BV125" s="16">
        <f t="shared" si="105"/>
        <v>0</v>
      </c>
      <c r="BX125" s="1" t="str">
        <f t="shared" si="32"/>
        <v/>
      </c>
      <c r="BY125" s="1">
        <f t="shared" si="33"/>
        <v>0</v>
      </c>
      <c r="BZ125" s="1">
        <f t="shared" si="66"/>
        <v>0</v>
      </c>
      <c r="CA125" s="1">
        <f t="shared" si="67"/>
        <v>0</v>
      </c>
      <c r="CB125" s="1">
        <f t="shared" si="68"/>
        <v>0</v>
      </c>
      <c r="CC125" s="1">
        <f t="shared" si="69"/>
        <v>0</v>
      </c>
      <c r="CD125" s="1">
        <f t="shared" si="70"/>
        <v>0</v>
      </c>
      <c r="CE125" s="1">
        <f t="shared" si="71"/>
        <v>0</v>
      </c>
      <c r="CR125" s="30" t="s">
        <v>552</v>
      </c>
      <c r="CS125" s="291">
        <v>89530</v>
      </c>
      <c r="CT125" s="291">
        <v>0</v>
      </c>
      <c r="CU125" s="291">
        <v>0</v>
      </c>
      <c r="CV125" s="291">
        <v>0</v>
      </c>
      <c r="CW125" s="29" t="s">
        <v>984</v>
      </c>
      <c r="CX125" s="312">
        <v>1343</v>
      </c>
      <c r="CY125" s="184">
        <v>0</v>
      </c>
      <c r="CZ125" s="88">
        <v>0</v>
      </c>
      <c r="DA125" s="88">
        <v>0</v>
      </c>
      <c r="DB125" s="29" t="s">
        <v>69</v>
      </c>
      <c r="DC125" s="87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321">
        <v>0</v>
      </c>
      <c r="DJ125" s="88">
        <v>0</v>
      </c>
    </row>
    <row r="126" spans="1:114" ht="17.25" thickTop="1" thickBot="1">
      <c r="A126" s="531">
        <f t="shared" si="41"/>
        <v>123</v>
      </c>
      <c r="B126" s="38" t="s">
        <v>618</v>
      </c>
      <c r="C126" s="17" t="s">
        <v>263</v>
      </c>
      <c r="D126" s="17" t="s">
        <v>934</v>
      </c>
      <c r="E126" s="142" t="str">
        <f t="shared" si="42"/>
        <v>RTGU</v>
      </c>
      <c r="F126" s="16">
        <v>3405467</v>
      </c>
      <c r="G126" s="16">
        <v>3682455</v>
      </c>
      <c r="H126" s="16">
        <v>0</v>
      </c>
      <c r="I126" s="16">
        <v>0</v>
      </c>
      <c r="J126" s="16">
        <v>112092</v>
      </c>
      <c r="K126" s="16">
        <v>112092</v>
      </c>
      <c r="L126" s="16">
        <v>11742</v>
      </c>
      <c r="M126" s="16">
        <v>11742</v>
      </c>
      <c r="N126" s="12" t="s">
        <v>917</v>
      </c>
      <c r="O126" s="12" t="s">
        <v>1019</v>
      </c>
      <c r="P126" s="12" t="s">
        <v>917</v>
      </c>
      <c r="Q126" s="12" t="s">
        <v>917</v>
      </c>
      <c r="R126" s="12" t="s">
        <v>917</v>
      </c>
      <c r="S126" s="12" t="s">
        <v>1019</v>
      </c>
      <c r="T126" s="12" t="s">
        <v>917</v>
      </c>
      <c r="U126" s="12" t="s">
        <v>1019</v>
      </c>
      <c r="V126" s="22">
        <v>276988</v>
      </c>
      <c r="W126" s="22">
        <v>0</v>
      </c>
      <c r="X126" s="22">
        <v>0</v>
      </c>
      <c r="Y126" s="22">
        <v>0</v>
      </c>
      <c r="Z126" s="171">
        <f t="shared" si="34"/>
        <v>3405467</v>
      </c>
      <c r="AA126" s="130" t="str">
        <f t="shared" si="35"/>
        <v>citit</v>
      </c>
      <c r="AB126" s="176">
        <f t="shared" si="43"/>
        <v>3682455</v>
      </c>
      <c r="AC126" s="12" t="s">
        <v>917</v>
      </c>
      <c r="AD126" s="12">
        <f t="shared" si="101"/>
        <v>0</v>
      </c>
      <c r="AE126" s="12">
        <f t="shared" si="101"/>
        <v>0</v>
      </c>
      <c r="AF126" s="12">
        <f t="shared" si="101"/>
        <v>112092</v>
      </c>
      <c r="AG126" s="12" t="str">
        <f t="shared" si="37"/>
        <v>citit</v>
      </c>
      <c r="AH126" s="176">
        <f t="shared" si="44"/>
        <v>112092</v>
      </c>
      <c r="AI126" s="12" t="s">
        <v>917</v>
      </c>
      <c r="AJ126" s="12">
        <f t="shared" si="38"/>
        <v>11742</v>
      </c>
      <c r="AK126" s="12" t="str">
        <f t="shared" si="39"/>
        <v>citit</v>
      </c>
      <c r="AL126" s="175">
        <f t="shared" si="45"/>
        <v>11742</v>
      </c>
      <c r="AM126" s="159" t="s">
        <v>917</v>
      </c>
      <c r="AN126" s="154">
        <f t="shared" si="46"/>
        <v>276988</v>
      </c>
      <c r="AO126" s="14">
        <f t="shared" si="47"/>
        <v>0</v>
      </c>
      <c r="AP126" s="147">
        <f t="shared" si="48"/>
        <v>0</v>
      </c>
      <c r="AQ126" s="147">
        <f t="shared" si="49"/>
        <v>0</v>
      </c>
      <c r="AR126" s="16">
        <v>0</v>
      </c>
      <c r="AS126" s="16">
        <v>0</v>
      </c>
      <c r="AT126" s="1">
        <f t="shared" si="50"/>
        <v>0</v>
      </c>
      <c r="AU126" s="154">
        <f t="shared" si="51"/>
        <v>0</v>
      </c>
      <c r="AV126" s="154">
        <f t="shared" si="52"/>
        <v>0</v>
      </c>
      <c r="AW126" s="154">
        <f t="shared" si="53"/>
        <v>0</v>
      </c>
      <c r="AX126" s="154">
        <f t="shared" si="54"/>
        <v>0</v>
      </c>
      <c r="AY126" s="308" t="str">
        <f t="shared" si="55"/>
        <v>-</v>
      </c>
      <c r="AZ126" s="308">
        <f t="shared" si="40"/>
        <v>374509</v>
      </c>
      <c r="BA126" s="308">
        <f>IFERROR(IF(_xlfn.NUMBERVALUE(RIGHT(B126,LEN(B126)-FIND(".",B126,1)))=COUNTIF('Contorizare in SDI'!$B:$B,LEFT(B126,FIND(".",B126,1)-1))-1,IF((COUNTIF('Contorizare in SDI'!$B:$B,LEFT(B126,FIND(".",B126,1)-1))-1)=1,VLOOKUP(LEFT(B126,FIND(".",B126,1)-1),$B$4:$AZ$68,45,FALSE),VLOOKUP(LEFT(B126,FIND(".",B126,1)-1),$B$4:$AZ$68,45,FALSE)-BB125),ROUNDUP(V126/VLOOKUP(LEFT(B126,FIND(".",B126,1)-1),$AY:$AZ,2,FALSE)*VLOOKUP(LEFT(B126,FIND(".",B126,1)-1),$B$4:$AZ$68,45,FALSE),0)),0)</f>
        <v>0</v>
      </c>
      <c r="BB126" s="308">
        <f t="shared" si="56"/>
        <v>0</v>
      </c>
      <c r="BC126" s="308">
        <f>IFERROR(IF(_xlfn.NUMBERVALUE(RIGHT(B126,LEN(B126)-FIND(".",B126,1)))=COUNTIF('Contorizare in SDI'!$B:$B,LEFT(B126,FIND(".",B126,1)-1))-1,IF((COUNTIF('Contorizare in SDI'!$B:$B,LEFT(B126,FIND(".",B126,1)-1))-1)=1,VLOOKUP(LEFT(B126,FIND(".",B126,1)-1),$B$4:$AZ$68,46,FALSE),VLOOKUP(LEFT(B126,FIND(".",B126,1)-1),$B$4:$AZ$68,46,FALSE)-BD125),ROUNDUP(V126/VLOOKUP(LEFT(B126,FIND(".",B126,1)-1),$AY:$AZ,2,FALSE)*VLOOKUP(LEFT(B126,FIND(".",B126,1)-1),$B$4:$AZ$68,46,FALSE),0)),0)</f>
        <v>0</v>
      </c>
      <c r="BD126" s="308">
        <f t="shared" si="57"/>
        <v>0</v>
      </c>
      <c r="BE126" s="308">
        <f>IFERROR(IF(_xlfn.NUMBERVALUE(RIGHT(B126,LEN(B126)-FIND(".",B126,1)))=COUNTIF('Contorizare in SDI'!$B:$B,LEFT(B126,FIND(".",B126,1)-1))-1,IF((COUNTIF('Contorizare in SDI'!$B:$B,LEFT(B126,FIND(".",B126,1)-1))-1)=1,VLOOKUP(LEFT(B126,FIND(".",B126,1)-1),$B$4:$AZ$68,47,FALSE),VLOOKUP(LEFT(B126,FIND(".",B126,1)-1),$B$4:$AZ$68,47,FALSE)-BF125),ROUNDUP(V126/VLOOKUP(LEFT(B126,FIND(".",B126,1)-1),$AY:$AZ,2,FALSE)*VLOOKUP(LEFT(B126,FIND(".",B126,1)-1),$B$4:$AZ$68,47,FALSE),0)),0)</f>
        <v>0</v>
      </c>
      <c r="BF126" s="308">
        <f t="shared" si="58"/>
        <v>0</v>
      </c>
      <c r="BG126" s="308">
        <f>IFERROR(IF(_xlfn.NUMBERVALUE(RIGHT(B126,LEN(B126)-FIND(".",B126,1)))=COUNTIF('Contorizare in SDI'!$B:$B,LEFT(B126,FIND(".",B126,1)-1))-1,IF((COUNTIF('Contorizare in SDI'!$B:$B,LEFT(B126,FIND(".",B126,1)-1))-1)=1,VLOOKUP(LEFT(B126,FIND(".",B126,1)-1),$B$4:$AZ$68,48,FALSE),VLOOKUP(LEFT(B126,FIND(".",B126,1)-1),$B$4:$AZ$68,48,FALSE)-BH125),ROUNDUP(V126/VLOOKUP(LEFT(B126,FIND(".",B126,1)-1),$AY:$AZ,2,FALSE)*VLOOKUP(LEFT(B126,FIND(".",B126,1)-1),$B$4:$AZ$68,48,FALSE),0)),0)</f>
        <v>0</v>
      </c>
      <c r="BH126" s="308">
        <f t="shared" si="59"/>
        <v>0</v>
      </c>
      <c r="BI126" s="308">
        <f>IFERROR(IF(_xlfn.NUMBERVALUE(RIGHT(B126,LEN(B126)-FIND(".",B126,1)))=COUNTIF('Contorizare in SDI'!$B:$B,LEFT(B126,FIND(".",B126,1)-1))-1,IF((COUNTIF('Contorizare in SDI'!$B:$B,LEFT(B126,FIND(".",B126,1)-1))-1)=1,VLOOKUP(LEFT(B126,FIND(".",B126,1)-1),$B$4:$AZ$68,49,FALSE),VLOOKUP(LEFT(B126,FIND(".",B126,1)-1),$B$4:$AZ$68,49,FALSE)-BJ125),ROUNDUP(V126/VLOOKUP(LEFT(B126,FIND(".",B126,1)-1),$AY:$AZ,2,FALSE)*VLOOKUP(LEFT(B126,FIND(".",B126,1)-1),$B$4:$AZ$68,49,FALSE),0)),0)</f>
        <v>0</v>
      </c>
      <c r="BJ126" s="308">
        <f t="shared" si="60"/>
        <v>0</v>
      </c>
      <c r="BP126" s="44">
        <f t="shared" si="61"/>
        <v>0</v>
      </c>
      <c r="BQ126" s="1">
        <v>0</v>
      </c>
      <c r="BR126" s="1">
        <v>0</v>
      </c>
      <c r="BS126" s="16">
        <f t="shared" si="102"/>
        <v>0</v>
      </c>
      <c r="BT126" s="16">
        <f t="shared" si="103"/>
        <v>0</v>
      </c>
      <c r="BU126" s="16">
        <f t="shared" si="104"/>
        <v>0</v>
      </c>
      <c r="BV126" s="16">
        <f t="shared" si="105"/>
        <v>0</v>
      </c>
      <c r="BX126" s="1" t="str">
        <f t="shared" si="32"/>
        <v/>
      </c>
      <c r="BY126" s="1">
        <f t="shared" si="33"/>
        <v>0</v>
      </c>
      <c r="BZ126" s="1">
        <f t="shared" si="66"/>
        <v>0</v>
      </c>
      <c r="CA126" s="1">
        <f t="shared" si="67"/>
        <v>0</v>
      </c>
      <c r="CB126" s="1">
        <f t="shared" si="68"/>
        <v>0</v>
      </c>
      <c r="CC126" s="1">
        <f t="shared" si="69"/>
        <v>0</v>
      </c>
      <c r="CD126" s="1">
        <f t="shared" si="70"/>
        <v>0</v>
      </c>
      <c r="CE126" s="1">
        <f t="shared" si="71"/>
        <v>0</v>
      </c>
      <c r="CR126" s="30" t="s">
        <v>553</v>
      </c>
      <c r="CS126" s="291">
        <v>104035</v>
      </c>
      <c r="CT126" s="291">
        <v>0</v>
      </c>
      <c r="CU126" s="291">
        <v>0</v>
      </c>
      <c r="CV126" s="291">
        <v>0</v>
      </c>
      <c r="CW126" s="29" t="s">
        <v>646</v>
      </c>
      <c r="CX126" s="312">
        <v>102474</v>
      </c>
      <c r="CY126" s="317">
        <v>0</v>
      </c>
      <c r="CZ126" s="88">
        <v>7618</v>
      </c>
      <c r="DA126" s="88">
        <v>3074</v>
      </c>
      <c r="DB126" s="29" t="s">
        <v>690</v>
      </c>
      <c r="DC126" s="87">
        <v>0</v>
      </c>
      <c r="DD126" s="88">
        <v>48361</v>
      </c>
      <c r="DE126" s="88">
        <v>42</v>
      </c>
      <c r="DF126" s="88">
        <v>622</v>
      </c>
      <c r="DG126" s="88">
        <v>102474</v>
      </c>
      <c r="DH126" s="88">
        <v>48361</v>
      </c>
      <c r="DI126" s="321">
        <v>0</v>
      </c>
      <c r="DJ126" s="88">
        <v>1561</v>
      </c>
    </row>
    <row r="127" spans="1:114" ht="17.25" thickTop="1" thickBot="1">
      <c r="A127" s="531">
        <f t="shared" si="41"/>
        <v>124</v>
      </c>
      <c r="B127" s="38" t="s">
        <v>619</v>
      </c>
      <c r="C127" s="17" t="s">
        <v>265</v>
      </c>
      <c r="D127" s="17" t="s">
        <v>935</v>
      </c>
      <c r="E127" s="142" t="str">
        <f t="shared" si="42"/>
        <v>RTGU</v>
      </c>
      <c r="F127" s="16">
        <v>3426286</v>
      </c>
      <c r="G127" s="16">
        <v>3689406</v>
      </c>
      <c r="H127" s="16">
        <v>0</v>
      </c>
      <c r="I127" s="16">
        <v>0</v>
      </c>
      <c r="J127" s="16">
        <v>112140</v>
      </c>
      <c r="K127" s="16">
        <v>112140</v>
      </c>
      <c r="L127" s="16">
        <v>11790</v>
      </c>
      <c r="M127" s="16">
        <v>11790</v>
      </c>
      <c r="N127" s="12" t="s">
        <v>917</v>
      </c>
      <c r="O127" s="12" t="s">
        <v>1019</v>
      </c>
      <c r="P127" s="12" t="s">
        <v>917</v>
      </c>
      <c r="Q127" s="12" t="s">
        <v>917</v>
      </c>
      <c r="R127" s="12" t="s">
        <v>917</v>
      </c>
      <c r="S127" s="12" t="s">
        <v>1019</v>
      </c>
      <c r="T127" s="12" t="s">
        <v>917</v>
      </c>
      <c r="U127" s="12" t="s">
        <v>1019</v>
      </c>
      <c r="V127" s="22">
        <v>263120</v>
      </c>
      <c r="W127" s="22">
        <v>0</v>
      </c>
      <c r="X127" s="22">
        <v>0</v>
      </c>
      <c r="Y127" s="22">
        <v>0</v>
      </c>
      <c r="Z127" s="171">
        <f t="shared" si="34"/>
        <v>3426286</v>
      </c>
      <c r="AA127" s="130" t="str">
        <f t="shared" si="35"/>
        <v>citit</v>
      </c>
      <c r="AB127" s="176">
        <f t="shared" si="43"/>
        <v>3689406</v>
      </c>
      <c r="AC127" s="12" t="s">
        <v>917</v>
      </c>
      <c r="AD127" s="12">
        <f t="shared" si="101"/>
        <v>0</v>
      </c>
      <c r="AE127" s="12">
        <f t="shared" si="101"/>
        <v>0</v>
      </c>
      <c r="AF127" s="12">
        <f t="shared" si="101"/>
        <v>112140</v>
      </c>
      <c r="AG127" s="12" t="str">
        <f t="shared" si="37"/>
        <v>citit</v>
      </c>
      <c r="AH127" s="176">
        <f t="shared" si="44"/>
        <v>112140</v>
      </c>
      <c r="AI127" s="12" t="s">
        <v>917</v>
      </c>
      <c r="AJ127" s="12">
        <f t="shared" si="38"/>
        <v>11790</v>
      </c>
      <c r="AK127" s="12" t="str">
        <f t="shared" si="39"/>
        <v>citit</v>
      </c>
      <c r="AL127" s="175">
        <f t="shared" si="45"/>
        <v>11790</v>
      </c>
      <c r="AM127" s="159" t="s">
        <v>917</v>
      </c>
      <c r="AN127" s="154">
        <f t="shared" si="46"/>
        <v>263120</v>
      </c>
      <c r="AO127" s="14">
        <f t="shared" si="47"/>
        <v>0</v>
      </c>
      <c r="AP127" s="147">
        <f t="shared" si="48"/>
        <v>0</v>
      </c>
      <c r="AQ127" s="147">
        <f t="shared" si="49"/>
        <v>0</v>
      </c>
      <c r="AR127" s="16">
        <v>0</v>
      </c>
      <c r="AS127" s="16">
        <v>0</v>
      </c>
      <c r="AT127" s="1">
        <f t="shared" si="50"/>
        <v>0</v>
      </c>
      <c r="AU127" s="154">
        <f t="shared" si="51"/>
        <v>0</v>
      </c>
      <c r="AV127" s="154">
        <f t="shared" si="52"/>
        <v>0</v>
      </c>
      <c r="AW127" s="154">
        <f t="shared" si="53"/>
        <v>0</v>
      </c>
      <c r="AX127" s="154">
        <f t="shared" si="54"/>
        <v>0</v>
      </c>
      <c r="AY127" s="308" t="str">
        <f t="shared" si="55"/>
        <v>RTGU_1</v>
      </c>
      <c r="AZ127" s="308">
        <f t="shared" si="40"/>
        <v>637629</v>
      </c>
      <c r="BA127" s="308">
        <f>IFERROR(IF(_xlfn.NUMBERVALUE(RIGHT(B127,LEN(B127)-FIND(".",B127,1)))=COUNTIF('Contorizare in SDI'!$B:$B,LEFT(B127,FIND(".",B127,1)-1))-1,IF((COUNTIF('Contorizare in SDI'!$B:$B,LEFT(B127,FIND(".",B127,1)-1))-1)=1,VLOOKUP(LEFT(B127,FIND(".",B127,1)-1),$B$4:$AZ$68,45,FALSE),VLOOKUP(LEFT(B127,FIND(".",B127,1)-1),$B$4:$AZ$68,45,FALSE)-BB126),ROUNDUP(V127/VLOOKUP(LEFT(B127,FIND(".",B127,1)-1),$AY:$AZ,2,FALSE)*VLOOKUP(LEFT(B127,FIND(".",B127,1)-1),$B$4:$AZ$68,45,FALSE),0)),0)</f>
        <v>0</v>
      </c>
      <c r="BB127" s="308">
        <f t="shared" si="56"/>
        <v>0</v>
      </c>
      <c r="BC127" s="308">
        <f>IFERROR(IF(_xlfn.NUMBERVALUE(RIGHT(B127,LEN(B127)-FIND(".",B127,1)))=COUNTIF('Contorizare in SDI'!$B:$B,LEFT(B127,FIND(".",B127,1)-1))-1,IF((COUNTIF('Contorizare in SDI'!$B:$B,LEFT(B127,FIND(".",B127,1)-1))-1)=1,VLOOKUP(LEFT(B127,FIND(".",B127,1)-1),$B$4:$AZ$68,46,FALSE),VLOOKUP(LEFT(B127,FIND(".",B127,1)-1),$B$4:$AZ$68,46,FALSE)-BD126),ROUNDUP(V127/VLOOKUP(LEFT(B127,FIND(".",B127,1)-1),$AY:$AZ,2,FALSE)*VLOOKUP(LEFT(B127,FIND(".",B127,1)-1),$B$4:$AZ$68,46,FALSE),0)),0)</f>
        <v>0</v>
      </c>
      <c r="BD127" s="308">
        <f t="shared" si="57"/>
        <v>0</v>
      </c>
      <c r="BE127" s="308">
        <f>IFERROR(IF(_xlfn.NUMBERVALUE(RIGHT(B127,LEN(B127)-FIND(".",B127,1)))=COUNTIF('Contorizare in SDI'!$B:$B,LEFT(B127,FIND(".",B127,1)-1))-1,IF((COUNTIF('Contorizare in SDI'!$B:$B,LEFT(B127,FIND(".",B127,1)-1))-1)=1,VLOOKUP(LEFT(B127,FIND(".",B127,1)-1),$B$4:$AZ$68,47,FALSE),VLOOKUP(LEFT(B127,FIND(".",B127,1)-1),$B$4:$AZ$68,47,FALSE)-BF126),ROUNDUP(V127/VLOOKUP(LEFT(B127,FIND(".",B127,1)-1),$AY:$AZ,2,FALSE)*VLOOKUP(LEFT(B127,FIND(".",B127,1)-1),$B$4:$AZ$68,47,FALSE),0)),0)</f>
        <v>0</v>
      </c>
      <c r="BF127" s="308">
        <f t="shared" si="58"/>
        <v>0</v>
      </c>
      <c r="BG127" s="308">
        <f>IFERROR(IF(_xlfn.NUMBERVALUE(RIGHT(B127,LEN(B127)-FIND(".",B127,1)))=COUNTIF('Contorizare in SDI'!$B:$B,LEFT(B127,FIND(".",B127,1)-1))-1,IF((COUNTIF('Contorizare in SDI'!$B:$B,LEFT(B127,FIND(".",B127,1)-1))-1)=1,VLOOKUP(LEFT(B127,FIND(".",B127,1)-1),$B$4:$AZ$68,48,FALSE),VLOOKUP(LEFT(B127,FIND(".",B127,1)-1),$B$4:$AZ$68,48,FALSE)-BH126),ROUNDUP(V127/VLOOKUP(LEFT(B127,FIND(".",B127,1)-1),$AY:$AZ,2,FALSE)*VLOOKUP(LEFT(B127,FIND(".",B127,1)-1),$B$4:$AZ$68,48,FALSE),0)),0)</f>
        <v>0</v>
      </c>
      <c r="BH127" s="308">
        <f t="shared" si="59"/>
        <v>0</v>
      </c>
      <c r="BI127" s="308">
        <f>IFERROR(IF(_xlfn.NUMBERVALUE(RIGHT(B127,LEN(B127)-FIND(".",B127,1)))=COUNTIF('Contorizare in SDI'!$B:$B,LEFT(B127,FIND(".",B127,1)-1))-1,IF((COUNTIF('Contorizare in SDI'!$B:$B,LEFT(B127,FIND(".",B127,1)-1))-1)=1,VLOOKUP(LEFT(B127,FIND(".",B127,1)-1),$B$4:$AZ$68,49,FALSE),VLOOKUP(LEFT(B127,FIND(".",B127,1)-1),$B$4:$AZ$68,49,FALSE)-BJ126),ROUNDUP(V127/VLOOKUP(LEFT(B127,FIND(".",B127,1)-1),$AY:$AZ,2,FALSE)*VLOOKUP(LEFT(B127,FIND(".",B127,1)-1),$B$4:$AZ$68,49,FALSE),0)),0)</f>
        <v>0</v>
      </c>
      <c r="BJ127" s="308">
        <f t="shared" si="60"/>
        <v>0</v>
      </c>
      <c r="BP127" s="44">
        <f t="shared" si="61"/>
        <v>0</v>
      </c>
      <c r="BQ127" s="1">
        <v>0</v>
      </c>
      <c r="BR127" s="1">
        <v>0</v>
      </c>
      <c r="BS127" s="16">
        <f t="shared" si="102"/>
        <v>0</v>
      </c>
      <c r="BT127" s="16">
        <f t="shared" si="103"/>
        <v>0</v>
      </c>
      <c r="BU127" s="16">
        <f t="shared" si="104"/>
        <v>0</v>
      </c>
      <c r="BV127" s="16">
        <f t="shared" si="105"/>
        <v>0</v>
      </c>
      <c r="BX127" s="1" t="str">
        <f t="shared" si="32"/>
        <v>RTGU</v>
      </c>
      <c r="BY127" s="1">
        <f t="shared" si="33"/>
        <v>0</v>
      </c>
      <c r="BZ127" s="1">
        <f t="shared" si="66"/>
        <v>0</v>
      </c>
      <c r="CA127" s="1">
        <f t="shared" si="67"/>
        <v>0</v>
      </c>
      <c r="CB127" s="1">
        <f t="shared" si="68"/>
        <v>0</v>
      </c>
      <c r="CC127" s="1">
        <f t="shared" si="69"/>
        <v>0</v>
      </c>
      <c r="CD127" s="1">
        <f t="shared" si="70"/>
        <v>0</v>
      </c>
      <c r="CE127" s="1">
        <f t="shared" si="71"/>
        <v>0</v>
      </c>
      <c r="CR127" s="30" t="s">
        <v>553</v>
      </c>
      <c r="CS127" s="291">
        <v>104035</v>
      </c>
      <c r="CT127" s="291">
        <v>0</v>
      </c>
      <c r="CU127" s="291">
        <v>0</v>
      </c>
      <c r="CV127" s="291">
        <v>0</v>
      </c>
      <c r="CW127" s="29" t="s">
        <v>985</v>
      </c>
      <c r="CX127" s="312">
        <v>1561</v>
      </c>
      <c r="CY127" s="184">
        <v>0</v>
      </c>
      <c r="CZ127" s="88">
        <v>0</v>
      </c>
      <c r="DA127" s="88">
        <v>0</v>
      </c>
      <c r="DB127" s="29" t="s">
        <v>69</v>
      </c>
      <c r="DC127" s="87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321">
        <v>0</v>
      </c>
      <c r="DJ127" s="88">
        <v>0</v>
      </c>
    </row>
    <row r="128" spans="1:114" ht="17.25" thickTop="1" thickBot="1">
      <c r="A128" s="531">
        <f t="shared" si="41"/>
        <v>125</v>
      </c>
      <c r="B128" s="38" t="s">
        <v>620</v>
      </c>
      <c r="C128" s="17" t="s">
        <v>270</v>
      </c>
      <c r="D128" s="17">
        <v>1371626280</v>
      </c>
      <c r="E128" s="142" t="str">
        <f t="shared" si="42"/>
        <v>RCSC</v>
      </c>
      <c r="F128" s="16">
        <v>7917621</v>
      </c>
      <c r="G128" s="16">
        <v>8270846</v>
      </c>
      <c r="H128" s="16">
        <v>0</v>
      </c>
      <c r="I128" s="16">
        <v>0</v>
      </c>
      <c r="J128" s="16">
        <v>504170</v>
      </c>
      <c r="K128" s="16">
        <v>504170</v>
      </c>
      <c r="L128" s="16">
        <v>34385</v>
      </c>
      <c r="M128" s="16">
        <v>34385</v>
      </c>
      <c r="N128" s="12" t="s">
        <v>917</v>
      </c>
      <c r="O128" s="12" t="s">
        <v>1019</v>
      </c>
      <c r="P128" s="12" t="s">
        <v>917</v>
      </c>
      <c r="Q128" s="12" t="s">
        <v>917</v>
      </c>
      <c r="R128" s="12" t="s">
        <v>917</v>
      </c>
      <c r="S128" s="12" t="s">
        <v>1019</v>
      </c>
      <c r="T128" s="12" t="s">
        <v>917</v>
      </c>
      <c r="U128" s="12" t="s">
        <v>1019</v>
      </c>
      <c r="V128" s="22">
        <v>353225</v>
      </c>
      <c r="W128" s="22">
        <v>0</v>
      </c>
      <c r="X128" s="22">
        <v>0</v>
      </c>
      <c r="Y128" s="22">
        <v>0</v>
      </c>
      <c r="Z128" s="171">
        <f t="shared" si="34"/>
        <v>7917621</v>
      </c>
      <c r="AA128" s="130" t="str">
        <f t="shared" si="35"/>
        <v>citit</v>
      </c>
      <c r="AB128" s="176">
        <f t="shared" si="43"/>
        <v>8270846</v>
      </c>
      <c r="AC128" s="12" t="s">
        <v>917</v>
      </c>
      <c r="AD128" s="12">
        <f t="shared" si="101"/>
        <v>0</v>
      </c>
      <c r="AE128" s="12">
        <f t="shared" si="101"/>
        <v>0</v>
      </c>
      <c r="AF128" s="12">
        <f t="shared" si="101"/>
        <v>504170</v>
      </c>
      <c r="AG128" s="12" t="str">
        <f t="shared" si="37"/>
        <v>citit</v>
      </c>
      <c r="AH128" s="176">
        <f t="shared" si="44"/>
        <v>504189</v>
      </c>
      <c r="AI128" s="12" t="s">
        <v>917</v>
      </c>
      <c r="AJ128" s="12">
        <f t="shared" si="38"/>
        <v>34385</v>
      </c>
      <c r="AK128" s="12" t="str">
        <f t="shared" si="39"/>
        <v>citit</v>
      </c>
      <c r="AL128" s="175">
        <f t="shared" si="45"/>
        <v>34385</v>
      </c>
      <c r="AM128" s="159" t="s">
        <v>917</v>
      </c>
      <c r="AN128" s="154">
        <f t="shared" si="46"/>
        <v>353225</v>
      </c>
      <c r="AO128" s="14">
        <f t="shared" si="47"/>
        <v>0</v>
      </c>
      <c r="AP128" s="147">
        <f t="shared" si="48"/>
        <v>19</v>
      </c>
      <c r="AQ128" s="147">
        <f t="shared" si="49"/>
        <v>0</v>
      </c>
      <c r="AR128" s="16">
        <v>0</v>
      </c>
      <c r="AS128" s="16">
        <v>0</v>
      </c>
      <c r="AT128" s="1">
        <f t="shared" si="50"/>
        <v>0</v>
      </c>
      <c r="AU128" s="154">
        <f t="shared" si="51"/>
        <v>19</v>
      </c>
      <c r="AV128" s="154">
        <f t="shared" si="52"/>
        <v>0</v>
      </c>
      <c r="AW128" s="154">
        <f t="shared" si="53"/>
        <v>0</v>
      </c>
      <c r="AX128" s="154">
        <f t="shared" si="54"/>
        <v>0</v>
      </c>
      <c r="AY128" s="308" t="str">
        <f t="shared" si="55"/>
        <v>-</v>
      </c>
      <c r="AZ128" s="308">
        <f t="shared" si="40"/>
        <v>353225</v>
      </c>
      <c r="BA128" s="308">
        <f>IFERROR(IF(_xlfn.NUMBERVALUE(RIGHT(B128,LEN(B128)-FIND(".",B128,1)))=COUNTIF('Contorizare in SDI'!$B:$B,LEFT(B128,FIND(".",B128,1)-1))-1,IF((COUNTIF('Contorizare in SDI'!$B:$B,LEFT(B128,FIND(".",B128,1)-1))-1)=1,VLOOKUP(LEFT(B128,FIND(".",B128,1)-1),$B$4:$AZ$68,45,FALSE),VLOOKUP(LEFT(B128,FIND(".",B128,1)-1),$B$4:$AZ$68,45,FALSE)-BB127),ROUNDUP(V128/VLOOKUP(LEFT(B128,FIND(".",B128,1)-1),$AY:$AZ,2,FALSE)*VLOOKUP(LEFT(B128,FIND(".",B128,1)-1),$B$4:$AZ$68,45,FALSE),0)),0)</f>
        <v>0</v>
      </c>
      <c r="BB128" s="308">
        <f t="shared" si="56"/>
        <v>0</v>
      </c>
      <c r="BC128" s="308">
        <f>IFERROR(IF(_xlfn.NUMBERVALUE(RIGHT(B128,LEN(B128)-FIND(".",B128,1)))=COUNTIF('Contorizare in SDI'!$B:$B,LEFT(B128,FIND(".",B128,1)-1))-1,IF((COUNTIF('Contorizare in SDI'!$B:$B,LEFT(B128,FIND(".",B128,1)-1))-1)=1,VLOOKUP(LEFT(B128,FIND(".",B128,1)-1),$B$4:$AZ$68,46,FALSE),VLOOKUP(LEFT(B128,FIND(".",B128,1)-1),$B$4:$AZ$68,46,FALSE)-BD127),ROUNDUP(V128/VLOOKUP(LEFT(B128,FIND(".",B128,1)-1),$AY:$AZ,2,FALSE)*VLOOKUP(LEFT(B128,FIND(".",B128,1)-1),$B$4:$AZ$68,46,FALSE),0)),0)</f>
        <v>19</v>
      </c>
      <c r="BD128" s="308">
        <f t="shared" si="57"/>
        <v>19</v>
      </c>
      <c r="BE128" s="308">
        <f>IFERROR(IF(_xlfn.NUMBERVALUE(RIGHT(B128,LEN(B128)-FIND(".",B128,1)))=COUNTIF('Contorizare in SDI'!$B:$B,LEFT(B128,FIND(".",B128,1)-1))-1,IF((COUNTIF('Contorizare in SDI'!$B:$B,LEFT(B128,FIND(".",B128,1)-1))-1)=1,VLOOKUP(LEFT(B128,FIND(".",B128,1)-1),$B$4:$AZ$68,47,FALSE),VLOOKUP(LEFT(B128,FIND(".",B128,1)-1),$B$4:$AZ$68,47,FALSE)-BF127),ROUNDUP(V128/VLOOKUP(LEFT(B128,FIND(".",B128,1)-1),$AY:$AZ,2,FALSE)*VLOOKUP(LEFT(B128,FIND(".",B128,1)-1),$B$4:$AZ$68,47,FALSE),0)),0)</f>
        <v>0</v>
      </c>
      <c r="BF128" s="308">
        <f t="shared" si="58"/>
        <v>0</v>
      </c>
      <c r="BG128" s="308">
        <f>IFERROR(IF(_xlfn.NUMBERVALUE(RIGHT(B128,LEN(B128)-FIND(".",B128,1)))=COUNTIF('Contorizare in SDI'!$B:$B,LEFT(B128,FIND(".",B128,1)-1))-1,IF((COUNTIF('Contorizare in SDI'!$B:$B,LEFT(B128,FIND(".",B128,1)-1))-1)=1,VLOOKUP(LEFT(B128,FIND(".",B128,1)-1),$B$4:$AZ$68,48,FALSE),VLOOKUP(LEFT(B128,FIND(".",B128,1)-1),$B$4:$AZ$68,48,FALSE)-BH127),ROUNDUP(V128/VLOOKUP(LEFT(B128,FIND(".",B128,1)-1),$AY:$AZ,2,FALSE)*VLOOKUP(LEFT(B128,FIND(".",B128,1)-1),$B$4:$AZ$68,48,FALSE),0)),0)</f>
        <v>0</v>
      </c>
      <c r="BH128" s="308">
        <f t="shared" si="59"/>
        <v>0</v>
      </c>
      <c r="BI128" s="308">
        <f>IFERROR(IF(_xlfn.NUMBERVALUE(RIGHT(B128,LEN(B128)-FIND(".",B128,1)))=COUNTIF('Contorizare in SDI'!$B:$B,LEFT(B128,FIND(".",B128,1)-1))-1,IF((COUNTIF('Contorizare in SDI'!$B:$B,LEFT(B128,FIND(".",B128,1)-1))-1)=1,VLOOKUP(LEFT(B128,FIND(".",B128,1)-1),$B$4:$AZ$68,49,FALSE),VLOOKUP(LEFT(B128,FIND(".",B128,1)-1),$B$4:$AZ$68,49,FALSE)-BJ127),ROUNDUP(V128/VLOOKUP(LEFT(B128,FIND(".",B128,1)-1),$AY:$AZ,2,FALSE)*VLOOKUP(LEFT(B128,FIND(".",B128,1)-1),$B$4:$AZ$68,49,FALSE),0)),0)</f>
        <v>0</v>
      </c>
      <c r="BJ128" s="308">
        <f t="shared" si="60"/>
        <v>0</v>
      </c>
      <c r="BP128" s="44">
        <f t="shared" si="61"/>
        <v>0</v>
      </c>
      <c r="BQ128" s="1">
        <v>0</v>
      </c>
      <c r="BR128" s="1">
        <v>0</v>
      </c>
      <c r="BS128" s="16">
        <f t="shared" si="102"/>
        <v>19</v>
      </c>
      <c r="BT128" s="16">
        <f t="shared" si="103"/>
        <v>0</v>
      </c>
      <c r="BU128" s="16">
        <f t="shared" si="104"/>
        <v>0</v>
      </c>
      <c r="BV128" s="16">
        <f t="shared" si="105"/>
        <v>0</v>
      </c>
      <c r="BX128" s="1" t="str">
        <f t="shared" si="32"/>
        <v/>
      </c>
      <c r="BY128" s="1">
        <f t="shared" si="33"/>
        <v>0</v>
      </c>
      <c r="BZ128" s="1">
        <f t="shared" si="66"/>
        <v>0</v>
      </c>
      <c r="CA128" s="1">
        <f t="shared" si="67"/>
        <v>0</v>
      </c>
      <c r="CB128" s="1">
        <f t="shared" si="68"/>
        <v>19</v>
      </c>
      <c r="CC128" s="1">
        <f t="shared" si="69"/>
        <v>0</v>
      </c>
      <c r="CD128" s="1">
        <f t="shared" si="70"/>
        <v>0</v>
      </c>
      <c r="CE128" s="1">
        <f t="shared" si="71"/>
        <v>0</v>
      </c>
      <c r="CR128" s="93" t="s">
        <v>554</v>
      </c>
      <c r="CS128" s="291">
        <v>41102</v>
      </c>
      <c r="CT128" s="291">
        <v>0</v>
      </c>
      <c r="CU128" s="291">
        <v>0</v>
      </c>
      <c r="CV128" s="291">
        <v>0</v>
      </c>
      <c r="CW128" s="97" t="s">
        <v>554</v>
      </c>
      <c r="CX128" s="312">
        <v>41102</v>
      </c>
      <c r="CY128" s="184">
        <v>0</v>
      </c>
      <c r="CZ128" s="88">
        <v>0</v>
      </c>
      <c r="DA128" s="88">
        <v>0</v>
      </c>
      <c r="DB128" s="94" t="s">
        <v>69</v>
      </c>
      <c r="DC128" s="87">
        <v>0</v>
      </c>
      <c r="DD128" s="88">
        <v>0</v>
      </c>
      <c r="DE128" s="88">
        <v>0</v>
      </c>
      <c r="DF128" s="88">
        <v>0</v>
      </c>
      <c r="DG128" s="88">
        <v>41102</v>
      </c>
      <c r="DH128" s="88">
        <v>0</v>
      </c>
      <c r="DI128" s="321">
        <v>0</v>
      </c>
      <c r="DJ128" s="88">
        <v>0</v>
      </c>
    </row>
    <row r="129" spans="1:114" ht="17.25" thickTop="1" thickBot="1">
      <c r="A129" s="531">
        <f t="shared" si="41"/>
        <v>126</v>
      </c>
      <c r="B129" s="38" t="s">
        <v>621</v>
      </c>
      <c r="C129" s="17" t="s">
        <v>272</v>
      </c>
      <c r="D129" s="17">
        <v>1371624296</v>
      </c>
      <c r="E129" s="142" t="str">
        <f t="shared" si="42"/>
        <v>RCSC</v>
      </c>
      <c r="F129" s="16">
        <v>4250187.9999999944</v>
      </c>
      <c r="G129" s="16">
        <v>4437214.9999999944</v>
      </c>
      <c r="H129" s="16">
        <v>0</v>
      </c>
      <c r="I129" s="16">
        <v>0</v>
      </c>
      <c r="J129" s="16">
        <v>545651</v>
      </c>
      <c r="K129" s="16">
        <v>545651</v>
      </c>
      <c r="L129" s="16">
        <v>1904</v>
      </c>
      <c r="M129" s="16">
        <v>1904</v>
      </c>
      <c r="N129" s="12" t="s">
        <v>917</v>
      </c>
      <c r="O129" s="12" t="s">
        <v>1019</v>
      </c>
      <c r="P129" s="12" t="s">
        <v>917</v>
      </c>
      <c r="Q129" s="12" t="s">
        <v>917</v>
      </c>
      <c r="R129" s="12" t="s">
        <v>917</v>
      </c>
      <c r="S129" s="12" t="s">
        <v>1019</v>
      </c>
      <c r="T129" s="12" t="s">
        <v>917</v>
      </c>
      <c r="U129" s="12" t="s">
        <v>1019</v>
      </c>
      <c r="V129" s="22">
        <v>187027</v>
      </c>
      <c r="W129" s="22">
        <v>0</v>
      </c>
      <c r="X129" s="22">
        <v>0</v>
      </c>
      <c r="Y129" s="22">
        <v>0</v>
      </c>
      <c r="Z129" s="171">
        <f t="shared" si="34"/>
        <v>4250187.9999999944</v>
      </c>
      <c r="AA129" s="130" t="str">
        <f t="shared" si="35"/>
        <v>citit</v>
      </c>
      <c r="AB129" s="176">
        <f t="shared" si="43"/>
        <v>4437214.9999999944</v>
      </c>
      <c r="AC129" s="12" t="s">
        <v>917</v>
      </c>
      <c r="AD129" s="12">
        <f t="shared" si="101"/>
        <v>0</v>
      </c>
      <c r="AE129" s="12">
        <f t="shared" si="101"/>
        <v>0</v>
      </c>
      <c r="AF129" s="12">
        <f t="shared" si="101"/>
        <v>545651</v>
      </c>
      <c r="AG129" s="12" t="str">
        <f t="shared" si="37"/>
        <v>citit</v>
      </c>
      <c r="AH129" s="176">
        <f t="shared" si="44"/>
        <v>545661</v>
      </c>
      <c r="AI129" s="12" t="s">
        <v>917</v>
      </c>
      <c r="AJ129" s="12">
        <f t="shared" si="38"/>
        <v>1904</v>
      </c>
      <c r="AK129" s="12" t="str">
        <f t="shared" si="39"/>
        <v>citit</v>
      </c>
      <c r="AL129" s="175">
        <f t="shared" si="45"/>
        <v>1904</v>
      </c>
      <c r="AM129" s="159" t="s">
        <v>917</v>
      </c>
      <c r="AN129" s="154">
        <f t="shared" si="46"/>
        <v>187027</v>
      </c>
      <c r="AO129" s="14">
        <f t="shared" si="47"/>
        <v>0</v>
      </c>
      <c r="AP129" s="147">
        <f t="shared" si="48"/>
        <v>10</v>
      </c>
      <c r="AQ129" s="147">
        <f t="shared" si="49"/>
        <v>0</v>
      </c>
      <c r="AR129" s="16">
        <v>0</v>
      </c>
      <c r="AS129" s="16">
        <v>0</v>
      </c>
      <c r="AT129" s="1">
        <f t="shared" si="50"/>
        <v>0</v>
      </c>
      <c r="AU129" s="154">
        <f t="shared" si="51"/>
        <v>10</v>
      </c>
      <c r="AV129" s="154">
        <f t="shared" si="52"/>
        <v>0</v>
      </c>
      <c r="AW129" s="154">
        <f t="shared" si="53"/>
        <v>0</v>
      </c>
      <c r="AX129" s="154">
        <f t="shared" si="54"/>
        <v>0</v>
      </c>
      <c r="AY129" s="308" t="str">
        <f t="shared" si="55"/>
        <v>RCSC_1</v>
      </c>
      <c r="AZ129" s="308">
        <f t="shared" si="40"/>
        <v>540252</v>
      </c>
      <c r="BA129" s="308">
        <f>IFERROR(IF(_xlfn.NUMBERVALUE(RIGHT(B129,LEN(B129)-FIND(".",B129,1)))=COUNTIF('Contorizare in SDI'!$B:$B,LEFT(B129,FIND(".",B129,1)-1))-1,IF((COUNTIF('Contorizare in SDI'!$B:$B,LEFT(B129,FIND(".",B129,1)-1))-1)=1,VLOOKUP(LEFT(B129,FIND(".",B129,1)-1),$B$4:$AZ$68,45,FALSE),VLOOKUP(LEFT(B129,FIND(".",B129,1)-1),$B$4:$AZ$68,45,FALSE)-BB128),ROUNDUP(V129/VLOOKUP(LEFT(B129,FIND(".",B129,1)-1),$AY:$AZ,2,FALSE)*VLOOKUP(LEFT(B129,FIND(".",B129,1)-1),$B$4:$AZ$68,45,FALSE),0)),0)</f>
        <v>0</v>
      </c>
      <c r="BB129" s="308">
        <f t="shared" si="56"/>
        <v>0</v>
      </c>
      <c r="BC129" s="308">
        <f>IFERROR(IF(_xlfn.NUMBERVALUE(RIGHT(B129,LEN(B129)-FIND(".",B129,1)))=COUNTIF('Contorizare in SDI'!$B:$B,LEFT(B129,FIND(".",B129,1)-1))-1,IF((COUNTIF('Contorizare in SDI'!$B:$B,LEFT(B129,FIND(".",B129,1)-1))-1)=1,VLOOKUP(LEFT(B129,FIND(".",B129,1)-1),$B$4:$AZ$68,46,FALSE),VLOOKUP(LEFT(B129,FIND(".",B129,1)-1),$B$4:$AZ$68,46,FALSE)-BD128),ROUNDUP(V129/VLOOKUP(LEFT(B129,FIND(".",B129,1)-1),$AY:$AZ,2,FALSE)*VLOOKUP(LEFT(B129,FIND(".",B129,1)-1),$B$4:$AZ$68,46,FALSE),0)),0)</f>
        <v>10</v>
      </c>
      <c r="BD129" s="308">
        <f t="shared" si="57"/>
        <v>29</v>
      </c>
      <c r="BE129" s="308">
        <f>IFERROR(IF(_xlfn.NUMBERVALUE(RIGHT(B129,LEN(B129)-FIND(".",B129,1)))=COUNTIF('Contorizare in SDI'!$B:$B,LEFT(B129,FIND(".",B129,1)-1))-1,IF((COUNTIF('Contorizare in SDI'!$B:$B,LEFT(B129,FIND(".",B129,1)-1))-1)=1,VLOOKUP(LEFT(B129,FIND(".",B129,1)-1),$B$4:$AZ$68,47,FALSE),VLOOKUP(LEFT(B129,FIND(".",B129,1)-1),$B$4:$AZ$68,47,FALSE)-BF128),ROUNDUP(V129/VLOOKUP(LEFT(B129,FIND(".",B129,1)-1),$AY:$AZ,2,FALSE)*VLOOKUP(LEFT(B129,FIND(".",B129,1)-1),$B$4:$AZ$68,47,FALSE),0)),0)</f>
        <v>0</v>
      </c>
      <c r="BF129" s="308">
        <f t="shared" si="58"/>
        <v>0</v>
      </c>
      <c r="BG129" s="308">
        <f>IFERROR(IF(_xlfn.NUMBERVALUE(RIGHT(B129,LEN(B129)-FIND(".",B129,1)))=COUNTIF('Contorizare in SDI'!$B:$B,LEFT(B129,FIND(".",B129,1)-1))-1,IF((COUNTIF('Contorizare in SDI'!$B:$B,LEFT(B129,FIND(".",B129,1)-1))-1)=1,VLOOKUP(LEFT(B129,FIND(".",B129,1)-1),$B$4:$AZ$68,48,FALSE),VLOOKUP(LEFT(B129,FIND(".",B129,1)-1),$B$4:$AZ$68,48,FALSE)-BH128),ROUNDUP(V129/VLOOKUP(LEFT(B129,FIND(".",B129,1)-1),$AY:$AZ,2,FALSE)*VLOOKUP(LEFT(B129,FIND(".",B129,1)-1),$B$4:$AZ$68,48,FALSE),0)),0)</f>
        <v>0</v>
      </c>
      <c r="BH129" s="308">
        <f t="shared" si="59"/>
        <v>0</v>
      </c>
      <c r="BI129" s="308">
        <f>IFERROR(IF(_xlfn.NUMBERVALUE(RIGHT(B129,LEN(B129)-FIND(".",B129,1)))=COUNTIF('Contorizare in SDI'!$B:$B,LEFT(B129,FIND(".",B129,1)-1))-1,IF((COUNTIF('Contorizare in SDI'!$B:$B,LEFT(B129,FIND(".",B129,1)-1))-1)=1,VLOOKUP(LEFT(B129,FIND(".",B129,1)-1),$B$4:$AZ$68,49,FALSE),VLOOKUP(LEFT(B129,FIND(".",B129,1)-1),$B$4:$AZ$68,49,FALSE)-BJ128),ROUNDUP(V129/VLOOKUP(LEFT(B129,FIND(".",B129,1)-1),$AY:$AZ,2,FALSE)*VLOOKUP(LEFT(B129,FIND(".",B129,1)-1),$B$4:$AZ$68,49,FALSE),0)),0)</f>
        <v>0</v>
      </c>
      <c r="BJ129" s="308">
        <f t="shared" si="60"/>
        <v>0</v>
      </c>
      <c r="BP129" s="44">
        <f t="shared" si="61"/>
        <v>0</v>
      </c>
      <c r="BQ129" s="1">
        <v>0</v>
      </c>
      <c r="BR129" s="1">
        <v>0</v>
      </c>
      <c r="BS129" s="16">
        <f t="shared" si="102"/>
        <v>10</v>
      </c>
      <c r="BT129" s="16">
        <f t="shared" si="103"/>
        <v>0</v>
      </c>
      <c r="BU129" s="16">
        <f t="shared" si="104"/>
        <v>0</v>
      </c>
      <c r="BV129" s="16">
        <f t="shared" si="105"/>
        <v>0</v>
      </c>
      <c r="BX129" s="1" t="str">
        <f t="shared" si="32"/>
        <v/>
      </c>
      <c r="BY129" s="1">
        <f t="shared" si="33"/>
        <v>0</v>
      </c>
      <c r="BZ129" s="1">
        <f t="shared" si="66"/>
        <v>0</v>
      </c>
      <c r="CA129" s="1">
        <f t="shared" si="67"/>
        <v>0</v>
      </c>
      <c r="CB129" s="1">
        <f t="shared" si="68"/>
        <v>29</v>
      </c>
      <c r="CC129" s="1">
        <f t="shared" si="69"/>
        <v>0</v>
      </c>
      <c r="CD129" s="1">
        <f t="shared" si="70"/>
        <v>0</v>
      </c>
      <c r="CE129" s="1">
        <f t="shared" si="71"/>
        <v>0</v>
      </c>
      <c r="CR129" s="86" t="s">
        <v>555</v>
      </c>
      <c r="CS129" s="291">
        <v>251200</v>
      </c>
      <c r="CT129" s="291">
        <v>0</v>
      </c>
      <c r="CU129" s="291">
        <v>0</v>
      </c>
      <c r="CV129" s="291">
        <v>0</v>
      </c>
      <c r="CW129" s="89" t="s">
        <v>647</v>
      </c>
      <c r="CX129" s="312">
        <v>247432</v>
      </c>
      <c r="CY129" s="184">
        <v>0</v>
      </c>
      <c r="CZ129" s="88">
        <v>0</v>
      </c>
      <c r="DA129" s="88">
        <v>0</v>
      </c>
      <c r="DB129" s="89" t="s">
        <v>69</v>
      </c>
      <c r="DC129" s="87">
        <v>0</v>
      </c>
      <c r="DD129" s="88">
        <v>0</v>
      </c>
      <c r="DE129" s="88">
        <v>0</v>
      </c>
      <c r="DF129" s="88">
        <v>0</v>
      </c>
      <c r="DG129" s="88">
        <v>247432</v>
      </c>
      <c r="DH129" s="88">
        <v>0</v>
      </c>
      <c r="DI129" s="321">
        <v>0</v>
      </c>
      <c r="DJ129" s="88">
        <v>3768</v>
      </c>
    </row>
    <row r="130" spans="1:114" ht="17.25" thickTop="1" thickBot="1">
      <c r="A130" s="531">
        <f t="shared" si="41"/>
        <v>127</v>
      </c>
      <c r="B130" s="38" t="s">
        <v>622</v>
      </c>
      <c r="C130" s="17" t="s">
        <v>278</v>
      </c>
      <c r="D130" s="17" t="s">
        <v>936</v>
      </c>
      <c r="E130" s="142" t="str">
        <f t="shared" si="42"/>
        <v>RCSC</v>
      </c>
      <c r="F130" s="16">
        <v>5626726</v>
      </c>
      <c r="G130" s="16">
        <v>5984288</v>
      </c>
      <c r="H130" s="16">
        <v>0</v>
      </c>
      <c r="I130" s="16">
        <v>0</v>
      </c>
      <c r="J130" s="16">
        <v>519601</v>
      </c>
      <c r="K130" s="16">
        <v>519601</v>
      </c>
      <c r="L130" s="16">
        <v>60</v>
      </c>
      <c r="M130" s="16">
        <v>60</v>
      </c>
      <c r="N130" s="12" t="s">
        <v>917</v>
      </c>
      <c r="O130" s="12" t="s">
        <v>1019</v>
      </c>
      <c r="P130" s="12" t="s">
        <v>917</v>
      </c>
      <c r="Q130" s="12" t="s">
        <v>917</v>
      </c>
      <c r="R130" s="12" t="s">
        <v>917</v>
      </c>
      <c r="S130" s="12" t="s">
        <v>1019</v>
      </c>
      <c r="T130" s="12" t="s">
        <v>917</v>
      </c>
      <c r="U130" s="12" t="s">
        <v>1019</v>
      </c>
      <c r="V130" s="22">
        <v>357562</v>
      </c>
      <c r="W130" s="22">
        <v>0</v>
      </c>
      <c r="X130" s="22">
        <v>0</v>
      </c>
      <c r="Y130" s="22">
        <v>0</v>
      </c>
      <c r="Z130" s="171">
        <f t="shared" si="34"/>
        <v>5626726</v>
      </c>
      <c r="AA130" s="130" t="str">
        <f t="shared" si="35"/>
        <v>citit</v>
      </c>
      <c r="AB130" s="176">
        <f t="shared" si="43"/>
        <v>5984288</v>
      </c>
      <c r="AC130" s="12" t="s">
        <v>917</v>
      </c>
      <c r="AD130" s="12">
        <f t="shared" si="101"/>
        <v>0</v>
      </c>
      <c r="AE130" s="12">
        <f t="shared" si="101"/>
        <v>0</v>
      </c>
      <c r="AF130" s="12">
        <f t="shared" si="101"/>
        <v>519601</v>
      </c>
      <c r="AG130" s="12" t="str">
        <f t="shared" si="37"/>
        <v>citit</v>
      </c>
      <c r="AH130" s="176">
        <f t="shared" si="44"/>
        <v>519601</v>
      </c>
      <c r="AI130" s="12" t="s">
        <v>917</v>
      </c>
      <c r="AJ130" s="12">
        <f t="shared" si="38"/>
        <v>60</v>
      </c>
      <c r="AK130" s="12" t="str">
        <f t="shared" si="39"/>
        <v>citit</v>
      </c>
      <c r="AL130" s="175">
        <f t="shared" si="45"/>
        <v>60</v>
      </c>
      <c r="AM130" s="159" t="s">
        <v>917</v>
      </c>
      <c r="AN130" s="154">
        <f t="shared" si="46"/>
        <v>357562</v>
      </c>
      <c r="AO130" s="14">
        <f t="shared" si="47"/>
        <v>0</v>
      </c>
      <c r="AP130" s="147">
        <f t="shared" si="48"/>
        <v>0</v>
      </c>
      <c r="AQ130" s="147">
        <f t="shared" si="49"/>
        <v>0</v>
      </c>
      <c r="AR130" s="16">
        <v>0</v>
      </c>
      <c r="AS130" s="16">
        <v>0</v>
      </c>
      <c r="AT130" s="1">
        <f t="shared" si="50"/>
        <v>0</v>
      </c>
      <c r="AU130" s="154">
        <f t="shared" si="51"/>
        <v>0</v>
      </c>
      <c r="AV130" s="154">
        <f t="shared" si="52"/>
        <v>0</v>
      </c>
      <c r="AW130" s="154">
        <f t="shared" si="53"/>
        <v>0</v>
      </c>
      <c r="AX130" s="154">
        <f t="shared" si="54"/>
        <v>0</v>
      </c>
      <c r="AY130" s="308" t="str">
        <f t="shared" si="55"/>
        <v>-</v>
      </c>
      <c r="AZ130" s="308">
        <f t="shared" si="40"/>
        <v>357562</v>
      </c>
      <c r="BA130" s="308">
        <f>IFERROR(IF(_xlfn.NUMBERVALUE(RIGHT(B130,LEN(B130)-FIND(".",B130,1)))=COUNTIF('Contorizare in SDI'!$B:$B,LEFT(B130,FIND(".",B130,1)-1))-1,IF((COUNTIF('Contorizare in SDI'!$B:$B,LEFT(B130,FIND(".",B130,1)-1))-1)=1,VLOOKUP(LEFT(B130,FIND(".",B130,1)-1),$B$4:$AZ$68,45,FALSE),VLOOKUP(LEFT(B130,FIND(".",B130,1)-1),$B$4:$AZ$68,45,FALSE)-BB129),ROUNDUP(V130/VLOOKUP(LEFT(B130,FIND(".",B130,1)-1),$AY:$AZ,2,FALSE)*VLOOKUP(LEFT(B130,FIND(".",B130,1)-1),$B$4:$AZ$68,45,FALSE),0)),0)</f>
        <v>0</v>
      </c>
      <c r="BB130" s="308">
        <f t="shared" si="56"/>
        <v>0</v>
      </c>
      <c r="BC130" s="308">
        <f>IFERROR(IF(_xlfn.NUMBERVALUE(RIGHT(B130,LEN(B130)-FIND(".",B130,1)))=COUNTIF('Contorizare in SDI'!$B:$B,LEFT(B130,FIND(".",B130,1)-1))-1,IF((COUNTIF('Contorizare in SDI'!$B:$B,LEFT(B130,FIND(".",B130,1)-1))-1)=1,VLOOKUP(LEFT(B130,FIND(".",B130,1)-1),$B$4:$AZ$68,46,FALSE),VLOOKUP(LEFT(B130,FIND(".",B130,1)-1),$B$4:$AZ$68,46,FALSE)-BD129),ROUNDUP(V130/VLOOKUP(LEFT(B130,FIND(".",B130,1)-1),$AY:$AZ,2,FALSE)*VLOOKUP(LEFT(B130,FIND(".",B130,1)-1),$B$4:$AZ$68,46,FALSE),0)),0)</f>
        <v>0</v>
      </c>
      <c r="BD130" s="308">
        <f t="shared" si="57"/>
        <v>0</v>
      </c>
      <c r="BE130" s="308">
        <f>IFERROR(IF(_xlfn.NUMBERVALUE(RIGHT(B130,LEN(B130)-FIND(".",B130,1)))=COUNTIF('Contorizare in SDI'!$B:$B,LEFT(B130,FIND(".",B130,1)-1))-1,IF((COUNTIF('Contorizare in SDI'!$B:$B,LEFT(B130,FIND(".",B130,1)-1))-1)=1,VLOOKUP(LEFT(B130,FIND(".",B130,1)-1),$B$4:$AZ$68,47,FALSE),VLOOKUP(LEFT(B130,FIND(".",B130,1)-1),$B$4:$AZ$68,47,FALSE)-BF129),ROUNDUP(V130/VLOOKUP(LEFT(B130,FIND(".",B130,1)-1),$AY:$AZ,2,FALSE)*VLOOKUP(LEFT(B130,FIND(".",B130,1)-1),$B$4:$AZ$68,47,FALSE),0)),0)</f>
        <v>0</v>
      </c>
      <c r="BF130" s="308">
        <f t="shared" si="58"/>
        <v>0</v>
      </c>
      <c r="BG130" s="308">
        <f>IFERROR(IF(_xlfn.NUMBERVALUE(RIGHT(B130,LEN(B130)-FIND(".",B130,1)))=COUNTIF('Contorizare in SDI'!$B:$B,LEFT(B130,FIND(".",B130,1)-1))-1,IF((COUNTIF('Contorizare in SDI'!$B:$B,LEFT(B130,FIND(".",B130,1)-1))-1)=1,VLOOKUP(LEFT(B130,FIND(".",B130,1)-1),$B$4:$AZ$68,48,FALSE),VLOOKUP(LEFT(B130,FIND(".",B130,1)-1),$B$4:$AZ$68,48,FALSE)-BH129),ROUNDUP(V130/VLOOKUP(LEFT(B130,FIND(".",B130,1)-1),$AY:$AZ,2,FALSE)*VLOOKUP(LEFT(B130,FIND(".",B130,1)-1),$B$4:$AZ$68,48,FALSE),0)),0)</f>
        <v>0</v>
      </c>
      <c r="BH130" s="308">
        <f t="shared" si="59"/>
        <v>0</v>
      </c>
      <c r="BI130" s="308">
        <f>IFERROR(IF(_xlfn.NUMBERVALUE(RIGHT(B130,LEN(B130)-FIND(".",B130,1)))=COUNTIF('Contorizare in SDI'!$B:$B,LEFT(B130,FIND(".",B130,1)-1))-1,IF((COUNTIF('Contorizare in SDI'!$B:$B,LEFT(B130,FIND(".",B130,1)-1))-1)=1,VLOOKUP(LEFT(B130,FIND(".",B130,1)-1),$B$4:$AZ$68,49,FALSE),VLOOKUP(LEFT(B130,FIND(".",B130,1)-1),$B$4:$AZ$68,49,FALSE)-BJ129),ROUNDUP(V130/VLOOKUP(LEFT(B130,FIND(".",B130,1)-1),$AY:$AZ,2,FALSE)*VLOOKUP(LEFT(B130,FIND(".",B130,1)-1),$B$4:$AZ$68,49,FALSE),0)),0)</f>
        <v>0</v>
      </c>
      <c r="BJ130" s="308">
        <f t="shared" si="60"/>
        <v>0</v>
      </c>
      <c r="BP130" s="44">
        <f t="shared" si="61"/>
        <v>0</v>
      </c>
      <c r="BQ130" s="1">
        <v>0</v>
      </c>
      <c r="BR130" s="1">
        <v>0</v>
      </c>
      <c r="BS130" s="16">
        <f t="shared" si="102"/>
        <v>0</v>
      </c>
      <c r="BT130" s="16">
        <f t="shared" si="103"/>
        <v>0</v>
      </c>
      <c r="BU130" s="16">
        <f t="shared" si="104"/>
        <v>0</v>
      </c>
      <c r="BV130" s="16">
        <f t="shared" si="105"/>
        <v>0</v>
      </c>
      <c r="BX130" s="1" t="str">
        <f t="shared" si="32"/>
        <v/>
      </c>
      <c r="BY130" s="1">
        <f t="shared" si="33"/>
        <v>0</v>
      </c>
      <c r="BZ130" s="1">
        <f t="shared" si="66"/>
        <v>0</v>
      </c>
      <c r="CA130" s="1">
        <f t="shared" si="67"/>
        <v>0</v>
      </c>
      <c r="CB130" s="1">
        <f t="shared" si="68"/>
        <v>29</v>
      </c>
      <c r="CC130" s="1">
        <f t="shared" si="69"/>
        <v>0</v>
      </c>
      <c r="CD130" s="1">
        <f t="shared" si="70"/>
        <v>0</v>
      </c>
      <c r="CE130" s="1">
        <f t="shared" si="71"/>
        <v>0</v>
      </c>
      <c r="CR130" s="30" t="s">
        <v>555</v>
      </c>
      <c r="CS130" s="291">
        <v>251200</v>
      </c>
      <c r="CT130" s="291">
        <v>0</v>
      </c>
      <c r="CU130" s="291">
        <v>0</v>
      </c>
      <c r="CV130" s="291">
        <v>0</v>
      </c>
      <c r="CW130" s="29" t="s">
        <v>986</v>
      </c>
      <c r="CX130" s="312">
        <v>3768</v>
      </c>
      <c r="CY130" s="184">
        <v>0</v>
      </c>
      <c r="CZ130" s="88">
        <v>0</v>
      </c>
      <c r="DA130" s="88">
        <v>0</v>
      </c>
      <c r="DB130" s="29" t="s">
        <v>69</v>
      </c>
      <c r="DC130" s="87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321">
        <v>0</v>
      </c>
      <c r="DJ130" s="88">
        <v>0</v>
      </c>
    </row>
    <row r="131" spans="1:114" ht="17.25" thickTop="1" thickBot="1">
      <c r="A131" s="531">
        <f t="shared" si="41"/>
        <v>128</v>
      </c>
      <c r="B131" s="38" t="s">
        <v>623</v>
      </c>
      <c r="C131" s="17" t="s">
        <v>279</v>
      </c>
      <c r="D131" s="17" t="s">
        <v>937</v>
      </c>
      <c r="E131" s="142" t="str">
        <f t="shared" si="42"/>
        <v>RCSC</v>
      </c>
      <c r="F131" s="16">
        <v>5571828.9999999981</v>
      </c>
      <c r="G131" s="16">
        <v>5913379.9999999981</v>
      </c>
      <c r="H131" s="16">
        <v>0</v>
      </c>
      <c r="I131" s="16">
        <v>0</v>
      </c>
      <c r="J131" s="16">
        <v>519649</v>
      </c>
      <c r="K131" s="16">
        <v>519649</v>
      </c>
      <c r="L131" s="16">
        <v>108</v>
      </c>
      <c r="M131" s="16">
        <v>108</v>
      </c>
      <c r="N131" s="12" t="s">
        <v>917</v>
      </c>
      <c r="O131" s="12" t="s">
        <v>1019</v>
      </c>
      <c r="P131" s="12" t="s">
        <v>917</v>
      </c>
      <c r="Q131" s="12" t="s">
        <v>917</v>
      </c>
      <c r="R131" s="12" t="s">
        <v>917</v>
      </c>
      <c r="S131" s="12" t="s">
        <v>1019</v>
      </c>
      <c r="T131" s="12" t="s">
        <v>917</v>
      </c>
      <c r="U131" s="12" t="s">
        <v>1019</v>
      </c>
      <c r="V131" s="22">
        <v>341551</v>
      </c>
      <c r="W131" s="22">
        <v>0</v>
      </c>
      <c r="X131" s="22">
        <v>0</v>
      </c>
      <c r="Y131" s="22">
        <v>0</v>
      </c>
      <c r="Z131" s="171">
        <f t="shared" si="34"/>
        <v>5571828.9999999981</v>
      </c>
      <c r="AA131" s="130" t="str">
        <f t="shared" si="35"/>
        <v>citit</v>
      </c>
      <c r="AB131" s="176">
        <f t="shared" si="43"/>
        <v>5913379.9999999981</v>
      </c>
      <c r="AC131" s="12" t="s">
        <v>917</v>
      </c>
      <c r="AD131" s="12">
        <f t="shared" si="101"/>
        <v>0</v>
      </c>
      <c r="AE131" s="12">
        <f t="shared" si="101"/>
        <v>0</v>
      </c>
      <c r="AF131" s="12">
        <f t="shared" si="101"/>
        <v>519649</v>
      </c>
      <c r="AG131" s="12" t="str">
        <f t="shared" si="37"/>
        <v>citit</v>
      </c>
      <c r="AH131" s="176">
        <f t="shared" si="44"/>
        <v>519649</v>
      </c>
      <c r="AI131" s="12" t="s">
        <v>917</v>
      </c>
      <c r="AJ131" s="12">
        <f t="shared" si="38"/>
        <v>108</v>
      </c>
      <c r="AK131" s="12" t="str">
        <f t="shared" si="39"/>
        <v>citit</v>
      </c>
      <c r="AL131" s="175">
        <f t="shared" si="45"/>
        <v>108</v>
      </c>
      <c r="AM131" s="159" t="s">
        <v>917</v>
      </c>
      <c r="AN131" s="154">
        <f t="shared" si="46"/>
        <v>341551</v>
      </c>
      <c r="AO131" s="14">
        <f t="shared" si="47"/>
        <v>0</v>
      </c>
      <c r="AP131" s="147">
        <f t="shared" si="48"/>
        <v>0</v>
      </c>
      <c r="AQ131" s="147">
        <f t="shared" si="49"/>
        <v>0</v>
      </c>
      <c r="AR131" s="16">
        <v>0</v>
      </c>
      <c r="AS131" s="16">
        <v>0</v>
      </c>
      <c r="AT131" s="1">
        <f t="shared" si="50"/>
        <v>0</v>
      </c>
      <c r="AU131" s="154">
        <f t="shared" si="51"/>
        <v>0</v>
      </c>
      <c r="AV131" s="154">
        <f t="shared" si="52"/>
        <v>0</v>
      </c>
      <c r="AW131" s="154">
        <f t="shared" si="53"/>
        <v>0</v>
      </c>
      <c r="AX131" s="154">
        <f t="shared" si="54"/>
        <v>0</v>
      </c>
      <c r="AY131" s="308" t="str">
        <f t="shared" si="55"/>
        <v>RCSC_2</v>
      </c>
      <c r="AZ131" s="308">
        <f t="shared" si="40"/>
        <v>699113</v>
      </c>
      <c r="BA131" s="308">
        <f>IFERROR(IF(_xlfn.NUMBERVALUE(RIGHT(B131,LEN(B131)-FIND(".",B131,1)))=COUNTIF('Contorizare in SDI'!$B:$B,LEFT(B131,FIND(".",B131,1)-1))-1,IF((COUNTIF('Contorizare in SDI'!$B:$B,LEFT(B131,FIND(".",B131,1)-1))-1)=1,VLOOKUP(LEFT(B131,FIND(".",B131,1)-1),$B$4:$AZ$68,45,FALSE),VLOOKUP(LEFT(B131,FIND(".",B131,1)-1),$B$4:$AZ$68,45,FALSE)-BB130),ROUNDUP(V131/VLOOKUP(LEFT(B131,FIND(".",B131,1)-1),$AY:$AZ,2,FALSE)*VLOOKUP(LEFT(B131,FIND(".",B131,1)-1),$B$4:$AZ$68,45,FALSE),0)),0)</f>
        <v>0</v>
      </c>
      <c r="BB131" s="308">
        <f t="shared" si="56"/>
        <v>0</v>
      </c>
      <c r="BC131" s="308">
        <f>IFERROR(IF(_xlfn.NUMBERVALUE(RIGHT(B131,LEN(B131)-FIND(".",B131,1)))=COUNTIF('Contorizare in SDI'!$B:$B,LEFT(B131,FIND(".",B131,1)-1))-1,IF((COUNTIF('Contorizare in SDI'!$B:$B,LEFT(B131,FIND(".",B131,1)-1))-1)=1,VLOOKUP(LEFT(B131,FIND(".",B131,1)-1),$B$4:$AZ$68,46,FALSE),VLOOKUP(LEFT(B131,FIND(".",B131,1)-1),$B$4:$AZ$68,46,FALSE)-BD130),ROUNDUP(V131/VLOOKUP(LEFT(B131,FIND(".",B131,1)-1),$AY:$AZ,2,FALSE)*VLOOKUP(LEFT(B131,FIND(".",B131,1)-1),$B$4:$AZ$68,46,FALSE),0)),0)</f>
        <v>0</v>
      </c>
      <c r="BD131" s="308">
        <f t="shared" si="57"/>
        <v>0</v>
      </c>
      <c r="BE131" s="308">
        <f>IFERROR(IF(_xlfn.NUMBERVALUE(RIGHT(B131,LEN(B131)-FIND(".",B131,1)))=COUNTIF('Contorizare in SDI'!$B:$B,LEFT(B131,FIND(".",B131,1)-1))-1,IF((COUNTIF('Contorizare in SDI'!$B:$B,LEFT(B131,FIND(".",B131,1)-1))-1)=1,VLOOKUP(LEFT(B131,FIND(".",B131,1)-1),$B$4:$AZ$68,47,FALSE),VLOOKUP(LEFT(B131,FIND(".",B131,1)-1),$B$4:$AZ$68,47,FALSE)-BF130),ROUNDUP(V131/VLOOKUP(LEFT(B131,FIND(".",B131,1)-1),$AY:$AZ,2,FALSE)*VLOOKUP(LEFT(B131,FIND(".",B131,1)-1),$B$4:$AZ$68,47,FALSE),0)),0)</f>
        <v>0</v>
      </c>
      <c r="BF131" s="308">
        <f t="shared" si="58"/>
        <v>0</v>
      </c>
      <c r="BG131" s="308">
        <f>IFERROR(IF(_xlfn.NUMBERVALUE(RIGHT(B131,LEN(B131)-FIND(".",B131,1)))=COUNTIF('Contorizare in SDI'!$B:$B,LEFT(B131,FIND(".",B131,1)-1))-1,IF((COUNTIF('Contorizare in SDI'!$B:$B,LEFT(B131,FIND(".",B131,1)-1))-1)=1,VLOOKUP(LEFT(B131,FIND(".",B131,1)-1),$B$4:$AZ$68,48,FALSE),VLOOKUP(LEFT(B131,FIND(".",B131,1)-1),$B$4:$AZ$68,48,FALSE)-BH130),ROUNDUP(V131/VLOOKUP(LEFT(B131,FIND(".",B131,1)-1),$AY:$AZ,2,FALSE)*VLOOKUP(LEFT(B131,FIND(".",B131,1)-1),$B$4:$AZ$68,48,FALSE),0)),0)</f>
        <v>0</v>
      </c>
      <c r="BH131" s="308">
        <f t="shared" si="59"/>
        <v>0</v>
      </c>
      <c r="BI131" s="308">
        <f>IFERROR(IF(_xlfn.NUMBERVALUE(RIGHT(B131,LEN(B131)-FIND(".",B131,1)))=COUNTIF('Contorizare in SDI'!$B:$B,LEFT(B131,FIND(".",B131,1)-1))-1,IF((COUNTIF('Contorizare in SDI'!$B:$B,LEFT(B131,FIND(".",B131,1)-1))-1)=1,VLOOKUP(LEFT(B131,FIND(".",B131,1)-1),$B$4:$AZ$68,49,FALSE),VLOOKUP(LEFT(B131,FIND(".",B131,1)-1),$B$4:$AZ$68,49,FALSE)-BJ130),ROUNDUP(V131/VLOOKUP(LEFT(B131,FIND(".",B131,1)-1),$AY:$AZ,2,FALSE)*VLOOKUP(LEFT(B131,FIND(".",B131,1)-1),$B$4:$AZ$68,49,FALSE),0)),0)</f>
        <v>0</v>
      </c>
      <c r="BJ131" s="308">
        <f t="shared" si="60"/>
        <v>0</v>
      </c>
      <c r="BP131" s="44">
        <f t="shared" si="61"/>
        <v>0</v>
      </c>
      <c r="BQ131" s="1">
        <v>0</v>
      </c>
      <c r="BR131" s="1">
        <v>0</v>
      </c>
      <c r="BS131" s="16">
        <f t="shared" si="102"/>
        <v>0</v>
      </c>
      <c r="BT131" s="16">
        <f t="shared" si="103"/>
        <v>0</v>
      </c>
      <c r="BU131" s="16">
        <f t="shared" si="104"/>
        <v>0</v>
      </c>
      <c r="BV131" s="16">
        <f t="shared" si="105"/>
        <v>0</v>
      </c>
      <c r="BX131" s="1" t="str">
        <f t="shared" si="32"/>
        <v>RCSC</v>
      </c>
      <c r="BY131" s="1">
        <f t="shared" si="33"/>
        <v>0</v>
      </c>
      <c r="BZ131" s="1">
        <f t="shared" si="66"/>
        <v>0</v>
      </c>
      <c r="CA131" s="1">
        <f t="shared" si="67"/>
        <v>0</v>
      </c>
      <c r="CB131" s="1">
        <f t="shared" si="68"/>
        <v>29</v>
      </c>
      <c r="CC131" s="1">
        <f t="shared" si="69"/>
        <v>0</v>
      </c>
      <c r="CD131" s="1">
        <f t="shared" si="70"/>
        <v>0</v>
      </c>
      <c r="CE131" s="1">
        <f t="shared" si="71"/>
        <v>0</v>
      </c>
      <c r="CR131" s="30" t="s">
        <v>556</v>
      </c>
      <c r="CS131" s="291">
        <v>333680</v>
      </c>
      <c r="CT131" s="291">
        <v>0</v>
      </c>
      <c r="CU131" s="291">
        <v>0</v>
      </c>
      <c r="CV131" s="291">
        <v>0</v>
      </c>
      <c r="CW131" s="29" t="s">
        <v>648</v>
      </c>
      <c r="CX131" s="312">
        <v>271888</v>
      </c>
      <c r="CY131" s="184">
        <v>358</v>
      </c>
      <c r="CZ131" s="88">
        <v>6</v>
      </c>
      <c r="DA131" s="88">
        <v>16474</v>
      </c>
      <c r="DB131" s="29" t="s">
        <v>1181</v>
      </c>
      <c r="DC131" s="87">
        <v>0</v>
      </c>
      <c r="DD131" s="88">
        <v>29193</v>
      </c>
      <c r="DE131" s="88">
        <v>492</v>
      </c>
      <c r="DF131" s="88">
        <v>94</v>
      </c>
      <c r="DG131" s="88">
        <v>271888</v>
      </c>
      <c r="DH131" s="88">
        <v>28835</v>
      </c>
      <c r="DI131" s="1">
        <v>25260</v>
      </c>
      <c r="DJ131" s="88">
        <v>4079</v>
      </c>
    </row>
    <row r="132" spans="1:114" ht="17.25" thickTop="1" thickBot="1">
      <c r="A132" s="531">
        <f t="shared" si="41"/>
        <v>129</v>
      </c>
      <c r="B132" s="38" t="s">
        <v>624</v>
      </c>
      <c r="C132" s="17" t="s">
        <v>283</v>
      </c>
      <c r="D132" s="17">
        <v>1373264675</v>
      </c>
      <c r="E132" s="142" t="str">
        <f t="shared" si="42"/>
        <v>RAMB</v>
      </c>
      <c r="F132" s="16">
        <v>2479356</v>
      </c>
      <c r="G132" s="16">
        <v>2646920</v>
      </c>
      <c r="H132" s="16">
        <v>0</v>
      </c>
      <c r="I132" s="16">
        <v>0</v>
      </c>
      <c r="J132" s="16">
        <v>43379</v>
      </c>
      <c r="K132" s="16">
        <v>43379</v>
      </c>
      <c r="L132" s="16">
        <v>91339</v>
      </c>
      <c r="M132" s="16">
        <v>91339</v>
      </c>
      <c r="N132" s="12" t="s">
        <v>917</v>
      </c>
      <c r="O132" s="12" t="s">
        <v>1019</v>
      </c>
      <c r="P132" s="12" t="s">
        <v>917</v>
      </c>
      <c r="Q132" s="12" t="s">
        <v>917</v>
      </c>
      <c r="R132" s="12" t="s">
        <v>917</v>
      </c>
      <c r="S132" s="12" t="s">
        <v>1019</v>
      </c>
      <c r="T132" s="12" t="s">
        <v>917</v>
      </c>
      <c r="U132" s="12" t="s">
        <v>1019</v>
      </c>
      <c r="V132" s="22">
        <v>167564</v>
      </c>
      <c r="W132" s="22">
        <v>0</v>
      </c>
      <c r="X132" s="22">
        <v>0</v>
      </c>
      <c r="Y132" s="22">
        <v>0</v>
      </c>
      <c r="Z132" s="171">
        <f t="shared" si="34"/>
        <v>2479356</v>
      </c>
      <c r="AA132" s="130" t="str">
        <f t="shared" si="35"/>
        <v>citit</v>
      </c>
      <c r="AB132" s="176">
        <f t="shared" si="43"/>
        <v>2646920</v>
      </c>
      <c r="AC132" s="12" t="s">
        <v>917</v>
      </c>
      <c r="AD132" s="12">
        <f t="shared" si="101"/>
        <v>0</v>
      </c>
      <c r="AE132" s="12">
        <f t="shared" si="101"/>
        <v>0</v>
      </c>
      <c r="AF132" s="12">
        <f t="shared" si="101"/>
        <v>43379</v>
      </c>
      <c r="AG132" s="12" t="str">
        <f t="shared" si="37"/>
        <v>citit</v>
      </c>
      <c r="AH132" s="176">
        <f t="shared" si="44"/>
        <v>43379</v>
      </c>
      <c r="AI132" s="12" t="s">
        <v>917</v>
      </c>
      <c r="AJ132" s="12">
        <f t="shared" si="38"/>
        <v>91339</v>
      </c>
      <c r="AK132" s="12" t="str">
        <f t="shared" si="39"/>
        <v>citit</v>
      </c>
      <c r="AL132" s="175">
        <f t="shared" si="45"/>
        <v>91610</v>
      </c>
      <c r="AM132" s="159" t="s">
        <v>917</v>
      </c>
      <c r="AN132" s="154">
        <f t="shared" si="46"/>
        <v>167564</v>
      </c>
      <c r="AO132" s="14">
        <f t="shared" si="47"/>
        <v>0</v>
      </c>
      <c r="AP132" s="147">
        <f t="shared" si="48"/>
        <v>0</v>
      </c>
      <c r="AQ132" s="147">
        <f t="shared" si="49"/>
        <v>271</v>
      </c>
      <c r="AR132" s="16">
        <v>0</v>
      </c>
      <c r="AS132" s="16">
        <v>0</v>
      </c>
      <c r="AT132" s="1">
        <f t="shared" si="50"/>
        <v>0</v>
      </c>
      <c r="AU132" s="154">
        <f t="shared" si="51"/>
        <v>0</v>
      </c>
      <c r="AV132" s="154">
        <f t="shared" si="52"/>
        <v>0</v>
      </c>
      <c r="AW132" s="154">
        <f t="shared" si="53"/>
        <v>271</v>
      </c>
      <c r="AX132" s="154">
        <f t="shared" si="54"/>
        <v>0</v>
      </c>
      <c r="AY132" s="308" t="str">
        <f t="shared" si="55"/>
        <v>-</v>
      </c>
      <c r="AZ132" s="308">
        <f t="shared" si="40"/>
        <v>167564</v>
      </c>
      <c r="BA132" s="308">
        <f>IFERROR(IF(_xlfn.NUMBERVALUE(RIGHT(B132,LEN(B132)-FIND(".",B132,1)))=COUNTIF('Contorizare in SDI'!$B:$B,LEFT(B132,FIND(".",B132,1)-1))-1,IF((COUNTIF('Contorizare in SDI'!$B:$B,LEFT(B132,FIND(".",B132,1)-1))-1)=1,VLOOKUP(LEFT(B132,FIND(".",B132,1)-1),$B$4:$AZ$68,45,FALSE),VLOOKUP(LEFT(B132,FIND(".",B132,1)-1),$B$4:$AZ$68,45,FALSE)-BB131),ROUNDUP(V132/VLOOKUP(LEFT(B132,FIND(".",B132,1)-1),$AY:$AZ,2,FALSE)*VLOOKUP(LEFT(B132,FIND(".",B132,1)-1),$B$4:$AZ$68,45,FALSE),0)),0)</f>
        <v>0</v>
      </c>
      <c r="BB132" s="308">
        <f t="shared" si="56"/>
        <v>0</v>
      </c>
      <c r="BC132" s="308">
        <f>IFERROR(IF(_xlfn.NUMBERVALUE(RIGHT(B132,LEN(B132)-FIND(".",B132,1)))=COUNTIF('Contorizare in SDI'!$B:$B,LEFT(B132,FIND(".",B132,1)-1))-1,IF((COUNTIF('Contorizare in SDI'!$B:$B,LEFT(B132,FIND(".",B132,1)-1))-1)=1,VLOOKUP(LEFT(B132,FIND(".",B132,1)-1),$B$4:$AZ$68,46,FALSE),VLOOKUP(LEFT(B132,FIND(".",B132,1)-1),$B$4:$AZ$68,46,FALSE)-BD131),ROUNDUP(V132/VLOOKUP(LEFT(B132,FIND(".",B132,1)-1),$AY:$AZ,2,FALSE)*VLOOKUP(LEFT(B132,FIND(".",B132,1)-1),$B$4:$AZ$68,46,FALSE),0)),0)</f>
        <v>0</v>
      </c>
      <c r="BD132" s="308">
        <f t="shared" si="57"/>
        <v>0</v>
      </c>
      <c r="BE132" s="308">
        <f>IFERROR(IF(_xlfn.NUMBERVALUE(RIGHT(B132,LEN(B132)-FIND(".",B132,1)))=COUNTIF('Contorizare in SDI'!$B:$B,LEFT(B132,FIND(".",B132,1)-1))-1,IF((COUNTIF('Contorizare in SDI'!$B:$B,LEFT(B132,FIND(".",B132,1)-1))-1)=1,VLOOKUP(LEFT(B132,FIND(".",B132,1)-1),$B$4:$AZ$68,47,FALSE),VLOOKUP(LEFT(B132,FIND(".",B132,1)-1),$B$4:$AZ$68,47,FALSE)-BF131),ROUNDUP(V132/VLOOKUP(LEFT(B132,FIND(".",B132,1)-1),$AY:$AZ,2,FALSE)*VLOOKUP(LEFT(B132,FIND(".",B132,1)-1),$B$4:$AZ$68,47,FALSE),0)),0)</f>
        <v>0</v>
      </c>
      <c r="BF132" s="308">
        <f t="shared" si="58"/>
        <v>0</v>
      </c>
      <c r="BG132" s="308">
        <f>IFERROR(IF(_xlfn.NUMBERVALUE(RIGHT(B132,LEN(B132)-FIND(".",B132,1)))=COUNTIF('Contorizare in SDI'!$B:$B,LEFT(B132,FIND(".",B132,1)-1))-1,IF((COUNTIF('Contorizare in SDI'!$B:$B,LEFT(B132,FIND(".",B132,1)-1))-1)=1,VLOOKUP(LEFT(B132,FIND(".",B132,1)-1),$B$4:$AZ$68,48,FALSE),VLOOKUP(LEFT(B132,FIND(".",B132,1)-1),$B$4:$AZ$68,48,FALSE)-BH131),ROUNDUP(V132/VLOOKUP(LEFT(B132,FIND(".",B132,1)-1),$AY:$AZ,2,FALSE)*VLOOKUP(LEFT(B132,FIND(".",B132,1)-1),$B$4:$AZ$68,48,FALSE),0)),0)</f>
        <v>271</v>
      </c>
      <c r="BH132" s="308">
        <f t="shared" si="59"/>
        <v>271</v>
      </c>
      <c r="BI132" s="308">
        <f>IFERROR(IF(_xlfn.NUMBERVALUE(RIGHT(B132,LEN(B132)-FIND(".",B132,1)))=COUNTIF('Contorizare in SDI'!$B:$B,LEFT(B132,FIND(".",B132,1)-1))-1,IF((COUNTIF('Contorizare in SDI'!$B:$B,LEFT(B132,FIND(".",B132,1)-1))-1)=1,VLOOKUP(LEFT(B132,FIND(".",B132,1)-1),$B$4:$AZ$68,49,FALSE),VLOOKUP(LEFT(B132,FIND(".",B132,1)-1),$B$4:$AZ$68,49,FALSE)-BJ131),ROUNDUP(V132/VLOOKUP(LEFT(B132,FIND(".",B132,1)-1),$AY:$AZ,2,FALSE)*VLOOKUP(LEFT(B132,FIND(".",B132,1)-1),$B$4:$AZ$68,49,FALSE),0)),0)</f>
        <v>0</v>
      </c>
      <c r="BJ132" s="308">
        <f t="shared" si="60"/>
        <v>0</v>
      </c>
      <c r="BP132" s="44">
        <f t="shared" si="61"/>
        <v>0</v>
      </c>
      <c r="BQ132" s="1">
        <v>0</v>
      </c>
      <c r="BR132" s="1">
        <v>0</v>
      </c>
      <c r="BS132" s="16">
        <f t="shared" si="102"/>
        <v>0</v>
      </c>
      <c r="BT132" s="16">
        <f t="shared" si="103"/>
        <v>0</v>
      </c>
      <c r="BU132" s="16">
        <f t="shared" si="104"/>
        <v>271</v>
      </c>
      <c r="BV132" s="16">
        <f t="shared" si="105"/>
        <v>0</v>
      </c>
      <c r="BX132" s="1" t="str">
        <f t="shared" ref="BX132:BX184" si="106">IF(LEFT(B133,4)&lt;&gt;LEFT(B132,4),LEFT(B132,4),"")</f>
        <v/>
      </c>
      <c r="BY132" s="1">
        <f t="shared" ref="BY132:BY183" si="107">IF(LEFT(B132,4)&lt;&gt;LEFT(B131,4),BP132,BP132+BY131)</f>
        <v>0</v>
      </c>
      <c r="BZ132" s="1">
        <f t="shared" si="66"/>
        <v>0</v>
      </c>
      <c r="CA132" s="1">
        <f t="shared" si="67"/>
        <v>0</v>
      </c>
      <c r="CB132" s="1">
        <f t="shared" si="68"/>
        <v>0</v>
      </c>
      <c r="CC132" s="1">
        <f t="shared" si="69"/>
        <v>0</v>
      </c>
      <c r="CD132" s="1">
        <f t="shared" si="70"/>
        <v>271</v>
      </c>
      <c r="CE132" s="1">
        <f t="shared" si="71"/>
        <v>0</v>
      </c>
      <c r="CR132" s="30" t="s">
        <v>556</v>
      </c>
      <c r="CS132" s="291">
        <v>333680</v>
      </c>
      <c r="CT132" s="291">
        <v>0</v>
      </c>
      <c r="CU132" s="291">
        <v>0</v>
      </c>
      <c r="CV132" s="291">
        <v>0</v>
      </c>
      <c r="CW132" s="29" t="s">
        <v>1180</v>
      </c>
      <c r="CX132" s="312">
        <v>56786</v>
      </c>
      <c r="CY132" s="184">
        <v>25260</v>
      </c>
      <c r="CZ132" s="88">
        <v>636</v>
      </c>
      <c r="DA132" s="88">
        <v>17599</v>
      </c>
      <c r="DB132" s="29" t="s">
        <v>1182</v>
      </c>
      <c r="DC132" s="87">
        <v>0</v>
      </c>
      <c r="DD132" s="88">
        <v>52507</v>
      </c>
      <c r="DE132" s="88">
        <v>12</v>
      </c>
      <c r="DF132" s="88">
        <v>677</v>
      </c>
      <c r="DG132" s="88">
        <v>56786</v>
      </c>
      <c r="DH132" s="88">
        <v>27247</v>
      </c>
      <c r="DI132" s="1">
        <v>358</v>
      </c>
      <c r="DJ132" s="88">
        <v>927</v>
      </c>
    </row>
    <row r="133" spans="1:114" ht="17.25" thickTop="1" thickBot="1">
      <c r="A133" s="531">
        <f t="shared" si="41"/>
        <v>130</v>
      </c>
      <c r="B133" s="38" t="s">
        <v>625</v>
      </c>
      <c r="C133" s="17" t="s">
        <v>285</v>
      </c>
      <c r="D133" s="17">
        <v>1372644167</v>
      </c>
      <c r="E133" s="142" t="str">
        <f t="shared" si="42"/>
        <v>RAMB</v>
      </c>
      <c r="F133" s="16">
        <v>1071290</v>
      </c>
      <c r="G133" s="16">
        <v>1110379</v>
      </c>
      <c r="H133" s="16">
        <v>0</v>
      </c>
      <c r="I133" s="16">
        <v>0</v>
      </c>
      <c r="J133" s="16">
        <v>49546</v>
      </c>
      <c r="K133" s="16">
        <v>49546</v>
      </c>
      <c r="L133" s="16">
        <v>21140</v>
      </c>
      <c r="M133" s="16">
        <v>21140</v>
      </c>
      <c r="N133" s="12" t="s">
        <v>917</v>
      </c>
      <c r="O133" s="12" t="s">
        <v>1019</v>
      </c>
      <c r="P133" s="12" t="s">
        <v>917</v>
      </c>
      <c r="Q133" s="12" t="s">
        <v>917</v>
      </c>
      <c r="R133" s="12" t="s">
        <v>917</v>
      </c>
      <c r="S133" s="12" t="s">
        <v>1019</v>
      </c>
      <c r="T133" s="12" t="s">
        <v>917</v>
      </c>
      <c r="U133" s="12" t="s">
        <v>1019</v>
      </c>
      <c r="V133" s="22">
        <v>39089</v>
      </c>
      <c r="W133" s="22">
        <v>0</v>
      </c>
      <c r="X133" s="22">
        <v>0</v>
      </c>
      <c r="Y133" s="22">
        <v>0</v>
      </c>
      <c r="Z133" s="171">
        <f t="shared" si="34"/>
        <v>1071290</v>
      </c>
      <c r="AA133" s="130" t="str">
        <f t="shared" si="35"/>
        <v>citit</v>
      </c>
      <c r="AB133" s="176">
        <f t="shared" si="43"/>
        <v>1110379</v>
      </c>
      <c r="AC133" s="12" t="s">
        <v>917</v>
      </c>
      <c r="AD133" s="12">
        <f t="shared" si="101"/>
        <v>0</v>
      </c>
      <c r="AE133" s="12">
        <f t="shared" si="101"/>
        <v>0</v>
      </c>
      <c r="AF133" s="12">
        <f t="shared" si="101"/>
        <v>49546</v>
      </c>
      <c r="AG133" s="12" t="str">
        <f t="shared" si="37"/>
        <v>citit</v>
      </c>
      <c r="AH133" s="176">
        <f t="shared" si="44"/>
        <v>49546</v>
      </c>
      <c r="AI133" s="12" t="s">
        <v>917</v>
      </c>
      <c r="AJ133" s="12">
        <f t="shared" si="38"/>
        <v>21140</v>
      </c>
      <c r="AK133" s="12" t="str">
        <f t="shared" si="39"/>
        <v>citit</v>
      </c>
      <c r="AL133" s="175">
        <f t="shared" si="45"/>
        <v>21203</v>
      </c>
      <c r="AM133" s="159" t="s">
        <v>917</v>
      </c>
      <c r="AN133" s="154">
        <f t="shared" si="46"/>
        <v>39089</v>
      </c>
      <c r="AO133" s="14">
        <f t="shared" si="47"/>
        <v>0</v>
      </c>
      <c r="AP133" s="147">
        <f t="shared" si="48"/>
        <v>0</v>
      </c>
      <c r="AQ133" s="147">
        <f t="shared" si="49"/>
        <v>63</v>
      </c>
      <c r="AR133" s="16">
        <v>0</v>
      </c>
      <c r="AS133" s="16">
        <v>0</v>
      </c>
      <c r="AT133" s="1">
        <f t="shared" si="50"/>
        <v>0</v>
      </c>
      <c r="AU133" s="154">
        <f t="shared" si="51"/>
        <v>0</v>
      </c>
      <c r="AV133" s="154">
        <f t="shared" si="52"/>
        <v>0</v>
      </c>
      <c r="AW133" s="154">
        <f t="shared" si="53"/>
        <v>63</v>
      </c>
      <c r="AX133" s="154">
        <f t="shared" si="54"/>
        <v>0</v>
      </c>
      <c r="AY133" s="308" t="str">
        <f t="shared" si="55"/>
        <v>RAMB_1</v>
      </c>
      <c r="AZ133" s="308">
        <f t="shared" si="40"/>
        <v>206653</v>
      </c>
      <c r="BA133" s="308">
        <f>IFERROR(IF(_xlfn.NUMBERVALUE(RIGHT(B133,LEN(B133)-FIND(".",B133,1)))=COUNTIF('Contorizare in SDI'!$B:$B,LEFT(B133,FIND(".",B133,1)-1))-1,IF((COUNTIF('Contorizare in SDI'!$B:$B,LEFT(B133,FIND(".",B133,1)-1))-1)=1,VLOOKUP(LEFT(B133,FIND(".",B133,1)-1),$B$4:$AZ$68,45,FALSE),VLOOKUP(LEFT(B133,FIND(".",B133,1)-1),$B$4:$AZ$68,45,FALSE)-BB132),ROUNDUP(V133/VLOOKUP(LEFT(B133,FIND(".",B133,1)-1),$AY:$AZ,2,FALSE)*VLOOKUP(LEFT(B133,FIND(".",B133,1)-1),$B$4:$AZ$68,45,FALSE),0)),0)</f>
        <v>0</v>
      </c>
      <c r="BB133" s="308">
        <f t="shared" si="56"/>
        <v>0</v>
      </c>
      <c r="BC133" s="308">
        <f>IFERROR(IF(_xlfn.NUMBERVALUE(RIGHT(B133,LEN(B133)-FIND(".",B133,1)))=COUNTIF('Contorizare in SDI'!$B:$B,LEFT(B133,FIND(".",B133,1)-1))-1,IF((COUNTIF('Contorizare in SDI'!$B:$B,LEFT(B133,FIND(".",B133,1)-1))-1)=1,VLOOKUP(LEFT(B133,FIND(".",B133,1)-1),$B$4:$AZ$68,46,FALSE),VLOOKUP(LEFT(B133,FIND(".",B133,1)-1),$B$4:$AZ$68,46,FALSE)-BD132),ROUNDUP(V133/VLOOKUP(LEFT(B133,FIND(".",B133,1)-1),$AY:$AZ,2,FALSE)*VLOOKUP(LEFT(B133,FIND(".",B133,1)-1),$B$4:$AZ$68,46,FALSE),0)),0)</f>
        <v>0</v>
      </c>
      <c r="BD133" s="308">
        <f t="shared" si="57"/>
        <v>0</v>
      </c>
      <c r="BE133" s="308">
        <f>IFERROR(IF(_xlfn.NUMBERVALUE(RIGHT(B133,LEN(B133)-FIND(".",B133,1)))=COUNTIF('Contorizare in SDI'!$B:$B,LEFT(B133,FIND(".",B133,1)-1))-1,IF((COUNTIF('Contorizare in SDI'!$B:$B,LEFT(B133,FIND(".",B133,1)-1))-1)=1,VLOOKUP(LEFT(B133,FIND(".",B133,1)-1),$B$4:$AZ$68,47,FALSE),VLOOKUP(LEFT(B133,FIND(".",B133,1)-1),$B$4:$AZ$68,47,FALSE)-BF132),ROUNDUP(V133/VLOOKUP(LEFT(B133,FIND(".",B133,1)-1),$AY:$AZ,2,FALSE)*VLOOKUP(LEFT(B133,FIND(".",B133,1)-1),$B$4:$AZ$68,47,FALSE),0)),0)</f>
        <v>0</v>
      </c>
      <c r="BF133" s="308">
        <f t="shared" si="58"/>
        <v>0</v>
      </c>
      <c r="BG133" s="308">
        <f>IFERROR(IF(_xlfn.NUMBERVALUE(RIGHT(B133,LEN(B133)-FIND(".",B133,1)))=COUNTIF('Contorizare in SDI'!$B:$B,LEFT(B133,FIND(".",B133,1)-1))-1,IF((COUNTIF('Contorizare in SDI'!$B:$B,LEFT(B133,FIND(".",B133,1)-1))-1)=1,VLOOKUP(LEFT(B133,FIND(".",B133,1)-1),$B$4:$AZ$68,48,FALSE),VLOOKUP(LEFT(B133,FIND(".",B133,1)-1),$B$4:$AZ$68,48,FALSE)-BH132),ROUNDUP(V133/VLOOKUP(LEFT(B133,FIND(".",B133,1)-1),$AY:$AZ,2,FALSE)*VLOOKUP(LEFT(B133,FIND(".",B133,1)-1),$B$4:$AZ$68,48,FALSE),0)),0)</f>
        <v>63</v>
      </c>
      <c r="BH133" s="308">
        <f t="shared" si="59"/>
        <v>334</v>
      </c>
      <c r="BI133" s="308">
        <f>IFERROR(IF(_xlfn.NUMBERVALUE(RIGHT(B133,LEN(B133)-FIND(".",B133,1)))=COUNTIF('Contorizare in SDI'!$B:$B,LEFT(B133,FIND(".",B133,1)-1))-1,IF((COUNTIF('Contorizare in SDI'!$B:$B,LEFT(B133,FIND(".",B133,1)-1))-1)=1,VLOOKUP(LEFT(B133,FIND(".",B133,1)-1),$B$4:$AZ$68,49,FALSE),VLOOKUP(LEFT(B133,FIND(".",B133,1)-1),$B$4:$AZ$68,49,FALSE)-BJ132),ROUNDUP(V133/VLOOKUP(LEFT(B133,FIND(".",B133,1)-1),$AY:$AZ,2,FALSE)*VLOOKUP(LEFT(B133,FIND(".",B133,1)-1),$B$4:$AZ$68,49,FALSE),0)),0)</f>
        <v>0</v>
      </c>
      <c r="BJ133" s="308">
        <f t="shared" si="60"/>
        <v>0</v>
      </c>
      <c r="BP133" s="44">
        <f t="shared" si="61"/>
        <v>0</v>
      </c>
      <c r="BQ133" s="1">
        <v>0</v>
      </c>
      <c r="BR133" s="1">
        <v>0</v>
      </c>
      <c r="BS133" s="16">
        <f t="shared" si="102"/>
        <v>0</v>
      </c>
      <c r="BT133" s="16">
        <f t="shared" si="103"/>
        <v>0</v>
      </c>
      <c r="BU133" s="16">
        <f t="shared" si="104"/>
        <v>63</v>
      </c>
      <c r="BV133" s="16">
        <f t="shared" si="105"/>
        <v>0</v>
      </c>
      <c r="BX133" s="1" t="str">
        <f t="shared" si="106"/>
        <v/>
      </c>
      <c r="BY133" s="1">
        <f t="shared" si="107"/>
        <v>0</v>
      </c>
      <c r="BZ133" s="1">
        <f t="shared" si="66"/>
        <v>0</v>
      </c>
      <c r="CA133" s="1">
        <f t="shared" si="67"/>
        <v>0</v>
      </c>
      <c r="CB133" s="1">
        <f t="shared" si="68"/>
        <v>0</v>
      </c>
      <c r="CC133" s="1">
        <f t="shared" si="69"/>
        <v>0</v>
      </c>
      <c r="CD133" s="1">
        <f t="shared" si="70"/>
        <v>334</v>
      </c>
      <c r="CE133" s="1">
        <f t="shared" si="71"/>
        <v>0</v>
      </c>
      <c r="CR133" s="30" t="s">
        <v>556</v>
      </c>
      <c r="CS133" s="291">
        <v>333680</v>
      </c>
      <c r="CT133" s="291">
        <v>0</v>
      </c>
      <c r="CU133" s="291">
        <v>0</v>
      </c>
      <c r="CV133" s="291">
        <v>0</v>
      </c>
      <c r="CW133" s="29" t="s">
        <v>987</v>
      </c>
      <c r="CX133" s="312">
        <v>5006</v>
      </c>
      <c r="CY133" s="184">
        <v>0</v>
      </c>
      <c r="CZ133" s="88">
        <v>0</v>
      </c>
      <c r="DA133" s="88">
        <v>0</v>
      </c>
      <c r="DB133" s="29" t="s">
        <v>69</v>
      </c>
      <c r="DC133" s="87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321">
        <v>0</v>
      </c>
      <c r="DJ133" s="88">
        <v>0</v>
      </c>
    </row>
    <row r="134" spans="1:114" ht="17.25" thickTop="1" thickBot="1">
      <c r="A134" s="531">
        <f t="shared" si="41"/>
        <v>131</v>
      </c>
      <c r="B134" s="38" t="s">
        <v>626</v>
      </c>
      <c r="C134" s="17" t="s">
        <v>288</v>
      </c>
      <c r="D134" s="17">
        <v>1372644212</v>
      </c>
      <c r="E134" s="142" t="str">
        <f t="shared" si="42"/>
        <v>RAMB</v>
      </c>
      <c r="F134" s="16">
        <v>1113723</v>
      </c>
      <c r="G134" s="16">
        <v>1163740</v>
      </c>
      <c r="H134" s="16">
        <v>0</v>
      </c>
      <c r="I134" s="16">
        <v>0</v>
      </c>
      <c r="J134" s="16">
        <v>4898</v>
      </c>
      <c r="K134" s="16">
        <v>4898</v>
      </c>
      <c r="L134" s="16">
        <v>159829</v>
      </c>
      <c r="M134" s="16">
        <v>159829</v>
      </c>
      <c r="N134" s="12" t="s">
        <v>917</v>
      </c>
      <c r="O134" s="12" t="s">
        <v>1019</v>
      </c>
      <c r="P134" s="12" t="s">
        <v>917</v>
      </c>
      <c r="Q134" s="12" t="s">
        <v>917</v>
      </c>
      <c r="R134" s="12" t="s">
        <v>917</v>
      </c>
      <c r="S134" s="12" t="s">
        <v>1019</v>
      </c>
      <c r="T134" s="12" t="s">
        <v>917</v>
      </c>
      <c r="U134" s="12" t="s">
        <v>1019</v>
      </c>
      <c r="V134" s="22">
        <v>50017</v>
      </c>
      <c r="W134" s="22">
        <v>0</v>
      </c>
      <c r="X134" s="22">
        <v>0</v>
      </c>
      <c r="Y134" s="22">
        <v>0</v>
      </c>
      <c r="Z134" s="171">
        <f t="shared" ref="Z134:Z183" si="108">F134</f>
        <v>1113723</v>
      </c>
      <c r="AA134" s="130" t="str">
        <f t="shared" ref="AA134:AA183" si="109">IF(Z134&lt;&gt;F134,"corectie","citit")</f>
        <v>citit</v>
      </c>
      <c r="AB134" s="176">
        <f t="shared" si="43"/>
        <v>1163740</v>
      </c>
      <c r="AC134" s="12" t="s">
        <v>917</v>
      </c>
      <c r="AD134" s="12">
        <f t="shared" ref="AD134:AF165" si="110">H134</f>
        <v>0</v>
      </c>
      <c r="AE134" s="12">
        <f t="shared" si="110"/>
        <v>0</v>
      </c>
      <c r="AF134" s="12">
        <f t="shared" si="110"/>
        <v>4898</v>
      </c>
      <c r="AG134" s="12" t="str">
        <f t="shared" ref="AG134:AG183" si="111">IF(J134&lt;&gt;AF134,"corectie","citit")</f>
        <v>citit</v>
      </c>
      <c r="AH134" s="176">
        <f t="shared" si="44"/>
        <v>4898</v>
      </c>
      <c r="AI134" s="12" t="s">
        <v>917</v>
      </c>
      <c r="AJ134" s="12">
        <f t="shared" ref="AJ134:AJ183" si="112">L134</f>
        <v>159829</v>
      </c>
      <c r="AK134" s="12" t="str">
        <f t="shared" ref="AK134:AK183" si="113">IF(L134&lt;&gt;AJ134,"corectie","citit")</f>
        <v>citit</v>
      </c>
      <c r="AL134" s="175">
        <f t="shared" si="45"/>
        <v>159829</v>
      </c>
      <c r="AM134" s="159" t="s">
        <v>917</v>
      </c>
      <c r="AN134" s="154">
        <f t="shared" si="46"/>
        <v>50017</v>
      </c>
      <c r="AO134" s="14">
        <f t="shared" si="47"/>
        <v>0</v>
      </c>
      <c r="AP134" s="147">
        <f t="shared" si="48"/>
        <v>0</v>
      </c>
      <c r="AQ134" s="147">
        <f t="shared" si="49"/>
        <v>0</v>
      </c>
      <c r="AR134" s="16">
        <v>0</v>
      </c>
      <c r="AS134" s="16">
        <v>0</v>
      </c>
      <c r="AT134" s="1">
        <f t="shared" si="50"/>
        <v>0</v>
      </c>
      <c r="AU134" s="154">
        <f t="shared" si="51"/>
        <v>0</v>
      </c>
      <c r="AV134" s="154">
        <f t="shared" si="52"/>
        <v>0</v>
      </c>
      <c r="AW134" s="154">
        <f t="shared" si="53"/>
        <v>0</v>
      </c>
      <c r="AX134" s="154">
        <f t="shared" si="54"/>
        <v>0</v>
      </c>
      <c r="AY134" s="308" t="str">
        <f t="shared" ref="AY134:AY169" si="114">IF(LEFT(B134,FIND(".",B134,1)-1)&lt;&gt;LEFT(B135,FIND(".",B135,1)-1),LEFT(B134,FIND(".",B134,1)-1),"-")</f>
        <v>-</v>
      </c>
      <c r="AZ134" s="308">
        <f t="shared" ref="AZ134:AZ183" si="115">IF(AND(COUNTIF(AY133,"-")=0,AY134&lt;&gt;AY133),V134,AZ133+V134)</f>
        <v>50017</v>
      </c>
      <c r="BA134" s="308">
        <f>IFERROR(IF(_xlfn.NUMBERVALUE(RIGHT(B134,LEN(B134)-FIND(".",B134,1)))=COUNTIF('Contorizare in SDI'!$B:$B,LEFT(B134,FIND(".",B134,1)-1))-1,IF((COUNTIF('Contorizare in SDI'!$B:$B,LEFT(B134,FIND(".",B134,1)-1))-1)=1,VLOOKUP(LEFT(B134,FIND(".",B134,1)-1),$B$4:$AZ$68,45,FALSE),VLOOKUP(LEFT(B134,FIND(".",B134,1)-1),$B$4:$AZ$68,45,FALSE)-BB133),ROUNDUP(V134/VLOOKUP(LEFT(B134,FIND(".",B134,1)-1),$AY:$AZ,2,FALSE)*VLOOKUP(LEFT(B134,FIND(".",B134,1)-1),$B$4:$AZ$68,45,FALSE),0)),0)</f>
        <v>0</v>
      </c>
      <c r="BB134" s="308">
        <f t="shared" si="56"/>
        <v>0</v>
      </c>
      <c r="BC134" s="308">
        <f>IFERROR(IF(_xlfn.NUMBERVALUE(RIGHT(B134,LEN(B134)-FIND(".",B134,1)))=COUNTIF('Contorizare in SDI'!$B:$B,LEFT(B134,FIND(".",B134,1)-1))-1,IF((COUNTIF('Contorizare in SDI'!$B:$B,LEFT(B134,FIND(".",B134,1)-1))-1)=1,VLOOKUP(LEFT(B134,FIND(".",B134,1)-1),$B$4:$AZ$68,46,FALSE),VLOOKUP(LEFT(B134,FIND(".",B134,1)-1),$B$4:$AZ$68,46,FALSE)-BD133),ROUNDUP(V134/VLOOKUP(LEFT(B134,FIND(".",B134,1)-1),$AY:$AZ,2,FALSE)*VLOOKUP(LEFT(B134,FIND(".",B134,1)-1),$B$4:$AZ$68,46,FALSE),0)),0)</f>
        <v>0</v>
      </c>
      <c r="BD134" s="308">
        <f t="shared" si="57"/>
        <v>0</v>
      </c>
      <c r="BE134" s="308">
        <f>IFERROR(IF(_xlfn.NUMBERVALUE(RIGHT(B134,LEN(B134)-FIND(".",B134,1)))=COUNTIF('Contorizare in SDI'!$B:$B,LEFT(B134,FIND(".",B134,1)-1))-1,IF((COUNTIF('Contorizare in SDI'!$B:$B,LEFT(B134,FIND(".",B134,1)-1))-1)=1,VLOOKUP(LEFT(B134,FIND(".",B134,1)-1),$B$4:$AZ$68,47,FALSE),VLOOKUP(LEFT(B134,FIND(".",B134,1)-1),$B$4:$AZ$68,47,FALSE)-BF133),ROUNDUP(V134/VLOOKUP(LEFT(B134,FIND(".",B134,1)-1),$AY:$AZ,2,FALSE)*VLOOKUP(LEFT(B134,FIND(".",B134,1)-1),$B$4:$AZ$68,47,FALSE),0)),0)</f>
        <v>0</v>
      </c>
      <c r="BF134" s="308">
        <f t="shared" si="58"/>
        <v>0</v>
      </c>
      <c r="BG134" s="308">
        <f>IFERROR(IF(_xlfn.NUMBERVALUE(RIGHT(B134,LEN(B134)-FIND(".",B134,1)))=COUNTIF('Contorizare in SDI'!$B:$B,LEFT(B134,FIND(".",B134,1)-1))-1,IF((COUNTIF('Contorizare in SDI'!$B:$B,LEFT(B134,FIND(".",B134,1)-1))-1)=1,VLOOKUP(LEFT(B134,FIND(".",B134,1)-1),$B$4:$AZ$68,48,FALSE),VLOOKUP(LEFT(B134,FIND(".",B134,1)-1),$B$4:$AZ$68,48,FALSE)-BH133),ROUNDUP(V134/VLOOKUP(LEFT(B134,FIND(".",B134,1)-1),$AY:$AZ,2,FALSE)*VLOOKUP(LEFT(B134,FIND(".",B134,1)-1),$B$4:$AZ$68,48,FALSE),0)),0)</f>
        <v>0</v>
      </c>
      <c r="BH134" s="308">
        <f t="shared" si="59"/>
        <v>0</v>
      </c>
      <c r="BI134" s="308">
        <f>IFERROR(IF(_xlfn.NUMBERVALUE(RIGHT(B134,LEN(B134)-FIND(".",B134,1)))=COUNTIF('Contorizare in SDI'!$B:$B,LEFT(B134,FIND(".",B134,1)-1))-1,IF((COUNTIF('Contorizare in SDI'!$B:$B,LEFT(B134,FIND(".",B134,1)-1))-1)=1,VLOOKUP(LEFT(B134,FIND(".",B134,1)-1),$B$4:$AZ$68,49,FALSE),VLOOKUP(LEFT(B134,FIND(".",B134,1)-1),$B$4:$AZ$68,49,FALSE)-BJ133),ROUNDUP(V134/VLOOKUP(LEFT(B134,FIND(".",B134,1)-1),$AY:$AZ,2,FALSE)*VLOOKUP(LEFT(B134,FIND(".",B134,1)-1),$B$4:$AZ$68,49,FALSE),0)),0)</f>
        <v>0</v>
      </c>
      <c r="BJ134" s="308">
        <f t="shared" si="60"/>
        <v>0</v>
      </c>
      <c r="BP134" s="44">
        <f t="shared" si="61"/>
        <v>0</v>
      </c>
      <c r="BQ134" s="1">
        <v>0</v>
      </c>
      <c r="BR134" s="1">
        <v>0</v>
      </c>
      <c r="BS134" s="16">
        <f t="shared" ref="BS134:BS156" si="116">AU134</f>
        <v>0</v>
      </c>
      <c r="BT134" s="16">
        <f t="shared" ref="BT134:BT156" si="117">AV134</f>
        <v>0</v>
      </c>
      <c r="BU134" s="16">
        <f t="shared" ref="BU134:BU156" si="118">AW134</f>
        <v>0</v>
      </c>
      <c r="BV134" s="16">
        <f t="shared" ref="BV134:BV165" si="119">AX134</f>
        <v>0</v>
      </c>
      <c r="BX134" s="1" t="str">
        <f t="shared" si="106"/>
        <v/>
      </c>
      <c r="BY134" s="1">
        <f t="shared" si="107"/>
        <v>0</v>
      </c>
      <c r="BZ134" s="1">
        <f t="shared" si="66"/>
        <v>0</v>
      </c>
      <c r="CA134" s="1">
        <f t="shared" si="67"/>
        <v>0</v>
      </c>
      <c r="CB134" s="1">
        <f t="shared" si="68"/>
        <v>0</v>
      </c>
      <c r="CC134" s="1">
        <f t="shared" si="69"/>
        <v>0</v>
      </c>
      <c r="CD134" s="1">
        <f t="shared" si="70"/>
        <v>334</v>
      </c>
      <c r="CE134" s="1">
        <f t="shared" si="71"/>
        <v>0</v>
      </c>
      <c r="CR134" s="30" t="s">
        <v>557</v>
      </c>
      <c r="CS134" s="291">
        <v>23379</v>
      </c>
      <c r="CT134" s="291">
        <v>0</v>
      </c>
      <c r="CU134" s="291">
        <v>0</v>
      </c>
      <c r="CV134" s="291">
        <v>0</v>
      </c>
      <c r="CW134" s="29" t="s">
        <v>649</v>
      </c>
      <c r="CX134" s="312">
        <v>23028</v>
      </c>
      <c r="CY134" s="184">
        <v>0</v>
      </c>
      <c r="CZ134" s="88">
        <v>0</v>
      </c>
      <c r="DA134" s="88">
        <v>0</v>
      </c>
      <c r="DB134" s="29" t="s">
        <v>69</v>
      </c>
      <c r="DC134" s="87">
        <v>0</v>
      </c>
      <c r="DD134" s="88">
        <v>0</v>
      </c>
      <c r="DE134" s="88">
        <v>0</v>
      </c>
      <c r="DF134" s="88">
        <v>0</v>
      </c>
      <c r="DG134" s="88">
        <v>23028</v>
      </c>
      <c r="DH134" s="88">
        <v>0</v>
      </c>
      <c r="DI134" s="321">
        <v>0</v>
      </c>
      <c r="DJ134" s="88">
        <v>351</v>
      </c>
    </row>
    <row r="135" spans="1:114" ht="17.25" thickTop="1" thickBot="1">
      <c r="A135" s="531">
        <f t="shared" ref="A135:A183" si="120">A134+1</f>
        <v>132</v>
      </c>
      <c r="B135" s="38" t="s">
        <v>627</v>
      </c>
      <c r="C135" s="17" t="s">
        <v>290</v>
      </c>
      <c r="D135" s="17">
        <v>1373265946</v>
      </c>
      <c r="E135" s="142" t="str">
        <f t="shared" ref="E135:E176" si="121">LEFT(B135,4)</f>
        <v>RAMB</v>
      </c>
      <c r="F135" s="16">
        <v>1541738</v>
      </c>
      <c r="G135" s="16">
        <v>1599401</v>
      </c>
      <c r="H135" s="16">
        <v>0</v>
      </c>
      <c r="I135" s="16">
        <v>0</v>
      </c>
      <c r="J135" s="16">
        <v>40326</v>
      </c>
      <c r="K135" s="16">
        <v>40326</v>
      </c>
      <c r="L135" s="16">
        <v>52218</v>
      </c>
      <c r="M135" s="16">
        <v>52218</v>
      </c>
      <c r="N135" s="12" t="s">
        <v>917</v>
      </c>
      <c r="O135" s="12" t="s">
        <v>1019</v>
      </c>
      <c r="P135" s="12" t="s">
        <v>917</v>
      </c>
      <c r="Q135" s="12" t="s">
        <v>917</v>
      </c>
      <c r="R135" s="12" t="s">
        <v>917</v>
      </c>
      <c r="S135" s="12" t="s">
        <v>1019</v>
      </c>
      <c r="T135" s="12" t="s">
        <v>917</v>
      </c>
      <c r="U135" s="12" t="s">
        <v>1019</v>
      </c>
      <c r="V135" s="22">
        <v>57663</v>
      </c>
      <c r="W135" s="22">
        <v>0</v>
      </c>
      <c r="X135" s="22">
        <v>0</v>
      </c>
      <c r="Y135" s="22">
        <v>0</v>
      </c>
      <c r="Z135" s="171">
        <f t="shared" si="108"/>
        <v>1541738</v>
      </c>
      <c r="AA135" s="130" t="str">
        <f t="shared" si="109"/>
        <v>citit</v>
      </c>
      <c r="AB135" s="176">
        <f t="shared" ref="AB135:AB183" si="122">Z135+AN135</f>
        <v>1599401</v>
      </c>
      <c r="AC135" s="12" t="s">
        <v>917</v>
      </c>
      <c r="AD135" s="12">
        <f t="shared" si="110"/>
        <v>0</v>
      </c>
      <c r="AE135" s="12">
        <f t="shared" si="110"/>
        <v>0</v>
      </c>
      <c r="AF135" s="12">
        <f t="shared" si="110"/>
        <v>40326</v>
      </c>
      <c r="AG135" s="12" t="str">
        <f t="shared" si="111"/>
        <v>citit</v>
      </c>
      <c r="AH135" s="176">
        <f t="shared" ref="AH135:AH176" si="123">AF135+AP135</f>
        <v>40326</v>
      </c>
      <c r="AI135" s="12" t="s">
        <v>917</v>
      </c>
      <c r="AJ135" s="12">
        <f t="shared" si="112"/>
        <v>52218</v>
      </c>
      <c r="AK135" s="12" t="str">
        <f t="shared" si="113"/>
        <v>citit</v>
      </c>
      <c r="AL135" s="175">
        <f t="shared" ref="AL135:AL176" si="124">AJ135+AQ135</f>
        <v>52218</v>
      </c>
      <c r="AM135" s="159" t="s">
        <v>917</v>
      </c>
      <c r="AN135" s="154">
        <f t="shared" ref="AN135:AN169" si="125">V135+AT135</f>
        <v>57663</v>
      </c>
      <c r="AO135" s="14">
        <f t="shared" ref="AO135:AO183" si="126">AE135-AD135</f>
        <v>0</v>
      </c>
      <c r="AP135" s="147">
        <f t="shared" ref="AP135:AP183" si="127">AU135+AV135</f>
        <v>0</v>
      </c>
      <c r="AQ135" s="147">
        <f t="shared" ref="AQ135:AQ183" si="128">AW135+AX135</f>
        <v>0</v>
      </c>
      <c r="AR135" s="16">
        <v>0</v>
      </c>
      <c r="AS135" s="16">
        <v>0</v>
      </c>
      <c r="AT135" s="1">
        <f t="shared" ref="AT135:AT183" si="129">BA135</f>
        <v>0</v>
      </c>
      <c r="AU135" s="154">
        <f t="shared" ref="AU135:AU183" si="130">BC135</f>
        <v>0</v>
      </c>
      <c r="AV135" s="154">
        <f t="shared" ref="AV135:AV183" si="131">BE135</f>
        <v>0</v>
      </c>
      <c r="AW135" s="154">
        <f t="shared" ref="AW135:AW183" si="132">BG135</f>
        <v>0</v>
      </c>
      <c r="AX135" s="154">
        <f t="shared" ref="AX135:AX183" si="133">BI135</f>
        <v>0</v>
      </c>
      <c r="AY135" s="308" t="str">
        <f t="shared" si="114"/>
        <v>RAMB_2</v>
      </c>
      <c r="AZ135" s="308">
        <f t="shared" si="115"/>
        <v>107680</v>
      </c>
      <c r="BA135" s="308">
        <f>IFERROR(IF(_xlfn.NUMBERVALUE(RIGHT(B135,LEN(B135)-FIND(".",B135,1)))=COUNTIF('Contorizare in SDI'!$B:$B,LEFT(B135,FIND(".",B135,1)-1))-1,IF((COUNTIF('Contorizare in SDI'!$B:$B,LEFT(B135,FIND(".",B135,1)-1))-1)=1,VLOOKUP(LEFT(B135,FIND(".",B135,1)-1),$B$4:$AZ$68,45,FALSE),VLOOKUP(LEFT(B135,FIND(".",B135,1)-1),$B$4:$AZ$68,45,FALSE)-BB134),ROUNDUP(V135/VLOOKUP(LEFT(B135,FIND(".",B135,1)-1),$AY:$AZ,2,FALSE)*VLOOKUP(LEFT(B135,FIND(".",B135,1)-1),$B$4:$AZ$68,45,FALSE),0)),0)</f>
        <v>0</v>
      </c>
      <c r="BB135" s="308">
        <f t="shared" ref="BB135:BB176" si="134">IF(AND(COUNTIF(AY134,"-")=0,AY135&lt;&gt;AY134),BA135,BB134+BA135)</f>
        <v>0</v>
      </c>
      <c r="BC135" s="308">
        <f>IFERROR(IF(_xlfn.NUMBERVALUE(RIGHT(B135,LEN(B135)-FIND(".",B135,1)))=COUNTIF('Contorizare in SDI'!$B:$B,LEFT(B135,FIND(".",B135,1)-1))-1,IF((COUNTIF('Contorizare in SDI'!$B:$B,LEFT(B135,FIND(".",B135,1)-1))-1)=1,VLOOKUP(LEFT(B135,FIND(".",B135,1)-1),$B$4:$AZ$68,46,FALSE),VLOOKUP(LEFT(B135,FIND(".",B135,1)-1),$B$4:$AZ$68,46,FALSE)-BD134),ROUNDUP(V135/VLOOKUP(LEFT(B135,FIND(".",B135,1)-1),$AY:$AZ,2,FALSE)*VLOOKUP(LEFT(B135,FIND(".",B135,1)-1),$B$4:$AZ$68,46,FALSE),0)),0)</f>
        <v>0</v>
      </c>
      <c r="BD135" s="308">
        <f t="shared" ref="BD135:BD176" si="135">IF(AND(COUNTIF(AY134,"-")=0,AY135&lt;&gt;AY134),BC135,BD134+BC135)</f>
        <v>0</v>
      </c>
      <c r="BE135" s="308">
        <f>IFERROR(IF(_xlfn.NUMBERVALUE(RIGHT(B135,LEN(B135)-FIND(".",B135,1)))=COUNTIF('Contorizare in SDI'!$B:$B,LEFT(B135,FIND(".",B135,1)-1))-1,IF((COUNTIF('Contorizare in SDI'!$B:$B,LEFT(B135,FIND(".",B135,1)-1))-1)=1,VLOOKUP(LEFT(B135,FIND(".",B135,1)-1),$B$4:$AZ$68,47,FALSE),VLOOKUP(LEFT(B135,FIND(".",B135,1)-1),$B$4:$AZ$68,47,FALSE)-BF134),ROUNDUP(V135/VLOOKUP(LEFT(B135,FIND(".",B135,1)-1),$AY:$AZ,2,FALSE)*VLOOKUP(LEFT(B135,FIND(".",B135,1)-1),$B$4:$AZ$68,47,FALSE),0)),0)</f>
        <v>0</v>
      </c>
      <c r="BF135" s="308">
        <f t="shared" ref="BF135:BF176" si="136">IF(AND(COUNTIF(AY134,"-")=0,AY135&lt;&gt;AY134),BE135,BF134+BE135)</f>
        <v>0</v>
      </c>
      <c r="BG135" s="308">
        <f>IFERROR(IF(_xlfn.NUMBERVALUE(RIGHT(B135,LEN(B135)-FIND(".",B135,1)))=COUNTIF('Contorizare in SDI'!$B:$B,LEFT(B135,FIND(".",B135,1)-1))-1,IF((COUNTIF('Contorizare in SDI'!$B:$B,LEFT(B135,FIND(".",B135,1)-1))-1)=1,VLOOKUP(LEFT(B135,FIND(".",B135,1)-1),$B$4:$AZ$68,48,FALSE),VLOOKUP(LEFT(B135,FIND(".",B135,1)-1),$B$4:$AZ$68,48,FALSE)-BH134),ROUNDUP(V135/VLOOKUP(LEFT(B135,FIND(".",B135,1)-1),$AY:$AZ,2,FALSE)*VLOOKUP(LEFT(B135,FIND(".",B135,1)-1),$B$4:$AZ$68,48,FALSE),0)),0)</f>
        <v>0</v>
      </c>
      <c r="BH135" s="308">
        <f t="shared" ref="BH135:BH176" si="137">IF(AND(COUNTIF(AY134,"-")=0,AY135&lt;&gt;AY134),BG135,BH134+BG135)</f>
        <v>0</v>
      </c>
      <c r="BI135" s="308">
        <f>IFERROR(IF(_xlfn.NUMBERVALUE(RIGHT(B135,LEN(B135)-FIND(".",B135,1)))=COUNTIF('Contorizare in SDI'!$B:$B,LEFT(B135,FIND(".",B135,1)-1))-1,IF((COUNTIF('Contorizare in SDI'!$B:$B,LEFT(B135,FIND(".",B135,1)-1))-1)=1,VLOOKUP(LEFT(B135,FIND(".",B135,1)-1),$B$4:$AZ$68,49,FALSE),VLOOKUP(LEFT(B135,FIND(".",B135,1)-1),$B$4:$AZ$68,49,FALSE)-BJ134),ROUNDUP(V135/VLOOKUP(LEFT(B135,FIND(".",B135,1)-1),$AY:$AZ,2,FALSE)*VLOOKUP(LEFT(B135,FIND(".",B135,1)-1),$B$4:$AZ$68,49,FALSE),0)),0)</f>
        <v>0</v>
      </c>
      <c r="BJ135" s="308">
        <f t="shared" ref="BJ135:BJ176" si="138">IF(AND(COUNTIF(AY134,"-")=0,AY135&lt;&gt;AY134),BI135,BJ134+BI135)</f>
        <v>0</v>
      </c>
      <c r="BP135" s="44">
        <f t="shared" ref="BP135:BP183" si="139">AT135</f>
        <v>0</v>
      </c>
      <c r="BQ135" s="1">
        <v>0</v>
      </c>
      <c r="BR135" s="1">
        <v>0</v>
      </c>
      <c r="BS135" s="16">
        <f t="shared" si="116"/>
        <v>0</v>
      </c>
      <c r="BT135" s="16">
        <f t="shared" si="117"/>
        <v>0</v>
      </c>
      <c r="BU135" s="16">
        <f t="shared" si="118"/>
        <v>0</v>
      </c>
      <c r="BV135" s="16">
        <f t="shared" si="119"/>
        <v>0</v>
      </c>
      <c r="BX135" s="1" t="str">
        <f t="shared" si="106"/>
        <v>RAMB</v>
      </c>
      <c r="BY135" s="1">
        <f t="shared" si="107"/>
        <v>0</v>
      </c>
      <c r="BZ135" s="1">
        <f t="shared" ref="BZ135:BZ156" si="140">IF(LEFT(B135,4)&lt;&gt;LEFT(B134,4),BQ135,BQ135+BZ134)</f>
        <v>0</v>
      </c>
      <c r="CA135" s="1">
        <f t="shared" ref="CA135:CA156" si="141">IF(LEFT(B135,4)&lt;&gt;LEFT(B134,4),BR135,BR135+CA134)</f>
        <v>0</v>
      </c>
      <c r="CB135" s="1">
        <f t="shared" ref="CB135:CB156" si="142">IF(LEFT(B135,4)&lt;&gt;LEFT(B134,4),BS135,BS135+CB134)</f>
        <v>0</v>
      </c>
      <c r="CC135" s="1">
        <f t="shared" ref="CC135:CC156" si="143">IF(LEFT(B135,4)&lt;&gt;LEFT(B134,4),BT135,BT135+CC134)</f>
        <v>0</v>
      </c>
      <c r="CD135" s="1">
        <f t="shared" ref="CD135:CD156" si="144">IF(LEFT(B135,4)&lt;&gt;LEFT(B134,4),BU135,BU135+CD134)</f>
        <v>334</v>
      </c>
      <c r="CE135" s="1">
        <f t="shared" ref="CE135:CE156" si="145">IF(LEFT(B135,4)&lt;&gt;LEFT(B134,4),BV135,BV135+CE134)</f>
        <v>0</v>
      </c>
      <c r="CR135" s="30" t="s">
        <v>557</v>
      </c>
      <c r="CS135" s="291">
        <v>23379</v>
      </c>
      <c r="CT135" s="291">
        <v>0</v>
      </c>
      <c r="CU135" s="291">
        <v>0</v>
      </c>
      <c r="CV135" s="291">
        <v>0</v>
      </c>
      <c r="CW135" s="29" t="s">
        <v>988</v>
      </c>
      <c r="CX135" s="312">
        <v>351</v>
      </c>
      <c r="CY135" s="184">
        <v>0</v>
      </c>
      <c r="CZ135" s="88">
        <v>0</v>
      </c>
      <c r="DA135" s="88">
        <v>0</v>
      </c>
      <c r="DB135" s="29" t="s">
        <v>69</v>
      </c>
      <c r="DC135" s="87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321">
        <v>0</v>
      </c>
      <c r="DJ135" s="88">
        <v>0</v>
      </c>
    </row>
    <row r="136" spans="1:114" ht="17.25" thickTop="1" thickBot="1">
      <c r="A136" s="531">
        <f t="shared" si="120"/>
        <v>133</v>
      </c>
      <c r="B136" s="38" t="s">
        <v>628</v>
      </c>
      <c r="C136" s="17" t="s">
        <v>294</v>
      </c>
      <c r="D136" s="17">
        <v>1372640713</v>
      </c>
      <c r="E136" s="142" t="str">
        <f t="shared" si="121"/>
        <v>RGBM</v>
      </c>
      <c r="F136" s="16">
        <v>7431159</v>
      </c>
      <c r="G136" s="16">
        <v>7772894</v>
      </c>
      <c r="H136" s="16">
        <v>0</v>
      </c>
      <c r="I136" s="16">
        <v>0</v>
      </c>
      <c r="J136" s="16">
        <v>229442</v>
      </c>
      <c r="K136" s="16">
        <v>229442</v>
      </c>
      <c r="L136" s="16">
        <v>78069</v>
      </c>
      <c r="M136" s="16">
        <v>78069</v>
      </c>
      <c r="N136" s="12" t="s">
        <v>917</v>
      </c>
      <c r="O136" s="12" t="s">
        <v>1019</v>
      </c>
      <c r="P136" s="12" t="s">
        <v>917</v>
      </c>
      <c r="Q136" s="12" t="s">
        <v>917</v>
      </c>
      <c r="R136" s="12" t="s">
        <v>917</v>
      </c>
      <c r="S136" s="12" t="s">
        <v>1019</v>
      </c>
      <c r="T136" s="12" t="s">
        <v>917</v>
      </c>
      <c r="U136" s="12" t="s">
        <v>1019</v>
      </c>
      <c r="V136" s="22">
        <v>341735</v>
      </c>
      <c r="W136" s="22">
        <v>0</v>
      </c>
      <c r="X136" s="22">
        <v>0</v>
      </c>
      <c r="Y136" s="22">
        <v>0</v>
      </c>
      <c r="Z136" s="171">
        <f t="shared" si="108"/>
        <v>7431159</v>
      </c>
      <c r="AA136" s="130" t="str">
        <f t="shared" si="109"/>
        <v>citit</v>
      </c>
      <c r="AB136" s="176">
        <f t="shared" si="122"/>
        <v>7772894</v>
      </c>
      <c r="AC136" s="12" t="s">
        <v>917</v>
      </c>
      <c r="AD136" s="12">
        <f t="shared" si="110"/>
        <v>0</v>
      </c>
      <c r="AE136" s="12">
        <f t="shared" si="110"/>
        <v>0</v>
      </c>
      <c r="AF136" s="12">
        <f t="shared" si="110"/>
        <v>229442</v>
      </c>
      <c r="AG136" s="12" t="str">
        <f t="shared" si="111"/>
        <v>citit</v>
      </c>
      <c r="AH136" s="176">
        <f t="shared" si="123"/>
        <v>229741</v>
      </c>
      <c r="AI136" s="12" t="s">
        <v>917</v>
      </c>
      <c r="AJ136" s="12">
        <f t="shared" si="112"/>
        <v>78069</v>
      </c>
      <c r="AK136" s="12" t="str">
        <f t="shared" si="113"/>
        <v>citit</v>
      </c>
      <c r="AL136" s="175">
        <f t="shared" si="124"/>
        <v>78076</v>
      </c>
      <c r="AM136" s="159" t="s">
        <v>917</v>
      </c>
      <c r="AN136" s="154">
        <f t="shared" si="125"/>
        <v>341735</v>
      </c>
      <c r="AO136" s="14">
        <f t="shared" si="126"/>
        <v>0</v>
      </c>
      <c r="AP136" s="147">
        <f t="shared" si="127"/>
        <v>299</v>
      </c>
      <c r="AQ136" s="147">
        <f t="shared" si="128"/>
        <v>7</v>
      </c>
      <c r="AR136" s="16">
        <v>0</v>
      </c>
      <c r="AS136" s="16">
        <v>0</v>
      </c>
      <c r="AT136" s="1">
        <f t="shared" si="129"/>
        <v>0</v>
      </c>
      <c r="AU136" s="154">
        <f t="shared" si="130"/>
        <v>299</v>
      </c>
      <c r="AV136" s="154">
        <f t="shared" si="131"/>
        <v>0</v>
      </c>
      <c r="AW136" s="154">
        <f t="shared" si="132"/>
        <v>7</v>
      </c>
      <c r="AX136" s="154">
        <f t="shared" si="133"/>
        <v>0</v>
      </c>
      <c r="AY136" s="308" t="str">
        <f t="shared" si="114"/>
        <v>-</v>
      </c>
      <c r="AZ136" s="308">
        <f t="shared" si="115"/>
        <v>341735</v>
      </c>
      <c r="BA136" s="308">
        <f>IFERROR(IF(_xlfn.NUMBERVALUE(RIGHT(B136,LEN(B136)-FIND(".",B136,1)))=COUNTIF('Contorizare in SDI'!$B:$B,LEFT(B136,FIND(".",B136,1)-1))-1,IF((COUNTIF('Contorizare in SDI'!$B:$B,LEFT(B136,FIND(".",B136,1)-1))-1)=1,VLOOKUP(LEFT(B136,FIND(".",B136,1)-1),$B$4:$AZ$68,45,FALSE),VLOOKUP(LEFT(B136,FIND(".",B136,1)-1),$B$4:$AZ$68,45,FALSE)-BB135),ROUNDUP(V136/VLOOKUP(LEFT(B136,FIND(".",B136,1)-1),$AY:$AZ,2,FALSE)*VLOOKUP(LEFT(B136,FIND(".",B136,1)-1),$B$4:$AZ$68,45,FALSE),0)),0)</f>
        <v>0</v>
      </c>
      <c r="BB136" s="308">
        <f t="shared" si="134"/>
        <v>0</v>
      </c>
      <c r="BC136" s="308">
        <f>IFERROR(IF(_xlfn.NUMBERVALUE(RIGHT(B136,LEN(B136)-FIND(".",B136,1)))=COUNTIF('Contorizare in SDI'!$B:$B,LEFT(B136,FIND(".",B136,1)-1))-1,IF((COUNTIF('Contorizare in SDI'!$B:$B,LEFT(B136,FIND(".",B136,1)-1))-1)=1,VLOOKUP(LEFT(B136,FIND(".",B136,1)-1),$B$4:$AZ$68,46,FALSE),VLOOKUP(LEFT(B136,FIND(".",B136,1)-1),$B$4:$AZ$68,46,FALSE)-BD135),ROUNDUP(V136/VLOOKUP(LEFT(B136,FIND(".",B136,1)-1),$AY:$AZ,2,FALSE)*VLOOKUP(LEFT(B136,FIND(".",B136,1)-1),$B$4:$AZ$68,46,FALSE),0)),0)</f>
        <v>299</v>
      </c>
      <c r="BD136" s="308">
        <f t="shared" si="135"/>
        <v>299</v>
      </c>
      <c r="BE136" s="308">
        <f>IFERROR(IF(_xlfn.NUMBERVALUE(RIGHT(B136,LEN(B136)-FIND(".",B136,1)))=COUNTIF('Contorizare in SDI'!$B:$B,LEFT(B136,FIND(".",B136,1)-1))-1,IF((COUNTIF('Contorizare in SDI'!$B:$B,LEFT(B136,FIND(".",B136,1)-1))-1)=1,VLOOKUP(LEFT(B136,FIND(".",B136,1)-1),$B$4:$AZ$68,47,FALSE),VLOOKUP(LEFT(B136,FIND(".",B136,1)-1),$B$4:$AZ$68,47,FALSE)-BF135),ROUNDUP(V136/VLOOKUP(LEFT(B136,FIND(".",B136,1)-1),$AY:$AZ,2,FALSE)*VLOOKUP(LEFT(B136,FIND(".",B136,1)-1),$B$4:$AZ$68,47,FALSE),0)),0)</f>
        <v>0</v>
      </c>
      <c r="BF136" s="308">
        <f t="shared" si="136"/>
        <v>0</v>
      </c>
      <c r="BG136" s="308">
        <f>IFERROR(IF(_xlfn.NUMBERVALUE(RIGHT(B136,LEN(B136)-FIND(".",B136,1)))=COUNTIF('Contorizare in SDI'!$B:$B,LEFT(B136,FIND(".",B136,1)-1))-1,IF((COUNTIF('Contorizare in SDI'!$B:$B,LEFT(B136,FIND(".",B136,1)-1))-1)=1,VLOOKUP(LEFT(B136,FIND(".",B136,1)-1),$B$4:$AZ$68,48,FALSE),VLOOKUP(LEFT(B136,FIND(".",B136,1)-1),$B$4:$AZ$68,48,FALSE)-BH135),ROUNDUP(V136/VLOOKUP(LEFT(B136,FIND(".",B136,1)-1),$AY:$AZ,2,FALSE)*VLOOKUP(LEFT(B136,FIND(".",B136,1)-1),$B$4:$AZ$68,48,FALSE),0)),0)</f>
        <v>7</v>
      </c>
      <c r="BH136" s="308">
        <f t="shared" si="137"/>
        <v>7</v>
      </c>
      <c r="BI136" s="308">
        <f>IFERROR(IF(_xlfn.NUMBERVALUE(RIGHT(B136,LEN(B136)-FIND(".",B136,1)))=COUNTIF('Contorizare in SDI'!$B:$B,LEFT(B136,FIND(".",B136,1)-1))-1,IF((COUNTIF('Contorizare in SDI'!$B:$B,LEFT(B136,FIND(".",B136,1)-1))-1)=1,VLOOKUP(LEFT(B136,FIND(".",B136,1)-1),$B$4:$AZ$68,49,FALSE),VLOOKUP(LEFT(B136,FIND(".",B136,1)-1),$B$4:$AZ$68,49,FALSE)-BJ135),ROUNDUP(V136/VLOOKUP(LEFT(B136,FIND(".",B136,1)-1),$AY:$AZ,2,FALSE)*VLOOKUP(LEFT(B136,FIND(".",B136,1)-1),$B$4:$AZ$68,49,FALSE),0)),0)</f>
        <v>0</v>
      </c>
      <c r="BJ136" s="308">
        <f t="shared" si="138"/>
        <v>0</v>
      </c>
      <c r="BP136" s="44">
        <f t="shared" si="139"/>
        <v>0</v>
      </c>
      <c r="BQ136" s="1">
        <v>0</v>
      </c>
      <c r="BR136" s="1">
        <v>0</v>
      </c>
      <c r="BS136" s="16">
        <f t="shared" si="116"/>
        <v>299</v>
      </c>
      <c r="BT136" s="16">
        <f t="shared" si="117"/>
        <v>0</v>
      </c>
      <c r="BU136" s="16">
        <f t="shared" si="118"/>
        <v>7</v>
      </c>
      <c r="BV136" s="16">
        <f t="shared" si="119"/>
        <v>0</v>
      </c>
      <c r="BX136" s="1" t="str">
        <f t="shared" si="106"/>
        <v/>
      </c>
      <c r="BY136" s="1">
        <f t="shared" si="107"/>
        <v>0</v>
      </c>
      <c r="BZ136" s="1">
        <f t="shared" si="140"/>
        <v>0</v>
      </c>
      <c r="CA136" s="1">
        <f t="shared" si="141"/>
        <v>0</v>
      </c>
      <c r="CB136" s="1">
        <f t="shared" si="142"/>
        <v>299</v>
      </c>
      <c r="CC136" s="1">
        <f t="shared" si="143"/>
        <v>0</v>
      </c>
      <c r="CD136" s="1">
        <f t="shared" si="144"/>
        <v>7</v>
      </c>
      <c r="CE136" s="1">
        <f t="shared" si="145"/>
        <v>0</v>
      </c>
      <c r="CR136" s="30" t="s">
        <v>558</v>
      </c>
      <c r="CS136" s="291">
        <v>115840</v>
      </c>
      <c r="CT136" s="291">
        <v>0</v>
      </c>
      <c r="CU136" s="291">
        <v>0</v>
      </c>
      <c r="CV136" s="291">
        <v>0</v>
      </c>
      <c r="CW136" s="29" t="s">
        <v>650</v>
      </c>
      <c r="CX136" s="312">
        <v>58358</v>
      </c>
      <c r="CY136" s="184">
        <v>0</v>
      </c>
      <c r="CZ136" s="88">
        <v>0</v>
      </c>
      <c r="DA136" s="88">
        <v>0</v>
      </c>
      <c r="DB136" s="29" t="s">
        <v>69</v>
      </c>
      <c r="DC136" s="87">
        <v>0</v>
      </c>
      <c r="DD136" s="88">
        <v>0</v>
      </c>
      <c r="DE136" s="88">
        <v>0</v>
      </c>
      <c r="DF136" s="88">
        <v>0</v>
      </c>
      <c r="DG136" s="88">
        <v>58358</v>
      </c>
      <c r="DH136" s="88">
        <v>0</v>
      </c>
      <c r="DI136" s="321">
        <v>0</v>
      </c>
      <c r="DJ136" s="88">
        <v>876</v>
      </c>
    </row>
    <row r="137" spans="1:114" ht="17.25" thickTop="1" thickBot="1">
      <c r="A137" s="531">
        <f t="shared" si="120"/>
        <v>134</v>
      </c>
      <c r="B137" s="38" t="s">
        <v>629</v>
      </c>
      <c r="C137" s="17" t="s">
        <v>296</v>
      </c>
      <c r="D137" s="17">
        <v>1371642996</v>
      </c>
      <c r="E137" s="142" t="str">
        <f t="shared" si="121"/>
        <v>RGBM</v>
      </c>
      <c r="F137" s="16">
        <v>6497073</v>
      </c>
      <c r="G137" s="16">
        <v>6780353</v>
      </c>
      <c r="H137" s="16">
        <v>0</v>
      </c>
      <c r="I137" s="16">
        <v>0</v>
      </c>
      <c r="J137" s="16">
        <v>263463</v>
      </c>
      <c r="K137" s="16">
        <v>263463</v>
      </c>
      <c r="L137" s="16">
        <v>20431</v>
      </c>
      <c r="M137" s="16">
        <v>20431</v>
      </c>
      <c r="N137" s="12" t="s">
        <v>917</v>
      </c>
      <c r="O137" s="12" t="s">
        <v>1019</v>
      </c>
      <c r="P137" s="12" t="s">
        <v>917</v>
      </c>
      <c r="Q137" s="12" t="s">
        <v>917</v>
      </c>
      <c r="R137" s="12" t="s">
        <v>917</v>
      </c>
      <c r="S137" s="12" t="s">
        <v>1019</v>
      </c>
      <c r="T137" s="12" t="s">
        <v>917</v>
      </c>
      <c r="U137" s="12" t="s">
        <v>1019</v>
      </c>
      <c r="V137" s="22">
        <v>283280</v>
      </c>
      <c r="W137" s="22">
        <v>0</v>
      </c>
      <c r="X137" s="22">
        <v>0</v>
      </c>
      <c r="Y137" s="22">
        <v>0</v>
      </c>
      <c r="Z137" s="171">
        <f t="shared" si="108"/>
        <v>6497073</v>
      </c>
      <c r="AA137" s="130" t="str">
        <f t="shared" si="109"/>
        <v>citit</v>
      </c>
      <c r="AB137" s="176">
        <f t="shared" si="122"/>
        <v>6780353</v>
      </c>
      <c r="AC137" s="12" t="s">
        <v>917</v>
      </c>
      <c r="AD137" s="12">
        <f t="shared" si="110"/>
        <v>0</v>
      </c>
      <c r="AE137" s="12">
        <f t="shared" si="110"/>
        <v>0</v>
      </c>
      <c r="AF137" s="12">
        <f t="shared" si="110"/>
        <v>263463</v>
      </c>
      <c r="AG137" s="12" t="str">
        <f t="shared" si="111"/>
        <v>citit</v>
      </c>
      <c r="AH137" s="176">
        <f t="shared" si="123"/>
        <v>263711</v>
      </c>
      <c r="AI137" s="12" t="s">
        <v>917</v>
      </c>
      <c r="AJ137" s="12">
        <f t="shared" si="112"/>
        <v>20431</v>
      </c>
      <c r="AK137" s="12" t="str">
        <f t="shared" si="113"/>
        <v>citit</v>
      </c>
      <c r="AL137" s="175">
        <f t="shared" si="124"/>
        <v>20437</v>
      </c>
      <c r="AM137" s="159" t="s">
        <v>917</v>
      </c>
      <c r="AN137" s="154">
        <f t="shared" si="125"/>
        <v>283280</v>
      </c>
      <c r="AO137" s="14">
        <f t="shared" si="126"/>
        <v>0</v>
      </c>
      <c r="AP137" s="147">
        <f t="shared" si="127"/>
        <v>248</v>
      </c>
      <c r="AQ137" s="147">
        <f t="shared" si="128"/>
        <v>6</v>
      </c>
      <c r="AR137" s="16">
        <v>0</v>
      </c>
      <c r="AS137" s="16">
        <v>0</v>
      </c>
      <c r="AT137" s="1">
        <f t="shared" si="129"/>
        <v>0</v>
      </c>
      <c r="AU137" s="154">
        <f t="shared" si="130"/>
        <v>248</v>
      </c>
      <c r="AV137" s="154">
        <f t="shared" si="131"/>
        <v>0</v>
      </c>
      <c r="AW137" s="154">
        <f t="shared" si="132"/>
        <v>6</v>
      </c>
      <c r="AX137" s="154">
        <f t="shared" si="133"/>
        <v>0</v>
      </c>
      <c r="AY137" s="308" t="str">
        <f t="shared" si="114"/>
        <v>-</v>
      </c>
      <c r="AZ137" s="308">
        <f t="shared" si="115"/>
        <v>625015</v>
      </c>
      <c r="BA137" s="308">
        <f>IFERROR(IF(_xlfn.NUMBERVALUE(RIGHT(B137,LEN(B137)-FIND(".",B137,1)))=COUNTIF('Contorizare in SDI'!$B:$B,LEFT(B137,FIND(".",B137,1)-1))-1,IF((COUNTIF('Contorizare in SDI'!$B:$B,LEFT(B137,FIND(".",B137,1)-1))-1)=1,VLOOKUP(LEFT(B137,FIND(".",B137,1)-1),$B$4:$AZ$68,45,FALSE),VLOOKUP(LEFT(B137,FIND(".",B137,1)-1),$B$4:$AZ$68,45,FALSE)-BB136),ROUNDUP(V137/VLOOKUP(LEFT(B137,FIND(".",B137,1)-1),$AY:$AZ,2,FALSE)*VLOOKUP(LEFT(B137,FIND(".",B137,1)-1),$B$4:$AZ$68,45,FALSE),0)),0)</f>
        <v>0</v>
      </c>
      <c r="BB137" s="308">
        <f t="shared" si="134"/>
        <v>0</v>
      </c>
      <c r="BC137" s="308">
        <f>IFERROR(IF(_xlfn.NUMBERVALUE(RIGHT(B137,LEN(B137)-FIND(".",B137,1)))=COUNTIF('Contorizare in SDI'!$B:$B,LEFT(B137,FIND(".",B137,1)-1))-1,IF((COUNTIF('Contorizare in SDI'!$B:$B,LEFT(B137,FIND(".",B137,1)-1))-1)=1,VLOOKUP(LEFT(B137,FIND(".",B137,1)-1),$B$4:$AZ$68,46,FALSE),VLOOKUP(LEFT(B137,FIND(".",B137,1)-1),$B$4:$AZ$68,46,FALSE)-BD136),ROUNDUP(V137/VLOOKUP(LEFT(B137,FIND(".",B137,1)-1),$AY:$AZ,2,FALSE)*VLOOKUP(LEFT(B137,FIND(".",B137,1)-1),$B$4:$AZ$68,46,FALSE),0)),0)</f>
        <v>248</v>
      </c>
      <c r="BD137" s="308">
        <f t="shared" si="135"/>
        <v>547</v>
      </c>
      <c r="BE137" s="308">
        <f>IFERROR(IF(_xlfn.NUMBERVALUE(RIGHT(B137,LEN(B137)-FIND(".",B137,1)))=COUNTIF('Contorizare in SDI'!$B:$B,LEFT(B137,FIND(".",B137,1)-1))-1,IF((COUNTIF('Contorizare in SDI'!$B:$B,LEFT(B137,FIND(".",B137,1)-1))-1)=1,VLOOKUP(LEFT(B137,FIND(".",B137,1)-1),$B$4:$AZ$68,47,FALSE),VLOOKUP(LEFT(B137,FIND(".",B137,1)-1),$B$4:$AZ$68,47,FALSE)-BF136),ROUNDUP(V137/VLOOKUP(LEFT(B137,FIND(".",B137,1)-1),$AY:$AZ,2,FALSE)*VLOOKUP(LEFT(B137,FIND(".",B137,1)-1),$B$4:$AZ$68,47,FALSE),0)),0)</f>
        <v>0</v>
      </c>
      <c r="BF137" s="308">
        <f t="shared" si="136"/>
        <v>0</v>
      </c>
      <c r="BG137" s="308">
        <f>IFERROR(IF(_xlfn.NUMBERVALUE(RIGHT(B137,LEN(B137)-FIND(".",B137,1)))=COUNTIF('Contorizare in SDI'!$B:$B,LEFT(B137,FIND(".",B137,1)-1))-1,IF((COUNTIF('Contorizare in SDI'!$B:$B,LEFT(B137,FIND(".",B137,1)-1))-1)=1,VLOOKUP(LEFT(B137,FIND(".",B137,1)-1),$B$4:$AZ$68,48,FALSE),VLOOKUP(LEFT(B137,FIND(".",B137,1)-1),$B$4:$AZ$68,48,FALSE)-BH136),ROUNDUP(V137/VLOOKUP(LEFT(B137,FIND(".",B137,1)-1),$AY:$AZ,2,FALSE)*VLOOKUP(LEFT(B137,FIND(".",B137,1)-1),$B$4:$AZ$68,48,FALSE),0)),0)</f>
        <v>6</v>
      </c>
      <c r="BH137" s="308">
        <f t="shared" si="137"/>
        <v>13</v>
      </c>
      <c r="BI137" s="308">
        <f>IFERROR(IF(_xlfn.NUMBERVALUE(RIGHT(B137,LEN(B137)-FIND(".",B137,1)))=COUNTIF('Contorizare in SDI'!$B:$B,LEFT(B137,FIND(".",B137,1)-1))-1,IF((COUNTIF('Contorizare in SDI'!$B:$B,LEFT(B137,FIND(".",B137,1)-1))-1)=1,VLOOKUP(LEFT(B137,FIND(".",B137,1)-1),$B$4:$AZ$68,49,FALSE),VLOOKUP(LEFT(B137,FIND(".",B137,1)-1),$B$4:$AZ$68,49,FALSE)-BJ136),ROUNDUP(V137/VLOOKUP(LEFT(B137,FIND(".",B137,1)-1),$AY:$AZ,2,FALSE)*VLOOKUP(LEFT(B137,FIND(".",B137,1)-1),$B$4:$AZ$68,49,FALSE),0)),0)</f>
        <v>0</v>
      </c>
      <c r="BJ137" s="308">
        <f t="shared" si="138"/>
        <v>0</v>
      </c>
      <c r="BP137" s="44">
        <f t="shared" si="139"/>
        <v>0</v>
      </c>
      <c r="BQ137" s="1">
        <v>0</v>
      </c>
      <c r="BR137" s="1">
        <v>0</v>
      </c>
      <c r="BS137" s="16">
        <f t="shared" si="116"/>
        <v>248</v>
      </c>
      <c r="BT137" s="16">
        <f t="shared" si="117"/>
        <v>0</v>
      </c>
      <c r="BU137" s="16">
        <f t="shared" si="118"/>
        <v>6</v>
      </c>
      <c r="BV137" s="16">
        <f t="shared" si="119"/>
        <v>0</v>
      </c>
      <c r="BX137" s="1" t="str">
        <f t="shared" si="106"/>
        <v/>
      </c>
      <c r="BY137" s="1">
        <f t="shared" si="107"/>
        <v>0</v>
      </c>
      <c r="BZ137" s="1">
        <f t="shared" si="140"/>
        <v>0</v>
      </c>
      <c r="CA137" s="1">
        <f t="shared" si="141"/>
        <v>0</v>
      </c>
      <c r="CB137" s="1">
        <f t="shared" si="142"/>
        <v>547</v>
      </c>
      <c r="CC137" s="1">
        <f t="shared" si="143"/>
        <v>0</v>
      </c>
      <c r="CD137" s="1">
        <f t="shared" si="144"/>
        <v>13</v>
      </c>
      <c r="CE137" s="1">
        <f t="shared" si="145"/>
        <v>0</v>
      </c>
      <c r="CR137" s="30" t="s">
        <v>558</v>
      </c>
      <c r="CS137" s="291">
        <v>115840</v>
      </c>
      <c r="CT137" s="291">
        <v>0</v>
      </c>
      <c r="CU137" s="291">
        <v>0</v>
      </c>
      <c r="CV137" s="291">
        <v>0</v>
      </c>
      <c r="CW137" s="29" t="s">
        <v>651</v>
      </c>
      <c r="CX137" s="312">
        <v>55744</v>
      </c>
      <c r="CY137" s="184">
        <v>0</v>
      </c>
      <c r="CZ137" s="88">
        <v>0</v>
      </c>
      <c r="DA137" s="88">
        <v>0</v>
      </c>
      <c r="DB137" s="29" t="s">
        <v>69</v>
      </c>
      <c r="DC137" s="87">
        <v>0</v>
      </c>
      <c r="DD137" s="88">
        <v>0</v>
      </c>
      <c r="DE137" s="88">
        <v>0</v>
      </c>
      <c r="DF137" s="88">
        <v>0</v>
      </c>
      <c r="DG137" s="88">
        <v>55744</v>
      </c>
      <c r="DH137" s="88">
        <v>0</v>
      </c>
      <c r="DI137" s="321">
        <v>0</v>
      </c>
      <c r="DJ137" s="88">
        <v>862</v>
      </c>
    </row>
    <row r="138" spans="1:114" ht="17.25" thickTop="1" thickBot="1">
      <c r="A138" s="531">
        <f t="shared" si="120"/>
        <v>135</v>
      </c>
      <c r="B138" s="38" t="s">
        <v>630</v>
      </c>
      <c r="C138" s="17" t="s">
        <v>298</v>
      </c>
      <c r="D138" s="17">
        <v>1371870596</v>
      </c>
      <c r="E138" s="142" t="str">
        <f t="shared" si="121"/>
        <v>RGBM</v>
      </c>
      <c r="F138" s="16">
        <v>1978378</v>
      </c>
      <c r="G138" s="16">
        <v>2037582</v>
      </c>
      <c r="H138" s="16">
        <v>0</v>
      </c>
      <c r="I138" s="16">
        <v>0</v>
      </c>
      <c r="J138" s="16">
        <v>195763</v>
      </c>
      <c r="K138" s="16">
        <v>195763</v>
      </c>
      <c r="L138" s="16">
        <v>116031</v>
      </c>
      <c r="M138" s="16">
        <v>116031</v>
      </c>
      <c r="N138" s="12" t="s">
        <v>917</v>
      </c>
      <c r="O138" s="12" t="s">
        <v>1019</v>
      </c>
      <c r="P138" s="12" t="s">
        <v>917</v>
      </c>
      <c r="Q138" s="12" t="s">
        <v>917</v>
      </c>
      <c r="R138" s="12" t="s">
        <v>917</v>
      </c>
      <c r="S138" s="12" t="s">
        <v>1019</v>
      </c>
      <c r="T138" s="12" t="s">
        <v>917</v>
      </c>
      <c r="U138" s="12" t="s">
        <v>1019</v>
      </c>
      <c r="V138" s="22">
        <v>59204</v>
      </c>
      <c r="W138" s="22">
        <v>0</v>
      </c>
      <c r="X138" s="22">
        <v>0</v>
      </c>
      <c r="Y138" s="22">
        <v>0</v>
      </c>
      <c r="Z138" s="171">
        <f t="shared" si="108"/>
        <v>1978378</v>
      </c>
      <c r="AA138" s="130" t="str">
        <f t="shared" si="109"/>
        <v>citit</v>
      </c>
      <c r="AB138" s="176">
        <f t="shared" si="122"/>
        <v>2037582</v>
      </c>
      <c r="AC138" s="12" t="s">
        <v>917</v>
      </c>
      <c r="AD138" s="12">
        <f t="shared" si="110"/>
        <v>0</v>
      </c>
      <c r="AE138" s="12">
        <f t="shared" si="110"/>
        <v>0</v>
      </c>
      <c r="AF138" s="12">
        <f t="shared" si="110"/>
        <v>195763</v>
      </c>
      <c r="AG138" s="12" t="str">
        <f t="shared" si="111"/>
        <v>citit</v>
      </c>
      <c r="AH138" s="176">
        <f t="shared" si="123"/>
        <v>195814</v>
      </c>
      <c r="AI138" s="12" t="s">
        <v>917</v>
      </c>
      <c r="AJ138" s="12">
        <f t="shared" si="112"/>
        <v>116031</v>
      </c>
      <c r="AK138" s="12" t="str">
        <f t="shared" si="113"/>
        <v>citit</v>
      </c>
      <c r="AL138" s="175">
        <f t="shared" si="124"/>
        <v>116031</v>
      </c>
      <c r="AM138" s="159" t="s">
        <v>917</v>
      </c>
      <c r="AN138" s="154">
        <f t="shared" si="125"/>
        <v>59204</v>
      </c>
      <c r="AO138" s="14">
        <f t="shared" si="126"/>
        <v>0</v>
      </c>
      <c r="AP138" s="147">
        <f t="shared" si="127"/>
        <v>51</v>
      </c>
      <c r="AQ138" s="147">
        <f t="shared" si="128"/>
        <v>0</v>
      </c>
      <c r="AR138" s="16">
        <v>0</v>
      </c>
      <c r="AS138" s="16">
        <v>0</v>
      </c>
      <c r="AT138" s="1">
        <f t="shared" si="129"/>
        <v>0</v>
      </c>
      <c r="AU138" s="154">
        <f t="shared" si="130"/>
        <v>51</v>
      </c>
      <c r="AV138" s="154">
        <f t="shared" si="131"/>
        <v>0</v>
      </c>
      <c r="AW138" s="154">
        <f t="shared" si="132"/>
        <v>0</v>
      </c>
      <c r="AX138" s="154">
        <f t="shared" si="133"/>
        <v>0</v>
      </c>
      <c r="AY138" s="308" t="str">
        <f t="shared" si="114"/>
        <v>RGBM_1</v>
      </c>
      <c r="AZ138" s="308">
        <f t="shared" si="115"/>
        <v>684219</v>
      </c>
      <c r="BA138" s="308">
        <f>IFERROR(IF(_xlfn.NUMBERVALUE(RIGHT(B138,LEN(B138)-FIND(".",B138,1)))=COUNTIF('Contorizare in SDI'!$B:$B,LEFT(B138,FIND(".",B138,1)-1))-1,IF((COUNTIF('Contorizare in SDI'!$B:$B,LEFT(B138,FIND(".",B138,1)-1))-1)=1,VLOOKUP(LEFT(B138,FIND(".",B138,1)-1),$B$4:$AZ$68,45,FALSE),VLOOKUP(LEFT(B138,FIND(".",B138,1)-1),$B$4:$AZ$68,45,FALSE)-BB137),ROUNDUP(V138/VLOOKUP(LEFT(B138,FIND(".",B138,1)-1),$AY:$AZ,2,FALSE)*VLOOKUP(LEFT(B138,FIND(".",B138,1)-1),$B$4:$AZ$68,45,FALSE),0)),0)</f>
        <v>0</v>
      </c>
      <c r="BB138" s="308">
        <f t="shared" si="134"/>
        <v>0</v>
      </c>
      <c r="BC138" s="308">
        <f>IFERROR(IF(_xlfn.NUMBERVALUE(RIGHT(B138,LEN(B138)-FIND(".",B138,1)))=COUNTIF('Contorizare in SDI'!$B:$B,LEFT(B138,FIND(".",B138,1)-1))-1,IF((COUNTIF('Contorizare in SDI'!$B:$B,LEFT(B138,FIND(".",B138,1)-1))-1)=1,VLOOKUP(LEFT(B138,FIND(".",B138,1)-1),$B$4:$AZ$68,46,FALSE),VLOOKUP(LEFT(B138,FIND(".",B138,1)-1),$B$4:$AZ$68,46,FALSE)-BD137),ROUNDUP(V138/VLOOKUP(LEFT(B138,FIND(".",B138,1)-1),$AY:$AZ,2,FALSE)*VLOOKUP(LEFT(B138,FIND(".",B138,1)-1),$B$4:$AZ$68,46,FALSE),0)),0)</f>
        <v>51</v>
      </c>
      <c r="BD138" s="308">
        <f t="shared" si="135"/>
        <v>598</v>
      </c>
      <c r="BE138" s="308">
        <f>IFERROR(IF(_xlfn.NUMBERVALUE(RIGHT(B138,LEN(B138)-FIND(".",B138,1)))=COUNTIF('Contorizare in SDI'!$B:$B,LEFT(B138,FIND(".",B138,1)-1))-1,IF((COUNTIF('Contorizare in SDI'!$B:$B,LEFT(B138,FIND(".",B138,1)-1))-1)=1,VLOOKUP(LEFT(B138,FIND(".",B138,1)-1),$B$4:$AZ$68,47,FALSE),VLOOKUP(LEFT(B138,FIND(".",B138,1)-1),$B$4:$AZ$68,47,FALSE)-BF137),ROUNDUP(V138/VLOOKUP(LEFT(B138,FIND(".",B138,1)-1),$AY:$AZ,2,FALSE)*VLOOKUP(LEFT(B138,FIND(".",B138,1)-1),$B$4:$AZ$68,47,FALSE),0)),0)</f>
        <v>0</v>
      </c>
      <c r="BF138" s="308">
        <f t="shared" si="136"/>
        <v>0</v>
      </c>
      <c r="BG138" s="308">
        <f>IFERROR(IF(_xlfn.NUMBERVALUE(RIGHT(B138,LEN(B138)-FIND(".",B138,1)))=COUNTIF('Contorizare in SDI'!$B:$B,LEFT(B138,FIND(".",B138,1)-1))-1,IF((COUNTIF('Contorizare in SDI'!$B:$B,LEFT(B138,FIND(".",B138,1)-1))-1)=1,VLOOKUP(LEFT(B138,FIND(".",B138,1)-1),$B$4:$AZ$68,48,FALSE),VLOOKUP(LEFT(B138,FIND(".",B138,1)-1),$B$4:$AZ$68,48,FALSE)-BH137),ROUNDUP(V138/VLOOKUP(LEFT(B138,FIND(".",B138,1)-1),$AY:$AZ,2,FALSE)*VLOOKUP(LEFT(B138,FIND(".",B138,1)-1),$B$4:$AZ$68,48,FALSE),0)),0)</f>
        <v>0</v>
      </c>
      <c r="BH138" s="308">
        <f t="shared" si="137"/>
        <v>13</v>
      </c>
      <c r="BI138" s="308">
        <f>IFERROR(IF(_xlfn.NUMBERVALUE(RIGHT(B138,LEN(B138)-FIND(".",B138,1)))=COUNTIF('Contorizare in SDI'!$B:$B,LEFT(B138,FIND(".",B138,1)-1))-1,IF((COUNTIF('Contorizare in SDI'!$B:$B,LEFT(B138,FIND(".",B138,1)-1))-1)=1,VLOOKUP(LEFT(B138,FIND(".",B138,1)-1),$B$4:$AZ$68,49,FALSE),VLOOKUP(LEFT(B138,FIND(".",B138,1)-1),$B$4:$AZ$68,49,FALSE)-BJ137),ROUNDUP(V138/VLOOKUP(LEFT(B138,FIND(".",B138,1)-1),$AY:$AZ,2,FALSE)*VLOOKUP(LEFT(B138,FIND(".",B138,1)-1),$B$4:$AZ$68,49,FALSE),0)),0)</f>
        <v>0</v>
      </c>
      <c r="BJ138" s="308">
        <f t="shared" si="138"/>
        <v>0</v>
      </c>
      <c r="BP138" s="44">
        <f t="shared" si="139"/>
        <v>0</v>
      </c>
      <c r="BQ138" s="1">
        <v>0</v>
      </c>
      <c r="BR138" s="1">
        <v>0</v>
      </c>
      <c r="BS138" s="16">
        <f t="shared" si="116"/>
        <v>51</v>
      </c>
      <c r="BT138" s="16">
        <f t="shared" si="117"/>
        <v>0</v>
      </c>
      <c r="BU138" s="16">
        <f t="shared" si="118"/>
        <v>0</v>
      </c>
      <c r="BV138" s="16">
        <f t="shared" si="119"/>
        <v>0</v>
      </c>
      <c r="BX138" s="1" t="str">
        <f t="shared" si="106"/>
        <v/>
      </c>
      <c r="BY138" s="1">
        <f t="shared" si="107"/>
        <v>0</v>
      </c>
      <c r="BZ138" s="1">
        <f t="shared" si="140"/>
        <v>0</v>
      </c>
      <c r="CA138" s="1">
        <f t="shared" si="141"/>
        <v>0</v>
      </c>
      <c r="CB138" s="1">
        <f t="shared" si="142"/>
        <v>598</v>
      </c>
      <c r="CC138" s="1">
        <f t="shared" si="143"/>
        <v>0</v>
      </c>
      <c r="CD138" s="1">
        <f t="shared" si="144"/>
        <v>13</v>
      </c>
      <c r="CE138" s="1">
        <f t="shared" si="145"/>
        <v>0</v>
      </c>
      <c r="CR138" s="93" t="s">
        <v>558</v>
      </c>
      <c r="CS138" s="291">
        <v>115840</v>
      </c>
      <c r="CT138" s="291">
        <v>0</v>
      </c>
      <c r="CU138" s="291">
        <v>0</v>
      </c>
      <c r="CV138" s="291">
        <v>0</v>
      </c>
      <c r="CW138" s="94" t="s">
        <v>989</v>
      </c>
      <c r="CX138" s="312">
        <v>1738</v>
      </c>
      <c r="CY138" s="184">
        <v>0</v>
      </c>
      <c r="CZ138" s="88">
        <v>0</v>
      </c>
      <c r="DA138" s="88">
        <v>0</v>
      </c>
      <c r="DB138" s="94" t="s">
        <v>69</v>
      </c>
      <c r="DC138" s="87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321">
        <v>0</v>
      </c>
      <c r="DJ138" s="88">
        <v>0</v>
      </c>
    </row>
    <row r="139" spans="1:114" ht="17.25" thickTop="1" thickBot="1">
      <c r="A139" s="531">
        <f t="shared" si="120"/>
        <v>136</v>
      </c>
      <c r="B139" s="38" t="s">
        <v>631</v>
      </c>
      <c r="C139" s="17" t="s">
        <v>1184</v>
      </c>
      <c r="D139" s="17">
        <v>1373708422</v>
      </c>
      <c r="E139" s="142" t="str">
        <f t="shared" si="121"/>
        <v>RGBM</v>
      </c>
      <c r="F139" s="16">
        <v>1169574</v>
      </c>
      <c r="G139" s="16">
        <v>1245592</v>
      </c>
      <c r="H139" s="16">
        <v>0</v>
      </c>
      <c r="I139" s="16">
        <v>0</v>
      </c>
      <c r="J139" s="16">
        <v>4440</v>
      </c>
      <c r="K139" s="16">
        <v>4440</v>
      </c>
      <c r="L139" s="16">
        <v>163841</v>
      </c>
      <c r="M139" s="16">
        <v>163841</v>
      </c>
      <c r="N139" s="12" t="s">
        <v>917</v>
      </c>
      <c r="O139" s="12" t="s">
        <v>1019</v>
      </c>
      <c r="P139" s="12" t="s">
        <v>917</v>
      </c>
      <c r="Q139" s="12" t="s">
        <v>917</v>
      </c>
      <c r="R139" s="12" t="s">
        <v>917</v>
      </c>
      <c r="S139" s="12" t="s">
        <v>1019</v>
      </c>
      <c r="T139" s="12" t="s">
        <v>917</v>
      </c>
      <c r="U139" s="12" t="s">
        <v>1019</v>
      </c>
      <c r="V139" s="22">
        <v>76018</v>
      </c>
      <c r="W139" s="22">
        <v>0</v>
      </c>
      <c r="X139" s="22">
        <v>0</v>
      </c>
      <c r="Y139" s="22">
        <v>0</v>
      </c>
      <c r="Z139" s="171">
        <f t="shared" si="108"/>
        <v>1169574</v>
      </c>
      <c r="AA139" s="130" t="str">
        <f t="shared" si="109"/>
        <v>citit</v>
      </c>
      <c r="AB139" s="176">
        <f t="shared" si="122"/>
        <v>1245592</v>
      </c>
      <c r="AC139" s="12" t="s">
        <v>917</v>
      </c>
      <c r="AD139" s="12">
        <f t="shared" si="110"/>
        <v>0</v>
      </c>
      <c r="AE139" s="12">
        <f t="shared" si="110"/>
        <v>0</v>
      </c>
      <c r="AF139" s="12">
        <f t="shared" si="110"/>
        <v>4440</v>
      </c>
      <c r="AG139" s="12" t="str">
        <f t="shared" si="111"/>
        <v>citit</v>
      </c>
      <c r="AH139" s="176">
        <f t="shared" si="123"/>
        <v>4440</v>
      </c>
      <c r="AI139" s="12" t="s">
        <v>917</v>
      </c>
      <c r="AJ139" s="12">
        <f t="shared" si="112"/>
        <v>163841</v>
      </c>
      <c r="AK139" s="12" t="str">
        <f t="shared" si="113"/>
        <v>citit</v>
      </c>
      <c r="AL139" s="175">
        <f t="shared" si="124"/>
        <v>172006</v>
      </c>
      <c r="AM139" s="159" t="s">
        <v>917</v>
      </c>
      <c r="AN139" s="154">
        <f t="shared" si="125"/>
        <v>76018</v>
      </c>
      <c r="AO139" s="14">
        <f t="shared" si="126"/>
        <v>0</v>
      </c>
      <c r="AP139" s="147">
        <f t="shared" si="127"/>
        <v>0</v>
      </c>
      <c r="AQ139" s="147">
        <f t="shared" si="128"/>
        <v>8165</v>
      </c>
      <c r="AR139" s="16">
        <v>0</v>
      </c>
      <c r="AS139" s="16">
        <v>0</v>
      </c>
      <c r="AT139" s="1">
        <f t="shared" si="129"/>
        <v>0</v>
      </c>
      <c r="AU139" s="154">
        <f t="shared" si="130"/>
        <v>0</v>
      </c>
      <c r="AV139" s="154">
        <f t="shared" si="131"/>
        <v>0</v>
      </c>
      <c r="AW139" s="154">
        <f t="shared" si="132"/>
        <v>2208</v>
      </c>
      <c r="AX139" s="154">
        <f t="shared" si="133"/>
        <v>5957</v>
      </c>
      <c r="AY139" s="308" t="str">
        <f t="shared" si="114"/>
        <v>RGBM_2</v>
      </c>
      <c r="AZ139" s="308">
        <f t="shared" si="115"/>
        <v>76018</v>
      </c>
      <c r="BA139" s="308">
        <f>IFERROR(IF(_xlfn.NUMBERVALUE(RIGHT(B139,LEN(B139)-FIND(".",B139,1)))=COUNTIF('Contorizare in SDI'!$B:$B,LEFT(B139,FIND(".",B139,1)-1))-1,IF((COUNTIF('Contorizare in SDI'!$B:$B,LEFT(B139,FIND(".",B139,1)-1))-1)=1,VLOOKUP(LEFT(B139,FIND(".",B139,1)-1),$B$4:$AZ$68,45,FALSE),VLOOKUP(LEFT(B139,FIND(".",B139,1)-1),$B$4:$AZ$68,45,FALSE)-BB138),ROUNDUP(V139/VLOOKUP(LEFT(B139,FIND(".",B139,1)-1),$AY:$AZ,2,FALSE)*VLOOKUP(LEFT(B139,FIND(".",B139,1)-1),$B$4:$AZ$68,45,FALSE),0)),0)</f>
        <v>0</v>
      </c>
      <c r="BB139" s="308">
        <f t="shared" si="134"/>
        <v>0</v>
      </c>
      <c r="BC139" s="308">
        <f>IFERROR(IF(_xlfn.NUMBERVALUE(RIGHT(B139,LEN(B139)-FIND(".",B139,1)))=COUNTIF('Contorizare in SDI'!$B:$B,LEFT(B139,FIND(".",B139,1)-1))-1,IF((COUNTIF('Contorizare in SDI'!$B:$B,LEFT(B139,FIND(".",B139,1)-1))-1)=1,VLOOKUP(LEFT(B139,FIND(".",B139,1)-1),$B$4:$AZ$68,46,FALSE),VLOOKUP(LEFT(B139,FIND(".",B139,1)-1),$B$4:$AZ$68,46,FALSE)-BD138),ROUNDUP(V139/VLOOKUP(LEFT(B139,FIND(".",B139,1)-1),$AY:$AZ,2,FALSE)*VLOOKUP(LEFT(B139,FIND(".",B139,1)-1),$B$4:$AZ$68,46,FALSE),0)),0)</f>
        <v>0</v>
      </c>
      <c r="BD139" s="308">
        <f t="shared" si="135"/>
        <v>0</v>
      </c>
      <c r="BE139" s="308">
        <f>IFERROR(IF(_xlfn.NUMBERVALUE(RIGHT(B139,LEN(B139)-FIND(".",B139,1)))=COUNTIF('Contorizare in SDI'!$B:$B,LEFT(B139,FIND(".",B139,1)-1))-1,IF((COUNTIF('Contorizare in SDI'!$B:$B,LEFT(B139,FIND(".",B139,1)-1))-1)=1,VLOOKUP(LEFT(B139,FIND(".",B139,1)-1),$B$4:$AZ$68,47,FALSE),VLOOKUP(LEFT(B139,FIND(".",B139,1)-1),$B$4:$AZ$68,47,FALSE)-BF138),ROUNDUP(V139/VLOOKUP(LEFT(B139,FIND(".",B139,1)-1),$AY:$AZ,2,FALSE)*VLOOKUP(LEFT(B139,FIND(".",B139,1)-1),$B$4:$AZ$68,47,FALSE),0)),0)</f>
        <v>0</v>
      </c>
      <c r="BF139" s="308">
        <f t="shared" si="136"/>
        <v>0</v>
      </c>
      <c r="BG139" s="308">
        <f>IFERROR(IF(_xlfn.NUMBERVALUE(RIGHT(B139,LEN(B139)-FIND(".",B139,1)))=COUNTIF('Contorizare in SDI'!$B:$B,LEFT(B139,FIND(".",B139,1)-1))-1,IF((COUNTIF('Contorizare in SDI'!$B:$B,LEFT(B139,FIND(".",B139,1)-1))-1)=1,VLOOKUP(LEFT(B139,FIND(".",B139,1)-1),$B$4:$AZ$68,48,FALSE),VLOOKUP(LEFT(B139,FIND(".",B139,1)-1),$B$4:$AZ$68,48,FALSE)-BH138),ROUNDUP(V139/VLOOKUP(LEFT(B139,FIND(".",B139,1)-1),$AY:$AZ,2,FALSE)*VLOOKUP(LEFT(B139,FIND(".",B139,1)-1),$B$4:$AZ$68,48,FALSE),0)),0)</f>
        <v>2208</v>
      </c>
      <c r="BH139" s="308">
        <f t="shared" si="137"/>
        <v>2208</v>
      </c>
      <c r="BI139" s="308">
        <f>IFERROR(IF(_xlfn.NUMBERVALUE(RIGHT(B139,LEN(B139)-FIND(".",B139,1)))=COUNTIF('Contorizare in SDI'!$B:$B,LEFT(B139,FIND(".",B139,1)-1))-1,IF((COUNTIF('Contorizare in SDI'!$B:$B,LEFT(B139,FIND(".",B139,1)-1))-1)=1,VLOOKUP(LEFT(B139,FIND(".",B139,1)-1),$B$4:$AZ$68,49,FALSE),VLOOKUP(LEFT(B139,FIND(".",B139,1)-1),$B$4:$AZ$68,49,FALSE)-BJ138),ROUNDUP(V139/VLOOKUP(LEFT(B139,FIND(".",B139,1)-1),$AY:$AZ,2,FALSE)*VLOOKUP(LEFT(B139,FIND(".",B139,1)-1),$B$4:$AZ$68,49,FALSE),0)),0)</f>
        <v>5957</v>
      </c>
      <c r="BJ139" s="308">
        <f t="shared" si="138"/>
        <v>5957</v>
      </c>
      <c r="BP139" s="44">
        <f t="shared" si="139"/>
        <v>0</v>
      </c>
      <c r="BQ139" s="1">
        <v>0</v>
      </c>
      <c r="BR139" s="1">
        <v>0</v>
      </c>
      <c r="BS139" s="16">
        <f t="shared" si="116"/>
        <v>0</v>
      </c>
      <c r="BT139" s="16">
        <f t="shared" si="117"/>
        <v>0</v>
      </c>
      <c r="BU139" s="16">
        <f t="shared" si="118"/>
        <v>2208</v>
      </c>
      <c r="BV139" s="16">
        <f t="shared" si="119"/>
        <v>5957</v>
      </c>
      <c r="BX139" s="1" t="str">
        <f t="shared" si="106"/>
        <v>RGBM</v>
      </c>
      <c r="BY139" s="1">
        <f t="shared" si="107"/>
        <v>0</v>
      </c>
      <c r="BZ139" s="1">
        <f t="shared" si="140"/>
        <v>0</v>
      </c>
      <c r="CA139" s="1">
        <f t="shared" si="141"/>
        <v>0</v>
      </c>
      <c r="CB139" s="1">
        <f t="shared" si="142"/>
        <v>598</v>
      </c>
      <c r="CC139" s="1">
        <f t="shared" si="143"/>
        <v>0</v>
      </c>
      <c r="CD139" s="1">
        <f t="shared" si="144"/>
        <v>2221</v>
      </c>
      <c r="CE139" s="1">
        <f t="shared" si="145"/>
        <v>5957</v>
      </c>
      <c r="CR139" s="86" t="s">
        <v>559</v>
      </c>
      <c r="CS139" s="291">
        <v>228480</v>
      </c>
      <c r="CT139" s="291">
        <v>0</v>
      </c>
      <c r="CU139" s="291">
        <v>0</v>
      </c>
      <c r="CV139" s="291">
        <v>0</v>
      </c>
      <c r="CW139" s="89" t="s">
        <v>652</v>
      </c>
      <c r="CX139" s="312">
        <v>125624</v>
      </c>
      <c r="CY139" s="184">
        <v>0</v>
      </c>
      <c r="CZ139" s="88">
        <v>2913</v>
      </c>
      <c r="DA139" s="88">
        <v>5448</v>
      </c>
      <c r="DB139" s="89" t="s">
        <v>691</v>
      </c>
      <c r="DC139" s="87">
        <v>0</v>
      </c>
      <c r="DD139" s="88">
        <v>96959</v>
      </c>
      <c r="DE139" s="88">
        <v>445</v>
      </c>
      <c r="DF139" s="88">
        <v>683</v>
      </c>
      <c r="DG139" s="88">
        <v>125624</v>
      </c>
      <c r="DH139" s="88">
        <v>96959</v>
      </c>
      <c r="DI139" s="88">
        <v>0</v>
      </c>
      <c r="DJ139" s="88">
        <v>1885</v>
      </c>
    </row>
    <row r="140" spans="1:114" ht="17.25" thickTop="1" thickBot="1">
      <c r="A140" s="531">
        <f t="shared" si="120"/>
        <v>137</v>
      </c>
      <c r="B140" s="38" t="s">
        <v>632</v>
      </c>
      <c r="C140" s="17" t="s">
        <v>307</v>
      </c>
      <c r="D140" s="17">
        <v>1369546421</v>
      </c>
      <c r="E140" s="142" t="str">
        <f t="shared" si="121"/>
        <v>RMEG</v>
      </c>
      <c r="F140" s="16">
        <v>2801054</v>
      </c>
      <c r="G140" s="16">
        <v>2828870</v>
      </c>
      <c r="H140" s="16">
        <v>0</v>
      </c>
      <c r="I140" s="16">
        <v>0</v>
      </c>
      <c r="J140" s="16">
        <v>549842</v>
      </c>
      <c r="K140" s="16">
        <v>549842</v>
      </c>
      <c r="L140" s="16">
        <v>2277</v>
      </c>
      <c r="M140" s="16">
        <v>2277</v>
      </c>
      <c r="N140" s="12" t="s">
        <v>917</v>
      </c>
      <c r="O140" s="12" t="s">
        <v>1019</v>
      </c>
      <c r="P140" s="12" t="s">
        <v>917</v>
      </c>
      <c r="Q140" s="12" t="s">
        <v>917</v>
      </c>
      <c r="R140" s="12" t="s">
        <v>917</v>
      </c>
      <c r="S140" s="12" t="s">
        <v>1019</v>
      </c>
      <c r="T140" s="12" t="s">
        <v>917</v>
      </c>
      <c r="U140" s="12" t="s">
        <v>1019</v>
      </c>
      <c r="V140" s="22">
        <v>27816</v>
      </c>
      <c r="W140" s="22">
        <v>0</v>
      </c>
      <c r="X140" s="22">
        <v>0</v>
      </c>
      <c r="Y140" s="22">
        <v>0</v>
      </c>
      <c r="Z140" s="171">
        <f t="shared" si="108"/>
        <v>2801054</v>
      </c>
      <c r="AA140" s="130" t="str">
        <f t="shared" si="109"/>
        <v>citit</v>
      </c>
      <c r="AB140" s="176">
        <f t="shared" si="122"/>
        <v>2828870</v>
      </c>
      <c r="AC140" s="12" t="s">
        <v>917</v>
      </c>
      <c r="AD140" s="12">
        <f t="shared" si="110"/>
        <v>0</v>
      </c>
      <c r="AE140" s="12">
        <f t="shared" si="110"/>
        <v>0</v>
      </c>
      <c r="AF140" s="12">
        <f t="shared" si="110"/>
        <v>549842</v>
      </c>
      <c r="AG140" s="12" t="str">
        <f t="shared" si="111"/>
        <v>citit</v>
      </c>
      <c r="AH140" s="176">
        <f t="shared" si="123"/>
        <v>549842</v>
      </c>
      <c r="AI140" s="12" t="s">
        <v>917</v>
      </c>
      <c r="AJ140" s="12">
        <f t="shared" si="112"/>
        <v>2277</v>
      </c>
      <c r="AK140" s="12" t="str">
        <f t="shared" si="113"/>
        <v>citit</v>
      </c>
      <c r="AL140" s="175">
        <f t="shared" si="124"/>
        <v>2277</v>
      </c>
      <c r="AM140" s="159" t="s">
        <v>917</v>
      </c>
      <c r="AN140" s="154">
        <f t="shared" si="125"/>
        <v>27816</v>
      </c>
      <c r="AO140" s="14">
        <f t="shared" si="126"/>
        <v>0</v>
      </c>
      <c r="AP140" s="147">
        <f t="shared" si="127"/>
        <v>0</v>
      </c>
      <c r="AQ140" s="147">
        <f t="shared" si="128"/>
        <v>0</v>
      </c>
      <c r="AR140" s="16">
        <v>0</v>
      </c>
      <c r="AS140" s="16">
        <v>0</v>
      </c>
      <c r="AT140" s="1">
        <f t="shared" si="129"/>
        <v>0</v>
      </c>
      <c r="AU140" s="154">
        <f t="shared" si="130"/>
        <v>0</v>
      </c>
      <c r="AV140" s="154">
        <f t="shared" si="131"/>
        <v>0</v>
      </c>
      <c r="AW140" s="154">
        <f t="shared" si="132"/>
        <v>0</v>
      </c>
      <c r="AX140" s="154">
        <f t="shared" si="133"/>
        <v>0</v>
      </c>
      <c r="AY140" s="308" t="str">
        <f t="shared" si="114"/>
        <v>-</v>
      </c>
      <c r="AZ140" s="308">
        <f t="shared" si="115"/>
        <v>27816</v>
      </c>
      <c r="BA140" s="308">
        <f>IFERROR(IF(_xlfn.NUMBERVALUE(RIGHT(B140,LEN(B140)-FIND(".",B140,1)))=COUNTIF('Contorizare in SDI'!$B:$B,LEFT(B140,FIND(".",B140,1)-1))-1,IF((COUNTIF('Contorizare in SDI'!$B:$B,LEFT(B140,FIND(".",B140,1)-1))-1)=1,VLOOKUP(LEFT(B140,FIND(".",B140,1)-1),$B$4:$AZ$68,45,FALSE),VLOOKUP(LEFT(B140,FIND(".",B140,1)-1),$B$4:$AZ$68,45,FALSE)-BB139),ROUNDUP(V140/VLOOKUP(LEFT(B140,FIND(".",B140,1)-1),$AY:$AZ,2,FALSE)*VLOOKUP(LEFT(B140,FIND(".",B140,1)-1),$B$4:$AZ$68,45,FALSE),0)),0)</f>
        <v>0</v>
      </c>
      <c r="BB140" s="308">
        <f t="shared" si="134"/>
        <v>0</v>
      </c>
      <c r="BC140" s="308">
        <f>IFERROR(IF(_xlfn.NUMBERVALUE(RIGHT(B140,LEN(B140)-FIND(".",B140,1)))=COUNTIF('Contorizare in SDI'!$B:$B,LEFT(B140,FIND(".",B140,1)-1))-1,IF((COUNTIF('Contorizare in SDI'!$B:$B,LEFT(B140,FIND(".",B140,1)-1))-1)=1,VLOOKUP(LEFT(B140,FIND(".",B140,1)-1),$B$4:$AZ$68,46,FALSE),VLOOKUP(LEFT(B140,FIND(".",B140,1)-1),$B$4:$AZ$68,46,FALSE)-BD139),ROUNDUP(V140/VLOOKUP(LEFT(B140,FIND(".",B140,1)-1),$AY:$AZ,2,FALSE)*VLOOKUP(LEFT(B140,FIND(".",B140,1)-1),$B$4:$AZ$68,46,FALSE),0)),0)</f>
        <v>0</v>
      </c>
      <c r="BD140" s="308">
        <f t="shared" si="135"/>
        <v>0</v>
      </c>
      <c r="BE140" s="308">
        <f>IFERROR(IF(_xlfn.NUMBERVALUE(RIGHT(B140,LEN(B140)-FIND(".",B140,1)))=COUNTIF('Contorizare in SDI'!$B:$B,LEFT(B140,FIND(".",B140,1)-1))-1,IF((COUNTIF('Contorizare in SDI'!$B:$B,LEFT(B140,FIND(".",B140,1)-1))-1)=1,VLOOKUP(LEFT(B140,FIND(".",B140,1)-1),$B$4:$AZ$68,47,FALSE),VLOOKUP(LEFT(B140,FIND(".",B140,1)-1),$B$4:$AZ$68,47,FALSE)-BF139),ROUNDUP(V140/VLOOKUP(LEFT(B140,FIND(".",B140,1)-1),$AY:$AZ,2,FALSE)*VLOOKUP(LEFT(B140,FIND(".",B140,1)-1),$B$4:$AZ$68,47,FALSE),0)),0)</f>
        <v>0</v>
      </c>
      <c r="BF140" s="308">
        <f t="shared" si="136"/>
        <v>0</v>
      </c>
      <c r="BG140" s="308">
        <f>IFERROR(IF(_xlfn.NUMBERVALUE(RIGHT(B140,LEN(B140)-FIND(".",B140,1)))=COUNTIF('Contorizare in SDI'!$B:$B,LEFT(B140,FIND(".",B140,1)-1))-1,IF((COUNTIF('Contorizare in SDI'!$B:$B,LEFT(B140,FIND(".",B140,1)-1))-1)=1,VLOOKUP(LEFT(B140,FIND(".",B140,1)-1),$B$4:$AZ$68,48,FALSE),VLOOKUP(LEFT(B140,FIND(".",B140,1)-1),$B$4:$AZ$68,48,FALSE)-BH139),ROUNDUP(V140/VLOOKUP(LEFT(B140,FIND(".",B140,1)-1),$AY:$AZ,2,FALSE)*VLOOKUP(LEFT(B140,FIND(".",B140,1)-1),$B$4:$AZ$68,48,FALSE),0)),0)</f>
        <v>0</v>
      </c>
      <c r="BH140" s="308">
        <f t="shared" si="137"/>
        <v>0</v>
      </c>
      <c r="BI140" s="308">
        <f>IFERROR(IF(_xlfn.NUMBERVALUE(RIGHT(B140,LEN(B140)-FIND(".",B140,1)))=COUNTIF('Contorizare in SDI'!$B:$B,LEFT(B140,FIND(".",B140,1)-1))-1,IF((COUNTIF('Contorizare in SDI'!$B:$B,LEFT(B140,FIND(".",B140,1)-1))-1)=1,VLOOKUP(LEFT(B140,FIND(".",B140,1)-1),$B$4:$AZ$68,49,FALSE),VLOOKUP(LEFT(B140,FIND(".",B140,1)-1),$B$4:$AZ$68,49,FALSE)-BJ139),ROUNDUP(V140/VLOOKUP(LEFT(B140,FIND(".",B140,1)-1),$AY:$AZ,2,FALSE)*VLOOKUP(LEFT(B140,FIND(".",B140,1)-1),$B$4:$AZ$68,49,FALSE),0)),0)</f>
        <v>0</v>
      </c>
      <c r="BJ140" s="308">
        <f t="shared" si="138"/>
        <v>0</v>
      </c>
      <c r="BP140" s="44">
        <f t="shared" si="139"/>
        <v>0</v>
      </c>
      <c r="BQ140" s="1">
        <v>0</v>
      </c>
      <c r="BR140" s="1">
        <v>0</v>
      </c>
      <c r="BS140" s="16">
        <f t="shared" si="116"/>
        <v>0</v>
      </c>
      <c r="BT140" s="16">
        <f t="shared" si="117"/>
        <v>0</v>
      </c>
      <c r="BU140" s="16">
        <f t="shared" si="118"/>
        <v>0</v>
      </c>
      <c r="BV140" s="16">
        <f t="shared" si="119"/>
        <v>0</v>
      </c>
      <c r="BX140" s="1" t="str">
        <f t="shared" si="106"/>
        <v/>
      </c>
      <c r="BY140" s="1">
        <f t="shared" si="107"/>
        <v>0</v>
      </c>
      <c r="BZ140" s="1">
        <f t="shared" si="140"/>
        <v>0</v>
      </c>
      <c r="CA140" s="1">
        <f t="shared" si="141"/>
        <v>0</v>
      </c>
      <c r="CB140" s="1">
        <f t="shared" si="142"/>
        <v>0</v>
      </c>
      <c r="CC140" s="1">
        <f t="shared" si="143"/>
        <v>0</v>
      </c>
      <c r="CD140" s="1">
        <f t="shared" si="144"/>
        <v>0</v>
      </c>
      <c r="CE140" s="1">
        <f t="shared" si="145"/>
        <v>0</v>
      </c>
      <c r="CR140" s="30" t="s">
        <v>559</v>
      </c>
      <c r="CS140" s="291">
        <v>228480</v>
      </c>
      <c r="CT140" s="291">
        <v>0</v>
      </c>
      <c r="CU140" s="291">
        <v>0</v>
      </c>
      <c r="CV140" s="291">
        <v>0</v>
      </c>
      <c r="CW140" s="29" t="s">
        <v>653</v>
      </c>
      <c r="CX140" s="312">
        <v>99428</v>
      </c>
      <c r="CY140" s="184">
        <v>0</v>
      </c>
      <c r="CZ140" s="88">
        <v>1165</v>
      </c>
      <c r="DA140" s="88">
        <v>5798</v>
      </c>
      <c r="DB140" s="29" t="s">
        <v>692</v>
      </c>
      <c r="DC140" s="87">
        <v>0</v>
      </c>
      <c r="DD140" s="88">
        <v>110123</v>
      </c>
      <c r="DE140" s="88">
        <v>1354</v>
      </c>
      <c r="DF140" s="88">
        <v>486</v>
      </c>
      <c r="DG140" s="88">
        <v>99428</v>
      </c>
      <c r="DH140" s="88">
        <v>110123</v>
      </c>
      <c r="DI140" s="1">
        <v>0</v>
      </c>
      <c r="DJ140" s="88">
        <v>1543</v>
      </c>
    </row>
    <row r="141" spans="1:114" ht="17.25" thickTop="1" thickBot="1">
      <c r="A141" s="531">
        <f t="shared" si="120"/>
        <v>138</v>
      </c>
      <c r="B141" s="38" t="s">
        <v>633</v>
      </c>
      <c r="C141" s="17" t="s">
        <v>309</v>
      </c>
      <c r="D141" s="17">
        <v>1369358959</v>
      </c>
      <c r="E141" s="142" t="str">
        <f t="shared" si="121"/>
        <v>RMEG</v>
      </c>
      <c r="F141" s="16">
        <v>2899400</v>
      </c>
      <c r="G141" s="16">
        <v>2926145</v>
      </c>
      <c r="H141" s="16">
        <v>0</v>
      </c>
      <c r="I141" s="16">
        <v>0</v>
      </c>
      <c r="J141" s="16">
        <v>310145</v>
      </c>
      <c r="K141" s="16">
        <v>310145</v>
      </c>
      <c r="L141" s="16">
        <v>4117</v>
      </c>
      <c r="M141" s="16">
        <v>4117</v>
      </c>
      <c r="N141" s="12" t="s">
        <v>917</v>
      </c>
      <c r="O141" s="12" t="s">
        <v>1019</v>
      </c>
      <c r="P141" s="12" t="s">
        <v>917</v>
      </c>
      <c r="Q141" s="12" t="s">
        <v>917</v>
      </c>
      <c r="R141" s="12" t="s">
        <v>917</v>
      </c>
      <c r="S141" s="12" t="s">
        <v>1019</v>
      </c>
      <c r="T141" s="12" t="s">
        <v>917</v>
      </c>
      <c r="U141" s="12" t="s">
        <v>1019</v>
      </c>
      <c r="V141" s="22">
        <v>26745</v>
      </c>
      <c r="W141" s="22">
        <v>0</v>
      </c>
      <c r="X141" s="22">
        <v>0</v>
      </c>
      <c r="Y141" s="22">
        <v>0</v>
      </c>
      <c r="Z141" s="171">
        <f t="shared" si="108"/>
        <v>2899400</v>
      </c>
      <c r="AA141" s="130" t="str">
        <f t="shared" si="109"/>
        <v>citit</v>
      </c>
      <c r="AB141" s="176">
        <f t="shared" si="122"/>
        <v>2926145</v>
      </c>
      <c r="AC141" s="12" t="s">
        <v>917</v>
      </c>
      <c r="AD141" s="12">
        <f t="shared" si="110"/>
        <v>0</v>
      </c>
      <c r="AE141" s="12">
        <f t="shared" si="110"/>
        <v>0</v>
      </c>
      <c r="AF141" s="12">
        <f t="shared" si="110"/>
        <v>310145</v>
      </c>
      <c r="AG141" s="12" t="str">
        <f t="shared" si="111"/>
        <v>citit</v>
      </c>
      <c r="AH141" s="176">
        <f t="shared" si="123"/>
        <v>310145</v>
      </c>
      <c r="AI141" s="12" t="s">
        <v>917</v>
      </c>
      <c r="AJ141" s="12">
        <f t="shared" si="112"/>
        <v>4117</v>
      </c>
      <c r="AK141" s="12" t="str">
        <f t="shared" si="113"/>
        <v>citit</v>
      </c>
      <c r="AL141" s="175">
        <f t="shared" si="124"/>
        <v>4117</v>
      </c>
      <c r="AM141" s="159" t="s">
        <v>917</v>
      </c>
      <c r="AN141" s="154">
        <f t="shared" si="125"/>
        <v>26745</v>
      </c>
      <c r="AO141" s="14">
        <f t="shared" si="126"/>
        <v>0</v>
      </c>
      <c r="AP141" s="147">
        <f t="shared" si="127"/>
        <v>0</v>
      </c>
      <c r="AQ141" s="147">
        <f t="shared" si="128"/>
        <v>0</v>
      </c>
      <c r="AR141" s="16">
        <v>0</v>
      </c>
      <c r="AS141" s="16">
        <v>0</v>
      </c>
      <c r="AT141" s="1">
        <f t="shared" si="129"/>
        <v>0</v>
      </c>
      <c r="AU141" s="154">
        <f t="shared" si="130"/>
        <v>0</v>
      </c>
      <c r="AV141" s="154">
        <f t="shared" si="131"/>
        <v>0</v>
      </c>
      <c r="AW141" s="154">
        <f t="shared" si="132"/>
        <v>0</v>
      </c>
      <c r="AX141" s="154">
        <f t="shared" si="133"/>
        <v>0</v>
      </c>
      <c r="AY141" s="308" t="str">
        <f t="shared" si="114"/>
        <v>-</v>
      </c>
      <c r="AZ141" s="308">
        <f t="shared" si="115"/>
        <v>54561</v>
      </c>
      <c r="BA141" s="308">
        <f>IFERROR(IF(_xlfn.NUMBERVALUE(RIGHT(B141,LEN(B141)-FIND(".",B141,1)))=COUNTIF('Contorizare in SDI'!$B:$B,LEFT(B141,FIND(".",B141,1)-1))-1,IF((COUNTIF('Contorizare in SDI'!$B:$B,LEFT(B141,FIND(".",B141,1)-1))-1)=1,VLOOKUP(LEFT(B141,FIND(".",B141,1)-1),$B$4:$AZ$68,45,FALSE),VLOOKUP(LEFT(B141,FIND(".",B141,1)-1),$B$4:$AZ$68,45,FALSE)-BB140),ROUNDUP(V141/VLOOKUP(LEFT(B141,FIND(".",B141,1)-1),$AY:$AZ,2,FALSE)*VLOOKUP(LEFT(B141,FIND(".",B141,1)-1),$B$4:$AZ$68,45,FALSE),0)),0)</f>
        <v>0</v>
      </c>
      <c r="BB141" s="308">
        <f t="shared" si="134"/>
        <v>0</v>
      </c>
      <c r="BC141" s="308">
        <f>IFERROR(IF(_xlfn.NUMBERVALUE(RIGHT(B141,LEN(B141)-FIND(".",B141,1)))=COUNTIF('Contorizare in SDI'!$B:$B,LEFT(B141,FIND(".",B141,1)-1))-1,IF((COUNTIF('Contorizare in SDI'!$B:$B,LEFT(B141,FIND(".",B141,1)-1))-1)=1,VLOOKUP(LEFT(B141,FIND(".",B141,1)-1),$B$4:$AZ$68,46,FALSE),VLOOKUP(LEFT(B141,FIND(".",B141,1)-1),$B$4:$AZ$68,46,FALSE)-BD140),ROUNDUP(V141/VLOOKUP(LEFT(B141,FIND(".",B141,1)-1),$AY:$AZ,2,FALSE)*VLOOKUP(LEFT(B141,FIND(".",B141,1)-1),$B$4:$AZ$68,46,FALSE),0)),0)</f>
        <v>0</v>
      </c>
      <c r="BD141" s="308">
        <f t="shared" si="135"/>
        <v>0</v>
      </c>
      <c r="BE141" s="308">
        <f>IFERROR(IF(_xlfn.NUMBERVALUE(RIGHT(B141,LEN(B141)-FIND(".",B141,1)))=COUNTIF('Contorizare in SDI'!$B:$B,LEFT(B141,FIND(".",B141,1)-1))-1,IF((COUNTIF('Contorizare in SDI'!$B:$B,LEFT(B141,FIND(".",B141,1)-1))-1)=1,VLOOKUP(LEFT(B141,FIND(".",B141,1)-1),$B$4:$AZ$68,47,FALSE),VLOOKUP(LEFT(B141,FIND(".",B141,1)-1),$B$4:$AZ$68,47,FALSE)-BF140),ROUNDUP(V141/VLOOKUP(LEFT(B141,FIND(".",B141,1)-1),$AY:$AZ,2,FALSE)*VLOOKUP(LEFT(B141,FIND(".",B141,1)-1),$B$4:$AZ$68,47,FALSE),0)),0)</f>
        <v>0</v>
      </c>
      <c r="BF141" s="308">
        <f t="shared" si="136"/>
        <v>0</v>
      </c>
      <c r="BG141" s="308">
        <f>IFERROR(IF(_xlfn.NUMBERVALUE(RIGHT(B141,LEN(B141)-FIND(".",B141,1)))=COUNTIF('Contorizare in SDI'!$B:$B,LEFT(B141,FIND(".",B141,1)-1))-1,IF((COUNTIF('Contorizare in SDI'!$B:$B,LEFT(B141,FIND(".",B141,1)-1))-1)=1,VLOOKUP(LEFT(B141,FIND(".",B141,1)-1),$B$4:$AZ$68,48,FALSE),VLOOKUP(LEFT(B141,FIND(".",B141,1)-1),$B$4:$AZ$68,48,FALSE)-BH140),ROUNDUP(V141/VLOOKUP(LEFT(B141,FIND(".",B141,1)-1),$AY:$AZ,2,FALSE)*VLOOKUP(LEFT(B141,FIND(".",B141,1)-1),$B$4:$AZ$68,48,FALSE),0)),0)</f>
        <v>0</v>
      </c>
      <c r="BH141" s="308">
        <f t="shared" si="137"/>
        <v>0</v>
      </c>
      <c r="BI141" s="308">
        <f>IFERROR(IF(_xlfn.NUMBERVALUE(RIGHT(B141,LEN(B141)-FIND(".",B141,1)))=COUNTIF('Contorizare in SDI'!$B:$B,LEFT(B141,FIND(".",B141,1)-1))-1,IF((COUNTIF('Contorizare in SDI'!$B:$B,LEFT(B141,FIND(".",B141,1)-1))-1)=1,VLOOKUP(LEFT(B141,FIND(".",B141,1)-1),$B$4:$AZ$68,49,FALSE),VLOOKUP(LEFT(B141,FIND(".",B141,1)-1),$B$4:$AZ$68,49,FALSE)-BJ140),ROUNDUP(V141/VLOOKUP(LEFT(B141,FIND(".",B141,1)-1),$AY:$AZ,2,FALSE)*VLOOKUP(LEFT(B141,FIND(".",B141,1)-1),$B$4:$AZ$68,49,FALSE),0)),0)</f>
        <v>0</v>
      </c>
      <c r="BJ141" s="308">
        <f t="shared" si="138"/>
        <v>0</v>
      </c>
      <c r="BP141" s="44">
        <f t="shared" si="139"/>
        <v>0</v>
      </c>
      <c r="BQ141" s="1">
        <v>0</v>
      </c>
      <c r="BR141" s="1">
        <v>0</v>
      </c>
      <c r="BS141" s="16">
        <f t="shared" si="116"/>
        <v>0</v>
      </c>
      <c r="BT141" s="16">
        <f t="shared" si="117"/>
        <v>0</v>
      </c>
      <c r="BU141" s="16">
        <f t="shared" si="118"/>
        <v>0</v>
      </c>
      <c r="BV141" s="16">
        <f t="shared" si="119"/>
        <v>0</v>
      </c>
      <c r="BX141" s="1" t="str">
        <f t="shared" si="106"/>
        <v/>
      </c>
      <c r="BY141" s="1">
        <f t="shared" si="107"/>
        <v>0</v>
      </c>
      <c r="BZ141" s="1">
        <f t="shared" si="140"/>
        <v>0</v>
      </c>
      <c r="CA141" s="1">
        <f t="shared" si="141"/>
        <v>0</v>
      </c>
      <c r="CB141" s="1">
        <f t="shared" si="142"/>
        <v>0</v>
      </c>
      <c r="CC141" s="1">
        <f t="shared" si="143"/>
        <v>0</v>
      </c>
      <c r="CD141" s="1">
        <f t="shared" si="144"/>
        <v>0</v>
      </c>
      <c r="CE141" s="1">
        <f t="shared" si="145"/>
        <v>0</v>
      </c>
      <c r="CR141" s="30" t="s">
        <v>559</v>
      </c>
      <c r="CS141" s="291">
        <v>228480</v>
      </c>
      <c r="CT141" s="291">
        <v>0</v>
      </c>
      <c r="CU141" s="291">
        <v>0</v>
      </c>
      <c r="CV141" s="291">
        <v>0</v>
      </c>
      <c r="CW141" s="29" t="s">
        <v>990</v>
      </c>
      <c r="CX141" s="312">
        <v>3428</v>
      </c>
      <c r="CY141" s="184">
        <v>0</v>
      </c>
      <c r="CZ141" s="88">
        <v>0</v>
      </c>
      <c r="DA141" s="88">
        <v>0</v>
      </c>
      <c r="DB141" s="29" t="s">
        <v>69</v>
      </c>
      <c r="DC141" s="87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321">
        <v>0</v>
      </c>
      <c r="DJ141" s="88">
        <v>0</v>
      </c>
    </row>
    <row r="142" spans="1:114" ht="17.25" thickTop="1" thickBot="1">
      <c r="A142" s="531">
        <f t="shared" si="120"/>
        <v>139</v>
      </c>
      <c r="B142" s="38" t="s">
        <v>634</v>
      </c>
      <c r="C142" s="17" t="s">
        <v>311</v>
      </c>
      <c r="D142" s="17" t="s">
        <v>938</v>
      </c>
      <c r="E142" s="142" t="str">
        <f t="shared" si="121"/>
        <v>RMEG</v>
      </c>
      <c r="F142" s="16">
        <v>2599468</v>
      </c>
      <c r="G142" s="16">
        <v>2826738</v>
      </c>
      <c r="H142" s="16">
        <v>0</v>
      </c>
      <c r="I142" s="16">
        <v>0</v>
      </c>
      <c r="J142" s="16">
        <v>103378</v>
      </c>
      <c r="K142" s="16">
        <v>103378</v>
      </c>
      <c r="L142" s="16">
        <v>2040</v>
      </c>
      <c r="M142" s="16">
        <v>2040</v>
      </c>
      <c r="N142" s="12" t="s">
        <v>917</v>
      </c>
      <c r="O142" s="12" t="s">
        <v>1019</v>
      </c>
      <c r="P142" s="12" t="s">
        <v>917</v>
      </c>
      <c r="Q142" s="12" t="s">
        <v>917</v>
      </c>
      <c r="R142" s="12" t="s">
        <v>917</v>
      </c>
      <c r="S142" s="12" t="s">
        <v>1019</v>
      </c>
      <c r="T142" s="12" t="s">
        <v>917</v>
      </c>
      <c r="U142" s="12" t="s">
        <v>1019</v>
      </c>
      <c r="V142" s="22">
        <v>227270</v>
      </c>
      <c r="W142" s="22">
        <v>0</v>
      </c>
      <c r="X142" s="22">
        <v>0</v>
      </c>
      <c r="Y142" s="22">
        <v>0</v>
      </c>
      <c r="Z142" s="171">
        <f t="shared" si="108"/>
        <v>2599468</v>
      </c>
      <c r="AA142" s="130" t="str">
        <f t="shared" si="109"/>
        <v>citit</v>
      </c>
      <c r="AB142" s="176">
        <f t="shared" si="122"/>
        <v>2826738</v>
      </c>
      <c r="AC142" s="12" t="s">
        <v>917</v>
      </c>
      <c r="AD142" s="12">
        <f t="shared" si="110"/>
        <v>0</v>
      </c>
      <c r="AE142" s="12">
        <f t="shared" si="110"/>
        <v>0</v>
      </c>
      <c r="AF142" s="12">
        <f t="shared" si="110"/>
        <v>103378</v>
      </c>
      <c r="AG142" s="12" t="str">
        <f t="shared" si="111"/>
        <v>citit</v>
      </c>
      <c r="AH142" s="176">
        <f t="shared" si="123"/>
        <v>103378</v>
      </c>
      <c r="AI142" s="12" t="s">
        <v>917</v>
      </c>
      <c r="AJ142" s="12">
        <f t="shared" si="112"/>
        <v>2040</v>
      </c>
      <c r="AK142" s="12" t="str">
        <f t="shared" si="113"/>
        <v>citit</v>
      </c>
      <c r="AL142" s="175">
        <f t="shared" si="124"/>
        <v>2040</v>
      </c>
      <c r="AM142" s="159" t="s">
        <v>917</v>
      </c>
      <c r="AN142" s="154">
        <f t="shared" si="125"/>
        <v>227270</v>
      </c>
      <c r="AO142" s="14">
        <f t="shared" si="126"/>
        <v>0</v>
      </c>
      <c r="AP142" s="147">
        <f t="shared" si="127"/>
        <v>0</v>
      </c>
      <c r="AQ142" s="147">
        <f t="shared" si="128"/>
        <v>0</v>
      </c>
      <c r="AR142" s="16">
        <v>0</v>
      </c>
      <c r="AS142" s="16">
        <v>0</v>
      </c>
      <c r="AT142" s="1">
        <f t="shared" si="129"/>
        <v>0</v>
      </c>
      <c r="AU142" s="154">
        <f t="shared" si="130"/>
        <v>0</v>
      </c>
      <c r="AV142" s="154">
        <f t="shared" si="131"/>
        <v>0</v>
      </c>
      <c r="AW142" s="154">
        <f t="shared" si="132"/>
        <v>0</v>
      </c>
      <c r="AX142" s="154">
        <f t="shared" si="133"/>
        <v>0</v>
      </c>
      <c r="AY142" s="308" t="str">
        <f t="shared" si="114"/>
        <v>-</v>
      </c>
      <c r="AZ142" s="308">
        <f t="shared" si="115"/>
        <v>281831</v>
      </c>
      <c r="BA142" s="308">
        <f>IFERROR(IF(_xlfn.NUMBERVALUE(RIGHT(B142,LEN(B142)-FIND(".",B142,1)))=COUNTIF('Contorizare in SDI'!$B:$B,LEFT(B142,FIND(".",B142,1)-1))-1,IF((COUNTIF('Contorizare in SDI'!$B:$B,LEFT(B142,FIND(".",B142,1)-1))-1)=1,VLOOKUP(LEFT(B142,FIND(".",B142,1)-1),$B$4:$AZ$68,45,FALSE),VLOOKUP(LEFT(B142,FIND(".",B142,1)-1),$B$4:$AZ$68,45,FALSE)-BB141),ROUNDUP(V142/VLOOKUP(LEFT(B142,FIND(".",B142,1)-1),$AY:$AZ,2,FALSE)*VLOOKUP(LEFT(B142,FIND(".",B142,1)-1),$B$4:$AZ$68,45,FALSE),0)),0)</f>
        <v>0</v>
      </c>
      <c r="BB142" s="308">
        <f t="shared" si="134"/>
        <v>0</v>
      </c>
      <c r="BC142" s="308">
        <f>IFERROR(IF(_xlfn.NUMBERVALUE(RIGHT(B142,LEN(B142)-FIND(".",B142,1)))=COUNTIF('Contorizare in SDI'!$B:$B,LEFT(B142,FIND(".",B142,1)-1))-1,IF((COUNTIF('Contorizare in SDI'!$B:$B,LEFT(B142,FIND(".",B142,1)-1))-1)=1,VLOOKUP(LEFT(B142,FIND(".",B142,1)-1),$B$4:$AZ$68,46,FALSE),VLOOKUP(LEFT(B142,FIND(".",B142,1)-1),$B$4:$AZ$68,46,FALSE)-BD141),ROUNDUP(V142/VLOOKUP(LEFT(B142,FIND(".",B142,1)-1),$AY:$AZ,2,FALSE)*VLOOKUP(LEFT(B142,FIND(".",B142,1)-1),$B$4:$AZ$68,46,FALSE),0)),0)</f>
        <v>0</v>
      </c>
      <c r="BD142" s="308">
        <f t="shared" si="135"/>
        <v>0</v>
      </c>
      <c r="BE142" s="308">
        <f>IFERROR(IF(_xlfn.NUMBERVALUE(RIGHT(B142,LEN(B142)-FIND(".",B142,1)))=COUNTIF('Contorizare in SDI'!$B:$B,LEFT(B142,FIND(".",B142,1)-1))-1,IF((COUNTIF('Contorizare in SDI'!$B:$B,LEFT(B142,FIND(".",B142,1)-1))-1)=1,VLOOKUP(LEFT(B142,FIND(".",B142,1)-1),$B$4:$AZ$68,47,FALSE),VLOOKUP(LEFT(B142,FIND(".",B142,1)-1),$B$4:$AZ$68,47,FALSE)-BF141),ROUNDUP(V142/VLOOKUP(LEFT(B142,FIND(".",B142,1)-1),$AY:$AZ,2,FALSE)*VLOOKUP(LEFT(B142,FIND(".",B142,1)-1),$B$4:$AZ$68,47,FALSE),0)),0)</f>
        <v>0</v>
      </c>
      <c r="BF142" s="308">
        <f t="shared" si="136"/>
        <v>0</v>
      </c>
      <c r="BG142" s="308">
        <f>IFERROR(IF(_xlfn.NUMBERVALUE(RIGHT(B142,LEN(B142)-FIND(".",B142,1)))=COUNTIF('Contorizare in SDI'!$B:$B,LEFT(B142,FIND(".",B142,1)-1))-1,IF((COUNTIF('Contorizare in SDI'!$B:$B,LEFT(B142,FIND(".",B142,1)-1))-1)=1,VLOOKUP(LEFT(B142,FIND(".",B142,1)-1),$B$4:$AZ$68,48,FALSE),VLOOKUP(LEFT(B142,FIND(".",B142,1)-1),$B$4:$AZ$68,48,FALSE)-BH141),ROUNDUP(V142/VLOOKUP(LEFT(B142,FIND(".",B142,1)-1),$AY:$AZ,2,FALSE)*VLOOKUP(LEFT(B142,FIND(".",B142,1)-1),$B$4:$AZ$68,48,FALSE),0)),0)</f>
        <v>0</v>
      </c>
      <c r="BH142" s="308">
        <f t="shared" si="137"/>
        <v>0</v>
      </c>
      <c r="BI142" s="308">
        <f>IFERROR(IF(_xlfn.NUMBERVALUE(RIGHT(B142,LEN(B142)-FIND(".",B142,1)))=COUNTIF('Contorizare in SDI'!$B:$B,LEFT(B142,FIND(".",B142,1)-1))-1,IF((COUNTIF('Contorizare in SDI'!$B:$B,LEFT(B142,FIND(".",B142,1)-1))-1)=1,VLOOKUP(LEFT(B142,FIND(".",B142,1)-1),$B$4:$AZ$68,49,FALSE),VLOOKUP(LEFT(B142,FIND(".",B142,1)-1),$B$4:$AZ$68,49,FALSE)-BJ141),ROUNDUP(V142/VLOOKUP(LEFT(B142,FIND(".",B142,1)-1),$AY:$AZ,2,FALSE)*VLOOKUP(LEFT(B142,FIND(".",B142,1)-1),$B$4:$AZ$68,49,FALSE),0)),0)</f>
        <v>0</v>
      </c>
      <c r="BJ142" s="308">
        <f t="shared" si="138"/>
        <v>0</v>
      </c>
      <c r="BP142" s="44">
        <f t="shared" si="139"/>
        <v>0</v>
      </c>
      <c r="BQ142" s="1">
        <v>0</v>
      </c>
      <c r="BR142" s="1">
        <v>0</v>
      </c>
      <c r="BS142" s="16">
        <f t="shared" si="116"/>
        <v>0</v>
      </c>
      <c r="BT142" s="16">
        <f t="shared" si="117"/>
        <v>0</v>
      </c>
      <c r="BU142" s="16">
        <f t="shared" si="118"/>
        <v>0</v>
      </c>
      <c r="BV142" s="16">
        <f t="shared" si="119"/>
        <v>0</v>
      </c>
      <c r="BX142" s="1" t="str">
        <f t="shared" si="106"/>
        <v/>
      </c>
      <c r="BY142" s="1">
        <f t="shared" si="107"/>
        <v>0</v>
      </c>
      <c r="BZ142" s="1">
        <f t="shared" si="140"/>
        <v>0</v>
      </c>
      <c r="CA142" s="1">
        <f t="shared" si="141"/>
        <v>0</v>
      </c>
      <c r="CB142" s="1">
        <f t="shared" si="142"/>
        <v>0</v>
      </c>
      <c r="CC142" s="1">
        <f t="shared" si="143"/>
        <v>0</v>
      </c>
      <c r="CD142" s="1">
        <f t="shared" si="144"/>
        <v>0</v>
      </c>
      <c r="CE142" s="1">
        <f t="shared" si="145"/>
        <v>0</v>
      </c>
      <c r="CR142" s="30" t="s">
        <v>560</v>
      </c>
      <c r="CS142" s="291">
        <v>19968</v>
      </c>
      <c r="CT142" s="291">
        <v>0</v>
      </c>
      <c r="CU142" s="291">
        <v>0</v>
      </c>
      <c r="CV142" s="291">
        <v>0</v>
      </c>
      <c r="CW142" s="29" t="s">
        <v>654</v>
      </c>
      <c r="CX142" s="312">
        <v>19668</v>
      </c>
      <c r="CY142" s="184">
        <v>0</v>
      </c>
      <c r="CZ142" s="88">
        <v>0</v>
      </c>
      <c r="DA142" s="88">
        <v>0</v>
      </c>
      <c r="DB142" s="29" t="s">
        <v>69</v>
      </c>
      <c r="DC142" s="87">
        <v>0</v>
      </c>
      <c r="DD142" s="88">
        <v>0</v>
      </c>
      <c r="DE142" s="88">
        <v>0</v>
      </c>
      <c r="DF142" s="88">
        <v>0</v>
      </c>
      <c r="DG142" s="88">
        <v>19668</v>
      </c>
      <c r="DH142" s="88">
        <v>0</v>
      </c>
      <c r="DI142" s="321">
        <v>0</v>
      </c>
      <c r="DJ142" s="88">
        <v>300</v>
      </c>
    </row>
    <row r="143" spans="1:114" ht="17.25" thickTop="1" thickBot="1">
      <c r="A143" s="531">
        <f t="shared" si="120"/>
        <v>140</v>
      </c>
      <c r="B143" s="38" t="s">
        <v>635</v>
      </c>
      <c r="C143" s="17" t="s">
        <v>313</v>
      </c>
      <c r="D143" s="17" t="s">
        <v>939</v>
      </c>
      <c r="E143" s="142" t="str">
        <f t="shared" si="121"/>
        <v>RMEG</v>
      </c>
      <c r="F143" s="16">
        <v>2599463</v>
      </c>
      <c r="G143" s="16">
        <v>2826733</v>
      </c>
      <c r="H143" s="16">
        <v>0</v>
      </c>
      <c r="I143" s="16">
        <v>0</v>
      </c>
      <c r="J143" s="16">
        <v>103378</v>
      </c>
      <c r="K143" s="16">
        <v>103378</v>
      </c>
      <c r="L143" s="16">
        <v>2040</v>
      </c>
      <c r="M143" s="16">
        <v>2040</v>
      </c>
      <c r="N143" s="12" t="s">
        <v>917</v>
      </c>
      <c r="O143" s="12" t="s">
        <v>1019</v>
      </c>
      <c r="P143" s="12" t="s">
        <v>917</v>
      </c>
      <c r="Q143" s="12" t="s">
        <v>917</v>
      </c>
      <c r="R143" s="12" t="s">
        <v>917</v>
      </c>
      <c r="S143" s="12" t="s">
        <v>1019</v>
      </c>
      <c r="T143" s="12" t="s">
        <v>917</v>
      </c>
      <c r="U143" s="12" t="s">
        <v>1019</v>
      </c>
      <c r="V143" s="22">
        <v>227270</v>
      </c>
      <c r="W143" s="22">
        <v>0</v>
      </c>
      <c r="X143" s="22">
        <v>0</v>
      </c>
      <c r="Y143" s="22">
        <v>0</v>
      </c>
      <c r="Z143" s="171">
        <f t="shared" si="108"/>
        <v>2599463</v>
      </c>
      <c r="AA143" s="130" t="str">
        <f t="shared" si="109"/>
        <v>citit</v>
      </c>
      <c r="AB143" s="176">
        <f t="shared" si="122"/>
        <v>2826733</v>
      </c>
      <c r="AC143" s="12" t="s">
        <v>917</v>
      </c>
      <c r="AD143" s="12">
        <f t="shared" si="110"/>
        <v>0</v>
      </c>
      <c r="AE143" s="12">
        <f t="shared" si="110"/>
        <v>0</v>
      </c>
      <c r="AF143" s="12">
        <f t="shared" si="110"/>
        <v>103378</v>
      </c>
      <c r="AG143" s="12" t="str">
        <f t="shared" si="111"/>
        <v>citit</v>
      </c>
      <c r="AH143" s="176">
        <f t="shared" si="123"/>
        <v>103378</v>
      </c>
      <c r="AI143" s="12" t="s">
        <v>917</v>
      </c>
      <c r="AJ143" s="12">
        <f t="shared" si="112"/>
        <v>2040</v>
      </c>
      <c r="AK143" s="12" t="str">
        <f t="shared" si="113"/>
        <v>citit</v>
      </c>
      <c r="AL143" s="175">
        <f t="shared" si="124"/>
        <v>2040</v>
      </c>
      <c r="AM143" s="159" t="s">
        <v>917</v>
      </c>
      <c r="AN143" s="154">
        <f t="shared" si="125"/>
        <v>227270</v>
      </c>
      <c r="AO143" s="14">
        <f t="shared" si="126"/>
        <v>0</v>
      </c>
      <c r="AP143" s="147">
        <f t="shared" si="127"/>
        <v>0</v>
      </c>
      <c r="AQ143" s="147">
        <f t="shared" si="128"/>
        <v>0</v>
      </c>
      <c r="AR143" s="16">
        <v>0</v>
      </c>
      <c r="AS143" s="16">
        <v>0</v>
      </c>
      <c r="AT143" s="1">
        <f t="shared" si="129"/>
        <v>0</v>
      </c>
      <c r="AU143" s="154">
        <f t="shared" si="130"/>
        <v>0</v>
      </c>
      <c r="AV143" s="154">
        <f t="shared" si="131"/>
        <v>0</v>
      </c>
      <c r="AW143" s="154">
        <f t="shared" si="132"/>
        <v>0</v>
      </c>
      <c r="AX143" s="154">
        <f t="shared" si="133"/>
        <v>0</v>
      </c>
      <c r="AY143" s="308" t="str">
        <f t="shared" si="114"/>
        <v>-</v>
      </c>
      <c r="AZ143" s="308">
        <f t="shared" si="115"/>
        <v>509101</v>
      </c>
      <c r="BA143" s="308">
        <f>IFERROR(IF(_xlfn.NUMBERVALUE(RIGHT(B143,LEN(B143)-FIND(".",B143,1)))=COUNTIF('Contorizare in SDI'!$B:$B,LEFT(B143,FIND(".",B143,1)-1))-1,IF((COUNTIF('Contorizare in SDI'!$B:$B,LEFT(B143,FIND(".",B143,1)-1))-1)=1,VLOOKUP(LEFT(B143,FIND(".",B143,1)-1),$B$4:$AZ$68,45,FALSE),VLOOKUP(LEFT(B143,FIND(".",B143,1)-1),$B$4:$AZ$68,45,FALSE)-BB142),ROUNDUP(V143/VLOOKUP(LEFT(B143,FIND(".",B143,1)-1),$AY:$AZ,2,FALSE)*VLOOKUP(LEFT(B143,FIND(".",B143,1)-1),$B$4:$AZ$68,45,FALSE),0)),0)</f>
        <v>0</v>
      </c>
      <c r="BB143" s="308">
        <f t="shared" si="134"/>
        <v>0</v>
      </c>
      <c r="BC143" s="308">
        <f>IFERROR(IF(_xlfn.NUMBERVALUE(RIGHT(B143,LEN(B143)-FIND(".",B143,1)))=COUNTIF('Contorizare in SDI'!$B:$B,LEFT(B143,FIND(".",B143,1)-1))-1,IF((COUNTIF('Contorizare in SDI'!$B:$B,LEFT(B143,FIND(".",B143,1)-1))-1)=1,VLOOKUP(LEFT(B143,FIND(".",B143,1)-1),$B$4:$AZ$68,46,FALSE),VLOOKUP(LEFT(B143,FIND(".",B143,1)-1),$B$4:$AZ$68,46,FALSE)-BD142),ROUNDUP(V143/VLOOKUP(LEFT(B143,FIND(".",B143,1)-1),$AY:$AZ,2,FALSE)*VLOOKUP(LEFT(B143,FIND(".",B143,1)-1),$B$4:$AZ$68,46,FALSE),0)),0)</f>
        <v>0</v>
      </c>
      <c r="BD143" s="308">
        <f t="shared" si="135"/>
        <v>0</v>
      </c>
      <c r="BE143" s="308">
        <f>IFERROR(IF(_xlfn.NUMBERVALUE(RIGHT(B143,LEN(B143)-FIND(".",B143,1)))=COUNTIF('Contorizare in SDI'!$B:$B,LEFT(B143,FIND(".",B143,1)-1))-1,IF((COUNTIF('Contorizare in SDI'!$B:$B,LEFT(B143,FIND(".",B143,1)-1))-1)=1,VLOOKUP(LEFT(B143,FIND(".",B143,1)-1),$B$4:$AZ$68,47,FALSE),VLOOKUP(LEFT(B143,FIND(".",B143,1)-1),$B$4:$AZ$68,47,FALSE)-BF142),ROUNDUP(V143/VLOOKUP(LEFT(B143,FIND(".",B143,1)-1),$AY:$AZ,2,FALSE)*VLOOKUP(LEFT(B143,FIND(".",B143,1)-1),$B$4:$AZ$68,47,FALSE),0)),0)</f>
        <v>0</v>
      </c>
      <c r="BF143" s="308">
        <f t="shared" si="136"/>
        <v>0</v>
      </c>
      <c r="BG143" s="308">
        <f>IFERROR(IF(_xlfn.NUMBERVALUE(RIGHT(B143,LEN(B143)-FIND(".",B143,1)))=COUNTIF('Contorizare in SDI'!$B:$B,LEFT(B143,FIND(".",B143,1)-1))-1,IF((COUNTIF('Contorizare in SDI'!$B:$B,LEFT(B143,FIND(".",B143,1)-1))-1)=1,VLOOKUP(LEFT(B143,FIND(".",B143,1)-1),$B$4:$AZ$68,48,FALSE),VLOOKUP(LEFT(B143,FIND(".",B143,1)-1),$B$4:$AZ$68,48,FALSE)-BH142),ROUNDUP(V143/VLOOKUP(LEFT(B143,FIND(".",B143,1)-1),$AY:$AZ,2,FALSE)*VLOOKUP(LEFT(B143,FIND(".",B143,1)-1),$B$4:$AZ$68,48,FALSE),0)),0)</f>
        <v>0</v>
      </c>
      <c r="BH143" s="308">
        <f t="shared" si="137"/>
        <v>0</v>
      </c>
      <c r="BI143" s="308">
        <f>IFERROR(IF(_xlfn.NUMBERVALUE(RIGHT(B143,LEN(B143)-FIND(".",B143,1)))=COUNTIF('Contorizare in SDI'!$B:$B,LEFT(B143,FIND(".",B143,1)-1))-1,IF((COUNTIF('Contorizare in SDI'!$B:$B,LEFT(B143,FIND(".",B143,1)-1))-1)=1,VLOOKUP(LEFT(B143,FIND(".",B143,1)-1),$B$4:$AZ$68,49,FALSE),VLOOKUP(LEFT(B143,FIND(".",B143,1)-1),$B$4:$AZ$68,49,FALSE)-BJ142),ROUNDUP(V143/VLOOKUP(LEFT(B143,FIND(".",B143,1)-1),$AY:$AZ,2,FALSE)*VLOOKUP(LEFT(B143,FIND(".",B143,1)-1),$B$4:$AZ$68,49,FALSE),0)),0)</f>
        <v>0</v>
      </c>
      <c r="BJ143" s="308">
        <f t="shared" si="138"/>
        <v>0</v>
      </c>
      <c r="BP143" s="44">
        <f t="shared" si="139"/>
        <v>0</v>
      </c>
      <c r="BQ143" s="1">
        <v>0</v>
      </c>
      <c r="BR143" s="1">
        <v>0</v>
      </c>
      <c r="BS143" s="16">
        <f t="shared" si="116"/>
        <v>0</v>
      </c>
      <c r="BT143" s="16">
        <f t="shared" si="117"/>
        <v>0</v>
      </c>
      <c r="BU143" s="16">
        <f t="shared" si="118"/>
        <v>0</v>
      </c>
      <c r="BV143" s="16">
        <f t="shared" si="119"/>
        <v>0</v>
      </c>
      <c r="BX143" s="1" t="str">
        <f t="shared" si="106"/>
        <v/>
      </c>
      <c r="BY143" s="1">
        <f t="shared" si="107"/>
        <v>0</v>
      </c>
      <c r="BZ143" s="1">
        <f t="shared" si="140"/>
        <v>0</v>
      </c>
      <c r="CA143" s="1">
        <f t="shared" si="141"/>
        <v>0</v>
      </c>
      <c r="CB143" s="1">
        <f t="shared" si="142"/>
        <v>0</v>
      </c>
      <c r="CC143" s="1">
        <f t="shared" si="143"/>
        <v>0</v>
      </c>
      <c r="CD143" s="1">
        <f t="shared" si="144"/>
        <v>0</v>
      </c>
      <c r="CE143" s="1">
        <f t="shared" si="145"/>
        <v>0</v>
      </c>
      <c r="CR143" s="30" t="s">
        <v>560</v>
      </c>
      <c r="CS143" s="291">
        <v>19968</v>
      </c>
      <c r="CT143" s="291">
        <v>0</v>
      </c>
      <c r="CU143" s="291">
        <v>0</v>
      </c>
      <c r="CV143" s="291">
        <v>0</v>
      </c>
      <c r="CW143" s="29" t="s">
        <v>991</v>
      </c>
      <c r="CX143" s="312">
        <v>300</v>
      </c>
      <c r="CY143" s="184">
        <v>0</v>
      </c>
      <c r="CZ143" s="88">
        <v>0</v>
      </c>
      <c r="DA143" s="88">
        <v>0</v>
      </c>
      <c r="DB143" s="29" t="s">
        <v>69</v>
      </c>
      <c r="DC143" s="87">
        <v>0</v>
      </c>
      <c r="DD143" s="88">
        <v>0</v>
      </c>
      <c r="DE143" s="88">
        <v>0</v>
      </c>
      <c r="DF143" s="88">
        <v>0</v>
      </c>
      <c r="DG143" s="88">
        <v>0</v>
      </c>
      <c r="DH143" s="88">
        <v>0</v>
      </c>
      <c r="DI143" s="321">
        <v>0</v>
      </c>
      <c r="DJ143" s="88">
        <v>0</v>
      </c>
    </row>
    <row r="144" spans="1:114" ht="17.25" thickTop="1" thickBot="1">
      <c r="A144" s="531">
        <f t="shared" si="120"/>
        <v>141</v>
      </c>
      <c r="B144" s="38" t="s">
        <v>636</v>
      </c>
      <c r="C144" s="17" t="s">
        <v>315</v>
      </c>
      <c r="D144" s="17" t="s">
        <v>940</v>
      </c>
      <c r="E144" s="142" t="str">
        <f t="shared" si="121"/>
        <v>RMEG</v>
      </c>
      <c r="F144" s="16">
        <v>2572780</v>
      </c>
      <c r="G144" s="16">
        <v>2785644</v>
      </c>
      <c r="H144" s="16">
        <v>0</v>
      </c>
      <c r="I144" s="16">
        <v>0</v>
      </c>
      <c r="J144" s="16">
        <v>103426</v>
      </c>
      <c r="K144" s="16">
        <v>103426</v>
      </c>
      <c r="L144" s="16">
        <v>2088</v>
      </c>
      <c r="M144" s="16">
        <v>2088</v>
      </c>
      <c r="N144" s="12" t="s">
        <v>917</v>
      </c>
      <c r="O144" s="12" t="s">
        <v>1019</v>
      </c>
      <c r="P144" s="12" t="s">
        <v>917</v>
      </c>
      <c r="Q144" s="12" t="s">
        <v>917</v>
      </c>
      <c r="R144" s="12" t="s">
        <v>917</v>
      </c>
      <c r="S144" s="12" t="s">
        <v>1019</v>
      </c>
      <c r="T144" s="12" t="s">
        <v>917</v>
      </c>
      <c r="U144" s="12" t="s">
        <v>1019</v>
      </c>
      <c r="V144" s="22">
        <v>212864</v>
      </c>
      <c r="W144" s="22">
        <v>0</v>
      </c>
      <c r="X144" s="22">
        <v>0</v>
      </c>
      <c r="Y144" s="22">
        <v>0</v>
      </c>
      <c r="Z144" s="171">
        <f t="shared" si="108"/>
        <v>2572780</v>
      </c>
      <c r="AA144" s="130" t="str">
        <f t="shared" si="109"/>
        <v>citit</v>
      </c>
      <c r="AB144" s="176">
        <f t="shared" si="122"/>
        <v>2785644</v>
      </c>
      <c r="AC144" s="12" t="s">
        <v>917</v>
      </c>
      <c r="AD144" s="12">
        <f t="shared" si="110"/>
        <v>0</v>
      </c>
      <c r="AE144" s="12">
        <f t="shared" si="110"/>
        <v>0</v>
      </c>
      <c r="AF144" s="12">
        <f t="shared" si="110"/>
        <v>103426</v>
      </c>
      <c r="AG144" s="12" t="str">
        <f t="shared" si="111"/>
        <v>citit</v>
      </c>
      <c r="AH144" s="176">
        <f t="shared" si="123"/>
        <v>103426</v>
      </c>
      <c r="AI144" s="12" t="s">
        <v>917</v>
      </c>
      <c r="AJ144" s="12">
        <f t="shared" si="112"/>
        <v>2088</v>
      </c>
      <c r="AK144" s="12" t="str">
        <f t="shared" si="113"/>
        <v>citit</v>
      </c>
      <c r="AL144" s="175">
        <f t="shared" si="124"/>
        <v>2088</v>
      </c>
      <c r="AM144" s="159" t="s">
        <v>917</v>
      </c>
      <c r="AN144" s="154">
        <f t="shared" si="125"/>
        <v>212864</v>
      </c>
      <c r="AO144" s="14">
        <f t="shared" si="126"/>
        <v>0</v>
      </c>
      <c r="AP144" s="147">
        <f t="shared" si="127"/>
        <v>0</v>
      </c>
      <c r="AQ144" s="147">
        <f t="shared" si="128"/>
        <v>0</v>
      </c>
      <c r="AR144" s="16">
        <v>0</v>
      </c>
      <c r="AS144" s="16">
        <v>0</v>
      </c>
      <c r="AT144" s="1">
        <f t="shared" si="129"/>
        <v>0</v>
      </c>
      <c r="AU144" s="154">
        <f t="shared" si="130"/>
        <v>0</v>
      </c>
      <c r="AV144" s="154">
        <f t="shared" si="131"/>
        <v>0</v>
      </c>
      <c r="AW144" s="154">
        <f t="shared" si="132"/>
        <v>0</v>
      </c>
      <c r="AX144" s="154">
        <f t="shared" si="133"/>
        <v>0</v>
      </c>
      <c r="AY144" s="308" t="str">
        <f t="shared" si="114"/>
        <v>RMEG_1</v>
      </c>
      <c r="AZ144" s="308">
        <f t="shared" si="115"/>
        <v>721965</v>
      </c>
      <c r="BA144" s="308">
        <f>IFERROR(IF(_xlfn.NUMBERVALUE(RIGHT(B144,LEN(B144)-FIND(".",B144,1)))=COUNTIF('Contorizare in SDI'!$B:$B,LEFT(B144,FIND(".",B144,1)-1))-1,IF((COUNTIF('Contorizare in SDI'!$B:$B,LEFT(B144,FIND(".",B144,1)-1))-1)=1,VLOOKUP(LEFT(B144,FIND(".",B144,1)-1),$B$4:$AZ$68,45,FALSE),VLOOKUP(LEFT(B144,FIND(".",B144,1)-1),$B$4:$AZ$68,45,FALSE)-BB143),ROUNDUP(V144/VLOOKUP(LEFT(B144,FIND(".",B144,1)-1),$AY:$AZ,2,FALSE)*VLOOKUP(LEFT(B144,FIND(".",B144,1)-1),$B$4:$AZ$68,45,FALSE),0)),0)</f>
        <v>0</v>
      </c>
      <c r="BB144" s="308">
        <f t="shared" si="134"/>
        <v>0</v>
      </c>
      <c r="BC144" s="308">
        <f>IFERROR(IF(_xlfn.NUMBERVALUE(RIGHT(B144,LEN(B144)-FIND(".",B144,1)))=COUNTIF('Contorizare in SDI'!$B:$B,LEFT(B144,FIND(".",B144,1)-1))-1,IF((COUNTIF('Contorizare in SDI'!$B:$B,LEFT(B144,FIND(".",B144,1)-1))-1)=1,VLOOKUP(LEFT(B144,FIND(".",B144,1)-1),$B$4:$AZ$68,46,FALSE),VLOOKUP(LEFT(B144,FIND(".",B144,1)-1),$B$4:$AZ$68,46,FALSE)-BD143),ROUNDUP(V144/VLOOKUP(LEFT(B144,FIND(".",B144,1)-1),$AY:$AZ,2,FALSE)*VLOOKUP(LEFT(B144,FIND(".",B144,1)-1),$B$4:$AZ$68,46,FALSE),0)),0)</f>
        <v>0</v>
      </c>
      <c r="BD144" s="308">
        <f t="shared" si="135"/>
        <v>0</v>
      </c>
      <c r="BE144" s="308">
        <f>IFERROR(IF(_xlfn.NUMBERVALUE(RIGHT(B144,LEN(B144)-FIND(".",B144,1)))=COUNTIF('Contorizare in SDI'!$B:$B,LEFT(B144,FIND(".",B144,1)-1))-1,IF((COUNTIF('Contorizare in SDI'!$B:$B,LEFT(B144,FIND(".",B144,1)-1))-1)=1,VLOOKUP(LEFT(B144,FIND(".",B144,1)-1),$B$4:$AZ$68,47,FALSE),VLOOKUP(LEFT(B144,FIND(".",B144,1)-1),$B$4:$AZ$68,47,FALSE)-BF143),ROUNDUP(V144/VLOOKUP(LEFT(B144,FIND(".",B144,1)-1),$AY:$AZ,2,FALSE)*VLOOKUP(LEFT(B144,FIND(".",B144,1)-1),$B$4:$AZ$68,47,FALSE),0)),0)</f>
        <v>0</v>
      </c>
      <c r="BF144" s="308">
        <f t="shared" si="136"/>
        <v>0</v>
      </c>
      <c r="BG144" s="308">
        <f>IFERROR(IF(_xlfn.NUMBERVALUE(RIGHT(B144,LEN(B144)-FIND(".",B144,1)))=COUNTIF('Contorizare in SDI'!$B:$B,LEFT(B144,FIND(".",B144,1)-1))-1,IF((COUNTIF('Contorizare in SDI'!$B:$B,LEFT(B144,FIND(".",B144,1)-1))-1)=1,VLOOKUP(LEFT(B144,FIND(".",B144,1)-1),$B$4:$AZ$68,48,FALSE),VLOOKUP(LEFT(B144,FIND(".",B144,1)-1),$B$4:$AZ$68,48,FALSE)-BH143),ROUNDUP(V144/VLOOKUP(LEFT(B144,FIND(".",B144,1)-1),$AY:$AZ,2,FALSE)*VLOOKUP(LEFT(B144,FIND(".",B144,1)-1),$B$4:$AZ$68,48,FALSE),0)),0)</f>
        <v>0</v>
      </c>
      <c r="BH144" s="308">
        <f t="shared" si="137"/>
        <v>0</v>
      </c>
      <c r="BI144" s="308">
        <f>IFERROR(IF(_xlfn.NUMBERVALUE(RIGHT(B144,LEN(B144)-FIND(".",B144,1)))=COUNTIF('Contorizare in SDI'!$B:$B,LEFT(B144,FIND(".",B144,1)-1))-1,IF((COUNTIF('Contorizare in SDI'!$B:$B,LEFT(B144,FIND(".",B144,1)-1))-1)=1,VLOOKUP(LEFT(B144,FIND(".",B144,1)-1),$B$4:$AZ$68,49,FALSE),VLOOKUP(LEFT(B144,FIND(".",B144,1)-1),$B$4:$AZ$68,49,FALSE)-BJ143),ROUNDUP(V144/VLOOKUP(LEFT(B144,FIND(".",B144,1)-1),$AY:$AZ,2,FALSE)*VLOOKUP(LEFT(B144,FIND(".",B144,1)-1),$B$4:$AZ$68,49,FALSE),0)),0)</f>
        <v>0</v>
      </c>
      <c r="BJ144" s="308">
        <f t="shared" si="138"/>
        <v>0</v>
      </c>
      <c r="BP144" s="44">
        <f t="shared" si="139"/>
        <v>0</v>
      </c>
      <c r="BQ144" s="1">
        <v>0</v>
      </c>
      <c r="BR144" s="1">
        <v>0</v>
      </c>
      <c r="BS144" s="16">
        <f t="shared" si="116"/>
        <v>0</v>
      </c>
      <c r="BT144" s="16">
        <f t="shared" si="117"/>
        <v>0</v>
      </c>
      <c r="BU144" s="16">
        <f t="shared" si="118"/>
        <v>0</v>
      </c>
      <c r="BV144" s="16">
        <f t="shared" si="119"/>
        <v>0</v>
      </c>
      <c r="BX144" s="1" t="str">
        <f t="shared" si="106"/>
        <v/>
      </c>
      <c r="BY144" s="1">
        <f t="shared" si="107"/>
        <v>0</v>
      </c>
      <c r="BZ144" s="1">
        <f t="shared" si="140"/>
        <v>0</v>
      </c>
      <c r="CA144" s="1">
        <f t="shared" si="141"/>
        <v>0</v>
      </c>
      <c r="CB144" s="1">
        <f t="shared" si="142"/>
        <v>0</v>
      </c>
      <c r="CC144" s="1">
        <f t="shared" si="143"/>
        <v>0</v>
      </c>
      <c r="CD144" s="1">
        <f t="shared" si="144"/>
        <v>0</v>
      </c>
      <c r="CE144" s="1">
        <f t="shared" si="145"/>
        <v>0</v>
      </c>
      <c r="CR144" s="30" t="s">
        <v>561</v>
      </c>
      <c r="CS144" s="291">
        <v>40912</v>
      </c>
      <c r="CT144" s="291">
        <v>0</v>
      </c>
      <c r="CU144" s="291">
        <v>0</v>
      </c>
      <c r="CV144" s="291">
        <v>0</v>
      </c>
      <c r="CW144" s="29" t="s">
        <v>655</v>
      </c>
      <c r="CX144" s="312">
        <v>40298</v>
      </c>
      <c r="CY144" s="184">
        <v>0</v>
      </c>
      <c r="CZ144" s="88">
        <v>0</v>
      </c>
      <c r="DA144" s="88">
        <v>0</v>
      </c>
      <c r="DB144" s="29" t="s">
        <v>69</v>
      </c>
      <c r="DC144" s="87">
        <v>0</v>
      </c>
      <c r="DD144" s="88">
        <v>0</v>
      </c>
      <c r="DE144" s="88">
        <v>0</v>
      </c>
      <c r="DF144" s="88">
        <v>0</v>
      </c>
      <c r="DG144" s="88">
        <v>40298</v>
      </c>
      <c r="DH144" s="88">
        <v>0</v>
      </c>
      <c r="DI144" s="321">
        <v>0</v>
      </c>
      <c r="DJ144" s="88">
        <v>614</v>
      </c>
    </row>
    <row r="145" spans="1:114" ht="17.25" thickTop="1" thickBot="1">
      <c r="A145" s="531">
        <f t="shared" si="120"/>
        <v>142</v>
      </c>
      <c r="B145" s="38" t="s">
        <v>637</v>
      </c>
      <c r="C145" s="17" t="s">
        <v>320</v>
      </c>
      <c r="D145" s="17" t="s">
        <v>941</v>
      </c>
      <c r="E145" s="142" t="str">
        <f t="shared" si="121"/>
        <v>RMEG</v>
      </c>
      <c r="F145" s="16">
        <v>2895043</v>
      </c>
      <c r="G145" s="16">
        <v>3070261</v>
      </c>
      <c r="H145" s="16">
        <v>0</v>
      </c>
      <c r="I145" s="16">
        <v>0</v>
      </c>
      <c r="J145" s="16">
        <v>148188</v>
      </c>
      <c r="K145" s="16">
        <v>148188</v>
      </c>
      <c r="L145" s="16">
        <v>100</v>
      </c>
      <c r="M145" s="16">
        <v>100</v>
      </c>
      <c r="N145" s="12" t="s">
        <v>917</v>
      </c>
      <c r="O145" s="12" t="s">
        <v>1019</v>
      </c>
      <c r="P145" s="12" t="s">
        <v>917</v>
      </c>
      <c r="Q145" s="12" t="s">
        <v>917</v>
      </c>
      <c r="R145" s="12" t="s">
        <v>917</v>
      </c>
      <c r="S145" s="12" t="s">
        <v>1019</v>
      </c>
      <c r="T145" s="12" t="s">
        <v>917</v>
      </c>
      <c r="U145" s="12" t="s">
        <v>1019</v>
      </c>
      <c r="V145" s="22">
        <v>175218</v>
      </c>
      <c r="W145" s="22">
        <v>0</v>
      </c>
      <c r="X145" s="22">
        <v>0</v>
      </c>
      <c r="Y145" s="22">
        <v>0</v>
      </c>
      <c r="Z145" s="171">
        <f t="shared" si="108"/>
        <v>2895043</v>
      </c>
      <c r="AA145" s="130" t="str">
        <f t="shared" si="109"/>
        <v>citit</v>
      </c>
      <c r="AB145" s="176">
        <f t="shared" si="122"/>
        <v>3070261</v>
      </c>
      <c r="AC145" s="12" t="s">
        <v>917</v>
      </c>
      <c r="AD145" s="12">
        <f t="shared" si="110"/>
        <v>0</v>
      </c>
      <c r="AE145" s="12">
        <f t="shared" si="110"/>
        <v>0</v>
      </c>
      <c r="AF145" s="12">
        <f t="shared" si="110"/>
        <v>148188</v>
      </c>
      <c r="AG145" s="12" t="str">
        <f t="shared" si="111"/>
        <v>citit</v>
      </c>
      <c r="AH145" s="176">
        <f t="shared" si="123"/>
        <v>148188</v>
      </c>
      <c r="AI145" s="12" t="s">
        <v>917</v>
      </c>
      <c r="AJ145" s="12">
        <f t="shared" si="112"/>
        <v>100</v>
      </c>
      <c r="AK145" s="12" t="str">
        <f t="shared" si="113"/>
        <v>citit</v>
      </c>
      <c r="AL145" s="175">
        <f t="shared" si="124"/>
        <v>100</v>
      </c>
      <c r="AM145" s="159" t="s">
        <v>917</v>
      </c>
      <c r="AN145" s="154">
        <f t="shared" si="125"/>
        <v>175218</v>
      </c>
      <c r="AO145" s="14">
        <f t="shared" si="126"/>
        <v>0</v>
      </c>
      <c r="AP145" s="147">
        <f t="shared" si="127"/>
        <v>0</v>
      </c>
      <c r="AQ145" s="147">
        <f t="shared" si="128"/>
        <v>0</v>
      </c>
      <c r="AR145" s="16">
        <v>0</v>
      </c>
      <c r="AS145" s="16">
        <v>0</v>
      </c>
      <c r="AT145" s="1">
        <f t="shared" si="129"/>
        <v>0</v>
      </c>
      <c r="AU145" s="154">
        <f t="shared" si="130"/>
        <v>0</v>
      </c>
      <c r="AV145" s="154">
        <f t="shared" si="131"/>
        <v>0</v>
      </c>
      <c r="AW145" s="154">
        <f t="shared" si="132"/>
        <v>0</v>
      </c>
      <c r="AX145" s="154">
        <f t="shared" si="133"/>
        <v>0</v>
      </c>
      <c r="AY145" s="308" t="str">
        <f t="shared" si="114"/>
        <v>-</v>
      </c>
      <c r="AZ145" s="308">
        <f t="shared" si="115"/>
        <v>175218</v>
      </c>
      <c r="BA145" s="308">
        <f>IFERROR(IF(_xlfn.NUMBERVALUE(RIGHT(B145,LEN(B145)-FIND(".",B145,1)))=COUNTIF('Contorizare in SDI'!$B:$B,LEFT(B145,FIND(".",B145,1)-1))-1,IF((COUNTIF('Contorizare in SDI'!$B:$B,LEFT(B145,FIND(".",B145,1)-1))-1)=1,VLOOKUP(LEFT(B145,FIND(".",B145,1)-1),$B$4:$AZ$68,45,FALSE),VLOOKUP(LEFT(B145,FIND(".",B145,1)-1),$B$4:$AZ$68,45,FALSE)-BB144),ROUNDUP(V145/VLOOKUP(LEFT(B145,FIND(".",B145,1)-1),$AY:$AZ,2,FALSE)*VLOOKUP(LEFT(B145,FIND(".",B145,1)-1),$B$4:$AZ$68,45,FALSE),0)),0)</f>
        <v>0</v>
      </c>
      <c r="BB145" s="308">
        <f t="shared" si="134"/>
        <v>0</v>
      </c>
      <c r="BC145" s="308">
        <f>IFERROR(IF(_xlfn.NUMBERVALUE(RIGHT(B145,LEN(B145)-FIND(".",B145,1)))=COUNTIF('Contorizare in SDI'!$B:$B,LEFT(B145,FIND(".",B145,1)-1))-1,IF((COUNTIF('Contorizare in SDI'!$B:$B,LEFT(B145,FIND(".",B145,1)-1))-1)=1,VLOOKUP(LEFT(B145,FIND(".",B145,1)-1),$B$4:$AZ$68,46,FALSE),VLOOKUP(LEFT(B145,FIND(".",B145,1)-1),$B$4:$AZ$68,46,FALSE)-BD144),ROUNDUP(V145/VLOOKUP(LEFT(B145,FIND(".",B145,1)-1),$AY:$AZ,2,FALSE)*VLOOKUP(LEFT(B145,FIND(".",B145,1)-1),$B$4:$AZ$68,46,FALSE),0)),0)</f>
        <v>0</v>
      </c>
      <c r="BD145" s="308">
        <f t="shared" si="135"/>
        <v>0</v>
      </c>
      <c r="BE145" s="308">
        <f>IFERROR(IF(_xlfn.NUMBERVALUE(RIGHT(B145,LEN(B145)-FIND(".",B145,1)))=COUNTIF('Contorizare in SDI'!$B:$B,LEFT(B145,FIND(".",B145,1)-1))-1,IF((COUNTIF('Contorizare in SDI'!$B:$B,LEFT(B145,FIND(".",B145,1)-1))-1)=1,VLOOKUP(LEFT(B145,FIND(".",B145,1)-1),$B$4:$AZ$68,47,FALSE),VLOOKUP(LEFT(B145,FIND(".",B145,1)-1),$B$4:$AZ$68,47,FALSE)-BF144),ROUNDUP(V145/VLOOKUP(LEFT(B145,FIND(".",B145,1)-1),$AY:$AZ,2,FALSE)*VLOOKUP(LEFT(B145,FIND(".",B145,1)-1),$B$4:$AZ$68,47,FALSE),0)),0)</f>
        <v>0</v>
      </c>
      <c r="BF145" s="308">
        <f t="shared" si="136"/>
        <v>0</v>
      </c>
      <c r="BG145" s="308">
        <f>IFERROR(IF(_xlfn.NUMBERVALUE(RIGHT(B145,LEN(B145)-FIND(".",B145,1)))=COUNTIF('Contorizare in SDI'!$B:$B,LEFT(B145,FIND(".",B145,1)-1))-1,IF((COUNTIF('Contorizare in SDI'!$B:$B,LEFT(B145,FIND(".",B145,1)-1))-1)=1,VLOOKUP(LEFT(B145,FIND(".",B145,1)-1),$B$4:$AZ$68,48,FALSE),VLOOKUP(LEFT(B145,FIND(".",B145,1)-1),$B$4:$AZ$68,48,FALSE)-BH144),ROUNDUP(V145/VLOOKUP(LEFT(B145,FIND(".",B145,1)-1),$AY:$AZ,2,FALSE)*VLOOKUP(LEFT(B145,FIND(".",B145,1)-1),$B$4:$AZ$68,48,FALSE),0)),0)</f>
        <v>0</v>
      </c>
      <c r="BH145" s="308">
        <f t="shared" si="137"/>
        <v>0</v>
      </c>
      <c r="BI145" s="308">
        <f>IFERROR(IF(_xlfn.NUMBERVALUE(RIGHT(B145,LEN(B145)-FIND(".",B145,1)))=COUNTIF('Contorizare in SDI'!$B:$B,LEFT(B145,FIND(".",B145,1)-1))-1,IF((COUNTIF('Contorizare in SDI'!$B:$B,LEFT(B145,FIND(".",B145,1)-1))-1)=1,VLOOKUP(LEFT(B145,FIND(".",B145,1)-1),$B$4:$AZ$68,49,FALSE),VLOOKUP(LEFT(B145,FIND(".",B145,1)-1),$B$4:$AZ$68,49,FALSE)-BJ144),ROUNDUP(V145/VLOOKUP(LEFT(B145,FIND(".",B145,1)-1),$AY:$AZ,2,FALSE)*VLOOKUP(LEFT(B145,FIND(".",B145,1)-1),$B$4:$AZ$68,49,FALSE),0)),0)</f>
        <v>0</v>
      </c>
      <c r="BJ145" s="308">
        <f t="shared" si="138"/>
        <v>0</v>
      </c>
      <c r="BP145" s="44">
        <f t="shared" si="139"/>
        <v>0</v>
      </c>
      <c r="BQ145" s="1">
        <v>0</v>
      </c>
      <c r="BR145" s="1">
        <v>0</v>
      </c>
      <c r="BS145" s="16">
        <f t="shared" si="116"/>
        <v>0</v>
      </c>
      <c r="BT145" s="16">
        <f t="shared" si="117"/>
        <v>0</v>
      </c>
      <c r="BU145" s="16">
        <f t="shared" si="118"/>
        <v>0</v>
      </c>
      <c r="BV145" s="16">
        <f t="shared" si="119"/>
        <v>0</v>
      </c>
      <c r="BX145" s="1" t="str">
        <f t="shared" si="106"/>
        <v/>
      </c>
      <c r="BY145" s="1">
        <f t="shared" si="107"/>
        <v>0</v>
      </c>
      <c r="BZ145" s="1">
        <f t="shared" si="140"/>
        <v>0</v>
      </c>
      <c r="CA145" s="1">
        <f t="shared" si="141"/>
        <v>0</v>
      </c>
      <c r="CB145" s="1">
        <f t="shared" si="142"/>
        <v>0</v>
      </c>
      <c r="CC145" s="1">
        <f t="shared" si="143"/>
        <v>0</v>
      </c>
      <c r="CD145" s="1">
        <f t="shared" si="144"/>
        <v>0</v>
      </c>
      <c r="CE145" s="1">
        <f t="shared" si="145"/>
        <v>0</v>
      </c>
      <c r="CR145" s="30" t="s">
        <v>561</v>
      </c>
      <c r="CS145" s="291">
        <v>40912</v>
      </c>
      <c r="CT145" s="291">
        <v>0</v>
      </c>
      <c r="CU145" s="291">
        <v>0</v>
      </c>
      <c r="CV145" s="291">
        <v>0</v>
      </c>
      <c r="CW145" s="29" t="s">
        <v>992</v>
      </c>
      <c r="CX145" s="312">
        <v>614</v>
      </c>
      <c r="CY145" s="184">
        <v>0</v>
      </c>
      <c r="CZ145" s="88">
        <v>0</v>
      </c>
      <c r="DA145" s="88">
        <v>0</v>
      </c>
      <c r="DB145" s="29" t="s">
        <v>69</v>
      </c>
      <c r="DC145" s="87">
        <v>0</v>
      </c>
      <c r="DD145" s="88">
        <v>0</v>
      </c>
      <c r="DE145" s="88">
        <v>0</v>
      </c>
      <c r="DF145" s="88">
        <v>0</v>
      </c>
      <c r="DG145" s="88">
        <v>0</v>
      </c>
      <c r="DH145" s="88">
        <v>0</v>
      </c>
      <c r="DI145" s="321">
        <v>0</v>
      </c>
      <c r="DJ145" s="88">
        <v>0</v>
      </c>
    </row>
    <row r="146" spans="1:114" ht="17.25" thickTop="1" thickBot="1">
      <c r="A146" s="531">
        <f t="shared" si="120"/>
        <v>143</v>
      </c>
      <c r="B146" s="38" t="s">
        <v>638</v>
      </c>
      <c r="C146" s="17" t="s">
        <v>322</v>
      </c>
      <c r="D146" s="17" t="s">
        <v>942</v>
      </c>
      <c r="E146" s="142" t="str">
        <f t="shared" si="121"/>
        <v>RMEG</v>
      </c>
      <c r="F146" s="16">
        <v>2895043</v>
      </c>
      <c r="G146" s="16">
        <v>3070261</v>
      </c>
      <c r="H146" s="16">
        <v>0</v>
      </c>
      <c r="I146" s="16">
        <v>0</v>
      </c>
      <c r="J146" s="16">
        <v>148188</v>
      </c>
      <c r="K146" s="16">
        <v>148188</v>
      </c>
      <c r="L146" s="16">
        <v>100</v>
      </c>
      <c r="M146" s="16">
        <v>100</v>
      </c>
      <c r="N146" s="12" t="s">
        <v>917</v>
      </c>
      <c r="O146" s="12" t="s">
        <v>1019</v>
      </c>
      <c r="P146" s="12" t="s">
        <v>917</v>
      </c>
      <c r="Q146" s="12" t="s">
        <v>917</v>
      </c>
      <c r="R146" s="12" t="s">
        <v>917</v>
      </c>
      <c r="S146" s="12" t="s">
        <v>1019</v>
      </c>
      <c r="T146" s="12" t="s">
        <v>917</v>
      </c>
      <c r="U146" s="12" t="s">
        <v>1019</v>
      </c>
      <c r="V146" s="22">
        <v>175218</v>
      </c>
      <c r="W146" s="22">
        <v>0</v>
      </c>
      <c r="X146" s="22">
        <v>0</v>
      </c>
      <c r="Y146" s="22">
        <v>0</v>
      </c>
      <c r="Z146" s="171">
        <f t="shared" si="108"/>
        <v>2895043</v>
      </c>
      <c r="AA146" s="130" t="str">
        <f t="shared" si="109"/>
        <v>citit</v>
      </c>
      <c r="AB146" s="176">
        <f t="shared" si="122"/>
        <v>3070261</v>
      </c>
      <c r="AC146" s="12" t="s">
        <v>917</v>
      </c>
      <c r="AD146" s="12">
        <f t="shared" si="110"/>
        <v>0</v>
      </c>
      <c r="AE146" s="12">
        <f t="shared" si="110"/>
        <v>0</v>
      </c>
      <c r="AF146" s="12">
        <f t="shared" si="110"/>
        <v>148188</v>
      </c>
      <c r="AG146" s="12" t="str">
        <f t="shared" si="111"/>
        <v>citit</v>
      </c>
      <c r="AH146" s="176">
        <f t="shared" si="123"/>
        <v>148188</v>
      </c>
      <c r="AI146" s="12" t="s">
        <v>917</v>
      </c>
      <c r="AJ146" s="12">
        <f t="shared" si="112"/>
        <v>100</v>
      </c>
      <c r="AK146" s="12" t="str">
        <f t="shared" si="113"/>
        <v>citit</v>
      </c>
      <c r="AL146" s="175">
        <f t="shared" si="124"/>
        <v>100</v>
      </c>
      <c r="AM146" s="159" t="s">
        <v>917</v>
      </c>
      <c r="AN146" s="154">
        <f t="shared" si="125"/>
        <v>175218</v>
      </c>
      <c r="AO146" s="14">
        <f t="shared" si="126"/>
        <v>0</v>
      </c>
      <c r="AP146" s="147">
        <f t="shared" si="127"/>
        <v>0</v>
      </c>
      <c r="AQ146" s="147">
        <f t="shared" si="128"/>
        <v>0</v>
      </c>
      <c r="AR146" s="16">
        <v>0</v>
      </c>
      <c r="AS146" s="16">
        <v>0</v>
      </c>
      <c r="AT146" s="1">
        <f t="shared" si="129"/>
        <v>0</v>
      </c>
      <c r="AU146" s="154">
        <f t="shared" si="130"/>
        <v>0</v>
      </c>
      <c r="AV146" s="154">
        <f t="shared" si="131"/>
        <v>0</v>
      </c>
      <c r="AW146" s="154">
        <f t="shared" si="132"/>
        <v>0</v>
      </c>
      <c r="AX146" s="154">
        <f t="shared" si="133"/>
        <v>0</v>
      </c>
      <c r="AY146" s="308" t="str">
        <f t="shared" si="114"/>
        <v>-</v>
      </c>
      <c r="AZ146" s="308">
        <f t="shared" si="115"/>
        <v>350436</v>
      </c>
      <c r="BA146" s="308">
        <f>IFERROR(IF(_xlfn.NUMBERVALUE(RIGHT(B146,LEN(B146)-FIND(".",B146,1)))=COUNTIF('Contorizare in SDI'!$B:$B,LEFT(B146,FIND(".",B146,1)-1))-1,IF((COUNTIF('Contorizare in SDI'!$B:$B,LEFT(B146,FIND(".",B146,1)-1))-1)=1,VLOOKUP(LEFT(B146,FIND(".",B146,1)-1),$B$4:$AZ$68,45,FALSE),VLOOKUP(LEFT(B146,FIND(".",B146,1)-1),$B$4:$AZ$68,45,FALSE)-BB145),ROUNDUP(V146/VLOOKUP(LEFT(B146,FIND(".",B146,1)-1),$AY:$AZ,2,FALSE)*VLOOKUP(LEFT(B146,FIND(".",B146,1)-1),$B$4:$AZ$68,45,FALSE),0)),0)</f>
        <v>0</v>
      </c>
      <c r="BB146" s="308">
        <f t="shared" si="134"/>
        <v>0</v>
      </c>
      <c r="BC146" s="308">
        <f>IFERROR(IF(_xlfn.NUMBERVALUE(RIGHT(B146,LEN(B146)-FIND(".",B146,1)))=COUNTIF('Contorizare in SDI'!$B:$B,LEFT(B146,FIND(".",B146,1)-1))-1,IF((COUNTIF('Contorizare in SDI'!$B:$B,LEFT(B146,FIND(".",B146,1)-1))-1)=1,VLOOKUP(LEFT(B146,FIND(".",B146,1)-1),$B$4:$AZ$68,46,FALSE),VLOOKUP(LEFT(B146,FIND(".",B146,1)-1),$B$4:$AZ$68,46,FALSE)-BD145),ROUNDUP(V146/VLOOKUP(LEFT(B146,FIND(".",B146,1)-1),$AY:$AZ,2,FALSE)*VLOOKUP(LEFT(B146,FIND(".",B146,1)-1),$B$4:$AZ$68,46,FALSE),0)),0)</f>
        <v>0</v>
      </c>
      <c r="BD146" s="308">
        <f t="shared" si="135"/>
        <v>0</v>
      </c>
      <c r="BE146" s="308">
        <f>IFERROR(IF(_xlfn.NUMBERVALUE(RIGHT(B146,LEN(B146)-FIND(".",B146,1)))=COUNTIF('Contorizare in SDI'!$B:$B,LEFT(B146,FIND(".",B146,1)-1))-1,IF((COUNTIF('Contorizare in SDI'!$B:$B,LEFT(B146,FIND(".",B146,1)-1))-1)=1,VLOOKUP(LEFT(B146,FIND(".",B146,1)-1),$B$4:$AZ$68,47,FALSE),VLOOKUP(LEFT(B146,FIND(".",B146,1)-1),$B$4:$AZ$68,47,FALSE)-BF145),ROUNDUP(V146/VLOOKUP(LEFT(B146,FIND(".",B146,1)-1),$AY:$AZ,2,FALSE)*VLOOKUP(LEFT(B146,FIND(".",B146,1)-1),$B$4:$AZ$68,47,FALSE),0)),0)</f>
        <v>0</v>
      </c>
      <c r="BF146" s="308">
        <f t="shared" si="136"/>
        <v>0</v>
      </c>
      <c r="BG146" s="308">
        <f>IFERROR(IF(_xlfn.NUMBERVALUE(RIGHT(B146,LEN(B146)-FIND(".",B146,1)))=COUNTIF('Contorizare in SDI'!$B:$B,LEFT(B146,FIND(".",B146,1)-1))-1,IF((COUNTIF('Contorizare in SDI'!$B:$B,LEFT(B146,FIND(".",B146,1)-1))-1)=1,VLOOKUP(LEFT(B146,FIND(".",B146,1)-1),$B$4:$AZ$68,48,FALSE),VLOOKUP(LEFT(B146,FIND(".",B146,1)-1),$B$4:$AZ$68,48,FALSE)-BH145),ROUNDUP(V146/VLOOKUP(LEFT(B146,FIND(".",B146,1)-1),$AY:$AZ,2,FALSE)*VLOOKUP(LEFT(B146,FIND(".",B146,1)-1),$B$4:$AZ$68,48,FALSE),0)),0)</f>
        <v>0</v>
      </c>
      <c r="BH146" s="308">
        <f t="shared" si="137"/>
        <v>0</v>
      </c>
      <c r="BI146" s="308">
        <f>IFERROR(IF(_xlfn.NUMBERVALUE(RIGHT(B146,LEN(B146)-FIND(".",B146,1)))=COUNTIF('Contorizare in SDI'!$B:$B,LEFT(B146,FIND(".",B146,1)-1))-1,IF((COUNTIF('Contorizare in SDI'!$B:$B,LEFT(B146,FIND(".",B146,1)-1))-1)=1,VLOOKUP(LEFT(B146,FIND(".",B146,1)-1),$B$4:$AZ$68,49,FALSE),VLOOKUP(LEFT(B146,FIND(".",B146,1)-1),$B$4:$AZ$68,49,FALSE)-BJ145),ROUNDUP(V146/VLOOKUP(LEFT(B146,FIND(".",B146,1)-1),$AY:$AZ,2,FALSE)*VLOOKUP(LEFT(B146,FIND(".",B146,1)-1),$B$4:$AZ$68,49,FALSE),0)),0)</f>
        <v>0</v>
      </c>
      <c r="BJ146" s="308">
        <f t="shared" si="138"/>
        <v>0</v>
      </c>
      <c r="BP146" s="44">
        <f t="shared" si="139"/>
        <v>0</v>
      </c>
      <c r="BQ146" s="1">
        <v>0</v>
      </c>
      <c r="BR146" s="1">
        <v>0</v>
      </c>
      <c r="BS146" s="16">
        <f t="shared" si="116"/>
        <v>0</v>
      </c>
      <c r="BT146" s="16">
        <f t="shared" si="117"/>
        <v>0</v>
      </c>
      <c r="BU146" s="16">
        <f t="shared" si="118"/>
        <v>0</v>
      </c>
      <c r="BV146" s="16">
        <f t="shared" si="119"/>
        <v>0</v>
      </c>
      <c r="BX146" s="1" t="str">
        <f t="shared" si="106"/>
        <v/>
      </c>
      <c r="BY146" s="1">
        <f t="shared" si="107"/>
        <v>0</v>
      </c>
      <c r="BZ146" s="1">
        <f t="shared" si="140"/>
        <v>0</v>
      </c>
      <c r="CA146" s="1">
        <f t="shared" si="141"/>
        <v>0</v>
      </c>
      <c r="CB146" s="1">
        <f t="shared" si="142"/>
        <v>0</v>
      </c>
      <c r="CC146" s="1">
        <f t="shared" si="143"/>
        <v>0</v>
      </c>
      <c r="CD146" s="1">
        <f t="shared" si="144"/>
        <v>0</v>
      </c>
      <c r="CE146" s="1">
        <f t="shared" si="145"/>
        <v>0</v>
      </c>
      <c r="CR146" s="93" t="s">
        <v>562</v>
      </c>
      <c r="CS146" s="291">
        <v>3426</v>
      </c>
      <c r="CT146" s="291">
        <v>0</v>
      </c>
      <c r="CU146" s="291">
        <v>0</v>
      </c>
      <c r="CV146" s="291">
        <v>0</v>
      </c>
      <c r="CW146" s="97" t="s">
        <v>562</v>
      </c>
      <c r="CX146" s="312">
        <v>3426</v>
      </c>
      <c r="CY146" s="184">
        <v>0</v>
      </c>
      <c r="CZ146" s="88">
        <v>0</v>
      </c>
      <c r="DA146" s="88">
        <v>0</v>
      </c>
      <c r="DB146" s="94" t="s">
        <v>69</v>
      </c>
      <c r="DC146" s="87">
        <v>0</v>
      </c>
      <c r="DD146" s="88">
        <v>0</v>
      </c>
      <c r="DE146" s="88">
        <v>0</v>
      </c>
      <c r="DF146" s="88">
        <v>0</v>
      </c>
      <c r="DG146" s="88">
        <v>3426</v>
      </c>
      <c r="DH146" s="88">
        <v>0</v>
      </c>
      <c r="DI146" s="321">
        <v>0</v>
      </c>
      <c r="DJ146" s="88">
        <v>0</v>
      </c>
    </row>
    <row r="147" spans="1:114" ht="17.25" thickTop="1" thickBot="1">
      <c r="A147" s="531">
        <f t="shared" si="120"/>
        <v>144</v>
      </c>
      <c r="B147" s="38" t="s">
        <v>639</v>
      </c>
      <c r="C147" s="17" t="s">
        <v>324</v>
      </c>
      <c r="D147" s="17" t="s">
        <v>943</v>
      </c>
      <c r="E147" s="142" t="str">
        <f t="shared" si="121"/>
        <v>RMEG</v>
      </c>
      <c r="F147" s="16">
        <v>2271627</v>
      </c>
      <c r="G147" s="16">
        <v>2446845</v>
      </c>
      <c r="H147" s="16">
        <v>0</v>
      </c>
      <c r="I147" s="16">
        <v>0</v>
      </c>
      <c r="J147" s="16">
        <v>148188</v>
      </c>
      <c r="K147" s="16">
        <v>148188</v>
      </c>
      <c r="L147" s="16">
        <v>100</v>
      </c>
      <c r="M147" s="16">
        <v>100</v>
      </c>
      <c r="N147" s="12" t="s">
        <v>917</v>
      </c>
      <c r="O147" s="12" t="s">
        <v>1019</v>
      </c>
      <c r="P147" s="12" t="s">
        <v>917</v>
      </c>
      <c r="Q147" s="12" t="s">
        <v>917</v>
      </c>
      <c r="R147" s="12" t="s">
        <v>917</v>
      </c>
      <c r="S147" s="12" t="s">
        <v>1019</v>
      </c>
      <c r="T147" s="12" t="s">
        <v>917</v>
      </c>
      <c r="U147" s="12" t="s">
        <v>1019</v>
      </c>
      <c r="V147" s="22">
        <v>175218</v>
      </c>
      <c r="W147" s="22">
        <v>0</v>
      </c>
      <c r="X147" s="22">
        <v>0</v>
      </c>
      <c r="Y147" s="22">
        <v>0</v>
      </c>
      <c r="Z147" s="171">
        <f t="shared" si="108"/>
        <v>2271627</v>
      </c>
      <c r="AA147" s="130" t="str">
        <f t="shared" si="109"/>
        <v>citit</v>
      </c>
      <c r="AB147" s="176">
        <f t="shared" si="122"/>
        <v>2446845</v>
      </c>
      <c r="AC147" s="12" t="s">
        <v>917</v>
      </c>
      <c r="AD147" s="12">
        <f t="shared" si="110"/>
        <v>0</v>
      </c>
      <c r="AE147" s="12">
        <f t="shared" si="110"/>
        <v>0</v>
      </c>
      <c r="AF147" s="12">
        <f t="shared" si="110"/>
        <v>148188</v>
      </c>
      <c r="AG147" s="12" t="str">
        <f t="shared" si="111"/>
        <v>citit</v>
      </c>
      <c r="AH147" s="176">
        <f t="shared" si="123"/>
        <v>148188</v>
      </c>
      <c r="AI147" s="12" t="s">
        <v>917</v>
      </c>
      <c r="AJ147" s="12">
        <f t="shared" si="112"/>
        <v>100</v>
      </c>
      <c r="AK147" s="12" t="str">
        <f t="shared" si="113"/>
        <v>citit</v>
      </c>
      <c r="AL147" s="175">
        <f t="shared" si="124"/>
        <v>100</v>
      </c>
      <c r="AM147" s="159" t="s">
        <v>917</v>
      </c>
      <c r="AN147" s="154">
        <f t="shared" si="125"/>
        <v>175218</v>
      </c>
      <c r="AO147" s="14">
        <f t="shared" si="126"/>
        <v>0</v>
      </c>
      <c r="AP147" s="147">
        <f t="shared" si="127"/>
        <v>0</v>
      </c>
      <c r="AQ147" s="147">
        <f t="shared" si="128"/>
        <v>0</v>
      </c>
      <c r="AR147" s="16">
        <v>0</v>
      </c>
      <c r="AS147" s="16">
        <v>0</v>
      </c>
      <c r="AT147" s="1">
        <f t="shared" si="129"/>
        <v>0</v>
      </c>
      <c r="AU147" s="154">
        <f t="shared" si="130"/>
        <v>0</v>
      </c>
      <c r="AV147" s="154">
        <f t="shared" si="131"/>
        <v>0</v>
      </c>
      <c r="AW147" s="154">
        <f t="shared" si="132"/>
        <v>0</v>
      </c>
      <c r="AX147" s="154">
        <f t="shared" si="133"/>
        <v>0</v>
      </c>
      <c r="AY147" s="308" t="str">
        <f t="shared" si="114"/>
        <v>-</v>
      </c>
      <c r="AZ147" s="308">
        <f t="shared" si="115"/>
        <v>525654</v>
      </c>
      <c r="BA147" s="308">
        <f>IFERROR(IF(_xlfn.NUMBERVALUE(RIGHT(B147,LEN(B147)-FIND(".",B147,1)))=COUNTIF('Contorizare in SDI'!$B:$B,LEFT(B147,FIND(".",B147,1)-1))-1,IF((COUNTIF('Contorizare in SDI'!$B:$B,LEFT(B147,FIND(".",B147,1)-1))-1)=1,VLOOKUP(LEFT(B147,FIND(".",B147,1)-1),$B$4:$AZ$68,45,FALSE),VLOOKUP(LEFT(B147,FIND(".",B147,1)-1),$B$4:$AZ$68,45,FALSE)-BB146),ROUNDUP(V147/VLOOKUP(LEFT(B147,FIND(".",B147,1)-1),$AY:$AZ,2,FALSE)*VLOOKUP(LEFT(B147,FIND(".",B147,1)-1),$B$4:$AZ$68,45,FALSE),0)),0)</f>
        <v>0</v>
      </c>
      <c r="BB147" s="308">
        <f t="shared" si="134"/>
        <v>0</v>
      </c>
      <c r="BC147" s="308">
        <f>IFERROR(IF(_xlfn.NUMBERVALUE(RIGHT(B147,LEN(B147)-FIND(".",B147,1)))=COUNTIF('Contorizare in SDI'!$B:$B,LEFT(B147,FIND(".",B147,1)-1))-1,IF((COUNTIF('Contorizare in SDI'!$B:$B,LEFT(B147,FIND(".",B147,1)-1))-1)=1,VLOOKUP(LEFT(B147,FIND(".",B147,1)-1),$B$4:$AZ$68,46,FALSE),VLOOKUP(LEFT(B147,FIND(".",B147,1)-1),$B$4:$AZ$68,46,FALSE)-BD146),ROUNDUP(V147/VLOOKUP(LEFT(B147,FIND(".",B147,1)-1),$AY:$AZ,2,FALSE)*VLOOKUP(LEFT(B147,FIND(".",B147,1)-1),$B$4:$AZ$68,46,FALSE),0)),0)</f>
        <v>0</v>
      </c>
      <c r="BD147" s="308">
        <f t="shared" si="135"/>
        <v>0</v>
      </c>
      <c r="BE147" s="308">
        <f>IFERROR(IF(_xlfn.NUMBERVALUE(RIGHT(B147,LEN(B147)-FIND(".",B147,1)))=COUNTIF('Contorizare in SDI'!$B:$B,LEFT(B147,FIND(".",B147,1)-1))-1,IF((COUNTIF('Contorizare in SDI'!$B:$B,LEFT(B147,FIND(".",B147,1)-1))-1)=1,VLOOKUP(LEFT(B147,FIND(".",B147,1)-1),$B$4:$AZ$68,47,FALSE),VLOOKUP(LEFT(B147,FIND(".",B147,1)-1),$B$4:$AZ$68,47,FALSE)-BF146),ROUNDUP(V147/VLOOKUP(LEFT(B147,FIND(".",B147,1)-1),$AY:$AZ,2,FALSE)*VLOOKUP(LEFT(B147,FIND(".",B147,1)-1),$B$4:$AZ$68,47,FALSE),0)),0)</f>
        <v>0</v>
      </c>
      <c r="BF147" s="308">
        <f t="shared" si="136"/>
        <v>0</v>
      </c>
      <c r="BG147" s="308">
        <f>IFERROR(IF(_xlfn.NUMBERVALUE(RIGHT(B147,LEN(B147)-FIND(".",B147,1)))=COUNTIF('Contorizare in SDI'!$B:$B,LEFT(B147,FIND(".",B147,1)-1))-1,IF((COUNTIF('Contorizare in SDI'!$B:$B,LEFT(B147,FIND(".",B147,1)-1))-1)=1,VLOOKUP(LEFT(B147,FIND(".",B147,1)-1),$B$4:$AZ$68,48,FALSE),VLOOKUP(LEFT(B147,FIND(".",B147,1)-1),$B$4:$AZ$68,48,FALSE)-BH146),ROUNDUP(V147/VLOOKUP(LEFT(B147,FIND(".",B147,1)-1),$AY:$AZ,2,FALSE)*VLOOKUP(LEFT(B147,FIND(".",B147,1)-1),$B$4:$AZ$68,48,FALSE),0)),0)</f>
        <v>0</v>
      </c>
      <c r="BH147" s="308">
        <f t="shared" si="137"/>
        <v>0</v>
      </c>
      <c r="BI147" s="308">
        <f>IFERROR(IF(_xlfn.NUMBERVALUE(RIGHT(B147,LEN(B147)-FIND(".",B147,1)))=COUNTIF('Contorizare in SDI'!$B:$B,LEFT(B147,FIND(".",B147,1)-1))-1,IF((COUNTIF('Contorizare in SDI'!$B:$B,LEFT(B147,FIND(".",B147,1)-1))-1)=1,VLOOKUP(LEFT(B147,FIND(".",B147,1)-1),$B$4:$AZ$68,49,FALSE),VLOOKUP(LEFT(B147,FIND(".",B147,1)-1),$B$4:$AZ$68,49,FALSE)-BJ146),ROUNDUP(V147/VLOOKUP(LEFT(B147,FIND(".",B147,1)-1),$AY:$AZ,2,FALSE)*VLOOKUP(LEFT(B147,FIND(".",B147,1)-1),$B$4:$AZ$68,49,FALSE),0)),0)</f>
        <v>0</v>
      </c>
      <c r="BJ147" s="308">
        <f t="shared" si="138"/>
        <v>0</v>
      </c>
      <c r="BP147" s="44">
        <f t="shared" si="139"/>
        <v>0</v>
      </c>
      <c r="BQ147" s="1">
        <v>0</v>
      </c>
      <c r="BR147" s="1">
        <v>0</v>
      </c>
      <c r="BS147" s="16">
        <f t="shared" si="116"/>
        <v>0</v>
      </c>
      <c r="BT147" s="16">
        <f t="shared" si="117"/>
        <v>0</v>
      </c>
      <c r="BU147" s="16">
        <f t="shared" si="118"/>
        <v>0</v>
      </c>
      <c r="BV147" s="16">
        <f t="shared" si="119"/>
        <v>0</v>
      </c>
      <c r="BX147" s="1" t="str">
        <f t="shared" si="106"/>
        <v/>
      </c>
      <c r="BY147" s="1">
        <f t="shared" si="107"/>
        <v>0</v>
      </c>
      <c r="BZ147" s="1">
        <f t="shared" si="140"/>
        <v>0</v>
      </c>
      <c r="CA147" s="1">
        <f t="shared" si="141"/>
        <v>0</v>
      </c>
      <c r="CB147" s="1">
        <f t="shared" si="142"/>
        <v>0</v>
      </c>
      <c r="CC147" s="1">
        <f t="shared" si="143"/>
        <v>0</v>
      </c>
      <c r="CD147" s="1">
        <f t="shared" si="144"/>
        <v>0</v>
      </c>
      <c r="CE147" s="1">
        <f t="shared" si="145"/>
        <v>0</v>
      </c>
      <c r="CR147" s="86" t="s">
        <v>563</v>
      </c>
      <c r="CS147" s="291">
        <v>48732</v>
      </c>
      <c r="CT147" s="291">
        <v>0</v>
      </c>
      <c r="CU147" s="291">
        <v>0</v>
      </c>
      <c r="CV147" s="291">
        <v>0</v>
      </c>
      <c r="CW147" s="89" t="s">
        <v>656</v>
      </c>
      <c r="CX147" s="312">
        <v>48001</v>
      </c>
      <c r="CY147" s="184">
        <v>0</v>
      </c>
      <c r="CZ147" s="88">
        <v>78</v>
      </c>
      <c r="DA147" s="88">
        <v>8041</v>
      </c>
      <c r="DB147" s="89" t="s">
        <v>693</v>
      </c>
      <c r="DC147" s="87">
        <v>0</v>
      </c>
      <c r="DD147" s="88">
        <v>10897</v>
      </c>
      <c r="DE147" s="88">
        <v>17</v>
      </c>
      <c r="DF147" s="88">
        <v>548</v>
      </c>
      <c r="DG147" s="88">
        <v>48001</v>
      </c>
      <c r="DH147" s="87">
        <v>0</v>
      </c>
      <c r="DI147" s="87">
        <v>10897</v>
      </c>
      <c r="DJ147" s="88">
        <v>731</v>
      </c>
    </row>
    <row r="148" spans="1:114" ht="17.25" thickTop="1" thickBot="1">
      <c r="A148" s="531">
        <f t="shared" si="120"/>
        <v>145</v>
      </c>
      <c r="B148" s="38" t="s">
        <v>640</v>
      </c>
      <c r="C148" s="17" t="s">
        <v>326</v>
      </c>
      <c r="D148" s="17" t="s">
        <v>944</v>
      </c>
      <c r="E148" s="142" t="str">
        <f t="shared" si="121"/>
        <v>RMEG</v>
      </c>
      <c r="F148" s="16">
        <v>2225386</v>
      </c>
      <c r="G148" s="16">
        <v>2387498</v>
      </c>
      <c r="H148" s="16">
        <v>0</v>
      </c>
      <c r="I148" s="16">
        <v>0</v>
      </c>
      <c r="J148" s="16">
        <v>148236</v>
      </c>
      <c r="K148" s="16">
        <v>148236</v>
      </c>
      <c r="L148" s="16">
        <v>148</v>
      </c>
      <c r="M148" s="16">
        <v>148</v>
      </c>
      <c r="N148" s="12" t="s">
        <v>917</v>
      </c>
      <c r="O148" s="12" t="s">
        <v>1019</v>
      </c>
      <c r="P148" s="12" t="s">
        <v>917</v>
      </c>
      <c r="Q148" s="12" t="s">
        <v>917</v>
      </c>
      <c r="R148" s="12" t="s">
        <v>917</v>
      </c>
      <c r="S148" s="12" t="s">
        <v>1019</v>
      </c>
      <c r="T148" s="12" t="s">
        <v>917</v>
      </c>
      <c r="U148" s="12" t="s">
        <v>1019</v>
      </c>
      <c r="V148" s="22">
        <v>162112</v>
      </c>
      <c r="W148" s="22">
        <v>0</v>
      </c>
      <c r="X148" s="22">
        <v>0</v>
      </c>
      <c r="Y148" s="22">
        <v>0</v>
      </c>
      <c r="Z148" s="171">
        <f t="shared" si="108"/>
        <v>2225386</v>
      </c>
      <c r="AA148" s="130" t="str">
        <f t="shared" si="109"/>
        <v>citit</v>
      </c>
      <c r="AB148" s="176">
        <f t="shared" si="122"/>
        <v>2387498</v>
      </c>
      <c r="AC148" s="12" t="s">
        <v>917</v>
      </c>
      <c r="AD148" s="12">
        <f t="shared" si="110"/>
        <v>0</v>
      </c>
      <c r="AE148" s="12">
        <f t="shared" si="110"/>
        <v>0</v>
      </c>
      <c r="AF148" s="12">
        <f t="shared" si="110"/>
        <v>148236</v>
      </c>
      <c r="AG148" s="12" t="str">
        <f t="shared" si="111"/>
        <v>citit</v>
      </c>
      <c r="AH148" s="176">
        <f t="shared" si="123"/>
        <v>148236</v>
      </c>
      <c r="AI148" s="12" t="s">
        <v>917</v>
      </c>
      <c r="AJ148" s="12">
        <f t="shared" si="112"/>
        <v>148</v>
      </c>
      <c r="AK148" s="12" t="str">
        <f t="shared" si="113"/>
        <v>citit</v>
      </c>
      <c r="AL148" s="175">
        <f t="shared" si="124"/>
        <v>148</v>
      </c>
      <c r="AM148" s="159" t="s">
        <v>917</v>
      </c>
      <c r="AN148" s="154">
        <f t="shared" si="125"/>
        <v>162112</v>
      </c>
      <c r="AO148" s="14">
        <f t="shared" si="126"/>
        <v>0</v>
      </c>
      <c r="AP148" s="147">
        <f t="shared" si="127"/>
        <v>0</v>
      </c>
      <c r="AQ148" s="147">
        <f t="shared" si="128"/>
        <v>0</v>
      </c>
      <c r="AR148" s="16">
        <v>0</v>
      </c>
      <c r="AS148" s="16">
        <v>0</v>
      </c>
      <c r="AT148" s="1">
        <f t="shared" si="129"/>
        <v>0</v>
      </c>
      <c r="AU148" s="154">
        <f t="shared" si="130"/>
        <v>0</v>
      </c>
      <c r="AV148" s="154">
        <f t="shared" si="131"/>
        <v>0</v>
      </c>
      <c r="AW148" s="154">
        <f t="shared" si="132"/>
        <v>0</v>
      </c>
      <c r="AX148" s="154">
        <f t="shared" si="133"/>
        <v>0</v>
      </c>
      <c r="AY148" s="308" t="str">
        <f t="shared" si="114"/>
        <v>RMEG_2</v>
      </c>
      <c r="AZ148" s="308">
        <f t="shared" si="115"/>
        <v>687766</v>
      </c>
      <c r="BA148" s="308">
        <f>IFERROR(IF(_xlfn.NUMBERVALUE(RIGHT(B148,LEN(B148)-FIND(".",B148,1)))=COUNTIF('Contorizare in SDI'!$B:$B,LEFT(B148,FIND(".",B148,1)-1))-1,IF((COUNTIF('Contorizare in SDI'!$B:$B,LEFT(B148,FIND(".",B148,1)-1))-1)=1,VLOOKUP(LEFT(B148,FIND(".",B148,1)-1),$B$4:$AZ$68,45,FALSE),VLOOKUP(LEFT(B148,FIND(".",B148,1)-1),$B$4:$AZ$68,45,FALSE)-BB147),ROUNDUP(V148/VLOOKUP(LEFT(B148,FIND(".",B148,1)-1),$AY:$AZ,2,FALSE)*VLOOKUP(LEFT(B148,FIND(".",B148,1)-1),$B$4:$AZ$68,45,FALSE),0)),0)</f>
        <v>0</v>
      </c>
      <c r="BB148" s="308">
        <f t="shared" si="134"/>
        <v>0</v>
      </c>
      <c r="BC148" s="308">
        <f>IFERROR(IF(_xlfn.NUMBERVALUE(RIGHT(B148,LEN(B148)-FIND(".",B148,1)))=COUNTIF('Contorizare in SDI'!$B:$B,LEFT(B148,FIND(".",B148,1)-1))-1,IF((COUNTIF('Contorizare in SDI'!$B:$B,LEFT(B148,FIND(".",B148,1)-1))-1)=1,VLOOKUP(LEFT(B148,FIND(".",B148,1)-1),$B$4:$AZ$68,46,FALSE),VLOOKUP(LEFT(B148,FIND(".",B148,1)-1),$B$4:$AZ$68,46,FALSE)-BD147),ROUNDUP(V148/VLOOKUP(LEFT(B148,FIND(".",B148,1)-1),$AY:$AZ,2,FALSE)*VLOOKUP(LEFT(B148,FIND(".",B148,1)-1),$B$4:$AZ$68,46,FALSE),0)),0)</f>
        <v>0</v>
      </c>
      <c r="BD148" s="308">
        <f t="shared" si="135"/>
        <v>0</v>
      </c>
      <c r="BE148" s="308">
        <f>IFERROR(IF(_xlfn.NUMBERVALUE(RIGHT(B148,LEN(B148)-FIND(".",B148,1)))=COUNTIF('Contorizare in SDI'!$B:$B,LEFT(B148,FIND(".",B148,1)-1))-1,IF((COUNTIF('Contorizare in SDI'!$B:$B,LEFT(B148,FIND(".",B148,1)-1))-1)=1,VLOOKUP(LEFT(B148,FIND(".",B148,1)-1),$B$4:$AZ$68,47,FALSE),VLOOKUP(LEFT(B148,FIND(".",B148,1)-1),$B$4:$AZ$68,47,FALSE)-BF147),ROUNDUP(V148/VLOOKUP(LEFT(B148,FIND(".",B148,1)-1),$AY:$AZ,2,FALSE)*VLOOKUP(LEFT(B148,FIND(".",B148,1)-1),$B$4:$AZ$68,47,FALSE),0)),0)</f>
        <v>0</v>
      </c>
      <c r="BF148" s="308">
        <f t="shared" si="136"/>
        <v>0</v>
      </c>
      <c r="BG148" s="308">
        <f>IFERROR(IF(_xlfn.NUMBERVALUE(RIGHT(B148,LEN(B148)-FIND(".",B148,1)))=COUNTIF('Contorizare in SDI'!$B:$B,LEFT(B148,FIND(".",B148,1)-1))-1,IF((COUNTIF('Contorizare in SDI'!$B:$B,LEFT(B148,FIND(".",B148,1)-1))-1)=1,VLOOKUP(LEFT(B148,FIND(".",B148,1)-1),$B$4:$AZ$68,48,FALSE),VLOOKUP(LEFT(B148,FIND(".",B148,1)-1),$B$4:$AZ$68,48,FALSE)-BH147),ROUNDUP(V148/VLOOKUP(LEFT(B148,FIND(".",B148,1)-1),$AY:$AZ,2,FALSE)*VLOOKUP(LEFT(B148,FIND(".",B148,1)-1),$B$4:$AZ$68,48,FALSE),0)),0)</f>
        <v>0</v>
      </c>
      <c r="BH148" s="308">
        <f t="shared" si="137"/>
        <v>0</v>
      </c>
      <c r="BI148" s="308">
        <f>IFERROR(IF(_xlfn.NUMBERVALUE(RIGHT(B148,LEN(B148)-FIND(".",B148,1)))=COUNTIF('Contorizare in SDI'!$B:$B,LEFT(B148,FIND(".",B148,1)-1))-1,IF((COUNTIF('Contorizare in SDI'!$B:$B,LEFT(B148,FIND(".",B148,1)-1))-1)=1,VLOOKUP(LEFT(B148,FIND(".",B148,1)-1),$B$4:$AZ$68,49,FALSE),VLOOKUP(LEFT(B148,FIND(".",B148,1)-1),$B$4:$AZ$68,49,FALSE)-BJ147),ROUNDUP(V148/VLOOKUP(LEFT(B148,FIND(".",B148,1)-1),$AY:$AZ,2,FALSE)*VLOOKUP(LEFT(B148,FIND(".",B148,1)-1),$B$4:$AZ$68,49,FALSE),0)),0)</f>
        <v>0</v>
      </c>
      <c r="BJ148" s="308">
        <f t="shared" si="138"/>
        <v>0</v>
      </c>
      <c r="BP148" s="44">
        <f t="shared" si="139"/>
        <v>0</v>
      </c>
      <c r="BQ148" s="1">
        <v>0</v>
      </c>
      <c r="BR148" s="1">
        <v>0</v>
      </c>
      <c r="BS148" s="16">
        <f t="shared" si="116"/>
        <v>0</v>
      </c>
      <c r="BT148" s="16">
        <f t="shared" si="117"/>
        <v>0</v>
      </c>
      <c r="BU148" s="16">
        <f t="shared" si="118"/>
        <v>0</v>
      </c>
      <c r="BV148" s="16">
        <f t="shared" si="119"/>
        <v>0</v>
      </c>
      <c r="BX148" s="1" t="str">
        <f t="shared" si="106"/>
        <v/>
      </c>
      <c r="BY148" s="1">
        <f t="shared" si="107"/>
        <v>0</v>
      </c>
      <c r="BZ148" s="1">
        <f t="shared" si="140"/>
        <v>0</v>
      </c>
      <c r="CA148" s="1">
        <f t="shared" si="141"/>
        <v>0</v>
      </c>
      <c r="CB148" s="1">
        <f t="shared" si="142"/>
        <v>0</v>
      </c>
      <c r="CC148" s="1">
        <f t="shared" si="143"/>
        <v>0</v>
      </c>
      <c r="CD148" s="1">
        <f t="shared" si="144"/>
        <v>0</v>
      </c>
      <c r="CE148" s="1">
        <f t="shared" si="145"/>
        <v>0</v>
      </c>
      <c r="CR148" s="30" t="s">
        <v>563</v>
      </c>
      <c r="CS148" s="291">
        <v>48732</v>
      </c>
      <c r="CT148" s="291">
        <v>0</v>
      </c>
      <c r="CU148" s="291">
        <v>0</v>
      </c>
      <c r="CV148" s="291">
        <v>0</v>
      </c>
      <c r="CW148" s="29" t="s">
        <v>993</v>
      </c>
      <c r="CX148" s="312">
        <v>731</v>
      </c>
      <c r="CY148" s="184">
        <v>0</v>
      </c>
      <c r="CZ148" s="88">
        <v>0</v>
      </c>
      <c r="DA148" s="88">
        <v>0</v>
      </c>
      <c r="DB148" s="29" t="s">
        <v>69</v>
      </c>
      <c r="DC148" s="87">
        <v>0</v>
      </c>
      <c r="DD148" s="88">
        <v>0</v>
      </c>
      <c r="DE148" s="88">
        <v>0</v>
      </c>
      <c r="DF148" s="88">
        <v>0</v>
      </c>
      <c r="DG148" s="88">
        <v>0</v>
      </c>
      <c r="DH148" s="88">
        <v>0</v>
      </c>
      <c r="DI148" s="321">
        <v>0</v>
      </c>
      <c r="DJ148" s="88">
        <v>0</v>
      </c>
    </row>
    <row r="149" spans="1:114" ht="17.25" thickTop="1" thickBot="1">
      <c r="A149" s="531">
        <f t="shared" si="120"/>
        <v>146</v>
      </c>
      <c r="B149" s="38" t="s">
        <v>641</v>
      </c>
      <c r="C149" s="17" t="s">
        <v>330</v>
      </c>
      <c r="D149" s="17" t="s">
        <v>945</v>
      </c>
      <c r="E149" s="142" t="str">
        <f t="shared" si="121"/>
        <v>RMEG</v>
      </c>
      <c r="F149" s="16">
        <v>1123343</v>
      </c>
      <c r="G149" s="16">
        <v>1207780</v>
      </c>
      <c r="H149" s="16">
        <v>0</v>
      </c>
      <c r="I149" s="16">
        <v>0</v>
      </c>
      <c r="J149" s="16">
        <v>22697</v>
      </c>
      <c r="K149" s="16">
        <v>22697</v>
      </c>
      <c r="L149" s="16">
        <v>244</v>
      </c>
      <c r="M149" s="16">
        <v>244</v>
      </c>
      <c r="N149" s="12" t="s">
        <v>917</v>
      </c>
      <c r="O149" s="12" t="s">
        <v>1019</v>
      </c>
      <c r="P149" s="12" t="s">
        <v>917</v>
      </c>
      <c r="Q149" s="12" t="s">
        <v>917</v>
      </c>
      <c r="R149" s="12" t="s">
        <v>917</v>
      </c>
      <c r="S149" s="12" t="s">
        <v>1019</v>
      </c>
      <c r="T149" s="12" t="s">
        <v>917</v>
      </c>
      <c r="U149" s="12" t="s">
        <v>1019</v>
      </c>
      <c r="V149" s="22">
        <v>84437</v>
      </c>
      <c r="W149" s="22">
        <v>0</v>
      </c>
      <c r="X149" s="22">
        <v>0</v>
      </c>
      <c r="Y149" s="22">
        <v>0</v>
      </c>
      <c r="Z149" s="171">
        <f t="shared" si="108"/>
        <v>1123343</v>
      </c>
      <c r="AA149" s="130" t="str">
        <f t="shared" si="109"/>
        <v>citit</v>
      </c>
      <c r="AB149" s="176">
        <f t="shared" si="122"/>
        <v>1207780</v>
      </c>
      <c r="AC149" s="12" t="s">
        <v>917</v>
      </c>
      <c r="AD149" s="12">
        <f t="shared" si="110"/>
        <v>0</v>
      </c>
      <c r="AE149" s="12">
        <f t="shared" si="110"/>
        <v>0</v>
      </c>
      <c r="AF149" s="12">
        <f t="shared" si="110"/>
        <v>22697</v>
      </c>
      <c r="AG149" s="12" t="str">
        <f t="shared" si="111"/>
        <v>citit</v>
      </c>
      <c r="AH149" s="176">
        <f t="shared" si="123"/>
        <v>22697</v>
      </c>
      <c r="AI149" s="12" t="s">
        <v>917</v>
      </c>
      <c r="AJ149" s="12">
        <f t="shared" si="112"/>
        <v>244</v>
      </c>
      <c r="AK149" s="12" t="str">
        <f t="shared" si="113"/>
        <v>citit</v>
      </c>
      <c r="AL149" s="175">
        <f t="shared" si="124"/>
        <v>244</v>
      </c>
      <c r="AM149" s="159" t="s">
        <v>917</v>
      </c>
      <c r="AN149" s="154">
        <f t="shared" si="125"/>
        <v>84437</v>
      </c>
      <c r="AO149" s="14">
        <f t="shared" si="126"/>
        <v>0</v>
      </c>
      <c r="AP149" s="147">
        <f t="shared" si="127"/>
        <v>0</v>
      </c>
      <c r="AQ149" s="147">
        <f t="shared" si="128"/>
        <v>0</v>
      </c>
      <c r="AR149" s="16">
        <v>0</v>
      </c>
      <c r="AS149" s="16">
        <v>0</v>
      </c>
      <c r="AT149" s="1">
        <f t="shared" si="129"/>
        <v>0</v>
      </c>
      <c r="AU149" s="154">
        <f t="shared" si="130"/>
        <v>0</v>
      </c>
      <c r="AV149" s="154">
        <f t="shared" si="131"/>
        <v>0</v>
      </c>
      <c r="AW149" s="154">
        <f t="shared" si="132"/>
        <v>0</v>
      </c>
      <c r="AX149" s="154">
        <f t="shared" si="133"/>
        <v>0</v>
      </c>
      <c r="AY149" s="308" t="str">
        <f t="shared" si="114"/>
        <v>-</v>
      </c>
      <c r="AZ149" s="308">
        <f t="shared" si="115"/>
        <v>84437</v>
      </c>
      <c r="BA149" s="308">
        <f>IFERROR(IF(_xlfn.NUMBERVALUE(RIGHT(B149,LEN(B149)-FIND(".",B149,1)))=COUNTIF('Contorizare in SDI'!$B:$B,LEFT(B149,FIND(".",B149,1)-1))-1,IF((COUNTIF('Contorizare in SDI'!$B:$B,LEFT(B149,FIND(".",B149,1)-1))-1)=1,VLOOKUP(LEFT(B149,FIND(".",B149,1)-1),$B$4:$AZ$68,45,FALSE),VLOOKUP(LEFT(B149,FIND(".",B149,1)-1),$B$4:$AZ$68,45,FALSE)-BB148),ROUNDUP(V149/VLOOKUP(LEFT(B149,FIND(".",B149,1)-1),$AY:$AZ,2,FALSE)*VLOOKUP(LEFT(B149,FIND(".",B149,1)-1),$B$4:$AZ$68,45,FALSE),0)),0)</f>
        <v>0</v>
      </c>
      <c r="BB149" s="308">
        <f t="shared" si="134"/>
        <v>0</v>
      </c>
      <c r="BC149" s="308">
        <f>IFERROR(IF(_xlfn.NUMBERVALUE(RIGHT(B149,LEN(B149)-FIND(".",B149,1)))=COUNTIF('Contorizare in SDI'!$B:$B,LEFT(B149,FIND(".",B149,1)-1))-1,IF((COUNTIF('Contorizare in SDI'!$B:$B,LEFT(B149,FIND(".",B149,1)-1))-1)=1,VLOOKUP(LEFT(B149,FIND(".",B149,1)-1),$B$4:$AZ$68,46,FALSE),VLOOKUP(LEFT(B149,FIND(".",B149,1)-1),$B$4:$AZ$68,46,FALSE)-BD148),ROUNDUP(V149/VLOOKUP(LEFT(B149,FIND(".",B149,1)-1),$AY:$AZ,2,FALSE)*VLOOKUP(LEFT(B149,FIND(".",B149,1)-1),$B$4:$AZ$68,46,FALSE),0)),0)</f>
        <v>0</v>
      </c>
      <c r="BD149" s="308">
        <f t="shared" si="135"/>
        <v>0</v>
      </c>
      <c r="BE149" s="308">
        <f>IFERROR(IF(_xlfn.NUMBERVALUE(RIGHT(B149,LEN(B149)-FIND(".",B149,1)))=COUNTIF('Contorizare in SDI'!$B:$B,LEFT(B149,FIND(".",B149,1)-1))-1,IF((COUNTIF('Contorizare in SDI'!$B:$B,LEFT(B149,FIND(".",B149,1)-1))-1)=1,VLOOKUP(LEFT(B149,FIND(".",B149,1)-1),$B$4:$AZ$68,47,FALSE),VLOOKUP(LEFT(B149,FIND(".",B149,1)-1),$B$4:$AZ$68,47,FALSE)-BF148),ROUNDUP(V149/VLOOKUP(LEFT(B149,FIND(".",B149,1)-1),$AY:$AZ,2,FALSE)*VLOOKUP(LEFT(B149,FIND(".",B149,1)-1),$B$4:$AZ$68,47,FALSE),0)),0)</f>
        <v>0</v>
      </c>
      <c r="BF149" s="308">
        <f t="shared" si="136"/>
        <v>0</v>
      </c>
      <c r="BG149" s="308">
        <f>IFERROR(IF(_xlfn.NUMBERVALUE(RIGHT(B149,LEN(B149)-FIND(".",B149,1)))=COUNTIF('Contorizare in SDI'!$B:$B,LEFT(B149,FIND(".",B149,1)-1))-1,IF((COUNTIF('Contorizare in SDI'!$B:$B,LEFT(B149,FIND(".",B149,1)-1))-1)=1,VLOOKUP(LEFT(B149,FIND(".",B149,1)-1),$B$4:$AZ$68,48,FALSE),VLOOKUP(LEFT(B149,FIND(".",B149,1)-1),$B$4:$AZ$68,48,FALSE)-BH148),ROUNDUP(V149/VLOOKUP(LEFT(B149,FIND(".",B149,1)-1),$AY:$AZ,2,FALSE)*VLOOKUP(LEFT(B149,FIND(".",B149,1)-1),$B$4:$AZ$68,48,FALSE),0)),0)</f>
        <v>0</v>
      </c>
      <c r="BH149" s="308">
        <f t="shared" si="137"/>
        <v>0</v>
      </c>
      <c r="BI149" s="308">
        <f>IFERROR(IF(_xlfn.NUMBERVALUE(RIGHT(B149,LEN(B149)-FIND(".",B149,1)))=COUNTIF('Contorizare in SDI'!$B:$B,LEFT(B149,FIND(".",B149,1)-1))-1,IF((COUNTIF('Contorizare in SDI'!$B:$B,LEFT(B149,FIND(".",B149,1)-1))-1)=1,VLOOKUP(LEFT(B149,FIND(".",B149,1)-1),$B$4:$AZ$68,49,FALSE),VLOOKUP(LEFT(B149,FIND(".",B149,1)-1),$B$4:$AZ$68,49,FALSE)-BJ148),ROUNDUP(V149/VLOOKUP(LEFT(B149,FIND(".",B149,1)-1),$AY:$AZ,2,FALSE)*VLOOKUP(LEFT(B149,FIND(".",B149,1)-1),$B$4:$AZ$68,49,FALSE),0)),0)</f>
        <v>0</v>
      </c>
      <c r="BJ149" s="308">
        <f t="shared" si="138"/>
        <v>0</v>
      </c>
      <c r="BP149" s="44">
        <f t="shared" si="139"/>
        <v>0</v>
      </c>
      <c r="BQ149" s="1">
        <v>0</v>
      </c>
      <c r="BR149" s="1">
        <v>0</v>
      </c>
      <c r="BS149" s="16">
        <f t="shared" si="116"/>
        <v>0</v>
      </c>
      <c r="BT149" s="16">
        <f t="shared" si="117"/>
        <v>0</v>
      </c>
      <c r="BU149" s="16">
        <f t="shared" si="118"/>
        <v>0</v>
      </c>
      <c r="BV149" s="16">
        <f t="shared" si="119"/>
        <v>0</v>
      </c>
      <c r="BX149" s="1" t="str">
        <f t="shared" si="106"/>
        <v/>
      </c>
      <c r="BY149" s="1">
        <f t="shared" si="107"/>
        <v>0</v>
      </c>
      <c r="BZ149" s="1">
        <f t="shared" si="140"/>
        <v>0</v>
      </c>
      <c r="CA149" s="1">
        <f t="shared" si="141"/>
        <v>0</v>
      </c>
      <c r="CB149" s="1">
        <f t="shared" si="142"/>
        <v>0</v>
      </c>
      <c r="CC149" s="1">
        <f t="shared" si="143"/>
        <v>0</v>
      </c>
      <c r="CD149" s="1">
        <f t="shared" si="144"/>
        <v>0</v>
      </c>
      <c r="CE149" s="1">
        <f t="shared" si="145"/>
        <v>0</v>
      </c>
      <c r="CR149" s="30" t="s">
        <v>564</v>
      </c>
      <c r="CS149" s="291">
        <v>34790</v>
      </c>
      <c r="CT149" s="291">
        <v>0</v>
      </c>
      <c r="CU149" s="291">
        <v>0</v>
      </c>
      <c r="CV149" s="291">
        <v>0</v>
      </c>
      <c r="CW149" s="29" t="s">
        <v>657</v>
      </c>
      <c r="CX149" s="312">
        <v>34268</v>
      </c>
      <c r="CY149" s="317">
        <v>0</v>
      </c>
      <c r="CZ149" s="88">
        <v>1461</v>
      </c>
      <c r="DA149" s="88">
        <v>2675</v>
      </c>
      <c r="DB149" s="29" t="s">
        <v>694</v>
      </c>
      <c r="DC149" s="87">
        <v>0</v>
      </c>
      <c r="DD149" s="88">
        <v>35067</v>
      </c>
      <c r="DE149" s="88">
        <v>2</v>
      </c>
      <c r="DF149" s="88">
        <v>770</v>
      </c>
      <c r="DG149" s="88">
        <v>34268</v>
      </c>
      <c r="DH149" s="88">
        <v>35067</v>
      </c>
      <c r="DI149" s="321">
        <v>0</v>
      </c>
      <c r="DJ149" s="88">
        <v>522</v>
      </c>
    </row>
    <row r="150" spans="1:114" ht="17.25" thickTop="1" thickBot="1">
      <c r="A150" s="531">
        <f t="shared" si="120"/>
        <v>147</v>
      </c>
      <c r="B150" s="38" t="s">
        <v>642</v>
      </c>
      <c r="C150" s="17" t="s">
        <v>332</v>
      </c>
      <c r="D150" s="17" t="s">
        <v>946</v>
      </c>
      <c r="E150" s="142" t="str">
        <f t="shared" si="121"/>
        <v>RMEG</v>
      </c>
      <c r="F150" s="16">
        <v>1123343</v>
      </c>
      <c r="G150" s="16">
        <v>1207780</v>
      </c>
      <c r="H150" s="16">
        <v>0</v>
      </c>
      <c r="I150" s="16">
        <v>0</v>
      </c>
      <c r="J150" s="16">
        <v>22697</v>
      </c>
      <c r="K150" s="16">
        <v>22697</v>
      </c>
      <c r="L150" s="16">
        <v>244</v>
      </c>
      <c r="M150" s="16">
        <v>244</v>
      </c>
      <c r="N150" s="12" t="s">
        <v>917</v>
      </c>
      <c r="O150" s="12" t="s">
        <v>1019</v>
      </c>
      <c r="P150" s="12" t="s">
        <v>917</v>
      </c>
      <c r="Q150" s="12" t="s">
        <v>917</v>
      </c>
      <c r="R150" s="12" t="s">
        <v>917</v>
      </c>
      <c r="S150" s="12" t="s">
        <v>1019</v>
      </c>
      <c r="T150" s="12" t="s">
        <v>917</v>
      </c>
      <c r="U150" s="12" t="s">
        <v>1019</v>
      </c>
      <c r="V150" s="22">
        <v>84437</v>
      </c>
      <c r="W150" s="22">
        <v>0</v>
      </c>
      <c r="X150" s="22">
        <v>0</v>
      </c>
      <c r="Y150" s="22">
        <v>0</v>
      </c>
      <c r="Z150" s="171">
        <f t="shared" si="108"/>
        <v>1123343</v>
      </c>
      <c r="AA150" s="130" t="str">
        <f t="shared" si="109"/>
        <v>citit</v>
      </c>
      <c r="AB150" s="176">
        <f t="shared" si="122"/>
        <v>1207780</v>
      </c>
      <c r="AC150" s="12" t="s">
        <v>917</v>
      </c>
      <c r="AD150" s="12">
        <f t="shared" si="110"/>
        <v>0</v>
      </c>
      <c r="AE150" s="12">
        <f t="shared" si="110"/>
        <v>0</v>
      </c>
      <c r="AF150" s="12">
        <f t="shared" si="110"/>
        <v>22697</v>
      </c>
      <c r="AG150" s="12" t="str">
        <f t="shared" si="111"/>
        <v>citit</v>
      </c>
      <c r="AH150" s="176">
        <f t="shared" si="123"/>
        <v>22697</v>
      </c>
      <c r="AI150" s="12" t="s">
        <v>917</v>
      </c>
      <c r="AJ150" s="12">
        <f t="shared" si="112"/>
        <v>244</v>
      </c>
      <c r="AK150" s="12" t="str">
        <f t="shared" si="113"/>
        <v>citit</v>
      </c>
      <c r="AL150" s="175">
        <f t="shared" si="124"/>
        <v>244</v>
      </c>
      <c r="AM150" s="159" t="s">
        <v>917</v>
      </c>
      <c r="AN150" s="154">
        <f t="shared" si="125"/>
        <v>84437</v>
      </c>
      <c r="AO150" s="14">
        <f t="shared" si="126"/>
        <v>0</v>
      </c>
      <c r="AP150" s="147">
        <f t="shared" si="127"/>
        <v>0</v>
      </c>
      <c r="AQ150" s="147">
        <f t="shared" si="128"/>
        <v>0</v>
      </c>
      <c r="AR150" s="16">
        <v>0</v>
      </c>
      <c r="AS150" s="16">
        <v>0</v>
      </c>
      <c r="AT150" s="1">
        <f t="shared" si="129"/>
        <v>0</v>
      </c>
      <c r="AU150" s="154">
        <f t="shared" si="130"/>
        <v>0</v>
      </c>
      <c r="AV150" s="154">
        <f t="shared" si="131"/>
        <v>0</v>
      </c>
      <c r="AW150" s="154">
        <f t="shared" si="132"/>
        <v>0</v>
      </c>
      <c r="AX150" s="154">
        <f t="shared" si="133"/>
        <v>0</v>
      </c>
      <c r="AY150" s="308" t="str">
        <f t="shared" si="114"/>
        <v>-</v>
      </c>
      <c r="AZ150" s="308">
        <f t="shared" si="115"/>
        <v>168874</v>
      </c>
      <c r="BA150" s="308">
        <f>IFERROR(IF(_xlfn.NUMBERVALUE(RIGHT(B150,LEN(B150)-FIND(".",B150,1)))=COUNTIF('Contorizare in SDI'!$B:$B,LEFT(B150,FIND(".",B150,1)-1))-1,IF((COUNTIF('Contorizare in SDI'!$B:$B,LEFT(B150,FIND(".",B150,1)-1))-1)=1,VLOOKUP(LEFT(B150,FIND(".",B150,1)-1),$B$4:$AZ$68,45,FALSE),VLOOKUP(LEFT(B150,FIND(".",B150,1)-1),$B$4:$AZ$68,45,FALSE)-BB149),ROUNDUP(V150/VLOOKUP(LEFT(B150,FIND(".",B150,1)-1),$AY:$AZ,2,FALSE)*VLOOKUP(LEFT(B150,FIND(".",B150,1)-1),$B$4:$AZ$68,45,FALSE),0)),0)</f>
        <v>0</v>
      </c>
      <c r="BB150" s="308">
        <f t="shared" si="134"/>
        <v>0</v>
      </c>
      <c r="BC150" s="308">
        <f>IFERROR(IF(_xlfn.NUMBERVALUE(RIGHT(B150,LEN(B150)-FIND(".",B150,1)))=COUNTIF('Contorizare in SDI'!$B:$B,LEFT(B150,FIND(".",B150,1)-1))-1,IF((COUNTIF('Contorizare in SDI'!$B:$B,LEFT(B150,FIND(".",B150,1)-1))-1)=1,VLOOKUP(LEFT(B150,FIND(".",B150,1)-1),$B$4:$AZ$68,46,FALSE),VLOOKUP(LEFT(B150,FIND(".",B150,1)-1),$B$4:$AZ$68,46,FALSE)-BD149),ROUNDUP(V150/VLOOKUP(LEFT(B150,FIND(".",B150,1)-1),$AY:$AZ,2,FALSE)*VLOOKUP(LEFT(B150,FIND(".",B150,1)-1),$B$4:$AZ$68,46,FALSE),0)),0)</f>
        <v>0</v>
      </c>
      <c r="BD150" s="308">
        <f t="shared" si="135"/>
        <v>0</v>
      </c>
      <c r="BE150" s="308">
        <f>IFERROR(IF(_xlfn.NUMBERVALUE(RIGHT(B150,LEN(B150)-FIND(".",B150,1)))=COUNTIF('Contorizare in SDI'!$B:$B,LEFT(B150,FIND(".",B150,1)-1))-1,IF((COUNTIF('Contorizare in SDI'!$B:$B,LEFT(B150,FIND(".",B150,1)-1))-1)=1,VLOOKUP(LEFT(B150,FIND(".",B150,1)-1),$B$4:$AZ$68,47,FALSE),VLOOKUP(LEFT(B150,FIND(".",B150,1)-1),$B$4:$AZ$68,47,FALSE)-BF149),ROUNDUP(V150/VLOOKUP(LEFT(B150,FIND(".",B150,1)-1),$AY:$AZ,2,FALSE)*VLOOKUP(LEFT(B150,FIND(".",B150,1)-1),$B$4:$AZ$68,47,FALSE),0)),0)</f>
        <v>0</v>
      </c>
      <c r="BF150" s="308">
        <f t="shared" si="136"/>
        <v>0</v>
      </c>
      <c r="BG150" s="308">
        <f>IFERROR(IF(_xlfn.NUMBERVALUE(RIGHT(B150,LEN(B150)-FIND(".",B150,1)))=COUNTIF('Contorizare in SDI'!$B:$B,LEFT(B150,FIND(".",B150,1)-1))-1,IF((COUNTIF('Contorizare in SDI'!$B:$B,LEFT(B150,FIND(".",B150,1)-1))-1)=1,VLOOKUP(LEFT(B150,FIND(".",B150,1)-1),$B$4:$AZ$68,48,FALSE),VLOOKUP(LEFT(B150,FIND(".",B150,1)-1),$B$4:$AZ$68,48,FALSE)-BH149),ROUNDUP(V150/VLOOKUP(LEFT(B150,FIND(".",B150,1)-1),$AY:$AZ,2,FALSE)*VLOOKUP(LEFT(B150,FIND(".",B150,1)-1),$B$4:$AZ$68,48,FALSE),0)),0)</f>
        <v>0</v>
      </c>
      <c r="BH150" s="308">
        <f t="shared" si="137"/>
        <v>0</v>
      </c>
      <c r="BI150" s="308">
        <f>IFERROR(IF(_xlfn.NUMBERVALUE(RIGHT(B150,LEN(B150)-FIND(".",B150,1)))=COUNTIF('Contorizare in SDI'!$B:$B,LEFT(B150,FIND(".",B150,1)-1))-1,IF((COUNTIF('Contorizare in SDI'!$B:$B,LEFT(B150,FIND(".",B150,1)-1))-1)=1,VLOOKUP(LEFT(B150,FIND(".",B150,1)-1),$B$4:$AZ$68,49,FALSE),VLOOKUP(LEFT(B150,FIND(".",B150,1)-1),$B$4:$AZ$68,49,FALSE)-BJ149),ROUNDUP(V150/VLOOKUP(LEFT(B150,FIND(".",B150,1)-1),$AY:$AZ,2,FALSE)*VLOOKUP(LEFT(B150,FIND(".",B150,1)-1),$B$4:$AZ$68,49,FALSE),0)),0)</f>
        <v>0</v>
      </c>
      <c r="BJ150" s="308">
        <f t="shared" si="138"/>
        <v>0</v>
      </c>
      <c r="BP150" s="44">
        <f t="shared" si="139"/>
        <v>0</v>
      </c>
      <c r="BQ150" s="1">
        <v>0</v>
      </c>
      <c r="BR150" s="1">
        <v>0</v>
      </c>
      <c r="BS150" s="16">
        <f t="shared" si="116"/>
        <v>0</v>
      </c>
      <c r="BT150" s="16">
        <f t="shared" si="117"/>
        <v>0</v>
      </c>
      <c r="BU150" s="16">
        <f t="shared" si="118"/>
        <v>0</v>
      </c>
      <c r="BV150" s="16">
        <f t="shared" si="119"/>
        <v>0</v>
      </c>
      <c r="BX150" s="1" t="str">
        <f t="shared" si="106"/>
        <v/>
      </c>
      <c r="BY150" s="1">
        <f t="shared" si="107"/>
        <v>0</v>
      </c>
      <c r="BZ150" s="1">
        <f t="shared" si="140"/>
        <v>0</v>
      </c>
      <c r="CA150" s="1">
        <f t="shared" si="141"/>
        <v>0</v>
      </c>
      <c r="CB150" s="1">
        <f t="shared" si="142"/>
        <v>0</v>
      </c>
      <c r="CC150" s="1">
        <f t="shared" si="143"/>
        <v>0</v>
      </c>
      <c r="CD150" s="1">
        <f t="shared" si="144"/>
        <v>0</v>
      </c>
      <c r="CE150" s="1">
        <f t="shared" si="145"/>
        <v>0</v>
      </c>
      <c r="CR150" s="30" t="s">
        <v>564</v>
      </c>
      <c r="CS150" s="291">
        <v>34790</v>
      </c>
      <c r="CT150" s="291">
        <v>0</v>
      </c>
      <c r="CU150" s="291">
        <v>0</v>
      </c>
      <c r="CV150" s="291">
        <v>0</v>
      </c>
      <c r="CW150" s="29" t="s">
        <v>994</v>
      </c>
      <c r="CX150" s="312">
        <v>522</v>
      </c>
      <c r="CY150" s="184">
        <v>0</v>
      </c>
      <c r="CZ150" s="88">
        <v>0</v>
      </c>
      <c r="DA150" s="88">
        <v>0</v>
      </c>
      <c r="DB150" s="29" t="s">
        <v>69</v>
      </c>
      <c r="DC150" s="87">
        <v>0</v>
      </c>
      <c r="DD150" s="88">
        <v>0</v>
      </c>
      <c r="DE150" s="88">
        <v>0</v>
      </c>
      <c r="DF150" s="88">
        <v>0</v>
      </c>
      <c r="DG150" s="88">
        <v>0</v>
      </c>
      <c r="DH150" s="88">
        <v>0</v>
      </c>
      <c r="DI150" s="321">
        <v>0</v>
      </c>
      <c r="DJ150" s="88">
        <v>0</v>
      </c>
    </row>
    <row r="151" spans="1:114" ht="17.25" thickTop="1" thickBot="1">
      <c r="A151" s="531">
        <f t="shared" si="120"/>
        <v>148</v>
      </c>
      <c r="B151" s="38" t="s">
        <v>643</v>
      </c>
      <c r="C151" s="17" t="s">
        <v>334</v>
      </c>
      <c r="D151" s="17" t="s">
        <v>947</v>
      </c>
      <c r="E151" s="142" t="str">
        <f t="shared" si="121"/>
        <v>RMEG</v>
      </c>
      <c r="F151" s="16">
        <v>1123343</v>
      </c>
      <c r="G151" s="16">
        <v>1207780</v>
      </c>
      <c r="H151" s="16">
        <v>0</v>
      </c>
      <c r="I151" s="16">
        <v>0</v>
      </c>
      <c r="J151" s="16">
        <v>22697</v>
      </c>
      <c r="K151" s="16">
        <v>22697</v>
      </c>
      <c r="L151" s="16">
        <v>244</v>
      </c>
      <c r="M151" s="16">
        <v>244</v>
      </c>
      <c r="N151" s="12" t="s">
        <v>917</v>
      </c>
      <c r="O151" s="12" t="s">
        <v>1019</v>
      </c>
      <c r="P151" s="12" t="s">
        <v>917</v>
      </c>
      <c r="Q151" s="12" t="s">
        <v>917</v>
      </c>
      <c r="R151" s="12" t="s">
        <v>917</v>
      </c>
      <c r="S151" s="12" t="s">
        <v>1019</v>
      </c>
      <c r="T151" s="12" t="s">
        <v>917</v>
      </c>
      <c r="U151" s="12" t="s">
        <v>1019</v>
      </c>
      <c r="V151" s="22">
        <v>84437</v>
      </c>
      <c r="W151" s="22">
        <v>0</v>
      </c>
      <c r="X151" s="22">
        <v>0</v>
      </c>
      <c r="Y151" s="22">
        <v>0</v>
      </c>
      <c r="Z151" s="171">
        <f t="shared" si="108"/>
        <v>1123343</v>
      </c>
      <c r="AA151" s="130" t="str">
        <f t="shared" si="109"/>
        <v>citit</v>
      </c>
      <c r="AB151" s="176">
        <f t="shared" si="122"/>
        <v>1207780</v>
      </c>
      <c r="AC151" s="12" t="s">
        <v>917</v>
      </c>
      <c r="AD151" s="12">
        <f t="shared" si="110"/>
        <v>0</v>
      </c>
      <c r="AE151" s="12">
        <f t="shared" si="110"/>
        <v>0</v>
      </c>
      <c r="AF151" s="12">
        <f t="shared" si="110"/>
        <v>22697</v>
      </c>
      <c r="AG151" s="12" t="str">
        <f t="shared" si="111"/>
        <v>citit</v>
      </c>
      <c r="AH151" s="176">
        <f t="shared" si="123"/>
        <v>22697</v>
      </c>
      <c r="AI151" s="12" t="s">
        <v>917</v>
      </c>
      <c r="AJ151" s="12">
        <f t="shared" si="112"/>
        <v>244</v>
      </c>
      <c r="AK151" s="12" t="str">
        <f t="shared" si="113"/>
        <v>citit</v>
      </c>
      <c r="AL151" s="175">
        <f t="shared" si="124"/>
        <v>244</v>
      </c>
      <c r="AM151" s="159" t="s">
        <v>917</v>
      </c>
      <c r="AN151" s="154">
        <f t="shared" si="125"/>
        <v>84437</v>
      </c>
      <c r="AO151" s="14">
        <f t="shared" si="126"/>
        <v>0</v>
      </c>
      <c r="AP151" s="147">
        <f t="shared" si="127"/>
        <v>0</v>
      </c>
      <c r="AQ151" s="147">
        <f t="shared" si="128"/>
        <v>0</v>
      </c>
      <c r="AR151" s="16">
        <v>0</v>
      </c>
      <c r="AS151" s="16">
        <v>0</v>
      </c>
      <c r="AT151" s="1">
        <f t="shared" si="129"/>
        <v>0</v>
      </c>
      <c r="AU151" s="154">
        <f t="shared" si="130"/>
        <v>0</v>
      </c>
      <c r="AV151" s="154">
        <f t="shared" si="131"/>
        <v>0</v>
      </c>
      <c r="AW151" s="154">
        <f t="shared" si="132"/>
        <v>0</v>
      </c>
      <c r="AX151" s="154">
        <f t="shared" si="133"/>
        <v>0</v>
      </c>
      <c r="AY151" s="308" t="str">
        <f t="shared" si="114"/>
        <v>-</v>
      </c>
      <c r="AZ151" s="308">
        <f t="shared" si="115"/>
        <v>253311</v>
      </c>
      <c r="BA151" s="308">
        <f>IFERROR(IF(_xlfn.NUMBERVALUE(RIGHT(B151,LEN(B151)-FIND(".",B151,1)))=COUNTIF('Contorizare in SDI'!$B:$B,LEFT(B151,FIND(".",B151,1)-1))-1,IF((COUNTIF('Contorizare in SDI'!$B:$B,LEFT(B151,FIND(".",B151,1)-1))-1)=1,VLOOKUP(LEFT(B151,FIND(".",B151,1)-1),$B$4:$AZ$68,45,FALSE),VLOOKUP(LEFT(B151,FIND(".",B151,1)-1),$B$4:$AZ$68,45,FALSE)-BB150),ROUNDUP(V151/VLOOKUP(LEFT(B151,FIND(".",B151,1)-1),$AY:$AZ,2,FALSE)*VLOOKUP(LEFT(B151,FIND(".",B151,1)-1),$B$4:$AZ$68,45,FALSE),0)),0)</f>
        <v>0</v>
      </c>
      <c r="BB151" s="308">
        <f t="shared" si="134"/>
        <v>0</v>
      </c>
      <c r="BC151" s="308">
        <f>IFERROR(IF(_xlfn.NUMBERVALUE(RIGHT(B151,LEN(B151)-FIND(".",B151,1)))=COUNTIF('Contorizare in SDI'!$B:$B,LEFT(B151,FIND(".",B151,1)-1))-1,IF((COUNTIF('Contorizare in SDI'!$B:$B,LEFT(B151,FIND(".",B151,1)-1))-1)=1,VLOOKUP(LEFT(B151,FIND(".",B151,1)-1),$B$4:$AZ$68,46,FALSE),VLOOKUP(LEFT(B151,FIND(".",B151,1)-1),$B$4:$AZ$68,46,FALSE)-BD150),ROUNDUP(V151/VLOOKUP(LEFT(B151,FIND(".",B151,1)-1),$AY:$AZ,2,FALSE)*VLOOKUP(LEFT(B151,FIND(".",B151,1)-1),$B$4:$AZ$68,46,FALSE),0)),0)</f>
        <v>0</v>
      </c>
      <c r="BD151" s="308">
        <f t="shared" si="135"/>
        <v>0</v>
      </c>
      <c r="BE151" s="308">
        <f>IFERROR(IF(_xlfn.NUMBERVALUE(RIGHT(B151,LEN(B151)-FIND(".",B151,1)))=COUNTIF('Contorizare in SDI'!$B:$B,LEFT(B151,FIND(".",B151,1)-1))-1,IF((COUNTIF('Contorizare in SDI'!$B:$B,LEFT(B151,FIND(".",B151,1)-1))-1)=1,VLOOKUP(LEFT(B151,FIND(".",B151,1)-1),$B$4:$AZ$68,47,FALSE),VLOOKUP(LEFT(B151,FIND(".",B151,1)-1),$B$4:$AZ$68,47,FALSE)-BF150),ROUNDUP(V151/VLOOKUP(LEFT(B151,FIND(".",B151,1)-1),$AY:$AZ,2,FALSE)*VLOOKUP(LEFT(B151,FIND(".",B151,1)-1),$B$4:$AZ$68,47,FALSE),0)),0)</f>
        <v>0</v>
      </c>
      <c r="BF151" s="308">
        <f t="shared" si="136"/>
        <v>0</v>
      </c>
      <c r="BG151" s="308">
        <f>IFERROR(IF(_xlfn.NUMBERVALUE(RIGHT(B151,LEN(B151)-FIND(".",B151,1)))=COUNTIF('Contorizare in SDI'!$B:$B,LEFT(B151,FIND(".",B151,1)-1))-1,IF((COUNTIF('Contorizare in SDI'!$B:$B,LEFT(B151,FIND(".",B151,1)-1))-1)=1,VLOOKUP(LEFT(B151,FIND(".",B151,1)-1),$B$4:$AZ$68,48,FALSE),VLOOKUP(LEFT(B151,FIND(".",B151,1)-1),$B$4:$AZ$68,48,FALSE)-BH150),ROUNDUP(V151/VLOOKUP(LEFT(B151,FIND(".",B151,1)-1),$AY:$AZ,2,FALSE)*VLOOKUP(LEFT(B151,FIND(".",B151,1)-1),$B$4:$AZ$68,48,FALSE),0)),0)</f>
        <v>0</v>
      </c>
      <c r="BH151" s="308">
        <f t="shared" si="137"/>
        <v>0</v>
      </c>
      <c r="BI151" s="308">
        <f>IFERROR(IF(_xlfn.NUMBERVALUE(RIGHT(B151,LEN(B151)-FIND(".",B151,1)))=COUNTIF('Contorizare in SDI'!$B:$B,LEFT(B151,FIND(".",B151,1)-1))-1,IF((COUNTIF('Contorizare in SDI'!$B:$B,LEFT(B151,FIND(".",B151,1)-1))-1)=1,VLOOKUP(LEFT(B151,FIND(".",B151,1)-1),$B$4:$AZ$68,49,FALSE),VLOOKUP(LEFT(B151,FIND(".",B151,1)-1),$B$4:$AZ$68,49,FALSE)-BJ150),ROUNDUP(V151/VLOOKUP(LEFT(B151,FIND(".",B151,1)-1),$AY:$AZ,2,FALSE)*VLOOKUP(LEFT(B151,FIND(".",B151,1)-1),$B$4:$AZ$68,49,FALSE),0)),0)</f>
        <v>0</v>
      </c>
      <c r="BJ151" s="308">
        <f t="shared" si="138"/>
        <v>0</v>
      </c>
      <c r="BP151" s="44">
        <f t="shared" si="139"/>
        <v>0</v>
      </c>
      <c r="BQ151" s="1">
        <v>0</v>
      </c>
      <c r="BR151" s="1">
        <v>0</v>
      </c>
      <c r="BS151" s="16">
        <f t="shared" si="116"/>
        <v>0</v>
      </c>
      <c r="BT151" s="16">
        <f t="shared" si="117"/>
        <v>0</v>
      </c>
      <c r="BU151" s="16">
        <f t="shared" si="118"/>
        <v>0</v>
      </c>
      <c r="BV151" s="16">
        <f t="shared" si="119"/>
        <v>0</v>
      </c>
      <c r="BX151" s="1" t="str">
        <f t="shared" si="106"/>
        <v/>
      </c>
      <c r="BY151" s="1">
        <f t="shared" si="107"/>
        <v>0</v>
      </c>
      <c r="BZ151" s="1">
        <f t="shared" si="140"/>
        <v>0</v>
      </c>
      <c r="CA151" s="1">
        <f t="shared" si="141"/>
        <v>0</v>
      </c>
      <c r="CB151" s="1">
        <f t="shared" si="142"/>
        <v>0</v>
      </c>
      <c r="CC151" s="1">
        <f t="shared" si="143"/>
        <v>0</v>
      </c>
      <c r="CD151" s="1">
        <f t="shared" si="144"/>
        <v>0</v>
      </c>
      <c r="CE151" s="1">
        <f t="shared" si="145"/>
        <v>0</v>
      </c>
      <c r="CR151" s="93" t="s">
        <v>565</v>
      </c>
      <c r="CS151" s="291">
        <v>2675</v>
      </c>
      <c r="CT151" s="291">
        <v>0</v>
      </c>
      <c r="CU151" s="291">
        <v>0</v>
      </c>
      <c r="CV151" s="291">
        <v>0</v>
      </c>
      <c r="CW151" s="97" t="s">
        <v>565</v>
      </c>
      <c r="CX151" s="312">
        <v>2675</v>
      </c>
      <c r="CY151" s="184">
        <v>0</v>
      </c>
      <c r="CZ151" s="88">
        <v>0</v>
      </c>
      <c r="DA151" s="88">
        <v>0</v>
      </c>
      <c r="DB151" s="94" t="s">
        <v>69</v>
      </c>
      <c r="DC151" s="87">
        <v>0</v>
      </c>
      <c r="DD151" s="88">
        <v>0</v>
      </c>
      <c r="DE151" s="88">
        <v>0</v>
      </c>
      <c r="DF151" s="88">
        <v>0</v>
      </c>
      <c r="DG151" s="88">
        <v>2675</v>
      </c>
      <c r="DH151" s="88">
        <v>0</v>
      </c>
      <c r="DI151" s="321">
        <v>0</v>
      </c>
      <c r="DJ151" s="88">
        <v>0</v>
      </c>
    </row>
    <row r="152" spans="1:114" ht="17.25" thickTop="1" thickBot="1">
      <c r="A152" s="531">
        <f t="shared" si="120"/>
        <v>149</v>
      </c>
      <c r="B152" s="38" t="s">
        <v>644</v>
      </c>
      <c r="C152" s="17" t="s">
        <v>336</v>
      </c>
      <c r="D152" s="17" t="s">
        <v>948</v>
      </c>
      <c r="E152" s="142" t="str">
        <f t="shared" si="121"/>
        <v>RMEG</v>
      </c>
      <c r="F152" s="16">
        <v>1479997</v>
      </c>
      <c r="G152" s="16">
        <v>1558118</v>
      </c>
      <c r="H152" s="16">
        <v>0</v>
      </c>
      <c r="I152" s="16">
        <v>0</v>
      </c>
      <c r="J152" s="16">
        <v>22745</v>
      </c>
      <c r="K152" s="16">
        <v>22745</v>
      </c>
      <c r="L152" s="16">
        <v>292</v>
      </c>
      <c r="M152" s="16">
        <v>292</v>
      </c>
      <c r="N152" s="12" t="s">
        <v>917</v>
      </c>
      <c r="O152" s="12" t="s">
        <v>1019</v>
      </c>
      <c r="P152" s="12" t="s">
        <v>917</v>
      </c>
      <c r="Q152" s="12" t="s">
        <v>917</v>
      </c>
      <c r="R152" s="12" t="s">
        <v>917</v>
      </c>
      <c r="S152" s="12" t="s">
        <v>1019</v>
      </c>
      <c r="T152" s="12" t="s">
        <v>917</v>
      </c>
      <c r="U152" s="12" t="s">
        <v>1019</v>
      </c>
      <c r="V152" s="22">
        <v>78121</v>
      </c>
      <c r="W152" s="22">
        <v>0</v>
      </c>
      <c r="X152" s="22">
        <v>0</v>
      </c>
      <c r="Y152" s="22">
        <v>0</v>
      </c>
      <c r="Z152" s="171">
        <f t="shared" si="108"/>
        <v>1479997</v>
      </c>
      <c r="AA152" s="130" t="str">
        <f t="shared" si="109"/>
        <v>citit</v>
      </c>
      <c r="AB152" s="176">
        <f t="shared" si="122"/>
        <v>1558118</v>
      </c>
      <c r="AC152" s="12" t="s">
        <v>917</v>
      </c>
      <c r="AD152" s="12">
        <f t="shared" si="110"/>
        <v>0</v>
      </c>
      <c r="AE152" s="12">
        <f t="shared" si="110"/>
        <v>0</v>
      </c>
      <c r="AF152" s="12">
        <f t="shared" si="110"/>
        <v>22745</v>
      </c>
      <c r="AG152" s="12" t="str">
        <f t="shared" si="111"/>
        <v>citit</v>
      </c>
      <c r="AH152" s="176">
        <f t="shared" si="123"/>
        <v>22745</v>
      </c>
      <c r="AI152" s="12" t="s">
        <v>917</v>
      </c>
      <c r="AJ152" s="12">
        <f t="shared" si="112"/>
        <v>292</v>
      </c>
      <c r="AK152" s="12" t="str">
        <f t="shared" si="113"/>
        <v>citit</v>
      </c>
      <c r="AL152" s="175">
        <f t="shared" si="124"/>
        <v>292</v>
      </c>
      <c r="AM152" s="159" t="s">
        <v>917</v>
      </c>
      <c r="AN152" s="154">
        <f t="shared" si="125"/>
        <v>78121</v>
      </c>
      <c r="AO152" s="14">
        <f t="shared" si="126"/>
        <v>0</v>
      </c>
      <c r="AP152" s="147">
        <f t="shared" si="127"/>
        <v>0</v>
      </c>
      <c r="AQ152" s="147">
        <f t="shared" si="128"/>
        <v>0</v>
      </c>
      <c r="AR152" s="16">
        <v>0</v>
      </c>
      <c r="AS152" s="16">
        <v>0</v>
      </c>
      <c r="AT152" s="1">
        <f t="shared" si="129"/>
        <v>0</v>
      </c>
      <c r="AU152" s="154">
        <f t="shared" si="130"/>
        <v>0</v>
      </c>
      <c r="AV152" s="154">
        <f t="shared" si="131"/>
        <v>0</v>
      </c>
      <c r="AW152" s="154">
        <f t="shared" si="132"/>
        <v>0</v>
      </c>
      <c r="AX152" s="154">
        <f t="shared" si="133"/>
        <v>0</v>
      </c>
      <c r="AY152" s="308" t="str">
        <f t="shared" si="114"/>
        <v>RMEG_3</v>
      </c>
      <c r="AZ152" s="308">
        <f t="shared" si="115"/>
        <v>331432</v>
      </c>
      <c r="BA152" s="308">
        <f>IFERROR(IF(_xlfn.NUMBERVALUE(RIGHT(B152,LEN(B152)-FIND(".",B152,1)))=COUNTIF('Contorizare in SDI'!$B:$B,LEFT(B152,FIND(".",B152,1)-1))-1,IF((COUNTIF('Contorizare in SDI'!$B:$B,LEFT(B152,FIND(".",B152,1)-1))-1)=1,VLOOKUP(LEFT(B152,FIND(".",B152,1)-1),$B$4:$AZ$68,45,FALSE),VLOOKUP(LEFT(B152,FIND(".",B152,1)-1),$B$4:$AZ$68,45,FALSE)-BB151),ROUNDUP(V152/VLOOKUP(LEFT(B152,FIND(".",B152,1)-1),$AY:$AZ,2,FALSE)*VLOOKUP(LEFT(B152,FIND(".",B152,1)-1),$B$4:$AZ$68,45,FALSE),0)),0)</f>
        <v>0</v>
      </c>
      <c r="BB152" s="308">
        <f t="shared" si="134"/>
        <v>0</v>
      </c>
      <c r="BC152" s="308">
        <f>IFERROR(IF(_xlfn.NUMBERVALUE(RIGHT(B152,LEN(B152)-FIND(".",B152,1)))=COUNTIF('Contorizare in SDI'!$B:$B,LEFT(B152,FIND(".",B152,1)-1))-1,IF((COUNTIF('Contorizare in SDI'!$B:$B,LEFT(B152,FIND(".",B152,1)-1))-1)=1,VLOOKUP(LEFT(B152,FIND(".",B152,1)-1),$B$4:$AZ$68,46,FALSE),VLOOKUP(LEFT(B152,FIND(".",B152,1)-1),$B$4:$AZ$68,46,FALSE)-BD151),ROUNDUP(V152/VLOOKUP(LEFT(B152,FIND(".",B152,1)-1),$AY:$AZ,2,FALSE)*VLOOKUP(LEFT(B152,FIND(".",B152,1)-1),$B$4:$AZ$68,46,FALSE),0)),0)</f>
        <v>0</v>
      </c>
      <c r="BD152" s="308">
        <f t="shared" si="135"/>
        <v>0</v>
      </c>
      <c r="BE152" s="308">
        <f>IFERROR(IF(_xlfn.NUMBERVALUE(RIGHT(B152,LEN(B152)-FIND(".",B152,1)))=COUNTIF('Contorizare in SDI'!$B:$B,LEFT(B152,FIND(".",B152,1)-1))-1,IF((COUNTIF('Contorizare in SDI'!$B:$B,LEFT(B152,FIND(".",B152,1)-1))-1)=1,VLOOKUP(LEFT(B152,FIND(".",B152,1)-1),$B$4:$AZ$68,47,FALSE),VLOOKUP(LEFT(B152,FIND(".",B152,1)-1),$B$4:$AZ$68,47,FALSE)-BF151),ROUNDUP(V152/VLOOKUP(LEFT(B152,FIND(".",B152,1)-1),$AY:$AZ,2,FALSE)*VLOOKUP(LEFT(B152,FIND(".",B152,1)-1),$B$4:$AZ$68,47,FALSE),0)),0)</f>
        <v>0</v>
      </c>
      <c r="BF152" s="308">
        <f t="shared" si="136"/>
        <v>0</v>
      </c>
      <c r="BG152" s="308">
        <f>IFERROR(IF(_xlfn.NUMBERVALUE(RIGHT(B152,LEN(B152)-FIND(".",B152,1)))=COUNTIF('Contorizare in SDI'!$B:$B,LEFT(B152,FIND(".",B152,1)-1))-1,IF((COUNTIF('Contorizare in SDI'!$B:$B,LEFT(B152,FIND(".",B152,1)-1))-1)=1,VLOOKUP(LEFT(B152,FIND(".",B152,1)-1),$B$4:$AZ$68,48,FALSE),VLOOKUP(LEFT(B152,FIND(".",B152,1)-1),$B$4:$AZ$68,48,FALSE)-BH151),ROUNDUP(V152/VLOOKUP(LEFT(B152,FIND(".",B152,1)-1),$AY:$AZ,2,FALSE)*VLOOKUP(LEFT(B152,FIND(".",B152,1)-1),$B$4:$AZ$68,48,FALSE),0)),0)</f>
        <v>0</v>
      </c>
      <c r="BH152" s="308">
        <f t="shared" si="137"/>
        <v>0</v>
      </c>
      <c r="BI152" s="308">
        <f>IFERROR(IF(_xlfn.NUMBERVALUE(RIGHT(B152,LEN(B152)-FIND(".",B152,1)))=COUNTIF('Contorizare in SDI'!$B:$B,LEFT(B152,FIND(".",B152,1)-1))-1,IF((COUNTIF('Contorizare in SDI'!$B:$B,LEFT(B152,FIND(".",B152,1)-1))-1)=1,VLOOKUP(LEFT(B152,FIND(".",B152,1)-1),$B$4:$AZ$68,49,FALSE),VLOOKUP(LEFT(B152,FIND(".",B152,1)-1),$B$4:$AZ$68,49,FALSE)-BJ151),ROUNDUP(V152/VLOOKUP(LEFT(B152,FIND(".",B152,1)-1),$AY:$AZ,2,FALSE)*VLOOKUP(LEFT(B152,FIND(".",B152,1)-1),$B$4:$AZ$68,49,FALSE),0)),0)</f>
        <v>0</v>
      </c>
      <c r="BJ152" s="308">
        <f t="shared" si="138"/>
        <v>0</v>
      </c>
      <c r="BP152" s="44">
        <f t="shared" si="139"/>
        <v>0</v>
      </c>
      <c r="BQ152" s="1">
        <v>0</v>
      </c>
      <c r="BR152" s="1">
        <v>0</v>
      </c>
      <c r="BS152" s="16">
        <f t="shared" si="116"/>
        <v>0</v>
      </c>
      <c r="BT152" s="16">
        <f t="shared" si="117"/>
        <v>0</v>
      </c>
      <c r="BU152" s="16">
        <f t="shared" si="118"/>
        <v>0</v>
      </c>
      <c r="BV152" s="16">
        <f t="shared" si="119"/>
        <v>0</v>
      </c>
      <c r="BX152" s="1" t="str">
        <f t="shared" si="106"/>
        <v>RMEG</v>
      </c>
      <c r="BY152" s="1">
        <f t="shared" si="107"/>
        <v>0</v>
      </c>
      <c r="BZ152" s="1">
        <f t="shared" si="140"/>
        <v>0</v>
      </c>
      <c r="CA152" s="1">
        <f t="shared" si="141"/>
        <v>0</v>
      </c>
      <c r="CB152" s="1">
        <f t="shared" si="142"/>
        <v>0</v>
      </c>
      <c r="CC152" s="1">
        <f t="shared" si="143"/>
        <v>0</v>
      </c>
      <c r="CD152" s="1">
        <f t="shared" si="144"/>
        <v>0</v>
      </c>
      <c r="CE152" s="1">
        <f t="shared" si="145"/>
        <v>0</v>
      </c>
      <c r="CR152" s="83" t="s">
        <v>566</v>
      </c>
      <c r="CS152" s="291">
        <v>120345</v>
      </c>
      <c r="CT152" s="291">
        <v>0</v>
      </c>
      <c r="CU152" s="291">
        <v>0</v>
      </c>
      <c r="CV152" s="291">
        <v>0</v>
      </c>
      <c r="CW152" s="84" t="s">
        <v>658</v>
      </c>
      <c r="CX152" s="312">
        <v>52927</v>
      </c>
      <c r="CY152" s="184">
        <v>25438</v>
      </c>
      <c r="CZ152" s="88">
        <v>0</v>
      </c>
      <c r="DA152" s="88">
        <v>0</v>
      </c>
      <c r="DB152" s="94" t="s">
        <v>1132</v>
      </c>
      <c r="DC152" s="87">
        <v>0</v>
      </c>
      <c r="DD152" s="88">
        <v>35618</v>
      </c>
      <c r="DE152" s="88">
        <v>0</v>
      </c>
      <c r="DF152" s="88">
        <v>0</v>
      </c>
      <c r="DG152" s="88">
        <v>52927</v>
      </c>
      <c r="DH152" s="88">
        <v>35618</v>
      </c>
      <c r="DI152" s="1">
        <v>14404</v>
      </c>
      <c r="DJ152" s="88">
        <v>794</v>
      </c>
    </row>
    <row r="153" spans="1:114" ht="17.25" thickTop="1" thickBot="1">
      <c r="A153" s="531">
        <f t="shared" si="120"/>
        <v>150</v>
      </c>
      <c r="B153" s="38" t="s">
        <v>645</v>
      </c>
      <c r="C153" s="17" t="s">
        <v>340</v>
      </c>
      <c r="D153" s="17">
        <v>1372642632</v>
      </c>
      <c r="E153" s="142" t="str">
        <f t="shared" si="121"/>
        <v>RSEV</v>
      </c>
      <c r="F153" s="16">
        <v>1977839</v>
      </c>
      <c r="G153" s="16">
        <v>2066026</v>
      </c>
      <c r="H153" s="16">
        <v>0</v>
      </c>
      <c r="I153" s="16">
        <v>0</v>
      </c>
      <c r="J153" s="16">
        <v>166429</v>
      </c>
      <c r="K153" s="16">
        <v>166429</v>
      </c>
      <c r="L153" s="16">
        <v>46151</v>
      </c>
      <c r="M153" s="16">
        <v>46151</v>
      </c>
      <c r="N153" s="12" t="s">
        <v>917</v>
      </c>
      <c r="O153" s="12" t="s">
        <v>1019</v>
      </c>
      <c r="P153" s="12" t="s">
        <v>917</v>
      </c>
      <c r="Q153" s="12" t="s">
        <v>917</v>
      </c>
      <c r="R153" s="12" t="s">
        <v>917</v>
      </c>
      <c r="S153" s="12" t="s">
        <v>1019</v>
      </c>
      <c r="T153" s="12" t="s">
        <v>917</v>
      </c>
      <c r="U153" s="12" t="s">
        <v>1019</v>
      </c>
      <c r="V153" s="22">
        <v>88187</v>
      </c>
      <c r="W153" s="22">
        <v>0</v>
      </c>
      <c r="X153" s="22">
        <v>0</v>
      </c>
      <c r="Y153" s="22">
        <v>0</v>
      </c>
      <c r="Z153" s="171">
        <f t="shared" si="108"/>
        <v>1977839</v>
      </c>
      <c r="AA153" s="130" t="str">
        <f t="shared" si="109"/>
        <v>citit</v>
      </c>
      <c r="AB153" s="176">
        <f t="shared" si="122"/>
        <v>2066026</v>
      </c>
      <c r="AC153" s="12" t="s">
        <v>917</v>
      </c>
      <c r="AD153" s="12">
        <f t="shared" si="110"/>
        <v>0</v>
      </c>
      <c r="AE153" s="12">
        <f t="shared" si="110"/>
        <v>0</v>
      </c>
      <c r="AF153" s="12">
        <f t="shared" si="110"/>
        <v>166429</v>
      </c>
      <c r="AG153" s="12" t="str">
        <f t="shared" si="111"/>
        <v>citit</v>
      </c>
      <c r="AH153" s="176">
        <f t="shared" si="123"/>
        <v>168876</v>
      </c>
      <c r="AI153" s="12" t="s">
        <v>917</v>
      </c>
      <c r="AJ153" s="12">
        <f t="shared" si="112"/>
        <v>46151</v>
      </c>
      <c r="AK153" s="12" t="str">
        <f t="shared" si="113"/>
        <v>citit</v>
      </c>
      <c r="AL153" s="175">
        <f t="shared" si="124"/>
        <v>46153</v>
      </c>
      <c r="AM153" s="159" t="s">
        <v>917</v>
      </c>
      <c r="AN153" s="154">
        <f t="shared" si="125"/>
        <v>88187</v>
      </c>
      <c r="AO153" s="14">
        <f t="shared" si="126"/>
        <v>0</v>
      </c>
      <c r="AP153" s="147">
        <f t="shared" si="127"/>
        <v>2447</v>
      </c>
      <c r="AQ153" s="147">
        <f t="shared" si="128"/>
        <v>2</v>
      </c>
      <c r="AR153" s="16">
        <v>0</v>
      </c>
      <c r="AS153" s="16">
        <v>0</v>
      </c>
      <c r="AT153" s="1">
        <f t="shared" si="129"/>
        <v>0</v>
      </c>
      <c r="AU153" s="154">
        <f t="shared" si="130"/>
        <v>593</v>
      </c>
      <c r="AV153" s="154">
        <f t="shared" si="131"/>
        <v>1854</v>
      </c>
      <c r="AW153" s="154">
        <f t="shared" si="132"/>
        <v>2</v>
      </c>
      <c r="AX153" s="154">
        <f t="shared" si="133"/>
        <v>0</v>
      </c>
      <c r="AY153" s="308" t="str">
        <f t="shared" si="114"/>
        <v>RSEV_1</v>
      </c>
      <c r="AZ153" s="308">
        <f t="shared" si="115"/>
        <v>88187</v>
      </c>
      <c r="BA153" s="308">
        <f>IFERROR(IF(_xlfn.NUMBERVALUE(RIGHT(B153,LEN(B153)-FIND(".",B153,1)))=COUNTIF('Contorizare in SDI'!$B:$B,LEFT(B153,FIND(".",B153,1)-1))-1,IF((COUNTIF('Contorizare in SDI'!$B:$B,LEFT(B153,FIND(".",B153,1)-1))-1)=1,VLOOKUP(LEFT(B153,FIND(".",B153,1)-1),$B$4:$AZ$68,45,FALSE),VLOOKUP(LEFT(B153,FIND(".",B153,1)-1),$B$4:$AZ$68,45,FALSE)-BB152),ROUNDUP(V153/VLOOKUP(LEFT(B153,FIND(".",B153,1)-1),$AY:$AZ,2,FALSE)*VLOOKUP(LEFT(B153,FIND(".",B153,1)-1),$B$4:$AZ$68,45,FALSE),0)),0)</f>
        <v>0</v>
      </c>
      <c r="BB153" s="308">
        <f t="shared" si="134"/>
        <v>0</v>
      </c>
      <c r="BC153" s="308">
        <f>IFERROR(IF(_xlfn.NUMBERVALUE(RIGHT(B153,LEN(B153)-FIND(".",B153,1)))=COUNTIF('Contorizare in SDI'!$B:$B,LEFT(B153,FIND(".",B153,1)-1))-1,IF((COUNTIF('Contorizare in SDI'!$B:$B,LEFT(B153,FIND(".",B153,1)-1))-1)=1,VLOOKUP(LEFT(B153,FIND(".",B153,1)-1),$B$4:$AZ$68,46,FALSE),VLOOKUP(LEFT(B153,FIND(".",B153,1)-1),$B$4:$AZ$68,46,FALSE)-BD152),ROUNDUP(V153/VLOOKUP(LEFT(B153,FIND(".",B153,1)-1),$AY:$AZ,2,FALSE)*VLOOKUP(LEFT(B153,FIND(".",B153,1)-1),$B$4:$AZ$68,46,FALSE),0)),0)</f>
        <v>593</v>
      </c>
      <c r="BD153" s="308">
        <f t="shared" si="135"/>
        <v>593</v>
      </c>
      <c r="BE153" s="308">
        <f>IFERROR(IF(_xlfn.NUMBERVALUE(RIGHT(B153,LEN(B153)-FIND(".",B153,1)))=COUNTIF('Contorizare in SDI'!$B:$B,LEFT(B153,FIND(".",B153,1)-1))-1,IF((COUNTIF('Contorizare in SDI'!$B:$B,LEFT(B153,FIND(".",B153,1)-1))-1)=1,VLOOKUP(LEFT(B153,FIND(".",B153,1)-1),$B$4:$AZ$68,47,FALSE),VLOOKUP(LEFT(B153,FIND(".",B153,1)-1),$B$4:$AZ$68,47,FALSE)-BF152),ROUNDUP(V153/VLOOKUP(LEFT(B153,FIND(".",B153,1)-1),$AY:$AZ,2,FALSE)*VLOOKUP(LEFT(B153,FIND(".",B153,1)-1),$B$4:$AZ$68,47,FALSE),0)),0)</f>
        <v>1854</v>
      </c>
      <c r="BF153" s="308">
        <f t="shared" si="136"/>
        <v>1854</v>
      </c>
      <c r="BG153" s="308">
        <f>IFERROR(IF(_xlfn.NUMBERVALUE(RIGHT(B153,LEN(B153)-FIND(".",B153,1)))=COUNTIF('Contorizare in SDI'!$B:$B,LEFT(B153,FIND(".",B153,1)-1))-1,IF((COUNTIF('Contorizare in SDI'!$B:$B,LEFT(B153,FIND(".",B153,1)-1))-1)=1,VLOOKUP(LEFT(B153,FIND(".",B153,1)-1),$B$4:$AZ$68,48,FALSE),VLOOKUP(LEFT(B153,FIND(".",B153,1)-1),$B$4:$AZ$68,48,FALSE)-BH152),ROUNDUP(V153/VLOOKUP(LEFT(B153,FIND(".",B153,1)-1),$AY:$AZ,2,FALSE)*VLOOKUP(LEFT(B153,FIND(".",B153,1)-1),$B$4:$AZ$68,48,FALSE),0)),0)</f>
        <v>2</v>
      </c>
      <c r="BH153" s="308">
        <f t="shared" si="137"/>
        <v>2</v>
      </c>
      <c r="BI153" s="308">
        <f>IFERROR(IF(_xlfn.NUMBERVALUE(RIGHT(B153,LEN(B153)-FIND(".",B153,1)))=COUNTIF('Contorizare in SDI'!$B:$B,LEFT(B153,FIND(".",B153,1)-1))-1,IF((COUNTIF('Contorizare in SDI'!$B:$B,LEFT(B153,FIND(".",B153,1)-1))-1)=1,VLOOKUP(LEFT(B153,FIND(".",B153,1)-1),$B$4:$AZ$68,49,FALSE),VLOOKUP(LEFT(B153,FIND(".",B153,1)-1),$B$4:$AZ$68,49,FALSE)-BJ152),ROUNDUP(V153/VLOOKUP(LEFT(B153,FIND(".",B153,1)-1),$AY:$AZ,2,FALSE)*VLOOKUP(LEFT(B153,FIND(".",B153,1)-1),$B$4:$AZ$68,49,FALSE),0)),0)</f>
        <v>0</v>
      </c>
      <c r="BJ153" s="308">
        <f t="shared" si="138"/>
        <v>0</v>
      </c>
      <c r="BP153" s="44">
        <f t="shared" si="139"/>
        <v>0</v>
      </c>
      <c r="BQ153" s="1">
        <v>0</v>
      </c>
      <c r="BR153" s="1">
        <v>0</v>
      </c>
      <c r="BS153" s="16">
        <f t="shared" si="116"/>
        <v>593</v>
      </c>
      <c r="BT153" s="16">
        <f t="shared" si="117"/>
        <v>1854</v>
      </c>
      <c r="BU153" s="16">
        <f t="shared" si="118"/>
        <v>2</v>
      </c>
      <c r="BV153" s="16">
        <f t="shared" si="119"/>
        <v>0</v>
      </c>
      <c r="BX153" s="1" t="str">
        <f t="shared" si="106"/>
        <v/>
      </c>
      <c r="BY153" s="1">
        <f t="shared" si="107"/>
        <v>0</v>
      </c>
      <c r="BZ153" s="1">
        <f t="shared" si="140"/>
        <v>0</v>
      </c>
      <c r="CA153" s="1">
        <f t="shared" si="141"/>
        <v>0</v>
      </c>
      <c r="CB153" s="1">
        <f t="shared" si="142"/>
        <v>593</v>
      </c>
      <c r="CC153" s="1">
        <f t="shared" si="143"/>
        <v>1854</v>
      </c>
      <c r="CD153" s="1">
        <f t="shared" si="144"/>
        <v>2</v>
      </c>
      <c r="CE153" s="1">
        <f t="shared" si="145"/>
        <v>0</v>
      </c>
      <c r="CR153" s="30" t="s">
        <v>566</v>
      </c>
      <c r="CS153" s="291">
        <v>120345</v>
      </c>
      <c r="CT153" s="291">
        <v>0</v>
      </c>
      <c r="CU153" s="291">
        <v>0</v>
      </c>
      <c r="CV153" s="291">
        <v>0</v>
      </c>
      <c r="CW153" s="29" t="s">
        <v>659</v>
      </c>
      <c r="CX153" s="312">
        <v>65612</v>
      </c>
      <c r="CY153" s="184">
        <v>14404</v>
      </c>
      <c r="CZ153" s="88">
        <v>0</v>
      </c>
      <c r="DA153" s="88">
        <v>0</v>
      </c>
      <c r="DB153" s="29" t="s">
        <v>1437</v>
      </c>
      <c r="DC153" s="87">
        <v>0</v>
      </c>
      <c r="DD153" s="88">
        <v>27908</v>
      </c>
      <c r="DE153" s="88">
        <v>0</v>
      </c>
      <c r="DF153" s="88">
        <v>0</v>
      </c>
      <c r="DG153" s="88">
        <v>65612</v>
      </c>
      <c r="DH153" s="88">
        <v>27908</v>
      </c>
      <c r="DI153" s="1">
        <v>25438</v>
      </c>
      <c r="DJ153" s="88">
        <v>1012</v>
      </c>
    </row>
    <row r="154" spans="1:114" ht="17.25" thickTop="1" thickBot="1">
      <c r="A154" s="531">
        <f t="shared" si="120"/>
        <v>151</v>
      </c>
      <c r="B154" s="38" t="s">
        <v>646</v>
      </c>
      <c r="C154" s="17" t="s">
        <v>344</v>
      </c>
      <c r="D154" s="17">
        <v>1372641256</v>
      </c>
      <c r="E154" s="142" t="str">
        <f t="shared" si="121"/>
        <v>RSEV</v>
      </c>
      <c r="F154" s="16">
        <v>2314911</v>
      </c>
      <c r="G154" s="16">
        <v>2417385</v>
      </c>
      <c r="H154" s="16">
        <v>0</v>
      </c>
      <c r="I154" s="16">
        <v>0</v>
      </c>
      <c r="J154" s="16">
        <v>79223</v>
      </c>
      <c r="K154" s="16">
        <v>79223</v>
      </c>
      <c r="L154" s="16">
        <v>39592</v>
      </c>
      <c r="M154" s="16">
        <v>39592</v>
      </c>
      <c r="N154" s="12" t="s">
        <v>917</v>
      </c>
      <c r="O154" s="12" t="s">
        <v>1019</v>
      </c>
      <c r="P154" s="12" t="s">
        <v>917</v>
      </c>
      <c r="Q154" s="12" t="s">
        <v>917</v>
      </c>
      <c r="R154" s="12" t="s">
        <v>917</v>
      </c>
      <c r="S154" s="12" t="s">
        <v>1019</v>
      </c>
      <c r="T154" s="12" t="s">
        <v>917</v>
      </c>
      <c r="U154" s="12" t="s">
        <v>1019</v>
      </c>
      <c r="V154" s="22">
        <v>102474</v>
      </c>
      <c r="W154" s="22">
        <v>0</v>
      </c>
      <c r="X154" s="22">
        <v>0</v>
      </c>
      <c r="Y154" s="22">
        <v>0</v>
      </c>
      <c r="Z154" s="171">
        <f t="shared" si="108"/>
        <v>2314911</v>
      </c>
      <c r="AA154" s="130" t="str">
        <f t="shared" si="109"/>
        <v>citit</v>
      </c>
      <c r="AB154" s="176">
        <f t="shared" si="122"/>
        <v>2417385</v>
      </c>
      <c r="AC154" s="12" t="s">
        <v>917</v>
      </c>
      <c r="AD154" s="12">
        <f t="shared" si="110"/>
        <v>0</v>
      </c>
      <c r="AE154" s="12">
        <f t="shared" si="110"/>
        <v>0</v>
      </c>
      <c r="AF154" s="12">
        <f t="shared" si="110"/>
        <v>79223</v>
      </c>
      <c r="AG154" s="12" t="str">
        <f t="shared" si="111"/>
        <v>citit</v>
      </c>
      <c r="AH154" s="176">
        <f t="shared" si="123"/>
        <v>79328</v>
      </c>
      <c r="AI154" s="12" t="s">
        <v>917</v>
      </c>
      <c r="AJ154" s="12">
        <f t="shared" si="112"/>
        <v>39592</v>
      </c>
      <c r="AK154" s="12" t="str">
        <f t="shared" si="113"/>
        <v>citit</v>
      </c>
      <c r="AL154" s="175">
        <f t="shared" si="124"/>
        <v>39632</v>
      </c>
      <c r="AM154" s="159" t="s">
        <v>917</v>
      </c>
      <c r="AN154" s="154">
        <f t="shared" si="125"/>
        <v>102474</v>
      </c>
      <c r="AO154" s="14">
        <f t="shared" si="126"/>
        <v>0</v>
      </c>
      <c r="AP154" s="147">
        <f t="shared" si="127"/>
        <v>105</v>
      </c>
      <c r="AQ154" s="147">
        <f t="shared" si="128"/>
        <v>40</v>
      </c>
      <c r="AR154" s="16">
        <v>0</v>
      </c>
      <c r="AS154" s="16">
        <v>0</v>
      </c>
      <c r="AT154" s="1">
        <f t="shared" si="129"/>
        <v>0</v>
      </c>
      <c r="AU154" s="154">
        <f t="shared" si="130"/>
        <v>99</v>
      </c>
      <c r="AV154" s="154">
        <f t="shared" si="131"/>
        <v>6</v>
      </c>
      <c r="AW154" s="154">
        <f t="shared" si="132"/>
        <v>40</v>
      </c>
      <c r="AX154" s="154">
        <f t="shared" si="133"/>
        <v>0</v>
      </c>
      <c r="AY154" s="308" t="str">
        <f t="shared" si="114"/>
        <v>RSEV_2</v>
      </c>
      <c r="AZ154" s="308">
        <f t="shared" si="115"/>
        <v>102474</v>
      </c>
      <c r="BA154" s="308">
        <f>IFERROR(IF(_xlfn.NUMBERVALUE(RIGHT(B154,LEN(B154)-FIND(".",B154,1)))=COUNTIF('Contorizare in SDI'!$B:$B,LEFT(B154,FIND(".",B154,1)-1))-1,IF((COUNTIF('Contorizare in SDI'!$B:$B,LEFT(B154,FIND(".",B154,1)-1))-1)=1,VLOOKUP(LEFT(B154,FIND(".",B154,1)-1),$B$4:$AZ$68,45,FALSE),VLOOKUP(LEFT(B154,FIND(".",B154,1)-1),$B$4:$AZ$68,45,FALSE)-BB153),ROUNDUP(V154/VLOOKUP(LEFT(B154,FIND(".",B154,1)-1),$AY:$AZ,2,FALSE)*VLOOKUP(LEFT(B154,FIND(".",B154,1)-1),$B$4:$AZ$68,45,FALSE),0)),0)</f>
        <v>0</v>
      </c>
      <c r="BB154" s="308">
        <f t="shared" si="134"/>
        <v>0</v>
      </c>
      <c r="BC154" s="308">
        <f>IFERROR(IF(_xlfn.NUMBERVALUE(RIGHT(B154,LEN(B154)-FIND(".",B154,1)))=COUNTIF('Contorizare in SDI'!$B:$B,LEFT(B154,FIND(".",B154,1)-1))-1,IF((COUNTIF('Contorizare in SDI'!$B:$B,LEFT(B154,FIND(".",B154,1)-1))-1)=1,VLOOKUP(LEFT(B154,FIND(".",B154,1)-1),$B$4:$AZ$68,46,FALSE),VLOOKUP(LEFT(B154,FIND(".",B154,1)-1),$B$4:$AZ$68,46,FALSE)-BD153),ROUNDUP(V154/VLOOKUP(LEFT(B154,FIND(".",B154,1)-1),$AY:$AZ,2,FALSE)*VLOOKUP(LEFT(B154,FIND(".",B154,1)-1),$B$4:$AZ$68,46,FALSE),0)),0)</f>
        <v>99</v>
      </c>
      <c r="BD154" s="308">
        <f t="shared" si="135"/>
        <v>99</v>
      </c>
      <c r="BE154" s="308">
        <f>IFERROR(IF(_xlfn.NUMBERVALUE(RIGHT(B154,LEN(B154)-FIND(".",B154,1)))=COUNTIF('Contorizare in SDI'!$B:$B,LEFT(B154,FIND(".",B154,1)-1))-1,IF((COUNTIF('Contorizare in SDI'!$B:$B,LEFT(B154,FIND(".",B154,1)-1))-1)=1,VLOOKUP(LEFT(B154,FIND(".",B154,1)-1),$B$4:$AZ$68,47,FALSE),VLOOKUP(LEFT(B154,FIND(".",B154,1)-1),$B$4:$AZ$68,47,FALSE)-BF153),ROUNDUP(V154/VLOOKUP(LEFT(B154,FIND(".",B154,1)-1),$AY:$AZ,2,FALSE)*VLOOKUP(LEFT(B154,FIND(".",B154,1)-1),$B$4:$AZ$68,47,FALSE),0)),0)</f>
        <v>6</v>
      </c>
      <c r="BF154" s="308">
        <f t="shared" si="136"/>
        <v>6</v>
      </c>
      <c r="BG154" s="308">
        <f>IFERROR(IF(_xlfn.NUMBERVALUE(RIGHT(B154,LEN(B154)-FIND(".",B154,1)))=COUNTIF('Contorizare in SDI'!$B:$B,LEFT(B154,FIND(".",B154,1)-1))-1,IF((COUNTIF('Contorizare in SDI'!$B:$B,LEFT(B154,FIND(".",B154,1)-1))-1)=1,VLOOKUP(LEFT(B154,FIND(".",B154,1)-1),$B$4:$AZ$68,48,FALSE),VLOOKUP(LEFT(B154,FIND(".",B154,1)-1),$B$4:$AZ$68,48,FALSE)-BH153),ROUNDUP(V154/VLOOKUP(LEFT(B154,FIND(".",B154,1)-1),$AY:$AZ,2,FALSE)*VLOOKUP(LEFT(B154,FIND(".",B154,1)-1),$B$4:$AZ$68,48,FALSE),0)),0)</f>
        <v>40</v>
      </c>
      <c r="BH154" s="308">
        <f t="shared" si="137"/>
        <v>40</v>
      </c>
      <c r="BI154" s="308">
        <f>IFERROR(IF(_xlfn.NUMBERVALUE(RIGHT(B154,LEN(B154)-FIND(".",B154,1)))=COUNTIF('Contorizare in SDI'!$B:$B,LEFT(B154,FIND(".",B154,1)-1))-1,IF((COUNTIF('Contorizare in SDI'!$B:$B,LEFT(B154,FIND(".",B154,1)-1))-1)=1,VLOOKUP(LEFT(B154,FIND(".",B154,1)-1),$B$4:$AZ$68,49,FALSE),VLOOKUP(LEFT(B154,FIND(".",B154,1)-1),$B$4:$AZ$68,49,FALSE)-BJ153),ROUNDUP(V154/VLOOKUP(LEFT(B154,FIND(".",B154,1)-1),$AY:$AZ,2,FALSE)*VLOOKUP(LEFT(B154,FIND(".",B154,1)-1),$B$4:$AZ$68,49,FALSE),0)),0)</f>
        <v>0</v>
      </c>
      <c r="BJ154" s="308">
        <f t="shared" si="138"/>
        <v>0</v>
      </c>
      <c r="BP154" s="44">
        <f t="shared" si="139"/>
        <v>0</v>
      </c>
      <c r="BQ154" s="1">
        <v>0</v>
      </c>
      <c r="BR154" s="1">
        <v>0</v>
      </c>
      <c r="BS154" s="16">
        <f t="shared" si="116"/>
        <v>99</v>
      </c>
      <c r="BT154" s="16">
        <f t="shared" si="117"/>
        <v>6</v>
      </c>
      <c r="BU154" s="16">
        <f t="shared" si="118"/>
        <v>40</v>
      </c>
      <c r="BV154" s="16">
        <f t="shared" si="119"/>
        <v>0</v>
      </c>
      <c r="BX154" s="1" t="str">
        <f t="shared" si="106"/>
        <v>RSEV</v>
      </c>
      <c r="BY154" s="1">
        <f t="shared" si="107"/>
        <v>0</v>
      </c>
      <c r="BZ154" s="1">
        <f t="shared" si="140"/>
        <v>0</v>
      </c>
      <c r="CA154" s="1">
        <f t="shared" si="141"/>
        <v>0</v>
      </c>
      <c r="CB154" s="1">
        <f t="shared" si="142"/>
        <v>692</v>
      </c>
      <c r="CC154" s="1">
        <f t="shared" si="143"/>
        <v>1860</v>
      </c>
      <c r="CD154" s="1">
        <f t="shared" si="144"/>
        <v>42</v>
      </c>
      <c r="CE154" s="1">
        <f t="shared" si="145"/>
        <v>0</v>
      </c>
      <c r="CR154" s="30" t="s">
        <v>566</v>
      </c>
      <c r="CS154" s="291">
        <v>120345</v>
      </c>
      <c r="CT154" s="291">
        <v>0</v>
      </c>
      <c r="CU154" s="291">
        <v>0</v>
      </c>
      <c r="CV154" s="291">
        <v>0</v>
      </c>
      <c r="CW154" s="29" t="s">
        <v>995</v>
      </c>
      <c r="CX154" s="312">
        <v>1806</v>
      </c>
      <c r="CY154" s="184">
        <v>0</v>
      </c>
      <c r="CZ154" s="88">
        <v>0</v>
      </c>
      <c r="DA154" s="88">
        <v>0</v>
      </c>
      <c r="DB154" s="29" t="s">
        <v>69</v>
      </c>
      <c r="DC154" s="87">
        <v>0</v>
      </c>
      <c r="DD154" s="88">
        <v>0</v>
      </c>
      <c r="DE154" s="88">
        <v>0</v>
      </c>
      <c r="DF154" s="88">
        <v>0</v>
      </c>
      <c r="DG154" s="88">
        <v>0</v>
      </c>
      <c r="DH154" s="88">
        <v>0</v>
      </c>
      <c r="DI154" s="321">
        <v>0</v>
      </c>
      <c r="DJ154" s="88">
        <v>0</v>
      </c>
    </row>
    <row r="155" spans="1:114" ht="17.25" thickTop="1" thickBot="1">
      <c r="A155" s="531">
        <f t="shared" si="120"/>
        <v>152</v>
      </c>
      <c r="B155" s="38" t="s">
        <v>647</v>
      </c>
      <c r="C155" s="17" t="s">
        <v>348</v>
      </c>
      <c r="D155" s="17" t="s">
        <v>949</v>
      </c>
      <c r="E155" s="142" t="str">
        <f t="shared" si="121"/>
        <v>RITS</v>
      </c>
      <c r="F155" s="16">
        <v>3687119</v>
      </c>
      <c r="G155" s="16">
        <v>3934551</v>
      </c>
      <c r="H155" s="16">
        <v>0</v>
      </c>
      <c r="I155" s="16">
        <v>0</v>
      </c>
      <c r="J155" s="16">
        <v>5456</v>
      </c>
      <c r="K155" s="16">
        <v>5456</v>
      </c>
      <c r="L155" s="16">
        <v>121895</v>
      </c>
      <c r="M155" s="16">
        <v>121895</v>
      </c>
      <c r="N155" s="12" t="s">
        <v>917</v>
      </c>
      <c r="O155" s="12" t="s">
        <v>1019</v>
      </c>
      <c r="P155" s="12" t="s">
        <v>917</v>
      </c>
      <c r="Q155" s="12" t="s">
        <v>917</v>
      </c>
      <c r="R155" s="12" t="s">
        <v>917</v>
      </c>
      <c r="S155" s="12" t="s">
        <v>1019</v>
      </c>
      <c r="T155" s="12" t="s">
        <v>917</v>
      </c>
      <c r="U155" s="12" t="s">
        <v>1019</v>
      </c>
      <c r="V155" s="22">
        <v>247432</v>
      </c>
      <c r="W155" s="22">
        <v>0</v>
      </c>
      <c r="X155" s="22">
        <v>0</v>
      </c>
      <c r="Y155" s="22">
        <v>0</v>
      </c>
      <c r="Z155" s="171">
        <f t="shared" si="108"/>
        <v>3687119</v>
      </c>
      <c r="AA155" s="130" t="str">
        <f t="shared" si="109"/>
        <v>citit</v>
      </c>
      <c r="AB155" s="176">
        <f t="shared" si="122"/>
        <v>3934551</v>
      </c>
      <c r="AC155" s="12" t="s">
        <v>917</v>
      </c>
      <c r="AD155" s="12">
        <f t="shared" si="110"/>
        <v>0</v>
      </c>
      <c r="AE155" s="12">
        <f t="shared" si="110"/>
        <v>0</v>
      </c>
      <c r="AF155" s="12">
        <f t="shared" si="110"/>
        <v>5456</v>
      </c>
      <c r="AG155" s="12" t="str">
        <f t="shared" si="111"/>
        <v>citit</v>
      </c>
      <c r="AH155" s="176">
        <f t="shared" si="123"/>
        <v>5456</v>
      </c>
      <c r="AI155" s="12" t="s">
        <v>917</v>
      </c>
      <c r="AJ155" s="12">
        <f t="shared" si="112"/>
        <v>121895</v>
      </c>
      <c r="AK155" s="12" t="str">
        <f t="shared" si="113"/>
        <v>citit</v>
      </c>
      <c r="AL155" s="175">
        <f t="shared" si="124"/>
        <v>121895</v>
      </c>
      <c r="AM155" s="159" t="s">
        <v>917</v>
      </c>
      <c r="AN155" s="154">
        <f t="shared" si="125"/>
        <v>247432</v>
      </c>
      <c r="AO155" s="14">
        <f t="shared" si="126"/>
        <v>0</v>
      </c>
      <c r="AP155" s="147">
        <f t="shared" si="127"/>
        <v>0</v>
      </c>
      <c r="AQ155" s="147">
        <f t="shared" si="128"/>
        <v>0</v>
      </c>
      <c r="AR155" s="16">
        <v>0</v>
      </c>
      <c r="AS155" s="16">
        <v>0</v>
      </c>
      <c r="AT155" s="1">
        <f t="shared" si="129"/>
        <v>0</v>
      </c>
      <c r="AU155" s="154">
        <f t="shared" si="130"/>
        <v>0</v>
      </c>
      <c r="AV155" s="154">
        <f t="shared" si="131"/>
        <v>0</v>
      </c>
      <c r="AW155" s="154">
        <f t="shared" si="132"/>
        <v>0</v>
      </c>
      <c r="AX155" s="154">
        <f t="shared" si="133"/>
        <v>0</v>
      </c>
      <c r="AY155" s="308" t="str">
        <f t="shared" si="114"/>
        <v>RITS_1</v>
      </c>
      <c r="AZ155" s="308">
        <f t="shared" si="115"/>
        <v>247432</v>
      </c>
      <c r="BA155" s="308">
        <f>IFERROR(IF(_xlfn.NUMBERVALUE(RIGHT(B155,LEN(B155)-FIND(".",B155,1)))=COUNTIF('Contorizare in SDI'!$B:$B,LEFT(B155,FIND(".",B155,1)-1))-1,IF((COUNTIF('Contorizare in SDI'!$B:$B,LEFT(B155,FIND(".",B155,1)-1))-1)=1,VLOOKUP(LEFT(B155,FIND(".",B155,1)-1),$B$4:$AZ$68,45,FALSE),VLOOKUP(LEFT(B155,FIND(".",B155,1)-1),$B$4:$AZ$68,45,FALSE)-BB154),ROUNDUP(V155/VLOOKUP(LEFT(B155,FIND(".",B155,1)-1),$AY:$AZ,2,FALSE)*VLOOKUP(LEFT(B155,FIND(".",B155,1)-1),$B$4:$AZ$68,45,FALSE),0)),0)</f>
        <v>0</v>
      </c>
      <c r="BB155" s="308">
        <f t="shared" si="134"/>
        <v>0</v>
      </c>
      <c r="BC155" s="308">
        <f>IFERROR(IF(_xlfn.NUMBERVALUE(RIGHT(B155,LEN(B155)-FIND(".",B155,1)))=COUNTIF('Contorizare in SDI'!$B:$B,LEFT(B155,FIND(".",B155,1)-1))-1,IF((COUNTIF('Contorizare in SDI'!$B:$B,LEFT(B155,FIND(".",B155,1)-1))-1)=1,VLOOKUP(LEFT(B155,FIND(".",B155,1)-1),$B$4:$AZ$68,46,FALSE),VLOOKUP(LEFT(B155,FIND(".",B155,1)-1),$B$4:$AZ$68,46,FALSE)-BD154),ROUNDUP(V155/VLOOKUP(LEFT(B155,FIND(".",B155,1)-1),$AY:$AZ,2,FALSE)*VLOOKUP(LEFT(B155,FIND(".",B155,1)-1),$B$4:$AZ$68,46,FALSE),0)),0)</f>
        <v>0</v>
      </c>
      <c r="BD155" s="308">
        <f t="shared" si="135"/>
        <v>0</v>
      </c>
      <c r="BE155" s="308">
        <f>IFERROR(IF(_xlfn.NUMBERVALUE(RIGHT(B155,LEN(B155)-FIND(".",B155,1)))=COUNTIF('Contorizare in SDI'!$B:$B,LEFT(B155,FIND(".",B155,1)-1))-1,IF((COUNTIF('Contorizare in SDI'!$B:$B,LEFT(B155,FIND(".",B155,1)-1))-1)=1,VLOOKUP(LEFT(B155,FIND(".",B155,1)-1),$B$4:$AZ$68,47,FALSE),VLOOKUP(LEFT(B155,FIND(".",B155,1)-1),$B$4:$AZ$68,47,FALSE)-BF154),ROUNDUP(V155/VLOOKUP(LEFT(B155,FIND(".",B155,1)-1),$AY:$AZ,2,FALSE)*VLOOKUP(LEFT(B155,FIND(".",B155,1)-1),$B$4:$AZ$68,47,FALSE),0)),0)</f>
        <v>0</v>
      </c>
      <c r="BF155" s="308">
        <f t="shared" si="136"/>
        <v>0</v>
      </c>
      <c r="BG155" s="308">
        <f>IFERROR(IF(_xlfn.NUMBERVALUE(RIGHT(B155,LEN(B155)-FIND(".",B155,1)))=COUNTIF('Contorizare in SDI'!$B:$B,LEFT(B155,FIND(".",B155,1)-1))-1,IF((COUNTIF('Contorizare in SDI'!$B:$B,LEFT(B155,FIND(".",B155,1)-1))-1)=1,VLOOKUP(LEFT(B155,FIND(".",B155,1)-1),$B$4:$AZ$68,48,FALSE),VLOOKUP(LEFT(B155,FIND(".",B155,1)-1),$B$4:$AZ$68,48,FALSE)-BH154),ROUNDUP(V155/VLOOKUP(LEFT(B155,FIND(".",B155,1)-1),$AY:$AZ,2,FALSE)*VLOOKUP(LEFT(B155,FIND(".",B155,1)-1),$B$4:$AZ$68,48,FALSE),0)),0)</f>
        <v>0</v>
      </c>
      <c r="BH155" s="308">
        <f t="shared" si="137"/>
        <v>0</v>
      </c>
      <c r="BI155" s="308">
        <f>IFERROR(IF(_xlfn.NUMBERVALUE(RIGHT(B155,LEN(B155)-FIND(".",B155,1)))=COUNTIF('Contorizare in SDI'!$B:$B,LEFT(B155,FIND(".",B155,1)-1))-1,IF((COUNTIF('Contorizare in SDI'!$B:$B,LEFT(B155,FIND(".",B155,1)-1))-1)=1,VLOOKUP(LEFT(B155,FIND(".",B155,1)-1),$B$4:$AZ$68,49,FALSE),VLOOKUP(LEFT(B155,FIND(".",B155,1)-1),$B$4:$AZ$68,49,FALSE)-BJ154),ROUNDUP(V155/VLOOKUP(LEFT(B155,FIND(".",B155,1)-1),$AY:$AZ,2,FALSE)*VLOOKUP(LEFT(B155,FIND(".",B155,1)-1),$B$4:$AZ$68,49,FALSE),0)),0)</f>
        <v>0</v>
      </c>
      <c r="BJ155" s="308">
        <f t="shared" si="138"/>
        <v>0</v>
      </c>
      <c r="BP155" s="44">
        <f t="shared" si="139"/>
        <v>0</v>
      </c>
      <c r="BQ155" s="1">
        <v>0</v>
      </c>
      <c r="BR155" s="1">
        <v>0</v>
      </c>
      <c r="BS155" s="16">
        <f t="shared" si="116"/>
        <v>0</v>
      </c>
      <c r="BT155" s="16">
        <f t="shared" si="117"/>
        <v>0</v>
      </c>
      <c r="BU155" s="16">
        <f t="shared" si="118"/>
        <v>0</v>
      </c>
      <c r="BV155" s="16">
        <f t="shared" si="119"/>
        <v>0</v>
      </c>
      <c r="BX155" s="1" t="str">
        <f t="shared" si="106"/>
        <v/>
      </c>
      <c r="BY155" s="1">
        <f t="shared" si="107"/>
        <v>0</v>
      </c>
      <c r="BZ155" s="1">
        <f t="shared" si="140"/>
        <v>0</v>
      </c>
      <c r="CA155" s="1">
        <f t="shared" si="141"/>
        <v>0</v>
      </c>
      <c r="CB155" s="1">
        <f t="shared" si="142"/>
        <v>0</v>
      </c>
      <c r="CC155" s="1">
        <f t="shared" si="143"/>
        <v>0</v>
      </c>
      <c r="CD155" s="1">
        <f t="shared" si="144"/>
        <v>0</v>
      </c>
      <c r="CE155" s="1">
        <f t="shared" si="145"/>
        <v>0</v>
      </c>
      <c r="CR155" s="30" t="s">
        <v>567</v>
      </c>
      <c r="CS155" s="324">
        <v>112886</v>
      </c>
      <c r="CT155" s="291">
        <v>0</v>
      </c>
      <c r="CU155" s="291">
        <v>0</v>
      </c>
      <c r="CV155" s="291">
        <v>0</v>
      </c>
      <c r="CW155" s="29" t="s">
        <v>660</v>
      </c>
      <c r="CX155" s="312">
        <v>10568</v>
      </c>
      <c r="CY155" s="184">
        <v>0</v>
      </c>
      <c r="CZ155" s="88">
        <v>0</v>
      </c>
      <c r="DA155" s="88">
        <v>0</v>
      </c>
      <c r="DB155" s="29" t="s">
        <v>1438</v>
      </c>
      <c r="DC155" s="87">
        <v>0</v>
      </c>
      <c r="DD155" s="88">
        <v>18086</v>
      </c>
      <c r="DE155" s="88">
        <v>0</v>
      </c>
      <c r="DF155" s="88">
        <v>0</v>
      </c>
      <c r="DG155" s="88">
        <v>10568</v>
      </c>
      <c r="DH155" s="88">
        <v>18086</v>
      </c>
      <c r="DI155" s="321">
        <v>0</v>
      </c>
      <c r="DJ155" s="88">
        <v>3560.9999999999563</v>
      </c>
    </row>
    <row r="156" spans="1:114" ht="17.25" thickTop="1" thickBot="1">
      <c r="A156" s="531">
        <f t="shared" si="120"/>
        <v>153</v>
      </c>
      <c r="B156" s="38" t="s">
        <v>648</v>
      </c>
      <c r="C156" s="17" t="s">
        <v>352</v>
      </c>
      <c r="D156" s="17">
        <v>1373707619</v>
      </c>
      <c r="E156" s="142" t="str">
        <f t="shared" si="121"/>
        <v>RITS</v>
      </c>
      <c r="F156" s="16">
        <v>4185188</v>
      </c>
      <c r="G156" s="16">
        <v>4457076</v>
      </c>
      <c r="H156" s="16">
        <v>0</v>
      </c>
      <c r="I156" s="16">
        <v>0</v>
      </c>
      <c r="J156" s="16">
        <v>400639</v>
      </c>
      <c r="K156" s="16">
        <v>400639</v>
      </c>
      <c r="L156" s="16">
        <v>508</v>
      </c>
      <c r="M156" s="16">
        <v>508</v>
      </c>
      <c r="N156" s="12" t="s">
        <v>917</v>
      </c>
      <c r="O156" s="12" t="s">
        <v>1019</v>
      </c>
      <c r="P156" s="12" t="s">
        <v>917</v>
      </c>
      <c r="Q156" s="12" t="s">
        <v>917</v>
      </c>
      <c r="R156" s="12" t="s">
        <v>917</v>
      </c>
      <c r="S156" s="12" t="s">
        <v>1019</v>
      </c>
      <c r="T156" s="12" t="s">
        <v>917</v>
      </c>
      <c r="U156" s="12" t="s">
        <v>1019</v>
      </c>
      <c r="V156" s="22">
        <v>271888</v>
      </c>
      <c r="W156" s="22">
        <v>0</v>
      </c>
      <c r="X156" s="22">
        <v>0</v>
      </c>
      <c r="Y156" s="22">
        <v>0</v>
      </c>
      <c r="Z156" s="171">
        <f t="shared" si="108"/>
        <v>4185188</v>
      </c>
      <c r="AA156" s="130" t="str">
        <f t="shared" si="109"/>
        <v>citit</v>
      </c>
      <c r="AB156" s="176">
        <f t="shared" si="122"/>
        <v>4457076</v>
      </c>
      <c r="AC156" s="12" t="s">
        <v>917</v>
      </c>
      <c r="AD156" s="12">
        <f t="shared" si="110"/>
        <v>0</v>
      </c>
      <c r="AE156" s="12">
        <f t="shared" si="110"/>
        <v>0</v>
      </c>
      <c r="AF156" s="12">
        <f t="shared" si="110"/>
        <v>400639</v>
      </c>
      <c r="AG156" s="12" t="str">
        <f t="shared" si="111"/>
        <v>citit</v>
      </c>
      <c r="AH156" s="176">
        <f t="shared" si="123"/>
        <v>400639</v>
      </c>
      <c r="AI156" s="12" t="s">
        <v>917</v>
      </c>
      <c r="AJ156" s="12">
        <f t="shared" si="112"/>
        <v>508</v>
      </c>
      <c r="AK156" s="12" t="str">
        <f t="shared" si="113"/>
        <v>citit</v>
      </c>
      <c r="AL156" s="175">
        <f t="shared" si="124"/>
        <v>508</v>
      </c>
      <c r="AM156" s="159" t="s">
        <v>917</v>
      </c>
      <c r="AN156" s="154">
        <f t="shared" si="125"/>
        <v>271888</v>
      </c>
      <c r="AO156" s="14">
        <f t="shared" si="126"/>
        <v>0</v>
      </c>
      <c r="AP156" s="147">
        <f t="shared" si="127"/>
        <v>0</v>
      </c>
      <c r="AQ156" s="147">
        <f t="shared" si="128"/>
        <v>0</v>
      </c>
      <c r="AR156" s="16">
        <v>0</v>
      </c>
      <c r="AS156" s="16">
        <v>0</v>
      </c>
      <c r="AT156" s="1">
        <f t="shared" si="129"/>
        <v>0</v>
      </c>
      <c r="AU156" s="154">
        <f t="shared" si="130"/>
        <v>0</v>
      </c>
      <c r="AV156" s="154">
        <f t="shared" si="131"/>
        <v>0</v>
      </c>
      <c r="AW156" s="154">
        <f t="shared" si="132"/>
        <v>0</v>
      </c>
      <c r="AX156" s="154">
        <f t="shared" si="133"/>
        <v>0</v>
      </c>
      <c r="AY156" s="308" t="str">
        <f t="shared" si="114"/>
        <v>-</v>
      </c>
      <c r="AZ156" s="308">
        <f t="shared" si="115"/>
        <v>271888</v>
      </c>
      <c r="BA156" s="308">
        <f>IFERROR(IF(_xlfn.NUMBERVALUE(RIGHT(B156,LEN(B156)-FIND(".",B156,1)))=COUNTIF('Contorizare in SDI'!$B:$B,LEFT(B156,FIND(".",B156,1)-1))-1,IF((COUNTIF('Contorizare in SDI'!$B:$B,LEFT(B156,FIND(".",B156,1)-1))-1)=1,VLOOKUP(LEFT(B156,FIND(".",B156,1)-1),$B$4:$AZ$68,45,FALSE),VLOOKUP(LEFT(B156,FIND(".",B156,1)-1),$B$4:$AZ$68,45,FALSE)-BB155),ROUNDUP(V156/VLOOKUP(LEFT(B156,FIND(".",B156,1)-1),$AY:$AZ,2,FALSE)*VLOOKUP(LEFT(B156,FIND(".",B156,1)-1),$B$4:$AZ$68,45,FALSE),0)),0)</f>
        <v>0</v>
      </c>
      <c r="BB156" s="308">
        <f t="shared" si="134"/>
        <v>0</v>
      </c>
      <c r="BC156" s="308">
        <f>IFERROR(IF(_xlfn.NUMBERVALUE(RIGHT(B156,LEN(B156)-FIND(".",B156,1)))=COUNTIF('Contorizare in SDI'!$B:$B,LEFT(B156,FIND(".",B156,1)-1))-1,IF((COUNTIF('Contorizare in SDI'!$B:$B,LEFT(B156,FIND(".",B156,1)-1))-1)=1,VLOOKUP(LEFT(B156,FIND(".",B156,1)-1),$B$4:$AZ$68,46,FALSE),VLOOKUP(LEFT(B156,FIND(".",B156,1)-1),$B$4:$AZ$68,46,FALSE)-BD155),ROUNDUP(V156/VLOOKUP(LEFT(B156,FIND(".",B156,1)-1),$AY:$AZ,2,FALSE)*VLOOKUP(LEFT(B156,FIND(".",B156,1)-1),$B$4:$AZ$68,46,FALSE),0)),0)</f>
        <v>0</v>
      </c>
      <c r="BD156" s="308">
        <f t="shared" si="135"/>
        <v>0</v>
      </c>
      <c r="BE156" s="308">
        <f>IFERROR(IF(_xlfn.NUMBERVALUE(RIGHT(B156,LEN(B156)-FIND(".",B156,1)))=COUNTIF('Contorizare in SDI'!$B:$B,LEFT(B156,FIND(".",B156,1)-1))-1,IF((COUNTIF('Contorizare in SDI'!$B:$B,LEFT(B156,FIND(".",B156,1)-1))-1)=1,VLOOKUP(LEFT(B156,FIND(".",B156,1)-1),$B$4:$AZ$68,47,FALSE),VLOOKUP(LEFT(B156,FIND(".",B156,1)-1),$B$4:$AZ$68,47,FALSE)-BF155),ROUNDUP(V156/VLOOKUP(LEFT(B156,FIND(".",B156,1)-1),$AY:$AZ,2,FALSE)*VLOOKUP(LEFT(B156,FIND(".",B156,1)-1),$B$4:$AZ$68,47,FALSE),0)),0)</f>
        <v>0</v>
      </c>
      <c r="BF156" s="308">
        <f t="shared" si="136"/>
        <v>0</v>
      </c>
      <c r="BG156" s="308">
        <f>IFERROR(IF(_xlfn.NUMBERVALUE(RIGHT(B156,LEN(B156)-FIND(".",B156,1)))=COUNTIF('Contorizare in SDI'!$B:$B,LEFT(B156,FIND(".",B156,1)-1))-1,IF((COUNTIF('Contorizare in SDI'!$B:$B,LEFT(B156,FIND(".",B156,1)-1))-1)=1,VLOOKUP(LEFT(B156,FIND(".",B156,1)-1),$B$4:$AZ$68,48,FALSE),VLOOKUP(LEFT(B156,FIND(".",B156,1)-1),$B$4:$AZ$68,48,FALSE)-BH155),ROUNDUP(V156/VLOOKUP(LEFT(B156,FIND(".",B156,1)-1),$AY:$AZ,2,FALSE)*VLOOKUP(LEFT(B156,FIND(".",B156,1)-1),$B$4:$AZ$68,48,FALSE),0)),0)</f>
        <v>0</v>
      </c>
      <c r="BH156" s="308">
        <f t="shared" si="137"/>
        <v>0</v>
      </c>
      <c r="BI156" s="308">
        <f>IFERROR(IF(_xlfn.NUMBERVALUE(RIGHT(B156,LEN(B156)-FIND(".",B156,1)))=COUNTIF('Contorizare in SDI'!$B:$B,LEFT(B156,FIND(".",B156,1)-1))-1,IF((COUNTIF('Contorizare in SDI'!$B:$B,LEFT(B156,FIND(".",B156,1)-1))-1)=1,VLOOKUP(LEFT(B156,FIND(".",B156,1)-1),$B$4:$AZ$68,49,FALSE),VLOOKUP(LEFT(B156,FIND(".",B156,1)-1),$B$4:$AZ$68,49,FALSE)-BJ155),ROUNDUP(V156/VLOOKUP(LEFT(B156,FIND(".",B156,1)-1),$AY:$AZ,2,FALSE)*VLOOKUP(LEFT(B156,FIND(".",B156,1)-1),$B$4:$AZ$68,49,FALSE),0)),0)</f>
        <v>0</v>
      </c>
      <c r="BJ156" s="308">
        <f t="shared" si="138"/>
        <v>0</v>
      </c>
      <c r="BP156" s="44">
        <f t="shared" si="139"/>
        <v>0</v>
      </c>
      <c r="BQ156" s="1">
        <v>0</v>
      </c>
      <c r="BR156" s="1">
        <v>0</v>
      </c>
      <c r="BS156" s="16">
        <f t="shared" si="116"/>
        <v>0</v>
      </c>
      <c r="BT156" s="16">
        <f t="shared" si="117"/>
        <v>0</v>
      </c>
      <c r="BU156" s="16">
        <f t="shared" si="118"/>
        <v>0</v>
      </c>
      <c r="BV156" s="16">
        <f t="shared" si="119"/>
        <v>0</v>
      </c>
      <c r="BX156" s="1" t="str">
        <f t="shared" si="106"/>
        <v/>
      </c>
      <c r="BY156" s="1">
        <f t="shared" si="107"/>
        <v>0</v>
      </c>
      <c r="BZ156" s="1">
        <f t="shared" si="140"/>
        <v>0</v>
      </c>
      <c r="CA156" s="1">
        <f t="shared" si="141"/>
        <v>0</v>
      </c>
      <c r="CB156" s="1">
        <f t="shared" si="142"/>
        <v>0</v>
      </c>
      <c r="CC156" s="1">
        <f t="shared" si="143"/>
        <v>0</v>
      </c>
      <c r="CD156" s="1">
        <f t="shared" si="144"/>
        <v>0</v>
      </c>
      <c r="CE156" s="1">
        <f t="shared" si="145"/>
        <v>0</v>
      </c>
      <c r="CR156" s="30" t="s">
        <v>567</v>
      </c>
      <c r="CS156" s="291">
        <v>112886</v>
      </c>
      <c r="CT156" s="291">
        <v>0</v>
      </c>
      <c r="CU156" s="291">
        <v>0</v>
      </c>
      <c r="CV156" s="291">
        <v>0</v>
      </c>
      <c r="CW156" s="29" t="s">
        <v>661</v>
      </c>
      <c r="CX156" s="316">
        <v>98757.000000000044</v>
      </c>
      <c r="CY156" s="184">
        <v>0</v>
      </c>
      <c r="CZ156" s="88">
        <v>0</v>
      </c>
      <c r="DA156" s="88">
        <v>0</v>
      </c>
      <c r="DB156" s="29" t="s">
        <v>69</v>
      </c>
      <c r="DC156" s="87">
        <v>0</v>
      </c>
      <c r="DD156" s="88">
        <v>0</v>
      </c>
      <c r="DE156" s="88">
        <v>0</v>
      </c>
      <c r="DF156" s="88">
        <v>0</v>
      </c>
      <c r="DG156" s="88">
        <v>98757.000000000044</v>
      </c>
      <c r="DH156" s="88">
        <v>0</v>
      </c>
      <c r="DI156" s="1">
        <v>0</v>
      </c>
      <c r="DJ156" s="88">
        <v>0</v>
      </c>
    </row>
    <row r="157" spans="1:114" ht="17.25" thickTop="1" thickBot="1">
      <c r="A157" s="531">
        <f t="shared" si="120"/>
        <v>154</v>
      </c>
      <c r="B157" s="38" t="s">
        <v>1180</v>
      </c>
      <c r="C157" s="17" t="s">
        <v>353</v>
      </c>
      <c r="D157" s="17">
        <v>1373706854</v>
      </c>
      <c r="E157" s="142" t="str">
        <f t="shared" si="121"/>
        <v>RITS</v>
      </c>
      <c r="F157" s="16">
        <v>1489098</v>
      </c>
      <c r="G157" s="16">
        <v>1545884</v>
      </c>
      <c r="H157" s="16">
        <v>0</v>
      </c>
      <c r="I157" s="16">
        <v>0</v>
      </c>
      <c r="J157" s="16">
        <v>349116</v>
      </c>
      <c r="K157" s="16">
        <v>349116</v>
      </c>
      <c r="L157" s="16">
        <v>36</v>
      </c>
      <c r="M157" s="16">
        <v>36</v>
      </c>
      <c r="N157" s="12" t="s">
        <v>917</v>
      </c>
      <c r="O157" s="12" t="s">
        <v>1019</v>
      </c>
      <c r="P157" s="12" t="s">
        <v>917</v>
      </c>
      <c r="Q157" s="12" t="s">
        <v>917</v>
      </c>
      <c r="R157" s="12" t="s">
        <v>917</v>
      </c>
      <c r="S157" s="12" t="s">
        <v>1019</v>
      </c>
      <c r="T157" s="12" t="s">
        <v>917</v>
      </c>
      <c r="U157" s="12" t="s">
        <v>1019</v>
      </c>
      <c r="V157" s="22">
        <v>56786</v>
      </c>
      <c r="W157" s="22">
        <v>0</v>
      </c>
      <c r="X157" s="22">
        <v>0</v>
      </c>
      <c r="Y157" s="22">
        <v>0</v>
      </c>
      <c r="Z157" s="171">
        <f t="shared" si="108"/>
        <v>1489098</v>
      </c>
      <c r="AA157" s="130" t="str">
        <f t="shared" si="109"/>
        <v>citit</v>
      </c>
      <c r="AB157" s="176">
        <f t="shared" si="122"/>
        <v>1545884</v>
      </c>
      <c r="AC157" s="12" t="s">
        <v>917</v>
      </c>
      <c r="AD157" s="12">
        <f t="shared" si="110"/>
        <v>0</v>
      </c>
      <c r="AE157" s="12">
        <f t="shared" si="110"/>
        <v>0</v>
      </c>
      <c r="AF157" s="12">
        <f t="shared" si="110"/>
        <v>349116</v>
      </c>
      <c r="AG157" s="12" t="str">
        <f t="shared" si="111"/>
        <v>citit</v>
      </c>
      <c r="AH157" s="176">
        <f t="shared" si="123"/>
        <v>349116</v>
      </c>
      <c r="AI157" s="12" t="s">
        <v>917</v>
      </c>
      <c r="AJ157" s="12">
        <f t="shared" si="112"/>
        <v>36</v>
      </c>
      <c r="AK157" s="12" t="str">
        <f t="shared" si="113"/>
        <v>citit</v>
      </c>
      <c r="AL157" s="175">
        <f t="shared" si="124"/>
        <v>36</v>
      </c>
      <c r="AM157" s="159" t="s">
        <v>917</v>
      </c>
      <c r="AN157" s="154">
        <f t="shared" si="125"/>
        <v>56786</v>
      </c>
      <c r="AO157" s="14">
        <f t="shared" si="126"/>
        <v>0</v>
      </c>
      <c r="AP157" s="147">
        <f t="shared" si="127"/>
        <v>0</v>
      </c>
      <c r="AQ157" s="147">
        <f t="shared" si="128"/>
        <v>0</v>
      </c>
      <c r="AR157" s="16"/>
      <c r="AS157" s="16"/>
      <c r="AT157" s="1">
        <f t="shared" si="129"/>
        <v>0</v>
      </c>
      <c r="AU157" s="154">
        <f t="shared" si="130"/>
        <v>0</v>
      </c>
      <c r="AV157" s="154">
        <f t="shared" si="131"/>
        <v>0</v>
      </c>
      <c r="AW157" s="154">
        <f t="shared" si="132"/>
        <v>0</v>
      </c>
      <c r="AX157" s="154">
        <f t="shared" si="133"/>
        <v>0</v>
      </c>
      <c r="AY157" s="308" t="str">
        <f t="shared" si="114"/>
        <v>RITS_2</v>
      </c>
      <c r="AZ157" s="308">
        <f t="shared" si="115"/>
        <v>328674</v>
      </c>
      <c r="BA157" s="308">
        <f>IFERROR(IF(_xlfn.NUMBERVALUE(RIGHT(B157,LEN(B157)-FIND(".",B157,1)))=COUNTIF('Contorizare in SDI'!$B:$B,LEFT(B157,FIND(".",B157,1)-1))-1,IF((COUNTIF('Contorizare in SDI'!$B:$B,LEFT(B157,FIND(".",B157,1)-1))-1)=1,VLOOKUP(LEFT(B157,FIND(".",B157,1)-1),$B$4:$AZ$68,45,FALSE),VLOOKUP(LEFT(B157,FIND(".",B157,1)-1),$B$4:$AZ$68,45,FALSE)-BB156),ROUNDUP(V157/VLOOKUP(LEFT(B157,FIND(".",B157,1)-1),$AY:$AZ,2,FALSE)*VLOOKUP(LEFT(B157,FIND(".",B157,1)-1),$B$4:$AZ$68,45,FALSE),0)),0)</f>
        <v>0</v>
      </c>
      <c r="BB157" s="308">
        <f t="shared" si="134"/>
        <v>0</v>
      </c>
      <c r="BC157" s="308">
        <f>IFERROR(IF(_xlfn.NUMBERVALUE(RIGHT(B157,LEN(B157)-FIND(".",B157,1)))=COUNTIF('Contorizare in SDI'!$B:$B,LEFT(B157,FIND(".",B157,1)-1))-1,IF((COUNTIF('Contorizare in SDI'!$B:$B,LEFT(B157,FIND(".",B157,1)-1))-1)=1,VLOOKUP(LEFT(B157,FIND(".",B157,1)-1),$B$4:$AZ$68,46,FALSE),VLOOKUP(LEFT(B157,FIND(".",B157,1)-1),$B$4:$AZ$68,46,FALSE)-BD156),ROUNDUP(V157/VLOOKUP(LEFT(B157,FIND(".",B157,1)-1),$AY:$AZ,2,FALSE)*VLOOKUP(LEFT(B157,FIND(".",B157,1)-1),$B$4:$AZ$68,46,FALSE),0)),0)</f>
        <v>0</v>
      </c>
      <c r="BD157" s="308">
        <f t="shared" si="135"/>
        <v>0</v>
      </c>
      <c r="BE157" s="308">
        <f>IFERROR(IF(_xlfn.NUMBERVALUE(RIGHT(B157,LEN(B157)-FIND(".",B157,1)))=COUNTIF('Contorizare in SDI'!$B:$B,LEFT(B157,FIND(".",B157,1)-1))-1,IF((COUNTIF('Contorizare in SDI'!$B:$B,LEFT(B157,FIND(".",B157,1)-1))-1)=1,VLOOKUP(LEFT(B157,FIND(".",B157,1)-1),$B$4:$AZ$68,47,FALSE),VLOOKUP(LEFT(B157,FIND(".",B157,1)-1),$B$4:$AZ$68,47,FALSE)-BF156),ROUNDUP(V157/VLOOKUP(LEFT(B157,FIND(".",B157,1)-1),$AY:$AZ,2,FALSE)*VLOOKUP(LEFT(B157,FIND(".",B157,1)-1),$B$4:$AZ$68,47,FALSE),0)),0)</f>
        <v>0</v>
      </c>
      <c r="BF157" s="308">
        <f t="shared" si="136"/>
        <v>0</v>
      </c>
      <c r="BG157" s="308">
        <f>IFERROR(IF(_xlfn.NUMBERVALUE(RIGHT(B157,LEN(B157)-FIND(".",B157,1)))=COUNTIF('Contorizare in SDI'!$B:$B,LEFT(B157,FIND(".",B157,1)-1))-1,IF((COUNTIF('Contorizare in SDI'!$B:$B,LEFT(B157,FIND(".",B157,1)-1))-1)=1,VLOOKUP(LEFT(B157,FIND(".",B157,1)-1),$B$4:$AZ$68,48,FALSE),VLOOKUP(LEFT(B157,FIND(".",B157,1)-1),$B$4:$AZ$68,48,FALSE)-BH156),ROUNDUP(V157/VLOOKUP(LEFT(B157,FIND(".",B157,1)-1),$AY:$AZ,2,FALSE)*VLOOKUP(LEFT(B157,FIND(".",B157,1)-1),$B$4:$AZ$68,48,FALSE),0)),0)</f>
        <v>0</v>
      </c>
      <c r="BH157" s="308">
        <f t="shared" si="137"/>
        <v>0</v>
      </c>
      <c r="BI157" s="308">
        <f>IFERROR(IF(_xlfn.NUMBERVALUE(RIGHT(B157,LEN(B157)-FIND(".",B157,1)))=COUNTIF('Contorizare in SDI'!$B:$B,LEFT(B157,FIND(".",B157,1)-1))-1,IF((COUNTIF('Contorizare in SDI'!$B:$B,LEFT(B157,FIND(".",B157,1)-1))-1)=1,VLOOKUP(LEFT(B157,FIND(".",B157,1)-1),$B$4:$AZ$68,49,FALSE),VLOOKUP(LEFT(B157,FIND(".",B157,1)-1),$B$4:$AZ$68,49,FALSE)-BJ156),ROUNDUP(V157/VLOOKUP(LEFT(B157,FIND(".",B157,1)-1),$AY:$AZ,2,FALSE)*VLOOKUP(LEFT(B157,FIND(".",B157,1)-1),$B$4:$AZ$68,49,FALSE),0)),0)</f>
        <v>0</v>
      </c>
      <c r="BJ157" s="308">
        <f t="shared" si="138"/>
        <v>0</v>
      </c>
      <c r="BP157" s="44"/>
      <c r="BQ157" s="1"/>
      <c r="BR157" s="1"/>
      <c r="BS157" s="16"/>
      <c r="BT157" s="16"/>
      <c r="BU157" s="16"/>
      <c r="BV157" s="16"/>
      <c r="BX157" s="1" t="str">
        <f t="shared" si="106"/>
        <v/>
      </c>
      <c r="BY157" s="1">
        <f t="shared" si="107"/>
        <v>0</v>
      </c>
      <c r="BZ157" s="1"/>
      <c r="CA157" s="1"/>
      <c r="CB157" s="1"/>
      <c r="CC157" s="1"/>
      <c r="CD157" s="1"/>
      <c r="CE157" s="1"/>
      <c r="CR157" s="256" t="s">
        <v>567</v>
      </c>
      <c r="CS157" s="291">
        <v>112886</v>
      </c>
      <c r="CT157" s="291">
        <v>0</v>
      </c>
      <c r="CU157" s="291">
        <v>0</v>
      </c>
      <c r="CV157" s="291">
        <v>0</v>
      </c>
      <c r="CW157" s="257" t="s">
        <v>996</v>
      </c>
      <c r="CX157" s="312">
        <v>3560.9999999999563</v>
      </c>
      <c r="CY157" s="184">
        <v>0</v>
      </c>
      <c r="CZ157" s="88">
        <v>0</v>
      </c>
      <c r="DA157" s="88">
        <v>0</v>
      </c>
      <c r="DB157" s="257" t="s">
        <v>69</v>
      </c>
      <c r="DC157" s="87">
        <v>0</v>
      </c>
      <c r="DD157" s="88">
        <v>0</v>
      </c>
      <c r="DE157" s="88">
        <v>0</v>
      </c>
      <c r="DF157" s="88">
        <v>0</v>
      </c>
      <c r="DG157" s="88">
        <v>0</v>
      </c>
      <c r="DH157" s="88">
        <v>0</v>
      </c>
      <c r="DI157" s="321">
        <v>0</v>
      </c>
      <c r="DJ157" s="88">
        <v>0</v>
      </c>
    </row>
    <row r="158" spans="1:114" ht="17.25" thickTop="1" thickBot="1">
      <c r="A158" s="531">
        <f t="shared" si="120"/>
        <v>155</v>
      </c>
      <c r="B158" s="38" t="s">
        <v>649</v>
      </c>
      <c r="C158" s="17" t="s">
        <v>357</v>
      </c>
      <c r="D158" s="17" t="s">
        <v>950</v>
      </c>
      <c r="E158" s="142" t="str">
        <f t="shared" si="121"/>
        <v>RITS</v>
      </c>
      <c r="F158" s="16">
        <v>418326</v>
      </c>
      <c r="G158" s="16">
        <v>441354</v>
      </c>
      <c r="H158" s="16">
        <v>0</v>
      </c>
      <c r="I158" s="16">
        <v>0</v>
      </c>
      <c r="J158" s="16">
        <v>54299</v>
      </c>
      <c r="K158" s="16">
        <v>54299</v>
      </c>
      <c r="L158" s="16">
        <v>6347</v>
      </c>
      <c r="M158" s="16">
        <v>6347</v>
      </c>
      <c r="N158" s="12" t="s">
        <v>917</v>
      </c>
      <c r="O158" s="12" t="s">
        <v>1019</v>
      </c>
      <c r="P158" s="12" t="s">
        <v>917</v>
      </c>
      <c r="Q158" s="12" t="s">
        <v>917</v>
      </c>
      <c r="R158" s="12" t="s">
        <v>917</v>
      </c>
      <c r="S158" s="12" t="s">
        <v>1019</v>
      </c>
      <c r="T158" s="12" t="s">
        <v>917</v>
      </c>
      <c r="U158" s="12" t="s">
        <v>1019</v>
      </c>
      <c r="V158" s="22">
        <v>23028</v>
      </c>
      <c r="W158" s="22">
        <v>0</v>
      </c>
      <c r="X158" s="22">
        <v>0</v>
      </c>
      <c r="Y158" s="22">
        <v>0</v>
      </c>
      <c r="Z158" s="171">
        <f t="shared" si="108"/>
        <v>418326</v>
      </c>
      <c r="AA158" s="130" t="str">
        <f t="shared" si="109"/>
        <v>citit</v>
      </c>
      <c r="AB158" s="176">
        <f t="shared" si="122"/>
        <v>441354</v>
      </c>
      <c r="AC158" s="12" t="s">
        <v>917</v>
      </c>
      <c r="AD158" s="12">
        <f t="shared" si="110"/>
        <v>0</v>
      </c>
      <c r="AE158" s="12">
        <f t="shared" si="110"/>
        <v>0</v>
      </c>
      <c r="AF158" s="12">
        <f t="shared" si="110"/>
        <v>54299</v>
      </c>
      <c r="AG158" s="12" t="str">
        <f t="shared" si="111"/>
        <v>citit</v>
      </c>
      <c r="AH158" s="176">
        <f t="shared" si="123"/>
        <v>57591</v>
      </c>
      <c r="AI158" s="12" t="s">
        <v>917</v>
      </c>
      <c r="AJ158" s="12">
        <f t="shared" si="112"/>
        <v>6347</v>
      </c>
      <c r="AK158" s="12" t="str">
        <f t="shared" si="113"/>
        <v>citit</v>
      </c>
      <c r="AL158" s="175">
        <f t="shared" si="124"/>
        <v>6347</v>
      </c>
      <c r="AM158" s="159" t="s">
        <v>917</v>
      </c>
      <c r="AN158" s="154">
        <f t="shared" si="125"/>
        <v>23028</v>
      </c>
      <c r="AO158" s="14">
        <f t="shared" si="126"/>
        <v>0</v>
      </c>
      <c r="AP158" s="147">
        <f t="shared" si="127"/>
        <v>3292</v>
      </c>
      <c r="AQ158" s="147">
        <f t="shared" si="128"/>
        <v>0</v>
      </c>
      <c r="AR158" s="16">
        <v>0</v>
      </c>
      <c r="AS158" s="16">
        <v>0</v>
      </c>
      <c r="AT158" s="1">
        <f t="shared" si="129"/>
        <v>0</v>
      </c>
      <c r="AU158" s="154">
        <f t="shared" si="130"/>
        <v>3292</v>
      </c>
      <c r="AV158" s="154">
        <f t="shared" si="131"/>
        <v>0</v>
      </c>
      <c r="AW158" s="154">
        <f t="shared" si="132"/>
        <v>0</v>
      </c>
      <c r="AX158" s="154">
        <f t="shared" si="133"/>
        <v>0</v>
      </c>
      <c r="AY158" s="308" t="str">
        <f t="shared" si="114"/>
        <v>RITS_3</v>
      </c>
      <c r="AZ158" s="308">
        <f t="shared" si="115"/>
        <v>23028</v>
      </c>
      <c r="BA158" s="308">
        <f>IFERROR(IF(_xlfn.NUMBERVALUE(RIGHT(B158,LEN(B158)-FIND(".",B158,1)))=COUNTIF('Contorizare in SDI'!$B:$B,LEFT(B158,FIND(".",B158,1)-1))-1,IF((COUNTIF('Contorizare in SDI'!$B:$B,LEFT(B158,FIND(".",B158,1)-1))-1)=1,VLOOKUP(LEFT(B158,FIND(".",B158,1)-1),$B$4:$AZ$68,45,FALSE),VLOOKUP(LEFT(B158,FIND(".",B158,1)-1),$B$4:$AZ$68,45,FALSE)-BB157),ROUNDUP(V158/VLOOKUP(LEFT(B158,FIND(".",B158,1)-1),$AY:$AZ,2,FALSE)*VLOOKUP(LEFT(B158,FIND(".",B158,1)-1),$B$4:$AZ$68,45,FALSE),0)),0)</f>
        <v>0</v>
      </c>
      <c r="BB158" s="308">
        <f t="shared" si="134"/>
        <v>0</v>
      </c>
      <c r="BC158" s="308">
        <f>IFERROR(IF(_xlfn.NUMBERVALUE(RIGHT(B158,LEN(B158)-FIND(".",B158,1)))=COUNTIF('Contorizare in SDI'!$B:$B,LEFT(B158,FIND(".",B158,1)-1))-1,IF((COUNTIF('Contorizare in SDI'!$B:$B,LEFT(B158,FIND(".",B158,1)-1))-1)=1,VLOOKUP(LEFT(B158,FIND(".",B158,1)-1),$B$4:$AZ$68,46,FALSE),VLOOKUP(LEFT(B158,FIND(".",B158,1)-1),$B$4:$AZ$68,46,FALSE)-BD157),ROUNDUP(V158/VLOOKUP(LEFT(B158,FIND(".",B158,1)-1),$AY:$AZ,2,FALSE)*VLOOKUP(LEFT(B158,FIND(".",B158,1)-1),$B$4:$AZ$68,46,FALSE),0)),0)</f>
        <v>3292</v>
      </c>
      <c r="BD158" s="308">
        <f t="shared" si="135"/>
        <v>3292</v>
      </c>
      <c r="BE158" s="308">
        <f>IFERROR(IF(_xlfn.NUMBERVALUE(RIGHT(B158,LEN(B158)-FIND(".",B158,1)))=COUNTIF('Contorizare in SDI'!$B:$B,LEFT(B158,FIND(".",B158,1)-1))-1,IF((COUNTIF('Contorizare in SDI'!$B:$B,LEFT(B158,FIND(".",B158,1)-1))-1)=1,VLOOKUP(LEFT(B158,FIND(".",B158,1)-1),$B$4:$AZ$68,47,FALSE),VLOOKUP(LEFT(B158,FIND(".",B158,1)-1),$B$4:$AZ$68,47,FALSE)-BF157),ROUNDUP(V158/VLOOKUP(LEFT(B158,FIND(".",B158,1)-1),$AY:$AZ,2,FALSE)*VLOOKUP(LEFT(B158,FIND(".",B158,1)-1),$B$4:$AZ$68,47,FALSE),0)),0)</f>
        <v>0</v>
      </c>
      <c r="BF158" s="308">
        <f t="shared" si="136"/>
        <v>0</v>
      </c>
      <c r="BG158" s="308">
        <f>IFERROR(IF(_xlfn.NUMBERVALUE(RIGHT(B158,LEN(B158)-FIND(".",B158,1)))=COUNTIF('Contorizare in SDI'!$B:$B,LEFT(B158,FIND(".",B158,1)-1))-1,IF((COUNTIF('Contorizare in SDI'!$B:$B,LEFT(B158,FIND(".",B158,1)-1))-1)=1,VLOOKUP(LEFT(B158,FIND(".",B158,1)-1),$B$4:$AZ$68,48,FALSE),VLOOKUP(LEFT(B158,FIND(".",B158,1)-1),$B$4:$AZ$68,48,FALSE)-BH157),ROUNDUP(V158/VLOOKUP(LEFT(B158,FIND(".",B158,1)-1),$AY:$AZ,2,FALSE)*VLOOKUP(LEFT(B158,FIND(".",B158,1)-1),$B$4:$AZ$68,48,FALSE),0)),0)</f>
        <v>0</v>
      </c>
      <c r="BH158" s="308">
        <f t="shared" si="137"/>
        <v>0</v>
      </c>
      <c r="BI158" s="308">
        <f>IFERROR(IF(_xlfn.NUMBERVALUE(RIGHT(B158,LEN(B158)-FIND(".",B158,1)))=COUNTIF('Contorizare in SDI'!$B:$B,LEFT(B158,FIND(".",B158,1)-1))-1,IF((COUNTIF('Contorizare in SDI'!$B:$B,LEFT(B158,FIND(".",B158,1)-1))-1)=1,VLOOKUP(LEFT(B158,FIND(".",B158,1)-1),$B$4:$AZ$68,49,FALSE),VLOOKUP(LEFT(B158,FIND(".",B158,1)-1),$B$4:$AZ$68,49,FALSE)-BJ157),ROUNDUP(V158/VLOOKUP(LEFT(B158,FIND(".",B158,1)-1),$AY:$AZ,2,FALSE)*VLOOKUP(LEFT(B158,FIND(".",B158,1)-1),$B$4:$AZ$68,49,FALSE),0)),0)</f>
        <v>0</v>
      </c>
      <c r="BJ158" s="308">
        <f t="shared" si="138"/>
        <v>0</v>
      </c>
      <c r="BP158" s="44">
        <f t="shared" si="139"/>
        <v>0</v>
      </c>
      <c r="BQ158" s="1">
        <v>0</v>
      </c>
      <c r="BR158" s="1">
        <v>0</v>
      </c>
      <c r="BS158" s="16">
        <f t="shared" ref="BS158:BS165" si="146">AU158</f>
        <v>3292</v>
      </c>
      <c r="BT158" s="16">
        <f t="shared" ref="BT158:BT165" si="147">AV158</f>
        <v>0</v>
      </c>
      <c r="BU158" s="16">
        <f t="shared" ref="BU158:BU165" si="148">AW158</f>
        <v>0</v>
      </c>
      <c r="BV158" s="16">
        <f t="shared" si="119"/>
        <v>0</v>
      </c>
      <c r="BX158" s="1" t="str">
        <f t="shared" si="106"/>
        <v/>
      </c>
      <c r="BY158" s="1">
        <f t="shared" si="107"/>
        <v>0</v>
      </c>
      <c r="BZ158" s="1">
        <f>IF(LEFT(B158,4)&lt;&gt;LEFT(B156,4),BQ158,BQ158+BZ156)</f>
        <v>0</v>
      </c>
      <c r="CA158" s="1">
        <f>IF(LEFT(B158,4)&lt;&gt;LEFT(B156,4),BR158,BR158+CA156)</f>
        <v>0</v>
      </c>
      <c r="CB158" s="1">
        <f>IF(LEFT(B158,4)&lt;&gt;LEFT(B156,4),BS158,BS158+CB156)</f>
        <v>3292</v>
      </c>
      <c r="CC158" s="1">
        <f>IF(LEFT(B158,4)&lt;&gt;LEFT(B156,4),BT158,BT158+CC156)</f>
        <v>0</v>
      </c>
      <c r="CD158" s="1">
        <f>IF(LEFT(B158,4)&lt;&gt;LEFT(B156,4),BU158,BU158+CD156)</f>
        <v>0</v>
      </c>
      <c r="CE158" s="1">
        <f>IF(LEFT(B158,4)&lt;&gt;LEFT(B156,4),BV158,BV158+CE156)</f>
        <v>0</v>
      </c>
      <c r="CR158" s="256" t="s">
        <v>1272</v>
      </c>
      <c r="CS158" s="291">
        <v>28416</v>
      </c>
      <c r="CT158" s="291">
        <v>591</v>
      </c>
      <c r="CU158" s="291">
        <v>0</v>
      </c>
      <c r="CV158" s="291">
        <v>0</v>
      </c>
      <c r="CW158" s="257" t="s">
        <v>1273</v>
      </c>
      <c r="CX158" s="312">
        <v>27989</v>
      </c>
      <c r="CY158" s="184">
        <v>591</v>
      </c>
      <c r="CZ158" s="88">
        <v>1060</v>
      </c>
      <c r="DA158" s="88">
        <v>4256</v>
      </c>
      <c r="DB158" s="257" t="s">
        <v>1291</v>
      </c>
      <c r="DC158" s="87">
        <v>0</v>
      </c>
      <c r="DD158" s="88">
        <v>14281</v>
      </c>
      <c r="DE158" s="88">
        <v>2911</v>
      </c>
      <c r="DF158" s="88">
        <v>531</v>
      </c>
      <c r="DG158" s="88">
        <v>27989</v>
      </c>
      <c r="DH158" s="88">
        <v>13690</v>
      </c>
      <c r="DI158" s="321">
        <v>0</v>
      </c>
      <c r="DJ158" s="88">
        <v>427</v>
      </c>
    </row>
    <row r="159" spans="1:114" ht="17.25" thickTop="1" thickBot="1">
      <c r="A159" s="531">
        <f t="shared" si="120"/>
        <v>156</v>
      </c>
      <c r="B159" s="38" t="s">
        <v>650</v>
      </c>
      <c r="C159" s="17" t="s">
        <v>361</v>
      </c>
      <c r="D159" s="17" t="s">
        <v>951</v>
      </c>
      <c r="E159" s="142" t="str">
        <f t="shared" si="121"/>
        <v>RITS</v>
      </c>
      <c r="F159" s="16">
        <v>1403221</v>
      </c>
      <c r="G159" s="16">
        <v>1461579</v>
      </c>
      <c r="H159" s="16">
        <v>0</v>
      </c>
      <c r="I159" s="16">
        <v>0</v>
      </c>
      <c r="J159" s="16">
        <v>88393</v>
      </c>
      <c r="K159" s="16">
        <v>88393</v>
      </c>
      <c r="L159" s="16">
        <v>857</v>
      </c>
      <c r="M159" s="16">
        <v>857</v>
      </c>
      <c r="N159" s="12" t="s">
        <v>917</v>
      </c>
      <c r="O159" s="12" t="s">
        <v>1019</v>
      </c>
      <c r="P159" s="12" t="s">
        <v>917</v>
      </c>
      <c r="Q159" s="12" t="s">
        <v>917</v>
      </c>
      <c r="R159" s="12" t="s">
        <v>917</v>
      </c>
      <c r="S159" s="12" t="s">
        <v>1019</v>
      </c>
      <c r="T159" s="12" t="s">
        <v>917</v>
      </c>
      <c r="U159" s="12" t="s">
        <v>1019</v>
      </c>
      <c r="V159" s="22">
        <v>58358</v>
      </c>
      <c r="W159" s="22">
        <v>0</v>
      </c>
      <c r="X159" s="22">
        <v>0</v>
      </c>
      <c r="Y159" s="22">
        <v>0</v>
      </c>
      <c r="Z159" s="171">
        <f t="shared" si="108"/>
        <v>1403221</v>
      </c>
      <c r="AA159" s="130" t="str">
        <f t="shared" si="109"/>
        <v>citit</v>
      </c>
      <c r="AB159" s="176">
        <f t="shared" si="122"/>
        <v>1461579</v>
      </c>
      <c r="AC159" s="12" t="s">
        <v>917</v>
      </c>
      <c r="AD159" s="12">
        <f t="shared" si="110"/>
        <v>0</v>
      </c>
      <c r="AE159" s="12">
        <f t="shared" si="110"/>
        <v>0</v>
      </c>
      <c r="AF159" s="12">
        <f t="shared" si="110"/>
        <v>88393</v>
      </c>
      <c r="AG159" s="12" t="str">
        <f t="shared" si="111"/>
        <v>citit</v>
      </c>
      <c r="AH159" s="176">
        <f t="shared" si="123"/>
        <v>88393</v>
      </c>
      <c r="AI159" s="12" t="s">
        <v>917</v>
      </c>
      <c r="AJ159" s="12">
        <f t="shared" si="112"/>
        <v>857</v>
      </c>
      <c r="AK159" s="12" t="str">
        <f t="shared" si="113"/>
        <v>citit</v>
      </c>
      <c r="AL159" s="175">
        <f t="shared" si="124"/>
        <v>857</v>
      </c>
      <c r="AM159" s="159" t="s">
        <v>917</v>
      </c>
      <c r="AN159" s="154">
        <f t="shared" si="125"/>
        <v>58358</v>
      </c>
      <c r="AO159" s="14">
        <f t="shared" si="126"/>
        <v>0</v>
      </c>
      <c r="AP159" s="147">
        <f t="shared" si="127"/>
        <v>0</v>
      </c>
      <c r="AQ159" s="147">
        <f t="shared" si="128"/>
        <v>0</v>
      </c>
      <c r="AR159" s="16">
        <v>0</v>
      </c>
      <c r="AS159" s="16">
        <v>0</v>
      </c>
      <c r="AT159" s="1">
        <f t="shared" si="129"/>
        <v>0</v>
      </c>
      <c r="AU159" s="154">
        <f t="shared" si="130"/>
        <v>0</v>
      </c>
      <c r="AV159" s="154">
        <f t="shared" si="131"/>
        <v>0</v>
      </c>
      <c r="AW159" s="154">
        <f t="shared" si="132"/>
        <v>0</v>
      </c>
      <c r="AX159" s="154">
        <f t="shared" si="133"/>
        <v>0</v>
      </c>
      <c r="AY159" s="308" t="str">
        <f t="shared" si="114"/>
        <v>-</v>
      </c>
      <c r="AZ159" s="308">
        <f t="shared" si="115"/>
        <v>58358</v>
      </c>
      <c r="BA159" s="308">
        <f>IFERROR(IF(_xlfn.NUMBERVALUE(RIGHT(B159,LEN(B159)-FIND(".",B159,1)))=COUNTIF('Contorizare in SDI'!$B:$B,LEFT(B159,FIND(".",B159,1)-1))-1,IF((COUNTIF('Contorizare in SDI'!$B:$B,LEFT(B159,FIND(".",B159,1)-1))-1)=1,VLOOKUP(LEFT(B159,FIND(".",B159,1)-1),$B$4:$AZ$68,45,FALSE),VLOOKUP(LEFT(B159,FIND(".",B159,1)-1),$B$4:$AZ$68,45,FALSE)-BB158),ROUNDUP(V159/VLOOKUP(LEFT(B159,FIND(".",B159,1)-1),$AY:$AZ,2,FALSE)*VLOOKUP(LEFT(B159,FIND(".",B159,1)-1),$B$4:$AZ$68,45,FALSE),0)),0)</f>
        <v>0</v>
      </c>
      <c r="BB159" s="308">
        <f t="shared" si="134"/>
        <v>0</v>
      </c>
      <c r="BC159" s="308">
        <f>IFERROR(IF(_xlfn.NUMBERVALUE(RIGHT(B159,LEN(B159)-FIND(".",B159,1)))=COUNTIF('Contorizare in SDI'!$B:$B,LEFT(B159,FIND(".",B159,1)-1))-1,IF((COUNTIF('Contorizare in SDI'!$B:$B,LEFT(B159,FIND(".",B159,1)-1))-1)=1,VLOOKUP(LEFT(B159,FIND(".",B159,1)-1),$B$4:$AZ$68,46,FALSE),VLOOKUP(LEFT(B159,FIND(".",B159,1)-1),$B$4:$AZ$68,46,FALSE)-BD158),ROUNDUP(V159/VLOOKUP(LEFT(B159,FIND(".",B159,1)-1),$AY:$AZ,2,FALSE)*VLOOKUP(LEFT(B159,FIND(".",B159,1)-1),$B$4:$AZ$68,46,FALSE),0)),0)</f>
        <v>0</v>
      </c>
      <c r="BD159" s="308">
        <f t="shared" si="135"/>
        <v>0</v>
      </c>
      <c r="BE159" s="308">
        <f>IFERROR(IF(_xlfn.NUMBERVALUE(RIGHT(B159,LEN(B159)-FIND(".",B159,1)))=COUNTIF('Contorizare in SDI'!$B:$B,LEFT(B159,FIND(".",B159,1)-1))-1,IF((COUNTIF('Contorizare in SDI'!$B:$B,LEFT(B159,FIND(".",B159,1)-1))-1)=1,VLOOKUP(LEFT(B159,FIND(".",B159,1)-1),$B$4:$AZ$68,47,FALSE),VLOOKUP(LEFT(B159,FIND(".",B159,1)-1),$B$4:$AZ$68,47,FALSE)-BF158),ROUNDUP(V159/VLOOKUP(LEFT(B159,FIND(".",B159,1)-1),$AY:$AZ,2,FALSE)*VLOOKUP(LEFT(B159,FIND(".",B159,1)-1),$B$4:$AZ$68,47,FALSE),0)),0)</f>
        <v>0</v>
      </c>
      <c r="BF159" s="308">
        <f t="shared" si="136"/>
        <v>0</v>
      </c>
      <c r="BG159" s="308">
        <f>IFERROR(IF(_xlfn.NUMBERVALUE(RIGHT(B159,LEN(B159)-FIND(".",B159,1)))=COUNTIF('Contorizare in SDI'!$B:$B,LEFT(B159,FIND(".",B159,1)-1))-1,IF((COUNTIF('Contorizare in SDI'!$B:$B,LEFT(B159,FIND(".",B159,1)-1))-1)=1,VLOOKUP(LEFT(B159,FIND(".",B159,1)-1),$B$4:$AZ$68,48,FALSE),VLOOKUP(LEFT(B159,FIND(".",B159,1)-1),$B$4:$AZ$68,48,FALSE)-BH158),ROUNDUP(V159/VLOOKUP(LEFT(B159,FIND(".",B159,1)-1),$AY:$AZ,2,FALSE)*VLOOKUP(LEFT(B159,FIND(".",B159,1)-1),$B$4:$AZ$68,48,FALSE),0)),0)</f>
        <v>0</v>
      </c>
      <c r="BH159" s="308">
        <f t="shared" si="137"/>
        <v>0</v>
      </c>
      <c r="BI159" s="308">
        <f>IFERROR(IF(_xlfn.NUMBERVALUE(RIGHT(B159,LEN(B159)-FIND(".",B159,1)))=COUNTIF('Contorizare in SDI'!$B:$B,LEFT(B159,FIND(".",B159,1)-1))-1,IF((COUNTIF('Contorizare in SDI'!$B:$B,LEFT(B159,FIND(".",B159,1)-1))-1)=1,VLOOKUP(LEFT(B159,FIND(".",B159,1)-1),$B$4:$AZ$68,49,FALSE),VLOOKUP(LEFT(B159,FIND(".",B159,1)-1),$B$4:$AZ$68,49,FALSE)-BJ158),ROUNDUP(V159/VLOOKUP(LEFT(B159,FIND(".",B159,1)-1),$AY:$AZ,2,FALSE)*VLOOKUP(LEFT(B159,FIND(".",B159,1)-1),$B$4:$AZ$68,49,FALSE),0)),0)</f>
        <v>0</v>
      </c>
      <c r="BJ159" s="308">
        <f t="shared" si="138"/>
        <v>0</v>
      </c>
      <c r="BP159" s="44">
        <f t="shared" si="139"/>
        <v>0</v>
      </c>
      <c r="BQ159" s="1">
        <v>0</v>
      </c>
      <c r="BR159" s="1">
        <v>0</v>
      </c>
      <c r="BS159" s="16">
        <f t="shared" si="146"/>
        <v>0</v>
      </c>
      <c r="BT159" s="16">
        <f t="shared" si="147"/>
        <v>0</v>
      </c>
      <c r="BU159" s="16">
        <f t="shared" si="148"/>
        <v>0</v>
      </c>
      <c r="BV159" s="16">
        <f t="shared" si="119"/>
        <v>0</v>
      </c>
      <c r="BX159" s="1" t="str">
        <f t="shared" si="106"/>
        <v/>
      </c>
      <c r="BY159" s="1">
        <f t="shared" si="107"/>
        <v>0</v>
      </c>
      <c r="BZ159" s="1">
        <f t="shared" ref="BZ159:BZ170" si="149">IF(LEFT(B159,4)&lt;&gt;LEFT(B158,4),BQ159,BQ159+BZ158)</f>
        <v>0</v>
      </c>
      <c r="CA159" s="1">
        <f t="shared" ref="CA159:CA170" si="150">IF(LEFT(B159,4)&lt;&gt;LEFT(B158,4),BR159,BR159+CA158)</f>
        <v>0</v>
      </c>
      <c r="CB159" s="1">
        <f t="shared" ref="CB159:CB170" si="151">IF(LEFT(B159,4)&lt;&gt;LEFT(B158,4),BS159,BS159+CB158)</f>
        <v>3292</v>
      </c>
      <c r="CC159" s="1">
        <f t="shared" ref="CC159:CC170" si="152">IF(LEFT(B159,4)&lt;&gt;LEFT(B158,4),BT159,BT159+CC158)</f>
        <v>0</v>
      </c>
      <c r="CD159" s="1">
        <f t="shared" ref="CD159:CD170" si="153">IF(LEFT(B159,4)&lt;&gt;LEFT(B158,4),BU159,BU159+CD158)</f>
        <v>0</v>
      </c>
      <c r="CE159" s="1">
        <f t="shared" ref="CE159:CE170" si="154">IF(LEFT(B159,4)&lt;&gt;LEFT(B158,4),BV159,BV159+CE158)</f>
        <v>0</v>
      </c>
      <c r="CR159" s="256" t="s">
        <v>1272</v>
      </c>
      <c r="CS159" s="291">
        <v>28416</v>
      </c>
      <c r="CT159" s="291">
        <v>591</v>
      </c>
      <c r="CU159" s="291">
        <v>0</v>
      </c>
      <c r="CV159" s="291">
        <v>0</v>
      </c>
      <c r="CW159" s="257" t="s">
        <v>1274</v>
      </c>
      <c r="CX159" s="312">
        <v>427</v>
      </c>
      <c r="CY159" s="184">
        <v>0</v>
      </c>
      <c r="CZ159" s="88">
        <v>0</v>
      </c>
      <c r="DA159" s="88">
        <v>0</v>
      </c>
      <c r="DB159" s="257" t="s">
        <v>69</v>
      </c>
      <c r="DC159" s="87">
        <v>0</v>
      </c>
      <c r="DD159" s="88">
        <v>0</v>
      </c>
      <c r="DE159" s="88">
        <v>0</v>
      </c>
      <c r="DF159" s="88">
        <v>0</v>
      </c>
      <c r="DG159" s="88">
        <v>0</v>
      </c>
      <c r="DH159" s="88">
        <v>0</v>
      </c>
      <c r="DI159" s="321">
        <v>0</v>
      </c>
      <c r="DJ159" s="88">
        <v>0</v>
      </c>
    </row>
    <row r="160" spans="1:114" ht="17.25" thickTop="1" thickBot="1">
      <c r="A160" s="531">
        <f t="shared" si="120"/>
        <v>157</v>
      </c>
      <c r="B160" s="38" t="s">
        <v>651</v>
      </c>
      <c r="C160" s="17" t="s">
        <v>363</v>
      </c>
      <c r="D160" s="17" t="s">
        <v>952</v>
      </c>
      <c r="E160" s="142" t="str">
        <f t="shared" si="121"/>
        <v>RITS</v>
      </c>
      <c r="F160" s="16">
        <v>1490481</v>
      </c>
      <c r="G160" s="16">
        <v>1546225</v>
      </c>
      <c r="H160" s="16">
        <v>0</v>
      </c>
      <c r="I160" s="16">
        <v>0</v>
      </c>
      <c r="J160" s="16">
        <v>88441</v>
      </c>
      <c r="K160" s="16">
        <v>88441</v>
      </c>
      <c r="L160" s="16">
        <v>905</v>
      </c>
      <c r="M160" s="16">
        <v>905</v>
      </c>
      <c r="N160" s="12" t="s">
        <v>917</v>
      </c>
      <c r="O160" s="12" t="s">
        <v>1019</v>
      </c>
      <c r="P160" s="12" t="s">
        <v>917</v>
      </c>
      <c r="Q160" s="12" t="s">
        <v>917</v>
      </c>
      <c r="R160" s="12" t="s">
        <v>917</v>
      </c>
      <c r="S160" s="12" t="s">
        <v>1019</v>
      </c>
      <c r="T160" s="12" t="s">
        <v>917</v>
      </c>
      <c r="U160" s="12" t="s">
        <v>1019</v>
      </c>
      <c r="V160" s="22">
        <v>55744</v>
      </c>
      <c r="W160" s="22">
        <v>0</v>
      </c>
      <c r="X160" s="22">
        <v>0</v>
      </c>
      <c r="Y160" s="22">
        <v>0</v>
      </c>
      <c r="Z160" s="171">
        <f t="shared" si="108"/>
        <v>1490481</v>
      </c>
      <c r="AA160" s="130" t="str">
        <f t="shared" si="109"/>
        <v>citit</v>
      </c>
      <c r="AB160" s="176">
        <f t="shared" si="122"/>
        <v>1546225</v>
      </c>
      <c r="AC160" s="12" t="s">
        <v>917</v>
      </c>
      <c r="AD160" s="12">
        <f t="shared" si="110"/>
        <v>0</v>
      </c>
      <c r="AE160" s="12">
        <f t="shared" si="110"/>
        <v>0</v>
      </c>
      <c r="AF160" s="12">
        <f t="shared" si="110"/>
        <v>88441</v>
      </c>
      <c r="AG160" s="12" t="str">
        <f t="shared" si="111"/>
        <v>citit</v>
      </c>
      <c r="AH160" s="176">
        <f t="shared" si="123"/>
        <v>88441</v>
      </c>
      <c r="AI160" s="12" t="s">
        <v>917</v>
      </c>
      <c r="AJ160" s="12">
        <f t="shared" si="112"/>
        <v>905</v>
      </c>
      <c r="AK160" s="12" t="str">
        <f t="shared" si="113"/>
        <v>citit</v>
      </c>
      <c r="AL160" s="175">
        <f t="shared" si="124"/>
        <v>905</v>
      </c>
      <c r="AM160" s="159" t="s">
        <v>917</v>
      </c>
      <c r="AN160" s="154">
        <f t="shared" si="125"/>
        <v>55744</v>
      </c>
      <c r="AO160" s="14">
        <f t="shared" si="126"/>
        <v>0</v>
      </c>
      <c r="AP160" s="147">
        <f t="shared" si="127"/>
        <v>0</v>
      </c>
      <c r="AQ160" s="147">
        <f t="shared" si="128"/>
        <v>0</v>
      </c>
      <c r="AR160" s="16">
        <v>0</v>
      </c>
      <c r="AS160" s="16">
        <v>0</v>
      </c>
      <c r="AT160" s="1">
        <f t="shared" si="129"/>
        <v>0</v>
      </c>
      <c r="AU160" s="154">
        <f t="shared" si="130"/>
        <v>0</v>
      </c>
      <c r="AV160" s="154">
        <f t="shared" si="131"/>
        <v>0</v>
      </c>
      <c r="AW160" s="154">
        <f t="shared" si="132"/>
        <v>0</v>
      </c>
      <c r="AX160" s="154">
        <f t="shared" si="133"/>
        <v>0</v>
      </c>
      <c r="AY160" s="308" t="str">
        <f t="shared" si="114"/>
        <v>RITS_4</v>
      </c>
      <c r="AZ160" s="308">
        <f t="shared" si="115"/>
        <v>114102</v>
      </c>
      <c r="BA160" s="308">
        <f>IFERROR(IF(_xlfn.NUMBERVALUE(RIGHT(B160,LEN(B160)-FIND(".",B160,1)))=COUNTIF('Contorizare in SDI'!$B:$B,LEFT(B160,FIND(".",B160,1)-1))-1,IF((COUNTIF('Contorizare in SDI'!$B:$B,LEFT(B160,FIND(".",B160,1)-1))-1)=1,VLOOKUP(LEFT(B160,FIND(".",B160,1)-1),$B$4:$AZ$68,45,FALSE),VLOOKUP(LEFT(B160,FIND(".",B160,1)-1),$B$4:$AZ$68,45,FALSE)-BB159),ROUNDUP(V160/VLOOKUP(LEFT(B160,FIND(".",B160,1)-1),$AY:$AZ,2,FALSE)*VLOOKUP(LEFT(B160,FIND(".",B160,1)-1),$B$4:$AZ$68,45,FALSE),0)),0)</f>
        <v>0</v>
      </c>
      <c r="BB160" s="308">
        <f t="shared" si="134"/>
        <v>0</v>
      </c>
      <c r="BC160" s="308">
        <f>IFERROR(IF(_xlfn.NUMBERVALUE(RIGHT(B160,LEN(B160)-FIND(".",B160,1)))=COUNTIF('Contorizare in SDI'!$B:$B,LEFT(B160,FIND(".",B160,1)-1))-1,IF((COUNTIF('Contorizare in SDI'!$B:$B,LEFT(B160,FIND(".",B160,1)-1))-1)=1,VLOOKUP(LEFT(B160,FIND(".",B160,1)-1),$B$4:$AZ$68,46,FALSE),VLOOKUP(LEFT(B160,FIND(".",B160,1)-1),$B$4:$AZ$68,46,FALSE)-BD159),ROUNDUP(V160/VLOOKUP(LEFT(B160,FIND(".",B160,1)-1),$AY:$AZ,2,FALSE)*VLOOKUP(LEFT(B160,FIND(".",B160,1)-1),$B$4:$AZ$68,46,FALSE),0)),0)</f>
        <v>0</v>
      </c>
      <c r="BD160" s="308">
        <f t="shared" si="135"/>
        <v>0</v>
      </c>
      <c r="BE160" s="308">
        <f>IFERROR(IF(_xlfn.NUMBERVALUE(RIGHT(B160,LEN(B160)-FIND(".",B160,1)))=COUNTIF('Contorizare in SDI'!$B:$B,LEFT(B160,FIND(".",B160,1)-1))-1,IF((COUNTIF('Contorizare in SDI'!$B:$B,LEFT(B160,FIND(".",B160,1)-1))-1)=1,VLOOKUP(LEFT(B160,FIND(".",B160,1)-1),$B$4:$AZ$68,47,FALSE),VLOOKUP(LEFT(B160,FIND(".",B160,1)-1),$B$4:$AZ$68,47,FALSE)-BF159),ROUNDUP(V160/VLOOKUP(LEFT(B160,FIND(".",B160,1)-1),$AY:$AZ,2,FALSE)*VLOOKUP(LEFT(B160,FIND(".",B160,1)-1),$B$4:$AZ$68,47,FALSE),0)),0)</f>
        <v>0</v>
      </c>
      <c r="BF160" s="308">
        <f t="shared" si="136"/>
        <v>0</v>
      </c>
      <c r="BG160" s="308">
        <f>IFERROR(IF(_xlfn.NUMBERVALUE(RIGHT(B160,LEN(B160)-FIND(".",B160,1)))=COUNTIF('Contorizare in SDI'!$B:$B,LEFT(B160,FIND(".",B160,1)-1))-1,IF((COUNTIF('Contorizare in SDI'!$B:$B,LEFT(B160,FIND(".",B160,1)-1))-1)=1,VLOOKUP(LEFT(B160,FIND(".",B160,1)-1),$B$4:$AZ$68,48,FALSE),VLOOKUP(LEFT(B160,FIND(".",B160,1)-1),$B$4:$AZ$68,48,FALSE)-BH159),ROUNDUP(V160/VLOOKUP(LEFT(B160,FIND(".",B160,1)-1),$AY:$AZ,2,FALSE)*VLOOKUP(LEFT(B160,FIND(".",B160,1)-1),$B$4:$AZ$68,48,FALSE),0)),0)</f>
        <v>0</v>
      </c>
      <c r="BH160" s="308">
        <f t="shared" si="137"/>
        <v>0</v>
      </c>
      <c r="BI160" s="308">
        <f>IFERROR(IF(_xlfn.NUMBERVALUE(RIGHT(B160,LEN(B160)-FIND(".",B160,1)))=COUNTIF('Contorizare in SDI'!$B:$B,LEFT(B160,FIND(".",B160,1)-1))-1,IF((COUNTIF('Contorizare in SDI'!$B:$B,LEFT(B160,FIND(".",B160,1)-1))-1)=1,VLOOKUP(LEFT(B160,FIND(".",B160,1)-1),$B$4:$AZ$68,49,FALSE),VLOOKUP(LEFT(B160,FIND(".",B160,1)-1),$B$4:$AZ$68,49,FALSE)-BJ159),ROUNDUP(V160/VLOOKUP(LEFT(B160,FIND(".",B160,1)-1),$AY:$AZ,2,FALSE)*VLOOKUP(LEFT(B160,FIND(".",B160,1)-1),$B$4:$AZ$68,49,FALSE),0)),0)</f>
        <v>0</v>
      </c>
      <c r="BJ160" s="308">
        <f t="shared" si="138"/>
        <v>0</v>
      </c>
      <c r="BP160" s="44">
        <f t="shared" si="139"/>
        <v>0</v>
      </c>
      <c r="BQ160" s="1">
        <v>0</v>
      </c>
      <c r="BR160" s="1">
        <v>0</v>
      </c>
      <c r="BS160" s="16">
        <f t="shared" si="146"/>
        <v>0</v>
      </c>
      <c r="BT160" s="16">
        <f t="shared" si="147"/>
        <v>0</v>
      </c>
      <c r="BU160" s="16">
        <f t="shared" si="148"/>
        <v>0</v>
      </c>
      <c r="BV160" s="16">
        <f t="shared" si="119"/>
        <v>0</v>
      </c>
      <c r="BX160" s="1" t="str">
        <f t="shared" si="106"/>
        <v>RITS</v>
      </c>
      <c r="BY160" s="1">
        <f t="shared" si="107"/>
        <v>0</v>
      </c>
      <c r="BZ160" s="1">
        <f t="shared" si="149"/>
        <v>0</v>
      </c>
      <c r="CA160" s="1">
        <f t="shared" si="150"/>
        <v>0</v>
      </c>
      <c r="CB160" s="1">
        <f t="shared" si="151"/>
        <v>3292</v>
      </c>
      <c r="CC160" s="1">
        <f t="shared" si="152"/>
        <v>0</v>
      </c>
      <c r="CD160" s="1">
        <f t="shared" si="153"/>
        <v>0</v>
      </c>
      <c r="CE160" s="1">
        <f t="shared" si="154"/>
        <v>0</v>
      </c>
      <c r="CR160" s="256" t="s">
        <v>1223</v>
      </c>
      <c r="CS160" s="291">
        <v>7016</v>
      </c>
      <c r="CT160" s="291">
        <v>18887</v>
      </c>
      <c r="CU160" s="291">
        <v>0</v>
      </c>
      <c r="CV160" s="291">
        <v>0</v>
      </c>
      <c r="CW160" s="257" t="s">
        <v>1275</v>
      </c>
      <c r="CX160" s="312">
        <v>6910</v>
      </c>
      <c r="CY160" s="184">
        <v>18887</v>
      </c>
      <c r="CZ160" s="88">
        <v>0</v>
      </c>
      <c r="DA160" s="88">
        <v>6823</v>
      </c>
      <c r="DB160" s="257" t="s">
        <v>1287</v>
      </c>
      <c r="DC160" s="87">
        <v>0</v>
      </c>
      <c r="DD160" s="88">
        <v>29288</v>
      </c>
      <c r="DE160" s="88">
        <v>327</v>
      </c>
      <c r="DF160" s="88">
        <v>155</v>
      </c>
      <c r="DG160" s="88">
        <v>6910</v>
      </c>
      <c r="DH160" s="88">
        <v>10401</v>
      </c>
      <c r="DI160" s="321">
        <v>0</v>
      </c>
      <c r="DJ160" s="88">
        <v>106</v>
      </c>
    </row>
    <row r="161" spans="1:114" ht="17.25" thickTop="1" thickBot="1">
      <c r="A161" s="531">
        <f t="shared" si="120"/>
        <v>158</v>
      </c>
      <c r="B161" s="38" t="s">
        <v>652</v>
      </c>
      <c r="C161" s="17" t="s">
        <v>367</v>
      </c>
      <c r="D161" s="17">
        <v>1372643267</v>
      </c>
      <c r="E161" s="142" t="str">
        <f t="shared" si="121"/>
        <v>RNSS</v>
      </c>
      <c r="F161" s="16">
        <v>2652194</v>
      </c>
      <c r="G161" s="16">
        <v>2777818</v>
      </c>
      <c r="H161" s="16">
        <v>0</v>
      </c>
      <c r="I161" s="16">
        <v>0</v>
      </c>
      <c r="J161" s="16">
        <v>170726</v>
      </c>
      <c r="K161" s="16">
        <v>170726</v>
      </c>
      <c r="L161" s="16">
        <v>8683</v>
      </c>
      <c r="M161" s="16">
        <v>8683</v>
      </c>
      <c r="N161" s="12" t="s">
        <v>917</v>
      </c>
      <c r="O161" s="12" t="s">
        <v>1019</v>
      </c>
      <c r="P161" s="12" t="s">
        <v>917</v>
      </c>
      <c r="Q161" s="12" t="s">
        <v>917</v>
      </c>
      <c r="R161" s="12" t="s">
        <v>917</v>
      </c>
      <c r="S161" s="12" t="s">
        <v>1019</v>
      </c>
      <c r="T161" s="12" t="s">
        <v>917</v>
      </c>
      <c r="U161" s="12" t="s">
        <v>1019</v>
      </c>
      <c r="V161" s="22">
        <v>125624</v>
      </c>
      <c r="W161" s="22">
        <v>0</v>
      </c>
      <c r="X161" s="22">
        <v>0</v>
      </c>
      <c r="Y161" s="22">
        <v>0</v>
      </c>
      <c r="Z161" s="171">
        <f t="shared" si="108"/>
        <v>2652194</v>
      </c>
      <c r="AA161" s="130" t="str">
        <f t="shared" si="109"/>
        <v>citit</v>
      </c>
      <c r="AB161" s="176">
        <f t="shared" si="122"/>
        <v>2777818</v>
      </c>
      <c r="AC161" s="12" t="s">
        <v>917</v>
      </c>
      <c r="AD161" s="12">
        <f t="shared" si="110"/>
        <v>0</v>
      </c>
      <c r="AE161" s="12">
        <f t="shared" si="110"/>
        <v>0</v>
      </c>
      <c r="AF161" s="12">
        <f t="shared" si="110"/>
        <v>170726</v>
      </c>
      <c r="AG161" s="12" t="str">
        <f t="shared" si="111"/>
        <v>citit</v>
      </c>
      <c r="AH161" s="176">
        <f t="shared" si="123"/>
        <v>171022</v>
      </c>
      <c r="AI161" s="12" t="s">
        <v>917</v>
      </c>
      <c r="AJ161" s="12">
        <f t="shared" si="112"/>
        <v>8683</v>
      </c>
      <c r="AK161" s="12" t="str">
        <f t="shared" si="113"/>
        <v>citit</v>
      </c>
      <c r="AL161" s="175">
        <f t="shared" si="124"/>
        <v>8685</v>
      </c>
      <c r="AM161" s="159" t="s">
        <v>917</v>
      </c>
      <c r="AN161" s="154">
        <f t="shared" si="125"/>
        <v>125624</v>
      </c>
      <c r="AO161" s="14">
        <f t="shared" si="126"/>
        <v>0</v>
      </c>
      <c r="AP161" s="147">
        <f t="shared" si="127"/>
        <v>296</v>
      </c>
      <c r="AQ161" s="147">
        <f t="shared" si="128"/>
        <v>2</v>
      </c>
      <c r="AR161" s="16">
        <v>0</v>
      </c>
      <c r="AS161" s="16">
        <v>0</v>
      </c>
      <c r="AT161" s="1">
        <f t="shared" si="129"/>
        <v>0</v>
      </c>
      <c r="AU161" s="154">
        <f t="shared" si="130"/>
        <v>133</v>
      </c>
      <c r="AV161" s="154">
        <f t="shared" si="131"/>
        <v>163</v>
      </c>
      <c r="AW161" s="154">
        <f t="shared" si="132"/>
        <v>2</v>
      </c>
      <c r="AX161" s="154">
        <f t="shared" si="133"/>
        <v>0</v>
      </c>
      <c r="AY161" s="308" t="str">
        <f t="shared" si="114"/>
        <v>-</v>
      </c>
      <c r="AZ161" s="308">
        <f t="shared" si="115"/>
        <v>125624</v>
      </c>
      <c r="BA161" s="308">
        <f>IFERROR(IF(_xlfn.NUMBERVALUE(RIGHT(B161,LEN(B161)-FIND(".",B161,1)))=COUNTIF('Contorizare in SDI'!$B:$B,LEFT(B161,FIND(".",B161,1)-1))-1,IF((COUNTIF('Contorizare in SDI'!$B:$B,LEFT(B161,FIND(".",B161,1)-1))-1)=1,VLOOKUP(LEFT(B161,FIND(".",B161,1)-1),$B$4:$AZ$68,45,FALSE),VLOOKUP(LEFT(B161,FIND(".",B161,1)-1),$B$4:$AZ$68,45,FALSE)-BB160),ROUNDUP(V161/VLOOKUP(LEFT(B161,FIND(".",B161,1)-1),$AY:$AZ,2,FALSE)*VLOOKUP(LEFT(B161,FIND(".",B161,1)-1),$B$4:$AZ$68,45,FALSE),0)),0)</f>
        <v>0</v>
      </c>
      <c r="BB161" s="308">
        <f t="shared" si="134"/>
        <v>0</v>
      </c>
      <c r="BC161" s="308">
        <f>IFERROR(IF(_xlfn.NUMBERVALUE(RIGHT(B161,LEN(B161)-FIND(".",B161,1)))=COUNTIF('Contorizare in SDI'!$B:$B,LEFT(B161,FIND(".",B161,1)-1))-1,IF((COUNTIF('Contorizare in SDI'!$B:$B,LEFT(B161,FIND(".",B161,1)-1))-1)=1,VLOOKUP(LEFT(B161,FIND(".",B161,1)-1),$B$4:$AZ$68,46,FALSE),VLOOKUP(LEFT(B161,FIND(".",B161,1)-1),$B$4:$AZ$68,46,FALSE)-BD160),ROUNDUP(V161/VLOOKUP(LEFT(B161,FIND(".",B161,1)-1),$AY:$AZ,2,FALSE)*VLOOKUP(LEFT(B161,FIND(".",B161,1)-1),$B$4:$AZ$68,46,FALSE),0)),0)</f>
        <v>133</v>
      </c>
      <c r="BD161" s="308">
        <f t="shared" si="135"/>
        <v>133</v>
      </c>
      <c r="BE161" s="308">
        <f>IFERROR(IF(_xlfn.NUMBERVALUE(RIGHT(B161,LEN(B161)-FIND(".",B161,1)))=COUNTIF('Contorizare in SDI'!$B:$B,LEFT(B161,FIND(".",B161,1)-1))-1,IF((COUNTIF('Contorizare in SDI'!$B:$B,LEFT(B161,FIND(".",B161,1)-1))-1)=1,VLOOKUP(LEFT(B161,FIND(".",B161,1)-1),$B$4:$AZ$68,47,FALSE),VLOOKUP(LEFT(B161,FIND(".",B161,1)-1),$B$4:$AZ$68,47,FALSE)-BF160),ROUNDUP(V161/VLOOKUP(LEFT(B161,FIND(".",B161,1)-1),$AY:$AZ,2,FALSE)*VLOOKUP(LEFT(B161,FIND(".",B161,1)-1),$B$4:$AZ$68,47,FALSE),0)),0)</f>
        <v>163</v>
      </c>
      <c r="BF161" s="308">
        <f t="shared" si="136"/>
        <v>163</v>
      </c>
      <c r="BG161" s="308">
        <f>IFERROR(IF(_xlfn.NUMBERVALUE(RIGHT(B161,LEN(B161)-FIND(".",B161,1)))=COUNTIF('Contorizare in SDI'!$B:$B,LEFT(B161,FIND(".",B161,1)-1))-1,IF((COUNTIF('Contorizare in SDI'!$B:$B,LEFT(B161,FIND(".",B161,1)-1))-1)=1,VLOOKUP(LEFT(B161,FIND(".",B161,1)-1),$B$4:$AZ$68,48,FALSE),VLOOKUP(LEFT(B161,FIND(".",B161,1)-1),$B$4:$AZ$68,48,FALSE)-BH160),ROUNDUP(V161/VLOOKUP(LEFT(B161,FIND(".",B161,1)-1),$AY:$AZ,2,FALSE)*VLOOKUP(LEFT(B161,FIND(".",B161,1)-1),$B$4:$AZ$68,48,FALSE),0)),0)</f>
        <v>2</v>
      </c>
      <c r="BH161" s="308">
        <f t="shared" si="137"/>
        <v>2</v>
      </c>
      <c r="BI161" s="308">
        <f>IFERROR(IF(_xlfn.NUMBERVALUE(RIGHT(B161,LEN(B161)-FIND(".",B161,1)))=COUNTIF('Contorizare in SDI'!$B:$B,LEFT(B161,FIND(".",B161,1)-1))-1,IF((COUNTIF('Contorizare in SDI'!$B:$B,LEFT(B161,FIND(".",B161,1)-1))-1)=1,VLOOKUP(LEFT(B161,FIND(".",B161,1)-1),$B$4:$AZ$68,49,FALSE),VLOOKUP(LEFT(B161,FIND(".",B161,1)-1),$B$4:$AZ$68,49,FALSE)-BJ160),ROUNDUP(V161/VLOOKUP(LEFT(B161,FIND(".",B161,1)-1),$AY:$AZ,2,FALSE)*VLOOKUP(LEFT(B161,FIND(".",B161,1)-1),$B$4:$AZ$68,49,FALSE),0)),0)</f>
        <v>0</v>
      </c>
      <c r="BJ161" s="308">
        <f t="shared" si="138"/>
        <v>0</v>
      </c>
      <c r="BP161" s="44">
        <f t="shared" si="139"/>
        <v>0</v>
      </c>
      <c r="BQ161" s="1">
        <v>0</v>
      </c>
      <c r="BR161" s="1">
        <v>0</v>
      </c>
      <c r="BS161" s="16">
        <f t="shared" si="146"/>
        <v>133</v>
      </c>
      <c r="BT161" s="16">
        <f t="shared" si="147"/>
        <v>163</v>
      </c>
      <c r="BU161" s="16">
        <f t="shared" si="148"/>
        <v>2</v>
      </c>
      <c r="BV161" s="16">
        <f t="shared" si="119"/>
        <v>0</v>
      </c>
      <c r="BX161" s="1" t="str">
        <f t="shared" si="106"/>
        <v/>
      </c>
      <c r="BY161" s="1">
        <f t="shared" si="107"/>
        <v>0</v>
      </c>
      <c r="BZ161" s="1">
        <f t="shared" si="149"/>
        <v>0</v>
      </c>
      <c r="CA161" s="1">
        <f t="shared" si="150"/>
        <v>0</v>
      </c>
      <c r="CB161" s="1">
        <f t="shared" si="151"/>
        <v>133</v>
      </c>
      <c r="CC161" s="1">
        <f t="shared" si="152"/>
        <v>163</v>
      </c>
      <c r="CD161" s="1">
        <f t="shared" si="153"/>
        <v>2</v>
      </c>
      <c r="CE161" s="1">
        <f t="shared" si="154"/>
        <v>0</v>
      </c>
      <c r="CR161" s="256" t="s">
        <v>1223</v>
      </c>
      <c r="CS161" s="291">
        <v>7016</v>
      </c>
      <c r="CT161" s="291">
        <v>18887</v>
      </c>
      <c r="CU161" s="291">
        <v>0</v>
      </c>
      <c r="CV161" s="291">
        <v>0</v>
      </c>
      <c r="CW161" s="257" t="s">
        <v>1276</v>
      </c>
      <c r="CX161" s="312">
        <v>106</v>
      </c>
      <c r="CY161" s="184">
        <v>0</v>
      </c>
      <c r="CZ161" s="88">
        <v>0</v>
      </c>
      <c r="DA161" s="88">
        <v>0</v>
      </c>
      <c r="DB161" s="29" t="s">
        <v>69</v>
      </c>
      <c r="DC161" s="87">
        <v>0</v>
      </c>
      <c r="DD161" s="88">
        <v>0</v>
      </c>
      <c r="DE161" s="88">
        <v>0</v>
      </c>
      <c r="DF161" s="88">
        <v>0</v>
      </c>
      <c r="DG161" s="88">
        <v>0</v>
      </c>
      <c r="DH161" s="88">
        <v>0</v>
      </c>
      <c r="DI161" s="321">
        <v>0</v>
      </c>
      <c r="DJ161" s="88">
        <v>0</v>
      </c>
    </row>
    <row r="162" spans="1:114" ht="17.25" thickTop="1" thickBot="1">
      <c r="A162" s="531">
        <f t="shared" si="120"/>
        <v>159</v>
      </c>
      <c r="B162" s="38" t="s">
        <v>653</v>
      </c>
      <c r="C162" s="17" t="s">
        <v>369</v>
      </c>
      <c r="D162" s="17">
        <v>1372640777</v>
      </c>
      <c r="E162" s="142" t="str">
        <f t="shared" si="121"/>
        <v>RNSS</v>
      </c>
      <c r="F162" s="16">
        <v>2185032</v>
      </c>
      <c r="G162" s="16">
        <v>2284460</v>
      </c>
      <c r="H162" s="16">
        <v>0</v>
      </c>
      <c r="I162" s="16">
        <v>0</v>
      </c>
      <c r="J162" s="16">
        <v>156232</v>
      </c>
      <c r="K162" s="16">
        <v>156232</v>
      </c>
      <c r="L162" s="16">
        <v>25305</v>
      </c>
      <c r="M162" s="16">
        <v>25305</v>
      </c>
      <c r="N162" s="12" t="s">
        <v>917</v>
      </c>
      <c r="O162" s="12" t="s">
        <v>1019</v>
      </c>
      <c r="P162" s="12" t="s">
        <v>917</v>
      </c>
      <c r="Q162" s="12" t="s">
        <v>917</v>
      </c>
      <c r="R162" s="12" t="s">
        <v>917</v>
      </c>
      <c r="S162" s="12" t="s">
        <v>1019</v>
      </c>
      <c r="T162" s="12" t="s">
        <v>917</v>
      </c>
      <c r="U162" s="12" t="s">
        <v>1019</v>
      </c>
      <c r="V162" s="22">
        <v>99428</v>
      </c>
      <c r="W162" s="22">
        <v>0</v>
      </c>
      <c r="X162" s="22">
        <v>0</v>
      </c>
      <c r="Y162" s="22">
        <v>0</v>
      </c>
      <c r="Z162" s="171">
        <f t="shared" si="108"/>
        <v>2185032</v>
      </c>
      <c r="AA162" s="130" t="str">
        <f t="shared" si="109"/>
        <v>citit</v>
      </c>
      <c r="AB162" s="176">
        <f t="shared" si="122"/>
        <v>2284460</v>
      </c>
      <c r="AC162" s="12" t="s">
        <v>917</v>
      </c>
      <c r="AD162" s="12">
        <f t="shared" si="110"/>
        <v>0</v>
      </c>
      <c r="AE162" s="12">
        <f t="shared" si="110"/>
        <v>0</v>
      </c>
      <c r="AF162" s="12">
        <f t="shared" si="110"/>
        <v>156232</v>
      </c>
      <c r="AG162" s="12" t="str">
        <f t="shared" si="111"/>
        <v>citit</v>
      </c>
      <c r="AH162" s="176">
        <f t="shared" si="123"/>
        <v>156465</v>
      </c>
      <c r="AI162" s="12" t="s">
        <v>917</v>
      </c>
      <c r="AJ162" s="12">
        <f t="shared" si="112"/>
        <v>25305</v>
      </c>
      <c r="AK162" s="12" t="str">
        <f t="shared" si="113"/>
        <v>citit</v>
      </c>
      <c r="AL162" s="175">
        <f t="shared" si="124"/>
        <v>25305</v>
      </c>
      <c r="AM162" s="159" t="s">
        <v>917</v>
      </c>
      <c r="AN162" s="154">
        <f t="shared" si="125"/>
        <v>99428</v>
      </c>
      <c r="AO162" s="14">
        <f t="shared" si="126"/>
        <v>0</v>
      </c>
      <c r="AP162" s="147">
        <f t="shared" si="127"/>
        <v>233</v>
      </c>
      <c r="AQ162" s="147">
        <f t="shared" si="128"/>
        <v>0</v>
      </c>
      <c r="AR162" s="16">
        <v>0</v>
      </c>
      <c r="AS162" s="16">
        <v>0</v>
      </c>
      <c r="AT162" s="1">
        <f t="shared" si="129"/>
        <v>0</v>
      </c>
      <c r="AU162" s="154">
        <f t="shared" si="130"/>
        <v>104</v>
      </c>
      <c r="AV162" s="154">
        <f t="shared" si="131"/>
        <v>129</v>
      </c>
      <c r="AW162" s="154">
        <f t="shared" si="132"/>
        <v>0</v>
      </c>
      <c r="AX162" s="154">
        <f t="shared" si="133"/>
        <v>0</v>
      </c>
      <c r="AY162" s="308" t="str">
        <f t="shared" si="114"/>
        <v>RNSS_1</v>
      </c>
      <c r="AZ162" s="308">
        <f t="shared" si="115"/>
        <v>225052</v>
      </c>
      <c r="BA162" s="308">
        <f>IFERROR(IF(_xlfn.NUMBERVALUE(RIGHT(B162,LEN(B162)-FIND(".",B162,1)))=COUNTIF('Contorizare in SDI'!$B:$B,LEFT(B162,FIND(".",B162,1)-1))-1,IF((COUNTIF('Contorizare in SDI'!$B:$B,LEFT(B162,FIND(".",B162,1)-1))-1)=1,VLOOKUP(LEFT(B162,FIND(".",B162,1)-1),$B$4:$AZ$68,45,FALSE),VLOOKUP(LEFT(B162,FIND(".",B162,1)-1),$B$4:$AZ$68,45,FALSE)-BB161),ROUNDUP(V162/VLOOKUP(LEFT(B162,FIND(".",B162,1)-1),$AY:$AZ,2,FALSE)*VLOOKUP(LEFT(B162,FIND(".",B162,1)-1),$B$4:$AZ$68,45,FALSE),0)),0)</f>
        <v>0</v>
      </c>
      <c r="BB162" s="308">
        <f t="shared" si="134"/>
        <v>0</v>
      </c>
      <c r="BC162" s="308">
        <f>IFERROR(IF(_xlfn.NUMBERVALUE(RIGHT(B162,LEN(B162)-FIND(".",B162,1)))=COUNTIF('Contorizare in SDI'!$B:$B,LEFT(B162,FIND(".",B162,1)-1))-1,IF((COUNTIF('Contorizare in SDI'!$B:$B,LEFT(B162,FIND(".",B162,1)-1))-1)=1,VLOOKUP(LEFT(B162,FIND(".",B162,1)-1),$B$4:$AZ$68,46,FALSE),VLOOKUP(LEFT(B162,FIND(".",B162,1)-1),$B$4:$AZ$68,46,FALSE)-BD161),ROUNDUP(V162/VLOOKUP(LEFT(B162,FIND(".",B162,1)-1),$AY:$AZ,2,FALSE)*VLOOKUP(LEFT(B162,FIND(".",B162,1)-1),$B$4:$AZ$68,46,FALSE),0)),0)</f>
        <v>104</v>
      </c>
      <c r="BD162" s="308">
        <f t="shared" si="135"/>
        <v>237</v>
      </c>
      <c r="BE162" s="308">
        <f>IFERROR(IF(_xlfn.NUMBERVALUE(RIGHT(B162,LEN(B162)-FIND(".",B162,1)))=COUNTIF('Contorizare in SDI'!$B:$B,LEFT(B162,FIND(".",B162,1)-1))-1,IF((COUNTIF('Contorizare in SDI'!$B:$B,LEFT(B162,FIND(".",B162,1)-1))-1)=1,VLOOKUP(LEFT(B162,FIND(".",B162,1)-1),$B$4:$AZ$68,47,FALSE),VLOOKUP(LEFT(B162,FIND(".",B162,1)-1),$B$4:$AZ$68,47,FALSE)-BF161),ROUNDUP(V162/VLOOKUP(LEFT(B162,FIND(".",B162,1)-1),$AY:$AZ,2,FALSE)*VLOOKUP(LEFT(B162,FIND(".",B162,1)-1),$B$4:$AZ$68,47,FALSE),0)),0)</f>
        <v>129</v>
      </c>
      <c r="BF162" s="308">
        <f t="shared" si="136"/>
        <v>292</v>
      </c>
      <c r="BG162" s="308">
        <f>IFERROR(IF(_xlfn.NUMBERVALUE(RIGHT(B162,LEN(B162)-FIND(".",B162,1)))=COUNTIF('Contorizare in SDI'!$B:$B,LEFT(B162,FIND(".",B162,1)-1))-1,IF((COUNTIF('Contorizare in SDI'!$B:$B,LEFT(B162,FIND(".",B162,1)-1))-1)=1,VLOOKUP(LEFT(B162,FIND(".",B162,1)-1),$B$4:$AZ$68,48,FALSE),VLOOKUP(LEFT(B162,FIND(".",B162,1)-1),$B$4:$AZ$68,48,FALSE)-BH161),ROUNDUP(V162/VLOOKUP(LEFT(B162,FIND(".",B162,1)-1),$AY:$AZ,2,FALSE)*VLOOKUP(LEFT(B162,FIND(".",B162,1)-1),$B$4:$AZ$68,48,FALSE),0)),0)</f>
        <v>0</v>
      </c>
      <c r="BH162" s="308">
        <f t="shared" si="137"/>
        <v>2</v>
      </c>
      <c r="BI162" s="308">
        <f>IFERROR(IF(_xlfn.NUMBERVALUE(RIGHT(B162,LEN(B162)-FIND(".",B162,1)))=COUNTIF('Contorizare in SDI'!$B:$B,LEFT(B162,FIND(".",B162,1)-1))-1,IF((COUNTIF('Contorizare in SDI'!$B:$B,LEFT(B162,FIND(".",B162,1)-1))-1)=1,VLOOKUP(LEFT(B162,FIND(".",B162,1)-1),$B$4:$AZ$68,49,FALSE),VLOOKUP(LEFT(B162,FIND(".",B162,1)-1),$B$4:$AZ$68,49,FALSE)-BJ161),ROUNDUP(V162/VLOOKUP(LEFT(B162,FIND(".",B162,1)-1),$AY:$AZ,2,FALSE)*VLOOKUP(LEFT(B162,FIND(".",B162,1)-1),$B$4:$AZ$68,49,FALSE),0)),0)</f>
        <v>0</v>
      </c>
      <c r="BJ162" s="308">
        <f t="shared" si="138"/>
        <v>0</v>
      </c>
      <c r="BP162" s="44">
        <f t="shared" si="139"/>
        <v>0</v>
      </c>
      <c r="BQ162" s="1">
        <v>0</v>
      </c>
      <c r="BR162" s="1">
        <v>0</v>
      </c>
      <c r="BS162" s="16">
        <f t="shared" si="146"/>
        <v>104</v>
      </c>
      <c r="BT162" s="16">
        <f t="shared" si="147"/>
        <v>129</v>
      </c>
      <c r="BU162" s="16">
        <f t="shared" si="148"/>
        <v>0</v>
      </c>
      <c r="BV162" s="16">
        <f t="shared" si="119"/>
        <v>0</v>
      </c>
      <c r="BX162" s="1" t="str">
        <f t="shared" si="106"/>
        <v/>
      </c>
      <c r="BY162" s="1">
        <f t="shared" si="107"/>
        <v>0</v>
      </c>
      <c r="BZ162" s="1">
        <f t="shared" si="149"/>
        <v>0</v>
      </c>
      <c r="CA162" s="1">
        <f t="shared" si="150"/>
        <v>0</v>
      </c>
      <c r="CB162" s="1">
        <f t="shared" si="151"/>
        <v>237</v>
      </c>
      <c r="CC162" s="1">
        <f t="shared" si="152"/>
        <v>292</v>
      </c>
      <c r="CD162" s="1">
        <f t="shared" si="153"/>
        <v>2</v>
      </c>
      <c r="CE162" s="1">
        <f t="shared" si="154"/>
        <v>0</v>
      </c>
      <c r="CR162" s="256" t="s">
        <v>1225</v>
      </c>
      <c r="CS162" s="291">
        <v>11640</v>
      </c>
      <c r="CT162" s="291">
        <v>19608</v>
      </c>
      <c r="CU162" s="291">
        <v>0</v>
      </c>
      <c r="CV162" s="291">
        <v>0</v>
      </c>
      <c r="CW162" s="257" t="s">
        <v>1277</v>
      </c>
      <c r="CX162" s="312">
        <v>11465</v>
      </c>
      <c r="CY162" s="184">
        <v>19608</v>
      </c>
      <c r="CZ162" s="88">
        <v>0</v>
      </c>
      <c r="DA162" s="88">
        <v>8133</v>
      </c>
      <c r="DB162" s="257" t="s">
        <v>1288</v>
      </c>
      <c r="DC162" s="87">
        <v>0</v>
      </c>
      <c r="DD162" s="88">
        <v>37074</v>
      </c>
      <c r="DE162" s="88">
        <v>454</v>
      </c>
      <c r="DF162" s="88">
        <v>160</v>
      </c>
      <c r="DG162" s="88">
        <v>11465</v>
      </c>
      <c r="DH162" s="88">
        <v>17466</v>
      </c>
      <c r="DI162" s="321">
        <v>0</v>
      </c>
      <c r="DJ162" s="88">
        <v>175</v>
      </c>
    </row>
    <row r="163" spans="1:114" ht="17.25" thickTop="1" thickBot="1">
      <c r="A163" s="531">
        <f t="shared" si="120"/>
        <v>160</v>
      </c>
      <c r="B163" s="38" t="s">
        <v>654</v>
      </c>
      <c r="C163" s="17" t="s">
        <v>373</v>
      </c>
      <c r="D163" s="17" t="s">
        <v>953</v>
      </c>
      <c r="E163" s="142" t="str">
        <f t="shared" si="121"/>
        <v>RNSS</v>
      </c>
      <c r="F163" s="16">
        <v>285331</v>
      </c>
      <c r="G163" s="16">
        <v>304999</v>
      </c>
      <c r="H163" s="16">
        <v>0</v>
      </c>
      <c r="I163" s="16">
        <v>0</v>
      </c>
      <c r="J163" s="16">
        <v>34925</v>
      </c>
      <c r="K163" s="16">
        <v>34925</v>
      </c>
      <c r="L163" s="16">
        <v>4471</v>
      </c>
      <c r="M163" s="16">
        <v>4471</v>
      </c>
      <c r="N163" s="12" t="s">
        <v>917</v>
      </c>
      <c r="O163" s="12" t="s">
        <v>1019</v>
      </c>
      <c r="P163" s="12" t="s">
        <v>917</v>
      </c>
      <c r="Q163" s="12" t="s">
        <v>917</v>
      </c>
      <c r="R163" s="12" t="s">
        <v>917</v>
      </c>
      <c r="S163" s="12" t="s">
        <v>1019</v>
      </c>
      <c r="T163" s="12" t="s">
        <v>917</v>
      </c>
      <c r="U163" s="12" t="s">
        <v>1019</v>
      </c>
      <c r="V163" s="22">
        <v>19668</v>
      </c>
      <c r="W163" s="22">
        <v>0</v>
      </c>
      <c r="X163" s="22">
        <v>0</v>
      </c>
      <c r="Y163" s="22">
        <v>0</v>
      </c>
      <c r="Z163" s="171">
        <f t="shared" si="108"/>
        <v>285331</v>
      </c>
      <c r="AA163" s="130" t="str">
        <f t="shared" si="109"/>
        <v>citit</v>
      </c>
      <c r="AB163" s="176">
        <f t="shared" si="122"/>
        <v>304999</v>
      </c>
      <c r="AC163" s="12" t="s">
        <v>917</v>
      </c>
      <c r="AD163" s="12">
        <f t="shared" si="110"/>
        <v>0</v>
      </c>
      <c r="AE163" s="12">
        <f t="shared" si="110"/>
        <v>0</v>
      </c>
      <c r="AF163" s="12">
        <f t="shared" si="110"/>
        <v>34925</v>
      </c>
      <c r="AG163" s="12" t="str">
        <f t="shared" si="111"/>
        <v>citit</v>
      </c>
      <c r="AH163" s="176">
        <f t="shared" si="123"/>
        <v>35114</v>
      </c>
      <c r="AI163" s="12" t="s">
        <v>917</v>
      </c>
      <c r="AJ163" s="12">
        <f t="shared" si="112"/>
        <v>4471</v>
      </c>
      <c r="AK163" s="12" t="str">
        <f t="shared" si="113"/>
        <v>citit</v>
      </c>
      <c r="AL163" s="175">
        <f t="shared" si="124"/>
        <v>4471</v>
      </c>
      <c r="AM163" s="159" t="s">
        <v>917</v>
      </c>
      <c r="AN163" s="154">
        <f t="shared" si="125"/>
        <v>19668</v>
      </c>
      <c r="AO163" s="14">
        <f t="shared" si="126"/>
        <v>0</v>
      </c>
      <c r="AP163" s="147">
        <f t="shared" si="127"/>
        <v>189</v>
      </c>
      <c r="AQ163" s="147">
        <f t="shared" si="128"/>
        <v>0</v>
      </c>
      <c r="AR163" s="16">
        <v>0</v>
      </c>
      <c r="AS163" s="16">
        <v>0</v>
      </c>
      <c r="AT163" s="1">
        <f t="shared" si="129"/>
        <v>0</v>
      </c>
      <c r="AU163" s="154">
        <f t="shared" si="130"/>
        <v>189</v>
      </c>
      <c r="AV163" s="154">
        <f t="shared" si="131"/>
        <v>0</v>
      </c>
      <c r="AW163" s="154">
        <f t="shared" si="132"/>
        <v>0</v>
      </c>
      <c r="AX163" s="154">
        <f t="shared" si="133"/>
        <v>0</v>
      </c>
      <c r="AY163" s="308" t="str">
        <f t="shared" si="114"/>
        <v>RNSS_2</v>
      </c>
      <c r="AZ163" s="308">
        <f t="shared" si="115"/>
        <v>19668</v>
      </c>
      <c r="BA163" s="308">
        <f>IFERROR(IF(_xlfn.NUMBERVALUE(RIGHT(B163,LEN(B163)-FIND(".",B163,1)))=COUNTIF('Contorizare in SDI'!$B:$B,LEFT(B163,FIND(".",B163,1)-1))-1,IF((COUNTIF('Contorizare in SDI'!$B:$B,LEFT(B163,FIND(".",B163,1)-1))-1)=1,VLOOKUP(LEFT(B163,FIND(".",B163,1)-1),$B$4:$AZ$68,45,FALSE),VLOOKUP(LEFT(B163,FIND(".",B163,1)-1),$B$4:$AZ$68,45,FALSE)-BB162),ROUNDUP(V163/VLOOKUP(LEFT(B163,FIND(".",B163,1)-1),$AY:$AZ,2,FALSE)*VLOOKUP(LEFT(B163,FIND(".",B163,1)-1),$B$4:$AZ$68,45,FALSE),0)),0)</f>
        <v>0</v>
      </c>
      <c r="BB163" s="308">
        <f t="shared" si="134"/>
        <v>0</v>
      </c>
      <c r="BC163" s="308">
        <f>IFERROR(IF(_xlfn.NUMBERVALUE(RIGHT(B163,LEN(B163)-FIND(".",B163,1)))=COUNTIF('Contorizare in SDI'!$B:$B,LEFT(B163,FIND(".",B163,1)-1))-1,IF((COUNTIF('Contorizare in SDI'!$B:$B,LEFT(B163,FIND(".",B163,1)-1))-1)=1,VLOOKUP(LEFT(B163,FIND(".",B163,1)-1),$B$4:$AZ$68,46,FALSE),VLOOKUP(LEFT(B163,FIND(".",B163,1)-1),$B$4:$AZ$68,46,FALSE)-BD162),ROUNDUP(V163/VLOOKUP(LEFT(B163,FIND(".",B163,1)-1),$AY:$AZ,2,FALSE)*VLOOKUP(LEFT(B163,FIND(".",B163,1)-1),$B$4:$AZ$68,46,FALSE),0)),0)</f>
        <v>189</v>
      </c>
      <c r="BD163" s="308">
        <f t="shared" si="135"/>
        <v>189</v>
      </c>
      <c r="BE163" s="308">
        <f>IFERROR(IF(_xlfn.NUMBERVALUE(RIGHT(B163,LEN(B163)-FIND(".",B163,1)))=COUNTIF('Contorizare in SDI'!$B:$B,LEFT(B163,FIND(".",B163,1)-1))-1,IF((COUNTIF('Contorizare in SDI'!$B:$B,LEFT(B163,FIND(".",B163,1)-1))-1)=1,VLOOKUP(LEFT(B163,FIND(".",B163,1)-1),$B$4:$AZ$68,47,FALSE),VLOOKUP(LEFT(B163,FIND(".",B163,1)-1),$B$4:$AZ$68,47,FALSE)-BF162),ROUNDUP(V163/VLOOKUP(LEFT(B163,FIND(".",B163,1)-1),$AY:$AZ,2,FALSE)*VLOOKUP(LEFT(B163,FIND(".",B163,1)-1),$B$4:$AZ$68,47,FALSE),0)),0)</f>
        <v>0</v>
      </c>
      <c r="BF163" s="308">
        <f t="shared" si="136"/>
        <v>0</v>
      </c>
      <c r="BG163" s="308">
        <f>IFERROR(IF(_xlfn.NUMBERVALUE(RIGHT(B163,LEN(B163)-FIND(".",B163,1)))=COUNTIF('Contorizare in SDI'!$B:$B,LEFT(B163,FIND(".",B163,1)-1))-1,IF((COUNTIF('Contorizare in SDI'!$B:$B,LEFT(B163,FIND(".",B163,1)-1))-1)=1,VLOOKUP(LEFT(B163,FIND(".",B163,1)-1),$B$4:$AZ$68,48,FALSE),VLOOKUP(LEFT(B163,FIND(".",B163,1)-1),$B$4:$AZ$68,48,FALSE)-BH162),ROUNDUP(V163/VLOOKUP(LEFT(B163,FIND(".",B163,1)-1),$AY:$AZ,2,FALSE)*VLOOKUP(LEFT(B163,FIND(".",B163,1)-1),$B$4:$AZ$68,48,FALSE),0)),0)</f>
        <v>0</v>
      </c>
      <c r="BH163" s="308">
        <f t="shared" si="137"/>
        <v>0</v>
      </c>
      <c r="BI163" s="308">
        <f>IFERROR(IF(_xlfn.NUMBERVALUE(RIGHT(B163,LEN(B163)-FIND(".",B163,1)))=COUNTIF('Contorizare in SDI'!$B:$B,LEFT(B163,FIND(".",B163,1)-1))-1,IF((COUNTIF('Contorizare in SDI'!$B:$B,LEFT(B163,FIND(".",B163,1)-1))-1)=1,VLOOKUP(LEFT(B163,FIND(".",B163,1)-1),$B$4:$AZ$68,49,FALSE),VLOOKUP(LEFT(B163,FIND(".",B163,1)-1),$B$4:$AZ$68,49,FALSE)-BJ162),ROUNDUP(V163/VLOOKUP(LEFT(B163,FIND(".",B163,1)-1),$AY:$AZ,2,FALSE)*VLOOKUP(LEFT(B163,FIND(".",B163,1)-1),$B$4:$AZ$68,49,FALSE),0)),0)</f>
        <v>0</v>
      </c>
      <c r="BJ163" s="308">
        <f t="shared" si="138"/>
        <v>0</v>
      </c>
      <c r="BP163" s="44">
        <f t="shared" si="139"/>
        <v>0</v>
      </c>
      <c r="BQ163" s="1">
        <v>0</v>
      </c>
      <c r="BR163" s="1">
        <v>0</v>
      </c>
      <c r="BS163" s="16">
        <f t="shared" si="146"/>
        <v>189</v>
      </c>
      <c r="BT163" s="16">
        <f t="shared" si="147"/>
        <v>0</v>
      </c>
      <c r="BU163" s="16">
        <f t="shared" si="148"/>
        <v>0</v>
      </c>
      <c r="BV163" s="16">
        <f t="shared" si="119"/>
        <v>0</v>
      </c>
      <c r="BX163" s="1" t="str">
        <f t="shared" si="106"/>
        <v/>
      </c>
      <c r="BY163" s="1">
        <f t="shared" si="107"/>
        <v>0</v>
      </c>
      <c r="BZ163" s="1">
        <f t="shared" si="149"/>
        <v>0</v>
      </c>
      <c r="CA163" s="1">
        <f t="shared" si="150"/>
        <v>0</v>
      </c>
      <c r="CB163" s="1">
        <f t="shared" si="151"/>
        <v>426</v>
      </c>
      <c r="CC163" s="1">
        <f t="shared" si="152"/>
        <v>292</v>
      </c>
      <c r="CD163" s="1">
        <f t="shared" si="153"/>
        <v>2</v>
      </c>
      <c r="CE163" s="1">
        <f t="shared" si="154"/>
        <v>0</v>
      </c>
      <c r="CR163" s="256" t="s">
        <v>1225</v>
      </c>
      <c r="CS163" s="291">
        <v>11640</v>
      </c>
      <c r="CT163" s="291">
        <v>19608</v>
      </c>
      <c r="CU163" s="291">
        <v>0</v>
      </c>
      <c r="CV163" s="291">
        <v>0</v>
      </c>
      <c r="CW163" s="257" t="s">
        <v>1278</v>
      </c>
      <c r="CX163" s="312">
        <v>175</v>
      </c>
      <c r="CY163" s="184">
        <v>0</v>
      </c>
      <c r="CZ163" s="88">
        <v>0</v>
      </c>
      <c r="DA163" s="88">
        <v>0</v>
      </c>
      <c r="DB163" s="254" t="s">
        <v>69</v>
      </c>
      <c r="DC163" s="87">
        <v>0</v>
      </c>
      <c r="DD163" s="88">
        <v>0</v>
      </c>
      <c r="DE163" s="88">
        <v>0</v>
      </c>
      <c r="DF163" s="88">
        <v>0</v>
      </c>
      <c r="DG163" s="88">
        <v>0</v>
      </c>
      <c r="DH163" s="88">
        <v>0</v>
      </c>
      <c r="DI163" s="321">
        <v>0</v>
      </c>
      <c r="DJ163" s="88">
        <v>0</v>
      </c>
    </row>
    <row r="164" spans="1:114" ht="17.25" thickTop="1" thickBot="1">
      <c r="A164" s="531">
        <f t="shared" si="120"/>
        <v>161</v>
      </c>
      <c r="B164" s="38" t="s">
        <v>655</v>
      </c>
      <c r="C164" s="17" t="s">
        <v>377</v>
      </c>
      <c r="D164" s="17" t="s">
        <v>954</v>
      </c>
      <c r="E164" s="142" t="str">
        <f t="shared" si="121"/>
        <v>RNSS</v>
      </c>
      <c r="F164" s="16">
        <v>533511</v>
      </c>
      <c r="G164" s="16">
        <v>573809</v>
      </c>
      <c r="H164" s="16">
        <v>0</v>
      </c>
      <c r="I164" s="16">
        <v>0</v>
      </c>
      <c r="J164" s="16">
        <v>46160</v>
      </c>
      <c r="K164" s="16">
        <v>46160</v>
      </c>
      <c r="L164" s="16">
        <v>4646</v>
      </c>
      <c r="M164" s="16">
        <v>4646</v>
      </c>
      <c r="N164" s="12" t="s">
        <v>917</v>
      </c>
      <c r="O164" s="12" t="s">
        <v>1019</v>
      </c>
      <c r="P164" s="12" t="s">
        <v>917</v>
      </c>
      <c r="Q164" s="12" t="s">
        <v>917</v>
      </c>
      <c r="R164" s="12" t="s">
        <v>917</v>
      </c>
      <c r="S164" s="12" t="s">
        <v>1019</v>
      </c>
      <c r="T164" s="12" t="s">
        <v>917</v>
      </c>
      <c r="U164" s="12" t="s">
        <v>1019</v>
      </c>
      <c r="V164" s="22">
        <v>40298</v>
      </c>
      <c r="W164" s="22">
        <v>0</v>
      </c>
      <c r="X164" s="22">
        <v>0</v>
      </c>
      <c r="Y164" s="22">
        <v>0</v>
      </c>
      <c r="Z164" s="171">
        <f t="shared" si="108"/>
        <v>533511</v>
      </c>
      <c r="AA164" s="130" t="str">
        <f t="shared" si="109"/>
        <v>citit</v>
      </c>
      <c r="AB164" s="176">
        <f t="shared" si="122"/>
        <v>573809</v>
      </c>
      <c r="AC164" s="12" t="s">
        <v>917</v>
      </c>
      <c r="AD164" s="12">
        <f t="shared" si="110"/>
        <v>0</v>
      </c>
      <c r="AE164" s="12">
        <f t="shared" si="110"/>
        <v>0</v>
      </c>
      <c r="AF164" s="12">
        <f t="shared" si="110"/>
        <v>46160</v>
      </c>
      <c r="AG164" s="12" t="str">
        <f t="shared" si="111"/>
        <v>citit</v>
      </c>
      <c r="AH164" s="176">
        <f t="shared" si="123"/>
        <v>46631</v>
      </c>
      <c r="AI164" s="12" t="s">
        <v>917</v>
      </c>
      <c r="AJ164" s="12">
        <f t="shared" si="112"/>
        <v>4646</v>
      </c>
      <c r="AK164" s="12" t="str">
        <f t="shared" si="113"/>
        <v>citit</v>
      </c>
      <c r="AL164" s="175">
        <f t="shared" si="124"/>
        <v>4646</v>
      </c>
      <c r="AM164" s="159" t="s">
        <v>917</v>
      </c>
      <c r="AN164" s="154">
        <f t="shared" si="125"/>
        <v>40298</v>
      </c>
      <c r="AO164" s="14">
        <f t="shared" si="126"/>
        <v>0</v>
      </c>
      <c r="AP164" s="147">
        <f t="shared" si="127"/>
        <v>471</v>
      </c>
      <c r="AQ164" s="147">
        <f t="shared" si="128"/>
        <v>0</v>
      </c>
      <c r="AR164" s="16">
        <v>0</v>
      </c>
      <c r="AS164" s="16">
        <v>0</v>
      </c>
      <c r="AT164" s="1">
        <f t="shared" si="129"/>
        <v>0</v>
      </c>
      <c r="AU164" s="154">
        <f t="shared" si="130"/>
        <v>471</v>
      </c>
      <c r="AV164" s="154">
        <f t="shared" si="131"/>
        <v>0</v>
      </c>
      <c r="AW164" s="154">
        <f t="shared" si="132"/>
        <v>0</v>
      </c>
      <c r="AX164" s="154">
        <f t="shared" si="133"/>
        <v>0</v>
      </c>
      <c r="AY164" s="308" t="str">
        <f t="shared" si="114"/>
        <v>RNSS_3</v>
      </c>
      <c r="AZ164" s="308">
        <f t="shared" si="115"/>
        <v>40298</v>
      </c>
      <c r="BA164" s="308">
        <f>IFERROR(IF(_xlfn.NUMBERVALUE(RIGHT(B164,LEN(B164)-FIND(".",B164,1)))=COUNTIF('Contorizare in SDI'!$B:$B,LEFT(B164,FIND(".",B164,1)-1))-1,IF((COUNTIF('Contorizare in SDI'!$B:$B,LEFT(B164,FIND(".",B164,1)-1))-1)=1,VLOOKUP(LEFT(B164,FIND(".",B164,1)-1),$B$4:$AZ$68,45,FALSE),VLOOKUP(LEFT(B164,FIND(".",B164,1)-1),$B$4:$AZ$68,45,FALSE)-BB163),ROUNDUP(V164/VLOOKUP(LEFT(B164,FIND(".",B164,1)-1),$AY:$AZ,2,FALSE)*VLOOKUP(LEFT(B164,FIND(".",B164,1)-1),$B$4:$AZ$68,45,FALSE),0)),0)</f>
        <v>0</v>
      </c>
      <c r="BB164" s="308">
        <f t="shared" si="134"/>
        <v>0</v>
      </c>
      <c r="BC164" s="308">
        <f>IFERROR(IF(_xlfn.NUMBERVALUE(RIGHT(B164,LEN(B164)-FIND(".",B164,1)))=COUNTIF('Contorizare in SDI'!$B:$B,LEFT(B164,FIND(".",B164,1)-1))-1,IF((COUNTIF('Contorizare in SDI'!$B:$B,LEFT(B164,FIND(".",B164,1)-1))-1)=1,VLOOKUP(LEFT(B164,FIND(".",B164,1)-1),$B$4:$AZ$68,46,FALSE),VLOOKUP(LEFT(B164,FIND(".",B164,1)-1),$B$4:$AZ$68,46,FALSE)-BD163),ROUNDUP(V164/VLOOKUP(LEFT(B164,FIND(".",B164,1)-1),$AY:$AZ,2,FALSE)*VLOOKUP(LEFT(B164,FIND(".",B164,1)-1),$B$4:$AZ$68,46,FALSE),0)),0)</f>
        <v>471</v>
      </c>
      <c r="BD164" s="308">
        <f t="shared" si="135"/>
        <v>471</v>
      </c>
      <c r="BE164" s="308">
        <f>IFERROR(IF(_xlfn.NUMBERVALUE(RIGHT(B164,LEN(B164)-FIND(".",B164,1)))=COUNTIF('Contorizare in SDI'!$B:$B,LEFT(B164,FIND(".",B164,1)-1))-1,IF((COUNTIF('Contorizare in SDI'!$B:$B,LEFT(B164,FIND(".",B164,1)-1))-1)=1,VLOOKUP(LEFT(B164,FIND(".",B164,1)-1),$B$4:$AZ$68,47,FALSE),VLOOKUP(LEFT(B164,FIND(".",B164,1)-1),$B$4:$AZ$68,47,FALSE)-BF163),ROUNDUP(V164/VLOOKUP(LEFT(B164,FIND(".",B164,1)-1),$AY:$AZ,2,FALSE)*VLOOKUP(LEFT(B164,FIND(".",B164,1)-1),$B$4:$AZ$68,47,FALSE),0)),0)</f>
        <v>0</v>
      </c>
      <c r="BF164" s="308">
        <f t="shared" si="136"/>
        <v>0</v>
      </c>
      <c r="BG164" s="308">
        <f>IFERROR(IF(_xlfn.NUMBERVALUE(RIGHT(B164,LEN(B164)-FIND(".",B164,1)))=COUNTIF('Contorizare in SDI'!$B:$B,LEFT(B164,FIND(".",B164,1)-1))-1,IF((COUNTIF('Contorizare in SDI'!$B:$B,LEFT(B164,FIND(".",B164,1)-1))-1)=1,VLOOKUP(LEFT(B164,FIND(".",B164,1)-1),$B$4:$AZ$68,48,FALSE),VLOOKUP(LEFT(B164,FIND(".",B164,1)-1),$B$4:$AZ$68,48,FALSE)-BH163),ROUNDUP(V164/VLOOKUP(LEFT(B164,FIND(".",B164,1)-1),$AY:$AZ,2,FALSE)*VLOOKUP(LEFT(B164,FIND(".",B164,1)-1),$B$4:$AZ$68,48,FALSE),0)),0)</f>
        <v>0</v>
      </c>
      <c r="BH164" s="308">
        <f t="shared" si="137"/>
        <v>0</v>
      </c>
      <c r="BI164" s="308">
        <f>IFERROR(IF(_xlfn.NUMBERVALUE(RIGHT(B164,LEN(B164)-FIND(".",B164,1)))=COUNTIF('Contorizare in SDI'!$B:$B,LEFT(B164,FIND(".",B164,1)-1))-1,IF((COUNTIF('Contorizare in SDI'!$B:$B,LEFT(B164,FIND(".",B164,1)-1))-1)=1,VLOOKUP(LEFT(B164,FIND(".",B164,1)-1),$B$4:$AZ$68,49,FALSE),VLOOKUP(LEFT(B164,FIND(".",B164,1)-1),$B$4:$AZ$68,49,FALSE)-BJ163),ROUNDUP(V164/VLOOKUP(LEFT(B164,FIND(".",B164,1)-1),$AY:$AZ,2,FALSE)*VLOOKUP(LEFT(B164,FIND(".",B164,1)-1),$B$4:$AZ$68,49,FALSE),0)),0)</f>
        <v>0</v>
      </c>
      <c r="BJ164" s="308">
        <f t="shared" si="138"/>
        <v>0</v>
      </c>
      <c r="BP164" s="44">
        <f t="shared" si="139"/>
        <v>0</v>
      </c>
      <c r="BQ164" s="1">
        <v>0</v>
      </c>
      <c r="BR164" s="1">
        <v>0</v>
      </c>
      <c r="BS164" s="16">
        <f t="shared" si="146"/>
        <v>471</v>
      </c>
      <c r="BT164" s="16">
        <f t="shared" si="147"/>
        <v>0</v>
      </c>
      <c r="BU164" s="16">
        <f t="shared" si="148"/>
        <v>0</v>
      </c>
      <c r="BV164" s="16">
        <f t="shared" si="119"/>
        <v>0</v>
      </c>
      <c r="BX164" s="1" t="str">
        <f t="shared" si="106"/>
        <v>RNSS</v>
      </c>
      <c r="BY164" s="1">
        <f t="shared" si="107"/>
        <v>0</v>
      </c>
      <c r="BZ164" s="1">
        <f t="shared" si="149"/>
        <v>0</v>
      </c>
      <c r="CA164" s="1">
        <f t="shared" si="150"/>
        <v>0</v>
      </c>
      <c r="CB164" s="1">
        <f t="shared" si="151"/>
        <v>897</v>
      </c>
      <c r="CC164" s="1">
        <f t="shared" si="152"/>
        <v>292</v>
      </c>
      <c r="CD164" s="1">
        <f t="shared" si="153"/>
        <v>2</v>
      </c>
      <c r="CE164" s="1">
        <f t="shared" si="154"/>
        <v>0</v>
      </c>
      <c r="CR164" s="256" t="s">
        <v>1227</v>
      </c>
      <c r="CS164" s="291">
        <v>5224</v>
      </c>
      <c r="CT164" s="291">
        <v>17651</v>
      </c>
      <c r="CU164" s="291">
        <v>0</v>
      </c>
      <c r="CV164" s="291">
        <v>0</v>
      </c>
      <c r="CW164" s="256" t="s">
        <v>1279</v>
      </c>
      <c r="CX164" s="312">
        <v>5145</v>
      </c>
      <c r="CY164" s="184">
        <v>17651</v>
      </c>
      <c r="CZ164" s="88">
        <v>68</v>
      </c>
      <c r="DA164" s="88">
        <v>3029</v>
      </c>
      <c r="DB164" s="257" t="s">
        <v>1289</v>
      </c>
      <c r="DC164" s="87">
        <v>0</v>
      </c>
      <c r="DD164" s="88">
        <v>22071</v>
      </c>
      <c r="DE164" s="88">
        <v>6683</v>
      </c>
      <c r="DF164" s="88">
        <v>314</v>
      </c>
      <c r="DG164" s="88">
        <v>5145</v>
      </c>
      <c r="DH164" s="88">
        <v>4420</v>
      </c>
      <c r="DI164" s="321">
        <v>0</v>
      </c>
      <c r="DJ164" s="88">
        <v>79</v>
      </c>
    </row>
    <row r="165" spans="1:114" ht="17.25" thickTop="1" thickBot="1">
      <c r="A165" s="531">
        <f t="shared" si="120"/>
        <v>162</v>
      </c>
      <c r="B165" s="38" t="s">
        <v>656</v>
      </c>
      <c r="C165" s="17" t="s">
        <v>381</v>
      </c>
      <c r="D165" s="17">
        <v>1372628250</v>
      </c>
      <c r="E165" s="142" t="str">
        <f t="shared" si="121"/>
        <v>RSSC</v>
      </c>
      <c r="F165" s="16">
        <v>915362</v>
      </c>
      <c r="G165" s="16">
        <v>963363</v>
      </c>
      <c r="H165" s="16">
        <v>0</v>
      </c>
      <c r="I165" s="16">
        <v>0</v>
      </c>
      <c r="J165" s="16">
        <v>17455</v>
      </c>
      <c r="K165" s="16">
        <v>17455</v>
      </c>
      <c r="L165" s="16">
        <v>47914</v>
      </c>
      <c r="M165" s="16">
        <v>47914</v>
      </c>
      <c r="N165" s="12" t="s">
        <v>917</v>
      </c>
      <c r="O165" s="12" t="s">
        <v>1019</v>
      </c>
      <c r="P165" s="12" t="s">
        <v>917</v>
      </c>
      <c r="Q165" s="12" t="s">
        <v>917</v>
      </c>
      <c r="R165" s="12" t="s">
        <v>917</v>
      </c>
      <c r="S165" s="12" t="s">
        <v>1019</v>
      </c>
      <c r="T165" s="12" t="s">
        <v>917</v>
      </c>
      <c r="U165" s="12" t="s">
        <v>1019</v>
      </c>
      <c r="V165" s="22">
        <v>48001</v>
      </c>
      <c r="W165" s="22">
        <v>0</v>
      </c>
      <c r="X165" s="22">
        <v>0</v>
      </c>
      <c r="Y165" s="22">
        <v>0</v>
      </c>
      <c r="Z165" s="171">
        <f t="shared" si="108"/>
        <v>915362</v>
      </c>
      <c r="AA165" s="130" t="str">
        <f t="shared" si="109"/>
        <v>citit</v>
      </c>
      <c r="AB165" s="176">
        <f t="shared" si="122"/>
        <v>963363</v>
      </c>
      <c r="AC165" s="12" t="s">
        <v>917</v>
      </c>
      <c r="AD165" s="12">
        <f t="shared" si="110"/>
        <v>0</v>
      </c>
      <c r="AE165" s="12">
        <f t="shared" si="110"/>
        <v>0</v>
      </c>
      <c r="AF165" s="12">
        <f t="shared" si="110"/>
        <v>17455</v>
      </c>
      <c r="AG165" s="12" t="str">
        <f t="shared" si="111"/>
        <v>citit</v>
      </c>
      <c r="AH165" s="176">
        <f t="shared" si="123"/>
        <v>17456</v>
      </c>
      <c r="AI165" s="12" t="s">
        <v>917</v>
      </c>
      <c r="AJ165" s="12">
        <f t="shared" si="112"/>
        <v>47914</v>
      </c>
      <c r="AK165" s="12" t="str">
        <f t="shared" si="113"/>
        <v>citit</v>
      </c>
      <c r="AL165" s="175">
        <f t="shared" si="124"/>
        <v>47914</v>
      </c>
      <c r="AM165" s="159" t="s">
        <v>917</v>
      </c>
      <c r="AN165" s="154">
        <f t="shared" si="125"/>
        <v>48001</v>
      </c>
      <c r="AO165" s="14">
        <f t="shared" si="126"/>
        <v>0</v>
      </c>
      <c r="AP165" s="147">
        <f t="shared" si="127"/>
        <v>1</v>
      </c>
      <c r="AQ165" s="147">
        <f t="shared" si="128"/>
        <v>0</v>
      </c>
      <c r="AR165" s="16">
        <v>0</v>
      </c>
      <c r="AS165" s="16">
        <v>0</v>
      </c>
      <c r="AT165" s="1">
        <f t="shared" si="129"/>
        <v>0</v>
      </c>
      <c r="AU165" s="154">
        <f t="shared" si="130"/>
        <v>1</v>
      </c>
      <c r="AV165" s="154">
        <f t="shared" si="131"/>
        <v>0</v>
      </c>
      <c r="AW165" s="154">
        <f t="shared" si="132"/>
        <v>0</v>
      </c>
      <c r="AX165" s="154">
        <f t="shared" si="133"/>
        <v>0</v>
      </c>
      <c r="AY165" s="308" t="str">
        <f t="shared" si="114"/>
        <v>RSSC_1</v>
      </c>
      <c r="AZ165" s="308">
        <f t="shared" si="115"/>
        <v>48001</v>
      </c>
      <c r="BA165" s="308">
        <f>IFERROR(IF(_xlfn.NUMBERVALUE(RIGHT(B165,LEN(B165)-FIND(".",B165,1)))=COUNTIF('Contorizare in SDI'!$B:$B,LEFT(B165,FIND(".",B165,1)-1))-1,IF((COUNTIF('Contorizare in SDI'!$B:$B,LEFT(B165,FIND(".",B165,1)-1))-1)=1,VLOOKUP(LEFT(B165,FIND(".",B165,1)-1),$B$4:$AZ$68,45,FALSE),VLOOKUP(LEFT(B165,FIND(".",B165,1)-1),$B$4:$AZ$68,45,FALSE)-BB164),ROUNDUP(V165/VLOOKUP(LEFT(B165,FIND(".",B165,1)-1),$AY:$AZ,2,FALSE)*VLOOKUP(LEFT(B165,FIND(".",B165,1)-1),$B$4:$AZ$68,45,FALSE),0)),0)</f>
        <v>0</v>
      </c>
      <c r="BB165" s="308">
        <f t="shared" si="134"/>
        <v>0</v>
      </c>
      <c r="BC165" s="308">
        <f>IFERROR(IF(_xlfn.NUMBERVALUE(RIGHT(B165,LEN(B165)-FIND(".",B165,1)))=COUNTIF('Contorizare in SDI'!$B:$B,LEFT(B165,FIND(".",B165,1)-1))-1,IF((COUNTIF('Contorizare in SDI'!$B:$B,LEFT(B165,FIND(".",B165,1)-1))-1)=1,VLOOKUP(LEFT(B165,FIND(".",B165,1)-1),$B$4:$AZ$68,46,FALSE),VLOOKUP(LEFT(B165,FIND(".",B165,1)-1),$B$4:$AZ$68,46,FALSE)-BD164),ROUNDUP(V165/VLOOKUP(LEFT(B165,FIND(".",B165,1)-1),$AY:$AZ,2,FALSE)*VLOOKUP(LEFT(B165,FIND(".",B165,1)-1),$B$4:$AZ$68,46,FALSE),0)),0)</f>
        <v>1</v>
      </c>
      <c r="BD165" s="308">
        <f t="shared" si="135"/>
        <v>1</v>
      </c>
      <c r="BE165" s="308">
        <f>IFERROR(IF(_xlfn.NUMBERVALUE(RIGHT(B165,LEN(B165)-FIND(".",B165,1)))=COUNTIF('Contorizare in SDI'!$B:$B,LEFT(B165,FIND(".",B165,1)-1))-1,IF((COUNTIF('Contorizare in SDI'!$B:$B,LEFT(B165,FIND(".",B165,1)-1))-1)=1,VLOOKUP(LEFT(B165,FIND(".",B165,1)-1),$B$4:$AZ$68,47,FALSE),VLOOKUP(LEFT(B165,FIND(".",B165,1)-1),$B$4:$AZ$68,47,FALSE)-BF164),ROUNDUP(V165/VLOOKUP(LEFT(B165,FIND(".",B165,1)-1),$AY:$AZ,2,FALSE)*VLOOKUP(LEFT(B165,FIND(".",B165,1)-1),$B$4:$AZ$68,47,FALSE),0)),0)</f>
        <v>0</v>
      </c>
      <c r="BF165" s="308">
        <f t="shared" si="136"/>
        <v>0</v>
      </c>
      <c r="BG165" s="308">
        <f>IFERROR(IF(_xlfn.NUMBERVALUE(RIGHT(B165,LEN(B165)-FIND(".",B165,1)))=COUNTIF('Contorizare in SDI'!$B:$B,LEFT(B165,FIND(".",B165,1)-1))-1,IF((COUNTIF('Contorizare in SDI'!$B:$B,LEFT(B165,FIND(".",B165,1)-1))-1)=1,VLOOKUP(LEFT(B165,FIND(".",B165,1)-1),$B$4:$AZ$68,48,FALSE),VLOOKUP(LEFT(B165,FIND(".",B165,1)-1),$B$4:$AZ$68,48,FALSE)-BH164),ROUNDUP(V165/VLOOKUP(LEFT(B165,FIND(".",B165,1)-1),$AY:$AZ,2,FALSE)*VLOOKUP(LEFT(B165,FIND(".",B165,1)-1),$B$4:$AZ$68,48,FALSE),0)),0)</f>
        <v>0</v>
      </c>
      <c r="BH165" s="308">
        <f t="shared" si="137"/>
        <v>0</v>
      </c>
      <c r="BI165" s="308">
        <f>IFERROR(IF(_xlfn.NUMBERVALUE(RIGHT(B165,LEN(B165)-FIND(".",B165,1)))=COUNTIF('Contorizare in SDI'!$B:$B,LEFT(B165,FIND(".",B165,1)-1))-1,IF((COUNTIF('Contorizare in SDI'!$B:$B,LEFT(B165,FIND(".",B165,1)-1))-1)=1,VLOOKUP(LEFT(B165,FIND(".",B165,1)-1),$B$4:$AZ$68,49,FALSE),VLOOKUP(LEFT(B165,FIND(".",B165,1)-1),$B$4:$AZ$68,49,FALSE)-BJ164),ROUNDUP(V165/VLOOKUP(LEFT(B165,FIND(".",B165,1)-1),$AY:$AZ,2,FALSE)*VLOOKUP(LEFT(B165,FIND(".",B165,1)-1),$B$4:$AZ$68,49,FALSE),0)),0)</f>
        <v>0</v>
      </c>
      <c r="BJ165" s="308">
        <f t="shared" si="138"/>
        <v>0</v>
      </c>
      <c r="BP165" s="44">
        <f t="shared" si="139"/>
        <v>0</v>
      </c>
      <c r="BQ165" s="1">
        <v>0</v>
      </c>
      <c r="BR165" s="1">
        <v>0</v>
      </c>
      <c r="BS165" s="16">
        <f t="shared" si="146"/>
        <v>1</v>
      </c>
      <c r="BT165" s="16">
        <f t="shared" si="147"/>
        <v>0</v>
      </c>
      <c r="BU165" s="16">
        <f t="shared" si="148"/>
        <v>0</v>
      </c>
      <c r="BV165" s="16">
        <f t="shared" si="119"/>
        <v>0</v>
      </c>
      <c r="BX165" s="1" t="str">
        <f t="shared" si="106"/>
        <v/>
      </c>
      <c r="BY165" s="1">
        <f t="shared" si="107"/>
        <v>0</v>
      </c>
      <c r="BZ165" s="1">
        <f t="shared" si="149"/>
        <v>0</v>
      </c>
      <c r="CA165" s="1">
        <f t="shared" si="150"/>
        <v>0</v>
      </c>
      <c r="CB165" s="1">
        <f t="shared" si="151"/>
        <v>1</v>
      </c>
      <c r="CC165" s="1">
        <f t="shared" si="152"/>
        <v>0</v>
      </c>
      <c r="CD165" s="1">
        <f t="shared" si="153"/>
        <v>0</v>
      </c>
      <c r="CE165" s="1">
        <f t="shared" si="154"/>
        <v>0</v>
      </c>
      <c r="CR165" s="256" t="s">
        <v>1227</v>
      </c>
      <c r="CS165" s="291">
        <v>5224</v>
      </c>
      <c r="CT165" s="291">
        <v>17651</v>
      </c>
      <c r="CU165" s="291">
        <v>0</v>
      </c>
      <c r="CV165" s="291">
        <v>0</v>
      </c>
      <c r="CW165" s="256" t="s">
        <v>1280</v>
      </c>
      <c r="CX165" s="312">
        <v>79</v>
      </c>
      <c r="CY165" s="184">
        <v>0</v>
      </c>
      <c r="CZ165" s="88">
        <v>0</v>
      </c>
      <c r="DA165" s="88">
        <v>0</v>
      </c>
      <c r="DB165" s="29" t="s">
        <v>69</v>
      </c>
      <c r="DC165" s="87">
        <v>0</v>
      </c>
      <c r="DD165" s="88">
        <v>0</v>
      </c>
      <c r="DE165" s="88">
        <v>0</v>
      </c>
      <c r="DF165" s="88">
        <v>0</v>
      </c>
      <c r="DG165" s="88">
        <v>0</v>
      </c>
      <c r="DH165" s="88">
        <v>0</v>
      </c>
      <c r="DI165" s="321">
        <v>0</v>
      </c>
      <c r="DJ165" s="88">
        <v>0</v>
      </c>
    </row>
    <row r="166" spans="1:114" ht="17.25" thickTop="1" thickBot="1">
      <c r="A166" s="531">
        <f t="shared" si="120"/>
        <v>163</v>
      </c>
      <c r="B166" s="38" t="s">
        <v>657</v>
      </c>
      <c r="C166" s="17" t="s">
        <v>385</v>
      </c>
      <c r="D166" s="17">
        <v>1371623282</v>
      </c>
      <c r="E166" s="142" t="str">
        <f t="shared" si="121"/>
        <v>RSSC</v>
      </c>
      <c r="F166" s="16">
        <v>1175208</v>
      </c>
      <c r="G166" s="16">
        <v>1209476</v>
      </c>
      <c r="H166" s="16">
        <v>0</v>
      </c>
      <c r="I166" s="16">
        <v>0</v>
      </c>
      <c r="J166" s="16">
        <v>65284</v>
      </c>
      <c r="K166" s="16">
        <v>65284</v>
      </c>
      <c r="L166" s="16">
        <v>25812</v>
      </c>
      <c r="M166" s="16">
        <v>25812</v>
      </c>
      <c r="N166" s="12" t="s">
        <v>917</v>
      </c>
      <c r="O166" s="12" t="s">
        <v>1019</v>
      </c>
      <c r="P166" s="12" t="s">
        <v>917</v>
      </c>
      <c r="Q166" s="12" t="s">
        <v>917</v>
      </c>
      <c r="R166" s="12" t="s">
        <v>917</v>
      </c>
      <c r="S166" s="12" t="s">
        <v>1019</v>
      </c>
      <c r="T166" s="12" t="s">
        <v>917</v>
      </c>
      <c r="U166" s="12" t="s">
        <v>1019</v>
      </c>
      <c r="V166" s="22">
        <v>34268</v>
      </c>
      <c r="W166" s="22">
        <v>0</v>
      </c>
      <c r="X166" s="22">
        <v>0</v>
      </c>
      <c r="Y166" s="22">
        <v>0</v>
      </c>
      <c r="Z166" s="171">
        <f t="shared" si="108"/>
        <v>1175208</v>
      </c>
      <c r="AA166" s="130" t="str">
        <f t="shared" si="109"/>
        <v>citit</v>
      </c>
      <c r="AB166" s="176">
        <f t="shared" si="122"/>
        <v>1209476</v>
      </c>
      <c r="AC166" s="12" t="s">
        <v>917</v>
      </c>
      <c r="AD166" s="12">
        <f t="shared" ref="AD166:AF183" si="155">H166</f>
        <v>0</v>
      </c>
      <c r="AE166" s="12">
        <f t="shared" si="155"/>
        <v>0</v>
      </c>
      <c r="AF166" s="12">
        <f t="shared" si="155"/>
        <v>65284</v>
      </c>
      <c r="AG166" s="12" t="str">
        <f t="shared" si="111"/>
        <v>citit</v>
      </c>
      <c r="AH166" s="176">
        <f t="shared" si="123"/>
        <v>65286</v>
      </c>
      <c r="AI166" s="12" t="s">
        <v>917</v>
      </c>
      <c r="AJ166" s="12">
        <f t="shared" si="112"/>
        <v>25812</v>
      </c>
      <c r="AK166" s="12" t="str">
        <f t="shared" si="113"/>
        <v>citit</v>
      </c>
      <c r="AL166" s="175">
        <f t="shared" si="124"/>
        <v>25914</v>
      </c>
      <c r="AM166" s="159" t="s">
        <v>917</v>
      </c>
      <c r="AN166" s="154">
        <f t="shared" si="125"/>
        <v>34268</v>
      </c>
      <c r="AO166" s="14">
        <f t="shared" si="126"/>
        <v>0</v>
      </c>
      <c r="AP166" s="147">
        <f t="shared" si="127"/>
        <v>2</v>
      </c>
      <c r="AQ166" s="147">
        <f t="shared" si="128"/>
        <v>102</v>
      </c>
      <c r="AR166" s="16">
        <v>0</v>
      </c>
      <c r="AS166" s="16">
        <v>0</v>
      </c>
      <c r="AT166" s="1">
        <f t="shared" si="129"/>
        <v>0</v>
      </c>
      <c r="AU166" s="154">
        <f t="shared" si="130"/>
        <v>2</v>
      </c>
      <c r="AV166" s="154">
        <f t="shared" si="131"/>
        <v>0</v>
      </c>
      <c r="AW166" s="154">
        <f t="shared" si="132"/>
        <v>102</v>
      </c>
      <c r="AX166" s="154">
        <f t="shared" si="133"/>
        <v>0</v>
      </c>
      <c r="AY166" s="308" t="str">
        <f t="shared" si="114"/>
        <v>RSSC_2</v>
      </c>
      <c r="AZ166" s="308">
        <f t="shared" si="115"/>
        <v>34268</v>
      </c>
      <c r="BA166" s="308">
        <f>IFERROR(IF(_xlfn.NUMBERVALUE(RIGHT(B166,LEN(B166)-FIND(".",B166,1)))=COUNTIF('Contorizare in SDI'!$B:$B,LEFT(B166,FIND(".",B166,1)-1))-1,IF((COUNTIF('Contorizare in SDI'!$B:$B,LEFT(B166,FIND(".",B166,1)-1))-1)=1,VLOOKUP(LEFT(B166,FIND(".",B166,1)-1),$B$4:$AZ$68,45,FALSE),VLOOKUP(LEFT(B166,FIND(".",B166,1)-1),$B$4:$AZ$68,45,FALSE)-BB165),ROUNDUP(V166/VLOOKUP(LEFT(B166,FIND(".",B166,1)-1),$AY:$AZ,2,FALSE)*VLOOKUP(LEFT(B166,FIND(".",B166,1)-1),$B$4:$AZ$68,45,FALSE),0)),0)</f>
        <v>0</v>
      </c>
      <c r="BB166" s="308">
        <f t="shared" si="134"/>
        <v>0</v>
      </c>
      <c r="BC166" s="308">
        <f>IFERROR(IF(_xlfn.NUMBERVALUE(RIGHT(B166,LEN(B166)-FIND(".",B166,1)))=COUNTIF('Contorizare in SDI'!$B:$B,LEFT(B166,FIND(".",B166,1)-1))-1,IF((COUNTIF('Contorizare in SDI'!$B:$B,LEFT(B166,FIND(".",B166,1)-1))-1)=1,VLOOKUP(LEFT(B166,FIND(".",B166,1)-1),$B$4:$AZ$68,46,FALSE),VLOOKUP(LEFT(B166,FIND(".",B166,1)-1),$B$4:$AZ$68,46,FALSE)-BD165),ROUNDUP(V166/VLOOKUP(LEFT(B166,FIND(".",B166,1)-1),$AY:$AZ,2,FALSE)*VLOOKUP(LEFT(B166,FIND(".",B166,1)-1),$B$4:$AZ$68,46,FALSE),0)),0)</f>
        <v>2</v>
      </c>
      <c r="BD166" s="308">
        <f t="shared" si="135"/>
        <v>2</v>
      </c>
      <c r="BE166" s="308">
        <f>IFERROR(IF(_xlfn.NUMBERVALUE(RIGHT(B166,LEN(B166)-FIND(".",B166,1)))=COUNTIF('Contorizare in SDI'!$B:$B,LEFT(B166,FIND(".",B166,1)-1))-1,IF((COUNTIF('Contorizare in SDI'!$B:$B,LEFT(B166,FIND(".",B166,1)-1))-1)=1,VLOOKUP(LEFT(B166,FIND(".",B166,1)-1),$B$4:$AZ$68,47,FALSE),VLOOKUP(LEFT(B166,FIND(".",B166,1)-1),$B$4:$AZ$68,47,FALSE)-BF165),ROUNDUP(V166/VLOOKUP(LEFT(B166,FIND(".",B166,1)-1),$AY:$AZ,2,FALSE)*VLOOKUP(LEFT(B166,FIND(".",B166,1)-1),$B$4:$AZ$68,47,FALSE),0)),0)</f>
        <v>0</v>
      </c>
      <c r="BF166" s="308">
        <f t="shared" si="136"/>
        <v>0</v>
      </c>
      <c r="BG166" s="308">
        <f>IFERROR(IF(_xlfn.NUMBERVALUE(RIGHT(B166,LEN(B166)-FIND(".",B166,1)))=COUNTIF('Contorizare in SDI'!$B:$B,LEFT(B166,FIND(".",B166,1)-1))-1,IF((COUNTIF('Contorizare in SDI'!$B:$B,LEFT(B166,FIND(".",B166,1)-1))-1)=1,VLOOKUP(LEFT(B166,FIND(".",B166,1)-1),$B$4:$AZ$68,48,FALSE),VLOOKUP(LEFT(B166,FIND(".",B166,1)-1),$B$4:$AZ$68,48,FALSE)-BH165),ROUNDUP(V166/VLOOKUP(LEFT(B166,FIND(".",B166,1)-1),$AY:$AZ,2,FALSE)*VLOOKUP(LEFT(B166,FIND(".",B166,1)-1),$B$4:$AZ$68,48,FALSE),0)),0)</f>
        <v>102</v>
      </c>
      <c r="BH166" s="308">
        <f t="shared" si="137"/>
        <v>102</v>
      </c>
      <c r="BI166" s="308">
        <f>IFERROR(IF(_xlfn.NUMBERVALUE(RIGHT(B166,LEN(B166)-FIND(".",B166,1)))=COUNTIF('Contorizare in SDI'!$B:$B,LEFT(B166,FIND(".",B166,1)-1))-1,IF((COUNTIF('Contorizare in SDI'!$B:$B,LEFT(B166,FIND(".",B166,1)-1))-1)=1,VLOOKUP(LEFT(B166,FIND(".",B166,1)-1),$B$4:$AZ$68,49,FALSE),VLOOKUP(LEFT(B166,FIND(".",B166,1)-1),$B$4:$AZ$68,49,FALSE)-BJ165),ROUNDUP(V166/VLOOKUP(LEFT(B166,FIND(".",B166,1)-1),$AY:$AZ,2,FALSE)*VLOOKUP(LEFT(B166,FIND(".",B166,1)-1),$B$4:$AZ$68,49,FALSE),0)),0)</f>
        <v>0</v>
      </c>
      <c r="BJ166" s="308">
        <f t="shared" si="138"/>
        <v>0</v>
      </c>
      <c r="BP166" s="44">
        <f t="shared" si="139"/>
        <v>0</v>
      </c>
      <c r="BQ166" s="1">
        <v>0</v>
      </c>
      <c r="BR166" s="1">
        <v>0</v>
      </c>
      <c r="BS166" s="16">
        <f t="shared" ref="BS166:BS183" si="156">AU166</f>
        <v>2</v>
      </c>
      <c r="BT166" s="16">
        <f t="shared" ref="BT166:BT183" si="157">AV166</f>
        <v>0</v>
      </c>
      <c r="BU166" s="16">
        <f t="shared" ref="BU166:BU183" si="158">AW166</f>
        <v>102</v>
      </c>
      <c r="BV166" s="16">
        <f t="shared" ref="BV166:BV183" si="159">AX166</f>
        <v>0</v>
      </c>
      <c r="BX166" s="1" t="str">
        <f t="shared" si="106"/>
        <v>RSSC</v>
      </c>
      <c r="BY166" s="1">
        <f t="shared" si="107"/>
        <v>0</v>
      </c>
      <c r="BZ166" s="1">
        <f t="shared" si="149"/>
        <v>0</v>
      </c>
      <c r="CA166" s="1">
        <f t="shared" si="150"/>
        <v>0</v>
      </c>
      <c r="CB166" s="1">
        <f t="shared" si="151"/>
        <v>3</v>
      </c>
      <c r="CC166" s="1">
        <f t="shared" si="152"/>
        <v>0</v>
      </c>
      <c r="CD166" s="1">
        <f t="shared" si="153"/>
        <v>102</v>
      </c>
      <c r="CE166" s="1">
        <f t="shared" si="154"/>
        <v>0</v>
      </c>
      <c r="CR166" s="256" t="s">
        <v>1221</v>
      </c>
      <c r="CS166" s="291">
        <v>15692</v>
      </c>
      <c r="CT166" s="291">
        <v>11190</v>
      </c>
      <c r="CU166" s="291">
        <v>0</v>
      </c>
      <c r="CV166" s="291">
        <v>0</v>
      </c>
      <c r="CW166" s="256" t="s">
        <v>1281</v>
      </c>
      <c r="CX166" s="312">
        <v>15456</v>
      </c>
      <c r="CY166" s="184">
        <v>11190</v>
      </c>
      <c r="CZ166" s="88">
        <v>1125</v>
      </c>
      <c r="DA166" s="88">
        <v>1862</v>
      </c>
      <c r="DB166" s="257" t="s">
        <v>1286</v>
      </c>
      <c r="DC166" s="87">
        <v>0</v>
      </c>
      <c r="DD166" s="88">
        <v>25278</v>
      </c>
      <c r="DE166" s="88">
        <v>5077</v>
      </c>
      <c r="DF166" s="88">
        <v>381</v>
      </c>
      <c r="DG166" s="88">
        <v>15456</v>
      </c>
      <c r="DH166" s="88">
        <v>14088</v>
      </c>
      <c r="DI166" s="321">
        <v>0</v>
      </c>
      <c r="DJ166" s="88">
        <v>236</v>
      </c>
    </row>
    <row r="167" spans="1:114" ht="17.25" thickTop="1" thickBot="1">
      <c r="A167" s="531">
        <f t="shared" si="120"/>
        <v>164</v>
      </c>
      <c r="B167" s="38" t="s">
        <v>658</v>
      </c>
      <c r="C167" s="17" t="s">
        <v>400</v>
      </c>
      <c r="D167" s="17">
        <v>23298246</v>
      </c>
      <c r="E167" s="142" t="str">
        <f t="shared" si="121"/>
        <v>RRPP</v>
      </c>
      <c r="F167" s="16">
        <v>0</v>
      </c>
      <c r="G167" s="16">
        <v>105.854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2" t="s">
        <v>917</v>
      </c>
      <c r="O167" s="12" t="s">
        <v>917</v>
      </c>
      <c r="P167" s="12" t="s">
        <v>917</v>
      </c>
      <c r="Q167" s="12" t="s">
        <v>917</v>
      </c>
      <c r="R167" s="12" t="s">
        <v>917</v>
      </c>
      <c r="S167" s="12" t="s">
        <v>1019</v>
      </c>
      <c r="T167" s="12" t="s">
        <v>917</v>
      </c>
      <c r="U167" s="12" t="s">
        <v>1019</v>
      </c>
      <c r="V167" s="22">
        <v>52927</v>
      </c>
      <c r="W167" s="22">
        <v>0</v>
      </c>
      <c r="X167" s="22">
        <v>0</v>
      </c>
      <c r="Y167" s="22">
        <v>0</v>
      </c>
      <c r="Z167" s="171">
        <f t="shared" si="108"/>
        <v>0</v>
      </c>
      <c r="AA167" s="130" t="str">
        <f t="shared" si="109"/>
        <v>citit</v>
      </c>
      <c r="AB167" s="176">
        <f>Z167+AN167/500</f>
        <v>105.854</v>
      </c>
      <c r="AC167" s="12" t="s">
        <v>917</v>
      </c>
      <c r="AD167" s="12">
        <f t="shared" si="155"/>
        <v>0</v>
      </c>
      <c r="AE167" s="12">
        <f t="shared" si="155"/>
        <v>0</v>
      </c>
      <c r="AF167" s="12">
        <f t="shared" si="155"/>
        <v>0</v>
      </c>
      <c r="AG167" s="12" t="str">
        <f t="shared" si="111"/>
        <v>citit</v>
      </c>
      <c r="AH167" s="176">
        <f t="shared" si="123"/>
        <v>0</v>
      </c>
      <c r="AI167" s="12" t="s">
        <v>917</v>
      </c>
      <c r="AJ167" s="12">
        <f t="shared" si="112"/>
        <v>0</v>
      </c>
      <c r="AK167" s="12" t="str">
        <f t="shared" si="113"/>
        <v>citit</v>
      </c>
      <c r="AL167" s="175">
        <f t="shared" si="124"/>
        <v>9881</v>
      </c>
      <c r="AM167" s="159" t="s">
        <v>917</v>
      </c>
      <c r="AN167" s="154">
        <f t="shared" si="125"/>
        <v>52927</v>
      </c>
      <c r="AO167" s="14">
        <f t="shared" si="126"/>
        <v>0</v>
      </c>
      <c r="AP167" s="147">
        <f t="shared" si="127"/>
        <v>0</v>
      </c>
      <c r="AQ167" s="147">
        <f t="shared" si="128"/>
        <v>9881</v>
      </c>
      <c r="AR167" s="16">
        <v>0</v>
      </c>
      <c r="AS167" s="16">
        <v>0</v>
      </c>
      <c r="AT167" s="1">
        <f t="shared" si="129"/>
        <v>0</v>
      </c>
      <c r="AU167" s="154">
        <f t="shared" si="130"/>
        <v>0</v>
      </c>
      <c r="AV167" s="154">
        <f t="shared" si="131"/>
        <v>0</v>
      </c>
      <c r="AW167" s="154">
        <f t="shared" si="132"/>
        <v>5328</v>
      </c>
      <c r="AX167" s="154">
        <f t="shared" si="133"/>
        <v>4553</v>
      </c>
      <c r="AY167" s="308" t="str">
        <f t="shared" si="114"/>
        <v>-</v>
      </c>
      <c r="AZ167" s="308">
        <f t="shared" si="115"/>
        <v>52927</v>
      </c>
      <c r="BA167" s="308">
        <f>IFERROR(IF(_xlfn.NUMBERVALUE(RIGHT(B167,LEN(B167)-FIND(".",B167,1)))=COUNTIF('Contorizare in SDI'!$B:$B,LEFT(B167,FIND(".",B167,1)-1))-1,IF((COUNTIF('Contorizare in SDI'!$B:$B,LEFT(B167,FIND(".",B167,1)-1))-1)=1,VLOOKUP(LEFT(B167,FIND(".",B167,1)-1),$B$4:$AZ$68,45,FALSE),VLOOKUP(LEFT(B167,FIND(".",B167,1)-1),$B$4:$AZ$68,45,FALSE)-BB166),ROUNDUP(V167/VLOOKUP(LEFT(B167,FIND(".",B167,1)-1),$AY:$AZ,2,FALSE)*VLOOKUP(LEFT(B167,FIND(".",B167,1)-1),$B$4:$AZ$68,45,FALSE),0)),0)</f>
        <v>0</v>
      </c>
      <c r="BB167" s="308">
        <f t="shared" si="134"/>
        <v>0</v>
      </c>
      <c r="BC167" s="308">
        <f>IFERROR(IF(_xlfn.NUMBERVALUE(RIGHT(B167,LEN(B167)-FIND(".",B167,1)))=COUNTIF('Contorizare in SDI'!$B:$B,LEFT(B167,FIND(".",B167,1)-1))-1,IF((COUNTIF('Contorizare in SDI'!$B:$B,LEFT(B167,FIND(".",B167,1)-1))-1)=1,VLOOKUP(LEFT(B167,FIND(".",B167,1)-1),$B$4:$AZ$68,46,FALSE),VLOOKUP(LEFT(B167,FIND(".",B167,1)-1),$B$4:$AZ$68,46,FALSE)-BD166),ROUNDUP(V167/VLOOKUP(LEFT(B167,FIND(".",B167,1)-1),$AY:$AZ,2,FALSE)*VLOOKUP(LEFT(B167,FIND(".",B167,1)-1),$B$4:$AZ$68,46,FALSE),0)),0)</f>
        <v>0</v>
      </c>
      <c r="BD167" s="308">
        <f t="shared" si="135"/>
        <v>0</v>
      </c>
      <c r="BE167" s="308">
        <f>IFERROR(IF(_xlfn.NUMBERVALUE(RIGHT(B167,LEN(B167)-FIND(".",B167,1)))=COUNTIF('Contorizare in SDI'!$B:$B,LEFT(B167,FIND(".",B167,1)-1))-1,IF((COUNTIF('Contorizare in SDI'!$B:$B,LEFT(B167,FIND(".",B167,1)-1))-1)=1,VLOOKUP(LEFT(B167,FIND(".",B167,1)-1),$B$4:$AZ$68,47,FALSE),VLOOKUP(LEFT(B167,FIND(".",B167,1)-1),$B$4:$AZ$68,47,FALSE)-BF166),ROUNDUP(V167/VLOOKUP(LEFT(B167,FIND(".",B167,1)-1),$AY:$AZ,2,FALSE)*VLOOKUP(LEFT(B167,FIND(".",B167,1)-1),$B$4:$AZ$68,47,FALSE),0)),0)</f>
        <v>0</v>
      </c>
      <c r="BF167" s="308">
        <f t="shared" si="136"/>
        <v>0</v>
      </c>
      <c r="BG167" s="308">
        <f>IFERROR(IF(_xlfn.NUMBERVALUE(RIGHT(B167,LEN(B167)-FIND(".",B167,1)))=COUNTIF('Contorizare in SDI'!$B:$B,LEFT(B167,FIND(".",B167,1)-1))-1,IF((COUNTIF('Contorizare in SDI'!$B:$B,LEFT(B167,FIND(".",B167,1)-1))-1)=1,VLOOKUP(LEFT(B167,FIND(".",B167,1)-1),$B$4:$AZ$68,48,FALSE),VLOOKUP(LEFT(B167,FIND(".",B167,1)-1),$B$4:$AZ$68,48,FALSE)-BH166),ROUNDUP(V167/VLOOKUP(LEFT(B167,FIND(".",B167,1)-1),$AY:$AZ,2,FALSE)*VLOOKUP(LEFT(B167,FIND(".",B167,1)-1),$B$4:$AZ$68,48,FALSE),0)),0)</f>
        <v>5328</v>
      </c>
      <c r="BH167" s="308">
        <f t="shared" si="137"/>
        <v>5328</v>
      </c>
      <c r="BI167" s="308">
        <f>IFERROR(IF(_xlfn.NUMBERVALUE(RIGHT(B167,LEN(B167)-FIND(".",B167,1)))=COUNTIF('Contorizare in SDI'!$B:$B,LEFT(B167,FIND(".",B167,1)-1))-1,IF((COUNTIF('Contorizare in SDI'!$B:$B,LEFT(B167,FIND(".",B167,1)-1))-1)=1,VLOOKUP(LEFT(B167,FIND(".",B167,1)-1),$B$4:$AZ$68,49,FALSE),VLOOKUP(LEFT(B167,FIND(".",B167,1)-1),$B$4:$AZ$68,49,FALSE)-BJ166),ROUNDUP(V167/VLOOKUP(LEFT(B167,FIND(".",B167,1)-1),$AY:$AZ,2,FALSE)*VLOOKUP(LEFT(B167,FIND(".",B167,1)-1),$B$4:$AZ$68,49,FALSE),0)),0)</f>
        <v>4553</v>
      </c>
      <c r="BJ167" s="308">
        <f t="shared" si="138"/>
        <v>4553</v>
      </c>
      <c r="BP167" s="44">
        <f t="shared" si="139"/>
        <v>0</v>
      </c>
      <c r="BQ167" s="1">
        <v>0</v>
      </c>
      <c r="BR167" s="1">
        <v>0</v>
      </c>
      <c r="BS167" s="16">
        <f t="shared" si="156"/>
        <v>0</v>
      </c>
      <c r="BT167" s="16">
        <f t="shared" si="157"/>
        <v>0</v>
      </c>
      <c r="BU167" s="16">
        <f t="shared" si="158"/>
        <v>5328</v>
      </c>
      <c r="BV167" s="16">
        <f t="shared" si="159"/>
        <v>4553</v>
      </c>
      <c r="BX167" s="1" t="str">
        <f t="shared" si="106"/>
        <v/>
      </c>
      <c r="BY167" s="1">
        <f t="shared" si="107"/>
        <v>0</v>
      </c>
      <c r="BZ167" s="1">
        <f t="shared" si="149"/>
        <v>0</v>
      </c>
      <c r="CA167" s="1">
        <f t="shared" si="150"/>
        <v>0</v>
      </c>
      <c r="CB167" s="1">
        <f t="shared" si="151"/>
        <v>0</v>
      </c>
      <c r="CC167" s="1">
        <f t="shared" si="152"/>
        <v>0</v>
      </c>
      <c r="CD167" s="1">
        <f t="shared" si="153"/>
        <v>5328</v>
      </c>
      <c r="CE167" s="1">
        <f t="shared" si="154"/>
        <v>4553</v>
      </c>
      <c r="CR167" s="256" t="s">
        <v>1221</v>
      </c>
      <c r="CS167" s="291">
        <v>15692</v>
      </c>
      <c r="CT167" s="291">
        <v>11190</v>
      </c>
      <c r="CU167" s="291">
        <v>0</v>
      </c>
      <c r="CV167" s="291">
        <v>0</v>
      </c>
      <c r="CW167" s="256" t="s">
        <v>1282</v>
      </c>
      <c r="CX167" s="312">
        <v>236</v>
      </c>
      <c r="CY167" s="184">
        <v>0</v>
      </c>
      <c r="CZ167" s="88">
        <v>0</v>
      </c>
      <c r="DA167" s="88">
        <v>0</v>
      </c>
      <c r="DB167" s="29" t="s">
        <v>69</v>
      </c>
      <c r="DC167" s="87">
        <v>0</v>
      </c>
      <c r="DD167" s="88">
        <v>0</v>
      </c>
      <c r="DE167" s="88">
        <v>0</v>
      </c>
      <c r="DF167" s="88">
        <v>0</v>
      </c>
      <c r="DG167" s="88">
        <v>0</v>
      </c>
      <c r="DH167" s="88">
        <v>0</v>
      </c>
      <c r="DI167" s="321">
        <v>0</v>
      </c>
      <c r="DJ167" s="88">
        <v>0</v>
      </c>
    </row>
    <row r="168" spans="1:114" ht="17.25" thickTop="1" thickBot="1">
      <c r="A168" s="531">
        <f t="shared" si="120"/>
        <v>165</v>
      </c>
      <c r="B168" s="38" t="s">
        <v>659</v>
      </c>
      <c r="C168" s="17" t="s">
        <v>401</v>
      </c>
      <c r="D168" s="17">
        <v>23298249</v>
      </c>
      <c r="E168" s="142" t="str">
        <f t="shared" si="121"/>
        <v>RRPP</v>
      </c>
      <c r="F168" s="16">
        <v>0</v>
      </c>
      <c r="G168" s="16">
        <v>131.22399999999999</v>
      </c>
      <c r="H168" s="16">
        <v>0</v>
      </c>
      <c r="I168" s="16">
        <v>0</v>
      </c>
      <c r="J168" s="16">
        <v>0</v>
      </c>
      <c r="K168" s="16">
        <v>0</v>
      </c>
      <c r="L168" s="16">
        <v>4900</v>
      </c>
      <c r="M168" s="16">
        <v>4900</v>
      </c>
      <c r="N168" s="12" t="s">
        <v>917</v>
      </c>
      <c r="O168" s="12" t="s">
        <v>917</v>
      </c>
      <c r="P168" s="12" t="s">
        <v>917</v>
      </c>
      <c r="Q168" s="12" t="s">
        <v>917</v>
      </c>
      <c r="R168" s="12" t="s">
        <v>917</v>
      </c>
      <c r="S168" s="12" t="s">
        <v>1019</v>
      </c>
      <c r="T168" s="12" t="s">
        <v>917</v>
      </c>
      <c r="U168" s="12" t="s">
        <v>1019</v>
      </c>
      <c r="V168" s="22">
        <v>65612</v>
      </c>
      <c r="W168" s="22">
        <v>0</v>
      </c>
      <c r="X168" s="22">
        <v>0</v>
      </c>
      <c r="Y168" s="22">
        <v>0</v>
      </c>
      <c r="Z168" s="171">
        <f t="shared" si="108"/>
        <v>0</v>
      </c>
      <c r="AA168" s="130" t="str">
        <f t="shared" si="109"/>
        <v>citit</v>
      </c>
      <c r="AB168" s="176">
        <f>Z168+AN168/500</f>
        <v>131.22399999999999</v>
      </c>
      <c r="AC168" s="12" t="s">
        <v>917</v>
      </c>
      <c r="AD168" s="12">
        <f t="shared" si="155"/>
        <v>0</v>
      </c>
      <c r="AE168" s="12">
        <f t="shared" si="155"/>
        <v>0</v>
      </c>
      <c r="AF168" s="12">
        <f t="shared" si="155"/>
        <v>0</v>
      </c>
      <c r="AG168" s="12" t="str">
        <f t="shared" si="111"/>
        <v>citit</v>
      </c>
      <c r="AH168" s="176">
        <f t="shared" si="123"/>
        <v>0</v>
      </c>
      <c r="AI168" s="12" t="s">
        <v>917</v>
      </c>
      <c r="AJ168" s="12">
        <f t="shared" si="112"/>
        <v>4900</v>
      </c>
      <c r="AK168" s="12" t="str">
        <f t="shared" si="113"/>
        <v>citit</v>
      </c>
      <c r="AL168" s="175">
        <f t="shared" si="124"/>
        <v>17145</v>
      </c>
      <c r="AM168" s="159" t="s">
        <v>917</v>
      </c>
      <c r="AN168" s="154">
        <f t="shared" si="125"/>
        <v>65612</v>
      </c>
      <c r="AO168" s="14">
        <f t="shared" si="126"/>
        <v>0</v>
      </c>
      <c r="AP168" s="147">
        <f t="shared" si="127"/>
        <v>0</v>
      </c>
      <c r="AQ168" s="147">
        <f t="shared" si="128"/>
        <v>12245</v>
      </c>
      <c r="AR168" s="16">
        <v>0</v>
      </c>
      <c r="AS168" s="16">
        <v>0</v>
      </c>
      <c r="AT168" s="1">
        <f t="shared" si="129"/>
        <v>0</v>
      </c>
      <c r="AU168" s="154">
        <f t="shared" si="130"/>
        <v>0</v>
      </c>
      <c r="AV168" s="154">
        <f t="shared" si="131"/>
        <v>0</v>
      </c>
      <c r="AW168" s="154">
        <f t="shared" si="132"/>
        <v>6603</v>
      </c>
      <c r="AX168" s="154">
        <f t="shared" si="133"/>
        <v>5642</v>
      </c>
      <c r="AY168" s="308" t="str">
        <f t="shared" si="114"/>
        <v>RRPP_1</v>
      </c>
      <c r="AZ168" s="308">
        <f t="shared" si="115"/>
        <v>118539</v>
      </c>
      <c r="BA168" s="306">
        <f>IFERROR(IF(_xlfn.NUMBERVALUE(RIGHT(B168,LEN(B168)-FIND(".",B168,1)))=COUNTIF('Contorizare in SDI'!$B:$B,LEFT(B168,FIND(".",B168,1)-1))-1,IF((COUNTIF('Contorizare in SDI'!$B:$B,LEFT(B168,FIND(".",B168,1)-1))-1)=1,VLOOKUP(LEFT(B168,FIND(".",B168,1)-1),$B$4:$AZ$68,45,FALSE),VLOOKUP(LEFT(B168,FIND(".",B168,1)-1),$B$4:$AZ$68,45,FALSE)-BB167),ROUNDUP(V168/VLOOKUP(LEFT(B168,FIND(".",B168,1)-1),$AY:$AZ,2,FALSE)*VLOOKUP(LEFT(B168,FIND(".",B168,1)-1),$B$4:$AZ$68,45,FALSE),0)),0)</f>
        <v>0</v>
      </c>
      <c r="BB168" s="306">
        <f t="shared" si="134"/>
        <v>0</v>
      </c>
      <c r="BC168" s="306">
        <f>IFERROR(IF(_xlfn.NUMBERVALUE(RIGHT(B168,LEN(B168)-FIND(".",B168,1)))=COUNTIF('Contorizare in SDI'!$B:$B,LEFT(B168,FIND(".",B168,1)-1))-1,IF((COUNTIF('Contorizare in SDI'!$B:$B,LEFT(B168,FIND(".",B168,1)-1))-1)=1,VLOOKUP(LEFT(B168,FIND(".",B168,1)-1),$B$4:$AZ$68,46,FALSE),VLOOKUP(LEFT(B168,FIND(".",B168,1)-1),$B$4:$AZ$68,46,FALSE)-BD167),ROUNDUP(V168/VLOOKUP(LEFT(B168,FIND(".",B168,1)-1),$AY:$AZ,2,FALSE)*VLOOKUP(LEFT(B168,FIND(".",B168,1)-1),$B$4:$AZ$68,46,FALSE),0)),0)</f>
        <v>0</v>
      </c>
      <c r="BD168" s="306">
        <f t="shared" si="135"/>
        <v>0</v>
      </c>
      <c r="BE168" s="306">
        <f>IFERROR(IF(_xlfn.NUMBERVALUE(RIGHT(B168,LEN(B168)-FIND(".",B168,1)))=COUNTIF('Contorizare in SDI'!$B:$B,LEFT(B168,FIND(".",B168,1)-1))-1,IF((COUNTIF('Contorizare in SDI'!$B:$B,LEFT(B168,FIND(".",B168,1)-1))-1)=1,VLOOKUP(LEFT(B168,FIND(".",B168,1)-1),$B$4:$AZ$68,47,FALSE),VLOOKUP(LEFT(B168,FIND(".",B168,1)-1),$B$4:$AZ$68,47,FALSE)-BF167),ROUNDUP(V168/VLOOKUP(LEFT(B168,FIND(".",B168,1)-1),$AY:$AZ,2,FALSE)*VLOOKUP(LEFT(B168,FIND(".",B168,1)-1),$B$4:$AZ$68,47,FALSE),0)),0)</f>
        <v>0</v>
      </c>
      <c r="BF168" s="306">
        <f t="shared" si="136"/>
        <v>0</v>
      </c>
      <c r="BG168" s="306">
        <f>IFERROR(IF(_xlfn.NUMBERVALUE(RIGHT(B168,LEN(B168)-FIND(".",B168,1)))=COUNTIF('Contorizare in SDI'!$B:$B,LEFT(B168,FIND(".",B168,1)-1))-1,IF((COUNTIF('Contorizare in SDI'!$B:$B,LEFT(B168,FIND(".",B168,1)-1))-1)=1,VLOOKUP(LEFT(B168,FIND(".",B168,1)-1),$B$4:$AZ$68,48,FALSE),VLOOKUP(LEFT(B168,FIND(".",B168,1)-1),$B$4:$AZ$68,48,FALSE)-BH167),ROUNDUP(V168/VLOOKUP(LEFT(B168,FIND(".",B168,1)-1),$AY:$AZ,2,FALSE)*VLOOKUP(LEFT(B168,FIND(".",B168,1)-1),$B$4:$AZ$68,48,FALSE),0)),0)</f>
        <v>6603</v>
      </c>
      <c r="BH168" s="306">
        <f t="shared" si="137"/>
        <v>11931</v>
      </c>
      <c r="BI168" s="306">
        <f>IFERROR(IF(_xlfn.NUMBERVALUE(RIGHT(B168,LEN(B168)-FIND(".",B168,1)))=COUNTIF('Contorizare in SDI'!$B:$B,LEFT(B168,FIND(".",B168,1)-1))-1,IF((COUNTIF('Contorizare in SDI'!$B:$B,LEFT(B168,FIND(".",B168,1)-1))-1)=1,VLOOKUP(LEFT(B168,FIND(".",B168,1)-1),$B$4:$AZ$68,49,FALSE),VLOOKUP(LEFT(B168,FIND(".",B168,1)-1),$B$4:$AZ$68,49,FALSE)-BJ167),ROUNDUP(V168/VLOOKUP(LEFT(B168,FIND(".",B168,1)-1),$AY:$AZ,2,FALSE)*VLOOKUP(LEFT(B168,FIND(".",B168,1)-1),$B$4:$AZ$68,49,FALSE),0)),0)</f>
        <v>5642</v>
      </c>
      <c r="BJ168" s="306">
        <f t="shared" si="138"/>
        <v>10195</v>
      </c>
      <c r="BP168" s="44">
        <f t="shared" si="139"/>
        <v>0</v>
      </c>
      <c r="BQ168" s="1">
        <v>0</v>
      </c>
      <c r="BR168" s="1">
        <v>0</v>
      </c>
      <c r="BS168" s="16">
        <f t="shared" si="156"/>
        <v>0</v>
      </c>
      <c r="BT168" s="16">
        <f t="shared" si="157"/>
        <v>0</v>
      </c>
      <c r="BU168" s="16">
        <f t="shared" si="158"/>
        <v>6603</v>
      </c>
      <c r="BV168" s="16">
        <f t="shared" si="159"/>
        <v>5642</v>
      </c>
      <c r="BX168" s="1" t="str">
        <f t="shared" si="106"/>
        <v/>
      </c>
      <c r="BY168" s="1">
        <f t="shared" si="107"/>
        <v>0</v>
      </c>
      <c r="BZ168" s="1">
        <f t="shared" si="149"/>
        <v>0</v>
      </c>
      <c r="CA168" s="1">
        <f t="shared" si="150"/>
        <v>0</v>
      </c>
      <c r="CB168" s="1">
        <f t="shared" si="151"/>
        <v>0</v>
      </c>
      <c r="CC168" s="1">
        <f t="shared" si="152"/>
        <v>0</v>
      </c>
      <c r="CD168" s="1">
        <f t="shared" si="153"/>
        <v>11931</v>
      </c>
      <c r="CE168" s="1">
        <f t="shared" si="154"/>
        <v>10195</v>
      </c>
      <c r="CR168" s="256" t="s">
        <v>1265</v>
      </c>
      <c r="CS168" s="291">
        <v>19548</v>
      </c>
      <c r="CT168" s="291">
        <v>0</v>
      </c>
      <c r="CU168" s="291">
        <v>0</v>
      </c>
      <c r="CV168" s="291">
        <v>0</v>
      </c>
      <c r="CW168" s="256" t="s">
        <v>1283</v>
      </c>
      <c r="CX168" s="312">
        <v>3894</v>
      </c>
      <c r="CY168" s="184">
        <v>7429</v>
      </c>
      <c r="CZ168" s="88">
        <v>1</v>
      </c>
      <c r="DA168" s="88">
        <v>5190</v>
      </c>
      <c r="DB168" s="257" t="s">
        <v>1290</v>
      </c>
      <c r="DC168" s="87">
        <v>0</v>
      </c>
      <c r="DD168" s="88">
        <v>17517</v>
      </c>
      <c r="DE168" s="88">
        <v>15</v>
      </c>
      <c r="DF168" s="88">
        <v>306</v>
      </c>
      <c r="DG168" s="88">
        <v>3894</v>
      </c>
      <c r="DH168" s="88">
        <v>10088</v>
      </c>
      <c r="DI168" s="321">
        <v>0</v>
      </c>
      <c r="DJ168" s="88">
        <v>59</v>
      </c>
    </row>
    <row r="169" spans="1:114" ht="17.25" thickTop="1" thickBot="1">
      <c r="A169" s="531">
        <f t="shared" si="120"/>
        <v>166</v>
      </c>
      <c r="B169" s="38" t="s">
        <v>660</v>
      </c>
      <c r="C169" s="17" t="s">
        <v>403</v>
      </c>
      <c r="D169" s="17">
        <v>23298250</v>
      </c>
      <c r="E169" s="142" t="str">
        <f t="shared" si="121"/>
        <v>RRPP</v>
      </c>
      <c r="F169" s="16">
        <v>0</v>
      </c>
      <c r="G169" s="16">
        <v>52.84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2" t="s">
        <v>917</v>
      </c>
      <c r="O169" s="12" t="s">
        <v>917</v>
      </c>
      <c r="P169" s="12" t="s">
        <v>917</v>
      </c>
      <c r="Q169" s="12" t="s">
        <v>917</v>
      </c>
      <c r="R169" s="12" t="s">
        <v>917</v>
      </c>
      <c r="S169" s="12" t="s">
        <v>1019</v>
      </c>
      <c r="T169" s="12" t="s">
        <v>917</v>
      </c>
      <c r="U169" s="12" t="s">
        <v>1019</v>
      </c>
      <c r="V169" s="22">
        <v>10568</v>
      </c>
      <c r="W169" s="22">
        <v>0</v>
      </c>
      <c r="X169" s="22">
        <v>0</v>
      </c>
      <c r="Y169" s="22">
        <v>0</v>
      </c>
      <c r="Z169" s="171">
        <f t="shared" si="108"/>
        <v>0</v>
      </c>
      <c r="AA169" s="130" t="str">
        <f t="shared" si="109"/>
        <v>citit</v>
      </c>
      <c r="AB169" s="176">
        <f>Z169+AN169/200</f>
        <v>52.84</v>
      </c>
      <c r="AC169" s="12" t="s">
        <v>917</v>
      </c>
      <c r="AD169" s="12">
        <f t="shared" si="155"/>
        <v>0</v>
      </c>
      <c r="AE169" s="12">
        <f t="shared" si="155"/>
        <v>0</v>
      </c>
      <c r="AF169" s="12">
        <f t="shared" si="155"/>
        <v>0</v>
      </c>
      <c r="AG169" s="12" t="str">
        <f t="shared" si="111"/>
        <v>citit</v>
      </c>
      <c r="AH169" s="176">
        <f t="shared" si="123"/>
        <v>0</v>
      </c>
      <c r="AI169" s="12" t="s">
        <v>917</v>
      </c>
      <c r="AJ169" s="12">
        <f t="shared" si="112"/>
        <v>0</v>
      </c>
      <c r="AK169" s="12" t="str">
        <f t="shared" si="113"/>
        <v>citit</v>
      </c>
      <c r="AL169" s="175">
        <f t="shared" si="124"/>
        <v>0</v>
      </c>
      <c r="AM169" s="159" t="s">
        <v>917</v>
      </c>
      <c r="AN169" s="154">
        <f t="shared" si="125"/>
        <v>10568</v>
      </c>
      <c r="AO169" s="14">
        <f t="shared" si="126"/>
        <v>0</v>
      </c>
      <c r="AP169" s="147">
        <f t="shared" si="127"/>
        <v>0</v>
      </c>
      <c r="AQ169" s="147">
        <f t="shared" si="128"/>
        <v>0</v>
      </c>
      <c r="AR169" s="16">
        <v>0</v>
      </c>
      <c r="AS169" s="16">
        <v>0</v>
      </c>
      <c r="AT169" s="1">
        <f t="shared" si="129"/>
        <v>0</v>
      </c>
      <c r="AU169" s="154">
        <f t="shared" si="130"/>
        <v>0</v>
      </c>
      <c r="AV169" s="154">
        <f t="shared" si="131"/>
        <v>0</v>
      </c>
      <c r="AW169" s="154">
        <f t="shared" si="132"/>
        <v>0</v>
      </c>
      <c r="AX169" s="154">
        <f t="shared" si="133"/>
        <v>0</v>
      </c>
      <c r="AY169" s="308" t="str">
        <f t="shared" si="114"/>
        <v>-</v>
      </c>
      <c r="AZ169" s="308">
        <f t="shared" si="115"/>
        <v>10568</v>
      </c>
      <c r="BA169" s="153">
        <v>0</v>
      </c>
      <c r="BB169" s="153">
        <v>0</v>
      </c>
      <c r="BC169" s="153">
        <v>0</v>
      </c>
      <c r="BD169" s="153">
        <v>0</v>
      </c>
      <c r="BE169" s="153">
        <v>0</v>
      </c>
      <c r="BF169" s="153">
        <v>0</v>
      </c>
      <c r="BG169" s="153">
        <v>0</v>
      </c>
      <c r="BH169" s="153">
        <v>0</v>
      </c>
      <c r="BI169" s="153">
        <v>0</v>
      </c>
      <c r="BJ169" s="153">
        <v>0</v>
      </c>
      <c r="BP169" s="44">
        <f t="shared" si="139"/>
        <v>0</v>
      </c>
      <c r="BQ169" s="1">
        <v>0</v>
      </c>
      <c r="BR169" s="1">
        <v>0</v>
      </c>
      <c r="BS169" s="16">
        <f t="shared" si="156"/>
        <v>0</v>
      </c>
      <c r="BT169" s="16">
        <f t="shared" si="157"/>
        <v>0</v>
      </c>
      <c r="BU169" s="16">
        <f t="shared" si="158"/>
        <v>0</v>
      </c>
      <c r="BV169" s="16">
        <f t="shared" si="159"/>
        <v>0</v>
      </c>
      <c r="BX169" s="1" t="str">
        <f t="shared" si="106"/>
        <v/>
      </c>
      <c r="BY169" s="1">
        <f t="shared" si="107"/>
        <v>0</v>
      </c>
      <c r="BZ169" s="1">
        <f t="shared" si="149"/>
        <v>0</v>
      </c>
      <c r="CA169" s="1">
        <f t="shared" si="150"/>
        <v>0</v>
      </c>
      <c r="CB169" s="1">
        <f t="shared" si="151"/>
        <v>0</v>
      </c>
      <c r="CC169" s="1">
        <f t="shared" si="152"/>
        <v>0</v>
      </c>
      <c r="CD169" s="1">
        <f t="shared" si="153"/>
        <v>11931</v>
      </c>
      <c r="CE169" s="1">
        <f t="shared" si="154"/>
        <v>10195</v>
      </c>
      <c r="CR169" s="256" t="s">
        <v>1265</v>
      </c>
      <c r="CS169" s="291">
        <v>19548</v>
      </c>
      <c r="CT169" s="291">
        <v>0</v>
      </c>
      <c r="CU169" s="291">
        <v>0</v>
      </c>
      <c r="CV169" s="291">
        <v>0</v>
      </c>
      <c r="CW169" s="256" t="s">
        <v>1285</v>
      </c>
      <c r="CX169" s="312">
        <v>15360</v>
      </c>
      <c r="CY169" s="184">
        <v>0</v>
      </c>
      <c r="CZ169" s="88">
        <v>7</v>
      </c>
      <c r="DA169" s="88">
        <v>5937</v>
      </c>
      <c r="DB169" s="29" t="s">
        <v>69</v>
      </c>
      <c r="DC169" s="87">
        <v>0</v>
      </c>
      <c r="DD169" s="88">
        <v>0</v>
      </c>
      <c r="DE169" s="88">
        <v>0</v>
      </c>
      <c r="DF169" s="88">
        <v>0</v>
      </c>
      <c r="DG169" s="88">
        <v>15360</v>
      </c>
      <c r="DH169" s="88">
        <v>0</v>
      </c>
      <c r="DI169">
        <v>7429</v>
      </c>
      <c r="DJ169" s="88">
        <v>235</v>
      </c>
    </row>
    <row r="170" spans="1:114" ht="17.25" thickTop="1" thickBot="1">
      <c r="A170" s="531">
        <f t="shared" si="120"/>
        <v>167</v>
      </c>
      <c r="B170" s="149" t="s">
        <v>661</v>
      </c>
      <c r="C170" s="136" t="s">
        <v>404</v>
      </c>
      <c r="D170" s="17">
        <v>23298245</v>
      </c>
      <c r="E170" s="142" t="str">
        <f t="shared" si="121"/>
        <v>RRPP</v>
      </c>
      <c r="F170" s="16">
        <v>1939.3420000000001</v>
      </c>
      <c r="G170" s="16">
        <v>2136.8560000000002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2" t="s">
        <v>917</v>
      </c>
      <c r="O170" s="12" t="s">
        <v>917</v>
      </c>
      <c r="P170" s="12" t="s">
        <v>917</v>
      </c>
      <c r="Q170" s="12" t="s">
        <v>917</v>
      </c>
      <c r="R170" s="12" t="s">
        <v>917</v>
      </c>
      <c r="S170" s="12" t="s">
        <v>1019</v>
      </c>
      <c r="T170" s="12" t="s">
        <v>917</v>
      </c>
      <c r="U170" s="12" t="s">
        <v>1019</v>
      </c>
      <c r="V170" s="22">
        <v>98757.000000000044</v>
      </c>
      <c r="W170" s="22">
        <v>0</v>
      </c>
      <c r="X170" s="22">
        <v>0</v>
      </c>
      <c r="Y170" s="22">
        <v>0</v>
      </c>
      <c r="Z170" s="171">
        <f t="shared" si="108"/>
        <v>1939.3420000000001</v>
      </c>
      <c r="AA170" s="130" t="str">
        <f t="shared" si="109"/>
        <v>citit</v>
      </c>
      <c r="AB170" s="176">
        <f>Z170+AN170/500</f>
        <v>2136.8560000000002</v>
      </c>
      <c r="AC170" s="12" t="s">
        <v>917</v>
      </c>
      <c r="AD170" s="12">
        <f t="shared" si="155"/>
        <v>0</v>
      </c>
      <c r="AE170" s="12">
        <f t="shared" si="155"/>
        <v>0</v>
      </c>
      <c r="AF170" s="12">
        <f t="shared" si="155"/>
        <v>0</v>
      </c>
      <c r="AG170" s="12" t="str">
        <f t="shared" si="111"/>
        <v>citit</v>
      </c>
      <c r="AH170" s="176">
        <f t="shared" si="123"/>
        <v>0</v>
      </c>
      <c r="AI170" s="12" t="s">
        <v>917</v>
      </c>
      <c r="AJ170" s="12">
        <f t="shared" si="112"/>
        <v>0</v>
      </c>
      <c r="AK170" s="12" t="str">
        <f t="shared" si="113"/>
        <v>citit</v>
      </c>
      <c r="AL170" s="175">
        <f t="shared" si="124"/>
        <v>0</v>
      </c>
      <c r="AM170" s="159" t="s">
        <v>917</v>
      </c>
      <c r="AN170" s="154">
        <f>V170+AT170</f>
        <v>98757.000000000044</v>
      </c>
      <c r="AO170" s="14">
        <f t="shared" si="126"/>
        <v>0</v>
      </c>
      <c r="AP170" s="147">
        <f t="shared" si="127"/>
        <v>0</v>
      </c>
      <c r="AQ170" s="147">
        <f t="shared" si="128"/>
        <v>0</v>
      </c>
      <c r="AR170" s="16">
        <v>0</v>
      </c>
      <c r="AS170" s="16">
        <v>0</v>
      </c>
      <c r="AT170" s="1">
        <f t="shared" si="129"/>
        <v>0</v>
      </c>
      <c r="AU170" s="154">
        <f t="shared" si="130"/>
        <v>0</v>
      </c>
      <c r="AV170" s="154">
        <f t="shared" si="131"/>
        <v>0</v>
      </c>
      <c r="AW170" s="154">
        <f t="shared" si="132"/>
        <v>0</v>
      </c>
      <c r="AX170" s="154">
        <f t="shared" si="133"/>
        <v>0</v>
      </c>
      <c r="AY170" s="153" t="s">
        <v>567</v>
      </c>
      <c r="AZ170" s="308">
        <f>IF(AND(COUNTIF(AY169,"-")=0,AY170&lt;&gt;AY169),V170,AZ169+V170)</f>
        <v>109325.00000000004</v>
      </c>
      <c r="BA170" s="153">
        <v>0</v>
      </c>
      <c r="BB170" s="153">
        <v>0</v>
      </c>
      <c r="BC170" s="153">
        <v>0</v>
      </c>
      <c r="BD170" s="153">
        <v>0</v>
      </c>
      <c r="BE170" s="153">
        <v>0</v>
      </c>
      <c r="BF170" s="153">
        <v>0</v>
      </c>
      <c r="BG170" s="153">
        <v>0</v>
      </c>
      <c r="BH170" s="153">
        <v>0</v>
      </c>
      <c r="BI170" s="153">
        <v>0</v>
      </c>
      <c r="BJ170" s="153">
        <v>0</v>
      </c>
      <c r="BP170" s="44">
        <f t="shared" si="139"/>
        <v>0</v>
      </c>
      <c r="BQ170" s="1">
        <v>0</v>
      </c>
      <c r="BR170" s="1">
        <v>0</v>
      </c>
      <c r="BS170" s="16">
        <f t="shared" si="156"/>
        <v>0</v>
      </c>
      <c r="BT170" s="16">
        <f t="shared" si="157"/>
        <v>0</v>
      </c>
      <c r="BU170" s="16">
        <f t="shared" si="158"/>
        <v>0</v>
      </c>
      <c r="BV170" s="16">
        <f t="shared" si="159"/>
        <v>0</v>
      </c>
      <c r="BX170" s="1" t="str">
        <f t="shared" si="106"/>
        <v>RRPP</v>
      </c>
      <c r="BY170" s="1">
        <f t="shared" si="107"/>
        <v>0</v>
      </c>
      <c r="BZ170" s="1">
        <f t="shared" si="149"/>
        <v>0</v>
      </c>
      <c r="CA170" s="1">
        <f t="shared" si="150"/>
        <v>0</v>
      </c>
      <c r="CB170" s="1">
        <f t="shared" si="151"/>
        <v>0</v>
      </c>
      <c r="CC170" s="1">
        <f t="shared" si="152"/>
        <v>0</v>
      </c>
      <c r="CD170" s="1">
        <f t="shared" si="153"/>
        <v>11931</v>
      </c>
      <c r="CE170" s="1">
        <f t="shared" si="154"/>
        <v>10195</v>
      </c>
      <c r="CR170" s="256" t="s">
        <v>1265</v>
      </c>
      <c r="CS170" s="291">
        <v>19548</v>
      </c>
      <c r="CT170" s="291">
        <v>0</v>
      </c>
      <c r="CU170" s="291">
        <v>0</v>
      </c>
      <c r="CV170" s="291">
        <v>0</v>
      </c>
      <c r="CW170" s="256" t="s">
        <v>1284</v>
      </c>
      <c r="CX170" s="312">
        <v>294</v>
      </c>
      <c r="CY170" s="184">
        <v>0</v>
      </c>
      <c r="CZ170" s="88">
        <v>0</v>
      </c>
      <c r="DA170" s="88">
        <v>0</v>
      </c>
      <c r="DB170" s="29" t="s">
        <v>69</v>
      </c>
      <c r="DC170" s="87">
        <v>0</v>
      </c>
      <c r="DD170" s="88">
        <v>0</v>
      </c>
      <c r="DE170" s="88">
        <v>0</v>
      </c>
      <c r="DF170" s="88">
        <v>0</v>
      </c>
      <c r="DG170" s="88">
        <v>0</v>
      </c>
      <c r="DH170" s="88">
        <v>0</v>
      </c>
      <c r="DI170" s="321">
        <v>0</v>
      </c>
      <c r="DJ170" s="88">
        <v>0</v>
      </c>
    </row>
    <row r="171" spans="1:114" ht="17.25" thickTop="1" thickBot="1">
      <c r="A171" s="531">
        <f t="shared" si="120"/>
        <v>168</v>
      </c>
      <c r="B171" s="149" t="s">
        <v>1281</v>
      </c>
      <c r="C171" s="17" t="s">
        <v>1253</v>
      </c>
      <c r="D171" s="17">
        <v>1369546098</v>
      </c>
      <c r="E171" s="142" t="str">
        <f t="shared" si="121"/>
        <v>RN10</v>
      </c>
      <c r="F171" s="16">
        <v>604080</v>
      </c>
      <c r="G171" s="16">
        <v>619536</v>
      </c>
      <c r="H171" s="16">
        <v>0</v>
      </c>
      <c r="I171" s="16">
        <v>0</v>
      </c>
      <c r="J171" s="16">
        <v>47741</v>
      </c>
      <c r="K171" s="16">
        <v>47741</v>
      </c>
      <c r="L171" s="16">
        <v>33895</v>
      </c>
      <c r="M171" s="16">
        <v>33895</v>
      </c>
      <c r="N171" s="12" t="s">
        <v>917</v>
      </c>
      <c r="O171" s="12" t="s">
        <v>1019</v>
      </c>
      <c r="P171" s="12" t="s">
        <v>917</v>
      </c>
      <c r="Q171" s="12" t="s">
        <v>917</v>
      </c>
      <c r="R171" s="12" t="s">
        <v>917</v>
      </c>
      <c r="S171" s="12" t="s">
        <v>1019</v>
      </c>
      <c r="T171" s="12" t="s">
        <v>917</v>
      </c>
      <c r="U171" s="12" t="s">
        <v>1019</v>
      </c>
      <c r="V171" s="261">
        <v>15456</v>
      </c>
      <c r="W171" s="261">
        <v>0</v>
      </c>
      <c r="X171" s="261">
        <v>0</v>
      </c>
      <c r="Y171" s="262">
        <v>0</v>
      </c>
      <c r="Z171" s="171">
        <f t="shared" si="108"/>
        <v>604080</v>
      </c>
      <c r="AA171" s="130" t="str">
        <f t="shared" si="109"/>
        <v>citit</v>
      </c>
      <c r="AB171" s="176">
        <f t="shared" si="122"/>
        <v>619536</v>
      </c>
      <c r="AC171" s="12" t="s">
        <v>917</v>
      </c>
      <c r="AD171" s="260">
        <f t="shared" si="155"/>
        <v>0</v>
      </c>
      <c r="AE171" s="260">
        <f t="shared" si="155"/>
        <v>0</v>
      </c>
      <c r="AF171" s="12">
        <f t="shared" si="155"/>
        <v>47741</v>
      </c>
      <c r="AG171" s="12" t="str">
        <f t="shared" si="111"/>
        <v>citit</v>
      </c>
      <c r="AH171" s="176">
        <f t="shared" si="123"/>
        <v>47752</v>
      </c>
      <c r="AI171" s="12" t="s">
        <v>917</v>
      </c>
      <c r="AJ171" s="12">
        <f t="shared" si="112"/>
        <v>33895</v>
      </c>
      <c r="AK171" s="12" t="str">
        <f t="shared" si="113"/>
        <v>citit</v>
      </c>
      <c r="AL171" s="175">
        <f t="shared" si="124"/>
        <v>33896</v>
      </c>
      <c r="AM171" s="159" t="s">
        <v>917</v>
      </c>
      <c r="AN171" s="154">
        <f t="shared" ref="AN171:AN183" si="160">V171+AT171</f>
        <v>15456</v>
      </c>
      <c r="AO171" s="14">
        <f t="shared" si="126"/>
        <v>0</v>
      </c>
      <c r="AP171" s="147">
        <f t="shared" si="127"/>
        <v>11</v>
      </c>
      <c r="AQ171" s="147">
        <f t="shared" si="128"/>
        <v>1</v>
      </c>
      <c r="AR171" s="16">
        <v>0</v>
      </c>
      <c r="AS171" s="16">
        <v>0</v>
      </c>
      <c r="AT171" s="1">
        <f>BA171</f>
        <v>0</v>
      </c>
      <c r="AU171" s="154">
        <f t="shared" si="130"/>
        <v>8</v>
      </c>
      <c r="AV171" s="154">
        <f t="shared" si="131"/>
        <v>3</v>
      </c>
      <c r="AW171" s="154">
        <f t="shared" si="132"/>
        <v>1</v>
      </c>
      <c r="AX171" s="154">
        <f t="shared" si="133"/>
        <v>0</v>
      </c>
      <c r="AY171" s="308" t="str">
        <f>IF(LEFT(B171,LEN(B171)-2)&lt;&gt;LEFT(B172,LEN(B172)-2),LEFT(B171,LEN(B171)-2),"-")</f>
        <v>RN10_Alba</v>
      </c>
      <c r="AZ171" s="308">
        <f t="shared" si="115"/>
        <v>15456</v>
      </c>
      <c r="BA171" s="309">
        <f>VLOOKUP(AY171,$B$4:$AZ$68,45,FALSE)</f>
        <v>0</v>
      </c>
      <c r="BB171" s="153">
        <v>0</v>
      </c>
      <c r="BC171" s="309">
        <f>VLOOKUP(AY171,$B$4:$AZ$68,46,FALSE)</f>
        <v>8</v>
      </c>
      <c r="BD171" s="153">
        <v>0</v>
      </c>
      <c r="BE171" s="309">
        <f>VLOOKUP(AY171,$B$4:$AZ$68,47,FALSE)</f>
        <v>3</v>
      </c>
      <c r="BF171" s="153">
        <v>0</v>
      </c>
      <c r="BG171" s="309">
        <f>VLOOKUP(AY171,$B$4:$AZ$68,48,FALSE)</f>
        <v>1</v>
      </c>
      <c r="BH171" s="153">
        <v>0</v>
      </c>
      <c r="BI171" s="309">
        <f>VLOOKUP(AY171,$B$4:$AZ$68,49,FALSE)</f>
        <v>0</v>
      </c>
      <c r="BJ171" s="153">
        <v>0</v>
      </c>
      <c r="BP171" s="44">
        <f t="shared" si="139"/>
        <v>0</v>
      </c>
      <c r="BQ171" s="1">
        <v>0</v>
      </c>
      <c r="BR171" s="1">
        <v>0</v>
      </c>
      <c r="BS171" s="16">
        <f t="shared" si="156"/>
        <v>8</v>
      </c>
      <c r="BT171" s="16">
        <f t="shared" si="157"/>
        <v>3</v>
      </c>
      <c r="BU171" s="16">
        <f t="shared" si="158"/>
        <v>1</v>
      </c>
      <c r="BV171" s="16">
        <f t="shared" si="159"/>
        <v>0</v>
      </c>
      <c r="BX171" s="1" t="str">
        <f t="shared" si="106"/>
        <v/>
      </c>
      <c r="BY171" s="1">
        <f t="shared" si="107"/>
        <v>0</v>
      </c>
      <c r="BZ171" s="1">
        <f>IF(LEFT(B171,4)&lt;&gt;LEFT(B174,4),BQ171,BQ171+BZ174)</f>
        <v>0</v>
      </c>
      <c r="CA171" s="1">
        <f>IF(LEFT(B171,4)&lt;&gt;LEFT(B174,4),BR171,BR171+CA174)</f>
        <v>0</v>
      </c>
      <c r="CB171" s="1">
        <f>IF(LEFT(B171,4)&lt;&gt;LEFT(B174,4),BS171,BS171+CB174)</f>
        <v>8</v>
      </c>
      <c r="CC171" s="1">
        <f>IF(LEFT(B171,4)&lt;&gt;LEFT(B174,4),BT171,BT171+CC174)</f>
        <v>4</v>
      </c>
      <c r="CD171" s="1">
        <f>IF(LEFT(B171,4)&lt;&gt;LEFT(B174,4),BU171,BU171+CD174)</f>
        <v>92</v>
      </c>
      <c r="CE171" s="1">
        <f>IF(LEFT(B171,4)&lt;&gt;LEFT(B174,4),BV171,BV171+CE174)</f>
        <v>92</v>
      </c>
      <c r="CR171" s="256" t="s">
        <v>1231</v>
      </c>
      <c r="CS171" s="311">
        <v>3960</v>
      </c>
      <c r="CT171" s="291">
        <v>0</v>
      </c>
      <c r="CU171" s="291">
        <v>0</v>
      </c>
      <c r="CV171" s="291">
        <v>0</v>
      </c>
      <c r="CW171" s="256" t="s">
        <v>1266</v>
      </c>
      <c r="CX171" s="315">
        <v>3960</v>
      </c>
      <c r="CY171" s="184">
        <v>0</v>
      </c>
      <c r="CZ171" s="88">
        <v>0</v>
      </c>
      <c r="DA171" s="88">
        <v>0</v>
      </c>
      <c r="DB171" s="29" t="s">
        <v>69</v>
      </c>
      <c r="DC171" s="87">
        <v>0</v>
      </c>
      <c r="DD171" s="88">
        <v>0</v>
      </c>
      <c r="DE171" s="88">
        <v>0</v>
      </c>
      <c r="DF171" s="88">
        <v>0</v>
      </c>
      <c r="DG171" s="88">
        <v>3960</v>
      </c>
      <c r="DH171" s="88">
        <v>0</v>
      </c>
      <c r="DI171" s="321">
        <v>0</v>
      </c>
      <c r="DJ171" s="88">
        <v>0</v>
      </c>
    </row>
    <row r="172" spans="1:114" ht="17.25" thickTop="1" thickBot="1">
      <c r="A172" s="531">
        <f t="shared" si="120"/>
        <v>169</v>
      </c>
      <c r="B172" s="149" t="s">
        <v>1275</v>
      </c>
      <c r="C172" s="17" t="s">
        <v>1249</v>
      </c>
      <c r="D172" s="17">
        <v>1371034851</v>
      </c>
      <c r="E172" s="142" t="str">
        <f t="shared" si="121"/>
        <v>RN10</v>
      </c>
      <c r="F172" s="16">
        <v>341408</v>
      </c>
      <c r="G172" s="16">
        <v>348318</v>
      </c>
      <c r="H172" s="16">
        <v>0</v>
      </c>
      <c r="I172" s="16">
        <v>0</v>
      </c>
      <c r="J172" s="16">
        <v>305</v>
      </c>
      <c r="K172" s="16">
        <v>305</v>
      </c>
      <c r="L172" s="16">
        <v>120187</v>
      </c>
      <c r="M172" s="16">
        <v>120187</v>
      </c>
      <c r="N172" s="12" t="s">
        <v>917</v>
      </c>
      <c r="O172" s="12" t="s">
        <v>1019</v>
      </c>
      <c r="P172" s="12" t="s">
        <v>917</v>
      </c>
      <c r="Q172" s="12" t="s">
        <v>917</v>
      </c>
      <c r="R172" s="12" t="s">
        <v>917</v>
      </c>
      <c r="S172" s="12" t="s">
        <v>1019</v>
      </c>
      <c r="T172" s="12" t="s">
        <v>917</v>
      </c>
      <c r="U172" s="12" t="s">
        <v>1019</v>
      </c>
      <c r="V172" s="261">
        <v>6910</v>
      </c>
      <c r="W172" s="261">
        <v>0</v>
      </c>
      <c r="X172" s="261">
        <v>0</v>
      </c>
      <c r="Y172" s="262">
        <v>0</v>
      </c>
      <c r="Z172" s="171">
        <f t="shared" si="108"/>
        <v>341408</v>
      </c>
      <c r="AA172" s="130" t="str">
        <f t="shared" si="109"/>
        <v>citit</v>
      </c>
      <c r="AB172" s="176">
        <f t="shared" si="122"/>
        <v>348318</v>
      </c>
      <c r="AC172" s="12" t="s">
        <v>917</v>
      </c>
      <c r="AD172" s="260">
        <f t="shared" si="155"/>
        <v>0</v>
      </c>
      <c r="AE172" s="260">
        <f t="shared" si="155"/>
        <v>0</v>
      </c>
      <c r="AF172" s="12">
        <f t="shared" si="155"/>
        <v>305</v>
      </c>
      <c r="AG172" s="12" t="str">
        <f t="shared" si="111"/>
        <v>citit</v>
      </c>
      <c r="AH172" s="176">
        <f>AF172+AP172</f>
        <v>306</v>
      </c>
      <c r="AI172" s="12" t="s">
        <v>917</v>
      </c>
      <c r="AJ172" s="12">
        <f t="shared" si="112"/>
        <v>120187</v>
      </c>
      <c r="AK172" s="12" t="str">
        <f t="shared" si="113"/>
        <v>citit</v>
      </c>
      <c r="AL172" s="175">
        <f>AJ172+AQ172</f>
        <v>120211</v>
      </c>
      <c r="AM172" s="159" t="s">
        <v>917</v>
      </c>
      <c r="AN172" s="154">
        <f t="shared" si="160"/>
        <v>6910</v>
      </c>
      <c r="AO172" s="14">
        <f t="shared" si="126"/>
        <v>0</v>
      </c>
      <c r="AP172" s="147">
        <f t="shared" si="127"/>
        <v>1</v>
      </c>
      <c r="AQ172" s="147">
        <f t="shared" si="128"/>
        <v>24</v>
      </c>
      <c r="AR172" s="16">
        <v>0</v>
      </c>
      <c r="AS172" s="16">
        <v>0</v>
      </c>
      <c r="AT172" s="1">
        <f t="shared" si="129"/>
        <v>0</v>
      </c>
      <c r="AU172" s="154">
        <f t="shared" si="130"/>
        <v>0</v>
      </c>
      <c r="AV172" s="154">
        <f t="shared" si="131"/>
        <v>1</v>
      </c>
      <c r="AW172" s="154">
        <f t="shared" si="132"/>
        <v>10</v>
      </c>
      <c r="AX172" s="154">
        <f t="shared" si="133"/>
        <v>14</v>
      </c>
      <c r="AY172" s="308" t="str">
        <f t="shared" ref="AY172:AY176" si="161">IF(LEFT(B172,LEN(B172)-2)&lt;&gt;LEFT(B173,LEN(B173)-2),LEFT(B172,LEN(B172)-2),"-")</f>
        <v>RN10_Sfantul Gheorghe</v>
      </c>
      <c r="AZ172" s="308">
        <f t="shared" si="115"/>
        <v>6910</v>
      </c>
      <c r="BA172" s="309">
        <f>VLOOKUP(AY172,$B$4:$AZ$68,45,FALSE)</f>
        <v>0</v>
      </c>
      <c r="BB172" s="153">
        <v>0</v>
      </c>
      <c r="BC172" s="309">
        <f>VLOOKUP(AY172,$B$4:$AZ$68,46,FALSE)</f>
        <v>0</v>
      </c>
      <c r="BD172" s="153">
        <v>0</v>
      </c>
      <c r="BE172" s="309">
        <f>VLOOKUP(AY172,$B$4:$AZ$68,47,FALSE)</f>
        <v>1</v>
      </c>
      <c r="BF172" s="153">
        <v>0</v>
      </c>
      <c r="BG172" s="309">
        <f>VLOOKUP(AY172,$B$4:$AZ$68,48,FALSE)</f>
        <v>10</v>
      </c>
      <c r="BH172" s="153">
        <v>0</v>
      </c>
      <c r="BI172" s="309">
        <f>VLOOKUP(AY172,$B$4:$AZ$68,49,FALSE)</f>
        <v>14</v>
      </c>
      <c r="BJ172" s="153">
        <v>0</v>
      </c>
      <c r="BP172" s="44">
        <f t="shared" si="139"/>
        <v>0</v>
      </c>
      <c r="BQ172" s="1">
        <v>0</v>
      </c>
      <c r="BR172" s="1">
        <v>0</v>
      </c>
      <c r="BS172" s="16">
        <f t="shared" si="156"/>
        <v>0</v>
      </c>
      <c r="BT172" s="16">
        <f t="shared" si="157"/>
        <v>1</v>
      </c>
      <c r="BU172" s="16">
        <f t="shared" si="158"/>
        <v>10</v>
      </c>
      <c r="BV172" s="16">
        <f t="shared" si="159"/>
        <v>14</v>
      </c>
      <c r="BX172" s="1" t="str">
        <f t="shared" si="106"/>
        <v/>
      </c>
      <c r="BY172" s="1">
        <f t="shared" si="107"/>
        <v>0</v>
      </c>
      <c r="BZ172" s="1">
        <f>IF(LEFT(B172,4)&lt;&gt;LEFT(B183,4),BQ172,BQ172+BZ183)</f>
        <v>0</v>
      </c>
      <c r="CA172" s="1">
        <f>IF(LEFT(B172,4)&lt;&gt;LEFT(B183,4),BR172,BR172+CA183)</f>
        <v>0</v>
      </c>
      <c r="CB172" s="1">
        <f>IF(LEFT(B172,4)&lt;&gt;LEFT(B183,4),BS172,BS172+CB183)</f>
        <v>0</v>
      </c>
      <c r="CC172" s="1">
        <f>IF(LEFT(B172,4)&lt;&gt;LEFT(B183,4),BT172,BT172+CC183)</f>
        <v>1</v>
      </c>
      <c r="CD172" s="1">
        <f>IF(LEFT(B172,4)&lt;&gt;LEFT(B183,4),BU172,BU172+CD183)</f>
        <v>10</v>
      </c>
      <c r="CE172" s="1">
        <f>IF(LEFT(B172,4)&lt;&gt;LEFT(B183,4),BV172,BV172+CE183)</f>
        <v>14</v>
      </c>
      <c r="CR172" s="256" t="s">
        <v>1231</v>
      </c>
      <c r="CS172" s="311">
        <v>3569</v>
      </c>
      <c r="CT172" s="291">
        <v>0</v>
      </c>
      <c r="CU172" s="291">
        <v>0</v>
      </c>
      <c r="CV172" s="291">
        <v>0</v>
      </c>
      <c r="CW172" s="256" t="s">
        <v>1267</v>
      </c>
      <c r="CX172" s="315">
        <v>3569</v>
      </c>
      <c r="CY172" s="184">
        <v>0</v>
      </c>
      <c r="CZ172" s="88">
        <v>0</v>
      </c>
      <c r="DA172" s="88">
        <v>0</v>
      </c>
      <c r="DB172" s="29" t="s">
        <v>69</v>
      </c>
      <c r="DC172" s="87">
        <v>0</v>
      </c>
      <c r="DD172" s="88">
        <v>0</v>
      </c>
      <c r="DE172" s="88">
        <v>0</v>
      </c>
      <c r="DF172" s="88">
        <v>0</v>
      </c>
      <c r="DG172" s="88">
        <v>3569</v>
      </c>
      <c r="DH172" s="88">
        <v>0</v>
      </c>
      <c r="DI172" s="321">
        <v>0</v>
      </c>
      <c r="DJ172" s="88">
        <v>0</v>
      </c>
    </row>
    <row r="173" spans="1:114" ht="17.25" thickTop="1" thickBot="1">
      <c r="A173" s="531">
        <f t="shared" si="120"/>
        <v>170</v>
      </c>
      <c r="B173" s="149" t="s">
        <v>1277</v>
      </c>
      <c r="C173" s="17" t="s">
        <v>1250</v>
      </c>
      <c r="D173" s="17">
        <v>1369359116</v>
      </c>
      <c r="E173" s="142" t="str">
        <f t="shared" si="121"/>
        <v>RN10</v>
      </c>
      <c r="F173" s="16">
        <v>450712</v>
      </c>
      <c r="G173" s="16">
        <v>462177</v>
      </c>
      <c r="H173" s="16">
        <v>0</v>
      </c>
      <c r="I173" s="16">
        <v>0</v>
      </c>
      <c r="J173" s="16">
        <v>338</v>
      </c>
      <c r="K173" s="16">
        <v>338</v>
      </c>
      <c r="L173" s="16">
        <v>151056</v>
      </c>
      <c r="M173" s="16">
        <v>151056</v>
      </c>
      <c r="N173" s="12" t="s">
        <v>917</v>
      </c>
      <c r="O173" s="12" t="s">
        <v>1019</v>
      </c>
      <c r="P173" s="12" t="s">
        <v>917</v>
      </c>
      <c r="Q173" s="12" t="s">
        <v>917</v>
      </c>
      <c r="R173" s="12" t="s">
        <v>917</v>
      </c>
      <c r="S173" s="12" t="s">
        <v>1019</v>
      </c>
      <c r="T173" s="12" t="s">
        <v>917</v>
      </c>
      <c r="U173" s="12" t="s">
        <v>1019</v>
      </c>
      <c r="V173" s="261">
        <v>11465</v>
      </c>
      <c r="W173" s="261">
        <v>0</v>
      </c>
      <c r="X173" s="261">
        <v>0</v>
      </c>
      <c r="Y173" s="262">
        <v>0</v>
      </c>
      <c r="Z173" s="171">
        <f t="shared" si="108"/>
        <v>450712</v>
      </c>
      <c r="AA173" s="130" t="str">
        <f t="shared" si="109"/>
        <v>citit</v>
      </c>
      <c r="AB173" s="176">
        <f t="shared" si="122"/>
        <v>462177</v>
      </c>
      <c r="AC173" s="12" t="s">
        <v>917</v>
      </c>
      <c r="AD173" s="260">
        <f t="shared" si="155"/>
        <v>0</v>
      </c>
      <c r="AE173" s="260">
        <f t="shared" si="155"/>
        <v>0</v>
      </c>
      <c r="AF173" s="12">
        <f t="shared" si="155"/>
        <v>338</v>
      </c>
      <c r="AG173" s="12" t="str">
        <f t="shared" si="111"/>
        <v>citit</v>
      </c>
      <c r="AH173" s="176">
        <f>AF173+AP173</f>
        <v>338</v>
      </c>
      <c r="AI173" s="12" t="s">
        <v>917</v>
      </c>
      <c r="AJ173" s="12">
        <f t="shared" si="112"/>
        <v>151056</v>
      </c>
      <c r="AK173" s="12" t="str">
        <f t="shared" si="113"/>
        <v>citit</v>
      </c>
      <c r="AL173" s="175">
        <f>AJ173+AQ173</f>
        <v>151215</v>
      </c>
      <c r="AM173" s="159" t="s">
        <v>917</v>
      </c>
      <c r="AN173" s="154">
        <f t="shared" si="160"/>
        <v>11465</v>
      </c>
      <c r="AO173" s="14">
        <f t="shared" si="126"/>
        <v>0</v>
      </c>
      <c r="AP173" s="147">
        <f t="shared" si="127"/>
        <v>0</v>
      </c>
      <c r="AQ173" s="147">
        <f t="shared" si="128"/>
        <v>159</v>
      </c>
      <c r="AR173" s="16">
        <v>0</v>
      </c>
      <c r="AS173" s="16">
        <v>0</v>
      </c>
      <c r="AT173" s="1">
        <f t="shared" si="129"/>
        <v>0</v>
      </c>
      <c r="AU173" s="154">
        <f t="shared" si="130"/>
        <v>0</v>
      </c>
      <c r="AV173" s="154">
        <f t="shared" si="131"/>
        <v>0</v>
      </c>
      <c r="AW173" s="154">
        <f t="shared" si="132"/>
        <v>81</v>
      </c>
      <c r="AX173" s="154">
        <f t="shared" si="133"/>
        <v>78</v>
      </c>
      <c r="AY173" s="308" t="str">
        <f t="shared" si="161"/>
        <v>RN10_Sighisoara</v>
      </c>
      <c r="AZ173" s="308">
        <f t="shared" si="115"/>
        <v>11465</v>
      </c>
      <c r="BA173" s="309">
        <f>VLOOKUP(AY173,$B$4:$AZ$68,45,FALSE)</f>
        <v>0</v>
      </c>
      <c r="BB173" s="153">
        <v>0</v>
      </c>
      <c r="BC173" s="309">
        <f>VLOOKUP(AY173,$B$4:$AZ$68,46,FALSE)</f>
        <v>0</v>
      </c>
      <c r="BD173" s="153">
        <v>0</v>
      </c>
      <c r="BE173" s="309">
        <f>VLOOKUP(AY173,$B$4:$AZ$68,47,FALSE)</f>
        <v>0</v>
      </c>
      <c r="BF173" s="153">
        <v>0</v>
      </c>
      <c r="BG173" s="309">
        <f>VLOOKUP(AY173,$B$4:$AZ$68,48,FALSE)</f>
        <v>81</v>
      </c>
      <c r="BH173" s="153">
        <v>0</v>
      </c>
      <c r="BI173" s="309">
        <f>VLOOKUP(AY173,$B$4:$AZ$68,49,FALSE)</f>
        <v>78</v>
      </c>
      <c r="BJ173" s="153">
        <v>0</v>
      </c>
      <c r="BP173" s="44">
        <f t="shared" si="139"/>
        <v>0</v>
      </c>
      <c r="BQ173" s="1">
        <v>0</v>
      </c>
      <c r="BR173" s="1">
        <v>0</v>
      </c>
      <c r="BS173" s="16">
        <f t="shared" si="156"/>
        <v>0</v>
      </c>
      <c r="BT173" s="16">
        <f t="shared" si="157"/>
        <v>0</v>
      </c>
      <c r="BU173" s="16">
        <f t="shared" si="158"/>
        <v>81</v>
      </c>
      <c r="BV173" s="16">
        <f t="shared" si="159"/>
        <v>78</v>
      </c>
      <c r="BX173" s="1" t="str">
        <f t="shared" si="106"/>
        <v/>
      </c>
      <c r="BY173" s="1">
        <f t="shared" si="107"/>
        <v>0</v>
      </c>
      <c r="BZ173" s="1">
        <f>IF(LEFT(B173,4)&lt;&gt;LEFT(B172,4),BQ173,BQ173+BZ172)</f>
        <v>0</v>
      </c>
      <c r="CA173" s="1">
        <f>IF(LEFT(B173,4)&lt;&gt;LEFT(B172,4),BR173,BR173+CA172)</f>
        <v>0</v>
      </c>
      <c r="CB173" s="1">
        <f>IF(LEFT(B173,4)&lt;&gt;LEFT(B172,4),BS173,BS173+CB172)</f>
        <v>0</v>
      </c>
      <c r="CC173" s="1">
        <f>IF(LEFT(B173,4)&lt;&gt;LEFT(B172,4),BT173,BT173+CC172)</f>
        <v>1</v>
      </c>
      <c r="CD173" s="1">
        <f>IF(LEFT(B173,4)&lt;&gt;LEFT(B172,4),BU173,BU173+CD172)</f>
        <v>91</v>
      </c>
      <c r="CE173" s="1">
        <f>IF(LEFT(B173,4)&lt;&gt;LEFT(B172,4),BV173,BV173+CE172)</f>
        <v>92</v>
      </c>
      <c r="CR173" s="256" t="s">
        <v>1231</v>
      </c>
      <c r="CS173" s="311">
        <v>2738</v>
      </c>
      <c r="CT173" s="291">
        <v>0</v>
      </c>
      <c r="CU173" s="291">
        <v>0</v>
      </c>
      <c r="CV173" s="291">
        <v>0</v>
      </c>
      <c r="CW173" s="256" t="s">
        <v>1268</v>
      </c>
      <c r="CX173" s="315">
        <v>2738</v>
      </c>
      <c r="CY173" s="184">
        <v>0</v>
      </c>
      <c r="CZ173" s="88">
        <v>0</v>
      </c>
      <c r="DA173" s="88">
        <v>0</v>
      </c>
      <c r="DB173" s="29" t="s">
        <v>69</v>
      </c>
      <c r="DC173" s="87">
        <v>0</v>
      </c>
      <c r="DD173" s="88">
        <v>0</v>
      </c>
      <c r="DE173" s="88">
        <v>0</v>
      </c>
      <c r="DF173" s="88">
        <v>0</v>
      </c>
      <c r="DG173" s="88">
        <v>2738</v>
      </c>
      <c r="DH173" s="88">
        <v>0</v>
      </c>
      <c r="DI173" s="321">
        <v>0</v>
      </c>
      <c r="DJ173" s="88">
        <v>0</v>
      </c>
    </row>
    <row r="174" spans="1:114" ht="17.25" thickTop="1" thickBot="1">
      <c r="A174" s="531">
        <f t="shared" si="120"/>
        <v>171</v>
      </c>
      <c r="B174" s="149" t="s">
        <v>1279</v>
      </c>
      <c r="C174" s="17" t="s">
        <v>1251</v>
      </c>
      <c r="D174" s="17">
        <v>1369358824</v>
      </c>
      <c r="E174" s="142" t="str">
        <f t="shared" si="121"/>
        <v>RN10</v>
      </c>
      <c r="F174" s="16">
        <v>249409</v>
      </c>
      <c r="G174" s="16">
        <v>254554</v>
      </c>
      <c r="H174" s="16">
        <v>0</v>
      </c>
      <c r="I174" s="16">
        <v>0</v>
      </c>
      <c r="J174" s="16">
        <v>36513</v>
      </c>
      <c r="K174" s="16">
        <v>36513</v>
      </c>
      <c r="L174" s="16">
        <v>53590</v>
      </c>
      <c r="M174" s="16">
        <v>53590</v>
      </c>
      <c r="N174" s="12" t="s">
        <v>917</v>
      </c>
      <c r="O174" s="12" t="s">
        <v>1019</v>
      </c>
      <c r="P174" s="12" t="s">
        <v>917</v>
      </c>
      <c r="Q174" s="12" t="s">
        <v>917</v>
      </c>
      <c r="R174" s="12" t="s">
        <v>917</v>
      </c>
      <c r="S174" s="12" t="s">
        <v>1019</v>
      </c>
      <c r="T174" s="12" t="s">
        <v>917</v>
      </c>
      <c r="U174" s="12" t="s">
        <v>1019</v>
      </c>
      <c r="V174" s="261">
        <v>5145</v>
      </c>
      <c r="W174" s="261">
        <v>0</v>
      </c>
      <c r="X174" s="261">
        <v>0</v>
      </c>
      <c r="Y174" s="262">
        <v>0</v>
      </c>
      <c r="Z174" s="171">
        <f t="shared" si="108"/>
        <v>249409</v>
      </c>
      <c r="AA174" s="130" t="str">
        <f t="shared" si="109"/>
        <v>citit</v>
      </c>
      <c r="AB174" s="176">
        <f t="shared" si="122"/>
        <v>254554</v>
      </c>
      <c r="AC174" s="12" t="s">
        <v>917</v>
      </c>
      <c r="AD174" s="260">
        <f t="shared" si="155"/>
        <v>0</v>
      </c>
      <c r="AE174" s="260">
        <f t="shared" si="155"/>
        <v>0</v>
      </c>
      <c r="AF174" s="12">
        <f t="shared" si="155"/>
        <v>36513</v>
      </c>
      <c r="AG174" s="12" t="str">
        <f t="shared" si="111"/>
        <v>citit</v>
      </c>
      <c r="AH174" s="176">
        <f>AF174+AP174</f>
        <v>36513</v>
      </c>
      <c r="AI174" s="12" t="s">
        <v>917</v>
      </c>
      <c r="AJ174" s="12">
        <f t="shared" si="112"/>
        <v>53590</v>
      </c>
      <c r="AK174" s="12" t="str">
        <f t="shared" si="113"/>
        <v>citit</v>
      </c>
      <c r="AL174" s="175">
        <f>AJ174+AQ174</f>
        <v>53590</v>
      </c>
      <c r="AM174" s="159" t="s">
        <v>917</v>
      </c>
      <c r="AN174" s="154">
        <f t="shared" si="160"/>
        <v>5145</v>
      </c>
      <c r="AO174" s="14">
        <f t="shared" si="126"/>
        <v>0</v>
      </c>
      <c r="AP174" s="147">
        <f t="shared" si="127"/>
        <v>0</v>
      </c>
      <c r="AQ174" s="147">
        <f t="shared" si="128"/>
        <v>0</v>
      </c>
      <c r="AR174" s="16">
        <v>0</v>
      </c>
      <c r="AS174" s="16">
        <v>0</v>
      </c>
      <c r="AT174" s="1">
        <f t="shared" si="129"/>
        <v>0</v>
      </c>
      <c r="AU174" s="154">
        <f t="shared" si="130"/>
        <v>0</v>
      </c>
      <c r="AV174" s="154">
        <f t="shared" si="131"/>
        <v>0</v>
      </c>
      <c r="AW174" s="154">
        <f t="shared" si="132"/>
        <v>0</v>
      </c>
      <c r="AX174" s="154">
        <f t="shared" si="133"/>
        <v>0</v>
      </c>
      <c r="AY174" s="308" t="str">
        <f t="shared" si="161"/>
        <v>RN10_Alexandria</v>
      </c>
      <c r="AZ174" s="308">
        <f t="shared" si="115"/>
        <v>5145</v>
      </c>
      <c r="BA174" s="309">
        <f>VLOOKUP(AY174,$B$4:$AZ$68,45,FALSE)</f>
        <v>0</v>
      </c>
      <c r="BB174" s="153">
        <v>0</v>
      </c>
      <c r="BC174" s="309">
        <f>VLOOKUP(AY174,$B$4:$AZ$68,46,FALSE)</f>
        <v>0</v>
      </c>
      <c r="BD174" s="153">
        <v>0</v>
      </c>
      <c r="BE174" s="309">
        <f>VLOOKUP(AY174,$B$4:$AZ$68,47,FALSE)</f>
        <v>0</v>
      </c>
      <c r="BF174" s="153">
        <v>0</v>
      </c>
      <c r="BG174" s="309">
        <f>VLOOKUP(AY174,$B$4:$AZ$68,48,FALSE)</f>
        <v>0</v>
      </c>
      <c r="BH174" s="153">
        <v>0</v>
      </c>
      <c r="BI174" s="309">
        <f>VLOOKUP(AY174,$B$4:$AZ$68,49,FALSE)</f>
        <v>0</v>
      </c>
      <c r="BJ174" s="153">
        <v>0</v>
      </c>
      <c r="BP174" s="44">
        <f t="shared" si="139"/>
        <v>0</v>
      </c>
      <c r="BQ174" s="1">
        <v>0</v>
      </c>
      <c r="BR174" s="1">
        <v>0</v>
      </c>
      <c r="BS174" s="16">
        <f t="shared" si="156"/>
        <v>0</v>
      </c>
      <c r="BT174" s="16">
        <f t="shared" si="157"/>
        <v>0</v>
      </c>
      <c r="BU174" s="16">
        <f t="shared" si="158"/>
        <v>0</v>
      </c>
      <c r="BV174" s="16">
        <f t="shared" si="159"/>
        <v>0</v>
      </c>
      <c r="BX174" s="1" t="str">
        <f t="shared" si="106"/>
        <v/>
      </c>
      <c r="BY174" s="1">
        <f t="shared" si="107"/>
        <v>0</v>
      </c>
      <c r="BZ174" s="1">
        <f>IF(LEFT(B174,4)&lt;&gt;LEFT(B173,4),BQ174,BQ174+BZ173)</f>
        <v>0</v>
      </c>
      <c r="CA174" s="1">
        <f>IF(LEFT(B174,4)&lt;&gt;LEFT(B173,4),BR174,BR174+CA173)</f>
        <v>0</v>
      </c>
      <c r="CB174" s="1">
        <f>IF(LEFT(B174,4)&lt;&gt;LEFT(B173,4),BS174,BS174+CB173)</f>
        <v>0</v>
      </c>
      <c r="CC174" s="1">
        <f>IF(LEFT(B174,4)&lt;&gt;LEFT(B173,4),BT174,BT174+CC173)</f>
        <v>1</v>
      </c>
      <c r="CD174" s="1">
        <f>IF(LEFT(B174,4)&lt;&gt;LEFT(B173,4),BU174,BU174+CD173)</f>
        <v>91</v>
      </c>
      <c r="CE174" s="1">
        <f>IF(LEFT(B174,4)&lt;&gt;LEFT(B173,4),BV174,BV174+CE173)</f>
        <v>92</v>
      </c>
      <c r="CR174" s="256" t="s">
        <v>1231</v>
      </c>
      <c r="CS174" s="311">
        <v>628</v>
      </c>
      <c r="CT174" s="291">
        <v>0</v>
      </c>
      <c r="CU174" s="291">
        <v>0</v>
      </c>
      <c r="CV174" s="291">
        <v>0</v>
      </c>
      <c r="CW174" s="256" t="s">
        <v>1269</v>
      </c>
      <c r="CX174" s="315">
        <v>628</v>
      </c>
      <c r="CY174" s="184">
        <v>0</v>
      </c>
      <c r="CZ174" s="88">
        <v>0</v>
      </c>
      <c r="DA174" s="88">
        <v>0</v>
      </c>
      <c r="DB174" s="29" t="s">
        <v>69</v>
      </c>
      <c r="DC174" s="87">
        <v>0</v>
      </c>
      <c r="DD174" s="88">
        <v>0</v>
      </c>
      <c r="DE174" s="88">
        <v>0</v>
      </c>
      <c r="DF174" s="88">
        <v>0</v>
      </c>
      <c r="DG174" s="88">
        <v>628</v>
      </c>
      <c r="DH174" s="88">
        <v>0</v>
      </c>
      <c r="DI174" s="321">
        <v>0</v>
      </c>
      <c r="DJ174" s="88">
        <v>0</v>
      </c>
    </row>
    <row r="175" spans="1:114" ht="17.25" thickTop="1" thickBot="1">
      <c r="A175" s="531">
        <f t="shared" si="120"/>
        <v>172</v>
      </c>
      <c r="B175" s="149" t="s">
        <v>1283</v>
      </c>
      <c r="C175" s="17" t="s">
        <v>1247</v>
      </c>
      <c r="D175" s="17">
        <v>1371869788</v>
      </c>
      <c r="E175" s="142" t="str">
        <f t="shared" si="121"/>
        <v>RN10</v>
      </c>
      <c r="F175" s="16">
        <v>185980</v>
      </c>
      <c r="G175" s="16">
        <v>189874</v>
      </c>
      <c r="H175" s="16">
        <v>0</v>
      </c>
      <c r="I175" s="16">
        <v>0</v>
      </c>
      <c r="J175" s="16">
        <v>1195</v>
      </c>
      <c r="K175" s="16">
        <v>1195</v>
      </c>
      <c r="L175" s="16">
        <v>61875</v>
      </c>
      <c r="M175" s="16">
        <v>61875</v>
      </c>
      <c r="N175" s="12" t="s">
        <v>917</v>
      </c>
      <c r="O175" s="12" t="s">
        <v>1019</v>
      </c>
      <c r="P175" s="12" t="s">
        <v>917</v>
      </c>
      <c r="Q175" s="12" t="s">
        <v>917</v>
      </c>
      <c r="R175" s="12" t="s">
        <v>917</v>
      </c>
      <c r="S175" s="12" t="s">
        <v>1019</v>
      </c>
      <c r="T175" s="12" t="s">
        <v>917</v>
      </c>
      <c r="U175" s="12" t="s">
        <v>1019</v>
      </c>
      <c r="V175" s="261">
        <v>3894</v>
      </c>
      <c r="W175" s="261">
        <v>0</v>
      </c>
      <c r="X175" s="261">
        <v>0</v>
      </c>
      <c r="Y175" s="262">
        <v>0</v>
      </c>
      <c r="Z175" s="171">
        <f t="shared" si="108"/>
        <v>185980</v>
      </c>
      <c r="AA175" s="130" t="str">
        <f t="shared" si="109"/>
        <v>citit</v>
      </c>
      <c r="AB175" s="176">
        <f t="shared" si="122"/>
        <v>189874</v>
      </c>
      <c r="AC175" s="12" t="s">
        <v>917</v>
      </c>
      <c r="AD175" s="260">
        <f t="shared" si="155"/>
        <v>0</v>
      </c>
      <c r="AE175" s="260">
        <f t="shared" si="155"/>
        <v>0</v>
      </c>
      <c r="AF175" s="12">
        <f t="shared" si="155"/>
        <v>1195</v>
      </c>
      <c r="AG175" s="12" t="str">
        <f t="shared" si="111"/>
        <v>citit</v>
      </c>
      <c r="AH175" s="176">
        <f t="shared" si="123"/>
        <v>1195</v>
      </c>
      <c r="AI175" s="12" t="s">
        <v>917</v>
      </c>
      <c r="AJ175" s="12">
        <f t="shared" si="112"/>
        <v>61875</v>
      </c>
      <c r="AK175" s="12" t="str">
        <f t="shared" si="113"/>
        <v>citit</v>
      </c>
      <c r="AL175" s="175">
        <f t="shared" si="124"/>
        <v>62751</v>
      </c>
      <c r="AM175" s="159" t="s">
        <v>917</v>
      </c>
      <c r="AN175" s="154">
        <f t="shared" si="160"/>
        <v>3894</v>
      </c>
      <c r="AO175" s="14">
        <f t="shared" si="126"/>
        <v>0</v>
      </c>
      <c r="AP175" s="147">
        <f t="shared" si="127"/>
        <v>0</v>
      </c>
      <c r="AQ175" s="147">
        <f t="shared" si="128"/>
        <v>876</v>
      </c>
      <c r="AR175" s="16">
        <v>0</v>
      </c>
      <c r="AS175" s="16">
        <v>0</v>
      </c>
      <c r="AT175" s="1">
        <f t="shared" si="129"/>
        <v>0</v>
      </c>
      <c r="AU175" s="154">
        <f t="shared" si="130"/>
        <v>0</v>
      </c>
      <c r="AV175" s="154">
        <f t="shared" si="131"/>
        <v>0</v>
      </c>
      <c r="AW175" s="154">
        <f t="shared" si="132"/>
        <v>719</v>
      </c>
      <c r="AX175" s="154">
        <f t="shared" si="133"/>
        <v>157</v>
      </c>
      <c r="AY175" s="308" t="str">
        <f t="shared" si="161"/>
        <v>-</v>
      </c>
      <c r="AZ175" s="308">
        <f t="shared" si="115"/>
        <v>3894</v>
      </c>
      <c r="BA175" s="310">
        <f>IFERROR(IF(_xlfn.NUMBERVALUE(RIGHT(B175,1))=COUNTIF('Contorizare in SDI'!$B:$B,LEFT(B175,LEN(B175)-2))-1,IF((COUNTIF('Contorizare in SDI'!$B:$B,LEFT(B175,LEN(B175)-2))-1)=1,VLOOKUP(LEFT(B175,LEN(B175)-2),$B$4:$AZ$68,45,FALSE),VLOOKUP(LEFT(B175,LEN(B175)-2),$B$4:$AZ$68,45,FALSE)-BB174),ROUNDUP(V175/VLOOKUP(LEFT(B175,LEN(B175)-2),$AY:$AZ,2,FALSE)*VLOOKUP(LEFT(B175,LEN(B175)-2),$B$4:$AZ$68,45,FALSE),0)),0)</f>
        <v>0</v>
      </c>
      <c r="BB175" s="310">
        <f t="shared" si="134"/>
        <v>0</v>
      </c>
      <c r="BC175" s="310">
        <f>IFERROR(IF(_xlfn.NUMBERVALUE(RIGHT(B175,1))=COUNTIF('Contorizare in SDI'!$B:$B,LEFT(B175,LEN(B175)-2))-1,IF((COUNTIF('Contorizare in SDI'!$B:$B,LEFT(B175,LEN(B175)-2))-1)=1,VLOOKUP(LEFT(B175,LEN(B175)-2),$B$4:$AZ$68,46,FALSE),VLOOKUP(LEFT(B175,LEN(B175)-2),$B$4:$AZ$68,46,FALSE)-BD174),ROUNDUP(V175/VLOOKUP(LEFT(B175,LEN(B175)-2),$AY:$AZ,2,FALSE)*VLOOKUP(LEFT(B175,LEN(B175)-2),$B$4:$AZ$68,46,FALSE),0)),0)</f>
        <v>0</v>
      </c>
      <c r="BD175" s="310">
        <f t="shared" si="135"/>
        <v>0</v>
      </c>
      <c r="BE175" s="310">
        <f>IFERROR(IF(_xlfn.NUMBERVALUE(RIGHT(B175,1))=COUNTIF('Contorizare in SDI'!$B:$B,LEFT(B175,LEN(B175)-2))-1,IF((COUNTIF('Contorizare in SDI'!$B:$B,LEFT(B175,LEN(B175)-2))-1)=1,VLOOKUP(LEFT(B175,LEN(B175)-2),$B$4:$AZ$68,47,FALSE),VLOOKUP(LEFT(B175,LEN(B175)-2),$B$4:$AZ$68,47,FALSE)-BF174),ROUNDUP(V175/VLOOKUP(LEFT(B175,LEN(B175)-2),$AY:$AZ,2,FALSE)*VLOOKUP(LEFT(B175,LEN(B175)-2),$B$4:$AZ$68,47,FALSE),0)),0)</f>
        <v>0</v>
      </c>
      <c r="BF175" s="310">
        <f t="shared" si="136"/>
        <v>0</v>
      </c>
      <c r="BG175" s="310">
        <f>IFERROR(IF(_xlfn.NUMBERVALUE(RIGHT(B175,1))=COUNTIF('Contorizare in SDI'!$B:$B,LEFT(B175,LEN(B175)-2))-1,IF((COUNTIF('Contorizare in SDI'!$B:$B,LEFT(B175,LEN(B175)-2))-1)=1,VLOOKUP(LEFT(B175,LEN(B175)-2),$B$4:$AZ$68,48,FALSE),VLOOKUP(LEFT(B175,LEN(B175)-2),$B$4:$AZ$68,48,FALSE)-BH174),ROUNDUP(V175/VLOOKUP(LEFT(B175,LEN(B175)-2),$AY:$AZ,2,FALSE)*VLOOKUP(LEFT(B175,LEN(B175)-2),$B$4:$AZ$68,48,FALSE),0)),0)</f>
        <v>719</v>
      </c>
      <c r="BH175" s="310">
        <f t="shared" si="137"/>
        <v>719</v>
      </c>
      <c r="BI175" s="310">
        <f>IFERROR(IF(_xlfn.NUMBERVALUE(RIGHT(B175,1))=COUNTIF('Contorizare in SDI'!$B:$B,LEFT(B175,LEN(B175)-2))-1,IF((COUNTIF('Contorizare in SDI'!$B:$B,LEFT(B175,LEN(B175)-2))-1)=1,VLOOKUP(LEFT(B175,LEN(B175)-2),$B$4:$AZ$68,49,FALSE),VLOOKUP(LEFT(B175,LEN(B175)-2),$B$4:$AZ$68,49,FALSE)-BJ174),ROUNDUP(V175/VLOOKUP(LEFT(B175,LEN(B175)-2),$AY:$AZ,2,FALSE)*VLOOKUP(LEFT(B175,LEN(B175)-2),$B$4:$AZ$68,49,FALSE),0)),0)</f>
        <v>157</v>
      </c>
      <c r="BJ175" s="310">
        <f t="shared" si="138"/>
        <v>157</v>
      </c>
      <c r="BP175" s="44">
        <f t="shared" si="139"/>
        <v>0</v>
      </c>
      <c r="BQ175" s="1">
        <v>0</v>
      </c>
      <c r="BR175" s="1">
        <v>0</v>
      </c>
      <c r="BS175" s="16">
        <f t="shared" si="156"/>
        <v>0</v>
      </c>
      <c r="BT175" s="16">
        <f t="shared" si="157"/>
        <v>0</v>
      </c>
      <c r="BU175" s="16">
        <f t="shared" si="158"/>
        <v>719</v>
      </c>
      <c r="BV175" s="16">
        <f t="shared" si="159"/>
        <v>157</v>
      </c>
      <c r="BX175" s="1" t="str">
        <f t="shared" si="106"/>
        <v/>
      </c>
      <c r="BY175" s="1">
        <f t="shared" si="107"/>
        <v>0</v>
      </c>
      <c r="BZ175" s="1">
        <f>IF(LEFT(B175,4)&lt;&gt;LEFT(B171,4),BQ175,BQ175+BZ171)</f>
        <v>0</v>
      </c>
      <c r="CA175" s="1">
        <f>IF(LEFT(B175,4)&lt;&gt;LEFT(B171,4),BR175,BR175+CA171)</f>
        <v>0</v>
      </c>
      <c r="CB175" s="1">
        <f>IF(LEFT(B175,4)&lt;&gt;LEFT(B171,4),BS175,BS175+CB171)</f>
        <v>8</v>
      </c>
      <c r="CC175" s="1">
        <f>IF(LEFT(B175,4)&lt;&gt;LEFT(B171,4),BT175,BT175+CC171)</f>
        <v>4</v>
      </c>
      <c r="CD175" s="1">
        <f>IF(LEFT(B175,4)&lt;&gt;LEFT(B171,4),BU175,BU175+CD171)</f>
        <v>811</v>
      </c>
      <c r="CE175" s="1">
        <f>IF(LEFT(B175,4)&lt;&gt;LEFT(B171,4),BV175,BV175+CE171)</f>
        <v>249</v>
      </c>
      <c r="CR175" s="256" t="s">
        <v>1231</v>
      </c>
      <c r="CS175" s="311">
        <v>0</v>
      </c>
      <c r="CT175" s="291">
        <v>0</v>
      </c>
      <c r="CU175" s="291">
        <v>0</v>
      </c>
      <c r="CV175" s="291">
        <v>0</v>
      </c>
      <c r="CW175" s="256" t="s">
        <v>1270</v>
      </c>
      <c r="CX175" s="315">
        <v>0</v>
      </c>
      <c r="CY175" s="184">
        <v>0</v>
      </c>
      <c r="CZ175" s="88">
        <v>0</v>
      </c>
      <c r="DA175" s="88">
        <v>0</v>
      </c>
      <c r="DB175" s="29" t="s">
        <v>69</v>
      </c>
      <c r="DC175" s="87">
        <v>0</v>
      </c>
      <c r="DD175" s="88">
        <v>0</v>
      </c>
      <c r="DE175" s="88">
        <v>0</v>
      </c>
      <c r="DF175" s="88">
        <v>0</v>
      </c>
      <c r="DG175" s="88">
        <v>0</v>
      </c>
      <c r="DH175" s="88">
        <v>0</v>
      </c>
      <c r="DI175" s="321">
        <v>0</v>
      </c>
      <c r="DJ175" s="88">
        <v>0</v>
      </c>
    </row>
    <row r="176" spans="1:114" ht="17.25" thickTop="1" thickBot="1">
      <c r="A176" s="531">
        <f t="shared" si="120"/>
        <v>173</v>
      </c>
      <c r="B176" s="149" t="s">
        <v>1285</v>
      </c>
      <c r="C176" s="17" t="s">
        <v>1248</v>
      </c>
      <c r="D176" s="17">
        <v>1371870726</v>
      </c>
      <c r="E176" s="142" t="str">
        <f t="shared" si="121"/>
        <v>RN10</v>
      </c>
      <c r="F176" s="16">
        <v>508154</v>
      </c>
      <c r="G176" s="16">
        <v>523514</v>
      </c>
      <c r="H176" s="16">
        <v>0</v>
      </c>
      <c r="I176" s="16">
        <v>0</v>
      </c>
      <c r="J176" s="16">
        <v>26</v>
      </c>
      <c r="K176" s="16">
        <v>26</v>
      </c>
      <c r="L176" s="16">
        <v>86038</v>
      </c>
      <c r="M176" s="16">
        <v>86038</v>
      </c>
      <c r="N176" s="12" t="s">
        <v>917</v>
      </c>
      <c r="O176" s="12" t="s">
        <v>1019</v>
      </c>
      <c r="P176" s="12" t="s">
        <v>917</v>
      </c>
      <c r="Q176" s="12" t="s">
        <v>917</v>
      </c>
      <c r="R176" s="12" t="s">
        <v>917</v>
      </c>
      <c r="S176" s="12" t="s">
        <v>1019</v>
      </c>
      <c r="T176" s="12" t="s">
        <v>917</v>
      </c>
      <c r="U176" s="12" t="s">
        <v>1019</v>
      </c>
      <c r="V176" s="261">
        <v>15360</v>
      </c>
      <c r="W176" s="261">
        <v>0</v>
      </c>
      <c r="X176" s="261">
        <v>0</v>
      </c>
      <c r="Y176" s="262">
        <v>0</v>
      </c>
      <c r="Z176" s="171">
        <f t="shared" si="108"/>
        <v>508154</v>
      </c>
      <c r="AA176" s="130" t="str">
        <f t="shared" si="109"/>
        <v>citit</v>
      </c>
      <c r="AB176" s="176">
        <f t="shared" si="122"/>
        <v>523514</v>
      </c>
      <c r="AC176" s="12" t="s">
        <v>917</v>
      </c>
      <c r="AD176" s="260">
        <f t="shared" si="155"/>
        <v>0</v>
      </c>
      <c r="AE176" s="260">
        <f t="shared" si="155"/>
        <v>0</v>
      </c>
      <c r="AF176" s="12">
        <f t="shared" si="155"/>
        <v>26</v>
      </c>
      <c r="AG176" s="12" t="str">
        <f t="shared" si="111"/>
        <v>citit</v>
      </c>
      <c r="AH176" s="176">
        <f t="shared" si="123"/>
        <v>26</v>
      </c>
      <c r="AI176" s="12" t="s">
        <v>917</v>
      </c>
      <c r="AJ176" s="12">
        <f t="shared" si="112"/>
        <v>86038</v>
      </c>
      <c r="AK176" s="12" t="str">
        <f t="shared" si="113"/>
        <v>citit</v>
      </c>
      <c r="AL176" s="175">
        <f t="shared" si="124"/>
        <v>89487</v>
      </c>
      <c r="AM176" s="159" t="s">
        <v>917</v>
      </c>
      <c r="AN176" s="154">
        <f t="shared" si="160"/>
        <v>15360</v>
      </c>
      <c r="AO176" s="14">
        <f t="shared" si="126"/>
        <v>0</v>
      </c>
      <c r="AP176" s="147">
        <f t="shared" si="127"/>
        <v>0</v>
      </c>
      <c r="AQ176" s="147">
        <f t="shared" si="128"/>
        <v>3449</v>
      </c>
      <c r="AR176" s="16">
        <v>0</v>
      </c>
      <c r="AS176" s="16">
        <v>0</v>
      </c>
      <c r="AT176" s="1">
        <f t="shared" si="129"/>
        <v>0</v>
      </c>
      <c r="AU176" s="154">
        <f t="shared" si="130"/>
        <v>0</v>
      </c>
      <c r="AV176" s="154">
        <f t="shared" si="131"/>
        <v>0</v>
      </c>
      <c r="AW176" s="154">
        <f t="shared" si="132"/>
        <v>2834</v>
      </c>
      <c r="AX176" s="154">
        <f t="shared" si="133"/>
        <v>615</v>
      </c>
      <c r="AY176" s="308" t="str">
        <f t="shared" si="161"/>
        <v>RN10_Vaslui</v>
      </c>
      <c r="AZ176" s="308">
        <f t="shared" si="115"/>
        <v>19254</v>
      </c>
      <c r="BA176" s="310">
        <f>IFERROR(IF(_xlfn.NUMBERVALUE(RIGHT(B176,1))=COUNTIF('Contorizare in SDI'!$B:$B,LEFT(B176,LEN(B176)-2))-1,IF((COUNTIF('Contorizare in SDI'!$B:$B,LEFT(B176,LEN(B176)-2))-1)=1,VLOOKUP(LEFT(B176,LEN(B176)-2),$B$4:$AZ$68,45,FALSE),VLOOKUP(LEFT(B176,LEN(B176)-2),$B$4:$AZ$68,45,FALSE)-BB175),ROUNDUP(V176/VLOOKUP(LEFT(B176,LEN(B176)-2),$AY:$AZ,2,FALSE)*VLOOKUP(LEFT(B176,LEN(B176)-2),$B$4:$AZ$68,45,FALSE),0)),0)</f>
        <v>0</v>
      </c>
      <c r="BB176" s="310">
        <f t="shared" si="134"/>
        <v>0</v>
      </c>
      <c r="BC176" s="310">
        <f>IFERROR(IF(_xlfn.NUMBERVALUE(RIGHT(B176,1))=COUNTIF('Contorizare in SDI'!$B:$B,LEFT(B176,LEN(B176)-2))-1,IF((COUNTIF('Contorizare in SDI'!$B:$B,LEFT(B176,LEN(B176)-2))-1)=1,VLOOKUP(LEFT(B176,LEN(B176)-2),$B$4:$AZ$68,46,FALSE),VLOOKUP(LEFT(B176,LEN(B176)-2),$B$4:$AZ$68,46,FALSE)-BD175),ROUNDUP(V176/VLOOKUP(LEFT(B176,LEN(B176)-2),$AY:$AZ,2,FALSE)*VLOOKUP(LEFT(B176,LEN(B176)-2),$B$4:$AZ$68,46,FALSE),0)),0)</f>
        <v>0</v>
      </c>
      <c r="BD176" s="310">
        <f t="shared" si="135"/>
        <v>0</v>
      </c>
      <c r="BE176" s="310">
        <f>IFERROR(IF(_xlfn.NUMBERVALUE(RIGHT(B176,1))=COUNTIF('Contorizare in SDI'!$B:$B,LEFT(B176,LEN(B176)-2))-1,IF((COUNTIF('Contorizare in SDI'!$B:$B,LEFT(B176,LEN(B176)-2))-1)=1,VLOOKUP(LEFT(B176,LEN(B176)-2),$B$4:$AZ$68,47,FALSE),VLOOKUP(LEFT(B176,LEN(B176)-2),$B$4:$AZ$68,47,FALSE)-BF175),ROUNDUP(V176/VLOOKUP(LEFT(B176,LEN(B176)-2),$AY:$AZ,2,FALSE)*VLOOKUP(LEFT(B176,LEN(B176)-2),$B$4:$AZ$68,47,FALSE),0)),0)</f>
        <v>0</v>
      </c>
      <c r="BF176" s="310">
        <f t="shared" si="136"/>
        <v>0</v>
      </c>
      <c r="BG176" s="310">
        <f>IFERROR(IF(_xlfn.NUMBERVALUE(RIGHT(B176,1))=COUNTIF('Contorizare in SDI'!$B:$B,LEFT(B176,LEN(B176)-2))-1,IF((COUNTIF('Contorizare in SDI'!$B:$B,LEFT(B176,LEN(B176)-2))-1)=1,VLOOKUP(LEFT(B176,LEN(B176)-2),$B$4:$AZ$68,48,FALSE),VLOOKUP(LEFT(B176,LEN(B176)-2),$B$4:$AZ$68,48,FALSE)-BH175),ROUNDUP(V176/VLOOKUP(LEFT(B176,LEN(B176)-2),$AY:$AZ,2,FALSE)*VLOOKUP(LEFT(B176,LEN(B176)-2),$B$4:$AZ$68,48,FALSE),0)),0)</f>
        <v>2834</v>
      </c>
      <c r="BH176" s="310">
        <f t="shared" si="137"/>
        <v>3553</v>
      </c>
      <c r="BI176" s="310">
        <f>IFERROR(IF(_xlfn.NUMBERVALUE(RIGHT(B176,1))=COUNTIF('Contorizare in SDI'!$B:$B,LEFT(B176,LEN(B176)-2))-1,IF((COUNTIF('Contorizare in SDI'!$B:$B,LEFT(B176,LEN(B176)-2))-1)=1,VLOOKUP(LEFT(B176,LEN(B176)-2),$B$4:$AZ$68,49,FALSE),VLOOKUP(LEFT(B176,LEN(B176)-2),$B$4:$AZ$68,49,FALSE)-BJ175),ROUNDUP(V176/VLOOKUP(LEFT(B176,LEN(B176)-2),$AY:$AZ,2,FALSE)*VLOOKUP(LEFT(B176,LEN(B176)-2),$B$4:$AZ$68,49,FALSE),0)),0)</f>
        <v>615</v>
      </c>
      <c r="BJ176" s="310">
        <f t="shared" si="138"/>
        <v>772</v>
      </c>
      <c r="BP176" s="44">
        <f t="shared" si="139"/>
        <v>0</v>
      </c>
      <c r="BQ176" s="1">
        <v>0</v>
      </c>
      <c r="BR176" s="1">
        <v>0</v>
      </c>
      <c r="BS176" s="16">
        <f t="shared" si="156"/>
        <v>0</v>
      </c>
      <c r="BT176" s="16">
        <f t="shared" si="157"/>
        <v>0</v>
      </c>
      <c r="BU176" s="16">
        <f t="shared" si="158"/>
        <v>2834</v>
      </c>
      <c r="BV176" s="16">
        <f t="shared" si="159"/>
        <v>615</v>
      </c>
      <c r="BX176" s="1" t="str">
        <f t="shared" si="106"/>
        <v/>
      </c>
      <c r="BY176" s="1">
        <f t="shared" si="107"/>
        <v>0</v>
      </c>
      <c r="BZ176" s="1">
        <f t="shared" ref="BZ176:BZ183" si="162">IF(LEFT(B176,4)&lt;&gt;LEFT(B175,4),BQ176,BQ176+BZ175)</f>
        <v>0</v>
      </c>
      <c r="CA176" s="1">
        <f t="shared" ref="CA176:CA183" si="163">IF(LEFT(B176,4)&lt;&gt;LEFT(B175,4),BR176,BR176+CA175)</f>
        <v>0</v>
      </c>
      <c r="CB176" s="1">
        <f t="shared" ref="CB176:CB183" si="164">IF(LEFT(B176,4)&lt;&gt;LEFT(B175,4),BS176,BS176+CB175)</f>
        <v>8</v>
      </c>
      <c r="CC176" s="1">
        <f t="shared" ref="CC176:CC183" si="165">IF(LEFT(B176,4)&lt;&gt;LEFT(B175,4),BT176,BT176+CC175)</f>
        <v>4</v>
      </c>
      <c r="CD176" s="1">
        <f t="shared" ref="CD176:CD183" si="166">IF(LEFT(B176,4)&lt;&gt;LEFT(B175,4),BU176,BU176+CD175)</f>
        <v>3645</v>
      </c>
      <c r="CE176" s="1">
        <f t="shared" ref="CE176:CE183" si="167">IF(LEFT(B176,4)&lt;&gt;LEFT(B175,4),BV176,BV176+CE175)</f>
        <v>864</v>
      </c>
      <c r="CR176" s="256" t="s">
        <v>1231</v>
      </c>
      <c r="CS176" s="311">
        <v>4920</v>
      </c>
      <c r="CT176" s="291">
        <v>0</v>
      </c>
      <c r="CU176" s="291">
        <v>0</v>
      </c>
      <c r="CV176" s="291">
        <v>0</v>
      </c>
      <c r="CW176" s="256" t="s">
        <v>1271</v>
      </c>
      <c r="CX176" s="315">
        <v>4920</v>
      </c>
      <c r="CY176" s="184">
        <v>0</v>
      </c>
      <c r="CZ176" s="88">
        <v>0</v>
      </c>
      <c r="DA176" s="88">
        <v>0</v>
      </c>
      <c r="DB176" s="29" t="s">
        <v>69</v>
      </c>
      <c r="DC176" s="87">
        <v>0</v>
      </c>
      <c r="DD176" s="88">
        <v>0</v>
      </c>
      <c r="DE176" s="88">
        <v>0</v>
      </c>
      <c r="DF176" s="88">
        <v>0</v>
      </c>
      <c r="DG176" s="88">
        <v>4920</v>
      </c>
      <c r="DH176" s="88">
        <v>0</v>
      </c>
      <c r="DI176" s="321">
        <v>0</v>
      </c>
      <c r="DJ176" s="88">
        <v>0</v>
      </c>
    </row>
    <row r="177" spans="1:97" ht="17.25" thickTop="1" thickBot="1">
      <c r="A177" s="531">
        <f t="shared" si="120"/>
        <v>174</v>
      </c>
      <c r="B177" s="149" t="s">
        <v>1266</v>
      </c>
      <c r="C177" s="251" t="s">
        <v>1241</v>
      </c>
      <c r="D177" s="17" t="s">
        <v>1426</v>
      </c>
      <c r="E177" s="142">
        <v>20</v>
      </c>
      <c r="F177" s="16">
        <v>511</v>
      </c>
      <c r="G177" s="16">
        <v>709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2" t="s">
        <v>917</v>
      </c>
      <c r="O177" s="12" t="s">
        <v>1019</v>
      </c>
      <c r="P177" s="12" t="s">
        <v>917</v>
      </c>
      <c r="Q177" s="12" t="s">
        <v>917</v>
      </c>
      <c r="R177" s="12" t="s">
        <v>917</v>
      </c>
      <c r="S177" s="12" t="s">
        <v>1019</v>
      </c>
      <c r="T177" s="12" t="s">
        <v>917</v>
      </c>
      <c r="U177" s="12" t="s">
        <v>1019</v>
      </c>
      <c r="V177" s="261">
        <v>3960</v>
      </c>
      <c r="W177" s="261">
        <v>0</v>
      </c>
      <c r="X177" s="261">
        <v>0</v>
      </c>
      <c r="Y177" s="262">
        <v>0</v>
      </c>
      <c r="Z177" s="171">
        <f t="shared" si="108"/>
        <v>511</v>
      </c>
      <c r="AA177" s="130" t="str">
        <f t="shared" si="109"/>
        <v>citit</v>
      </c>
      <c r="AB177" s="176">
        <f>Z177+AN177/E177</f>
        <v>800</v>
      </c>
      <c r="AC177" s="12" t="s">
        <v>917</v>
      </c>
      <c r="AD177" s="260">
        <f t="shared" si="155"/>
        <v>0</v>
      </c>
      <c r="AE177" s="260">
        <f t="shared" si="155"/>
        <v>0</v>
      </c>
      <c r="AF177" s="12">
        <f t="shared" si="155"/>
        <v>0</v>
      </c>
      <c r="AG177" s="12" t="str">
        <f t="shared" si="111"/>
        <v>citit</v>
      </c>
      <c r="AH177" s="176">
        <f t="shared" ref="AH177:AH182" si="168">AF177+ROUND(AP177/E177,2)</f>
        <v>0</v>
      </c>
      <c r="AI177" s="12" t="s">
        <v>917</v>
      </c>
      <c r="AJ177" s="12">
        <f t="shared" si="112"/>
        <v>0</v>
      </c>
      <c r="AK177" s="12" t="str">
        <f t="shared" si="113"/>
        <v>citit</v>
      </c>
      <c r="AL177" s="175">
        <f t="shared" ref="AL177:AL182" si="169">AJ177+ROUND(AQ177/E177,2)</f>
        <v>0</v>
      </c>
      <c r="AM177" s="159" t="s">
        <v>917</v>
      </c>
      <c r="AN177" s="154">
        <f t="shared" si="160"/>
        <v>5780</v>
      </c>
      <c r="AO177" s="14">
        <f t="shared" si="126"/>
        <v>0</v>
      </c>
      <c r="AP177" s="147">
        <f t="shared" si="127"/>
        <v>0</v>
      </c>
      <c r="AQ177" s="147">
        <f t="shared" si="128"/>
        <v>0</v>
      </c>
      <c r="AR177" s="16">
        <v>0</v>
      </c>
      <c r="AS177" s="16">
        <v>0</v>
      </c>
      <c r="AT177" s="1">
        <f t="shared" si="129"/>
        <v>1820</v>
      </c>
      <c r="AU177" s="154">
        <f t="shared" si="130"/>
        <v>0</v>
      </c>
      <c r="AV177" s="154">
        <f t="shared" si="131"/>
        <v>0</v>
      </c>
      <c r="AW177" s="154">
        <f t="shared" si="132"/>
        <v>0</v>
      </c>
      <c r="AX177" s="154">
        <f t="shared" si="133"/>
        <v>0</v>
      </c>
      <c r="AY177" s="153" t="s">
        <v>1266</v>
      </c>
      <c r="AZ177" s="308">
        <f t="shared" si="115"/>
        <v>3960</v>
      </c>
      <c r="BA177" s="309">
        <f>VLOOKUP(AY177,$B$4:$AZ$68,45,FALSE)</f>
        <v>1820</v>
      </c>
      <c r="BB177" s="153">
        <v>0</v>
      </c>
      <c r="BC177" s="309">
        <f>VLOOKUP(AY177,$B$4:$AZ$68,46,FALSE)</f>
        <v>0</v>
      </c>
      <c r="BD177" s="153">
        <v>0</v>
      </c>
      <c r="BE177" s="309">
        <f>VLOOKUP(AY177,$B$4:$AZ$68,47,FALSE)</f>
        <v>0</v>
      </c>
      <c r="BF177" s="153">
        <v>0</v>
      </c>
      <c r="BG177" s="309">
        <f>VLOOKUP(AY177,$B$4:$AZ$68,48,FALSE)</f>
        <v>0</v>
      </c>
      <c r="BH177" s="153">
        <v>0</v>
      </c>
      <c r="BI177" s="309">
        <f>VLOOKUP(AY177,$B$4:$AZ$68,49,FALSE)</f>
        <v>0</v>
      </c>
      <c r="BJ177" s="153">
        <v>0</v>
      </c>
      <c r="BP177" s="44">
        <f t="shared" si="139"/>
        <v>1820</v>
      </c>
      <c r="BQ177" s="1">
        <v>0</v>
      </c>
      <c r="BR177" s="1">
        <v>0</v>
      </c>
      <c r="BS177" s="16">
        <f t="shared" si="156"/>
        <v>0</v>
      </c>
      <c r="BT177" s="16">
        <f t="shared" si="157"/>
        <v>0</v>
      </c>
      <c r="BU177" s="16">
        <f t="shared" si="158"/>
        <v>0</v>
      </c>
      <c r="BV177" s="16">
        <f t="shared" si="159"/>
        <v>0</v>
      </c>
      <c r="BX177" s="1" t="str">
        <f t="shared" si="106"/>
        <v/>
      </c>
      <c r="BY177" s="1">
        <f t="shared" si="107"/>
        <v>1820</v>
      </c>
      <c r="BZ177" s="1">
        <f t="shared" si="162"/>
        <v>0</v>
      </c>
      <c r="CA177" s="1">
        <f t="shared" si="163"/>
        <v>0</v>
      </c>
      <c r="CB177" s="1">
        <f t="shared" si="164"/>
        <v>8</v>
      </c>
      <c r="CC177" s="1">
        <f t="shared" si="165"/>
        <v>4</v>
      </c>
      <c r="CD177" s="1">
        <f t="shared" si="166"/>
        <v>3645</v>
      </c>
      <c r="CE177" s="1">
        <f t="shared" si="167"/>
        <v>864</v>
      </c>
      <c r="CS177" s="277"/>
    </row>
    <row r="178" spans="1:97" ht="17.25" thickTop="1" thickBot="1">
      <c r="A178" s="531">
        <f t="shared" si="120"/>
        <v>175</v>
      </c>
      <c r="B178" s="149" t="s">
        <v>1267</v>
      </c>
      <c r="C178" s="251" t="s">
        <v>1242</v>
      </c>
      <c r="D178" s="17" t="s">
        <v>1230</v>
      </c>
      <c r="E178" s="142">
        <v>20</v>
      </c>
      <c r="F178" s="16">
        <v>24349.950000000004</v>
      </c>
      <c r="G178" s="16">
        <v>24528.400000000005</v>
      </c>
      <c r="H178" s="16">
        <v>0</v>
      </c>
      <c r="I178" s="16">
        <v>0</v>
      </c>
      <c r="J178" s="16">
        <v>3528.93</v>
      </c>
      <c r="K178" s="16">
        <v>3528.93</v>
      </c>
      <c r="L178" s="16">
        <v>2460.681</v>
      </c>
      <c r="M178" s="16">
        <v>2460.681</v>
      </c>
      <c r="N178" s="12" t="s">
        <v>917</v>
      </c>
      <c r="O178" s="12" t="s">
        <v>1019</v>
      </c>
      <c r="P178" s="12" t="s">
        <v>917</v>
      </c>
      <c r="Q178" s="12" t="s">
        <v>917</v>
      </c>
      <c r="R178" s="12" t="s">
        <v>917</v>
      </c>
      <c r="S178" s="12" t="s">
        <v>1019</v>
      </c>
      <c r="T178" s="12" t="s">
        <v>917</v>
      </c>
      <c r="U178" s="12" t="s">
        <v>1019</v>
      </c>
      <c r="V178" s="261">
        <v>3569</v>
      </c>
      <c r="W178" s="261">
        <v>0</v>
      </c>
      <c r="X178" s="261">
        <v>0</v>
      </c>
      <c r="Y178" s="262">
        <v>0</v>
      </c>
      <c r="Z178" s="171">
        <f t="shared" si="108"/>
        <v>24349.950000000004</v>
      </c>
      <c r="AA178" s="130" t="str">
        <f t="shared" si="109"/>
        <v>citit</v>
      </c>
      <c r="AB178" s="176">
        <f t="shared" ref="AB178:AB182" si="170">Z178+AN178/E178</f>
        <v>24528.400000000005</v>
      </c>
      <c r="AC178" s="12" t="s">
        <v>917</v>
      </c>
      <c r="AD178" s="260">
        <f t="shared" si="155"/>
        <v>0</v>
      </c>
      <c r="AE178" s="260">
        <f t="shared" si="155"/>
        <v>0</v>
      </c>
      <c r="AF178" s="12">
        <f t="shared" si="155"/>
        <v>3528.93</v>
      </c>
      <c r="AG178" s="12" t="str">
        <f t="shared" si="111"/>
        <v>citit</v>
      </c>
      <c r="AH178" s="176">
        <f t="shared" si="168"/>
        <v>3528.93</v>
      </c>
      <c r="AI178" s="12" t="s">
        <v>917</v>
      </c>
      <c r="AJ178" s="12">
        <f t="shared" si="112"/>
        <v>2460.681</v>
      </c>
      <c r="AK178" s="12" t="str">
        <f t="shared" si="113"/>
        <v>citit</v>
      </c>
      <c r="AL178" s="175">
        <f t="shared" si="169"/>
        <v>2460.681</v>
      </c>
      <c r="AM178" s="159" t="s">
        <v>917</v>
      </c>
      <c r="AN178" s="154">
        <f t="shared" si="160"/>
        <v>3569</v>
      </c>
      <c r="AO178" s="14">
        <f t="shared" si="126"/>
        <v>0</v>
      </c>
      <c r="AP178" s="147">
        <f t="shared" si="127"/>
        <v>0</v>
      </c>
      <c r="AQ178" s="147">
        <f t="shared" si="128"/>
        <v>0</v>
      </c>
      <c r="AR178" s="16">
        <v>0</v>
      </c>
      <c r="AS178" s="16">
        <v>0</v>
      </c>
      <c r="AT178" s="1">
        <f t="shared" si="129"/>
        <v>0</v>
      </c>
      <c r="AU178" s="154">
        <f t="shared" si="130"/>
        <v>0</v>
      </c>
      <c r="AV178" s="154">
        <f t="shared" si="131"/>
        <v>0</v>
      </c>
      <c r="AW178" s="154">
        <f t="shared" si="132"/>
        <v>0</v>
      </c>
      <c r="AX178" s="154">
        <f t="shared" si="133"/>
        <v>0</v>
      </c>
      <c r="AY178" s="153" t="s">
        <v>1267</v>
      </c>
      <c r="AZ178" s="308">
        <f t="shared" si="115"/>
        <v>3569</v>
      </c>
      <c r="BA178" s="309">
        <f t="shared" ref="BA178:BA183" si="171">VLOOKUP(AY178,$B$4:$AZ$68,45,FALSE)</f>
        <v>0</v>
      </c>
      <c r="BB178" s="153">
        <v>0</v>
      </c>
      <c r="BC178" s="309">
        <f t="shared" ref="BC178:BC183" si="172">VLOOKUP(AY178,$B$4:$AZ$68,46,FALSE)</f>
        <v>0</v>
      </c>
      <c r="BD178" s="153">
        <v>0</v>
      </c>
      <c r="BE178" s="309">
        <f t="shared" ref="BE178:BE183" si="173">VLOOKUP(AY178,$B$4:$AZ$68,47,FALSE)</f>
        <v>0</v>
      </c>
      <c r="BF178" s="153">
        <v>0</v>
      </c>
      <c r="BG178" s="309">
        <f t="shared" ref="BG178:BG183" si="174">VLOOKUP(AY178,$B$4:$AZ$68,48,FALSE)</f>
        <v>0</v>
      </c>
      <c r="BH178" s="153">
        <v>0</v>
      </c>
      <c r="BI178" s="309">
        <f t="shared" ref="BI178:BI183" si="175">VLOOKUP(AY178,$B$4:$AZ$68,49,FALSE)</f>
        <v>0</v>
      </c>
      <c r="BJ178" s="153">
        <v>0</v>
      </c>
      <c r="BP178" s="44">
        <f t="shared" si="139"/>
        <v>0</v>
      </c>
      <c r="BQ178" s="1">
        <v>0</v>
      </c>
      <c r="BR178" s="1">
        <v>0</v>
      </c>
      <c r="BS178" s="16">
        <f t="shared" si="156"/>
        <v>0</v>
      </c>
      <c r="BT178" s="16">
        <f t="shared" si="157"/>
        <v>0</v>
      </c>
      <c r="BU178" s="16">
        <f t="shared" si="158"/>
        <v>0</v>
      </c>
      <c r="BV178" s="16">
        <f t="shared" si="159"/>
        <v>0</v>
      </c>
      <c r="BX178" s="1" t="str">
        <f t="shared" si="106"/>
        <v/>
      </c>
      <c r="BY178" s="1">
        <f t="shared" si="107"/>
        <v>1820</v>
      </c>
      <c r="BZ178" s="1">
        <f t="shared" si="162"/>
        <v>0</v>
      </c>
      <c r="CA178" s="1">
        <f t="shared" si="163"/>
        <v>0</v>
      </c>
      <c r="CB178" s="1">
        <f t="shared" si="164"/>
        <v>8</v>
      </c>
      <c r="CC178" s="1">
        <f t="shared" si="165"/>
        <v>4</v>
      </c>
      <c r="CD178" s="1">
        <f t="shared" si="166"/>
        <v>3645</v>
      </c>
      <c r="CE178" s="1">
        <f t="shared" si="167"/>
        <v>864</v>
      </c>
    </row>
    <row r="179" spans="1:97" ht="17.25" thickTop="1" thickBot="1">
      <c r="A179" s="531">
        <f t="shared" si="120"/>
        <v>176</v>
      </c>
      <c r="B179" s="149" t="s">
        <v>1268</v>
      </c>
      <c r="C179" s="251" t="s">
        <v>1243</v>
      </c>
      <c r="D179" s="17" t="s">
        <v>1233</v>
      </c>
      <c r="E179" s="142">
        <v>20</v>
      </c>
      <c r="F179" s="16">
        <v>10116.02</v>
      </c>
      <c r="G179" s="16">
        <v>10252.92</v>
      </c>
      <c r="H179" s="16">
        <v>0</v>
      </c>
      <c r="I179" s="16">
        <v>0</v>
      </c>
      <c r="J179" s="16">
        <v>274.09999999999997</v>
      </c>
      <c r="K179" s="16">
        <v>274.09999999999997</v>
      </c>
      <c r="L179" s="16">
        <v>2815.1319999999996</v>
      </c>
      <c r="M179" s="16">
        <v>2815.1319999999996</v>
      </c>
      <c r="N179" s="12" t="s">
        <v>917</v>
      </c>
      <c r="O179" s="12" t="s">
        <v>1019</v>
      </c>
      <c r="P179" s="12" t="s">
        <v>917</v>
      </c>
      <c r="Q179" s="12" t="s">
        <v>917</v>
      </c>
      <c r="R179" s="12" t="s">
        <v>917</v>
      </c>
      <c r="S179" s="12" t="s">
        <v>1019</v>
      </c>
      <c r="T179" s="12" t="s">
        <v>917</v>
      </c>
      <c r="U179" s="12" t="s">
        <v>1019</v>
      </c>
      <c r="V179" s="261">
        <v>2738</v>
      </c>
      <c r="W179" s="261">
        <v>0</v>
      </c>
      <c r="X179" s="261">
        <v>0</v>
      </c>
      <c r="Y179" s="262">
        <v>0</v>
      </c>
      <c r="Z179" s="171">
        <f t="shared" si="108"/>
        <v>10116.02</v>
      </c>
      <c r="AA179" s="130" t="str">
        <f t="shared" si="109"/>
        <v>citit</v>
      </c>
      <c r="AB179" s="176">
        <f t="shared" si="170"/>
        <v>10252.92</v>
      </c>
      <c r="AC179" s="12" t="s">
        <v>917</v>
      </c>
      <c r="AD179" s="260">
        <f t="shared" si="155"/>
        <v>0</v>
      </c>
      <c r="AE179" s="260">
        <f t="shared" si="155"/>
        <v>0</v>
      </c>
      <c r="AF179" s="12">
        <f t="shared" si="155"/>
        <v>274.09999999999997</v>
      </c>
      <c r="AG179" s="12" t="str">
        <f t="shared" si="111"/>
        <v>citit</v>
      </c>
      <c r="AH179" s="176">
        <f t="shared" si="168"/>
        <v>274.09999999999997</v>
      </c>
      <c r="AI179" s="12" t="s">
        <v>917</v>
      </c>
      <c r="AJ179" s="12">
        <f t="shared" si="112"/>
        <v>2815.1319999999996</v>
      </c>
      <c r="AK179" s="12" t="str">
        <f t="shared" si="113"/>
        <v>citit</v>
      </c>
      <c r="AL179" s="175">
        <f t="shared" si="169"/>
        <v>2815.1319999999996</v>
      </c>
      <c r="AM179" s="159" t="s">
        <v>917</v>
      </c>
      <c r="AN179" s="154">
        <f t="shared" si="160"/>
        <v>2738</v>
      </c>
      <c r="AO179" s="14">
        <f t="shared" si="126"/>
        <v>0</v>
      </c>
      <c r="AP179" s="147">
        <f t="shared" si="127"/>
        <v>0</v>
      </c>
      <c r="AQ179" s="147">
        <f t="shared" si="128"/>
        <v>0</v>
      </c>
      <c r="AR179" s="16">
        <v>0</v>
      </c>
      <c r="AS179" s="16">
        <v>0</v>
      </c>
      <c r="AT179" s="1">
        <f t="shared" si="129"/>
        <v>0</v>
      </c>
      <c r="AU179" s="154">
        <f t="shared" si="130"/>
        <v>0</v>
      </c>
      <c r="AV179" s="154">
        <f t="shared" si="131"/>
        <v>0</v>
      </c>
      <c r="AW179" s="154">
        <f t="shared" si="132"/>
        <v>0</v>
      </c>
      <c r="AX179" s="154">
        <f t="shared" si="133"/>
        <v>0</v>
      </c>
      <c r="AY179" s="153" t="s">
        <v>1268</v>
      </c>
      <c r="AZ179" s="308">
        <f t="shared" si="115"/>
        <v>2738</v>
      </c>
      <c r="BA179" s="309">
        <f t="shared" si="171"/>
        <v>0</v>
      </c>
      <c r="BB179" s="153">
        <v>0</v>
      </c>
      <c r="BC179" s="309">
        <f t="shared" si="172"/>
        <v>0</v>
      </c>
      <c r="BD179" s="153">
        <v>0</v>
      </c>
      <c r="BE179" s="309">
        <f t="shared" si="173"/>
        <v>0</v>
      </c>
      <c r="BF179" s="153">
        <v>0</v>
      </c>
      <c r="BG179" s="309">
        <f t="shared" si="174"/>
        <v>0</v>
      </c>
      <c r="BH179" s="153">
        <v>0</v>
      </c>
      <c r="BI179" s="309">
        <f t="shared" si="175"/>
        <v>0</v>
      </c>
      <c r="BJ179" s="153">
        <v>0</v>
      </c>
      <c r="BP179" s="44">
        <f t="shared" si="139"/>
        <v>0</v>
      </c>
      <c r="BQ179" s="1">
        <v>0</v>
      </c>
      <c r="BR179" s="1">
        <v>0</v>
      </c>
      <c r="BS179" s="16">
        <f t="shared" si="156"/>
        <v>0</v>
      </c>
      <c r="BT179" s="16">
        <f t="shared" si="157"/>
        <v>0</v>
      </c>
      <c r="BU179" s="16">
        <f t="shared" si="158"/>
        <v>0</v>
      </c>
      <c r="BV179" s="16">
        <f t="shared" si="159"/>
        <v>0</v>
      </c>
      <c r="BX179" s="1" t="str">
        <f t="shared" si="106"/>
        <v/>
      </c>
      <c r="BY179" s="1">
        <f t="shared" si="107"/>
        <v>1820</v>
      </c>
      <c r="BZ179" s="1">
        <f t="shared" si="162"/>
        <v>0</v>
      </c>
      <c r="CA179" s="1">
        <f t="shared" si="163"/>
        <v>0</v>
      </c>
      <c r="CB179" s="1">
        <f t="shared" si="164"/>
        <v>8</v>
      </c>
      <c r="CC179" s="1">
        <f t="shared" si="165"/>
        <v>4</v>
      </c>
      <c r="CD179" s="1">
        <f t="shared" si="166"/>
        <v>3645</v>
      </c>
      <c r="CE179" s="1">
        <f t="shared" si="167"/>
        <v>864</v>
      </c>
    </row>
    <row r="180" spans="1:97" ht="17.25" thickTop="1" thickBot="1">
      <c r="A180" s="531">
        <f t="shared" si="120"/>
        <v>177</v>
      </c>
      <c r="B180" s="149" t="s">
        <v>1269</v>
      </c>
      <c r="C180" s="251" t="s">
        <v>1244</v>
      </c>
      <c r="D180" s="17" t="s">
        <v>1235</v>
      </c>
      <c r="E180" s="142">
        <v>1</v>
      </c>
      <c r="F180" s="16">
        <v>42685</v>
      </c>
      <c r="G180" s="16">
        <v>43313</v>
      </c>
      <c r="H180" s="16">
        <v>0</v>
      </c>
      <c r="I180" s="16">
        <v>0</v>
      </c>
      <c r="J180" s="16">
        <v>1470</v>
      </c>
      <c r="K180" s="16">
        <v>1470</v>
      </c>
      <c r="L180" s="16">
        <v>9201</v>
      </c>
      <c r="M180" s="16">
        <v>9201</v>
      </c>
      <c r="N180" s="12" t="s">
        <v>917</v>
      </c>
      <c r="O180" s="12" t="s">
        <v>1019</v>
      </c>
      <c r="P180" s="12" t="s">
        <v>917</v>
      </c>
      <c r="Q180" s="12" t="s">
        <v>917</v>
      </c>
      <c r="R180" s="12" t="s">
        <v>917</v>
      </c>
      <c r="S180" s="12" t="s">
        <v>1019</v>
      </c>
      <c r="T180" s="12" t="s">
        <v>917</v>
      </c>
      <c r="U180" s="12" t="s">
        <v>1019</v>
      </c>
      <c r="V180" s="261">
        <v>628</v>
      </c>
      <c r="W180" s="261">
        <v>0</v>
      </c>
      <c r="X180" s="261">
        <v>0</v>
      </c>
      <c r="Y180" s="262">
        <v>0</v>
      </c>
      <c r="Z180" s="171">
        <f t="shared" si="108"/>
        <v>42685</v>
      </c>
      <c r="AA180" s="130" t="str">
        <f t="shared" si="109"/>
        <v>citit</v>
      </c>
      <c r="AB180" s="176">
        <f t="shared" si="170"/>
        <v>43413</v>
      </c>
      <c r="AC180" s="12" t="s">
        <v>917</v>
      </c>
      <c r="AD180" s="260">
        <f t="shared" si="155"/>
        <v>0</v>
      </c>
      <c r="AE180" s="260">
        <f t="shared" si="155"/>
        <v>0</v>
      </c>
      <c r="AF180" s="12">
        <f t="shared" si="155"/>
        <v>1470</v>
      </c>
      <c r="AG180" s="12" t="str">
        <f t="shared" si="111"/>
        <v>citit</v>
      </c>
      <c r="AH180" s="176">
        <f t="shared" si="168"/>
        <v>1470</v>
      </c>
      <c r="AI180" s="12" t="s">
        <v>917</v>
      </c>
      <c r="AJ180" s="12">
        <f t="shared" si="112"/>
        <v>9201</v>
      </c>
      <c r="AK180" s="12" t="str">
        <f t="shared" si="113"/>
        <v>citit</v>
      </c>
      <c r="AL180" s="175">
        <f t="shared" si="169"/>
        <v>9201</v>
      </c>
      <c r="AM180" s="159" t="s">
        <v>917</v>
      </c>
      <c r="AN180" s="154">
        <f t="shared" si="160"/>
        <v>728</v>
      </c>
      <c r="AO180" s="14">
        <f t="shared" si="126"/>
        <v>0</v>
      </c>
      <c r="AP180" s="147">
        <f t="shared" si="127"/>
        <v>0</v>
      </c>
      <c r="AQ180" s="147">
        <f t="shared" si="128"/>
        <v>0</v>
      </c>
      <c r="AR180" s="16">
        <v>0</v>
      </c>
      <c r="AS180" s="16">
        <v>0</v>
      </c>
      <c r="AT180" s="1">
        <f t="shared" si="129"/>
        <v>100</v>
      </c>
      <c r="AU180" s="154">
        <f t="shared" si="130"/>
        <v>0</v>
      </c>
      <c r="AV180" s="154">
        <f t="shared" si="131"/>
        <v>0</v>
      </c>
      <c r="AW180" s="154">
        <f t="shared" si="132"/>
        <v>0</v>
      </c>
      <c r="AX180" s="154">
        <f t="shared" si="133"/>
        <v>0</v>
      </c>
      <c r="AY180" s="153" t="s">
        <v>1269</v>
      </c>
      <c r="AZ180" s="308">
        <f t="shared" si="115"/>
        <v>628</v>
      </c>
      <c r="BA180" s="309">
        <f t="shared" si="171"/>
        <v>100</v>
      </c>
      <c r="BB180" s="153">
        <v>0</v>
      </c>
      <c r="BC180" s="309">
        <f t="shared" si="172"/>
        <v>0</v>
      </c>
      <c r="BD180" s="153">
        <v>0</v>
      </c>
      <c r="BE180" s="309">
        <f t="shared" si="173"/>
        <v>0</v>
      </c>
      <c r="BF180" s="153">
        <v>0</v>
      </c>
      <c r="BG180" s="309">
        <f t="shared" si="174"/>
        <v>0</v>
      </c>
      <c r="BH180" s="153">
        <v>0</v>
      </c>
      <c r="BI180" s="309">
        <f t="shared" si="175"/>
        <v>0</v>
      </c>
      <c r="BJ180" s="153">
        <v>0</v>
      </c>
      <c r="BP180" s="44">
        <f t="shared" si="139"/>
        <v>100</v>
      </c>
      <c r="BQ180" s="1">
        <v>0</v>
      </c>
      <c r="BR180" s="1">
        <v>0</v>
      </c>
      <c r="BS180" s="16">
        <f t="shared" si="156"/>
        <v>0</v>
      </c>
      <c r="BT180" s="16">
        <f t="shared" si="157"/>
        <v>0</v>
      </c>
      <c r="BU180" s="16">
        <f t="shared" si="158"/>
        <v>0</v>
      </c>
      <c r="BV180" s="16">
        <f t="shared" si="159"/>
        <v>0</v>
      </c>
      <c r="BX180" s="1" t="str">
        <f t="shared" si="106"/>
        <v/>
      </c>
      <c r="BY180" s="1">
        <f t="shared" si="107"/>
        <v>1920</v>
      </c>
      <c r="BZ180" s="1">
        <f t="shared" si="162"/>
        <v>0</v>
      </c>
      <c r="CA180" s="1">
        <f t="shared" si="163"/>
        <v>0</v>
      </c>
      <c r="CB180" s="1">
        <f t="shared" si="164"/>
        <v>8</v>
      </c>
      <c r="CC180" s="1">
        <f t="shared" si="165"/>
        <v>4</v>
      </c>
      <c r="CD180" s="1">
        <f t="shared" si="166"/>
        <v>3645</v>
      </c>
      <c r="CE180" s="1">
        <f t="shared" si="167"/>
        <v>864</v>
      </c>
    </row>
    <row r="181" spans="1:97" ht="17.25" thickTop="1" thickBot="1">
      <c r="A181" s="531">
        <f t="shared" si="120"/>
        <v>178</v>
      </c>
      <c r="B181" s="149" t="s">
        <v>1270</v>
      </c>
      <c r="C181" s="251" t="s">
        <v>1245</v>
      </c>
      <c r="D181" s="17" t="s">
        <v>1237</v>
      </c>
      <c r="E181" s="142">
        <v>50</v>
      </c>
      <c r="F181" s="16">
        <v>44</v>
      </c>
      <c r="G181" s="16">
        <v>44</v>
      </c>
      <c r="H181" s="16">
        <v>0</v>
      </c>
      <c r="I181" s="16">
        <v>0</v>
      </c>
      <c r="J181" s="16">
        <v>7</v>
      </c>
      <c r="K181" s="16">
        <v>7</v>
      </c>
      <c r="L181" s="16">
        <v>0</v>
      </c>
      <c r="M181" s="16">
        <v>0</v>
      </c>
      <c r="N181" s="12" t="s">
        <v>917</v>
      </c>
      <c r="O181" s="12" t="s">
        <v>1019</v>
      </c>
      <c r="P181" s="12" t="s">
        <v>917</v>
      </c>
      <c r="Q181" s="12" t="s">
        <v>917</v>
      </c>
      <c r="R181" s="12" t="s">
        <v>917</v>
      </c>
      <c r="S181" s="12" t="s">
        <v>1019</v>
      </c>
      <c r="T181" s="12" t="s">
        <v>917</v>
      </c>
      <c r="U181" s="12" t="s">
        <v>1019</v>
      </c>
      <c r="V181" s="261">
        <v>0</v>
      </c>
      <c r="W181" s="261">
        <v>0</v>
      </c>
      <c r="X181" s="261">
        <v>0</v>
      </c>
      <c r="Y181" s="262">
        <v>0</v>
      </c>
      <c r="Z181" s="171">
        <f t="shared" si="108"/>
        <v>44</v>
      </c>
      <c r="AA181" s="130" t="str">
        <f t="shared" si="109"/>
        <v>citit</v>
      </c>
      <c r="AB181" s="176">
        <f t="shared" si="170"/>
        <v>50</v>
      </c>
      <c r="AC181" s="12" t="s">
        <v>917</v>
      </c>
      <c r="AD181" s="260">
        <f t="shared" si="155"/>
        <v>0</v>
      </c>
      <c r="AE181" s="260">
        <f t="shared" si="155"/>
        <v>0</v>
      </c>
      <c r="AF181" s="12">
        <f t="shared" si="155"/>
        <v>7</v>
      </c>
      <c r="AG181" s="12" t="str">
        <f t="shared" si="111"/>
        <v>citit</v>
      </c>
      <c r="AH181" s="176">
        <f t="shared" si="168"/>
        <v>7</v>
      </c>
      <c r="AI181" s="12" t="s">
        <v>917</v>
      </c>
      <c r="AJ181" s="12">
        <f t="shared" si="112"/>
        <v>0</v>
      </c>
      <c r="AK181" s="12" t="str">
        <f t="shared" si="113"/>
        <v>citit</v>
      </c>
      <c r="AL181" s="175">
        <f t="shared" si="169"/>
        <v>0</v>
      </c>
      <c r="AM181" s="159" t="s">
        <v>917</v>
      </c>
      <c r="AN181" s="154">
        <f t="shared" si="160"/>
        <v>300</v>
      </c>
      <c r="AO181" s="14">
        <f t="shared" si="126"/>
        <v>0</v>
      </c>
      <c r="AP181" s="147">
        <f t="shared" si="127"/>
        <v>0</v>
      </c>
      <c r="AQ181" s="147">
        <f t="shared" si="128"/>
        <v>0</v>
      </c>
      <c r="AR181" s="16">
        <v>0</v>
      </c>
      <c r="AS181" s="16">
        <v>0</v>
      </c>
      <c r="AT181" s="1">
        <f t="shared" si="129"/>
        <v>300</v>
      </c>
      <c r="AU181" s="154">
        <f t="shared" si="130"/>
        <v>0</v>
      </c>
      <c r="AV181" s="154">
        <f t="shared" si="131"/>
        <v>0</v>
      </c>
      <c r="AW181" s="154">
        <f t="shared" si="132"/>
        <v>0</v>
      </c>
      <c r="AX181" s="154">
        <f t="shared" si="133"/>
        <v>0</v>
      </c>
      <c r="AY181" s="153" t="s">
        <v>1270</v>
      </c>
      <c r="AZ181" s="308">
        <f t="shared" si="115"/>
        <v>0</v>
      </c>
      <c r="BA181" s="309">
        <f t="shared" si="171"/>
        <v>300</v>
      </c>
      <c r="BB181" s="153">
        <v>0</v>
      </c>
      <c r="BC181" s="309">
        <f t="shared" si="172"/>
        <v>0</v>
      </c>
      <c r="BD181" s="153">
        <v>0</v>
      </c>
      <c r="BE181" s="309">
        <f t="shared" si="173"/>
        <v>0</v>
      </c>
      <c r="BF181" s="153">
        <v>0</v>
      </c>
      <c r="BG181" s="309">
        <f t="shared" si="174"/>
        <v>0</v>
      </c>
      <c r="BH181" s="153">
        <v>0</v>
      </c>
      <c r="BI181" s="309">
        <f t="shared" si="175"/>
        <v>0</v>
      </c>
      <c r="BJ181" s="153">
        <v>0</v>
      </c>
      <c r="BP181" s="44">
        <f t="shared" si="139"/>
        <v>300</v>
      </c>
      <c r="BQ181" s="1">
        <v>0</v>
      </c>
      <c r="BR181" s="1">
        <v>0</v>
      </c>
      <c r="BS181" s="16">
        <f t="shared" si="156"/>
        <v>0</v>
      </c>
      <c r="BT181" s="16">
        <f t="shared" si="157"/>
        <v>0</v>
      </c>
      <c r="BU181" s="16">
        <f t="shared" si="158"/>
        <v>0</v>
      </c>
      <c r="BV181" s="16">
        <f t="shared" si="159"/>
        <v>0</v>
      </c>
      <c r="BX181" s="1" t="str">
        <f t="shared" si="106"/>
        <v/>
      </c>
      <c r="BY181" s="1">
        <f t="shared" si="107"/>
        <v>2220</v>
      </c>
      <c r="BZ181" s="1">
        <f t="shared" si="162"/>
        <v>0</v>
      </c>
      <c r="CA181" s="1">
        <f t="shared" si="163"/>
        <v>0</v>
      </c>
      <c r="CB181" s="1">
        <f t="shared" si="164"/>
        <v>8</v>
      </c>
      <c r="CC181" s="1">
        <f t="shared" si="165"/>
        <v>4</v>
      </c>
      <c r="CD181" s="1">
        <f t="shared" si="166"/>
        <v>3645</v>
      </c>
      <c r="CE181" s="1">
        <f t="shared" si="167"/>
        <v>864</v>
      </c>
    </row>
    <row r="182" spans="1:97" ht="17.25" thickTop="1" thickBot="1">
      <c r="A182" s="531">
        <f t="shared" si="120"/>
        <v>179</v>
      </c>
      <c r="B182" s="149" t="s">
        <v>1271</v>
      </c>
      <c r="C182" s="251" t="s">
        <v>1246</v>
      </c>
      <c r="D182" s="17" t="s">
        <v>1429</v>
      </c>
      <c r="E182" s="142">
        <v>30</v>
      </c>
      <c r="F182" s="16">
        <v>37</v>
      </c>
      <c r="G182" s="16">
        <v>201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2" t="s">
        <v>917</v>
      </c>
      <c r="O182" s="12" t="s">
        <v>1019</v>
      </c>
      <c r="P182" s="12" t="s">
        <v>917</v>
      </c>
      <c r="Q182" s="12" t="s">
        <v>917</v>
      </c>
      <c r="R182" s="12" t="s">
        <v>917</v>
      </c>
      <c r="S182" s="12" t="s">
        <v>1019</v>
      </c>
      <c r="T182" s="12" t="s">
        <v>917</v>
      </c>
      <c r="U182" s="12" t="s">
        <v>1019</v>
      </c>
      <c r="V182" s="261">
        <v>4920</v>
      </c>
      <c r="W182" s="261">
        <v>0</v>
      </c>
      <c r="X182" s="261">
        <v>0</v>
      </c>
      <c r="Y182" s="262">
        <v>0</v>
      </c>
      <c r="Z182" s="171">
        <f t="shared" si="108"/>
        <v>37</v>
      </c>
      <c r="AA182" s="130" t="str">
        <f t="shared" si="109"/>
        <v>citit</v>
      </c>
      <c r="AB182" s="176">
        <f t="shared" si="170"/>
        <v>201</v>
      </c>
      <c r="AC182" s="12" t="s">
        <v>917</v>
      </c>
      <c r="AD182" s="260">
        <f t="shared" si="155"/>
        <v>0</v>
      </c>
      <c r="AE182" s="260">
        <f t="shared" si="155"/>
        <v>0</v>
      </c>
      <c r="AF182" s="12">
        <f t="shared" si="155"/>
        <v>0</v>
      </c>
      <c r="AG182" s="12" t="str">
        <f t="shared" si="111"/>
        <v>citit</v>
      </c>
      <c r="AH182" s="176">
        <f t="shared" si="168"/>
        <v>0</v>
      </c>
      <c r="AI182" s="12" t="s">
        <v>917</v>
      </c>
      <c r="AJ182" s="12">
        <f t="shared" si="112"/>
        <v>0</v>
      </c>
      <c r="AK182" s="12" t="str">
        <f t="shared" si="113"/>
        <v>citit</v>
      </c>
      <c r="AL182" s="175">
        <f t="shared" si="169"/>
        <v>0</v>
      </c>
      <c r="AM182" s="159" t="s">
        <v>917</v>
      </c>
      <c r="AN182" s="154">
        <f t="shared" si="160"/>
        <v>4920</v>
      </c>
      <c r="AO182" s="14">
        <f t="shared" si="126"/>
        <v>0</v>
      </c>
      <c r="AP182" s="147">
        <f t="shared" si="127"/>
        <v>0</v>
      </c>
      <c r="AQ182" s="147">
        <f t="shared" si="128"/>
        <v>0</v>
      </c>
      <c r="AR182" s="16">
        <v>0</v>
      </c>
      <c r="AS182" s="16">
        <v>0</v>
      </c>
      <c r="AT182" s="1">
        <f t="shared" si="129"/>
        <v>0</v>
      </c>
      <c r="AU182" s="154">
        <f t="shared" si="130"/>
        <v>0</v>
      </c>
      <c r="AV182" s="154">
        <f t="shared" si="131"/>
        <v>0</v>
      </c>
      <c r="AW182" s="154">
        <f t="shared" si="132"/>
        <v>0</v>
      </c>
      <c r="AX182" s="154">
        <f t="shared" si="133"/>
        <v>0</v>
      </c>
      <c r="AY182" s="153" t="s">
        <v>1271</v>
      </c>
      <c r="AZ182" s="308">
        <f t="shared" si="115"/>
        <v>4920</v>
      </c>
      <c r="BA182" s="309">
        <f t="shared" si="171"/>
        <v>0</v>
      </c>
      <c r="BB182" s="153">
        <v>0</v>
      </c>
      <c r="BC182" s="309">
        <f t="shared" si="172"/>
        <v>0</v>
      </c>
      <c r="BD182" s="153">
        <v>0</v>
      </c>
      <c r="BE182" s="309">
        <f t="shared" si="173"/>
        <v>0</v>
      </c>
      <c r="BF182" s="153">
        <v>0</v>
      </c>
      <c r="BG182" s="309">
        <f t="shared" si="174"/>
        <v>0</v>
      </c>
      <c r="BH182" s="153">
        <v>0</v>
      </c>
      <c r="BI182" s="309">
        <f t="shared" si="175"/>
        <v>0</v>
      </c>
      <c r="BJ182" s="153">
        <v>0</v>
      </c>
      <c r="BP182" s="44">
        <f t="shared" si="139"/>
        <v>0</v>
      </c>
      <c r="BQ182" s="1">
        <v>0</v>
      </c>
      <c r="BR182" s="1">
        <v>0</v>
      </c>
      <c r="BS182" s="16">
        <f t="shared" si="156"/>
        <v>0</v>
      </c>
      <c r="BT182" s="16">
        <f t="shared" si="157"/>
        <v>0</v>
      </c>
      <c r="BU182" s="16">
        <f t="shared" si="158"/>
        <v>0</v>
      </c>
      <c r="BV182" s="16">
        <f t="shared" si="159"/>
        <v>0</v>
      </c>
      <c r="BX182" s="1" t="str">
        <f t="shared" si="106"/>
        <v>RN10</v>
      </c>
      <c r="BY182" s="1">
        <f t="shared" si="107"/>
        <v>2220</v>
      </c>
      <c r="BZ182" s="1">
        <f t="shared" si="162"/>
        <v>0</v>
      </c>
      <c r="CA182" s="1">
        <f t="shared" si="163"/>
        <v>0</v>
      </c>
      <c r="CB182" s="1">
        <f t="shared" si="164"/>
        <v>8</v>
      </c>
      <c r="CC182" s="1">
        <f t="shared" si="165"/>
        <v>4</v>
      </c>
      <c r="CD182" s="1">
        <f t="shared" si="166"/>
        <v>3645</v>
      </c>
      <c r="CE182" s="1">
        <f t="shared" si="167"/>
        <v>864</v>
      </c>
    </row>
    <row r="183" spans="1:97" ht="16.5" thickTop="1">
      <c r="A183" s="531">
        <f t="shared" si="120"/>
        <v>180</v>
      </c>
      <c r="B183" s="149" t="s">
        <v>1273</v>
      </c>
      <c r="C183" s="17" t="s">
        <v>1252</v>
      </c>
      <c r="D183" s="17">
        <v>1369358662</v>
      </c>
      <c r="E183" s="142" t="str">
        <f>LEFT(B183,3)</f>
        <v>RN1</v>
      </c>
      <c r="F183" s="16">
        <v>888146</v>
      </c>
      <c r="G183" s="16">
        <v>916135</v>
      </c>
      <c r="H183" s="16">
        <v>0</v>
      </c>
      <c r="I183" s="16">
        <v>0</v>
      </c>
      <c r="J183" s="16">
        <v>93080</v>
      </c>
      <c r="K183" s="16">
        <v>93080</v>
      </c>
      <c r="L183" s="16">
        <v>66246</v>
      </c>
      <c r="M183" s="16">
        <v>66246</v>
      </c>
      <c r="N183" s="12" t="s">
        <v>917</v>
      </c>
      <c r="O183" s="12" t="s">
        <v>1019</v>
      </c>
      <c r="P183" s="12" t="s">
        <v>917</v>
      </c>
      <c r="Q183" s="12" t="s">
        <v>917</v>
      </c>
      <c r="R183" s="12" t="s">
        <v>917</v>
      </c>
      <c r="S183" s="12" t="s">
        <v>1019</v>
      </c>
      <c r="T183" s="12" t="s">
        <v>917</v>
      </c>
      <c r="U183" s="12" t="s">
        <v>1019</v>
      </c>
      <c r="V183" s="261">
        <v>27989</v>
      </c>
      <c r="W183" s="261">
        <v>0</v>
      </c>
      <c r="X183" s="261">
        <v>0</v>
      </c>
      <c r="Y183" s="262">
        <v>0</v>
      </c>
      <c r="Z183" s="171">
        <f t="shared" si="108"/>
        <v>888146</v>
      </c>
      <c r="AA183" s="130" t="str">
        <f t="shared" si="109"/>
        <v>citit</v>
      </c>
      <c r="AB183" s="176">
        <f t="shared" si="122"/>
        <v>916135</v>
      </c>
      <c r="AC183" s="12" t="s">
        <v>917</v>
      </c>
      <c r="AD183" s="260">
        <f t="shared" si="155"/>
        <v>0</v>
      </c>
      <c r="AE183" s="260">
        <f t="shared" si="155"/>
        <v>0</v>
      </c>
      <c r="AF183" s="12">
        <f t="shared" si="155"/>
        <v>93080</v>
      </c>
      <c r="AG183" s="12" t="str">
        <f t="shared" si="111"/>
        <v>citit</v>
      </c>
      <c r="AH183" s="176">
        <f>AF183+AP183</f>
        <v>93086</v>
      </c>
      <c r="AI183" s="12" t="s">
        <v>917</v>
      </c>
      <c r="AJ183" s="12">
        <f t="shared" si="112"/>
        <v>66246</v>
      </c>
      <c r="AK183" s="12" t="str">
        <f t="shared" si="113"/>
        <v>citit</v>
      </c>
      <c r="AL183" s="175">
        <f>AJ183+AQ183</f>
        <v>66430</v>
      </c>
      <c r="AM183" s="159" t="s">
        <v>917</v>
      </c>
      <c r="AN183" s="154">
        <f t="shared" si="160"/>
        <v>27989</v>
      </c>
      <c r="AO183" s="14">
        <f t="shared" si="126"/>
        <v>0</v>
      </c>
      <c r="AP183" s="147">
        <f t="shared" si="127"/>
        <v>6</v>
      </c>
      <c r="AQ183" s="147">
        <f t="shared" si="128"/>
        <v>184</v>
      </c>
      <c r="AR183" s="16">
        <v>0</v>
      </c>
      <c r="AS183" s="16">
        <v>0</v>
      </c>
      <c r="AT183" s="1">
        <f t="shared" si="129"/>
        <v>0</v>
      </c>
      <c r="AU183" s="154">
        <f t="shared" si="130"/>
        <v>6</v>
      </c>
      <c r="AV183" s="154">
        <f t="shared" si="131"/>
        <v>0</v>
      </c>
      <c r="AW183" s="154">
        <f t="shared" si="132"/>
        <v>180</v>
      </c>
      <c r="AX183" s="154">
        <f t="shared" si="133"/>
        <v>4</v>
      </c>
      <c r="AY183" s="255" t="s">
        <v>1272</v>
      </c>
      <c r="AZ183" s="308">
        <f t="shared" si="115"/>
        <v>27989</v>
      </c>
      <c r="BA183" s="309">
        <f t="shared" si="171"/>
        <v>0</v>
      </c>
      <c r="BB183" s="153">
        <v>0</v>
      </c>
      <c r="BC183" s="309">
        <f t="shared" si="172"/>
        <v>6</v>
      </c>
      <c r="BD183" s="153">
        <v>0</v>
      </c>
      <c r="BE183" s="309">
        <f t="shared" si="173"/>
        <v>0</v>
      </c>
      <c r="BF183" s="153">
        <v>0</v>
      </c>
      <c r="BG183" s="309">
        <f t="shared" si="174"/>
        <v>180</v>
      </c>
      <c r="BH183" s="153">
        <v>0</v>
      </c>
      <c r="BI183" s="309">
        <f t="shared" si="175"/>
        <v>4</v>
      </c>
      <c r="BJ183" s="153">
        <v>0</v>
      </c>
      <c r="BP183" s="44">
        <f t="shared" si="139"/>
        <v>0</v>
      </c>
      <c r="BQ183" s="1">
        <v>0</v>
      </c>
      <c r="BR183" s="1">
        <v>0</v>
      </c>
      <c r="BS183" s="16">
        <f t="shared" si="156"/>
        <v>6</v>
      </c>
      <c r="BT183" s="16">
        <f t="shared" si="157"/>
        <v>0</v>
      </c>
      <c r="BU183" s="16">
        <f t="shared" si="158"/>
        <v>180</v>
      </c>
      <c r="BV183" s="16">
        <f t="shared" si="159"/>
        <v>4</v>
      </c>
      <c r="BX183" s="1" t="str">
        <f t="shared" si="106"/>
        <v>RN1_</v>
      </c>
      <c r="BY183" s="1">
        <f t="shared" si="107"/>
        <v>0</v>
      </c>
      <c r="BZ183" s="1">
        <f t="shared" si="162"/>
        <v>0</v>
      </c>
      <c r="CA183" s="1">
        <f t="shared" si="163"/>
        <v>0</v>
      </c>
      <c r="CB183" s="1">
        <f t="shared" si="164"/>
        <v>6</v>
      </c>
      <c r="CC183" s="1">
        <f t="shared" si="165"/>
        <v>0</v>
      </c>
      <c r="CD183" s="1">
        <f t="shared" si="166"/>
        <v>180</v>
      </c>
      <c r="CE183" s="1">
        <f t="shared" si="167"/>
        <v>4</v>
      </c>
    </row>
    <row r="184" spans="1:97">
      <c r="AZ184" s="115"/>
      <c r="BA184" s="115"/>
      <c r="BB184" s="115"/>
      <c r="BC184" s="115"/>
      <c r="BD184" s="115"/>
      <c r="BE184" s="115"/>
      <c r="BF184" s="115"/>
      <c r="BG184" s="115"/>
      <c r="BH184" s="115"/>
      <c r="BI184" s="115"/>
      <c r="BJ184" s="115"/>
      <c r="BX184" s="1" t="str">
        <f t="shared" si="106"/>
        <v/>
      </c>
    </row>
    <row r="187" spans="1:97">
      <c r="G187" s="255">
        <v>169682</v>
      </c>
      <c r="I187">
        <f>G187-V170</f>
        <v>70924.999999999956</v>
      </c>
    </row>
    <row r="188" spans="1:97">
      <c r="G188">
        <v>1806</v>
      </c>
    </row>
  </sheetData>
  <autoFilter ref="A2:CQ183" xr:uid="{D6EDB937-4599-D24E-9F30-FC74CA27BF34}"/>
  <mergeCells count="5">
    <mergeCell ref="BA3:BB3"/>
    <mergeCell ref="BC3:BD3"/>
    <mergeCell ref="BE3:BF3"/>
    <mergeCell ref="BG3:BH3"/>
    <mergeCell ref="BI3:BJ3"/>
  </mergeCells>
  <phoneticPr fontId="9" type="noConversion"/>
  <conditionalFormatting sqref="V2:V3">
    <cfRule type="containsText" dxfId="27" priority="7" operator="containsText" text="MT_OD">
      <formula>NOT(ISERROR(SEARCH("MT_OD",V2)))</formula>
    </cfRule>
    <cfRule type="containsText" dxfId="26" priority="8" operator="containsText" text="JT_OD">
      <formula>NOT(ISERROR(SEARCH("JT_OD",V2)))</formula>
    </cfRule>
  </conditionalFormatting>
  <conditionalFormatting sqref="V4:Y183">
    <cfRule type="containsText" dxfId="25" priority="1" operator="containsText" text="MT_OD">
      <formula>NOT(ISERROR(SEARCH("MT_OD",V4)))</formula>
    </cfRule>
    <cfRule type="containsText" dxfId="24" priority="2" operator="containsText" text="JT_OD">
      <formula>NOT(ISERROR(SEARCH("JT_OD",V4)))</formula>
    </cfRule>
  </conditionalFormatting>
  <conditionalFormatting sqref="AN2:AN3">
    <cfRule type="containsText" dxfId="23" priority="5" operator="containsText" text="MT_OD">
      <formula>NOT(ISERROR(SEARCH("MT_OD",AN2)))</formula>
    </cfRule>
    <cfRule type="containsText" dxfId="22" priority="6" operator="containsText" text="JT_OD">
      <formula>NOT(ISERROR(SEARCH("JT_OD",AN2)))</formula>
    </cfRule>
  </conditionalFormatting>
  <conditionalFormatting sqref="CI30:CO30">
    <cfRule type="cellIs" dxfId="21" priority="3" operator="notEqual">
      <formula>0</formula>
    </cfRule>
    <cfRule type="cellIs" dxfId="20" priority="4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9375-B11A-CE46-8E5F-B3B157D02F32}">
  <dimension ref="A1:AQ190"/>
  <sheetViews>
    <sheetView zoomScale="70" zoomScaleNormal="70" workbookViewId="0">
      <pane xSplit="2" ySplit="3" topLeftCell="O121" activePane="bottomRight" state="frozen"/>
      <selection pane="topRight" activeCell="C1" sqref="C1"/>
      <selection pane="bottomLeft" activeCell="A4" sqref="A4"/>
      <selection pane="bottomRight" activeCell="R4" sqref="R4:S176"/>
    </sheetView>
  </sheetViews>
  <sheetFormatPr defaultColWidth="10.625" defaultRowHeight="15.75"/>
  <cols>
    <col min="1" max="1" width="10.875" style="4"/>
    <col min="2" max="2" width="22" style="4" customWidth="1"/>
    <col min="3" max="6" width="10.875" customWidth="1"/>
    <col min="7" max="7" width="18.375" style="13" customWidth="1"/>
    <col min="8" max="11" width="10.875" customWidth="1"/>
    <col min="12" max="12" width="18.375" style="13" customWidth="1"/>
    <col min="13" max="18" width="10.875" customWidth="1"/>
    <col min="19" max="20" width="10.625" customWidth="1"/>
    <col min="21" max="21" width="15.875" customWidth="1"/>
    <col min="26" max="26" width="5.375" customWidth="1"/>
    <col min="27" max="27" width="8.5" customWidth="1"/>
    <col min="28" max="28" width="7.125" customWidth="1"/>
    <col min="29" max="29" width="5.375" customWidth="1"/>
    <col min="31" max="31" width="20.5" customWidth="1"/>
  </cols>
  <sheetData>
    <row r="1" spans="1:43" ht="15.95" customHeight="1">
      <c r="A1" s="5">
        <v>1</v>
      </c>
      <c r="B1" s="5">
        <f>A1+1</f>
        <v>2</v>
      </c>
      <c r="C1" s="34">
        <f t="shared" ref="C1:Y1" si="0">B1+1</f>
        <v>3</v>
      </c>
      <c r="D1" s="34">
        <f t="shared" si="0"/>
        <v>4</v>
      </c>
      <c r="E1" s="34">
        <f t="shared" si="0"/>
        <v>5</v>
      </c>
      <c r="F1" s="34">
        <f t="shared" si="0"/>
        <v>6</v>
      </c>
      <c r="G1" s="5">
        <f t="shared" si="0"/>
        <v>7</v>
      </c>
      <c r="H1" s="25">
        <f t="shared" si="0"/>
        <v>8</v>
      </c>
      <c r="I1" s="25">
        <f t="shared" si="0"/>
        <v>9</v>
      </c>
      <c r="J1" s="25">
        <f t="shared" si="0"/>
        <v>10</v>
      </c>
      <c r="K1" s="25">
        <f t="shared" si="0"/>
        <v>11</v>
      </c>
      <c r="L1" s="5">
        <f t="shared" si="0"/>
        <v>12</v>
      </c>
      <c r="M1" s="27">
        <f t="shared" si="0"/>
        <v>13</v>
      </c>
      <c r="N1" s="27">
        <f t="shared" si="0"/>
        <v>14</v>
      </c>
      <c r="O1" s="27">
        <f t="shared" si="0"/>
        <v>15</v>
      </c>
      <c r="P1" s="27">
        <f t="shared" si="0"/>
        <v>16</v>
      </c>
      <c r="Q1" s="32">
        <f t="shared" si="0"/>
        <v>17</v>
      </c>
      <c r="R1" s="32">
        <f>Q1+1</f>
        <v>18</v>
      </c>
      <c r="S1" s="32">
        <f t="shared" si="0"/>
        <v>19</v>
      </c>
      <c r="T1" s="32">
        <f t="shared" si="0"/>
        <v>20</v>
      </c>
      <c r="U1" s="32">
        <f t="shared" si="0"/>
        <v>21</v>
      </c>
      <c r="V1" s="32">
        <f t="shared" si="0"/>
        <v>22</v>
      </c>
      <c r="W1" s="32">
        <f t="shared" si="0"/>
        <v>23</v>
      </c>
      <c r="X1" s="32">
        <f t="shared" si="0"/>
        <v>24</v>
      </c>
      <c r="Y1" s="32">
        <f t="shared" si="0"/>
        <v>25</v>
      </c>
      <c r="AA1" s="607" t="s">
        <v>701</v>
      </c>
      <c r="AB1" s="607" t="s">
        <v>701</v>
      </c>
      <c r="AF1" s="584" t="s">
        <v>1329</v>
      </c>
      <c r="AG1" s="584"/>
      <c r="AH1" s="584"/>
      <c r="AI1" s="584"/>
      <c r="AJ1" s="584"/>
      <c r="AK1" s="584"/>
      <c r="AL1" s="585" t="s">
        <v>1338</v>
      </c>
      <c r="AM1" s="585"/>
      <c r="AN1" s="586" t="s">
        <v>1339</v>
      </c>
      <c r="AO1" s="319"/>
      <c r="AQ1" t="s">
        <v>1340</v>
      </c>
    </row>
    <row r="2" spans="1:43">
      <c r="A2" s="6" t="s">
        <v>115</v>
      </c>
      <c r="B2" s="6" t="s">
        <v>439</v>
      </c>
      <c r="C2" s="35" t="s">
        <v>448</v>
      </c>
      <c r="D2" s="35" t="s">
        <v>449</v>
      </c>
      <c r="E2" s="35" t="s">
        <v>450</v>
      </c>
      <c r="F2" s="35" t="s">
        <v>451</v>
      </c>
      <c r="G2" s="6" t="s">
        <v>506</v>
      </c>
      <c r="H2" s="26" t="s">
        <v>448</v>
      </c>
      <c r="I2" s="26" t="s">
        <v>449</v>
      </c>
      <c r="J2" s="26" t="s">
        <v>450</v>
      </c>
      <c r="K2" s="26" t="s">
        <v>451</v>
      </c>
      <c r="L2" s="6" t="s">
        <v>507</v>
      </c>
      <c r="M2" s="28" t="s">
        <v>448</v>
      </c>
      <c r="N2" s="28" t="s">
        <v>449</v>
      </c>
      <c r="O2" s="28" t="s">
        <v>450</v>
      </c>
      <c r="P2" s="28" t="s">
        <v>451</v>
      </c>
      <c r="Q2" s="33" t="s">
        <v>509</v>
      </c>
      <c r="R2" s="33" t="s">
        <v>510</v>
      </c>
      <c r="S2" s="33" t="s">
        <v>511</v>
      </c>
      <c r="T2" s="33" t="s">
        <v>508</v>
      </c>
      <c r="U2" s="33" t="s">
        <v>518</v>
      </c>
      <c r="V2" s="587" t="s">
        <v>512</v>
      </c>
      <c r="W2" s="588"/>
      <c r="X2" s="587" t="s">
        <v>513</v>
      </c>
      <c r="Y2" s="588"/>
      <c r="AA2" s="607"/>
      <c r="AB2" s="607"/>
      <c r="AF2" s="586" t="s">
        <v>1330</v>
      </c>
      <c r="AG2" s="586" t="s">
        <v>1331</v>
      </c>
      <c r="AH2" s="586" t="s">
        <v>1332</v>
      </c>
      <c r="AI2" s="584" t="s">
        <v>1333</v>
      </c>
      <c r="AJ2" s="586" t="s">
        <v>1334</v>
      </c>
      <c r="AK2" s="586" t="s">
        <v>1335</v>
      </c>
      <c r="AL2" s="586" t="s">
        <v>1336</v>
      </c>
      <c r="AM2" s="586" t="s">
        <v>1337</v>
      </c>
      <c r="AN2" s="586"/>
      <c r="AO2" s="319"/>
    </row>
    <row r="3" spans="1:43" ht="16.5" thickBot="1">
      <c r="A3" s="77" t="s">
        <v>69</v>
      </c>
      <c r="B3" s="77" t="s">
        <v>69</v>
      </c>
      <c r="C3" s="78" t="s">
        <v>446</v>
      </c>
      <c r="D3" s="78" t="s">
        <v>446</v>
      </c>
      <c r="E3" s="78" t="s">
        <v>447</v>
      </c>
      <c r="F3" s="78" t="s">
        <v>447</v>
      </c>
      <c r="G3" s="77" t="s">
        <v>69</v>
      </c>
      <c r="H3" s="79" t="s">
        <v>446</v>
      </c>
      <c r="I3" s="79" t="s">
        <v>446</v>
      </c>
      <c r="J3" s="79" t="s">
        <v>447</v>
      </c>
      <c r="K3" s="79" t="s">
        <v>447</v>
      </c>
      <c r="L3" s="77" t="s">
        <v>69</v>
      </c>
      <c r="M3" s="80" t="s">
        <v>446</v>
      </c>
      <c r="N3" s="80" t="s">
        <v>446</v>
      </c>
      <c r="O3" s="80" t="s">
        <v>447</v>
      </c>
      <c r="P3" s="80" t="s">
        <v>447</v>
      </c>
      <c r="Q3" s="81" t="s">
        <v>446</v>
      </c>
      <c r="R3" s="81" t="s">
        <v>446</v>
      </c>
      <c r="S3" s="81" t="s">
        <v>446</v>
      </c>
      <c r="T3" s="81" t="s">
        <v>446</v>
      </c>
      <c r="U3" s="81" t="s">
        <v>69</v>
      </c>
      <c r="V3" s="81" t="s">
        <v>446</v>
      </c>
      <c r="W3" s="81" t="s">
        <v>446</v>
      </c>
      <c r="X3" s="81" t="s">
        <v>446</v>
      </c>
      <c r="Y3" s="81" t="s">
        <v>446</v>
      </c>
      <c r="AA3" s="607"/>
      <c r="AB3" s="607"/>
      <c r="AF3" s="586"/>
      <c r="AG3" s="586"/>
      <c r="AH3" s="586"/>
      <c r="AI3" s="584"/>
      <c r="AJ3" s="586"/>
      <c r="AK3" s="586"/>
      <c r="AL3" s="586"/>
      <c r="AM3" s="586"/>
      <c r="AN3" s="586"/>
      <c r="AO3" s="319"/>
    </row>
    <row r="4" spans="1:43" ht="16.5" thickBot="1">
      <c r="A4" s="85">
        <v>1</v>
      </c>
      <c r="B4" s="86" t="s">
        <v>521</v>
      </c>
      <c r="C4" s="291">
        <f>IF(B4=B3,C3,SUMIF('Date masura OD'!$G:$G,B4,'Date masura OD'!$R:$R))</f>
        <v>243490</v>
      </c>
      <c r="D4" s="291">
        <f>IFERROR(IF(VLOOKUP(B4,'Date masura OD'!$G$76:$BF$187,52,FALSE)&lt;0,-VLOOKUP(B4,'Date masura OD'!$G$76:$BF$187,52,FALSE),0),0)</f>
        <v>0</v>
      </c>
      <c r="E4" s="291">
        <v>0</v>
      </c>
      <c r="F4" s="291">
        <v>0</v>
      </c>
      <c r="G4" s="182" t="s">
        <v>568</v>
      </c>
      <c r="H4" s="312">
        <f>IF(C4=0,0,IF(RIGHT(G4,1)="N",ROUNDUP(C4*1.5%,0),IF(LEN(RIGHT(G4,LEN(G4)-FIND("_",G4,1)))=1,SUMIF('Date masura OD'!$G:$G,G4,'Date masura OD'!$R:$R),AK4)))</f>
        <v>29521</v>
      </c>
      <c r="I4" s="184">
        <f>VLOOKUP(G4,'Contorizare in SDI'!E:M,7,FALSE)</f>
        <v>70284</v>
      </c>
      <c r="J4" s="88">
        <f>VLOOKUP(G4,'Contorizare in SDI'!$E:$M,$J$1-2,FALSE)</f>
        <v>361</v>
      </c>
      <c r="K4" s="88">
        <f>VLOOKUP(G4,'Contorizare in SDI'!$E:$M,$K$1-2,FALSE)</f>
        <v>7944</v>
      </c>
      <c r="L4" s="89" t="s">
        <v>662</v>
      </c>
      <c r="M4" s="87">
        <v>0</v>
      </c>
      <c r="N4" s="88">
        <f>IF(COUNTIF(L4,"-")=1,0,VLOOKUP(L4,'Contorizare in SDI'!$F:$R,$N$1-3,FALSE))</f>
        <v>122819</v>
      </c>
      <c r="O4" s="88">
        <f>IF(COUNTIF(L4,"-")=1,0,VLOOKUP(L4,'Contorizare in SDI'!$F:$R,$O$1-3,FALSE))</f>
        <v>14</v>
      </c>
      <c r="P4" s="88">
        <f>IF(COUNTIF(L4,"-")=1,0,VLOOKUP(L4,'Contorizare in SDI'!$F:$R,$P$1-3,FALSE))</f>
        <v>1339</v>
      </c>
      <c r="Q4" s="88">
        <f>IF(RIGHT(G4,1)="N",0,H4)</f>
        <v>29521</v>
      </c>
      <c r="R4" s="88">
        <f>N4-I4</f>
        <v>52535</v>
      </c>
      <c r="S4" s="321">
        <v>0</v>
      </c>
      <c r="T4" s="88">
        <f>IF(AH4&lt;&gt;0,0,AL4)</f>
        <v>443</v>
      </c>
      <c r="U4" s="90" t="s">
        <v>514</v>
      </c>
      <c r="V4" s="580">
        <f>SUM(H4:H7)+SUM(N4:N7)</f>
        <v>404534</v>
      </c>
      <c r="W4" s="580">
        <f>SUM(Q4:S7)</f>
        <v>404534</v>
      </c>
      <c r="X4" s="580">
        <f>C4</f>
        <v>243490</v>
      </c>
      <c r="Y4" s="590">
        <f>SUM(H4:H7)+SUM(T4:T7)</f>
        <v>243490</v>
      </c>
      <c r="AA4" t="str">
        <f>IF(B3&lt;&gt;B4,IF(V4=W4,"OK","Not OK"),"")</f>
        <v>OK</v>
      </c>
      <c r="AB4" t="str">
        <f>IF(B3&lt;&gt;B4,IF(X4=Y4,"OK","Not OK"),"")</f>
        <v>OK</v>
      </c>
      <c r="AE4" t="str">
        <f t="shared" ref="AE4:AE68" si="1">IF(LEN(RIGHT(G4,LEN(G4)-FIND("_",G4,1)))=1,G4,IF(RIGHT(G4,1)="N",LEFT(G4,FIND(".",G4,1)-1),"-"))</f>
        <v>-</v>
      </c>
      <c r="AF4">
        <f>IF(LEFT(VLOOKUP(G4,'Contorizare in SDI'!$E:$M,5,FALSE),1)="V",C4,VLOOKUP(G4,'Contorizare in SDI'!$E:$M,6,FALSE))</f>
        <v>36460</v>
      </c>
      <c r="AG4">
        <f t="shared" ref="AG4:AG68" si="2">IF(B4&lt;&gt;B3,AF4,IF(COUNTIF(AE4,"-")=0,AG3,AF4+AG3))</f>
        <v>36460</v>
      </c>
      <c r="AH4">
        <f>IF(RIGHT(G4,1)="N",H4,0)</f>
        <v>0</v>
      </c>
      <c r="AI4">
        <f>ROUNDUP(AF4/(VLOOKUP(B4,$AE:$AH,3,FALSE)-VLOOKUP(B4,$AE:$AH,4,FALSE))*C4,0)</f>
        <v>29521</v>
      </c>
      <c r="AJ4">
        <f>IF(B4&lt;&gt;B3,AI4,IF(COUNTIF(AE4,"-")=0,AJ3,AI4+AJ3))</f>
        <v>29521</v>
      </c>
      <c r="AK4">
        <f t="shared" ref="AK4:AK20" si="3">IF(RIGHT(G5,1)="N",C4-IF(RIGHT(G4,1)-1&gt;0,AJ3,0)-VLOOKUP(B4,$AE:$AH,4,FALSE),AI4)</f>
        <v>29521</v>
      </c>
      <c r="AL4">
        <f t="shared" ref="AL4:AL20" si="4">IFERROR(IF(((COUNTIF($B:$B,B4)-1)-(IF(RIGHT(G4,1)="N",COUNTIF($B:$B,B4),_xlfn.NUMBERVALUE(RIGHT(G4,1)))))&gt;0,ROUNDUP(H4*1.5%,0),IF(((COUNTIF($B:$B,B4)-1)-(IF(RIGHT(G4,1)="N",COUNTIF($B:$B,B4),_xlfn.NUMBERVALUE(RIGHT(G4,1)))))=0,VLOOKUP(B4,$AE:$AK,4,FALSE)-AM3,0)),0)</f>
        <v>443</v>
      </c>
      <c r="AM4">
        <f>IF(B4&lt;&gt;B3,AL4,IF(COUNTIF(AE4,"-")=0,0,AL4+AM3))</f>
        <v>443</v>
      </c>
      <c r="AN4">
        <f t="shared" ref="AN4:AN35" si="5">SUMIF($B:$B,AE4,$N:$N)-SUMIF($B:$B,AE4,$R:$R)-SUMIF($B:$B,AE4,$D:$D)</f>
        <v>0</v>
      </c>
      <c r="AP4" t="str">
        <f>IF(LEFT(B4,FIND("_",B4,1)-1)&lt;&gt;LEFT(B5,FIND("_",B5,1)-1),LEFT(B4,FIND("_",B4,1)-1),"-")</f>
        <v>-</v>
      </c>
      <c r="AQ4">
        <f>IF(AND(COUNTIF(AP4,"-")=1,COUNTIF(AP3,"-")=0),0,AH4+AQ3)</f>
        <v>0</v>
      </c>
    </row>
    <row r="5" spans="1:43" ht="16.5" thickBot="1">
      <c r="A5" s="91">
        <f>A4+1</f>
        <v>2</v>
      </c>
      <c r="B5" s="30" t="s">
        <v>521</v>
      </c>
      <c r="C5" s="291">
        <f>IF(B5=B4,C4,SUMIF('Date masura OD'!$G:$G,B5,'Date masura OD'!$R:$R))</f>
        <v>243490</v>
      </c>
      <c r="D5" s="291">
        <f>IFERROR(IF(VLOOKUP(B5,'Date masura OD'!$G$76:$BF$187,52,FALSE)&lt;0,-VLOOKUP(B5,'Date masura OD'!$G$76:$BF$187,52,FALSE),0),0)</f>
        <v>0</v>
      </c>
      <c r="E5" s="291">
        <v>0</v>
      </c>
      <c r="F5" s="291">
        <v>0</v>
      </c>
      <c r="G5" s="183" t="s">
        <v>569</v>
      </c>
      <c r="H5" s="312">
        <f>IF(C5=0,0,IF(RIGHT(G5,1)="N",ROUNDUP(C5*1.5%,0),IF(LEN(RIGHT(G5,LEN(G5)-FIND("_",G5,1)))=1,SUMIF('Date masura OD'!$G:$G,G5,'Date masura OD'!$R:$R),AK5)))</f>
        <v>60051</v>
      </c>
      <c r="I5" s="184">
        <f>VLOOKUP(G5,'Contorizare in SDI'!E:M,7,FALSE)</f>
        <v>0</v>
      </c>
      <c r="J5" s="88">
        <f>VLOOKUP(G5,'Contorizare in SDI'!$E:$M,$J$1-2,FALSE)</f>
        <v>213</v>
      </c>
      <c r="K5" s="88">
        <f>VLOOKUP(G5,'Contorizare in SDI'!$E:$M,$K$1-2,FALSE)</f>
        <v>9799</v>
      </c>
      <c r="L5" s="29" t="s">
        <v>69</v>
      </c>
      <c r="M5" s="87">
        <v>0</v>
      </c>
      <c r="N5" s="88">
        <f>IF(COUNTIF(L5,"-")=1,0,VLOOKUP(L5,'Contorizare in SDI'!$F:$R,$N$1-3,FALSE))</f>
        <v>0</v>
      </c>
      <c r="O5" s="88">
        <f>IF(COUNTIF(L5,"-")=1,0,VLOOKUP(L5,'Contorizare in SDI'!$F:$R,$O$1-3,FALSE))</f>
        <v>0</v>
      </c>
      <c r="P5" s="88">
        <f>IF(COUNTIF(L5,"-")=1,0,VLOOKUP(L5,'Contorizare in SDI'!$F:$R,$P$1-3,FALSE))</f>
        <v>0</v>
      </c>
      <c r="Q5" s="88">
        <f t="shared" ref="Q5:Q69" si="6">IF(RIGHT(G5,1)="N",0,H5)</f>
        <v>60051</v>
      </c>
      <c r="R5" s="88">
        <f t="shared" ref="R5:R69" si="7">N5-I5</f>
        <v>0</v>
      </c>
      <c r="S5" s="1">
        <f>ROUNDUP((I4+I6)/2,0)</f>
        <v>35716</v>
      </c>
      <c r="T5" s="88">
        <f t="shared" ref="T5:T69" si="8">IF(AH5&lt;&gt;0,0,AL5)</f>
        <v>901</v>
      </c>
      <c r="U5" s="17" t="s">
        <v>514</v>
      </c>
      <c r="V5" s="581"/>
      <c r="W5" s="581"/>
      <c r="X5" s="581"/>
      <c r="Y5" s="583"/>
      <c r="AA5" t="str">
        <f t="shared" ref="AA5:AA69" si="9">IF(B4&lt;&gt;B5,IF(V5=W5,"OK","Not OK"),"")</f>
        <v/>
      </c>
      <c r="AB5" t="str">
        <f t="shared" ref="AB5:AB69" si="10">IF(B4&lt;&gt;B5,IF(X5=Y5,"OK","Not OK"),"")</f>
        <v/>
      </c>
      <c r="AE5" t="str">
        <f t="shared" si="1"/>
        <v>-</v>
      </c>
      <c r="AF5">
        <f>IF(LEFT(VLOOKUP(G5,'Contorizare in SDI'!$E:$M,5,FALSE),1)="V",C5,VLOOKUP(G5,'Contorizare in SDI'!$E:$M,6,FALSE))</f>
        <v>74167</v>
      </c>
      <c r="AG5">
        <f t="shared" si="2"/>
        <v>110627</v>
      </c>
      <c r="AH5">
        <f t="shared" ref="AH5:AH69" si="11">IF(RIGHT(G5,1)="N",H5,0)</f>
        <v>0</v>
      </c>
      <c r="AI5">
        <f t="shared" ref="AI5:AI61" si="12">ROUNDUP(AF5/(VLOOKUP(B5,$AE:$AH,3,FALSE)-VLOOKUP(B5,$AE:$AH,4,FALSE))*C5,0)</f>
        <v>60051</v>
      </c>
      <c r="AJ5">
        <f t="shared" ref="AJ5:AJ69" si="13">IF(B5&lt;&gt;B4,AI5,IF(COUNTIF(AE5,"-")=0,AJ4,AI5+AJ4))</f>
        <v>89572</v>
      </c>
      <c r="AK5">
        <f t="shared" si="3"/>
        <v>60051</v>
      </c>
      <c r="AL5">
        <f t="shared" si="4"/>
        <v>901</v>
      </c>
      <c r="AM5">
        <f t="shared" ref="AM5:AM69" si="14">IF(B5&lt;&gt;B4,AL5,IF(COUNTIF(AE5,"-")=0,0,AL5+AM4))</f>
        <v>1344</v>
      </c>
      <c r="AN5">
        <f t="shared" si="5"/>
        <v>0</v>
      </c>
      <c r="AP5" t="str">
        <f t="shared" ref="AP5:AP68" si="15">IF(LEFT(B5,FIND("_",B5,1)-1)&lt;&gt;LEFT(B6,FIND("_",B6,1)-1),LEFT(B5,FIND("_",B5,1)-1),"-")</f>
        <v>-</v>
      </c>
      <c r="AQ5">
        <f t="shared" ref="AQ5:AQ25" si="16">IF(AND(COUNTIF(AP5,"-")=1,COUNTIF(AP4,"-")=0),0,AH5+AQ4)</f>
        <v>0</v>
      </c>
    </row>
    <row r="6" spans="1:43" ht="16.5" thickBot="1">
      <c r="A6" s="91">
        <f t="shared" ref="A6:A72" si="17">A5+1</f>
        <v>3</v>
      </c>
      <c r="B6" s="30" t="s">
        <v>521</v>
      </c>
      <c r="C6" s="291">
        <f>IF(B6=B5,C5,SUMIF('Date masura OD'!$G:$G,B6,'Date masura OD'!$R:$R))</f>
        <v>243490</v>
      </c>
      <c r="D6" s="291">
        <f>IFERROR(IF(VLOOKUP(B6,'Date masura OD'!$G$76:$BF$187,52,FALSE)&lt;0,-VLOOKUP(B6,'Date masura OD'!$G$76:$BF$187,52,FALSE),0),0)</f>
        <v>0</v>
      </c>
      <c r="E6" s="291">
        <v>0</v>
      </c>
      <c r="F6" s="291">
        <v>0</v>
      </c>
      <c r="G6" s="183" t="s">
        <v>570</v>
      </c>
      <c r="H6" s="312">
        <f>IF(C6=0,0,IF(RIGHT(G6,1)="N",ROUNDUP(C6*1.5%,0),IF(LEN(RIGHT(G6,LEN(G6)-FIND("_",G6,1)))=1,SUMIF('Date masura OD'!$G:$G,G6,'Date masura OD'!$R:$R),AK6)))</f>
        <v>53656</v>
      </c>
      <c r="I6" s="184">
        <f>VLOOKUP(G6,'Contorizare in SDI'!E:M,7,FALSE)</f>
        <v>1147</v>
      </c>
      <c r="J6" s="88">
        <f>VLOOKUP(G6,'Contorizare in SDI'!$E:$M,$J$1-2,FALSE)</f>
        <v>15141</v>
      </c>
      <c r="K6" s="88">
        <f>VLOOKUP(G6,'Contorizare in SDI'!$E:$M,$K$1-2,FALSE)</f>
        <v>1257</v>
      </c>
      <c r="L6" s="29" t="s">
        <v>663</v>
      </c>
      <c r="M6" s="87">
        <v>0</v>
      </c>
      <c r="N6" s="88">
        <f>IF(COUNTIF(L6,"-")=1,0,VLOOKUP(L6,'Contorizare in SDI'!$F:$R,$N$1-3,FALSE))</f>
        <v>41878</v>
      </c>
      <c r="O6" s="88">
        <f>IF(COUNTIF(L6,"-")=1,0,VLOOKUP(L6,'Contorizare in SDI'!$F:$R,$O$1-3,FALSE))</f>
        <v>12</v>
      </c>
      <c r="P6" s="88">
        <f>IF(COUNTIF(L6,"-")=1,0,VLOOKUP(L6,'Contorizare in SDI'!$F:$R,$P$1-3,FALSE))</f>
        <v>500</v>
      </c>
      <c r="Q6" s="88">
        <f t="shared" si="6"/>
        <v>53656</v>
      </c>
      <c r="R6" s="88">
        <f t="shared" si="7"/>
        <v>40731</v>
      </c>
      <c r="S6" s="321">
        <v>0</v>
      </c>
      <c r="T6" s="88">
        <f t="shared" si="8"/>
        <v>805</v>
      </c>
      <c r="U6" s="17" t="s">
        <v>514</v>
      </c>
      <c r="V6" s="581"/>
      <c r="W6" s="581"/>
      <c r="X6" s="581"/>
      <c r="Y6" s="583"/>
      <c r="AA6" t="str">
        <f t="shared" si="9"/>
        <v/>
      </c>
      <c r="AB6" t="str">
        <f t="shared" si="10"/>
        <v/>
      </c>
      <c r="AE6" t="str">
        <f t="shared" si="1"/>
        <v>-</v>
      </c>
      <c r="AF6">
        <f>IF(LEFT(VLOOKUP(G6,'Contorizare in SDI'!$E:$M,5,FALSE),1)="V",C6,VLOOKUP(G6,'Contorizare in SDI'!$E:$M,6,FALSE))</f>
        <v>66269</v>
      </c>
      <c r="AG6">
        <f t="shared" si="2"/>
        <v>176896</v>
      </c>
      <c r="AH6">
        <f t="shared" si="11"/>
        <v>0</v>
      </c>
      <c r="AI6">
        <f t="shared" si="12"/>
        <v>53656</v>
      </c>
      <c r="AJ6">
        <f t="shared" si="13"/>
        <v>143228</v>
      </c>
      <c r="AK6">
        <f t="shared" si="3"/>
        <v>53656</v>
      </c>
      <c r="AL6">
        <f t="shared" si="4"/>
        <v>805</v>
      </c>
      <c r="AM6">
        <f t="shared" si="14"/>
        <v>2149</v>
      </c>
      <c r="AN6">
        <f t="shared" si="5"/>
        <v>0</v>
      </c>
      <c r="AP6" t="str">
        <f t="shared" si="15"/>
        <v>-</v>
      </c>
      <c r="AQ6">
        <f t="shared" si="16"/>
        <v>0</v>
      </c>
    </row>
    <row r="7" spans="1:43" ht="16.5" thickBot="1">
      <c r="A7" s="91">
        <f t="shared" si="17"/>
        <v>4</v>
      </c>
      <c r="B7" s="30" t="s">
        <v>521</v>
      </c>
      <c r="C7" s="291">
        <f>IF(B7=B6,C6,SUMIF('Date masura OD'!$G:$G,B7,'Date masura OD'!$R:$R))</f>
        <v>243490</v>
      </c>
      <c r="D7" s="291">
        <f>IFERROR(IF(VLOOKUP(B7,'Date masura OD'!$G$76:$BF$187,52,FALSE)&lt;0,-VLOOKUP(B7,'Date masura OD'!$G$76:$BF$187,52,FALSE),0),0)</f>
        <v>0</v>
      </c>
      <c r="E7" s="291">
        <v>0</v>
      </c>
      <c r="F7" s="291">
        <v>0</v>
      </c>
      <c r="G7" s="183" t="s">
        <v>571</v>
      </c>
      <c r="H7" s="312">
        <f>IF(C7=0,0,IF(RIGHT(G7,1)="N",ROUNDUP(C7*1.5%,0),IF(LEN(RIGHT(G7,LEN(G7)-FIND("_",G7,1)))=1,SUMIF('Date masura OD'!$G:$G,G7,'Date masura OD'!$R:$R),AK7)))</f>
        <v>96609</v>
      </c>
      <c r="I7" s="184">
        <f>VLOOKUP(G7,'Contorizare in SDI'!E:M,7,FALSE)</f>
        <v>0</v>
      </c>
      <c r="J7" s="88">
        <f>VLOOKUP(G7,'Contorizare in SDI'!$E:$M,$J$1-2,FALSE)</f>
        <v>117</v>
      </c>
      <c r="K7" s="88">
        <f>VLOOKUP(G7,'Contorizare in SDI'!$E:$M,$K$1-2,FALSE)</f>
        <v>41781</v>
      </c>
      <c r="L7" s="29" t="s">
        <v>69</v>
      </c>
      <c r="M7" s="87">
        <v>0</v>
      </c>
      <c r="N7" s="88">
        <f>IF(COUNTIF(L7,"-")=1,0,VLOOKUP(L7,'Contorizare in SDI'!$F:$R,$N$1-3,FALSE))</f>
        <v>0</v>
      </c>
      <c r="O7" s="88">
        <f>IF(COUNTIF(L7,"-")=1,0,VLOOKUP(L7,'Contorizare in SDI'!$F:$R,$O$1-3,FALSE))</f>
        <v>0</v>
      </c>
      <c r="P7" s="88">
        <f>IF(COUNTIF(L7,"-")=1,0,VLOOKUP(L7,'Contorizare in SDI'!$F:$R,$P$1-3,FALSE))</f>
        <v>0</v>
      </c>
      <c r="Q7" s="88">
        <f t="shared" si="6"/>
        <v>96609</v>
      </c>
      <c r="R7" s="88">
        <f t="shared" si="7"/>
        <v>0</v>
      </c>
      <c r="S7" s="1">
        <f>I4+I6-S5</f>
        <v>35715</v>
      </c>
      <c r="T7" s="88">
        <f t="shared" si="8"/>
        <v>1504</v>
      </c>
      <c r="U7" s="17" t="s">
        <v>514</v>
      </c>
      <c r="V7" s="581"/>
      <c r="W7" s="581"/>
      <c r="X7" s="581"/>
      <c r="Y7" s="583"/>
      <c r="AA7" t="str">
        <f t="shared" si="9"/>
        <v/>
      </c>
      <c r="AB7" t="str">
        <f t="shared" si="10"/>
        <v/>
      </c>
      <c r="AE7" t="str">
        <f t="shared" si="1"/>
        <v>-</v>
      </c>
      <c r="AF7">
        <f>IF(LEFT(VLOOKUP(G7,'Contorizare in SDI'!$E:$M,5,FALSE),1)="V",C7,VLOOKUP(G7,'Contorizare in SDI'!$E:$M,6,FALSE))</f>
        <v>127488</v>
      </c>
      <c r="AG7">
        <f t="shared" si="2"/>
        <v>304384</v>
      </c>
      <c r="AH7">
        <f t="shared" si="11"/>
        <v>0</v>
      </c>
      <c r="AI7">
        <f t="shared" si="12"/>
        <v>103222</v>
      </c>
      <c r="AJ7">
        <f t="shared" si="13"/>
        <v>246450</v>
      </c>
      <c r="AK7">
        <f t="shared" si="3"/>
        <v>96609</v>
      </c>
      <c r="AL7">
        <f t="shared" si="4"/>
        <v>1504</v>
      </c>
      <c r="AM7">
        <f t="shared" si="14"/>
        <v>3653</v>
      </c>
      <c r="AN7">
        <f t="shared" si="5"/>
        <v>0</v>
      </c>
      <c r="AP7" t="str">
        <f t="shared" si="15"/>
        <v>-</v>
      </c>
      <c r="AQ7">
        <f t="shared" si="16"/>
        <v>0</v>
      </c>
    </row>
    <row r="8" spans="1:43" ht="16.5" thickBot="1">
      <c r="A8" s="92">
        <f t="shared" si="17"/>
        <v>5</v>
      </c>
      <c r="B8" s="93" t="s">
        <v>521</v>
      </c>
      <c r="C8" s="291">
        <f>IF(B8=B7,C7,SUMIF('Date masura OD'!$G:$G,B8,'Date masura OD'!$R:$R))</f>
        <v>243490</v>
      </c>
      <c r="D8" s="291">
        <f>IFERROR(IF(VLOOKUP(B8,'Date masura OD'!$G$76:$BF$187,52,FALSE)&lt;0,-VLOOKUP(B8,'Date masura OD'!$G$76:$BF$187,52,FALSE),0),0)</f>
        <v>0</v>
      </c>
      <c r="E8" s="291">
        <v>0</v>
      </c>
      <c r="F8" s="291">
        <v>0</v>
      </c>
      <c r="G8" s="108" t="s">
        <v>955</v>
      </c>
      <c r="H8" s="312">
        <f>IF(C8=0,0,IF(RIGHT(G8,1)="N",ROUNDUP(C8*1.5%,0),IF(LEN(RIGHT(G8,LEN(G8)-FIND("_",G8,1)))=1,SUMIF('Date masura OD'!$G:$G,G8,'Date masura OD'!$R:$R),AK8)))</f>
        <v>3653</v>
      </c>
      <c r="I8" s="184">
        <f>VLOOKUP(G8,'Contorizare in SDI'!E:M,7,FALSE)</f>
        <v>0</v>
      </c>
      <c r="J8" s="88">
        <f>VLOOKUP(G8,'Contorizare in SDI'!$E:$M,$J$1-2,FALSE)</f>
        <v>0</v>
      </c>
      <c r="K8" s="88">
        <f>VLOOKUP(G8,'Contorizare in SDI'!$E:$M,$K$1-2,FALSE)</f>
        <v>0</v>
      </c>
      <c r="L8" s="94" t="s">
        <v>69</v>
      </c>
      <c r="M8" s="87">
        <v>0</v>
      </c>
      <c r="N8" s="88">
        <f>IF(COUNTIF(L8,"-")=1,0,VLOOKUP(L8,'Contorizare in SDI'!$F:$R,$N$1-3,FALSE))</f>
        <v>0</v>
      </c>
      <c r="O8" s="88">
        <f>IF(COUNTIF(L8,"-")=1,0,VLOOKUP(L8,'Contorizare in SDI'!$F:$R,$O$1-3,FALSE))</f>
        <v>0</v>
      </c>
      <c r="P8" s="88">
        <f>IF(COUNTIF(L8,"-")=1,0,VLOOKUP(L8,'Contorizare in SDI'!$F:$R,$P$1-3,FALSE))</f>
        <v>0</v>
      </c>
      <c r="Q8" s="88">
        <f t="shared" si="6"/>
        <v>0</v>
      </c>
      <c r="R8" s="88">
        <f t="shared" si="7"/>
        <v>0</v>
      </c>
      <c r="S8" s="321">
        <v>0</v>
      </c>
      <c r="T8" s="88">
        <f t="shared" si="8"/>
        <v>0</v>
      </c>
      <c r="U8" s="95" t="s">
        <v>69</v>
      </c>
      <c r="V8" s="589"/>
      <c r="W8" s="589"/>
      <c r="X8" s="589"/>
      <c r="Y8" s="591"/>
      <c r="AA8" t="str">
        <f t="shared" si="9"/>
        <v/>
      </c>
      <c r="AB8" t="str">
        <f t="shared" si="10"/>
        <v/>
      </c>
      <c r="AE8" t="str">
        <f t="shared" si="1"/>
        <v>RRVS_1</v>
      </c>
      <c r="AF8">
        <f>IF(LEFT(VLOOKUP(G8,'Contorizare in SDI'!$E:$M,5,FALSE),1)="V",C8,VLOOKUP(G8,'Contorizare in SDI'!$E:$M,6,FALSE))</f>
        <v>0</v>
      </c>
      <c r="AG8">
        <f t="shared" si="2"/>
        <v>304384</v>
      </c>
      <c r="AH8">
        <f t="shared" si="11"/>
        <v>3653</v>
      </c>
      <c r="AI8">
        <f t="shared" si="12"/>
        <v>0</v>
      </c>
      <c r="AJ8">
        <f t="shared" si="13"/>
        <v>246450</v>
      </c>
      <c r="AK8">
        <f t="shared" si="3"/>
        <v>0</v>
      </c>
      <c r="AL8">
        <f t="shared" si="4"/>
        <v>0</v>
      </c>
      <c r="AM8">
        <f t="shared" si="14"/>
        <v>0</v>
      </c>
      <c r="AN8">
        <f t="shared" si="5"/>
        <v>71431</v>
      </c>
      <c r="AP8" t="str">
        <f t="shared" si="15"/>
        <v>RRVS</v>
      </c>
      <c r="AQ8">
        <f t="shared" si="16"/>
        <v>3653</v>
      </c>
    </row>
    <row r="9" spans="1:43" ht="16.5" thickBot="1">
      <c r="A9" s="85">
        <f t="shared" si="17"/>
        <v>6</v>
      </c>
      <c r="B9" s="86" t="s">
        <v>522</v>
      </c>
      <c r="C9" s="291">
        <f>IF(B9=B8,C8,SUMIF('Date masura OD'!$G:$G,B9,'Date masura OD'!$R:$R))</f>
        <v>3660</v>
      </c>
      <c r="D9" s="291">
        <f>IFERROR(IF(VLOOKUP(B9,'Date masura OD'!$G$76:$BF$187,52,FALSE)&lt;0,-VLOOKUP(B9,'Date masura OD'!$G$76:$BF$187,52,FALSE),0),0)</f>
        <v>0</v>
      </c>
      <c r="E9" s="291">
        <v>0</v>
      </c>
      <c r="F9" s="291">
        <v>0</v>
      </c>
      <c r="G9" s="106" t="s">
        <v>572</v>
      </c>
      <c r="H9" s="312">
        <f>IF(C9=0,0,IF(RIGHT(G9,1)="N",ROUNDUP(C9*1.5%,0),IF(LEN(RIGHT(G9,LEN(G9)-FIND("_",G9,1)))=1,SUMIF('Date masura OD'!$G:$G,G9,'Date masura OD'!$R:$R),AK9)))</f>
        <v>3605</v>
      </c>
      <c r="I9" s="184">
        <f>VLOOKUP(G9,'Contorizare in SDI'!E:M,7,FALSE)</f>
        <v>0</v>
      </c>
      <c r="J9" s="88">
        <f>VLOOKUP(G9,'Contorizare in SDI'!$E:$M,$J$1-2,FALSE)</f>
        <v>0</v>
      </c>
      <c r="K9" s="88">
        <f>VLOOKUP(G9,'Contorizare in SDI'!$E:$M,$K$1-2,FALSE)</f>
        <v>0</v>
      </c>
      <c r="L9" s="89" t="s">
        <v>69</v>
      </c>
      <c r="M9" s="87">
        <v>0</v>
      </c>
      <c r="N9" s="88">
        <f>IF(COUNTIF(L9,"-")=1,0,VLOOKUP(L9,'Contorizare in SDI'!$F:$R,$N$1-3,FALSE))</f>
        <v>0</v>
      </c>
      <c r="O9" s="88">
        <f>IF(COUNTIF(L9,"-")=1,0,VLOOKUP(L9,'Contorizare in SDI'!$F:$R,$O$1-3,FALSE))</f>
        <v>0</v>
      </c>
      <c r="P9" s="88">
        <f>IF(COUNTIF(L9,"-")=1,0,VLOOKUP(L9,'Contorizare in SDI'!$F:$R,$P$1-3,FALSE))</f>
        <v>0</v>
      </c>
      <c r="Q9" s="88">
        <f t="shared" si="6"/>
        <v>3605</v>
      </c>
      <c r="R9" s="88">
        <f t="shared" si="7"/>
        <v>0</v>
      </c>
      <c r="S9" s="321">
        <v>0</v>
      </c>
      <c r="T9" s="88">
        <f t="shared" si="8"/>
        <v>55</v>
      </c>
      <c r="U9" s="90" t="s">
        <v>514</v>
      </c>
      <c r="V9" s="580">
        <f>SUM(H9)-SUM(N9)+SUM(I9)</f>
        <v>3605</v>
      </c>
      <c r="W9" s="580">
        <f>SUM(Q9:S9)</f>
        <v>3605</v>
      </c>
      <c r="X9" s="580">
        <f>C9</f>
        <v>3660</v>
      </c>
      <c r="Y9" s="582">
        <f>SUM(H9)+SUM(T9)</f>
        <v>3660</v>
      </c>
      <c r="AA9" t="str">
        <f t="shared" si="9"/>
        <v>OK</v>
      </c>
      <c r="AB9" t="str">
        <f t="shared" si="10"/>
        <v>OK</v>
      </c>
      <c r="AE9" t="str">
        <f t="shared" si="1"/>
        <v>-</v>
      </c>
      <c r="AF9">
        <f>IF(LEFT(VLOOKUP(G9,'Contorizare in SDI'!$E:$M,5,FALSE),1)="V",C9,VLOOKUP(G9,'Contorizare in SDI'!$E:$M,6,FALSE))</f>
        <v>3660</v>
      </c>
      <c r="AG9">
        <f t="shared" si="2"/>
        <v>3660</v>
      </c>
      <c r="AH9">
        <f t="shared" si="11"/>
        <v>0</v>
      </c>
      <c r="AI9">
        <f t="shared" si="12"/>
        <v>3716</v>
      </c>
      <c r="AJ9">
        <f t="shared" si="13"/>
        <v>3716</v>
      </c>
      <c r="AK9">
        <f t="shared" si="3"/>
        <v>3605</v>
      </c>
      <c r="AL9">
        <f t="shared" si="4"/>
        <v>55</v>
      </c>
      <c r="AM9">
        <f t="shared" si="14"/>
        <v>55</v>
      </c>
      <c r="AN9">
        <f t="shared" si="5"/>
        <v>0</v>
      </c>
      <c r="AP9" t="str">
        <f t="shared" si="15"/>
        <v>-</v>
      </c>
      <c r="AQ9">
        <f t="shared" si="16"/>
        <v>0</v>
      </c>
    </row>
    <row r="10" spans="1:43" ht="16.5" thickBot="1">
      <c r="A10" s="91">
        <f t="shared" si="17"/>
        <v>7</v>
      </c>
      <c r="B10" s="30" t="s">
        <v>522</v>
      </c>
      <c r="C10" s="291">
        <f>IF(B10=B9,C9,SUMIF('Date masura OD'!$G:$G,B10,'Date masura OD'!$R:$R))</f>
        <v>3660</v>
      </c>
      <c r="D10" s="291">
        <f>IFERROR(IF(VLOOKUP(B10,'Date masura OD'!$G$76:$BF$187,52,FALSE)&lt;0,-VLOOKUP(B10,'Date masura OD'!$G$76:$BF$187,52,FALSE),0),0)</f>
        <v>0</v>
      </c>
      <c r="E10" s="291">
        <v>0</v>
      </c>
      <c r="F10" s="291">
        <v>0</v>
      </c>
      <c r="G10" s="107" t="s">
        <v>956</v>
      </c>
      <c r="H10" s="312">
        <f>IF(C10=0,0,IF(RIGHT(G10,1)="N",ROUNDUP(C10*1.5%,0),IF(LEN(RIGHT(G10,LEN(G10)-FIND("_",G10,1)))=1,SUMIF('Date masura OD'!$G:$G,G10,'Date masura OD'!$R:$R),AK10)))</f>
        <v>55</v>
      </c>
      <c r="I10" s="184">
        <f>VLOOKUP(G10,'Contorizare in SDI'!E:M,7,FALSE)</f>
        <v>0</v>
      </c>
      <c r="J10" s="88">
        <f>VLOOKUP(G10,'Contorizare in SDI'!$E:$M,$J$1-2,FALSE)</f>
        <v>0</v>
      </c>
      <c r="K10" s="88">
        <f>VLOOKUP(G10,'Contorizare in SDI'!$E:$M,$K$1-2,FALSE)</f>
        <v>0</v>
      </c>
      <c r="L10" s="29" t="s">
        <v>69</v>
      </c>
      <c r="M10" s="87">
        <v>0</v>
      </c>
      <c r="N10" s="88">
        <f>IF(COUNTIF(L10,"-")=1,0,VLOOKUP(L10,'Contorizare in SDI'!$F:$R,$N$1-3,FALSE))</f>
        <v>0</v>
      </c>
      <c r="O10" s="88">
        <f>IF(COUNTIF(L10,"-")=1,0,VLOOKUP(L10,'Contorizare in SDI'!$F:$R,$O$1-3,FALSE))</f>
        <v>0</v>
      </c>
      <c r="P10" s="88">
        <f>IF(COUNTIF(L10,"-")=1,0,VLOOKUP(L10,'Contorizare in SDI'!$F:$R,$P$1-3,FALSE))</f>
        <v>0</v>
      </c>
      <c r="Q10" s="88">
        <f t="shared" si="6"/>
        <v>0</v>
      </c>
      <c r="R10" s="88">
        <f t="shared" si="7"/>
        <v>0</v>
      </c>
      <c r="S10" s="321">
        <v>0</v>
      </c>
      <c r="T10" s="88">
        <f t="shared" si="8"/>
        <v>0</v>
      </c>
      <c r="U10" s="17" t="s">
        <v>69</v>
      </c>
      <c r="V10" s="581"/>
      <c r="W10" s="581"/>
      <c r="X10" s="581"/>
      <c r="Y10" s="583"/>
      <c r="AA10" t="str">
        <f t="shared" si="9"/>
        <v/>
      </c>
      <c r="AB10" t="str">
        <f t="shared" si="10"/>
        <v/>
      </c>
      <c r="AE10" t="str">
        <f t="shared" si="1"/>
        <v>RBPM_1</v>
      </c>
      <c r="AF10">
        <f>IF(LEFT(VLOOKUP(G10,'Contorizare in SDI'!$E:$M,5,FALSE),1)="V",C10,VLOOKUP(G10,'Contorizare in SDI'!$E:$M,6,FALSE))</f>
        <v>0</v>
      </c>
      <c r="AG10">
        <f t="shared" si="2"/>
        <v>3660</v>
      </c>
      <c r="AH10">
        <f t="shared" si="11"/>
        <v>55</v>
      </c>
      <c r="AI10">
        <f t="shared" si="12"/>
        <v>0</v>
      </c>
      <c r="AJ10">
        <f t="shared" si="13"/>
        <v>3716</v>
      </c>
      <c r="AK10">
        <f t="shared" si="3"/>
        <v>0</v>
      </c>
      <c r="AL10">
        <f t="shared" si="4"/>
        <v>0</v>
      </c>
      <c r="AM10">
        <f t="shared" si="14"/>
        <v>0</v>
      </c>
      <c r="AN10">
        <f t="shared" si="5"/>
        <v>0</v>
      </c>
      <c r="AP10" t="str">
        <f t="shared" si="15"/>
        <v>-</v>
      </c>
      <c r="AQ10">
        <f t="shared" si="16"/>
        <v>55</v>
      </c>
    </row>
    <row r="11" spans="1:43" ht="16.5" thickBot="1">
      <c r="A11" s="91">
        <f t="shared" si="17"/>
        <v>8</v>
      </c>
      <c r="B11" s="30" t="s">
        <v>523</v>
      </c>
      <c r="C11" s="291">
        <f>IF(B11=B10,C10,SUMIF('Date masura OD'!$G:$G,B11,'Date masura OD'!$R:$R))</f>
        <v>242240</v>
      </c>
      <c r="D11" s="291">
        <f>IFERROR(IF(VLOOKUP(B11,'Date masura OD'!$G$76:$BF$187,52,FALSE)&lt;0,-VLOOKUP(B11,'Date masura OD'!$G$76:$BF$187,52,FALSE),0),0)</f>
        <v>0</v>
      </c>
      <c r="E11" s="291">
        <v>0</v>
      </c>
      <c r="F11" s="291">
        <v>0</v>
      </c>
      <c r="G11" s="107" t="s">
        <v>573</v>
      </c>
      <c r="H11" s="312">
        <f>IF(C11=0,0,IF(RIGHT(G11,1)="N",ROUNDUP(C11*1.5%,0),IF(LEN(RIGHT(G11,LEN(G11)-FIND("_",G11,1)))=1,SUMIF('Date masura OD'!$G:$G,G11,'Date masura OD'!$R:$R),AK11)))</f>
        <v>161388</v>
      </c>
      <c r="I11" s="184">
        <f>VLOOKUP(G11,'Contorizare in SDI'!E:M,7,FALSE)</f>
        <v>34</v>
      </c>
      <c r="J11" s="88">
        <f>VLOOKUP(G11,'Contorizare in SDI'!$E:$M,$J$1-2,FALSE)</f>
        <v>50318</v>
      </c>
      <c r="K11" s="88">
        <f>VLOOKUP(G11,'Contorizare in SDI'!$E:$M,$K$1-2,FALSE)</f>
        <v>2502</v>
      </c>
      <c r="L11" s="29" t="s">
        <v>664</v>
      </c>
      <c r="M11" s="87">
        <v>0</v>
      </c>
      <c r="N11" s="88">
        <f>IF(COUNTIF(L11,"-")=1,0,VLOOKUP(L11,'Contorizare in SDI'!$F:$R,$N$1-3,FALSE))</f>
        <v>76612</v>
      </c>
      <c r="O11" s="88">
        <f>IF(COUNTIF(L11,"-")=1,0,VLOOKUP(L11,'Contorizare in SDI'!$F:$R,$O$1-3,FALSE))</f>
        <v>101596</v>
      </c>
      <c r="P11" s="88">
        <f>IF(COUNTIF(L11,"-")=1,0,VLOOKUP(L11,'Contorizare in SDI'!$F:$R,$P$1-3,FALSE))</f>
        <v>685</v>
      </c>
      <c r="Q11" s="88">
        <f t="shared" si="6"/>
        <v>161388</v>
      </c>
      <c r="R11" s="88">
        <f t="shared" si="7"/>
        <v>76578</v>
      </c>
      <c r="S11" s="1">
        <f>I12</f>
        <v>29203</v>
      </c>
      <c r="T11" s="88">
        <f t="shared" si="8"/>
        <v>2421</v>
      </c>
      <c r="U11" s="17" t="s">
        <v>514</v>
      </c>
      <c r="V11" s="581">
        <f>SUM(H11:H12)+SUM(N11:N12)</f>
        <v>454943</v>
      </c>
      <c r="W11" s="581">
        <f>SUM(Q11:S12)</f>
        <v>454943</v>
      </c>
      <c r="X11" s="581">
        <f>C11</f>
        <v>242240</v>
      </c>
      <c r="Y11" s="583">
        <f>SUM(H11:H12)+SUM(T11:T12)</f>
        <v>242240</v>
      </c>
      <c r="AA11" t="str">
        <f t="shared" si="9"/>
        <v>OK</v>
      </c>
      <c r="AB11" t="str">
        <f t="shared" si="10"/>
        <v>OK</v>
      </c>
      <c r="AE11" t="str">
        <f t="shared" si="1"/>
        <v>-</v>
      </c>
      <c r="AF11">
        <f>IF(LEFT(VLOOKUP(G11,'Contorizare in SDI'!$E:$M,5,FALSE),1)="V",C11,VLOOKUP(G11,'Contorizare in SDI'!$E:$M,6,FALSE))</f>
        <v>172046</v>
      </c>
      <c r="AG11">
        <f t="shared" si="2"/>
        <v>172046</v>
      </c>
      <c r="AH11">
        <f t="shared" si="11"/>
        <v>0</v>
      </c>
      <c r="AI11">
        <f t="shared" si="12"/>
        <v>161388</v>
      </c>
      <c r="AJ11">
        <f t="shared" si="13"/>
        <v>161388</v>
      </c>
      <c r="AK11">
        <f t="shared" si="3"/>
        <v>161388</v>
      </c>
      <c r="AL11">
        <f t="shared" si="4"/>
        <v>2421</v>
      </c>
      <c r="AM11">
        <f t="shared" si="14"/>
        <v>2421</v>
      </c>
      <c r="AN11">
        <f t="shared" si="5"/>
        <v>0</v>
      </c>
      <c r="AP11" t="str">
        <f t="shared" si="15"/>
        <v>-</v>
      </c>
      <c r="AQ11">
        <f t="shared" si="16"/>
        <v>55</v>
      </c>
    </row>
    <row r="12" spans="1:43" ht="16.5" thickBot="1">
      <c r="A12" s="91">
        <f t="shared" si="17"/>
        <v>9</v>
      </c>
      <c r="B12" s="30" t="s">
        <v>523</v>
      </c>
      <c r="C12" s="291">
        <f>IF(B12=B11,C11,SUMIF('Date masura OD'!$G:$G,B12,'Date masura OD'!$R:$R))</f>
        <v>242240</v>
      </c>
      <c r="D12" s="291">
        <f>IFERROR(IF(VLOOKUP(B12,'Date masura OD'!$G$76:$BF$187,52,FALSE)&lt;0,-VLOOKUP(B12,'Date masura OD'!$G$76:$BF$187,52,FALSE),0),0)</f>
        <v>0</v>
      </c>
      <c r="E12" s="291">
        <v>0</v>
      </c>
      <c r="F12" s="291">
        <v>0</v>
      </c>
      <c r="G12" s="107" t="s">
        <v>574</v>
      </c>
      <c r="H12" s="312">
        <f>IF(C12=0,0,IF(RIGHT(G12,1)="N",ROUNDUP(C12*1.5%,0),IF(LEN(RIGHT(G12,LEN(G12)-FIND("_",G12,1)))=1,SUMIF('Date masura OD'!$G:$G,G12,'Date masura OD'!$R:$R),AK12)))</f>
        <v>77218</v>
      </c>
      <c r="I12" s="184">
        <f>VLOOKUP(G12,'Contorizare in SDI'!E:M,7,FALSE)</f>
        <v>29203</v>
      </c>
      <c r="J12" s="88">
        <f>VLOOKUP(G12,'Contorizare in SDI'!$E:$M,$J$1-2,FALSE)</f>
        <v>90720</v>
      </c>
      <c r="K12" s="88">
        <f>VLOOKUP(G12,'Contorizare in SDI'!$E:$M,$K$1-2,FALSE)</f>
        <v>33</v>
      </c>
      <c r="L12" s="29" t="s">
        <v>665</v>
      </c>
      <c r="M12" s="87">
        <v>0</v>
      </c>
      <c r="N12" s="88">
        <f>IF(COUNTIF(L12,"-")=1,0,VLOOKUP(L12,'Contorizare in SDI'!$F:$R,$N$1-3,FALSE))</f>
        <v>139725</v>
      </c>
      <c r="O12" s="88">
        <f>IF(COUNTIF(L12,"-")=1,0,VLOOKUP(L12,'Contorizare in SDI'!$F:$R,$O$1-3,FALSE))</f>
        <v>573</v>
      </c>
      <c r="P12" s="88">
        <f>IF(COUNTIF(L12,"-")=1,0,VLOOKUP(L12,'Contorizare in SDI'!$F:$R,$P$1-3,FALSE))</f>
        <v>92584</v>
      </c>
      <c r="Q12" s="88">
        <f t="shared" si="6"/>
        <v>77218</v>
      </c>
      <c r="R12" s="88">
        <f t="shared" si="7"/>
        <v>110522</v>
      </c>
      <c r="S12" s="1">
        <f>I11</f>
        <v>34</v>
      </c>
      <c r="T12" s="88">
        <f t="shared" si="8"/>
        <v>1213</v>
      </c>
      <c r="U12" s="17" t="s">
        <v>514</v>
      </c>
      <c r="V12" s="581"/>
      <c r="W12" s="581"/>
      <c r="X12" s="581"/>
      <c r="Y12" s="583"/>
      <c r="AA12" t="str">
        <f t="shared" si="9"/>
        <v/>
      </c>
      <c r="AB12" t="str">
        <f t="shared" si="10"/>
        <v/>
      </c>
      <c r="AE12" t="str">
        <f t="shared" si="1"/>
        <v>-</v>
      </c>
      <c r="AF12">
        <f>IF(LEFT(VLOOKUP(G12,'Contorizare in SDI'!$E:$M,5,FALSE),1)="V",C12,VLOOKUP(G12,'Contorizare in SDI'!$E:$M,6,FALSE))</f>
        <v>89826</v>
      </c>
      <c r="AG12">
        <f t="shared" si="2"/>
        <v>261872</v>
      </c>
      <c r="AH12">
        <f t="shared" si="11"/>
        <v>0</v>
      </c>
      <c r="AI12">
        <f t="shared" si="12"/>
        <v>84262</v>
      </c>
      <c r="AJ12">
        <f t="shared" si="13"/>
        <v>245650</v>
      </c>
      <c r="AK12">
        <f t="shared" si="3"/>
        <v>77218</v>
      </c>
      <c r="AL12">
        <f t="shared" si="4"/>
        <v>1213</v>
      </c>
      <c r="AM12">
        <f t="shared" si="14"/>
        <v>3634</v>
      </c>
      <c r="AN12">
        <f t="shared" si="5"/>
        <v>0</v>
      </c>
      <c r="AP12" t="str">
        <f t="shared" si="15"/>
        <v>-</v>
      </c>
      <c r="AQ12">
        <f t="shared" si="16"/>
        <v>55</v>
      </c>
    </row>
    <row r="13" spans="1:43" ht="16.5" thickBot="1">
      <c r="A13" s="91">
        <f t="shared" si="17"/>
        <v>10</v>
      </c>
      <c r="B13" s="30" t="s">
        <v>523</v>
      </c>
      <c r="C13" s="291">
        <f>IF(B13=B12,C12,SUMIF('Date masura OD'!$G:$G,B13,'Date masura OD'!$R:$R))</f>
        <v>242240</v>
      </c>
      <c r="D13" s="291">
        <f>IFERROR(IF(VLOOKUP(B13,'Date masura OD'!$G$76:$BF$187,52,FALSE)&lt;0,-VLOOKUP(B13,'Date masura OD'!$G$76:$BF$187,52,FALSE),0),0)</f>
        <v>0</v>
      </c>
      <c r="E13" s="291">
        <v>0</v>
      </c>
      <c r="F13" s="291">
        <v>0</v>
      </c>
      <c r="G13" s="107" t="s">
        <v>957</v>
      </c>
      <c r="H13" s="312">
        <f>IF(C13=0,0,IF(RIGHT(G13,1)="N",ROUNDUP(C13*1.5%,0),IF(LEN(RIGHT(G13,LEN(G13)-FIND("_",G13,1)))=1,SUMIF('Date masura OD'!$G:$G,G13,'Date masura OD'!$R:$R),AK13)))</f>
        <v>3634</v>
      </c>
      <c r="I13" s="184">
        <f>VLOOKUP(G13,'Contorizare in SDI'!E:M,7,FALSE)</f>
        <v>0</v>
      </c>
      <c r="J13" s="88">
        <f>VLOOKUP(G13,'Contorizare in SDI'!$E:$M,$J$1-2,FALSE)</f>
        <v>0</v>
      </c>
      <c r="K13" s="88">
        <f>VLOOKUP(G13,'Contorizare in SDI'!$E:$M,$K$1-2,FALSE)</f>
        <v>0</v>
      </c>
      <c r="L13" s="29" t="s">
        <v>69</v>
      </c>
      <c r="M13" s="87">
        <v>0</v>
      </c>
      <c r="N13" s="88">
        <f>IF(COUNTIF(L13,"-")=1,0,VLOOKUP(L13,'Contorizare in SDI'!$F:$R,$N$1-3,FALSE))</f>
        <v>0</v>
      </c>
      <c r="O13" s="88">
        <f>IF(COUNTIF(L13,"-")=1,0,VLOOKUP(L13,'Contorizare in SDI'!$F:$R,$O$1-3,FALSE))</f>
        <v>0</v>
      </c>
      <c r="P13" s="88">
        <f>IF(COUNTIF(L13,"-")=1,0,VLOOKUP(L13,'Contorizare in SDI'!$F:$R,$P$1-3,FALSE))</f>
        <v>0</v>
      </c>
      <c r="Q13" s="88">
        <f t="shared" si="6"/>
        <v>0</v>
      </c>
      <c r="R13" s="88">
        <f t="shared" si="7"/>
        <v>0</v>
      </c>
      <c r="S13" s="321">
        <v>0</v>
      </c>
      <c r="T13" s="88">
        <f t="shared" si="8"/>
        <v>0</v>
      </c>
      <c r="U13" s="17" t="s">
        <v>69</v>
      </c>
      <c r="V13" s="581"/>
      <c r="W13" s="581"/>
      <c r="X13" s="581"/>
      <c r="Y13" s="583"/>
      <c r="AA13" t="str">
        <f t="shared" si="9"/>
        <v/>
      </c>
      <c r="AB13" t="str">
        <f t="shared" si="10"/>
        <v/>
      </c>
      <c r="AE13" t="str">
        <f t="shared" si="1"/>
        <v>RBPM_2</v>
      </c>
      <c r="AF13">
        <f>IF(LEFT(VLOOKUP(G13,'Contorizare in SDI'!$E:$M,5,FALSE),1)="V",C13,VLOOKUP(G13,'Contorizare in SDI'!$E:$M,6,FALSE))</f>
        <v>0</v>
      </c>
      <c r="AG13">
        <f t="shared" si="2"/>
        <v>261872</v>
      </c>
      <c r="AH13">
        <f t="shared" si="11"/>
        <v>3634</v>
      </c>
      <c r="AI13">
        <f t="shared" si="12"/>
        <v>0</v>
      </c>
      <c r="AJ13">
        <f t="shared" si="13"/>
        <v>245650</v>
      </c>
      <c r="AK13">
        <f t="shared" si="3"/>
        <v>0</v>
      </c>
      <c r="AL13">
        <f t="shared" si="4"/>
        <v>0</v>
      </c>
      <c r="AM13">
        <f t="shared" si="14"/>
        <v>0</v>
      </c>
      <c r="AN13">
        <f t="shared" si="5"/>
        <v>29237</v>
      </c>
      <c r="AP13" t="str">
        <f t="shared" si="15"/>
        <v>-</v>
      </c>
      <c r="AQ13">
        <f t="shared" si="16"/>
        <v>3689</v>
      </c>
    </row>
    <row r="14" spans="1:43" ht="16.5" thickBot="1">
      <c r="A14" s="91">
        <f t="shared" si="17"/>
        <v>11</v>
      </c>
      <c r="B14" s="30" t="s">
        <v>524</v>
      </c>
      <c r="C14" s="291">
        <f>IF(B14=B13,C13,SUMIF('Date masura OD'!$G:$G,B14,'Date masura OD'!$R:$R))</f>
        <v>36510</v>
      </c>
      <c r="D14" s="291">
        <f>IFERROR(IF(VLOOKUP(B14,'Date masura OD'!$G$76:$BF$187,52,FALSE)&lt;0,-VLOOKUP(B14,'Date masura OD'!$G$76:$BF$187,52,FALSE),0),0)</f>
        <v>0</v>
      </c>
      <c r="E14" s="291">
        <v>0</v>
      </c>
      <c r="F14" s="291">
        <v>0</v>
      </c>
      <c r="G14" s="107" t="s">
        <v>575</v>
      </c>
      <c r="H14" s="312">
        <f>IF(C14=0,0,IF(RIGHT(G14,1)="N",ROUNDUP(C14*1.5%,0),IF(LEN(RIGHT(G14,LEN(G14)-FIND("_",G14,1)))=1,SUMIF('Date masura OD'!$G:$G,G14,'Date masura OD'!$R:$R),AK14)))</f>
        <v>35962</v>
      </c>
      <c r="I14" s="184">
        <f>VLOOKUP(G14,'Contorizare in SDI'!E:M,7,FALSE)</f>
        <v>0</v>
      </c>
      <c r="J14" s="88">
        <f>VLOOKUP(G14,'Contorizare in SDI'!$E:$M,$J$1-2,FALSE)</f>
        <v>0</v>
      </c>
      <c r="K14" s="88">
        <f>VLOOKUP(G14,'Contorizare in SDI'!$E:$M,$K$1-2,FALSE)</f>
        <v>0</v>
      </c>
      <c r="L14" s="29" t="s">
        <v>69</v>
      </c>
      <c r="M14" s="87">
        <v>0</v>
      </c>
      <c r="N14" s="88">
        <f>IF(COUNTIF(L14,"-")=1,0,VLOOKUP(L14,'Contorizare in SDI'!$F:$R,$N$1-3,FALSE))</f>
        <v>0</v>
      </c>
      <c r="O14" s="88">
        <f>IF(COUNTIF(L14,"-")=1,0,VLOOKUP(L14,'Contorizare in SDI'!$F:$R,$O$1-3,FALSE))</f>
        <v>0</v>
      </c>
      <c r="P14" s="88">
        <f>IF(COUNTIF(L14,"-")=1,0,VLOOKUP(L14,'Contorizare in SDI'!$F:$R,$P$1-3,FALSE))</f>
        <v>0</v>
      </c>
      <c r="Q14" s="88">
        <f t="shared" si="6"/>
        <v>35962</v>
      </c>
      <c r="R14" s="88">
        <f t="shared" si="7"/>
        <v>0</v>
      </c>
      <c r="S14" s="321">
        <v>0</v>
      </c>
      <c r="T14" s="88">
        <f t="shared" si="8"/>
        <v>548</v>
      </c>
      <c r="U14" s="17" t="s">
        <v>514</v>
      </c>
      <c r="V14" s="581">
        <f>SUM(H14)-SUM(N14)+SUM(I14)</f>
        <v>35962</v>
      </c>
      <c r="W14" s="581">
        <f>SUM(Q14:S14)</f>
        <v>35962</v>
      </c>
      <c r="X14" s="581">
        <f>C14</f>
        <v>36510</v>
      </c>
      <c r="Y14" s="583">
        <f>SUM(H14)+SUM(T14)</f>
        <v>36510</v>
      </c>
      <c r="AA14" t="str">
        <f t="shared" si="9"/>
        <v>OK</v>
      </c>
      <c r="AB14" t="str">
        <f t="shared" si="10"/>
        <v>OK</v>
      </c>
      <c r="AE14" t="str">
        <f t="shared" si="1"/>
        <v>-</v>
      </c>
      <c r="AF14">
        <f>IF(LEFT(VLOOKUP(G14,'Contorizare in SDI'!$E:$M,5,FALSE),1)="V",C14,VLOOKUP(G14,'Contorizare in SDI'!$E:$M,6,FALSE))</f>
        <v>36510</v>
      </c>
      <c r="AG14">
        <f t="shared" si="2"/>
        <v>36510</v>
      </c>
      <c r="AH14">
        <f t="shared" si="11"/>
        <v>0</v>
      </c>
      <c r="AI14">
        <f t="shared" si="12"/>
        <v>37067</v>
      </c>
      <c r="AJ14">
        <f t="shared" si="13"/>
        <v>37067</v>
      </c>
      <c r="AK14">
        <f t="shared" si="3"/>
        <v>35962</v>
      </c>
      <c r="AL14">
        <f t="shared" si="4"/>
        <v>548</v>
      </c>
      <c r="AM14">
        <f t="shared" si="14"/>
        <v>548</v>
      </c>
      <c r="AN14">
        <f t="shared" si="5"/>
        <v>0</v>
      </c>
      <c r="AP14" t="str">
        <f t="shared" si="15"/>
        <v>-</v>
      </c>
      <c r="AQ14">
        <f t="shared" si="16"/>
        <v>3689</v>
      </c>
    </row>
    <row r="15" spans="1:43" ht="16.5" thickBot="1">
      <c r="A15" s="91">
        <f t="shared" si="17"/>
        <v>12</v>
      </c>
      <c r="B15" s="30" t="s">
        <v>524</v>
      </c>
      <c r="C15" s="291">
        <f>IF(B15=B14,C14,SUMIF('Date masura OD'!$G:$G,B15,'Date masura OD'!$R:$R))</f>
        <v>36510</v>
      </c>
      <c r="D15" s="291">
        <f>IFERROR(IF(VLOOKUP(B15,'Date masura OD'!$G$76:$BF$187,52,FALSE)&lt;0,-VLOOKUP(B15,'Date masura OD'!$G$76:$BF$187,52,FALSE),0),0)</f>
        <v>0</v>
      </c>
      <c r="E15" s="291">
        <v>0</v>
      </c>
      <c r="F15" s="291">
        <v>0</v>
      </c>
      <c r="G15" s="107" t="s">
        <v>958</v>
      </c>
      <c r="H15" s="312">
        <f>IF(C15=0,0,IF(RIGHT(G15,1)="N",ROUNDUP(C15*1.5%,0),IF(LEN(RIGHT(G15,LEN(G15)-FIND("_",G15,1)))=1,SUMIF('Date masura OD'!$G:$G,G15,'Date masura OD'!$R:$R),AK15)))</f>
        <v>548</v>
      </c>
      <c r="I15" s="184">
        <f>VLOOKUP(G15,'Contorizare in SDI'!E:M,7,FALSE)</f>
        <v>0</v>
      </c>
      <c r="J15" s="88">
        <f>VLOOKUP(G15,'Contorizare in SDI'!$E:$M,$J$1-2,FALSE)</f>
        <v>0</v>
      </c>
      <c r="K15" s="88">
        <f>VLOOKUP(G15,'Contorizare in SDI'!$E:$M,$K$1-2,FALSE)</f>
        <v>0</v>
      </c>
      <c r="L15" s="29" t="s">
        <v>69</v>
      </c>
      <c r="M15" s="87">
        <v>0</v>
      </c>
      <c r="N15" s="88">
        <f>IF(COUNTIF(L15,"-")=1,0,VLOOKUP(L15,'Contorizare in SDI'!$F:$R,$N$1-3,FALSE))</f>
        <v>0</v>
      </c>
      <c r="O15" s="88">
        <f>IF(COUNTIF(L15,"-")=1,0,VLOOKUP(L15,'Contorizare in SDI'!$F:$R,$O$1-3,FALSE))</f>
        <v>0</v>
      </c>
      <c r="P15" s="88">
        <f>IF(COUNTIF(L15,"-")=1,0,VLOOKUP(L15,'Contorizare in SDI'!$F:$R,$P$1-3,FALSE))</f>
        <v>0</v>
      </c>
      <c r="Q15" s="88">
        <f t="shared" si="6"/>
        <v>0</v>
      </c>
      <c r="R15" s="88">
        <f t="shared" si="7"/>
        <v>0</v>
      </c>
      <c r="S15" s="321">
        <v>0</v>
      </c>
      <c r="T15" s="88">
        <f t="shared" si="8"/>
        <v>0</v>
      </c>
      <c r="U15" s="17" t="s">
        <v>69</v>
      </c>
      <c r="V15" s="581"/>
      <c r="W15" s="581"/>
      <c r="X15" s="581"/>
      <c r="Y15" s="583"/>
      <c r="AA15" t="str">
        <f t="shared" si="9"/>
        <v/>
      </c>
      <c r="AB15" t="str">
        <f t="shared" si="10"/>
        <v/>
      </c>
      <c r="AE15" t="str">
        <f t="shared" si="1"/>
        <v>RBPM_3</v>
      </c>
      <c r="AF15">
        <f>IF(LEFT(VLOOKUP(G15,'Contorizare in SDI'!$E:$M,5,FALSE),1)="V",C15,VLOOKUP(G15,'Contorizare in SDI'!$E:$M,6,FALSE))</f>
        <v>0</v>
      </c>
      <c r="AG15">
        <f t="shared" si="2"/>
        <v>36510</v>
      </c>
      <c r="AH15">
        <f t="shared" si="11"/>
        <v>548</v>
      </c>
      <c r="AI15">
        <f t="shared" si="12"/>
        <v>0</v>
      </c>
      <c r="AJ15">
        <f t="shared" si="13"/>
        <v>37067</v>
      </c>
      <c r="AK15">
        <f t="shared" si="3"/>
        <v>0</v>
      </c>
      <c r="AL15">
        <f t="shared" si="4"/>
        <v>0</v>
      </c>
      <c r="AM15">
        <f t="shared" si="14"/>
        <v>0</v>
      </c>
      <c r="AN15">
        <f t="shared" si="5"/>
        <v>0</v>
      </c>
      <c r="AP15" t="str">
        <f t="shared" si="15"/>
        <v>-</v>
      </c>
      <c r="AQ15">
        <f t="shared" si="16"/>
        <v>4237</v>
      </c>
    </row>
    <row r="16" spans="1:43" ht="16.5" thickBot="1">
      <c r="A16" s="92">
        <f t="shared" si="17"/>
        <v>13</v>
      </c>
      <c r="B16" s="93" t="s">
        <v>525</v>
      </c>
      <c r="C16" s="291">
        <f>IF(B16=B15,C15,SUMIF('Date masura OD'!$G:$G,B16,'Date masura OD'!$R:$R))</f>
        <v>3497</v>
      </c>
      <c r="D16" s="291">
        <f>IFERROR(IF(VLOOKUP(B16,'Date masura OD'!$G$76:$BF$187,52,FALSE)&lt;0,-VLOOKUP(B16,'Date masura OD'!$G$76:$BF$187,52,FALSE),0),0)</f>
        <v>0</v>
      </c>
      <c r="E16" s="291">
        <v>0</v>
      </c>
      <c r="F16" s="291">
        <v>0</v>
      </c>
      <c r="G16" s="109" t="s">
        <v>525</v>
      </c>
      <c r="H16" s="312">
        <f>IF(C16=0,0,IF(RIGHT(G16,1)="N",ROUNDUP(C16*1.5%,0),IF(LEN(RIGHT(G16,LEN(G16)-FIND("_",G16,1)))=1,SUMIF('Date masura OD'!$G:$G,G16,'Date masura OD'!$R:$R),AK16)))</f>
        <v>3497</v>
      </c>
      <c r="I16" s="184">
        <f>VLOOKUP(G16,'Contorizare in SDI'!E:M,7,FALSE)</f>
        <v>0</v>
      </c>
      <c r="J16" s="88">
        <f>VLOOKUP(G16,'Contorizare in SDI'!$E:$M,$J$1-2,FALSE)</f>
        <v>0</v>
      </c>
      <c r="K16" s="88">
        <f>VLOOKUP(G16,'Contorizare in SDI'!$E:$M,$K$1-2,FALSE)</f>
        <v>0</v>
      </c>
      <c r="L16" s="94" t="s">
        <v>69</v>
      </c>
      <c r="M16" s="87">
        <v>0</v>
      </c>
      <c r="N16" s="88">
        <f>IF(COUNTIF(L16,"-")=1,0,VLOOKUP(L16,'Contorizare in SDI'!$F:$R,$N$1-3,FALSE))</f>
        <v>0</v>
      </c>
      <c r="O16" s="88">
        <f>IF(COUNTIF(L16,"-")=1,0,VLOOKUP(L16,'Contorizare in SDI'!$F:$R,$O$1-3,FALSE))</f>
        <v>0</v>
      </c>
      <c r="P16" s="88">
        <f>IF(COUNTIF(L16,"-")=1,0,VLOOKUP(L16,'Contorizare in SDI'!$F:$R,$P$1-3,FALSE))</f>
        <v>0</v>
      </c>
      <c r="Q16" s="88">
        <f t="shared" si="6"/>
        <v>3497</v>
      </c>
      <c r="R16" s="88">
        <f t="shared" si="7"/>
        <v>0</v>
      </c>
      <c r="S16" s="321">
        <v>0</v>
      </c>
      <c r="T16" s="88">
        <f>IF(AH16&lt;&gt;0,0,AL16)</f>
        <v>0</v>
      </c>
      <c r="U16" s="95" t="s">
        <v>517</v>
      </c>
      <c r="V16" s="95" t="s">
        <v>69</v>
      </c>
      <c r="W16" s="95" t="s">
        <v>69</v>
      </c>
      <c r="X16" s="95" t="s">
        <v>69</v>
      </c>
      <c r="Y16" s="96" t="s">
        <v>69</v>
      </c>
      <c r="AA16" t="str">
        <f t="shared" si="9"/>
        <v>OK</v>
      </c>
      <c r="AB16" t="str">
        <f t="shared" si="10"/>
        <v>OK</v>
      </c>
      <c r="AE16" t="str">
        <f t="shared" si="1"/>
        <v>RBPM_4</v>
      </c>
      <c r="AF16">
        <f>IF(LEFT(VLOOKUP(G16,'Contorizare in SDI'!$E:$M,5,FALSE),1)="V",C16,VLOOKUP(G16,'Contorizare in SDI'!$E:$M,6,FALSE))</f>
        <v>3497</v>
      </c>
      <c r="AG16">
        <f t="shared" si="2"/>
        <v>3497</v>
      </c>
      <c r="AH16">
        <f t="shared" si="11"/>
        <v>0</v>
      </c>
      <c r="AI16">
        <f t="shared" si="12"/>
        <v>3497</v>
      </c>
      <c r="AJ16">
        <f t="shared" si="13"/>
        <v>3497</v>
      </c>
      <c r="AK16">
        <f t="shared" si="3"/>
        <v>3497</v>
      </c>
      <c r="AL16">
        <f t="shared" si="4"/>
        <v>0</v>
      </c>
      <c r="AM16">
        <f t="shared" si="14"/>
        <v>0</v>
      </c>
      <c r="AN16">
        <f t="shared" si="5"/>
        <v>0</v>
      </c>
      <c r="AP16" t="str">
        <f t="shared" si="15"/>
        <v>RBPM</v>
      </c>
      <c r="AQ16">
        <f t="shared" si="16"/>
        <v>4237</v>
      </c>
    </row>
    <row r="17" spans="1:43" ht="16.5" thickBot="1">
      <c r="A17" s="85">
        <f>A16+1</f>
        <v>14</v>
      </c>
      <c r="B17" s="86" t="s">
        <v>526</v>
      </c>
      <c r="C17" s="291">
        <f>IF(B17=B16,C16,SUMIF('Date masura OD'!$G:$G,B17,'Date masura OD'!$R:$R))</f>
        <v>629460</v>
      </c>
      <c r="D17" s="291">
        <f>IFERROR(IF(VLOOKUP(B17,'Date masura OD'!$G$76:$BF$187,52,FALSE)&lt;0,-VLOOKUP(B17,'Date masura OD'!$G$76:$BF$187,52,FALSE),0),0)</f>
        <v>0</v>
      </c>
      <c r="E17" s="291">
        <v>0</v>
      </c>
      <c r="F17" s="291">
        <v>0</v>
      </c>
      <c r="G17" s="106" t="s">
        <v>576</v>
      </c>
      <c r="H17" s="312">
        <f>IF(C17=0,0,IF(RIGHT(G17,1)="N",ROUNDUP(C17*1.5%,0),IF(LEN(RIGHT(G17,LEN(G17)-FIND("_",G17,1)))=1,SUMIF('Date masura OD'!$G:$G,G17,'Date masura OD'!$R:$R),AK17)))</f>
        <v>327702</v>
      </c>
      <c r="I17" s="184">
        <f>VLOOKUP(G17,'Contorizare in SDI'!E:M,7,FALSE)</f>
        <v>0</v>
      </c>
      <c r="J17" s="88">
        <f>VLOOKUP(G17,'Contorizare in SDI'!$E:$M,$J$1-2,FALSE)</f>
        <v>7526</v>
      </c>
      <c r="K17" s="88">
        <f>VLOOKUP(G17,'Contorizare in SDI'!$E:$M,$K$1-2,FALSE)</f>
        <v>14116</v>
      </c>
      <c r="L17" s="89" t="s">
        <v>69</v>
      </c>
      <c r="M17" s="87">
        <v>0</v>
      </c>
      <c r="N17" s="88">
        <f>IF(COUNTIF(L17,"-")=1,0,VLOOKUP(L17,'Contorizare in SDI'!$F:$R,$N$1-3,FALSE))</f>
        <v>0</v>
      </c>
      <c r="O17" s="88">
        <f>IF(COUNTIF(L17,"-")=1,0,VLOOKUP(L17,'Contorizare in SDI'!$F:$R,$O$1-3,FALSE))</f>
        <v>0</v>
      </c>
      <c r="P17" s="88">
        <f>IF(COUNTIF(L17,"-")=1,0,VLOOKUP(L17,'Contorizare in SDI'!$F:$R,$P$1-3,FALSE))</f>
        <v>0</v>
      </c>
      <c r="Q17" s="88">
        <f t="shared" si="6"/>
        <v>327702</v>
      </c>
      <c r="R17" s="88">
        <f t="shared" si="7"/>
        <v>0</v>
      </c>
      <c r="S17" s="88">
        <f>I18</f>
        <v>37318</v>
      </c>
      <c r="T17" s="88">
        <f t="shared" si="8"/>
        <v>4916</v>
      </c>
      <c r="U17" s="90" t="s">
        <v>514</v>
      </c>
      <c r="V17" s="592">
        <f>SUM(H17:H19)+SUM(N17:N19)</f>
        <v>840528.5</v>
      </c>
      <c r="W17" s="580">
        <f>SUM(Q17:S19)</f>
        <v>840528.5</v>
      </c>
      <c r="X17" s="580">
        <f>C17</f>
        <v>629460</v>
      </c>
      <c r="Y17" s="590">
        <f>SUM(H17:H19)+SUM(T17:T19)</f>
        <v>629460</v>
      </c>
      <c r="AA17" t="str">
        <f>IF(B16&lt;&gt;B17,IF(V17=W17,"OK","Not OK"),"")</f>
        <v>OK</v>
      </c>
      <c r="AB17" t="str">
        <f>IF(B16&lt;&gt;B17,IF(X17=Y17,"OK","Not OK"),"")</f>
        <v>OK</v>
      </c>
      <c r="AE17" t="str">
        <f t="shared" si="1"/>
        <v>-</v>
      </c>
      <c r="AF17">
        <f>IF(LEFT(VLOOKUP(G17,'Contorizare in SDI'!$E:$M,5,FALSE),1)="V",C17,VLOOKUP(G17,'Contorizare in SDI'!$E:$M,6,FALSE))</f>
        <v>335836</v>
      </c>
      <c r="AG17">
        <f t="shared" si="2"/>
        <v>335836</v>
      </c>
      <c r="AH17">
        <f t="shared" si="11"/>
        <v>0</v>
      </c>
      <c r="AI17">
        <f t="shared" si="12"/>
        <v>327702</v>
      </c>
      <c r="AJ17">
        <f t="shared" si="13"/>
        <v>327702</v>
      </c>
      <c r="AK17">
        <f t="shared" si="3"/>
        <v>327702</v>
      </c>
      <c r="AL17">
        <f t="shared" si="4"/>
        <v>4916</v>
      </c>
      <c r="AM17">
        <f t="shared" si="14"/>
        <v>4916</v>
      </c>
      <c r="AN17">
        <f t="shared" si="5"/>
        <v>0</v>
      </c>
      <c r="AP17" t="str">
        <f t="shared" si="15"/>
        <v>-</v>
      </c>
      <c r="AQ17">
        <f t="shared" si="16"/>
        <v>0</v>
      </c>
    </row>
    <row r="18" spans="1:43" ht="16.5" thickBot="1">
      <c r="A18" s="91">
        <f t="shared" si="17"/>
        <v>15</v>
      </c>
      <c r="B18" s="30" t="s">
        <v>526</v>
      </c>
      <c r="C18" s="291">
        <f>IF(B18=B17,C17,SUMIF('Date masura OD'!$G:$G,B18,'Date masura OD'!$R:$R))</f>
        <v>629460</v>
      </c>
      <c r="D18" s="291">
        <f>IFERROR(IF(VLOOKUP(B18,'Date masura OD'!$G$76:$BF$187,52,FALSE)&lt;0,-VLOOKUP(B18,'Date masura OD'!$G$76:$BF$187,52,FALSE),0),0)</f>
        <v>0</v>
      </c>
      <c r="E18" s="291">
        <v>0</v>
      </c>
      <c r="F18" s="291">
        <v>0</v>
      </c>
      <c r="G18" s="107" t="s">
        <v>577</v>
      </c>
      <c r="H18" s="312">
        <f>IF(C18=0,0,IF(RIGHT(G18,1)="N",ROUNDUP(C18*1.5%,0),IF(LEN(RIGHT(G18,LEN(G18)-FIND("_",G18,1)))=1,SUMIF('Date masura OD'!$G:$G,G18,'Date masura OD'!$R:$R),AK18)))</f>
        <v>157635</v>
      </c>
      <c r="I18" s="184">
        <f>VLOOKUP(G18,'Contorizare in SDI'!E:M,7,FALSE)</f>
        <v>37318</v>
      </c>
      <c r="J18" s="88">
        <f>VLOOKUP(G18,'Contorizare in SDI'!$E:$M,$J$1-2,FALSE)</f>
        <v>0</v>
      </c>
      <c r="K18" s="88">
        <f>VLOOKUP(G18,'Contorizare in SDI'!$E:$M,$K$1-2,FALSE)</f>
        <v>30</v>
      </c>
      <c r="L18" s="29" t="s">
        <v>666</v>
      </c>
      <c r="M18" s="87">
        <v>0</v>
      </c>
      <c r="N18" s="88">
        <f>IF(COUNTIF(L18,"-")=1,0,VLOOKUP(L18,'Contorizare in SDI'!$F:$R,$N$1-3,FALSE))</f>
        <v>170661</v>
      </c>
      <c r="O18" s="88">
        <f>IF(COUNTIF(L18,"-")=1,0,VLOOKUP(L18,'Contorizare in SDI'!$F:$R,$O$1-3,FALSE))</f>
        <v>1277</v>
      </c>
      <c r="P18" s="88">
        <f>IF(COUNTIF(L18,"-")=1,0,VLOOKUP(L18,'Contorizare in SDI'!$F:$R,$P$1-3,FALSE))</f>
        <v>142</v>
      </c>
      <c r="Q18" s="88">
        <f t="shared" si="6"/>
        <v>157635</v>
      </c>
      <c r="R18" s="88">
        <f t="shared" si="7"/>
        <v>133343</v>
      </c>
      <c r="S18" s="321">
        <v>0</v>
      </c>
      <c r="T18" s="88">
        <f>IF(AH18&lt;&gt;0,0,AL18)</f>
        <v>2365</v>
      </c>
      <c r="U18" s="17" t="s">
        <v>514</v>
      </c>
      <c r="V18" s="581"/>
      <c r="W18" s="581"/>
      <c r="X18" s="581"/>
      <c r="Y18" s="583"/>
      <c r="AA18" t="str">
        <f t="shared" si="9"/>
        <v/>
      </c>
      <c r="AB18" t="str">
        <f t="shared" si="10"/>
        <v/>
      </c>
      <c r="AE18" t="str">
        <f t="shared" si="1"/>
        <v>-</v>
      </c>
      <c r="AF18">
        <f>IF(LEFT(VLOOKUP(G18,'Contorizare in SDI'!$E:$M,5,FALSE),1)="V",C18,VLOOKUP(G18,'Contorizare in SDI'!$E:$M,6,FALSE))</f>
        <v>161548</v>
      </c>
      <c r="AG18">
        <f t="shared" si="2"/>
        <v>497384</v>
      </c>
      <c r="AH18">
        <f t="shared" si="11"/>
        <v>0</v>
      </c>
      <c r="AI18">
        <f t="shared" si="12"/>
        <v>157635</v>
      </c>
      <c r="AJ18">
        <f t="shared" si="13"/>
        <v>485337</v>
      </c>
      <c r="AK18">
        <f t="shared" si="3"/>
        <v>157635</v>
      </c>
      <c r="AL18">
        <f t="shared" si="4"/>
        <v>2365</v>
      </c>
      <c r="AM18">
        <f t="shared" si="14"/>
        <v>7281</v>
      </c>
      <c r="AN18">
        <f t="shared" si="5"/>
        <v>0</v>
      </c>
      <c r="AP18" t="str">
        <f t="shared" si="15"/>
        <v>-</v>
      </c>
      <c r="AQ18">
        <f t="shared" si="16"/>
        <v>0</v>
      </c>
    </row>
    <row r="19" spans="1:43" ht="16.5" thickBot="1">
      <c r="A19" s="91">
        <f t="shared" si="17"/>
        <v>16</v>
      </c>
      <c r="B19" s="30" t="s">
        <v>526</v>
      </c>
      <c r="C19" s="291">
        <f>IF(B19=B18,C18,SUMIF('Date masura OD'!$G:$G,B19,'Date masura OD'!$R:$R))</f>
        <v>629460</v>
      </c>
      <c r="D19" s="291">
        <f>IFERROR(IF(VLOOKUP(B19,'Date masura OD'!$G$76:$BF$187,52,FALSE)&lt;0,-VLOOKUP(B19,'Date masura OD'!$G$76:$BF$187,52,FALSE),0),0)</f>
        <v>0</v>
      </c>
      <c r="E19" s="291">
        <v>0</v>
      </c>
      <c r="F19" s="291">
        <v>0</v>
      </c>
      <c r="G19" s="107" t="s">
        <v>1188</v>
      </c>
      <c r="H19" s="312">
        <f>IF(C19=0,0,IF(RIGHT(G19,1)="N",ROUNDUP(C19*1.5%,0),IF(LEN(RIGHT(G19,LEN(G19)-FIND("_",G19,1)))=1,SUMIF('Date masura OD'!$G:$G,G19,'Date masura OD'!$R:$R),AK19)))</f>
        <v>134681</v>
      </c>
      <c r="I19" s="184">
        <f>VLOOKUP(G19,'Contorizare in SDI'!E:M,7,FALSE)</f>
        <v>0</v>
      </c>
      <c r="J19" s="88">
        <f>VLOOKUP(G19,'Contorizare in SDI'!$E:$M,$J$1-2,FALSE)</f>
        <v>0</v>
      </c>
      <c r="K19" s="88">
        <f>VLOOKUP(G19,'Contorizare in SDI'!$E:$M,$K$1-2,FALSE)</f>
        <v>0</v>
      </c>
      <c r="L19" s="29" t="s">
        <v>1422</v>
      </c>
      <c r="M19" s="87">
        <v>0</v>
      </c>
      <c r="N19" s="88">
        <f>IF(COUNTIF(L19,"-")=1,0,VLOOKUP(L19,'Contorizare in SDI'!$F:$R,$N$1-3,FALSE))</f>
        <v>49849.500000000036</v>
      </c>
      <c r="O19" s="88">
        <f>IF(COUNTIF(L19,"-")=1,0,VLOOKUP(L19,'Contorizare in SDI'!$F:$R,$O$1-3,FALSE))</f>
        <v>0</v>
      </c>
      <c r="P19" s="88">
        <f>IF(COUNTIF(L19,"-")=1,0,VLOOKUP(L19,'Contorizare in SDI'!$F:$R,$P$1-3,FALSE))</f>
        <v>0</v>
      </c>
      <c r="Q19" s="88">
        <f t="shared" ref="Q19" si="18">IF(RIGHT(G19,1)="N",0,H19)</f>
        <v>134681</v>
      </c>
      <c r="R19" s="88">
        <f t="shared" ref="R19" si="19">N19-I19</f>
        <v>49849.500000000036</v>
      </c>
      <c r="S19" s="321">
        <v>0</v>
      </c>
      <c r="T19" s="88">
        <f t="shared" ref="T19" si="20">IF(AH19&lt;&gt;0,0,AL19)</f>
        <v>2161</v>
      </c>
      <c r="U19" s="17" t="s">
        <v>514</v>
      </c>
      <c r="V19" s="581"/>
      <c r="W19" s="581"/>
      <c r="X19" s="581"/>
      <c r="Y19" s="583"/>
      <c r="AE19" t="str">
        <f t="shared" si="1"/>
        <v>-</v>
      </c>
      <c r="AF19">
        <f>IF(LEFT(VLOOKUP(G19,'Contorizare in SDI'!$E:$M,5,FALSE),1)="V",C19,VLOOKUP(G19,'Contorizare in SDI'!$E:$M,6,FALSE))</f>
        <v>157144</v>
      </c>
      <c r="AG19">
        <f t="shared" si="2"/>
        <v>654528</v>
      </c>
      <c r="AH19">
        <f t="shared" si="11"/>
        <v>0</v>
      </c>
      <c r="AI19">
        <f t="shared" si="12"/>
        <v>153338</v>
      </c>
      <c r="AJ19">
        <f t="shared" si="13"/>
        <v>638675</v>
      </c>
      <c r="AK19">
        <f t="shared" si="3"/>
        <v>134681</v>
      </c>
      <c r="AL19">
        <f t="shared" si="4"/>
        <v>2161</v>
      </c>
      <c r="AM19">
        <f t="shared" si="14"/>
        <v>9442</v>
      </c>
      <c r="AN19">
        <f t="shared" si="5"/>
        <v>0</v>
      </c>
      <c r="AP19" t="str">
        <f t="shared" si="15"/>
        <v>-</v>
      </c>
      <c r="AQ19">
        <f t="shared" si="16"/>
        <v>0</v>
      </c>
    </row>
    <row r="20" spans="1:43" ht="16.5" thickBot="1">
      <c r="A20" s="91">
        <f t="shared" si="17"/>
        <v>17</v>
      </c>
      <c r="B20" s="30" t="s">
        <v>526</v>
      </c>
      <c r="C20" s="291">
        <f>IF(B20=B18,C18,SUMIF('Date masura OD'!$G:$G,B20,'Date masura OD'!$R:$R))</f>
        <v>629460</v>
      </c>
      <c r="D20" s="291">
        <f>IFERROR(IF(VLOOKUP(B20,'Date masura OD'!$G$76:$BF$187,52,FALSE)&lt;0,-VLOOKUP(B20,'Date masura OD'!$G$76:$BF$187,52,FALSE),0),0)</f>
        <v>0</v>
      </c>
      <c r="E20" s="291">
        <v>0</v>
      </c>
      <c r="F20" s="291">
        <v>0</v>
      </c>
      <c r="G20" s="107" t="s">
        <v>959</v>
      </c>
      <c r="H20" s="312">
        <f>IF(C20=0,0,IF(RIGHT(G20,1)="N",ROUNDUP(C20*1.5%,0),IF(LEN(RIGHT(G20,LEN(G20)-FIND("_",G20,1)))=1,SUMIF('Date masura OD'!$G:$G,G20,'Date masura OD'!$R:$R),AK20)))</f>
        <v>9442</v>
      </c>
      <c r="I20" s="184">
        <f>VLOOKUP(G20,'Contorizare in SDI'!E:M,7,FALSE)</f>
        <v>0</v>
      </c>
      <c r="J20" s="88">
        <f>VLOOKUP(G20,'Contorizare in SDI'!$E:$M,$J$1-2,FALSE)</f>
        <v>0</v>
      </c>
      <c r="K20" s="88">
        <f>VLOOKUP(G20,'Contorizare in SDI'!$E:$M,$K$1-2,FALSE)</f>
        <v>0</v>
      </c>
      <c r="L20" s="29" t="s">
        <v>69</v>
      </c>
      <c r="M20" s="87">
        <v>0</v>
      </c>
      <c r="N20" s="88">
        <f>IF(COUNTIF(L20,"-")=1,0,VLOOKUP(L20,'Contorizare in SDI'!$F:$R,$N$1-3,FALSE))</f>
        <v>0</v>
      </c>
      <c r="O20" s="88">
        <f>IF(COUNTIF(L20,"-")=1,0,VLOOKUP(L20,'Contorizare in SDI'!$F:$R,$O$1-3,FALSE))</f>
        <v>0</v>
      </c>
      <c r="P20" s="88">
        <f>IF(COUNTIF(L20,"-")=1,0,VLOOKUP(L20,'Contorizare in SDI'!$F:$R,$P$1-3,FALSE))</f>
        <v>0</v>
      </c>
      <c r="Q20" s="88">
        <f t="shared" si="6"/>
        <v>0</v>
      </c>
      <c r="R20" s="88">
        <f t="shared" si="7"/>
        <v>0</v>
      </c>
      <c r="S20" s="321">
        <v>0</v>
      </c>
      <c r="T20" s="88">
        <f t="shared" si="8"/>
        <v>0</v>
      </c>
      <c r="U20" s="17" t="s">
        <v>69</v>
      </c>
      <c r="V20" s="581"/>
      <c r="W20" s="581"/>
      <c r="X20" s="581"/>
      <c r="Y20" s="583"/>
      <c r="AA20" t="str">
        <f>IF(B18&lt;&gt;B20,IF(V20=W20,"OK","Not OK"),"")</f>
        <v/>
      </c>
      <c r="AB20" t="str">
        <f>IF(B18&lt;&gt;B20,IF(X20=Y20,"OK","Not OK"),"")</f>
        <v/>
      </c>
      <c r="AE20" t="str">
        <f t="shared" si="1"/>
        <v>RPSC_1</v>
      </c>
      <c r="AF20">
        <f>IF(LEFT(VLOOKUP(G20,'Contorizare in SDI'!$E:$M,5,FALSE),1)="V",C20,VLOOKUP(G20,'Contorizare in SDI'!$E:$M,6,FALSE))</f>
        <v>0</v>
      </c>
      <c r="AG20">
        <f t="shared" si="2"/>
        <v>654528</v>
      </c>
      <c r="AH20">
        <f t="shared" si="11"/>
        <v>9442</v>
      </c>
      <c r="AI20">
        <f t="shared" si="12"/>
        <v>0</v>
      </c>
      <c r="AJ20">
        <f t="shared" si="13"/>
        <v>638675</v>
      </c>
      <c r="AK20">
        <f t="shared" si="3"/>
        <v>0</v>
      </c>
      <c r="AL20">
        <f t="shared" si="4"/>
        <v>0</v>
      </c>
      <c r="AM20">
        <f t="shared" si="14"/>
        <v>0</v>
      </c>
      <c r="AN20">
        <f t="shared" si="5"/>
        <v>37318</v>
      </c>
      <c r="AP20" t="str">
        <f t="shared" si="15"/>
        <v>-</v>
      </c>
      <c r="AQ20">
        <f t="shared" si="16"/>
        <v>9442</v>
      </c>
    </row>
    <row r="21" spans="1:43" ht="16.5" thickBot="1">
      <c r="A21" s="91">
        <f t="shared" si="17"/>
        <v>18</v>
      </c>
      <c r="B21" s="30" t="s">
        <v>499</v>
      </c>
      <c r="C21" s="291">
        <f>IF(B21=B20,C20,SUMIF('Date masura OD'!$G:$G,B21,'Date masura OD'!$R:$R))</f>
        <v>0</v>
      </c>
      <c r="D21" s="291">
        <f>IFERROR(IF(VLOOKUP(B21,'Date masura OD'!$G$76:$BF$187,52,FALSE)&lt;0,-VLOOKUP(B21,'Date masura OD'!$G$76:$BF$187,52,FALSE),0),0)</f>
        <v>0</v>
      </c>
      <c r="E21" s="291">
        <v>0</v>
      </c>
      <c r="F21" s="291">
        <v>0</v>
      </c>
      <c r="G21" s="107" t="s">
        <v>578</v>
      </c>
      <c r="H21" s="312">
        <f>IF(C21=0,0,IF(RIGHT(G21,1)="N",ROUNDUP(C21*1.5%,0),IF(LEN(RIGHT(G21,LEN(G21)-FIND("_",G21,1)))=1,SUMIF('Date masura OD'!$G:$G,G21,'Date masura OD'!$R:$R),AK21)))</f>
        <v>0</v>
      </c>
      <c r="I21" s="184">
        <f>VLOOKUP(G21,'Contorizare in SDI'!E:M,7,FALSE)</f>
        <v>0</v>
      </c>
      <c r="J21" s="88">
        <f>VLOOKUP(G21,'Contorizare in SDI'!$E:$M,$J$1-2,FALSE)</f>
        <v>0</v>
      </c>
      <c r="K21" s="88">
        <f>VLOOKUP(G21,'Contorizare in SDI'!$E:$M,$K$1-2,FALSE)</f>
        <v>0</v>
      </c>
      <c r="L21" s="29" t="s">
        <v>69</v>
      </c>
      <c r="M21" s="87">
        <v>0</v>
      </c>
      <c r="N21" s="88">
        <f>IF(COUNTIF(L21,"-")=1,0,VLOOKUP(L21,'Contorizare in SDI'!$F:$R,$N$1-3,FALSE))</f>
        <v>0</v>
      </c>
      <c r="O21" s="88">
        <f>IF(COUNTIF(L21,"-")=1,0,VLOOKUP(L21,'Contorizare in SDI'!$F:$R,$O$1-3,FALSE))</f>
        <v>0</v>
      </c>
      <c r="P21" s="88">
        <f>IF(COUNTIF(L21,"-")=1,0,VLOOKUP(L21,'Contorizare in SDI'!$F:$R,$P$1-3,FALSE))</f>
        <v>0</v>
      </c>
      <c r="Q21" s="88">
        <f t="shared" si="6"/>
        <v>0</v>
      </c>
      <c r="R21" s="88">
        <f t="shared" si="7"/>
        <v>0</v>
      </c>
      <c r="S21" s="88">
        <f>I22</f>
        <v>0</v>
      </c>
      <c r="T21" s="88">
        <f t="shared" si="8"/>
        <v>0</v>
      </c>
      <c r="U21" s="17" t="s">
        <v>514</v>
      </c>
      <c r="V21" s="580">
        <f>SUM(H21:H22)+SUM(N21:N22)</f>
        <v>0</v>
      </c>
      <c r="W21" s="580">
        <f>SUM(Q21:S22)</f>
        <v>0</v>
      </c>
      <c r="X21" s="580">
        <f>C21</f>
        <v>0</v>
      </c>
      <c r="Y21" s="582">
        <f>SUM(H21:H22)+SUM(T21:T22)</f>
        <v>0</v>
      </c>
      <c r="AA21" t="str">
        <f t="shared" si="9"/>
        <v>OK</v>
      </c>
      <c r="AB21" t="str">
        <f t="shared" si="10"/>
        <v>OK</v>
      </c>
      <c r="AE21" t="str">
        <f t="shared" si="1"/>
        <v>-</v>
      </c>
      <c r="AF21">
        <f>IF(LEFT(VLOOKUP(G21,'Contorizare in SDI'!$E:$M,5,FALSE),1)="V",C21,VLOOKUP(G21,'Contorizare in SDI'!$E:$M,6,FALSE))</f>
        <v>0</v>
      </c>
      <c r="AG21">
        <f t="shared" si="2"/>
        <v>0</v>
      </c>
      <c r="AH21">
        <f t="shared" si="11"/>
        <v>0</v>
      </c>
      <c r="AI21" t="e">
        <f t="shared" si="12"/>
        <v>#DIV/0!</v>
      </c>
      <c r="AJ21" t="e">
        <f t="shared" si="13"/>
        <v>#DIV/0!</v>
      </c>
      <c r="AK21" t="e">
        <f t="shared" ref="AK21:AK47" si="21">IF(RIGHT(G22,1)="N",C21-IF(RIGHT(G21,1)-1&gt;0,AJ20,0)-VLOOKUP(B21,$AE:$AH,4,FALSE),AI21)</f>
        <v>#DIV/0!</v>
      </c>
      <c r="AL21">
        <f t="shared" ref="AL21:AL47" si="22">IFERROR(IF(((COUNTIF($B:$B,B21)-1)-(IF(RIGHT(G21,1)="N",COUNTIF($B:$B,B21),_xlfn.NUMBERVALUE(RIGHT(G21,1)))))&gt;0,ROUNDUP(H21*1.5%,0),IF(((COUNTIF($B:$B,B21)-1)-(IF(RIGHT(G21,1)="N",COUNTIF($B:$B,B21),_xlfn.NUMBERVALUE(RIGHT(G21,1)))))=0,VLOOKUP(B21,$AE:$AK,4,FALSE)-AM20,0)),0)</f>
        <v>0</v>
      </c>
      <c r="AM21">
        <f t="shared" si="14"/>
        <v>0</v>
      </c>
      <c r="AN21">
        <f t="shared" si="5"/>
        <v>0</v>
      </c>
      <c r="AP21" t="str">
        <f t="shared" si="15"/>
        <v>-</v>
      </c>
      <c r="AQ21">
        <f t="shared" si="16"/>
        <v>9442</v>
      </c>
    </row>
    <row r="22" spans="1:43" ht="16.5" thickBot="1">
      <c r="A22" s="91">
        <f t="shared" si="17"/>
        <v>19</v>
      </c>
      <c r="B22" s="30" t="s">
        <v>499</v>
      </c>
      <c r="C22" s="291">
        <f>IF(B22=B21,C21,SUMIF('Date masura OD'!$G:$G,B22,'Date masura OD'!$R:$R))</f>
        <v>0</v>
      </c>
      <c r="D22" s="291">
        <f>IFERROR(IF(VLOOKUP(B22,'Date masura OD'!$G$76:$BF$187,52,FALSE)&lt;0,-VLOOKUP(B22,'Date masura OD'!$G$76:$BF$187,52,FALSE),0),0)</f>
        <v>0</v>
      </c>
      <c r="E22" s="291">
        <v>0</v>
      </c>
      <c r="F22" s="291">
        <v>0</v>
      </c>
      <c r="G22" s="107" t="s">
        <v>579</v>
      </c>
      <c r="H22" s="312">
        <f>IF(C22=0,0,IF(RIGHT(G22,1)="N",ROUNDUP(C22*1.5%,0),IF(LEN(RIGHT(G22,LEN(G22)-FIND("_",G22,1)))=1,SUMIF('Date masura OD'!$G:$G,G22,'Date masura OD'!$R:$R),AK22)))</f>
        <v>0</v>
      </c>
      <c r="I22" s="184">
        <f>VLOOKUP(G22,'Contorizare in SDI'!E:M,7,FALSE)</f>
        <v>0</v>
      </c>
      <c r="J22" s="88">
        <f>VLOOKUP(G22,'Contorizare in SDI'!$E:$M,$J$1-2,FALSE)</f>
        <v>0</v>
      </c>
      <c r="K22" s="88">
        <f>VLOOKUP(G22,'Contorizare in SDI'!$E:$M,$K$1-2,FALSE)</f>
        <v>0</v>
      </c>
      <c r="L22" s="29" t="s">
        <v>69</v>
      </c>
      <c r="M22" s="87">
        <v>0</v>
      </c>
      <c r="N22" s="88">
        <f>IF(COUNTIF(L22,"-")=1,0,VLOOKUP(L22,'Contorizare in SDI'!$F:$R,$N$1-3,FALSE))</f>
        <v>0</v>
      </c>
      <c r="O22" s="88">
        <f>IF(COUNTIF(L22,"-")=1,0,VLOOKUP(L22,'Contorizare in SDI'!$F:$R,$O$1-3,FALSE))</f>
        <v>0</v>
      </c>
      <c r="P22" s="88">
        <f>IF(COUNTIF(L22,"-")=1,0,VLOOKUP(L22,'Contorizare in SDI'!$F:$R,$P$1-3,FALSE))</f>
        <v>0</v>
      </c>
      <c r="Q22" s="88">
        <f t="shared" si="6"/>
        <v>0</v>
      </c>
      <c r="R22" s="88">
        <f t="shared" si="7"/>
        <v>0</v>
      </c>
      <c r="S22" s="321">
        <v>0</v>
      </c>
      <c r="T22" s="88">
        <f t="shared" si="8"/>
        <v>0</v>
      </c>
      <c r="U22" s="17" t="s">
        <v>514</v>
      </c>
      <c r="V22" s="581"/>
      <c r="W22" s="581"/>
      <c r="X22" s="581"/>
      <c r="Y22" s="583"/>
      <c r="AA22" t="str">
        <f t="shared" si="9"/>
        <v/>
      </c>
      <c r="AB22" t="str">
        <f t="shared" si="10"/>
        <v/>
      </c>
      <c r="AE22" t="str">
        <f t="shared" si="1"/>
        <v>-</v>
      </c>
      <c r="AF22">
        <f>IF(LEFT(VLOOKUP(G22,'Contorizare in SDI'!$E:$M,5,FALSE),1)="V",C22,VLOOKUP(G22,'Contorizare in SDI'!$E:$M,6,FALSE))</f>
        <v>0</v>
      </c>
      <c r="AG22">
        <f t="shared" si="2"/>
        <v>0</v>
      </c>
      <c r="AH22">
        <f t="shared" si="11"/>
        <v>0</v>
      </c>
      <c r="AI22" t="e">
        <f t="shared" si="12"/>
        <v>#DIV/0!</v>
      </c>
      <c r="AJ22" t="e">
        <f t="shared" si="13"/>
        <v>#DIV/0!</v>
      </c>
      <c r="AK22" t="e">
        <f t="shared" si="21"/>
        <v>#DIV/0!</v>
      </c>
      <c r="AL22">
        <f t="shared" si="22"/>
        <v>0</v>
      </c>
      <c r="AM22">
        <f t="shared" si="14"/>
        <v>0</v>
      </c>
      <c r="AN22">
        <f t="shared" si="5"/>
        <v>0</v>
      </c>
      <c r="AP22" t="str">
        <f t="shared" si="15"/>
        <v>-</v>
      </c>
      <c r="AQ22">
        <f t="shared" si="16"/>
        <v>9442</v>
      </c>
    </row>
    <row r="23" spans="1:43" ht="16.5" thickBot="1">
      <c r="A23" s="91">
        <f t="shared" si="17"/>
        <v>20</v>
      </c>
      <c r="B23" s="93" t="s">
        <v>499</v>
      </c>
      <c r="C23" s="291">
        <f>IF(B23=B22,C22,SUMIF('Date masura OD'!$G:$G,B23,'Date masura OD'!$R:$R))</f>
        <v>0</v>
      </c>
      <c r="D23" s="291">
        <f>IFERROR(IF(VLOOKUP(B23,'Date masura OD'!$G$76:$BF$187,52,FALSE)&lt;0,-VLOOKUP(B23,'Date masura OD'!$G$76:$BF$187,52,FALSE),0),0)</f>
        <v>0</v>
      </c>
      <c r="E23" s="291">
        <v>0</v>
      </c>
      <c r="F23" s="291">
        <v>0</v>
      </c>
      <c r="G23" s="108" t="s">
        <v>960</v>
      </c>
      <c r="H23" s="312">
        <f>IF(C23=0,0,IF(RIGHT(G23,1)="N",ROUNDUP(C23*1.5%,0),IF(LEN(RIGHT(G23,LEN(G23)-FIND("_",G23,1)))=1,SUMIF('Date masura OD'!$G:$G,G23,'Date masura OD'!$R:$R),AK23)))</f>
        <v>0</v>
      </c>
      <c r="I23" s="184">
        <f>VLOOKUP(G23,'Contorizare in SDI'!E:M,7,FALSE)</f>
        <v>0</v>
      </c>
      <c r="J23" s="88">
        <f>VLOOKUP(G23,'Contorizare in SDI'!$E:$M,$J$1-2,FALSE)</f>
        <v>0</v>
      </c>
      <c r="K23" s="88">
        <f>VLOOKUP(G23,'Contorizare in SDI'!$E:$M,$K$1-2,FALSE)</f>
        <v>0</v>
      </c>
      <c r="L23" s="94" t="s">
        <v>69</v>
      </c>
      <c r="M23" s="87">
        <v>0</v>
      </c>
      <c r="N23" s="88">
        <f>IF(COUNTIF(L23,"-")=1,0,VLOOKUP(L23,'Contorizare in SDI'!$F:$R,$N$1-3,FALSE))</f>
        <v>0</v>
      </c>
      <c r="O23" s="88">
        <f>IF(COUNTIF(L23,"-")=1,0,VLOOKUP(L23,'Contorizare in SDI'!$F:$R,$O$1-3,FALSE))</f>
        <v>0</v>
      </c>
      <c r="P23" s="88">
        <f>IF(COUNTIF(L23,"-")=1,0,VLOOKUP(L23,'Contorizare in SDI'!$F:$R,$P$1-3,FALSE))</f>
        <v>0</v>
      </c>
      <c r="Q23" s="88">
        <f t="shared" si="6"/>
        <v>0</v>
      </c>
      <c r="R23" s="88">
        <f t="shared" si="7"/>
        <v>0</v>
      </c>
      <c r="S23" s="321">
        <v>0</v>
      </c>
      <c r="T23" s="88">
        <f t="shared" si="8"/>
        <v>0</v>
      </c>
      <c r="U23" s="95" t="s">
        <v>69</v>
      </c>
      <c r="V23" s="581"/>
      <c r="W23" s="581"/>
      <c r="X23" s="581"/>
      <c r="Y23" s="583"/>
      <c r="AA23" t="str">
        <f t="shared" si="9"/>
        <v/>
      </c>
      <c r="AB23" t="str">
        <f t="shared" si="10"/>
        <v/>
      </c>
      <c r="AE23" t="str">
        <f t="shared" si="1"/>
        <v>RPSC_2</v>
      </c>
      <c r="AF23">
        <f>IF(LEFT(VLOOKUP(G23,'Contorizare in SDI'!$E:$M,5,FALSE),1)="V",C23,VLOOKUP(G23,'Contorizare in SDI'!$E:$M,6,FALSE))</f>
        <v>0</v>
      </c>
      <c r="AG23">
        <f t="shared" si="2"/>
        <v>0</v>
      </c>
      <c r="AH23">
        <f t="shared" si="11"/>
        <v>0</v>
      </c>
      <c r="AI23" t="e">
        <f t="shared" si="12"/>
        <v>#DIV/0!</v>
      </c>
      <c r="AJ23" t="e">
        <f t="shared" si="13"/>
        <v>#DIV/0!</v>
      </c>
      <c r="AK23" t="e">
        <f t="shared" si="21"/>
        <v>#DIV/0!</v>
      </c>
      <c r="AL23">
        <f t="shared" si="22"/>
        <v>0</v>
      </c>
      <c r="AM23">
        <f t="shared" si="14"/>
        <v>0</v>
      </c>
      <c r="AN23">
        <f t="shared" si="5"/>
        <v>0</v>
      </c>
      <c r="AP23" t="str">
        <f t="shared" si="15"/>
        <v>RPSC</v>
      </c>
      <c r="AQ23">
        <f t="shared" si="16"/>
        <v>9442</v>
      </c>
    </row>
    <row r="24" spans="1:43" ht="16.5" thickBot="1">
      <c r="A24" s="91">
        <f t="shared" si="17"/>
        <v>21</v>
      </c>
      <c r="B24" s="86" t="s">
        <v>527</v>
      </c>
      <c r="C24" s="291">
        <f>IF(B24=B23,C23,SUMIF('Date masura OD'!$G:$G,B24,'Date masura OD'!$R:$R))</f>
        <v>317920</v>
      </c>
      <c r="D24" s="291">
        <f>IFERROR(IF(VLOOKUP(B24,'Date masura OD'!$G$76:$BF$187,52,FALSE)&lt;0,-VLOOKUP(B24,'Date masura OD'!$G$76:$BF$187,52,FALSE),0),0)</f>
        <v>0</v>
      </c>
      <c r="E24" s="291">
        <v>0</v>
      </c>
      <c r="F24" s="291">
        <v>0</v>
      </c>
      <c r="G24" s="106" t="s">
        <v>580</v>
      </c>
      <c r="H24" s="312">
        <f>IF(C24=0,0,IF(RIGHT(G24,1)="N",ROUNDUP(C24*1.5%,0),IF(LEN(RIGHT(G24,LEN(G24)-FIND("_",G24,1)))=1,SUMIF('Date masura OD'!$G:$G,G24,'Date masura OD'!$R:$R),AK24)))</f>
        <v>195293</v>
      </c>
      <c r="I24" s="184">
        <f>VLOOKUP(G24,'Contorizare in SDI'!E:M,7,FALSE)</f>
        <v>0</v>
      </c>
      <c r="J24" s="88">
        <f>VLOOKUP(G24,'Contorizare in SDI'!$E:$M,$J$1-2,FALSE)</f>
        <v>2916</v>
      </c>
      <c r="K24" s="88">
        <f>VLOOKUP(G24,'Contorizare in SDI'!$E:$M,$K$1-2,FALSE)</f>
        <v>3877</v>
      </c>
      <c r="L24" s="89" t="s">
        <v>69</v>
      </c>
      <c r="M24" s="87">
        <v>0</v>
      </c>
      <c r="N24" s="88">
        <f>IF(COUNTIF(L24,"-")=1,0,VLOOKUP(L24,'Contorizare in SDI'!$F:$R,$N$1-3,FALSE))</f>
        <v>0</v>
      </c>
      <c r="O24" s="88">
        <f>IF(COUNTIF(L24,"-")=1,0,VLOOKUP(L24,'Contorizare in SDI'!$F:$R,$O$1-3,FALSE))</f>
        <v>0</v>
      </c>
      <c r="P24" s="88">
        <f>IF(COUNTIF(L24,"-")=1,0,VLOOKUP(L24,'Contorizare in SDI'!$F:$R,$P$1-3,FALSE))</f>
        <v>0</v>
      </c>
      <c r="Q24" s="88">
        <f t="shared" si="6"/>
        <v>195293</v>
      </c>
      <c r="R24" s="88">
        <f t="shared" si="7"/>
        <v>0</v>
      </c>
      <c r="S24" s="88">
        <f>I25</f>
        <v>16684</v>
      </c>
      <c r="T24" s="88">
        <f t="shared" si="8"/>
        <v>2930</v>
      </c>
      <c r="U24" s="90" t="s">
        <v>514</v>
      </c>
      <c r="V24" s="580">
        <f>SUM(H24:H25)+SUM(N24:N25)</f>
        <v>439113</v>
      </c>
      <c r="W24" s="580">
        <f>SUM(Q24:S25)</f>
        <v>439113</v>
      </c>
      <c r="X24" s="580">
        <f>C24</f>
        <v>317920</v>
      </c>
      <c r="Y24" s="582">
        <f>SUM(H24:H25)+SUM(T24:T25)</f>
        <v>317920</v>
      </c>
      <c r="AA24" t="str">
        <f t="shared" si="9"/>
        <v>OK</v>
      </c>
      <c r="AB24" t="str">
        <f t="shared" si="10"/>
        <v>OK</v>
      </c>
      <c r="AE24" t="str">
        <f t="shared" si="1"/>
        <v>-</v>
      </c>
      <c r="AF24">
        <f>IF(LEFT(VLOOKUP(G24,'Contorizare in SDI'!$E:$M,5,FALSE),1)="V",C24,VLOOKUP(G24,'Contorizare in SDI'!$E:$M,6,FALSE))</f>
        <v>198162</v>
      </c>
      <c r="AG24">
        <f t="shared" si="2"/>
        <v>198162</v>
      </c>
      <c r="AH24">
        <f t="shared" si="11"/>
        <v>0</v>
      </c>
      <c r="AI24">
        <f t="shared" si="12"/>
        <v>195293</v>
      </c>
      <c r="AJ24">
        <f t="shared" si="13"/>
        <v>195293</v>
      </c>
      <c r="AK24">
        <f t="shared" si="21"/>
        <v>195293</v>
      </c>
      <c r="AL24">
        <f t="shared" si="22"/>
        <v>2930</v>
      </c>
      <c r="AM24">
        <f t="shared" si="14"/>
        <v>2930</v>
      </c>
      <c r="AN24">
        <f t="shared" si="5"/>
        <v>0</v>
      </c>
      <c r="AP24" t="str">
        <f t="shared" si="15"/>
        <v>-</v>
      </c>
      <c r="AQ24">
        <f t="shared" si="16"/>
        <v>0</v>
      </c>
    </row>
    <row r="25" spans="1:43" ht="16.5" thickBot="1">
      <c r="A25" s="91">
        <f t="shared" si="17"/>
        <v>22</v>
      </c>
      <c r="B25" s="30" t="s">
        <v>527</v>
      </c>
      <c r="C25" s="291">
        <f>IF(B25=B24,C24,SUMIF('Date masura OD'!$G:$G,B25,'Date masura OD'!$R:$R))</f>
        <v>317920</v>
      </c>
      <c r="D25" s="291">
        <f>IFERROR(IF(VLOOKUP(B25,'Date masura OD'!$G$76:$BF$187,52,FALSE)&lt;0,-VLOOKUP(B25,'Date masura OD'!$G$76:$BF$187,52,FALSE),0),0)</f>
        <v>0</v>
      </c>
      <c r="E25" s="291">
        <v>0</v>
      </c>
      <c r="F25" s="291">
        <v>0</v>
      </c>
      <c r="G25" s="107" t="s">
        <v>581</v>
      </c>
      <c r="H25" s="312">
        <f>IF(C25=0,0,IF(RIGHT(G25,1)="N",ROUNDUP(C25*1.5%,0),IF(LEN(RIGHT(G25,LEN(G25)-FIND("_",G25,1)))=1,SUMIF('Date masura OD'!$G:$G,G25,'Date masura OD'!$R:$R),AK25)))</f>
        <v>117858</v>
      </c>
      <c r="I25" s="184">
        <f>VLOOKUP(G25,'Contorizare in SDI'!E:M,7,FALSE)</f>
        <v>16684</v>
      </c>
      <c r="J25" s="88">
        <f>VLOOKUP(G25,'Contorizare in SDI'!$E:$M,$J$1-2,FALSE)</f>
        <v>6158</v>
      </c>
      <c r="K25" s="88">
        <f>VLOOKUP(G25,'Contorizare in SDI'!$E:$M,$K$1-2,FALSE)</f>
        <v>965</v>
      </c>
      <c r="L25" s="29" t="s">
        <v>667</v>
      </c>
      <c r="M25" s="87">
        <v>0</v>
      </c>
      <c r="N25" s="88">
        <f>IF(COUNTIF(L25,"-")=1,0,VLOOKUP(L25,'Contorizare in SDI'!$F:$R,$N$1-3,FALSE))</f>
        <v>125962</v>
      </c>
      <c r="O25" s="88">
        <f>IF(COUNTIF(L25,"-")=1,0,VLOOKUP(L25,'Contorizare in SDI'!$F:$R,$O$1-3,FALSE))</f>
        <v>33</v>
      </c>
      <c r="P25" s="88">
        <f>IF(COUNTIF(L25,"-")=1,0,VLOOKUP(L25,'Contorizare in SDI'!$F:$R,$P$1-3,FALSE))</f>
        <v>1681</v>
      </c>
      <c r="Q25" s="88">
        <f t="shared" si="6"/>
        <v>117858</v>
      </c>
      <c r="R25" s="88">
        <f t="shared" si="7"/>
        <v>109278</v>
      </c>
      <c r="S25" s="321">
        <v>0</v>
      </c>
      <c r="T25" s="88">
        <f t="shared" si="8"/>
        <v>1839</v>
      </c>
      <c r="U25" s="17" t="s">
        <v>514</v>
      </c>
      <c r="V25" s="581"/>
      <c r="W25" s="581"/>
      <c r="X25" s="581"/>
      <c r="Y25" s="583"/>
      <c r="AA25" t="str">
        <f t="shared" si="9"/>
        <v/>
      </c>
      <c r="AB25" t="str">
        <f t="shared" si="10"/>
        <v/>
      </c>
      <c r="AE25" t="str">
        <f t="shared" si="1"/>
        <v>-</v>
      </c>
      <c r="AF25">
        <f>IF(LEFT(VLOOKUP(G25,'Contorizare in SDI'!$E:$M,5,FALSE),1)="V",C25,VLOOKUP(G25,'Contorizare in SDI'!$E:$M,6,FALSE))</f>
        <v>129199</v>
      </c>
      <c r="AG25">
        <f t="shared" si="2"/>
        <v>327361</v>
      </c>
      <c r="AH25">
        <f t="shared" si="11"/>
        <v>0</v>
      </c>
      <c r="AI25">
        <f t="shared" si="12"/>
        <v>127328</v>
      </c>
      <c r="AJ25">
        <f t="shared" si="13"/>
        <v>322621</v>
      </c>
      <c r="AK25">
        <f t="shared" si="21"/>
        <v>117858</v>
      </c>
      <c r="AL25">
        <f t="shared" si="22"/>
        <v>1839</v>
      </c>
      <c r="AM25">
        <f t="shared" si="14"/>
        <v>4769</v>
      </c>
      <c r="AN25">
        <f t="shared" si="5"/>
        <v>0</v>
      </c>
      <c r="AP25" t="str">
        <f t="shared" si="15"/>
        <v>-</v>
      </c>
      <c r="AQ25">
        <f t="shared" si="16"/>
        <v>0</v>
      </c>
    </row>
    <row r="26" spans="1:43" ht="16.5" thickBot="1">
      <c r="A26" s="91">
        <f t="shared" si="17"/>
        <v>23</v>
      </c>
      <c r="B26" s="93" t="s">
        <v>527</v>
      </c>
      <c r="C26" s="291">
        <f>IF(B26=B25,C25,SUMIF('Date masura OD'!$G:$G,B26,'Date masura OD'!$R:$R))</f>
        <v>317920</v>
      </c>
      <c r="D26" s="291">
        <f>IFERROR(IF(VLOOKUP(B26,'Date masura OD'!$G$76:$BF$187,52,FALSE)&lt;0,-VLOOKUP(B26,'Date masura OD'!$G$76:$BF$187,52,FALSE),0),0)</f>
        <v>0</v>
      </c>
      <c r="E26" s="291">
        <v>0</v>
      </c>
      <c r="F26" s="291">
        <v>0</v>
      </c>
      <c r="G26" s="108" t="s">
        <v>961</v>
      </c>
      <c r="H26" s="312">
        <f>IF(C26=0,0,IF(RIGHT(G26,1)="N",ROUNDUP(C26*1.5%,0),IF(LEN(RIGHT(G26,LEN(G26)-FIND("_",G26,1)))=1,SUMIF('Date masura OD'!$G:$G,G26,'Date masura OD'!$R:$R),AK26)))</f>
        <v>4769</v>
      </c>
      <c r="I26" s="184">
        <f>VLOOKUP(G26,'Contorizare in SDI'!E:M,7,FALSE)</f>
        <v>0</v>
      </c>
      <c r="J26" s="88">
        <f>VLOOKUP(G26,'Contorizare in SDI'!$E:$M,$J$1-2,FALSE)</f>
        <v>0</v>
      </c>
      <c r="K26" s="88">
        <f>VLOOKUP(G26,'Contorizare in SDI'!$E:$M,$K$1-2,FALSE)</f>
        <v>0</v>
      </c>
      <c r="L26" s="94" t="s">
        <v>69</v>
      </c>
      <c r="M26" s="87">
        <v>0</v>
      </c>
      <c r="N26" s="88">
        <f>IF(COUNTIF(L26,"-")=1,0,VLOOKUP(L26,'Contorizare in SDI'!$F:$R,$N$1-3,FALSE))</f>
        <v>0</v>
      </c>
      <c r="O26" s="88">
        <f>IF(COUNTIF(L26,"-")=1,0,VLOOKUP(L26,'Contorizare in SDI'!$F:$R,$O$1-3,FALSE))</f>
        <v>0</v>
      </c>
      <c r="P26" s="88">
        <f>IF(COUNTIF(L26,"-")=1,0,VLOOKUP(L26,'Contorizare in SDI'!$F:$R,$P$1-3,FALSE))</f>
        <v>0</v>
      </c>
      <c r="Q26" s="88">
        <f t="shared" si="6"/>
        <v>0</v>
      </c>
      <c r="R26" s="88">
        <f t="shared" si="7"/>
        <v>0</v>
      </c>
      <c r="S26" s="321">
        <v>0</v>
      </c>
      <c r="T26" s="88">
        <f t="shared" si="8"/>
        <v>0</v>
      </c>
      <c r="U26" s="95" t="s">
        <v>69</v>
      </c>
      <c r="V26" s="589"/>
      <c r="W26" s="589"/>
      <c r="X26" s="589"/>
      <c r="Y26" s="591"/>
      <c r="AA26" t="str">
        <f t="shared" si="9"/>
        <v/>
      </c>
      <c r="AB26" t="str">
        <f t="shared" si="10"/>
        <v/>
      </c>
      <c r="AE26" t="str">
        <f t="shared" si="1"/>
        <v>RSCP_1</v>
      </c>
      <c r="AF26">
        <f>IF(LEFT(VLOOKUP(G26,'Contorizare in SDI'!$E:$M,5,FALSE),1)="V",C26,VLOOKUP(G26,'Contorizare in SDI'!$E:$M,6,FALSE))</f>
        <v>0</v>
      </c>
      <c r="AG26">
        <f t="shared" si="2"/>
        <v>327361</v>
      </c>
      <c r="AH26">
        <f t="shared" si="11"/>
        <v>4769</v>
      </c>
      <c r="AI26">
        <f t="shared" si="12"/>
        <v>0</v>
      </c>
      <c r="AJ26">
        <f t="shared" si="13"/>
        <v>322621</v>
      </c>
      <c r="AK26">
        <f t="shared" si="21"/>
        <v>0</v>
      </c>
      <c r="AL26">
        <f t="shared" si="22"/>
        <v>0</v>
      </c>
      <c r="AM26">
        <f t="shared" si="14"/>
        <v>0</v>
      </c>
      <c r="AN26">
        <f t="shared" si="5"/>
        <v>16684</v>
      </c>
      <c r="AP26" t="str">
        <f t="shared" si="15"/>
        <v>RSCP</v>
      </c>
      <c r="AQ26">
        <f t="shared" ref="AQ26:AQ68" si="23">IF(AND(COUNTIF(AP26,"-")=1,COUNTIF(AP25,"-")=0),0,AH26+AQ25)</f>
        <v>4769</v>
      </c>
    </row>
    <row r="27" spans="1:43" ht="16.5" thickBot="1">
      <c r="A27" s="91">
        <f t="shared" si="17"/>
        <v>24</v>
      </c>
      <c r="B27" s="86" t="s">
        <v>528</v>
      </c>
      <c r="C27" s="291">
        <f>IF(B27=B26,C26,SUMIF('Date masura OD'!$G:$G,B27,'Date masura OD'!$R:$R))</f>
        <v>382440</v>
      </c>
      <c r="D27" s="291">
        <f>IFERROR(IF(VLOOKUP(B27,'Date masura OD'!$G$76:$BF$187,52,FALSE)&lt;0,-VLOOKUP(B27,'Date masura OD'!$G$76:$BF$187,52,FALSE),0),0)</f>
        <v>0</v>
      </c>
      <c r="E27" s="291">
        <v>0</v>
      </c>
      <c r="F27" s="291">
        <v>0</v>
      </c>
      <c r="G27" s="106" t="s">
        <v>582</v>
      </c>
      <c r="H27" s="312">
        <f>IF(C27=0,0,IF(RIGHT(G27,1)="N",ROUNDUP(C27*1.5%,0),IF(LEN(RIGHT(G27,LEN(G27)-FIND("_",G27,1)))=1,SUMIF('Date masura OD'!$G:$G,G27,'Date masura OD'!$R:$R),AK27)))</f>
        <v>167891</v>
      </c>
      <c r="I27" s="184">
        <f>VLOOKUP(G27,'Contorizare in SDI'!E:M,7,FALSE)</f>
        <v>0</v>
      </c>
      <c r="J27" s="88">
        <f>VLOOKUP(G27,'Contorizare in SDI'!$E:$M,$J$1-2,FALSE)</f>
        <v>7096</v>
      </c>
      <c r="K27" s="88">
        <f>VLOOKUP(G27,'Contorizare in SDI'!$E:$M,$K$1-2,FALSE)</f>
        <v>2938</v>
      </c>
      <c r="L27" s="89" t="s">
        <v>69</v>
      </c>
      <c r="M27" s="87">
        <v>0</v>
      </c>
      <c r="N27" s="88">
        <f>IF(COUNTIF(L27,"-")=1,0,VLOOKUP(L27,'Contorizare in SDI'!$F:$R,$N$1-3,FALSE))</f>
        <v>0</v>
      </c>
      <c r="O27" s="88">
        <f>IF(COUNTIF(L27,"-")=1,0,VLOOKUP(L27,'Contorizare in SDI'!$F:$R,$O$1-3,FALSE))</f>
        <v>0</v>
      </c>
      <c r="P27" s="88">
        <f>IF(COUNTIF(L27,"-")=1,0,VLOOKUP(L27,'Contorizare in SDI'!$F:$R,$P$1-3,FALSE))</f>
        <v>0</v>
      </c>
      <c r="Q27" s="88">
        <f t="shared" si="6"/>
        <v>167891</v>
      </c>
      <c r="R27" s="88">
        <f t="shared" si="7"/>
        <v>0</v>
      </c>
      <c r="S27" s="88">
        <f>I28</f>
        <v>0</v>
      </c>
      <c r="T27" s="88">
        <f t="shared" si="8"/>
        <v>2519</v>
      </c>
      <c r="U27" s="90" t="s">
        <v>514</v>
      </c>
      <c r="V27" s="592">
        <f>SUM(H27:H28)+SUM(N27:N28)</f>
        <v>416182</v>
      </c>
      <c r="W27" s="580">
        <f>SUM(Q27:S28)</f>
        <v>416182</v>
      </c>
      <c r="X27" s="580">
        <f>C27</f>
        <v>382440</v>
      </c>
      <c r="Y27" s="582">
        <f>SUM(H27:H28)+SUM(T27:T28)</f>
        <v>382440</v>
      </c>
      <c r="AA27" t="str">
        <f t="shared" si="9"/>
        <v>OK</v>
      </c>
      <c r="AB27" t="str">
        <f t="shared" si="10"/>
        <v>OK</v>
      </c>
      <c r="AE27" t="str">
        <f t="shared" si="1"/>
        <v>-</v>
      </c>
      <c r="AF27">
        <f>IF(LEFT(VLOOKUP(G27,'Contorizare in SDI'!$E:$M,5,FALSE),1)="V",C27,VLOOKUP(G27,'Contorizare in SDI'!$E:$M,6,FALSE))</f>
        <v>163810</v>
      </c>
      <c r="AG27">
        <f t="shared" si="2"/>
        <v>163810</v>
      </c>
      <c r="AH27">
        <f t="shared" si="11"/>
        <v>0</v>
      </c>
      <c r="AI27">
        <f t="shared" si="12"/>
        <v>167891</v>
      </c>
      <c r="AJ27">
        <f t="shared" si="13"/>
        <v>167891</v>
      </c>
      <c r="AK27">
        <f t="shared" si="21"/>
        <v>167891</v>
      </c>
      <c r="AL27">
        <f t="shared" si="22"/>
        <v>2519</v>
      </c>
      <c r="AM27">
        <f t="shared" si="14"/>
        <v>2519</v>
      </c>
      <c r="AN27">
        <f t="shared" si="5"/>
        <v>0</v>
      </c>
      <c r="AP27" t="str">
        <f t="shared" si="15"/>
        <v>-</v>
      </c>
      <c r="AQ27">
        <f t="shared" si="23"/>
        <v>0</v>
      </c>
    </row>
    <row r="28" spans="1:43" ht="15.95" customHeight="1" thickBot="1">
      <c r="A28" s="91">
        <f t="shared" si="17"/>
        <v>25</v>
      </c>
      <c r="B28" s="30" t="s">
        <v>528</v>
      </c>
      <c r="C28" s="291">
        <f>IF(B28=B27,C27,SUMIF('Date masura OD'!$G:$G,B28,'Date masura OD'!$R:$R))</f>
        <v>382440</v>
      </c>
      <c r="D28" s="291">
        <f>IFERROR(IF(VLOOKUP(B28,'Date masura OD'!$G$76:$BF$187,52,FALSE)&lt;0,-VLOOKUP(B28,'Date masura OD'!$G$76:$BF$187,52,FALSE),0),0)</f>
        <v>0</v>
      </c>
      <c r="E28" s="291">
        <v>0</v>
      </c>
      <c r="F28" s="291">
        <v>0</v>
      </c>
      <c r="G28" s="107" t="s">
        <v>583</v>
      </c>
      <c r="H28" s="312">
        <f>IF(C28=0,0,IF(RIGHT(G28,1)="N",ROUNDUP(C28*1.5%,0),IF(LEN(RIGHT(G28,LEN(G28)-FIND("_",G28,1)))=1,SUMIF('Date masura OD'!$G:$G,G28,'Date masura OD'!$R:$R),AK28)))</f>
        <v>208812</v>
      </c>
      <c r="I28" s="184">
        <f>VLOOKUP(G28,'Contorizare in SDI'!E:M,7,FALSE)</f>
        <v>0</v>
      </c>
      <c r="J28" s="88">
        <f>VLOOKUP(G28,'Contorizare in SDI'!$E:$M,$J$1-2,FALSE)</f>
        <v>11508</v>
      </c>
      <c r="K28" s="88">
        <f>VLOOKUP(G28,'Contorizare in SDI'!$E:$M,$K$1-2,FALSE)</f>
        <v>1359</v>
      </c>
      <c r="L28" s="29" t="s">
        <v>668</v>
      </c>
      <c r="M28" s="87">
        <v>0</v>
      </c>
      <c r="N28" s="88">
        <f>IF(COUNTIF(L28,"-")=1,0,VLOOKUP(L28,'Contorizare in SDI'!$F:$R,$N$1-3,FALSE))</f>
        <v>39479</v>
      </c>
      <c r="O28" s="88">
        <f>IF(COUNTIF(L28,"-")=1,0,VLOOKUP(L28,'Contorizare in SDI'!$F:$R,$O$1-3,FALSE))</f>
        <v>35</v>
      </c>
      <c r="P28" s="88">
        <f>IF(COUNTIF(L28,"-")=1,0,VLOOKUP(L28,'Contorizare in SDI'!$F:$R,$P$1-3,FALSE))</f>
        <v>412</v>
      </c>
      <c r="Q28" s="88">
        <f t="shared" si="6"/>
        <v>208812</v>
      </c>
      <c r="R28" s="88">
        <f t="shared" si="7"/>
        <v>39479</v>
      </c>
      <c r="S28" s="321">
        <v>0</v>
      </c>
      <c r="T28" s="88">
        <f t="shared" si="8"/>
        <v>3218</v>
      </c>
      <c r="U28" s="17" t="s">
        <v>514</v>
      </c>
      <c r="V28" s="581"/>
      <c r="W28" s="581"/>
      <c r="X28" s="581"/>
      <c r="Y28" s="583"/>
      <c r="AA28" t="str">
        <f t="shared" si="9"/>
        <v/>
      </c>
      <c r="AB28" t="str">
        <f t="shared" si="10"/>
        <v/>
      </c>
      <c r="AE28" t="str">
        <f t="shared" si="1"/>
        <v>-</v>
      </c>
      <c r="AF28">
        <f>IF(LEFT(VLOOKUP(G28,'Contorizare in SDI'!$E:$M,5,FALSE),1)="V",C28,VLOOKUP(G28,'Contorizare in SDI'!$E:$M,6,FALSE))</f>
        <v>215073</v>
      </c>
      <c r="AG28">
        <f t="shared" si="2"/>
        <v>378883</v>
      </c>
      <c r="AH28">
        <f t="shared" si="11"/>
        <v>0</v>
      </c>
      <c r="AI28">
        <f t="shared" si="12"/>
        <v>220430</v>
      </c>
      <c r="AJ28">
        <f t="shared" si="13"/>
        <v>388321</v>
      </c>
      <c r="AK28">
        <f t="shared" si="21"/>
        <v>208812</v>
      </c>
      <c r="AL28">
        <f t="shared" si="22"/>
        <v>3218</v>
      </c>
      <c r="AM28">
        <f t="shared" si="14"/>
        <v>5737</v>
      </c>
      <c r="AN28">
        <f t="shared" si="5"/>
        <v>0</v>
      </c>
      <c r="AP28" t="str">
        <f t="shared" si="15"/>
        <v>-</v>
      </c>
      <c r="AQ28">
        <f t="shared" si="23"/>
        <v>0</v>
      </c>
    </row>
    <row r="29" spans="1:43" ht="16.5" thickBot="1">
      <c r="A29" s="91">
        <f t="shared" si="17"/>
        <v>26</v>
      </c>
      <c r="B29" s="93" t="s">
        <v>528</v>
      </c>
      <c r="C29" s="291">
        <f>IF(B29=B28,C28,SUMIF('Date masura OD'!$G:$G,B29,'Date masura OD'!$R:$R))</f>
        <v>382440</v>
      </c>
      <c r="D29" s="291">
        <f>IFERROR(IF(VLOOKUP(B29,'Date masura OD'!$G$76:$BF$187,52,FALSE)&lt;0,-VLOOKUP(B29,'Date masura OD'!$G$76:$BF$187,52,FALSE),0),0)</f>
        <v>0</v>
      </c>
      <c r="E29" s="291">
        <v>0</v>
      </c>
      <c r="F29" s="291">
        <v>0</v>
      </c>
      <c r="G29" s="108" t="s">
        <v>962</v>
      </c>
      <c r="H29" s="312">
        <f>IF(C29=0,0,IF(RIGHT(G29,1)="N",ROUNDUP(C29*1.5%,0),IF(LEN(RIGHT(G29,LEN(G29)-FIND("_",G29,1)))=1,SUMIF('Date masura OD'!$G:$G,G29,'Date masura OD'!$R:$R),AK29)))</f>
        <v>5737</v>
      </c>
      <c r="I29" s="184">
        <f>VLOOKUP(G29,'Contorizare in SDI'!E:M,7,FALSE)</f>
        <v>0</v>
      </c>
      <c r="J29" s="88">
        <f>VLOOKUP(G29,'Contorizare in SDI'!$E:$M,$J$1-2,FALSE)</f>
        <v>0</v>
      </c>
      <c r="K29" s="88">
        <f>VLOOKUP(G29,'Contorizare in SDI'!$E:$M,$K$1-2,FALSE)</f>
        <v>0</v>
      </c>
      <c r="L29" s="94" t="s">
        <v>69</v>
      </c>
      <c r="M29" s="87">
        <v>0</v>
      </c>
      <c r="N29" s="88">
        <f>IF(COUNTIF(L29,"-")=1,0,VLOOKUP(L29,'Contorizare in SDI'!$F:$R,$N$1-3,FALSE))</f>
        <v>0</v>
      </c>
      <c r="O29" s="88">
        <f>IF(COUNTIF(L29,"-")=1,0,VLOOKUP(L29,'Contorizare in SDI'!$F:$R,$O$1-3,FALSE))</f>
        <v>0</v>
      </c>
      <c r="P29" s="88">
        <f>IF(COUNTIF(L29,"-")=1,0,VLOOKUP(L29,'Contorizare in SDI'!$F:$R,$P$1-3,FALSE))</f>
        <v>0</v>
      </c>
      <c r="Q29" s="88">
        <f t="shared" si="6"/>
        <v>0</v>
      </c>
      <c r="R29" s="88">
        <f t="shared" si="7"/>
        <v>0</v>
      </c>
      <c r="S29" s="321">
        <v>0</v>
      </c>
      <c r="T29" s="88">
        <f t="shared" si="8"/>
        <v>0</v>
      </c>
      <c r="U29" s="95" t="s">
        <v>69</v>
      </c>
      <c r="V29" s="589"/>
      <c r="W29" s="589"/>
      <c r="X29" s="589"/>
      <c r="Y29" s="591"/>
      <c r="AA29" t="str">
        <f t="shared" si="9"/>
        <v/>
      </c>
      <c r="AB29" t="str">
        <f t="shared" si="10"/>
        <v/>
      </c>
      <c r="AE29" t="str">
        <f t="shared" si="1"/>
        <v>RSMS_1</v>
      </c>
      <c r="AF29">
        <f>IF(LEFT(VLOOKUP(G29,'Contorizare in SDI'!$E:$M,5,FALSE),1)="V",C29,VLOOKUP(G29,'Contorizare in SDI'!$E:$M,6,FALSE))</f>
        <v>0</v>
      </c>
      <c r="AG29">
        <f t="shared" si="2"/>
        <v>378883</v>
      </c>
      <c r="AH29">
        <f t="shared" si="11"/>
        <v>5737</v>
      </c>
      <c r="AI29">
        <f t="shared" si="12"/>
        <v>0</v>
      </c>
      <c r="AJ29">
        <f t="shared" si="13"/>
        <v>388321</v>
      </c>
      <c r="AK29">
        <f t="shared" si="21"/>
        <v>0</v>
      </c>
      <c r="AL29">
        <f t="shared" si="22"/>
        <v>0</v>
      </c>
      <c r="AM29">
        <f t="shared" si="14"/>
        <v>0</v>
      </c>
      <c r="AN29">
        <f t="shared" si="5"/>
        <v>0</v>
      </c>
      <c r="AP29" t="str">
        <f t="shared" si="15"/>
        <v>RSMS</v>
      </c>
      <c r="AQ29">
        <f t="shared" si="23"/>
        <v>5737</v>
      </c>
    </row>
    <row r="30" spans="1:43" ht="16.5" thickBot="1">
      <c r="A30" s="91">
        <f t="shared" si="17"/>
        <v>27</v>
      </c>
      <c r="B30" s="86" t="s">
        <v>529</v>
      </c>
      <c r="C30" s="291">
        <f>IF(B30=B29,C29,SUMIF('Date masura OD'!$G:$G,B30,'Date masura OD'!$R:$R))</f>
        <v>85140</v>
      </c>
      <c r="D30" s="291">
        <f>IFERROR(IF(VLOOKUP(B30,'Date masura OD'!$G$76:$BF$187,52,FALSE)&lt;0,-VLOOKUP(B30,'Date masura OD'!$G$76:$BF$187,52,FALSE),0),0)</f>
        <v>0</v>
      </c>
      <c r="E30" s="291">
        <v>0</v>
      </c>
      <c r="F30" s="291">
        <v>0</v>
      </c>
      <c r="G30" s="106" t="s">
        <v>584</v>
      </c>
      <c r="H30" s="312">
        <f>IF(C30=0,0,IF(RIGHT(G30,1)="N",ROUNDUP(C30*1.5%,0),IF(LEN(RIGHT(G30,LEN(G30)-FIND("_",G30,1)))=1,SUMIF('Date masura OD'!$G:$G,G30,'Date masura OD'!$R:$R),AK30)))</f>
        <v>40391</v>
      </c>
      <c r="I30" s="184">
        <f>VLOOKUP(G30,'Contorizare in SDI'!E:M,7,FALSE)</f>
        <v>0</v>
      </c>
      <c r="J30" s="88">
        <f>VLOOKUP(G30,'Contorizare in SDI'!$E:$M,$J$1-2,FALSE)</f>
        <v>12293</v>
      </c>
      <c r="K30" s="88">
        <f>VLOOKUP(G30,'Contorizare in SDI'!$E:$M,$K$1-2,FALSE)</f>
        <v>2</v>
      </c>
      <c r="L30" s="89" t="s">
        <v>669</v>
      </c>
      <c r="M30" s="87">
        <v>0</v>
      </c>
      <c r="N30" s="88">
        <f>IF(COUNTIF(L30,"-")=1,0,VLOOKUP(L30,'Contorizare in SDI'!$F:$R,$N$1-3,FALSE))</f>
        <v>34586</v>
      </c>
      <c r="O30" s="88">
        <f>IF(COUNTIF(L30,"-")=1,0,VLOOKUP(L30,'Contorizare in SDI'!$F:$R,$O$1-3,FALSE))</f>
        <v>125</v>
      </c>
      <c r="P30" s="88">
        <f>IF(COUNTIF(L30,"-")=1,0,VLOOKUP(L30,'Contorizare in SDI'!$F:$R,$P$1-3,FALSE))</f>
        <v>301</v>
      </c>
      <c r="Q30" s="88">
        <f t="shared" si="6"/>
        <v>40391</v>
      </c>
      <c r="R30" s="88">
        <f t="shared" si="7"/>
        <v>34586</v>
      </c>
      <c r="S30" s="88">
        <f>I31</f>
        <v>0</v>
      </c>
      <c r="T30" s="88">
        <f t="shared" si="8"/>
        <v>606</v>
      </c>
      <c r="U30" s="90" t="s">
        <v>514</v>
      </c>
      <c r="V30" s="580">
        <f>SUM(H30:H31)+SUM(N30:N31)</f>
        <v>142601</v>
      </c>
      <c r="W30" s="580">
        <f>SUM(Q30:S31)</f>
        <v>142601</v>
      </c>
      <c r="X30" s="580">
        <f>C30</f>
        <v>85140</v>
      </c>
      <c r="Y30" s="582">
        <f>SUM(H30:H31)+SUM(T30:T31)</f>
        <v>85140</v>
      </c>
      <c r="AA30" t="str">
        <f t="shared" si="9"/>
        <v>OK</v>
      </c>
      <c r="AB30" t="str">
        <f t="shared" si="10"/>
        <v>OK</v>
      </c>
      <c r="AE30" t="str">
        <f t="shared" si="1"/>
        <v>-</v>
      </c>
      <c r="AF30">
        <f>IF(LEFT(VLOOKUP(G30,'Contorizare in SDI'!$E:$M,5,FALSE),1)="V",C30,VLOOKUP(G30,'Contorizare in SDI'!$E:$M,6,FALSE))</f>
        <v>67515</v>
      </c>
      <c r="AG30">
        <f t="shared" si="2"/>
        <v>67515</v>
      </c>
      <c r="AH30">
        <f t="shared" si="11"/>
        <v>0</v>
      </c>
      <c r="AI30">
        <f t="shared" si="12"/>
        <v>40391</v>
      </c>
      <c r="AJ30">
        <f t="shared" si="13"/>
        <v>40391</v>
      </c>
      <c r="AK30">
        <f t="shared" si="21"/>
        <v>40391</v>
      </c>
      <c r="AL30">
        <f t="shared" si="22"/>
        <v>606</v>
      </c>
      <c r="AM30">
        <f t="shared" si="14"/>
        <v>606</v>
      </c>
      <c r="AN30">
        <f t="shared" si="5"/>
        <v>0</v>
      </c>
      <c r="AP30" t="str">
        <f t="shared" si="15"/>
        <v>-</v>
      </c>
      <c r="AQ30">
        <f t="shared" si="23"/>
        <v>0</v>
      </c>
    </row>
    <row r="31" spans="1:43" ht="16.5" thickBot="1">
      <c r="A31" s="91">
        <f t="shared" si="17"/>
        <v>28</v>
      </c>
      <c r="B31" s="30" t="s">
        <v>529</v>
      </c>
      <c r="C31" s="291">
        <f>IF(B31=B30,C30,SUMIF('Date masura OD'!$G:$G,B31,'Date masura OD'!$R:$R))</f>
        <v>85140</v>
      </c>
      <c r="D31" s="291">
        <f>IFERROR(IF(VLOOKUP(B31,'Date masura OD'!$G$76:$BF$187,52,FALSE)&lt;0,-VLOOKUP(B31,'Date masura OD'!$G$76:$BF$187,52,FALSE),0),0)</f>
        <v>0</v>
      </c>
      <c r="E31" s="291">
        <v>0</v>
      </c>
      <c r="F31" s="291">
        <v>0</v>
      </c>
      <c r="G31" s="107" t="s">
        <v>585</v>
      </c>
      <c r="H31" s="312">
        <f>IF(C31=0,0,IF(RIGHT(G31,1)="N",ROUNDUP(C31*1.5%,0),IF(LEN(RIGHT(G31,LEN(G31)-FIND("_",G31,1)))=1,SUMIF('Date masura OD'!$G:$G,G31,'Date masura OD'!$R:$R),AK31)))</f>
        <v>43471</v>
      </c>
      <c r="I31" s="184">
        <f>VLOOKUP(G31,'Contorizare in SDI'!E:M,7,FALSE)</f>
        <v>0</v>
      </c>
      <c r="J31" s="88">
        <f>VLOOKUP(G31,'Contorizare in SDI'!$E:$M,$J$1-2,FALSE)</f>
        <v>12765</v>
      </c>
      <c r="K31" s="88">
        <f>VLOOKUP(G31,'Contorizare in SDI'!$E:$M,$K$1-2,FALSE)</f>
        <v>2</v>
      </c>
      <c r="L31" s="29" t="s">
        <v>670</v>
      </c>
      <c r="M31" s="87">
        <v>0</v>
      </c>
      <c r="N31" s="88">
        <f>IF(COUNTIF(L31,"-")=1,0,VLOOKUP(L31,'Contorizare in SDI'!$F:$R,$N$1-3,FALSE))</f>
        <v>24153</v>
      </c>
      <c r="O31" s="88">
        <f>IF(COUNTIF(L31,"-")=1,0,VLOOKUP(L31,'Contorizare in SDI'!$F:$R,$O$1-3,FALSE))</f>
        <v>84</v>
      </c>
      <c r="P31" s="88">
        <f>IF(COUNTIF(L31,"-")=1,0,VLOOKUP(L31,'Contorizare in SDI'!$F:$R,$P$1-3,FALSE))</f>
        <v>254</v>
      </c>
      <c r="Q31" s="88">
        <f t="shared" si="6"/>
        <v>43471</v>
      </c>
      <c r="R31" s="88">
        <f t="shared" si="7"/>
        <v>24153</v>
      </c>
      <c r="S31" s="88">
        <f>I30</f>
        <v>0</v>
      </c>
      <c r="T31" s="88">
        <f t="shared" si="8"/>
        <v>672</v>
      </c>
      <c r="U31" s="17" t="s">
        <v>514</v>
      </c>
      <c r="V31" s="581"/>
      <c r="W31" s="581"/>
      <c r="X31" s="581"/>
      <c r="Y31" s="583"/>
      <c r="AA31" t="str">
        <f t="shared" si="9"/>
        <v/>
      </c>
      <c r="AB31" t="str">
        <f t="shared" si="10"/>
        <v/>
      </c>
      <c r="AE31" t="str">
        <f t="shared" si="1"/>
        <v>-</v>
      </c>
      <c r="AF31">
        <f>IF(LEFT(VLOOKUP(G31,'Contorizare in SDI'!$E:$M,5,FALSE),1)="V",C31,VLOOKUP(G31,'Contorizare in SDI'!$E:$M,6,FALSE))</f>
        <v>76080</v>
      </c>
      <c r="AG31">
        <f t="shared" si="2"/>
        <v>143595</v>
      </c>
      <c r="AH31">
        <f t="shared" si="11"/>
        <v>0</v>
      </c>
      <c r="AI31">
        <f t="shared" si="12"/>
        <v>45515</v>
      </c>
      <c r="AJ31">
        <f t="shared" si="13"/>
        <v>85906</v>
      </c>
      <c r="AK31">
        <f t="shared" si="21"/>
        <v>43471</v>
      </c>
      <c r="AL31">
        <f t="shared" si="22"/>
        <v>672</v>
      </c>
      <c r="AM31">
        <f t="shared" si="14"/>
        <v>1278</v>
      </c>
      <c r="AN31">
        <f t="shared" si="5"/>
        <v>0</v>
      </c>
      <c r="AP31" t="str">
        <f t="shared" si="15"/>
        <v>-</v>
      </c>
      <c r="AQ31">
        <f t="shared" si="23"/>
        <v>0</v>
      </c>
    </row>
    <row r="32" spans="1:43" ht="16.5" thickBot="1">
      <c r="A32" s="91">
        <f t="shared" si="17"/>
        <v>29</v>
      </c>
      <c r="B32" s="30" t="s">
        <v>529</v>
      </c>
      <c r="C32" s="291">
        <f>IF(B32=B31,C31,SUMIF('Date masura OD'!$G:$G,B32,'Date masura OD'!$R:$R))</f>
        <v>85140</v>
      </c>
      <c r="D32" s="291">
        <f>IFERROR(IF(VLOOKUP(B32,'Date masura OD'!$G$76:$BF$187,52,FALSE)&lt;0,-VLOOKUP(B32,'Date masura OD'!$G$76:$BF$187,52,FALSE),0),0)</f>
        <v>0</v>
      </c>
      <c r="E32" s="291">
        <v>0</v>
      </c>
      <c r="F32" s="291">
        <v>0</v>
      </c>
      <c r="G32" s="107" t="s">
        <v>963</v>
      </c>
      <c r="H32" s="312">
        <f>IF(C32=0,0,IF(RIGHT(G32,1)="N",ROUNDUP(C32*1.5%,0),IF(LEN(RIGHT(G32,LEN(G32)-FIND("_",G32,1)))=1,SUMIF('Date masura OD'!$G:$G,G32,'Date masura OD'!$R:$R),AK32)))</f>
        <v>1278</v>
      </c>
      <c r="I32" s="184">
        <f>VLOOKUP(G32,'Contorizare in SDI'!E:M,7,FALSE)</f>
        <v>0</v>
      </c>
      <c r="J32" s="88">
        <f>VLOOKUP(G32,'Contorizare in SDI'!$E:$M,$J$1-2,FALSE)</f>
        <v>0</v>
      </c>
      <c r="K32" s="88">
        <f>VLOOKUP(G32,'Contorizare in SDI'!$E:$M,$K$1-2,FALSE)</f>
        <v>0</v>
      </c>
      <c r="L32" s="29" t="s">
        <v>69</v>
      </c>
      <c r="M32" s="87">
        <v>0</v>
      </c>
      <c r="N32" s="88">
        <f>IF(COUNTIF(L32,"-")=1,0,VLOOKUP(L32,'Contorizare in SDI'!$F:$R,$N$1-3,FALSE))</f>
        <v>0</v>
      </c>
      <c r="O32" s="88">
        <f>IF(COUNTIF(L32,"-")=1,0,VLOOKUP(L32,'Contorizare in SDI'!$F:$R,$O$1-3,FALSE))</f>
        <v>0</v>
      </c>
      <c r="P32" s="88">
        <f>IF(COUNTIF(L32,"-")=1,0,VLOOKUP(L32,'Contorizare in SDI'!$F:$R,$P$1-3,FALSE))</f>
        <v>0</v>
      </c>
      <c r="Q32" s="88">
        <f t="shared" si="6"/>
        <v>0</v>
      </c>
      <c r="R32" s="88">
        <f t="shared" si="7"/>
        <v>0</v>
      </c>
      <c r="S32" s="321">
        <v>0</v>
      </c>
      <c r="T32" s="88">
        <f t="shared" si="8"/>
        <v>0</v>
      </c>
      <c r="U32" s="17" t="s">
        <v>69</v>
      </c>
      <c r="V32" s="581"/>
      <c r="W32" s="581"/>
      <c r="X32" s="581"/>
      <c r="Y32" s="583"/>
      <c r="AA32" t="str">
        <f t="shared" si="9"/>
        <v/>
      </c>
      <c r="AB32" t="str">
        <f t="shared" si="10"/>
        <v/>
      </c>
      <c r="AE32" t="str">
        <f t="shared" si="1"/>
        <v>RDSC_1</v>
      </c>
      <c r="AF32">
        <f>IF(LEFT(VLOOKUP(G32,'Contorizare in SDI'!$E:$M,5,FALSE),1)="V",C32,VLOOKUP(G32,'Contorizare in SDI'!$E:$M,6,FALSE))</f>
        <v>0</v>
      </c>
      <c r="AG32">
        <f t="shared" si="2"/>
        <v>143595</v>
      </c>
      <c r="AH32">
        <f t="shared" si="11"/>
        <v>1278</v>
      </c>
      <c r="AI32">
        <f t="shared" si="12"/>
        <v>0</v>
      </c>
      <c r="AJ32">
        <f t="shared" si="13"/>
        <v>85906</v>
      </c>
      <c r="AK32">
        <f t="shared" si="21"/>
        <v>0</v>
      </c>
      <c r="AL32">
        <f t="shared" si="22"/>
        <v>0</v>
      </c>
      <c r="AM32">
        <f t="shared" si="14"/>
        <v>0</v>
      </c>
      <c r="AN32">
        <f t="shared" si="5"/>
        <v>0</v>
      </c>
      <c r="AP32" t="str">
        <f t="shared" si="15"/>
        <v>-</v>
      </c>
      <c r="AQ32">
        <f t="shared" si="23"/>
        <v>1278</v>
      </c>
    </row>
    <row r="33" spans="1:43" ht="16.5" thickBot="1">
      <c r="A33" s="91">
        <f t="shared" si="17"/>
        <v>30</v>
      </c>
      <c r="B33" s="30" t="s">
        <v>530</v>
      </c>
      <c r="C33" s="291">
        <f>IF(B33=B32,C32,SUMIF('Date masura OD'!$G:$G,B33,'Date masura OD'!$R:$R))</f>
        <v>204480</v>
      </c>
      <c r="D33" s="291">
        <f>IFERROR(IF(VLOOKUP(B33,'Date masura OD'!$G$76:$BF$187,52,FALSE)&lt;0,-VLOOKUP(B33,'Date masura OD'!$G$76:$BF$187,52,FALSE),0),0)</f>
        <v>0</v>
      </c>
      <c r="E33" s="291">
        <v>0</v>
      </c>
      <c r="F33" s="291">
        <v>0</v>
      </c>
      <c r="G33" s="107" t="s">
        <v>586</v>
      </c>
      <c r="H33" s="312">
        <f>IF(C33=0,0,IF(RIGHT(G33,1)="N",ROUNDUP(C33*1.5%,0),IF(LEN(RIGHT(G33,LEN(G33)-FIND("_",G33,1)))=1,SUMIF('Date masura OD'!$G:$G,G33,'Date masura OD'!$R:$R),AK33)))</f>
        <v>120573</v>
      </c>
      <c r="I33" s="184">
        <f>VLOOKUP(G33,'Contorizare in SDI'!E:M,7,FALSE)</f>
        <v>0</v>
      </c>
      <c r="J33" s="88">
        <f>VLOOKUP(G33,'Contorizare in SDI'!$E:$M,$J$1-2,FALSE)</f>
        <v>17328</v>
      </c>
      <c r="K33" s="88">
        <f>VLOOKUP(G33,'Contorizare in SDI'!$E:$M,$K$1-2,FALSE)</f>
        <v>17</v>
      </c>
      <c r="L33" s="29" t="s">
        <v>671</v>
      </c>
      <c r="M33" s="87">
        <v>0</v>
      </c>
      <c r="N33" s="88">
        <f>IF(COUNTIF(L33,"-")=1,0,VLOOKUP(L33,'Contorizare in SDI'!$F:$R,$N$1-3,FALSE))</f>
        <v>81464</v>
      </c>
      <c r="O33" s="88">
        <f>IF(COUNTIF(L33,"-")=1,0,VLOOKUP(L33,'Contorizare in SDI'!$F:$R,$O$1-3,FALSE))</f>
        <v>28</v>
      </c>
      <c r="P33" s="88">
        <f>IF(COUNTIF(L33,"-")=1,0,VLOOKUP(L33,'Contorizare in SDI'!$F:$R,$P$1-3,FALSE))</f>
        <v>1354</v>
      </c>
      <c r="Q33" s="88">
        <f t="shared" si="6"/>
        <v>120573</v>
      </c>
      <c r="R33" s="88">
        <f>N33-I33</f>
        <v>81464</v>
      </c>
      <c r="S33" s="321">
        <v>0</v>
      </c>
      <c r="T33" s="88">
        <f t="shared" si="8"/>
        <v>1809</v>
      </c>
      <c r="U33" s="17" t="s">
        <v>514</v>
      </c>
      <c r="V33" s="581">
        <f>SUM(H33:H34)+SUM(N33:N34)</f>
        <v>282876</v>
      </c>
      <c r="W33" s="581">
        <f>SUM(Q33:S34)</f>
        <v>282876</v>
      </c>
      <c r="X33" s="581">
        <f>C33</f>
        <v>204480</v>
      </c>
      <c r="Y33" s="583">
        <f>SUM(H33:H34)+SUM(T33:T34)</f>
        <v>204480</v>
      </c>
      <c r="AA33" t="str">
        <f t="shared" si="9"/>
        <v>OK</v>
      </c>
      <c r="AB33" t="str">
        <f t="shared" si="10"/>
        <v>OK</v>
      </c>
      <c r="AE33" t="str">
        <f t="shared" si="1"/>
        <v>-</v>
      </c>
      <c r="AF33">
        <f>IF(LEFT(VLOOKUP(G33,'Contorizare in SDI'!$E:$M,5,FALSE),1)="V",C33,VLOOKUP(G33,'Contorizare in SDI'!$E:$M,6,FALSE))</f>
        <v>136338</v>
      </c>
      <c r="AG33">
        <f t="shared" si="2"/>
        <v>136338</v>
      </c>
      <c r="AH33">
        <f t="shared" si="11"/>
        <v>0</v>
      </c>
      <c r="AI33">
        <f t="shared" si="12"/>
        <v>120573</v>
      </c>
      <c r="AJ33">
        <f t="shared" si="13"/>
        <v>120573</v>
      </c>
      <c r="AK33">
        <f t="shared" si="21"/>
        <v>120573</v>
      </c>
      <c r="AL33">
        <f t="shared" si="22"/>
        <v>1809</v>
      </c>
      <c r="AM33">
        <f t="shared" si="14"/>
        <v>1809</v>
      </c>
      <c r="AN33">
        <f t="shared" si="5"/>
        <v>0</v>
      </c>
      <c r="AP33" t="str">
        <f t="shared" si="15"/>
        <v>-</v>
      </c>
      <c r="AQ33">
        <f t="shared" si="23"/>
        <v>1278</v>
      </c>
    </row>
    <row r="34" spans="1:43" ht="16.5" thickBot="1">
      <c r="A34" s="91">
        <f t="shared" si="17"/>
        <v>31</v>
      </c>
      <c r="B34" s="30" t="s">
        <v>530</v>
      </c>
      <c r="C34" s="291">
        <f>IF(B34=B33,C33,SUMIF('Date masura OD'!$G:$G,B34,'Date masura OD'!$R:$R))</f>
        <v>204480</v>
      </c>
      <c r="D34" s="291">
        <f>IFERROR(IF(VLOOKUP(B34,'Date masura OD'!$G$76:$BF$187,52,FALSE)&lt;0,-VLOOKUP(B34,'Date masura OD'!$G$76:$BF$187,52,FALSE),0),0)</f>
        <v>0</v>
      </c>
      <c r="E34" s="291">
        <v>0</v>
      </c>
      <c r="F34" s="291">
        <v>0</v>
      </c>
      <c r="G34" s="107" t="s">
        <v>587</v>
      </c>
      <c r="H34" s="312">
        <f>IF(C34=0,0,IF(RIGHT(G34,1)="N",ROUNDUP(C34*1.5%,0),IF(LEN(RIGHT(G34,LEN(G34)-FIND("_",G34,1)))=1,SUMIF('Date masura OD'!$G:$G,G34,'Date masura OD'!$R:$R),AK34)))</f>
        <v>80839</v>
      </c>
      <c r="I34" s="184">
        <f>VLOOKUP(G34,'Contorizare in SDI'!E:M,7,FALSE)</f>
        <v>0</v>
      </c>
      <c r="J34" s="88">
        <f>VLOOKUP(G34,'Contorizare in SDI'!$E:$M,$J$1-2,FALSE)</f>
        <v>11253</v>
      </c>
      <c r="K34" s="88">
        <f>VLOOKUP(G34,'Contorizare in SDI'!$E:$M,$K$1-2,FALSE)</f>
        <v>17</v>
      </c>
      <c r="L34" s="29" t="s">
        <v>69</v>
      </c>
      <c r="M34" s="87">
        <v>0</v>
      </c>
      <c r="N34" s="88">
        <f>IF(COUNTIF(L34,"-")=1,0,VLOOKUP(L34,'Contorizare in SDI'!$F:$R,$N$1-3,FALSE))</f>
        <v>0</v>
      </c>
      <c r="O34" s="88">
        <f>IF(COUNTIF(L34,"-")=1,0,VLOOKUP(L34,'Contorizare in SDI'!$F:$R,$O$1-3,FALSE))</f>
        <v>0</v>
      </c>
      <c r="P34" s="88">
        <f>IF(COUNTIF(L34,"-")=1,0,VLOOKUP(L34,'Contorizare in SDI'!$F:$R,$P$1-3,FALSE))</f>
        <v>0</v>
      </c>
      <c r="Q34" s="88">
        <f t="shared" si="6"/>
        <v>80839</v>
      </c>
      <c r="R34" s="88">
        <f t="shared" si="7"/>
        <v>0</v>
      </c>
      <c r="S34" s="88">
        <f>I33</f>
        <v>0</v>
      </c>
      <c r="T34" s="88">
        <f t="shared" si="8"/>
        <v>1259</v>
      </c>
      <c r="U34" s="17" t="s">
        <v>514</v>
      </c>
      <c r="V34" s="581"/>
      <c r="W34" s="581"/>
      <c r="X34" s="581"/>
      <c r="Y34" s="583"/>
      <c r="AA34" t="str">
        <f t="shared" si="9"/>
        <v/>
      </c>
      <c r="AB34" t="str">
        <f t="shared" si="10"/>
        <v/>
      </c>
      <c r="AE34" t="str">
        <f t="shared" si="1"/>
        <v>-</v>
      </c>
      <c r="AF34">
        <f>IF(LEFT(VLOOKUP(G34,'Contorizare in SDI'!$E:$M,5,FALSE),1)="V",C34,VLOOKUP(G34,'Contorizare in SDI'!$E:$M,6,FALSE))</f>
        <v>97947</v>
      </c>
      <c r="AG34">
        <f t="shared" si="2"/>
        <v>234285</v>
      </c>
      <c r="AH34">
        <f t="shared" si="11"/>
        <v>0</v>
      </c>
      <c r="AI34">
        <f t="shared" si="12"/>
        <v>86621</v>
      </c>
      <c r="AJ34">
        <f t="shared" si="13"/>
        <v>207194</v>
      </c>
      <c r="AK34">
        <f t="shared" si="21"/>
        <v>80839</v>
      </c>
      <c r="AL34">
        <f t="shared" si="22"/>
        <v>1259</v>
      </c>
      <c r="AM34">
        <f t="shared" si="14"/>
        <v>3068</v>
      </c>
      <c r="AN34">
        <f t="shared" si="5"/>
        <v>0</v>
      </c>
      <c r="AP34" t="str">
        <f t="shared" si="15"/>
        <v>-</v>
      </c>
      <c r="AQ34">
        <f t="shared" si="23"/>
        <v>1278</v>
      </c>
    </row>
    <row r="35" spans="1:43" ht="16.5" thickBot="1">
      <c r="A35" s="91">
        <f t="shared" si="17"/>
        <v>32</v>
      </c>
      <c r="B35" s="30" t="s">
        <v>530</v>
      </c>
      <c r="C35" s="291">
        <f>IF(B35=B34,C34,SUMIF('Date masura OD'!$G:$G,B35,'Date masura OD'!$R:$R))</f>
        <v>204480</v>
      </c>
      <c r="D35" s="291">
        <f>IFERROR(IF(VLOOKUP(B35,'Date masura OD'!$G$76:$BF$187,52,FALSE)&lt;0,-VLOOKUP(B35,'Date masura OD'!$G$76:$BF$187,52,FALSE),0),0)</f>
        <v>0</v>
      </c>
      <c r="E35" s="291">
        <v>0</v>
      </c>
      <c r="F35" s="291">
        <v>0</v>
      </c>
      <c r="G35" s="107" t="s">
        <v>964</v>
      </c>
      <c r="H35" s="312">
        <f>IF(C35=0,0,IF(RIGHT(G35,1)="N",ROUNDUP(C35*1.5%,0),IF(LEN(RIGHT(G35,LEN(G35)-FIND("_",G35,1)))=1,SUMIF('Date masura OD'!$G:$G,G35,'Date masura OD'!$R:$R),AK35)))</f>
        <v>3068</v>
      </c>
      <c r="I35" s="184">
        <f>VLOOKUP(G35,'Contorizare in SDI'!E:M,7,FALSE)</f>
        <v>0</v>
      </c>
      <c r="J35" s="88">
        <f>VLOOKUP(G35,'Contorizare in SDI'!$E:$M,$J$1-2,FALSE)</f>
        <v>0</v>
      </c>
      <c r="K35" s="88">
        <f>VLOOKUP(G35,'Contorizare in SDI'!$E:$M,$K$1-2,FALSE)</f>
        <v>0</v>
      </c>
      <c r="L35" s="29" t="s">
        <v>69</v>
      </c>
      <c r="M35" s="87">
        <v>0</v>
      </c>
      <c r="N35" s="88">
        <f>IF(COUNTIF(L35,"-")=1,0,VLOOKUP(L35,'Contorizare in SDI'!$F:$R,$N$1-3,FALSE))</f>
        <v>0</v>
      </c>
      <c r="O35" s="88">
        <f>IF(COUNTIF(L35,"-")=1,0,VLOOKUP(L35,'Contorizare in SDI'!$F:$R,$O$1-3,FALSE))</f>
        <v>0</v>
      </c>
      <c r="P35" s="88">
        <f>IF(COUNTIF(L35,"-")=1,0,VLOOKUP(L35,'Contorizare in SDI'!$F:$R,$P$1-3,FALSE))</f>
        <v>0</v>
      </c>
      <c r="Q35" s="88">
        <f t="shared" si="6"/>
        <v>0</v>
      </c>
      <c r="R35" s="88">
        <f t="shared" si="7"/>
        <v>0</v>
      </c>
      <c r="S35" s="321">
        <v>0</v>
      </c>
      <c r="T35" s="88">
        <f t="shared" si="8"/>
        <v>0</v>
      </c>
      <c r="U35" s="17" t="s">
        <v>69</v>
      </c>
      <c r="V35" s="581"/>
      <c r="W35" s="581"/>
      <c r="X35" s="581"/>
      <c r="Y35" s="583"/>
      <c r="AA35" t="str">
        <f t="shared" si="9"/>
        <v/>
      </c>
      <c r="AB35" t="str">
        <f t="shared" si="10"/>
        <v/>
      </c>
      <c r="AE35" t="str">
        <f t="shared" si="1"/>
        <v>RDSC_2</v>
      </c>
      <c r="AF35">
        <f>IF(LEFT(VLOOKUP(G35,'Contorizare in SDI'!$E:$M,5,FALSE),1)="V",C35,VLOOKUP(G35,'Contorizare in SDI'!$E:$M,6,FALSE))</f>
        <v>0</v>
      </c>
      <c r="AG35">
        <f t="shared" si="2"/>
        <v>234285</v>
      </c>
      <c r="AH35">
        <f t="shared" si="11"/>
        <v>3068</v>
      </c>
      <c r="AI35">
        <f t="shared" si="12"/>
        <v>0</v>
      </c>
      <c r="AJ35">
        <f t="shared" si="13"/>
        <v>207194</v>
      </c>
      <c r="AK35">
        <f t="shared" si="21"/>
        <v>0</v>
      </c>
      <c r="AL35">
        <f t="shared" si="22"/>
        <v>0</v>
      </c>
      <c r="AM35">
        <f t="shared" si="14"/>
        <v>0</v>
      </c>
      <c r="AN35">
        <f t="shared" si="5"/>
        <v>0</v>
      </c>
      <c r="AP35" t="str">
        <f t="shared" si="15"/>
        <v>-</v>
      </c>
      <c r="AQ35">
        <f t="shared" si="23"/>
        <v>4346</v>
      </c>
    </row>
    <row r="36" spans="1:43" ht="16.5" thickBot="1">
      <c r="A36" s="91">
        <f t="shared" si="17"/>
        <v>33</v>
      </c>
      <c r="B36" s="30" t="s">
        <v>531</v>
      </c>
      <c r="C36" s="291">
        <f>IF(B36=B35,C35,SUMIF('Date masura OD'!$G:$G,B36,'Date masura OD'!$R:$R))</f>
        <v>158016</v>
      </c>
      <c r="D36" s="291">
        <f>IFERROR(IF(VLOOKUP(B36,'Date masura OD'!$G$76:$BF$187,52,FALSE)&lt;0,-VLOOKUP(B36,'Date masura OD'!$G$76:$BF$187,52,FALSE),0),0)</f>
        <v>0</v>
      </c>
      <c r="E36" s="291">
        <v>0</v>
      </c>
      <c r="F36" s="291">
        <v>0</v>
      </c>
      <c r="G36" s="107" t="s">
        <v>588</v>
      </c>
      <c r="H36" s="312">
        <f>IF(C36=0,0,IF(RIGHT(G36,1)="N",ROUNDUP(C36*1.5%,0),IF(LEN(RIGHT(G36,LEN(G36)-FIND("_",G36,1)))=1,SUMIF('Date masura OD'!$G:$G,G36,'Date masura OD'!$R:$R),AK36)))</f>
        <v>27073</v>
      </c>
      <c r="I36" s="184">
        <f>VLOOKUP(G36,'Contorizare in SDI'!E:M,7,FALSE)</f>
        <v>56743</v>
      </c>
      <c r="J36" s="88">
        <f>VLOOKUP(G36,'Contorizare in SDI'!$E:$M,$J$1-2,FALSE)</f>
        <v>49</v>
      </c>
      <c r="K36" s="88">
        <f>VLOOKUP(G36,'Contorizare in SDI'!$E:$M,$K$1-2,FALSE)</f>
        <v>25435</v>
      </c>
      <c r="L36" s="29" t="s">
        <v>672</v>
      </c>
      <c r="M36" s="87">
        <v>0</v>
      </c>
      <c r="N36" s="88">
        <f>IF(COUNTIF(L36,"-")=1,0,VLOOKUP(L36,'Contorizare in SDI'!$F:$R,$N$1-3,FALSE))</f>
        <v>127365</v>
      </c>
      <c r="O36" s="88">
        <f>IF(COUNTIF(L36,"-")=1,0,VLOOKUP(L36,'Contorizare in SDI'!$F:$R,$O$1-3,FALSE))</f>
        <v>321</v>
      </c>
      <c r="P36" s="88">
        <f>IF(COUNTIF(L36,"-")=1,0,VLOOKUP(L36,'Contorizare in SDI'!$F:$R,$P$1-3,FALSE))</f>
        <v>2271</v>
      </c>
      <c r="Q36" s="88">
        <f t="shared" si="6"/>
        <v>27073</v>
      </c>
      <c r="R36" s="88">
        <f t="shared" si="7"/>
        <v>70622</v>
      </c>
      <c r="S36" s="321">
        <v>0</v>
      </c>
      <c r="T36" s="88">
        <f t="shared" si="8"/>
        <v>407</v>
      </c>
      <c r="U36" s="17" t="s">
        <v>514</v>
      </c>
      <c r="V36" s="581">
        <f>SUM(H36:H37)+SUM(N36:N37)</f>
        <v>283010</v>
      </c>
      <c r="W36" s="581">
        <f>SUM(Q36:S37)</f>
        <v>283010</v>
      </c>
      <c r="X36" s="581">
        <f>C36</f>
        <v>158016</v>
      </c>
      <c r="Y36" s="583">
        <f>SUM(H36:H37)+SUM(T36:T37)</f>
        <v>158016</v>
      </c>
      <c r="AA36" t="str">
        <f t="shared" si="9"/>
        <v>OK</v>
      </c>
      <c r="AB36" t="str">
        <f t="shared" si="10"/>
        <v>OK</v>
      </c>
      <c r="AE36" t="str">
        <f t="shared" si="1"/>
        <v>-</v>
      </c>
      <c r="AF36">
        <f>IF(LEFT(VLOOKUP(G36,'Contorizare in SDI'!$E:$M,5,FALSE),1)="V",C36,VLOOKUP(G36,'Contorizare in SDI'!$E:$M,6,FALSE))</f>
        <v>43364</v>
      </c>
      <c r="AG36">
        <f t="shared" si="2"/>
        <v>43364</v>
      </c>
      <c r="AH36">
        <f t="shared" si="11"/>
        <v>0</v>
      </c>
      <c r="AI36">
        <f t="shared" si="12"/>
        <v>27073</v>
      </c>
      <c r="AJ36">
        <f t="shared" si="13"/>
        <v>27073</v>
      </c>
      <c r="AK36">
        <f t="shared" si="21"/>
        <v>27073</v>
      </c>
      <c r="AL36">
        <f t="shared" si="22"/>
        <v>407</v>
      </c>
      <c r="AM36">
        <f t="shared" si="14"/>
        <v>407</v>
      </c>
      <c r="AN36">
        <f t="shared" ref="AN36:AN67" si="24">SUMIF($B:$B,AE36,$N:$N)-SUMIF($B:$B,AE36,$R:$R)-SUMIF($B:$B,AE36,$D:$D)</f>
        <v>0</v>
      </c>
      <c r="AP36" t="str">
        <f t="shared" si="15"/>
        <v>-</v>
      </c>
      <c r="AQ36">
        <f t="shared" si="23"/>
        <v>4346</v>
      </c>
    </row>
    <row r="37" spans="1:43" ht="16.5" thickBot="1">
      <c r="A37" s="91">
        <f t="shared" si="17"/>
        <v>34</v>
      </c>
      <c r="B37" s="30" t="s">
        <v>531</v>
      </c>
      <c r="C37" s="291">
        <f>IF(B37=B36,C36,SUMIF('Date masura OD'!$G:$G,B37,'Date masura OD'!$R:$R))</f>
        <v>158016</v>
      </c>
      <c r="D37" s="291">
        <f>IFERROR(IF(VLOOKUP(B37,'Date masura OD'!$G$76:$BF$187,52,FALSE)&lt;0,-VLOOKUP(B37,'Date masura OD'!$G$76:$BF$187,52,FALSE),0),0)</f>
        <v>0</v>
      </c>
      <c r="E37" s="291">
        <v>0</v>
      </c>
      <c r="F37" s="291">
        <v>0</v>
      </c>
      <c r="G37" s="107" t="s">
        <v>589</v>
      </c>
      <c r="H37" s="312">
        <f>IF(C37=0,0,IF(RIGHT(G37,1)="N",ROUNDUP(C37*1.5%,0),IF(LEN(RIGHT(G37,LEN(G37)-FIND("_",G37,1)))=1,SUMIF('Date masura OD'!$G:$G,G37,'Date masura OD'!$R:$R),AK37)))</f>
        <v>128572</v>
      </c>
      <c r="I37" s="184">
        <f>VLOOKUP(G37,'Contorizare in SDI'!E:M,7,FALSE)</f>
        <v>0</v>
      </c>
      <c r="J37" s="88">
        <f>VLOOKUP(G37,'Contorizare in SDI'!$E:$M,$J$1-2,FALSE)</f>
        <v>22030</v>
      </c>
      <c r="K37" s="88">
        <f>VLOOKUP(G37,'Contorizare in SDI'!$E:$M,$K$1-2,FALSE)</f>
        <v>1</v>
      </c>
      <c r="L37" s="29" t="s">
        <v>69</v>
      </c>
      <c r="M37" s="87">
        <v>0</v>
      </c>
      <c r="N37" s="88">
        <f>IF(COUNTIF(L37,"-")=1,0,VLOOKUP(L37,'Contorizare in SDI'!$F:$R,$N$1-3,FALSE))</f>
        <v>0</v>
      </c>
      <c r="O37" s="88">
        <f>IF(COUNTIF(L37,"-")=1,0,VLOOKUP(L37,'Contorizare in SDI'!$F:$R,$O$1-3,FALSE))</f>
        <v>0</v>
      </c>
      <c r="P37" s="88">
        <f>IF(COUNTIF(L37,"-")=1,0,VLOOKUP(L37,'Contorizare in SDI'!$F:$R,$P$1-3,FALSE))</f>
        <v>0</v>
      </c>
      <c r="Q37" s="88">
        <f t="shared" si="6"/>
        <v>128572</v>
      </c>
      <c r="R37" s="88">
        <f t="shared" si="7"/>
        <v>0</v>
      </c>
      <c r="S37" s="88">
        <f>I36</f>
        <v>56743</v>
      </c>
      <c r="T37" s="88">
        <f t="shared" si="8"/>
        <v>1964</v>
      </c>
      <c r="U37" s="17" t="s">
        <v>514</v>
      </c>
      <c r="V37" s="581"/>
      <c r="W37" s="581"/>
      <c r="X37" s="581"/>
      <c r="Y37" s="583"/>
      <c r="AA37" t="str">
        <f t="shared" si="9"/>
        <v/>
      </c>
      <c r="AB37" t="str">
        <f t="shared" si="10"/>
        <v/>
      </c>
      <c r="AE37" t="str">
        <f t="shared" si="1"/>
        <v>-</v>
      </c>
      <c r="AF37">
        <f>IF(LEFT(VLOOKUP(G37,'Contorizare in SDI'!$E:$M,5,FALSE),1)="V",C37,VLOOKUP(G37,'Contorizare in SDI'!$E:$M,6,FALSE))</f>
        <v>212112</v>
      </c>
      <c r="AG37">
        <f t="shared" si="2"/>
        <v>255476</v>
      </c>
      <c r="AH37">
        <f t="shared" si="11"/>
        <v>0</v>
      </c>
      <c r="AI37">
        <f t="shared" si="12"/>
        <v>132424</v>
      </c>
      <c r="AJ37">
        <f t="shared" si="13"/>
        <v>159497</v>
      </c>
      <c r="AK37">
        <f t="shared" si="21"/>
        <v>128572</v>
      </c>
      <c r="AL37">
        <f t="shared" si="22"/>
        <v>1964</v>
      </c>
      <c r="AM37">
        <f t="shared" si="14"/>
        <v>2371</v>
      </c>
      <c r="AN37">
        <f t="shared" si="24"/>
        <v>0</v>
      </c>
      <c r="AP37" t="str">
        <f t="shared" si="15"/>
        <v>-</v>
      </c>
      <c r="AQ37">
        <f t="shared" si="23"/>
        <v>4346</v>
      </c>
    </row>
    <row r="38" spans="1:43" ht="16.5" thickBot="1">
      <c r="A38" s="91">
        <f t="shared" si="17"/>
        <v>35</v>
      </c>
      <c r="B38" s="93" t="s">
        <v>531</v>
      </c>
      <c r="C38" s="291">
        <f>IF(B38=B37,C37,SUMIF('Date masura OD'!$G:$G,B38,'Date masura OD'!$R:$R))</f>
        <v>158016</v>
      </c>
      <c r="D38" s="291">
        <f>IFERROR(IF(VLOOKUP(B38,'Date masura OD'!$G$76:$BF$187,52,FALSE)&lt;0,-VLOOKUP(B38,'Date masura OD'!$G$76:$BF$187,52,FALSE),0),0)</f>
        <v>0</v>
      </c>
      <c r="E38" s="291">
        <v>0</v>
      </c>
      <c r="F38" s="291">
        <v>0</v>
      </c>
      <c r="G38" s="108" t="s">
        <v>965</v>
      </c>
      <c r="H38" s="312">
        <f>IF(C38=0,0,IF(RIGHT(G38,1)="N",ROUNDUP(C38*1.5%,0),IF(LEN(RIGHT(G38,LEN(G38)-FIND("_",G38,1)))=1,SUMIF('Date masura OD'!$G:$G,G38,'Date masura OD'!$R:$R),AK38)))</f>
        <v>2371</v>
      </c>
      <c r="I38" s="184">
        <f>VLOOKUP(G38,'Contorizare in SDI'!E:M,7,FALSE)</f>
        <v>0</v>
      </c>
      <c r="J38" s="88">
        <f>VLOOKUP(G38,'Contorizare in SDI'!$E:$M,$J$1-2,FALSE)</f>
        <v>0</v>
      </c>
      <c r="K38" s="88">
        <f>VLOOKUP(G38,'Contorizare in SDI'!$E:$M,$K$1-2,FALSE)</f>
        <v>0</v>
      </c>
      <c r="L38" s="94" t="s">
        <v>69</v>
      </c>
      <c r="M38" s="87">
        <v>0</v>
      </c>
      <c r="N38" s="88">
        <f>IF(COUNTIF(L38,"-")=1,0,VLOOKUP(L38,'Contorizare in SDI'!$F:$R,$N$1-3,FALSE))</f>
        <v>0</v>
      </c>
      <c r="O38" s="88">
        <f>IF(COUNTIF(L38,"-")=1,0,VLOOKUP(L38,'Contorizare in SDI'!$F:$R,$O$1-3,FALSE))</f>
        <v>0</v>
      </c>
      <c r="P38" s="88">
        <f>IF(COUNTIF(L38,"-")=1,0,VLOOKUP(L38,'Contorizare in SDI'!$F:$R,$P$1-3,FALSE))</f>
        <v>0</v>
      </c>
      <c r="Q38" s="88">
        <f t="shared" si="6"/>
        <v>0</v>
      </c>
      <c r="R38" s="88">
        <f t="shared" si="7"/>
        <v>0</v>
      </c>
      <c r="S38" s="321">
        <v>0</v>
      </c>
      <c r="T38" s="88">
        <f t="shared" si="8"/>
        <v>0</v>
      </c>
      <c r="U38" s="95" t="s">
        <v>69</v>
      </c>
      <c r="V38" s="589"/>
      <c r="W38" s="589"/>
      <c r="X38" s="589"/>
      <c r="Y38" s="591"/>
      <c r="AA38" t="str">
        <f t="shared" si="9"/>
        <v/>
      </c>
      <c r="AB38" t="str">
        <f t="shared" si="10"/>
        <v/>
      </c>
      <c r="AE38" t="str">
        <f t="shared" si="1"/>
        <v>RDSC_3</v>
      </c>
      <c r="AF38">
        <f>IF(LEFT(VLOOKUP(G38,'Contorizare in SDI'!$E:$M,5,FALSE),1)="V",C38,VLOOKUP(G38,'Contorizare in SDI'!$E:$M,6,FALSE))</f>
        <v>0</v>
      </c>
      <c r="AG38">
        <f t="shared" si="2"/>
        <v>255476</v>
      </c>
      <c r="AH38">
        <f t="shared" si="11"/>
        <v>2371</v>
      </c>
      <c r="AI38">
        <f t="shared" si="12"/>
        <v>0</v>
      </c>
      <c r="AJ38">
        <f t="shared" si="13"/>
        <v>159497</v>
      </c>
      <c r="AK38">
        <f t="shared" si="21"/>
        <v>0</v>
      </c>
      <c r="AL38">
        <f t="shared" si="22"/>
        <v>0</v>
      </c>
      <c r="AM38">
        <f t="shared" si="14"/>
        <v>0</v>
      </c>
      <c r="AN38">
        <f t="shared" si="24"/>
        <v>56743</v>
      </c>
      <c r="AP38" t="str">
        <f t="shared" si="15"/>
        <v>RDSC</v>
      </c>
      <c r="AQ38">
        <f t="shared" si="23"/>
        <v>6717</v>
      </c>
    </row>
    <row r="39" spans="1:43" ht="16.5" thickBot="1">
      <c r="A39" s="91">
        <f t="shared" si="17"/>
        <v>36</v>
      </c>
      <c r="B39" s="86" t="s">
        <v>532</v>
      </c>
      <c r="C39" s="291">
        <f>IF(B39=B38,C38,SUMIF('Date masura OD'!$G:$G,B39,'Date masura OD'!$R:$R))</f>
        <v>328500</v>
      </c>
      <c r="D39" s="291">
        <f>IFERROR(IF(VLOOKUP(B39,'Date masura OD'!$G$76:$BF$187,52,FALSE)&lt;0,-VLOOKUP(B39,'Date masura OD'!$G$76:$BF$187,52,FALSE),0),0)</f>
        <v>0</v>
      </c>
      <c r="E39" s="291">
        <v>0</v>
      </c>
      <c r="F39" s="291">
        <v>0</v>
      </c>
      <c r="G39" s="106" t="s">
        <v>590</v>
      </c>
      <c r="H39" s="312">
        <f>IF(C39=0,0,IF(RIGHT(G39,1)="N",ROUNDUP(C39*1.5%,0),IF(LEN(RIGHT(G39,LEN(G39)-FIND("_",G39,1)))=1,SUMIF('Date masura OD'!$G:$G,G39,'Date masura OD'!$R:$R),AK39)))</f>
        <v>290108</v>
      </c>
      <c r="I39" s="184">
        <f>VLOOKUP(G39,'Contorizare in SDI'!E:M,7,FALSE)</f>
        <v>0</v>
      </c>
      <c r="J39" s="88">
        <f>VLOOKUP(G39,'Contorizare in SDI'!$E:$M,$J$1-2,FALSE)</f>
        <v>24044</v>
      </c>
      <c r="K39" s="88">
        <f>VLOOKUP(G39,'Contorizare in SDI'!$E:$M,$K$1-2,FALSE)</f>
        <v>16</v>
      </c>
      <c r="L39" s="89" t="s">
        <v>69</v>
      </c>
      <c r="M39" s="87">
        <v>0</v>
      </c>
      <c r="N39" s="88">
        <f>IF(COUNTIF(L39,"-")=1,0,VLOOKUP(L39,'Contorizare in SDI'!$F:$R,$N$1-3,FALSE))</f>
        <v>0</v>
      </c>
      <c r="O39" s="88">
        <f>IF(COUNTIF(L39,"-")=1,0,VLOOKUP(L39,'Contorizare in SDI'!$F:$R,$O$1-3,FALSE))</f>
        <v>0</v>
      </c>
      <c r="P39" s="88">
        <f>IF(COUNTIF(L39,"-")=1,0,VLOOKUP(L39,'Contorizare in SDI'!$F:$R,$P$1-3,FALSE))</f>
        <v>0</v>
      </c>
      <c r="Q39" s="88">
        <f t="shared" si="6"/>
        <v>290108</v>
      </c>
      <c r="R39" s="88">
        <f t="shared" si="7"/>
        <v>0</v>
      </c>
      <c r="S39" s="88">
        <f>I40</f>
        <v>11181</v>
      </c>
      <c r="T39" s="88">
        <f t="shared" si="8"/>
        <v>4352</v>
      </c>
      <c r="U39" s="90" t="s">
        <v>514</v>
      </c>
      <c r="V39" s="580">
        <f>SUM(H39:H40)+SUM(N39:N40)</f>
        <v>492139</v>
      </c>
      <c r="W39" s="580">
        <f>SUM(Q39:S40)</f>
        <v>492139</v>
      </c>
      <c r="X39" s="580">
        <f>C39</f>
        <v>328500</v>
      </c>
      <c r="Y39" s="582">
        <f>SUM(H39:H40)+SUM(T39:T40)</f>
        <v>328500</v>
      </c>
      <c r="AA39" t="str">
        <f t="shared" si="9"/>
        <v>OK</v>
      </c>
      <c r="AB39" t="str">
        <f t="shared" si="10"/>
        <v>OK</v>
      </c>
      <c r="AE39" t="str">
        <f t="shared" si="1"/>
        <v>-</v>
      </c>
      <c r="AF39">
        <f>IF(LEFT(VLOOKUP(G39,'Contorizare in SDI'!$E:$M,5,FALSE),1)="V",C39,VLOOKUP(G39,'Contorizare in SDI'!$E:$M,6,FALSE))</f>
        <v>242114</v>
      </c>
      <c r="AG39">
        <f t="shared" si="2"/>
        <v>242114</v>
      </c>
      <c r="AH39">
        <f t="shared" si="11"/>
        <v>0</v>
      </c>
      <c r="AI39">
        <f t="shared" si="12"/>
        <v>290108</v>
      </c>
      <c r="AJ39">
        <f t="shared" si="13"/>
        <v>290108</v>
      </c>
      <c r="AK39">
        <f t="shared" si="21"/>
        <v>290108</v>
      </c>
      <c r="AL39">
        <f t="shared" si="22"/>
        <v>4352</v>
      </c>
      <c r="AM39">
        <f t="shared" si="14"/>
        <v>4352</v>
      </c>
      <c r="AN39">
        <f t="shared" si="24"/>
        <v>0</v>
      </c>
      <c r="AP39" t="str">
        <f t="shared" si="15"/>
        <v>-</v>
      </c>
      <c r="AQ39">
        <f t="shared" si="23"/>
        <v>0</v>
      </c>
    </row>
    <row r="40" spans="1:43" ht="16.5" thickBot="1">
      <c r="A40" s="91">
        <f t="shared" si="17"/>
        <v>37</v>
      </c>
      <c r="B40" s="30" t="s">
        <v>532</v>
      </c>
      <c r="C40" s="291">
        <f>IF(B40=B39,C39,SUMIF('Date masura OD'!$G:$G,B40,'Date masura OD'!$R:$R))</f>
        <v>328500</v>
      </c>
      <c r="D40" s="291">
        <f>IFERROR(IF(VLOOKUP(B40,'Date masura OD'!$G$76:$BF$187,52,FALSE)&lt;0,-VLOOKUP(B40,'Date masura OD'!$G$76:$BF$187,52,FALSE),0),0)</f>
        <v>0</v>
      </c>
      <c r="E40" s="291">
        <v>0</v>
      </c>
      <c r="F40" s="291">
        <v>0</v>
      </c>
      <c r="G40" s="107" t="s">
        <v>591</v>
      </c>
      <c r="H40" s="312">
        <f>IF(C40=0,0,IF(RIGHT(G40,1)="N",ROUNDUP(C40*1.5%,0),IF(LEN(RIGHT(G40,LEN(G40)-FIND("_",G40,1)))=1,SUMIF('Date masura OD'!$G:$G,G40,'Date masura OD'!$R:$R),AK40)))</f>
        <v>33464</v>
      </c>
      <c r="I40" s="184">
        <f>VLOOKUP(G40,'Contorizare in SDI'!E:M,7,FALSE)</f>
        <v>11181</v>
      </c>
      <c r="J40" s="88">
        <f>VLOOKUP(G40,'Contorizare in SDI'!$E:$M,$J$1-2,FALSE)</f>
        <v>18174</v>
      </c>
      <c r="K40" s="88">
        <f>VLOOKUP(G40,'Contorizare in SDI'!$E:$M,$K$1-2,FALSE)</f>
        <v>311</v>
      </c>
      <c r="L40" s="29" t="s">
        <v>673</v>
      </c>
      <c r="M40" s="87">
        <v>0</v>
      </c>
      <c r="N40" s="88">
        <f>IF(COUNTIF(L40,"-")=1,0,VLOOKUP(L40,'Contorizare in SDI'!$F:$R,$N$1-3,FALSE))</f>
        <v>168567</v>
      </c>
      <c r="O40" s="88">
        <f>IF(COUNTIF(L40,"-")=1,0,VLOOKUP(L40,'Contorizare in SDI'!$F:$R,$O$1-3,FALSE))</f>
        <v>232511</v>
      </c>
      <c r="P40" s="88">
        <f>IF(COUNTIF(L40,"-")=1,0,VLOOKUP(L40,'Contorizare in SDI'!$F:$R,$P$1-3,FALSE))</f>
        <v>2463</v>
      </c>
      <c r="Q40" s="88">
        <f t="shared" si="6"/>
        <v>33464</v>
      </c>
      <c r="R40" s="88">
        <f t="shared" si="7"/>
        <v>157386</v>
      </c>
      <c r="S40" s="321">
        <v>0</v>
      </c>
      <c r="T40" s="88">
        <f t="shared" si="8"/>
        <v>576</v>
      </c>
      <c r="U40" s="17" t="s">
        <v>514</v>
      </c>
      <c r="V40" s="581"/>
      <c r="W40" s="581"/>
      <c r="X40" s="581"/>
      <c r="Y40" s="583"/>
      <c r="AA40" t="str">
        <f t="shared" si="9"/>
        <v/>
      </c>
      <c r="AB40" t="str">
        <f t="shared" si="10"/>
        <v/>
      </c>
      <c r="AE40" t="str">
        <f t="shared" si="1"/>
        <v>-</v>
      </c>
      <c r="AF40">
        <f>IF(LEFT(VLOOKUP(G40,'Contorizare in SDI'!$E:$M,5,FALSE),1)="V",C40,VLOOKUP(G40,'Contorizare in SDI'!$E:$M,6,FALSE))</f>
        <v>36969</v>
      </c>
      <c r="AG40">
        <f t="shared" si="2"/>
        <v>279083</v>
      </c>
      <c r="AH40">
        <f t="shared" si="11"/>
        <v>0</v>
      </c>
      <c r="AI40">
        <f t="shared" si="12"/>
        <v>44298</v>
      </c>
      <c r="AJ40">
        <f t="shared" si="13"/>
        <v>334406</v>
      </c>
      <c r="AK40">
        <f t="shared" si="21"/>
        <v>33464</v>
      </c>
      <c r="AL40">
        <f t="shared" si="22"/>
        <v>576</v>
      </c>
      <c r="AM40">
        <f t="shared" si="14"/>
        <v>4928</v>
      </c>
      <c r="AN40">
        <f t="shared" si="24"/>
        <v>0</v>
      </c>
      <c r="AP40" t="str">
        <f t="shared" si="15"/>
        <v>-</v>
      </c>
      <c r="AQ40">
        <f t="shared" si="23"/>
        <v>0</v>
      </c>
    </row>
    <row r="41" spans="1:43" ht="16.5" thickBot="1">
      <c r="A41" s="91">
        <f t="shared" si="17"/>
        <v>38</v>
      </c>
      <c r="B41" s="30" t="s">
        <v>532</v>
      </c>
      <c r="C41" s="291">
        <f>IF(B41=B40,C40,SUMIF('Date masura OD'!$G:$G,B41,'Date masura OD'!$R:$R))</f>
        <v>328500</v>
      </c>
      <c r="D41" s="291">
        <f>IFERROR(IF(VLOOKUP(B41,'Date masura OD'!$G$76:$BF$187,52,FALSE)&lt;0,-VLOOKUP(B41,'Date masura OD'!$G$76:$BF$187,52,FALSE),0),0)</f>
        <v>0</v>
      </c>
      <c r="E41" s="291">
        <v>0</v>
      </c>
      <c r="F41" s="291">
        <v>0</v>
      </c>
      <c r="G41" s="107" t="s">
        <v>966</v>
      </c>
      <c r="H41" s="312">
        <f>IF(C41=0,0,IF(RIGHT(G41,1)="N",ROUNDUP(C41*1.5%,0),IF(LEN(RIGHT(G41,LEN(G41)-FIND("_",G41,1)))=1,SUMIF('Date masura OD'!$G:$G,G41,'Date masura OD'!$R:$R),AK41)))</f>
        <v>4928</v>
      </c>
      <c r="I41" s="184">
        <f>VLOOKUP(G41,'Contorizare in SDI'!E:M,7,FALSE)</f>
        <v>0</v>
      </c>
      <c r="J41" s="88">
        <f>VLOOKUP(G41,'Contorizare in SDI'!$E:$M,$J$1-2,FALSE)</f>
        <v>0</v>
      </c>
      <c r="K41" s="88">
        <f>VLOOKUP(G41,'Contorizare in SDI'!$E:$M,$K$1-2,FALSE)</f>
        <v>0</v>
      </c>
      <c r="L41" s="29" t="s">
        <v>69</v>
      </c>
      <c r="M41" s="87">
        <v>0</v>
      </c>
      <c r="N41" s="88">
        <f>IF(COUNTIF(L41,"-")=1,0,VLOOKUP(L41,'Contorizare in SDI'!$F:$R,$N$1-3,FALSE))</f>
        <v>0</v>
      </c>
      <c r="O41" s="88">
        <f>IF(COUNTIF(L41,"-")=1,0,VLOOKUP(L41,'Contorizare in SDI'!$F:$R,$O$1-3,FALSE))</f>
        <v>0</v>
      </c>
      <c r="P41" s="88">
        <f>IF(COUNTIF(L41,"-")=1,0,VLOOKUP(L41,'Contorizare in SDI'!$F:$R,$P$1-3,FALSE))</f>
        <v>0</v>
      </c>
      <c r="Q41" s="88">
        <f t="shared" si="6"/>
        <v>0</v>
      </c>
      <c r="R41" s="88">
        <f t="shared" si="7"/>
        <v>0</v>
      </c>
      <c r="S41" s="321">
        <v>0</v>
      </c>
      <c r="T41" s="88">
        <f t="shared" si="8"/>
        <v>0</v>
      </c>
      <c r="U41" s="17" t="s">
        <v>69</v>
      </c>
      <c r="V41" s="581"/>
      <c r="W41" s="581"/>
      <c r="X41" s="581"/>
      <c r="Y41" s="583"/>
      <c r="AA41" t="str">
        <f t="shared" si="9"/>
        <v/>
      </c>
      <c r="AB41" t="str">
        <f t="shared" si="10"/>
        <v/>
      </c>
      <c r="AE41" t="str">
        <f t="shared" si="1"/>
        <v>RGSC_1</v>
      </c>
      <c r="AF41">
        <f>IF(LEFT(VLOOKUP(G41,'Contorizare in SDI'!$E:$M,5,FALSE),1)="V",C41,VLOOKUP(G41,'Contorizare in SDI'!$E:$M,6,FALSE))</f>
        <v>0</v>
      </c>
      <c r="AG41">
        <f t="shared" si="2"/>
        <v>279083</v>
      </c>
      <c r="AH41">
        <f t="shared" si="11"/>
        <v>4928</v>
      </c>
      <c r="AI41">
        <f t="shared" si="12"/>
        <v>0</v>
      </c>
      <c r="AJ41">
        <f t="shared" si="13"/>
        <v>334406</v>
      </c>
      <c r="AK41">
        <f t="shared" si="21"/>
        <v>0</v>
      </c>
      <c r="AL41">
        <f t="shared" si="22"/>
        <v>0</v>
      </c>
      <c r="AM41">
        <f t="shared" si="14"/>
        <v>0</v>
      </c>
      <c r="AN41">
        <f t="shared" si="24"/>
        <v>11181</v>
      </c>
      <c r="AP41" t="str">
        <f t="shared" si="15"/>
        <v>-</v>
      </c>
      <c r="AQ41">
        <f t="shared" si="23"/>
        <v>4928</v>
      </c>
    </row>
    <row r="42" spans="1:43" ht="16.5" thickBot="1">
      <c r="A42" s="91">
        <f t="shared" si="17"/>
        <v>39</v>
      </c>
      <c r="B42" s="30" t="s">
        <v>504</v>
      </c>
      <c r="C42" s="291">
        <f>IF(B42=B41,C41,SUMIF('Date masura OD'!$G:$G,B42,'Date masura OD'!$R:$R))</f>
        <v>378600</v>
      </c>
      <c r="D42" s="291">
        <f>IFERROR(IF(VLOOKUP(B42,'Date masura OD'!$G$76:$BF$187,52,FALSE)&lt;0,-VLOOKUP(B42,'Date masura OD'!$G$76:$BF$187,52,FALSE),0),0)</f>
        <v>0</v>
      </c>
      <c r="E42" s="291">
        <v>0</v>
      </c>
      <c r="F42" s="291">
        <v>0</v>
      </c>
      <c r="G42" s="107" t="s">
        <v>592</v>
      </c>
      <c r="H42" s="312">
        <f>IF(C42=0,0,IF(RIGHT(G42,1)="N",ROUNDUP(C42*1.5%,0),IF(LEN(RIGHT(G42,LEN(G42)-FIND("_",G42,1)))=1,SUMIF('Date masura OD'!$G:$G,G42,'Date masura OD'!$R:$R),AK42)))</f>
        <v>118803</v>
      </c>
      <c r="I42" s="184">
        <f>VLOOKUP(G42,'Contorizare in SDI'!E:M,7,FALSE)</f>
        <v>0</v>
      </c>
      <c r="J42" s="88">
        <f>VLOOKUP(G42,'Contorizare in SDI'!$E:$M,$J$1-2,FALSE)</f>
        <v>0</v>
      </c>
      <c r="K42" s="88">
        <f>VLOOKUP(G42,'Contorizare in SDI'!$E:$M,$K$1-2,FALSE)</f>
        <v>0</v>
      </c>
      <c r="L42" s="29" t="s">
        <v>69</v>
      </c>
      <c r="M42" s="87">
        <v>0</v>
      </c>
      <c r="N42" s="88">
        <f>IF(COUNTIF(L42,"-")=1,0,VLOOKUP(L42,'Contorizare in SDI'!$F:$R,$N$1-3,FALSE))</f>
        <v>0</v>
      </c>
      <c r="O42" s="88">
        <f>IF(COUNTIF(L42,"-")=1,0,VLOOKUP(L42,'Contorizare in SDI'!$F:$R,$O$1-3,FALSE))</f>
        <v>0</v>
      </c>
      <c r="P42" s="88">
        <f>IF(COUNTIF(L42,"-")=1,0,VLOOKUP(L42,'Contorizare in SDI'!$F:$R,$P$1-3,FALSE))</f>
        <v>0</v>
      </c>
      <c r="Q42" s="88">
        <f t="shared" si="6"/>
        <v>118803</v>
      </c>
      <c r="R42" s="88">
        <f t="shared" si="7"/>
        <v>0</v>
      </c>
      <c r="S42" s="1">
        <f>I43</f>
        <v>6830</v>
      </c>
      <c r="T42" s="88">
        <f t="shared" si="8"/>
        <v>1783</v>
      </c>
      <c r="U42" s="17" t="s">
        <v>514</v>
      </c>
      <c r="V42" s="581">
        <f>SUM(H42:H43)+SUM(N42:N43)</f>
        <v>485991</v>
      </c>
      <c r="W42" s="581">
        <f>SUM(Q42:S43)</f>
        <v>485991</v>
      </c>
      <c r="X42" s="581">
        <f>C42</f>
        <v>378600</v>
      </c>
      <c r="Y42" s="583">
        <f>SUM(H42:H43)+SUM(T42:T43)</f>
        <v>378600</v>
      </c>
      <c r="AA42" t="str">
        <f t="shared" si="9"/>
        <v>OK</v>
      </c>
      <c r="AB42" t="str">
        <f t="shared" si="10"/>
        <v>OK</v>
      </c>
      <c r="AE42" t="str">
        <f t="shared" si="1"/>
        <v>-</v>
      </c>
      <c r="AF42">
        <f>IF(LEFT(VLOOKUP(G42,'Contorizare in SDI'!$E:$M,5,FALSE),1)="V",C42,VLOOKUP(G42,'Contorizare in SDI'!$E:$M,6,FALSE))</f>
        <v>55865</v>
      </c>
      <c r="AG42">
        <f t="shared" si="2"/>
        <v>55865</v>
      </c>
      <c r="AH42">
        <f t="shared" si="11"/>
        <v>0</v>
      </c>
      <c r="AI42">
        <f t="shared" si="12"/>
        <v>118803</v>
      </c>
      <c r="AJ42">
        <f t="shared" si="13"/>
        <v>118803</v>
      </c>
      <c r="AK42">
        <f t="shared" si="21"/>
        <v>118803</v>
      </c>
      <c r="AL42">
        <f t="shared" si="22"/>
        <v>1783</v>
      </c>
      <c r="AM42">
        <f t="shared" si="14"/>
        <v>1783</v>
      </c>
      <c r="AN42">
        <f t="shared" si="24"/>
        <v>0</v>
      </c>
      <c r="AP42" t="str">
        <f t="shared" si="15"/>
        <v>-</v>
      </c>
      <c r="AQ42">
        <f t="shared" si="23"/>
        <v>4928</v>
      </c>
    </row>
    <row r="43" spans="1:43" ht="16.5" thickBot="1">
      <c r="A43" s="91">
        <f t="shared" si="17"/>
        <v>40</v>
      </c>
      <c r="B43" s="30" t="s">
        <v>504</v>
      </c>
      <c r="C43" s="291">
        <f>IF(B43=B42,C42,SUMIF('Date masura OD'!$G:$G,B43,'Date masura OD'!$R:$R))</f>
        <v>378600</v>
      </c>
      <c r="D43" s="291">
        <f>IFERROR(IF(VLOOKUP(B43,'Date masura OD'!$G$76:$BF$187,52,FALSE)&lt;0,-VLOOKUP(B43,'Date masura OD'!$G$76:$BF$187,52,FALSE),0),0)</f>
        <v>0</v>
      </c>
      <c r="E43" s="291">
        <v>0</v>
      </c>
      <c r="F43" s="291">
        <v>0</v>
      </c>
      <c r="G43" s="107" t="s">
        <v>593</v>
      </c>
      <c r="H43" s="312">
        <f>IF(C43=0,0,IF(RIGHT(G43,1)="N",ROUNDUP(C43*1.5%,0),IF(LEN(RIGHT(G43,LEN(G43)-FIND("_",G43,1)))=1,SUMIF('Date masura OD'!$G:$G,G43,'Date masura OD'!$R:$R),AK43)))</f>
        <v>254118</v>
      </c>
      <c r="I43" s="184">
        <f>VLOOKUP(G43,'Contorizare in SDI'!E:M,7,FALSE)</f>
        <v>6830</v>
      </c>
      <c r="J43" s="88">
        <f>VLOOKUP(G43,'Contorizare in SDI'!$E:$M,$J$1-2,FALSE)</f>
        <v>6783</v>
      </c>
      <c r="K43" s="88">
        <f>VLOOKUP(G43,'Contorizare in SDI'!$E:$M,$K$1-2,FALSE)</f>
        <v>2566</v>
      </c>
      <c r="L43" s="29" t="s">
        <v>674</v>
      </c>
      <c r="M43" s="87">
        <v>0</v>
      </c>
      <c r="N43" s="88">
        <f>IF(COUNTIF(L43,"-")=1,0,VLOOKUP(L43,'Contorizare in SDI'!$F:$R,$N$1-3,FALSE))</f>
        <v>113070</v>
      </c>
      <c r="O43" s="88">
        <f>IF(COUNTIF(L43,"-")=1,0,VLOOKUP(L43,'Contorizare in SDI'!$F:$R,$O$1-3,FALSE))</f>
        <v>1220</v>
      </c>
      <c r="P43" s="88">
        <f>IF(COUNTIF(L43,"-")=1,0,VLOOKUP(L43,'Contorizare in SDI'!$F:$R,$P$1-3,FALSE))</f>
        <v>82</v>
      </c>
      <c r="Q43" s="88">
        <f t="shared" si="6"/>
        <v>254118</v>
      </c>
      <c r="R43" s="88">
        <f t="shared" si="7"/>
        <v>106240</v>
      </c>
      <c r="S43" s="321">
        <v>0</v>
      </c>
      <c r="T43" s="88">
        <f t="shared" si="8"/>
        <v>3896</v>
      </c>
      <c r="U43" s="17" t="s">
        <v>514</v>
      </c>
      <c r="V43" s="581"/>
      <c r="W43" s="581"/>
      <c r="X43" s="581"/>
      <c r="Y43" s="583"/>
      <c r="AA43" t="str">
        <f t="shared" si="9"/>
        <v/>
      </c>
      <c r="AB43" t="str">
        <f t="shared" si="10"/>
        <v/>
      </c>
      <c r="AE43" t="str">
        <f t="shared" si="1"/>
        <v>-</v>
      </c>
      <c r="AF43">
        <f>IF(LEFT(VLOOKUP(G43,'Contorizare in SDI'!$E:$M,5,FALSE),1)="V",C43,VLOOKUP(G43,'Contorizare in SDI'!$E:$M,6,FALSE))</f>
        <v>127844</v>
      </c>
      <c r="AG43">
        <f t="shared" si="2"/>
        <v>183709</v>
      </c>
      <c r="AH43">
        <f t="shared" si="11"/>
        <v>0</v>
      </c>
      <c r="AI43">
        <f t="shared" si="12"/>
        <v>271875</v>
      </c>
      <c r="AJ43">
        <f t="shared" si="13"/>
        <v>390678</v>
      </c>
      <c r="AK43">
        <f t="shared" si="21"/>
        <v>254118</v>
      </c>
      <c r="AL43">
        <f t="shared" si="22"/>
        <v>3896</v>
      </c>
      <c r="AM43">
        <f t="shared" si="14"/>
        <v>5679</v>
      </c>
      <c r="AN43">
        <f t="shared" si="24"/>
        <v>0</v>
      </c>
      <c r="AP43" t="str">
        <f t="shared" si="15"/>
        <v>-</v>
      </c>
      <c r="AQ43">
        <f t="shared" si="23"/>
        <v>4928</v>
      </c>
    </row>
    <row r="44" spans="1:43" ht="16.5" thickBot="1">
      <c r="A44" s="91">
        <f t="shared" si="17"/>
        <v>41</v>
      </c>
      <c r="B44" s="93" t="s">
        <v>504</v>
      </c>
      <c r="C44" s="291">
        <f>IF(B44=B43,C43,SUMIF('Date masura OD'!$G:$G,B44,'Date masura OD'!$R:$R))</f>
        <v>378600</v>
      </c>
      <c r="D44" s="291">
        <f>IFERROR(IF(VLOOKUP(B44,'Date masura OD'!$G$76:$BF$187,52,FALSE)&lt;0,-VLOOKUP(B44,'Date masura OD'!$G$76:$BF$187,52,FALSE),0),0)</f>
        <v>0</v>
      </c>
      <c r="E44" s="291">
        <v>0</v>
      </c>
      <c r="F44" s="291">
        <v>0</v>
      </c>
      <c r="G44" s="108" t="s">
        <v>967</v>
      </c>
      <c r="H44" s="312">
        <f>IF(C44=0,0,IF(RIGHT(G44,1)="N",ROUNDUP(C44*1.5%,0),IF(LEN(RIGHT(G44,LEN(G44)-FIND("_",G44,1)))=1,SUMIF('Date masura OD'!$G:$G,G44,'Date masura OD'!$R:$R),AK44)))</f>
        <v>5679</v>
      </c>
      <c r="I44" s="184">
        <f>VLOOKUP(G44,'Contorizare in SDI'!E:M,7,FALSE)</f>
        <v>0</v>
      </c>
      <c r="J44" s="88">
        <f>VLOOKUP(G44,'Contorizare in SDI'!$E:$M,$J$1-2,FALSE)</f>
        <v>0</v>
      </c>
      <c r="K44" s="88">
        <f>VLOOKUP(G44,'Contorizare in SDI'!$E:$M,$K$1-2,FALSE)</f>
        <v>0</v>
      </c>
      <c r="L44" s="94" t="s">
        <v>69</v>
      </c>
      <c r="M44" s="87">
        <v>0</v>
      </c>
      <c r="N44" s="88">
        <f>IF(COUNTIF(L44,"-")=1,0,VLOOKUP(L44,'Contorizare in SDI'!$F:$R,$N$1-3,FALSE))</f>
        <v>0</v>
      </c>
      <c r="O44" s="88">
        <f>IF(COUNTIF(L44,"-")=1,0,VLOOKUP(L44,'Contorizare in SDI'!$F:$R,$O$1-3,FALSE))</f>
        <v>0</v>
      </c>
      <c r="P44" s="88">
        <f>IF(COUNTIF(L44,"-")=1,0,VLOOKUP(L44,'Contorizare in SDI'!$F:$R,$P$1-3,FALSE))</f>
        <v>0</v>
      </c>
      <c r="Q44" s="88">
        <f t="shared" si="6"/>
        <v>0</v>
      </c>
      <c r="R44" s="88">
        <f t="shared" si="7"/>
        <v>0</v>
      </c>
      <c r="S44" s="321">
        <v>0</v>
      </c>
      <c r="T44" s="88">
        <f t="shared" si="8"/>
        <v>0</v>
      </c>
      <c r="U44" s="95" t="s">
        <v>69</v>
      </c>
      <c r="V44" s="589"/>
      <c r="W44" s="589"/>
      <c r="X44" s="589"/>
      <c r="Y44" s="591"/>
      <c r="AA44" t="str">
        <f t="shared" si="9"/>
        <v/>
      </c>
      <c r="AB44" t="str">
        <f t="shared" si="10"/>
        <v/>
      </c>
      <c r="AE44" t="str">
        <f t="shared" si="1"/>
        <v>RGSC_2</v>
      </c>
      <c r="AF44">
        <f>IF(LEFT(VLOOKUP(G44,'Contorizare in SDI'!$E:$M,5,FALSE),1)="V",C44,VLOOKUP(G44,'Contorizare in SDI'!$E:$M,6,FALSE))</f>
        <v>0</v>
      </c>
      <c r="AG44">
        <f t="shared" si="2"/>
        <v>183709</v>
      </c>
      <c r="AH44">
        <f t="shared" si="11"/>
        <v>5679</v>
      </c>
      <c r="AI44">
        <f t="shared" si="12"/>
        <v>0</v>
      </c>
      <c r="AJ44">
        <f t="shared" si="13"/>
        <v>390678</v>
      </c>
      <c r="AK44">
        <f t="shared" si="21"/>
        <v>0</v>
      </c>
      <c r="AL44">
        <f t="shared" si="22"/>
        <v>0</v>
      </c>
      <c r="AM44">
        <f t="shared" si="14"/>
        <v>0</v>
      </c>
      <c r="AN44">
        <f t="shared" si="24"/>
        <v>6830</v>
      </c>
      <c r="AP44" t="str">
        <f t="shared" si="15"/>
        <v>RGSC</v>
      </c>
      <c r="AQ44">
        <f t="shared" si="23"/>
        <v>10607</v>
      </c>
    </row>
    <row r="45" spans="1:43" ht="16.5" thickBot="1">
      <c r="A45" s="91">
        <f t="shared" si="17"/>
        <v>42</v>
      </c>
      <c r="B45" s="86" t="s">
        <v>533</v>
      </c>
      <c r="C45" s="291">
        <f>IF(B45=B44,C44,SUMIF('Date masura OD'!$G:$G,B45,'Date masura OD'!$R:$R))</f>
        <v>1093760</v>
      </c>
      <c r="D45" s="291">
        <f>IFERROR(IF(VLOOKUP(B45,'Date masura OD'!$G$76:$BF$187,52,FALSE)&lt;0,-VLOOKUP(B45,'Date masura OD'!$G$76:$BF$187,52,FALSE),0),0)</f>
        <v>0</v>
      </c>
      <c r="E45" s="291">
        <v>0</v>
      </c>
      <c r="F45" s="291">
        <v>0</v>
      </c>
      <c r="G45" s="106" t="s">
        <v>594</v>
      </c>
      <c r="H45" s="312">
        <f>IF(C45=0,0,IF(RIGHT(G45,1)="N",ROUNDUP(C45*1.5%,0),IF(LEN(RIGHT(G45,LEN(G45)-FIND("_",G45,1)))=1,SUMIF('Date masura OD'!$G:$G,G45,'Date masura OD'!$R:$R),AK45)))</f>
        <v>256500</v>
      </c>
      <c r="I45" s="184">
        <f>VLOOKUP(G45,'Contorizare in SDI'!E:M,7,FALSE)</f>
        <v>0</v>
      </c>
      <c r="J45" s="88">
        <f>VLOOKUP(G45,'Contorizare in SDI'!$E:$M,$J$1-2,FALSE)</f>
        <v>49352</v>
      </c>
      <c r="K45" s="88">
        <f>VLOOKUP(G45,'Contorizare in SDI'!$E:$M,$K$1-2,FALSE)</f>
        <v>153</v>
      </c>
      <c r="L45" s="89" t="s">
        <v>69</v>
      </c>
      <c r="M45" s="87">
        <v>0</v>
      </c>
      <c r="N45" s="88">
        <f>IF(COUNTIF(L45,"-")=1,0,VLOOKUP(L45,'Contorizare in SDI'!$F:$R,$N$1-3,FALSE))</f>
        <v>0</v>
      </c>
      <c r="O45" s="88">
        <f>IF(COUNTIF(L45,"-")=1,0,VLOOKUP(L45,'Contorizare in SDI'!$F:$R,$O$1-3,FALSE))</f>
        <v>0</v>
      </c>
      <c r="P45" s="88">
        <f>IF(COUNTIF(L45,"-")=1,0,VLOOKUP(L45,'Contorizare in SDI'!$F:$R,$P$1-3,FALSE))</f>
        <v>0</v>
      </c>
      <c r="Q45" s="88">
        <f>IF(RIGHT(G45,1)="N",0,H45)</f>
        <v>256500</v>
      </c>
      <c r="R45" s="88">
        <f t="shared" si="7"/>
        <v>0</v>
      </c>
      <c r="S45" s="88">
        <f>I47</f>
        <v>11982</v>
      </c>
      <c r="T45" s="88">
        <f t="shared" si="8"/>
        <v>3848</v>
      </c>
      <c r="U45" s="90" t="s">
        <v>514</v>
      </c>
      <c r="V45" s="580">
        <f>SUM(H45:H49)+SUM(N45:N49)</f>
        <v>1237239</v>
      </c>
      <c r="W45" s="580">
        <f>SUM(Q45:S49)</f>
        <v>1237239</v>
      </c>
      <c r="X45" s="580">
        <f>C45</f>
        <v>1093760</v>
      </c>
      <c r="Y45" s="582">
        <f>SUM(H45:H48)+SUM(T45:T48)</f>
        <v>1093760</v>
      </c>
      <c r="AA45" t="str">
        <f t="shared" si="9"/>
        <v>OK</v>
      </c>
      <c r="AB45" t="str">
        <f t="shared" si="10"/>
        <v>OK</v>
      </c>
      <c r="AE45" t="str">
        <f t="shared" si="1"/>
        <v>-</v>
      </c>
      <c r="AF45">
        <f>IF(LEFT(VLOOKUP(G45,'Contorizare in SDI'!$E:$M,5,FALSE),1)="V",C45,VLOOKUP(G45,'Contorizare in SDI'!$E:$M,6,FALSE))</f>
        <v>252545</v>
      </c>
      <c r="AG45">
        <f t="shared" si="2"/>
        <v>252545</v>
      </c>
      <c r="AH45">
        <f t="shared" si="11"/>
        <v>0</v>
      </c>
      <c r="AI45">
        <f t="shared" si="12"/>
        <v>256500</v>
      </c>
      <c r="AJ45">
        <f t="shared" si="13"/>
        <v>256500</v>
      </c>
      <c r="AK45">
        <f t="shared" si="21"/>
        <v>256500</v>
      </c>
      <c r="AL45">
        <f t="shared" si="22"/>
        <v>3848</v>
      </c>
      <c r="AM45">
        <f t="shared" si="14"/>
        <v>3848</v>
      </c>
      <c r="AN45">
        <f t="shared" si="24"/>
        <v>0</v>
      </c>
      <c r="AP45" t="str">
        <f t="shared" si="15"/>
        <v>-</v>
      </c>
      <c r="AQ45">
        <f t="shared" si="23"/>
        <v>0</v>
      </c>
    </row>
    <row r="46" spans="1:43" ht="16.5" thickBot="1">
      <c r="A46" s="91">
        <f t="shared" si="17"/>
        <v>43</v>
      </c>
      <c r="B46" s="30" t="s">
        <v>533</v>
      </c>
      <c r="C46" s="291">
        <f>IF(B46=B45,C45,SUMIF('Date masura OD'!$G:$G,B46,'Date masura OD'!$R:$R))</f>
        <v>1093760</v>
      </c>
      <c r="D46" s="291">
        <f>IFERROR(IF(VLOOKUP(B46,'Date masura OD'!$G$76:$BF$187,52,FALSE)&lt;0,-VLOOKUP(B46,'Date masura OD'!$G$76:$BF$187,52,FALSE),0),0)</f>
        <v>0</v>
      </c>
      <c r="E46" s="291">
        <v>0</v>
      </c>
      <c r="F46" s="291">
        <v>0</v>
      </c>
      <c r="G46" s="107" t="s">
        <v>595</v>
      </c>
      <c r="H46" s="312">
        <f>IF(C46=0,0,IF(RIGHT(G46,1)="N",ROUNDUP(C46*1.5%,0),IF(LEN(RIGHT(G46,LEN(G46)-FIND("_",G46,1)))=1,SUMIF('Date masura OD'!$G:$G,G46,'Date masura OD'!$R:$R),AK46)))</f>
        <v>452670</v>
      </c>
      <c r="I46" s="184">
        <f>VLOOKUP(G46,'Contorizare in SDI'!E:M,7,FALSE)</f>
        <v>0</v>
      </c>
      <c r="J46" s="88">
        <f>VLOOKUP(G46,'Contorizare in SDI'!$E:$M,$J$1-2,FALSE)</f>
        <v>51228</v>
      </c>
      <c r="K46" s="88">
        <f>VLOOKUP(G46,'Contorizare in SDI'!$E:$M,$K$1-2,FALSE)</f>
        <v>18</v>
      </c>
      <c r="L46" s="29" t="s">
        <v>69</v>
      </c>
      <c r="M46" s="87">
        <v>0</v>
      </c>
      <c r="N46" s="88">
        <f>IF(COUNTIF(L46,"-")=1,0,VLOOKUP(L46,'Contorizare in SDI'!$F:$R,$N$1-3,FALSE))</f>
        <v>0</v>
      </c>
      <c r="O46" s="88">
        <f>IF(COUNTIF(L46,"-")=1,0,VLOOKUP(L46,'Contorizare in SDI'!$F:$R,$O$1-3,FALSE))</f>
        <v>0</v>
      </c>
      <c r="P46" s="88">
        <f>IF(COUNTIF(L46,"-")=1,0,VLOOKUP(L46,'Contorizare in SDI'!$F:$R,$P$1-3,FALSE))</f>
        <v>0</v>
      </c>
      <c r="Q46" s="88">
        <f t="shared" si="6"/>
        <v>452670</v>
      </c>
      <c r="R46" s="88">
        <f>N46-I46</f>
        <v>0</v>
      </c>
      <c r="S46" s="321">
        <v>0</v>
      </c>
      <c r="T46" s="88">
        <f t="shared" si="8"/>
        <v>6791</v>
      </c>
      <c r="U46" s="17" t="s">
        <v>514</v>
      </c>
      <c r="V46" s="581"/>
      <c r="W46" s="581"/>
      <c r="X46" s="581"/>
      <c r="Y46" s="583"/>
      <c r="AA46" t="str">
        <f t="shared" si="9"/>
        <v/>
      </c>
      <c r="AB46" t="str">
        <f t="shared" si="10"/>
        <v/>
      </c>
      <c r="AE46" t="str">
        <f t="shared" si="1"/>
        <v>-</v>
      </c>
      <c r="AF46">
        <f>IF(LEFT(VLOOKUP(G46,'Contorizare in SDI'!$E:$M,5,FALSE),1)="V",C46,VLOOKUP(G46,'Contorizare in SDI'!$E:$M,6,FALSE))</f>
        <v>445691</v>
      </c>
      <c r="AG46">
        <f t="shared" si="2"/>
        <v>698236</v>
      </c>
      <c r="AH46">
        <f t="shared" si="11"/>
        <v>0</v>
      </c>
      <c r="AI46">
        <f t="shared" si="12"/>
        <v>452670</v>
      </c>
      <c r="AJ46">
        <f t="shared" si="13"/>
        <v>709170</v>
      </c>
      <c r="AK46">
        <f t="shared" si="21"/>
        <v>452670</v>
      </c>
      <c r="AL46">
        <f t="shared" si="22"/>
        <v>6791</v>
      </c>
      <c r="AM46">
        <f t="shared" si="14"/>
        <v>10639</v>
      </c>
      <c r="AN46">
        <f t="shared" si="24"/>
        <v>0</v>
      </c>
      <c r="AP46" t="str">
        <f t="shared" si="15"/>
        <v>-</v>
      </c>
      <c r="AQ46">
        <f t="shared" si="23"/>
        <v>0</v>
      </c>
    </row>
    <row r="47" spans="1:43" ht="16.5" thickBot="1">
      <c r="A47" s="91">
        <f t="shared" si="17"/>
        <v>44</v>
      </c>
      <c r="B47" s="30" t="s">
        <v>533</v>
      </c>
      <c r="C47" s="291">
        <f>IF(B47=B46,C46,SUMIF('Date masura OD'!$G:$G,B47,'Date masura OD'!$R:$R))</f>
        <v>1093760</v>
      </c>
      <c r="D47" s="291">
        <f>IFERROR(IF(VLOOKUP(B47,'Date masura OD'!$G$76:$BF$187,52,FALSE)&lt;0,-VLOOKUP(B47,'Date masura OD'!$G$76:$BF$187,52,FALSE),0),0)</f>
        <v>0</v>
      </c>
      <c r="E47" s="291">
        <v>0</v>
      </c>
      <c r="F47" s="291">
        <v>0</v>
      </c>
      <c r="G47" s="107" t="s">
        <v>596</v>
      </c>
      <c r="H47" s="312">
        <f>IF(C47=0,0,IF(RIGHT(G47,1)="N",ROUNDUP(C47*1.5%,0),IF(LEN(RIGHT(G47,LEN(G47)-FIND("_",G47,1)))=1,SUMIF('Date masura OD'!$G:$G,G47,'Date masura OD'!$R:$R),AK47)))</f>
        <v>165336</v>
      </c>
      <c r="I47" s="184">
        <f>VLOOKUP(G47,'Contorizare in SDI'!E:M,7,FALSE)</f>
        <v>11982</v>
      </c>
      <c r="J47" s="88">
        <f>VLOOKUP(G47,'Contorizare in SDI'!$E:$M,$J$1-2,FALSE)</f>
        <v>18979</v>
      </c>
      <c r="K47" s="88">
        <f>VLOOKUP(G47,'Contorizare in SDI'!$E:$M,$K$1-2,FALSE)</f>
        <v>1031</v>
      </c>
      <c r="L47" s="29" t="s">
        <v>675</v>
      </c>
      <c r="M47" s="87">
        <v>0</v>
      </c>
      <c r="N47" s="88">
        <f>IF(COUNTIF(L47,"-")=1,0,VLOOKUP(L47,'Contorizare in SDI'!$F:$R,$N$1-3,FALSE))</f>
        <v>159886</v>
      </c>
      <c r="O47" s="88">
        <f>IF(COUNTIF(L47,"-")=1,0,VLOOKUP(L47,'Contorizare in SDI'!$F:$R,$O$1-3,FALSE))</f>
        <v>392</v>
      </c>
      <c r="P47" s="88">
        <f>IF(COUNTIF(L47,"-")=1,0,VLOOKUP(L47,'Contorizare in SDI'!$F:$R,$P$1-3,FALSE))</f>
        <v>1270</v>
      </c>
      <c r="Q47" s="88">
        <f t="shared" si="6"/>
        <v>165336</v>
      </c>
      <c r="R47" s="88">
        <f t="shared" si="7"/>
        <v>147904</v>
      </c>
      <c r="S47" s="321">
        <v>0</v>
      </c>
      <c r="T47" s="88">
        <f t="shared" si="8"/>
        <v>2481</v>
      </c>
      <c r="U47" s="17" t="s">
        <v>514</v>
      </c>
      <c r="V47" s="581"/>
      <c r="W47" s="581"/>
      <c r="X47" s="581"/>
      <c r="Y47" s="583"/>
      <c r="AA47" t="str">
        <f t="shared" si="9"/>
        <v/>
      </c>
      <c r="AB47" t="str">
        <f t="shared" si="10"/>
        <v/>
      </c>
      <c r="AE47" t="str">
        <f t="shared" si="1"/>
        <v>-</v>
      </c>
      <c r="AF47">
        <f>IF(LEFT(VLOOKUP(G47,'Contorizare in SDI'!$E:$M,5,FALSE),1)="V",C47,VLOOKUP(G47,'Contorizare in SDI'!$E:$M,6,FALSE))</f>
        <v>162787</v>
      </c>
      <c r="AG47">
        <f t="shared" si="2"/>
        <v>861023</v>
      </c>
      <c r="AH47">
        <f t="shared" si="11"/>
        <v>0</v>
      </c>
      <c r="AI47">
        <f t="shared" si="12"/>
        <v>165336</v>
      </c>
      <c r="AJ47">
        <f t="shared" si="13"/>
        <v>874506</v>
      </c>
      <c r="AK47">
        <f t="shared" si="21"/>
        <v>165336</v>
      </c>
      <c r="AL47">
        <f t="shared" si="22"/>
        <v>2481</v>
      </c>
      <c r="AM47">
        <f t="shared" si="14"/>
        <v>13120</v>
      </c>
      <c r="AN47">
        <f t="shared" si="24"/>
        <v>0</v>
      </c>
      <c r="AP47" t="str">
        <f t="shared" si="15"/>
        <v>-</v>
      </c>
      <c r="AQ47">
        <f t="shared" si="23"/>
        <v>0</v>
      </c>
    </row>
    <row r="48" spans="1:43" ht="16.5" thickBot="1">
      <c r="A48" s="91">
        <f t="shared" si="17"/>
        <v>45</v>
      </c>
      <c r="B48" s="30" t="s">
        <v>533</v>
      </c>
      <c r="C48" s="291">
        <f>IF(B48=B47,C47,SUMIF('Date masura OD'!$G:$G,B48,'Date masura OD'!$R:$R))</f>
        <v>1093760</v>
      </c>
      <c r="D48" s="291">
        <f>IFERROR(IF(VLOOKUP(B48,'Date masura OD'!$G$76:$BF$187,52,FALSE)&lt;0,-VLOOKUP(B48,'Date masura OD'!$G$76:$BF$187,52,FALSE),0),0)</f>
        <v>0</v>
      </c>
      <c r="E48" s="291">
        <v>0</v>
      </c>
      <c r="F48" s="291">
        <v>0</v>
      </c>
      <c r="G48" s="29" t="s">
        <v>597</v>
      </c>
      <c r="H48" s="312">
        <f>IF(C48=0,0,IF(RIGHT(G48,1)="N",ROUNDUP(C48*1.5%,0),IF(LEN(RIGHT(G48,LEN(G48)-FIND("_",G48,1)))=1,SUMIF('Date masura OD'!$G:$G,G48,'Date masura OD'!$R:$R),AK48)))</f>
        <v>202847</v>
      </c>
      <c r="I48" s="184">
        <f>VLOOKUP(G48,'Contorizare in SDI'!E:M,7,FALSE)</f>
        <v>0</v>
      </c>
      <c r="J48" s="88">
        <f>VLOOKUP(G48,'Contorizare in SDI'!$E:$M,$J$1-2,FALSE)</f>
        <v>35392</v>
      </c>
      <c r="K48" s="88">
        <f>VLOOKUP(G48,'Contorizare in SDI'!$E:$M,$K$1-2,FALSE)</f>
        <v>2</v>
      </c>
      <c r="L48" s="29" t="s">
        <v>69</v>
      </c>
      <c r="M48" s="87">
        <v>0</v>
      </c>
      <c r="N48" s="88">
        <f>IF(COUNTIF(L48,"-")=1,0,VLOOKUP(L48,'Contorizare in SDI'!$F:$R,$N$1-3,FALSE))</f>
        <v>0</v>
      </c>
      <c r="O48" s="88">
        <f>IF(COUNTIF(L48,"-")=1,0,VLOOKUP(L48,'Contorizare in SDI'!$F:$R,$O$1-3,FALSE))</f>
        <v>0</v>
      </c>
      <c r="P48" s="88">
        <f>IF(COUNTIF(L48,"-")=1,0,VLOOKUP(L48,'Contorizare in SDI'!$F:$R,$P$1-3,FALSE))</f>
        <v>0</v>
      </c>
      <c r="Q48" s="88">
        <f t="shared" si="6"/>
        <v>202847</v>
      </c>
      <c r="R48" s="88">
        <f t="shared" si="7"/>
        <v>0</v>
      </c>
      <c r="S48" s="321">
        <v>0</v>
      </c>
      <c r="T48" s="88">
        <f t="shared" si="8"/>
        <v>3287</v>
      </c>
      <c r="U48" s="17" t="s">
        <v>514</v>
      </c>
      <c r="V48" s="581"/>
      <c r="W48" s="581"/>
      <c r="X48" s="581"/>
      <c r="Y48" s="583"/>
      <c r="AA48" t="str">
        <f t="shared" si="9"/>
        <v/>
      </c>
      <c r="AB48" t="str">
        <f t="shared" si="10"/>
        <v/>
      </c>
      <c r="AE48" t="str">
        <f t="shared" si="1"/>
        <v>-</v>
      </c>
      <c r="AF48">
        <f>IF(LEFT(VLOOKUP(G48,'Contorizare in SDI'!$E:$M,5,FALSE),1)="V",C48,VLOOKUP(G48,'Contorizare in SDI'!$E:$M,6,FALSE))</f>
        <v>232283</v>
      </c>
      <c r="AG48">
        <f t="shared" si="2"/>
        <v>1093306</v>
      </c>
      <c r="AH48">
        <f t="shared" si="11"/>
        <v>0</v>
      </c>
      <c r="AI48">
        <f t="shared" si="12"/>
        <v>235920</v>
      </c>
      <c r="AJ48">
        <f t="shared" si="13"/>
        <v>1110426</v>
      </c>
      <c r="AK48" s="255">
        <f>IF(RIGHT(G50,1)="N",C48-IF(RIGHT(G48,1)-1&gt;0,AJ47,0)-VLOOKUP(B48,$AE:$AH,4,FALSE),AI48)</f>
        <v>202847</v>
      </c>
      <c r="AL48" s="255">
        <f>IFERROR(IF(((COUNTIF($B:$B,B48)-2)-(IF(RIGHT(G48,1)="N",COUNTIF($B:$B,B48),_xlfn.NUMBERVALUE(RIGHT(G48,1)))))&gt;0,ROUNDUP(H48*1.5%,0),IF(((COUNTIF($B:$B,B48)-2)-(IF(RIGHT(G48,1)="N",COUNTIF($B:$B,B48),_xlfn.NUMBERVALUE(RIGHT(G48,1)))))=0,VLOOKUP(B48,$AE:$AK,4,FALSE)-AM47,0)),0)</f>
        <v>3287</v>
      </c>
      <c r="AM48">
        <f t="shared" si="14"/>
        <v>16407</v>
      </c>
      <c r="AN48">
        <f t="shared" si="24"/>
        <v>0</v>
      </c>
      <c r="AP48" t="str">
        <f t="shared" si="15"/>
        <v>-</v>
      </c>
      <c r="AQ48">
        <f t="shared" si="23"/>
        <v>0</v>
      </c>
    </row>
    <row r="49" spans="1:43" ht="16.5" thickBot="1">
      <c r="A49" s="91">
        <f t="shared" si="17"/>
        <v>46</v>
      </c>
      <c r="B49" s="30" t="s">
        <v>533</v>
      </c>
      <c r="C49" s="291">
        <f>IF(B49=B48,C48,SUMIF('Date masura OD'!$G:$G,B49,'Date masura OD'!$R:$R))</f>
        <v>1093760</v>
      </c>
      <c r="D49" s="291">
        <f>IFERROR(IF(VLOOKUP(B49,'Date masura OD'!$G$76:$BF$187,52,FALSE)&lt;0,-VLOOKUP(B49,'Date masura OD'!$G$76:$BF$187,52,FALSE),0),0)</f>
        <v>0</v>
      </c>
      <c r="E49" s="291">
        <v>0</v>
      </c>
      <c r="F49" s="291">
        <v>0</v>
      </c>
      <c r="G49" s="29" t="s">
        <v>598</v>
      </c>
      <c r="H49" s="316">
        <v>0</v>
      </c>
      <c r="I49" s="317">
        <v>0</v>
      </c>
      <c r="J49" s="88">
        <f>VLOOKUP(G49,'Contorizare in SDI'!$E:$M,$J$1-2,FALSE)</f>
        <v>0</v>
      </c>
      <c r="K49" s="88">
        <f>VLOOKUP(G49,'Contorizare in SDI'!$E:$M,$K$1-2,FALSE)</f>
        <v>0</v>
      </c>
      <c r="L49" s="29" t="s">
        <v>69</v>
      </c>
      <c r="M49" s="87">
        <v>0</v>
      </c>
      <c r="N49" s="88">
        <f>IF(COUNTIF(L49,"-")=1,0,VLOOKUP(L49,'Contorizare in SDI'!$F:$R,$N$1-3,FALSE))</f>
        <v>0</v>
      </c>
      <c r="O49" s="88">
        <f>IF(COUNTIF(L49,"-")=1,0,VLOOKUP(L49,'Contorizare in SDI'!$F:$R,$O$1-3,FALSE))</f>
        <v>0</v>
      </c>
      <c r="P49" s="88">
        <f>IF(COUNTIF(L49,"-")=1,0,VLOOKUP(L49,'Contorizare in SDI'!$F:$R,$P$1-3,FALSE))</f>
        <v>0</v>
      </c>
      <c r="Q49" s="88">
        <f t="shared" si="6"/>
        <v>0</v>
      </c>
      <c r="R49" s="88">
        <f t="shared" si="7"/>
        <v>0</v>
      </c>
      <c r="S49" s="321">
        <v>0</v>
      </c>
      <c r="T49" s="88">
        <f t="shared" si="8"/>
        <v>0</v>
      </c>
      <c r="U49" s="17" t="s">
        <v>515</v>
      </c>
      <c r="V49" s="581"/>
      <c r="W49" s="581"/>
      <c r="X49" s="581"/>
      <c r="Y49" s="583"/>
      <c r="AA49" t="str">
        <f t="shared" si="9"/>
        <v/>
      </c>
      <c r="AB49" t="str">
        <f t="shared" si="10"/>
        <v/>
      </c>
      <c r="AE49" t="str">
        <f t="shared" si="1"/>
        <v>-</v>
      </c>
      <c r="AF49">
        <f>IF(LEFT(VLOOKUP(G49,'Contorizare in SDI'!$E:$M,5,FALSE),1)="V",C49,VLOOKUP(G49,'Contorizare in SDI'!$E:$M,6,FALSE))</f>
        <v>0</v>
      </c>
      <c r="AG49">
        <f t="shared" si="2"/>
        <v>1093306</v>
      </c>
      <c r="AH49">
        <f t="shared" si="11"/>
        <v>0</v>
      </c>
      <c r="AI49">
        <f t="shared" si="12"/>
        <v>0</v>
      </c>
      <c r="AJ49">
        <f t="shared" si="13"/>
        <v>1110426</v>
      </c>
      <c r="AK49" s="255">
        <v>0</v>
      </c>
      <c r="AL49" s="255">
        <v>0</v>
      </c>
      <c r="AM49">
        <f t="shared" si="14"/>
        <v>16407</v>
      </c>
      <c r="AN49">
        <f t="shared" si="24"/>
        <v>0</v>
      </c>
      <c r="AP49" t="str">
        <f t="shared" si="15"/>
        <v>-</v>
      </c>
      <c r="AQ49">
        <f t="shared" si="23"/>
        <v>0</v>
      </c>
    </row>
    <row r="50" spans="1:43" ht="16.5" thickBot="1">
      <c r="A50" s="91">
        <f t="shared" si="17"/>
        <v>47</v>
      </c>
      <c r="B50" s="30" t="s">
        <v>533</v>
      </c>
      <c r="C50" s="291">
        <f>IF(B50=B49,C49,SUMIF('Date masura OD'!$G:$G,B50,'Date masura OD'!$R:$R))</f>
        <v>1093760</v>
      </c>
      <c r="D50" s="291">
        <f>IFERROR(IF(VLOOKUP(B50,'Date masura OD'!$G$76:$BF$187,52,FALSE)&lt;0,-VLOOKUP(B50,'Date masura OD'!$G$76:$BF$187,52,FALSE),0),0)</f>
        <v>0</v>
      </c>
      <c r="E50" s="291">
        <v>0</v>
      </c>
      <c r="F50" s="291">
        <v>0</v>
      </c>
      <c r="G50" s="29" t="s">
        <v>968</v>
      </c>
      <c r="H50" s="312">
        <f>IF(C50=0,0,IF(RIGHT(G50,1)="N",ROUNDUP(C50*1.5%,0),IF(LEN(RIGHT(G50,LEN(G50)-FIND("_",G50,1)))=1,SUMIF('Date masura OD'!$G:$G,G50,'Date masura OD'!$R:$R),AK50)))</f>
        <v>16407</v>
      </c>
      <c r="I50" s="184">
        <f>VLOOKUP(G50,'Contorizare in SDI'!E:M,7,FALSE)</f>
        <v>0</v>
      </c>
      <c r="J50" s="88">
        <f>VLOOKUP(G50,'Contorizare in SDI'!$E:$M,$J$1-2,FALSE)</f>
        <v>0</v>
      </c>
      <c r="K50" s="88">
        <f>VLOOKUP(G50,'Contorizare in SDI'!$E:$M,$K$1-2,FALSE)</f>
        <v>0</v>
      </c>
      <c r="L50" s="29" t="s">
        <v>69</v>
      </c>
      <c r="M50" s="87">
        <v>0</v>
      </c>
      <c r="N50" s="88">
        <f>IF(COUNTIF(L50,"-")=1,0,VLOOKUP(L50,'Contorizare in SDI'!$F:$R,$N$1-3,FALSE))</f>
        <v>0</v>
      </c>
      <c r="O50" s="88">
        <f>IF(COUNTIF(L50,"-")=1,0,VLOOKUP(L50,'Contorizare in SDI'!$F:$R,$O$1-3,FALSE))</f>
        <v>0</v>
      </c>
      <c r="P50" s="88">
        <f>IF(COUNTIF(L50,"-")=1,0,VLOOKUP(L50,'Contorizare in SDI'!$F:$R,$P$1-3,FALSE))</f>
        <v>0</v>
      </c>
      <c r="Q50" s="88">
        <f t="shared" si="6"/>
        <v>0</v>
      </c>
      <c r="R50" s="88">
        <f t="shared" si="7"/>
        <v>0</v>
      </c>
      <c r="S50" s="321">
        <v>0</v>
      </c>
      <c r="T50" s="88">
        <f t="shared" si="8"/>
        <v>0</v>
      </c>
      <c r="U50" s="17" t="s">
        <v>69</v>
      </c>
      <c r="V50" s="581"/>
      <c r="W50" s="581"/>
      <c r="X50" s="581"/>
      <c r="Y50" s="583"/>
      <c r="AA50" t="str">
        <f t="shared" si="9"/>
        <v/>
      </c>
      <c r="AB50" t="str">
        <f t="shared" si="10"/>
        <v/>
      </c>
      <c r="AE50" t="str">
        <f t="shared" si="1"/>
        <v>RTIM_1</v>
      </c>
      <c r="AF50">
        <f>IF(LEFT(VLOOKUP(G50,'Contorizare in SDI'!$E:$M,5,FALSE),1)="V",C50,VLOOKUP(G50,'Contorizare in SDI'!$E:$M,6,FALSE))</f>
        <v>0</v>
      </c>
      <c r="AG50">
        <f t="shared" si="2"/>
        <v>1093306</v>
      </c>
      <c r="AH50">
        <f t="shared" si="11"/>
        <v>16407</v>
      </c>
      <c r="AI50">
        <f t="shared" si="12"/>
        <v>0</v>
      </c>
      <c r="AJ50">
        <f t="shared" si="13"/>
        <v>1110426</v>
      </c>
      <c r="AK50">
        <f t="shared" ref="AK50:AK81" si="25">IF(RIGHT(G51,1)="N",C50-IF(RIGHT(G50,1)-1&gt;0,AJ49,0)-VLOOKUP(B50,$AE:$AH,4,FALSE),AI50)</f>
        <v>0</v>
      </c>
      <c r="AL50">
        <f t="shared" ref="AL50:AL63" si="26">IFERROR(IF(((COUNTIF($B:$B,B50)-1)-(IF(RIGHT(G50,1)="N",COUNTIF($B:$B,B50),_xlfn.NUMBERVALUE(RIGHT(G50,1)))))&gt;0,ROUNDUP(H50*1.5%,0),IF(((COUNTIF($B:$B,B50)-1)-(IF(RIGHT(G50,1)="N",COUNTIF($B:$B,B50),_xlfn.NUMBERVALUE(RIGHT(G50,1)))))=0,VLOOKUP(B50,$AE:$AK,4,FALSE)-AM49,0)),0)</f>
        <v>0</v>
      </c>
      <c r="AM50">
        <f t="shared" si="14"/>
        <v>0</v>
      </c>
      <c r="AN50">
        <f t="shared" si="24"/>
        <v>11982</v>
      </c>
      <c r="AP50" t="str">
        <f t="shared" si="15"/>
        <v>-</v>
      </c>
      <c r="AQ50">
        <f t="shared" si="23"/>
        <v>16407</v>
      </c>
    </row>
    <row r="51" spans="1:43" ht="16.5" thickBot="1">
      <c r="A51" s="91">
        <f t="shared" si="17"/>
        <v>48</v>
      </c>
      <c r="B51" s="30" t="s">
        <v>534</v>
      </c>
      <c r="C51" s="291">
        <f>IF(B51=B50,C50,SUMIF('Date masura OD'!$G:$G,B51,'Date masura OD'!$R:$R))</f>
        <v>0</v>
      </c>
      <c r="D51" s="291">
        <f>IFERROR(IF(VLOOKUP(B51,'Date masura OD'!$G$76:$BF$187,52,FALSE)&lt;0,-VLOOKUP(B51,'Date masura OD'!$G$76:$BF$187,52,FALSE),0),0)</f>
        <v>0</v>
      </c>
      <c r="E51" s="291">
        <v>0</v>
      </c>
      <c r="F51" s="291">
        <v>0</v>
      </c>
      <c r="G51" s="29" t="s">
        <v>599</v>
      </c>
      <c r="H51" s="312">
        <f>IF(C51=0,0,IF(RIGHT(G51,1)="N",ROUNDUP(C51*1.5%,0),IF(LEN(RIGHT(G51,LEN(G51)-FIND("_",G51,1)))=1,SUMIF('Date masura OD'!$G:$G,G51,'Date masura OD'!$R:$R),AK51)))</f>
        <v>0</v>
      </c>
      <c r="I51" s="184">
        <f>VLOOKUP(G51,'Contorizare in SDI'!E:M,7,FALSE)</f>
        <v>0</v>
      </c>
      <c r="J51" s="88">
        <f>VLOOKUP(G51,'Contorizare in SDI'!$E:$M,$J$1-2,FALSE)</f>
        <v>0</v>
      </c>
      <c r="K51" s="88">
        <f>VLOOKUP(G51,'Contorizare in SDI'!$E:$M,$K$1-2,FALSE)</f>
        <v>0</v>
      </c>
      <c r="L51" s="29" t="s">
        <v>69</v>
      </c>
      <c r="M51" s="87">
        <v>0</v>
      </c>
      <c r="N51" s="88">
        <f>IF(COUNTIF(L51,"-")=1,0,VLOOKUP(L51,'Contorizare in SDI'!$F:$R,$N$1-3,FALSE))</f>
        <v>0</v>
      </c>
      <c r="O51" s="88">
        <f>IF(COUNTIF(L51,"-")=1,0,VLOOKUP(L51,'Contorizare in SDI'!$F:$R,$O$1-3,FALSE))</f>
        <v>0</v>
      </c>
      <c r="P51" s="88">
        <f>IF(COUNTIF(L51,"-")=1,0,VLOOKUP(L51,'Contorizare in SDI'!$F:$R,$P$1-3,FALSE))</f>
        <v>0</v>
      </c>
      <c r="Q51" s="88">
        <f t="shared" si="6"/>
        <v>0</v>
      </c>
      <c r="R51" s="88">
        <f t="shared" si="7"/>
        <v>0</v>
      </c>
      <c r="S51" s="88">
        <f>I53</f>
        <v>0</v>
      </c>
      <c r="T51" s="88">
        <f t="shared" si="8"/>
        <v>0</v>
      </c>
      <c r="U51" s="17" t="s">
        <v>514</v>
      </c>
      <c r="V51" s="580">
        <f>SUM(H51:H55)+SUM(N51:N55)</f>
        <v>0</v>
      </c>
      <c r="W51" s="580">
        <f>SUM(Q51:S55)</f>
        <v>0</v>
      </c>
      <c r="X51" s="580">
        <f>C51</f>
        <v>0</v>
      </c>
      <c r="Y51" s="582">
        <f>SUM(H51:H54)+SUM(T51:T54)</f>
        <v>0</v>
      </c>
      <c r="AA51" t="str">
        <f t="shared" si="9"/>
        <v>OK</v>
      </c>
      <c r="AB51" t="str">
        <f t="shared" si="10"/>
        <v>OK</v>
      </c>
      <c r="AE51" t="str">
        <f t="shared" si="1"/>
        <v>-</v>
      </c>
      <c r="AF51">
        <f>IF(LEFT(VLOOKUP(G51,'Contorizare in SDI'!$E:$M,5,FALSE),1)="V",C51,VLOOKUP(G51,'Contorizare in SDI'!$E:$M,6,FALSE))</f>
        <v>0</v>
      </c>
      <c r="AG51">
        <f t="shared" si="2"/>
        <v>0</v>
      </c>
      <c r="AH51">
        <f t="shared" si="11"/>
        <v>0</v>
      </c>
      <c r="AI51" t="e">
        <f t="shared" si="12"/>
        <v>#DIV/0!</v>
      </c>
      <c r="AJ51" t="e">
        <f t="shared" si="13"/>
        <v>#DIV/0!</v>
      </c>
      <c r="AK51" t="e">
        <f t="shared" si="25"/>
        <v>#DIV/0!</v>
      </c>
      <c r="AL51">
        <f t="shared" si="26"/>
        <v>0</v>
      </c>
      <c r="AM51">
        <f t="shared" si="14"/>
        <v>0</v>
      </c>
      <c r="AN51">
        <f t="shared" si="24"/>
        <v>0</v>
      </c>
      <c r="AP51" t="str">
        <f t="shared" si="15"/>
        <v>-</v>
      </c>
      <c r="AQ51">
        <f t="shared" si="23"/>
        <v>16407</v>
      </c>
    </row>
    <row r="52" spans="1:43" ht="16.5" thickBot="1">
      <c r="A52" s="91">
        <f t="shared" si="17"/>
        <v>49</v>
      </c>
      <c r="B52" s="30" t="s">
        <v>534</v>
      </c>
      <c r="C52" s="291">
        <f>IF(B52=B51,C51,SUMIF('Date masura OD'!$G:$G,B52,'Date masura OD'!$R:$R))</f>
        <v>0</v>
      </c>
      <c r="D52" s="291">
        <f>IFERROR(IF(VLOOKUP(B52,'Date masura OD'!$G$76:$BF$187,52,FALSE)&lt;0,-VLOOKUP(B52,'Date masura OD'!$G$76:$BF$187,52,FALSE),0),0)</f>
        <v>0</v>
      </c>
      <c r="E52" s="291">
        <v>0</v>
      </c>
      <c r="F52" s="291">
        <v>0</v>
      </c>
      <c r="G52" s="29" t="s">
        <v>600</v>
      </c>
      <c r="H52" s="312">
        <f>IF(C52=0,0,IF(RIGHT(G52,1)="N",ROUNDUP(C52*1.5%,0),IF(LEN(RIGHT(G52,LEN(G52)-FIND("_",G52,1)))=1,SUMIF('Date masura OD'!$G:$G,G52,'Date masura OD'!$R:$R),AK52)))</f>
        <v>0</v>
      </c>
      <c r="I52" s="184">
        <f>VLOOKUP(G52,'Contorizare in SDI'!E:M,7,FALSE)</f>
        <v>0</v>
      </c>
      <c r="J52" s="88">
        <f>VLOOKUP(G52,'Contorizare in SDI'!$E:$M,$J$1-2,FALSE)</f>
        <v>0</v>
      </c>
      <c r="K52" s="88">
        <f>VLOOKUP(G52,'Contorizare in SDI'!$E:$M,$K$1-2,FALSE)</f>
        <v>0</v>
      </c>
      <c r="L52" s="29" t="s">
        <v>69</v>
      </c>
      <c r="M52" s="87">
        <v>0</v>
      </c>
      <c r="N52" s="88">
        <f>IF(COUNTIF(L52,"-")=1,0,VLOOKUP(L52,'Contorizare in SDI'!$F:$R,$N$1-3,FALSE))</f>
        <v>0</v>
      </c>
      <c r="O52" s="88">
        <f>IF(COUNTIF(L52,"-")=1,0,VLOOKUP(L52,'Contorizare in SDI'!$F:$R,$O$1-3,FALSE))</f>
        <v>0</v>
      </c>
      <c r="P52" s="88">
        <f>IF(COUNTIF(L52,"-")=1,0,VLOOKUP(L52,'Contorizare in SDI'!$F:$R,$P$1-3,FALSE))</f>
        <v>0</v>
      </c>
      <c r="Q52" s="88">
        <f t="shared" si="6"/>
        <v>0</v>
      </c>
      <c r="R52" s="88">
        <f t="shared" si="7"/>
        <v>0</v>
      </c>
      <c r="S52" s="321">
        <v>0</v>
      </c>
      <c r="T52" s="88">
        <f t="shared" si="8"/>
        <v>0</v>
      </c>
      <c r="U52" s="17" t="s">
        <v>514</v>
      </c>
      <c r="V52" s="581"/>
      <c r="W52" s="581"/>
      <c r="X52" s="581"/>
      <c r="Y52" s="583"/>
      <c r="AA52" t="str">
        <f t="shared" si="9"/>
        <v/>
      </c>
      <c r="AB52" t="str">
        <f t="shared" si="10"/>
        <v/>
      </c>
      <c r="AE52" t="str">
        <f t="shared" si="1"/>
        <v>-</v>
      </c>
      <c r="AF52">
        <f>IF(LEFT(VLOOKUP(G52,'Contorizare in SDI'!$E:$M,5,FALSE),1)="V",C52,VLOOKUP(G52,'Contorizare in SDI'!$E:$M,6,FALSE))</f>
        <v>0</v>
      </c>
      <c r="AG52">
        <f t="shared" si="2"/>
        <v>0</v>
      </c>
      <c r="AH52">
        <f t="shared" si="11"/>
        <v>0</v>
      </c>
      <c r="AI52" t="e">
        <f t="shared" si="12"/>
        <v>#DIV/0!</v>
      </c>
      <c r="AJ52" t="e">
        <f t="shared" si="13"/>
        <v>#DIV/0!</v>
      </c>
      <c r="AK52" t="e">
        <f t="shared" si="25"/>
        <v>#DIV/0!</v>
      </c>
      <c r="AL52">
        <f t="shared" si="26"/>
        <v>0</v>
      </c>
      <c r="AM52">
        <f t="shared" si="14"/>
        <v>0</v>
      </c>
      <c r="AN52">
        <f t="shared" si="24"/>
        <v>0</v>
      </c>
      <c r="AP52" t="str">
        <f t="shared" si="15"/>
        <v>-</v>
      </c>
      <c r="AQ52">
        <f t="shared" si="23"/>
        <v>16407</v>
      </c>
    </row>
    <row r="53" spans="1:43" ht="16.5" thickBot="1">
      <c r="A53" s="91">
        <f t="shared" si="17"/>
        <v>50</v>
      </c>
      <c r="B53" s="30" t="s">
        <v>534</v>
      </c>
      <c r="C53" s="291">
        <f>IF(B53=B52,C52,SUMIF('Date masura OD'!$G:$G,B53,'Date masura OD'!$R:$R))</f>
        <v>0</v>
      </c>
      <c r="D53" s="291">
        <f>IFERROR(IF(VLOOKUP(B53,'Date masura OD'!$G$76:$BF$187,52,FALSE)&lt;0,-VLOOKUP(B53,'Date masura OD'!$G$76:$BF$187,52,FALSE),0),0)</f>
        <v>0</v>
      </c>
      <c r="E53" s="291">
        <v>0</v>
      </c>
      <c r="F53" s="291">
        <v>0</v>
      </c>
      <c r="G53" s="29" t="s">
        <v>601</v>
      </c>
      <c r="H53" s="312">
        <f>IF(C53=0,0,IF(RIGHT(G53,1)="N",ROUNDUP(C53*1.5%,0),IF(LEN(RIGHT(G53,LEN(G53)-FIND("_",G53,1)))=1,SUMIF('Date masura OD'!$G:$G,G53,'Date masura OD'!$R:$R),AK53)))</f>
        <v>0</v>
      </c>
      <c r="I53" s="184">
        <f>VLOOKUP(G53,'Contorizare in SDI'!E:M,7,FALSE)</f>
        <v>0</v>
      </c>
      <c r="J53" s="88">
        <f>VLOOKUP(G53,'Contorizare in SDI'!$E:$M,$J$1-2,FALSE)</f>
        <v>0</v>
      </c>
      <c r="K53" s="88">
        <f>VLOOKUP(G53,'Contorizare in SDI'!$E:$M,$K$1-2,FALSE)</f>
        <v>0</v>
      </c>
      <c r="L53" s="29" t="s">
        <v>676</v>
      </c>
      <c r="M53" s="87">
        <v>0</v>
      </c>
      <c r="N53" s="87">
        <v>0</v>
      </c>
      <c r="O53" s="87">
        <v>0</v>
      </c>
      <c r="P53" s="87">
        <v>0</v>
      </c>
      <c r="Q53" s="88">
        <f t="shared" si="6"/>
        <v>0</v>
      </c>
      <c r="R53" s="88">
        <f t="shared" si="7"/>
        <v>0</v>
      </c>
      <c r="S53" s="321">
        <v>0</v>
      </c>
      <c r="T53" s="88">
        <f t="shared" si="8"/>
        <v>0</v>
      </c>
      <c r="U53" s="17" t="s">
        <v>514</v>
      </c>
      <c r="V53" s="581"/>
      <c r="W53" s="581"/>
      <c r="X53" s="581"/>
      <c r="Y53" s="583"/>
      <c r="AA53" t="str">
        <f t="shared" si="9"/>
        <v/>
      </c>
      <c r="AB53" t="str">
        <f t="shared" si="10"/>
        <v/>
      </c>
      <c r="AE53" t="str">
        <f t="shared" si="1"/>
        <v>-</v>
      </c>
      <c r="AF53">
        <f>IF(LEFT(VLOOKUP(G53,'Contorizare in SDI'!$E:$M,5,FALSE),1)="V",C53,VLOOKUP(G53,'Contorizare in SDI'!$E:$M,6,FALSE))</f>
        <v>0</v>
      </c>
      <c r="AG53">
        <f t="shared" si="2"/>
        <v>0</v>
      </c>
      <c r="AH53">
        <f t="shared" si="11"/>
        <v>0</v>
      </c>
      <c r="AI53" t="e">
        <f t="shared" si="12"/>
        <v>#DIV/0!</v>
      </c>
      <c r="AJ53" t="e">
        <f t="shared" si="13"/>
        <v>#DIV/0!</v>
      </c>
      <c r="AK53" t="e">
        <f t="shared" si="25"/>
        <v>#DIV/0!</v>
      </c>
      <c r="AL53">
        <f t="shared" si="26"/>
        <v>0</v>
      </c>
      <c r="AM53">
        <f t="shared" si="14"/>
        <v>0</v>
      </c>
      <c r="AN53">
        <f t="shared" si="24"/>
        <v>0</v>
      </c>
      <c r="AP53" t="str">
        <f t="shared" si="15"/>
        <v>-</v>
      </c>
      <c r="AQ53">
        <f t="shared" si="23"/>
        <v>16407</v>
      </c>
    </row>
    <row r="54" spans="1:43" ht="16.5" thickBot="1">
      <c r="A54" s="91">
        <f t="shared" si="17"/>
        <v>51</v>
      </c>
      <c r="B54" s="30" t="s">
        <v>534</v>
      </c>
      <c r="C54" s="291">
        <f>IF(B54=B53,C53,SUMIF('Date masura OD'!$G:$G,B54,'Date masura OD'!$R:$R))</f>
        <v>0</v>
      </c>
      <c r="D54" s="291">
        <f>IFERROR(IF(VLOOKUP(B54,'Date masura OD'!$G$76:$BF$187,52,FALSE)&lt;0,-VLOOKUP(B54,'Date masura OD'!$G$76:$BF$187,52,FALSE),0),0)</f>
        <v>0</v>
      </c>
      <c r="E54" s="291">
        <v>0</v>
      </c>
      <c r="F54" s="291">
        <v>0</v>
      </c>
      <c r="G54" s="29" t="s">
        <v>602</v>
      </c>
      <c r="H54" s="312">
        <f>IF(C54=0,0,IF(RIGHT(G54,1)="N",ROUNDUP(C54*1.5%,0),IF(LEN(RIGHT(G54,LEN(G54)-FIND("_",G54,1)))=1,SUMIF('Date masura OD'!$G:$G,G54,'Date masura OD'!$R:$R),AK54)))</f>
        <v>0</v>
      </c>
      <c r="I54" s="184">
        <f>VLOOKUP(G54,'Contorizare in SDI'!E:M,7,FALSE)</f>
        <v>0</v>
      </c>
      <c r="J54" s="88">
        <f>VLOOKUP(G54,'Contorizare in SDI'!$E:$M,$J$1-2,FALSE)</f>
        <v>0</v>
      </c>
      <c r="K54" s="88">
        <f>VLOOKUP(G54,'Contorizare in SDI'!$E:$M,$K$1-2,FALSE)</f>
        <v>0</v>
      </c>
      <c r="L54" s="29" t="s">
        <v>69</v>
      </c>
      <c r="M54" s="87">
        <v>0</v>
      </c>
      <c r="N54" s="88">
        <f>IF(COUNTIF(L54,"-")=1,0,VLOOKUP(L54,'Contorizare in SDI'!$F:$R,$N$1-3,FALSE))</f>
        <v>0</v>
      </c>
      <c r="O54" s="88">
        <f>IF(COUNTIF(L54,"-")=1,0,VLOOKUP(L54,'Contorizare in SDI'!$F:$R,$O$1-3,FALSE))</f>
        <v>0</v>
      </c>
      <c r="P54" s="88">
        <f>IF(COUNTIF(L54,"-")=1,0,VLOOKUP(L54,'Contorizare in SDI'!$F:$R,$P$1-3,FALSE))</f>
        <v>0</v>
      </c>
      <c r="Q54" s="88">
        <f t="shared" si="6"/>
        <v>0</v>
      </c>
      <c r="R54" s="88">
        <f t="shared" si="7"/>
        <v>0</v>
      </c>
      <c r="S54" s="321">
        <v>0</v>
      </c>
      <c r="T54" s="88">
        <f t="shared" si="8"/>
        <v>0</v>
      </c>
      <c r="U54" s="17" t="s">
        <v>514</v>
      </c>
      <c r="V54" s="581"/>
      <c r="W54" s="581"/>
      <c r="X54" s="581"/>
      <c r="Y54" s="583"/>
      <c r="AA54" t="str">
        <f t="shared" si="9"/>
        <v/>
      </c>
      <c r="AB54" t="str">
        <f t="shared" si="10"/>
        <v/>
      </c>
      <c r="AE54" t="str">
        <f t="shared" si="1"/>
        <v>-</v>
      </c>
      <c r="AF54">
        <f>IF(LEFT(VLOOKUP(G54,'Contorizare in SDI'!$E:$M,5,FALSE),1)="V",C54,VLOOKUP(G54,'Contorizare in SDI'!$E:$M,6,FALSE))</f>
        <v>0</v>
      </c>
      <c r="AG54">
        <f t="shared" si="2"/>
        <v>0</v>
      </c>
      <c r="AH54">
        <f t="shared" si="11"/>
        <v>0</v>
      </c>
      <c r="AI54" t="e">
        <f t="shared" si="12"/>
        <v>#DIV/0!</v>
      </c>
      <c r="AJ54" t="e">
        <f t="shared" si="13"/>
        <v>#DIV/0!</v>
      </c>
      <c r="AK54" t="e">
        <f t="shared" si="25"/>
        <v>#DIV/0!</v>
      </c>
      <c r="AL54">
        <f t="shared" si="26"/>
        <v>0</v>
      </c>
      <c r="AM54">
        <f t="shared" si="14"/>
        <v>0</v>
      </c>
      <c r="AN54">
        <f t="shared" si="24"/>
        <v>0</v>
      </c>
      <c r="AP54" t="str">
        <f t="shared" si="15"/>
        <v>-</v>
      </c>
      <c r="AQ54">
        <f t="shared" si="23"/>
        <v>16407</v>
      </c>
    </row>
    <row r="55" spans="1:43" ht="16.5" thickBot="1">
      <c r="A55" s="91">
        <f t="shared" si="17"/>
        <v>52</v>
      </c>
      <c r="B55" s="30" t="s">
        <v>534</v>
      </c>
      <c r="C55" s="291">
        <f>IF(B55=B54,C54,SUMIF('Date masura OD'!$G:$G,B55,'Date masura OD'!$R:$R))</f>
        <v>0</v>
      </c>
      <c r="D55" s="291">
        <f>IFERROR(IF(VLOOKUP(B55,'Date masura OD'!$G$76:$BF$187,52,FALSE)&lt;0,-VLOOKUP(B55,'Date masura OD'!$G$76:$BF$187,52,FALSE),0),0)</f>
        <v>0</v>
      </c>
      <c r="E55" s="291">
        <v>0</v>
      </c>
      <c r="F55" s="291">
        <v>0</v>
      </c>
      <c r="G55" s="29" t="s">
        <v>603</v>
      </c>
      <c r="H55" s="312">
        <f>IF(C55=0,0,IF(RIGHT(G55,1)="N",ROUNDUP(C55*1.5%,0),IF(LEN(RIGHT(G55,LEN(G55)-FIND("_",G55,1)))=1,SUMIF('Date masura OD'!$G:$G,G55,'Date masura OD'!$R:$R),AK55)))</f>
        <v>0</v>
      </c>
      <c r="I55" s="184">
        <f>VLOOKUP(G55,'Contorizare in SDI'!E:M,7,FALSE)</f>
        <v>0</v>
      </c>
      <c r="J55" s="88">
        <f>VLOOKUP(G55,'Contorizare in SDI'!$E:$M,$J$1-2,FALSE)</f>
        <v>0</v>
      </c>
      <c r="K55" s="88">
        <f>VLOOKUP(G55,'Contorizare in SDI'!$E:$M,$K$1-2,FALSE)</f>
        <v>0</v>
      </c>
      <c r="L55" s="29" t="s">
        <v>69</v>
      </c>
      <c r="M55" s="87">
        <v>0</v>
      </c>
      <c r="N55" s="88">
        <f>IF(COUNTIF(L55,"-")=1,0,VLOOKUP(L55,'Contorizare in SDI'!$F:$R,$N$1-3,FALSE))</f>
        <v>0</v>
      </c>
      <c r="O55" s="88">
        <f>IF(COUNTIF(L55,"-")=1,0,VLOOKUP(L55,'Contorizare in SDI'!$F:$R,$O$1-3,FALSE))</f>
        <v>0</v>
      </c>
      <c r="P55" s="88">
        <f>IF(COUNTIF(L55,"-")=1,0,VLOOKUP(L55,'Contorizare in SDI'!$F:$R,$P$1-3,FALSE))</f>
        <v>0</v>
      </c>
      <c r="Q55" s="88">
        <f t="shared" si="6"/>
        <v>0</v>
      </c>
      <c r="R55" s="88">
        <f t="shared" si="7"/>
        <v>0</v>
      </c>
      <c r="S55" s="321">
        <v>0</v>
      </c>
      <c r="T55" s="88">
        <f t="shared" si="8"/>
        <v>0</v>
      </c>
      <c r="U55" s="17" t="s">
        <v>515</v>
      </c>
      <c r="V55" s="581"/>
      <c r="W55" s="581"/>
      <c r="X55" s="581"/>
      <c r="Y55" s="583"/>
      <c r="AA55" t="str">
        <f t="shared" si="9"/>
        <v/>
      </c>
      <c r="AB55" t="str">
        <f t="shared" si="10"/>
        <v/>
      </c>
      <c r="AE55" t="str">
        <f t="shared" si="1"/>
        <v>-</v>
      </c>
      <c r="AF55">
        <f>IF(LEFT(VLOOKUP(G55,'Contorizare in SDI'!$E:$M,5,FALSE),1)="V",C55,VLOOKUP(G55,'Contorizare in SDI'!$E:$M,6,FALSE))</f>
        <v>0</v>
      </c>
      <c r="AG55">
        <f t="shared" si="2"/>
        <v>0</v>
      </c>
      <c r="AH55">
        <f t="shared" si="11"/>
        <v>0</v>
      </c>
      <c r="AI55" t="e">
        <f t="shared" si="12"/>
        <v>#DIV/0!</v>
      </c>
      <c r="AJ55" t="e">
        <f t="shared" si="13"/>
        <v>#DIV/0!</v>
      </c>
      <c r="AK55" t="e">
        <f t="shared" si="25"/>
        <v>#DIV/0!</v>
      </c>
      <c r="AL55">
        <f t="shared" si="26"/>
        <v>0</v>
      </c>
      <c r="AM55">
        <f t="shared" si="14"/>
        <v>0</v>
      </c>
      <c r="AN55">
        <f t="shared" si="24"/>
        <v>0</v>
      </c>
      <c r="AP55" t="str">
        <f t="shared" si="15"/>
        <v>-</v>
      </c>
      <c r="AQ55">
        <f t="shared" si="23"/>
        <v>16407</v>
      </c>
    </row>
    <row r="56" spans="1:43" ht="16.5" thickBot="1">
      <c r="A56" s="91">
        <f t="shared" si="17"/>
        <v>53</v>
      </c>
      <c r="B56" s="93" t="s">
        <v>534</v>
      </c>
      <c r="C56" s="291">
        <f>IF(B56=B55,C55,SUMIF('Date masura OD'!$G:$G,B56,'Date masura OD'!$R:$R))</f>
        <v>0</v>
      </c>
      <c r="D56" s="291">
        <f>IFERROR(IF(VLOOKUP(B56,'Date masura OD'!$G$76:$BF$187,52,FALSE)&lt;0,-VLOOKUP(B56,'Date masura OD'!$G$76:$BF$187,52,FALSE),0),0)</f>
        <v>0</v>
      </c>
      <c r="E56" s="291">
        <v>0</v>
      </c>
      <c r="F56" s="291">
        <v>0</v>
      </c>
      <c r="G56" s="94" t="s">
        <v>969</v>
      </c>
      <c r="H56" s="312">
        <f>IF(C56=0,0,IF(RIGHT(G56,1)="N",ROUNDUP(C56*1.5%,0),IF(LEN(RIGHT(G56,LEN(G56)-FIND("_",G56,1)))=1,SUMIF('Date masura OD'!$G:$G,G56,'Date masura OD'!$R:$R),AK56)))</f>
        <v>0</v>
      </c>
      <c r="I56" s="184">
        <f>VLOOKUP(G56,'Contorizare in SDI'!E:M,7,FALSE)</f>
        <v>0</v>
      </c>
      <c r="J56" s="88">
        <f>VLOOKUP(G56,'Contorizare in SDI'!$E:$M,$J$1-2,FALSE)</f>
        <v>0</v>
      </c>
      <c r="K56" s="88">
        <f>VLOOKUP(G56,'Contorizare in SDI'!$E:$M,$K$1-2,FALSE)</f>
        <v>0</v>
      </c>
      <c r="L56" s="94" t="s">
        <v>69</v>
      </c>
      <c r="M56" s="87">
        <v>0</v>
      </c>
      <c r="N56" s="88">
        <f>IF(COUNTIF(L56,"-")=1,0,VLOOKUP(L56,'Contorizare in SDI'!$F:$R,$N$1-3,FALSE))</f>
        <v>0</v>
      </c>
      <c r="O56" s="88">
        <f>IF(COUNTIF(L56,"-")=1,0,VLOOKUP(L56,'Contorizare in SDI'!$F:$R,$O$1-3,FALSE))</f>
        <v>0</v>
      </c>
      <c r="P56" s="88">
        <f>IF(COUNTIF(L56,"-")=1,0,VLOOKUP(L56,'Contorizare in SDI'!$F:$R,$P$1-3,FALSE))</f>
        <v>0</v>
      </c>
      <c r="Q56" s="88">
        <f t="shared" si="6"/>
        <v>0</v>
      </c>
      <c r="R56" s="88">
        <f t="shared" si="7"/>
        <v>0</v>
      </c>
      <c r="S56" s="321">
        <v>0</v>
      </c>
      <c r="T56" s="88">
        <f t="shared" si="8"/>
        <v>0</v>
      </c>
      <c r="U56" s="95" t="s">
        <v>69</v>
      </c>
      <c r="V56" s="581"/>
      <c r="W56" s="581"/>
      <c r="X56" s="581"/>
      <c r="Y56" s="583"/>
      <c r="AA56" t="str">
        <f t="shared" si="9"/>
        <v/>
      </c>
      <c r="AB56" t="str">
        <f t="shared" si="10"/>
        <v/>
      </c>
      <c r="AE56" t="str">
        <f t="shared" si="1"/>
        <v>RTIM_2</v>
      </c>
      <c r="AF56">
        <f>IF(LEFT(VLOOKUP(G56,'Contorizare in SDI'!$E:$M,5,FALSE),1)="V",C56,VLOOKUP(G56,'Contorizare in SDI'!$E:$M,6,FALSE))</f>
        <v>0</v>
      </c>
      <c r="AG56">
        <f t="shared" si="2"/>
        <v>0</v>
      </c>
      <c r="AH56">
        <f t="shared" si="11"/>
        <v>0</v>
      </c>
      <c r="AI56" t="e">
        <f t="shared" si="12"/>
        <v>#DIV/0!</v>
      </c>
      <c r="AJ56" t="e">
        <f t="shared" si="13"/>
        <v>#DIV/0!</v>
      </c>
      <c r="AK56" t="e">
        <f t="shared" si="25"/>
        <v>#DIV/0!</v>
      </c>
      <c r="AL56">
        <f t="shared" si="26"/>
        <v>0</v>
      </c>
      <c r="AM56">
        <f t="shared" si="14"/>
        <v>0</v>
      </c>
      <c r="AN56">
        <f t="shared" si="24"/>
        <v>0</v>
      </c>
      <c r="AP56" t="str">
        <f t="shared" si="15"/>
        <v>RTIM</v>
      </c>
      <c r="AQ56">
        <f t="shared" si="23"/>
        <v>16407</v>
      </c>
    </row>
    <row r="57" spans="1:43" ht="16.5" thickBot="1">
      <c r="A57" s="91">
        <f t="shared" si="17"/>
        <v>54</v>
      </c>
      <c r="B57" s="86" t="s">
        <v>535</v>
      </c>
      <c r="C57" s="291">
        <f>IF(B57=B56,C56,SUMIF('Date masura OD'!$G:$G,B57,'Date masura OD'!$R:$R))</f>
        <v>285630</v>
      </c>
      <c r="D57" s="291">
        <f>IFERROR(IF(VLOOKUP(B57,'Date masura OD'!$G$76:$BF$187,52,FALSE)&lt;0,-VLOOKUP(B57,'Date masura OD'!$G$76:$BF$187,52,FALSE),0),0)</f>
        <v>0</v>
      </c>
      <c r="E57" s="291">
        <v>0</v>
      </c>
      <c r="F57" s="291">
        <v>0</v>
      </c>
      <c r="G57" s="89" t="s">
        <v>604</v>
      </c>
      <c r="H57" s="312">
        <f>IF(C57=0,0,IF(RIGHT(G57,1)="N",ROUNDUP(C57*1.5%,0),IF(LEN(RIGHT(G57,LEN(G57)-FIND("_",G57,1)))=1,SUMIF('Date masura OD'!$G:$G,G57,'Date masura OD'!$R:$R),AK57)))</f>
        <v>127833</v>
      </c>
      <c r="I57" s="184">
        <f>VLOOKUP(G57,'Contorizare in SDI'!E:M,7,FALSE)</f>
        <v>0</v>
      </c>
      <c r="J57" s="88">
        <f>VLOOKUP(G57,'Contorizare in SDI'!$E:$M,$J$1-2,FALSE)</f>
        <v>19035</v>
      </c>
      <c r="K57" s="88">
        <f>VLOOKUP(G57,'Contorizare in SDI'!$E:$M,$K$1-2,FALSE)</f>
        <v>16</v>
      </c>
      <c r="L57" s="89" t="s">
        <v>69</v>
      </c>
      <c r="M57" s="87">
        <v>0</v>
      </c>
      <c r="N57" s="88">
        <f>IF(COUNTIF(L57,"-")=1,0,VLOOKUP(L57,'Contorizare in SDI'!$F:$R,$N$1-3,FALSE))</f>
        <v>0</v>
      </c>
      <c r="O57" s="88">
        <f>IF(COUNTIF(L57,"-")=1,0,VLOOKUP(L57,'Contorizare in SDI'!$F:$R,$O$1-3,FALSE))</f>
        <v>0</v>
      </c>
      <c r="P57" s="88">
        <f>IF(COUNTIF(L57,"-")=1,0,VLOOKUP(L57,'Contorizare in SDI'!$F:$R,$P$1-3,FALSE))</f>
        <v>0</v>
      </c>
      <c r="Q57" s="88">
        <f t="shared" si="6"/>
        <v>127833</v>
      </c>
      <c r="R57" s="88">
        <f t="shared" si="7"/>
        <v>0</v>
      </c>
      <c r="S57" s="88">
        <f>I58</f>
        <v>8083</v>
      </c>
      <c r="T57" s="88">
        <f t="shared" si="8"/>
        <v>1918</v>
      </c>
      <c r="U57" s="90" t="s">
        <v>514</v>
      </c>
      <c r="V57" s="580">
        <f>SUM(H57:H58)+SUM(N57:N58)</f>
        <v>401378</v>
      </c>
      <c r="W57" s="580">
        <f>SUM(Q57:S58)</f>
        <v>401378</v>
      </c>
      <c r="X57" s="580">
        <f>C57</f>
        <v>285630</v>
      </c>
      <c r="Y57" s="582">
        <f>SUM(H57:H58)+SUM(T57:T58)</f>
        <v>285630</v>
      </c>
      <c r="AA57" t="str">
        <f t="shared" si="9"/>
        <v>OK</v>
      </c>
      <c r="AB57" t="str">
        <f t="shared" si="10"/>
        <v>OK</v>
      </c>
      <c r="AE57" t="str">
        <f t="shared" si="1"/>
        <v>-</v>
      </c>
      <c r="AF57">
        <f>IF(LEFT(VLOOKUP(G57,'Contorizare in SDI'!$E:$M,5,FALSE),1)="V",C57,VLOOKUP(G57,'Contorizare in SDI'!$E:$M,6,FALSE))</f>
        <v>126140</v>
      </c>
      <c r="AG57">
        <f t="shared" si="2"/>
        <v>126140</v>
      </c>
      <c r="AH57">
        <f t="shared" si="11"/>
        <v>0</v>
      </c>
      <c r="AI57">
        <f t="shared" si="12"/>
        <v>127833</v>
      </c>
      <c r="AJ57">
        <f t="shared" si="13"/>
        <v>127833</v>
      </c>
      <c r="AK57">
        <f t="shared" si="25"/>
        <v>127833</v>
      </c>
      <c r="AL57">
        <f t="shared" si="26"/>
        <v>1918</v>
      </c>
      <c r="AM57">
        <f t="shared" si="14"/>
        <v>1918</v>
      </c>
      <c r="AN57">
        <f t="shared" si="24"/>
        <v>0</v>
      </c>
      <c r="AP57" t="str">
        <f t="shared" si="15"/>
        <v>-</v>
      </c>
      <c r="AQ57">
        <f t="shared" si="23"/>
        <v>0</v>
      </c>
    </row>
    <row r="58" spans="1:43" ht="16.5" thickBot="1">
      <c r="A58" s="91">
        <f t="shared" si="17"/>
        <v>55</v>
      </c>
      <c r="B58" s="30" t="s">
        <v>535</v>
      </c>
      <c r="C58" s="291">
        <f>IF(B58=B57,C57,SUMIF('Date masura OD'!$G:$G,B58,'Date masura OD'!$R:$R))</f>
        <v>285630</v>
      </c>
      <c r="D58" s="291">
        <f>IFERROR(IF(VLOOKUP(B58,'Date masura OD'!$G$76:$BF$187,52,FALSE)&lt;0,-VLOOKUP(B58,'Date masura OD'!$G$76:$BF$187,52,FALSE),0),0)</f>
        <v>0</v>
      </c>
      <c r="E58" s="291">
        <v>0</v>
      </c>
      <c r="F58" s="291">
        <v>0</v>
      </c>
      <c r="G58" s="29" t="s">
        <v>605</v>
      </c>
      <c r="H58" s="312">
        <f>IF(C58=0,0,IF(RIGHT(G58,1)="N",ROUNDUP(C58*1.5%,0),IF(LEN(RIGHT(G58,LEN(G58)-FIND("_",G58,1)))=1,SUMIF('Date masura OD'!$G:$G,G58,'Date masura OD'!$R:$R),AK58)))</f>
        <v>153512</v>
      </c>
      <c r="I58" s="184">
        <f>VLOOKUP(G58,'Contorizare in SDI'!E:M,7,FALSE)</f>
        <v>8083</v>
      </c>
      <c r="J58" s="88">
        <f>VLOOKUP(G58,'Contorizare in SDI'!$E:$M,$J$1-2,FALSE)</f>
        <v>1772</v>
      </c>
      <c r="K58" s="88">
        <f>VLOOKUP(G58,'Contorizare in SDI'!$E:$M,$K$1-2,FALSE)</f>
        <v>11090</v>
      </c>
      <c r="L58" s="29" t="s">
        <v>677</v>
      </c>
      <c r="M58" s="87">
        <v>0</v>
      </c>
      <c r="N58" s="88">
        <f>IF(COUNTIF(L58,"-")=1,0,VLOOKUP(L58,'Contorizare in SDI'!$F:$R,$N$1-3,FALSE))</f>
        <v>120033</v>
      </c>
      <c r="O58" s="88">
        <f>IF(COUNTIF(L58,"-")=1,0,VLOOKUP(L58,'Contorizare in SDI'!$F:$R,$O$1-3,FALSE))</f>
        <v>1074</v>
      </c>
      <c r="P58" s="88">
        <f>IF(COUNTIF(L58,"-")=1,0,VLOOKUP(L58,'Contorizare in SDI'!$F:$R,$P$1-3,FALSE))</f>
        <v>655</v>
      </c>
      <c r="Q58" s="88">
        <f t="shared" si="6"/>
        <v>153512</v>
      </c>
      <c r="R58" s="88">
        <f t="shared" si="7"/>
        <v>111950</v>
      </c>
      <c r="S58" s="321">
        <v>0</v>
      </c>
      <c r="T58" s="88">
        <f t="shared" si="8"/>
        <v>2367</v>
      </c>
      <c r="U58" s="17" t="s">
        <v>514</v>
      </c>
      <c r="V58" s="581"/>
      <c r="W58" s="581"/>
      <c r="X58" s="581"/>
      <c r="Y58" s="583"/>
      <c r="AA58" t="str">
        <f t="shared" si="9"/>
        <v/>
      </c>
      <c r="AB58" t="str">
        <f t="shared" si="10"/>
        <v/>
      </c>
      <c r="AE58" t="str">
        <f t="shared" si="1"/>
        <v>-</v>
      </c>
      <c r="AF58">
        <f>IF(LEFT(VLOOKUP(G58,'Contorizare in SDI'!$E:$M,5,FALSE),1)="V",C58,VLOOKUP(G58,'Contorizare in SDI'!$E:$M,6,FALSE))</f>
        <v>159993</v>
      </c>
      <c r="AG58">
        <f t="shared" si="2"/>
        <v>286133</v>
      </c>
      <c r="AH58">
        <f t="shared" si="11"/>
        <v>0</v>
      </c>
      <c r="AI58">
        <f t="shared" si="12"/>
        <v>162140</v>
      </c>
      <c r="AJ58">
        <f t="shared" si="13"/>
        <v>289973</v>
      </c>
      <c r="AK58">
        <f t="shared" si="25"/>
        <v>153512</v>
      </c>
      <c r="AL58">
        <f t="shared" si="26"/>
        <v>2367</v>
      </c>
      <c r="AM58">
        <f t="shared" si="14"/>
        <v>4285</v>
      </c>
      <c r="AN58">
        <f t="shared" si="24"/>
        <v>0</v>
      </c>
      <c r="AP58" t="str">
        <f t="shared" si="15"/>
        <v>-</v>
      </c>
      <c r="AQ58">
        <f t="shared" si="23"/>
        <v>0</v>
      </c>
    </row>
    <row r="59" spans="1:43" ht="16.5" thickBot="1">
      <c r="A59" s="91">
        <f t="shared" si="17"/>
        <v>56</v>
      </c>
      <c r="B59" s="30" t="s">
        <v>535</v>
      </c>
      <c r="C59" s="291">
        <f>IF(B59=B58,C58,SUMIF('Date masura OD'!$G:$G,B59,'Date masura OD'!$R:$R))</f>
        <v>285630</v>
      </c>
      <c r="D59" s="291">
        <f>IFERROR(IF(VLOOKUP(B59,'Date masura OD'!$G$76:$BF$187,52,FALSE)&lt;0,-VLOOKUP(B59,'Date masura OD'!$G$76:$BF$187,52,FALSE),0),0)</f>
        <v>0</v>
      </c>
      <c r="E59" s="291">
        <v>0</v>
      </c>
      <c r="F59" s="291">
        <v>0</v>
      </c>
      <c r="G59" s="29" t="s">
        <v>970</v>
      </c>
      <c r="H59" s="312">
        <f>IF(C59=0,0,IF(RIGHT(G59,1)="N",ROUNDUP(C59*1.5%,0),IF(LEN(RIGHT(G59,LEN(G59)-FIND("_",G59,1)))=1,SUMIF('Date masura OD'!$G:$G,G59,'Date masura OD'!$R:$R),AK59)))</f>
        <v>4285</v>
      </c>
      <c r="I59" s="184">
        <f>VLOOKUP(G59,'Contorizare in SDI'!E:M,7,FALSE)</f>
        <v>0</v>
      </c>
      <c r="J59" s="88">
        <f>VLOOKUP(G59,'Contorizare in SDI'!$E:$M,$J$1-2,FALSE)</f>
        <v>0</v>
      </c>
      <c r="K59" s="88">
        <f>VLOOKUP(G59,'Contorizare in SDI'!$E:$M,$K$1-2,FALSE)</f>
        <v>0</v>
      </c>
      <c r="L59" s="29" t="s">
        <v>69</v>
      </c>
      <c r="M59" s="87">
        <v>0</v>
      </c>
      <c r="N59" s="88">
        <f>IF(COUNTIF(L59,"-")=1,0,VLOOKUP(L59,'Contorizare in SDI'!$F:$R,$N$1-3,FALSE))</f>
        <v>0</v>
      </c>
      <c r="O59" s="88">
        <f>IF(COUNTIF(L59,"-")=1,0,VLOOKUP(L59,'Contorizare in SDI'!$F:$R,$O$1-3,FALSE))</f>
        <v>0</v>
      </c>
      <c r="P59" s="88">
        <f>IF(COUNTIF(L59,"-")=1,0,VLOOKUP(L59,'Contorizare in SDI'!$F:$R,$P$1-3,FALSE))</f>
        <v>0</v>
      </c>
      <c r="Q59" s="88">
        <f t="shared" si="6"/>
        <v>0</v>
      </c>
      <c r="R59" s="88">
        <f t="shared" si="7"/>
        <v>0</v>
      </c>
      <c r="S59" s="321">
        <v>0</v>
      </c>
      <c r="T59" s="88">
        <f t="shared" si="8"/>
        <v>0</v>
      </c>
      <c r="U59" s="17" t="s">
        <v>69</v>
      </c>
      <c r="V59" s="581"/>
      <c r="W59" s="581"/>
      <c r="X59" s="581"/>
      <c r="Y59" s="583"/>
      <c r="AA59" t="str">
        <f t="shared" si="9"/>
        <v/>
      </c>
      <c r="AB59" t="str">
        <f t="shared" si="10"/>
        <v/>
      </c>
      <c r="AE59" t="str">
        <f t="shared" si="1"/>
        <v>RTJD_1</v>
      </c>
      <c r="AF59">
        <f>IF(LEFT(VLOOKUP(G59,'Contorizare in SDI'!$E:$M,5,FALSE),1)="V",C59,VLOOKUP(G59,'Contorizare in SDI'!$E:$M,6,FALSE))</f>
        <v>0</v>
      </c>
      <c r="AG59">
        <f t="shared" si="2"/>
        <v>286133</v>
      </c>
      <c r="AH59">
        <f t="shared" si="11"/>
        <v>4285</v>
      </c>
      <c r="AI59">
        <f t="shared" si="12"/>
        <v>0</v>
      </c>
      <c r="AJ59">
        <f t="shared" si="13"/>
        <v>289973</v>
      </c>
      <c r="AK59">
        <f t="shared" si="25"/>
        <v>0</v>
      </c>
      <c r="AL59">
        <f t="shared" si="26"/>
        <v>0</v>
      </c>
      <c r="AM59">
        <f t="shared" si="14"/>
        <v>0</v>
      </c>
      <c r="AN59">
        <f t="shared" si="24"/>
        <v>8083</v>
      </c>
      <c r="AP59" t="str">
        <f t="shared" si="15"/>
        <v>-</v>
      </c>
      <c r="AQ59">
        <f t="shared" si="23"/>
        <v>4285</v>
      </c>
    </row>
    <row r="60" spans="1:43" ht="16.5" thickBot="1">
      <c r="A60" s="91">
        <f t="shared" si="17"/>
        <v>57</v>
      </c>
      <c r="B60" s="93" t="s">
        <v>536</v>
      </c>
      <c r="C60" s="291">
        <f>IF(B60=B59,C59,SUMIF('Date masura OD'!$G:$G,B60,'Date masura OD'!$R:$R))</f>
        <v>100</v>
      </c>
      <c r="D60" s="291">
        <f>IFERROR(IF(VLOOKUP(B60,'Date masura OD'!$G$76:$BF$187,52,FALSE)&lt;0,-VLOOKUP(B60,'Date masura OD'!$G$76:$BF$187,52,FALSE),0),0)</f>
        <v>0</v>
      </c>
      <c r="E60" s="291">
        <v>0</v>
      </c>
      <c r="F60" s="291">
        <v>0</v>
      </c>
      <c r="G60" s="109" t="s">
        <v>536</v>
      </c>
      <c r="H60" s="312">
        <f>IF(C60=0,0,IF(RIGHT(G60,1)="N",ROUNDUP(C60*1.5%,0),IF(LEN(RIGHT(G60,LEN(G60)-FIND("_",G60,1)))=1,SUMIF('Date masura OD'!$G:$G,G60,'Date masura OD'!$R:$R),AK60)))</f>
        <v>100</v>
      </c>
      <c r="I60" s="184">
        <f>VLOOKUP(G60,'Contorizare in SDI'!E:M,7,FALSE)</f>
        <v>0</v>
      </c>
      <c r="J60" s="88">
        <f>VLOOKUP(G60,'Contorizare in SDI'!$E:$M,$J$1-2,FALSE)</f>
        <v>0</v>
      </c>
      <c r="K60" s="88">
        <f>VLOOKUP(G60,'Contorizare in SDI'!$E:$M,$K$1-2,FALSE)</f>
        <v>0</v>
      </c>
      <c r="L60" s="94" t="s">
        <v>69</v>
      </c>
      <c r="M60" s="87">
        <v>0</v>
      </c>
      <c r="N60" s="88">
        <f>IF(COUNTIF(L60,"-")=1,0,VLOOKUP(L60,'Contorizare in SDI'!$F:$R,$N$1-3,FALSE))</f>
        <v>0</v>
      </c>
      <c r="O60" s="88">
        <f>IF(COUNTIF(L60,"-")=1,0,VLOOKUP(L60,'Contorizare in SDI'!$F:$R,$O$1-3,FALSE))</f>
        <v>0</v>
      </c>
      <c r="P60" s="88">
        <f>IF(COUNTIF(L60,"-")=1,0,VLOOKUP(L60,'Contorizare in SDI'!$F:$R,$P$1-3,FALSE))</f>
        <v>0</v>
      </c>
      <c r="Q60" s="88">
        <f t="shared" si="6"/>
        <v>100</v>
      </c>
      <c r="R60" s="88">
        <f>N60-I60-D60</f>
        <v>0</v>
      </c>
      <c r="S60" s="321">
        <v>0</v>
      </c>
      <c r="T60" s="88">
        <f t="shared" si="8"/>
        <v>0</v>
      </c>
      <c r="U60" s="95" t="s">
        <v>516</v>
      </c>
      <c r="V60" s="95" t="s">
        <v>69</v>
      </c>
      <c r="W60" s="95" t="s">
        <v>69</v>
      </c>
      <c r="X60" s="95" t="s">
        <v>69</v>
      </c>
      <c r="Y60" s="96" t="s">
        <v>69</v>
      </c>
      <c r="AA60" t="str">
        <f t="shared" si="9"/>
        <v>OK</v>
      </c>
      <c r="AB60" t="str">
        <f t="shared" si="10"/>
        <v>OK</v>
      </c>
      <c r="AE60" t="str">
        <f t="shared" si="1"/>
        <v>RTJD_2</v>
      </c>
      <c r="AF60">
        <f>IF(LEFT(VLOOKUP(G60,'Contorizare in SDI'!$E:$M,5,FALSE),1)="V",C60,VLOOKUP(G60,'Contorizare in SDI'!$E:$M,6,FALSE))</f>
        <v>100</v>
      </c>
      <c r="AG60">
        <f t="shared" si="2"/>
        <v>100</v>
      </c>
      <c r="AH60">
        <f t="shared" si="11"/>
        <v>0</v>
      </c>
      <c r="AI60">
        <f t="shared" si="12"/>
        <v>100</v>
      </c>
      <c r="AJ60">
        <f t="shared" si="13"/>
        <v>100</v>
      </c>
      <c r="AK60">
        <f t="shared" si="25"/>
        <v>100</v>
      </c>
      <c r="AL60">
        <f t="shared" si="26"/>
        <v>0</v>
      </c>
      <c r="AM60">
        <f t="shared" si="14"/>
        <v>0</v>
      </c>
      <c r="AN60">
        <f t="shared" si="24"/>
        <v>0</v>
      </c>
      <c r="AP60" t="str">
        <f t="shared" si="15"/>
        <v>RTJD</v>
      </c>
      <c r="AQ60">
        <f t="shared" si="23"/>
        <v>4285</v>
      </c>
    </row>
    <row r="61" spans="1:43" ht="16.5" thickBot="1">
      <c r="A61" s="91">
        <f t="shared" si="17"/>
        <v>58</v>
      </c>
      <c r="B61" s="86" t="s">
        <v>537</v>
      </c>
      <c r="C61" s="291">
        <f>IF(B61=B60,C60,SUMIF('Date masura OD'!$G:$G,B61,'Date masura OD'!$R:$R))</f>
        <v>192000</v>
      </c>
      <c r="D61" s="291">
        <f>IFERROR(IF(VLOOKUP(B61,'Date masura OD'!$G$76:$BF$187,52,FALSE)&lt;0,-VLOOKUP(B61,'Date masura OD'!$G$76:$BF$187,52,FALSE),0),0)</f>
        <v>0</v>
      </c>
      <c r="E61" s="291">
        <v>0</v>
      </c>
      <c r="F61" s="291">
        <v>0</v>
      </c>
      <c r="G61" s="89" t="s">
        <v>606</v>
      </c>
      <c r="H61" s="312">
        <f>IF(C61=0,0,IF(RIGHT(G61,1)="N",ROUNDUP(C61*1.5%,0),IF(LEN(RIGHT(G61,LEN(G61)-FIND("_",G61,1)))=1,SUMIF('Date masura OD'!$G:$G,G61,'Date masura OD'!$R:$R),AK61)))</f>
        <v>110011</v>
      </c>
      <c r="I61" s="184">
        <f>VLOOKUP(G61,'Contorizare in SDI'!E:M,7,FALSE)</f>
        <v>1424</v>
      </c>
      <c r="J61" s="88">
        <f>VLOOKUP(G61,'Contorizare in SDI'!$E:$M,$J$1-2,FALSE)</f>
        <v>19054</v>
      </c>
      <c r="K61" s="88">
        <f>VLOOKUP(G61,'Contorizare in SDI'!$E:$M,$K$1-2,FALSE)</f>
        <v>160</v>
      </c>
      <c r="L61" s="89" t="s">
        <v>864</v>
      </c>
      <c r="M61" s="87">
        <v>0</v>
      </c>
      <c r="N61" s="88">
        <f>IF(COUNTIF(L61,"-")=1,0,VLOOKUP(L61,'Contorizare in SDI'!$F:$R,$N$1-3,FALSE))</f>
        <v>68875</v>
      </c>
      <c r="O61" s="88">
        <f>IF(COUNTIF(L61,"-")=1,0,VLOOKUP(L61,'Contorizare in SDI'!$F:$R,$O$1-3,FALSE))</f>
        <v>818</v>
      </c>
      <c r="P61" s="88">
        <f>IF(COUNTIF(L61,"-")=1,0,VLOOKUP(L61,'Contorizare in SDI'!$F:$R,$P$1-3,FALSE))</f>
        <v>346</v>
      </c>
      <c r="Q61" s="88">
        <f t="shared" si="6"/>
        <v>110011</v>
      </c>
      <c r="R61" s="185">
        <f>N61+N62-I61</f>
        <v>81458</v>
      </c>
      <c r="S61" s="323">
        <f>IF(D61&gt;0,ROUNDUP((SUM(I61:I65)-D61)/2,0),I63)</f>
        <v>2318</v>
      </c>
      <c r="T61" s="88">
        <f t="shared" si="8"/>
        <v>1651</v>
      </c>
      <c r="U61" s="90" t="s">
        <v>514</v>
      </c>
      <c r="V61" s="592">
        <f>SUM(H61:H64)+SUM(N61:N64)</f>
        <v>331022</v>
      </c>
      <c r="W61" s="580">
        <f>SUM(Q61:S64)</f>
        <v>331022</v>
      </c>
      <c r="X61" s="580">
        <f>C61</f>
        <v>192000</v>
      </c>
      <c r="Y61" s="582">
        <f>SUM(H61:H64)+SUM(T61:T64)</f>
        <v>192000</v>
      </c>
      <c r="AA61" t="str">
        <f>IF(B60&lt;&gt;B61,IF(V61=W61,"OK","Not OK"),"")</f>
        <v>OK</v>
      </c>
      <c r="AB61" t="str">
        <f t="shared" si="10"/>
        <v>OK</v>
      </c>
      <c r="AE61" t="str">
        <f t="shared" si="1"/>
        <v>-</v>
      </c>
      <c r="AF61">
        <f>IF(LEFT(VLOOKUP(G61,'Contorizare in SDI'!$E:$M,5,FALSE),1)="V",C61,VLOOKUP(G61,'Contorizare in SDI'!$E:$M,6,FALSE))</f>
        <v>98533</v>
      </c>
      <c r="AG61">
        <f t="shared" si="2"/>
        <v>98533</v>
      </c>
      <c r="AH61">
        <f t="shared" si="11"/>
        <v>0</v>
      </c>
      <c r="AI61">
        <f t="shared" si="12"/>
        <v>110011</v>
      </c>
      <c r="AJ61">
        <f t="shared" si="13"/>
        <v>110011</v>
      </c>
      <c r="AK61">
        <f t="shared" si="25"/>
        <v>110011</v>
      </c>
      <c r="AL61">
        <f t="shared" si="26"/>
        <v>1651</v>
      </c>
      <c r="AM61">
        <f t="shared" si="14"/>
        <v>1651</v>
      </c>
      <c r="AN61">
        <f t="shared" si="24"/>
        <v>0</v>
      </c>
      <c r="AP61" t="str">
        <f t="shared" si="15"/>
        <v>-</v>
      </c>
      <c r="AQ61">
        <f t="shared" si="23"/>
        <v>0</v>
      </c>
    </row>
    <row r="62" spans="1:43" ht="16.5" thickBot="1">
      <c r="A62" s="91">
        <f t="shared" si="17"/>
        <v>59</v>
      </c>
      <c r="B62" s="30" t="s">
        <v>537</v>
      </c>
      <c r="C62" s="291">
        <f>IF(B62=B61,C61,SUMIF('Date masura OD'!$G:$G,B62,'Date masura OD'!$R:$R))</f>
        <v>192000</v>
      </c>
      <c r="D62" s="291">
        <f>IFERROR(IF(VLOOKUP(B62,'Date masura OD'!$G$76:$BF$187,52,FALSE)&lt;0,-VLOOKUP(B62,'Date masura OD'!$G$76:$BF$187,52,FALSE),0),0)</f>
        <v>0</v>
      </c>
      <c r="E62" s="291">
        <v>0</v>
      </c>
      <c r="F62" s="291">
        <v>0</v>
      </c>
      <c r="G62" s="29" t="s">
        <v>69</v>
      </c>
      <c r="H62" s="316">
        <v>0</v>
      </c>
      <c r="I62" s="317">
        <v>0</v>
      </c>
      <c r="J62" s="316">
        <v>0</v>
      </c>
      <c r="K62" s="317">
        <v>0</v>
      </c>
      <c r="L62" s="29" t="s">
        <v>863</v>
      </c>
      <c r="M62" s="87">
        <v>0</v>
      </c>
      <c r="N62" s="88">
        <f>IF(COUNTIF(L62,"-")=1,0,VLOOKUP(L62,'Contorizare in SDI'!$F:$R,$N$1-3,FALSE))</f>
        <v>14007</v>
      </c>
      <c r="O62" s="88">
        <f>IF(COUNTIF(L62,"-")=1,0,VLOOKUP(L62,'Contorizare in SDI'!$F:$R,$O$1-3,FALSE))</f>
        <v>333</v>
      </c>
      <c r="P62" s="88">
        <f>IF(COUNTIF(L62,"-")=1,0,VLOOKUP(L62,'Contorizare in SDI'!$F:$R,$P$1-3,FALSE))</f>
        <v>97</v>
      </c>
      <c r="Q62" s="88">
        <f t="shared" si="6"/>
        <v>0</v>
      </c>
      <c r="R62" s="185">
        <v>0</v>
      </c>
      <c r="S62" s="321">
        <v>0</v>
      </c>
      <c r="T62" s="88">
        <f t="shared" si="8"/>
        <v>0</v>
      </c>
      <c r="U62" s="17" t="s">
        <v>514</v>
      </c>
      <c r="V62" s="581"/>
      <c r="W62" s="581"/>
      <c r="X62" s="581"/>
      <c r="Y62" s="583"/>
      <c r="AA62" t="str">
        <f t="shared" si="9"/>
        <v/>
      </c>
      <c r="AB62" t="str">
        <f t="shared" si="10"/>
        <v/>
      </c>
      <c r="AE62" s="255" t="str">
        <f>G62</f>
        <v>-</v>
      </c>
      <c r="AF62" s="255">
        <v>0</v>
      </c>
      <c r="AG62">
        <f t="shared" si="2"/>
        <v>98533</v>
      </c>
      <c r="AH62">
        <f t="shared" si="11"/>
        <v>0</v>
      </c>
      <c r="AI62">
        <f t="shared" ref="AI62:AI93" si="27">ROUNDUP(AF62/(VLOOKUP(B62,$AE:$AH,3,FALSE)-VLOOKUP(B62,$AE:$AH,4,FALSE))*C62,0)</f>
        <v>0</v>
      </c>
      <c r="AJ62">
        <f t="shared" si="13"/>
        <v>110011</v>
      </c>
      <c r="AK62">
        <f t="shared" si="25"/>
        <v>0</v>
      </c>
      <c r="AL62">
        <f t="shared" si="26"/>
        <v>0</v>
      </c>
      <c r="AM62">
        <f t="shared" si="14"/>
        <v>1651</v>
      </c>
      <c r="AN62">
        <f t="shared" si="24"/>
        <v>0</v>
      </c>
      <c r="AP62" t="str">
        <f t="shared" si="15"/>
        <v>-</v>
      </c>
      <c r="AQ62">
        <f t="shared" si="23"/>
        <v>0</v>
      </c>
    </row>
    <row r="63" spans="1:43" ht="16.5" thickBot="1">
      <c r="A63" s="91">
        <f t="shared" si="17"/>
        <v>60</v>
      </c>
      <c r="B63" s="30" t="s">
        <v>537</v>
      </c>
      <c r="C63" s="291">
        <f>IF(B63=B62,C62,SUMIF('Date masura OD'!$G:$G,B63,'Date masura OD'!$R:$R))</f>
        <v>192000</v>
      </c>
      <c r="D63" s="291">
        <f>IFERROR(IF(VLOOKUP(B63,'Date masura OD'!$G$76:$BF$187,52,FALSE)&lt;0,-VLOOKUP(B63,'Date masura OD'!$G$76:$BF$187,52,FALSE),0),0)</f>
        <v>0</v>
      </c>
      <c r="E63" s="291">
        <v>0</v>
      </c>
      <c r="F63" s="291">
        <v>0</v>
      </c>
      <c r="G63" s="29" t="s">
        <v>861</v>
      </c>
      <c r="H63" s="312">
        <f>IF(C63=0,0,IF(RIGHT(G63,1)="N",ROUNDUP(C63*1.5%,0),IF(LEN(RIGHT(G63,LEN(G63)-FIND("_",G63,1)))=1,SUMIF('Date masura OD'!$G:$G,G63,'Date masura OD'!$R:$R),AK63)))</f>
        <v>61395</v>
      </c>
      <c r="I63" s="184">
        <f>VLOOKUP(G63,'Contorizare in SDI'!E:M,7,FALSE)</f>
        <v>2318</v>
      </c>
      <c r="J63" s="88">
        <f>VLOOKUP(G63,'Contorizare in SDI'!$E:$M,$J$1-2,FALSE)</f>
        <v>3804</v>
      </c>
      <c r="K63" s="88">
        <f>VLOOKUP(G63,'Contorizare in SDI'!$E:$M,$K$1-2,FALSE)</f>
        <v>8288</v>
      </c>
      <c r="L63" s="29" t="s">
        <v>678</v>
      </c>
      <c r="M63" s="87">
        <v>0</v>
      </c>
      <c r="N63" s="88">
        <f>IF(COUNTIF(L63,"-")=1,0,VLOOKUP(L63,'Contorizare in SDI'!$F:$R,$N$1-3,FALSE))</f>
        <v>59020</v>
      </c>
      <c r="O63" s="88">
        <f>IF(COUNTIF(L63,"-")=1,0,VLOOKUP(L63,'Contorizare in SDI'!$F:$R,$O$1-3,FALSE))</f>
        <v>745</v>
      </c>
      <c r="P63" s="88">
        <f>IF(COUNTIF(L63,"-")=1,0,VLOOKUP(L63,'Contorizare in SDI'!$F:$R,$P$1-3,FALSE))</f>
        <v>293</v>
      </c>
      <c r="Q63" s="88">
        <f t="shared" si="6"/>
        <v>61395</v>
      </c>
      <c r="R63" s="88">
        <f t="shared" si="7"/>
        <v>56702</v>
      </c>
      <c r="S63" s="323">
        <f>IF(D61&gt;0,SUM(I61:I65)-S61-D61,I61)</f>
        <v>1424</v>
      </c>
      <c r="T63" s="88">
        <f t="shared" si="8"/>
        <v>921</v>
      </c>
      <c r="U63" s="17" t="s">
        <v>514</v>
      </c>
      <c r="V63" s="581"/>
      <c r="W63" s="581"/>
      <c r="X63" s="581"/>
      <c r="Y63" s="583"/>
      <c r="AA63" t="str">
        <f t="shared" si="9"/>
        <v/>
      </c>
      <c r="AB63" t="str">
        <f t="shared" si="10"/>
        <v/>
      </c>
      <c r="AE63" t="str">
        <f t="shared" si="1"/>
        <v>-</v>
      </c>
      <c r="AF63">
        <f>IF(LEFT(VLOOKUP(G63,'Contorizare in SDI'!$E:$M,5,FALSE),1)="V",C63,VLOOKUP(G63,'Contorizare in SDI'!$E:$M,6,FALSE))</f>
        <v>54989</v>
      </c>
      <c r="AG63">
        <f t="shared" si="2"/>
        <v>153522</v>
      </c>
      <c r="AH63">
        <f t="shared" si="11"/>
        <v>0</v>
      </c>
      <c r="AI63">
        <f t="shared" si="27"/>
        <v>61395</v>
      </c>
      <c r="AJ63">
        <f t="shared" si="13"/>
        <v>171406</v>
      </c>
      <c r="AK63">
        <f t="shared" si="25"/>
        <v>61395</v>
      </c>
      <c r="AL63">
        <f t="shared" si="26"/>
        <v>921</v>
      </c>
      <c r="AM63">
        <f t="shared" si="14"/>
        <v>2572</v>
      </c>
      <c r="AN63">
        <f t="shared" si="24"/>
        <v>0</v>
      </c>
      <c r="AP63" t="str">
        <f t="shared" si="15"/>
        <v>-</v>
      </c>
      <c r="AQ63">
        <f t="shared" si="23"/>
        <v>0</v>
      </c>
    </row>
    <row r="64" spans="1:43" ht="16.5" thickBot="1">
      <c r="A64" s="91">
        <f t="shared" si="17"/>
        <v>61</v>
      </c>
      <c r="B64" s="30" t="s">
        <v>537</v>
      </c>
      <c r="C64" s="291">
        <f>IF(B64=B63,C63,SUMIF('Date masura OD'!$G:$G,B64,'Date masura OD'!$R:$R))</f>
        <v>192000</v>
      </c>
      <c r="D64" s="291">
        <f>IFERROR(IF(VLOOKUP(B64,'Date masura OD'!$G$76:$BF$187,52,FALSE)&lt;0,-VLOOKUP(B64,'Date masura OD'!$G$76:$BF$187,52,FALSE),0),0)</f>
        <v>0</v>
      </c>
      <c r="E64" s="291">
        <v>0</v>
      </c>
      <c r="F64" s="291">
        <v>0</v>
      </c>
      <c r="G64" s="29" t="s">
        <v>607</v>
      </c>
      <c r="H64" s="312">
        <f>IF(C64=0,0,IF(RIGHT(G64,1)="N",ROUNDUP(C64*1.5%,0),IF(LEN(RIGHT(G64,LEN(G64)-FIND("_",G64,1)))=1,SUMIF('Date masura OD'!$G:$G,G64,'Date masura OD'!$R:$R),AK64)))</f>
        <v>17714</v>
      </c>
      <c r="I64" s="184">
        <f>VLOOKUP(G64,'Contorizare in SDI'!E:M,7,FALSE)</f>
        <v>0</v>
      </c>
      <c r="J64" s="88">
        <f>VLOOKUP(G64,'Contorizare in SDI'!$E:$M,$J$1-2,FALSE)</f>
        <v>208</v>
      </c>
      <c r="K64" s="88">
        <f>VLOOKUP(G64,'Contorizare in SDI'!$E:$M,$K$1-2,FALSE)</f>
        <v>2556</v>
      </c>
      <c r="L64" s="29" t="s">
        <v>69</v>
      </c>
      <c r="M64" s="87">
        <v>0</v>
      </c>
      <c r="N64" s="88">
        <f>IF(COUNTIF(L64,"-")=1,0,VLOOKUP(L64,'Contorizare in SDI'!$F:$R,$N$1-3,FALSE))</f>
        <v>0</v>
      </c>
      <c r="O64" s="88">
        <f>IF(COUNTIF(L64,"-")=1,0,VLOOKUP(L64,'Contorizare in SDI'!$F:$R,$O$1-3,FALSE))</f>
        <v>0</v>
      </c>
      <c r="P64" s="88">
        <f>IF(COUNTIF(L64,"-")=1,0,VLOOKUP(L64,'Contorizare in SDI'!$F:$R,$P$1-3,FALSE))</f>
        <v>0</v>
      </c>
      <c r="Q64" s="88">
        <f t="shared" si="6"/>
        <v>17714</v>
      </c>
      <c r="R64" s="88">
        <f t="shared" si="7"/>
        <v>0</v>
      </c>
      <c r="S64" s="321">
        <v>0</v>
      </c>
      <c r="T64" s="88">
        <f t="shared" si="8"/>
        <v>308</v>
      </c>
      <c r="U64" s="17" t="s">
        <v>514</v>
      </c>
      <c r="V64" s="581"/>
      <c r="W64" s="581"/>
      <c r="X64" s="581"/>
      <c r="Y64" s="583"/>
      <c r="AA64" t="str">
        <f t="shared" si="9"/>
        <v/>
      </c>
      <c r="AB64" t="str">
        <f t="shared" si="10"/>
        <v/>
      </c>
      <c r="AE64" t="str">
        <f t="shared" si="1"/>
        <v>-</v>
      </c>
      <c r="AF64">
        <f>IF(LEFT(VLOOKUP(G64,'Contorizare in SDI'!$E:$M,5,FALSE),1)="V",C64,VLOOKUP(G64,'Contorizare in SDI'!$E:$M,6,FALSE))</f>
        <v>21326</v>
      </c>
      <c r="AG64">
        <f t="shared" si="2"/>
        <v>174848</v>
      </c>
      <c r="AH64">
        <f t="shared" si="11"/>
        <v>0</v>
      </c>
      <c r="AI64">
        <f t="shared" si="27"/>
        <v>23811</v>
      </c>
      <c r="AJ64">
        <f t="shared" si="13"/>
        <v>195217</v>
      </c>
      <c r="AK64">
        <f t="shared" si="25"/>
        <v>17714</v>
      </c>
      <c r="AL64" s="255">
        <f>IFERROR(IF(((COUNTIF($B:$B,B64)-2)-(IF(RIGHT(G64,1)="N",COUNTIF($B:$B,B64),_xlfn.NUMBERVALUE(RIGHT(G64,1)))))&gt;0,ROUNDUP(H64*1.5%,0),IF(((COUNTIF($B:$B,B64)-2)-(IF(RIGHT(G64,1)="N",COUNTIF($B:$B,B64),_xlfn.NUMBERVALUE(RIGHT(G64,1)))))=0,VLOOKUP(B64,$AE:$AK,4,FALSE)-AM63,0)),0)</f>
        <v>308</v>
      </c>
      <c r="AM64">
        <f t="shared" si="14"/>
        <v>2880</v>
      </c>
      <c r="AN64">
        <f t="shared" si="24"/>
        <v>0</v>
      </c>
      <c r="AP64" t="str">
        <f t="shared" si="15"/>
        <v>-</v>
      </c>
      <c r="AQ64">
        <f t="shared" si="23"/>
        <v>0</v>
      </c>
    </row>
    <row r="65" spans="1:43" ht="16.5" thickBot="1">
      <c r="A65" s="91">
        <f t="shared" si="17"/>
        <v>62</v>
      </c>
      <c r="B65" s="93" t="s">
        <v>537</v>
      </c>
      <c r="C65" s="291">
        <f>IF(B65=B64,C64,SUMIF('Date masura OD'!$G:$G,B65,'Date masura OD'!$R:$R))</f>
        <v>192000</v>
      </c>
      <c r="D65" s="291">
        <f>IFERROR(IF(VLOOKUP(B65,'Date masura OD'!$G$76:$BF$187,52,FALSE)&lt;0,-VLOOKUP(B65,'Date masura OD'!$G$76:$BF$187,52,FALSE),0),0)</f>
        <v>0</v>
      </c>
      <c r="E65" s="291">
        <v>0</v>
      </c>
      <c r="F65" s="291">
        <v>0</v>
      </c>
      <c r="G65" s="94" t="s">
        <v>971</v>
      </c>
      <c r="H65" s="312">
        <f>IF(C65=0,0,IF(RIGHT(G65,1)="N",ROUNDUP(C65*1.5%,0),IF(LEN(RIGHT(G65,LEN(G65)-FIND("_",G65,1)))=1,SUMIF('Date masura OD'!$G:$G,G65,'Date masura OD'!$R:$R),AK65)))</f>
        <v>2880</v>
      </c>
      <c r="I65" s="184">
        <f>VLOOKUP(G65,'Contorizare in SDI'!E:M,7,FALSE)</f>
        <v>0</v>
      </c>
      <c r="J65" s="88">
        <f>VLOOKUP(G65,'Contorizare in SDI'!$E:$M,$J$1-2,FALSE)</f>
        <v>0</v>
      </c>
      <c r="K65" s="88">
        <f>VLOOKUP(G65,'Contorizare in SDI'!$E:$M,$K$1-2,FALSE)</f>
        <v>0</v>
      </c>
      <c r="L65" s="94" t="s">
        <v>69</v>
      </c>
      <c r="M65" s="87">
        <v>0</v>
      </c>
      <c r="N65" s="88">
        <f>IF(COUNTIF(L65,"-")=1,0,VLOOKUP(L65,'Contorizare in SDI'!$F:$R,$N$1-3,FALSE))</f>
        <v>0</v>
      </c>
      <c r="O65" s="88">
        <f>IF(COUNTIF(L65,"-")=1,0,VLOOKUP(L65,'Contorizare in SDI'!$F:$R,$O$1-3,FALSE))</f>
        <v>0</v>
      </c>
      <c r="P65" s="88">
        <f>IF(COUNTIF(L65,"-")=1,0,VLOOKUP(L65,'Contorizare in SDI'!$F:$R,$P$1-3,FALSE))</f>
        <v>0</v>
      </c>
      <c r="Q65" s="88">
        <f t="shared" si="6"/>
        <v>0</v>
      </c>
      <c r="R65" s="88">
        <f t="shared" si="7"/>
        <v>0</v>
      </c>
      <c r="S65" s="321">
        <v>0</v>
      </c>
      <c r="T65" s="88">
        <f t="shared" si="8"/>
        <v>0</v>
      </c>
      <c r="U65" s="95" t="s">
        <v>69</v>
      </c>
      <c r="V65" s="589"/>
      <c r="W65" s="589"/>
      <c r="X65" s="589"/>
      <c r="Y65" s="591"/>
      <c r="AA65" t="str">
        <f t="shared" si="9"/>
        <v/>
      </c>
      <c r="AB65" t="str">
        <f t="shared" si="10"/>
        <v/>
      </c>
      <c r="AE65" t="str">
        <f t="shared" si="1"/>
        <v>RVUL_1</v>
      </c>
      <c r="AF65">
        <f>IF(LEFT(VLOOKUP(G65,'Contorizare in SDI'!$E:$M,5,FALSE),1)="V",C65,VLOOKUP(G65,'Contorizare in SDI'!$E:$M,6,FALSE))</f>
        <v>0</v>
      </c>
      <c r="AG65">
        <f t="shared" si="2"/>
        <v>174848</v>
      </c>
      <c r="AH65">
        <f t="shared" si="11"/>
        <v>2880</v>
      </c>
      <c r="AI65">
        <f t="shared" si="27"/>
        <v>0</v>
      </c>
      <c r="AJ65">
        <f t="shared" si="13"/>
        <v>195217</v>
      </c>
      <c r="AK65">
        <f t="shared" si="25"/>
        <v>0</v>
      </c>
      <c r="AL65">
        <f t="shared" ref="AL65:AL96" si="28">IFERROR(IF(((COUNTIF($B:$B,B65)-1)-(IF(RIGHT(G65,1)="N",COUNTIF($B:$B,B65),_xlfn.NUMBERVALUE(RIGHT(G65,1)))))&gt;0,ROUNDUP(H65*1.5%,0),IF(((COUNTIF($B:$B,B65)-1)-(IF(RIGHT(G65,1)="N",COUNTIF($B:$B,B65),_xlfn.NUMBERVALUE(RIGHT(G65,1)))))=0,VLOOKUP(B65,$AE:$AK,4,FALSE)-AM64,0)),0)</f>
        <v>0</v>
      </c>
      <c r="AM65">
        <f t="shared" si="14"/>
        <v>0</v>
      </c>
      <c r="AN65">
        <f t="shared" si="24"/>
        <v>3742</v>
      </c>
      <c r="AP65" t="str">
        <f t="shared" si="15"/>
        <v>RVUL</v>
      </c>
      <c r="AQ65">
        <f t="shared" si="23"/>
        <v>2880</v>
      </c>
    </row>
    <row r="66" spans="1:43" ht="16.5" thickBot="1">
      <c r="A66" s="91">
        <f t="shared" si="17"/>
        <v>63</v>
      </c>
      <c r="B66" s="86" t="s">
        <v>538</v>
      </c>
      <c r="C66" s="291">
        <f>IF(B66=B65,C65,SUMIF('Date masura OD'!$G:$G,B66,'Date masura OD'!$R:$R))</f>
        <v>883760</v>
      </c>
      <c r="D66" s="291">
        <f>IFERROR(IF(VLOOKUP(B66,'Date masura OD'!$G$76:$BF$187,52,FALSE)&lt;0,-VLOOKUP(B66,'Date masura OD'!$G$76:$BF$187,52,FALSE),0),0)</f>
        <v>0</v>
      </c>
      <c r="E66" s="291">
        <v>0</v>
      </c>
      <c r="F66" s="291">
        <v>0</v>
      </c>
      <c r="G66" s="89" t="s">
        <v>608</v>
      </c>
      <c r="H66" s="312">
        <f>IF(C66=0,0,IF(RIGHT(G66,1)="N",ROUNDUP(C66*1.5%,0),IF(LEN(RIGHT(G66,LEN(G66)-FIND("_",G66,1)))=1,SUMIF('Date masura OD'!$G:$G,G66,'Date masura OD'!$R:$R),AK66)))</f>
        <v>109720</v>
      </c>
      <c r="I66" s="184">
        <f>VLOOKUP(G66,'Contorizare in SDI'!E:M,7,FALSE)</f>
        <v>0</v>
      </c>
      <c r="J66" s="88">
        <f>VLOOKUP(G66,'Contorizare in SDI'!$E:$M,$J$1-2,FALSE)</f>
        <v>15321</v>
      </c>
      <c r="K66" s="88">
        <f>VLOOKUP(G66,'Contorizare in SDI'!$E:$M,$K$1-2,FALSE)</f>
        <v>1727</v>
      </c>
      <c r="L66" s="89" t="s">
        <v>69</v>
      </c>
      <c r="M66" s="87">
        <v>0</v>
      </c>
      <c r="N66" s="88">
        <f>IF(COUNTIF(L66,"-")=1,0,VLOOKUP(L66,'Contorizare in SDI'!$F:$R,$N$1-3,FALSE))</f>
        <v>0</v>
      </c>
      <c r="O66" s="88">
        <f>IF(COUNTIF(L66,"-")=1,0,VLOOKUP(L66,'Contorizare in SDI'!$F:$R,$O$1-3,FALSE))</f>
        <v>0</v>
      </c>
      <c r="P66" s="88">
        <f>IF(COUNTIF(L66,"-")=1,0,VLOOKUP(L66,'Contorizare in SDI'!$F:$R,$P$1-3,FALSE))</f>
        <v>0</v>
      </c>
      <c r="Q66" s="88">
        <f t="shared" si="6"/>
        <v>109720</v>
      </c>
      <c r="R66" s="88">
        <f t="shared" si="7"/>
        <v>0</v>
      </c>
      <c r="S66" s="88">
        <f>I67</f>
        <v>0</v>
      </c>
      <c r="T66" s="88">
        <f t="shared" si="8"/>
        <v>1646</v>
      </c>
      <c r="U66" s="90" t="s">
        <v>514</v>
      </c>
      <c r="V66" s="580">
        <f>SUM(H66:H70)+SUM(N66:N70)</f>
        <v>914606</v>
      </c>
      <c r="W66" s="580">
        <f>SUM(Q66:S70)</f>
        <v>914606</v>
      </c>
      <c r="X66" s="580">
        <f>C66</f>
        <v>883760</v>
      </c>
      <c r="Y66" s="582">
        <f>SUM(H66:H70)+SUM(T66:T70)</f>
        <v>883760</v>
      </c>
      <c r="AA66" t="str">
        <f t="shared" si="9"/>
        <v>OK</v>
      </c>
      <c r="AB66" t="str">
        <f t="shared" si="10"/>
        <v>OK</v>
      </c>
      <c r="AE66" t="str">
        <f t="shared" si="1"/>
        <v>-</v>
      </c>
      <c r="AF66">
        <f>IF(LEFT(VLOOKUP(G66,'Contorizare in SDI'!$E:$M,5,FALSE),1)="V",C66,VLOOKUP(G66,'Contorizare in SDI'!$E:$M,6,FALSE))</f>
        <v>306036</v>
      </c>
      <c r="AG66">
        <f t="shared" si="2"/>
        <v>306036</v>
      </c>
      <c r="AH66">
        <f t="shared" si="11"/>
        <v>0</v>
      </c>
      <c r="AI66">
        <f t="shared" si="27"/>
        <v>109720</v>
      </c>
      <c r="AJ66">
        <f t="shared" si="13"/>
        <v>109720</v>
      </c>
      <c r="AK66">
        <f t="shared" si="25"/>
        <v>109720</v>
      </c>
      <c r="AL66">
        <f t="shared" si="28"/>
        <v>1646</v>
      </c>
      <c r="AM66">
        <f t="shared" si="14"/>
        <v>1646</v>
      </c>
      <c r="AN66">
        <f t="shared" si="24"/>
        <v>0</v>
      </c>
      <c r="AP66" t="str">
        <f t="shared" si="15"/>
        <v>-</v>
      </c>
      <c r="AQ66">
        <f t="shared" si="23"/>
        <v>0</v>
      </c>
    </row>
    <row r="67" spans="1:43" ht="16.5" thickBot="1">
      <c r="A67" s="91">
        <f t="shared" si="17"/>
        <v>64</v>
      </c>
      <c r="B67" s="30" t="s">
        <v>538</v>
      </c>
      <c r="C67" s="291">
        <f>IF(B67=B66,C66,SUMIF('Date masura OD'!$G:$G,B67,'Date masura OD'!$R:$R))</f>
        <v>883760</v>
      </c>
      <c r="D67" s="291">
        <f>IFERROR(IF(VLOOKUP(B67,'Date masura OD'!$G$76:$BF$187,52,FALSE)&lt;0,-VLOOKUP(B67,'Date masura OD'!$G$76:$BF$187,52,FALSE),0),0)</f>
        <v>0</v>
      </c>
      <c r="E67" s="291">
        <v>0</v>
      </c>
      <c r="F67" s="291">
        <v>0</v>
      </c>
      <c r="G67" s="29" t="s">
        <v>609</v>
      </c>
      <c r="H67" s="312">
        <f>IF(C67=0,0,IF(RIGHT(G67,1)="N",ROUNDUP(C67*1.5%,0),IF(LEN(RIGHT(G67,LEN(G67)-FIND("_",G67,1)))=1,SUMIF('Date masura OD'!$G:$G,G67,'Date masura OD'!$R:$R),AK67)))</f>
        <v>86239</v>
      </c>
      <c r="I67" s="184">
        <f>VLOOKUP(G67,'Contorizare in SDI'!E:M,7,FALSE)</f>
        <v>0</v>
      </c>
      <c r="J67" s="88">
        <f>VLOOKUP(G67,'Contorizare in SDI'!$E:$M,$J$1-2,FALSE)</f>
        <v>11335</v>
      </c>
      <c r="K67" s="88">
        <f>VLOOKUP(G67,'Contorizare in SDI'!$E:$M,$K$1-2,FALSE)</f>
        <v>3253</v>
      </c>
      <c r="L67" s="29" t="s">
        <v>679</v>
      </c>
      <c r="M67" s="87">
        <v>0</v>
      </c>
      <c r="N67" s="88">
        <f>IF(COUNTIF(L67,"-")=1,0,VLOOKUP(L67,'Contorizare in SDI'!$F:$R,$N$1-3,FALSE))</f>
        <v>44103</v>
      </c>
      <c r="O67" s="88">
        <f>IF(COUNTIF(L67,"-")=1,0,VLOOKUP(L67,'Contorizare in SDI'!$F:$R,$O$1-3,FALSE))</f>
        <v>479</v>
      </c>
      <c r="P67" s="88">
        <f>IF(COUNTIF(L67,"-")=1,0,VLOOKUP(L67,'Contorizare in SDI'!$F:$R,$P$1-3,FALSE))</f>
        <v>3409</v>
      </c>
      <c r="Q67" s="88">
        <f t="shared" si="6"/>
        <v>86239</v>
      </c>
      <c r="R67" s="88">
        <f t="shared" si="7"/>
        <v>44103</v>
      </c>
      <c r="S67" s="321">
        <v>0</v>
      </c>
      <c r="T67" s="88">
        <f t="shared" si="8"/>
        <v>1294</v>
      </c>
      <c r="U67" s="17" t="s">
        <v>514</v>
      </c>
      <c r="V67" s="581"/>
      <c r="W67" s="581"/>
      <c r="X67" s="581"/>
      <c r="Y67" s="583"/>
      <c r="AA67" t="str">
        <f t="shared" si="9"/>
        <v/>
      </c>
      <c r="AB67" t="str">
        <f t="shared" si="10"/>
        <v/>
      </c>
      <c r="AD67" s="72"/>
      <c r="AE67" t="str">
        <f t="shared" si="1"/>
        <v>-</v>
      </c>
      <c r="AF67">
        <f>IF(LEFT(VLOOKUP(G67,'Contorizare in SDI'!$E:$M,5,FALSE),1)="V",C67,VLOOKUP(G67,'Contorizare in SDI'!$E:$M,6,FALSE))</f>
        <v>240541</v>
      </c>
      <c r="AG67">
        <f t="shared" si="2"/>
        <v>546577</v>
      </c>
      <c r="AH67">
        <f t="shared" si="11"/>
        <v>0</v>
      </c>
      <c r="AI67">
        <f t="shared" si="27"/>
        <v>86239</v>
      </c>
      <c r="AJ67">
        <f t="shared" si="13"/>
        <v>195959</v>
      </c>
      <c r="AK67">
        <f t="shared" si="25"/>
        <v>86239</v>
      </c>
      <c r="AL67">
        <f t="shared" si="28"/>
        <v>1294</v>
      </c>
      <c r="AM67">
        <f t="shared" si="14"/>
        <v>2940</v>
      </c>
      <c r="AN67">
        <f t="shared" si="24"/>
        <v>0</v>
      </c>
      <c r="AP67" t="str">
        <f t="shared" si="15"/>
        <v>-</v>
      </c>
      <c r="AQ67">
        <f t="shared" si="23"/>
        <v>0</v>
      </c>
    </row>
    <row r="68" spans="1:43" ht="16.5" thickBot="1">
      <c r="A68" s="91">
        <f t="shared" si="17"/>
        <v>65</v>
      </c>
      <c r="B68" s="30" t="s">
        <v>538</v>
      </c>
      <c r="C68" s="291">
        <f>IF(B68=B67,C67,SUMIF('Date masura OD'!$G:$G,B68,'Date masura OD'!$R:$R))</f>
        <v>883760</v>
      </c>
      <c r="D68" s="291">
        <f>IFERROR(IF(VLOOKUP(B68,'Date masura OD'!$G$76:$BF$187,52,FALSE)&lt;0,-VLOOKUP(B68,'Date masura OD'!$G$76:$BF$187,52,FALSE),0),0)</f>
        <v>0</v>
      </c>
      <c r="E68" s="291">
        <v>0</v>
      </c>
      <c r="F68" s="291">
        <v>0</v>
      </c>
      <c r="G68" s="29" t="s">
        <v>610</v>
      </c>
      <c r="H68" s="312">
        <f>IF(C68=0,0,IF(RIGHT(G68,1)="N",ROUNDUP(C68*1.5%,0),IF(LEN(RIGHT(G68,LEN(G68)-FIND("_",G68,1)))=1,SUMIF('Date masura OD'!$G:$G,G68,'Date masura OD'!$R:$R),AK68)))</f>
        <v>58865</v>
      </c>
      <c r="I68" s="184">
        <f>VLOOKUP(G68,'Contorizare in SDI'!E:M,7,FALSE)</f>
        <v>0</v>
      </c>
      <c r="J68" s="88">
        <f>VLOOKUP(G68,'Contorizare in SDI'!$E:$M,$J$1-2,FALSE)</f>
        <v>2566</v>
      </c>
      <c r="K68" s="88">
        <f>VLOOKUP(G68,'Contorizare in SDI'!$E:$M,$K$1-2,FALSE)</f>
        <v>9746</v>
      </c>
      <c r="L68" s="29" t="s">
        <v>69</v>
      </c>
      <c r="M68" s="87">
        <v>0</v>
      </c>
      <c r="N68" s="88">
        <f>IF(COUNTIF(L68,"-")=1,0,VLOOKUP(L68,'Contorizare in SDI'!$F:$R,$N$1-3,FALSE))</f>
        <v>0</v>
      </c>
      <c r="O68" s="88">
        <f>IF(COUNTIF(L68,"-")=1,0,VLOOKUP(L68,'Contorizare in SDI'!$F:$R,$O$1-3,FALSE))</f>
        <v>0</v>
      </c>
      <c r="P68" s="88">
        <f>IF(COUNTIF(L68,"-")=1,0,VLOOKUP(L68,'Contorizare in SDI'!$F:$R,$P$1-3,FALSE))</f>
        <v>0</v>
      </c>
      <c r="Q68" s="88">
        <f t="shared" si="6"/>
        <v>58865</v>
      </c>
      <c r="R68" s="88">
        <f t="shared" si="7"/>
        <v>0</v>
      </c>
      <c r="S68" s="321">
        <v>0</v>
      </c>
      <c r="T68" s="88">
        <f t="shared" si="8"/>
        <v>883</v>
      </c>
      <c r="U68" s="17" t="s">
        <v>514</v>
      </c>
      <c r="V68" s="581"/>
      <c r="W68" s="581"/>
      <c r="X68" s="581"/>
      <c r="Y68" s="583"/>
      <c r="AA68" t="str">
        <f t="shared" si="9"/>
        <v/>
      </c>
      <c r="AB68" t="str">
        <f t="shared" si="10"/>
        <v/>
      </c>
      <c r="AE68" t="str">
        <f t="shared" si="1"/>
        <v>-</v>
      </c>
      <c r="AF68">
        <f>IF(LEFT(VLOOKUP(G68,'Contorizare in SDI'!$E:$M,5,FALSE),1)="V",C68,VLOOKUP(G68,'Contorizare in SDI'!$E:$M,6,FALSE))</f>
        <v>164188</v>
      </c>
      <c r="AG68">
        <f t="shared" si="2"/>
        <v>710765</v>
      </c>
      <c r="AH68">
        <f t="shared" si="11"/>
        <v>0</v>
      </c>
      <c r="AI68">
        <f t="shared" si="27"/>
        <v>58865</v>
      </c>
      <c r="AJ68">
        <f t="shared" si="13"/>
        <v>254824</v>
      </c>
      <c r="AK68">
        <f t="shared" si="25"/>
        <v>58865</v>
      </c>
      <c r="AL68">
        <f t="shared" si="28"/>
        <v>883</v>
      </c>
      <c r="AM68">
        <f t="shared" si="14"/>
        <v>3823</v>
      </c>
      <c r="AN68">
        <f t="shared" ref="AN68:AN99" si="29">SUMIF($B:$B,AE68,$N:$N)-SUMIF($B:$B,AE68,$R:$R)-SUMIF($B:$B,AE68,$D:$D)</f>
        <v>0</v>
      </c>
      <c r="AP68" t="str">
        <f t="shared" si="15"/>
        <v>-</v>
      </c>
      <c r="AQ68">
        <f t="shared" si="23"/>
        <v>0</v>
      </c>
    </row>
    <row r="69" spans="1:43" ht="16.5" thickBot="1">
      <c r="A69" s="91">
        <f t="shared" si="17"/>
        <v>66</v>
      </c>
      <c r="B69" s="30" t="s">
        <v>538</v>
      </c>
      <c r="C69" s="291">
        <f>IF(B69=B68,C68,SUMIF('Date masura OD'!$G:$G,B69,'Date masura OD'!$R:$R))</f>
        <v>883760</v>
      </c>
      <c r="D69" s="291">
        <f>IFERROR(IF(VLOOKUP(B69,'Date masura OD'!$G$76:$BF$187,52,FALSE)&lt;0,-VLOOKUP(B69,'Date masura OD'!$G$76:$BF$187,52,FALSE),0),0)</f>
        <v>0</v>
      </c>
      <c r="E69" s="291">
        <v>0</v>
      </c>
      <c r="F69" s="291">
        <v>0</v>
      </c>
      <c r="G69" s="29" t="s">
        <v>611</v>
      </c>
      <c r="H69" s="312">
        <f>IF(C69=0,0,IF(RIGHT(G69,1)="N",ROUNDUP(C69*1.5%,0),IF(LEN(RIGHT(G69,LEN(G69)-FIND("_",G69,1)))=1,SUMIF('Date masura OD'!$G:$G,G69,'Date masura OD'!$R:$R),AK69)))</f>
        <v>316845</v>
      </c>
      <c r="I69" s="184">
        <f>VLOOKUP(G69,'Contorizare in SDI'!E:M,7,FALSE)</f>
        <v>0</v>
      </c>
      <c r="J69" s="88">
        <f>VLOOKUP(G69,'Contorizare in SDI'!$E:$M,$J$1-2,FALSE)</f>
        <v>0</v>
      </c>
      <c r="K69" s="88">
        <f>VLOOKUP(G69,'Contorizare in SDI'!$E:$M,$K$1-2,FALSE)</f>
        <v>0</v>
      </c>
      <c r="L69" s="29" t="s">
        <v>69</v>
      </c>
      <c r="M69" s="87">
        <v>0</v>
      </c>
      <c r="N69" s="88">
        <f>IF(COUNTIF(L69,"-")=1,0,VLOOKUP(L69,'Contorizare in SDI'!$F:$R,$N$1-3,FALSE))</f>
        <v>0</v>
      </c>
      <c r="O69" s="88">
        <f>IF(COUNTIF(L69,"-")=1,0,VLOOKUP(L69,'Contorizare in SDI'!$F:$R,$O$1-3,FALSE))</f>
        <v>0</v>
      </c>
      <c r="P69" s="88">
        <f>IF(COUNTIF(L69,"-")=1,0,VLOOKUP(L69,'Contorizare in SDI'!$F:$R,$P$1-3,FALSE))</f>
        <v>0</v>
      </c>
      <c r="Q69" s="88">
        <f t="shared" si="6"/>
        <v>316845</v>
      </c>
      <c r="R69" s="88">
        <f t="shared" si="7"/>
        <v>0</v>
      </c>
      <c r="S69" s="321">
        <v>0</v>
      </c>
      <c r="T69" s="88">
        <f t="shared" si="8"/>
        <v>4753</v>
      </c>
      <c r="U69" s="17" t="s">
        <v>514</v>
      </c>
      <c r="V69" s="581"/>
      <c r="W69" s="581"/>
      <c r="X69" s="581"/>
      <c r="Y69" s="583"/>
      <c r="AA69" t="str">
        <f t="shared" si="9"/>
        <v/>
      </c>
      <c r="AB69" t="str">
        <f t="shared" si="10"/>
        <v/>
      </c>
      <c r="AE69" t="str">
        <f t="shared" ref="AE69:AE132" si="30">IF(LEN(RIGHT(G69,LEN(G69)-FIND("_",G69,1)))=1,G69,IF(RIGHT(G69,1)="N",LEFT(G69,FIND(".",G69,1)-1),"-"))</f>
        <v>-</v>
      </c>
      <c r="AF69">
        <f>IF(LEFT(VLOOKUP(G69,'Contorizare in SDI'!$E:$M,5,FALSE),1)="V",C69,VLOOKUP(G69,'Contorizare in SDI'!$E:$M,6,FALSE))</f>
        <v>883760</v>
      </c>
      <c r="AG69">
        <f t="shared" ref="AG69:AG132" si="31">IF(B69&lt;&gt;B68,AF69,IF(COUNTIF(AE69,"-")=0,AG68,AF69+AG68))</f>
        <v>1594525</v>
      </c>
      <c r="AH69">
        <f t="shared" si="11"/>
        <v>0</v>
      </c>
      <c r="AI69">
        <f t="shared" si="27"/>
        <v>316845</v>
      </c>
      <c r="AJ69">
        <f t="shared" si="13"/>
        <v>571669</v>
      </c>
      <c r="AK69">
        <f t="shared" si="25"/>
        <v>316845</v>
      </c>
      <c r="AL69">
        <f t="shared" si="28"/>
        <v>4753</v>
      </c>
      <c r="AM69">
        <f t="shared" si="14"/>
        <v>8576</v>
      </c>
      <c r="AN69">
        <f t="shared" si="29"/>
        <v>0</v>
      </c>
      <c r="AP69" t="str">
        <f t="shared" ref="AP69:AP132" si="32">IF(LEFT(B69,FIND("_",B69,1)-1)&lt;&gt;LEFT(B70,FIND("_",B70,1)-1),LEFT(B69,FIND("_",B69,1)-1),"-")</f>
        <v>-</v>
      </c>
      <c r="AQ69">
        <f t="shared" ref="AQ69:AQ132" si="33">IF(AND(COUNTIF(AP69,"-")=1,COUNTIF(AP68,"-")=0),0,AH69+AQ68)</f>
        <v>0</v>
      </c>
    </row>
    <row r="70" spans="1:43" ht="16.5" thickBot="1">
      <c r="A70" s="91">
        <f t="shared" si="17"/>
        <v>67</v>
      </c>
      <c r="B70" s="30" t="s">
        <v>538</v>
      </c>
      <c r="C70" s="291">
        <f>IF(B70=B69,C69,SUMIF('Date masura OD'!$G:$G,B70,'Date masura OD'!$R:$R))</f>
        <v>883760</v>
      </c>
      <c r="D70" s="291">
        <f>IFERROR(IF(VLOOKUP(B70,'Date masura OD'!$G$76:$BF$187,52,FALSE)&lt;0,-VLOOKUP(B70,'Date masura OD'!$G$76:$BF$187,52,FALSE),0),0)</f>
        <v>0</v>
      </c>
      <c r="E70" s="291">
        <v>0</v>
      </c>
      <c r="F70" s="291">
        <v>0</v>
      </c>
      <c r="G70" s="29" t="s">
        <v>612</v>
      </c>
      <c r="H70" s="312">
        <f>IF(C70=0,0,IF(RIGHT(G70,1)="N",ROUNDUP(C70*1.5%,0),IF(LEN(RIGHT(G70,LEN(G70)-FIND("_",G70,1)))=1,SUMIF('Date masura OD'!$G:$G,G70,'Date masura OD'!$R:$R),AK70)))</f>
        <v>298834</v>
      </c>
      <c r="I70" s="184">
        <f>VLOOKUP(G70,'Contorizare in SDI'!E:M,7,FALSE)</f>
        <v>0</v>
      </c>
      <c r="J70" s="88">
        <f>VLOOKUP(G70,'Contorizare in SDI'!$E:$M,$J$1-2,FALSE)</f>
        <v>0</v>
      </c>
      <c r="K70" s="88">
        <f>VLOOKUP(G70,'Contorizare in SDI'!$E:$M,$K$1-2,FALSE)</f>
        <v>0</v>
      </c>
      <c r="L70" s="29" t="s">
        <v>69</v>
      </c>
      <c r="M70" s="87">
        <v>0</v>
      </c>
      <c r="N70" s="88">
        <f>IF(COUNTIF(L70,"-")=1,0,VLOOKUP(L70,'Contorizare in SDI'!$F:$R,$N$1-3,FALSE))</f>
        <v>0</v>
      </c>
      <c r="O70" s="88">
        <f>IF(COUNTIF(L70,"-")=1,0,VLOOKUP(L70,'Contorizare in SDI'!$F:$R,$O$1-3,FALSE))</f>
        <v>0</v>
      </c>
      <c r="P70" s="88">
        <f>IF(COUNTIF(L70,"-")=1,0,VLOOKUP(L70,'Contorizare in SDI'!$F:$R,$P$1-3,FALSE))</f>
        <v>0</v>
      </c>
      <c r="Q70" s="88">
        <f t="shared" ref="Q70:Q133" si="34">IF(RIGHT(G70,1)="N",0,H70)</f>
        <v>298834</v>
      </c>
      <c r="R70" s="88">
        <f t="shared" ref="R70:R133" si="35">N70-I70</f>
        <v>0</v>
      </c>
      <c r="S70" s="321">
        <v>0</v>
      </c>
      <c r="T70" s="88">
        <f t="shared" ref="T70:T133" si="36">IF(AH70&lt;&gt;0,0,AL70)</f>
        <v>4681</v>
      </c>
      <c r="U70" s="17" t="s">
        <v>515</v>
      </c>
      <c r="V70" s="581"/>
      <c r="W70" s="581"/>
      <c r="X70" s="581"/>
      <c r="Y70" s="583"/>
      <c r="AA70" t="str">
        <f t="shared" ref="AA70:AA139" si="37">IF(B69&lt;&gt;B70,IF(V70=W70,"OK","Not OK"),"")</f>
        <v/>
      </c>
      <c r="AB70" t="str">
        <f t="shared" ref="AB70:AB139" si="38">IF(B69&lt;&gt;B70,IF(X70=Y70,"OK","Not OK"),"")</f>
        <v/>
      </c>
      <c r="AE70" t="str">
        <f t="shared" si="30"/>
        <v>-</v>
      </c>
      <c r="AF70">
        <f>IF(LEFT(VLOOKUP(G70,'Contorizare in SDI'!$E:$M,5,FALSE),1)="V",C70,VLOOKUP(G70,'Contorizare in SDI'!$E:$M,6,FALSE))</f>
        <v>883760</v>
      </c>
      <c r="AG70">
        <f t="shared" si="31"/>
        <v>2478285</v>
      </c>
      <c r="AH70">
        <f t="shared" ref="AH70:AH133" si="39">IF(RIGHT(G70,1)="N",H70,0)</f>
        <v>0</v>
      </c>
      <c r="AI70">
        <f t="shared" si="27"/>
        <v>316845</v>
      </c>
      <c r="AJ70">
        <f t="shared" ref="AJ70:AJ133" si="40">IF(B70&lt;&gt;B69,AI70,IF(COUNTIF(AE70,"-")=0,AJ69,AI70+AJ69))</f>
        <v>888514</v>
      </c>
      <c r="AK70">
        <f t="shared" si="25"/>
        <v>298834</v>
      </c>
      <c r="AL70">
        <f t="shared" si="28"/>
        <v>4681</v>
      </c>
      <c r="AM70">
        <f t="shared" ref="AM70:AM133" si="41">IF(B70&lt;&gt;B69,AL70,IF(COUNTIF(AE70,"-")=0,0,AL70+AM69))</f>
        <v>13257</v>
      </c>
      <c r="AN70">
        <f t="shared" si="29"/>
        <v>0</v>
      </c>
      <c r="AP70" t="str">
        <f t="shared" si="32"/>
        <v>-</v>
      </c>
      <c r="AQ70">
        <f t="shared" si="33"/>
        <v>0</v>
      </c>
    </row>
    <row r="71" spans="1:43" ht="16.5" thickBot="1">
      <c r="A71" s="91">
        <f t="shared" si="17"/>
        <v>68</v>
      </c>
      <c r="B71" s="30" t="s">
        <v>538</v>
      </c>
      <c r="C71" s="291">
        <f>IF(B71=B70,C70,SUMIF('Date masura OD'!$G:$G,B71,'Date masura OD'!$R:$R))</f>
        <v>883760</v>
      </c>
      <c r="D71" s="291">
        <f>IFERROR(IF(VLOOKUP(B71,'Date masura OD'!$G$76:$BF$187,52,FALSE)&lt;0,-VLOOKUP(B71,'Date masura OD'!$G$76:$BF$187,52,FALSE),0),0)</f>
        <v>0</v>
      </c>
      <c r="E71" s="291">
        <v>0</v>
      </c>
      <c r="F71" s="291">
        <v>0</v>
      </c>
      <c r="G71" s="29" t="s">
        <v>972</v>
      </c>
      <c r="H71" s="312">
        <f>IF(C71=0,0,IF(RIGHT(G71,1)="N",ROUNDUP(C71*1.5%,0),IF(LEN(RIGHT(G71,LEN(G71)-FIND("_",G71,1)))=1,SUMIF('Date masura OD'!$G:$G,G71,'Date masura OD'!$R:$R),AK71)))</f>
        <v>13257</v>
      </c>
      <c r="I71" s="184">
        <f>VLOOKUP(G71,'Contorizare in SDI'!E:M,7,FALSE)</f>
        <v>0</v>
      </c>
      <c r="J71" s="88">
        <f>VLOOKUP(G71,'Contorizare in SDI'!$E:$M,$J$1-2,FALSE)</f>
        <v>0</v>
      </c>
      <c r="K71" s="88">
        <f>VLOOKUP(G71,'Contorizare in SDI'!$E:$M,$K$1-2,FALSE)</f>
        <v>0</v>
      </c>
      <c r="L71" s="29" t="s">
        <v>69</v>
      </c>
      <c r="M71" s="87">
        <v>0</v>
      </c>
      <c r="N71" s="88">
        <f>IF(COUNTIF(L71,"-")=1,0,VLOOKUP(L71,'Contorizare in SDI'!$F:$R,$N$1-3,FALSE))</f>
        <v>0</v>
      </c>
      <c r="O71" s="88">
        <f>IF(COUNTIF(L71,"-")=1,0,VLOOKUP(L71,'Contorizare in SDI'!$F:$R,$O$1-3,FALSE))</f>
        <v>0</v>
      </c>
      <c r="P71" s="88">
        <f>IF(COUNTIF(L71,"-")=1,0,VLOOKUP(L71,'Contorizare in SDI'!$F:$R,$P$1-3,FALSE))</f>
        <v>0</v>
      </c>
      <c r="Q71" s="88">
        <f t="shared" si="34"/>
        <v>0</v>
      </c>
      <c r="R71" s="88">
        <f t="shared" si="35"/>
        <v>0</v>
      </c>
      <c r="S71" s="321">
        <v>0</v>
      </c>
      <c r="T71" s="88">
        <f t="shared" si="36"/>
        <v>0</v>
      </c>
      <c r="U71" s="17" t="s">
        <v>69</v>
      </c>
      <c r="V71" s="581"/>
      <c r="W71" s="581"/>
      <c r="X71" s="581"/>
      <c r="Y71" s="583"/>
      <c r="AA71" t="str">
        <f t="shared" si="37"/>
        <v/>
      </c>
      <c r="AB71" t="str">
        <f t="shared" si="38"/>
        <v/>
      </c>
      <c r="AE71" t="str">
        <f t="shared" si="30"/>
        <v>RFSC_1</v>
      </c>
      <c r="AF71">
        <f>IF(LEFT(VLOOKUP(G71,'Contorizare in SDI'!$E:$M,5,FALSE),1)="V",C71,VLOOKUP(G71,'Contorizare in SDI'!$E:$M,6,FALSE))</f>
        <v>0</v>
      </c>
      <c r="AG71">
        <f t="shared" si="31"/>
        <v>2478285</v>
      </c>
      <c r="AH71">
        <f t="shared" si="39"/>
        <v>13257</v>
      </c>
      <c r="AI71">
        <f t="shared" si="27"/>
        <v>0</v>
      </c>
      <c r="AJ71">
        <f t="shared" si="40"/>
        <v>888514</v>
      </c>
      <c r="AK71">
        <f t="shared" si="25"/>
        <v>0</v>
      </c>
      <c r="AL71">
        <f t="shared" si="28"/>
        <v>0</v>
      </c>
      <c r="AM71">
        <f t="shared" si="41"/>
        <v>0</v>
      </c>
      <c r="AN71">
        <f t="shared" si="29"/>
        <v>0</v>
      </c>
      <c r="AP71" t="str">
        <f t="shared" si="32"/>
        <v>-</v>
      </c>
      <c r="AQ71">
        <f t="shared" si="33"/>
        <v>13257</v>
      </c>
    </row>
    <row r="72" spans="1:43" ht="16.5" thickBot="1">
      <c r="A72" s="91">
        <f t="shared" si="17"/>
        <v>69</v>
      </c>
      <c r="B72" s="83" t="s">
        <v>997</v>
      </c>
      <c r="C72" s="291">
        <f>IF(B72=B71,C71,SUMIF('Date masura OD'!$G:$G,B72,'Date masura OD'!$R:$R))</f>
        <v>0</v>
      </c>
      <c r="D72" s="291">
        <f>IFERROR(IF(VLOOKUP(B72,'Date masura OD'!$G$76:$BF$187,52,FALSE)&lt;0,-VLOOKUP(B72,'Date masura OD'!$G$76:$BF$187,52,FALSE),0),0)</f>
        <v>0</v>
      </c>
      <c r="E72" s="291">
        <v>0</v>
      </c>
      <c r="F72" s="291">
        <v>0</v>
      </c>
      <c r="G72" s="84" t="s">
        <v>998</v>
      </c>
      <c r="H72" s="312">
        <f>IF(C72=0,0,IF(RIGHT(G72,1)="N",ROUNDUP(C72*1.5%,0),IF(LEN(RIGHT(G72,LEN(G72)-FIND("_",G72,1)))=1,SUMIF('Date masura OD'!$G:$G,G72,'Date masura OD'!$R:$R),AK72)))</f>
        <v>0</v>
      </c>
      <c r="I72" s="184">
        <f>VLOOKUP(G72,'Contorizare in SDI'!E:M,7,FALSE)</f>
        <v>0</v>
      </c>
      <c r="J72" s="88">
        <f>VLOOKUP(G72,'Contorizare in SDI'!$E:$M,$J$1-2,FALSE)</f>
        <v>0</v>
      </c>
      <c r="K72" s="88">
        <f>VLOOKUP(G72,'Contorizare in SDI'!$E:$M,$K$1-2,FALSE)</f>
        <v>0</v>
      </c>
      <c r="L72" s="84" t="s">
        <v>69</v>
      </c>
      <c r="M72" s="87">
        <v>0</v>
      </c>
      <c r="N72" s="88">
        <f>IF(COUNTIF(L72,"-")=1,0,VLOOKUP(L72,'Contorizare in SDI'!$F:$R,$N$1-3,FALSE))</f>
        <v>0</v>
      </c>
      <c r="O72" s="88">
        <f>IF(COUNTIF(L72,"-")=1,0,VLOOKUP(L72,'Contorizare in SDI'!$F:$R,$O$1-3,FALSE))</f>
        <v>0</v>
      </c>
      <c r="P72" s="88">
        <f>IF(COUNTIF(L72,"-")=1,0,VLOOKUP(L72,'Contorizare in SDI'!$F:$R,$P$1-3,FALSE))</f>
        <v>0</v>
      </c>
      <c r="Q72" s="88">
        <f t="shared" si="34"/>
        <v>0</v>
      </c>
      <c r="R72" s="88">
        <f t="shared" si="35"/>
        <v>0</v>
      </c>
      <c r="S72" s="321">
        <v>0</v>
      </c>
      <c r="T72" s="88">
        <f t="shared" si="36"/>
        <v>0</v>
      </c>
      <c r="U72" s="82" t="s">
        <v>514</v>
      </c>
      <c r="V72" s="599">
        <f>SUM(H72:H76)+SUM(N72:N76)</f>
        <v>0</v>
      </c>
      <c r="W72" s="599">
        <f>SUM(Q72:S76)</f>
        <v>0</v>
      </c>
      <c r="X72" s="599">
        <f>C72</f>
        <v>0</v>
      </c>
      <c r="Y72" s="600">
        <f>SUM(H72:H76)+SUM(T72:T76)</f>
        <v>0</v>
      </c>
      <c r="AA72" t="str">
        <f t="shared" si="37"/>
        <v>OK</v>
      </c>
      <c r="AB72" t="str">
        <f t="shared" si="38"/>
        <v>OK</v>
      </c>
      <c r="AE72" t="str">
        <f t="shared" si="30"/>
        <v>-</v>
      </c>
      <c r="AF72">
        <f>IF(LEFT(VLOOKUP(G72,'Contorizare in SDI'!$E:$M,5,FALSE),1)="V",C72,VLOOKUP(G72,'Contorizare in SDI'!$E:$M,6,FALSE))</f>
        <v>0</v>
      </c>
      <c r="AG72">
        <f t="shared" si="31"/>
        <v>0</v>
      </c>
      <c r="AH72">
        <f t="shared" si="39"/>
        <v>0</v>
      </c>
      <c r="AI72" t="e">
        <f t="shared" si="27"/>
        <v>#DIV/0!</v>
      </c>
      <c r="AJ72" t="e">
        <f t="shared" si="40"/>
        <v>#DIV/0!</v>
      </c>
      <c r="AK72" t="e">
        <f t="shared" si="25"/>
        <v>#DIV/0!</v>
      </c>
      <c r="AL72">
        <f t="shared" si="28"/>
        <v>0</v>
      </c>
      <c r="AM72">
        <f t="shared" si="41"/>
        <v>0</v>
      </c>
      <c r="AN72">
        <f t="shared" si="29"/>
        <v>0</v>
      </c>
      <c r="AP72" t="str">
        <f t="shared" si="32"/>
        <v>-</v>
      </c>
      <c r="AQ72">
        <f t="shared" si="33"/>
        <v>13257</v>
      </c>
    </row>
    <row r="73" spans="1:43" ht="16.5" thickBot="1">
      <c r="A73" s="91">
        <f t="shared" ref="A73:A131" si="42">A72+1</f>
        <v>70</v>
      </c>
      <c r="B73" s="30" t="s">
        <v>997</v>
      </c>
      <c r="C73" s="291">
        <f>IF(B73=B72,C72,SUMIF('Date masura OD'!$G:$G,B73,'Date masura OD'!$R:$R))</f>
        <v>0</v>
      </c>
      <c r="D73" s="291">
        <f>IFERROR(IF(VLOOKUP(B73,'Date masura OD'!$G$76:$BF$187,52,FALSE)&lt;0,-VLOOKUP(B73,'Date masura OD'!$G$76:$BF$187,52,FALSE),0),0)</f>
        <v>0</v>
      </c>
      <c r="E73" s="291">
        <v>0</v>
      </c>
      <c r="F73" s="291">
        <v>0</v>
      </c>
      <c r="G73" s="29" t="s">
        <v>999</v>
      </c>
      <c r="H73" s="312">
        <f>IF(C73=0,0,IF(RIGHT(G73,1)="N",ROUNDUP(C73*1.5%,0),IF(LEN(RIGHT(G73,LEN(G73)-FIND("_",G73,1)))=1,SUMIF('Date masura OD'!$G:$G,G73,'Date masura OD'!$R:$R),AK73)))</f>
        <v>0</v>
      </c>
      <c r="I73" s="184">
        <f>VLOOKUP(G73,'Contorizare in SDI'!E:M,7,FALSE)</f>
        <v>0</v>
      </c>
      <c r="J73" s="88">
        <f>VLOOKUP(G73,'Contorizare in SDI'!$E:$M,$J$1-2,FALSE)</f>
        <v>0</v>
      </c>
      <c r="K73" s="88">
        <f>VLOOKUP(G73,'Contorizare in SDI'!$E:$M,$K$1-2,FALSE)</f>
        <v>0</v>
      </c>
      <c r="L73" s="29" t="s">
        <v>1004</v>
      </c>
      <c r="M73" s="87">
        <v>0</v>
      </c>
      <c r="N73" s="88">
        <f>IF(COUNTIF(L73,"-")=1,0,VLOOKUP(L73,'Contorizare in SDI'!$F:$R,$N$1-3,FALSE))</f>
        <v>0</v>
      </c>
      <c r="O73" s="88">
        <f>IF(COUNTIF(L73,"-")=1,0,VLOOKUP(L73,'Contorizare in SDI'!$F:$R,$O$1-3,FALSE))</f>
        <v>0</v>
      </c>
      <c r="P73" s="88">
        <f>IF(COUNTIF(L73,"-")=1,0,VLOOKUP(L73,'Contorizare in SDI'!$F:$R,$P$1-3,FALSE))</f>
        <v>0</v>
      </c>
      <c r="Q73" s="88">
        <f t="shared" si="34"/>
        <v>0</v>
      </c>
      <c r="R73" s="88">
        <f t="shared" si="35"/>
        <v>0</v>
      </c>
      <c r="S73" s="321">
        <v>0</v>
      </c>
      <c r="T73" s="88">
        <f t="shared" si="36"/>
        <v>0</v>
      </c>
      <c r="U73" s="17" t="s">
        <v>514</v>
      </c>
      <c r="V73" s="581"/>
      <c r="W73" s="581"/>
      <c r="X73" s="581"/>
      <c r="Y73" s="583"/>
      <c r="AA73" t="str">
        <f t="shared" si="37"/>
        <v/>
      </c>
      <c r="AB73" t="str">
        <f t="shared" si="38"/>
        <v/>
      </c>
      <c r="AE73" t="str">
        <f t="shared" si="30"/>
        <v>-</v>
      </c>
      <c r="AF73">
        <f>IF(LEFT(VLOOKUP(G73,'Contorizare in SDI'!$E:$M,5,FALSE),1)="V",C73,VLOOKUP(G73,'Contorizare in SDI'!$E:$M,6,FALSE))</f>
        <v>0</v>
      </c>
      <c r="AG73">
        <f t="shared" si="31"/>
        <v>0</v>
      </c>
      <c r="AH73">
        <f t="shared" si="39"/>
        <v>0</v>
      </c>
      <c r="AI73" t="e">
        <f t="shared" si="27"/>
        <v>#DIV/0!</v>
      </c>
      <c r="AJ73" t="e">
        <f t="shared" si="40"/>
        <v>#DIV/0!</v>
      </c>
      <c r="AK73" t="e">
        <f t="shared" si="25"/>
        <v>#DIV/0!</v>
      </c>
      <c r="AL73">
        <f t="shared" si="28"/>
        <v>0</v>
      </c>
      <c r="AM73">
        <f t="shared" si="41"/>
        <v>0</v>
      </c>
      <c r="AN73">
        <f t="shared" si="29"/>
        <v>0</v>
      </c>
      <c r="AP73" t="str">
        <f t="shared" si="32"/>
        <v>-</v>
      </c>
      <c r="AQ73">
        <f t="shared" si="33"/>
        <v>13257</v>
      </c>
    </row>
    <row r="74" spans="1:43" ht="16.5" thickBot="1">
      <c r="A74" s="91">
        <f t="shared" si="42"/>
        <v>71</v>
      </c>
      <c r="B74" s="30" t="s">
        <v>997</v>
      </c>
      <c r="C74" s="291">
        <f>IF(B74=B73,C73,SUMIF('Date masura OD'!$G:$G,B74,'Date masura OD'!$R:$R))</f>
        <v>0</v>
      </c>
      <c r="D74" s="291">
        <f>IFERROR(IF(VLOOKUP(B74,'Date masura OD'!$G$76:$BF$187,52,FALSE)&lt;0,-VLOOKUP(B74,'Date masura OD'!$G$76:$BF$187,52,FALSE),0),0)</f>
        <v>0</v>
      </c>
      <c r="E74" s="291">
        <v>0</v>
      </c>
      <c r="F74" s="291">
        <v>0</v>
      </c>
      <c r="G74" s="29" t="s">
        <v>1000</v>
      </c>
      <c r="H74" s="312">
        <f>IF(C74=0,0,IF(RIGHT(G74,1)="N",ROUNDUP(C74*1.5%,0),IF(LEN(RIGHT(G74,LEN(G74)-FIND("_",G74,1)))=1,SUMIF('Date masura OD'!$G:$G,G74,'Date masura OD'!$R:$R),AK74)))</f>
        <v>0</v>
      </c>
      <c r="I74" s="184">
        <f>VLOOKUP(G74,'Contorizare in SDI'!E:M,7,FALSE)</f>
        <v>0</v>
      </c>
      <c r="J74" s="88">
        <f>VLOOKUP(G74,'Contorizare in SDI'!$E:$M,$J$1-2,FALSE)</f>
        <v>0</v>
      </c>
      <c r="K74" s="88">
        <f>VLOOKUP(G74,'Contorizare in SDI'!$E:$M,$K$1-2,FALSE)</f>
        <v>0</v>
      </c>
      <c r="L74" s="29" t="s">
        <v>69</v>
      </c>
      <c r="M74" s="87">
        <v>0</v>
      </c>
      <c r="N74" s="88">
        <f>IF(COUNTIF(L74,"-")=1,0,VLOOKUP(L74,'Contorizare in SDI'!$F:$R,$N$1-3,FALSE))</f>
        <v>0</v>
      </c>
      <c r="O74" s="88">
        <f>IF(COUNTIF(L74,"-")=1,0,VLOOKUP(L74,'Contorizare in SDI'!$F:$R,$O$1-3,FALSE))</f>
        <v>0</v>
      </c>
      <c r="P74" s="88">
        <f>IF(COUNTIF(L74,"-")=1,0,VLOOKUP(L74,'Contorizare in SDI'!$F:$R,$P$1-3,FALSE))</f>
        <v>0</v>
      </c>
      <c r="Q74" s="88">
        <f t="shared" si="34"/>
        <v>0</v>
      </c>
      <c r="R74" s="88">
        <f t="shared" si="35"/>
        <v>0</v>
      </c>
      <c r="S74" s="321">
        <v>0</v>
      </c>
      <c r="T74" s="88">
        <f t="shared" si="36"/>
        <v>0</v>
      </c>
      <c r="U74" s="17" t="s">
        <v>514</v>
      </c>
      <c r="V74" s="581"/>
      <c r="W74" s="581"/>
      <c r="X74" s="581"/>
      <c r="Y74" s="583"/>
      <c r="AA74" t="str">
        <f t="shared" si="37"/>
        <v/>
      </c>
      <c r="AB74" t="str">
        <f t="shared" si="38"/>
        <v/>
      </c>
      <c r="AE74" t="str">
        <f t="shared" si="30"/>
        <v>-</v>
      </c>
      <c r="AF74">
        <f>IF(LEFT(VLOOKUP(G74,'Contorizare in SDI'!$E:$M,5,FALSE),1)="V",C74,VLOOKUP(G74,'Contorizare in SDI'!$E:$M,6,FALSE))</f>
        <v>0</v>
      </c>
      <c r="AG74">
        <f t="shared" si="31"/>
        <v>0</v>
      </c>
      <c r="AH74">
        <f t="shared" si="39"/>
        <v>0</v>
      </c>
      <c r="AI74" t="e">
        <f t="shared" si="27"/>
        <v>#DIV/0!</v>
      </c>
      <c r="AJ74" t="e">
        <f t="shared" si="40"/>
        <v>#DIV/0!</v>
      </c>
      <c r="AK74" t="e">
        <f t="shared" si="25"/>
        <v>#DIV/0!</v>
      </c>
      <c r="AL74">
        <f t="shared" si="28"/>
        <v>0</v>
      </c>
      <c r="AM74">
        <f t="shared" si="41"/>
        <v>0</v>
      </c>
      <c r="AN74">
        <f t="shared" si="29"/>
        <v>0</v>
      </c>
      <c r="AP74" t="str">
        <f t="shared" si="32"/>
        <v>-</v>
      </c>
      <c r="AQ74">
        <f t="shared" si="33"/>
        <v>13257</v>
      </c>
    </row>
    <row r="75" spans="1:43" ht="16.5" thickBot="1">
      <c r="A75" s="91">
        <f t="shared" si="42"/>
        <v>72</v>
      </c>
      <c r="B75" s="30" t="s">
        <v>997</v>
      </c>
      <c r="C75" s="291">
        <f>IF(B75=B74,C74,SUMIF('Date masura OD'!$G:$G,B75,'Date masura OD'!$R:$R))</f>
        <v>0</v>
      </c>
      <c r="D75" s="291">
        <f>IFERROR(IF(VLOOKUP(B75,'Date masura OD'!$G$76:$BF$187,52,FALSE)&lt;0,-VLOOKUP(B75,'Date masura OD'!$G$76:$BF$187,52,FALSE),0),0)</f>
        <v>0</v>
      </c>
      <c r="E75" s="291">
        <v>0</v>
      </c>
      <c r="F75" s="291">
        <v>0</v>
      </c>
      <c r="G75" s="29" t="s">
        <v>1001</v>
      </c>
      <c r="H75" s="312">
        <f>IF(C75=0,0,IF(RIGHT(G75,1)="N",ROUNDUP(C75*1.5%,0),IF(LEN(RIGHT(G75,LEN(G75)-FIND("_",G75,1)))=1,SUMIF('Date masura OD'!$G:$G,G75,'Date masura OD'!$R:$R),AK75)))</f>
        <v>0</v>
      </c>
      <c r="I75" s="184">
        <f>VLOOKUP(G75,'Contorizare in SDI'!E:M,7,FALSE)</f>
        <v>0</v>
      </c>
      <c r="J75" s="88">
        <f>VLOOKUP(G75,'Contorizare in SDI'!$E:$M,$J$1-2,FALSE)</f>
        <v>0</v>
      </c>
      <c r="K75" s="88">
        <f>VLOOKUP(G75,'Contorizare in SDI'!$E:$M,$K$1-2,FALSE)</f>
        <v>0</v>
      </c>
      <c r="L75" s="29" t="s">
        <v>69</v>
      </c>
      <c r="M75" s="87">
        <v>0</v>
      </c>
      <c r="N75" s="88">
        <f>IF(COUNTIF(L75,"-")=1,0,VLOOKUP(L75,'Contorizare in SDI'!$F:$R,$N$1-3,FALSE))</f>
        <v>0</v>
      </c>
      <c r="O75" s="88">
        <f>IF(COUNTIF(L75,"-")=1,0,VLOOKUP(L75,'Contorizare in SDI'!$F:$R,$O$1-3,FALSE))</f>
        <v>0</v>
      </c>
      <c r="P75" s="88">
        <f>IF(COUNTIF(L75,"-")=1,0,VLOOKUP(L75,'Contorizare in SDI'!$F:$R,$P$1-3,FALSE))</f>
        <v>0</v>
      </c>
      <c r="Q75" s="88">
        <f t="shared" si="34"/>
        <v>0</v>
      </c>
      <c r="R75" s="88">
        <f t="shared" si="35"/>
        <v>0</v>
      </c>
      <c r="S75" s="321">
        <v>0</v>
      </c>
      <c r="T75" s="88">
        <f t="shared" si="36"/>
        <v>0</v>
      </c>
      <c r="U75" s="17" t="s">
        <v>514</v>
      </c>
      <c r="V75" s="581"/>
      <c r="W75" s="581"/>
      <c r="X75" s="581"/>
      <c r="Y75" s="583"/>
      <c r="AA75" t="str">
        <f t="shared" si="37"/>
        <v/>
      </c>
      <c r="AB75" t="str">
        <f t="shared" si="38"/>
        <v/>
      </c>
      <c r="AE75" t="str">
        <f t="shared" si="30"/>
        <v>-</v>
      </c>
      <c r="AF75">
        <f>IF(LEFT(VLOOKUP(G75,'Contorizare in SDI'!$E:$M,5,FALSE),1)="V",C75,VLOOKUP(G75,'Contorizare in SDI'!$E:$M,6,FALSE))</f>
        <v>0</v>
      </c>
      <c r="AG75">
        <f t="shared" si="31"/>
        <v>0</v>
      </c>
      <c r="AH75">
        <f t="shared" si="39"/>
        <v>0</v>
      </c>
      <c r="AI75" t="e">
        <f t="shared" si="27"/>
        <v>#DIV/0!</v>
      </c>
      <c r="AJ75" t="e">
        <f t="shared" si="40"/>
        <v>#DIV/0!</v>
      </c>
      <c r="AK75" t="e">
        <f t="shared" si="25"/>
        <v>#DIV/0!</v>
      </c>
      <c r="AL75">
        <f t="shared" si="28"/>
        <v>0</v>
      </c>
      <c r="AM75">
        <f t="shared" si="41"/>
        <v>0</v>
      </c>
      <c r="AN75">
        <f t="shared" si="29"/>
        <v>0</v>
      </c>
      <c r="AP75" t="str">
        <f t="shared" si="32"/>
        <v>-</v>
      </c>
      <c r="AQ75">
        <f t="shared" si="33"/>
        <v>13257</v>
      </c>
    </row>
    <row r="76" spans="1:43" ht="16.5" thickBot="1">
      <c r="A76" s="91">
        <f t="shared" si="42"/>
        <v>73</v>
      </c>
      <c r="B76" s="30" t="s">
        <v>997</v>
      </c>
      <c r="C76" s="291">
        <f>IF(B76=B75,C75,SUMIF('Date masura OD'!$G:$G,B76,'Date masura OD'!$R:$R))</f>
        <v>0</v>
      </c>
      <c r="D76" s="291">
        <f>IFERROR(IF(VLOOKUP(B76,'Date masura OD'!$G$76:$BF$187,52,FALSE)&lt;0,-VLOOKUP(B76,'Date masura OD'!$G$76:$BF$187,52,FALSE),0),0)</f>
        <v>0</v>
      </c>
      <c r="E76" s="291">
        <v>0</v>
      </c>
      <c r="F76" s="291">
        <v>0</v>
      </c>
      <c r="G76" s="29" t="s">
        <v>1002</v>
      </c>
      <c r="H76" s="312">
        <f>IF(C76=0,0,IF(RIGHT(G76,1)="N",ROUNDUP(C76*1.5%,0),IF(LEN(RIGHT(G76,LEN(G76)-FIND("_",G76,1)))=1,SUMIF('Date masura OD'!$G:$G,G76,'Date masura OD'!$R:$R),AK76)))</f>
        <v>0</v>
      </c>
      <c r="I76" s="184">
        <f>VLOOKUP(G76,'Contorizare in SDI'!E:M,7,FALSE)</f>
        <v>0</v>
      </c>
      <c r="J76" s="88">
        <f>VLOOKUP(G76,'Contorizare in SDI'!$E:$M,$J$1-2,FALSE)</f>
        <v>0</v>
      </c>
      <c r="K76" s="88">
        <f>VLOOKUP(G76,'Contorizare in SDI'!$E:$M,$K$1-2,FALSE)</f>
        <v>0</v>
      </c>
      <c r="L76" s="29" t="s">
        <v>69</v>
      </c>
      <c r="M76" s="87">
        <v>0</v>
      </c>
      <c r="N76" s="88">
        <f>IF(COUNTIF(L76,"-")=1,0,VLOOKUP(L76,'Contorizare in SDI'!$F:$R,$N$1-3,FALSE))</f>
        <v>0</v>
      </c>
      <c r="O76" s="88">
        <f>IF(COUNTIF(L76,"-")=1,0,VLOOKUP(L76,'Contorizare in SDI'!$F:$R,$O$1-3,FALSE))</f>
        <v>0</v>
      </c>
      <c r="P76" s="88">
        <f>IF(COUNTIF(L76,"-")=1,0,VLOOKUP(L76,'Contorizare in SDI'!$F:$R,$P$1-3,FALSE))</f>
        <v>0</v>
      </c>
      <c r="Q76" s="88">
        <f t="shared" si="34"/>
        <v>0</v>
      </c>
      <c r="R76" s="88">
        <f t="shared" si="35"/>
        <v>0</v>
      </c>
      <c r="S76" s="321">
        <v>0</v>
      </c>
      <c r="T76" s="88">
        <f t="shared" si="36"/>
        <v>0</v>
      </c>
      <c r="U76" s="17" t="s">
        <v>515</v>
      </c>
      <c r="V76" s="581"/>
      <c r="W76" s="581"/>
      <c r="X76" s="581"/>
      <c r="Y76" s="583"/>
      <c r="AA76" t="str">
        <f t="shared" si="37"/>
        <v/>
      </c>
      <c r="AB76" t="str">
        <f t="shared" si="38"/>
        <v/>
      </c>
      <c r="AE76" t="str">
        <f t="shared" si="30"/>
        <v>-</v>
      </c>
      <c r="AF76">
        <f>IF(LEFT(VLOOKUP(G76,'Contorizare in SDI'!$E:$M,5,FALSE),1)="V",C76,VLOOKUP(G76,'Contorizare in SDI'!$E:$M,6,FALSE))</f>
        <v>0</v>
      </c>
      <c r="AG76">
        <f t="shared" si="31"/>
        <v>0</v>
      </c>
      <c r="AH76">
        <f t="shared" si="39"/>
        <v>0</v>
      </c>
      <c r="AI76" t="e">
        <f t="shared" si="27"/>
        <v>#DIV/0!</v>
      </c>
      <c r="AJ76" t="e">
        <f t="shared" si="40"/>
        <v>#DIV/0!</v>
      </c>
      <c r="AK76" t="e">
        <f t="shared" si="25"/>
        <v>#DIV/0!</v>
      </c>
      <c r="AL76">
        <f t="shared" si="28"/>
        <v>0</v>
      </c>
      <c r="AM76">
        <f t="shared" si="41"/>
        <v>0</v>
      </c>
      <c r="AN76">
        <f t="shared" si="29"/>
        <v>0</v>
      </c>
      <c r="AP76" t="str">
        <f t="shared" si="32"/>
        <v>-</v>
      </c>
      <c r="AQ76">
        <f t="shared" si="33"/>
        <v>13257</v>
      </c>
    </row>
    <row r="77" spans="1:43" ht="16.5" thickBot="1">
      <c r="A77" s="91">
        <f t="shared" si="42"/>
        <v>74</v>
      </c>
      <c r="B77" s="30" t="s">
        <v>997</v>
      </c>
      <c r="C77" s="291">
        <f>IF(B77=B76,C76,SUMIF('Date masura OD'!$G:$G,B77,'Date masura OD'!$R:$R))</f>
        <v>0</v>
      </c>
      <c r="D77" s="291">
        <f>IFERROR(IF(VLOOKUP(B77,'Date masura OD'!$G$76:$BF$187,52,FALSE)&lt;0,-VLOOKUP(B77,'Date masura OD'!$G$76:$BF$187,52,FALSE),0),0)</f>
        <v>0</v>
      </c>
      <c r="E77" s="291">
        <v>0</v>
      </c>
      <c r="F77" s="291">
        <v>0</v>
      </c>
      <c r="G77" s="94" t="s">
        <v>1003</v>
      </c>
      <c r="H77" s="312">
        <f>IF(C77=0,0,IF(RIGHT(G77,1)="N",ROUNDUP(C77*1.5%,0),IF(LEN(RIGHT(G77,LEN(G77)-FIND("_",G77,1)))=1,SUMIF('Date masura OD'!$G:$G,G77,'Date masura OD'!$R:$R),AK77)))</f>
        <v>0</v>
      </c>
      <c r="I77" s="184">
        <f>VLOOKUP(G77,'Contorizare in SDI'!E:M,7,FALSE)</f>
        <v>0</v>
      </c>
      <c r="J77" s="88">
        <f>VLOOKUP(G77,'Contorizare in SDI'!$E:$M,$J$1-2,FALSE)</f>
        <v>0</v>
      </c>
      <c r="K77" s="88">
        <f>VLOOKUP(G77,'Contorizare in SDI'!$E:$M,$K$1-2,FALSE)</f>
        <v>0</v>
      </c>
      <c r="L77" s="94" t="s">
        <v>69</v>
      </c>
      <c r="M77" s="87">
        <v>0</v>
      </c>
      <c r="N77" s="88">
        <f>IF(COUNTIF(L77,"-")=1,0,VLOOKUP(L77,'Contorizare in SDI'!$F:$R,$N$1-3,FALSE))</f>
        <v>0</v>
      </c>
      <c r="O77" s="88">
        <f>IF(COUNTIF(L77,"-")=1,0,VLOOKUP(L77,'Contorizare in SDI'!$F:$R,$O$1-3,FALSE))</f>
        <v>0</v>
      </c>
      <c r="P77" s="88">
        <f>IF(COUNTIF(L77,"-")=1,0,VLOOKUP(L77,'Contorizare in SDI'!$F:$R,$P$1-3,FALSE))</f>
        <v>0</v>
      </c>
      <c r="Q77" s="88">
        <f t="shared" si="34"/>
        <v>0</v>
      </c>
      <c r="R77" s="88">
        <f t="shared" si="35"/>
        <v>0</v>
      </c>
      <c r="S77" s="321">
        <v>0</v>
      </c>
      <c r="T77" s="88">
        <f t="shared" si="36"/>
        <v>0</v>
      </c>
      <c r="U77" s="95" t="s">
        <v>69</v>
      </c>
      <c r="V77" s="589"/>
      <c r="W77" s="589"/>
      <c r="X77" s="589"/>
      <c r="Y77" s="591"/>
      <c r="AA77" t="str">
        <f t="shared" si="37"/>
        <v/>
      </c>
      <c r="AB77" t="str">
        <f t="shared" si="38"/>
        <v/>
      </c>
      <c r="AE77" t="str">
        <f t="shared" si="30"/>
        <v>RFSC_2</v>
      </c>
      <c r="AF77">
        <f>IF(LEFT(VLOOKUP(G77,'Contorizare in SDI'!$E:$M,5,FALSE),1)="V",C77,VLOOKUP(G77,'Contorizare in SDI'!$E:$M,6,FALSE))</f>
        <v>0</v>
      </c>
      <c r="AG77">
        <f t="shared" si="31"/>
        <v>0</v>
      </c>
      <c r="AH77">
        <f t="shared" si="39"/>
        <v>0</v>
      </c>
      <c r="AI77" t="e">
        <f t="shared" si="27"/>
        <v>#DIV/0!</v>
      </c>
      <c r="AJ77" t="e">
        <f t="shared" si="40"/>
        <v>#DIV/0!</v>
      </c>
      <c r="AK77" t="e">
        <f t="shared" si="25"/>
        <v>#DIV/0!</v>
      </c>
      <c r="AL77">
        <f t="shared" si="28"/>
        <v>0</v>
      </c>
      <c r="AM77">
        <f t="shared" si="41"/>
        <v>0</v>
      </c>
      <c r="AN77">
        <f t="shared" si="29"/>
        <v>0</v>
      </c>
      <c r="AP77" t="str">
        <f t="shared" si="32"/>
        <v>RFSC</v>
      </c>
      <c r="AQ77">
        <f t="shared" si="33"/>
        <v>13257</v>
      </c>
    </row>
    <row r="78" spans="1:43" ht="16.5" thickBot="1">
      <c r="A78" s="91">
        <f t="shared" si="42"/>
        <v>75</v>
      </c>
      <c r="B78" s="86" t="s">
        <v>539</v>
      </c>
      <c r="C78" s="291">
        <f>IF(B78=B77,C77,SUMIF('Date masura OD'!$G:$G,B78,'Date masura OD'!$R:$R))</f>
        <v>1343360</v>
      </c>
      <c r="D78" s="291">
        <f>IFERROR(IF(VLOOKUP(B78,'Date masura OD'!$G$76:$BF$187,52,FALSE)&lt;0,-VLOOKUP(B78,'Date masura OD'!$G$76:$BF$187,52,FALSE),0),0)</f>
        <v>0</v>
      </c>
      <c r="E78" s="291">
        <v>0</v>
      </c>
      <c r="F78" s="291">
        <v>0</v>
      </c>
      <c r="G78" s="89" t="s">
        <v>613</v>
      </c>
      <c r="H78" s="312">
        <f>IF(C78=0,0,IF(RIGHT(G78,1)="N",ROUNDUP(C78*1.5%,0),IF(LEN(RIGHT(G78,LEN(G78)-FIND("_",G78,1)))=1,SUMIF('Date masura OD'!$G:$G,G78,'Date masura OD'!$R:$R),AK78)))</f>
        <v>298014</v>
      </c>
      <c r="I78" s="184">
        <f>VLOOKUP(G78,'Contorizare in SDI'!E:M,7,FALSE)</f>
        <v>0</v>
      </c>
      <c r="J78" s="88">
        <f>VLOOKUP(G78,'Contorizare in SDI'!$E:$M,$J$1-2,FALSE)</f>
        <v>149</v>
      </c>
      <c r="K78" s="88">
        <f>VLOOKUP(G78,'Contorizare in SDI'!$E:$M,$K$1-2,FALSE)</f>
        <v>15277</v>
      </c>
      <c r="L78" s="89" t="s">
        <v>680</v>
      </c>
      <c r="M78" s="87">
        <v>0</v>
      </c>
      <c r="N78" s="88">
        <f>IF(COUNTIF(L78,"-")=1,0,VLOOKUP(L78,'Contorizare in SDI'!$F:$R,$N$1-3,FALSE))</f>
        <v>64628</v>
      </c>
      <c r="O78" s="88">
        <f>IF(COUNTIF(L78,"-")=1,0,VLOOKUP(L78,'Contorizare in SDI'!$F:$R,$O$1-3,FALSE))</f>
        <v>673</v>
      </c>
      <c r="P78" s="88">
        <f>IF(COUNTIF(L78,"-")=1,0,VLOOKUP(L78,'Contorizare in SDI'!$F:$R,$P$1-3,FALSE))</f>
        <v>4207</v>
      </c>
      <c r="Q78" s="88">
        <f t="shared" si="34"/>
        <v>298014</v>
      </c>
      <c r="R78" s="88">
        <f t="shared" si="35"/>
        <v>64628</v>
      </c>
      <c r="S78" s="321">
        <v>0</v>
      </c>
      <c r="T78" s="88">
        <f t="shared" si="36"/>
        <v>4471</v>
      </c>
      <c r="U78" s="90" t="s">
        <v>514</v>
      </c>
      <c r="V78" s="580">
        <f>SUM(H78:H81)+SUM(N78:N81)</f>
        <v>1387837</v>
      </c>
      <c r="W78" s="580">
        <f>SUM(Q78:S81)</f>
        <v>1387837</v>
      </c>
      <c r="X78" s="580">
        <f>C78</f>
        <v>1343360</v>
      </c>
      <c r="Y78" s="582">
        <f>SUM(H78:H81)+SUM(T78:T81)</f>
        <v>1343360</v>
      </c>
      <c r="AA78" t="str">
        <f>IF(B71&lt;&gt;B78,IF(V78=W78,"OK","Not OK"),"")</f>
        <v>OK</v>
      </c>
      <c r="AB78" t="str">
        <f>IF(B71&lt;&gt;B78,IF(X78=Y78,"OK","Not OK"),"")</f>
        <v>OK</v>
      </c>
      <c r="AE78" t="str">
        <f t="shared" si="30"/>
        <v>-</v>
      </c>
      <c r="AF78">
        <f>IF(LEFT(VLOOKUP(G78,'Contorizare in SDI'!$E:$M,5,FALSE),1)="V",C78,VLOOKUP(G78,'Contorizare in SDI'!$E:$M,6,FALSE))</f>
        <v>289990</v>
      </c>
      <c r="AG78">
        <f t="shared" si="31"/>
        <v>289990</v>
      </c>
      <c r="AH78">
        <f t="shared" si="39"/>
        <v>0</v>
      </c>
      <c r="AI78">
        <f t="shared" si="27"/>
        <v>298014</v>
      </c>
      <c r="AJ78">
        <f t="shared" si="40"/>
        <v>298014</v>
      </c>
      <c r="AK78">
        <f t="shared" si="25"/>
        <v>298014</v>
      </c>
      <c r="AL78">
        <f t="shared" si="28"/>
        <v>4471</v>
      </c>
      <c r="AM78">
        <f t="shared" si="41"/>
        <v>4471</v>
      </c>
      <c r="AN78">
        <f t="shared" si="29"/>
        <v>0</v>
      </c>
      <c r="AP78" t="str">
        <f t="shared" si="32"/>
        <v>-</v>
      </c>
      <c r="AQ78">
        <f t="shared" si="33"/>
        <v>0</v>
      </c>
    </row>
    <row r="79" spans="1:43" ht="16.5" thickBot="1">
      <c r="A79" s="91">
        <f t="shared" si="42"/>
        <v>76</v>
      </c>
      <c r="B79" s="30" t="s">
        <v>539</v>
      </c>
      <c r="C79" s="291">
        <f>IF(B79=B78,C78,SUMIF('Date masura OD'!$G:$G,B79,'Date masura OD'!$R:$R))</f>
        <v>1343360</v>
      </c>
      <c r="D79" s="291">
        <f>IFERROR(IF(VLOOKUP(B79,'Date masura OD'!$G$76:$BF$187,52,FALSE)&lt;0,-VLOOKUP(B79,'Date masura OD'!$G$76:$BF$187,52,FALSE),0),0)</f>
        <v>0</v>
      </c>
      <c r="E79" s="291">
        <v>0</v>
      </c>
      <c r="F79" s="291">
        <v>0</v>
      </c>
      <c r="G79" s="29" t="s">
        <v>614</v>
      </c>
      <c r="H79" s="312">
        <f>IF(C79=0,0,IF(RIGHT(G79,1)="N",ROUNDUP(C79*1.5%,0),IF(LEN(RIGHT(G79,LEN(G79)-FIND("_",G79,1)))=1,SUMIF('Date masura OD'!$G:$G,G79,'Date masura OD'!$R:$R),AK79)))</f>
        <v>322348</v>
      </c>
      <c r="I79" s="184">
        <f>VLOOKUP(G79,'Contorizare in SDI'!E:M,7,FALSE)</f>
        <v>0</v>
      </c>
      <c r="J79" s="88">
        <f>VLOOKUP(G79,'Contorizare in SDI'!$E:$M,$J$1-2,FALSE)</f>
        <v>14281</v>
      </c>
      <c r="K79" s="88">
        <f>VLOOKUP(G79,'Contorizare in SDI'!$E:$M,$K$1-2,FALSE)</f>
        <v>5640</v>
      </c>
      <c r="L79" s="29" t="s">
        <v>69</v>
      </c>
      <c r="M79" s="87">
        <v>0</v>
      </c>
      <c r="N79" s="88">
        <f>IF(COUNTIF(L79,"-")=1,0,VLOOKUP(L79,'Contorizare in SDI'!$F:$R,$N$1-3,FALSE))</f>
        <v>0</v>
      </c>
      <c r="O79" s="88">
        <f>IF(COUNTIF(L79,"-")=1,0,VLOOKUP(L79,'Contorizare in SDI'!$F:$R,$O$1-3,FALSE))</f>
        <v>0</v>
      </c>
      <c r="P79" s="88">
        <f>IF(COUNTIF(L79,"-")=1,0,VLOOKUP(L79,'Contorizare in SDI'!$F:$R,$P$1-3,FALSE))</f>
        <v>0</v>
      </c>
      <c r="Q79" s="88">
        <f t="shared" si="34"/>
        <v>322348</v>
      </c>
      <c r="R79" s="88">
        <f t="shared" si="35"/>
        <v>0</v>
      </c>
      <c r="S79" s="1">
        <f>I78</f>
        <v>0</v>
      </c>
      <c r="T79" s="88">
        <f t="shared" si="36"/>
        <v>4836</v>
      </c>
      <c r="U79" s="17" t="s">
        <v>514</v>
      </c>
      <c r="V79" s="581"/>
      <c r="W79" s="581"/>
      <c r="X79" s="581"/>
      <c r="Y79" s="583"/>
      <c r="AA79" t="str">
        <f t="shared" si="37"/>
        <v/>
      </c>
      <c r="AB79" t="str">
        <f t="shared" si="38"/>
        <v/>
      </c>
      <c r="AE79" t="str">
        <f t="shared" si="30"/>
        <v>-</v>
      </c>
      <c r="AF79">
        <f>IF(LEFT(VLOOKUP(G79,'Contorizare in SDI'!$E:$M,5,FALSE),1)="V",C79,VLOOKUP(G79,'Contorizare in SDI'!$E:$M,6,FALSE))</f>
        <v>313669</v>
      </c>
      <c r="AG79">
        <f t="shared" si="31"/>
        <v>603659</v>
      </c>
      <c r="AH79">
        <f t="shared" si="39"/>
        <v>0</v>
      </c>
      <c r="AI79">
        <f t="shared" si="27"/>
        <v>322348</v>
      </c>
      <c r="AJ79">
        <f t="shared" si="40"/>
        <v>620362</v>
      </c>
      <c r="AK79">
        <f t="shared" si="25"/>
        <v>322348</v>
      </c>
      <c r="AL79">
        <f t="shared" si="28"/>
        <v>4836</v>
      </c>
      <c r="AM79">
        <f t="shared" si="41"/>
        <v>9307</v>
      </c>
      <c r="AN79">
        <f t="shared" si="29"/>
        <v>0</v>
      </c>
      <c r="AP79" t="str">
        <f t="shared" si="32"/>
        <v>-</v>
      </c>
      <c r="AQ79">
        <f t="shared" si="33"/>
        <v>0</v>
      </c>
    </row>
    <row r="80" spans="1:43" ht="16.5" thickBot="1">
      <c r="A80" s="91">
        <f t="shared" si="42"/>
        <v>77</v>
      </c>
      <c r="B80" s="30" t="s">
        <v>539</v>
      </c>
      <c r="C80" s="291">
        <f>IF(B80=B79,C79,SUMIF('Date masura OD'!$G:$G,B80,'Date masura OD'!$R:$R))</f>
        <v>1343360</v>
      </c>
      <c r="D80" s="291">
        <f>IFERROR(IF(VLOOKUP(B80,'Date masura OD'!$G$76:$BF$187,52,FALSE)&lt;0,-VLOOKUP(B80,'Date masura OD'!$G$76:$BF$187,52,FALSE),0),0)</f>
        <v>0</v>
      </c>
      <c r="E80" s="291">
        <v>0</v>
      </c>
      <c r="F80" s="291">
        <v>0</v>
      </c>
      <c r="G80" s="29" t="s">
        <v>615</v>
      </c>
      <c r="H80" s="312">
        <f>IF(C80=0,0,IF(RIGHT(G80,1)="N",ROUNDUP(C80*1.5%,0),IF(LEN(RIGHT(G80,LEN(G80)-FIND("_",G80,1)))=1,SUMIF('Date masura OD'!$G:$G,G80,'Date masura OD'!$R:$R),AK80)))</f>
        <v>441294</v>
      </c>
      <c r="I80" s="184">
        <f>VLOOKUP(G80,'Contorizare in SDI'!E:M,7,FALSE)</f>
        <v>0</v>
      </c>
      <c r="J80" s="88">
        <f>VLOOKUP(G80,'Contorizare in SDI'!$E:$M,$J$1-2,FALSE)</f>
        <v>0</v>
      </c>
      <c r="K80" s="88">
        <f>VLOOKUP(G80,'Contorizare in SDI'!$E:$M,$K$1-2,FALSE)</f>
        <v>11</v>
      </c>
      <c r="L80" s="29" t="s">
        <v>69</v>
      </c>
      <c r="M80" s="87">
        <v>0</v>
      </c>
      <c r="N80" s="88">
        <f>IF(COUNTIF(L80,"-")=1,0,VLOOKUP(L80,'Contorizare in SDI'!$F:$R,$N$1-3,FALSE))</f>
        <v>0</v>
      </c>
      <c r="O80" s="88">
        <f>IF(COUNTIF(L80,"-")=1,0,VLOOKUP(L80,'Contorizare in SDI'!$F:$R,$O$1-3,FALSE))</f>
        <v>0</v>
      </c>
      <c r="P80" s="88">
        <f>IF(COUNTIF(L80,"-")=1,0,VLOOKUP(L80,'Contorizare in SDI'!$F:$R,$P$1-3,FALSE))</f>
        <v>0</v>
      </c>
      <c r="Q80" s="88">
        <f t="shared" si="34"/>
        <v>441294</v>
      </c>
      <c r="R80" s="88">
        <f t="shared" si="35"/>
        <v>0</v>
      </c>
      <c r="S80" s="321">
        <v>0</v>
      </c>
      <c r="T80" s="88">
        <f t="shared" si="36"/>
        <v>6620</v>
      </c>
      <c r="U80" s="17" t="s">
        <v>514</v>
      </c>
      <c r="V80" s="581"/>
      <c r="W80" s="581"/>
      <c r="X80" s="581"/>
      <c r="Y80" s="583"/>
      <c r="AA80" t="str">
        <f t="shared" si="37"/>
        <v/>
      </c>
      <c r="AB80" t="str">
        <f t="shared" si="38"/>
        <v/>
      </c>
      <c r="AE80" t="str">
        <f t="shared" si="30"/>
        <v>-</v>
      </c>
      <c r="AF80">
        <f>IF(LEFT(VLOOKUP(G80,'Contorizare in SDI'!$E:$M,5,FALSE),1)="V",C80,VLOOKUP(G80,'Contorizare in SDI'!$E:$M,6,FALSE))</f>
        <v>429413</v>
      </c>
      <c r="AG80">
        <f t="shared" si="31"/>
        <v>1033072</v>
      </c>
      <c r="AH80">
        <f t="shared" si="39"/>
        <v>0</v>
      </c>
      <c r="AI80">
        <f t="shared" si="27"/>
        <v>441294</v>
      </c>
      <c r="AJ80">
        <f t="shared" si="40"/>
        <v>1061656</v>
      </c>
      <c r="AK80">
        <f t="shared" si="25"/>
        <v>441294</v>
      </c>
      <c r="AL80">
        <f t="shared" si="28"/>
        <v>6620</v>
      </c>
      <c r="AM80">
        <f t="shared" si="41"/>
        <v>15927</v>
      </c>
      <c r="AN80">
        <f t="shared" si="29"/>
        <v>0</v>
      </c>
      <c r="AP80" t="str">
        <f t="shared" si="32"/>
        <v>-</v>
      </c>
      <c r="AQ80">
        <f t="shared" si="33"/>
        <v>0</v>
      </c>
    </row>
    <row r="81" spans="1:43" ht="16.5" thickBot="1">
      <c r="A81" s="91">
        <f t="shared" si="42"/>
        <v>78</v>
      </c>
      <c r="B81" s="30" t="s">
        <v>539</v>
      </c>
      <c r="C81" s="291">
        <f>IF(B81=B80,C80,SUMIF('Date masura OD'!$G:$G,B81,'Date masura OD'!$R:$R))</f>
        <v>1343360</v>
      </c>
      <c r="D81" s="291">
        <f>IFERROR(IF(VLOOKUP(B81,'Date masura OD'!$G$76:$BF$187,52,FALSE)&lt;0,-VLOOKUP(B81,'Date masura OD'!$G$76:$BF$187,52,FALSE),0),0)</f>
        <v>0</v>
      </c>
      <c r="E81" s="291">
        <v>0</v>
      </c>
      <c r="F81" s="291">
        <v>0</v>
      </c>
      <c r="G81" s="29" t="s">
        <v>616</v>
      </c>
      <c r="H81" s="312">
        <f>IF(C81=0,0,IF(RIGHT(G81,1)="N",ROUNDUP(C81*1.5%,0),IF(LEN(RIGHT(G81,LEN(G81)-FIND("_",G81,1)))=1,SUMIF('Date masura OD'!$G:$G,G81,'Date masura OD'!$R:$R),AK81)))</f>
        <v>261553</v>
      </c>
      <c r="I81" s="184">
        <f>VLOOKUP(G81,'Contorizare in SDI'!E:M,7,FALSE)</f>
        <v>0</v>
      </c>
      <c r="J81" s="88">
        <f>VLOOKUP(G81,'Contorizare in SDI'!$E:$M,$J$1-2,FALSE)</f>
        <v>0</v>
      </c>
      <c r="K81" s="88">
        <f>VLOOKUP(G81,'Contorizare in SDI'!$E:$M,$K$1-2,FALSE)</f>
        <v>842</v>
      </c>
      <c r="L81" s="29" t="s">
        <v>69</v>
      </c>
      <c r="M81" s="87">
        <v>0</v>
      </c>
      <c r="N81" s="88">
        <f>IF(COUNTIF(L81,"-")=1,0,VLOOKUP(L81,'Contorizare in SDI'!$F:$R,$N$1-3,FALSE))</f>
        <v>0</v>
      </c>
      <c r="O81" s="88">
        <f>IF(COUNTIF(L81,"-")=1,0,VLOOKUP(L81,'Contorizare in SDI'!$F:$R,$O$1-3,FALSE))</f>
        <v>0</v>
      </c>
      <c r="P81" s="88">
        <f>IF(COUNTIF(L81,"-")=1,0,VLOOKUP(L81,'Contorizare in SDI'!$F:$R,$P$1-3,FALSE))</f>
        <v>0</v>
      </c>
      <c r="Q81" s="88">
        <f t="shared" si="34"/>
        <v>261553</v>
      </c>
      <c r="R81" s="88">
        <f t="shared" si="35"/>
        <v>0</v>
      </c>
      <c r="S81" s="321">
        <v>0</v>
      </c>
      <c r="T81" s="88">
        <f t="shared" si="36"/>
        <v>4224</v>
      </c>
      <c r="U81" s="17" t="s">
        <v>514</v>
      </c>
      <c r="V81" s="581"/>
      <c r="W81" s="581"/>
      <c r="X81" s="581"/>
      <c r="Y81" s="583"/>
      <c r="AA81" t="str">
        <f t="shared" si="37"/>
        <v/>
      </c>
      <c r="AB81" t="str">
        <f t="shared" si="38"/>
        <v/>
      </c>
      <c r="AE81" t="str">
        <f t="shared" si="30"/>
        <v>-</v>
      </c>
      <c r="AF81">
        <f>IF(LEFT(VLOOKUP(G81,'Contorizare in SDI'!$E:$M,5,FALSE),1)="V",C81,VLOOKUP(G81,'Contorizare in SDI'!$E:$M,6,FALSE))</f>
        <v>294272</v>
      </c>
      <c r="AG81">
        <f t="shared" si="31"/>
        <v>1327344</v>
      </c>
      <c r="AH81">
        <f t="shared" si="39"/>
        <v>0</v>
      </c>
      <c r="AI81">
        <f t="shared" si="27"/>
        <v>302414</v>
      </c>
      <c r="AJ81">
        <f t="shared" si="40"/>
        <v>1364070</v>
      </c>
      <c r="AK81">
        <f t="shared" si="25"/>
        <v>261553</v>
      </c>
      <c r="AL81">
        <f t="shared" si="28"/>
        <v>4224</v>
      </c>
      <c r="AM81">
        <f t="shared" si="41"/>
        <v>20151</v>
      </c>
      <c r="AN81">
        <f t="shared" si="29"/>
        <v>0</v>
      </c>
      <c r="AP81" t="str">
        <f t="shared" si="32"/>
        <v>-</v>
      </c>
      <c r="AQ81">
        <f t="shared" si="33"/>
        <v>0</v>
      </c>
    </row>
    <row r="82" spans="1:43" ht="16.5" thickBot="1">
      <c r="A82" s="91">
        <f t="shared" si="42"/>
        <v>79</v>
      </c>
      <c r="B82" s="30" t="s">
        <v>539</v>
      </c>
      <c r="C82" s="291">
        <f>IF(B82=B81,C81,SUMIF('Date masura OD'!$G:$G,B82,'Date masura OD'!$R:$R))</f>
        <v>1343360</v>
      </c>
      <c r="D82" s="291">
        <f>IFERROR(IF(VLOOKUP(B82,'Date masura OD'!$G$76:$BF$187,52,FALSE)&lt;0,-VLOOKUP(B82,'Date masura OD'!$G$76:$BF$187,52,FALSE),0),0)</f>
        <v>0</v>
      </c>
      <c r="E82" s="291">
        <v>0</v>
      </c>
      <c r="F82" s="291">
        <v>0</v>
      </c>
      <c r="G82" s="29" t="s">
        <v>973</v>
      </c>
      <c r="H82" s="312">
        <f>IF(C82=0,0,IF(RIGHT(G82,1)="N",ROUNDUP(C82*1.5%,0),IF(LEN(RIGHT(G82,LEN(G82)-FIND("_",G82,1)))=1,SUMIF('Date masura OD'!$G:$G,G82,'Date masura OD'!$R:$R),AK82)))</f>
        <v>20151</v>
      </c>
      <c r="I82" s="184">
        <f>VLOOKUP(G82,'Contorizare in SDI'!E:M,7,FALSE)</f>
        <v>0</v>
      </c>
      <c r="J82" s="88">
        <f>VLOOKUP(G82,'Contorizare in SDI'!$E:$M,$J$1-2,FALSE)</f>
        <v>0</v>
      </c>
      <c r="K82" s="88">
        <f>VLOOKUP(G82,'Contorizare in SDI'!$E:$M,$K$1-2,FALSE)</f>
        <v>0</v>
      </c>
      <c r="L82" s="29" t="s">
        <v>69</v>
      </c>
      <c r="M82" s="87">
        <v>0</v>
      </c>
      <c r="N82" s="88">
        <f>IF(COUNTIF(L82,"-")=1,0,VLOOKUP(L82,'Contorizare in SDI'!$F:$R,$N$1-3,FALSE))</f>
        <v>0</v>
      </c>
      <c r="O82" s="88">
        <f>IF(COUNTIF(L82,"-")=1,0,VLOOKUP(L82,'Contorizare in SDI'!$F:$R,$O$1-3,FALSE))</f>
        <v>0</v>
      </c>
      <c r="P82" s="88">
        <f>IF(COUNTIF(L82,"-")=1,0,VLOOKUP(L82,'Contorizare in SDI'!$F:$R,$P$1-3,FALSE))</f>
        <v>0</v>
      </c>
      <c r="Q82" s="88">
        <f t="shared" si="34"/>
        <v>0</v>
      </c>
      <c r="R82" s="88">
        <f t="shared" si="35"/>
        <v>0</v>
      </c>
      <c r="S82" s="321">
        <v>0</v>
      </c>
      <c r="T82" s="88">
        <f t="shared" si="36"/>
        <v>0</v>
      </c>
      <c r="U82" s="17" t="s">
        <v>69</v>
      </c>
      <c r="V82" s="581"/>
      <c r="W82" s="581"/>
      <c r="X82" s="581"/>
      <c r="Y82" s="583"/>
      <c r="AA82" t="str">
        <f t="shared" si="37"/>
        <v/>
      </c>
      <c r="AB82" t="str">
        <f t="shared" si="38"/>
        <v/>
      </c>
      <c r="AE82" t="str">
        <f t="shared" si="30"/>
        <v>RPMB_1</v>
      </c>
      <c r="AF82">
        <f>IF(LEFT(VLOOKUP(G82,'Contorizare in SDI'!$E:$M,5,FALSE),1)="V",C82,VLOOKUP(G82,'Contorizare in SDI'!$E:$M,6,FALSE))</f>
        <v>0</v>
      </c>
      <c r="AG82">
        <f t="shared" si="31"/>
        <v>1327344</v>
      </c>
      <c r="AH82">
        <f t="shared" si="39"/>
        <v>20151</v>
      </c>
      <c r="AI82">
        <f t="shared" si="27"/>
        <v>0</v>
      </c>
      <c r="AJ82">
        <f t="shared" si="40"/>
        <v>1364070</v>
      </c>
      <c r="AK82">
        <f t="shared" ref="AK82:AK113" si="43">IF(RIGHT(G83,1)="N",C82-IF(RIGHT(G82,1)-1&gt;0,AJ81,0)-VLOOKUP(B82,$AE:$AH,4,FALSE),AI82)</f>
        <v>0</v>
      </c>
      <c r="AL82">
        <f t="shared" si="28"/>
        <v>0</v>
      </c>
      <c r="AM82">
        <f t="shared" si="41"/>
        <v>0</v>
      </c>
      <c r="AN82">
        <f t="shared" si="29"/>
        <v>0</v>
      </c>
      <c r="AP82" t="str">
        <f t="shared" si="32"/>
        <v>-</v>
      </c>
      <c r="AQ82">
        <f t="shared" si="33"/>
        <v>20151</v>
      </c>
    </row>
    <row r="83" spans="1:43" ht="16.5" thickBot="1">
      <c r="A83" s="91">
        <f t="shared" si="42"/>
        <v>80</v>
      </c>
      <c r="B83" s="30" t="s">
        <v>540</v>
      </c>
      <c r="C83" s="291">
        <f>IF(B83=B82,C82,SUMIF('Date masura OD'!$G:$G,B83,'Date masura OD'!$R:$R))</f>
        <v>63360</v>
      </c>
      <c r="D83" s="291">
        <f>IFERROR(IF(VLOOKUP(B83,'Date masura OD'!$G$76:$BF$187,52,FALSE)&lt;0,-VLOOKUP(B83,'Date masura OD'!$G$76:$BF$187,52,FALSE),0),0)</f>
        <v>0</v>
      </c>
      <c r="E83" s="291">
        <v>0</v>
      </c>
      <c r="F83" s="291">
        <v>0</v>
      </c>
      <c r="G83" s="109" t="s">
        <v>540</v>
      </c>
      <c r="H83" s="312">
        <f>IF(C83=0,0,IF(RIGHT(G83,1)="N",ROUNDUP(C83*1.5%,0),IF(LEN(RIGHT(G83,LEN(G83)-FIND("_",G83,1)))=1,SUMIF('Date masura OD'!$G:$G,G83,'Date masura OD'!$R:$R),AK83)))</f>
        <v>63360</v>
      </c>
      <c r="I83" s="184">
        <f>VLOOKUP(G83,'Contorizare in SDI'!E:M,7,FALSE)</f>
        <v>0</v>
      </c>
      <c r="J83" s="88">
        <f>VLOOKUP(G83,'Contorizare in SDI'!$E:$M,$J$1-2,FALSE)</f>
        <v>0</v>
      </c>
      <c r="K83" s="88">
        <f>VLOOKUP(G83,'Contorizare in SDI'!$E:$M,$K$1-2,FALSE)</f>
        <v>0</v>
      </c>
      <c r="L83" s="29" t="s">
        <v>69</v>
      </c>
      <c r="M83" s="87">
        <v>0</v>
      </c>
      <c r="N83" s="88">
        <f>IF(COUNTIF(L83,"-")=1,0,VLOOKUP(L83,'Contorizare in SDI'!$F:$R,$N$1-3,FALSE))</f>
        <v>0</v>
      </c>
      <c r="O83" s="88">
        <f>IF(COUNTIF(L83,"-")=1,0,VLOOKUP(L83,'Contorizare in SDI'!$F:$R,$O$1-3,FALSE))</f>
        <v>0</v>
      </c>
      <c r="P83" s="88">
        <f>IF(COUNTIF(L83,"-")=1,0,VLOOKUP(L83,'Contorizare in SDI'!$F:$R,$P$1-3,FALSE))</f>
        <v>0</v>
      </c>
      <c r="Q83" s="88">
        <f t="shared" si="34"/>
        <v>63360</v>
      </c>
      <c r="R83" s="88">
        <f t="shared" si="35"/>
        <v>0</v>
      </c>
      <c r="S83" s="321">
        <v>0</v>
      </c>
      <c r="T83" s="88">
        <f t="shared" si="36"/>
        <v>0</v>
      </c>
      <c r="U83" s="17" t="s">
        <v>517</v>
      </c>
      <c r="V83" s="17" t="s">
        <v>69</v>
      </c>
      <c r="W83" s="17" t="s">
        <v>69</v>
      </c>
      <c r="X83" s="17" t="s">
        <v>69</v>
      </c>
      <c r="Y83" s="98" t="s">
        <v>69</v>
      </c>
      <c r="AA83" t="str">
        <f t="shared" si="37"/>
        <v>OK</v>
      </c>
      <c r="AB83" t="str">
        <f t="shared" si="38"/>
        <v>OK</v>
      </c>
      <c r="AE83" t="str">
        <f t="shared" si="30"/>
        <v>RPMB_2</v>
      </c>
      <c r="AF83">
        <f>IF(LEFT(VLOOKUP(G83,'Contorizare in SDI'!$E:$M,5,FALSE),1)="V",C83,VLOOKUP(G83,'Contorizare in SDI'!$E:$M,6,FALSE))</f>
        <v>63360</v>
      </c>
      <c r="AG83">
        <f t="shared" si="31"/>
        <v>63360</v>
      </c>
      <c r="AH83">
        <f t="shared" si="39"/>
        <v>0</v>
      </c>
      <c r="AI83">
        <f t="shared" si="27"/>
        <v>63360</v>
      </c>
      <c r="AJ83">
        <f t="shared" si="40"/>
        <v>63360</v>
      </c>
      <c r="AK83">
        <f t="shared" si="43"/>
        <v>63360</v>
      </c>
      <c r="AL83">
        <f t="shared" si="28"/>
        <v>0</v>
      </c>
      <c r="AM83">
        <f t="shared" si="41"/>
        <v>0</v>
      </c>
      <c r="AN83">
        <f t="shared" si="29"/>
        <v>0</v>
      </c>
      <c r="AP83" t="str">
        <f t="shared" si="32"/>
        <v>-</v>
      </c>
      <c r="AQ83">
        <f t="shared" si="33"/>
        <v>20151</v>
      </c>
    </row>
    <row r="84" spans="1:43" ht="16.5" thickBot="1">
      <c r="A84" s="91">
        <f t="shared" si="42"/>
        <v>81</v>
      </c>
      <c r="B84" s="30" t="s">
        <v>541</v>
      </c>
      <c r="C84" s="291">
        <f>IF(B84=B83,C83,SUMIF('Date masura OD'!$G:$G,B84,'Date masura OD'!$R:$R))</f>
        <v>611</v>
      </c>
      <c r="D84" s="291">
        <f>IFERROR(IF(VLOOKUP(B84,'Date masura OD'!$G$76:$BF$187,52,FALSE)&lt;0,-VLOOKUP(B84,'Date masura OD'!$G$76:$BF$187,52,FALSE),0),0)</f>
        <v>0</v>
      </c>
      <c r="E84" s="291">
        <v>0</v>
      </c>
      <c r="F84" s="291">
        <v>0</v>
      </c>
      <c r="G84" s="109" t="s">
        <v>541</v>
      </c>
      <c r="H84" s="312">
        <f>IF(C84=0,0,IF(RIGHT(G84,1)="N",ROUNDUP(C84*1.5%,0),IF(LEN(RIGHT(G84,LEN(G84)-FIND("_",G84,1)))=1,SUMIF('Date masura OD'!$G:$G,G84,'Date masura OD'!$R:$R),AK84)))</f>
        <v>611</v>
      </c>
      <c r="I84" s="184">
        <f>VLOOKUP(G84,'Contorizare in SDI'!E:M,7,FALSE)</f>
        <v>0</v>
      </c>
      <c r="J84" s="88">
        <f>VLOOKUP(G84,'Contorizare in SDI'!$E:$M,$J$1-2,FALSE)</f>
        <v>0</v>
      </c>
      <c r="K84" s="88">
        <f>VLOOKUP(G84,'Contorizare in SDI'!$E:$M,$K$1-2,FALSE)</f>
        <v>0</v>
      </c>
      <c r="L84" s="29" t="s">
        <v>69</v>
      </c>
      <c r="M84" s="87">
        <v>0</v>
      </c>
      <c r="N84" s="88">
        <f>IF(COUNTIF(L84,"-")=1,0,VLOOKUP(L84,'Contorizare in SDI'!$F:$R,$N$1-3,FALSE))</f>
        <v>0</v>
      </c>
      <c r="O84" s="88">
        <f>IF(COUNTIF(L84,"-")=1,0,VLOOKUP(L84,'Contorizare in SDI'!$F:$R,$O$1-3,FALSE))</f>
        <v>0</v>
      </c>
      <c r="P84" s="88">
        <f>IF(COUNTIF(L84,"-")=1,0,VLOOKUP(L84,'Contorizare in SDI'!$F:$R,$P$1-3,FALSE))</f>
        <v>0</v>
      </c>
      <c r="Q84" s="88">
        <f t="shared" si="34"/>
        <v>611</v>
      </c>
      <c r="R84" s="88">
        <f t="shared" si="35"/>
        <v>0</v>
      </c>
      <c r="S84" s="321">
        <v>0</v>
      </c>
      <c r="T84" s="88">
        <f t="shared" si="36"/>
        <v>0</v>
      </c>
      <c r="U84" s="17" t="s">
        <v>516</v>
      </c>
      <c r="V84" s="17" t="s">
        <v>69</v>
      </c>
      <c r="W84" s="17" t="s">
        <v>69</v>
      </c>
      <c r="X84" s="17" t="s">
        <v>69</v>
      </c>
      <c r="Y84" s="98" t="s">
        <v>69</v>
      </c>
      <c r="AA84" t="str">
        <f t="shared" si="37"/>
        <v>OK</v>
      </c>
      <c r="AB84" t="str">
        <f t="shared" si="38"/>
        <v>OK</v>
      </c>
      <c r="AE84" t="str">
        <f t="shared" si="30"/>
        <v>RPMB_3</v>
      </c>
      <c r="AF84">
        <f>IF(LEFT(VLOOKUP(G84,'Contorizare in SDI'!$E:$M,5,FALSE),1)="V",C84,VLOOKUP(G84,'Contorizare in SDI'!$E:$M,6,FALSE))</f>
        <v>611</v>
      </c>
      <c r="AG84">
        <f t="shared" si="31"/>
        <v>611</v>
      </c>
      <c r="AH84">
        <f t="shared" si="39"/>
        <v>0</v>
      </c>
      <c r="AI84">
        <f t="shared" si="27"/>
        <v>611</v>
      </c>
      <c r="AJ84">
        <f t="shared" si="40"/>
        <v>611</v>
      </c>
      <c r="AK84">
        <f t="shared" si="43"/>
        <v>611</v>
      </c>
      <c r="AL84">
        <f t="shared" si="28"/>
        <v>0</v>
      </c>
      <c r="AM84">
        <f t="shared" si="41"/>
        <v>0</v>
      </c>
      <c r="AN84">
        <f t="shared" si="29"/>
        <v>0</v>
      </c>
      <c r="AP84" t="str">
        <f t="shared" si="32"/>
        <v>-</v>
      </c>
      <c r="AQ84">
        <f t="shared" si="33"/>
        <v>20151</v>
      </c>
    </row>
    <row r="85" spans="1:43" ht="16.5" thickBot="1">
      <c r="A85" s="91">
        <f t="shared" si="42"/>
        <v>82</v>
      </c>
      <c r="B85" s="93" t="s">
        <v>542</v>
      </c>
      <c r="C85" s="291">
        <f>IF(B85=B84,C84,SUMIF('Date masura OD'!$G:$G,B85,'Date masura OD'!$R:$R))</f>
        <v>3543</v>
      </c>
      <c r="D85" s="291">
        <f>IFERROR(IF(VLOOKUP(B85,'Date masura OD'!$G$76:$BF$187,52,FALSE)&lt;0,-VLOOKUP(B85,'Date masura OD'!$G$76:$BF$187,52,FALSE),0),0)</f>
        <v>0</v>
      </c>
      <c r="E85" s="291">
        <v>0</v>
      </c>
      <c r="F85" s="291">
        <v>0</v>
      </c>
      <c r="G85" s="109" t="s">
        <v>542</v>
      </c>
      <c r="H85" s="312">
        <f>IF(C85=0,0,IF(RIGHT(G85,1)="N",ROUNDUP(C85*1.5%,0),IF(LEN(RIGHT(G85,LEN(G85)-FIND("_",G85,1)))=1,SUMIF('Date masura OD'!$G:$G,G85,'Date masura OD'!$R:$R),AK85)))</f>
        <v>3543</v>
      </c>
      <c r="I85" s="184">
        <f>VLOOKUP(G85,'Contorizare in SDI'!E:M,7,FALSE)</f>
        <v>0</v>
      </c>
      <c r="J85" s="88">
        <f>VLOOKUP(G85,'Contorizare in SDI'!$E:$M,$J$1-2,FALSE)</f>
        <v>0</v>
      </c>
      <c r="K85" s="88">
        <f>VLOOKUP(G85,'Contorizare in SDI'!$E:$M,$K$1-2,FALSE)</f>
        <v>0</v>
      </c>
      <c r="L85" s="94" t="s">
        <v>69</v>
      </c>
      <c r="M85" s="87">
        <v>0</v>
      </c>
      <c r="N85" s="88">
        <f>IF(COUNTIF(L85,"-")=1,0,VLOOKUP(L85,'Contorizare in SDI'!$F:$R,$N$1-3,FALSE))</f>
        <v>0</v>
      </c>
      <c r="O85" s="88">
        <f>IF(COUNTIF(L85,"-")=1,0,VLOOKUP(L85,'Contorizare in SDI'!$F:$R,$O$1-3,FALSE))</f>
        <v>0</v>
      </c>
      <c r="P85" s="88">
        <f>IF(COUNTIF(L85,"-")=1,0,VLOOKUP(L85,'Contorizare in SDI'!$F:$R,$P$1-3,FALSE))</f>
        <v>0</v>
      </c>
      <c r="Q85" s="88">
        <f t="shared" si="34"/>
        <v>3543</v>
      </c>
      <c r="R85" s="88">
        <f t="shared" si="35"/>
        <v>0</v>
      </c>
      <c r="S85" s="321">
        <v>0</v>
      </c>
      <c r="T85" s="88">
        <f t="shared" si="36"/>
        <v>0</v>
      </c>
      <c r="U85" s="95" t="s">
        <v>516</v>
      </c>
      <c r="V85" s="95" t="s">
        <v>69</v>
      </c>
      <c r="W85" s="95" t="s">
        <v>69</v>
      </c>
      <c r="X85" s="95" t="s">
        <v>69</v>
      </c>
      <c r="Y85" s="96" t="s">
        <v>69</v>
      </c>
      <c r="AA85" t="str">
        <f t="shared" si="37"/>
        <v>OK</v>
      </c>
      <c r="AB85" t="str">
        <f t="shared" si="38"/>
        <v>OK</v>
      </c>
      <c r="AE85" t="str">
        <f t="shared" si="30"/>
        <v>RPMB_4</v>
      </c>
      <c r="AF85">
        <f>IF(LEFT(VLOOKUP(G85,'Contorizare in SDI'!$E:$M,5,FALSE),1)="V",C85,VLOOKUP(G85,'Contorizare in SDI'!$E:$M,6,FALSE))</f>
        <v>3543</v>
      </c>
      <c r="AG85">
        <f t="shared" si="31"/>
        <v>3543</v>
      </c>
      <c r="AH85">
        <f t="shared" si="39"/>
        <v>0</v>
      </c>
      <c r="AI85">
        <f t="shared" si="27"/>
        <v>3543</v>
      </c>
      <c r="AJ85">
        <f t="shared" si="40"/>
        <v>3543</v>
      </c>
      <c r="AK85">
        <f t="shared" si="43"/>
        <v>3543</v>
      </c>
      <c r="AL85">
        <f t="shared" si="28"/>
        <v>0</v>
      </c>
      <c r="AM85">
        <f t="shared" si="41"/>
        <v>0</v>
      </c>
      <c r="AN85">
        <f t="shared" si="29"/>
        <v>0</v>
      </c>
      <c r="AP85" t="str">
        <f t="shared" si="32"/>
        <v>RPMB</v>
      </c>
      <c r="AQ85">
        <f t="shared" si="33"/>
        <v>20151</v>
      </c>
    </row>
    <row r="86" spans="1:43" ht="16.5" thickBot="1">
      <c r="A86" s="91">
        <f t="shared" si="42"/>
        <v>83</v>
      </c>
      <c r="B86" s="86" t="s">
        <v>543</v>
      </c>
      <c r="C86" s="291">
        <f>IF(B86=B85,C85,SUMIF('Date masura OD'!$G:$G,B86,'Date masura OD'!$R:$R))</f>
        <v>680220</v>
      </c>
      <c r="D86" s="291">
        <f>IFERROR(IF(VLOOKUP(B86,'Date masura OD'!$G$76:$BF$187,52,FALSE)&lt;0,-VLOOKUP(B86,'Date masura OD'!$G$76:$BF$187,52,FALSE),0),0)</f>
        <v>0</v>
      </c>
      <c r="E86" s="291">
        <v>0</v>
      </c>
      <c r="F86" s="291">
        <v>0</v>
      </c>
      <c r="G86" s="89" t="s">
        <v>617</v>
      </c>
      <c r="H86" s="312">
        <f>IF(C86=0,0,IF(RIGHT(G86,1)="N",ROUNDUP(C86*1.5%,0),IF(LEN(RIGHT(G86,LEN(G86)-FIND("_",G86,1)))=1,SUMIF('Date masura OD'!$G:$G,G86,'Date masura OD'!$R:$R),AK86)))</f>
        <v>103412</v>
      </c>
      <c r="I86" s="184">
        <f>VLOOKUP(G86,'Contorizare in SDI'!E:M,7,FALSE)</f>
        <v>0</v>
      </c>
      <c r="J86" s="88">
        <f>VLOOKUP(G86,'Contorizare in SDI'!$E:$M,$J$1-2,FALSE)</f>
        <v>0</v>
      </c>
      <c r="K86" s="88">
        <f>VLOOKUP(G86,'Contorizare in SDI'!$E:$M,$K$1-2,FALSE)</f>
        <v>1</v>
      </c>
      <c r="L86" s="89" t="s">
        <v>681</v>
      </c>
      <c r="M86" s="87">
        <v>0</v>
      </c>
      <c r="N86" s="88">
        <f>IF(COUNTIF(L86,"-")=1,0,VLOOKUP(L86,'Contorizare in SDI'!$F:$R,$N$1-3,FALSE))</f>
        <v>42472</v>
      </c>
      <c r="O86" s="88">
        <f>IF(COUNTIF(L86,"-")=1,0,VLOOKUP(L86,'Contorizare in SDI'!$F:$R,$O$1-3,FALSE))</f>
        <v>466</v>
      </c>
      <c r="P86" s="88">
        <f>IF(COUNTIF(L86,"-")=1,0,VLOOKUP(L86,'Contorizare in SDI'!$F:$R,$P$1-3,FALSE))</f>
        <v>3484</v>
      </c>
      <c r="Q86" s="88">
        <f t="shared" si="34"/>
        <v>103412</v>
      </c>
      <c r="R86" s="88">
        <f t="shared" si="35"/>
        <v>42472</v>
      </c>
      <c r="S86" s="321">
        <v>0</v>
      </c>
      <c r="T86" s="88">
        <f t="shared" si="36"/>
        <v>1552</v>
      </c>
      <c r="U86" s="90" t="s">
        <v>514</v>
      </c>
      <c r="V86" s="593">
        <f>SUM(H86:H88)+SUM(N86:N88)</f>
        <v>712488</v>
      </c>
      <c r="W86" s="593">
        <f>SUM(Q86:S88)</f>
        <v>712488</v>
      </c>
      <c r="X86" s="593">
        <f>C86</f>
        <v>680220</v>
      </c>
      <c r="Y86" s="596">
        <f>SUM(H86:H88)+SUM(T86:T88)</f>
        <v>680220</v>
      </c>
      <c r="AA86" t="str">
        <f t="shared" si="37"/>
        <v>OK</v>
      </c>
      <c r="AB86" t="str">
        <f t="shared" si="38"/>
        <v>OK</v>
      </c>
      <c r="AE86" t="str">
        <f t="shared" si="30"/>
        <v>-</v>
      </c>
      <c r="AF86">
        <f>IF(LEFT(VLOOKUP(G86,'Contorizare in SDI'!$E:$M,5,FALSE),1)="V",C86,VLOOKUP(G86,'Contorizare in SDI'!$E:$M,6,FALSE))</f>
        <v>242074</v>
      </c>
      <c r="AG86">
        <f t="shared" si="31"/>
        <v>242074</v>
      </c>
      <c r="AH86">
        <f t="shared" si="39"/>
        <v>0</v>
      </c>
      <c r="AI86">
        <f t="shared" si="27"/>
        <v>103412</v>
      </c>
      <c r="AJ86">
        <f t="shared" si="40"/>
        <v>103412</v>
      </c>
      <c r="AK86">
        <f t="shared" si="43"/>
        <v>103412</v>
      </c>
      <c r="AL86">
        <f t="shared" si="28"/>
        <v>1552</v>
      </c>
      <c r="AM86">
        <f t="shared" si="41"/>
        <v>1552</v>
      </c>
      <c r="AN86">
        <f t="shared" si="29"/>
        <v>0</v>
      </c>
      <c r="AP86" t="str">
        <f t="shared" si="32"/>
        <v>-</v>
      </c>
      <c r="AQ86">
        <f t="shared" si="33"/>
        <v>0</v>
      </c>
    </row>
    <row r="87" spans="1:43" ht="16.5" thickBot="1">
      <c r="A87" s="91">
        <f t="shared" si="42"/>
        <v>84</v>
      </c>
      <c r="B87" s="30" t="s">
        <v>543</v>
      </c>
      <c r="C87" s="291">
        <f>IF(B87=B86,C86,SUMIF('Date masura OD'!$G:$G,B87,'Date masura OD'!$R:$R))</f>
        <v>680220</v>
      </c>
      <c r="D87" s="291">
        <f>IFERROR(IF(VLOOKUP(B87,'Date masura OD'!$G$76:$BF$187,52,FALSE)&lt;0,-VLOOKUP(B87,'Date masura OD'!$G$76:$BF$187,52,FALSE),0),0)</f>
        <v>0</v>
      </c>
      <c r="E87" s="291">
        <v>0</v>
      </c>
      <c r="F87" s="291">
        <v>0</v>
      </c>
      <c r="G87" s="29" t="s">
        <v>618</v>
      </c>
      <c r="H87" s="312">
        <f>IF(C87=0,0,IF(RIGHT(G87,1)="N",ROUNDUP(C87*1.5%,0),IF(LEN(RIGHT(G87,LEN(G87)-FIND("_",G87,1)))=1,SUMIF('Date masura OD'!$G:$G,G87,'Date masura OD'!$R:$R),AK87)))</f>
        <v>290584</v>
      </c>
      <c r="I87" s="184">
        <f>VLOOKUP(G87,'Contorizare in SDI'!E:M,7,FALSE)</f>
        <v>0</v>
      </c>
      <c r="J87" s="88">
        <f>VLOOKUP(G87,'Contorizare in SDI'!$E:$M,$J$1-2,FALSE)</f>
        <v>0</v>
      </c>
      <c r="K87" s="88">
        <f>VLOOKUP(G87,'Contorizare in SDI'!$E:$M,$K$1-2,FALSE)</f>
        <v>0</v>
      </c>
      <c r="L87" s="29" t="s">
        <v>69</v>
      </c>
      <c r="M87" s="87">
        <v>0</v>
      </c>
      <c r="N87" s="88">
        <f>IF(COUNTIF(L87,"-")=1,0,VLOOKUP(L87,'Contorizare in SDI'!$F:$R,$N$1-3,FALSE))</f>
        <v>0</v>
      </c>
      <c r="O87" s="88">
        <f>IF(COUNTIF(L87,"-")=1,0,VLOOKUP(L87,'Contorizare in SDI'!$F:$R,$O$1-3,FALSE))</f>
        <v>0</v>
      </c>
      <c r="P87" s="88">
        <f>IF(COUNTIF(L87,"-")=1,0,VLOOKUP(L87,'Contorizare in SDI'!$F:$R,$P$1-3,FALSE))</f>
        <v>0</v>
      </c>
      <c r="Q87" s="88">
        <f t="shared" si="34"/>
        <v>290584</v>
      </c>
      <c r="R87" s="88">
        <f t="shared" si="35"/>
        <v>0</v>
      </c>
      <c r="S87" s="1">
        <f>I86</f>
        <v>0</v>
      </c>
      <c r="T87" s="88">
        <f t="shared" si="36"/>
        <v>4359</v>
      </c>
      <c r="U87" s="17" t="s">
        <v>514</v>
      </c>
      <c r="V87" s="594"/>
      <c r="W87" s="594"/>
      <c r="X87" s="594"/>
      <c r="Y87" s="597"/>
      <c r="AA87" t="str">
        <f t="shared" si="37"/>
        <v/>
      </c>
      <c r="AB87" t="str">
        <f t="shared" si="38"/>
        <v/>
      </c>
      <c r="AE87" t="str">
        <f t="shared" si="30"/>
        <v>-</v>
      </c>
      <c r="AF87">
        <f>IF(LEFT(VLOOKUP(G87,'Contorizare in SDI'!$E:$M,5,FALSE),1)="V",C87,VLOOKUP(G87,'Contorizare in SDI'!$E:$M,6,FALSE))</f>
        <v>680220</v>
      </c>
      <c r="AG87">
        <f t="shared" si="31"/>
        <v>922294</v>
      </c>
      <c r="AH87">
        <f t="shared" si="39"/>
        <v>0</v>
      </c>
      <c r="AI87">
        <f t="shared" si="27"/>
        <v>290584</v>
      </c>
      <c r="AJ87">
        <f t="shared" si="40"/>
        <v>393996</v>
      </c>
      <c r="AK87">
        <f t="shared" si="43"/>
        <v>290584</v>
      </c>
      <c r="AL87">
        <f t="shared" si="28"/>
        <v>4359</v>
      </c>
      <c r="AM87">
        <f t="shared" si="41"/>
        <v>5911</v>
      </c>
      <c r="AN87">
        <f t="shared" si="29"/>
        <v>0</v>
      </c>
      <c r="AP87" t="str">
        <f t="shared" si="32"/>
        <v>-</v>
      </c>
      <c r="AQ87">
        <f t="shared" si="33"/>
        <v>0</v>
      </c>
    </row>
    <row r="88" spans="1:43" ht="16.5" thickBot="1">
      <c r="A88" s="91">
        <f t="shared" si="42"/>
        <v>85</v>
      </c>
      <c r="B88" s="30" t="s">
        <v>543</v>
      </c>
      <c r="C88" s="291">
        <f>IF(B88=B87,C87,SUMIF('Date masura OD'!$G:$G,B88,'Date masura OD'!$R:$R))</f>
        <v>680220</v>
      </c>
      <c r="D88" s="291">
        <f>IFERROR(IF(VLOOKUP(B88,'Date masura OD'!$G$76:$BF$187,52,FALSE)&lt;0,-VLOOKUP(B88,'Date masura OD'!$G$76:$BF$187,52,FALSE),0),0)</f>
        <v>0</v>
      </c>
      <c r="E88" s="291">
        <v>0</v>
      </c>
      <c r="F88" s="291">
        <v>0</v>
      </c>
      <c r="G88" s="29" t="s">
        <v>619</v>
      </c>
      <c r="H88" s="312">
        <f>IF(C88=0,0,IF(RIGHT(G88,1)="N",ROUNDUP(C88*1.5%,0),IF(LEN(RIGHT(G88,LEN(G88)-FIND("_",G88,1)))=1,SUMIF('Date masura OD'!$G:$G,G88,'Date masura OD'!$R:$R),AK88)))</f>
        <v>276020</v>
      </c>
      <c r="I88" s="184">
        <f>VLOOKUP(G88,'Contorizare in SDI'!E:M,7,FALSE)</f>
        <v>0</v>
      </c>
      <c r="J88" s="88">
        <f>VLOOKUP(G88,'Contorizare in SDI'!$E:$M,$J$1-2,FALSE)</f>
        <v>0</v>
      </c>
      <c r="K88" s="88">
        <f>VLOOKUP(G88,'Contorizare in SDI'!$E:$M,$K$1-2,FALSE)</f>
        <v>0</v>
      </c>
      <c r="L88" s="29" t="s">
        <v>69</v>
      </c>
      <c r="M88" s="87">
        <v>0</v>
      </c>
      <c r="N88" s="88">
        <f>IF(COUNTIF(L88,"-")=1,0,VLOOKUP(L88,'Contorizare in SDI'!$F:$R,$N$1-3,FALSE))</f>
        <v>0</v>
      </c>
      <c r="O88" s="88">
        <f>IF(COUNTIF(L88,"-")=1,0,VLOOKUP(L88,'Contorizare in SDI'!$F:$R,$O$1-3,FALSE))</f>
        <v>0</v>
      </c>
      <c r="P88" s="88">
        <f>IF(COUNTIF(L88,"-")=1,0,VLOOKUP(L88,'Contorizare in SDI'!$F:$R,$P$1-3,FALSE))</f>
        <v>0</v>
      </c>
      <c r="Q88" s="88">
        <f t="shared" si="34"/>
        <v>276020</v>
      </c>
      <c r="R88" s="88">
        <f t="shared" si="35"/>
        <v>0</v>
      </c>
      <c r="S88" s="321">
        <v>0</v>
      </c>
      <c r="T88" s="88">
        <f t="shared" si="36"/>
        <v>4293</v>
      </c>
      <c r="U88" s="17" t="s">
        <v>514</v>
      </c>
      <c r="V88" s="594"/>
      <c r="W88" s="594"/>
      <c r="X88" s="594"/>
      <c r="Y88" s="597"/>
      <c r="AA88" t="str">
        <f t="shared" si="37"/>
        <v/>
      </c>
      <c r="AB88" t="str">
        <f t="shared" si="38"/>
        <v/>
      </c>
      <c r="AE88" t="str">
        <f t="shared" si="30"/>
        <v>-</v>
      </c>
      <c r="AF88">
        <f>IF(LEFT(VLOOKUP(G88,'Contorizare in SDI'!$E:$M,5,FALSE),1)="V",C88,VLOOKUP(G88,'Contorizare in SDI'!$E:$M,6,FALSE))</f>
        <v>680220</v>
      </c>
      <c r="AG88">
        <f t="shared" si="31"/>
        <v>1602514</v>
      </c>
      <c r="AH88">
        <f t="shared" si="39"/>
        <v>0</v>
      </c>
      <c r="AI88">
        <f t="shared" si="27"/>
        <v>290584</v>
      </c>
      <c r="AJ88">
        <f t="shared" si="40"/>
        <v>684580</v>
      </c>
      <c r="AK88">
        <f t="shared" si="43"/>
        <v>276020</v>
      </c>
      <c r="AL88">
        <f t="shared" si="28"/>
        <v>4293</v>
      </c>
      <c r="AM88">
        <f t="shared" si="41"/>
        <v>10204</v>
      </c>
      <c r="AN88">
        <f t="shared" si="29"/>
        <v>0</v>
      </c>
      <c r="AP88" t="str">
        <f t="shared" si="32"/>
        <v>-</v>
      </c>
      <c r="AQ88">
        <f t="shared" si="33"/>
        <v>0</v>
      </c>
    </row>
    <row r="89" spans="1:43" ht="16.5" thickBot="1">
      <c r="A89" s="91">
        <f t="shared" si="42"/>
        <v>86</v>
      </c>
      <c r="B89" s="93" t="s">
        <v>543</v>
      </c>
      <c r="C89" s="291">
        <f>IF(B89=B88,C88,SUMIF('Date masura OD'!$G:$G,B89,'Date masura OD'!$R:$R))</f>
        <v>680220</v>
      </c>
      <c r="D89" s="291">
        <f>IFERROR(IF(VLOOKUP(B89,'Date masura OD'!$G$76:$BF$187,52,FALSE)&lt;0,-VLOOKUP(B89,'Date masura OD'!$G$76:$BF$187,52,FALSE),0),0)</f>
        <v>0</v>
      </c>
      <c r="E89" s="291">
        <v>0</v>
      </c>
      <c r="F89" s="291">
        <v>0</v>
      </c>
      <c r="G89" s="94" t="s">
        <v>974</v>
      </c>
      <c r="H89" s="312">
        <f>IF(C89=0,0,IF(RIGHT(G89,1)="N",ROUNDUP(C89*1.5%,0),IF(LEN(RIGHT(G89,LEN(G89)-FIND("_",G89,1)))=1,SUMIF('Date masura OD'!$G:$G,G89,'Date masura OD'!$R:$R),AK89)))</f>
        <v>10204</v>
      </c>
      <c r="I89" s="184">
        <f>VLOOKUP(G89,'Contorizare in SDI'!E:M,7,FALSE)</f>
        <v>0</v>
      </c>
      <c r="J89" s="88">
        <f>VLOOKUP(G89,'Contorizare in SDI'!$E:$M,$J$1-2,FALSE)</f>
        <v>0</v>
      </c>
      <c r="K89" s="88">
        <f>VLOOKUP(G89,'Contorizare in SDI'!$E:$M,$K$1-2,FALSE)</f>
        <v>0</v>
      </c>
      <c r="L89" s="94" t="s">
        <v>69</v>
      </c>
      <c r="M89" s="87">
        <v>0</v>
      </c>
      <c r="N89" s="88">
        <f>IF(COUNTIF(L89,"-")=1,0,VLOOKUP(L89,'Contorizare in SDI'!$F:$R,$N$1-3,FALSE))</f>
        <v>0</v>
      </c>
      <c r="O89" s="88">
        <f>IF(COUNTIF(L89,"-")=1,0,VLOOKUP(L89,'Contorizare in SDI'!$F:$R,$O$1-3,FALSE))</f>
        <v>0</v>
      </c>
      <c r="P89" s="88">
        <f>IF(COUNTIF(L89,"-")=1,0,VLOOKUP(L89,'Contorizare in SDI'!$F:$R,$P$1-3,FALSE))</f>
        <v>0</v>
      </c>
      <c r="Q89" s="88">
        <f t="shared" si="34"/>
        <v>0</v>
      </c>
      <c r="R89" s="88">
        <f t="shared" si="35"/>
        <v>0</v>
      </c>
      <c r="S89" s="321">
        <v>0</v>
      </c>
      <c r="T89" s="88">
        <f t="shared" si="36"/>
        <v>0</v>
      </c>
      <c r="U89" s="95" t="s">
        <v>69</v>
      </c>
      <c r="V89" s="595"/>
      <c r="W89" s="595"/>
      <c r="X89" s="595"/>
      <c r="Y89" s="598"/>
      <c r="AA89" t="str">
        <f t="shared" si="37"/>
        <v/>
      </c>
      <c r="AB89" t="str">
        <f t="shared" si="38"/>
        <v/>
      </c>
      <c r="AE89" t="str">
        <f t="shared" si="30"/>
        <v>RTGU_1</v>
      </c>
      <c r="AF89">
        <f>IF(LEFT(VLOOKUP(G89,'Contorizare in SDI'!$E:$M,5,FALSE),1)="V",C89,VLOOKUP(G89,'Contorizare in SDI'!$E:$M,6,FALSE))</f>
        <v>0</v>
      </c>
      <c r="AG89">
        <f t="shared" si="31"/>
        <v>1602514</v>
      </c>
      <c r="AH89">
        <f t="shared" si="39"/>
        <v>10204</v>
      </c>
      <c r="AI89">
        <f t="shared" si="27"/>
        <v>0</v>
      </c>
      <c r="AJ89">
        <f t="shared" si="40"/>
        <v>684580</v>
      </c>
      <c r="AK89">
        <f t="shared" si="43"/>
        <v>0</v>
      </c>
      <c r="AL89">
        <f t="shared" si="28"/>
        <v>0</v>
      </c>
      <c r="AM89">
        <f t="shared" si="41"/>
        <v>0</v>
      </c>
      <c r="AN89">
        <f t="shared" si="29"/>
        <v>0</v>
      </c>
      <c r="AP89" t="str">
        <f t="shared" si="32"/>
        <v>RTGU</v>
      </c>
      <c r="AQ89">
        <f t="shared" si="33"/>
        <v>10204</v>
      </c>
    </row>
    <row r="90" spans="1:43" ht="16.5" thickBot="1">
      <c r="A90" s="91">
        <f t="shared" si="42"/>
        <v>87</v>
      </c>
      <c r="B90" s="86" t="s">
        <v>544</v>
      </c>
      <c r="C90" s="291">
        <f>IF(B90=B89,C89,SUMIF('Date masura OD'!$G:$G,B90,'Date masura OD'!$R:$R))</f>
        <v>606240</v>
      </c>
      <c r="D90" s="291">
        <f>IFERROR(IF(VLOOKUP(B90,'Date masura OD'!$G$76:$BF$187,52,FALSE)&lt;0,-VLOOKUP(B90,'Date masura OD'!$G$76:$BF$187,52,FALSE),0),0)</f>
        <v>0</v>
      </c>
      <c r="E90" s="291">
        <v>0</v>
      </c>
      <c r="F90" s="291">
        <v>0</v>
      </c>
      <c r="G90" s="89" t="s">
        <v>620</v>
      </c>
      <c r="H90" s="312">
        <f>IF(C90=0,0,IF(RIGHT(G90,1)="N",ROUNDUP(C90*1.5%,0),IF(LEN(RIGHT(G90,LEN(G90)-FIND("_",G90,1)))=1,SUMIF('Date masura OD'!$G:$G,G90,'Date masura OD'!$R:$R),AK90)))</f>
        <v>380558</v>
      </c>
      <c r="I90" s="184">
        <f>VLOOKUP(G90,'Contorizare in SDI'!E:M,7,FALSE)</f>
        <v>0</v>
      </c>
      <c r="J90" s="88">
        <f>VLOOKUP(G90,'Contorizare in SDI'!$E:$M,$J$1-2,FALSE)</f>
        <v>50268</v>
      </c>
      <c r="K90" s="88">
        <f>VLOOKUP(G90,'Contorizare in SDI'!$E:$M,$K$1-2,FALSE)</f>
        <v>2633</v>
      </c>
      <c r="L90" s="89" t="s">
        <v>69</v>
      </c>
      <c r="M90" s="87">
        <v>0</v>
      </c>
      <c r="N90" s="88">
        <f>IF(COUNTIF(L90,"-")=1,0,VLOOKUP(L90,'Contorizare in SDI'!$F:$R,$N$1-3,FALSE))</f>
        <v>0</v>
      </c>
      <c r="O90" s="88">
        <f>IF(COUNTIF(L90,"-")=1,0,VLOOKUP(L90,'Contorizare in SDI'!$F:$R,$O$1-3,FALSE))</f>
        <v>0</v>
      </c>
      <c r="P90" s="88">
        <f>IF(COUNTIF(L90,"-")=1,0,VLOOKUP(L90,'Contorizare in SDI'!$F:$R,$P$1-3,FALSE))</f>
        <v>0</v>
      </c>
      <c r="Q90" s="88">
        <f t="shared" si="34"/>
        <v>380558</v>
      </c>
      <c r="R90" s="88">
        <f t="shared" si="35"/>
        <v>0</v>
      </c>
      <c r="S90" s="88">
        <f>I91</f>
        <v>0</v>
      </c>
      <c r="T90" s="88">
        <f t="shared" si="36"/>
        <v>5709</v>
      </c>
      <c r="U90" s="90" t="s">
        <v>514</v>
      </c>
      <c r="V90" s="580">
        <f>SUM(H90:H91)+SUM(N90:N91)</f>
        <v>666290</v>
      </c>
      <c r="W90" s="580">
        <f>SUM(Q90:S91)</f>
        <v>666290</v>
      </c>
      <c r="X90" s="580">
        <f>C90</f>
        <v>606240</v>
      </c>
      <c r="Y90" s="582">
        <f>SUM(H90:H91)+SUM(T90:T91)</f>
        <v>606240</v>
      </c>
      <c r="AA90" t="str">
        <f t="shared" si="37"/>
        <v>OK</v>
      </c>
      <c r="AB90" t="str">
        <f t="shared" si="38"/>
        <v>OK</v>
      </c>
      <c r="AE90" t="str">
        <f t="shared" si="30"/>
        <v>-</v>
      </c>
      <c r="AF90">
        <f>IF(LEFT(VLOOKUP(G90,'Contorizare in SDI'!$E:$M,5,FALSE),1)="V",C90,VLOOKUP(G90,'Contorizare in SDI'!$E:$M,6,FALSE))</f>
        <v>528706</v>
      </c>
      <c r="AG90">
        <f t="shared" si="31"/>
        <v>528706</v>
      </c>
      <c r="AH90">
        <f t="shared" si="39"/>
        <v>0</v>
      </c>
      <c r="AI90">
        <f t="shared" si="27"/>
        <v>380558</v>
      </c>
      <c r="AJ90">
        <f t="shared" si="40"/>
        <v>380558</v>
      </c>
      <c r="AK90">
        <f t="shared" si="43"/>
        <v>380558</v>
      </c>
      <c r="AL90">
        <f t="shared" si="28"/>
        <v>5709</v>
      </c>
      <c r="AM90">
        <f t="shared" si="41"/>
        <v>5709</v>
      </c>
      <c r="AN90">
        <f t="shared" si="29"/>
        <v>0</v>
      </c>
      <c r="AP90" t="str">
        <f t="shared" si="32"/>
        <v>-</v>
      </c>
      <c r="AQ90">
        <f t="shared" si="33"/>
        <v>0</v>
      </c>
    </row>
    <row r="91" spans="1:43" ht="16.5" thickBot="1">
      <c r="A91" s="91">
        <f t="shared" si="42"/>
        <v>88</v>
      </c>
      <c r="B91" s="30" t="s">
        <v>544</v>
      </c>
      <c r="C91" s="291">
        <f>IF(B91=B90,C90,SUMIF('Date masura OD'!$G:$G,B91,'Date masura OD'!$R:$R))</f>
        <v>606240</v>
      </c>
      <c r="D91" s="291">
        <f>IFERROR(IF(VLOOKUP(B91,'Date masura OD'!$G$76:$BF$187,52,FALSE)&lt;0,-VLOOKUP(B91,'Date masura OD'!$G$76:$BF$187,52,FALSE),0),0)</f>
        <v>0</v>
      </c>
      <c r="E91" s="291">
        <v>0</v>
      </c>
      <c r="F91" s="291">
        <v>0</v>
      </c>
      <c r="G91" s="29" t="s">
        <v>621</v>
      </c>
      <c r="H91" s="312">
        <f>IF(C91=0,0,IF(RIGHT(G91,1)="N",ROUNDUP(C91*1.5%,0),IF(LEN(RIGHT(G91,LEN(G91)-FIND("_",G91,1)))=1,SUMIF('Date masura OD'!$G:$G,G91,'Date masura OD'!$R:$R),AK91)))</f>
        <v>216588</v>
      </c>
      <c r="I91" s="184">
        <f>VLOOKUP(G91,'Contorizare in SDI'!E:M,7,FALSE)</f>
        <v>0</v>
      </c>
      <c r="J91" s="88">
        <f>VLOOKUP(G91,'Contorizare in SDI'!$E:$M,$J$1-2,FALSE)</f>
        <v>58669</v>
      </c>
      <c r="K91" s="88">
        <f>VLOOKUP(G91,'Contorizare in SDI'!$E:$M,$K$1-2,FALSE)</f>
        <v>142</v>
      </c>
      <c r="L91" s="29" t="s">
        <v>682</v>
      </c>
      <c r="M91" s="87">
        <v>0</v>
      </c>
      <c r="N91" s="88">
        <f>IF(COUNTIF(L91,"-")=1,0,VLOOKUP(L91,'Contorizare in SDI'!$F:$R,$N$1-3,FALSE))</f>
        <v>69144</v>
      </c>
      <c r="O91" s="88">
        <f>IF(COUNTIF(L91,"-")=1,0,VLOOKUP(L91,'Contorizare in SDI'!$F:$R,$O$1-3,FALSE))</f>
        <v>143</v>
      </c>
      <c r="P91" s="88">
        <f>IF(COUNTIF(L91,"-")=1,0,VLOOKUP(L91,'Contorizare in SDI'!$F:$R,$P$1-3,FALSE))</f>
        <v>440</v>
      </c>
      <c r="Q91" s="88">
        <f t="shared" si="34"/>
        <v>216588</v>
      </c>
      <c r="R91" s="88">
        <f t="shared" si="35"/>
        <v>69144</v>
      </c>
      <c r="S91" s="321">
        <v>0</v>
      </c>
      <c r="T91" s="88">
        <f t="shared" si="36"/>
        <v>3385</v>
      </c>
      <c r="U91" s="17" t="s">
        <v>514</v>
      </c>
      <c r="V91" s="581"/>
      <c r="W91" s="581"/>
      <c r="X91" s="581"/>
      <c r="Y91" s="583"/>
      <c r="AA91" t="str">
        <f t="shared" si="37"/>
        <v/>
      </c>
      <c r="AB91" t="str">
        <f t="shared" si="38"/>
        <v/>
      </c>
      <c r="AE91" t="str">
        <f t="shared" si="30"/>
        <v>-</v>
      </c>
      <c r="AF91">
        <f>IF(LEFT(VLOOKUP(G91,'Contorizare in SDI'!$E:$M,5,FALSE),1)="V",C91,VLOOKUP(G91,'Contorizare in SDI'!$E:$M,6,FALSE))</f>
        <v>322633</v>
      </c>
      <c r="AG91">
        <f t="shared" si="31"/>
        <v>851339</v>
      </c>
      <c r="AH91">
        <f t="shared" si="39"/>
        <v>0</v>
      </c>
      <c r="AI91">
        <f t="shared" si="27"/>
        <v>232229</v>
      </c>
      <c r="AJ91">
        <f t="shared" si="40"/>
        <v>612787</v>
      </c>
      <c r="AK91">
        <f t="shared" si="43"/>
        <v>216588</v>
      </c>
      <c r="AL91">
        <f t="shared" si="28"/>
        <v>3385</v>
      </c>
      <c r="AM91">
        <f t="shared" si="41"/>
        <v>9094</v>
      </c>
      <c r="AN91">
        <f t="shared" si="29"/>
        <v>0</v>
      </c>
      <c r="AP91" t="str">
        <f t="shared" si="32"/>
        <v>-</v>
      </c>
      <c r="AQ91">
        <f t="shared" si="33"/>
        <v>0</v>
      </c>
    </row>
    <row r="92" spans="1:43" ht="16.5" thickBot="1">
      <c r="A92" s="91">
        <f t="shared" si="42"/>
        <v>89</v>
      </c>
      <c r="B92" s="30" t="s">
        <v>544</v>
      </c>
      <c r="C92" s="291">
        <f>IF(B92=B91,C91,SUMIF('Date masura OD'!$G:$G,B92,'Date masura OD'!$R:$R))</f>
        <v>606240</v>
      </c>
      <c r="D92" s="291">
        <f>IFERROR(IF(VLOOKUP(B92,'Date masura OD'!$G$76:$BF$187,52,FALSE)&lt;0,-VLOOKUP(B92,'Date masura OD'!$G$76:$BF$187,52,FALSE),0),0)</f>
        <v>0</v>
      </c>
      <c r="E92" s="291">
        <v>0</v>
      </c>
      <c r="F92" s="291">
        <v>0</v>
      </c>
      <c r="G92" s="29" t="s">
        <v>975</v>
      </c>
      <c r="H92" s="312">
        <f>IF(C92=0,0,IF(RIGHT(G92,1)="N",ROUNDUP(C92*1.5%,0),IF(LEN(RIGHT(G92,LEN(G92)-FIND("_",G92,1)))=1,SUMIF('Date masura OD'!$G:$G,G92,'Date masura OD'!$R:$R),AK92)))</f>
        <v>9094</v>
      </c>
      <c r="I92" s="184">
        <f>VLOOKUP(G92,'Contorizare in SDI'!E:M,7,FALSE)</f>
        <v>0</v>
      </c>
      <c r="J92" s="88">
        <f>VLOOKUP(G92,'Contorizare in SDI'!$E:$M,$J$1-2,FALSE)</f>
        <v>0</v>
      </c>
      <c r="K92" s="88">
        <f>VLOOKUP(G92,'Contorizare in SDI'!$E:$M,$K$1-2,FALSE)</f>
        <v>0</v>
      </c>
      <c r="L92" s="29" t="s">
        <v>69</v>
      </c>
      <c r="M92" s="87">
        <v>0</v>
      </c>
      <c r="N92" s="88">
        <f>IF(COUNTIF(L92,"-")=1,0,VLOOKUP(L92,'Contorizare in SDI'!$F:$R,$N$1-3,FALSE))</f>
        <v>0</v>
      </c>
      <c r="O92" s="88">
        <f>IF(COUNTIF(L92,"-")=1,0,VLOOKUP(L92,'Contorizare in SDI'!$F:$R,$O$1-3,FALSE))</f>
        <v>0</v>
      </c>
      <c r="P92" s="88">
        <f>IF(COUNTIF(L92,"-")=1,0,VLOOKUP(L92,'Contorizare in SDI'!$F:$R,$P$1-3,FALSE))</f>
        <v>0</v>
      </c>
      <c r="Q92" s="88">
        <f t="shared" si="34"/>
        <v>0</v>
      </c>
      <c r="R92" s="88">
        <f t="shared" si="35"/>
        <v>0</v>
      </c>
      <c r="S92" s="321">
        <v>0</v>
      </c>
      <c r="T92" s="88">
        <f t="shared" si="36"/>
        <v>0</v>
      </c>
      <c r="U92" s="17" t="s">
        <v>69</v>
      </c>
      <c r="V92" s="581"/>
      <c r="W92" s="581"/>
      <c r="X92" s="581"/>
      <c r="Y92" s="583"/>
      <c r="AA92" t="str">
        <f t="shared" si="37"/>
        <v/>
      </c>
      <c r="AB92" t="str">
        <f t="shared" si="38"/>
        <v/>
      </c>
      <c r="AE92" t="str">
        <f t="shared" si="30"/>
        <v>RCSC_1</v>
      </c>
      <c r="AF92">
        <f>IF(LEFT(VLOOKUP(G92,'Contorizare in SDI'!$E:$M,5,FALSE),1)="V",C92,VLOOKUP(G92,'Contorizare in SDI'!$E:$M,6,FALSE))</f>
        <v>0</v>
      </c>
      <c r="AG92">
        <f t="shared" si="31"/>
        <v>851339</v>
      </c>
      <c r="AH92">
        <f t="shared" si="39"/>
        <v>9094</v>
      </c>
      <c r="AI92">
        <f t="shared" si="27"/>
        <v>0</v>
      </c>
      <c r="AJ92">
        <f t="shared" si="40"/>
        <v>612787</v>
      </c>
      <c r="AK92">
        <f t="shared" si="43"/>
        <v>0</v>
      </c>
      <c r="AL92">
        <f t="shared" si="28"/>
        <v>0</v>
      </c>
      <c r="AM92">
        <f t="shared" si="41"/>
        <v>0</v>
      </c>
      <c r="AN92">
        <f t="shared" si="29"/>
        <v>0</v>
      </c>
      <c r="AP92" t="str">
        <f t="shared" si="32"/>
        <v>-</v>
      </c>
      <c r="AQ92">
        <f t="shared" si="33"/>
        <v>9094</v>
      </c>
    </row>
    <row r="93" spans="1:43" ht="16.5" thickBot="1">
      <c r="A93" s="91">
        <f t="shared" si="42"/>
        <v>90</v>
      </c>
      <c r="B93" s="30" t="s">
        <v>545</v>
      </c>
      <c r="C93" s="291">
        <f>IF(B93=B92,C92,SUMIF('Date masura OD'!$G:$G,B93,'Date masura OD'!$R:$R))</f>
        <v>863360</v>
      </c>
      <c r="D93" s="291">
        <f>IFERROR(IF(VLOOKUP(B93,'Date masura OD'!$G$76:$BF$187,52,FALSE)&lt;0,-VLOOKUP(B93,'Date masura OD'!$G$76:$BF$187,52,FALSE),0),0)</f>
        <v>0</v>
      </c>
      <c r="E93" s="291">
        <v>0</v>
      </c>
      <c r="F93" s="291">
        <v>0</v>
      </c>
      <c r="G93" s="29" t="s">
        <v>622</v>
      </c>
      <c r="H93" s="312">
        <f>IF(C93=0,0,IF(RIGHT(G93,1)="N",ROUNDUP(C93*1.5%,0),IF(LEN(RIGHT(G93,LEN(G93)-FIND("_",G93,1)))=1,SUMIF('Date masura OD'!$G:$G,G93,'Date masura OD'!$R:$R),AK93)))</f>
        <v>434943</v>
      </c>
      <c r="I93" s="184">
        <f>VLOOKUP(G93,'Contorizare in SDI'!E:M,7,FALSE)</f>
        <v>0</v>
      </c>
      <c r="J93" s="88">
        <f>VLOOKUP(G93,'Contorizare in SDI'!$E:$M,$J$1-2,FALSE)</f>
        <v>0</v>
      </c>
      <c r="K93" s="88">
        <f>VLOOKUP(G93,'Contorizare in SDI'!$E:$M,$K$1-2,FALSE)</f>
        <v>0</v>
      </c>
      <c r="L93" s="29" t="s">
        <v>69</v>
      </c>
      <c r="M93" s="87">
        <v>0</v>
      </c>
      <c r="N93" s="88">
        <f>IF(COUNTIF(L93,"-")=1,0,VLOOKUP(L93,'Contorizare in SDI'!$F:$R,$N$1-3,FALSE))</f>
        <v>0</v>
      </c>
      <c r="O93" s="88">
        <f>IF(COUNTIF(L93,"-")=1,0,VLOOKUP(L93,'Contorizare in SDI'!$F:$R,$O$1-3,FALSE))</f>
        <v>0</v>
      </c>
      <c r="P93" s="88">
        <f>IF(COUNTIF(L93,"-")=1,0,VLOOKUP(L93,'Contorizare in SDI'!$F:$R,$P$1-3,FALSE))</f>
        <v>0</v>
      </c>
      <c r="Q93" s="88">
        <f t="shared" si="34"/>
        <v>434943</v>
      </c>
      <c r="R93" s="88">
        <f t="shared" si="35"/>
        <v>0</v>
      </c>
      <c r="S93" s="321">
        <v>0</v>
      </c>
      <c r="T93" s="88">
        <f t="shared" si="36"/>
        <v>6525</v>
      </c>
      <c r="U93" s="17" t="s">
        <v>514</v>
      </c>
      <c r="V93" s="581">
        <f>SUM(H93:H94)+SUM(N93:N94)</f>
        <v>850409</v>
      </c>
      <c r="W93" s="581">
        <f>SUM(Q93:S94)</f>
        <v>850409</v>
      </c>
      <c r="X93" s="581">
        <f>C93</f>
        <v>863360</v>
      </c>
      <c r="Y93" s="583">
        <f>SUM(H93:H94)+SUM(T93:T94)</f>
        <v>863360</v>
      </c>
      <c r="AA93" t="str">
        <f t="shared" si="37"/>
        <v>OK</v>
      </c>
      <c r="AB93" t="str">
        <f t="shared" si="38"/>
        <v>OK</v>
      </c>
      <c r="AE93" t="str">
        <f t="shared" si="30"/>
        <v>-</v>
      </c>
      <c r="AF93">
        <f>IF(LEFT(VLOOKUP(G93,'Contorizare in SDI'!$E:$M,5,FALSE),1)="V",C93,VLOOKUP(G93,'Contorizare in SDI'!$E:$M,6,FALSE))</f>
        <v>863360</v>
      </c>
      <c r="AG93">
        <f t="shared" si="31"/>
        <v>863360</v>
      </c>
      <c r="AH93">
        <f t="shared" si="39"/>
        <v>0</v>
      </c>
      <c r="AI93">
        <f t="shared" si="27"/>
        <v>434943</v>
      </c>
      <c r="AJ93">
        <f t="shared" si="40"/>
        <v>434943</v>
      </c>
      <c r="AK93">
        <f t="shared" si="43"/>
        <v>434943</v>
      </c>
      <c r="AL93">
        <f t="shared" si="28"/>
        <v>6525</v>
      </c>
      <c r="AM93">
        <f t="shared" si="41"/>
        <v>6525</v>
      </c>
      <c r="AN93">
        <f t="shared" si="29"/>
        <v>0</v>
      </c>
      <c r="AP93" t="str">
        <f t="shared" si="32"/>
        <v>-</v>
      </c>
      <c r="AQ93">
        <f t="shared" si="33"/>
        <v>9094</v>
      </c>
    </row>
    <row r="94" spans="1:43" ht="16.5" thickBot="1">
      <c r="A94" s="91">
        <f t="shared" si="42"/>
        <v>91</v>
      </c>
      <c r="B94" s="30" t="s">
        <v>545</v>
      </c>
      <c r="C94" s="291">
        <f>IF(B94=B93,C93,SUMIF('Date masura OD'!$G:$G,B94,'Date masura OD'!$R:$R))</f>
        <v>863360</v>
      </c>
      <c r="D94" s="291">
        <f>IFERROR(IF(VLOOKUP(B94,'Date masura OD'!$G$76:$BF$187,52,FALSE)&lt;0,-VLOOKUP(B94,'Date masura OD'!$G$76:$BF$187,52,FALSE),0),0)</f>
        <v>0</v>
      </c>
      <c r="E94" s="291">
        <v>0</v>
      </c>
      <c r="F94" s="291">
        <v>0</v>
      </c>
      <c r="G94" s="29" t="s">
        <v>623</v>
      </c>
      <c r="H94" s="312">
        <f>IF(C94=0,0,IF(RIGHT(G94,1)="N",ROUNDUP(C94*1.5%,0),IF(LEN(RIGHT(G94,LEN(G94)-FIND("_",G94,1)))=1,SUMIF('Date masura OD'!$G:$G,G94,'Date masura OD'!$R:$R),AK94)))</f>
        <v>415466</v>
      </c>
      <c r="I94" s="184">
        <f>VLOOKUP(G94,'Contorizare in SDI'!E:M,7,FALSE)</f>
        <v>0</v>
      </c>
      <c r="J94" s="88">
        <f>VLOOKUP(G94,'Contorizare in SDI'!$E:$M,$J$1-2,FALSE)</f>
        <v>0</v>
      </c>
      <c r="K94" s="88">
        <f>VLOOKUP(G94,'Contorizare in SDI'!$E:$M,$K$1-2,FALSE)</f>
        <v>0</v>
      </c>
      <c r="L94" s="29" t="s">
        <v>69</v>
      </c>
      <c r="M94" s="87">
        <v>0</v>
      </c>
      <c r="N94" s="88">
        <f>IF(COUNTIF(L94,"-")=1,0,VLOOKUP(L94,'Contorizare in SDI'!$F:$R,$N$1-3,FALSE))</f>
        <v>0</v>
      </c>
      <c r="O94" s="88">
        <f>IF(COUNTIF(L94,"-")=1,0,VLOOKUP(L94,'Contorizare in SDI'!$F:$R,$O$1-3,FALSE))</f>
        <v>0</v>
      </c>
      <c r="P94" s="88">
        <f>IF(COUNTIF(L94,"-")=1,0,VLOOKUP(L94,'Contorizare in SDI'!$F:$R,$P$1-3,FALSE))</f>
        <v>0</v>
      </c>
      <c r="Q94" s="88">
        <f t="shared" si="34"/>
        <v>415466</v>
      </c>
      <c r="R94" s="88">
        <f t="shared" si="35"/>
        <v>0</v>
      </c>
      <c r="S94" s="321">
        <v>0</v>
      </c>
      <c r="T94" s="88">
        <f t="shared" si="36"/>
        <v>6426</v>
      </c>
      <c r="U94" s="17" t="s">
        <v>514</v>
      </c>
      <c r="V94" s="581"/>
      <c r="W94" s="581"/>
      <c r="X94" s="581"/>
      <c r="Y94" s="583"/>
      <c r="AA94" t="str">
        <f t="shared" si="37"/>
        <v/>
      </c>
      <c r="AB94" t="str">
        <f t="shared" si="38"/>
        <v/>
      </c>
      <c r="AE94" t="str">
        <f t="shared" si="30"/>
        <v>-</v>
      </c>
      <c r="AF94">
        <f>IF(LEFT(VLOOKUP(G94,'Contorizare in SDI'!$E:$M,5,FALSE),1)="V",C94,VLOOKUP(G94,'Contorizare in SDI'!$E:$M,6,FALSE))</f>
        <v>863360</v>
      </c>
      <c r="AG94">
        <f t="shared" si="31"/>
        <v>1726720</v>
      </c>
      <c r="AH94">
        <f t="shared" si="39"/>
        <v>0</v>
      </c>
      <c r="AI94">
        <f t="shared" ref="AI94:AI125" si="44">ROUNDUP(AF94/(VLOOKUP(B94,$AE:$AH,3,FALSE)-VLOOKUP(B94,$AE:$AH,4,FALSE))*C94,0)</f>
        <v>434943</v>
      </c>
      <c r="AJ94">
        <f t="shared" si="40"/>
        <v>869886</v>
      </c>
      <c r="AK94">
        <f t="shared" si="43"/>
        <v>415466</v>
      </c>
      <c r="AL94">
        <f t="shared" si="28"/>
        <v>6426</v>
      </c>
      <c r="AM94">
        <f t="shared" si="41"/>
        <v>12951</v>
      </c>
      <c r="AN94">
        <f t="shared" si="29"/>
        <v>0</v>
      </c>
      <c r="AP94" t="str">
        <f t="shared" si="32"/>
        <v>-</v>
      </c>
      <c r="AQ94">
        <f t="shared" si="33"/>
        <v>9094</v>
      </c>
    </row>
    <row r="95" spans="1:43" ht="16.5" thickBot="1">
      <c r="A95" s="91">
        <f t="shared" si="42"/>
        <v>92</v>
      </c>
      <c r="B95" s="93" t="s">
        <v>545</v>
      </c>
      <c r="C95" s="291">
        <f>IF(B95=B94,C94,SUMIF('Date masura OD'!$G:$G,B95,'Date masura OD'!$R:$R))</f>
        <v>863360</v>
      </c>
      <c r="D95" s="291">
        <f>IFERROR(IF(VLOOKUP(B95,'Date masura OD'!$G$76:$BF$187,52,FALSE)&lt;0,-VLOOKUP(B95,'Date masura OD'!$G$76:$BF$187,52,FALSE),0),0)</f>
        <v>0</v>
      </c>
      <c r="E95" s="291">
        <v>0</v>
      </c>
      <c r="F95" s="291">
        <v>0</v>
      </c>
      <c r="G95" s="94" t="s">
        <v>976</v>
      </c>
      <c r="H95" s="312">
        <f>IF(C95=0,0,IF(RIGHT(G95,1)="N",ROUNDUP(C95*1.5%,0),IF(LEN(RIGHT(G95,LEN(G95)-FIND("_",G95,1)))=1,SUMIF('Date masura OD'!$G:$G,G95,'Date masura OD'!$R:$R),AK95)))</f>
        <v>12951</v>
      </c>
      <c r="I95" s="184">
        <f>VLOOKUP(G95,'Contorizare in SDI'!E:M,7,FALSE)</f>
        <v>0</v>
      </c>
      <c r="J95" s="88">
        <f>VLOOKUP(G95,'Contorizare in SDI'!$E:$M,$J$1-2,FALSE)</f>
        <v>0</v>
      </c>
      <c r="K95" s="88">
        <f>VLOOKUP(G95,'Contorizare in SDI'!$E:$M,$K$1-2,FALSE)</f>
        <v>0</v>
      </c>
      <c r="L95" s="94" t="s">
        <v>69</v>
      </c>
      <c r="M95" s="87">
        <v>0</v>
      </c>
      <c r="N95" s="88">
        <f>IF(COUNTIF(L95,"-")=1,0,VLOOKUP(L95,'Contorizare in SDI'!$F:$R,$N$1-3,FALSE))</f>
        <v>0</v>
      </c>
      <c r="O95" s="88">
        <f>IF(COUNTIF(L95,"-")=1,0,VLOOKUP(L95,'Contorizare in SDI'!$F:$R,$O$1-3,FALSE))</f>
        <v>0</v>
      </c>
      <c r="P95" s="88">
        <f>IF(COUNTIF(L95,"-")=1,0,VLOOKUP(L95,'Contorizare in SDI'!$F:$R,$P$1-3,FALSE))</f>
        <v>0</v>
      </c>
      <c r="Q95" s="88">
        <f t="shared" si="34"/>
        <v>0</v>
      </c>
      <c r="R95" s="88">
        <f t="shared" si="35"/>
        <v>0</v>
      </c>
      <c r="S95" s="321">
        <v>0</v>
      </c>
      <c r="T95" s="88">
        <f t="shared" si="36"/>
        <v>0</v>
      </c>
      <c r="U95" s="95" t="s">
        <v>69</v>
      </c>
      <c r="V95" s="589"/>
      <c r="W95" s="589"/>
      <c r="X95" s="589"/>
      <c r="Y95" s="591"/>
      <c r="AA95" t="str">
        <f t="shared" si="37"/>
        <v/>
      </c>
      <c r="AB95" t="str">
        <f t="shared" si="38"/>
        <v/>
      </c>
      <c r="AE95" t="str">
        <f t="shared" si="30"/>
        <v>RCSC_2</v>
      </c>
      <c r="AF95">
        <f>IF(LEFT(VLOOKUP(G95,'Contorizare in SDI'!$E:$M,5,FALSE),1)="V",C95,VLOOKUP(G95,'Contorizare in SDI'!$E:$M,6,FALSE))</f>
        <v>0</v>
      </c>
      <c r="AG95">
        <f t="shared" si="31"/>
        <v>1726720</v>
      </c>
      <c r="AH95">
        <f t="shared" si="39"/>
        <v>12951</v>
      </c>
      <c r="AI95">
        <f t="shared" si="44"/>
        <v>0</v>
      </c>
      <c r="AJ95">
        <f t="shared" si="40"/>
        <v>869886</v>
      </c>
      <c r="AK95">
        <f t="shared" si="43"/>
        <v>0</v>
      </c>
      <c r="AL95">
        <f t="shared" si="28"/>
        <v>0</v>
      </c>
      <c r="AM95">
        <f t="shared" si="41"/>
        <v>0</v>
      </c>
      <c r="AN95">
        <f t="shared" si="29"/>
        <v>0</v>
      </c>
      <c r="AP95" t="str">
        <f t="shared" si="32"/>
        <v>RCSC</v>
      </c>
      <c r="AQ95">
        <f t="shared" si="33"/>
        <v>22045</v>
      </c>
    </row>
    <row r="96" spans="1:43" ht="16.5" thickBot="1">
      <c r="A96" s="91">
        <f t="shared" si="42"/>
        <v>93</v>
      </c>
      <c r="B96" s="86" t="s">
        <v>546</v>
      </c>
      <c r="C96" s="291">
        <f>IF(B96=B95,C95,SUMIF('Date masura OD'!$G:$G,B96,'Date masura OD'!$R:$R))</f>
        <v>223000</v>
      </c>
      <c r="D96" s="291">
        <f>IFERROR(IF(VLOOKUP(B96,'Date masura OD'!$G$76:$BF$187,52,FALSE)&lt;0,-VLOOKUP(B96,'Date masura OD'!$G$76:$BF$187,52,FALSE),0),0)</f>
        <v>0</v>
      </c>
      <c r="E96" s="291">
        <v>0</v>
      </c>
      <c r="F96" s="291">
        <v>0</v>
      </c>
      <c r="G96" s="89" t="s">
        <v>624</v>
      </c>
      <c r="H96" s="312">
        <f>IF(C96=0,0,IF(RIGHT(G96,1)="N",ROUNDUP(C96*1.5%,0),IF(LEN(RIGHT(G96,LEN(G96)-FIND("_",G96,1)))=1,SUMIF('Date masura OD'!$G:$G,G96,'Date masura OD'!$R:$R),AK96)))</f>
        <v>199932</v>
      </c>
      <c r="I96" s="184">
        <f>VLOOKUP(G96,'Contorizare in SDI'!E:M,7,FALSE)</f>
        <v>0</v>
      </c>
      <c r="J96" s="88">
        <f>VLOOKUP(G96,'Contorizare in SDI'!$E:$M,$J$1-2,FALSE)</f>
        <v>8</v>
      </c>
      <c r="K96" s="88">
        <f>VLOOKUP(G96,'Contorizare in SDI'!$E:$M,$K$1-2,FALSE)</f>
        <v>28238</v>
      </c>
      <c r="L96" s="89" t="s">
        <v>69</v>
      </c>
      <c r="M96" s="87">
        <v>0</v>
      </c>
      <c r="N96" s="88">
        <f>IF(COUNTIF(L96,"-")=1,0,VLOOKUP(L96,'Contorizare in SDI'!$F:$R,$N$1-3,FALSE))</f>
        <v>0</v>
      </c>
      <c r="O96" s="88">
        <f>IF(COUNTIF(L96,"-")=1,0,VLOOKUP(L96,'Contorizare in SDI'!$F:$R,$O$1-3,FALSE))</f>
        <v>0</v>
      </c>
      <c r="P96" s="88">
        <f>IF(COUNTIF(L96,"-")=1,0,VLOOKUP(L96,'Contorizare in SDI'!$F:$R,$P$1-3,FALSE))</f>
        <v>0</v>
      </c>
      <c r="Q96" s="88">
        <f t="shared" si="34"/>
        <v>199932</v>
      </c>
      <c r="R96" s="88">
        <f t="shared" si="35"/>
        <v>0</v>
      </c>
      <c r="S96" s="88">
        <f>I97</f>
        <v>11931</v>
      </c>
      <c r="T96" s="88">
        <f t="shared" si="36"/>
        <v>2999</v>
      </c>
      <c r="U96" s="90" t="s">
        <v>514</v>
      </c>
      <c r="V96" s="580">
        <f>SUM(H96:H97)+SUM(N96:N97)</f>
        <v>286007</v>
      </c>
      <c r="W96" s="580">
        <f>SUM(Q96:S97)</f>
        <v>286007</v>
      </c>
      <c r="X96" s="580">
        <f>C96</f>
        <v>223000</v>
      </c>
      <c r="Y96" s="582">
        <f>SUM(H96:H97)+SUM(T96:T97)</f>
        <v>223000</v>
      </c>
      <c r="AA96" t="str">
        <f t="shared" si="37"/>
        <v>OK</v>
      </c>
      <c r="AB96" t="str">
        <f t="shared" si="38"/>
        <v>OK</v>
      </c>
      <c r="AE96" t="str">
        <f t="shared" si="30"/>
        <v>-</v>
      </c>
      <c r="AF96">
        <f>IF(LEFT(VLOOKUP(G96,'Contorizare in SDI'!$E:$M,5,FALSE),1)="V",C96,VLOOKUP(G96,'Contorizare in SDI'!$E:$M,6,FALSE))</f>
        <v>82093</v>
      </c>
      <c r="AG96">
        <f t="shared" si="31"/>
        <v>82093</v>
      </c>
      <c r="AH96">
        <f t="shared" si="39"/>
        <v>0</v>
      </c>
      <c r="AI96">
        <f t="shared" si="44"/>
        <v>199932</v>
      </c>
      <c r="AJ96">
        <f t="shared" si="40"/>
        <v>199932</v>
      </c>
      <c r="AK96">
        <f t="shared" si="43"/>
        <v>199932</v>
      </c>
      <c r="AL96">
        <f t="shared" si="28"/>
        <v>2999</v>
      </c>
      <c r="AM96">
        <f t="shared" si="41"/>
        <v>2999</v>
      </c>
      <c r="AN96">
        <f t="shared" si="29"/>
        <v>0</v>
      </c>
      <c r="AP96" t="str">
        <f t="shared" si="32"/>
        <v>-</v>
      </c>
      <c r="AQ96">
        <f t="shared" si="33"/>
        <v>0</v>
      </c>
    </row>
    <row r="97" spans="1:43" ht="16.5" thickBot="1">
      <c r="A97" s="91">
        <f t="shared" si="42"/>
        <v>94</v>
      </c>
      <c r="B97" s="30" t="s">
        <v>546</v>
      </c>
      <c r="C97" s="291">
        <f>IF(B97=B96,C96,SUMIF('Date masura OD'!$G:$G,B97,'Date masura OD'!$R:$R))</f>
        <v>223000</v>
      </c>
      <c r="D97" s="291">
        <f>IFERROR(IF(VLOOKUP(B97,'Date masura OD'!$G$76:$BF$187,52,FALSE)&lt;0,-VLOOKUP(B97,'Date masura OD'!$G$76:$BF$187,52,FALSE),0),0)</f>
        <v>0</v>
      </c>
      <c r="E97" s="291">
        <v>0</v>
      </c>
      <c r="F97" s="291">
        <v>0</v>
      </c>
      <c r="G97" s="29" t="s">
        <v>625</v>
      </c>
      <c r="H97" s="312">
        <f>IF(C97=0,0,IF(RIGHT(G97,1)="N",ROUNDUP(C97*1.5%,0),IF(LEN(RIGHT(G97,LEN(G97)-FIND("_",G97,1)))=1,SUMIF('Date masura OD'!$G:$G,G97,'Date masura OD'!$R:$R),AK97)))</f>
        <v>19723</v>
      </c>
      <c r="I97" s="184">
        <f>VLOOKUP(G97,'Contorizare in SDI'!E:M,7,FALSE)</f>
        <v>11931</v>
      </c>
      <c r="J97" s="88">
        <f>VLOOKUP(G97,'Contorizare in SDI'!$E:$M,$J$1-2,FALSE)</f>
        <v>1581</v>
      </c>
      <c r="K97" s="88">
        <f>VLOOKUP(G97,'Contorizare in SDI'!$E:$M,$K$1-2,FALSE)</f>
        <v>1416</v>
      </c>
      <c r="L97" s="29" t="s">
        <v>683</v>
      </c>
      <c r="M97" s="87">
        <v>0</v>
      </c>
      <c r="N97" s="88">
        <f>IF(COUNTIF(L97,"-")=1,0,VLOOKUP(L97,'Contorizare in SDI'!$F:$R,$N$1-3,FALSE))</f>
        <v>66352</v>
      </c>
      <c r="O97" s="88">
        <f>IF(COUNTIF(L97,"-")=1,0,VLOOKUP(L97,'Contorizare in SDI'!$F:$R,$O$1-3,FALSE))</f>
        <v>25</v>
      </c>
      <c r="P97" s="88">
        <f>IF(COUNTIF(L97,"-")=1,0,VLOOKUP(L97,'Contorizare in SDI'!$F:$R,$P$1-3,FALSE))</f>
        <v>795</v>
      </c>
      <c r="Q97" s="88">
        <f t="shared" si="34"/>
        <v>19723</v>
      </c>
      <c r="R97" s="88">
        <f t="shared" si="35"/>
        <v>54421</v>
      </c>
      <c r="S97" s="321">
        <v>0</v>
      </c>
      <c r="T97" s="88">
        <f t="shared" si="36"/>
        <v>346</v>
      </c>
      <c r="U97" s="17" t="s">
        <v>514</v>
      </c>
      <c r="V97" s="581"/>
      <c r="W97" s="581"/>
      <c r="X97" s="581"/>
      <c r="Y97" s="583"/>
      <c r="AA97" t="str">
        <f t="shared" si="37"/>
        <v/>
      </c>
      <c r="AB97" t="str">
        <f t="shared" si="38"/>
        <v/>
      </c>
      <c r="AE97" t="str">
        <f t="shared" si="30"/>
        <v>-</v>
      </c>
      <c r="AF97">
        <f>IF(LEFT(VLOOKUP(G97,'Contorizare in SDI'!$E:$M,5,FALSE),1)="V",C97,VLOOKUP(G97,'Contorizare in SDI'!$E:$M,6,FALSE))</f>
        <v>12817</v>
      </c>
      <c r="AG97">
        <f t="shared" si="31"/>
        <v>94910</v>
      </c>
      <c r="AH97">
        <f t="shared" si="39"/>
        <v>0</v>
      </c>
      <c r="AI97">
        <f t="shared" si="44"/>
        <v>31215</v>
      </c>
      <c r="AJ97">
        <f t="shared" si="40"/>
        <v>231147</v>
      </c>
      <c r="AK97">
        <f t="shared" si="43"/>
        <v>19723</v>
      </c>
      <c r="AL97">
        <f t="shared" ref="AL97:AL128" si="45">IFERROR(IF(((COUNTIF($B:$B,B97)-1)-(IF(RIGHT(G97,1)="N",COUNTIF($B:$B,B97),_xlfn.NUMBERVALUE(RIGHT(G97,1)))))&gt;0,ROUNDUP(H97*1.5%,0),IF(((COUNTIF($B:$B,B97)-1)-(IF(RIGHT(G97,1)="N",COUNTIF($B:$B,B97),_xlfn.NUMBERVALUE(RIGHT(G97,1)))))=0,VLOOKUP(B97,$AE:$AK,4,FALSE)-AM96,0)),0)</f>
        <v>346</v>
      </c>
      <c r="AM97">
        <f t="shared" si="41"/>
        <v>3345</v>
      </c>
      <c r="AN97">
        <f t="shared" si="29"/>
        <v>0</v>
      </c>
      <c r="AP97" t="str">
        <f t="shared" si="32"/>
        <v>-</v>
      </c>
      <c r="AQ97">
        <f t="shared" si="33"/>
        <v>0</v>
      </c>
    </row>
    <row r="98" spans="1:43" ht="16.5" thickBot="1">
      <c r="A98" s="91">
        <f t="shared" si="42"/>
        <v>95</v>
      </c>
      <c r="B98" s="30" t="s">
        <v>546</v>
      </c>
      <c r="C98" s="291">
        <f>IF(B98=B97,C97,SUMIF('Date masura OD'!$G:$G,B98,'Date masura OD'!$R:$R))</f>
        <v>223000</v>
      </c>
      <c r="D98" s="291">
        <f>IFERROR(IF(VLOOKUP(B98,'Date masura OD'!$G$76:$BF$187,52,FALSE)&lt;0,-VLOOKUP(B98,'Date masura OD'!$G$76:$BF$187,52,FALSE),0),0)</f>
        <v>0</v>
      </c>
      <c r="E98" s="291">
        <v>0</v>
      </c>
      <c r="F98" s="291">
        <v>0</v>
      </c>
      <c r="G98" s="29" t="s">
        <v>977</v>
      </c>
      <c r="H98" s="312">
        <f>IF(C98=0,0,IF(RIGHT(G98,1)="N",ROUNDUP(C98*1.5%,0),IF(LEN(RIGHT(G98,LEN(G98)-FIND("_",G98,1)))=1,SUMIF('Date masura OD'!$G:$G,G98,'Date masura OD'!$R:$R),AK98)))</f>
        <v>3345</v>
      </c>
      <c r="I98" s="184">
        <f>VLOOKUP(G98,'Contorizare in SDI'!E:M,7,FALSE)</f>
        <v>0</v>
      </c>
      <c r="J98" s="88">
        <f>VLOOKUP(G98,'Contorizare in SDI'!$E:$M,$J$1-2,FALSE)</f>
        <v>0</v>
      </c>
      <c r="K98" s="88">
        <f>VLOOKUP(G98,'Contorizare in SDI'!$E:$M,$K$1-2,FALSE)</f>
        <v>0</v>
      </c>
      <c r="L98" s="29" t="s">
        <v>69</v>
      </c>
      <c r="M98" s="87">
        <v>0</v>
      </c>
      <c r="N98" s="88">
        <f>IF(COUNTIF(L98,"-")=1,0,VLOOKUP(L98,'Contorizare in SDI'!$F:$R,$N$1-3,FALSE))</f>
        <v>0</v>
      </c>
      <c r="O98" s="88">
        <f>IF(COUNTIF(L98,"-")=1,0,VLOOKUP(L98,'Contorizare in SDI'!$F:$R,$O$1-3,FALSE))</f>
        <v>0</v>
      </c>
      <c r="P98" s="88">
        <f>IF(COUNTIF(L98,"-")=1,0,VLOOKUP(L98,'Contorizare in SDI'!$F:$R,$P$1-3,FALSE))</f>
        <v>0</v>
      </c>
      <c r="Q98" s="88">
        <f t="shared" si="34"/>
        <v>0</v>
      </c>
      <c r="R98" s="88">
        <f t="shared" si="35"/>
        <v>0</v>
      </c>
      <c r="S98" s="321">
        <v>0</v>
      </c>
      <c r="T98" s="88">
        <f t="shared" si="36"/>
        <v>0</v>
      </c>
      <c r="U98" s="17" t="s">
        <v>69</v>
      </c>
      <c r="V98" s="581"/>
      <c r="W98" s="581"/>
      <c r="X98" s="581"/>
      <c r="Y98" s="583"/>
      <c r="AA98" t="str">
        <f t="shared" si="37"/>
        <v/>
      </c>
      <c r="AB98" t="str">
        <f t="shared" si="38"/>
        <v/>
      </c>
      <c r="AE98" t="str">
        <f t="shared" si="30"/>
        <v>RAMB_1</v>
      </c>
      <c r="AF98">
        <f>IF(LEFT(VLOOKUP(G98,'Contorizare in SDI'!$E:$M,5,FALSE),1)="V",C98,VLOOKUP(G98,'Contorizare in SDI'!$E:$M,6,FALSE))</f>
        <v>0</v>
      </c>
      <c r="AG98">
        <f t="shared" si="31"/>
        <v>94910</v>
      </c>
      <c r="AH98">
        <f t="shared" si="39"/>
        <v>3345</v>
      </c>
      <c r="AI98">
        <f t="shared" si="44"/>
        <v>0</v>
      </c>
      <c r="AJ98">
        <f t="shared" si="40"/>
        <v>231147</v>
      </c>
      <c r="AK98">
        <f t="shared" si="43"/>
        <v>0</v>
      </c>
      <c r="AL98">
        <f t="shared" si="45"/>
        <v>0</v>
      </c>
      <c r="AM98">
        <f t="shared" si="41"/>
        <v>0</v>
      </c>
      <c r="AN98">
        <f t="shared" si="29"/>
        <v>11931</v>
      </c>
      <c r="AP98" t="str">
        <f t="shared" si="32"/>
        <v>-</v>
      </c>
      <c r="AQ98">
        <f t="shared" si="33"/>
        <v>3345</v>
      </c>
    </row>
    <row r="99" spans="1:43" ht="16.5" thickBot="1">
      <c r="A99" s="91">
        <f t="shared" si="42"/>
        <v>96</v>
      </c>
      <c r="B99" s="30" t="s">
        <v>505</v>
      </c>
      <c r="C99" s="291">
        <f>IF(B99=B98,C98,SUMIF('Date masura OD'!$G:$G,B99,'Date masura OD'!$R:$R))</f>
        <v>108760</v>
      </c>
      <c r="D99" s="291">
        <f>IFERROR(IF(VLOOKUP(B99,'Date masura OD'!$G$76:$BF$187,52,FALSE)&lt;0,-VLOOKUP(B99,'Date masura OD'!$G$76:$BF$187,52,FALSE),0),0)</f>
        <v>0</v>
      </c>
      <c r="E99" s="291">
        <v>0</v>
      </c>
      <c r="F99" s="291">
        <v>0</v>
      </c>
      <c r="G99" s="29" t="s">
        <v>626</v>
      </c>
      <c r="H99" s="312">
        <f>IF(C99=0,0,IF(RIGHT(G99,1)="N",ROUNDUP(C99*1.5%,0),IF(LEN(RIGHT(G99,LEN(G99)-FIND("_",G99,1)))=1,SUMIF('Date masura OD'!$G:$G,G99,'Date masura OD'!$R:$R),AK99)))</f>
        <v>47344</v>
      </c>
      <c r="I99" s="184">
        <f>VLOOKUP(G99,'Contorizare in SDI'!E:M,7,FALSE)</f>
        <v>0</v>
      </c>
      <c r="J99" s="88">
        <f>VLOOKUP(G99,'Contorizare in SDI'!$E:$M,$J$1-2,FALSE)</f>
        <v>0</v>
      </c>
      <c r="K99" s="88">
        <f>VLOOKUP(G99,'Contorizare in SDI'!$E:$M,$K$1-2,FALSE)</f>
        <v>41313</v>
      </c>
      <c r="L99" s="29" t="s">
        <v>69</v>
      </c>
      <c r="M99" s="87">
        <v>0</v>
      </c>
      <c r="N99" s="88">
        <f>IF(COUNTIF(L99,"-")=1,0,VLOOKUP(L99,'Contorizare in SDI'!$F:$R,$N$1-3,FALSE))</f>
        <v>0</v>
      </c>
      <c r="O99" s="88">
        <f>IF(COUNTIF(L99,"-")=1,0,VLOOKUP(L99,'Contorizare in SDI'!$F:$R,$O$1-3,FALSE))</f>
        <v>0</v>
      </c>
      <c r="P99" s="88">
        <f>IF(COUNTIF(L99,"-")=1,0,VLOOKUP(L99,'Contorizare in SDI'!$F:$R,$P$1-3,FALSE))</f>
        <v>0</v>
      </c>
      <c r="Q99" s="88">
        <f t="shared" si="34"/>
        <v>47344</v>
      </c>
      <c r="R99" s="88">
        <f t="shared" si="35"/>
        <v>0</v>
      </c>
      <c r="S99" s="88">
        <f>I100</f>
        <v>1354</v>
      </c>
      <c r="T99" s="88">
        <f t="shared" si="36"/>
        <v>711</v>
      </c>
      <c r="U99" s="17" t="s">
        <v>514</v>
      </c>
      <c r="V99" s="581">
        <f>SUM(H99:H100)+SUM(N99:N100)</f>
        <v>182877</v>
      </c>
      <c r="W99" s="581">
        <f>SUM(Q99:S100)</f>
        <v>182877</v>
      </c>
      <c r="X99" s="581">
        <f>C99</f>
        <v>108760</v>
      </c>
      <c r="Y99" s="583">
        <f>SUM(H99:H100)+SUM(T99:T100)</f>
        <v>108760</v>
      </c>
      <c r="AA99" t="str">
        <f t="shared" si="37"/>
        <v>OK</v>
      </c>
      <c r="AB99" t="str">
        <f t="shared" si="38"/>
        <v>OK</v>
      </c>
      <c r="AE99" t="str">
        <f t="shared" si="30"/>
        <v>-</v>
      </c>
      <c r="AF99">
        <f>IF(LEFT(VLOOKUP(G99,'Contorizare in SDI'!$E:$M,5,FALSE),1)="V",C99,VLOOKUP(G99,'Contorizare in SDI'!$E:$M,6,FALSE))</f>
        <v>105045</v>
      </c>
      <c r="AG99">
        <f t="shared" si="31"/>
        <v>105045</v>
      </c>
      <c r="AH99">
        <f t="shared" si="39"/>
        <v>0</v>
      </c>
      <c r="AI99">
        <f t="shared" si="44"/>
        <v>47344</v>
      </c>
      <c r="AJ99">
        <f t="shared" si="40"/>
        <v>47344</v>
      </c>
      <c r="AK99">
        <f t="shared" si="43"/>
        <v>47344</v>
      </c>
      <c r="AL99">
        <f t="shared" si="45"/>
        <v>711</v>
      </c>
      <c r="AM99">
        <f t="shared" si="41"/>
        <v>711</v>
      </c>
      <c r="AN99">
        <f t="shared" si="29"/>
        <v>0</v>
      </c>
      <c r="AP99" t="str">
        <f t="shared" si="32"/>
        <v>-</v>
      </c>
      <c r="AQ99">
        <f t="shared" si="33"/>
        <v>3345</v>
      </c>
    </row>
    <row r="100" spans="1:43" ht="16.5" thickBot="1">
      <c r="A100" s="91">
        <f t="shared" si="42"/>
        <v>97</v>
      </c>
      <c r="B100" s="30" t="s">
        <v>505</v>
      </c>
      <c r="C100" s="291">
        <f>IF(B100=B99,C99,SUMIF('Date masura OD'!$G:$G,B100,'Date masura OD'!$R:$R))</f>
        <v>108760</v>
      </c>
      <c r="D100" s="291">
        <f>IFERROR(IF(VLOOKUP(B100,'Date masura OD'!$G$76:$BF$187,52,FALSE)&lt;0,-VLOOKUP(B100,'Date masura OD'!$G$76:$BF$187,52,FALSE),0),0)</f>
        <v>0</v>
      </c>
      <c r="E100" s="291">
        <v>0</v>
      </c>
      <c r="F100" s="291">
        <v>0</v>
      </c>
      <c r="G100" s="29" t="s">
        <v>627</v>
      </c>
      <c r="H100" s="312">
        <f>IF(C100=0,0,IF(RIGHT(G100,1)="N",ROUNDUP(C100*1.5%,0),IF(LEN(RIGHT(G100,LEN(G100)-FIND("_",G100,1)))=1,SUMIF('Date masura OD'!$G:$G,G100,'Date masura OD'!$R:$R),AK100)))</f>
        <v>59784</v>
      </c>
      <c r="I100" s="184">
        <f>VLOOKUP(G100,'Contorizare in SDI'!E:M,7,FALSE)</f>
        <v>1354</v>
      </c>
      <c r="J100" s="88">
        <f>VLOOKUP(G100,'Contorizare in SDI'!$E:$M,$J$1-2,FALSE)</f>
        <v>16128</v>
      </c>
      <c r="K100" s="88">
        <f>VLOOKUP(G100,'Contorizare in SDI'!$E:$M,$K$1-2,FALSE)</f>
        <v>263</v>
      </c>
      <c r="L100" s="29" t="s">
        <v>684</v>
      </c>
      <c r="M100" s="87">
        <v>0</v>
      </c>
      <c r="N100" s="88">
        <f>IF(COUNTIF(L100,"-")=1,0,VLOOKUP(L100,'Contorizare in SDI'!$F:$R,$N$1-3,FALSE))</f>
        <v>75749</v>
      </c>
      <c r="O100" s="88">
        <f>IF(COUNTIF(L100,"-")=1,0,VLOOKUP(L100,'Contorizare in SDI'!$F:$R,$O$1-3,FALSE))</f>
        <v>7</v>
      </c>
      <c r="P100" s="88">
        <f>IF(COUNTIF(L100,"-")=1,0,VLOOKUP(L100,'Contorizare in SDI'!$F:$R,$P$1-3,FALSE))</f>
        <v>944</v>
      </c>
      <c r="Q100" s="88">
        <f t="shared" si="34"/>
        <v>59784</v>
      </c>
      <c r="R100" s="88">
        <f t="shared" si="35"/>
        <v>74395</v>
      </c>
      <c r="S100" s="321">
        <v>0</v>
      </c>
      <c r="T100" s="88">
        <f t="shared" si="36"/>
        <v>921</v>
      </c>
      <c r="U100" s="17" t="s">
        <v>514</v>
      </c>
      <c r="V100" s="581"/>
      <c r="W100" s="581"/>
      <c r="X100" s="581"/>
      <c r="Y100" s="583"/>
      <c r="AA100" t="str">
        <f t="shared" si="37"/>
        <v/>
      </c>
      <c r="AB100" t="str">
        <f t="shared" si="38"/>
        <v/>
      </c>
      <c r="AE100" t="str">
        <f t="shared" si="30"/>
        <v>-</v>
      </c>
      <c r="AF100">
        <f>IF(LEFT(VLOOKUP(G100,'Contorizare in SDI'!$E:$M,5,FALSE),1)="V",C100,VLOOKUP(G100,'Contorizare in SDI'!$E:$M,6,FALSE))</f>
        <v>137900</v>
      </c>
      <c r="AG100">
        <f t="shared" si="31"/>
        <v>242945</v>
      </c>
      <c r="AH100">
        <f t="shared" si="39"/>
        <v>0</v>
      </c>
      <c r="AI100">
        <f t="shared" si="44"/>
        <v>62152</v>
      </c>
      <c r="AJ100">
        <f t="shared" si="40"/>
        <v>109496</v>
      </c>
      <c r="AK100">
        <f t="shared" si="43"/>
        <v>59784</v>
      </c>
      <c r="AL100">
        <f t="shared" si="45"/>
        <v>921</v>
      </c>
      <c r="AM100">
        <f t="shared" si="41"/>
        <v>1632</v>
      </c>
      <c r="AN100">
        <f t="shared" ref="AN100:AN131" si="46">SUMIF($B:$B,AE100,$N:$N)-SUMIF($B:$B,AE100,$R:$R)-SUMIF($B:$B,AE100,$D:$D)</f>
        <v>0</v>
      </c>
      <c r="AP100" t="str">
        <f t="shared" si="32"/>
        <v>-</v>
      </c>
      <c r="AQ100">
        <f t="shared" si="33"/>
        <v>3345</v>
      </c>
    </row>
    <row r="101" spans="1:43" ht="16.5" thickBot="1">
      <c r="A101" s="91">
        <f t="shared" si="42"/>
        <v>98</v>
      </c>
      <c r="B101" s="93" t="s">
        <v>505</v>
      </c>
      <c r="C101" s="291">
        <f>IF(B101=B100,C100,SUMIF('Date masura OD'!$G:$G,B101,'Date masura OD'!$R:$R))</f>
        <v>108760</v>
      </c>
      <c r="D101" s="291">
        <f>IFERROR(IF(VLOOKUP(B101,'Date masura OD'!$G$76:$BF$187,52,FALSE)&lt;0,-VLOOKUP(B101,'Date masura OD'!$G$76:$BF$187,52,FALSE),0),0)</f>
        <v>0</v>
      </c>
      <c r="E101" s="291">
        <v>0</v>
      </c>
      <c r="F101" s="291">
        <v>0</v>
      </c>
      <c r="G101" s="94" t="s">
        <v>978</v>
      </c>
      <c r="H101" s="312">
        <f>IF(C101=0,0,IF(RIGHT(G101,1)="N",ROUNDUP(C101*1.5%,0),IF(LEN(RIGHT(G101,LEN(G101)-FIND("_",G101,1)))=1,SUMIF('Date masura OD'!$G:$G,G101,'Date masura OD'!$R:$R),AK101)))</f>
        <v>1632</v>
      </c>
      <c r="I101" s="184">
        <f>VLOOKUP(G101,'Contorizare in SDI'!E:M,7,FALSE)</f>
        <v>0</v>
      </c>
      <c r="J101" s="88">
        <f>VLOOKUP(G101,'Contorizare in SDI'!$E:$M,$J$1-2,FALSE)</f>
        <v>0</v>
      </c>
      <c r="K101" s="88">
        <f>VLOOKUP(G101,'Contorizare in SDI'!$E:$M,$K$1-2,FALSE)</f>
        <v>0</v>
      </c>
      <c r="L101" s="94" t="s">
        <v>69</v>
      </c>
      <c r="M101" s="87">
        <v>0</v>
      </c>
      <c r="N101" s="88">
        <f>IF(COUNTIF(L101,"-")=1,0,VLOOKUP(L101,'Contorizare in SDI'!$F:$R,$N$1-3,FALSE))</f>
        <v>0</v>
      </c>
      <c r="O101" s="88">
        <f>IF(COUNTIF(L101,"-")=1,0,VLOOKUP(L101,'Contorizare in SDI'!$F:$R,$O$1-3,FALSE))</f>
        <v>0</v>
      </c>
      <c r="P101" s="88">
        <f>IF(COUNTIF(L101,"-")=1,0,VLOOKUP(L101,'Contorizare in SDI'!$F:$R,$P$1-3,FALSE))</f>
        <v>0</v>
      </c>
      <c r="Q101" s="88">
        <f t="shared" si="34"/>
        <v>0</v>
      </c>
      <c r="R101" s="88">
        <f t="shared" si="35"/>
        <v>0</v>
      </c>
      <c r="S101" s="321">
        <v>0</v>
      </c>
      <c r="T101" s="88">
        <f t="shared" si="36"/>
        <v>0</v>
      </c>
      <c r="U101" s="95" t="s">
        <v>69</v>
      </c>
      <c r="V101" s="589"/>
      <c r="W101" s="589"/>
      <c r="X101" s="589"/>
      <c r="Y101" s="591"/>
      <c r="AA101" t="str">
        <f t="shared" si="37"/>
        <v/>
      </c>
      <c r="AB101" t="str">
        <f t="shared" si="38"/>
        <v/>
      </c>
      <c r="AE101" t="str">
        <f t="shared" si="30"/>
        <v>RAMB_2</v>
      </c>
      <c r="AF101">
        <f>IF(LEFT(VLOOKUP(G101,'Contorizare in SDI'!$E:$M,5,FALSE),1)="V",C101,VLOOKUP(G101,'Contorizare in SDI'!$E:$M,6,FALSE))</f>
        <v>0</v>
      </c>
      <c r="AG101">
        <f t="shared" si="31"/>
        <v>242945</v>
      </c>
      <c r="AH101">
        <f t="shared" si="39"/>
        <v>1632</v>
      </c>
      <c r="AI101">
        <f t="shared" si="44"/>
        <v>0</v>
      </c>
      <c r="AJ101">
        <f t="shared" si="40"/>
        <v>109496</v>
      </c>
      <c r="AK101">
        <f t="shared" si="43"/>
        <v>0</v>
      </c>
      <c r="AL101">
        <f t="shared" si="45"/>
        <v>0</v>
      </c>
      <c r="AM101">
        <f t="shared" si="41"/>
        <v>0</v>
      </c>
      <c r="AN101">
        <f t="shared" si="46"/>
        <v>1354</v>
      </c>
      <c r="AP101" t="str">
        <f t="shared" si="32"/>
        <v>RAMB</v>
      </c>
      <c r="AQ101">
        <f t="shared" si="33"/>
        <v>4977</v>
      </c>
    </row>
    <row r="102" spans="1:43" ht="16.5" thickBot="1">
      <c r="A102" s="91">
        <f t="shared" si="42"/>
        <v>99</v>
      </c>
      <c r="B102" s="86" t="s">
        <v>547</v>
      </c>
      <c r="C102" s="291">
        <f>IF(B102=B101,C101,SUMIF('Date masura OD'!$G:$G,B102,'Date masura OD'!$R:$R))</f>
        <v>781295</v>
      </c>
      <c r="D102" s="291">
        <f>IFERROR(IF(VLOOKUP(B102,'Date masura OD'!$G$76:$BF$187,52,FALSE)&lt;0,-VLOOKUP(B102,'Date masura OD'!$G$76:$BF$187,52,FALSE),0),0)</f>
        <v>0</v>
      </c>
      <c r="E102" s="291">
        <v>0</v>
      </c>
      <c r="F102" s="291">
        <v>0</v>
      </c>
      <c r="G102" s="89" t="s">
        <v>628</v>
      </c>
      <c r="H102" s="312">
        <f>IF(C102=0,0,IF(RIGHT(G102,1)="N",ROUNDUP(C102*1.5%,0),IF(LEN(RIGHT(G102,LEN(G102)-FIND("_",G102,1)))=1,SUMIF('Date masura OD'!$G:$G,G102,'Date masura OD'!$R:$R),AK102)))</f>
        <v>420528</v>
      </c>
      <c r="I102" s="184">
        <f>VLOOKUP(G102,'Contorizare in SDI'!E:M,7,FALSE)</f>
        <v>0</v>
      </c>
      <c r="J102" s="88">
        <f>VLOOKUP(G102,'Contorizare in SDI'!$E:$M,$J$1-2,FALSE)</f>
        <v>63770</v>
      </c>
      <c r="K102" s="88">
        <f>VLOOKUP(G102,'Contorizare in SDI'!$E:$M,$K$1-2,FALSE)</f>
        <v>6793</v>
      </c>
      <c r="L102" s="89" t="s">
        <v>685</v>
      </c>
      <c r="M102" s="87">
        <v>0</v>
      </c>
      <c r="N102" s="88">
        <f>IF(COUNTIF(L102,"-")=1,0,VLOOKUP(L102,'Contorizare in SDI'!$F:$R,$N$1-3,FALSE))</f>
        <v>37745</v>
      </c>
      <c r="O102" s="88">
        <f>IF(COUNTIF(L102,"-")=1,0,VLOOKUP(L102,'Contorizare in SDI'!$F:$R,$O$1-3,FALSE))</f>
        <v>233</v>
      </c>
      <c r="P102" s="88">
        <f>IF(COUNTIF(L102,"-")=1,0,VLOOKUP(L102,'Contorizare in SDI'!$F:$R,$P$1-3,FALSE))</f>
        <v>643</v>
      </c>
      <c r="Q102" s="88">
        <f>IF(RIGHT(G102,1)="N",0,H102)</f>
        <v>420528</v>
      </c>
      <c r="R102" s="88">
        <f t="shared" si="35"/>
        <v>37745</v>
      </c>
      <c r="S102" s="323">
        <f>IF(D102&gt;0,ROUNDUP((SUM(I102:I104)-D102)/3,0),I103)</f>
        <v>0</v>
      </c>
      <c r="T102" s="88">
        <f t="shared" si="36"/>
        <v>6308</v>
      </c>
      <c r="U102" s="90" t="s">
        <v>514</v>
      </c>
      <c r="V102" s="602">
        <f>SUM(H102:H104)+SUM(N102:N104)-D102</f>
        <v>1200960</v>
      </c>
      <c r="W102" s="593">
        <f>SUM(Q102:S104)</f>
        <v>1200960</v>
      </c>
      <c r="X102" s="593">
        <f>C102</f>
        <v>781295</v>
      </c>
      <c r="Y102" s="596">
        <f>SUM(H102:H104)+SUM(T102:T104)</f>
        <v>781295</v>
      </c>
      <c r="AA102" t="str">
        <f t="shared" si="37"/>
        <v>OK</v>
      </c>
      <c r="AB102" t="str">
        <f t="shared" si="38"/>
        <v>OK</v>
      </c>
      <c r="AE102" t="str">
        <f t="shared" si="30"/>
        <v>-</v>
      </c>
      <c r="AF102">
        <f>IF(LEFT(VLOOKUP(G102,'Contorizare in SDI'!$E:$M,5,FALSE),1)="V",C102,VLOOKUP(G102,'Contorizare in SDI'!$E:$M,6,FALSE))</f>
        <v>476055</v>
      </c>
      <c r="AG102">
        <f t="shared" si="31"/>
        <v>476055</v>
      </c>
      <c r="AH102">
        <f t="shared" si="39"/>
        <v>0</v>
      </c>
      <c r="AI102">
        <f t="shared" si="44"/>
        <v>420528</v>
      </c>
      <c r="AJ102">
        <f t="shared" si="40"/>
        <v>420528</v>
      </c>
      <c r="AK102">
        <f t="shared" si="43"/>
        <v>420528</v>
      </c>
      <c r="AL102">
        <f t="shared" si="45"/>
        <v>6308</v>
      </c>
      <c r="AM102">
        <f t="shared" si="41"/>
        <v>6308</v>
      </c>
      <c r="AN102">
        <f t="shared" si="46"/>
        <v>0</v>
      </c>
      <c r="AP102" t="str">
        <f t="shared" si="32"/>
        <v>-</v>
      </c>
      <c r="AQ102">
        <f t="shared" si="33"/>
        <v>0</v>
      </c>
    </row>
    <row r="103" spans="1:43" ht="16.5" thickBot="1">
      <c r="A103" s="91">
        <f t="shared" si="42"/>
        <v>100</v>
      </c>
      <c r="B103" s="30" t="s">
        <v>547</v>
      </c>
      <c r="C103" s="291">
        <f>IF(B103=B102,C102,SUMIF('Date masura OD'!$G:$G,B103,'Date masura OD'!$R:$R))</f>
        <v>781295</v>
      </c>
      <c r="D103" s="291">
        <f>IFERROR(IF(VLOOKUP(B103,'Date masura OD'!$G$76:$BF$187,52,FALSE)&lt;0,-VLOOKUP(B103,'Date masura OD'!$G$76:$BF$187,52,FALSE),0),0)</f>
        <v>0</v>
      </c>
      <c r="E103" s="291">
        <v>0</v>
      </c>
      <c r="F103" s="291">
        <v>0</v>
      </c>
      <c r="G103" s="29" t="s">
        <v>629</v>
      </c>
      <c r="H103" s="312">
        <f>IF(C103=0,0,IF(RIGHT(G103,1)="N",ROUNDUP(C103*1.5%,0),IF(LEN(RIGHT(G103,LEN(G103)-FIND("_",G103,1)))=1,SUMIF('Date masura OD'!$G:$G,G103,'Date masura OD'!$R:$R),AK103)))</f>
        <v>302022</v>
      </c>
      <c r="I103" s="184">
        <f>VLOOKUP(G103,'Contorizare in SDI'!E:M,7,FALSE)</f>
        <v>0</v>
      </c>
      <c r="J103" s="88">
        <f>VLOOKUP(G103,'Contorizare in SDI'!$E:$M,$J$1-2,FALSE)</f>
        <v>35569</v>
      </c>
      <c r="K103" s="88">
        <f>VLOOKUP(G103,'Contorizare in SDI'!$E:$M,$K$1-2,FALSE)</f>
        <v>1599</v>
      </c>
      <c r="L103" s="29" t="s">
        <v>686</v>
      </c>
      <c r="M103" s="87">
        <v>0</v>
      </c>
      <c r="N103" s="88">
        <f>IF(COUNTIF(L103,"-")=1,0,VLOOKUP(L103,'Contorizare in SDI'!$F:$R,$N$1-3,FALSE))</f>
        <v>113990</v>
      </c>
      <c r="O103" s="88">
        <f>IF(COUNTIF(L103,"-")=1,0,VLOOKUP(L103,'Contorizare in SDI'!$F:$R,$O$1-3,FALSE))</f>
        <v>363</v>
      </c>
      <c r="P103" s="88">
        <f>IF(COUNTIF(L103,"-")=1,0,VLOOKUP(L103,'Contorizare in SDI'!$F:$R,$P$1-3,FALSE))</f>
        <v>1103</v>
      </c>
      <c r="Q103" s="88">
        <f t="shared" si="34"/>
        <v>302022</v>
      </c>
      <c r="R103" s="88">
        <f t="shared" si="35"/>
        <v>113990</v>
      </c>
      <c r="S103" s="322">
        <f>IF(D102&gt;0,ROUNDUP((SUM(I102:I104)-D102)/3,0),I104)</f>
        <v>126303</v>
      </c>
      <c r="T103" s="88">
        <f t="shared" si="36"/>
        <v>4531</v>
      </c>
      <c r="U103" s="17" t="s">
        <v>514</v>
      </c>
      <c r="V103" s="594"/>
      <c r="W103" s="594"/>
      <c r="X103" s="594"/>
      <c r="Y103" s="597"/>
      <c r="AA103" t="str">
        <f t="shared" si="37"/>
        <v/>
      </c>
      <c r="AB103" t="str">
        <f t="shared" si="38"/>
        <v/>
      </c>
      <c r="AE103" t="str">
        <f t="shared" si="30"/>
        <v>-</v>
      </c>
      <c r="AF103">
        <f>IF(LEFT(VLOOKUP(G103,'Contorizare in SDI'!$E:$M,5,FALSE),1)="V",C103,VLOOKUP(G103,'Contorizare in SDI'!$E:$M,6,FALSE))</f>
        <v>341901</v>
      </c>
      <c r="AG103">
        <f t="shared" si="31"/>
        <v>817956</v>
      </c>
      <c r="AH103">
        <f t="shared" si="39"/>
        <v>0</v>
      </c>
      <c r="AI103">
        <f t="shared" si="44"/>
        <v>302022</v>
      </c>
      <c r="AJ103">
        <f t="shared" si="40"/>
        <v>722550</v>
      </c>
      <c r="AK103">
        <f t="shared" si="43"/>
        <v>302022</v>
      </c>
      <c r="AL103">
        <f t="shared" si="45"/>
        <v>4531</v>
      </c>
      <c r="AM103">
        <f t="shared" si="41"/>
        <v>10839</v>
      </c>
      <c r="AN103">
        <f t="shared" si="46"/>
        <v>0</v>
      </c>
      <c r="AP103" t="str">
        <f t="shared" si="32"/>
        <v>-</v>
      </c>
      <c r="AQ103">
        <f t="shared" si="33"/>
        <v>0</v>
      </c>
    </row>
    <row r="104" spans="1:43" ht="16.5" thickBot="1">
      <c r="A104" s="91">
        <f t="shared" si="42"/>
        <v>101</v>
      </c>
      <c r="B104" s="30" t="s">
        <v>547</v>
      </c>
      <c r="C104" s="291">
        <f>IF(B104=B103,C103,SUMIF('Date masura OD'!$G:$G,B104,'Date masura OD'!$R:$R))</f>
        <v>781295</v>
      </c>
      <c r="D104" s="291">
        <f>IFERROR(IF(VLOOKUP(B104,'Date masura OD'!$G$76:$BF$187,52,FALSE)&lt;0,-VLOOKUP(B104,'Date masura OD'!$G$76:$BF$187,52,FALSE),0),0)</f>
        <v>0</v>
      </c>
      <c r="E104" s="291">
        <v>0</v>
      </c>
      <c r="F104" s="291">
        <v>0</v>
      </c>
      <c r="G104" s="29" t="s">
        <v>630</v>
      </c>
      <c r="H104" s="312">
        <f>IF(C104=0,0,IF(RIGHT(G104,1)="N",ROUNDUP(C104*1.5%,0),IF(LEN(RIGHT(G104,LEN(G104)-FIND("_",G104,1)))=1,SUMIF('Date masura OD'!$G:$G,G104,'Date masura OD'!$R:$R),AK104)))</f>
        <v>47025</v>
      </c>
      <c r="I104" s="184">
        <f>VLOOKUP(G104,'Contorizare in SDI'!E:M,7,FALSE)</f>
        <v>126303</v>
      </c>
      <c r="J104" s="88">
        <f>VLOOKUP(G104,'Contorizare in SDI'!$E:$M,$J$1-2,FALSE)</f>
        <v>4764</v>
      </c>
      <c r="K104" s="88">
        <f>VLOOKUP(G104,'Contorizare in SDI'!$E:$M,$K$1-2,FALSE)</f>
        <v>13400</v>
      </c>
      <c r="L104" s="29" t="s">
        <v>687</v>
      </c>
      <c r="M104" s="87">
        <v>0</v>
      </c>
      <c r="N104" s="88">
        <f>IF(COUNTIF(L104,"-")=1,0,VLOOKUP(L104,'Contorizare in SDI'!$F:$R,$N$1-3,FALSE))</f>
        <v>279650</v>
      </c>
      <c r="O104" s="88">
        <f>IF(COUNTIF(L104,"-")=1,0,VLOOKUP(L104,'Contorizare in SDI'!$F:$R,$O$1-3,FALSE))</f>
        <v>863</v>
      </c>
      <c r="P104" s="88">
        <f>IF(COUNTIF(L104,"-")=1,0,VLOOKUP(L104,'Contorizare in SDI'!$F:$R,$P$1-3,FALSE))</f>
        <v>1822</v>
      </c>
      <c r="Q104" s="88">
        <f t="shared" si="34"/>
        <v>47025</v>
      </c>
      <c r="R104" s="88">
        <f t="shared" si="35"/>
        <v>153347</v>
      </c>
      <c r="S104" s="322">
        <f>IF(D102&gt;0,SUM(I102:I104)-D102-S103-S102,I102)</f>
        <v>0</v>
      </c>
      <c r="T104" s="88">
        <f t="shared" si="36"/>
        <v>881</v>
      </c>
      <c r="U104" s="17" t="s">
        <v>514</v>
      </c>
      <c r="V104" s="594"/>
      <c r="W104" s="594"/>
      <c r="X104" s="594"/>
      <c r="Y104" s="597"/>
      <c r="AA104" t="str">
        <f t="shared" si="37"/>
        <v/>
      </c>
      <c r="AB104" t="str">
        <f t="shared" si="38"/>
        <v/>
      </c>
      <c r="AE104" t="str">
        <f t="shared" si="30"/>
        <v>-</v>
      </c>
      <c r="AF104">
        <f>IF(LEFT(VLOOKUP(G104,'Contorizare in SDI'!$E:$M,5,FALSE),1)="V",C104,VLOOKUP(G104,'Contorizare in SDI'!$E:$M,6,FALSE))</f>
        <v>78224</v>
      </c>
      <c r="AG104">
        <f t="shared" si="31"/>
        <v>896180</v>
      </c>
      <c r="AH104">
        <f t="shared" si="39"/>
        <v>0</v>
      </c>
      <c r="AI104">
        <f t="shared" si="44"/>
        <v>69100</v>
      </c>
      <c r="AJ104">
        <f t="shared" si="40"/>
        <v>791650</v>
      </c>
      <c r="AK104">
        <f t="shared" si="43"/>
        <v>47025</v>
      </c>
      <c r="AL104">
        <f t="shared" si="45"/>
        <v>881</v>
      </c>
      <c r="AM104">
        <f t="shared" si="41"/>
        <v>11720</v>
      </c>
      <c r="AN104">
        <f t="shared" si="46"/>
        <v>0</v>
      </c>
      <c r="AP104" t="str">
        <f t="shared" si="32"/>
        <v>-</v>
      </c>
      <c r="AQ104">
        <f t="shared" si="33"/>
        <v>0</v>
      </c>
    </row>
    <row r="105" spans="1:43" ht="16.5" thickBot="1">
      <c r="A105" s="91">
        <f t="shared" si="42"/>
        <v>102</v>
      </c>
      <c r="B105" s="30" t="s">
        <v>547</v>
      </c>
      <c r="C105" s="291">
        <f>IF(B105=B104,C104,SUMIF('Date masura OD'!$G:$G,B105,'Date masura OD'!$R:$R))</f>
        <v>781295</v>
      </c>
      <c r="D105" s="291">
        <f>IFERROR(IF(VLOOKUP(B105,'Date masura OD'!$G$76:$BF$187,52,FALSE)&lt;0,-VLOOKUP(B105,'Date masura OD'!$G$76:$BF$187,52,FALSE),0),0)</f>
        <v>0</v>
      </c>
      <c r="E105" s="291">
        <v>0</v>
      </c>
      <c r="F105" s="291">
        <v>0</v>
      </c>
      <c r="G105" s="29" t="s">
        <v>979</v>
      </c>
      <c r="H105" s="312">
        <f>IF(C105=0,0,IF(RIGHT(G105,1)="N",ROUNDUP(C105*1.5%,0),IF(LEN(RIGHT(G105,LEN(G105)-FIND("_",G105,1)))=1,SUMIF('Date masura OD'!$G:$G,G105,'Date masura OD'!$R:$R),AK105)))</f>
        <v>11720</v>
      </c>
      <c r="I105" s="184">
        <f>VLOOKUP(G105,'Contorizare in SDI'!E:M,7,FALSE)</f>
        <v>0</v>
      </c>
      <c r="J105" s="88">
        <f>VLOOKUP(G105,'Contorizare in SDI'!$E:$M,$J$1-2,FALSE)</f>
        <v>0</v>
      </c>
      <c r="K105" s="88">
        <f>VLOOKUP(G105,'Contorizare in SDI'!$E:$M,$K$1-2,FALSE)</f>
        <v>0</v>
      </c>
      <c r="L105" s="29" t="s">
        <v>69</v>
      </c>
      <c r="M105" s="87">
        <v>0</v>
      </c>
      <c r="N105" s="88">
        <f>IF(COUNTIF(L105,"-")=1,0,VLOOKUP(L105,'Contorizare in SDI'!$F:$R,$N$1-3,FALSE))</f>
        <v>0</v>
      </c>
      <c r="O105" s="88">
        <f>IF(COUNTIF(L105,"-")=1,0,VLOOKUP(L105,'Contorizare in SDI'!$F:$R,$O$1-3,FALSE))</f>
        <v>0</v>
      </c>
      <c r="P105" s="88">
        <f>IF(COUNTIF(L105,"-")=1,0,VLOOKUP(L105,'Contorizare in SDI'!$F:$R,$P$1-3,FALSE))</f>
        <v>0</v>
      </c>
      <c r="Q105" s="88">
        <f t="shared" si="34"/>
        <v>0</v>
      </c>
      <c r="R105" s="88">
        <f t="shared" si="35"/>
        <v>0</v>
      </c>
      <c r="S105" s="321">
        <v>0</v>
      </c>
      <c r="T105" s="88">
        <f t="shared" si="36"/>
        <v>0</v>
      </c>
      <c r="U105" s="17" t="s">
        <v>69</v>
      </c>
      <c r="V105" s="599"/>
      <c r="W105" s="599"/>
      <c r="X105" s="599"/>
      <c r="Y105" s="600"/>
      <c r="AA105" t="str">
        <f t="shared" si="37"/>
        <v/>
      </c>
      <c r="AB105" t="str">
        <f t="shared" si="38"/>
        <v/>
      </c>
      <c r="AE105" t="str">
        <f t="shared" si="30"/>
        <v>RGBM_1</v>
      </c>
      <c r="AF105">
        <f>IF(LEFT(VLOOKUP(G105,'Contorizare in SDI'!$E:$M,5,FALSE),1)="V",C105,VLOOKUP(G105,'Contorizare in SDI'!$E:$M,6,FALSE))</f>
        <v>0</v>
      </c>
      <c r="AG105">
        <f t="shared" si="31"/>
        <v>896180</v>
      </c>
      <c r="AH105">
        <f t="shared" si="39"/>
        <v>11720</v>
      </c>
      <c r="AI105">
        <f t="shared" si="44"/>
        <v>0</v>
      </c>
      <c r="AJ105">
        <f t="shared" si="40"/>
        <v>791650</v>
      </c>
      <c r="AK105">
        <f t="shared" si="43"/>
        <v>0</v>
      </c>
      <c r="AL105">
        <f t="shared" si="45"/>
        <v>0</v>
      </c>
      <c r="AM105">
        <f t="shared" si="41"/>
        <v>0</v>
      </c>
      <c r="AN105">
        <f t="shared" si="46"/>
        <v>126303</v>
      </c>
      <c r="AP105" t="str">
        <f t="shared" si="32"/>
        <v>-</v>
      </c>
      <c r="AQ105">
        <f t="shared" si="33"/>
        <v>11720</v>
      </c>
    </row>
    <row r="106" spans="1:43" ht="16.5" thickBot="1">
      <c r="A106" s="91">
        <f t="shared" si="42"/>
        <v>103</v>
      </c>
      <c r="B106" s="30" t="s">
        <v>548</v>
      </c>
      <c r="C106" s="291">
        <f>IF(B106=B105,C105,SUMIF('Date masura OD'!$G:$G,B106,'Date masura OD'!$R:$R))</f>
        <v>71700</v>
      </c>
      <c r="D106" s="291">
        <f>IFERROR(IF(VLOOKUP(B106,'Date masura OD'!$G$76:$BF$187,52,FALSE)&lt;0,-VLOOKUP(B106,'Date masura OD'!$G$76:$BF$187,52,FALSE),0),0)</f>
        <v>0</v>
      </c>
      <c r="E106" s="291">
        <v>0</v>
      </c>
      <c r="F106" s="291">
        <v>0</v>
      </c>
      <c r="G106" s="29" t="s">
        <v>631</v>
      </c>
      <c r="H106" s="312">
        <f>IF(C106=0,0,IF(RIGHT(G106,1)="N",ROUNDUP(C106*1.5%,0),IF(LEN(RIGHT(G106,LEN(G106)-FIND("_",G106,1)))=1,SUMIF('Date masura OD'!$G:$G,G106,'Date masura OD'!$R:$R),AK106)))</f>
        <v>70624</v>
      </c>
      <c r="I106" s="317">
        <f>VLOOKUP(G106,'Contorizare in SDI'!E:M,7,FALSE)-40</f>
        <v>0</v>
      </c>
      <c r="J106" s="88">
        <f>VLOOKUP(G106,'Contorizare in SDI'!$E:$M,$J$1-2,FALSE)</f>
        <v>1</v>
      </c>
      <c r="K106" s="88">
        <f>VLOOKUP(G106,'Contorizare in SDI'!$E:$M,$K$1-2,FALSE)</f>
        <v>21161</v>
      </c>
      <c r="L106" s="29" t="s">
        <v>1178</v>
      </c>
      <c r="M106" s="87">
        <v>0</v>
      </c>
      <c r="N106" s="88">
        <f>IF(COUNTIF(L106,"-")=1,0,VLOOKUP(L106,'Contorizare in SDI'!$F:$R,$N$1-3,FALSE))</f>
        <v>44270</v>
      </c>
      <c r="O106" s="88">
        <f>IF(COUNTIF(L106,"-")=1,0,VLOOKUP(L106,'Contorizare in SDI'!$F:$R,$O$1-3,FALSE))</f>
        <v>27</v>
      </c>
      <c r="P106" s="88">
        <f>IF(COUNTIF(L106,"-")=1,0,VLOOKUP(L106,'Contorizare in SDI'!$F:$R,$P$1-3,FALSE))</f>
        <v>538</v>
      </c>
      <c r="Q106" s="88">
        <f t="shared" si="34"/>
        <v>70624</v>
      </c>
      <c r="R106" s="88">
        <f t="shared" si="35"/>
        <v>44270</v>
      </c>
      <c r="S106" s="321">
        <v>0</v>
      </c>
      <c r="T106" s="88">
        <f t="shared" si="36"/>
        <v>1076</v>
      </c>
      <c r="U106" s="17" t="s">
        <v>514</v>
      </c>
      <c r="V106" s="601">
        <f>SUM(H106)+SUM(N106)</f>
        <v>114894</v>
      </c>
      <c r="W106" s="581">
        <f>SUM(Q106:S106)</f>
        <v>114894</v>
      </c>
      <c r="X106" s="581">
        <f>C106</f>
        <v>71700</v>
      </c>
      <c r="Y106" s="583">
        <f>SUM(H106)+SUM(T106)</f>
        <v>71700</v>
      </c>
      <c r="AA106" t="str">
        <f t="shared" si="37"/>
        <v>OK</v>
      </c>
      <c r="AB106" t="str">
        <f t="shared" si="38"/>
        <v>OK</v>
      </c>
      <c r="AE106" t="str">
        <f t="shared" si="30"/>
        <v>-</v>
      </c>
      <c r="AF106">
        <f>IF(LEFT(VLOOKUP(G106,'Contorizare in SDI'!$E:$M,5,FALSE),1)="V",C106,VLOOKUP(G106,'Contorizare in SDI'!$E:$M,6,FALSE))</f>
        <v>69314</v>
      </c>
      <c r="AG106">
        <f t="shared" si="31"/>
        <v>69314</v>
      </c>
      <c r="AH106">
        <f t="shared" si="39"/>
        <v>0</v>
      </c>
      <c r="AI106">
        <f t="shared" si="44"/>
        <v>72831</v>
      </c>
      <c r="AJ106">
        <f t="shared" si="40"/>
        <v>72831</v>
      </c>
      <c r="AK106">
        <f t="shared" si="43"/>
        <v>70624</v>
      </c>
      <c r="AL106">
        <f t="shared" si="45"/>
        <v>1076</v>
      </c>
      <c r="AM106">
        <f t="shared" si="41"/>
        <v>1076</v>
      </c>
      <c r="AN106">
        <f t="shared" si="46"/>
        <v>0</v>
      </c>
      <c r="AP106" t="str">
        <f t="shared" si="32"/>
        <v>-</v>
      </c>
      <c r="AQ106">
        <f t="shared" si="33"/>
        <v>11720</v>
      </c>
    </row>
    <row r="107" spans="1:43" ht="16.5" thickBot="1">
      <c r="A107" s="91">
        <f t="shared" si="42"/>
        <v>104</v>
      </c>
      <c r="B107" s="93" t="s">
        <v>548</v>
      </c>
      <c r="C107" s="291">
        <f>IF(B107=B106,C106,SUMIF('Date masura OD'!$G:$G,B107,'Date masura OD'!$R:$R))</f>
        <v>71700</v>
      </c>
      <c r="D107" s="291">
        <f>IFERROR(IF(VLOOKUP(B107,'Date masura OD'!$G$76:$BF$187,52,FALSE)&lt;0,-VLOOKUP(B107,'Date masura OD'!$G$76:$BF$187,52,FALSE),0),0)</f>
        <v>0</v>
      </c>
      <c r="E107" s="291">
        <v>0</v>
      </c>
      <c r="F107" s="291">
        <v>0</v>
      </c>
      <c r="G107" s="94" t="s">
        <v>980</v>
      </c>
      <c r="H107" s="312">
        <f>IF(C107=0,0,IF(RIGHT(G107,1)="N",ROUNDUP(C107*1.5%,0),IF(LEN(RIGHT(G107,LEN(G107)-FIND("_",G107,1)))=1,SUMIF('Date masura OD'!$G:$G,G107,'Date masura OD'!$R:$R),AK107)))</f>
        <v>1076</v>
      </c>
      <c r="I107" s="184">
        <f>VLOOKUP(G107,'Contorizare in SDI'!E:M,7,FALSE)</f>
        <v>0</v>
      </c>
      <c r="J107" s="88">
        <f>VLOOKUP(G107,'Contorizare in SDI'!$E:$M,$J$1-2,FALSE)</f>
        <v>0</v>
      </c>
      <c r="K107" s="88">
        <f>VLOOKUP(G107,'Contorizare in SDI'!$E:$M,$K$1-2,FALSE)</f>
        <v>0</v>
      </c>
      <c r="L107" s="94" t="s">
        <v>69</v>
      </c>
      <c r="M107" s="87">
        <v>0</v>
      </c>
      <c r="N107" s="88">
        <f>IF(COUNTIF(L107,"-")=1,0,VLOOKUP(L107,'Contorizare in SDI'!$F:$R,$N$1-3,FALSE))</f>
        <v>0</v>
      </c>
      <c r="O107" s="88">
        <f>IF(COUNTIF(L107,"-")=1,0,VLOOKUP(L107,'Contorizare in SDI'!$F:$R,$O$1-3,FALSE))</f>
        <v>0</v>
      </c>
      <c r="P107" s="88">
        <f>IF(COUNTIF(L107,"-")=1,0,VLOOKUP(L107,'Contorizare in SDI'!$F:$R,$P$1-3,FALSE))</f>
        <v>0</v>
      </c>
      <c r="Q107" s="88">
        <f t="shared" si="34"/>
        <v>0</v>
      </c>
      <c r="R107" s="88">
        <f t="shared" si="35"/>
        <v>0</v>
      </c>
      <c r="S107" s="321">
        <v>0</v>
      </c>
      <c r="T107" s="88">
        <f t="shared" si="36"/>
        <v>0</v>
      </c>
      <c r="U107" s="95" t="s">
        <v>69</v>
      </c>
      <c r="V107" s="589"/>
      <c r="W107" s="589"/>
      <c r="X107" s="589"/>
      <c r="Y107" s="591"/>
      <c r="AA107" t="str">
        <f t="shared" si="37"/>
        <v/>
      </c>
      <c r="AB107" t="str">
        <f t="shared" si="38"/>
        <v/>
      </c>
      <c r="AE107" t="str">
        <f t="shared" si="30"/>
        <v>RGBM_2</v>
      </c>
      <c r="AF107">
        <f>IF(LEFT(VLOOKUP(G107,'Contorizare in SDI'!$E:$M,5,FALSE),1)="V",C107,VLOOKUP(G107,'Contorizare in SDI'!$E:$M,6,FALSE))</f>
        <v>0</v>
      </c>
      <c r="AG107">
        <f t="shared" si="31"/>
        <v>69314</v>
      </c>
      <c r="AH107">
        <f t="shared" si="39"/>
        <v>1076</v>
      </c>
      <c r="AI107">
        <f t="shared" si="44"/>
        <v>0</v>
      </c>
      <c r="AJ107">
        <f t="shared" si="40"/>
        <v>72831</v>
      </c>
      <c r="AK107">
        <f t="shared" si="43"/>
        <v>0</v>
      </c>
      <c r="AL107">
        <f t="shared" si="45"/>
        <v>0</v>
      </c>
      <c r="AM107">
        <f t="shared" si="41"/>
        <v>0</v>
      </c>
      <c r="AN107">
        <f t="shared" si="46"/>
        <v>0</v>
      </c>
      <c r="AP107" t="str">
        <f t="shared" si="32"/>
        <v>RGBM</v>
      </c>
      <c r="AQ107">
        <f t="shared" si="33"/>
        <v>12796</v>
      </c>
    </row>
    <row r="108" spans="1:43" ht="16.5" thickBot="1">
      <c r="A108" s="91">
        <f t="shared" si="42"/>
        <v>105</v>
      </c>
      <c r="B108" s="86" t="s">
        <v>549</v>
      </c>
      <c r="C108" s="291">
        <f>IF(B108=B107,C107,SUMIF('Date masura OD'!$G:$G,B108,'Date masura OD'!$R:$R))</f>
        <v>833280</v>
      </c>
      <c r="D108" s="291">
        <f>IFERROR(IF(VLOOKUP(B108,'Date masura OD'!$G$76:$BF$187,52,FALSE)&lt;0,-VLOOKUP(B108,'Date masura OD'!$G$76:$BF$187,52,FALSE),0),0)</f>
        <v>0</v>
      </c>
      <c r="E108" s="291">
        <v>0</v>
      </c>
      <c r="F108" s="291">
        <v>0</v>
      </c>
      <c r="G108" s="89" t="s">
        <v>632</v>
      </c>
      <c r="H108" s="312">
        <f>IF(C108=0,0,IF(RIGHT(G108,1)="N",ROUNDUP(C108*1.5%,0),IF(LEN(RIGHT(G108,LEN(G108)-FIND("_",G108,1)))=1,SUMIF('Date masura OD'!$G:$G,G108,'Date masura OD'!$R:$R),AK108)))</f>
        <v>33775</v>
      </c>
      <c r="I108" s="317">
        <f>VLOOKUP(G108,'Contorizare in SDI'!E:M,7,FALSE)-17</f>
        <v>0</v>
      </c>
      <c r="J108" s="88">
        <f>VLOOKUP(G108,'Contorizare in SDI'!$E:$M,$J$1-2,FALSE)</f>
        <v>30700</v>
      </c>
      <c r="K108" s="88">
        <f>VLOOKUP(G108,'Contorizare in SDI'!$E:$M,$K$1-2,FALSE)</f>
        <v>35</v>
      </c>
      <c r="L108" s="89" t="s">
        <v>69</v>
      </c>
      <c r="M108" s="87">
        <v>0</v>
      </c>
      <c r="N108" s="88">
        <f>IF(COUNTIF(L108,"-")=1,0,VLOOKUP(L108,'Contorizare in SDI'!$F:$R,$N$1-3,FALSE))</f>
        <v>0</v>
      </c>
      <c r="O108" s="88">
        <f>IF(COUNTIF(L108,"-")=1,0,VLOOKUP(L108,'Contorizare in SDI'!$F:$R,$O$1-3,FALSE))</f>
        <v>0</v>
      </c>
      <c r="P108" s="88">
        <f>IF(COUNTIF(L108,"-")=1,0,VLOOKUP(L108,'Contorizare in SDI'!$F:$R,$P$1-3,FALSE))</f>
        <v>0</v>
      </c>
      <c r="Q108" s="88">
        <f t="shared" si="34"/>
        <v>33775</v>
      </c>
      <c r="R108" s="88">
        <f t="shared" si="35"/>
        <v>0</v>
      </c>
      <c r="S108" s="321">
        <v>0</v>
      </c>
      <c r="T108" s="88">
        <f t="shared" si="36"/>
        <v>507</v>
      </c>
      <c r="U108" s="90" t="s">
        <v>514</v>
      </c>
      <c r="V108" s="592">
        <f>SUM(H108:H112)+SUM(N108:N112)</f>
        <v>834684</v>
      </c>
      <c r="W108" s="580">
        <f>SUM(Q108:S112)</f>
        <v>834684</v>
      </c>
      <c r="X108" s="580">
        <f>C108</f>
        <v>833280</v>
      </c>
      <c r="Y108" s="582">
        <f>SUM(H108:H112)+SUM(T108:T112)</f>
        <v>833280</v>
      </c>
      <c r="AA108" t="str">
        <f t="shared" si="37"/>
        <v>OK</v>
      </c>
      <c r="AB108" t="str">
        <f t="shared" si="38"/>
        <v>OK</v>
      </c>
      <c r="AE108" t="str">
        <f t="shared" si="30"/>
        <v>-</v>
      </c>
      <c r="AF108">
        <f>IF(LEFT(VLOOKUP(G108,'Contorizare in SDI'!$E:$M,5,FALSE),1)="V",C108,VLOOKUP(G108,'Contorizare in SDI'!$E:$M,6,FALSE))</f>
        <v>109113</v>
      </c>
      <c r="AG108">
        <f t="shared" si="31"/>
        <v>109113</v>
      </c>
      <c r="AH108">
        <f t="shared" si="39"/>
        <v>0</v>
      </c>
      <c r="AI108">
        <f t="shared" si="44"/>
        <v>33775</v>
      </c>
      <c r="AJ108">
        <f t="shared" si="40"/>
        <v>33775</v>
      </c>
      <c r="AK108">
        <f t="shared" si="43"/>
        <v>33775</v>
      </c>
      <c r="AL108">
        <f t="shared" si="45"/>
        <v>507</v>
      </c>
      <c r="AM108">
        <f t="shared" si="41"/>
        <v>507</v>
      </c>
      <c r="AN108">
        <f t="shared" si="46"/>
        <v>0</v>
      </c>
      <c r="AP108" t="str">
        <f t="shared" si="32"/>
        <v>-</v>
      </c>
      <c r="AQ108">
        <f t="shared" si="33"/>
        <v>0</v>
      </c>
    </row>
    <row r="109" spans="1:43" ht="16.5" thickBot="1">
      <c r="A109" s="91">
        <f t="shared" si="42"/>
        <v>106</v>
      </c>
      <c r="B109" s="30" t="s">
        <v>549</v>
      </c>
      <c r="C109" s="291">
        <f>IF(B109=B108,C108,SUMIF('Date masura OD'!$G:$G,B109,'Date masura OD'!$R:$R))</f>
        <v>833280</v>
      </c>
      <c r="D109" s="291">
        <f>IFERROR(IF(VLOOKUP(B109,'Date masura OD'!$G$76:$BF$187,52,FALSE)&lt;0,-VLOOKUP(B109,'Date masura OD'!$G$76:$BF$187,52,FALSE),0),0)</f>
        <v>0</v>
      </c>
      <c r="E109" s="291">
        <v>0</v>
      </c>
      <c r="F109" s="291">
        <v>0</v>
      </c>
      <c r="G109" s="29" t="s">
        <v>633</v>
      </c>
      <c r="H109" s="312">
        <f>IF(C109=0,0,IF(RIGHT(G109,1)="N",ROUNDUP(C109*1.5%,0),IF(LEN(RIGHT(G109,LEN(G109)-FIND("_",G109,1)))=1,SUMIF('Date masura OD'!$G:$G,G109,'Date masura OD'!$R:$R),AK109)))</f>
        <v>29575</v>
      </c>
      <c r="I109" s="184">
        <f>VLOOKUP(G109,'Contorizare in SDI'!E:M,7,FALSE)</f>
        <v>0</v>
      </c>
      <c r="J109" s="88">
        <f>VLOOKUP(G109,'Contorizare in SDI'!$E:$M,$J$1-2,FALSE)</f>
        <v>8824</v>
      </c>
      <c r="K109" s="88">
        <f>VLOOKUP(G109,'Contorizare in SDI'!$E:$M,$K$1-2,FALSE)</f>
        <v>44</v>
      </c>
      <c r="L109" s="29" t="s">
        <v>688</v>
      </c>
      <c r="M109" s="87">
        <v>0</v>
      </c>
      <c r="N109" s="88">
        <f>IF(COUNTIF(L109,"-")=1,0,VLOOKUP(L109,'Contorizare in SDI'!$F:$R,$N$1-3,FALSE))</f>
        <v>13904</v>
      </c>
      <c r="O109" s="88">
        <f>IF(COUNTIF(L109,"-")=1,0,VLOOKUP(L109,'Contorizare in SDI'!$F:$R,$O$1-3,FALSE))</f>
        <v>3588</v>
      </c>
      <c r="P109" s="88">
        <f>IF(COUNTIF(L109,"-")=1,0,VLOOKUP(L109,'Contorizare in SDI'!$F:$R,$P$1-3,FALSE))</f>
        <v>1860</v>
      </c>
      <c r="Q109" s="88">
        <f t="shared" si="34"/>
        <v>29575</v>
      </c>
      <c r="R109" s="88">
        <f t="shared" si="35"/>
        <v>13904</v>
      </c>
      <c r="S109" s="321">
        <v>0</v>
      </c>
      <c r="T109" s="88">
        <f t="shared" si="36"/>
        <v>444</v>
      </c>
      <c r="U109" s="17" t="s">
        <v>514</v>
      </c>
      <c r="V109" s="581"/>
      <c r="W109" s="581"/>
      <c r="X109" s="581"/>
      <c r="Y109" s="583"/>
      <c r="AA109" t="str">
        <f t="shared" si="37"/>
        <v/>
      </c>
      <c r="AB109" t="str">
        <f t="shared" si="38"/>
        <v/>
      </c>
      <c r="AE109" t="str">
        <f t="shared" si="30"/>
        <v>-</v>
      </c>
      <c r="AF109">
        <f>IF(LEFT(VLOOKUP(G109,'Contorizare in SDI'!$E:$M,5,FALSE),1)="V",C109,VLOOKUP(G109,'Contorizare in SDI'!$E:$M,6,FALSE))</f>
        <v>95544</v>
      </c>
      <c r="AG109">
        <f t="shared" si="31"/>
        <v>204657</v>
      </c>
      <c r="AH109">
        <f t="shared" si="39"/>
        <v>0</v>
      </c>
      <c r="AI109">
        <f t="shared" si="44"/>
        <v>29575</v>
      </c>
      <c r="AJ109">
        <f t="shared" si="40"/>
        <v>63350</v>
      </c>
      <c r="AK109">
        <f t="shared" si="43"/>
        <v>29575</v>
      </c>
      <c r="AL109">
        <f t="shared" si="45"/>
        <v>444</v>
      </c>
      <c r="AM109">
        <f t="shared" si="41"/>
        <v>951</v>
      </c>
      <c r="AN109">
        <f t="shared" si="46"/>
        <v>0</v>
      </c>
      <c r="AP109" t="str">
        <f t="shared" si="32"/>
        <v>-</v>
      </c>
      <c r="AQ109">
        <f t="shared" si="33"/>
        <v>0</v>
      </c>
    </row>
    <row r="110" spans="1:43" ht="16.5" thickBot="1">
      <c r="A110" s="91">
        <f t="shared" si="42"/>
        <v>107</v>
      </c>
      <c r="B110" s="30" t="s">
        <v>549</v>
      </c>
      <c r="C110" s="291">
        <f>IF(B110=B109,C109,SUMIF('Date masura OD'!$G:$G,B110,'Date masura OD'!$R:$R))</f>
        <v>833280</v>
      </c>
      <c r="D110" s="291">
        <f>IFERROR(IF(VLOOKUP(B110,'Date masura OD'!$G$76:$BF$187,52,FALSE)&lt;0,-VLOOKUP(B110,'Date masura OD'!$G$76:$BF$187,52,FALSE),0),0)</f>
        <v>0</v>
      </c>
      <c r="E110" s="291">
        <v>0</v>
      </c>
      <c r="F110" s="291">
        <v>0</v>
      </c>
      <c r="G110" s="29" t="s">
        <v>634</v>
      </c>
      <c r="H110" s="312">
        <f>IF(C110=0,0,IF(RIGHT(G110,1)="N",ROUNDUP(C110*1.5%,0),IF(LEN(RIGHT(G110,LEN(G110)-FIND("_",G110,1)))=1,SUMIF('Date masura OD'!$G:$G,G110,'Date masura OD'!$R:$R),AK110)))</f>
        <v>257934</v>
      </c>
      <c r="I110" s="184">
        <f>VLOOKUP(G110,'Contorizare in SDI'!E:M,7,FALSE)</f>
        <v>0</v>
      </c>
      <c r="J110" s="88">
        <f>VLOOKUP(G110,'Contorizare in SDI'!$E:$M,$J$1-2,FALSE)</f>
        <v>0</v>
      </c>
      <c r="K110" s="88">
        <f>VLOOKUP(G110,'Contorizare in SDI'!$E:$M,$K$1-2,FALSE)</f>
        <v>0</v>
      </c>
      <c r="L110" s="29" t="s">
        <v>69</v>
      </c>
      <c r="M110" s="87">
        <v>0</v>
      </c>
      <c r="N110" s="88">
        <f>IF(COUNTIF(L110,"-")=1,0,VLOOKUP(L110,'Contorizare in SDI'!$F:$R,$N$1-3,FALSE))</f>
        <v>0</v>
      </c>
      <c r="O110" s="88">
        <f>IF(COUNTIF(L110,"-")=1,0,VLOOKUP(L110,'Contorizare in SDI'!$F:$R,$O$1-3,FALSE))</f>
        <v>0</v>
      </c>
      <c r="P110" s="88">
        <f>IF(COUNTIF(L110,"-")=1,0,VLOOKUP(L110,'Contorizare in SDI'!$F:$R,$P$1-3,FALSE))</f>
        <v>0</v>
      </c>
      <c r="Q110" s="88">
        <f t="shared" si="34"/>
        <v>257934</v>
      </c>
      <c r="R110" s="88">
        <f t="shared" si="35"/>
        <v>0</v>
      </c>
      <c r="S110" s="321">
        <v>0</v>
      </c>
      <c r="T110" s="88">
        <f t="shared" si="36"/>
        <v>3870</v>
      </c>
      <c r="U110" s="17" t="s">
        <v>514</v>
      </c>
      <c r="V110" s="581"/>
      <c r="W110" s="581"/>
      <c r="X110" s="581"/>
      <c r="Y110" s="583"/>
      <c r="AA110" t="str">
        <f t="shared" si="37"/>
        <v/>
      </c>
      <c r="AB110" t="str">
        <f t="shared" si="38"/>
        <v/>
      </c>
      <c r="AE110" t="str">
        <f t="shared" si="30"/>
        <v>-</v>
      </c>
      <c r="AF110">
        <f>IF(LEFT(VLOOKUP(G110,'Contorizare in SDI'!$E:$M,5,FALSE),1)="V",C110,VLOOKUP(G110,'Contorizare in SDI'!$E:$M,6,FALSE))</f>
        <v>833280</v>
      </c>
      <c r="AG110">
        <f t="shared" si="31"/>
        <v>1037937</v>
      </c>
      <c r="AH110">
        <f t="shared" si="39"/>
        <v>0</v>
      </c>
      <c r="AI110">
        <f t="shared" si="44"/>
        <v>257934</v>
      </c>
      <c r="AJ110">
        <f t="shared" si="40"/>
        <v>321284</v>
      </c>
      <c r="AK110">
        <f t="shared" si="43"/>
        <v>257934</v>
      </c>
      <c r="AL110">
        <f t="shared" si="45"/>
        <v>3870</v>
      </c>
      <c r="AM110">
        <f t="shared" si="41"/>
        <v>4821</v>
      </c>
      <c r="AN110">
        <f t="shared" si="46"/>
        <v>0</v>
      </c>
      <c r="AP110" t="str">
        <f t="shared" si="32"/>
        <v>-</v>
      </c>
      <c r="AQ110">
        <f t="shared" si="33"/>
        <v>0</v>
      </c>
    </row>
    <row r="111" spans="1:43" ht="16.5" thickBot="1">
      <c r="A111" s="91">
        <f t="shared" si="42"/>
        <v>108</v>
      </c>
      <c r="B111" s="30" t="s">
        <v>549</v>
      </c>
      <c r="C111" s="291">
        <f>IF(B111=B110,C110,SUMIF('Date masura OD'!$G:$G,B111,'Date masura OD'!$R:$R))</f>
        <v>833280</v>
      </c>
      <c r="D111" s="291">
        <f>IFERROR(IF(VLOOKUP(B111,'Date masura OD'!$G$76:$BF$187,52,FALSE)&lt;0,-VLOOKUP(B111,'Date masura OD'!$G$76:$BF$187,52,FALSE),0),0)</f>
        <v>0</v>
      </c>
      <c r="E111" s="291">
        <v>0</v>
      </c>
      <c r="F111" s="291">
        <v>0</v>
      </c>
      <c r="G111" s="29" t="s">
        <v>635</v>
      </c>
      <c r="H111" s="312">
        <f>IF(C111=0,0,IF(RIGHT(G111,1)="N",ROUNDUP(C111*1.5%,0),IF(LEN(RIGHT(G111,LEN(G111)-FIND("_",G111,1)))=1,SUMIF('Date masura OD'!$G:$G,G111,'Date masura OD'!$R:$R),AK111)))</f>
        <v>257934</v>
      </c>
      <c r="I111" s="184">
        <f>VLOOKUP(G111,'Contorizare in SDI'!E:M,7,FALSE)</f>
        <v>0</v>
      </c>
      <c r="J111" s="88">
        <f>VLOOKUP(G111,'Contorizare in SDI'!$E:$M,$J$1-2,FALSE)</f>
        <v>0</v>
      </c>
      <c r="K111" s="88">
        <f>VLOOKUP(G111,'Contorizare in SDI'!$E:$M,$K$1-2,FALSE)</f>
        <v>0</v>
      </c>
      <c r="L111" s="29" t="s">
        <v>69</v>
      </c>
      <c r="M111" s="87">
        <v>0</v>
      </c>
      <c r="N111" s="88">
        <f>IF(COUNTIF(L111,"-")=1,0,VLOOKUP(L111,'Contorizare in SDI'!$F:$R,$N$1-3,FALSE))</f>
        <v>0</v>
      </c>
      <c r="O111" s="88">
        <f>IF(COUNTIF(L111,"-")=1,0,VLOOKUP(L111,'Contorizare in SDI'!$F:$R,$O$1-3,FALSE))</f>
        <v>0</v>
      </c>
      <c r="P111" s="88">
        <f>IF(COUNTIF(L111,"-")=1,0,VLOOKUP(L111,'Contorizare in SDI'!$F:$R,$P$1-3,FALSE))</f>
        <v>0</v>
      </c>
      <c r="Q111" s="88">
        <f t="shared" si="34"/>
        <v>257934</v>
      </c>
      <c r="R111" s="88">
        <f t="shared" si="35"/>
        <v>0</v>
      </c>
      <c r="S111" s="321">
        <v>0</v>
      </c>
      <c r="T111" s="88">
        <f t="shared" si="36"/>
        <v>3870</v>
      </c>
      <c r="U111" s="17" t="s">
        <v>514</v>
      </c>
      <c r="V111" s="581"/>
      <c r="W111" s="581"/>
      <c r="X111" s="581"/>
      <c r="Y111" s="583"/>
      <c r="AA111" t="str">
        <f t="shared" si="37"/>
        <v/>
      </c>
      <c r="AB111" t="str">
        <f t="shared" si="38"/>
        <v/>
      </c>
      <c r="AE111" t="str">
        <f t="shared" si="30"/>
        <v>-</v>
      </c>
      <c r="AF111">
        <f>IF(LEFT(VLOOKUP(G111,'Contorizare in SDI'!$E:$M,5,FALSE),1)="V",C111,VLOOKUP(G111,'Contorizare in SDI'!$E:$M,6,FALSE))</f>
        <v>833280</v>
      </c>
      <c r="AG111">
        <f t="shared" si="31"/>
        <v>1871217</v>
      </c>
      <c r="AH111">
        <f t="shared" si="39"/>
        <v>0</v>
      </c>
      <c r="AI111">
        <f t="shared" si="44"/>
        <v>257934</v>
      </c>
      <c r="AJ111">
        <f t="shared" si="40"/>
        <v>579218</v>
      </c>
      <c r="AK111">
        <f t="shared" si="43"/>
        <v>257934</v>
      </c>
      <c r="AL111">
        <f t="shared" si="45"/>
        <v>3870</v>
      </c>
      <c r="AM111">
        <f t="shared" si="41"/>
        <v>8691</v>
      </c>
      <c r="AN111">
        <f t="shared" si="46"/>
        <v>0</v>
      </c>
      <c r="AP111" t="str">
        <f t="shared" si="32"/>
        <v>-</v>
      </c>
      <c r="AQ111">
        <f t="shared" si="33"/>
        <v>0</v>
      </c>
    </row>
    <row r="112" spans="1:43" ht="16.5" thickBot="1">
      <c r="A112" s="91">
        <f t="shared" si="42"/>
        <v>109</v>
      </c>
      <c r="B112" s="30" t="s">
        <v>549</v>
      </c>
      <c r="C112" s="291">
        <f>IF(B112=B111,C111,SUMIF('Date masura OD'!$G:$G,B112,'Date masura OD'!$R:$R))</f>
        <v>833280</v>
      </c>
      <c r="D112" s="291">
        <f>IFERROR(IF(VLOOKUP(B112,'Date masura OD'!$G$76:$BF$187,52,FALSE)&lt;0,-VLOOKUP(B112,'Date masura OD'!$G$76:$BF$187,52,FALSE),0),0)</f>
        <v>0</v>
      </c>
      <c r="E112" s="291">
        <v>0</v>
      </c>
      <c r="F112" s="291">
        <v>0</v>
      </c>
      <c r="G112" s="29" t="s">
        <v>636</v>
      </c>
      <c r="H112" s="312">
        <f>IF(C112=0,0,IF(RIGHT(G112,1)="N",ROUNDUP(C112*1.5%,0),IF(LEN(RIGHT(G112,LEN(G112)-FIND("_",G112,1)))=1,SUMIF('Date masura OD'!$G:$G,G112,'Date masura OD'!$R:$R),AK112)))</f>
        <v>241562</v>
      </c>
      <c r="I112" s="184">
        <f>VLOOKUP(G112,'Contorizare in SDI'!E:M,7,FALSE)</f>
        <v>0</v>
      </c>
      <c r="J112" s="88">
        <f>VLOOKUP(G112,'Contorizare in SDI'!$E:$M,$J$1-2,FALSE)</f>
        <v>0</v>
      </c>
      <c r="K112" s="88">
        <f>VLOOKUP(G112,'Contorizare in SDI'!$E:$M,$K$1-2,FALSE)</f>
        <v>0</v>
      </c>
      <c r="L112" s="29" t="s">
        <v>69</v>
      </c>
      <c r="M112" s="87">
        <v>0</v>
      </c>
      <c r="N112" s="88">
        <f>IF(COUNTIF(L112,"-")=1,0,VLOOKUP(L112,'Contorizare in SDI'!$F:$R,$N$1-3,FALSE))</f>
        <v>0</v>
      </c>
      <c r="O112" s="88">
        <f>IF(COUNTIF(L112,"-")=1,0,VLOOKUP(L112,'Contorizare in SDI'!$F:$R,$O$1-3,FALSE))</f>
        <v>0</v>
      </c>
      <c r="P112" s="88">
        <f>IF(COUNTIF(L112,"-")=1,0,VLOOKUP(L112,'Contorizare in SDI'!$F:$R,$P$1-3,FALSE))</f>
        <v>0</v>
      </c>
      <c r="Q112" s="88">
        <f t="shared" si="34"/>
        <v>241562</v>
      </c>
      <c r="R112" s="88">
        <f t="shared" si="35"/>
        <v>0</v>
      </c>
      <c r="S112" s="321">
        <v>0</v>
      </c>
      <c r="T112" s="88">
        <f t="shared" si="36"/>
        <v>3809</v>
      </c>
      <c r="U112" s="17" t="s">
        <v>514</v>
      </c>
      <c r="V112" s="581"/>
      <c r="W112" s="581"/>
      <c r="X112" s="581"/>
      <c r="Y112" s="583"/>
      <c r="AA112" t="str">
        <f t="shared" si="37"/>
        <v/>
      </c>
      <c r="AB112" t="str">
        <f t="shared" si="38"/>
        <v/>
      </c>
      <c r="AE112" t="str">
        <f t="shared" si="30"/>
        <v>-</v>
      </c>
      <c r="AF112">
        <f>IF(LEFT(VLOOKUP(G112,'Contorizare in SDI'!$E:$M,5,FALSE),1)="V",C112,VLOOKUP(G112,'Contorizare in SDI'!$E:$M,6,FALSE))</f>
        <v>833280</v>
      </c>
      <c r="AG112">
        <f t="shared" si="31"/>
        <v>2704497</v>
      </c>
      <c r="AH112">
        <f t="shared" si="39"/>
        <v>0</v>
      </c>
      <c r="AI112">
        <f t="shared" si="44"/>
        <v>257934</v>
      </c>
      <c r="AJ112">
        <f t="shared" si="40"/>
        <v>837152</v>
      </c>
      <c r="AK112">
        <f t="shared" si="43"/>
        <v>241562</v>
      </c>
      <c r="AL112">
        <f t="shared" si="45"/>
        <v>3809</v>
      </c>
      <c r="AM112">
        <f t="shared" si="41"/>
        <v>12500</v>
      </c>
      <c r="AN112">
        <f t="shared" si="46"/>
        <v>0</v>
      </c>
      <c r="AP112" t="str">
        <f t="shared" si="32"/>
        <v>-</v>
      </c>
      <c r="AQ112">
        <f t="shared" si="33"/>
        <v>0</v>
      </c>
    </row>
    <row r="113" spans="1:43" ht="16.5" thickBot="1">
      <c r="A113" s="91">
        <f t="shared" si="42"/>
        <v>110</v>
      </c>
      <c r="B113" s="30" t="s">
        <v>549</v>
      </c>
      <c r="C113" s="291">
        <f>IF(B113=B112,C112,SUMIF('Date masura OD'!$G:$G,B113,'Date masura OD'!$R:$R))</f>
        <v>833280</v>
      </c>
      <c r="D113" s="291">
        <f>IFERROR(IF(VLOOKUP(B113,'Date masura OD'!$G$76:$BF$187,52,FALSE)&lt;0,-VLOOKUP(B113,'Date masura OD'!$G$76:$BF$187,52,FALSE),0),0)</f>
        <v>0</v>
      </c>
      <c r="E113" s="291">
        <v>0</v>
      </c>
      <c r="F113" s="291">
        <v>0</v>
      </c>
      <c r="G113" s="29" t="s">
        <v>981</v>
      </c>
      <c r="H113" s="312">
        <f>IF(C113=0,0,IF(RIGHT(G113,1)="N",ROUNDUP(C113*1.5%,0),IF(LEN(RIGHT(G113,LEN(G113)-FIND("_",G113,1)))=1,SUMIF('Date masura OD'!$G:$G,G113,'Date masura OD'!$R:$R),AK113)))</f>
        <v>12500</v>
      </c>
      <c r="I113" s="184">
        <f>VLOOKUP(G113,'Contorizare in SDI'!E:M,7,FALSE)</f>
        <v>0</v>
      </c>
      <c r="J113" s="88">
        <f>VLOOKUP(G113,'Contorizare in SDI'!$E:$M,$J$1-2,FALSE)</f>
        <v>0</v>
      </c>
      <c r="K113" s="88">
        <f>VLOOKUP(G113,'Contorizare in SDI'!$E:$M,$K$1-2,FALSE)</f>
        <v>0</v>
      </c>
      <c r="L113" s="29" t="s">
        <v>69</v>
      </c>
      <c r="M113" s="87">
        <v>0</v>
      </c>
      <c r="N113" s="88">
        <f>IF(COUNTIF(L113,"-")=1,0,VLOOKUP(L113,'Contorizare in SDI'!$F:$R,$N$1-3,FALSE))</f>
        <v>0</v>
      </c>
      <c r="O113" s="88">
        <f>IF(COUNTIF(L113,"-")=1,0,VLOOKUP(L113,'Contorizare in SDI'!$F:$R,$O$1-3,FALSE))</f>
        <v>0</v>
      </c>
      <c r="P113" s="88">
        <f>IF(COUNTIF(L113,"-")=1,0,VLOOKUP(L113,'Contorizare in SDI'!$F:$R,$P$1-3,FALSE))</f>
        <v>0</v>
      </c>
      <c r="Q113" s="88">
        <f t="shared" si="34"/>
        <v>0</v>
      </c>
      <c r="R113" s="88">
        <f t="shared" si="35"/>
        <v>0</v>
      </c>
      <c r="S113" s="321">
        <v>0</v>
      </c>
      <c r="T113" s="88">
        <f t="shared" si="36"/>
        <v>0</v>
      </c>
      <c r="U113" s="17" t="s">
        <v>69</v>
      </c>
      <c r="V113" s="581"/>
      <c r="W113" s="581"/>
      <c r="X113" s="581"/>
      <c r="Y113" s="583"/>
      <c r="AA113" t="str">
        <f t="shared" si="37"/>
        <v/>
      </c>
      <c r="AB113" t="str">
        <f t="shared" si="38"/>
        <v/>
      </c>
      <c r="AE113" t="str">
        <f t="shared" si="30"/>
        <v>RMEG_1</v>
      </c>
      <c r="AF113">
        <f>IF(LEFT(VLOOKUP(G113,'Contorizare in SDI'!$E:$M,5,FALSE),1)="V",C113,VLOOKUP(G113,'Contorizare in SDI'!$E:$M,6,FALSE))</f>
        <v>0</v>
      </c>
      <c r="AG113">
        <f t="shared" si="31"/>
        <v>2704497</v>
      </c>
      <c r="AH113">
        <f t="shared" si="39"/>
        <v>12500</v>
      </c>
      <c r="AI113">
        <f t="shared" si="44"/>
        <v>0</v>
      </c>
      <c r="AJ113">
        <f t="shared" si="40"/>
        <v>837152</v>
      </c>
      <c r="AK113">
        <f t="shared" si="43"/>
        <v>0</v>
      </c>
      <c r="AL113">
        <f t="shared" si="45"/>
        <v>0</v>
      </c>
      <c r="AM113">
        <f t="shared" si="41"/>
        <v>0</v>
      </c>
      <c r="AN113">
        <f t="shared" si="46"/>
        <v>0</v>
      </c>
      <c r="AP113" t="str">
        <f t="shared" si="32"/>
        <v>-</v>
      </c>
      <c r="AQ113">
        <f t="shared" si="33"/>
        <v>12500</v>
      </c>
    </row>
    <row r="114" spans="1:43" ht="16.5" thickBot="1">
      <c r="A114" s="91">
        <f t="shared" si="42"/>
        <v>111</v>
      </c>
      <c r="B114" s="30" t="s">
        <v>550</v>
      </c>
      <c r="C114" s="291">
        <f>IF(B114=B113,C113,SUMIF('Date masura OD'!$G:$G,B114,'Date masura OD'!$R:$R))</f>
        <v>773440</v>
      </c>
      <c r="D114" s="291">
        <f>IFERROR(IF(VLOOKUP(B114,'Date masura OD'!$G$76:$BF$187,52,FALSE)&lt;0,-VLOOKUP(B114,'Date masura OD'!$G$76:$BF$187,52,FALSE),0),0)</f>
        <v>0</v>
      </c>
      <c r="E114" s="291">
        <v>0</v>
      </c>
      <c r="F114" s="291">
        <v>0</v>
      </c>
      <c r="G114" s="29" t="s">
        <v>637</v>
      </c>
      <c r="H114" s="312">
        <f>IF(C114=0,0,IF(RIGHT(G114,1)="N",ROUNDUP(C114*1.5%,0),IF(LEN(RIGHT(G114,LEN(G114)-FIND("_",G114,1)))=1,SUMIF('Date masura OD'!$G:$G,G114,'Date masura OD'!$R:$R),AK114)))</f>
        <v>194088</v>
      </c>
      <c r="I114" s="184">
        <f>VLOOKUP(G114,'Contorizare in SDI'!E:M,7,FALSE)</f>
        <v>0</v>
      </c>
      <c r="J114" s="88">
        <f>VLOOKUP(G114,'Contorizare in SDI'!$E:$M,$J$1-2,FALSE)</f>
        <v>0</v>
      </c>
      <c r="K114" s="88">
        <f>VLOOKUP(G114,'Contorizare in SDI'!$E:$M,$K$1-2,FALSE)</f>
        <v>0</v>
      </c>
      <c r="L114" s="29" t="s">
        <v>69</v>
      </c>
      <c r="M114" s="87">
        <v>0</v>
      </c>
      <c r="N114" s="88">
        <f>IF(COUNTIF(L114,"-")=1,0,VLOOKUP(L114,'Contorizare in SDI'!$F:$R,$N$1-3,FALSE))</f>
        <v>0</v>
      </c>
      <c r="O114" s="88">
        <f>IF(COUNTIF(L114,"-")=1,0,VLOOKUP(L114,'Contorizare in SDI'!$F:$R,$O$1-3,FALSE))</f>
        <v>0</v>
      </c>
      <c r="P114" s="88">
        <f>IF(COUNTIF(L114,"-")=1,0,VLOOKUP(L114,'Contorizare in SDI'!$F:$R,$P$1-3,FALSE))</f>
        <v>0</v>
      </c>
      <c r="Q114" s="88">
        <f t="shared" si="34"/>
        <v>194088</v>
      </c>
      <c r="R114" s="88">
        <f t="shared" si="35"/>
        <v>0</v>
      </c>
      <c r="S114" s="321">
        <v>0</v>
      </c>
      <c r="T114" s="88">
        <f t="shared" si="36"/>
        <v>2912</v>
      </c>
      <c r="U114" s="17" t="s">
        <v>514</v>
      </c>
      <c r="V114" s="604">
        <f>SUM(H114:H117)+SUM(N114:N117)</f>
        <v>761838</v>
      </c>
      <c r="W114" s="604">
        <f>SUM(Q114:S117)</f>
        <v>761838</v>
      </c>
      <c r="X114" s="604">
        <f>C114</f>
        <v>773440</v>
      </c>
      <c r="Y114" s="603">
        <f>SUM(H114:H117)+SUM(T114:T117)</f>
        <v>773440</v>
      </c>
      <c r="AA114" t="str">
        <f t="shared" si="37"/>
        <v>OK</v>
      </c>
      <c r="AB114" t="str">
        <f t="shared" si="38"/>
        <v>OK</v>
      </c>
      <c r="AE114" t="str">
        <f t="shared" si="30"/>
        <v>-</v>
      </c>
      <c r="AF114">
        <f>IF(LEFT(VLOOKUP(G114,'Contorizare in SDI'!$E:$M,5,FALSE),1)="V",C114,VLOOKUP(G114,'Contorizare in SDI'!$E:$M,6,FALSE))</f>
        <v>773440</v>
      </c>
      <c r="AG114">
        <f t="shared" si="31"/>
        <v>773440</v>
      </c>
      <c r="AH114">
        <f t="shared" si="39"/>
        <v>0</v>
      </c>
      <c r="AI114">
        <f t="shared" si="44"/>
        <v>194088</v>
      </c>
      <c r="AJ114">
        <f t="shared" si="40"/>
        <v>194088</v>
      </c>
      <c r="AK114">
        <f t="shared" ref="AK114:AK145" si="47">IF(RIGHT(G115,1)="N",C114-IF(RIGHT(G114,1)-1&gt;0,AJ113,0)-VLOOKUP(B114,$AE:$AH,4,FALSE),AI114)</f>
        <v>194088</v>
      </c>
      <c r="AL114">
        <f t="shared" si="45"/>
        <v>2912</v>
      </c>
      <c r="AM114">
        <f t="shared" si="41"/>
        <v>2912</v>
      </c>
      <c r="AN114">
        <f t="shared" si="46"/>
        <v>0</v>
      </c>
      <c r="AP114" t="str">
        <f t="shared" si="32"/>
        <v>-</v>
      </c>
      <c r="AQ114">
        <f t="shared" si="33"/>
        <v>12500</v>
      </c>
    </row>
    <row r="115" spans="1:43" ht="16.5" thickBot="1">
      <c r="A115" s="91">
        <f t="shared" si="42"/>
        <v>112</v>
      </c>
      <c r="B115" s="30" t="s">
        <v>550</v>
      </c>
      <c r="C115" s="291">
        <f>IF(B115=B114,C114,SUMIF('Date masura OD'!$G:$G,B115,'Date masura OD'!$R:$R))</f>
        <v>773440</v>
      </c>
      <c r="D115" s="291">
        <f>IFERROR(IF(VLOOKUP(B115,'Date masura OD'!$G$76:$BF$187,52,FALSE)&lt;0,-VLOOKUP(B115,'Date masura OD'!$G$76:$BF$187,52,FALSE),0),0)</f>
        <v>0</v>
      </c>
      <c r="E115" s="291">
        <v>0</v>
      </c>
      <c r="F115" s="291">
        <v>0</v>
      </c>
      <c r="G115" s="29" t="s">
        <v>638</v>
      </c>
      <c r="H115" s="312">
        <f>IF(C115=0,0,IF(RIGHT(G115,1)="N",ROUNDUP(C115*1.5%,0),IF(LEN(RIGHT(G115,LEN(G115)-FIND("_",G115,1)))=1,SUMIF('Date masura OD'!$G:$G,G115,'Date masura OD'!$R:$R),AK115)))</f>
        <v>194088</v>
      </c>
      <c r="I115" s="184">
        <f>VLOOKUP(G115,'Contorizare in SDI'!E:M,7,FALSE)</f>
        <v>0</v>
      </c>
      <c r="J115" s="88">
        <f>VLOOKUP(G115,'Contorizare in SDI'!$E:$M,$J$1-2,FALSE)</f>
        <v>0</v>
      </c>
      <c r="K115" s="88">
        <f>VLOOKUP(G115,'Contorizare in SDI'!$E:$M,$K$1-2,FALSE)</f>
        <v>0</v>
      </c>
      <c r="L115" s="29" t="s">
        <v>69</v>
      </c>
      <c r="M115" s="87">
        <v>0</v>
      </c>
      <c r="N115" s="88">
        <f>IF(COUNTIF(L115,"-")=1,0,VLOOKUP(L115,'Contorizare in SDI'!$F:$R,$N$1-3,FALSE))</f>
        <v>0</v>
      </c>
      <c r="O115" s="88">
        <f>IF(COUNTIF(L115,"-")=1,0,VLOOKUP(L115,'Contorizare in SDI'!$F:$R,$O$1-3,FALSE))</f>
        <v>0</v>
      </c>
      <c r="P115" s="88">
        <f>IF(COUNTIF(L115,"-")=1,0,VLOOKUP(L115,'Contorizare in SDI'!$F:$R,$P$1-3,FALSE))</f>
        <v>0</v>
      </c>
      <c r="Q115" s="88">
        <f t="shared" si="34"/>
        <v>194088</v>
      </c>
      <c r="R115" s="88">
        <f t="shared" si="35"/>
        <v>0</v>
      </c>
      <c r="S115" s="321">
        <v>0</v>
      </c>
      <c r="T115" s="88">
        <f t="shared" si="36"/>
        <v>2912</v>
      </c>
      <c r="U115" s="17" t="s">
        <v>514</v>
      </c>
      <c r="V115" s="594"/>
      <c r="W115" s="594"/>
      <c r="X115" s="594"/>
      <c r="Y115" s="597"/>
      <c r="AA115" t="str">
        <f t="shared" si="37"/>
        <v/>
      </c>
      <c r="AB115" t="str">
        <f t="shared" si="38"/>
        <v/>
      </c>
      <c r="AE115" t="str">
        <f t="shared" si="30"/>
        <v>-</v>
      </c>
      <c r="AF115">
        <f>IF(LEFT(VLOOKUP(G115,'Contorizare in SDI'!$E:$M,5,FALSE),1)="V",C115,VLOOKUP(G115,'Contorizare in SDI'!$E:$M,6,FALSE))</f>
        <v>773440</v>
      </c>
      <c r="AG115">
        <f t="shared" si="31"/>
        <v>1546880</v>
      </c>
      <c r="AH115">
        <f t="shared" si="39"/>
        <v>0</v>
      </c>
      <c r="AI115">
        <f t="shared" si="44"/>
        <v>194088</v>
      </c>
      <c r="AJ115">
        <f t="shared" si="40"/>
        <v>388176</v>
      </c>
      <c r="AK115">
        <f t="shared" si="47"/>
        <v>194088</v>
      </c>
      <c r="AL115">
        <f t="shared" si="45"/>
        <v>2912</v>
      </c>
      <c r="AM115">
        <f t="shared" si="41"/>
        <v>5824</v>
      </c>
      <c r="AN115">
        <f t="shared" si="46"/>
        <v>0</v>
      </c>
      <c r="AP115" t="str">
        <f t="shared" si="32"/>
        <v>-</v>
      </c>
      <c r="AQ115">
        <f t="shared" si="33"/>
        <v>12500</v>
      </c>
    </row>
    <row r="116" spans="1:43" ht="16.5" thickBot="1">
      <c r="A116" s="91">
        <f t="shared" si="42"/>
        <v>113</v>
      </c>
      <c r="B116" s="30" t="s">
        <v>550</v>
      </c>
      <c r="C116" s="291">
        <f>IF(B116=B115,C115,SUMIF('Date masura OD'!$G:$G,B116,'Date masura OD'!$R:$R))</f>
        <v>773440</v>
      </c>
      <c r="D116" s="291">
        <f>IFERROR(IF(VLOOKUP(B116,'Date masura OD'!$G$76:$BF$187,52,FALSE)&lt;0,-VLOOKUP(B116,'Date masura OD'!$G$76:$BF$187,52,FALSE),0),0)</f>
        <v>0</v>
      </c>
      <c r="E116" s="291">
        <v>0</v>
      </c>
      <c r="F116" s="291">
        <v>0</v>
      </c>
      <c r="G116" s="29" t="s">
        <v>639</v>
      </c>
      <c r="H116" s="312">
        <f>IF(C116=0,0,IF(RIGHT(G116,1)="N",ROUNDUP(C116*1.5%,0),IF(LEN(RIGHT(G116,LEN(G116)-FIND("_",G116,1)))=1,SUMIF('Date masura OD'!$G:$G,G116,'Date masura OD'!$R:$R),AK116)))</f>
        <v>194088</v>
      </c>
      <c r="I116" s="184">
        <f>VLOOKUP(G116,'Contorizare in SDI'!E:M,7,FALSE)</f>
        <v>0</v>
      </c>
      <c r="J116" s="88">
        <f>VLOOKUP(G116,'Contorizare in SDI'!$E:$M,$J$1-2,FALSE)</f>
        <v>0</v>
      </c>
      <c r="K116" s="88">
        <f>VLOOKUP(G116,'Contorizare in SDI'!$E:$M,$K$1-2,FALSE)</f>
        <v>0</v>
      </c>
      <c r="L116" s="29" t="s">
        <v>69</v>
      </c>
      <c r="M116" s="87">
        <v>0</v>
      </c>
      <c r="N116" s="88">
        <f>IF(COUNTIF(L116,"-")=1,0,VLOOKUP(L116,'Contorizare in SDI'!$F:$R,$N$1-3,FALSE))</f>
        <v>0</v>
      </c>
      <c r="O116" s="88">
        <f>IF(COUNTIF(L116,"-")=1,0,VLOOKUP(L116,'Contorizare in SDI'!$F:$R,$O$1-3,FALSE))</f>
        <v>0</v>
      </c>
      <c r="P116" s="88">
        <f>IF(COUNTIF(L116,"-")=1,0,VLOOKUP(L116,'Contorizare in SDI'!$F:$R,$P$1-3,FALSE))</f>
        <v>0</v>
      </c>
      <c r="Q116" s="88">
        <f t="shared" si="34"/>
        <v>194088</v>
      </c>
      <c r="R116" s="88">
        <f t="shared" si="35"/>
        <v>0</v>
      </c>
      <c r="S116" s="321">
        <v>0</v>
      </c>
      <c r="T116" s="88">
        <f t="shared" si="36"/>
        <v>2912</v>
      </c>
      <c r="U116" s="17" t="s">
        <v>514</v>
      </c>
      <c r="V116" s="594"/>
      <c r="W116" s="594"/>
      <c r="X116" s="594"/>
      <c r="Y116" s="597"/>
      <c r="AA116" t="str">
        <f t="shared" si="37"/>
        <v/>
      </c>
      <c r="AB116" t="str">
        <f t="shared" si="38"/>
        <v/>
      </c>
      <c r="AE116" t="str">
        <f t="shared" si="30"/>
        <v>-</v>
      </c>
      <c r="AF116">
        <f>IF(LEFT(VLOOKUP(G116,'Contorizare in SDI'!$E:$M,5,FALSE),1)="V",C116,VLOOKUP(G116,'Contorizare in SDI'!$E:$M,6,FALSE))</f>
        <v>773440</v>
      </c>
      <c r="AG116">
        <f t="shared" si="31"/>
        <v>2320320</v>
      </c>
      <c r="AH116">
        <f t="shared" si="39"/>
        <v>0</v>
      </c>
      <c r="AI116">
        <f t="shared" si="44"/>
        <v>194088</v>
      </c>
      <c r="AJ116">
        <f t="shared" si="40"/>
        <v>582264</v>
      </c>
      <c r="AK116">
        <f t="shared" si="47"/>
        <v>194088</v>
      </c>
      <c r="AL116">
        <f t="shared" si="45"/>
        <v>2912</v>
      </c>
      <c r="AM116">
        <f t="shared" si="41"/>
        <v>8736</v>
      </c>
      <c r="AN116">
        <f t="shared" si="46"/>
        <v>0</v>
      </c>
      <c r="AP116" t="str">
        <f t="shared" si="32"/>
        <v>-</v>
      </c>
      <c r="AQ116">
        <f t="shared" si="33"/>
        <v>12500</v>
      </c>
    </row>
    <row r="117" spans="1:43" ht="16.5" thickBot="1">
      <c r="A117" s="91">
        <f t="shared" si="42"/>
        <v>114</v>
      </c>
      <c r="B117" s="30" t="s">
        <v>550</v>
      </c>
      <c r="C117" s="291">
        <f>IF(B117=B116,C116,SUMIF('Date masura OD'!$G:$G,B117,'Date masura OD'!$R:$R))</f>
        <v>773440</v>
      </c>
      <c r="D117" s="291">
        <f>IFERROR(IF(VLOOKUP(B117,'Date masura OD'!$G$76:$BF$187,52,FALSE)&lt;0,-VLOOKUP(B117,'Date masura OD'!$G$76:$BF$187,52,FALSE),0),0)</f>
        <v>0</v>
      </c>
      <c r="E117" s="291">
        <v>0</v>
      </c>
      <c r="F117" s="291">
        <v>0</v>
      </c>
      <c r="G117" s="29" t="s">
        <v>640</v>
      </c>
      <c r="H117" s="312">
        <f>IF(C117=0,0,IF(RIGHT(G117,1)="N",ROUNDUP(C117*1.5%,0),IF(LEN(RIGHT(G117,LEN(G117)-FIND("_",G117,1)))=1,SUMIF('Date masura OD'!$G:$G,G117,'Date masura OD'!$R:$R),AK117)))</f>
        <v>179574</v>
      </c>
      <c r="I117" s="184">
        <f>VLOOKUP(G117,'Contorizare in SDI'!E:M,7,FALSE)</f>
        <v>0</v>
      </c>
      <c r="J117" s="88">
        <f>VLOOKUP(G117,'Contorizare in SDI'!$E:$M,$J$1-2,FALSE)</f>
        <v>0</v>
      </c>
      <c r="K117" s="88">
        <f>VLOOKUP(G117,'Contorizare in SDI'!$E:$M,$K$1-2,FALSE)</f>
        <v>0</v>
      </c>
      <c r="L117" s="29" t="s">
        <v>69</v>
      </c>
      <c r="M117" s="87">
        <v>0</v>
      </c>
      <c r="N117" s="88">
        <f>IF(COUNTIF(L117,"-")=1,0,VLOOKUP(L117,'Contorizare in SDI'!$F:$R,$N$1-3,FALSE))</f>
        <v>0</v>
      </c>
      <c r="O117" s="88">
        <f>IF(COUNTIF(L117,"-")=1,0,VLOOKUP(L117,'Contorizare in SDI'!$F:$R,$O$1-3,FALSE))</f>
        <v>0</v>
      </c>
      <c r="P117" s="88">
        <f>IF(COUNTIF(L117,"-")=1,0,VLOOKUP(L117,'Contorizare in SDI'!$F:$R,$P$1-3,FALSE))</f>
        <v>0</v>
      </c>
      <c r="Q117" s="88">
        <f t="shared" si="34"/>
        <v>179574</v>
      </c>
      <c r="R117" s="88">
        <f t="shared" si="35"/>
        <v>0</v>
      </c>
      <c r="S117" s="321">
        <v>0</v>
      </c>
      <c r="T117" s="88">
        <f t="shared" si="36"/>
        <v>2866</v>
      </c>
      <c r="U117" s="17" t="s">
        <v>514</v>
      </c>
      <c r="V117" s="594"/>
      <c r="W117" s="594"/>
      <c r="X117" s="594"/>
      <c r="Y117" s="597"/>
      <c r="AA117" t="str">
        <f t="shared" si="37"/>
        <v/>
      </c>
      <c r="AB117" t="str">
        <f t="shared" si="38"/>
        <v/>
      </c>
      <c r="AE117" t="str">
        <f t="shared" si="30"/>
        <v>-</v>
      </c>
      <c r="AF117">
        <f>IF(LEFT(VLOOKUP(G117,'Contorizare in SDI'!$E:$M,5,FALSE),1)="V",C117,VLOOKUP(G117,'Contorizare in SDI'!$E:$M,6,FALSE))</f>
        <v>773440</v>
      </c>
      <c r="AG117">
        <f t="shared" si="31"/>
        <v>3093760</v>
      </c>
      <c r="AH117">
        <f t="shared" si="39"/>
        <v>0</v>
      </c>
      <c r="AI117">
        <f t="shared" si="44"/>
        <v>194088</v>
      </c>
      <c r="AJ117">
        <f t="shared" si="40"/>
        <v>776352</v>
      </c>
      <c r="AK117">
        <f t="shared" si="47"/>
        <v>179574</v>
      </c>
      <c r="AL117">
        <f t="shared" si="45"/>
        <v>2866</v>
      </c>
      <c r="AM117">
        <f t="shared" si="41"/>
        <v>11602</v>
      </c>
      <c r="AN117">
        <f t="shared" si="46"/>
        <v>0</v>
      </c>
      <c r="AP117" t="str">
        <f t="shared" si="32"/>
        <v>-</v>
      </c>
      <c r="AQ117">
        <f t="shared" si="33"/>
        <v>12500</v>
      </c>
    </row>
    <row r="118" spans="1:43" ht="16.5" thickBot="1">
      <c r="A118" s="91">
        <f t="shared" si="42"/>
        <v>115</v>
      </c>
      <c r="B118" s="30" t="s">
        <v>550</v>
      </c>
      <c r="C118" s="291">
        <f>IF(B118=B117,C117,SUMIF('Date masura OD'!$G:$G,B118,'Date masura OD'!$R:$R))</f>
        <v>773440</v>
      </c>
      <c r="D118" s="291">
        <f>IFERROR(IF(VLOOKUP(B118,'Date masura OD'!$G$76:$BF$187,52,FALSE)&lt;0,-VLOOKUP(B118,'Date masura OD'!$G$76:$BF$187,52,FALSE),0),0)</f>
        <v>0</v>
      </c>
      <c r="E118" s="291">
        <v>0</v>
      </c>
      <c r="F118" s="291">
        <v>0</v>
      </c>
      <c r="G118" s="29" t="s">
        <v>982</v>
      </c>
      <c r="H118" s="312">
        <f>IF(C118=0,0,IF(RIGHT(G118,1)="N",ROUNDUP(C118*1.5%,0),IF(LEN(RIGHT(G118,LEN(G118)-FIND("_",G118,1)))=1,SUMIF('Date masura OD'!$G:$G,G118,'Date masura OD'!$R:$R),AK118)))</f>
        <v>11602</v>
      </c>
      <c r="I118" s="184">
        <f>VLOOKUP(G118,'Contorizare in SDI'!E:M,7,FALSE)</f>
        <v>0</v>
      </c>
      <c r="J118" s="88">
        <f>VLOOKUP(G118,'Contorizare in SDI'!$E:$M,$J$1-2,FALSE)</f>
        <v>0</v>
      </c>
      <c r="K118" s="88">
        <f>VLOOKUP(G118,'Contorizare in SDI'!$E:$M,$K$1-2,FALSE)</f>
        <v>0</v>
      </c>
      <c r="L118" s="29" t="s">
        <v>69</v>
      </c>
      <c r="M118" s="87">
        <v>0</v>
      </c>
      <c r="N118" s="88">
        <f>IF(COUNTIF(L118,"-")=1,0,VLOOKUP(L118,'Contorizare in SDI'!$F:$R,$N$1-3,FALSE))</f>
        <v>0</v>
      </c>
      <c r="O118" s="88">
        <f>IF(COUNTIF(L118,"-")=1,0,VLOOKUP(L118,'Contorizare in SDI'!$F:$R,$O$1-3,FALSE))</f>
        <v>0</v>
      </c>
      <c r="P118" s="88">
        <f>IF(COUNTIF(L118,"-")=1,0,VLOOKUP(L118,'Contorizare in SDI'!$F:$R,$P$1-3,FALSE))</f>
        <v>0</v>
      </c>
      <c r="Q118" s="88">
        <f t="shared" si="34"/>
        <v>0</v>
      </c>
      <c r="R118" s="88">
        <f t="shared" si="35"/>
        <v>0</v>
      </c>
      <c r="S118" s="321">
        <v>0</v>
      </c>
      <c r="T118" s="88">
        <f t="shared" si="36"/>
        <v>0</v>
      </c>
      <c r="U118" s="17" t="s">
        <v>69</v>
      </c>
      <c r="V118" s="599"/>
      <c r="W118" s="599"/>
      <c r="X118" s="599"/>
      <c r="Y118" s="600"/>
      <c r="AA118" t="str">
        <f t="shared" si="37"/>
        <v/>
      </c>
      <c r="AB118" t="str">
        <f t="shared" si="38"/>
        <v/>
      </c>
      <c r="AE118" t="str">
        <f t="shared" si="30"/>
        <v>RMEG_2</v>
      </c>
      <c r="AF118">
        <f>IF(LEFT(VLOOKUP(G118,'Contorizare in SDI'!$E:$M,5,FALSE),1)="V",C118,VLOOKUP(G118,'Contorizare in SDI'!$E:$M,6,FALSE))</f>
        <v>0</v>
      </c>
      <c r="AG118">
        <f t="shared" si="31"/>
        <v>3093760</v>
      </c>
      <c r="AH118">
        <f t="shared" si="39"/>
        <v>11602</v>
      </c>
      <c r="AI118">
        <f t="shared" si="44"/>
        <v>0</v>
      </c>
      <c r="AJ118">
        <f t="shared" si="40"/>
        <v>776352</v>
      </c>
      <c r="AK118">
        <f t="shared" si="47"/>
        <v>0</v>
      </c>
      <c r="AL118">
        <f t="shared" si="45"/>
        <v>0</v>
      </c>
      <c r="AM118">
        <f t="shared" si="41"/>
        <v>0</v>
      </c>
      <c r="AN118">
        <f t="shared" si="46"/>
        <v>0</v>
      </c>
      <c r="AP118" t="str">
        <f t="shared" si="32"/>
        <v>-</v>
      </c>
      <c r="AQ118">
        <f t="shared" si="33"/>
        <v>24102</v>
      </c>
    </row>
    <row r="119" spans="1:43" ht="16.5" thickBot="1">
      <c r="A119" s="91">
        <f t="shared" si="42"/>
        <v>116</v>
      </c>
      <c r="B119" s="30" t="s">
        <v>551</v>
      </c>
      <c r="C119" s="291">
        <f>IF(B119=B118,C118,SUMIF('Date masura OD'!$G:$G,B119,'Date masura OD'!$R:$R))</f>
        <v>357120</v>
      </c>
      <c r="D119" s="291">
        <f>IFERROR(IF(VLOOKUP(B119,'Date masura OD'!$G$76:$BF$187,52,FALSE)&lt;0,-VLOOKUP(B119,'Date masura OD'!$G$76:$BF$187,52,FALSE),0),0)</f>
        <v>0</v>
      </c>
      <c r="E119" s="291">
        <v>0</v>
      </c>
      <c r="F119" s="291">
        <v>0</v>
      </c>
      <c r="G119" s="29" t="s">
        <v>641</v>
      </c>
      <c r="H119" s="312">
        <f>IF(C119=0,0,IF(RIGHT(G119,1)="N",ROUNDUP(C119*1.5%,0),IF(LEN(RIGHT(G119,LEN(G119)-FIND("_",G119,1)))=1,SUMIF('Date masura OD'!$G:$G,G119,'Date masura OD'!$R:$R),AK119)))</f>
        <v>89617</v>
      </c>
      <c r="I119" s="184">
        <f>VLOOKUP(G119,'Contorizare in SDI'!E:M,7,FALSE)</f>
        <v>0</v>
      </c>
      <c r="J119" s="88">
        <f>VLOOKUP(G119,'Contorizare in SDI'!$E:$M,$J$1-2,FALSE)</f>
        <v>0</v>
      </c>
      <c r="K119" s="88">
        <f>VLOOKUP(G119,'Contorizare in SDI'!$E:$M,$K$1-2,FALSE)</f>
        <v>0</v>
      </c>
      <c r="L119" s="29" t="s">
        <v>69</v>
      </c>
      <c r="M119" s="87">
        <v>0</v>
      </c>
      <c r="N119" s="88">
        <f>IF(COUNTIF(L119,"-")=1,0,VLOOKUP(L119,'Contorizare in SDI'!$F:$R,$N$1-3,FALSE))</f>
        <v>0</v>
      </c>
      <c r="O119" s="88">
        <f>IF(COUNTIF(L119,"-")=1,0,VLOOKUP(L119,'Contorizare in SDI'!$F:$R,$O$1-3,FALSE))</f>
        <v>0</v>
      </c>
      <c r="P119" s="88">
        <f>IF(COUNTIF(L119,"-")=1,0,VLOOKUP(L119,'Contorizare in SDI'!$F:$R,$P$1-3,FALSE))</f>
        <v>0</v>
      </c>
      <c r="Q119" s="88">
        <f t="shared" si="34"/>
        <v>89617</v>
      </c>
      <c r="R119" s="88">
        <f t="shared" si="35"/>
        <v>0</v>
      </c>
      <c r="S119" s="321">
        <v>0</v>
      </c>
      <c r="T119" s="88">
        <f t="shared" si="36"/>
        <v>1345</v>
      </c>
      <c r="U119" s="17" t="s">
        <v>514</v>
      </c>
      <c r="V119" s="604">
        <f>SUM(H119:H122)+SUM(N119:N122)</f>
        <v>351763</v>
      </c>
      <c r="W119" s="604">
        <f>SUM(Q119:S122)</f>
        <v>351763</v>
      </c>
      <c r="X119" s="604">
        <f>C119</f>
        <v>357120</v>
      </c>
      <c r="Y119" s="605">
        <f>SUM(H119:H122)+SUM(T119:T122)</f>
        <v>357120</v>
      </c>
      <c r="AA119" t="str">
        <f t="shared" si="37"/>
        <v>OK</v>
      </c>
      <c r="AB119" t="str">
        <f t="shared" si="38"/>
        <v>OK</v>
      </c>
      <c r="AE119" t="str">
        <f t="shared" si="30"/>
        <v>-</v>
      </c>
      <c r="AF119">
        <f>IF(LEFT(VLOOKUP(G119,'Contorizare in SDI'!$E:$M,5,FALSE),1)="V",C119,VLOOKUP(G119,'Contorizare in SDI'!$E:$M,6,FALSE))</f>
        <v>357120</v>
      </c>
      <c r="AG119">
        <f t="shared" si="31"/>
        <v>357120</v>
      </c>
      <c r="AH119">
        <f t="shared" si="39"/>
        <v>0</v>
      </c>
      <c r="AI119">
        <f t="shared" si="44"/>
        <v>89617</v>
      </c>
      <c r="AJ119">
        <f t="shared" si="40"/>
        <v>89617</v>
      </c>
      <c r="AK119">
        <f t="shared" si="47"/>
        <v>89617</v>
      </c>
      <c r="AL119">
        <f t="shared" si="45"/>
        <v>1345</v>
      </c>
      <c r="AM119">
        <f t="shared" si="41"/>
        <v>1345</v>
      </c>
      <c r="AN119">
        <f t="shared" si="46"/>
        <v>0</v>
      </c>
      <c r="AP119" t="str">
        <f t="shared" si="32"/>
        <v>-</v>
      </c>
      <c r="AQ119">
        <f t="shared" si="33"/>
        <v>24102</v>
      </c>
    </row>
    <row r="120" spans="1:43" ht="16.5" thickBot="1">
      <c r="A120" s="91">
        <f t="shared" si="42"/>
        <v>117</v>
      </c>
      <c r="B120" s="30" t="s">
        <v>551</v>
      </c>
      <c r="C120" s="291">
        <f>IF(B120=B119,C119,SUMIF('Date masura OD'!$G:$G,B120,'Date masura OD'!$R:$R))</f>
        <v>357120</v>
      </c>
      <c r="D120" s="291">
        <f>IFERROR(IF(VLOOKUP(B120,'Date masura OD'!$G$76:$BF$187,52,FALSE)&lt;0,-VLOOKUP(B120,'Date masura OD'!$G$76:$BF$187,52,FALSE),0),0)</f>
        <v>0</v>
      </c>
      <c r="E120" s="291">
        <v>0</v>
      </c>
      <c r="F120" s="291">
        <v>0</v>
      </c>
      <c r="G120" s="29" t="s">
        <v>642</v>
      </c>
      <c r="H120" s="312">
        <f>IF(C120=0,0,IF(RIGHT(G120,1)="N",ROUNDUP(C120*1.5%,0),IF(LEN(RIGHT(G120,LEN(G120)-FIND("_",G120,1)))=1,SUMIF('Date masura OD'!$G:$G,G120,'Date masura OD'!$R:$R),AK120)))</f>
        <v>89617</v>
      </c>
      <c r="I120" s="184">
        <f>VLOOKUP(G120,'Contorizare in SDI'!E:M,7,FALSE)</f>
        <v>0</v>
      </c>
      <c r="J120" s="88">
        <f>VLOOKUP(G120,'Contorizare in SDI'!$E:$M,$J$1-2,FALSE)</f>
        <v>0</v>
      </c>
      <c r="K120" s="88">
        <f>VLOOKUP(G120,'Contorizare in SDI'!$E:$M,$K$1-2,FALSE)</f>
        <v>0</v>
      </c>
      <c r="L120" s="29" t="s">
        <v>69</v>
      </c>
      <c r="M120" s="87">
        <v>0</v>
      </c>
      <c r="N120" s="88">
        <f>IF(COUNTIF(L120,"-")=1,0,VLOOKUP(L120,'Contorizare in SDI'!$F:$R,$N$1-3,FALSE))</f>
        <v>0</v>
      </c>
      <c r="O120" s="88">
        <f>IF(COUNTIF(L120,"-")=1,0,VLOOKUP(L120,'Contorizare in SDI'!$F:$R,$O$1-3,FALSE))</f>
        <v>0</v>
      </c>
      <c r="P120" s="88">
        <f>IF(COUNTIF(L120,"-")=1,0,VLOOKUP(L120,'Contorizare in SDI'!$F:$R,$P$1-3,FALSE))</f>
        <v>0</v>
      </c>
      <c r="Q120" s="88">
        <f t="shared" si="34"/>
        <v>89617</v>
      </c>
      <c r="R120" s="88">
        <f t="shared" si="35"/>
        <v>0</v>
      </c>
      <c r="S120" s="321">
        <v>0</v>
      </c>
      <c r="T120" s="88">
        <f t="shared" si="36"/>
        <v>1345</v>
      </c>
      <c r="U120" s="17" t="s">
        <v>514</v>
      </c>
      <c r="V120" s="594"/>
      <c r="W120" s="594"/>
      <c r="X120" s="594"/>
      <c r="Y120" s="597"/>
      <c r="AA120" t="str">
        <f t="shared" si="37"/>
        <v/>
      </c>
      <c r="AB120" t="str">
        <f t="shared" si="38"/>
        <v/>
      </c>
      <c r="AE120" t="str">
        <f t="shared" si="30"/>
        <v>-</v>
      </c>
      <c r="AF120">
        <f>IF(LEFT(VLOOKUP(G120,'Contorizare in SDI'!$E:$M,5,FALSE),1)="V",C120,VLOOKUP(G120,'Contorizare in SDI'!$E:$M,6,FALSE))</f>
        <v>357120</v>
      </c>
      <c r="AG120">
        <f t="shared" si="31"/>
        <v>714240</v>
      </c>
      <c r="AH120">
        <f t="shared" si="39"/>
        <v>0</v>
      </c>
      <c r="AI120">
        <f t="shared" si="44"/>
        <v>89617</v>
      </c>
      <c r="AJ120">
        <f t="shared" si="40"/>
        <v>179234</v>
      </c>
      <c r="AK120">
        <f t="shared" si="47"/>
        <v>89617</v>
      </c>
      <c r="AL120">
        <f t="shared" si="45"/>
        <v>1345</v>
      </c>
      <c r="AM120">
        <f t="shared" si="41"/>
        <v>2690</v>
      </c>
      <c r="AN120">
        <f t="shared" si="46"/>
        <v>0</v>
      </c>
      <c r="AP120" t="str">
        <f t="shared" si="32"/>
        <v>-</v>
      </c>
      <c r="AQ120">
        <f t="shared" si="33"/>
        <v>24102</v>
      </c>
    </row>
    <row r="121" spans="1:43" ht="16.5" thickBot="1">
      <c r="A121" s="91">
        <f t="shared" si="42"/>
        <v>118</v>
      </c>
      <c r="B121" s="30" t="s">
        <v>551</v>
      </c>
      <c r="C121" s="291">
        <f>IF(B121=B120,C120,SUMIF('Date masura OD'!$G:$G,B121,'Date masura OD'!$R:$R))</f>
        <v>357120</v>
      </c>
      <c r="D121" s="291">
        <f>IFERROR(IF(VLOOKUP(B121,'Date masura OD'!$G$76:$BF$187,52,FALSE)&lt;0,-VLOOKUP(B121,'Date masura OD'!$G$76:$BF$187,52,FALSE),0),0)</f>
        <v>0</v>
      </c>
      <c r="E121" s="291">
        <v>0</v>
      </c>
      <c r="F121" s="291">
        <v>0</v>
      </c>
      <c r="G121" s="29" t="s">
        <v>643</v>
      </c>
      <c r="H121" s="312">
        <f>IF(C121=0,0,IF(RIGHT(G121,1)="N",ROUNDUP(C121*1.5%,0),IF(LEN(RIGHT(G121,LEN(G121)-FIND("_",G121,1)))=1,SUMIF('Date masura OD'!$G:$G,G121,'Date masura OD'!$R:$R),AK121)))</f>
        <v>89617</v>
      </c>
      <c r="I121" s="184">
        <f>VLOOKUP(G121,'Contorizare in SDI'!E:M,7,FALSE)</f>
        <v>0</v>
      </c>
      <c r="J121" s="88">
        <f>VLOOKUP(G121,'Contorizare in SDI'!$E:$M,$J$1-2,FALSE)</f>
        <v>0</v>
      </c>
      <c r="K121" s="88">
        <f>VLOOKUP(G121,'Contorizare in SDI'!$E:$M,$K$1-2,FALSE)</f>
        <v>0</v>
      </c>
      <c r="L121" s="29" t="s">
        <v>69</v>
      </c>
      <c r="M121" s="87">
        <v>0</v>
      </c>
      <c r="N121" s="88">
        <f>IF(COUNTIF(L121,"-")=1,0,VLOOKUP(L121,'Contorizare in SDI'!$F:$R,$N$1-3,FALSE))</f>
        <v>0</v>
      </c>
      <c r="O121" s="88">
        <f>IF(COUNTIF(L121,"-")=1,0,VLOOKUP(L121,'Contorizare in SDI'!$F:$R,$O$1-3,FALSE))</f>
        <v>0</v>
      </c>
      <c r="P121" s="88">
        <f>IF(COUNTIF(L121,"-")=1,0,VLOOKUP(L121,'Contorizare in SDI'!$F:$R,$P$1-3,FALSE))</f>
        <v>0</v>
      </c>
      <c r="Q121" s="88">
        <f t="shared" si="34"/>
        <v>89617</v>
      </c>
      <c r="R121" s="88">
        <f t="shared" si="35"/>
        <v>0</v>
      </c>
      <c r="S121" s="321">
        <v>0</v>
      </c>
      <c r="T121" s="88">
        <f t="shared" si="36"/>
        <v>1345</v>
      </c>
      <c r="U121" s="17" t="s">
        <v>514</v>
      </c>
      <c r="V121" s="594"/>
      <c r="W121" s="594"/>
      <c r="X121" s="594"/>
      <c r="Y121" s="597"/>
      <c r="AA121" t="str">
        <f t="shared" si="37"/>
        <v/>
      </c>
      <c r="AB121" t="str">
        <f t="shared" si="38"/>
        <v/>
      </c>
      <c r="AE121" t="str">
        <f t="shared" si="30"/>
        <v>-</v>
      </c>
      <c r="AF121">
        <f>IF(LEFT(VLOOKUP(G121,'Contorizare in SDI'!$E:$M,5,FALSE),1)="V",C121,VLOOKUP(G121,'Contorizare in SDI'!$E:$M,6,FALSE))</f>
        <v>357120</v>
      </c>
      <c r="AG121">
        <f t="shared" si="31"/>
        <v>1071360</v>
      </c>
      <c r="AH121">
        <f t="shared" si="39"/>
        <v>0</v>
      </c>
      <c r="AI121">
        <f t="shared" si="44"/>
        <v>89617</v>
      </c>
      <c r="AJ121">
        <f t="shared" si="40"/>
        <v>268851</v>
      </c>
      <c r="AK121">
        <f t="shared" si="47"/>
        <v>89617</v>
      </c>
      <c r="AL121">
        <f t="shared" si="45"/>
        <v>1345</v>
      </c>
      <c r="AM121">
        <f t="shared" si="41"/>
        <v>4035</v>
      </c>
      <c r="AN121">
        <f t="shared" si="46"/>
        <v>0</v>
      </c>
      <c r="AP121" t="str">
        <f t="shared" si="32"/>
        <v>-</v>
      </c>
      <c r="AQ121">
        <f t="shared" si="33"/>
        <v>24102</v>
      </c>
    </row>
    <row r="122" spans="1:43" ht="16.5" thickBot="1">
      <c r="A122" s="91">
        <f t="shared" si="42"/>
        <v>119</v>
      </c>
      <c r="B122" s="30" t="s">
        <v>551</v>
      </c>
      <c r="C122" s="291">
        <f>IF(B122=B121,C121,SUMIF('Date masura OD'!$G:$G,B122,'Date masura OD'!$R:$R))</f>
        <v>357120</v>
      </c>
      <c r="D122" s="291">
        <f>IFERROR(IF(VLOOKUP(B122,'Date masura OD'!$G$76:$BF$187,52,FALSE)&lt;0,-VLOOKUP(B122,'Date masura OD'!$G$76:$BF$187,52,FALSE),0),0)</f>
        <v>0</v>
      </c>
      <c r="E122" s="291">
        <v>0</v>
      </c>
      <c r="F122" s="291">
        <v>0</v>
      </c>
      <c r="G122" s="29" t="s">
        <v>644</v>
      </c>
      <c r="H122" s="312">
        <f>IF(C122=0,0,IF(RIGHT(G122,1)="N",ROUNDUP(C122*1.5%,0),IF(LEN(RIGHT(G122,LEN(G122)-FIND("_",G122,1)))=1,SUMIF('Date masura OD'!$G:$G,G122,'Date masura OD'!$R:$R),AK122)))</f>
        <v>82912</v>
      </c>
      <c r="I122" s="184">
        <f>VLOOKUP(G122,'Contorizare in SDI'!E:M,7,FALSE)</f>
        <v>0</v>
      </c>
      <c r="J122" s="88">
        <f>VLOOKUP(G122,'Contorizare in SDI'!$E:$M,$J$1-2,FALSE)</f>
        <v>0</v>
      </c>
      <c r="K122" s="88">
        <f>VLOOKUP(G122,'Contorizare in SDI'!$E:$M,$K$1-2,FALSE)</f>
        <v>0</v>
      </c>
      <c r="L122" s="29" t="s">
        <v>69</v>
      </c>
      <c r="M122" s="87">
        <v>0</v>
      </c>
      <c r="N122" s="88">
        <f>IF(COUNTIF(L122,"-")=1,0,VLOOKUP(L122,'Contorizare in SDI'!$F:$R,$N$1-3,FALSE))</f>
        <v>0</v>
      </c>
      <c r="O122" s="88">
        <f>IF(COUNTIF(L122,"-")=1,0,VLOOKUP(L122,'Contorizare in SDI'!$F:$R,$O$1-3,FALSE))</f>
        <v>0</v>
      </c>
      <c r="P122" s="88">
        <f>IF(COUNTIF(L122,"-")=1,0,VLOOKUP(L122,'Contorizare in SDI'!$F:$R,$P$1-3,FALSE))</f>
        <v>0</v>
      </c>
      <c r="Q122" s="88">
        <f t="shared" si="34"/>
        <v>82912</v>
      </c>
      <c r="R122" s="88">
        <f t="shared" si="35"/>
        <v>0</v>
      </c>
      <c r="S122" s="321">
        <v>0</v>
      </c>
      <c r="T122" s="88">
        <f t="shared" si="36"/>
        <v>1322</v>
      </c>
      <c r="U122" s="17" t="s">
        <v>514</v>
      </c>
      <c r="V122" s="594"/>
      <c r="W122" s="594"/>
      <c r="X122" s="594"/>
      <c r="Y122" s="597"/>
      <c r="AA122" t="str">
        <f t="shared" si="37"/>
        <v/>
      </c>
      <c r="AB122" t="str">
        <f t="shared" si="38"/>
        <v/>
      </c>
      <c r="AE122" t="str">
        <f t="shared" si="30"/>
        <v>-</v>
      </c>
      <c r="AF122">
        <f>IF(LEFT(VLOOKUP(G122,'Contorizare in SDI'!$E:$M,5,FALSE),1)="V",C122,VLOOKUP(G122,'Contorizare in SDI'!$E:$M,6,FALSE))</f>
        <v>357120</v>
      </c>
      <c r="AG122">
        <f t="shared" si="31"/>
        <v>1428480</v>
      </c>
      <c r="AH122">
        <f t="shared" si="39"/>
        <v>0</v>
      </c>
      <c r="AI122">
        <f t="shared" si="44"/>
        <v>89617</v>
      </c>
      <c r="AJ122">
        <f t="shared" si="40"/>
        <v>358468</v>
      </c>
      <c r="AK122">
        <f t="shared" si="47"/>
        <v>82912</v>
      </c>
      <c r="AL122">
        <f t="shared" si="45"/>
        <v>1322</v>
      </c>
      <c r="AM122">
        <f t="shared" si="41"/>
        <v>5357</v>
      </c>
      <c r="AN122">
        <f t="shared" si="46"/>
        <v>0</v>
      </c>
      <c r="AP122" t="str">
        <f t="shared" si="32"/>
        <v>-</v>
      </c>
      <c r="AQ122">
        <f t="shared" si="33"/>
        <v>24102</v>
      </c>
    </row>
    <row r="123" spans="1:43" ht="16.5" thickBot="1">
      <c r="A123" s="91">
        <f t="shared" si="42"/>
        <v>120</v>
      </c>
      <c r="B123" s="93" t="s">
        <v>551</v>
      </c>
      <c r="C123" s="291">
        <f>IF(B123=B122,C122,SUMIF('Date masura OD'!$G:$G,B123,'Date masura OD'!$R:$R))</f>
        <v>357120</v>
      </c>
      <c r="D123" s="291">
        <f>IFERROR(IF(VLOOKUP(B123,'Date masura OD'!$G$76:$BF$187,52,FALSE)&lt;0,-VLOOKUP(B123,'Date masura OD'!$G$76:$BF$187,52,FALSE),0),0)</f>
        <v>0</v>
      </c>
      <c r="E123" s="291">
        <v>0</v>
      </c>
      <c r="F123" s="291">
        <v>0</v>
      </c>
      <c r="G123" s="94" t="s">
        <v>983</v>
      </c>
      <c r="H123" s="312">
        <f>IF(C123=0,0,IF(RIGHT(G123,1)="N",ROUNDUP(C123*1.5%,0),IF(LEN(RIGHT(G123,LEN(G123)-FIND("_",G123,1)))=1,SUMIF('Date masura OD'!$G:$G,G123,'Date masura OD'!$R:$R),AK123)))</f>
        <v>5357</v>
      </c>
      <c r="I123" s="184">
        <f>VLOOKUP(G123,'Contorizare in SDI'!E:M,7,FALSE)</f>
        <v>0</v>
      </c>
      <c r="J123" s="88">
        <f>VLOOKUP(G123,'Contorizare in SDI'!$E:$M,$J$1-2,FALSE)</f>
        <v>0</v>
      </c>
      <c r="K123" s="88">
        <f>VLOOKUP(G123,'Contorizare in SDI'!$E:$M,$K$1-2,FALSE)</f>
        <v>0</v>
      </c>
      <c r="L123" s="94" t="s">
        <v>69</v>
      </c>
      <c r="M123" s="87">
        <v>0</v>
      </c>
      <c r="N123" s="88">
        <f>IF(COUNTIF(L123,"-")=1,0,VLOOKUP(L123,'Contorizare in SDI'!$F:$R,$N$1-3,FALSE))</f>
        <v>0</v>
      </c>
      <c r="O123" s="88">
        <f>IF(COUNTIF(L123,"-")=1,0,VLOOKUP(L123,'Contorizare in SDI'!$F:$R,$O$1-3,FALSE))</f>
        <v>0</v>
      </c>
      <c r="P123" s="88">
        <f>IF(COUNTIF(L123,"-")=1,0,VLOOKUP(L123,'Contorizare in SDI'!$F:$R,$P$1-3,FALSE))</f>
        <v>0</v>
      </c>
      <c r="Q123" s="88">
        <f t="shared" si="34"/>
        <v>0</v>
      </c>
      <c r="R123" s="88">
        <f t="shared" si="35"/>
        <v>0</v>
      </c>
      <c r="S123" s="321">
        <v>0</v>
      </c>
      <c r="T123" s="88">
        <f t="shared" si="36"/>
        <v>0</v>
      </c>
      <c r="U123" s="95" t="s">
        <v>69</v>
      </c>
      <c r="V123" s="595"/>
      <c r="W123" s="595"/>
      <c r="X123" s="595"/>
      <c r="Y123" s="598"/>
      <c r="AA123" t="str">
        <f t="shared" si="37"/>
        <v/>
      </c>
      <c r="AB123" t="str">
        <f t="shared" si="38"/>
        <v/>
      </c>
      <c r="AE123" t="str">
        <f t="shared" si="30"/>
        <v>RMEG_3</v>
      </c>
      <c r="AF123">
        <f>IF(LEFT(VLOOKUP(G123,'Contorizare in SDI'!$E:$M,5,FALSE),1)="V",C123,VLOOKUP(G123,'Contorizare in SDI'!$E:$M,6,FALSE))</f>
        <v>0</v>
      </c>
      <c r="AG123">
        <f t="shared" si="31"/>
        <v>1428480</v>
      </c>
      <c r="AH123">
        <f t="shared" si="39"/>
        <v>5357</v>
      </c>
      <c r="AI123">
        <f t="shared" si="44"/>
        <v>0</v>
      </c>
      <c r="AJ123">
        <f t="shared" si="40"/>
        <v>358468</v>
      </c>
      <c r="AK123">
        <f t="shared" si="47"/>
        <v>0</v>
      </c>
      <c r="AL123">
        <f t="shared" si="45"/>
        <v>0</v>
      </c>
      <c r="AM123">
        <f t="shared" si="41"/>
        <v>0</v>
      </c>
      <c r="AN123">
        <f t="shared" si="46"/>
        <v>0</v>
      </c>
      <c r="AP123" t="str">
        <f t="shared" si="32"/>
        <v>RMEG</v>
      </c>
      <c r="AQ123">
        <f t="shared" si="33"/>
        <v>29459</v>
      </c>
    </row>
    <row r="124" spans="1:43" ht="16.5" thickBot="1">
      <c r="A124" s="91">
        <f t="shared" si="42"/>
        <v>121</v>
      </c>
      <c r="B124" s="86" t="s">
        <v>552</v>
      </c>
      <c r="C124" s="291">
        <f>IF(B124=B123,C123,SUMIF('Date masura OD'!$G:$G,B124,'Date masura OD'!$R:$R))</f>
        <v>73234</v>
      </c>
      <c r="D124" s="291">
        <f>IFERROR(IF(VLOOKUP(B124,'Date masura OD'!$G$76:$BF$187,52,FALSE)&lt;0,-VLOOKUP(B124,'Date masura OD'!$G$76:$BF$187,52,FALSE),0),0)</f>
        <v>0</v>
      </c>
      <c r="E124" s="291">
        <v>0</v>
      </c>
      <c r="F124" s="291">
        <v>0</v>
      </c>
      <c r="G124" s="89" t="s">
        <v>645</v>
      </c>
      <c r="H124" s="312">
        <f>IF(C124=0,0,IF(RIGHT(G124,1)="N",ROUNDUP(C124*1.5%,0),IF(LEN(RIGHT(G124,LEN(G124)-FIND("_",G124,1)))=1,SUMIF('Date masura OD'!$G:$G,G124,'Date masura OD'!$R:$R),AK124)))</f>
        <v>72135</v>
      </c>
      <c r="I124" s="317">
        <f>VLOOKUP(G124,'Contorizare in SDI'!E:M,7,FALSE)-205</f>
        <v>0</v>
      </c>
      <c r="J124" s="88">
        <f>VLOOKUP(G124,'Contorizare in SDI'!$E:$M,$J$1-2,FALSE)</f>
        <v>8104</v>
      </c>
      <c r="K124" s="88">
        <f>VLOOKUP(G124,'Contorizare in SDI'!$E:$M,$K$1-2,FALSE)</f>
        <v>3353</v>
      </c>
      <c r="L124" s="89" t="s">
        <v>689</v>
      </c>
      <c r="M124" s="87">
        <v>0</v>
      </c>
      <c r="N124" s="88">
        <f>IF(COUNTIF(L124,"-")=1,0,VLOOKUP(L124,'Contorizare in SDI'!$F:$R,$N$1-3,FALSE))</f>
        <v>83063</v>
      </c>
      <c r="O124" s="88">
        <f>IF(COUNTIF(L124,"-")=1,0,VLOOKUP(L124,'Contorizare in SDI'!$F:$R,$O$1-3,FALSE))</f>
        <v>52</v>
      </c>
      <c r="P124" s="88">
        <f>IF(COUNTIF(L124,"-")=1,0,VLOOKUP(L124,'Contorizare in SDI'!$F:$R,$P$1-3,FALSE))</f>
        <v>902</v>
      </c>
      <c r="Q124" s="88">
        <f t="shared" si="34"/>
        <v>72135</v>
      </c>
      <c r="R124" s="88">
        <f t="shared" si="35"/>
        <v>83063</v>
      </c>
      <c r="S124" s="321">
        <v>0</v>
      </c>
      <c r="T124" s="88">
        <f t="shared" si="36"/>
        <v>1099</v>
      </c>
      <c r="U124" s="90" t="s">
        <v>514</v>
      </c>
      <c r="V124" s="592">
        <f>SUM(H124)+SUM(N124)</f>
        <v>155198</v>
      </c>
      <c r="W124" s="580">
        <f>SUM(Q124:S124)</f>
        <v>155198</v>
      </c>
      <c r="X124" s="580">
        <f>C124</f>
        <v>73234</v>
      </c>
      <c r="Y124" s="582">
        <f>SUM(H124)+SUM(T124)</f>
        <v>73234</v>
      </c>
      <c r="AA124" t="str">
        <f t="shared" si="37"/>
        <v>OK</v>
      </c>
      <c r="AB124" t="str">
        <f t="shared" si="38"/>
        <v>OK</v>
      </c>
      <c r="AE124" t="str">
        <f t="shared" si="30"/>
        <v>-</v>
      </c>
      <c r="AF124">
        <f>IF(LEFT(VLOOKUP(G124,'Contorizare in SDI'!$E:$M,5,FALSE),1)="V",C124,VLOOKUP(G124,'Contorizare in SDI'!$E:$M,6,FALSE))</f>
        <v>92601</v>
      </c>
      <c r="AG124">
        <f t="shared" si="31"/>
        <v>92601</v>
      </c>
      <c r="AH124">
        <f t="shared" si="39"/>
        <v>0</v>
      </c>
      <c r="AI124">
        <f t="shared" si="44"/>
        <v>74114</v>
      </c>
      <c r="AJ124">
        <f t="shared" si="40"/>
        <v>74114</v>
      </c>
      <c r="AK124">
        <f t="shared" si="47"/>
        <v>72135</v>
      </c>
      <c r="AL124">
        <f t="shared" si="45"/>
        <v>1099</v>
      </c>
      <c r="AM124">
        <f t="shared" si="41"/>
        <v>1099</v>
      </c>
      <c r="AN124">
        <f t="shared" si="46"/>
        <v>0</v>
      </c>
      <c r="AP124" t="str">
        <f t="shared" si="32"/>
        <v>-</v>
      </c>
      <c r="AQ124">
        <f t="shared" si="33"/>
        <v>0</v>
      </c>
    </row>
    <row r="125" spans="1:43" ht="16.5" thickBot="1">
      <c r="A125" s="91">
        <f t="shared" si="42"/>
        <v>122</v>
      </c>
      <c r="B125" s="30" t="s">
        <v>552</v>
      </c>
      <c r="C125" s="291">
        <f>IF(B125=B124,C124,SUMIF('Date masura OD'!$G:$G,B125,'Date masura OD'!$R:$R))</f>
        <v>73234</v>
      </c>
      <c r="D125" s="291">
        <f>IFERROR(IF(VLOOKUP(B125,'Date masura OD'!$G$76:$BF$187,52,FALSE)&lt;0,-VLOOKUP(B125,'Date masura OD'!$G$76:$BF$187,52,FALSE),0),0)</f>
        <v>0</v>
      </c>
      <c r="E125" s="291">
        <v>0</v>
      </c>
      <c r="F125" s="291">
        <v>0</v>
      </c>
      <c r="G125" s="29" t="s">
        <v>984</v>
      </c>
      <c r="H125" s="312">
        <f>IF(C125=0,0,IF(RIGHT(G125,1)="N",ROUNDUP(C125*1.5%,0),IF(LEN(RIGHT(G125,LEN(G125)-FIND("_",G125,1)))=1,SUMIF('Date masura OD'!$G:$G,G125,'Date masura OD'!$R:$R),AK125)))</f>
        <v>1099</v>
      </c>
      <c r="I125" s="184">
        <f>VLOOKUP(G125,'Contorizare in SDI'!E:M,7,FALSE)</f>
        <v>0</v>
      </c>
      <c r="J125" s="88">
        <f>VLOOKUP(G125,'Contorizare in SDI'!$E:$M,$J$1-2,FALSE)</f>
        <v>0</v>
      </c>
      <c r="K125" s="88">
        <f>VLOOKUP(G125,'Contorizare in SDI'!$E:$M,$K$1-2,FALSE)</f>
        <v>0</v>
      </c>
      <c r="L125" s="29" t="s">
        <v>69</v>
      </c>
      <c r="M125" s="87">
        <v>0</v>
      </c>
      <c r="N125" s="88">
        <f>IF(COUNTIF(L125,"-")=1,0,VLOOKUP(L125,'Contorizare in SDI'!$F:$R,$N$1-3,FALSE))</f>
        <v>0</v>
      </c>
      <c r="O125" s="88">
        <f>IF(COUNTIF(L125,"-")=1,0,VLOOKUP(L125,'Contorizare in SDI'!$F:$R,$O$1-3,FALSE))</f>
        <v>0</v>
      </c>
      <c r="P125" s="88">
        <f>IF(COUNTIF(L125,"-")=1,0,VLOOKUP(L125,'Contorizare in SDI'!$F:$R,$P$1-3,FALSE))</f>
        <v>0</v>
      </c>
      <c r="Q125" s="88">
        <f t="shared" si="34"/>
        <v>0</v>
      </c>
      <c r="R125" s="88">
        <f t="shared" si="35"/>
        <v>0</v>
      </c>
      <c r="S125" s="321">
        <v>0</v>
      </c>
      <c r="T125" s="88">
        <f t="shared" si="36"/>
        <v>0</v>
      </c>
      <c r="U125" s="17" t="s">
        <v>69</v>
      </c>
      <c r="V125" s="581"/>
      <c r="W125" s="581"/>
      <c r="X125" s="581"/>
      <c r="Y125" s="583"/>
      <c r="AE125" t="str">
        <f t="shared" si="30"/>
        <v>RSEV_1</v>
      </c>
      <c r="AF125">
        <f>IF(LEFT(VLOOKUP(G125,'Contorizare in SDI'!$E:$M,5,FALSE),1)="V",C125,VLOOKUP(G125,'Contorizare in SDI'!$E:$M,6,FALSE))</f>
        <v>0</v>
      </c>
      <c r="AG125">
        <f t="shared" si="31"/>
        <v>92601</v>
      </c>
      <c r="AH125">
        <f t="shared" si="39"/>
        <v>1099</v>
      </c>
      <c r="AI125">
        <f t="shared" si="44"/>
        <v>0</v>
      </c>
      <c r="AJ125">
        <f t="shared" si="40"/>
        <v>74114</v>
      </c>
      <c r="AK125">
        <f t="shared" si="47"/>
        <v>0</v>
      </c>
      <c r="AL125">
        <f t="shared" si="45"/>
        <v>0</v>
      </c>
      <c r="AM125">
        <f t="shared" si="41"/>
        <v>0</v>
      </c>
      <c r="AN125">
        <f t="shared" si="46"/>
        <v>0</v>
      </c>
      <c r="AP125" t="str">
        <f t="shared" si="32"/>
        <v>-</v>
      </c>
      <c r="AQ125">
        <f t="shared" si="33"/>
        <v>1099</v>
      </c>
    </row>
    <row r="126" spans="1:43" ht="16.5" thickBot="1">
      <c r="A126" s="91">
        <f t="shared" si="42"/>
        <v>123</v>
      </c>
      <c r="B126" s="30" t="s">
        <v>553</v>
      </c>
      <c r="C126" s="291">
        <f>IF(B126=B125,C125,SUMIF('Date masura OD'!$G:$G,B126,'Date masura OD'!$R:$R))</f>
        <v>96386</v>
      </c>
      <c r="D126" s="291">
        <f>IFERROR(IF(VLOOKUP(B126,'Date masura OD'!$G$76:$BF$187,52,FALSE)&lt;0,-VLOOKUP(B126,'Date masura OD'!$G$76:$BF$187,52,FALSE),0),0)</f>
        <v>0</v>
      </c>
      <c r="E126" s="291">
        <v>0</v>
      </c>
      <c r="F126" s="291">
        <v>0</v>
      </c>
      <c r="G126" s="29" t="s">
        <v>646</v>
      </c>
      <c r="H126" s="312">
        <f>IF(C126=0,0,IF(RIGHT(G126,1)="N",ROUNDUP(C126*1.5%,0),IF(LEN(RIGHT(G126,LEN(G126)-FIND("_",G126,1)))=1,SUMIF('Date masura OD'!$G:$G,G126,'Date masura OD'!$R:$R),AK126)))</f>
        <v>94940</v>
      </c>
      <c r="I126" s="317">
        <f>VLOOKUP(G126,'Contorizare in SDI'!E:M,7,FALSE)-123</f>
        <v>0</v>
      </c>
      <c r="J126" s="88">
        <f>VLOOKUP(G126,'Contorizare in SDI'!$E:$M,$J$1-2,FALSE)</f>
        <v>15549</v>
      </c>
      <c r="K126" s="88">
        <f>VLOOKUP(G126,'Contorizare in SDI'!$E:$M,$K$1-2,FALSE)</f>
        <v>1497</v>
      </c>
      <c r="L126" s="29" t="s">
        <v>690</v>
      </c>
      <c r="M126" s="87">
        <v>0</v>
      </c>
      <c r="N126" s="88">
        <f>IF(COUNTIF(L126,"-")=1,0,VLOOKUP(L126,'Contorizare in SDI'!$F:$R,$N$1-3,FALSE))</f>
        <v>74598</v>
      </c>
      <c r="O126" s="88">
        <f>IF(COUNTIF(L126,"-")=1,0,VLOOKUP(L126,'Contorizare in SDI'!$F:$R,$O$1-3,FALSE))</f>
        <v>71</v>
      </c>
      <c r="P126" s="88">
        <f>IF(COUNTIF(L126,"-")=1,0,VLOOKUP(L126,'Contorizare in SDI'!$F:$R,$P$1-3,FALSE))</f>
        <v>858</v>
      </c>
      <c r="Q126" s="88">
        <f t="shared" si="34"/>
        <v>94940</v>
      </c>
      <c r="R126" s="88">
        <f t="shared" si="35"/>
        <v>74598</v>
      </c>
      <c r="S126" s="321">
        <v>0</v>
      </c>
      <c r="T126" s="88">
        <f t="shared" si="36"/>
        <v>1446</v>
      </c>
      <c r="U126" s="17" t="s">
        <v>514</v>
      </c>
      <c r="V126" s="581">
        <f>SUM(H126)+SUM(N126)</f>
        <v>169538</v>
      </c>
      <c r="W126" s="581">
        <f>SUM(Q126:S126)</f>
        <v>169538</v>
      </c>
      <c r="X126" s="581">
        <f>C126</f>
        <v>96386</v>
      </c>
      <c r="Y126" s="583">
        <f>SUM(H126)+SUM(T126)</f>
        <v>96386</v>
      </c>
      <c r="AA126" t="str">
        <f t="shared" si="37"/>
        <v>OK</v>
      </c>
      <c r="AB126" t="str">
        <f t="shared" si="38"/>
        <v>OK</v>
      </c>
      <c r="AE126" t="str">
        <f t="shared" si="30"/>
        <v>-</v>
      </c>
      <c r="AF126">
        <f>IF(LEFT(VLOOKUP(G126,'Contorizare in SDI'!$E:$M,5,FALSE),1)="V",C126,VLOOKUP(G126,'Contorizare in SDI'!$E:$M,6,FALSE))</f>
        <v>68017</v>
      </c>
      <c r="AG126">
        <f t="shared" si="31"/>
        <v>68017</v>
      </c>
      <c r="AH126">
        <f t="shared" si="39"/>
        <v>0</v>
      </c>
      <c r="AI126">
        <f t="shared" ref="AI126:AI157" si="48">ROUNDUP(AF126/(VLOOKUP(B126,$AE:$AH,3,FALSE)-VLOOKUP(B126,$AE:$AH,4,FALSE))*C126,0)</f>
        <v>98480</v>
      </c>
      <c r="AJ126">
        <f t="shared" si="40"/>
        <v>98480</v>
      </c>
      <c r="AK126">
        <f t="shared" si="47"/>
        <v>94940</v>
      </c>
      <c r="AL126">
        <f t="shared" si="45"/>
        <v>1446</v>
      </c>
      <c r="AM126">
        <f t="shared" si="41"/>
        <v>1446</v>
      </c>
      <c r="AN126">
        <f t="shared" si="46"/>
        <v>0</v>
      </c>
      <c r="AP126" t="str">
        <f t="shared" si="32"/>
        <v>-</v>
      </c>
      <c r="AQ126">
        <f t="shared" si="33"/>
        <v>1099</v>
      </c>
    </row>
    <row r="127" spans="1:43" ht="16.5" thickBot="1">
      <c r="A127" s="91">
        <f t="shared" si="42"/>
        <v>124</v>
      </c>
      <c r="B127" s="30" t="s">
        <v>553</v>
      </c>
      <c r="C127" s="291">
        <f>IF(B127=B126,C126,SUMIF('Date masura OD'!$G:$G,B127,'Date masura OD'!$R:$R))</f>
        <v>96386</v>
      </c>
      <c r="D127" s="291">
        <f>IFERROR(IF(VLOOKUP(B127,'Date masura OD'!$G$76:$BF$187,52,FALSE)&lt;0,-VLOOKUP(B127,'Date masura OD'!$G$76:$BF$187,52,FALSE),0),0)</f>
        <v>0</v>
      </c>
      <c r="E127" s="291">
        <v>0</v>
      </c>
      <c r="F127" s="291">
        <v>0</v>
      </c>
      <c r="G127" s="29" t="s">
        <v>985</v>
      </c>
      <c r="H127" s="312">
        <f>IF(C127=0,0,IF(RIGHT(G127,1)="N",ROUNDUP(C127*1.5%,0),IF(LEN(RIGHT(G127,LEN(G127)-FIND("_",G127,1)))=1,SUMIF('Date masura OD'!$G:$G,G127,'Date masura OD'!$R:$R),AK127)))</f>
        <v>1446</v>
      </c>
      <c r="I127" s="184">
        <f>VLOOKUP(G127,'Contorizare in SDI'!E:M,7,FALSE)</f>
        <v>0</v>
      </c>
      <c r="J127" s="88">
        <f>VLOOKUP(G127,'Contorizare in SDI'!$E:$M,$J$1-2,FALSE)</f>
        <v>0</v>
      </c>
      <c r="K127" s="88">
        <f>VLOOKUP(G127,'Contorizare in SDI'!$E:$M,$K$1-2,FALSE)</f>
        <v>0</v>
      </c>
      <c r="L127" s="29" t="s">
        <v>69</v>
      </c>
      <c r="M127" s="87">
        <v>0</v>
      </c>
      <c r="N127" s="88">
        <f>IF(COUNTIF(L127,"-")=1,0,VLOOKUP(L127,'Contorizare in SDI'!$F:$R,$N$1-3,FALSE))</f>
        <v>0</v>
      </c>
      <c r="O127" s="88">
        <f>IF(COUNTIF(L127,"-")=1,0,VLOOKUP(L127,'Contorizare in SDI'!$F:$R,$O$1-3,FALSE))</f>
        <v>0</v>
      </c>
      <c r="P127" s="88">
        <f>IF(COUNTIF(L127,"-")=1,0,VLOOKUP(L127,'Contorizare in SDI'!$F:$R,$P$1-3,FALSE))</f>
        <v>0</v>
      </c>
      <c r="Q127" s="88">
        <f t="shared" si="34"/>
        <v>0</v>
      </c>
      <c r="R127" s="88">
        <f t="shared" si="35"/>
        <v>0</v>
      </c>
      <c r="S127" s="321">
        <v>0</v>
      </c>
      <c r="T127" s="88">
        <f t="shared" si="36"/>
        <v>0</v>
      </c>
      <c r="U127" s="17" t="s">
        <v>69</v>
      </c>
      <c r="V127" s="581"/>
      <c r="W127" s="581"/>
      <c r="X127" s="581"/>
      <c r="Y127" s="583"/>
      <c r="AE127" t="str">
        <f t="shared" si="30"/>
        <v>RSEV_2</v>
      </c>
      <c r="AF127">
        <f>IF(LEFT(VLOOKUP(G127,'Contorizare in SDI'!$E:$M,5,FALSE),1)="V",C127,VLOOKUP(G127,'Contorizare in SDI'!$E:$M,6,FALSE))</f>
        <v>0</v>
      </c>
      <c r="AG127">
        <f t="shared" si="31"/>
        <v>68017</v>
      </c>
      <c r="AH127">
        <f t="shared" si="39"/>
        <v>1446</v>
      </c>
      <c r="AI127">
        <f t="shared" si="48"/>
        <v>0</v>
      </c>
      <c r="AJ127">
        <f t="shared" si="40"/>
        <v>98480</v>
      </c>
      <c r="AK127">
        <f t="shared" si="47"/>
        <v>0</v>
      </c>
      <c r="AL127">
        <f t="shared" si="45"/>
        <v>0</v>
      </c>
      <c r="AM127">
        <f t="shared" si="41"/>
        <v>0</v>
      </c>
      <c r="AN127">
        <f t="shared" si="46"/>
        <v>0</v>
      </c>
      <c r="AP127" t="str">
        <f t="shared" si="32"/>
        <v>-</v>
      </c>
      <c r="AQ127">
        <f t="shared" si="33"/>
        <v>2545</v>
      </c>
    </row>
    <row r="128" spans="1:43" ht="16.5" thickBot="1">
      <c r="A128" s="91">
        <f t="shared" si="42"/>
        <v>125</v>
      </c>
      <c r="B128" s="93" t="s">
        <v>554</v>
      </c>
      <c r="C128" s="291">
        <f>IF(B128=B127,C127,SUMIF('Date masura OD'!$G:$G,B128,'Date masura OD'!$R:$R))</f>
        <v>38960</v>
      </c>
      <c r="D128" s="291">
        <f>IFERROR(IF(VLOOKUP(B128,'Date masura OD'!$G$76:$BF$187,52,FALSE)&lt;0,-VLOOKUP(B128,'Date masura OD'!$G$76:$BF$187,52,FALSE),0),0)</f>
        <v>0</v>
      </c>
      <c r="E128" s="291">
        <v>0</v>
      </c>
      <c r="F128" s="291">
        <v>0</v>
      </c>
      <c r="G128" s="97" t="s">
        <v>554</v>
      </c>
      <c r="H128" s="312">
        <f>IF(C128=0,0,IF(RIGHT(G128,1)="N",ROUNDUP(C128*1.5%,0),IF(LEN(RIGHT(G128,LEN(G128)-FIND("_",G128,1)))=1,SUMIF('Date masura OD'!$G:$G,G128,'Date masura OD'!$R:$R),AK128)))</f>
        <v>38960</v>
      </c>
      <c r="I128" s="184">
        <f>VLOOKUP(G128,'Contorizare in SDI'!E:M,7,FALSE)</f>
        <v>0</v>
      </c>
      <c r="J128" s="88">
        <f>VLOOKUP(G128,'Contorizare in SDI'!$E:$M,$J$1-2,FALSE)</f>
        <v>0</v>
      </c>
      <c r="K128" s="88">
        <f>VLOOKUP(G128,'Contorizare in SDI'!$E:$M,$K$1-2,FALSE)</f>
        <v>0</v>
      </c>
      <c r="L128" s="94" t="s">
        <v>69</v>
      </c>
      <c r="M128" s="87">
        <v>0</v>
      </c>
      <c r="N128" s="88">
        <f>IF(COUNTIF(L128,"-")=1,0,VLOOKUP(L128,'Contorizare in SDI'!$F:$R,$N$1-3,FALSE))</f>
        <v>0</v>
      </c>
      <c r="O128" s="88">
        <f>IF(COUNTIF(L128,"-")=1,0,VLOOKUP(L128,'Contorizare in SDI'!$F:$R,$O$1-3,FALSE))</f>
        <v>0</v>
      </c>
      <c r="P128" s="88">
        <f>IF(COUNTIF(L128,"-")=1,0,VLOOKUP(L128,'Contorizare in SDI'!$F:$R,$P$1-3,FALSE))</f>
        <v>0</v>
      </c>
      <c r="Q128" s="88">
        <f t="shared" si="34"/>
        <v>38960</v>
      </c>
      <c r="R128" s="88">
        <f t="shared" si="35"/>
        <v>0</v>
      </c>
      <c r="S128" s="321">
        <v>0</v>
      </c>
      <c r="T128" s="88">
        <f t="shared" si="36"/>
        <v>0</v>
      </c>
      <c r="U128" s="95" t="s">
        <v>517</v>
      </c>
      <c r="V128" s="95" t="s">
        <v>69</v>
      </c>
      <c r="W128" s="95" t="s">
        <v>69</v>
      </c>
      <c r="X128" s="95" t="s">
        <v>69</v>
      </c>
      <c r="Y128" s="96" t="s">
        <v>69</v>
      </c>
      <c r="AA128" t="str">
        <f t="shared" si="37"/>
        <v>OK</v>
      </c>
      <c r="AB128" t="str">
        <f t="shared" si="38"/>
        <v>OK</v>
      </c>
      <c r="AE128" t="str">
        <f t="shared" si="30"/>
        <v>RSEV_3</v>
      </c>
      <c r="AF128">
        <f>IF(LEFT(VLOOKUP(G128,'Contorizare in SDI'!$E:$M,5,FALSE),1)="V",C128,VLOOKUP(G128,'Contorizare in SDI'!$E:$M,6,FALSE))</f>
        <v>38960</v>
      </c>
      <c r="AG128">
        <f t="shared" si="31"/>
        <v>38960</v>
      </c>
      <c r="AH128">
        <f t="shared" si="39"/>
        <v>0</v>
      </c>
      <c r="AI128">
        <f t="shared" si="48"/>
        <v>38960</v>
      </c>
      <c r="AJ128">
        <f t="shared" si="40"/>
        <v>38960</v>
      </c>
      <c r="AK128">
        <f t="shared" si="47"/>
        <v>38960</v>
      </c>
      <c r="AL128">
        <f t="shared" si="45"/>
        <v>0</v>
      </c>
      <c r="AM128">
        <f t="shared" si="41"/>
        <v>0</v>
      </c>
      <c r="AN128">
        <f t="shared" si="46"/>
        <v>0</v>
      </c>
      <c r="AP128" t="str">
        <f t="shared" si="32"/>
        <v>RSEV</v>
      </c>
      <c r="AQ128">
        <f t="shared" si="33"/>
        <v>2545</v>
      </c>
    </row>
    <row r="129" spans="1:43" ht="16.5" thickBot="1">
      <c r="A129" s="91">
        <f t="shared" si="42"/>
        <v>126</v>
      </c>
      <c r="B129" s="86" t="s">
        <v>555</v>
      </c>
      <c r="C129" s="291">
        <f>IF(B129=B128,C128,SUMIF('Date masura OD'!$G:$G,B129,'Date masura OD'!$R:$R))</f>
        <v>269680</v>
      </c>
      <c r="D129" s="291">
        <f>IFERROR(IF(VLOOKUP(B129,'Date masura OD'!$G$76:$BF$187,52,FALSE)&lt;0,-VLOOKUP(B129,'Date masura OD'!$G$76:$BF$187,52,FALSE),0),0)</f>
        <v>0</v>
      </c>
      <c r="E129" s="291">
        <v>0</v>
      </c>
      <c r="F129" s="291">
        <v>0</v>
      </c>
      <c r="G129" s="89" t="s">
        <v>647</v>
      </c>
      <c r="H129" s="312">
        <f>IF(C129=0,0,IF(RIGHT(G129,1)="N",ROUNDUP(C129*1.5%,0),IF(LEN(RIGHT(G129,LEN(G129)-FIND("_",G129,1)))=1,SUMIF('Date masura OD'!$G:$G,G129,'Date masura OD'!$R:$R),AK129)))</f>
        <v>265634</v>
      </c>
      <c r="I129" s="184">
        <f>VLOOKUP(G129,'Contorizare in SDI'!E:M,7,FALSE)</f>
        <v>0</v>
      </c>
      <c r="J129" s="88">
        <f>VLOOKUP(G129,'Contorizare in SDI'!$E:$M,$J$1-2,FALSE)</f>
        <v>0</v>
      </c>
      <c r="K129" s="88">
        <f>VLOOKUP(G129,'Contorizare in SDI'!$E:$M,$K$1-2,FALSE)</f>
        <v>0</v>
      </c>
      <c r="L129" s="89" t="s">
        <v>69</v>
      </c>
      <c r="M129" s="87">
        <v>0</v>
      </c>
      <c r="N129" s="88">
        <f>IF(COUNTIF(L129,"-")=1,0,VLOOKUP(L129,'Contorizare in SDI'!$F:$R,$N$1-3,FALSE))</f>
        <v>0</v>
      </c>
      <c r="O129" s="88">
        <f>IF(COUNTIF(L129,"-")=1,0,VLOOKUP(L129,'Contorizare in SDI'!$F:$R,$O$1-3,FALSE))</f>
        <v>0</v>
      </c>
      <c r="P129" s="88">
        <f>IF(COUNTIF(L129,"-")=1,0,VLOOKUP(L129,'Contorizare in SDI'!$F:$R,$P$1-3,FALSE))</f>
        <v>0</v>
      </c>
      <c r="Q129" s="88">
        <f t="shared" si="34"/>
        <v>265634</v>
      </c>
      <c r="R129" s="88">
        <f t="shared" si="35"/>
        <v>0</v>
      </c>
      <c r="S129" s="321">
        <v>0</v>
      </c>
      <c r="T129" s="88">
        <f t="shared" si="36"/>
        <v>4046</v>
      </c>
      <c r="U129" s="90" t="s">
        <v>514</v>
      </c>
      <c r="V129" s="580">
        <f>SUM(H129)+SUM(N129)</f>
        <v>265634</v>
      </c>
      <c r="W129" s="580">
        <f>SUM(Q129:S129)</f>
        <v>265634</v>
      </c>
      <c r="X129" s="580">
        <f>C129</f>
        <v>269680</v>
      </c>
      <c r="Y129" s="582">
        <f>SUM(H129)+SUM(T129)</f>
        <v>269680</v>
      </c>
      <c r="AA129" t="str">
        <f>IF(B128&lt;&gt;B129,IF(V129=W129,"OK","Not OK"),"")</f>
        <v>OK</v>
      </c>
      <c r="AB129" t="str">
        <f>IF(B128&lt;&gt;B129,IF(X129=Y129,"OK","Not OK"),"")</f>
        <v>OK</v>
      </c>
      <c r="AE129" t="str">
        <f t="shared" si="30"/>
        <v>-</v>
      </c>
      <c r="AF129">
        <f>IF(LEFT(VLOOKUP(G129,'Contorizare in SDI'!$E:$M,5,FALSE),1)="V",C129,VLOOKUP(G129,'Contorizare in SDI'!$E:$M,6,FALSE))</f>
        <v>269680</v>
      </c>
      <c r="AG129">
        <f t="shared" si="31"/>
        <v>269680</v>
      </c>
      <c r="AH129">
        <f t="shared" si="39"/>
        <v>0</v>
      </c>
      <c r="AI129">
        <f t="shared" si="48"/>
        <v>273788</v>
      </c>
      <c r="AJ129">
        <f t="shared" si="40"/>
        <v>273788</v>
      </c>
      <c r="AK129">
        <f t="shared" si="47"/>
        <v>265634</v>
      </c>
      <c r="AL129">
        <f t="shared" ref="AL129:AL154" si="49">IFERROR(IF(((COUNTIF($B:$B,B129)-1)-(IF(RIGHT(G129,1)="N",COUNTIF($B:$B,B129),_xlfn.NUMBERVALUE(RIGHT(G129,1)))))&gt;0,ROUNDUP(H129*1.5%,0),IF(((COUNTIF($B:$B,B129)-1)-(IF(RIGHT(G129,1)="N",COUNTIF($B:$B,B129),_xlfn.NUMBERVALUE(RIGHT(G129,1)))))=0,VLOOKUP(B129,$AE:$AK,4,FALSE)-AM128,0)),0)</f>
        <v>4046</v>
      </c>
      <c r="AM129">
        <f t="shared" si="41"/>
        <v>4046</v>
      </c>
      <c r="AN129">
        <f t="shared" si="46"/>
        <v>0</v>
      </c>
      <c r="AP129" t="str">
        <f t="shared" si="32"/>
        <v>-</v>
      </c>
      <c r="AQ129">
        <f t="shared" si="33"/>
        <v>0</v>
      </c>
    </row>
    <row r="130" spans="1:43" ht="16.5" thickBot="1">
      <c r="A130" s="91">
        <f t="shared" si="42"/>
        <v>127</v>
      </c>
      <c r="B130" s="30" t="s">
        <v>555</v>
      </c>
      <c r="C130" s="291">
        <f>IF(B130=B129,C129,SUMIF('Date masura OD'!$G:$G,B130,'Date masura OD'!$R:$R))</f>
        <v>269680</v>
      </c>
      <c r="D130" s="291">
        <f>IFERROR(IF(VLOOKUP(B130,'Date masura OD'!$G$76:$BF$187,52,FALSE)&lt;0,-VLOOKUP(B130,'Date masura OD'!$G$76:$BF$187,52,FALSE),0),0)</f>
        <v>0</v>
      </c>
      <c r="E130" s="291">
        <v>0</v>
      </c>
      <c r="F130" s="291">
        <v>0</v>
      </c>
      <c r="G130" s="29" t="s">
        <v>986</v>
      </c>
      <c r="H130" s="312">
        <f>IF(C130=0,0,IF(RIGHT(G130,1)="N",ROUNDUP(C130*1.5%,0),IF(LEN(RIGHT(G130,LEN(G130)-FIND("_",G130,1)))=1,SUMIF('Date masura OD'!$G:$G,G130,'Date masura OD'!$R:$R),AK130)))</f>
        <v>4046</v>
      </c>
      <c r="I130" s="184">
        <f>VLOOKUP(G130,'Contorizare in SDI'!E:M,7,FALSE)</f>
        <v>0</v>
      </c>
      <c r="J130" s="88">
        <f>VLOOKUP(G130,'Contorizare in SDI'!$E:$M,$J$1-2,FALSE)</f>
        <v>0</v>
      </c>
      <c r="K130" s="88">
        <f>VLOOKUP(G130,'Contorizare in SDI'!$E:$M,$K$1-2,FALSE)</f>
        <v>0</v>
      </c>
      <c r="L130" s="29" t="s">
        <v>69</v>
      </c>
      <c r="M130" s="87">
        <v>0</v>
      </c>
      <c r="N130" s="88">
        <f>IF(COUNTIF(L130,"-")=1,0,VLOOKUP(L130,'Contorizare in SDI'!$F:$R,$N$1-3,FALSE))</f>
        <v>0</v>
      </c>
      <c r="O130" s="88">
        <f>IF(COUNTIF(L130,"-")=1,0,VLOOKUP(L130,'Contorizare in SDI'!$F:$R,$O$1-3,FALSE))</f>
        <v>0</v>
      </c>
      <c r="P130" s="88">
        <f>IF(COUNTIF(L130,"-")=1,0,VLOOKUP(L130,'Contorizare in SDI'!$F:$R,$P$1-3,FALSE))</f>
        <v>0</v>
      </c>
      <c r="Q130" s="88">
        <f t="shared" si="34"/>
        <v>0</v>
      </c>
      <c r="R130" s="88">
        <f t="shared" si="35"/>
        <v>0</v>
      </c>
      <c r="S130" s="321">
        <v>0</v>
      </c>
      <c r="T130" s="88">
        <f t="shared" si="36"/>
        <v>0</v>
      </c>
      <c r="U130" s="17" t="s">
        <v>69</v>
      </c>
      <c r="V130" s="581"/>
      <c r="W130" s="581"/>
      <c r="X130" s="581"/>
      <c r="Y130" s="583"/>
      <c r="AA130" t="str">
        <f t="shared" si="37"/>
        <v/>
      </c>
      <c r="AB130" t="str">
        <f t="shared" si="38"/>
        <v/>
      </c>
      <c r="AE130" t="str">
        <f t="shared" si="30"/>
        <v>RITS_1</v>
      </c>
      <c r="AF130">
        <f>IF(LEFT(VLOOKUP(G130,'Contorizare in SDI'!$E:$M,5,FALSE),1)="V",C130,VLOOKUP(G130,'Contorizare in SDI'!$E:$M,6,FALSE))</f>
        <v>0</v>
      </c>
      <c r="AG130">
        <f t="shared" si="31"/>
        <v>269680</v>
      </c>
      <c r="AH130">
        <f t="shared" si="39"/>
        <v>4046</v>
      </c>
      <c r="AI130">
        <f t="shared" si="48"/>
        <v>0</v>
      </c>
      <c r="AJ130">
        <f t="shared" si="40"/>
        <v>273788</v>
      </c>
      <c r="AK130">
        <f t="shared" si="47"/>
        <v>0</v>
      </c>
      <c r="AL130">
        <f t="shared" si="49"/>
        <v>0</v>
      </c>
      <c r="AM130">
        <f t="shared" si="41"/>
        <v>0</v>
      </c>
      <c r="AN130">
        <f t="shared" si="46"/>
        <v>0</v>
      </c>
      <c r="AP130" t="str">
        <f t="shared" si="32"/>
        <v>-</v>
      </c>
      <c r="AQ130">
        <f t="shared" si="33"/>
        <v>4046</v>
      </c>
    </row>
    <row r="131" spans="1:43" ht="16.5" thickBot="1">
      <c r="A131" s="91">
        <f t="shared" si="42"/>
        <v>128</v>
      </c>
      <c r="B131" s="30" t="s">
        <v>556</v>
      </c>
      <c r="C131" s="291">
        <f>IF(B131=B130,C130,SUMIF('Date masura OD'!$G:$G,B131,'Date masura OD'!$R:$R))</f>
        <v>384800</v>
      </c>
      <c r="D131" s="291">
        <f>IFERROR(IF(VLOOKUP(B131,'Date masura OD'!$G$76:$BF$187,52,FALSE)&lt;0,-VLOOKUP(B131,'Date masura OD'!$G$76:$BF$187,52,FALSE),0),0)</f>
        <v>0</v>
      </c>
      <c r="E131" s="291">
        <v>0</v>
      </c>
      <c r="F131" s="291">
        <v>0</v>
      </c>
      <c r="G131" s="29" t="s">
        <v>648</v>
      </c>
      <c r="H131" s="312">
        <f>IF(C131=0,0,IF(RIGHT(G131,1)="N",ROUNDUP(C131*1.5%,0),IF(LEN(RIGHT(G131,LEN(G131)-FIND("_",G131,1)))=1,SUMIF('Date masura OD'!$G:$G,G131,'Date masura OD'!$R:$R),AK131)))</f>
        <v>307715</v>
      </c>
      <c r="I131" s="184">
        <f>VLOOKUP(G131,'Contorizare in SDI'!E:M,7,FALSE)</f>
        <v>23</v>
      </c>
      <c r="J131" s="88">
        <f>VLOOKUP(G131,'Contorizare in SDI'!$E:$M,$J$1-2,FALSE)</f>
        <v>41</v>
      </c>
      <c r="K131" s="88">
        <f>VLOOKUP(G131,'Contorizare in SDI'!$E:$M,$K$1-2,FALSE)</f>
        <v>15231</v>
      </c>
      <c r="L131" s="29" t="s">
        <v>1181</v>
      </c>
      <c r="M131" s="87">
        <v>0</v>
      </c>
      <c r="N131" s="88">
        <f>IF(COUNTIF(L131,"-")=1,0,VLOOKUP(L131,'Contorizare in SDI'!$F:$R,$N$1-3,FALSE))</f>
        <v>29057</v>
      </c>
      <c r="O131" s="88">
        <f>IF(COUNTIF(L131,"-")=1,0,VLOOKUP(L131,'Contorizare in SDI'!$F:$R,$O$1-3,FALSE))</f>
        <v>457</v>
      </c>
      <c r="P131" s="88">
        <f>IF(COUNTIF(L131,"-")=1,0,VLOOKUP(L131,'Contorizare in SDI'!$F:$R,$P$1-3,FALSE))</f>
        <v>121</v>
      </c>
      <c r="Q131" s="88">
        <f t="shared" si="34"/>
        <v>307715</v>
      </c>
      <c r="R131" s="88">
        <f t="shared" si="35"/>
        <v>29034</v>
      </c>
      <c r="S131" s="1">
        <f>I132</f>
        <v>26203</v>
      </c>
      <c r="T131" s="88">
        <f t="shared" si="36"/>
        <v>4616</v>
      </c>
      <c r="U131" s="17" t="s">
        <v>514</v>
      </c>
      <c r="V131" s="580">
        <f>SUM(H131:H132)+SUM(N131:N132)</f>
        <v>474562</v>
      </c>
      <c r="W131" s="580">
        <f>SUM(Q131:S132)</f>
        <v>474562</v>
      </c>
      <c r="X131" s="580">
        <f>C131</f>
        <v>384800</v>
      </c>
      <c r="Y131" s="606">
        <f>SUM(H131:H132)+SUM(T131:T133)</f>
        <v>384800</v>
      </c>
      <c r="AA131" t="str">
        <f t="shared" si="37"/>
        <v>OK</v>
      </c>
      <c r="AB131" t="str">
        <f t="shared" si="38"/>
        <v>OK</v>
      </c>
      <c r="AE131" t="str">
        <f t="shared" si="30"/>
        <v>-</v>
      </c>
      <c r="AF131">
        <f>IF(LEFT(VLOOKUP(G131,'Contorizare in SDI'!$E:$M,5,FALSE),1)="V",C131,VLOOKUP(G131,'Contorizare in SDI'!$E:$M,6,FALSE))</f>
        <v>113432</v>
      </c>
      <c r="AG131">
        <f t="shared" si="31"/>
        <v>113432</v>
      </c>
      <c r="AH131">
        <f t="shared" si="39"/>
        <v>0</v>
      </c>
      <c r="AI131">
        <f t="shared" si="48"/>
        <v>307715</v>
      </c>
      <c r="AJ131">
        <f t="shared" si="40"/>
        <v>307715</v>
      </c>
      <c r="AK131">
        <f t="shared" si="47"/>
        <v>307715</v>
      </c>
      <c r="AL131">
        <f t="shared" si="49"/>
        <v>4616</v>
      </c>
      <c r="AM131">
        <f t="shared" si="41"/>
        <v>4616</v>
      </c>
      <c r="AN131">
        <f t="shared" si="46"/>
        <v>0</v>
      </c>
      <c r="AP131" t="str">
        <f t="shared" si="32"/>
        <v>-</v>
      </c>
      <c r="AQ131">
        <f t="shared" si="33"/>
        <v>4046</v>
      </c>
    </row>
    <row r="132" spans="1:43" ht="16.5" thickBot="1">
      <c r="A132" s="91"/>
      <c r="B132" s="30" t="s">
        <v>556</v>
      </c>
      <c r="C132" s="291">
        <f>IF(B132=B131,C131,SUMIF('Date masura OD'!$G:$G,B132,'Date masura OD'!$R:$R))</f>
        <v>384800</v>
      </c>
      <c r="D132" s="291">
        <f>IFERROR(IF(VLOOKUP(B132,'Date masura OD'!$G$76:$BF$187,52,FALSE)&lt;0,-VLOOKUP(B132,'Date masura OD'!$G$76:$BF$187,52,FALSE),0),0)</f>
        <v>0</v>
      </c>
      <c r="E132" s="291">
        <v>0</v>
      </c>
      <c r="F132" s="291">
        <v>0</v>
      </c>
      <c r="G132" s="29" t="s">
        <v>1180</v>
      </c>
      <c r="H132" s="312">
        <f>IF(C132=0,0,IF(RIGHT(G132,1)="N",ROUNDUP(C132*1.5%,0),IF(LEN(RIGHT(G132,LEN(G132)-FIND("_",G132,1)))=1,SUMIF('Date masura OD'!$G:$G,G132,'Date masura OD'!$R:$R),AK132)))</f>
        <v>71313</v>
      </c>
      <c r="I132" s="184">
        <f>VLOOKUP(G132,'Contorizare in SDI'!E:M,7,FALSE)</f>
        <v>26203</v>
      </c>
      <c r="J132" s="88">
        <f>VLOOKUP(G132,'Contorizare in SDI'!$E:$M,$J$1-2,FALSE)</f>
        <v>4527</v>
      </c>
      <c r="K132" s="88">
        <f>VLOOKUP(G132,'Contorizare in SDI'!$E:$M,$K$1-2,FALSE)</f>
        <v>12039</v>
      </c>
      <c r="L132" s="29" t="s">
        <v>1182</v>
      </c>
      <c r="M132" s="87">
        <v>0</v>
      </c>
      <c r="N132" s="88">
        <f>IF(COUNTIF(L132,"-")=1,0,VLOOKUP(L132,'Contorizare in SDI'!$F:$R,$N$1-3,FALSE))</f>
        <v>66477</v>
      </c>
      <c r="O132" s="88">
        <f>IF(COUNTIF(L132,"-")=1,0,VLOOKUP(L132,'Contorizare in SDI'!$F:$R,$O$1-3,FALSE))</f>
        <v>25</v>
      </c>
      <c r="P132" s="88">
        <f>IF(COUNTIF(L132,"-")=1,0,VLOOKUP(L132,'Contorizare in SDI'!$F:$R,$P$1-3,FALSE))</f>
        <v>712</v>
      </c>
      <c r="Q132" s="88">
        <f t="shared" si="34"/>
        <v>71313</v>
      </c>
      <c r="R132" s="88">
        <f t="shared" si="35"/>
        <v>40274</v>
      </c>
      <c r="S132" s="1">
        <f>I131</f>
        <v>23</v>
      </c>
      <c r="T132" s="88">
        <f t="shared" si="36"/>
        <v>1156</v>
      </c>
      <c r="U132" s="17" t="s">
        <v>514</v>
      </c>
      <c r="V132" s="581"/>
      <c r="W132" s="581"/>
      <c r="X132" s="581"/>
      <c r="Y132" s="597"/>
      <c r="AE132" t="str">
        <f t="shared" si="30"/>
        <v>-</v>
      </c>
      <c r="AF132">
        <f>IF(LEFT(VLOOKUP(G132,'Contorizare in SDI'!$E:$M,5,FALSE),1)="V",C132,VLOOKUP(G132,'Contorizare in SDI'!$E:$M,6,FALSE))</f>
        <v>34188</v>
      </c>
      <c r="AG132">
        <f t="shared" si="31"/>
        <v>147620</v>
      </c>
      <c r="AH132">
        <f t="shared" si="39"/>
        <v>0</v>
      </c>
      <c r="AI132">
        <f t="shared" si="48"/>
        <v>92744</v>
      </c>
      <c r="AJ132">
        <f t="shared" si="40"/>
        <v>400459</v>
      </c>
      <c r="AK132">
        <f t="shared" si="47"/>
        <v>71313</v>
      </c>
      <c r="AL132">
        <f t="shared" si="49"/>
        <v>1156</v>
      </c>
      <c r="AM132">
        <f t="shared" si="41"/>
        <v>5772</v>
      </c>
      <c r="AN132">
        <f t="shared" ref="AN132:AN163" si="50">SUMIF($B:$B,AE132,$N:$N)-SUMIF($B:$B,AE132,$R:$R)-SUMIF($B:$B,AE132,$D:$D)</f>
        <v>0</v>
      </c>
      <c r="AP132" t="str">
        <f t="shared" si="32"/>
        <v>-</v>
      </c>
      <c r="AQ132">
        <f t="shared" si="33"/>
        <v>4046</v>
      </c>
    </row>
    <row r="133" spans="1:43" ht="16.5" thickBot="1">
      <c r="A133" s="91">
        <f>A131+1</f>
        <v>129</v>
      </c>
      <c r="B133" s="30" t="s">
        <v>556</v>
      </c>
      <c r="C133" s="291">
        <f>IF(B133=B132,C132,SUMIF('Date masura OD'!$G:$G,B133,'Date masura OD'!$R:$R))</f>
        <v>384800</v>
      </c>
      <c r="D133" s="291">
        <f>IFERROR(IF(VLOOKUP(B133,'Date masura OD'!$G$76:$BF$187,52,FALSE)&lt;0,-VLOOKUP(B133,'Date masura OD'!$G$76:$BF$187,52,FALSE),0),0)</f>
        <v>0</v>
      </c>
      <c r="E133" s="291">
        <v>0</v>
      </c>
      <c r="F133" s="291">
        <v>0</v>
      </c>
      <c r="G133" s="29" t="s">
        <v>987</v>
      </c>
      <c r="H133" s="312">
        <f>IF(C133=0,0,IF(RIGHT(G133,1)="N",ROUNDUP(C133*1.5%,0),IF(LEN(RIGHT(G133,LEN(G133)-FIND("_",G133,1)))=1,SUMIF('Date masura OD'!$G:$G,G133,'Date masura OD'!$R:$R),AK133)))</f>
        <v>5772</v>
      </c>
      <c r="I133" s="184">
        <f>VLOOKUP(G133,'Contorizare in SDI'!E:M,7,FALSE)</f>
        <v>0</v>
      </c>
      <c r="J133" s="88">
        <f>VLOOKUP(G133,'Contorizare in SDI'!$E:$M,$J$1-2,FALSE)</f>
        <v>0</v>
      </c>
      <c r="K133" s="88">
        <f>VLOOKUP(G133,'Contorizare in SDI'!$E:$M,$K$1-2,FALSE)</f>
        <v>0</v>
      </c>
      <c r="L133" s="29" t="s">
        <v>69</v>
      </c>
      <c r="M133" s="87">
        <v>0</v>
      </c>
      <c r="N133" s="88">
        <f>IF(COUNTIF(L133,"-")=1,0,VLOOKUP(L133,'Contorizare in SDI'!$F:$R,$N$1-3,FALSE))</f>
        <v>0</v>
      </c>
      <c r="O133" s="88">
        <f>IF(COUNTIF(L133,"-")=1,0,VLOOKUP(L133,'Contorizare in SDI'!$F:$R,$O$1-3,FALSE))</f>
        <v>0</v>
      </c>
      <c r="P133" s="88">
        <f>IF(COUNTIF(L133,"-")=1,0,VLOOKUP(L133,'Contorizare in SDI'!$F:$R,$P$1-3,FALSE))</f>
        <v>0</v>
      </c>
      <c r="Q133" s="88">
        <f t="shared" si="34"/>
        <v>0</v>
      </c>
      <c r="R133" s="88">
        <f t="shared" si="35"/>
        <v>0</v>
      </c>
      <c r="S133" s="321">
        <v>0</v>
      </c>
      <c r="T133" s="88">
        <f t="shared" si="36"/>
        <v>0</v>
      </c>
      <c r="U133" s="17" t="s">
        <v>69</v>
      </c>
      <c r="V133" s="581"/>
      <c r="W133" s="581"/>
      <c r="X133" s="581"/>
      <c r="Y133" s="600"/>
      <c r="AA133" t="str">
        <f>IF(B131&lt;&gt;B133,IF(V133=W133,"OK","Not OK"),"")</f>
        <v/>
      </c>
      <c r="AB133" t="str">
        <f>IF(B131&lt;&gt;B133,IF(X133=Y133,"OK","Not OK"),"")</f>
        <v/>
      </c>
      <c r="AE133" t="str">
        <f t="shared" ref="AE133:AE157" si="51">IF(LEN(RIGHT(G133,LEN(G133)-FIND("_",G133,1)))=1,G133,IF(RIGHT(G133,1)="N",LEFT(G133,FIND(".",G133,1)-1),"-"))</f>
        <v>RITS_2</v>
      </c>
      <c r="AF133">
        <f>IF(LEFT(VLOOKUP(G133,'Contorizare in SDI'!$E:$M,5,FALSE),1)="V",C133,VLOOKUP(G133,'Contorizare in SDI'!$E:$M,6,FALSE))</f>
        <v>0</v>
      </c>
      <c r="AG133">
        <f t="shared" ref="AG133:AG170" si="52">IF(B133&lt;&gt;B132,AF133,IF(COUNTIF(AE133,"-")=0,AG132,AF133+AG132))</f>
        <v>147620</v>
      </c>
      <c r="AH133">
        <f t="shared" si="39"/>
        <v>5772</v>
      </c>
      <c r="AI133">
        <f t="shared" si="48"/>
        <v>0</v>
      </c>
      <c r="AJ133">
        <f t="shared" si="40"/>
        <v>400459</v>
      </c>
      <c r="AK133">
        <f t="shared" si="47"/>
        <v>0</v>
      </c>
      <c r="AL133">
        <f t="shared" si="49"/>
        <v>0</v>
      </c>
      <c r="AM133">
        <f t="shared" si="41"/>
        <v>0</v>
      </c>
      <c r="AN133">
        <f t="shared" si="50"/>
        <v>26226</v>
      </c>
      <c r="AP133" t="str">
        <f t="shared" ref="AP133:AP157" si="53">IF(LEFT(B133,FIND("_",B133,1)-1)&lt;&gt;LEFT(B134,FIND("_",B134,1)-1),LEFT(B133,FIND("_",B133,1)-1),"-")</f>
        <v>-</v>
      </c>
      <c r="AQ133">
        <f t="shared" ref="AQ133:AQ157" si="54">IF(AND(COUNTIF(AP133,"-")=1,COUNTIF(AP132,"-")=0),0,AH133+AQ132)</f>
        <v>9818</v>
      </c>
    </row>
    <row r="134" spans="1:43" ht="16.5" thickBot="1">
      <c r="A134" s="91">
        <f t="shared" ref="A134:A141" si="55">A133+1</f>
        <v>130</v>
      </c>
      <c r="B134" s="30" t="s">
        <v>557</v>
      </c>
      <c r="C134" s="291">
        <f>IF(B134=B133,C133,SUMIF('Date masura OD'!$G:$G,B134,'Date masura OD'!$R:$R))</f>
        <v>22740</v>
      </c>
      <c r="D134" s="291">
        <f>IFERROR(IF(VLOOKUP(B134,'Date masura OD'!$G$76:$BF$187,52,FALSE)&lt;0,-VLOOKUP(B134,'Date masura OD'!$G$76:$BF$187,52,FALSE),0),0)</f>
        <v>0</v>
      </c>
      <c r="E134" s="291">
        <v>0</v>
      </c>
      <c r="F134" s="291">
        <v>0</v>
      </c>
      <c r="G134" s="29" t="s">
        <v>649</v>
      </c>
      <c r="H134" s="312">
        <f>IF(C134=0,0,IF(RIGHT(G134,1)="N",ROUNDUP(C134*1.5%,0),IF(LEN(RIGHT(G134,LEN(G134)-FIND("_",G134,1)))=1,SUMIF('Date masura OD'!$G:$G,G134,'Date masura OD'!$R:$R),AK134)))</f>
        <v>22398</v>
      </c>
      <c r="I134" s="184">
        <f>VLOOKUP(G134,'Contorizare in SDI'!E:M,7,FALSE)</f>
        <v>0</v>
      </c>
      <c r="J134" s="88">
        <f>VLOOKUP(G134,'Contorizare in SDI'!$E:$M,$J$1-2,FALSE)</f>
        <v>0</v>
      </c>
      <c r="K134" s="88">
        <f>VLOOKUP(G134,'Contorizare in SDI'!$E:$M,$K$1-2,FALSE)</f>
        <v>0</v>
      </c>
      <c r="L134" s="29" t="s">
        <v>69</v>
      </c>
      <c r="M134" s="87">
        <v>0</v>
      </c>
      <c r="N134" s="88">
        <f>IF(COUNTIF(L134,"-")=1,0,VLOOKUP(L134,'Contorizare in SDI'!$F:$R,$N$1-3,FALSE))</f>
        <v>0</v>
      </c>
      <c r="O134" s="88">
        <f>IF(COUNTIF(L134,"-")=1,0,VLOOKUP(L134,'Contorizare in SDI'!$F:$R,$O$1-3,FALSE))</f>
        <v>0</v>
      </c>
      <c r="P134" s="88">
        <f>IF(COUNTIF(L134,"-")=1,0,VLOOKUP(L134,'Contorizare in SDI'!$F:$R,$P$1-3,FALSE))</f>
        <v>0</v>
      </c>
      <c r="Q134" s="88">
        <f t="shared" ref="Q134:Q176" si="56">IF(RIGHT(G134,1)="N",0,H134)</f>
        <v>22398</v>
      </c>
      <c r="R134" s="88">
        <f t="shared" ref="R134:R176" si="57">N134-I134</f>
        <v>0</v>
      </c>
      <c r="S134" s="321">
        <v>0</v>
      </c>
      <c r="T134" s="88">
        <f t="shared" ref="T134:T176" si="58">IF(AH134&lt;&gt;0,0,AL134)</f>
        <v>342</v>
      </c>
      <c r="U134" s="17" t="s">
        <v>514</v>
      </c>
      <c r="V134" s="581">
        <f>SUM(H134)+SUM(N134)</f>
        <v>22398</v>
      </c>
      <c r="W134" s="581">
        <f>SUM(Q134:S134)</f>
        <v>22398</v>
      </c>
      <c r="X134" s="581">
        <f>C134</f>
        <v>22740</v>
      </c>
      <c r="Y134" s="583">
        <f>SUM(H134)+SUM(T134)</f>
        <v>22740</v>
      </c>
      <c r="AA134" t="str">
        <f t="shared" si="37"/>
        <v>OK</v>
      </c>
      <c r="AB134" t="str">
        <f t="shared" si="38"/>
        <v>OK</v>
      </c>
      <c r="AE134" t="str">
        <f t="shared" si="51"/>
        <v>-</v>
      </c>
      <c r="AF134">
        <f>IF(LEFT(VLOOKUP(G134,'Contorizare in SDI'!$E:$M,5,FALSE),1)="V",C134,VLOOKUP(G134,'Contorizare in SDI'!$E:$M,6,FALSE))</f>
        <v>22740</v>
      </c>
      <c r="AG134">
        <f t="shared" si="52"/>
        <v>22740</v>
      </c>
      <c r="AH134">
        <f t="shared" ref="AH134:AH170" si="59">IF(RIGHT(G134,1)="N",H134,0)</f>
        <v>0</v>
      </c>
      <c r="AI134">
        <f t="shared" si="48"/>
        <v>23088</v>
      </c>
      <c r="AJ134">
        <f t="shared" ref="AJ134:AJ170" si="60">IF(B134&lt;&gt;B133,AI134,IF(COUNTIF(AE134,"-")=0,AJ133,AI134+AJ133))</f>
        <v>23088</v>
      </c>
      <c r="AK134">
        <f t="shared" si="47"/>
        <v>22398</v>
      </c>
      <c r="AL134">
        <f t="shared" si="49"/>
        <v>342</v>
      </c>
      <c r="AM134">
        <f t="shared" ref="AM134:AM170" si="61">IF(B134&lt;&gt;B133,AL134,IF(COUNTIF(AE134,"-")=0,0,AL134+AM133))</f>
        <v>342</v>
      </c>
      <c r="AN134">
        <f t="shared" si="50"/>
        <v>0</v>
      </c>
      <c r="AP134" t="str">
        <f t="shared" si="53"/>
        <v>-</v>
      </c>
      <c r="AQ134">
        <f t="shared" si="54"/>
        <v>9818</v>
      </c>
    </row>
    <row r="135" spans="1:43" ht="16.5" thickBot="1">
      <c r="A135" s="91">
        <f t="shared" si="55"/>
        <v>131</v>
      </c>
      <c r="B135" s="30" t="s">
        <v>557</v>
      </c>
      <c r="C135" s="291">
        <f>IF(B135=B134,C134,SUMIF('Date masura OD'!$G:$G,B135,'Date masura OD'!$R:$R))</f>
        <v>22740</v>
      </c>
      <c r="D135" s="291">
        <f>IFERROR(IF(VLOOKUP(B135,'Date masura OD'!$G$76:$BF$187,52,FALSE)&lt;0,-VLOOKUP(B135,'Date masura OD'!$G$76:$BF$187,52,FALSE),0),0)</f>
        <v>0</v>
      </c>
      <c r="E135" s="291">
        <v>0</v>
      </c>
      <c r="F135" s="291">
        <v>0</v>
      </c>
      <c r="G135" s="29" t="s">
        <v>988</v>
      </c>
      <c r="H135" s="312">
        <f>IF(C135=0,0,IF(RIGHT(G135,1)="N",ROUNDUP(C135*1.5%,0),IF(LEN(RIGHT(G135,LEN(G135)-FIND("_",G135,1)))=1,SUMIF('Date masura OD'!$G:$G,G135,'Date masura OD'!$R:$R),AK135)))</f>
        <v>342</v>
      </c>
      <c r="I135" s="184">
        <f>VLOOKUP(G135,'Contorizare in SDI'!E:M,7,FALSE)</f>
        <v>0</v>
      </c>
      <c r="J135" s="88">
        <f>VLOOKUP(G135,'Contorizare in SDI'!$E:$M,$J$1-2,FALSE)</f>
        <v>0</v>
      </c>
      <c r="K135" s="88">
        <f>VLOOKUP(G135,'Contorizare in SDI'!$E:$M,$K$1-2,FALSE)</f>
        <v>0</v>
      </c>
      <c r="L135" s="29" t="s">
        <v>69</v>
      </c>
      <c r="M135" s="87">
        <v>0</v>
      </c>
      <c r="N135" s="88">
        <f>IF(COUNTIF(L135,"-")=1,0,VLOOKUP(L135,'Contorizare in SDI'!$F:$R,$N$1-3,FALSE))</f>
        <v>0</v>
      </c>
      <c r="O135" s="88">
        <f>IF(COUNTIF(L135,"-")=1,0,VLOOKUP(L135,'Contorizare in SDI'!$F:$R,$O$1-3,FALSE))</f>
        <v>0</v>
      </c>
      <c r="P135" s="88">
        <f>IF(COUNTIF(L135,"-")=1,0,VLOOKUP(L135,'Contorizare in SDI'!$F:$R,$P$1-3,FALSE))</f>
        <v>0</v>
      </c>
      <c r="Q135" s="88">
        <f t="shared" si="56"/>
        <v>0</v>
      </c>
      <c r="R135" s="88">
        <f t="shared" si="57"/>
        <v>0</v>
      </c>
      <c r="S135" s="321">
        <v>0</v>
      </c>
      <c r="T135" s="88">
        <f t="shared" si="58"/>
        <v>0</v>
      </c>
      <c r="U135" s="17" t="s">
        <v>69</v>
      </c>
      <c r="V135" s="581"/>
      <c r="W135" s="581"/>
      <c r="X135" s="581"/>
      <c r="Y135" s="583"/>
      <c r="AA135" t="str">
        <f t="shared" si="37"/>
        <v/>
      </c>
      <c r="AB135" t="str">
        <f t="shared" si="38"/>
        <v/>
      </c>
      <c r="AE135" t="str">
        <f t="shared" si="51"/>
        <v>RITS_3</v>
      </c>
      <c r="AF135">
        <f>IF(LEFT(VLOOKUP(G135,'Contorizare in SDI'!$E:$M,5,FALSE),1)="V",C135,VLOOKUP(G135,'Contorizare in SDI'!$E:$M,6,FALSE))</f>
        <v>0</v>
      </c>
      <c r="AG135">
        <f t="shared" si="52"/>
        <v>22740</v>
      </c>
      <c r="AH135">
        <f t="shared" si="59"/>
        <v>342</v>
      </c>
      <c r="AI135">
        <f t="shared" si="48"/>
        <v>0</v>
      </c>
      <c r="AJ135">
        <f t="shared" si="60"/>
        <v>23088</v>
      </c>
      <c r="AK135">
        <f t="shared" si="47"/>
        <v>0</v>
      </c>
      <c r="AL135">
        <f t="shared" si="49"/>
        <v>0</v>
      </c>
      <c r="AM135">
        <f t="shared" si="61"/>
        <v>0</v>
      </c>
      <c r="AN135">
        <f t="shared" si="50"/>
        <v>0</v>
      </c>
      <c r="AP135" t="str">
        <f t="shared" si="53"/>
        <v>-</v>
      </c>
      <c r="AQ135">
        <f t="shared" si="54"/>
        <v>10160</v>
      </c>
    </row>
    <row r="136" spans="1:43" ht="16.5" thickBot="1">
      <c r="A136" s="91">
        <f t="shared" si="55"/>
        <v>132</v>
      </c>
      <c r="B136" s="30" t="s">
        <v>558</v>
      </c>
      <c r="C136" s="291">
        <f>IF(B136=B135,C135,SUMIF('Date masura OD'!$G:$G,B136,'Date masura OD'!$R:$R))</f>
        <v>129480</v>
      </c>
      <c r="D136" s="291">
        <f>IFERROR(IF(VLOOKUP(B136,'Date masura OD'!$G$76:$BF$187,52,FALSE)&lt;0,-VLOOKUP(B136,'Date masura OD'!$G$76:$BF$187,52,FALSE),0),0)</f>
        <v>0</v>
      </c>
      <c r="E136" s="291">
        <v>0</v>
      </c>
      <c r="F136" s="291">
        <v>0</v>
      </c>
      <c r="G136" s="29" t="s">
        <v>650</v>
      </c>
      <c r="H136" s="312">
        <f>IF(C136=0,0,IF(RIGHT(G136,1)="N",ROUNDUP(C136*1.5%,0),IF(LEN(RIGHT(G136,LEN(G136)-FIND("_",G136,1)))=1,SUMIF('Date masura OD'!$G:$G,G136,'Date masura OD'!$R:$R),AK136)))</f>
        <v>65230</v>
      </c>
      <c r="I136" s="184">
        <f>VLOOKUP(G136,'Contorizare in SDI'!E:M,7,FALSE)</f>
        <v>0</v>
      </c>
      <c r="J136" s="88">
        <f>VLOOKUP(G136,'Contorizare in SDI'!$E:$M,$J$1-2,FALSE)</f>
        <v>0</v>
      </c>
      <c r="K136" s="88">
        <f>VLOOKUP(G136,'Contorizare in SDI'!$E:$M,$K$1-2,FALSE)</f>
        <v>0</v>
      </c>
      <c r="L136" s="29" t="s">
        <v>69</v>
      </c>
      <c r="M136" s="87">
        <v>0</v>
      </c>
      <c r="N136" s="88">
        <f>IF(COUNTIF(L136,"-")=1,0,VLOOKUP(L136,'Contorizare in SDI'!$F:$R,$N$1-3,FALSE))</f>
        <v>0</v>
      </c>
      <c r="O136" s="88">
        <f>IF(COUNTIF(L136,"-")=1,0,VLOOKUP(L136,'Contorizare in SDI'!$F:$R,$O$1-3,FALSE))</f>
        <v>0</v>
      </c>
      <c r="P136" s="88">
        <f>IF(COUNTIF(L136,"-")=1,0,VLOOKUP(L136,'Contorizare in SDI'!$F:$R,$P$1-3,FALSE))</f>
        <v>0</v>
      </c>
      <c r="Q136" s="88">
        <f t="shared" si="56"/>
        <v>65230</v>
      </c>
      <c r="R136" s="88">
        <f t="shared" si="57"/>
        <v>0</v>
      </c>
      <c r="S136" s="321">
        <v>0</v>
      </c>
      <c r="T136" s="88">
        <f t="shared" si="58"/>
        <v>979</v>
      </c>
      <c r="U136" s="17" t="s">
        <v>514</v>
      </c>
      <c r="V136" s="581">
        <f>SUM(H136:H137)+SUM(N136:N137)</f>
        <v>127537</v>
      </c>
      <c r="W136" s="581">
        <f>SUM(Q136:S137)</f>
        <v>127537</v>
      </c>
      <c r="X136" s="581">
        <f>C136</f>
        <v>129480</v>
      </c>
      <c r="Y136" s="583">
        <f>SUM(H136:H137)+SUM(T136:T137)</f>
        <v>129480</v>
      </c>
      <c r="AA136" t="str">
        <f t="shared" si="37"/>
        <v>OK</v>
      </c>
      <c r="AB136" t="str">
        <f t="shared" si="38"/>
        <v>OK</v>
      </c>
      <c r="AE136" t="str">
        <f t="shared" si="51"/>
        <v>-</v>
      </c>
      <c r="AF136">
        <f>IF(LEFT(VLOOKUP(G136,'Contorizare in SDI'!$E:$M,5,FALSE),1)="V",C136,VLOOKUP(G136,'Contorizare in SDI'!$E:$M,6,FALSE))</f>
        <v>129480</v>
      </c>
      <c r="AG136">
        <f t="shared" si="52"/>
        <v>129480</v>
      </c>
      <c r="AH136">
        <f t="shared" si="59"/>
        <v>0</v>
      </c>
      <c r="AI136">
        <f t="shared" si="48"/>
        <v>65230</v>
      </c>
      <c r="AJ136">
        <f t="shared" si="60"/>
        <v>65230</v>
      </c>
      <c r="AK136">
        <f t="shared" si="47"/>
        <v>65230</v>
      </c>
      <c r="AL136">
        <f t="shared" si="49"/>
        <v>979</v>
      </c>
      <c r="AM136">
        <f t="shared" si="61"/>
        <v>979</v>
      </c>
      <c r="AN136">
        <f t="shared" si="50"/>
        <v>0</v>
      </c>
      <c r="AP136" t="str">
        <f t="shared" si="53"/>
        <v>-</v>
      </c>
      <c r="AQ136">
        <f t="shared" si="54"/>
        <v>10160</v>
      </c>
    </row>
    <row r="137" spans="1:43" ht="16.5" thickBot="1">
      <c r="A137" s="91">
        <f t="shared" si="55"/>
        <v>133</v>
      </c>
      <c r="B137" s="30" t="s">
        <v>558</v>
      </c>
      <c r="C137" s="291">
        <f>IF(B137=B136,C136,SUMIF('Date masura OD'!$G:$G,B137,'Date masura OD'!$R:$R))</f>
        <v>129480</v>
      </c>
      <c r="D137" s="291">
        <f>IFERROR(IF(VLOOKUP(B137,'Date masura OD'!$G$76:$BF$187,52,FALSE)&lt;0,-VLOOKUP(B137,'Date masura OD'!$G$76:$BF$187,52,FALSE),0),0)</f>
        <v>0</v>
      </c>
      <c r="E137" s="291">
        <v>0</v>
      </c>
      <c r="F137" s="291">
        <v>0</v>
      </c>
      <c r="G137" s="29" t="s">
        <v>651</v>
      </c>
      <c r="H137" s="312">
        <f>IF(C137=0,0,IF(RIGHT(G137,1)="N",ROUNDUP(C137*1.5%,0),IF(LEN(RIGHT(G137,LEN(G137)-FIND("_",G137,1)))=1,SUMIF('Date masura OD'!$G:$G,G137,'Date masura OD'!$R:$R),AK137)))</f>
        <v>62307</v>
      </c>
      <c r="I137" s="184">
        <f>VLOOKUP(G137,'Contorizare in SDI'!E:M,7,FALSE)</f>
        <v>0</v>
      </c>
      <c r="J137" s="88">
        <f>VLOOKUP(G137,'Contorizare in SDI'!$E:$M,$J$1-2,FALSE)</f>
        <v>0</v>
      </c>
      <c r="K137" s="88">
        <f>VLOOKUP(G137,'Contorizare in SDI'!$E:$M,$K$1-2,FALSE)</f>
        <v>0</v>
      </c>
      <c r="L137" s="29" t="s">
        <v>69</v>
      </c>
      <c r="M137" s="87">
        <v>0</v>
      </c>
      <c r="N137" s="88">
        <f>IF(COUNTIF(L137,"-")=1,0,VLOOKUP(L137,'Contorizare in SDI'!$F:$R,$N$1-3,FALSE))</f>
        <v>0</v>
      </c>
      <c r="O137" s="88">
        <f>IF(COUNTIF(L137,"-")=1,0,VLOOKUP(L137,'Contorizare in SDI'!$F:$R,$O$1-3,FALSE))</f>
        <v>0</v>
      </c>
      <c r="P137" s="88">
        <f>IF(COUNTIF(L137,"-")=1,0,VLOOKUP(L137,'Contorizare in SDI'!$F:$R,$P$1-3,FALSE))</f>
        <v>0</v>
      </c>
      <c r="Q137" s="88">
        <f t="shared" si="56"/>
        <v>62307</v>
      </c>
      <c r="R137" s="88">
        <f t="shared" si="57"/>
        <v>0</v>
      </c>
      <c r="S137" s="321">
        <v>0</v>
      </c>
      <c r="T137" s="88">
        <f t="shared" si="58"/>
        <v>964</v>
      </c>
      <c r="U137" s="17" t="s">
        <v>514</v>
      </c>
      <c r="V137" s="581"/>
      <c r="W137" s="581"/>
      <c r="X137" s="581"/>
      <c r="Y137" s="583"/>
      <c r="AA137" t="str">
        <f t="shared" si="37"/>
        <v/>
      </c>
      <c r="AB137" t="str">
        <f t="shared" si="38"/>
        <v/>
      </c>
      <c r="AE137" t="str">
        <f t="shared" si="51"/>
        <v>-</v>
      </c>
      <c r="AF137">
        <f>IF(LEFT(VLOOKUP(G137,'Contorizare in SDI'!$E:$M,5,FALSE),1)="V",C137,VLOOKUP(G137,'Contorizare in SDI'!$E:$M,6,FALSE))</f>
        <v>129480</v>
      </c>
      <c r="AG137">
        <f t="shared" si="52"/>
        <v>258960</v>
      </c>
      <c r="AH137">
        <f t="shared" si="59"/>
        <v>0</v>
      </c>
      <c r="AI137">
        <f t="shared" si="48"/>
        <v>65230</v>
      </c>
      <c r="AJ137">
        <f t="shared" si="60"/>
        <v>130460</v>
      </c>
      <c r="AK137">
        <f t="shared" si="47"/>
        <v>62307</v>
      </c>
      <c r="AL137">
        <f t="shared" si="49"/>
        <v>964</v>
      </c>
      <c r="AM137">
        <f t="shared" si="61"/>
        <v>1943</v>
      </c>
      <c r="AN137">
        <f t="shared" si="50"/>
        <v>0</v>
      </c>
      <c r="AP137" t="str">
        <f t="shared" si="53"/>
        <v>-</v>
      </c>
      <c r="AQ137">
        <f t="shared" si="54"/>
        <v>10160</v>
      </c>
    </row>
    <row r="138" spans="1:43" ht="16.5" thickBot="1">
      <c r="A138" s="92">
        <f t="shared" si="55"/>
        <v>134</v>
      </c>
      <c r="B138" s="93" t="s">
        <v>558</v>
      </c>
      <c r="C138" s="291">
        <f>IF(B138=B137,C137,SUMIF('Date masura OD'!$G:$G,B138,'Date masura OD'!$R:$R))</f>
        <v>129480</v>
      </c>
      <c r="D138" s="291">
        <f>IFERROR(IF(VLOOKUP(B138,'Date masura OD'!$G$76:$BF$187,52,FALSE)&lt;0,-VLOOKUP(B138,'Date masura OD'!$G$76:$BF$187,52,FALSE),0),0)</f>
        <v>0</v>
      </c>
      <c r="E138" s="291">
        <v>0</v>
      </c>
      <c r="F138" s="291">
        <v>0</v>
      </c>
      <c r="G138" s="94" t="s">
        <v>989</v>
      </c>
      <c r="H138" s="312">
        <f>IF(C138=0,0,IF(RIGHT(G138,1)="N",ROUNDUP(C138*1.5%,0),IF(LEN(RIGHT(G138,LEN(G138)-FIND("_",G138,1)))=1,SUMIF('Date masura OD'!$G:$G,G138,'Date masura OD'!$R:$R),AK138)))</f>
        <v>1943</v>
      </c>
      <c r="I138" s="184">
        <f>VLOOKUP(G138,'Contorizare in SDI'!E:M,7,FALSE)</f>
        <v>0</v>
      </c>
      <c r="J138" s="88">
        <f>VLOOKUP(G138,'Contorizare in SDI'!$E:$M,$J$1-2,FALSE)</f>
        <v>0</v>
      </c>
      <c r="K138" s="88">
        <f>VLOOKUP(G138,'Contorizare in SDI'!$E:$M,$K$1-2,FALSE)</f>
        <v>0</v>
      </c>
      <c r="L138" s="94" t="s">
        <v>69</v>
      </c>
      <c r="M138" s="87">
        <v>0</v>
      </c>
      <c r="N138" s="88">
        <f>IF(COUNTIF(L138,"-")=1,0,VLOOKUP(L138,'Contorizare in SDI'!$F:$R,$N$1-3,FALSE))</f>
        <v>0</v>
      </c>
      <c r="O138" s="88">
        <f>IF(COUNTIF(L138,"-")=1,0,VLOOKUP(L138,'Contorizare in SDI'!$F:$R,$O$1-3,FALSE))</f>
        <v>0</v>
      </c>
      <c r="P138" s="88">
        <f>IF(COUNTIF(L138,"-")=1,0,VLOOKUP(L138,'Contorizare in SDI'!$F:$R,$P$1-3,FALSE))</f>
        <v>0</v>
      </c>
      <c r="Q138" s="88">
        <f t="shared" si="56"/>
        <v>0</v>
      </c>
      <c r="R138" s="88">
        <f t="shared" si="57"/>
        <v>0</v>
      </c>
      <c r="S138" s="321">
        <v>0</v>
      </c>
      <c r="T138" s="88">
        <f t="shared" si="58"/>
        <v>0</v>
      </c>
      <c r="U138" s="95" t="s">
        <v>69</v>
      </c>
      <c r="V138" s="589"/>
      <c r="W138" s="589"/>
      <c r="X138" s="589"/>
      <c r="Y138" s="591"/>
      <c r="AA138" t="str">
        <f t="shared" si="37"/>
        <v/>
      </c>
      <c r="AB138" t="str">
        <f t="shared" si="38"/>
        <v/>
      </c>
      <c r="AE138" t="str">
        <f t="shared" si="51"/>
        <v>RITS_4</v>
      </c>
      <c r="AF138">
        <f>IF(LEFT(VLOOKUP(G138,'Contorizare in SDI'!$E:$M,5,FALSE),1)="V",C138,VLOOKUP(G138,'Contorizare in SDI'!$E:$M,6,FALSE))</f>
        <v>0</v>
      </c>
      <c r="AG138">
        <f t="shared" si="52"/>
        <v>258960</v>
      </c>
      <c r="AH138">
        <f t="shared" si="59"/>
        <v>1943</v>
      </c>
      <c r="AI138">
        <f t="shared" si="48"/>
        <v>0</v>
      </c>
      <c r="AJ138">
        <f t="shared" si="60"/>
        <v>130460</v>
      </c>
      <c r="AK138">
        <f t="shared" si="47"/>
        <v>0</v>
      </c>
      <c r="AL138">
        <f t="shared" si="49"/>
        <v>0</v>
      </c>
      <c r="AM138">
        <f t="shared" si="61"/>
        <v>0</v>
      </c>
      <c r="AN138">
        <f t="shared" si="50"/>
        <v>0</v>
      </c>
      <c r="AP138" t="str">
        <f t="shared" si="53"/>
        <v>RITS</v>
      </c>
      <c r="AQ138">
        <f t="shared" si="54"/>
        <v>12103</v>
      </c>
    </row>
    <row r="139" spans="1:43" ht="16.5" thickBot="1">
      <c r="A139" s="85">
        <f t="shared" si="55"/>
        <v>135</v>
      </c>
      <c r="B139" s="86" t="s">
        <v>559</v>
      </c>
      <c r="C139" s="291">
        <f>IF(B139=B138,C138,SUMIF('Date masura OD'!$G:$G,B139,'Date masura OD'!$R:$R))</f>
        <v>259400</v>
      </c>
      <c r="D139" s="291">
        <f>IFERROR(IF(VLOOKUP(B139,'Date masura OD'!$G$76:$BF$187,52,FALSE)&lt;0,-VLOOKUP(B139,'Date masura OD'!$G$76:$BF$187,52,FALSE),0),0)</f>
        <v>0</v>
      </c>
      <c r="E139" s="291">
        <v>0</v>
      </c>
      <c r="F139" s="291">
        <v>0</v>
      </c>
      <c r="G139" s="89" t="s">
        <v>652</v>
      </c>
      <c r="H139" s="312">
        <f>IF(C139=0,0,IF(RIGHT(G139,1)="N",ROUNDUP(C139*1.5%,0),IF(LEN(RIGHT(G139,LEN(G139)-FIND("_",G139,1)))=1,SUMIF('Date masura OD'!$G:$G,G139,'Date masura OD'!$R:$R),AK139)))</f>
        <v>136952</v>
      </c>
      <c r="I139" s="184">
        <f>VLOOKUP(G139,'Contorizare in SDI'!E:M,7,FALSE)</f>
        <v>0</v>
      </c>
      <c r="J139" s="88">
        <f>VLOOKUP(G139,'Contorizare in SDI'!$E:$M,$J$1-2,FALSE)</f>
        <v>4005</v>
      </c>
      <c r="K139" s="88">
        <f>VLOOKUP(G139,'Contorizare in SDI'!$E:$M,$K$1-2,FALSE)</f>
        <v>5411</v>
      </c>
      <c r="L139" s="89" t="s">
        <v>691</v>
      </c>
      <c r="M139" s="87">
        <v>0</v>
      </c>
      <c r="N139" s="88">
        <f>IF(COUNTIF(L139,"-")=1,0,VLOOKUP(L139,'Contorizare in SDI'!$F:$R,$N$1-3,FALSE))</f>
        <v>93169</v>
      </c>
      <c r="O139" s="88">
        <f>IF(COUNTIF(L139,"-")=1,0,VLOOKUP(L139,'Contorizare in SDI'!$F:$R,$O$1-3,FALSE))</f>
        <v>424</v>
      </c>
      <c r="P139" s="88">
        <f>IF(COUNTIF(L139,"-")=1,0,VLOOKUP(L139,'Contorizare in SDI'!$F:$R,$P$1-3,FALSE))</f>
        <v>577</v>
      </c>
      <c r="Q139" s="88">
        <f t="shared" si="56"/>
        <v>136952</v>
      </c>
      <c r="R139" s="88">
        <f t="shared" si="57"/>
        <v>93169</v>
      </c>
      <c r="S139" s="88">
        <f>I140</f>
        <v>0</v>
      </c>
      <c r="T139" s="88">
        <f t="shared" si="58"/>
        <v>2055</v>
      </c>
      <c r="U139" s="90" t="s">
        <v>514</v>
      </c>
      <c r="V139" s="580">
        <f>SUM(H139:H140)+SUM(N139:N140)</f>
        <v>443544</v>
      </c>
      <c r="W139" s="580">
        <f>SUM(Q139:S140)</f>
        <v>443544</v>
      </c>
      <c r="X139" s="580">
        <f>C139</f>
        <v>259400</v>
      </c>
      <c r="Y139" s="596">
        <f>SUM(H139:H140)+SUM(T139:T140)</f>
        <v>259400</v>
      </c>
      <c r="AA139" t="str">
        <f t="shared" si="37"/>
        <v>OK</v>
      </c>
      <c r="AB139" t="str">
        <f t="shared" si="38"/>
        <v>OK</v>
      </c>
      <c r="AE139" t="str">
        <f t="shared" si="51"/>
        <v>-</v>
      </c>
      <c r="AF139">
        <f>IF(LEFT(VLOOKUP(G139,'Contorizare in SDI'!$E:$M,5,FALSE),1)="V",C139,VLOOKUP(G139,'Contorizare in SDI'!$E:$M,6,FALSE))</f>
        <v>203051</v>
      </c>
      <c r="AG139">
        <f t="shared" si="52"/>
        <v>203051</v>
      </c>
      <c r="AH139">
        <f t="shared" si="59"/>
        <v>0</v>
      </c>
      <c r="AI139">
        <f t="shared" si="48"/>
        <v>136952</v>
      </c>
      <c r="AJ139">
        <f t="shared" si="60"/>
        <v>136952</v>
      </c>
      <c r="AK139">
        <f t="shared" si="47"/>
        <v>136952</v>
      </c>
      <c r="AL139">
        <f t="shared" si="49"/>
        <v>2055</v>
      </c>
      <c r="AM139">
        <f t="shared" si="61"/>
        <v>2055</v>
      </c>
      <c r="AN139">
        <f t="shared" si="50"/>
        <v>0</v>
      </c>
      <c r="AP139" t="str">
        <f t="shared" si="53"/>
        <v>-</v>
      </c>
      <c r="AQ139">
        <f t="shared" si="54"/>
        <v>0</v>
      </c>
    </row>
    <row r="140" spans="1:43" ht="16.5" thickBot="1">
      <c r="A140" s="91">
        <f t="shared" si="55"/>
        <v>136</v>
      </c>
      <c r="B140" s="30" t="s">
        <v>559</v>
      </c>
      <c r="C140" s="291">
        <f>IF(B140=B139,C139,SUMIF('Date masura OD'!$G:$G,B140,'Date masura OD'!$R:$R))</f>
        <v>259400</v>
      </c>
      <c r="D140" s="291">
        <f>IFERROR(IF(VLOOKUP(B140,'Date masura OD'!$G$76:$BF$187,52,FALSE)&lt;0,-VLOOKUP(B140,'Date masura OD'!$G$76:$BF$187,52,FALSE),0),0)</f>
        <v>0</v>
      </c>
      <c r="E140" s="291">
        <v>0</v>
      </c>
      <c r="F140" s="291">
        <v>0</v>
      </c>
      <c r="G140" s="29" t="s">
        <v>653</v>
      </c>
      <c r="H140" s="312">
        <f>IF(C140=0,0,IF(RIGHT(G140,1)="N",ROUNDUP(C140*1.5%,0),IF(LEN(RIGHT(G140,LEN(G140)-FIND("_",G140,1)))=1,SUMIF('Date masura OD'!$G:$G,G140,'Date masura OD'!$R:$R),AK140)))</f>
        <v>118557</v>
      </c>
      <c r="I140" s="184">
        <f>VLOOKUP(G140,'Contorizare in SDI'!E:M,7,FALSE)</f>
        <v>0</v>
      </c>
      <c r="J140" s="88">
        <f>VLOOKUP(G140,'Contorizare in SDI'!$E:$M,$J$1-2,FALSE)</f>
        <v>2096</v>
      </c>
      <c r="K140" s="88">
        <f>VLOOKUP(G140,'Contorizare in SDI'!$E:$M,$K$1-2,FALSE)</f>
        <v>4168</v>
      </c>
      <c r="L140" s="29" t="s">
        <v>692</v>
      </c>
      <c r="M140" s="87">
        <v>0</v>
      </c>
      <c r="N140" s="88">
        <f>IF(COUNTIF(L140,"-")=1,0,VLOOKUP(L140,'Contorizare in SDI'!$F:$R,$N$1-3,FALSE))</f>
        <v>94866</v>
      </c>
      <c r="O140" s="88">
        <f>IF(COUNTIF(L140,"-")=1,0,VLOOKUP(L140,'Contorizare in SDI'!$F:$R,$O$1-3,FALSE))</f>
        <v>1200</v>
      </c>
      <c r="P140" s="88">
        <f>IF(COUNTIF(L140,"-")=1,0,VLOOKUP(L140,'Contorizare in SDI'!$F:$R,$P$1-3,FALSE))</f>
        <v>348</v>
      </c>
      <c r="Q140" s="88">
        <f t="shared" si="56"/>
        <v>118557</v>
      </c>
      <c r="R140" s="88">
        <f t="shared" si="57"/>
        <v>94866</v>
      </c>
      <c r="S140" s="1">
        <f>I139</f>
        <v>0</v>
      </c>
      <c r="T140" s="88">
        <f t="shared" si="58"/>
        <v>1836</v>
      </c>
      <c r="U140" s="17" t="s">
        <v>514</v>
      </c>
      <c r="V140" s="581"/>
      <c r="W140" s="581"/>
      <c r="X140" s="581"/>
      <c r="Y140" s="597"/>
      <c r="AA140" t="str">
        <f t="shared" ref="AA140:AA158" si="62">IF(B139&lt;&gt;B140,IF(V140=W140,"OK","Not OK"),"")</f>
        <v/>
      </c>
      <c r="AB140" t="str">
        <f t="shared" ref="AB140:AB158" si="63">IF(B139&lt;&gt;B140,IF(X140=Y140,"OK","Not OK"),"")</f>
        <v/>
      </c>
      <c r="AE140" t="str">
        <f t="shared" si="51"/>
        <v>-</v>
      </c>
      <c r="AF140">
        <f>IF(LEFT(VLOOKUP(G140,'Contorizare in SDI'!$E:$M,5,FALSE),1)="V",C140,VLOOKUP(G140,'Contorizare in SDI'!$E:$M,6,FALSE))</f>
        <v>185440</v>
      </c>
      <c r="AG140">
        <f t="shared" si="52"/>
        <v>388491</v>
      </c>
      <c r="AH140">
        <f t="shared" si="59"/>
        <v>0</v>
      </c>
      <c r="AI140">
        <f t="shared" si="48"/>
        <v>125074</v>
      </c>
      <c r="AJ140">
        <f t="shared" si="60"/>
        <v>262026</v>
      </c>
      <c r="AK140">
        <f t="shared" si="47"/>
        <v>118557</v>
      </c>
      <c r="AL140">
        <f t="shared" si="49"/>
        <v>1836</v>
      </c>
      <c r="AM140">
        <f t="shared" si="61"/>
        <v>3891</v>
      </c>
      <c r="AN140">
        <f t="shared" si="50"/>
        <v>0</v>
      </c>
      <c r="AP140" t="str">
        <f t="shared" si="53"/>
        <v>-</v>
      </c>
      <c r="AQ140">
        <f t="shared" si="54"/>
        <v>0</v>
      </c>
    </row>
    <row r="141" spans="1:43" ht="16.5" thickBot="1">
      <c r="A141" s="91">
        <f t="shared" si="55"/>
        <v>137</v>
      </c>
      <c r="B141" s="30" t="s">
        <v>559</v>
      </c>
      <c r="C141" s="291">
        <f>IF(B141=B140,C140,SUMIF('Date masura OD'!$G:$G,B141,'Date masura OD'!$R:$R))</f>
        <v>259400</v>
      </c>
      <c r="D141" s="291">
        <f>IFERROR(IF(VLOOKUP(B141,'Date masura OD'!$G$76:$BF$187,52,FALSE)&lt;0,-VLOOKUP(B141,'Date masura OD'!$G$76:$BF$187,52,FALSE),0),0)</f>
        <v>0</v>
      </c>
      <c r="E141" s="291">
        <v>0</v>
      </c>
      <c r="F141" s="291">
        <v>0</v>
      </c>
      <c r="G141" s="29" t="s">
        <v>990</v>
      </c>
      <c r="H141" s="312">
        <f>IF(C141=0,0,IF(RIGHT(G141,1)="N",ROUNDUP(C141*1.5%,0),IF(LEN(RIGHT(G141,LEN(G141)-FIND("_",G141,1)))=1,SUMIF('Date masura OD'!$G:$G,G141,'Date masura OD'!$R:$R),AK141)))</f>
        <v>3891</v>
      </c>
      <c r="I141" s="184">
        <f>VLOOKUP(G141,'Contorizare in SDI'!E:M,7,FALSE)</f>
        <v>0</v>
      </c>
      <c r="J141" s="88">
        <f>VLOOKUP(G141,'Contorizare in SDI'!$E:$M,$J$1-2,FALSE)</f>
        <v>0</v>
      </c>
      <c r="K141" s="88">
        <f>VLOOKUP(G141,'Contorizare in SDI'!$E:$M,$K$1-2,FALSE)</f>
        <v>0</v>
      </c>
      <c r="L141" s="29" t="s">
        <v>69</v>
      </c>
      <c r="M141" s="87">
        <v>0</v>
      </c>
      <c r="N141" s="88">
        <f>IF(COUNTIF(L141,"-")=1,0,VLOOKUP(L141,'Contorizare in SDI'!$F:$R,$N$1-3,FALSE))</f>
        <v>0</v>
      </c>
      <c r="O141" s="88">
        <f>IF(COUNTIF(L141,"-")=1,0,VLOOKUP(L141,'Contorizare in SDI'!$F:$R,$O$1-3,FALSE))</f>
        <v>0</v>
      </c>
      <c r="P141" s="88">
        <f>IF(COUNTIF(L141,"-")=1,0,VLOOKUP(L141,'Contorizare in SDI'!$F:$R,$P$1-3,FALSE))</f>
        <v>0</v>
      </c>
      <c r="Q141" s="88">
        <f t="shared" si="56"/>
        <v>0</v>
      </c>
      <c r="R141" s="88">
        <f t="shared" si="57"/>
        <v>0</v>
      </c>
      <c r="S141" s="321">
        <v>0</v>
      </c>
      <c r="T141" s="88">
        <f t="shared" si="58"/>
        <v>0</v>
      </c>
      <c r="U141" s="17" t="s">
        <v>69</v>
      </c>
      <c r="V141" s="581"/>
      <c r="W141" s="581"/>
      <c r="X141" s="581"/>
      <c r="Y141" s="600"/>
      <c r="AA141" t="str">
        <f t="shared" si="62"/>
        <v/>
      </c>
      <c r="AB141" t="str">
        <f t="shared" si="63"/>
        <v/>
      </c>
      <c r="AE141" t="str">
        <f t="shared" si="51"/>
        <v>RNSS_1</v>
      </c>
      <c r="AF141">
        <f>IF(LEFT(VLOOKUP(G141,'Contorizare in SDI'!$E:$M,5,FALSE),1)="V",C141,VLOOKUP(G141,'Contorizare in SDI'!$E:$M,6,FALSE))</f>
        <v>0</v>
      </c>
      <c r="AG141">
        <f t="shared" si="52"/>
        <v>388491</v>
      </c>
      <c r="AH141">
        <f t="shared" si="59"/>
        <v>3891</v>
      </c>
      <c r="AI141">
        <f t="shared" si="48"/>
        <v>0</v>
      </c>
      <c r="AJ141">
        <f t="shared" si="60"/>
        <v>262026</v>
      </c>
      <c r="AK141">
        <f t="shared" si="47"/>
        <v>0</v>
      </c>
      <c r="AL141">
        <f t="shared" si="49"/>
        <v>0</v>
      </c>
      <c r="AM141">
        <f t="shared" si="61"/>
        <v>0</v>
      </c>
      <c r="AN141">
        <f t="shared" si="50"/>
        <v>0</v>
      </c>
      <c r="AP141" t="str">
        <f t="shared" si="53"/>
        <v>-</v>
      </c>
      <c r="AQ141">
        <f t="shared" si="54"/>
        <v>3891</v>
      </c>
    </row>
    <row r="142" spans="1:43" ht="16.5" thickBot="1">
      <c r="A142" s="91">
        <f t="shared" ref="A142:A176" si="64">A141+1</f>
        <v>138</v>
      </c>
      <c r="B142" s="30" t="s">
        <v>560</v>
      </c>
      <c r="C142" s="291">
        <f>IF(B142=B141,C141,SUMIF('Date masura OD'!$G:$G,B142,'Date masura OD'!$R:$R))</f>
        <v>19368</v>
      </c>
      <c r="D142" s="291">
        <f>IFERROR(IF(VLOOKUP(B142,'Date masura OD'!$G$76:$BF$187,52,FALSE)&lt;0,-VLOOKUP(B142,'Date masura OD'!$G$76:$BF$187,52,FALSE),0),0)</f>
        <v>0</v>
      </c>
      <c r="E142" s="291">
        <v>0</v>
      </c>
      <c r="F142" s="291">
        <v>0</v>
      </c>
      <c r="G142" s="29" t="s">
        <v>654</v>
      </c>
      <c r="H142" s="312">
        <f>IF(C142=0,0,IF(RIGHT(G142,1)="N",ROUNDUP(C142*1.5%,0),IF(LEN(RIGHT(G142,LEN(G142)-FIND("_",G142,1)))=1,SUMIF('Date masura OD'!$G:$G,G142,'Date masura OD'!$R:$R),AK142)))</f>
        <v>19077</v>
      </c>
      <c r="I142" s="184">
        <f>VLOOKUP(G142,'Contorizare in SDI'!E:M,7,FALSE)</f>
        <v>0</v>
      </c>
      <c r="J142" s="88">
        <f>VLOOKUP(G142,'Contorizare in SDI'!$E:$M,$J$1-2,FALSE)</f>
        <v>0</v>
      </c>
      <c r="K142" s="88">
        <f>VLOOKUP(G142,'Contorizare in SDI'!$E:$M,$K$1-2,FALSE)</f>
        <v>0</v>
      </c>
      <c r="L142" s="29" t="s">
        <v>69</v>
      </c>
      <c r="M142" s="87">
        <v>0</v>
      </c>
      <c r="N142" s="88">
        <f>IF(COUNTIF(L142,"-")=1,0,VLOOKUP(L142,'Contorizare in SDI'!$F:$R,$N$1-3,FALSE))</f>
        <v>0</v>
      </c>
      <c r="O142" s="88">
        <f>IF(COUNTIF(L142,"-")=1,0,VLOOKUP(L142,'Contorizare in SDI'!$F:$R,$O$1-3,FALSE))</f>
        <v>0</v>
      </c>
      <c r="P142" s="88">
        <f>IF(COUNTIF(L142,"-")=1,0,VLOOKUP(L142,'Contorizare in SDI'!$F:$R,$P$1-3,FALSE))</f>
        <v>0</v>
      </c>
      <c r="Q142" s="88">
        <f t="shared" si="56"/>
        <v>19077</v>
      </c>
      <c r="R142" s="88">
        <f t="shared" si="57"/>
        <v>0</v>
      </c>
      <c r="S142" s="321">
        <v>0</v>
      </c>
      <c r="T142" s="88">
        <f t="shared" si="58"/>
        <v>291</v>
      </c>
      <c r="U142" s="17" t="s">
        <v>514</v>
      </c>
      <c r="V142" s="581">
        <f>SUM(H142)+SUM(N142)</f>
        <v>19077</v>
      </c>
      <c r="W142" s="581">
        <f>SUM(Q142:S142)</f>
        <v>19077</v>
      </c>
      <c r="X142" s="581">
        <f>C142</f>
        <v>19368</v>
      </c>
      <c r="Y142" s="583">
        <f>SUM(H142)+SUM(T142)</f>
        <v>19368</v>
      </c>
      <c r="AA142" t="str">
        <f t="shared" si="62"/>
        <v>OK</v>
      </c>
      <c r="AB142" t="str">
        <f t="shared" si="63"/>
        <v>OK</v>
      </c>
      <c r="AE142" t="str">
        <f t="shared" si="51"/>
        <v>-</v>
      </c>
      <c r="AF142">
        <f>IF(LEFT(VLOOKUP(G142,'Contorizare in SDI'!$E:$M,5,FALSE),1)="V",C142,VLOOKUP(G142,'Contorizare in SDI'!$E:$M,6,FALSE))</f>
        <v>19368</v>
      </c>
      <c r="AG142">
        <f t="shared" si="52"/>
        <v>19368</v>
      </c>
      <c r="AH142">
        <f t="shared" si="59"/>
        <v>0</v>
      </c>
      <c r="AI142">
        <f t="shared" si="48"/>
        <v>19664</v>
      </c>
      <c r="AJ142">
        <f t="shared" si="60"/>
        <v>19664</v>
      </c>
      <c r="AK142">
        <f t="shared" si="47"/>
        <v>19077</v>
      </c>
      <c r="AL142">
        <f t="shared" si="49"/>
        <v>291</v>
      </c>
      <c r="AM142">
        <f t="shared" si="61"/>
        <v>291</v>
      </c>
      <c r="AN142">
        <f t="shared" si="50"/>
        <v>0</v>
      </c>
      <c r="AP142" t="str">
        <f t="shared" si="53"/>
        <v>-</v>
      </c>
      <c r="AQ142">
        <f t="shared" si="54"/>
        <v>3891</v>
      </c>
    </row>
    <row r="143" spans="1:43" ht="16.5" thickBot="1">
      <c r="A143" s="91">
        <f t="shared" si="64"/>
        <v>139</v>
      </c>
      <c r="B143" s="30" t="s">
        <v>560</v>
      </c>
      <c r="C143" s="291">
        <f>IF(B143=B142,C142,SUMIF('Date masura OD'!$G:$G,B143,'Date masura OD'!$R:$R))</f>
        <v>19368</v>
      </c>
      <c r="D143" s="291">
        <f>IFERROR(IF(VLOOKUP(B143,'Date masura OD'!$G$76:$BF$187,52,FALSE)&lt;0,-VLOOKUP(B143,'Date masura OD'!$G$76:$BF$187,52,FALSE),0),0)</f>
        <v>0</v>
      </c>
      <c r="E143" s="291">
        <v>0</v>
      </c>
      <c r="F143" s="291">
        <v>0</v>
      </c>
      <c r="G143" s="29" t="s">
        <v>991</v>
      </c>
      <c r="H143" s="312">
        <f>IF(C143=0,0,IF(RIGHT(G143,1)="N",ROUNDUP(C143*1.5%,0),IF(LEN(RIGHT(G143,LEN(G143)-FIND("_",G143,1)))=1,SUMIF('Date masura OD'!$G:$G,G143,'Date masura OD'!$R:$R),AK143)))</f>
        <v>291</v>
      </c>
      <c r="I143" s="184">
        <f>VLOOKUP(G143,'Contorizare in SDI'!E:M,7,FALSE)</f>
        <v>0</v>
      </c>
      <c r="J143" s="88">
        <f>VLOOKUP(G143,'Contorizare in SDI'!$E:$M,$J$1-2,FALSE)</f>
        <v>0</v>
      </c>
      <c r="K143" s="88">
        <f>VLOOKUP(G143,'Contorizare in SDI'!$E:$M,$K$1-2,FALSE)</f>
        <v>0</v>
      </c>
      <c r="L143" s="29" t="s">
        <v>69</v>
      </c>
      <c r="M143" s="87">
        <v>0</v>
      </c>
      <c r="N143" s="88">
        <f>IF(COUNTIF(L143,"-")=1,0,VLOOKUP(L143,'Contorizare in SDI'!$F:$R,$N$1-3,FALSE))</f>
        <v>0</v>
      </c>
      <c r="O143" s="88">
        <f>IF(COUNTIF(L143,"-")=1,0,VLOOKUP(L143,'Contorizare in SDI'!$F:$R,$O$1-3,FALSE))</f>
        <v>0</v>
      </c>
      <c r="P143" s="88">
        <f>IF(COUNTIF(L143,"-")=1,0,VLOOKUP(L143,'Contorizare in SDI'!$F:$R,$P$1-3,FALSE))</f>
        <v>0</v>
      </c>
      <c r="Q143" s="88">
        <f t="shared" si="56"/>
        <v>0</v>
      </c>
      <c r="R143" s="88">
        <f t="shared" si="57"/>
        <v>0</v>
      </c>
      <c r="S143" s="321">
        <v>0</v>
      </c>
      <c r="T143" s="88">
        <f t="shared" si="58"/>
        <v>0</v>
      </c>
      <c r="U143" s="17" t="s">
        <v>69</v>
      </c>
      <c r="V143" s="581"/>
      <c r="W143" s="581"/>
      <c r="X143" s="581"/>
      <c r="Y143" s="583"/>
      <c r="AA143" t="str">
        <f t="shared" si="62"/>
        <v/>
      </c>
      <c r="AB143" t="str">
        <f t="shared" si="63"/>
        <v/>
      </c>
      <c r="AE143" t="str">
        <f t="shared" si="51"/>
        <v>RNSS_2</v>
      </c>
      <c r="AF143">
        <f>IF(LEFT(VLOOKUP(G143,'Contorizare in SDI'!$E:$M,5,FALSE),1)="V",C143,VLOOKUP(G143,'Contorizare in SDI'!$E:$M,6,FALSE))</f>
        <v>0</v>
      </c>
      <c r="AG143">
        <f t="shared" si="52"/>
        <v>19368</v>
      </c>
      <c r="AH143">
        <f t="shared" si="59"/>
        <v>291</v>
      </c>
      <c r="AI143">
        <f t="shared" si="48"/>
        <v>0</v>
      </c>
      <c r="AJ143">
        <f t="shared" si="60"/>
        <v>19664</v>
      </c>
      <c r="AK143">
        <f t="shared" si="47"/>
        <v>0</v>
      </c>
      <c r="AL143">
        <f t="shared" si="49"/>
        <v>0</v>
      </c>
      <c r="AM143">
        <f t="shared" si="61"/>
        <v>0</v>
      </c>
      <c r="AN143">
        <f t="shared" si="50"/>
        <v>0</v>
      </c>
      <c r="AP143" t="str">
        <f t="shared" si="53"/>
        <v>-</v>
      </c>
      <c r="AQ143">
        <f t="shared" si="54"/>
        <v>4182</v>
      </c>
    </row>
    <row r="144" spans="1:43" ht="16.5" thickBot="1">
      <c r="A144" s="91">
        <f t="shared" si="64"/>
        <v>140</v>
      </c>
      <c r="B144" s="30" t="s">
        <v>561</v>
      </c>
      <c r="C144" s="291">
        <f>IF(B144=B143,C143,SUMIF('Date masura OD'!$G:$G,B144,'Date masura OD'!$R:$R))</f>
        <v>35560</v>
      </c>
      <c r="D144" s="291">
        <f>IFERROR(IF(VLOOKUP(B144,'Date masura OD'!$G$76:$BF$187,52,FALSE)&lt;0,-VLOOKUP(B144,'Date masura OD'!$G$76:$BF$187,52,FALSE),0),0)</f>
        <v>0</v>
      </c>
      <c r="E144" s="291">
        <v>0</v>
      </c>
      <c r="F144" s="291">
        <v>0</v>
      </c>
      <c r="G144" s="29" t="s">
        <v>655</v>
      </c>
      <c r="H144" s="312">
        <f>IF(C144=0,0,IF(RIGHT(G144,1)="N",ROUNDUP(C144*1.5%,0),IF(LEN(RIGHT(G144,LEN(G144)-FIND("_",G144,1)))=1,SUMIF('Date masura OD'!$G:$G,G144,'Date masura OD'!$R:$R),AK144)))</f>
        <v>35026</v>
      </c>
      <c r="I144" s="184">
        <f>VLOOKUP(G144,'Contorizare in SDI'!E:M,7,FALSE)</f>
        <v>0</v>
      </c>
      <c r="J144" s="88">
        <f>VLOOKUP(G144,'Contorizare in SDI'!$E:$M,$J$1-2,FALSE)</f>
        <v>0</v>
      </c>
      <c r="K144" s="88">
        <f>VLOOKUP(G144,'Contorizare in SDI'!$E:$M,$K$1-2,FALSE)</f>
        <v>0</v>
      </c>
      <c r="L144" s="29" t="s">
        <v>69</v>
      </c>
      <c r="M144" s="87">
        <v>0</v>
      </c>
      <c r="N144" s="88">
        <f>IF(COUNTIF(L144,"-")=1,0,VLOOKUP(L144,'Contorizare in SDI'!$F:$R,$N$1-3,FALSE))</f>
        <v>0</v>
      </c>
      <c r="O144" s="88">
        <f>IF(COUNTIF(L144,"-")=1,0,VLOOKUP(L144,'Contorizare in SDI'!$F:$R,$O$1-3,FALSE))</f>
        <v>0</v>
      </c>
      <c r="P144" s="88">
        <f>IF(COUNTIF(L144,"-")=1,0,VLOOKUP(L144,'Contorizare in SDI'!$F:$R,$P$1-3,FALSE))</f>
        <v>0</v>
      </c>
      <c r="Q144" s="88">
        <f t="shared" si="56"/>
        <v>35026</v>
      </c>
      <c r="R144" s="88">
        <f t="shared" si="57"/>
        <v>0</v>
      </c>
      <c r="S144" s="321">
        <v>0</v>
      </c>
      <c r="T144" s="88">
        <f t="shared" si="58"/>
        <v>534</v>
      </c>
      <c r="U144" s="17" t="s">
        <v>514</v>
      </c>
      <c r="V144" s="581">
        <f>SUM(H144)+SUM(N144)</f>
        <v>35026</v>
      </c>
      <c r="W144" s="581">
        <f>SUM(Q144:S144)</f>
        <v>35026</v>
      </c>
      <c r="X144" s="581">
        <f>C144</f>
        <v>35560</v>
      </c>
      <c r="Y144" s="583">
        <f>SUM(H144)+SUM(T144)</f>
        <v>35560</v>
      </c>
      <c r="AA144" t="str">
        <f t="shared" si="62"/>
        <v>OK</v>
      </c>
      <c r="AB144" t="str">
        <f t="shared" si="63"/>
        <v>OK</v>
      </c>
      <c r="AE144" t="str">
        <f t="shared" si="51"/>
        <v>-</v>
      </c>
      <c r="AF144">
        <f>IF(LEFT(VLOOKUP(G144,'Contorizare in SDI'!$E:$M,5,FALSE),1)="V",C144,VLOOKUP(G144,'Contorizare in SDI'!$E:$M,6,FALSE))</f>
        <v>35560</v>
      </c>
      <c r="AG144">
        <f t="shared" si="52"/>
        <v>35560</v>
      </c>
      <c r="AH144">
        <f t="shared" si="59"/>
        <v>0</v>
      </c>
      <c r="AI144">
        <f t="shared" si="48"/>
        <v>36103</v>
      </c>
      <c r="AJ144">
        <f t="shared" si="60"/>
        <v>36103</v>
      </c>
      <c r="AK144">
        <f t="shared" si="47"/>
        <v>35026</v>
      </c>
      <c r="AL144">
        <f t="shared" si="49"/>
        <v>534</v>
      </c>
      <c r="AM144">
        <f t="shared" si="61"/>
        <v>534</v>
      </c>
      <c r="AN144">
        <f t="shared" si="50"/>
        <v>0</v>
      </c>
      <c r="AP144" t="str">
        <f t="shared" si="53"/>
        <v>-</v>
      </c>
      <c r="AQ144">
        <f t="shared" si="54"/>
        <v>4182</v>
      </c>
    </row>
    <row r="145" spans="1:43" ht="16.5" thickBot="1">
      <c r="A145" s="91">
        <f t="shared" si="64"/>
        <v>141</v>
      </c>
      <c r="B145" s="30" t="s">
        <v>561</v>
      </c>
      <c r="C145" s="291">
        <f>IF(B145=B144,C144,SUMIF('Date masura OD'!$G:$G,B145,'Date masura OD'!$R:$R))</f>
        <v>35560</v>
      </c>
      <c r="D145" s="291">
        <f>IFERROR(IF(VLOOKUP(B145,'Date masura OD'!$G$76:$BF$187,52,FALSE)&lt;0,-VLOOKUP(B145,'Date masura OD'!$G$76:$BF$187,52,FALSE),0),0)</f>
        <v>0</v>
      </c>
      <c r="E145" s="291">
        <v>0</v>
      </c>
      <c r="F145" s="291">
        <v>0</v>
      </c>
      <c r="G145" s="29" t="s">
        <v>992</v>
      </c>
      <c r="H145" s="312">
        <f>IF(C145=0,0,IF(RIGHT(G145,1)="N",ROUNDUP(C145*1.5%,0),IF(LEN(RIGHT(G145,LEN(G145)-FIND("_",G145,1)))=1,SUMIF('Date masura OD'!$G:$G,G145,'Date masura OD'!$R:$R),AK145)))</f>
        <v>534</v>
      </c>
      <c r="I145" s="184">
        <f>VLOOKUP(G145,'Contorizare in SDI'!E:M,7,FALSE)</f>
        <v>0</v>
      </c>
      <c r="J145" s="88">
        <f>VLOOKUP(G145,'Contorizare in SDI'!$E:$M,$J$1-2,FALSE)</f>
        <v>0</v>
      </c>
      <c r="K145" s="88">
        <f>VLOOKUP(G145,'Contorizare in SDI'!$E:$M,$K$1-2,FALSE)</f>
        <v>0</v>
      </c>
      <c r="L145" s="29" t="s">
        <v>69</v>
      </c>
      <c r="M145" s="87">
        <v>0</v>
      </c>
      <c r="N145" s="88">
        <f>IF(COUNTIF(L145,"-")=1,0,VLOOKUP(L145,'Contorizare in SDI'!$F:$R,$N$1-3,FALSE))</f>
        <v>0</v>
      </c>
      <c r="O145" s="88">
        <f>IF(COUNTIF(L145,"-")=1,0,VLOOKUP(L145,'Contorizare in SDI'!$F:$R,$O$1-3,FALSE))</f>
        <v>0</v>
      </c>
      <c r="P145" s="88">
        <f>IF(COUNTIF(L145,"-")=1,0,VLOOKUP(L145,'Contorizare in SDI'!$F:$R,$P$1-3,FALSE))</f>
        <v>0</v>
      </c>
      <c r="Q145" s="88">
        <f t="shared" si="56"/>
        <v>0</v>
      </c>
      <c r="R145" s="88">
        <f t="shared" si="57"/>
        <v>0</v>
      </c>
      <c r="S145" s="321">
        <v>0</v>
      </c>
      <c r="T145" s="88">
        <f t="shared" si="58"/>
        <v>0</v>
      </c>
      <c r="U145" s="17" t="s">
        <v>69</v>
      </c>
      <c r="V145" s="581"/>
      <c r="W145" s="581"/>
      <c r="X145" s="581"/>
      <c r="Y145" s="583"/>
      <c r="AA145" t="str">
        <f t="shared" si="62"/>
        <v/>
      </c>
      <c r="AB145" t="str">
        <f t="shared" si="63"/>
        <v/>
      </c>
      <c r="AE145" t="str">
        <f t="shared" si="51"/>
        <v>RNSS_3</v>
      </c>
      <c r="AF145">
        <f>IF(LEFT(VLOOKUP(G145,'Contorizare in SDI'!$E:$M,5,FALSE),1)="V",C145,VLOOKUP(G145,'Contorizare in SDI'!$E:$M,6,FALSE))</f>
        <v>0</v>
      </c>
      <c r="AG145">
        <f t="shared" si="52"/>
        <v>35560</v>
      </c>
      <c r="AH145">
        <f t="shared" si="59"/>
        <v>534</v>
      </c>
      <c r="AI145">
        <f t="shared" si="48"/>
        <v>0</v>
      </c>
      <c r="AJ145">
        <f t="shared" si="60"/>
        <v>36103</v>
      </c>
      <c r="AK145">
        <f t="shared" si="47"/>
        <v>0</v>
      </c>
      <c r="AL145">
        <f t="shared" si="49"/>
        <v>0</v>
      </c>
      <c r="AM145">
        <f t="shared" si="61"/>
        <v>0</v>
      </c>
      <c r="AN145">
        <f t="shared" si="50"/>
        <v>0</v>
      </c>
      <c r="AP145" t="str">
        <f t="shared" si="53"/>
        <v>-</v>
      </c>
      <c r="AQ145">
        <f t="shared" si="54"/>
        <v>4716</v>
      </c>
    </row>
    <row r="146" spans="1:43" ht="16.5" thickBot="1">
      <c r="A146" s="92">
        <f t="shared" si="64"/>
        <v>142</v>
      </c>
      <c r="B146" s="93" t="s">
        <v>562</v>
      </c>
      <c r="C146" s="291">
        <f>IF(B146=B145,C145,SUMIF('Date masura OD'!$G:$G,B146,'Date masura OD'!$R:$R))</f>
        <v>2953</v>
      </c>
      <c r="D146" s="291">
        <f>IFERROR(IF(VLOOKUP(B146,'Date masura OD'!$G$76:$BF$187,52,FALSE)&lt;0,-VLOOKUP(B146,'Date masura OD'!$G$76:$BF$187,52,FALSE),0),0)</f>
        <v>0</v>
      </c>
      <c r="E146" s="291">
        <v>0</v>
      </c>
      <c r="F146" s="291">
        <v>0</v>
      </c>
      <c r="G146" s="97" t="s">
        <v>562</v>
      </c>
      <c r="H146" s="312">
        <f>IF(C146=0,0,IF(RIGHT(G146,1)="N",ROUNDUP(C146*1.5%,0),IF(LEN(RIGHT(G146,LEN(G146)-FIND("_",G146,1)))=1,SUMIF('Date masura OD'!$G:$G,G146,'Date masura OD'!$R:$R),AK146)))</f>
        <v>2953</v>
      </c>
      <c r="I146" s="184">
        <f>VLOOKUP(G146,'Contorizare in SDI'!E:M,7,FALSE)</f>
        <v>0</v>
      </c>
      <c r="J146" s="88">
        <f>VLOOKUP(G146,'Contorizare in SDI'!$E:$M,$J$1-2,FALSE)</f>
        <v>0</v>
      </c>
      <c r="K146" s="88">
        <f>VLOOKUP(G146,'Contorizare in SDI'!$E:$M,$K$1-2,FALSE)</f>
        <v>0</v>
      </c>
      <c r="L146" s="94" t="s">
        <v>69</v>
      </c>
      <c r="M146" s="87">
        <v>0</v>
      </c>
      <c r="N146" s="88">
        <f>IF(COUNTIF(L146,"-")=1,0,VLOOKUP(L146,'Contorizare in SDI'!$F:$R,$N$1-3,FALSE))</f>
        <v>0</v>
      </c>
      <c r="O146" s="88">
        <f>IF(COUNTIF(L146,"-")=1,0,VLOOKUP(L146,'Contorizare in SDI'!$F:$R,$O$1-3,FALSE))</f>
        <v>0</v>
      </c>
      <c r="P146" s="88">
        <f>IF(COUNTIF(L146,"-")=1,0,VLOOKUP(L146,'Contorizare in SDI'!$F:$R,$P$1-3,FALSE))</f>
        <v>0</v>
      </c>
      <c r="Q146" s="88">
        <f t="shared" si="56"/>
        <v>2953</v>
      </c>
      <c r="R146" s="88">
        <f t="shared" si="57"/>
        <v>0</v>
      </c>
      <c r="S146" s="321">
        <v>0</v>
      </c>
      <c r="T146" s="88">
        <f t="shared" si="58"/>
        <v>0</v>
      </c>
      <c r="U146" s="95" t="s">
        <v>516</v>
      </c>
      <c r="V146" s="95" t="s">
        <v>69</v>
      </c>
      <c r="W146" s="95" t="s">
        <v>69</v>
      </c>
      <c r="X146" s="95" t="s">
        <v>69</v>
      </c>
      <c r="Y146" s="96" t="s">
        <v>69</v>
      </c>
      <c r="AA146" t="str">
        <f t="shared" si="62"/>
        <v>OK</v>
      </c>
      <c r="AB146" t="str">
        <f t="shared" si="63"/>
        <v>OK</v>
      </c>
      <c r="AE146" t="str">
        <f t="shared" si="51"/>
        <v>RNSS_4</v>
      </c>
      <c r="AF146">
        <f>IF(LEFT(VLOOKUP(G146,'Contorizare in SDI'!$E:$M,5,FALSE),1)="V",C146,VLOOKUP(G146,'Contorizare in SDI'!$E:$M,6,FALSE))</f>
        <v>2953</v>
      </c>
      <c r="AG146">
        <f t="shared" si="52"/>
        <v>2953</v>
      </c>
      <c r="AH146">
        <f t="shared" si="59"/>
        <v>0</v>
      </c>
      <c r="AI146">
        <f t="shared" si="48"/>
        <v>2953</v>
      </c>
      <c r="AJ146">
        <f t="shared" si="60"/>
        <v>2953</v>
      </c>
      <c r="AK146">
        <f t="shared" ref="AK146:AK176" si="65">IF(RIGHT(G147,1)="N",C146-IF(RIGHT(G146,1)-1&gt;0,AJ145,0)-VLOOKUP(B146,$AE:$AH,4,FALSE),AI146)</f>
        <v>2953</v>
      </c>
      <c r="AL146">
        <f t="shared" si="49"/>
        <v>0</v>
      </c>
      <c r="AM146">
        <f t="shared" si="61"/>
        <v>0</v>
      </c>
      <c r="AN146">
        <f t="shared" si="50"/>
        <v>0</v>
      </c>
      <c r="AP146" t="str">
        <f t="shared" si="53"/>
        <v>RNSS</v>
      </c>
      <c r="AQ146">
        <f t="shared" si="54"/>
        <v>4716</v>
      </c>
    </row>
    <row r="147" spans="1:43" ht="16.5" thickBot="1">
      <c r="A147" s="85">
        <f t="shared" si="64"/>
        <v>143</v>
      </c>
      <c r="B147" s="86" t="s">
        <v>563</v>
      </c>
      <c r="C147" s="291">
        <f>IF(B147=B146,C146,SUMIF('Date masura OD'!$G:$G,B147,'Date masura OD'!$R:$R))</f>
        <v>47832</v>
      </c>
      <c r="D147" s="291">
        <f>IFERROR(IF(VLOOKUP(B147,'Date masura OD'!$G$76:$BF$187,52,FALSE)&lt;0,-VLOOKUP(B147,'Date masura OD'!$G$76:$BF$187,52,FALSE),0),0)</f>
        <v>0</v>
      </c>
      <c r="E147" s="291">
        <v>0</v>
      </c>
      <c r="F147" s="291">
        <v>0</v>
      </c>
      <c r="G147" s="89" t="s">
        <v>656</v>
      </c>
      <c r="H147" s="312">
        <f>IF(C147=0,0,IF(RIGHT(G147,1)="N",ROUNDUP(C147*1.5%,0),IF(LEN(RIGHT(G147,LEN(G147)-FIND("_",G147,1)))=1,SUMIF('Date masura OD'!$G:$G,G147,'Date masura OD'!$R:$R),AK147)))</f>
        <v>47114</v>
      </c>
      <c r="I147" s="184">
        <f>VLOOKUP(G147,'Contorizare in SDI'!E:M,7,FALSE)</f>
        <v>0</v>
      </c>
      <c r="J147" s="88">
        <f>VLOOKUP(G147,'Contorizare in SDI'!$E:$M,$J$1-2,FALSE)</f>
        <v>19</v>
      </c>
      <c r="K147" s="88">
        <f>VLOOKUP(G147,'Contorizare in SDI'!$E:$M,$K$1-2,FALSE)</f>
        <v>10819</v>
      </c>
      <c r="L147" s="89" t="s">
        <v>693</v>
      </c>
      <c r="M147" s="87">
        <v>0</v>
      </c>
      <c r="N147" s="88">
        <f>IF(COUNTIF(L147,"-")=1,0,VLOOKUP(L147,'Contorizare in SDI'!$F:$R,$N$1-3,FALSE))</f>
        <v>5344</v>
      </c>
      <c r="O147" s="88">
        <f>IF(COUNTIF(L147,"-")=1,0,VLOOKUP(L147,'Contorizare in SDI'!$F:$R,$O$1-3,FALSE))</f>
        <v>18</v>
      </c>
      <c r="P147" s="88">
        <f>IF(COUNTIF(L147,"-")=1,0,VLOOKUP(L147,'Contorizare in SDI'!$F:$R,$P$1-3,FALSE))</f>
        <v>485</v>
      </c>
      <c r="Q147" s="88">
        <f t="shared" si="56"/>
        <v>47114</v>
      </c>
      <c r="R147" s="87">
        <v>0</v>
      </c>
      <c r="S147" s="87">
        <f>N147-I147</f>
        <v>5344</v>
      </c>
      <c r="T147" s="88">
        <f t="shared" si="58"/>
        <v>718</v>
      </c>
      <c r="U147" s="90" t="s">
        <v>514</v>
      </c>
      <c r="V147" s="580">
        <f>SUM(H147)+SUM(N147)</f>
        <v>52458</v>
      </c>
      <c r="W147" s="580">
        <f>SUM(Q147:S147)</f>
        <v>52458</v>
      </c>
      <c r="X147" s="580">
        <f>C147</f>
        <v>47832</v>
      </c>
      <c r="Y147" s="582">
        <f>SUM(H147)+SUM(T147)</f>
        <v>47832</v>
      </c>
      <c r="AA147" t="str">
        <f t="shared" si="62"/>
        <v>OK</v>
      </c>
      <c r="AB147" t="str">
        <f t="shared" si="63"/>
        <v>OK</v>
      </c>
      <c r="AE147" t="str">
        <f t="shared" si="51"/>
        <v>-</v>
      </c>
      <c r="AF147">
        <f>IF(LEFT(VLOOKUP(G147,'Contorizare in SDI'!$E:$M,5,FALSE),1)="V",C147,VLOOKUP(G147,'Contorizare in SDI'!$E:$M,6,FALSE))</f>
        <v>38356</v>
      </c>
      <c r="AG147">
        <f t="shared" si="52"/>
        <v>38356</v>
      </c>
      <c r="AH147">
        <f t="shared" si="59"/>
        <v>0</v>
      </c>
      <c r="AI147">
        <f t="shared" si="48"/>
        <v>48745</v>
      </c>
      <c r="AJ147">
        <f t="shared" si="60"/>
        <v>48745</v>
      </c>
      <c r="AK147">
        <f t="shared" si="65"/>
        <v>47114</v>
      </c>
      <c r="AL147">
        <f t="shared" si="49"/>
        <v>718</v>
      </c>
      <c r="AM147">
        <f t="shared" si="61"/>
        <v>718</v>
      </c>
      <c r="AN147">
        <f t="shared" si="50"/>
        <v>0</v>
      </c>
      <c r="AP147" t="str">
        <f t="shared" si="53"/>
        <v>-</v>
      </c>
      <c r="AQ147">
        <f t="shared" si="54"/>
        <v>0</v>
      </c>
    </row>
    <row r="148" spans="1:43" ht="16.5" thickBot="1">
      <c r="A148" s="91">
        <f t="shared" si="64"/>
        <v>144</v>
      </c>
      <c r="B148" s="30" t="s">
        <v>563</v>
      </c>
      <c r="C148" s="291">
        <f>IF(B148=B147,C147,SUMIF('Date masura OD'!$G:$G,B148,'Date masura OD'!$R:$R))</f>
        <v>47832</v>
      </c>
      <c r="D148" s="291">
        <f>IFERROR(IF(VLOOKUP(B148,'Date masura OD'!$G$76:$BF$187,52,FALSE)&lt;0,-VLOOKUP(B148,'Date masura OD'!$G$76:$BF$187,52,FALSE),0),0)</f>
        <v>0</v>
      </c>
      <c r="E148" s="291">
        <v>0</v>
      </c>
      <c r="F148" s="291">
        <v>0</v>
      </c>
      <c r="G148" s="29" t="s">
        <v>993</v>
      </c>
      <c r="H148" s="312">
        <f>IF(C148=0,0,IF(RIGHT(G148,1)="N",ROUNDUP(C148*1.5%,0),IF(LEN(RIGHT(G148,LEN(G148)-FIND("_",G148,1)))=1,SUMIF('Date masura OD'!$G:$G,G148,'Date masura OD'!$R:$R),AK148)))</f>
        <v>718</v>
      </c>
      <c r="I148" s="184">
        <f>VLOOKUP(G148,'Contorizare in SDI'!E:M,7,FALSE)</f>
        <v>0</v>
      </c>
      <c r="J148" s="88">
        <f>VLOOKUP(G148,'Contorizare in SDI'!$E:$M,$J$1-2,FALSE)</f>
        <v>0</v>
      </c>
      <c r="K148" s="88">
        <f>VLOOKUP(G148,'Contorizare in SDI'!$E:$M,$K$1-2,FALSE)</f>
        <v>0</v>
      </c>
      <c r="L148" s="29" t="s">
        <v>69</v>
      </c>
      <c r="M148" s="87">
        <v>0</v>
      </c>
      <c r="N148" s="88">
        <f>IF(COUNTIF(L148,"-")=1,0,VLOOKUP(L148,'Contorizare in SDI'!$F:$R,$N$1-3,FALSE))</f>
        <v>0</v>
      </c>
      <c r="O148" s="88">
        <f>IF(COUNTIF(L148,"-")=1,0,VLOOKUP(L148,'Contorizare in SDI'!$F:$R,$O$1-3,FALSE))</f>
        <v>0</v>
      </c>
      <c r="P148" s="88">
        <f>IF(COUNTIF(L148,"-")=1,0,VLOOKUP(L148,'Contorizare in SDI'!$F:$R,$P$1-3,FALSE))</f>
        <v>0</v>
      </c>
      <c r="Q148" s="88">
        <f t="shared" si="56"/>
        <v>0</v>
      </c>
      <c r="R148" s="88">
        <f t="shared" si="57"/>
        <v>0</v>
      </c>
      <c r="S148" s="321">
        <v>0</v>
      </c>
      <c r="T148" s="88">
        <f t="shared" si="58"/>
        <v>0</v>
      </c>
      <c r="U148" s="17" t="s">
        <v>69</v>
      </c>
      <c r="V148" s="581"/>
      <c r="W148" s="581"/>
      <c r="X148" s="581"/>
      <c r="Y148" s="583"/>
      <c r="AA148" t="str">
        <f t="shared" si="62"/>
        <v/>
      </c>
      <c r="AB148" t="str">
        <f t="shared" si="63"/>
        <v/>
      </c>
      <c r="AE148" t="str">
        <f t="shared" si="51"/>
        <v>RSSC_1</v>
      </c>
      <c r="AF148">
        <f>IF(LEFT(VLOOKUP(G148,'Contorizare in SDI'!$E:$M,5,FALSE),1)="V",C148,VLOOKUP(G148,'Contorizare in SDI'!$E:$M,6,FALSE))</f>
        <v>0</v>
      </c>
      <c r="AG148">
        <f t="shared" si="52"/>
        <v>38356</v>
      </c>
      <c r="AH148">
        <f t="shared" si="59"/>
        <v>718</v>
      </c>
      <c r="AI148">
        <f t="shared" si="48"/>
        <v>0</v>
      </c>
      <c r="AJ148">
        <f t="shared" si="60"/>
        <v>48745</v>
      </c>
      <c r="AK148">
        <f t="shared" si="65"/>
        <v>0</v>
      </c>
      <c r="AL148">
        <f t="shared" si="49"/>
        <v>0</v>
      </c>
      <c r="AM148">
        <f t="shared" si="61"/>
        <v>0</v>
      </c>
      <c r="AN148">
        <f t="shared" si="50"/>
        <v>5344</v>
      </c>
      <c r="AP148" t="str">
        <f t="shared" si="53"/>
        <v>-</v>
      </c>
      <c r="AQ148">
        <f t="shared" si="54"/>
        <v>718</v>
      </c>
    </row>
    <row r="149" spans="1:43" ht="16.5" thickBot="1">
      <c r="A149" s="91">
        <f t="shared" si="64"/>
        <v>145</v>
      </c>
      <c r="B149" s="30" t="s">
        <v>564</v>
      </c>
      <c r="C149" s="291">
        <f>IF(B149=B148,C148,SUMIF('Date masura OD'!$G:$G,B149,'Date masura OD'!$R:$R))</f>
        <v>39650</v>
      </c>
      <c r="D149" s="291">
        <f>IFERROR(IF(VLOOKUP(B149,'Date masura OD'!$G$76:$BF$187,52,FALSE)&lt;0,-VLOOKUP(B149,'Date masura OD'!$G$76:$BF$187,52,FALSE),0),0)</f>
        <v>0</v>
      </c>
      <c r="E149" s="291">
        <v>0</v>
      </c>
      <c r="F149" s="291">
        <v>0</v>
      </c>
      <c r="G149" s="29" t="s">
        <v>657</v>
      </c>
      <c r="H149" s="312">
        <f>IF(C149=0,0,IF(RIGHT(G149,1)="N",ROUNDUP(C149*1.5%,0),IF(LEN(RIGHT(G149,LEN(G149)-FIND("_",G149,1)))=1,SUMIF('Date masura OD'!$G:$G,G149,'Date masura OD'!$R:$R),AK149)))</f>
        <v>39055</v>
      </c>
      <c r="I149" s="317">
        <f>VLOOKUP(G149,'Contorizare in SDI'!E:M,7,FALSE)-11</f>
        <v>0</v>
      </c>
      <c r="J149" s="88">
        <f>VLOOKUP(G149,'Contorizare in SDI'!$E:$M,$J$1-2,FALSE)</f>
        <v>788</v>
      </c>
      <c r="K149" s="88">
        <f>VLOOKUP(G149,'Contorizare in SDI'!$E:$M,$K$1-2,FALSE)</f>
        <v>3498</v>
      </c>
      <c r="L149" s="29" t="s">
        <v>694</v>
      </c>
      <c r="M149" s="87">
        <v>0</v>
      </c>
      <c r="N149" s="88">
        <f>IF(COUNTIF(L149,"-")=1,0,VLOOKUP(L149,'Contorizare in SDI'!$F:$R,$N$1-3,FALSE))</f>
        <v>36153</v>
      </c>
      <c r="O149" s="88">
        <f>IF(COUNTIF(L149,"-")=1,0,VLOOKUP(L149,'Contorizare in SDI'!$F:$R,$O$1-3,FALSE))</f>
        <v>1</v>
      </c>
      <c r="P149" s="88">
        <f>IF(COUNTIF(L149,"-")=1,0,VLOOKUP(L149,'Contorizare in SDI'!$F:$R,$P$1-3,FALSE))</f>
        <v>745</v>
      </c>
      <c r="Q149" s="88">
        <f t="shared" si="56"/>
        <v>39055</v>
      </c>
      <c r="R149" s="88">
        <f t="shared" si="57"/>
        <v>36153</v>
      </c>
      <c r="S149" s="321">
        <v>0</v>
      </c>
      <c r="T149" s="88">
        <f t="shared" si="58"/>
        <v>595</v>
      </c>
      <c r="U149" s="17" t="s">
        <v>514</v>
      </c>
      <c r="V149" s="581">
        <f>SUM(H149)+SUM(N149)</f>
        <v>75208</v>
      </c>
      <c r="W149" s="581">
        <f>SUM(Q149:S149)</f>
        <v>75208</v>
      </c>
      <c r="X149" s="581">
        <f>C149</f>
        <v>39650</v>
      </c>
      <c r="Y149" s="583">
        <f>SUM(H149)+SUM(T149)</f>
        <v>39650</v>
      </c>
      <c r="AA149" t="str">
        <f t="shared" si="62"/>
        <v>OK</v>
      </c>
      <c r="AB149" t="str">
        <f t="shared" si="63"/>
        <v>OK</v>
      </c>
      <c r="AE149" t="str">
        <f t="shared" si="51"/>
        <v>-</v>
      </c>
      <c r="AF149">
        <f>IF(LEFT(VLOOKUP(G149,'Contorizare in SDI'!$E:$M,5,FALSE),1)="V",C149,VLOOKUP(G149,'Contorizare in SDI'!$E:$M,6,FALSE))</f>
        <v>45916</v>
      </c>
      <c r="AG149">
        <f t="shared" si="52"/>
        <v>45916</v>
      </c>
      <c r="AH149">
        <f t="shared" si="59"/>
        <v>0</v>
      </c>
      <c r="AI149">
        <f t="shared" si="48"/>
        <v>40171</v>
      </c>
      <c r="AJ149">
        <f t="shared" si="60"/>
        <v>40171</v>
      </c>
      <c r="AK149">
        <f t="shared" si="65"/>
        <v>39055</v>
      </c>
      <c r="AL149">
        <f t="shared" si="49"/>
        <v>595</v>
      </c>
      <c r="AM149">
        <f t="shared" si="61"/>
        <v>595</v>
      </c>
      <c r="AN149">
        <f t="shared" si="50"/>
        <v>0</v>
      </c>
      <c r="AP149" t="str">
        <f t="shared" si="53"/>
        <v>-</v>
      </c>
      <c r="AQ149">
        <f t="shared" si="54"/>
        <v>718</v>
      </c>
    </row>
    <row r="150" spans="1:43" ht="16.5" thickBot="1">
      <c r="A150" s="91">
        <f t="shared" si="64"/>
        <v>146</v>
      </c>
      <c r="B150" s="30" t="s">
        <v>564</v>
      </c>
      <c r="C150" s="291">
        <f>IF(B150=B149,C149,SUMIF('Date masura OD'!$G:$G,B150,'Date masura OD'!$R:$R))</f>
        <v>39650</v>
      </c>
      <c r="D150" s="291">
        <f>IFERROR(IF(VLOOKUP(B150,'Date masura OD'!$G$76:$BF$187,52,FALSE)&lt;0,-VLOOKUP(B150,'Date masura OD'!$G$76:$BF$187,52,FALSE),0),0)</f>
        <v>0</v>
      </c>
      <c r="E150" s="291">
        <v>0</v>
      </c>
      <c r="F150" s="291">
        <v>0</v>
      </c>
      <c r="G150" s="29" t="s">
        <v>994</v>
      </c>
      <c r="H150" s="312">
        <f>IF(C150=0,0,IF(RIGHT(G150,1)="N",ROUNDUP(C150*1.5%,0),IF(LEN(RIGHT(G150,LEN(G150)-FIND("_",G150,1)))=1,SUMIF('Date masura OD'!$G:$G,G150,'Date masura OD'!$R:$R),AK150)))</f>
        <v>595</v>
      </c>
      <c r="I150" s="184">
        <f>VLOOKUP(G150,'Contorizare in SDI'!E:M,7,FALSE)</f>
        <v>0</v>
      </c>
      <c r="J150" s="88">
        <f>VLOOKUP(G150,'Contorizare in SDI'!$E:$M,$J$1-2,FALSE)</f>
        <v>0</v>
      </c>
      <c r="K150" s="88">
        <f>VLOOKUP(G150,'Contorizare in SDI'!$E:$M,$K$1-2,FALSE)</f>
        <v>0</v>
      </c>
      <c r="L150" s="29" t="s">
        <v>69</v>
      </c>
      <c r="M150" s="87">
        <v>0</v>
      </c>
      <c r="N150" s="88">
        <f>IF(COUNTIF(L150,"-")=1,0,VLOOKUP(L150,'Contorizare in SDI'!$F:$R,$N$1-3,FALSE))</f>
        <v>0</v>
      </c>
      <c r="O150" s="88">
        <f>IF(COUNTIF(L150,"-")=1,0,VLOOKUP(L150,'Contorizare in SDI'!$F:$R,$O$1-3,FALSE))</f>
        <v>0</v>
      </c>
      <c r="P150" s="88">
        <f>IF(COUNTIF(L150,"-")=1,0,VLOOKUP(L150,'Contorizare in SDI'!$F:$R,$P$1-3,FALSE))</f>
        <v>0</v>
      </c>
      <c r="Q150" s="88">
        <f t="shared" si="56"/>
        <v>0</v>
      </c>
      <c r="R150" s="88">
        <f t="shared" si="57"/>
        <v>0</v>
      </c>
      <c r="S150" s="321">
        <v>0</v>
      </c>
      <c r="T150" s="88">
        <f t="shared" si="58"/>
        <v>0</v>
      </c>
      <c r="U150" s="17" t="s">
        <v>69</v>
      </c>
      <c r="V150" s="581"/>
      <c r="W150" s="581"/>
      <c r="X150" s="581"/>
      <c r="Y150" s="583"/>
      <c r="AA150" t="str">
        <f t="shared" si="62"/>
        <v/>
      </c>
      <c r="AB150" t="str">
        <f t="shared" si="63"/>
        <v/>
      </c>
      <c r="AE150" t="str">
        <f t="shared" si="51"/>
        <v>RSSC_2</v>
      </c>
      <c r="AF150">
        <f>IF(LEFT(VLOOKUP(G150,'Contorizare in SDI'!$E:$M,5,FALSE),1)="V",C150,VLOOKUP(G150,'Contorizare in SDI'!$E:$M,6,FALSE))</f>
        <v>0</v>
      </c>
      <c r="AG150">
        <f t="shared" si="52"/>
        <v>45916</v>
      </c>
      <c r="AH150">
        <f t="shared" si="59"/>
        <v>595</v>
      </c>
      <c r="AI150">
        <f t="shared" si="48"/>
        <v>0</v>
      </c>
      <c r="AJ150">
        <f t="shared" si="60"/>
        <v>40171</v>
      </c>
      <c r="AK150">
        <f t="shared" si="65"/>
        <v>0</v>
      </c>
      <c r="AL150">
        <f t="shared" si="49"/>
        <v>0</v>
      </c>
      <c r="AM150">
        <f t="shared" si="61"/>
        <v>0</v>
      </c>
      <c r="AN150">
        <f t="shared" si="50"/>
        <v>0</v>
      </c>
      <c r="AP150" t="str">
        <f t="shared" si="53"/>
        <v>-</v>
      </c>
      <c r="AQ150">
        <f t="shared" si="54"/>
        <v>1313</v>
      </c>
    </row>
    <row r="151" spans="1:43" ht="16.5" thickBot="1">
      <c r="A151" s="92">
        <f t="shared" si="64"/>
        <v>147</v>
      </c>
      <c r="B151" s="93" t="s">
        <v>565</v>
      </c>
      <c r="C151" s="291">
        <f>IF(B151=B150,C150,SUMIF('Date masura OD'!$G:$G,B151,'Date masura OD'!$R:$R))</f>
        <v>3606</v>
      </c>
      <c r="D151" s="291">
        <f>IFERROR(IF(VLOOKUP(B151,'Date masura OD'!$G$76:$BF$187,52,FALSE)&lt;0,-VLOOKUP(B151,'Date masura OD'!$G$76:$BF$187,52,FALSE),0),0)</f>
        <v>0</v>
      </c>
      <c r="E151" s="291">
        <v>0</v>
      </c>
      <c r="F151" s="291">
        <v>0</v>
      </c>
      <c r="G151" s="97" t="s">
        <v>565</v>
      </c>
      <c r="H151" s="312">
        <f>IF(C151=0,0,IF(RIGHT(G151,1)="N",ROUNDUP(C151*1.5%,0),IF(LEN(RIGHT(G151,LEN(G151)-FIND("_",G151,1)))=1,SUMIF('Date masura OD'!$G:$G,G151,'Date masura OD'!$R:$R),AK151)))</f>
        <v>3606</v>
      </c>
      <c r="I151" s="184">
        <f>VLOOKUP(G151,'Contorizare in SDI'!E:M,7,FALSE)</f>
        <v>0</v>
      </c>
      <c r="J151" s="88">
        <f>VLOOKUP(G151,'Contorizare in SDI'!$E:$M,$J$1-2,FALSE)</f>
        <v>0</v>
      </c>
      <c r="K151" s="88">
        <f>VLOOKUP(G151,'Contorizare in SDI'!$E:$M,$K$1-2,FALSE)</f>
        <v>0</v>
      </c>
      <c r="L151" s="94" t="s">
        <v>69</v>
      </c>
      <c r="M151" s="87">
        <v>0</v>
      </c>
      <c r="N151" s="88">
        <f>IF(COUNTIF(L151,"-")=1,0,VLOOKUP(L151,'Contorizare in SDI'!$F:$R,$N$1-3,FALSE))</f>
        <v>0</v>
      </c>
      <c r="O151" s="88">
        <f>IF(COUNTIF(L151,"-")=1,0,VLOOKUP(L151,'Contorizare in SDI'!$F:$R,$O$1-3,FALSE))</f>
        <v>0</v>
      </c>
      <c r="P151" s="88">
        <f>IF(COUNTIF(L151,"-")=1,0,VLOOKUP(L151,'Contorizare in SDI'!$F:$R,$P$1-3,FALSE))</f>
        <v>0</v>
      </c>
      <c r="Q151" s="88">
        <f t="shared" si="56"/>
        <v>3606</v>
      </c>
      <c r="R151" s="88">
        <f t="shared" si="57"/>
        <v>0</v>
      </c>
      <c r="S151" s="321">
        <v>0</v>
      </c>
      <c r="T151" s="88">
        <f t="shared" si="58"/>
        <v>0</v>
      </c>
      <c r="U151" s="95" t="s">
        <v>516</v>
      </c>
      <c r="V151" s="95" t="s">
        <v>69</v>
      </c>
      <c r="W151" s="95" t="s">
        <v>69</v>
      </c>
      <c r="X151" s="95" t="s">
        <v>69</v>
      </c>
      <c r="Y151" s="96" t="s">
        <v>69</v>
      </c>
      <c r="AA151" t="str">
        <f t="shared" si="62"/>
        <v>OK</v>
      </c>
      <c r="AB151" t="str">
        <f t="shared" si="63"/>
        <v>OK</v>
      </c>
      <c r="AE151" t="str">
        <f t="shared" si="51"/>
        <v>RSSC_3</v>
      </c>
      <c r="AF151">
        <f>IF(LEFT(VLOOKUP(G151,'Contorizare in SDI'!$E:$M,5,FALSE),1)="V",C151,VLOOKUP(G151,'Contorizare in SDI'!$E:$M,6,FALSE))</f>
        <v>3606</v>
      </c>
      <c r="AG151">
        <f t="shared" si="52"/>
        <v>3606</v>
      </c>
      <c r="AH151">
        <f t="shared" si="59"/>
        <v>0</v>
      </c>
      <c r="AI151">
        <f t="shared" si="48"/>
        <v>3606</v>
      </c>
      <c r="AJ151">
        <f t="shared" si="60"/>
        <v>3606</v>
      </c>
      <c r="AK151">
        <f t="shared" si="65"/>
        <v>3606</v>
      </c>
      <c r="AL151">
        <f t="shared" si="49"/>
        <v>0</v>
      </c>
      <c r="AM151">
        <f t="shared" si="61"/>
        <v>0</v>
      </c>
      <c r="AN151">
        <f t="shared" si="50"/>
        <v>0</v>
      </c>
      <c r="AP151" t="str">
        <f t="shared" si="53"/>
        <v>RSSC</v>
      </c>
      <c r="AQ151">
        <f t="shared" si="54"/>
        <v>1313</v>
      </c>
    </row>
    <row r="152" spans="1:43" ht="16.5" thickBot="1">
      <c r="A152" s="82">
        <f t="shared" si="64"/>
        <v>148</v>
      </c>
      <c r="B152" s="83" t="s">
        <v>566</v>
      </c>
      <c r="C152" s="291">
        <f>IF(B152=B151,C151,SUMIF('Date masura OD'!$G:$G,B152,'Date masura OD'!$R:$R))</f>
        <v>110452</v>
      </c>
      <c r="D152" s="291">
        <f>IFERROR(IF(VLOOKUP(B152,'Date masura OD'!$G$76:$BF$187,52,FALSE)&lt;0,-VLOOKUP(B152,'Date masura OD'!$G$76:$BF$187,52,FALSE),0),0)</f>
        <v>0</v>
      </c>
      <c r="E152" s="291">
        <v>0</v>
      </c>
      <c r="F152" s="291">
        <v>0</v>
      </c>
      <c r="G152" s="84" t="s">
        <v>658</v>
      </c>
      <c r="H152" s="312">
        <f>VLOOKUP(G152,'Contorizare in SDI'!$E$4:$M$158,$H$1-2,FALSE)</f>
        <v>42048</v>
      </c>
      <c r="I152" s="184">
        <f>VLOOKUP(G152,'Contorizare in SDI'!E:M,7,FALSE)</f>
        <v>207</v>
      </c>
      <c r="J152" s="88">
        <f>VLOOKUP(G152,'Contorizare in SDI'!$E:$M,$J$1-2,FALSE)</f>
        <v>0</v>
      </c>
      <c r="K152" s="88">
        <f>VLOOKUP(G152,'Contorizare in SDI'!$E:$M,$K$1-2,FALSE)</f>
        <v>0</v>
      </c>
      <c r="L152" s="94" t="s">
        <v>1132</v>
      </c>
      <c r="M152" s="87">
        <v>0</v>
      </c>
      <c r="N152" s="557">
        <f>IF(COUNTIF(L152,"-")=1,0,VLOOKUP(L152,'Contorizare in SDI'!$F:$R,$N$1-3,FALSE))-I153</f>
        <v>30925</v>
      </c>
      <c r="O152" s="88">
        <f>IF(COUNTIF(L152,"-")=1,0,VLOOKUP(L152,'Contorizare in SDI'!$F:$R,$O$1-3,FALSE))</f>
        <v>0</v>
      </c>
      <c r="P152" s="88">
        <f>IF(COUNTIF(L152,"-")=1,0,VLOOKUP(L152,'Contorizare in SDI'!$F:$R,$P$1-3,FALSE))</f>
        <v>0</v>
      </c>
      <c r="Q152" s="88">
        <f t="shared" si="56"/>
        <v>42048</v>
      </c>
      <c r="R152" s="557">
        <f>N152</f>
        <v>30925</v>
      </c>
      <c r="S152" s="1">
        <f>I153</f>
        <v>17996</v>
      </c>
      <c r="T152" s="88">
        <f t="shared" si="58"/>
        <v>631</v>
      </c>
      <c r="U152" s="82" t="s">
        <v>514</v>
      </c>
      <c r="V152" s="602">
        <f>SUM(H152:H153)+SUM(N152:N153)+SUM(I152:I153)</f>
        <v>213062</v>
      </c>
      <c r="W152" s="593">
        <f>SUM(Q152:S153)</f>
        <v>213062</v>
      </c>
      <c r="X152" s="593">
        <f>C152</f>
        <v>110452</v>
      </c>
      <c r="Y152" s="602">
        <f>SUM(H152:H153)+SUM(T152:T153)</f>
        <v>110452</v>
      </c>
      <c r="AA152" t="str">
        <f t="shared" si="62"/>
        <v>OK</v>
      </c>
      <c r="AB152" t="str">
        <f t="shared" si="63"/>
        <v>OK</v>
      </c>
      <c r="AE152" t="str">
        <f t="shared" si="51"/>
        <v>-</v>
      </c>
      <c r="AF152">
        <f>IF(LEFT(VLOOKUP(G152,'Contorizare in SDI'!$E:$M,5,FALSE),1)="V",C152,VLOOKUP(G152,'Contorizare in SDI'!$E:$M,6,FALSE))</f>
        <v>42048</v>
      </c>
      <c r="AG152">
        <f t="shared" si="52"/>
        <v>42048</v>
      </c>
      <c r="AH152">
        <f t="shared" si="59"/>
        <v>0</v>
      </c>
      <c r="AI152">
        <f t="shared" si="48"/>
        <v>44660</v>
      </c>
      <c r="AJ152">
        <f t="shared" si="60"/>
        <v>44660</v>
      </c>
      <c r="AK152">
        <f t="shared" si="65"/>
        <v>44660</v>
      </c>
      <c r="AL152">
        <f t="shared" si="49"/>
        <v>631</v>
      </c>
      <c r="AM152">
        <f t="shared" si="61"/>
        <v>631</v>
      </c>
      <c r="AN152">
        <f t="shared" si="50"/>
        <v>0</v>
      </c>
      <c r="AP152" t="str">
        <f t="shared" si="53"/>
        <v>-</v>
      </c>
      <c r="AQ152">
        <f t="shared" si="54"/>
        <v>0</v>
      </c>
    </row>
    <row r="153" spans="1:43" ht="16.5" thickBot="1">
      <c r="A153" s="17">
        <f t="shared" si="64"/>
        <v>149</v>
      </c>
      <c r="B153" s="30" t="s">
        <v>566</v>
      </c>
      <c r="C153" s="291">
        <f>IF(B153=B152,C152,SUMIF('Date masura OD'!$G:$G,B153,'Date masura OD'!$R:$R))</f>
        <v>110452</v>
      </c>
      <c r="D153" s="291">
        <f>IFERROR(IF(VLOOKUP(B153,'Date masura OD'!$G$76:$BF$187,52,FALSE)&lt;0,-VLOOKUP(B153,'Date masura OD'!$G$76:$BF$187,52,FALSE),0),0)</f>
        <v>0</v>
      </c>
      <c r="E153" s="291">
        <v>0</v>
      </c>
      <c r="F153" s="291">
        <v>0</v>
      </c>
      <c r="G153" s="29" t="s">
        <v>659</v>
      </c>
      <c r="H153" s="312">
        <f>VLOOKUP(G153,'Contorizare in SDI'!$E$4:$M$158,$H$1-2,FALSE)</f>
        <v>65175</v>
      </c>
      <c r="I153" s="184">
        <f>VLOOKUP(G153,'Contorizare in SDI'!E:M,7,FALSE)</f>
        <v>17996</v>
      </c>
      <c r="J153" s="88">
        <f>VLOOKUP(G153,'Contorizare in SDI'!$E:$M,$J$1-2,FALSE)</f>
        <v>0</v>
      </c>
      <c r="K153" s="88">
        <f>VLOOKUP(G153,'Contorizare in SDI'!$E:$M,$K$1-2,FALSE)</f>
        <v>0</v>
      </c>
      <c r="L153" s="94" t="s">
        <v>1437</v>
      </c>
      <c r="M153" s="87">
        <v>0</v>
      </c>
      <c r="N153" s="557">
        <f>IF(COUNTIF(L153,"-")=1,0,VLOOKUP(L153,'Contorizare in SDI'!$F:$R,$N$1-3,FALSE))-I152</f>
        <v>56711</v>
      </c>
      <c r="O153" s="88">
        <f>IF(COUNTIF(L153,"-")=1,0,VLOOKUP(L153,'Contorizare in SDI'!$F:$R,$O$1-3,FALSE))</f>
        <v>0</v>
      </c>
      <c r="P153" s="88">
        <f>IF(COUNTIF(L153,"-")=1,0,VLOOKUP(L153,'Contorizare in SDI'!$F:$R,$P$1-3,FALSE))</f>
        <v>0</v>
      </c>
      <c r="Q153" s="88">
        <f t="shared" si="56"/>
        <v>65175</v>
      </c>
      <c r="R153" s="557">
        <f>N153</f>
        <v>56711</v>
      </c>
      <c r="S153" s="1">
        <f>I152</f>
        <v>207</v>
      </c>
      <c r="T153" s="88">
        <f t="shared" si="58"/>
        <v>2598</v>
      </c>
      <c r="U153" s="17" t="s">
        <v>514</v>
      </c>
      <c r="V153" s="594"/>
      <c r="W153" s="594"/>
      <c r="X153" s="594"/>
      <c r="Y153" s="609"/>
      <c r="AA153" t="str">
        <f t="shared" si="62"/>
        <v/>
      </c>
      <c r="AB153" t="str">
        <f t="shared" si="63"/>
        <v/>
      </c>
      <c r="AE153" t="str">
        <f t="shared" si="51"/>
        <v>-</v>
      </c>
      <c r="AF153">
        <f>IF(LEFT(VLOOKUP(G153,'Contorizare in SDI'!$E:$M,5,FALSE),1)="V",C153,VLOOKUP(G153,'Contorizare in SDI'!$E:$M,6,FALSE))</f>
        <v>65175</v>
      </c>
      <c r="AG153">
        <f t="shared" si="52"/>
        <v>107223</v>
      </c>
      <c r="AH153">
        <f t="shared" si="59"/>
        <v>0</v>
      </c>
      <c r="AI153">
        <f t="shared" si="48"/>
        <v>69223</v>
      </c>
      <c r="AJ153">
        <f t="shared" si="60"/>
        <v>113883</v>
      </c>
      <c r="AK153">
        <f t="shared" si="65"/>
        <v>62563</v>
      </c>
      <c r="AL153">
        <f t="shared" si="49"/>
        <v>2598</v>
      </c>
      <c r="AM153">
        <f t="shared" si="61"/>
        <v>3229</v>
      </c>
      <c r="AN153">
        <f t="shared" si="50"/>
        <v>0</v>
      </c>
      <c r="AP153" t="str">
        <f t="shared" si="53"/>
        <v>-</v>
      </c>
      <c r="AQ153">
        <f t="shared" si="54"/>
        <v>0</v>
      </c>
    </row>
    <row r="154" spans="1:43" ht="16.5" thickBot="1">
      <c r="A154" s="17">
        <f t="shared" si="64"/>
        <v>150</v>
      </c>
      <c r="B154" s="30" t="s">
        <v>566</v>
      </c>
      <c r="C154" s="291">
        <f>IF(B154=B153,C153,SUMIF('Date masura OD'!$G:$G,B154,'Date masura OD'!$R:$R))</f>
        <v>110452</v>
      </c>
      <c r="D154" s="291">
        <f>IFERROR(IF(VLOOKUP(B154,'Date masura OD'!$G$76:$BF$187,52,FALSE)&lt;0,-VLOOKUP(B154,'Date masura OD'!$G$76:$BF$187,52,FALSE),0),0)</f>
        <v>0</v>
      </c>
      <c r="E154" s="291">
        <v>0</v>
      </c>
      <c r="F154" s="291">
        <v>0</v>
      </c>
      <c r="G154" s="29" t="s">
        <v>995</v>
      </c>
      <c r="H154" s="312">
        <f>'Date masura OD'!R56-'Inchidere contur'!H152-'Inchidere contur'!H153</f>
        <v>3229</v>
      </c>
      <c r="I154" s="184">
        <f>VLOOKUP(G154,'Contorizare in SDI'!E:M,7,FALSE)</f>
        <v>0</v>
      </c>
      <c r="J154" s="88">
        <f>VLOOKUP(G154,'Contorizare in SDI'!$E:$M,$J$1-2,FALSE)</f>
        <v>0</v>
      </c>
      <c r="K154" s="88">
        <f>VLOOKUP(G154,'Contorizare in SDI'!$E:$M,$K$1-2,FALSE)</f>
        <v>0</v>
      </c>
      <c r="L154" s="29" t="s">
        <v>69</v>
      </c>
      <c r="M154" s="87">
        <v>0</v>
      </c>
      <c r="N154" s="88">
        <f>IF(COUNTIF(L154,"-")=1,0,VLOOKUP(L154,'Contorizare in SDI'!$F:$R,$N$1-3,FALSE))</f>
        <v>0</v>
      </c>
      <c r="O154" s="88">
        <f>IF(COUNTIF(L154,"-")=1,0,VLOOKUP(L154,'Contorizare in SDI'!$F:$R,$O$1-3,FALSE))</f>
        <v>0</v>
      </c>
      <c r="P154" s="88">
        <f>IF(COUNTIF(L154,"-")=1,0,VLOOKUP(L154,'Contorizare in SDI'!$F:$R,$P$1-3,FALSE))</f>
        <v>0</v>
      </c>
      <c r="Q154" s="88">
        <f t="shared" si="56"/>
        <v>0</v>
      </c>
      <c r="R154" s="88">
        <f t="shared" si="57"/>
        <v>0</v>
      </c>
      <c r="S154" s="321">
        <v>0</v>
      </c>
      <c r="T154" s="88">
        <f t="shared" si="58"/>
        <v>0</v>
      </c>
      <c r="U154" s="17" t="s">
        <v>69</v>
      </c>
      <c r="V154" s="599"/>
      <c r="W154" s="599"/>
      <c r="X154" s="599"/>
      <c r="Y154" s="611"/>
      <c r="AA154" t="str">
        <f t="shared" si="62"/>
        <v/>
      </c>
      <c r="AB154" t="str">
        <f t="shared" si="63"/>
        <v/>
      </c>
      <c r="AE154" t="str">
        <f t="shared" si="51"/>
        <v>RRPP_1</v>
      </c>
      <c r="AF154">
        <f>IF(LEFT(VLOOKUP(G154,'Contorizare in SDI'!$E:$M,5,FALSE),1)="V",C154,VLOOKUP(G154,'Contorizare in SDI'!$E:$M,6,FALSE))</f>
        <v>0</v>
      </c>
      <c r="AG154">
        <f t="shared" si="52"/>
        <v>107223</v>
      </c>
      <c r="AH154">
        <f t="shared" si="59"/>
        <v>3229</v>
      </c>
      <c r="AI154">
        <f t="shared" si="48"/>
        <v>0</v>
      </c>
      <c r="AJ154">
        <f t="shared" si="60"/>
        <v>113883</v>
      </c>
      <c r="AK154">
        <f t="shared" si="65"/>
        <v>0</v>
      </c>
      <c r="AL154">
        <f t="shared" si="49"/>
        <v>0</v>
      </c>
      <c r="AM154">
        <f t="shared" si="61"/>
        <v>0</v>
      </c>
      <c r="AN154">
        <f t="shared" si="50"/>
        <v>0</v>
      </c>
      <c r="AP154" t="str">
        <f t="shared" si="53"/>
        <v>-</v>
      </c>
      <c r="AQ154">
        <f t="shared" si="54"/>
        <v>3229</v>
      </c>
    </row>
    <row r="155" spans="1:43" ht="16.5" thickBot="1">
      <c r="A155" s="17">
        <f t="shared" si="64"/>
        <v>151</v>
      </c>
      <c r="B155" s="30" t="s">
        <v>567</v>
      </c>
      <c r="C155" s="324">
        <f>'Date masura OD'!R57</f>
        <v>130325</v>
      </c>
      <c r="D155" s="291">
        <f>IFERROR(IF(VLOOKUP(B155,'Date masura OD'!$G$76:$BF$187,52,FALSE)&lt;0,-VLOOKUP(B155,'Date masura OD'!$G$76:$BF$187,52,FALSE),0),0)</f>
        <v>0</v>
      </c>
      <c r="E155" s="291">
        <v>0</v>
      </c>
      <c r="F155" s="291">
        <v>0</v>
      </c>
      <c r="G155" s="29" t="s">
        <v>660</v>
      </c>
      <c r="H155" s="312">
        <f>VLOOKUP(G155,'Contorizare in SDI'!$E$4:$M$158,$H$1-2,FALSE)</f>
        <v>25691.000000000004</v>
      </c>
      <c r="I155" s="184">
        <f>VLOOKUP(G155,'Contorizare in SDI'!E:M,7,FALSE)</f>
        <v>0</v>
      </c>
      <c r="J155" s="88">
        <f>VLOOKUP(G155,'Contorizare in SDI'!$E:$M,$J$1-2,FALSE)</f>
        <v>0</v>
      </c>
      <c r="K155" s="88">
        <f>VLOOKUP(G155,'Contorizare in SDI'!$E:$M,$K$1-2,FALSE)</f>
        <v>0</v>
      </c>
      <c r="L155" s="94" t="s">
        <v>1438</v>
      </c>
      <c r="M155" s="87">
        <v>0</v>
      </c>
      <c r="N155" s="88">
        <f>IF(COUNTIF(L155,"-")=1,0,VLOOKUP(L155,'Contorizare in SDI'!$F:$R,$N$1-3,FALSE))</f>
        <v>4594</v>
      </c>
      <c r="O155" s="88">
        <f>IF(COUNTIF(L155,"-")=1,0,VLOOKUP(L155,'Contorizare in SDI'!$F:$R,$O$1-3,FALSE))</f>
        <v>0</v>
      </c>
      <c r="P155" s="88">
        <f>IF(COUNTIF(L155,"-")=1,0,VLOOKUP(L155,'Contorizare in SDI'!$F:$R,$P$1-3,FALSE))</f>
        <v>0</v>
      </c>
      <c r="Q155" s="88">
        <f t="shared" si="56"/>
        <v>25691.000000000004</v>
      </c>
      <c r="R155" s="88">
        <f t="shared" si="57"/>
        <v>4594</v>
      </c>
      <c r="S155" s="321">
        <v>0</v>
      </c>
      <c r="T155" s="88">
        <f t="shared" si="58"/>
        <v>3396.0000000001455</v>
      </c>
      <c r="U155" s="17" t="s">
        <v>514</v>
      </c>
      <c r="V155" s="604">
        <f>SUM(H155:H156)+SUM(N155:N156)</f>
        <v>131522.99999999985</v>
      </c>
      <c r="W155" s="604">
        <f>SUM(Q155:S156)</f>
        <v>131522.99999999985</v>
      </c>
      <c r="X155" s="604">
        <f>C155</f>
        <v>130325</v>
      </c>
      <c r="Y155" s="608">
        <f>SUM(H155:H156)+SUM(T155:T156)</f>
        <v>130325</v>
      </c>
      <c r="AA155" t="str">
        <f t="shared" si="62"/>
        <v>OK</v>
      </c>
      <c r="AB155" t="str">
        <f t="shared" si="63"/>
        <v>OK</v>
      </c>
      <c r="AE155" t="str">
        <f t="shared" si="51"/>
        <v>-</v>
      </c>
      <c r="AF155">
        <f>IF(LEFT(VLOOKUP(G155,'Contorizare in SDI'!$E:$M,5,FALSE),1)="V",C155,VLOOKUP(G155,'Contorizare in SDI'!$E:$M,6,FALSE))</f>
        <v>25691.000000000004</v>
      </c>
      <c r="AG155">
        <f t="shared" si="52"/>
        <v>25691.000000000004</v>
      </c>
      <c r="AH155">
        <f t="shared" si="59"/>
        <v>0</v>
      </c>
      <c r="AI155">
        <f t="shared" si="48"/>
        <v>27343</v>
      </c>
      <c r="AJ155">
        <f t="shared" si="60"/>
        <v>27343</v>
      </c>
      <c r="AK155">
        <f t="shared" si="65"/>
        <v>27343</v>
      </c>
      <c r="AL155" s="320">
        <f>H157</f>
        <v>3396.0000000001455</v>
      </c>
      <c r="AM155">
        <f t="shared" si="61"/>
        <v>3396.0000000001455</v>
      </c>
      <c r="AN155">
        <f t="shared" si="50"/>
        <v>0</v>
      </c>
      <c r="AP155" t="str">
        <f t="shared" si="53"/>
        <v>-</v>
      </c>
      <c r="AQ155">
        <f t="shared" si="54"/>
        <v>3229</v>
      </c>
    </row>
    <row r="156" spans="1:43" ht="16.5" thickBot="1">
      <c r="A156" s="17">
        <f t="shared" si="64"/>
        <v>152</v>
      </c>
      <c r="B156" s="30" t="s">
        <v>567</v>
      </c>
      <c r="C156" s="291">
        <f>IF(B156=B155,C155,SUMIF('Date masura OD'!$G:$G,B156,'Date masura OD'!$R:$R))</f>
        <v>130325</v>
      </c>
      <c r="D156" s="291">
        <f>IFERROR(IF(VLOOKUP(B156,'Date masura OD'!$G$76:$BF$187,52,FALSE)&lt;0,-VLOOKUP(B156,'Date masura OD'!$G$76:$BF$187,52,FALSE),0),0)</f>
        <v>0</v>
      </c>
      <c r="E156" s="291">
        <v>0</v>
      </c>
      <c r="F156" s="291">
        <v>0</v>
      </c>
      <c r="G156" s="29" t="s">
        <v>661</v>
      </c>
      <c r="H156" s="316">
        <f>'Date masura OD'!R71+'Date masura OD'!R72</f>
        <v>101237.99999999985</v>
      </c>
      <c r="I156" s="184">
        <f>VLOOKUP(G156,'Contorizare in SDI'!E:M,7,FALSE)</f>
        <v>0</v>
      </c>
      <c r="J156" s="88">
        <f>VLOOKUP(G156,'Contorizare in SDI'!$E:$M,$J$1-2,FALSE)</f>
        <v>0</v>
      </c>
      <c r="K156" s="88">
        <f>VLOOKUP(G156,'Contorizare in SDI'!$E:$M,$K$1-2,FALSE)</f>
        <v>0</v>
      </c>
      <c r="L156" s="29" t="s">
        <v>69</v>
      </c>
      <c r="M156" s="87">
        <v>0</v>
      </c>
      <c r="N156" s="88">
        <f>IF(COUNTIF(L156,"-")=1,0,VLOOKUP(L156,'Contorizare in SDI'!$F:$R,$N$1-3,FALSE))</f>
        <v>0</v>
      </c>
      <c r="O156" s="88">
        <f>IF(COUNTIF(L156,"-")=1,0,VLOOKUP(L156,'Contorizare in SDI'!$F:$R,$O$1-3,FALSE))</f>
        <v>0</v>
      </c>
      <c r="P156" s="88">
        <f>IF(COUNTIF(L156,"-")=1,0,VLOOKUP(L156,'Contorizare in SDI'!$F:$R,$P$1-3,FALSE))</f>
        <v>0</v>
      </c>
      <c r="Q156" s="88">
        <f t="shared" si="56"/>
        <v>101237.99999999985</v>
      </c>
      <c r="R156" s="88">
        <f t="shared" si="57"/>
        <v>0</v>
      </c>
      <c r="S156" s="1">
        <f>I155</f>
        <v>0</v>
      </c>
      <c r="T156" s="88">
        <f t="shared" si="58"/>
        <v>0</v>
      </c>
      <c r="U156" s="22" t="s">
        <v>515</v>
      </c>
      <c r="V156" s="594"/>
      <c r="W156" s="594"/>
      <c r="X156" s="594"/>
      <c r="Y156" s="609"/>
      <c r="AA156" t="str">
        <f t="shared" si="62"/>
        <v/>
      </c>
      <c r="AB156" t="str">
        <f t="shared" si="63"/>
        <v/>
      </c>
      <c r="AE156" t="str">
        <f t="shared" si="51"/>
        <v>-</v>
      </c>
      <c r="AF156">
        <f>IF(LEFT(VLOOKUP(G156,'Contorizare in SDI'!$E:$M,5,FALSE),1)="V",C156,VLOOKUP(G156,'Contorizare in SDI'!$E:$M,6,FALSE))</f>
        <v>100159.99999999985</v>
      </c>
      <c r="AG156">
        <f t="shared" si="52"/>
        <v>125850.99999999985</v>
      </c>
      <c r="AH156">
        <f t="shared" si="59"/>
        <v>0</v>
      </c>
      <c r="AI156">
        <f t="shared" si="48"/>
        <v>106598</v>
      </c>
      <c r="AJ156">
        <f t="shared" si="60"/>
        <v>133941</v>
      </c>
      <c r="AK156">
        <f t="shared" si="65"/>
        <v>99585.999999999854</v>
      </c>
      <c r="AL156" s="255">
        <v>0</v>
      </c>
      <c r="AM156">
        <f t="shared" si="61"/>
        <v>3396.0000000001455</v>
      </c>
      <c r="AN156">
        <f t="shared" si="50"/>
        <v>0</v>
      </c>
      <c r="AP156" t="str">
        <f t="shared" si="53"/>
        <v>-</v>
      </c>
      <c r="AQ156">
        <f t="shared" si="54"/>
        <v>3229</v>
      </c>
    </row>
    <row r="157" spans="1:43" ht="16.5" thickBot="1">
      <c r="A157" s="17">
        <f t="shared" si="64"/>
        <v>153</v>
      </c>
      <c r="B157" s="256" t="s">
        <v>567</v>
      </c>
      <c r="C157" s="291">
        <f>IF(B157=B156,C156,SUMIF('Date masura OD'!$G:$G,B157,'Date masura OD'!$R:$R))</f>
        <v>130325</v>
      </c>
      <c r="D157" s="291">
        <f>IFERROR(IF(VLOOKUP(B157,'Date masura OD'!$G$76:$BF$187,52,FALSE)&lt;0,-VLOOKUP(B157,'Date masura OD'!$G$76:$BF$187,52,FALSE),0),0)</f>
        <v>0</v>
      </c>
      <c r="E157" s="291">
        <v>0</v>
      </c>
      <c r="F157" s="291">
        <v>0</v>
      </c>
      <c r="G157" s="257" t="s">
        <v>996</v>
      </c>
      <c r="H157" s="312">
        <f>C155-H155-H156</f>
        <v>3396.0000000001455</v>
      </c>
      <c r="I157" s="184">
        <f>VLOOKUP(G157,'Contorizare in SDI'!E:M,7,FALSE)</f>
        <v>0</v>
      </c>
      <c r="J157" s="88">
        <f>VLOOKUP(G157,'Contorizare in SDI'!$E:$M,$J$1-2,FALSE)</f>
        <v>0</v>
      </c>
      <c r="K157" s="88">
        <f>VLOOKUP(G157,'Contorizare in SDI'!$E:$M,$K$1-2,FALSE)</f>
        <v>0</v>
      </c>
      <c r="L157" s="257" t="s">
        <v>69</v>
      </c>
      <c r="M157" s="87">
        <v>0</v>
      </c>
      <c r="N157" s="88">
        <f>IF(COUNTIF(L157,"-")=1,0,VLOOKUP(L157,'Contorizare in SDI'!$F:$R,$N$1-3,FALSE))</f>
        <v>0</v>
      </c>
      <c r="O157" s="88">
        <f>IF(COUNTIF(L157,"-")=1,0,VLOOKUP(L157,'Contorizare in SDI'!$F:$R,$O$1-3,FALSE))</f>
        <v>0</v>
      </c>
      <c r="P157" s="88">
        <f>IF(COUNTIF(L157,"-")=1,0,VLOOKUP(L157,'Contorizare in SDI'!$F:$R,$P$1-3,FALSE))</f>
        <v>0</v>
      </c>
      <c r="Q157" s="88">
        <f t="shared" si="56"/>
        <v>0</v>
      </c>
      <c r="R157" s="88">
        <f t="shared" si="57"/>
        <v>0</v>
      </c>
      <c r="S157" s="321">
        <v>0</v>
      </c>
      <c r="T157" s="88">
        <f t="shared" si="58"/>
        <v>0</v>
      </c>
      <c r="U157" s="136" t="s">
        <v>69</v>
      </c>
      <c r="V157" s="595"/>
      <c r="W157" s="595"/>
      <c r="X157" s="595"/>
      <c r="Y157" s="610"/>
      <c r="AA157" t="str">
        <f t="shared" si="62"/>
        <v/>
      </c>
      <c r="AB157" t="str">
        <f t="shared" si="63"/>
        <v/>
      </c>
      <c r="AE157" t="str">
        <f t="shared" si="51"/>
        <v>RRPP_2</v>
      </c>
      <c r="AF157" s="255">
        <v>0</v>
      </c>
      <c r="AG157">
        <f t="shared" si="52"/>
        <v>125850.99999999985</v>
      </c>
      <c r="AH157">
        <f t="shared" si="59"/>
        <v>3396.0000000001455</v>
      </c>
      <c r="AI157">
        <f t="shared" si="48"/>
        <v>0</v>
      </c>
      <c r="AJ157">
        <f t="shared" si="60"/>
        <v>133941</v>
      </c>
      <c r="AK157">
        <f t="shared" si="65"/>
        <v>0</v>
      </c>
      <c r="AL157">
        <f t="shared" ref="AL157:AL170" si="66">IFERROR(IF(((COUNTIF($B:$B,B157)-1)-(IF(RIGHT(G157,1)="N",COUNTIF($B:$B,B157),_xlfn.NUMBERVALUE(RIGHT(G157,1)))))&gt;0,ROUNDUP(H157*1.5%,0),IF(((COUNTIF($B:$B,B157)-1)-(IF(RIGHT(G157,1)="N",COUNTIF($B:$B,B157),_xlfn.NUMBERVALUE(RIGHT(G157,1)))))=0,VLOOKUP(B157,$AE:$AK,4,FALSE)-AM156,0)),0)</f>
        <v>0</v>
      </c>
      <c r="AM157">
        <f t="shared" si="61"/>
        <v>0</v>
      </c>
      <c r="AN157">
        <f t="shared" si="50"/>
        <v>0</v>
      </c>
      <c r="AP157" t="str">
        <f t="shared" si="53"/>
        <v>RRPP</v>
      </c>
      <c r="AQ157">
        <f t="shared" si="54"/>
        <v>6625.0000000001455</v>
      </c>
    </row>
    <row r="158" spans="1:43" ht="16.5" thickBot="1">
      <c r="A158" s="17">
        <f t="shared" si="64"/>
        <v>154</v>
      </c>
      <c r="B158" s="256" t="s">
        <v>1272</v>
      </c>
      <c r="C158" s="291">
        <f>IF(B158=B157,C157,SUMIF('Date masura OD'!$G:$G,B158,'Date masura OD'!$R:$R))</f>
        <v>25440</v>
      </c>
      <c r="D158" s="291">
        <f>IFERROR(IF(VLOOKUP(B158,'Date masura OD'!$G$76:$BF$187,52,FALSE)&lt;0,-VLOOKUP(B158,'Date masura OD'!$G$76:$BF$187,52,FALSE),0),0)</f>
        <v>659</v>
      </c>
      <c r="E158" s="291">
        <v>0</v>
      </c>
      <c r="F158" s="291">
        <v>0</v>
      </c>
      <c r="G158" s="257" t="s">
        <v>1273</v>
      </c>
      <c r="H158" s="312">
        <f>IF(C158=0,0,IF(RIGHT(G158,1)="N",ROUNDUP(C158*1.5%,0),IF(LEN(RIGHT(G158,LEN(G158)-FIND("_",G158,1)))=1,SUMIF('Date masura OD'!$G:$G,G158,'Date masura OD'!$R:$R),AK158)))</f>
        <v>25058</v>
      </c>
      <c r="I158" s="184">
        <f>VLOOKUP(G158,'Contorizare in SDI'!E:M,7,FALSE)</f>
        <v>659</v>
      </c>
      <c r="J158" s="88">
        <f>VLOOKUP(G158,'Contorizare in SDI'!$E:$M,$J$1-2,FALSE)</f>
        <v>964</v>
      </c>
      <c r="K158" s="88">
        <f>VLOOKUP(G158,'Contorizare in SDI'!$E:$M,$K$1-2,FALSE)</f>
        <v>4601</v>
      </c>
      <c r="L158" s="257" t="str">
        <f>G158&amp;"/PV"</f>
        <v>RN1_Brasov_1/PV</v>
      </c>
      <c r="M158" s="87">
        <v>0</v>
      </c>
      <c r="N158" s="88">
        <f>IF(COUNTIF(L158,"-")=1,0,VLOOKUP(L158,'Contorizare in SDI'!$F:$R,$N$1-3,FALSE))</f>
        <v>15997</v>
      </c>
      <c r="O158" s="88">
        <f>IF(COUNTIF(L158,"-")=1,0,VLOOKUP(L158,'Contorizare in SDI'!$F:$R,$O$1-3,FALSE))</f>
        <v>3296</v>
      </c>
      <c r="P158" s="88">
        <f>IF(COUNTIF(L158,"-")=1,0,VLOOKUP(L158,'Contorizare in SDI'!$F:$R,$P$1-3,FALSE))</f>
        <v>482</v>
      </c>
      <c r="Q158" s="88">
        <f t="shared" si="56"/>
        <v>25058</v>
      </c>
      <c r="R158" s="88">
        <f t="shared" si="57"/>
        <v>15338</v>
      </c>
      <c r="S158" s="321">
        <v>0</v>
      </c>
      <c r="T158" s="88">
        <f t="shared" si="58"/>
        <v>382</v>
      </c>
      <c r="U158" s="17" t="s">
        <v>514</v>
      </c>
      <c r="V158" s="592">
        <f>SUM(H158)+SUM(N158)-D158</f>
        <v>40396</v>
      </c>
      <c r="W158" s="580">
        <f>SUM(Q158:S158)</f>
        <v>40396</v>
      </c>
      <c r="X158" s="580">
        <f>C158</f>
        <v>25440</v>
      </c>
      <c r="Y158" s="582">
        <f>SUM(H158)+SUM(T158)</f>
        <v>25440</v>
      </c>
      <c r="AA158" t="str">
        <f t="shared" si="62"/>
        <v>OK</v>
      </c>
      <c r="AB158" t="str">
        <f t="shared" si="63"/>
        <v>OK</v>
      </c>
      <c r="AE158" s="314" t="str">
        <f>IF(RIGHT(G158,1)="N",B158,"-")</f>
        <v>-</v>
      </c>
      <c r="AF158">
        <f>IF(LEFT(VLOOKUP(G158,'Contorizare in SDI'!$E:$M,5,FALSE),1)="V",C158,VLOOKUP(G158,'Contorizare in SDI'!$E:$M,6,FALSE))</f>
        <v>22098</v>
      </c>
      <c r="AG158">
        <f t="shared" si="52"/>
        <v>22098</v>
      </c>
      <c r="AH158">
        <f t="shared" si="59"/>
        <v>0</v>
      </c>
      <c r="AI158">
        <f t="shared" ref="AI158:AI176" si="67">ROUNDUP(AF158/(VLOOKUP(B158,$AE:$AH,3,FALSE)-VLOOKUP(B158,$AE:$AH,4,FALSE))*C158,0)</f>
        <v>25888</v>
      </c>
      <c r="AJ158">
        <f t="shared" si="60"/>
        <v>25888</v>
      </c>
      <c r="AK158">
        <f t="shared" si="65"/>
        <v>25058</v>
      </c>
      <c r="AL158">
        <f t="shared" si="66"/>
        <v>382</v>
      </c>
      <c r="AM158">
        <f t="shared" si="61"/>
        <v>382</v>
      </c>
      <c r="AN158">
        <f t="shared" si="50"/>
        <v>0</v>
      </c>
      <c r="AP158" s="326" t="str">
        <f t="shared" ref="AP158" si="68">IF(LEFT(B158,FIND("_",B158,1)-1)&lt;&gt;LEFT(B159,FIND("_",B159,1)-1),LEFT(B158,FIND("_",B158,1)-1),"-")</f>
        <v>-</v>
      </c>
      <c r="AQ158">
        <f t="shared" ref="AQ158:AQ170" si="69">IF(AND(COUNTIF(AP158,"-")=1,COUNTIF(AP157,"-")=0),0,AH158+AQ157)</f>
        <v>0</v>
      </c>
    </row>
    <row r="159" spans="1:43" ht="16.5" thickBot="1">
      <c r="A159" s="17">
        <f t="shared" si="64"/>
        <v>155</v>
      </c>
      <c r="B159" s="256" t="s">
        <v>1272</v>
      </c>
      <c r="C159" s="291">
        <f>IF(B159=B158,C158,SUMIF('Date masura OD'!$G:$G,B159,'Date masura OD'!$R:$R))</f>
        <v>25440</v>
      </c>
      <c r="D159" s="291">
        <f>IFERROR(IF(VLOOKUP(B159,'Date masura OD'!$G$76:$BF$187,52,FALSE)&lt;0,-VLOOKUP(B159,'Date masura OD'!$G$76:$BF$187,52,FALSE),0),0)</f>
        <v>659</v>
      </c>
      <c r="E159" s="291">
        <v>0</v>
      </c>
      <c r="F159" s="291">
        <v>0</v>
      </c>
      <c r="G159" s="257" t="s">
        <v>1274</v>
      </c>
      <c r="H159" s="312">
        <f>IF(C159=0,0,IF(RIGHT(G159,1)="N",ROUNDUP(C159*1.5%,0),IF(LEN(RIGHT(G159,LEN(G159)-FIND("_",G159,1)))=1,SUMIF('Date masura OD'!$G:$G,G159,'Date masura OD'!$R:$R),AK159)))</f>
        <v>382</v>
      </c>
      <c r="I159" s="184">
        <f>VLOOKUP(G159,'Contorizare in SDI'!E:M,7,FALSE)</f>
        <v>0</v>
      </c>
      <c r="J159" s="88">
        <f>VLOOKUP(G159,'Contorizare in SDI'!$E:$M,$J$1-2,FALSE)</f>
        <v>0</v>
      </c>
      <c r="K159" s="88">
        <f>VLOOKUP(G159,'Contorizare in SDI'!$E:$M,$K$1-2,FALSE)</f>
        <v>0</v>
      </c>
      <c r="L159" s="257" t="s">
        <v>69</v>
      </c>
      <c r="M159" s="87">
        <v>0</v>
      </c>
      <c r="N159" s="88">
        <f>IF(COUNTIF(L159,"-")=1,0,VLOOKUP(L159,'Contorizare in SDI'!$F:$R,$N$1-3,FALSE))</f>
        <v>0</v>
      </c>
      <c r="O159" s="88">
        <f>IF(COUNTIF(L159,"-")=1,0,VLOOKUP(L159,'Contorizare in SDI'!$F:$R,$O$1-3,FALSE))</f>
        <v>0</v>
      </c>
      <c r="P159" s="88">
        <f>IF(COUNTIF(L159,"-")=1,0,VLOOKUP(L159,'Contorizare in SDI'!$F:$R,$P$1-3,FALSE))</f>
        <v>0</v>
      </c>
      <c r="Q159" s="88">
        <f t="shared" si="56"/>
        <v>0</v>
      </c>
      <c r="R159" s="88">
        <f t="shared" si="57"/>
        <v>0</v>
      </c>
      <c r="S159" s="321">
        <v>0</v>
      </c>
      <c r="T159" s="88">
        <f t="shared" si="58"/>
        <v>0</v>
      </c>
      <c r="U159" s="17" t="s">
        <v>69</v>
      </c>
      <c r="V159" s="581"/>
      <c r="W159" s="581"/>
      <c r="X159" s="581"/>
      <c r="Y159" s="583"/>
      <c r="AE159" s="314" t="str">
        <f t="shared" ref="AE159:AE170" si="70">IF(RIGHT(G159,1)="N",B159,"-")</f>
        <v>RN1_Brasov</v>
      </c>
      <c r="AF159">
        <f>IF(LEFT(VLOOKUP(G159,'Contorizare in SDI'!$E:$M,5,FALSE),1)="V",C159,VLOOKUP(G159,'Contorizare in SDI'!$E:$M,6,FALSE))</f>
        <v>0</v>
      </c>
      <c r="AG159">
        <f t="shared" si="52"/>
        <v>22098</v>
      </c>
      <c r="AH159">
        <f t="shared" si="59"/>
        <v>382</v>
      </c>
      <c r="AI159">
        <f t="shared" si="67"/>
        <v>0</v>
      </c>
      <c r="AJ159">
        <f t="shared" si="60"/>
        <v>25888</v>
      </c>
      <c r="AK159">
        <f t="shared" si="65"/>
        <v>0</v>
      </c>
      <c r="AL159">
        <f t="shared" si="66"/>
        <v>0</v>
      </c>
      <c r="AM159">
        <f t="shared" si="61"/>
        <v>0</v>
      </c>
      <c r="AN159">
        <f t="shared" si="50"/>
        <v>-659</v>
      </c>
      <c r="AP159" s="326" t="s">
        <v>1272</v>
      </c>
      <c r="AQ159">
        <f t="shared" si="69"/>
        <v>382</v>
      </c>
    </row>
    <row r="160" spans="1:43" ht="16.5" thickBot="1">
      <c r="A160" s="17">
        <f t="shared" si="64"/>
        <v>156</v>
      </c>
      <c r="B160" s="256" t="s">
        <v>1223</v>
      </c>
      <c r="C160" s="291">
        <f>IF(B160=B159,C159,SUMIF('Date masura OD'!$G:$G,B160,'Date masura OD'!$R:$R))</f>
        <v>6200</v>
      </c>
      <c r="D160" s="291">
        <f>IFERROR(IF(VLOOKUP(B160,'Date masura OD'!$G$76:$BF$187,52,FALSE)&lt;0,-VLOOKUP(B160,'Date masura OD'!$G$76:$BF$187,52,FALSE),0),0)</f>
        <v>20304</v>
      </c>
      <c r="E160" s="291">
        <v>0</v>
      </c>
      <c r="F160" s="291">
        <v>0</v>
      </c>
      <c r="G160" s="257" t="s">
        <v>1275</v>
      </c>
      <c r="H160" s="312">
        <f>IF(C160=0,0,IF(RIGHT(G160,1)="N",ROUNDUP(C160*1.5%,0),IF(LEN(RIGHT(G160,LEN(G160)-FIND("_",G160,1)))=1,SUMIF('Date masura OD'!$G:$G,G160,'Date masura OD'!$R:$R),AK160)))</f>
        <v>6107</v>
      </c>
      <c r="I160" s="184">
        <f>VLOOKUP(G160,'Contorizare in SDI'!E:M,7,FALSE)</f>
        <v>20304</v>
      </c>
      <c r="J160" s="88">
        <f>VLOOKUP(G160,'Contorizare in SDI'!$E:$M,$J$1-2,FALSE)</f>
        <v>0</v>
      </c>
      <c r="K160" s="88">
        <f>VLOOKUP(G160,'Contorizare in SDI'!$E:$M,$K$1-2,FALSE)</f>
        <v>7353</v>
      </c>
      <c r="L160" s="257" t="str">
        <f>G160&amp;"/PV"</f>
        <v>RN10_Sfantul Gheorghe_1/PV</v>
      </c>
      <c r="M160" s="87">
        <v>0</v>
      </c>
      <c r="N160" s="88">
        <f>IF(COUNTIF(L160,"-")=1,0,VLOOKUP(L160,'Contorizare in SDI'!$F:$R,$N$1-3,FALSE))</f>
        <v>31304</v>
      </c>
      <c r="O160" s="88">
        <f>IF(COUNTIF(L160,"-")=1,0,VLOOKUP(L160,'Contorizare in SDI'!$F:$R,$O$1-3,FALSE))</f>
        <v>348</v>
      </c>
      <c r="P160" s="88">
        <f>IF(COUNTIF(L160,"-")=1,0,VLOOKUP(L160,'Contorizare in SDI'!$F:$R,$P$1-3,FALSE))</f>
        <v>145</v>
      </c>
      <c r="Q160" s="88">
        <f t="shared" si="56"/>
        <v>6107</v>
      </c>
      <c r="R160" s="88">
        <f t="shared" si="57"/>
        <v>11000</v>
      </c>
      <c r="S160" s="321">
        <v>0</v>
      </c>
      <c r="T160" s="88">
        <f t="shared" si="58"/>
        <v>93</v>
      </c>
      <c r="U160" s="17" t="s">
        <v>514</v>
      </c>
      <c r="V160" s="592">
        <f>SUM(H160)+SUM(N160)-D160</f>
        <v>17107</v>
      </c>
      <c r="W160" s="580">
        <f>SUM(Q160:S160)</f>
        <v>17107</v>
      </c>
      <c r="X160" s="580">
        <f>C160</f>
        <v>6200</v>
      </c>
      <c r="Y160" s="582">
        <f>SUM(H160)+SUM(T160)</f>
        <v>6200</v>
      </c>
      <c r="AA160" t="str">
        <f>IF(B159&lt;&gt;B160,IF(V160=W160,"OK","Not OK"),"")</f>
        <v>OK</v>
      </c>
      <c r="AB160" t="str">
        <f>IF(B159&lt;&gt;B160,IF(X160=Y160,"OK","Not OK"),"")</f>
        <v>OK</v>
      </c>
      <c r="AE160" s="314" t="str">
        <f t="shared" si="70"/>
        <v>-</v>
      </c>
      <c r="AF160">
        <f>IF(LEFT(VLOOKUP(G160,'Contorizare in SDI'!$E:$M,5,FALSE),1)="V",C160,VLOOKUP(G160,'Contorizare in SDI'!$E:$M,6,FALSE))</f>
        <v>6436</v>
      </c>
      <c r="AG160">
        <f t="shared" si="52"/>
        <v>6436</v>
      </c>
      <c r="AH160">
        <f t="shared" si="59"/>
        <v>0</v>
      </c>
      <c r="AI160">
        <f t="shared" si="67"/>
        <v>6291</v>
      </c>
      <c r="AJ160">
        <f t="shared" si="60"/>
        <v>6291</v>
      </c>
      <c r="AK160">
        <f t="shared" si="65"/>
        <v>6107</v>
      </c>
      <c r="AL160">
        <f t="shared" si="66"/>
        <v>93</v>
      </c>
      <c r="AM160">
        <f t="shared" si="61"/>
        <v>93</v>
      </c>
      <c r="AN160">
        <f t="shared" si="50"/>
        <v>0</v>
      </c>
      <c r="AP160" s="326" t="s">
        <v>69</v>
      </c>
      <c r="AQ160">
        <f t="shared" si="69"/>
        <v>0</v>
      </c>
    </row>
    <row r="161" spans="1:43" ht="16.5" thickBot="1">
      <c r="A161" s="17">
        <f t="shared" si="64"/>
        <v>157</v>
      </c>
      <c r="B161" s="256" t="s">
        <v>1223</v>
      </c>
      <c r="C161" s="291">
        <f>IF(B161=B160,C160,SUMIF('Date masura OD'!$G:$G,B161,'Date masura OD'!$R:$R))</f>
        <v>6200</v>
      </c>
      <c r="D161" s="291">
        <f>IFERROR(IF(VLOOKUP(B161,'Date masura OD'!$G$76:$BF$187,52,FALSE)&lt;0,-VLOOKUP(B161,'Date masura OD'!$G$76:$BF$187,52,FALSE),0),0)</f>
        <v>20304</v>
      </c>
      <c r="E161" s="291">
        <v>0</v>
      </c>
      <c r="F161" s="291">
        <v>0</v>
      </c>
      <c r="G161" s="257" t="s">
        <v>1276</v>
      </c>
      <c r="H161" s="312">
        <f>IF(C161=0,0,IF(RIGHT(G161,1)="N",ROUNDUP(C161*1.5%,0),IF(LEN(RIGHT(G161,LEN(G161)-FIND("_",G161,1)))=1,SUMIF('Date masura OD'!$G:$G,G161,'Date masura OD'!$R:$R),AK161)))</f>
        <v>93</v>
      </c>
      <c r="I161" s="184">
        <f>VLOOKUP(G161,'Contorizare in SDI'!E:M,7,FALSE)</f>
        <v>0</v>
      </c>
      <c r="J161" s="88">
        <f>VLOOKUP(G161,'Contorizare in SDI'!$E:$M,$J$1-2,FALSE)</f>
        <v>0</v>
      </c>
      <c r="K161" s="88">
        <f>VLOOKUP(G161,'Contorizare in SDI'!$E:$M,$K$1-2,FALSE)</f>
        <v>0</v>
      </c>
      <c r="L161" s="29" t="s">
        <v>69</v>
      </c>
      <c r="M161" s="87">
        <v>0</v>
      </c>
      <c r="N161" s="88">
        <f>IF(COUNTIF(L161,"-")=1,0,VLOOKUP(L161,'Contorizare in SDI'!$F:$R,$N$1-3,FALSE))</f>
        <v>0</v>
      </c>
      <c r="O161" s="88">
        <f>IF(COUNTIF(L161,"-")=1,0,VLOOKUP(L161,'Contorizare in SDI'!$F:$R,$O$1-3,FALSE))</f>
        <v>0</v>
      </c>
      <c r="P161" s="88">
        <f>IF(COUNTIF(L161,"-")=1,0,VLOOKUP(L161,'Contorizare in SDI'!$F:$R,$P$1-3,FALSE))</f>
        <v>0</v>
      </c>
      <c r="Q161" s="88">
        <f t="shared" si="56"/>
        <v>0</v>
      </c>
      <c r="R161" s="88">
        <f t="shared" si="57"/>
        <v>0</v>
      </c>
      <c r="S161" s="321">
        <v>0</v>
      </c>
      <c r="T161" s="88">
        <f t="shared" si="58"/>
        <v>0</v>
      </c>
      <c r="U161" s="17" t="s">
        <v>69</v>
      </c>
      <c r="V161" s="581"/>
      <c r="W161" s="581"/>
      <c r="X161" s="581"/>
      <c r="Y161" s="583"/>
      <c r="AE161" s="314" t="str">
        <f t="shared" si="70"/>
        <v>RN10_Sfantul Gheorghe</v>
      </c>
      <c r="AF161">
        <f>IF(LEFT(VLOOKUP(G161,'Contorizare in SDI'!$E:$M,5,FALSE),1)="V",C161,VLOOKUP(G161,'Contorizare in SDI'!$E:$M,6,FALSE))</f>
        <v>0</v>
      </c>
      <c r="AG161">
        <f t="shared" si="52"/>
        <v>6436</v>
      </c>
      <c r="AH161">
        <f t="shared" si="59"/>
        <v>93</v>
      </c>
      <c r="AI161">
        <f t="shared" si="67"/>
        <v>0</v>
      </c>
      <c r="AJ161">
        <f t="shared" si="60"/>
        <v>6291</v>
      </c>
      <c r="AK161">
        <f t="shared" si="65"/>
        <v>0</v>
      </c>
      <c r="AL161">
        <f t="shared" si="66"/>
        <v>0</v>
      </c>
      <c r="AM161">
        <f t="shared" si="61"/>
        <v>0</v>
      </c>
      <c r="AN161">
        <f t="shared" si="50"/>
        <v>-20304</v>
      </c>
      <c r="AP161" s="326" t="s">
        <v>1223</v>
      </c>
      <c r="AQ161">
        <f t="shared" si="69"/>
        <v>93</v>
      </c>
    </row>
    <row r="162" spans="1:43" ht="16.5" thickBot="1">
      <c r="A162" s="17">
        <f t="shared" si="64"/>
        <v>158</v>
      </c>
      <c r="B162" s="256" t="s">
        <v>1225</v>
      </c>
      <c r="C162" s="291">
        <f>IF(B162=B161,C161,SUMIF('Date masura OD'!$G:$G,B162,'Date masura OD'!$R:$R))</f>
        <v>10600</v>
      </c>
      <c r="D162" s="291">
        <f>IFERROR(IF(VLOOKUP(B162,'Date masura OD'!$G$76:$BF$187,52,FALSE)&lt;0,-VLOOKUP(B162,'Date masura OD'!$G$76:$BF$187,52,FALSE),0),0)</f>
        <v>21751</v>
      </c>
      <c r="E162" s="291">
        <v>0</v>
      </c>
      <c r="F162" s="291">
        <v>0</v>
      </c>
      <c r="G162" s="257" t="s">
        <v>1277</v>
      </c>
      <c r="H162" s="312">
        <f>IF(C162=0,0,IF(RIGHT(G162,1)="N",ROUNDUP(C162*1.5%,0),IF(LEN(RIGHT(G162,LEN(G162)-FIND("_",G162,1)))=1,SUMIF('Date masura OD'!$G:$G,G162,'Date masura OD'!$R:$R),AK162)))</f>
        <v>10441</v>
      </c>
      <c r="I162" s="184">
        <f>VLOOKUP(G162,'Contorizare in SDI'!E:M,7,FALSE)</f>
        <v>21751</v>
      </c>
      <c r="J162" s="88">
        <f>VLOOKUP(G162,'Contorizare in SDI'!$E:$M,$J$1-2,FALSE)</f>
        <v>0</v>
      </c>
      <c r="K162" s="88">
        <f>VLOOKUP(G162,'Contorizare in SDI'!$E:$M,$K$1-2,FALSE)</f>
        <v>8511</v>
      </c>
      <c r="L162" s="257" t="str">
        <f>G162&amp;"/PV"</f>
        <v>RN10_Sighisoara_1/PV</v>
      </c>
      <c r="M162" s="87">
        <v>0</v>
      </c>
      <c r="N162" s="88">
        <f>IF(COUNTIF(L162,"-")=1,0,VLOOKUP(L162,'Contorizare in SDI'!$F:$R,$N$1-3,FALSE))</f>
        <v>41728</v>
      </c>
      <c r="O162" s="88">
        <f>IF(COUNTIF(L162,"-")=1,0,VLOOKUP(L162,'Contorizare in SDI'!$F:$R,$O$1-3,FALSE))</f>
        <v>507</v>
      </c>
      <c r="P162" s="88">
        <f>IF(COUNTIF(L162,"-")=1,0,VLOOKUP(L162,'Contorizare in SDI'!$F:$R,$P$1-3,FALSE))</f>
        <v>144</v>
      </c>
      <c r="Q162" s="88">
        <f t="shared" si="56"/>
        <v>10441</v>
      </c>
      <c r="R162" s="88">
        <f t="shared" si="57"/>
        <v>19977</v>
      </c>
      <c r="S162" s="321">
        <v>0</v>
      </c>
      <c r="T162" s="88">
        <f t="shared" si="58"/>
        <v>159</v>
      </c>
      <c r="U162" s="17" t="s">
        <v>514</v>
      </c>
      <c r="V162" s="592">
        <f>SUM(H162)+SUM(N162)-D162</f>
        <v>30418</v>
      </c>
      <c r="W162" s="580">
        <f>SUM(Q162:S162)</f>
        <v>30418</v>
      </c>
      <c r="X162" s="580">
        <f>C162</f>
        <v>10600</v>
      </c>
      <c r="Y162" s="582">
        <f>SUM(H162)+SUM(T162)</f>
        <v>10600</v>
      </c>
      <c r="AA162" t="str">
        <f>IF(B161&lt;&gt;B162,IF(V162=W162,"OK","Not OK"),"")</f>
        <v>OK</v>
      </c>
      <c r="AB162" t="str">
        <f>IF(B161&lt;&gt;B162,IF(X162=Y162,"OK","Not OK"),"")</f>
        <v>OK</v>
      </c>
      <c r="AE162" s="314" t="str">
        <f t="shared" si="70"/>
        <v>-</v>
      </c>
      <c r="AF162">
        <f>IF(LEFT(VLOOKUP(G162,'Contorizare in SDI'!$E:$M,5,FALSE),1)="V",C162,VLOOKUP(G162,'Contorizare in SDI'!$E:$M,6,FALSE))</f>
        <v>10237</v>
      </c>
      <c r="AG162">
        <f t="shared" si="52"/>
        <v>10237</v>
      </c>
      <c r="AH162">
        <f t="shared" si="59"/>
        <v>0</v>
      </c>
      <c r="AI162">
        <f t="shared" si="67"/>
        <v>10768</v>
      </c>
      <c r="AJ162">
        <f t="shared" si="60"/>
        <v>10768</v>
      </c>
      <c r="AK162">
        <f t="shared" si="65"/>
        <v>10441</v>
      </c>
      <c r="AL162">
        <f t="shared" si="66"/>
        <v>159</v>
      </c>
      <c r="AM162">
        <f t="shared" si="61"/>
        <v>159</v>
      </c>
      <c r="AN162">
        <f t="shared" si="50"/>
        <v>0</v>
      </c>
      <c r="AP162" s="326" t="s">
        <v>69</v>
      </c>
      <c r="AQ162">
        <f t="shared" si="69"/>
        <v>0</v>
      </c>
    </row>
    <row r="163" spans="1:43" ht="16.5" thickBot="1">
      <c r="A163" s="17">
        <f t="shared" si="64"/>
        <v>159</v>
      </c>
      <c r="B163" s="256" t="s">
        <v>1225</v>
      </c>
      <c r="C163" s="291">
        <f>IF(B163=B162,C162,SUMIF('Date masura OD'!$G:$G,B163,'Date masura OD'!$R:$R))</f>
        <v>10600</v>
      </c>
      <c r="D163" s="291">
        <f>IFERROR(IF(VLOOKUP(B163,'Date masura OD'!$G$76:$BF$187,52,FALSE)&lt;0,-VLOOKUP(B163,'Date masura OD'!$G$76:$BF$187,52,FALSE),0),0)</f>
        <v>21751</v>
      </c>
      <c r="E163" s="291">
        <v>0</v>
      </c>
      <c r="F163" s="291">
        <v>0</v>
      </c>
      <c r="G163" s="257" t="s">
        <v>1278</v>
      </c>
      <c r="H163" s="312">
        <f>IF(C163=0,0,IF(RIGHT(G163,1)="N",ROUNDUP(C163*1.5%,0),IF(LEN(RIGHT(G163,LEN(G163)-FIND("_",G163,1)))=1,SUMIF('Date masura OD'!$G:$G,G163,'Date masura OD'!$R:$R),AK163)))</f>
        <v>159</v>
      </c>
      <c r="I163" s="184">
        <f>VLOOKUP(G163,'Contorizare in SDI'!E:M,7,FALSE)</f>
        <v>0</v>
      </c>
      <c r="J163" s="88">
        <f>VLOOKUP(G163,'Contorizare in SDI'!$E:$M,$J$1-2,FALSE)</f>
        <v>0</v>
      </c>
      <c r="K163" s="88">
        <f>VLOOKUP(G163,'Contorizare in SDI'!$E:$M,$K$1-2,FALSE)</f>
        <v>0</v>
      </c>
      <c r="L163" s="254" t="s">
        <v>69</v>
      </c>
      <c r="M163" s="87">
        <v>0</v>
      </c>
      <c r="N163" s="88">
        <f>IF(COUNTIF(L163,"-")=1,0,VLOOKUP(L163,'Contorizare in SDI'!$F:$R,$N$1-3,FALSE))</f>
        <v>0</v>
      </c>
      <c r="O163" s="88">
        <f>IF(COUNTIF(L163,"-")=1,0,VLOOKUP(L163,'Contorizare in SDI'!$F:$R,$O$1-3,FALSE))</f>
        <v>0</v>
      </c>
      <c r="P163" s="88">
        <f>IF(COUNTIF(L163,"-")=1,0,VLOOKUP(L163,'Contorizare in SDI'!$F:$R,$P$1-3,FALSE))</f>
        <v>0</v>
      </c>
      <c r="Q163" s="88">
        <f t="shared" si="56"/>
        <v>0</v>
      </c>
      <c r="R163" s="88">
        <f t="shared" si="57"/>
        <v>0</v>
      </c>
      <c r="S163" s="321">
        <v>0</v>
      </c>
      <c r="T163" s="88">
        <f t="shared" si="58"/>
        <v>0</v>
      </c>
      <c r="U163" s="17" t="s">
        <v>69</v>
      </c>
      <c r="V163" s="581"/>
      <c r="W163" s="581"/>
      <c r="X163" s="581"/>
      <c r="Y163" s="583"/>
      <c r="AE163" s="314" t="str">
        <f t="shared" si="70"/>
        <v>RN10_Sighisoara</v>
      </c>
      <c r="AF163">
        <f>IF(LEFT(VLOOKUP(G163,'Contorizare in SDI'!$E:$M,5,FALSE),1)="V",C163,VLOOKUP(G163,'Contorizare in SDI'!$E:$M,6,FALSE))</f>
        <v>0</v>
      </c>
      <c r="AG163">
        <f t="shared" si="52"/>
        <v>10237</v>
      </c>
      <c r="AH163">
        <f t="shared" si="59"/>
        <v>159</v>
      </c>
      <c r="AI163">
        <f t="shared" si="67"/>
        <v>0</v>
      </c>
      <c r="AJ163">
        <f t="shared" si="60"/>
        <v>10768</v>
      </c>
      <c r="AK163">
        <f t="shared" si="65"/>
        <v>0</v>
      </c>
      <c r="AL163">
        <f t="shared" si="66"/>
        <v>0</v>
      </c>
      <c r="AM163">
        <f t="shared" si="61"/>
        <v>0</v>
      </c>
      <c r="AN163">
        <f t="shared" si="50"/>
        <v>-21751</v>
      </c>
      <c r="AP163" s="326" t="s">
        <v>1225</v>
      </c>
      <c r="AQ163">
        <f t="shared" si="69"/>
        <v>159</v>
      </c>
    </row>
    <row r="164" spans="1:43" ht="16.5" thickBot="1">
      <c r="A164" s="17">
        <f t="shared" si="64"/>
        <v>160</v>
      </c>
      <c r="B164" s="256" t="s">
        <v>1227</v>
      </c>
      <c r="C164" s="291">
        <f>IF(B164=B163,C163,SUMIF('Date masura OD'!$G:$G,B164,'Date masura OD'!$R:$R))</f>
        <v>4866</v>
      </c>
      <c r="D164" s="291">
        <f>IFERROR(IF(VLOOKUP(B164,'Date masura OD'!$G$76:$BF$187,52,FALSE)&lt;0,-VLOOKUP(B164,'Date masura OD'!$G$76:$BF$187,52,FALSE),0),0)</f>
        <v>22585</v>
      </c>
      <c r="E164" s="291">
        <v>0</v>
      </c>
      <c r="F164" s="291">
        <v>0</v>
      </c>
      <c r="G164" s="256" t="s">
        <v>1279</v>
      </c>
      <c r="H164" s="312">
        <f>IF(C164=0,0,IF(RIGHT(G164,1)="N",ROUNDUP(C164*1.5%,0),IF(LEN(RIGHT(G164,LEN(G164)-FIND("_",G164,1)))=1,SUMIF('Date masura OD'!$G:$G,G164,'Date masura OD'!$R:$R),AK164)))</f>
        <v>4793</v>
      </c>
      <c r="I164" s="184">
        <f>VLOOKUP(G164,'Contorizare in SDI'!E:M,7,FALSE)</f>
        <v>22585</v>
      </c>
      <c r="J164" s="88">
        <f>VLOOKUP(G164,'Contorizare in SDI'!$E:$M,$J$1-2,FALSE)</f>
        <v>51</v>
      </c>
      <c r="K164" s="88">
        <f>VLOOKUP(G164,'Contorizare in SDI'!$E:$M,$K$1-2,FALSE)</f>
        <v>3046</v>
      </c>
      <c r="L164" s="257" t="str">
        <f>G164&amp;"/PV"</f>
        <v>RN10_Alexandria_1/PV</v>
      </c>
      <c r="M164" s="87">
        <v>0</v>
      </c>
      <c r="N164" s="88">
        <f>IF(COUNTIF(L164,"-")=1,0,VLOOKUP(L164,'Contorizare in SDI'!$F:$R,$N$1-3,FALSE))</f>
        <v>26277</v>
      </c>
      <c r="O164" s="88">
        <f>IF(COUNTIF(L164,"-")=1,0,VLOOKUP(L164,'Contorizare in SDI'!$F:$R,$O$1-3,FALSE))</f>
        <v>7892</v>
      </c>
      <c r="P164" s="88">
        <f>IF(COUNTIF(L164,"-")=1,0,VLOOKUP(L164,'Contorizare in SDI'!$F:$R,$P$1-3,FALSE))</f>
        <v>284</v>
      </c>
      <c r="Q164" s="88">
        <f t="shared" si="56"/>
        <v>4793</v>
      </c>
      <c r="R164" s="88">
        <f t="shared" si="57"/>
        <v>3692</v>
      </c>
      <c r="S164" s="321">
        <v>0</v>
      </c>
      <c r="T164" s="88">
        <f t="shared" si="58"/>
        <v>73</v>
      </c>
      <c r="U164" s="17" t="s">
        <v>514</v>
      </c>
      <c r="V164" s="592">
        <f>SUM(H164)+SUM(N164)-D164</f>
        <v>8485</v>
      </c>
      <c r="W164" s="580">
        <f>SUM(Q164:S164)</f>
        <v>8485</v>
      </c>
      <c r="X164" s="580">
        <f>C164</f>
        <v>4866</v>
      </c>
      <c r="Y164" s="582">
        <f>SUM(H164)+SUM(T164)</f>
        <v>4866</v>
      </c>
      <c r="AA164" t="str">
        <f>IF(B163&lt;&gt;B164,IF(V164=W164,"OK","Not OK"),"")</f>
        <v>OK</v>
      </c>
      <c r="AB164" t="str">
        <f>IF(B163&lt;&gt;B164,IF(X164=Y164,"OK","Not OK"),"")</f>
        <v>OK</v>
      </c>
      <c r="AE164" s="314" t="str">
        <f t="shared" si="70"/>
        <v>-</v>
      </c>
      <c r="AF164">
        <f>IF(LEFT(VLOOKUP(G164,'Contorizare in SDI'!$E:$M,5,FALSE),1)="V",C164,VLOOKUP(G164,'Contorizare in SDI'!$E:$M,6,FALSE))</f>
        <v>3901</v>
      </c>
      <c r="AG164">
        <f t="shared" si="52"/>
        <v>3901</v>
      </c>
      <c r="AH164">
        <f t="shared" si="59"/>
        <v>0</v>
      </c>
      <c r="AI164">
        <f t="shared" si="67"/>
        <v>4959</v>
      </c>
      <c r="AJ164">
        <f t="shared" si="60"/>
        <v>4959</v>
      </c>
      <c r="AK164">
        <f t="shared" si="65"/>
        <v>4793</v>
      </c>
      <c r="AL164">
        <f t="shared" si="66"/>
        <v>73</v>
      </c>
      <c r="AM164">
        <f t="shared" si="61"/>
        <v>73</v>
      </c>
      <c r="AN164">
        <f t="shared" ref="AN164:AN176" si="71">SUMIF($B:$B,AE164,$N:$N)-SUMIF($B:$B,AE164,$R:$R)-SUMIF($B:$B,AE164,$D:$D)</f>
        <v>0</v>
      </c>
      <c r="AP164" s="326" t="s">
        <v>69</v>
      </c>
      <c r="AQ164">
        <f t="shared" si="69"/>
        <v>0</v>
      </c>
    </row>
    <row r="165" spans="1:43" ht="16.5" thickBot="1">
      <c r="A165" s="17">
        <f t="shared" si="64"/>
        <v>161</v>
      </c>
      <c r="B165" s="256" t="s">
        <v>1227</v>
      </c>
      <c r="C165" s="291">
        <f>IF(B165=B164,C164,SUMIF('Date masura OD'!$G:$G,B165,'Date masura OD'!$R:$R))</f>
        <v>4866</v>
      </c>
      <c r="D165" s="291">
        <f>IFERROR(IF(VLOOKUP(B165,'Date masura OD'!$G$76:$BF$187,52,FALSE)&lt;0,-VLOOKUP(B165,'Date masura OD'!$G$76:$BF$187,52,FALSE),0),0)</f>
        <v>22585</v>
      </c>
      <c r="E165" s="291">
        <v>0</v>
      </c>
      <c r="F165" s="291">
        <v>0</v>
      </c>
      <c r="G165" s="256" t="s">
        <v>1280</v>
      </c>
      <c r="H165" s="312">
        <f>IF(C165=0,0,IF(RIGHT(G165,1)="N",ROUNDUP(C165*1.5%,0),IF(LEN(RIGHT(G165,LEN(G165)-FIND("_",G165,1)))=1,SUMIF('Date masura OD'!$G:$G,G165,'Date masura OD'!$R:$R),AK165)))</f>
        <v>73</v>
      </c>
      <c r="I165" s="184">
        <f>VLOOKUP(G165,'Contorizare in SDI'!E:M,7,FALSE)</f>
        <v>0</v>
      </c>
      <c r="J165" s="88">
        <f>VLOOKUP(G165,'Contorizare in SDI'!$E:$M,$J$1-2,FALSE)</f>
        <v>0</v>
      </c>
      <c r="K165" s="88">
        <f>VLOOKUP(G165,'Contorizare in SDI'!$E:$M,$K$1-2,FALSE)</f>
        <v>0</v>
      </c>
      <c r="L165" s="29" t="s">
        <v>69</v>
      </c>
      <c r="M165" s="87">
        <v>0</v>
      </c>
      <c r="N165" s="88">
        <f>IF(COUNTIF(L165,"-")=1,0,VLOOKUP(L165,'Contorizare in SDI'!$F:$R,$N$1-3,FALSE))</f>
        <v>0</v>
      </c>
      <c r="O165" s="88">
        <f>IF(COUNTIF(L165,"-")=1,0,VLOOKUP(L165,'Contorizare in SDI'!$F:$R,$O$1-3,FALSE))</f>
        <v>0</v>
      </c>
      <c r="P165" s="88">
        <f>IF(COUNTIF(L165,"-")=1,0,VLOOKUP(L165,'Contorizare in SDI'!$F:$R,$P$1-3,FALSE))</f>
        <v>0</v>
      </c>
      <c r="Q165" s="88">
        <f t="shared" si="56"/>
        <v>0</v>
      </c>
      <c r="R165" s="88">
        <f t="shared" si="57"/>
        <v>0</v>
      </c>
      <c r="S165" s="321">
        <v>0</v>
      </c>
      <c r="T165" s="88">
        <f t="shared" si="58"/>
        <v>0</v>
      </c>
      <c r="U165" s="17" t="s">
        <v>69</v>
      </c>
      <c r="V165" s="581"/>
      <c r="W165" s="581"/>
      <c r="X165" s="581"/>
      <c r="Y165" s="583"/>
      <c r="AE165" s="314" t="str">
        <f t="shared" si="70"/>
        <v>RN10_Alexandria</v>
      </c>
      <c r="AF165">
        <f>IF(LEFT(VLOOKUP(G165,'Contorizare in SDI'!$E:$M,5,FALSE),1)="V",C165,VLOOKUP(G165,'Contorizare in SDI'!$E:$M,6,FALSE))</f>
        <v>0</v>
      </c>
      <c r="AG165">
        <f t="shared" si="52"/>
        <v>3901</v>
      </c>
      <c r="AH165">
        <f t="shared" si="59"/>
        <v>73</v>
      </c>
      <c r="AI165">
        <f t="shared" si="67"/>
        <v>0</v>
      </c>
      <c r="AJ165">
        <f t="shared" si="60"/>
        <v>4959</v>
      </c>
      <c r="AK165">
        <f t="shared" si="65"/>
        <v>0</v>
      </c>
      <c r="AL165">
        <f t="shared" si="66"/>
        <v>0</v>
      </c>
      <c r="AM165">
        <f t="shared" si="61"/>
        <v>0</v>
      </c>
      <c r="AN165">
        <f t="shared" si="71"/>
        <v>-22585</v>
      </c>
      <c r="AP165" s="326" t="s">
        <v>1227</v>
      </c>
      <c r="AQ165">
        <f t="shared" si="69"/>
        <v>73</v>
      </c>
    </row>
    <row r="166" spans="1:43" ht="16.5" thickBot="1">
      <c r="A166" s="17">
        <f t="shared" si="64"/>
        <v>162</v>
      </c>
      <c r="B166" s="256" t="s">
        <v>1221</v>
      </c>
      <c r="C166" s="291">
        <f>IF(B166=B165,C165,SUMIF('Date masura OD'!$G:$G,B166,'Date masura OD'!$R:$R))</f>
        <v>13532</v>
      </c>
      <c r="D166" s="291">
        <f>IFERROR(IF(VLOOKUP(B166,'Date masura OD'!$G$76:$BF$187,52,FALSE)&lt;0,-VLOOKUP(B166,'Date masura OD'!$G$76:$BF$187,52,FALSE),0),0)</f>
        <v>13186</v>
      </c>
      <c r="E166" s="291">
        <v>0</v>
      </c>
      <c r="F166" s="291">
        <v>0</v>
      </c>
      <c r="G166" s="256" t="s">
        <v>1281</v>
      </c>
      <c r="H166" s="312">
        <f>IF(C166=0,0,IF(RIGHT(G166,1)="N",ROUNDUP(C166*1.5%,0),IF(LEN(RIGHT(G166,LEN(G166)-FIND("_",G166,1)))=1,SUMIF('Date masura OD'!$G:$G,G166,'Date masura OD'!$R:$R),AK166)))</f>
        <v>13329</v>
      </c>
      <c r="I166" s="184">
        <f>VLOOKUP(G166,'Contorizare in SDI'!E:M,7,FALSE)</f>
        <v>13186</v>
      </c>
      <c r="J166" s="88">
        <f>VLOOKUP(G166,'Contorizare in SDI'!$E:$M,$J$1-2,FALSE)</f>
        <v>1005</v>
      </c>
      <c r="K166" s="88">
        <f>VLOOKUP(G166,'Contorizare in SDI'!$E:$M,$K$1-2,FALSE)</f>
        <v>1838</v>
      </c>
      <c r="L166" s="257" t="str">
        <f>G166&amp;"/PV"</f>
        <v>RN10_Alba_1/PV</v>
      </c>
      <c r="M166" s="87">
        <v>0</v>
      </c>
      <c r="N166" s="88">
        <f>IF(COUNTIF(L166,"-")=1,0,VLOOKUP(L166,'Contorizare in SDI'!$F:$R,$N$1-3,FALSE))</f>
        <v>28164</v>
      </c>
      <c r="O166" s="88">
        <f>IF(COUNTIF(L166,"-")=1,0,VLOOKUP(L166,'Contorizare in SDI'!$F:$R,$O$1-3,FALSE))</f>
        <v>5767</v>
      </c>
      <c r="P166" s="88">
        <f>IF(COUNTIF(L166,"-")=1,0,VLOOKUP(L166,'Contorizare in SDI'!$F:$R,$P$1-3,FALSE))</f>
        <v>345</v>
      </c>
      <c r="Q166" s="88">
        <f t="shared" si="56"/>
        <v>13329</v>
      </c>
      <c r="R166" s="88">
        <f t="shared" si="57"/>
        <v>14978</v>
      </c>
      <c r="S166" s="321">
        <v>0</v>
      </c>
      <c r="T166" s="88">
        <f t="shared" si="58"/>
        <v>203</v>
      </c>
      <c r="U166" s="17" t="s">
        <v>514</v>
      </c>
      <c r="V166" s="592">
        <f>SUM(H166)+SUM(N166)-D166</f>
        <v>28307</v>
      </c>
      <c r="W166" s="580">
        <f>SUM(Q166:S166)</f>
        <v>28307</v>
      </c>
      <c r="X166" s="580">
        <f>C166</f>
        <v>13532</v>
      </c>
      <c r="Y166" s="582">
        <f>SUM(H166)+SUM(T166)</f>
        <v>13532</v>
      </c>
      <c r="AA166" t="str">
        <f>IF(B165&lt;&gt;B166,IF(V166=W166,"OK","Not OK"),"")</f>
        <v>OK</v>
      </c>
      <c r="AB166" t="str">
        <f>IF(B165&lt;&gt;B166,IF(X166=Y166,"OK","Not OK"),"")</f>
        <v>OK</v>
      </c>
      <c r="AE166" s="314" t="str">
        <f t="shared" si="70"/>
        <v>-</v>
      </c>
      <c r="AF166">
        <f>IF(LEFT(VLOOKUP(G166,'Contorizare in SDI'!$E:$M,5,FALSE),1)="V",C166,VLOOKUP(G166,'Contorizare in SDI'!$E:$M,6,FALSE))</f>
        <v>12915</v>
      </c>
      <c r="AG166">
        <f t="shared" si="52"/>
        <v>12915</v>
      </c>
      <c r="AH166">
        <f t="shared" si="59"/>
        <v>0</v>
      </c>
      <c r="AI166">
        <f t="shared" si="67"/>
        <v>13749</v>
      </c>
      <c r="AJ166">
        <f t="shared" si="60"/>
        <v>13749</v>
      </c>
      <c r="AK166">
        <f t="shared" si="65"/>
        <v>13329</v>
      </c>
      <c r="AL166">
        <f t="shared" si="66"/>
        <v>203</v>
      </c>
      <c r="AM166">
        <f t="shared" si="61"/>
        <v>203</v>
      </c>
      <c r="AN166">
        <f t="shared" si="71"/>
        <v>0</v>
      </c>
      <c r="AP166" s="326" t="s">
        <v>69</v>
      </c>
      <c r="AQ166">
        <f t="shared" si="69"/>
        <v>0</v>
      </c>
    </row>
    <row r="167" spans="1:43" ht="16.5" thickBot="1">
      <c r="A167" s="17">
        <f t="shared" si="64"/>
        <v>163</v>
      </c>
      <c r="B167" s="256" t="s">
        <v>1221</v>
      </c>
      <c r="C167" s="291">
        <f>IF(B167=B166,C166,SUMIF('Date masura OD'!$G:$G,B167,'Date masura OD'!$R:$R))</f>
        <v>13532</v>
      </c>
      <c r="D167" s="291">
        <f>IFERROR(IF(VLOOKUP(B167,'Date masura OD'!$G$76:$BF$187,52,FALSE)&lt;0,-VLOOKUP(B167,'Date masura OD'!$G$76:$BF$187,52,FALSE),0),0)</f>
        <v>13186</v>
      </c>
      <c r="E167" s="291">
        <v>0</v>
      </c>
      <c r="F167" s="291">
        <v>0</v>
      </c>
      <c r="G167" s="256" t="s">
        <v>1282</v>
      </c>
      <c r="H167" s="312">
        <f>IF(C167=0,0,IF(RIGHT(G167,1)="N",ROUNDUP(C167*1.5%,0),IF(LEN(RIGHT(G167,LEN(G167)-FIND("_",G167,1)))=1,SUMIF('Date masura OD'!$G:$G,G167,'Date masura OD'!$R:$R),AK167)))</f>
        <v>203</v>
      </c>
      <c r="I167" s="184">
        <f>VLOOKUP(G167,'Contorizare in SDI'!E:M,7,FALSE)</f>
        <v>0</v>
      </c>
      <c r="J167" s="88">
        <f>VLOOKUP(G167,'Contorizare in SDI'!$E:$M,$J$1-2,FALSE)</f>
        <v>0</v>
      </c>
      <c r="K167" s="88">
        <f>VLOOKUP(G167,'Contorizare in SDI'!$E:$M,$K$1-2,FALSE)</f>
        <v>0</v>
      </c>
      <c r="L167" s="29" t="s">
        <v>69</v>
      </c>
      <c r="M167" s="87">
        <v>0</v>
      </c>
      <c r="N167" s="88">
        <f>IF(COUNTIF(L167,"-")=1,0,VLOOKUP(L167,'Contorizare in SDI'!$F:$R,$N$1-3,FALSE))</f>
        <v>0</v>
      </c>
      <c r="O167" s="88">
        <f>IF(COUNTIF(L167,"-")=1,0,VLOOKUP(L167,'Contorizare in SDI'!$F:$R,$O$1-3,FALSE))</f>
        <v>0</v>
      </c>
      <c r="P167" s="88">
        <f>IF(COUNTIF(L167,"-")=1,0,VLOOKUP(L167,'Contorizare in SDI'!$F:$R,$P$1-3,FALSE))</f>
        <v>0</v>
      </c>
      <c r="Q167" s="88">
        <f t="shared" si="56"/>
        <v>0</v>
      </c>
      <c r="R167" s="88">
        <f t="shared" si="57"/>
        <v>0</v>
      </c>
      <c r="S167" s="321">
        <v>0</v>
      </c>
      <c r="T167" s="88">
        <f t="shared" si="58"/>
        <v>0</v>
      </c>
      <c r="U167" s="17" t="s">
        <v>69</v>
      </c>
      <c r="V167" s="581"/>
      <c r="W167" s="581"/>
      <c r="X167" s="581"/>
      <c r="Y167" s="583"/>
      <c r="AE167" s="314" t="str">
        <f t="shared" si="70"/>
        <v>RN10_Alba</v>
      </c>
      <c r="AF167">
        <f>IF(LEFT(VLOOKUP(G167,'Contorizare in SDI'!$E:$M,5,FALSE),1)="V",C167,VLOOKUP(G167,'Contorizare in SDI'!$E:$M,6,FALSE))</f>
        <v>0</v>
      </c>
      <c r="AG167">
        <f t="shared" si="52"/>
        <v>12915</v>
      </c>
      <c r="AH167">
        <f t="shared" si="59"/>
        <v>203</v>
      </c>
      <c r="AI167">
        <f t="shared" si="67"/>
        <v>0</v>
      </c>
      <c r="AJ167">
        <f t="shared" si="60"/>
        <v>13749</v>
      </c>
      <c r="AK167">
        <f t="shared" si="65"/>
        <v>0</v>
      </c>
      <c r="AL167">
        <f t="shared" si="66"/>
        <v>0</v>
      </c>
      <c r="AM167">
        <f t="shared" si="61"/>
        <v>0</v>
      </c>
      <c r="AN167">
        <f t="shared" si="71"/>
        <v>-13186</v>
      </c>
      <c r="AP167" s="326" t="s">
        <v>1221</v>
      </c>
      <c r="AQ167">
        <f t="shared" si="69"/>
        <v>203</v>
      </c>
    </row>
    <row r="168" spans="1:43" ht="16.5" thickBot="1">
      <c r="A168" s="17">
        <f t="shared" si="64"/>
        <v>164</v>
      </c>
      <c r="B168" s="256" t="s">
        <v>1265</v>
      </c>
      <c r="C168" s="291">
        <f>IF(B168=B167,C167,SUMIF('Date masura OD'!$G:$G,B168,'Date masura OD'!$R:$R))</f>
        <v>18948</v>
      </c>
      <c r="D168" s="291">
        <f>IFERROR(IF(VLOOKUP(B168,'Date masura OD'!$G$76:$BF$187,52,FALSE)&lt;0,-VLOOKUP(B168,'Date masura OD'!$G$76:$BF$187,52,FALSE),0),0)</f>
        <v>0</v>
      </c>
      <c r="E168" s="291">
        <v>0</v>
      </c>
      <c r="F168" s="291">
        <v>0</v>
      </c>
      <c r="G168" s="256" t="s">
        <v>1283</v>
      </c>
      <c r="H168" s="312">
        <f>IF(C168=0,0,IF(RIGHT(G168,1)="N",ROUNDUP(C168*1.5%,0),IF(LEN(RIGHT(G168,LEN(G168)-FIND("_",G168,1)))=1,SUMIF('Date masura OD'!$G:$G,G168,'Date masura OD'!$R:$R),AK168)))</f>
        <v>3593</v>
      </c>
      <c r="I168" s="184">
        <f>VLOOKUP(G168,'Contorizare in SDI'!E:M,7,FALSE)</f>
        <v>6506</v>
      </c>
      <c r="J168" s="88">
        <f>VLOOKUP(G168,'Contorizare in SDI'!$E:$M,$J$1-2,FALSE)</f>
        <v>1</v>
      </c>
      <c r="K168" s="88">
        <f>VLOOKUP(G168,'Contorizare in SDI'!$E:$M,$K$1-2,FALSE)</f>
        <v>5429</v>
      </c>
      <c r="L168" s="257" t="str">
        <f>G168&amp;"/PV"</f>
        <v>RN10_Vaslui_1/PV</v>
      </c>
      <c r="M168" s="87">
        <v>0</v>
      </c>
      <c r="N168" s="88">
        <f>IF(COUNTIF(L168,"-")=1,0,VLOOKUP(L168,'Contorizare in SDI'!$F:$R,$N$1-3,FALSE))</f>
        <v>16408</v>
      </c>
      <c r="O168" s="88">
        <f>IF(COUNTIF(L168,"-")=1,0,VLOOKUP(L168,'Contorizare in SDI'!$F:$R,$O$1-3,FALSE))</f>
        <v>31</v>
      </c>
      <c r="P168" s="88">
        <f>IF(COUNTIF(L168,"-")=1,0,VLOOKUP(L168,'Contorizare in SDI'!$F:$R,$P$1-3,FALSE))</f>
        <v>276</v>
      </c>
      <c r="Q168" s="88">
        <f t="shared" si="56"/>
        <v>3593</v>
      </c>
      <c r="R168" s="88">
        <f t="shared" si="57"/>
        <v>9902</v>
      </c>
      <c r="S168" s="321">
        <v>0</v>
      </c>
      <c r="T168" s="88">
        <f t="shared" si="58"/>
        <v>54</v>
      </c>
      <c r="U168" s="90" t="s">
        <v>514</v>
      </c>
      <c r="V168" s="592">
        <f>SUM(H168:H169)+SUM(N168:N169)</f>
        <v>35071</v>
      </c>
      <c r="W168" s="580">
        <f>SUM(Q168:S169)</f>
        <v>35071</v>
      </c>
      <c r="X168" s="580">
        <f>C168</f>
        <v>18948</v>
      </c>
      <c r="Y168" s="596">
        <f>SUM(H168:H169)+SUM(T168:T169)</f>
        <v>18948</v>
      </c>
      <c r="AA168" t="str">
        <f>IF(B167&lt;&gt;B168,IF(V168=W168,"OK","Not OK"),"")</f>
        <v>OK</v>
      </c>
      <c r="AB168" t="str">
        <f>IF(B167&lt;&gt;B168,IF(X168=Y168,"OK","Not OK"),"")</f>
        <v>OK</v>
      </c>
      <c r="AE168" s="314" t="str">
        <f t="shared" si="70"/>
        <v>-</v>
      </c>
      <c r="AF168">
        <f>IF(LEFT(VLOOKUP(G168,'Contorizare in SDI'!$E:$M,5,FALSE),1)="V",C168,VLOOKUP(G168,'Contorizare in SDI'!$E:$M,6,FALSE))</f>
        <v>4587</v>
      </c>
      <c r="AG168">
        <f t="shared" si="52"/>
        <v>4587</v>
      </c>
      <c r="AH168">
        <f t="shared" si="59"/>
        <v>0</v>
      </c>
      <c r="AI168">
        <f t="shared" si="67"/>
        <v>3593</v>
      </c>
      <c r="AJ168">
        <f t="shared" si="60"/>
        <v>3593</v>
      </c>
      <c r="AK168">
        <f t="shared" si="65"/>
        <v>3593</v>
      </c>
      <c r="AL168">
        <f t="shared" si="66"/>
        <v>54</v>
      </c>
      <c r="AM168">
        <f t="shared" si="61"/>
        <v>54</v>
      </c>
      <c r="AN168">
        <f t="shared" si="71"/>
        <v>0</v>
      </c>
      <c r="AP168" s="326" t="s">
        <v>69</v>
      </c>
      <c r="AQ168">
        <f t="shared" si="69"/>
        <v>0</v>
      </c>
    </row>
    <row r="169" spans="1:43" ht="16.5" thickBot="1">
      <c r="A169" s="17">
        <f t="shared" si="64"/>
        <v>165</v>
      </c>
      <c r="B169" s="256" t="s">
        <v>1265</v>
      </c>
      <c r="C169" s="291">
        <f>IF(B169=B168,C168,SUMIF('Date masura OD'!$G:$G,B169,'Date masura OD'!$R:$R))</f>
        <v>18948</v>
      </c>
      <c r="D169" s="291">
        <f>IFERROR(IF(VLOOKUP(B169,'Date masura OD'!$G$76:$BF$187,52,FALSE)&lt;0,-VLOOKUP(B169,'Date masura OD'!$G$76:$BF$187,52,FALSE),0),0)</f>
        <v>0</v>
      </c>
      <c r="E169" s="291">
        <v>0</v>
      </c>
      <c r="F169" s="291">
        <v>0</v>
      </c>
      <c r="G169" s="256" t="s">
        <v>1285</v>
      </c>
      <c r="H169" s="312">
        <f>IF(C169=0,0,IF(RIGHT(G169,1)="N",ROUNDUP(C169*1.5%,0),IF(LEN(RIGHT(G169,LEN(G169)-FIND("_",G169,1)))=1,SUMIF('Date masura OD'!$G:$G,G169,'Date masura OD'!$R:$R),AK169)))</f>
        <v>15070</v>
      </c>
      <c r="I169" s="184">
        <f>VLOOKUP(G169,'Contorizare in SDI'!E:M,7,FALSE)</f>
        <v>0</v>
      </c>
      <c r="J169" s="88">
        <f>VLOOKUP(G169,'Contorizare in SDI'!$E:$M,$J$1-2,FALSE)</f>
        <v>0</v>
      </c>
      <c r="K169" s="88">
        <f>VLOOKUP(G169,'Contorizare in SDI'!$E:$M,$K$1-2,FALSE)</f>
        <v>6408</v>
      </c>
      <c r="L169" s="29" t="s">
        <v>69</v>
      </c>
      <c r="M169" s="87">
        <v>0</v>
      </c>
      <c r="N169" s="88">
        <f>IF(COUNTIF(L169,"-")=1,0,VLOOKUP(L169,'Contorizare in SDI'!$F:$R,$N$1-3,FALSE))</f>
        <v>0</v>
      </c>
      <c r="O169" s="88">
        <f>IF(COUNTIF(L169,"-")=1,0,VLOOKUP(L169,'Contorizare in SDI'!$F:$R,$O$1-3,FALSE))</f>
        <v>0</v>
      </c>
      <c r="P169" s="88">
        <f>IF(COUNTIF(L169,"-")=1,0,VLOOKUP(L169,'Contorizare in SDI'!$F:$R,$P$1-3,FALSE))</f>
        <v>0</v>
      </c>
      <c r="Q169" s="88">
        <f t="shared" si="56"/>
        <v>15070</v>
      </c>
      <c r="R169" s="88">
        <f t="shared" si="57"/>
        <v>0</v>
      </c>
      <c r="S169">
        <f>I168</f>
        <v>6506</v>
      </c>
      <c r="T169" s="88">
        <f t="shared" si="58"/>
        <v>231</v>
      </c>
      <c r="U169" s="17" t="s">
        <v>514</v>
      </c>
      <c r="V169" s="581"/>
      <c r="W169" s="581"/>
      <c r="X169" s="581"/>
      <c r="Y169" s="597"/>
      <c r="AE169" s="314" t="str">
        <f t="shared" si="70"/>
        <v>-</v>
      </c>
      <c r="AF169">
        <f>IF(LEFT(VLOOKUP(G169,'Contorizare in SDI'!$E:$M,5,FALSE),1)="V",C169,VLOOKUP(G169,'Contorizare in SDI'!$E:$M,6,FALSE))</f>
        <v>19894</v>
      </c>
      <c r="AG169">
        <f t="shared" si="52"/>
        <v>24481</v>
      </c>
      <c r="AH169">
        <f t="shared" si="59"/>
        <v>0</v>
      </c>
      <c r="AI169">
        <f t="shared" si="67"/>
        <v>15580</v>
      </c>
      <c r="AJ169">
        <f t="shared" si="60"/>
        <v>19173</v>
      </c>
      <c r="AK169">
        <f t="shared" si="65"/>
        <v>15070</v>
      </c>
      <c r="AL169">
        <f t="shared" si="66"/>
        <v>231</v>
      </c>
      <c r="AM169">
        <f t="shared" si="61"/>
        <v>285</v>
      </c>
      <c r="AN169">
        <f t="shared" si="71"/>
        <v>0</v>
      </c>
      <c r="AP169" s="326" t="s">
        <v>69</v>
      </c>
      <c r="AQ169">
        <f t="shared" si="69"/>
        <v>0</v>
      </c>
    </row>
    <row r="170" spans="1:43" ht="16.5" thickBot="1">
      <c r="A170" s="17">
        <f t="shared" si="64"/>
        <v>166</v>
      </c>
      <c r="B170" s="256" t="s">
        <v>1265</v>
      </c>
      <c r="C170" s="291">
        <f>IF(B170=B169,C169,SUMIF('Date masura OD'!$G:$G,B170,'Date masura OD'!$R:$R))</f>
        <v>18948</v>
      </c>
      <c r="D170" s="291">
        <f>IFERROR(IF(VLOOKUP(B170,'Date masura OD'!$G$76:$BF$187,52,FALSE)&lt;0,-VLOOKUP(B170,'Date masura OD'!$G$76:$BF$187,52,FALSE),0),0)</f>
        <v>0</v>
      </c>
      <c r="E170" s="291">
        <v>0</v>
      </c>
      <c r="F170" s="291">
        <v>0</v>
      </c>
      <c r="G170" s="256" t="s">
        <v>1284</v>
      </c>
      <c r="H170" s="312">
        <f>IF(C170=0,0,IF(RIGHT(G170,1)="N",ROUNDUP(C170*1.5%,0),IF(LEN(RIGHT(G170,LEN(G170)-FIND("_",G170,1)))=1,SUMIF('Date masura OD'!$G:$G,G170,'Date masura OD'!$R:$R),AK170)))</f>
        <v>285</v>
      </c>
      <c r="I170" s="184">
        <f>VLOOKUP(G170,'Contorizare in SDI'!E:M,7,FALSE)</f>
        <v>0</v>
      </c>
      <c r="J170" s="88">
        <f>VLOOKUP(G170,'Contorizare in SDI'!$E:$M,$J$1-2,FALSE)</f>
        <v>0</v>
      </c>
      <c r="K170" s="88">
        <f>VLOOKUP(G170,'Contorizare in SDI'!$E:$M,$K$1-2,FALSE)</f>
        <v>0</v>
      </c>
      <c r="L170" s="29" t="s">
        <v>69</v>
      </c>
      <c r="M170" s="87">
        <v>0</v>
      </c>
      <c r="N170" s="88">
        <f>IF(COUNTIF(L170,"-")=1,0,VLOOKUP(L170,'Contorizare in SDI'!$F:$R,$N$1-3,FALSE))</f>
        <v>0</v>
      </c>
      <c r="O170" s="88">
        <f>IF(COUNTIF(L170,"-")=1,0,VLOOKUP(L170,'Contorizare in SDI'!$F:$R,$O$1-3,FALSE))</f>
        <v>0</v>
      </c>
      <c r="P170" s="88">
        <f>IF(COUNTIF(L170,"-")=1,0,VLOOKUP(L170,'Contorizare in SDI'!$F:$R,$P$1-3,FALSE))</f>
        <v>0</v>
      </c>
      <c r="Q170" s="88">
        <f t="shared" si="56"/>
        <v>0</v>
      </c>
      <c r="R170" s="88">
        <f t="shared" si="57"/>
        <v>0</v>
      </c>
      <c r="S170" s="321">
        <v>0</v>
      </c>
      <c r="T170" s="88">
        <f t="shared" si="58"/>
        <v>0</v>
      </c>
      <c r="U170" s="17" t="s">
        <v>69</v>
      </c>
      <c r="V170" s="581"/>
      <c r="W170" s="581"/>
      <c r="X170" s="581"/>
      <c r="Y170" s="600"/>
      <c r="AE170" s="314" t="str">
        <f t="shared" si="70"/>
        <v>RN10_Vaslui</v>
      </c>
      <c r="AF170">
        <f>IF(LEFT(VLOOKUP(G170,'Contorizare in SDI'!$E:$M,5,FALSE),1)="V",C170,VLOOKUP(G170,'Contorizare in SDI'!$E:$M,6,FALSE))</f>
        <v>0</v>
      </c>
      <c r="AG170">
        <f t="shared" si="52"/>
        <v>24481</v>
      </c>
      <c r="AH170">
        <f t="shared" si="59"/>
        <v>285</v>
      </c>
      <c r="AI170">
        <f t="shared" si="67"/>
        <v>0</v>
      </c>
      <c r="AJ170">
        <f t="shared" si="60"/>
        <v>19173</v>
      </c>
      <c r="AK170">
        <f t="shared" si="65"/>
        <v>0</v>
      </c>
      <c r="AL170">
        <f t="shared" si="66"/>
        <v>0</v>
      </c>
      <c r="AM170">
        <f t="shared" si="61"/>
        <v>0</v>
      </c>
      <c r="AN170">
        <f t="shared" si="71"/>
        <v>6506</v>
      </c>
      <c r="AP170" s="326" t="s">
        <v>1265</v>
      </c>
      <c r="AQ170">
        <f t="shared" si="69"/>
        <v>285</v>
      </c>
    </row>
    <row r="171" spans="1:43" ht="16.5" thickBot="1">
      <c r="A171" s="17">
        <f t="shared" si="64"/>
        <v>167</v>
      </c>
      <c r="B171" s="256" t="s">
        <v>1231</v>
      </c>
      <c r="C171" s="311">
        <f>IF(G171=G170,C170,SUMIF('Date masura OD'!$G:$G,G171,'Date masura OD'!$R:$R))</f>
        <v>2360</v>
      </c>
      <c r="D171" s="291">
        <f>IFERROR(IF(VLOOKUP(B171,'Date masura OD'!$G$76:$BF$187,52,FALSE)&lt;0,-VLOOKUP(B171,'Date masura OD'!$G$76:$BF$187,52,FALSE),0),0)</f>
        <v>0</v>
      </c>
      <c r="E171" s="291">
        <v>0</v>
      </c>
      <c r="F171" s="291">
        <v>0</v>
      </c>
      <c r="G171" s="256" t="s">
        <v>1266</v>
      </c>
      <c r="H171" s="315">
        <f t="shared" ref="H171:H176" si="72">C171</f>
        <v>2360</v>
      </c>
      <c r="I171" s="184">
        <f>VLOOKUP(G171,'Contorizare in SDI'!E:M,7,FALSE)</f>
        <v>0</v>
      </c>
      <c r="J171" s="88">
        <f>VLOOKUP(G171,'Contorizare in SDI'!$E:$M,$J$1-2,FALSE)</f>
        <v>0</v>
      </c>
      <c r="K171" s="88">
        <f>VLOOKUP(G171,'Contorizare in SDI'!$E:$M,$K$1-2,FALSE)</f>
        <v>0</v>
      </c>
      <c r="L171" s="29" t="s">
        <v>69</v>
      </c>
      <c r="M171" s="87">
        <v>0</v>
      </c>
      <c r="N171" s="88">
        <f>IF(COUNTIF(L171,"-")=1,0,VLOOKUP(L171,'Contorizare in SDI'!$F:$R,$N$1-3,FALSE))</f>
        <v>0</v>
      </c>
      <c r="O171" s="88">
        <f>IF(COUNTIF(L171,"-")=1,0,VLOOKUP(L171,'Contorizare in SDI'!$F:$R,$O$1-3,FALSE))</f>
        <v>0</v>
      </c>
      <c r="P171" s="88">
        <f>IF(COUNTIF(L171,"-")=1,0,VLOOKUP(L171,'Contorizare in SDI'!$F:$R,$P$1-3,FALSE))</f>
        <v>0</v>
      </c>
      <c r="Q171" s="88">
        <f t="shared" si="56"/>
        <v>2360</v>
      </c>
      <c r="R171" s="88">
        <f t="shared" si="57"/>
        <v>0</v>
      </c>
      <c r="S171" s="321">
        <v>0</v>
      </c>
      <c r="T171" s="88">
        <f t="shared" si="58"/>
        <v>0</v>
      </c>
      <c r="U171" s="17" t="s">
        <v>516</v>
      </c>
      <c r="V171" s="601">
        <f>SUM(H171:H176)+SUM(N171:N176)</f>
        <v>13243</v>
      </c>
      <c r="W171" s="581">
        <f>SUM(Q171:S176)</f>
        <v>13243</v>
      </c>
      <c r="X171" s="601">
        <f>SUM(C171:C176)</f>
        <v>13243</v>
      </c>
      <c r="Y171" s="601">
        <f>SUM(H171:H176)+SUM(T171:T176)</f>
        <v>13243</v>
      </c>
      <c r="AA171" t="str">
        <f>IF(B170&lt;&gt;B171,IF(V171=W171,"OK","Not OK"),"")</f>
        <v>OK</v>
      </c>
      <c r="AB171" t="str">
        <f>IF(B170&lt;&gt;B171,IF(X171=Y171,"OK","Not OK"),"")</f>
        <v>OK</v>
      </c>
      <c r="AE171" s="314" t="s">
        <v>1231</v>
      </c>
      <c r="AF171">
        <f>IF(LEFT(VLOOKUP(G171,'Contorizare in SDI'!$E:$M,5,FALSE),1)="V",C171,VLOOKUP(G171,'Contorizare in SDI'!$E:$M,6,FALSE))</f>
        <v>2360</v>
      </c>
      <c r="AG171">
        <f t="shared" ref="AG171:AG176" si="73">IF(B171&lt;&gt;B170,AF171,IF(COUNTIF(AE171,"-")=0,AG170,AF171+AG170))</f>
        <v>2360</v>
      </c>
      <c r="AH171">
        <f t="shared" ref="AH171:AH176" si="74">IF(RIGHT(G171,1)="N",H171,0)</f>
        <v>0</v>
      </c>
      <c r="AI171">
        <f t="shared" si="67"/>
        <v>2360</v>
      </c>
      <c r="AJ171">
        <f t="shared" ref="AJ171:AJ176" si="75">IF(B171&lt;&gt;B170,AI171,IF(COUNTIF(AE171,"-")=0,AJ170,AI171+AJ170))</f>
        <v>2360</v>
      </c>
      <c r="AK171">
        <f t="shared" si="65"/>
        <v>2360</v>
      </c>
      <c r="AL171" s="255">
        <v>0</v>
      </c>
      <c r="AM171">
        <f t="shared" ref="AM171:AM176" si="76">IF(B171&lt;&gt;B170,AL171,IF(COUNTIF(AE171,"-")=0,0,AL171+AM170))</f>
        <v>0</v>
      </c>
      <c r="AN171">
        <f t="shared" si="71"/>
        <v>0</v>
      </c>
      <c r="AP171" s="326" t="s">
        <v>1231</v>
      </c>
      <c r="AQ171" s="326">
        <v>0</v>
      </c>
    </row>
    <row r="172" spans="1:43" ht="16.5" thickBot="1">
      <c r="A172" s="17">
        <f t="shared" si="64"/>
        <v>168</v>
      </c>
      <c r="B172" s="256" t="s">
        <v>1231</v>
      </c>
      <c r="C172" s="311">
        <f>IF(G172=G171,C171,SUMIF('Date masura OD'!$G:$G,G172,'Date masura OD'!$R:$R))</f>
        <v>2956</v>
      </c>
      <c r="D172" s="291">
        <f>IFERROR(IF(VLOOKUP(B172,'Date masura OD'!$G$76:$BF$187,52,FALSE)&lt;0,-VLOOKUP(B172,'Date masura OD'!$G$76:$BF$187,52,FALSE),0),0)</f>
        <v>0</v>
      </c>
      <c r="E172" s="291">
        <v>0</v>
      </c>
      <c r="F172" s="291">
        <v>0</v>
      </c>
      <c r="G172" s="256" t="s">
        <v>1267</v>
      </c>
      <c r="H172" s="315">
        <f t="shared" si="72"/>
        <v>2956</v>
      </c>
      <c r="I172" s="184">
        <f>VLOOKUP(G172,'Contorizare in SDI'!E:M,7,FALSE)</f>
        <v>0</v>
      </c>
      <c r="J172" s="88">
        <f>VLOOKUP(G172,'Contorizare in SDI'!$E:$M,$J$1-2,FALSE)</f>
        <v>0</v>
      </c>
      <c r="K172" s="88">
        <f>VLOOKUP(G172,'Contorizare in SDI'!$E:$M,$K$1-2,FALSE)</f>
        <v>0</v>
      </c>
      <c r="L172" s="29" t="s">
        <v>69</v>
      </c>
      <c r="M172" s="87">
        <v>0</v>
      </c>
      <c r="N172" s="88">
        <f>IF(COUNTIF(L172,"-")=1,0,VLOOKUP(L172,'Contorizare in SDI'!$F:$R,$N$1-3,FALSE))</f>
        <v>0</v>
      </c>
      <c r="O172" s="88">
        <f>IF(COUNTIF(L172,"-")=1,0,VLOOKUP(L172,'Contorizare in SDI'!$F:$R,$O$1-3,FALSE))</f>
        <v>0</v>
      </c>
      <c r="P172" s="88">
        <f>IF(COUNTIF(L172,"-")=1,0,VLOOKUP(L172,'Contorizare in SDI'!$F:$R,$P$1-3,FALSE))</f>
        <v>0</v>
      </c>
      <c r="Q172" s="88">
        <f t="shared" si="56"/>
        <v>2956</v>
      </c>
      <c r="R172" s="88">
        <f t="shared" si="57"/>
        <v>0</v>
      </c>
      <c r="S172" s="321">
        <v>0</v>
      </c>
      <c r="T172" s="88">
        <f t="shared" si="58"/>
        <v>0</v>
      </c>
      <c r="U172" s="17" t="s">
        <v>516</v>
      </c>
      <c r="V172" s="581"/>
      <c r="W172" s="581"/>
      <c r="X172" s="581"/>
      <c r="Y172" s="581"/>
      <c r="AE172" s="314" t="s">
        <v>1231</v>
      </c>
      <c r="AF172">
        <f>IF(LEFT(VLOOKUP(G172,'Contorizare in SDI'!$E:$M,5,FALSE),1)="V",C172,VLOOKUP(G172,'Contorizare in SDI'!$E:$M,6,FALSE))</f>
        <v>2956</v>
      </c>
      <c r="AG172">
        <f t="shared" si="73"/>
        <v>2360</v>
      </c>
      <c r="AH172">
        <f t="shared" si="74"/>
        <v>0</v>
      </c>
      <c r="AI172">
        <f t="shared" si="67"/>
        <v>3703</v>
      </c>
      <c r="AJ172">
        <f t="shared" si="75"/>
        <v>2360</v>
      </c>
      <c r="AK172">
        <f t="shared" si="65"/>
        <v>3703</v>
      </c>
      <c r="AL172" s="255">
        <v>0</v>
      </c>
      <c r="AM172">
        <f t="shared" si="76"/>
        <v>0</v>
      </c>
      <c r="AN172">
        <f t="shared" si="71"/>
        <v>0</v>
      </c>
      <c r="AP172" s="326" t="s">
        <v>1231</v>
      </c>
      <c r="AQ172" s="326">
        <f>IF(AND(COUNTIF(AP172,"-")=1,COUNTIF(AP171,"-")=0),0,AH172+AQ171)</f>
        <v>0</v>
      </c>
    </row>
    <row r="173" spans="1:43" ht="16.5" thickBot="1">
      <c r="A173" s="17">
        <f t="shared" si="64"/>
        <v>169</v>
      </c>
      <c r="B173" s="256" t="s">
        <v>1231</v>
      </c>
      <c r="C173" s="311">
        <f>IF(G173=G172,C172,SUMIF('Date masura OD'!$G:$G,G173,'Date masura OD'!$R:$R))</f>
        <v>3005</v>
      </c>
      <c r="D173" s="291">
        <f>IFERROR(IF(VLOOKUP(B173,'Date masura OD'!$G$76:$BF$187,52,FALSE)&lt;0,-VLOOKUP(B173,'Date masura OD'!$G$76:$BF$187,52,FALSE),0),0)</f>
        <v>0</v>
      </c>
      <c r="E173" s="291">
        <v>0</v>
      </c>
      <c r="F173" s="291">
        <v>0</v>
      </c>
      <c r="G173" s="256" t="s">
        <v>1268</v>
      </c>
      <c r="H173" s="315">
        <f t="shared" si="72"/>
        <v>3005</v>
      </c>
      <c r="I173" s="184">
        <f>VLOOKUP(G173,'Contorizare in SDI'!E:M,7,FALSE)</f>
        <v>0</v>
      </c>
      <c r="J173" s="88">
        <f>VLOOKUP(G173,'Contorizare in SDI'!$E:$M,$J$1-2,FALSE)</f>
        <v>0</v>
      </c>
      <c r="K173" s="88">
        <f>VLOOKUP(G173,'Contorizare in SDI'!$E:$M,$K$1-2,FALSE)</f>
        <v>0</v>
      </c>
      <c r="L173" s="29" t="s">
        <v>69</v>
      </c>
      <c r="M173" s="87">
        <v>0</v>
      </c>
      <c r="N173" s="88">
        <f>IF(COUNTIF(L173,"-")=1,0,VLOOKUP(L173,'Contorizare in SDI'!$F:$R,$N$1-3,FALSE))</f>
        <v>0</v>
      </c>
      <c r="O173" s="88">
        <f>IF(COUNTIF(L173,"-")=1,0,VLOOKUP(L173,'Contorizare in SDI'!$F:$R,$O$1-3,FALSE))</f>
        <v>0</v>
      </c>
      <c r="P173" s="88">
        <f>IF(COUNTIF(L173,"-")=1,0,VLOOKUP(L173,'Contorizare in SDI'!$F:$R,$P$1-3,FALSE))</f>
        <v>0</v>
      </c>
      <c r="Q173" s="88">
        <f t="shared" si="56"/>
        <v>3005</v>
      </c>
      <c r="R173" s="88">
        <f t="shared" si="57"/>
        <v>0</v>
      </c>
      <c r="S173" s="321">
        <v>0</v>
      </c>
      <c r="T173" s="88">
        <f t="shared" si="58"/>
        <v>0</v>
      </c>
      <c r="U173" s="17" t="s">
        <v>516</v>
      </c>
      <c r="V173" s="581"/>
      <c r="W173" s="581"/>
      <c r="X173" s="581"/>
      <c r="Y173" s="581"/>
      <c r="AE173" s="314" t="s">
        <v>1231</v>
      </c>
      <c r="AF173">
        <f>IF(LEFT(VLOOKUP(G173,'Contorizare in SDI'!$E:$M,5,FALSE),1)="V",C173,VLOOKUP(G173,'Contorizare in SDI'!$E:$M,6,FALSE))</f>
        <v>3005</v>
      </c>
      <c r="AG173">
        <f t="shared" si="73"/>
        <v>2360</v>
      </c>
      <c r="AH173">
        <f t="shared" si="74"/>
        <v>0</v>
      </c>
      <c r="AI173">
        <f t="shared" si="67"/>
        <v>3827</v>
      </c>
      <c r="AJ173">
        <f t="shared" si="75"/>
        <v>2360</v>
      </c>
      <c r="AK173">
        <f t="shared" si="65"/>
        <v>3827</v>
      </c>
      <c r="AL173" s="255">
        <v>0</v>
      </c>
      <c r="AM173">
        <f t="shared" si="76"/>
        <v>0</v>
      </c>
      <c r="AN173">
        <f t="shared" si="71"/>
        <v>0</v>
      </c>
      <c r="AP173" s="326" t="s">
        <v>1231</v>
      </c>
      <c r="AQ173" s="326">
        <f>IF(AND(COUNTIF(AP173,"-")=1,COUNTIF(AP172,"-")=0),0,AH173+AQ172)</f>
        <v>0</v>
      </c>
    </row>
    <row r="174" spans="1:43" ht="16.5" thickBot="1">
      <c r="A174" s="17">
        <f t="shared" si="64"/>
        <v>170</v>
      </c>
      <c r="B174" s="256" t="s">
        <v>1231</v>
      </c>
      <c r="C174" s="311">
        <f>IF(G174=G173,C173,SUMIF('Date masura OD'!$G:$G,G174,'Date masura OD'!$R:$R))</f>
        <v>572</v>
      </c>
      <c r="D174" s="291">
        <f>IFERROR(IF(VLOOKUP(B174,'Date masura OD'!$G$76:$BF$187,52,FALSE)&lt;0,-VLOOKUP(B174,'Date masura OD'!$G$76:$BF$187,52,FALSE),0),0)</f>
        <v>0</v>
      </c>
      <c r="E174" s="291">
        <v>0</v>
      </c>
      <c r="F174" s="291">
        <v>0</v>
      </c>
      <c r="G174" s="256" t="s">
        <v>1269</v>
      </c>
      <c r="H174" s="315">
        <f t="shared" si="72"/>
        <v>572</v>
      </c>
      <c r="I174" s="184">
        <f>VLOOKUP(G174,'Contorizare in SDI'!E:M,7,FALSE)</f>
        <v>0</v>
      </c>
      <c r="J174" s="88">
        <f>VLOOKUP(G174,'Contorizare in SDI'!$E:$M,$J$1-2,FALSE)</f>
        <v>0</v>
      </c>
      <c r="K174" s="88">
        <f>VLOOKUP(G174,'Contorizare in SDI'!$E:$M,$K$1-2,FALSE)</f>
        <v>0</v>
      </c>
      <c r="L174" s="29" t="s">
        <v>69</v>
      </c>
      <c r="M174" s="87">
        <v>0</v>
      </c>
      <c r="N174" s="88">
        <f>IF(COUNTIF(L174,"-")=1,0,VLOOKUP(L174,'Contorizare in SDI'!$F:$R,$N$1-3,FALSE))</f>
        <v>0</v>
      </c>
      <c r="O174" s="88">
        <f>IF(COUNTIF(L174,"-")=1,0,VLOOKUP(L174,'Contorizare in SDI'!$F:$R,$O$1-3,FALSE))</f>
        <v>0</v>
      </c>
      <c r="P174" s="88">
        <f>IF(COUNTIF(L174,"-")=1,0,VLOOKUP(L174,'Contorizare in SDI'!$F:$R,$P$1-3,FALSE))</f>
        <v>0</v>
      </c>
      <c r="Q174" s="88">
        <f t="shared" si="56"/>
        <v>572</v>
      </c>
      <c r="R174" s="88">
        <f t="shared" si="57"/>
        <v>0</v>
      </c>
      <c r="S174" s="321">
        <v>0</v>
      </c>
      <c r="T174" s="88">
        <f t="shared" si="58"/>
        <v>0</v>
      </c>
      <c r="U174" s="17" t="s">
        <v>516</v>
      </c>
      <c r="V174" s="581"/>
      <c r="W174" s="581"/>
      <c r="X174" s="581"/>
      <c r="Y174" s="581"/>
      <c r="AE174" s="314" t="s">
        <v>1231</v>
      </c>
      <c r="AF174">
        <f>IF(LEFT(VLOOKUP(G174,'Contorizare in SDI'!$E:$M,5,FALSE),1)="V",C174,VLOOKUP(G174,'Contorizare in SDI'!$E:$M,6,FALSE))</f>
        <v>572</v>
      </c>
      <c r="AG174">
        <f t="shared" si="73"/>
        <v>2360</v>
      </c>
      <c r="AH174">
        <f t="shared" si="74"/>
        <v>0</v>
      </c>
      <c r="AI174">
        <f t="shared" si="67"/>
        <v>139</v>
      </c>
      <c r="AJ174">
        <f t="shared" si="75"/>
        <v>2360</v>
      </c>
      <c r="AK174">
        <f t="shared" si="65"/>
        <v>139</v>
      </c>
      <c r="AL174" s="255">
        <v>0</v>
      </c>
      <c r="AM174">
        <f t="shared" si="76"/>
        <v>0</v>
      </c>
      <c r="AN174">
        <f t="shared" si="71"/>
        <v>0</v>
      </c>
      <c r="AP174" s="326" t="s">
        <v>1231</v>
      </c>
      <c r="AQ174" s="326">
        <f>IF(AND(COUNTIF(AP174,"-")=1,COUNTIF(AP173,"-")=0),0,AH174+AQ173)</f>
        <v>0</v>
      </c>
    </row>
    <row r="175" spans="1:43" ht="16.5" thickBot="1">
      <c r="A175" s="17">
        <f t="shared" si="64"/>
        <v>171</v>
      </c>
      <c r="B175" s="256" t="s">
        <v>1231</v>
      </c>
      <c r="C175" s="311">
        <f>IF(G175=G174,C174,SUMIF('Date masura OD'!$G:$G,G175,'Date masura OD'!$R:$R))</f>
        <v>0</v>
      </c>
      <c r="D175" s="291">
        <f>IFERROR(IF(VLOOKUP(B175,'Date masura OD'!$G$76:$BF$187,52,FALSE)&lt;0,-VLOOKUP(B175,'Date masura OD'!$G$76:$BF$187,52,FALSE),0),0)</f>
        <v>0</v>
      </c>
      <c r="E175" s="291">
        <v>0</v>
      </c>
      <c r="F175" s="291">
        <v>0</v>
      </c>
      <c r="G175" s="256" t="s">
        <v>1270</v>
      </c>
      <c r="H175" s="315">
        <f t="shared" si="72"/>
        <v>0</v>
      </c>
      <c r="I175" s="184">
        <f>VLOOKUP(G175,'Contorizare in SDI'!E:M,7,FALSE)</f>
        <v>0</v>
      </c>
      <c r="J175" s="88">
        <f>VLOOKUP(G175,'Contorizare in SDI'!$E:$M,$J$1-2,FALSE)</f>
        <v>0</v>
      </c>
      <c r="K175" s="88">
        <f>VLOOKUP(G175,'Contorizare in SDI'!$E:$M,$K$1-2,FALSE)</f>
        <v>0</v>
      </c>
      <c r="L175" s="29" t="s">
        <v>69</v>
      </c>
      <c r="M175" s="87">
        <v>0</v>
      </c>
      <c r="N175" s="88">
        <f>IF(COUNTIF(L175,"-")=1,0,VLOOKUP(L175,'Contorizare in SDI'!$F:$R,$N$1-3,FALSE))</f>
        <v>0</v>
      </c>
      <c r="O175" s="88">
        <f>IF(COUNTIF(L175,"-")=1,0,VLOOKUP(L175,'Contorizare in SDI'!$F:$R,$O$1-3,FALSE))</f>
        <v>0</v>
      </c>
      <c r="P175" s="88">
        <f>IF(COUNTIF(L175,"-")=1,0,VLOOKUP(L175,'Contorizare in SDI'!$F:$R,$P$1-3,FALSE))</f>
        <v>0</v>
      </c>
      <c r="Q175" s="88">
        <f t="shared" si="56"/>
        <v>0</v>
      </c>
      <c r="R175" s="88">
        <f t="shared" si="57"/>
        <v>0</v>
      </c>
      <c r="S175" s="321">
        <v>0</v>
      </c>
      <c r="T175" s="88">
        <f t="shared" si="58"/>
        <v>0</v>
      </c>
      <c r="U175" s="17" t="s">
        <v>516</v>
      </c>
      <c r="V175" s="581"/>
      <c r="W175" s="581"/>
      <c r="X175" s="581"/>
      <c r="Y175" s="581"/>
      <c r="AE175" s="314" t="s">
        <v>1231</v>
      </c>
      <c r="AF175">
        <f>IF(LEFT(VLOOKUP(G175,'Contorizare in SDI'!$E:$M,5,FALSE),1)="V",C175,VLOOKUP(G175,'Contorizare in SDI'!$E:$M,6,FALSE))</f>
        <v>0</v>
      </c>
      <c r="AG175">
        <f t="shared" si="73"/>
        <v>2360</v>
      </c>
      <c r="AH175">
        <f t="shared" si="74"/>
        <v>0</v>
      </c>
      <c r="AI175">
        <f t="shared" si="67"/>
        <v>0</v>
      </c>
      <c r="AJ175">
        <f t="shared" si="75"/>
        <v>2360</v>
      </c>
      <c r="AK175">
        <f t="shared" si="65"/>
        <v>0</v>
      </c>
      <c r="AL175" s="255">
        <v>0</v>
      </c>
      <c r="AM175">
        <f t="shared" si="76"/>
        <v>0</v>
      </c>
      <c r="AN175">
        <f t="shared" si="71"/>
        <v>0</v>
      </c>
      <c r="AP175" s="326" t="s">
        <v>1231</v>
      </c>
      <c r="AQ175" s="326">
        <f>IF(AND(COUNTIF(AP175,"-")=1,COUNTIF(AP174,"-")=0),0,AH175+AQ174)</f>
        <v>0</v>
      </c>
    </row>
    <row r="176" spans="1:43" ht="16.5" thickBot="1">
      <c r="A176" s="17">
        <f t="shared" si="64"/>
        <v>172</v>
      </c>
      <c r="B176" s="256" t="s">
        <v>1231</v>
      </c>
      <c r="C176" s="311">
        <f>IF(G176=G175,C175,SUMIF('Date masura OD'!$G:$G,G176,'Date masura OD'!$R:$R))</f>
        <v>4350</v>
      </c>
      <c r="D176" s="291">
        <f>IFERROR(IF(VLOOKUP(B176,'Date masura OD'!$G$76:$BF$187,52,FALSE)&lt;0,-VLOOKUP(B176,'Date masura OD'!$G$76:$BF$187,52,FALSE),0),0)</f>
        <v>0</v>
      </c>
      <c r="E176" s="291">
        <v>0</v>
      </c>
      <c r="F176" s="291">
        <v>0</v>
      </c>
      <c r="G176" s="256" t="s">
        <v>1271</v>
      </c>
      <c r="H176" s="315">
        <f t="shared" si="72"/>
        <v>4350</v>
      </c>
      <c r="I176" s="184">
        <f>VLOOKUP(G176,'Contorizare in SDI'!E:M,7,FALSE)</f>
        <v>0</v>
      </c>
      <c r="J176" s="88">
        <f>VLOOKUP(G176,'Contorizare in SDI'!$E:$M,$J$1-2,FALSE)</f>
        <v>0</v>
      </c>
      <c r="K176" s="88">
        <f>VLOOKUP(G176,'Contorizare in SDI'!$E:$M,$K$1-2,FALSE)</f>
        <v>0</v>
      </c>
      <c r="L176" s="29" t="s">
        <v>69</v>
      </c>
      <c r="M176" s="87">
        <v>0</v>
      </c>
      <c r="N176" s="88">
        <f>IF(COUNTIF(L176,"-")=1,0,VLOOKUP(L176,'Contorizare in SDI'!$F:$R,$N$1-3,FALSE))</f>
        <v>0</v>
      </c>
      <c r="O176" s="88">
        <f>IF(COUNTIF(L176,"-")=1,0,VLOOKUP(L176,'Contorizare in SDI'!$F:$R,$O$1-3,FALSE))</f>
        <v>0</v>
      </c>
      <c r="P176" s="88">
        <f>IF(COUNTIF(L176,"-")=1,0,VLOOKUP(L176,'Contorizare in SDI'!$F:$R,$P$1-3,FALSE))</f>
        <v>0</v>
      </c>
      <c r="Q176" s="88">
        <f t="shared" si="56"/>
        <v>4350</v>
      </c>
      <c r="R176" s="88">
        <f t="shared" si="57"/>
        <v>0</v>
      </c>
      <c r="S176" s="321">
        <v>0</v>
      </c>
      <c r="T176" s="88">
        <f t="shared" si="58"/>
        <v>0</v>
      </c>
      <c r="U176" s="17" t="s">
        <v>516</v>
      </c>
      <c r="V176" s="581"/>
      <c r="W176" s="581"/>
      <c r="X176" s="581"/>
      <c r="Y176" s="581"/>
      <c r="AE176" s="314" t="s">
        <v>1231</v>
      </c>
      <c r="AF176">
        <f>IF(LEFT(VLOOKUP(G176,'Contorizare in SDI'!$E:$M,5,FALSE),1)="V",C176,VLOOKUP(G176,'Contorizare in SDI'!$E:$M,6,FALSE))</f>
        <v>4350</v>
      </c>
      <c r="AG176">
        <f t="shared" si="73"/>
        <v>2360</v>
      </c>
      <c r="AH176">
        <f t="shared" si="74"/>
        <v>0</v>
      </c>
      <c r="AI176">
        <f t="shared" si="67"/>
        <v>8019</v>
      </c>
      <c r="AJ176">
        <f t="shared" si="75"/>
        <v>2360</v>
      </c>
      <c r="AK176">
        <f t="shared" si="65"/>
        <v>8019</v>
      </c>
      <c r="AL176" s="255">
        <v>0</v>
      </c>
      <c r="AM176">
        <f t="shared" si="76"/>
        <v>0</v>
      </c>
      <c r="AN176">
        <f t="shared" si="71"/>
        <v>0</v>
      </c>
      <c r="AP176" s="326" t="s">
        <v>1231</v>
      </c>
      <c r="AQ176" s="326">
        <f>IF(AND(COUNTIF(AP176,"-")=1,COUNTIF(AP175,"-")=0),0,AH176+AQ175)</f>
        <v>0</v>
      </c>
    </row>
    <row r="177" spans="2:25">
      <c r="C177" s="259"/>
      <c r="D177" s="259"/>
      <c r="E177" s="259"/>
      <c r="F177" s="259"/>
      <c r="U177" s="4"/>
      <c r="V177" s="13"/>
      <c r="W177" s="13"/>
      <c r="X177" s="13"/>
      <c r="Y177" s="13"/>
    </row>
    <row r="179" spans="2:25" ht="16.5" thickBot="1">
      <c r="C179">
        <f>SUM(C4:C176)</f>
        <v>57112732</v>
      </c>
      <c r="H179" s="72">
        <f>SUM(H4:H176)</f>
        <v>13935747</v>
      </c>
      <c r="Q179">
        <f>SUM(Q4:Q176)+T179</f>
        <v>13935747</v>
      </c>
      <c r="R179">
        <f>SUM(R4:R176)</f>
        <v>2815473.5</v>
      </c>
      <c r="S179">
        <f>SUM(S4:S176)</f>
        <v>449098</v>
      </c>
      <c r="T179">
        <f>SUM(T4:T176)</f>
        <v>210120.00000000015</v>
      </c>
    </row>
    <row r="180" spans="2:25" ht="16.5" thickBot="1">
      <c r="B180" s="42" t="s">
        <v>702</v>
      </c>
      <c r="C180" s="47">
        <f>C179</f>
        <v>57112732</v>
      </c>
      <c r="H180" s="47">
        <f>H179</f>
        <v>13935747</v>
      </c>
      <c r="Q180" s="47">
        <f>Q179-T179</f>
        <v>13725627</v>
      </c>
      <c r="T180" s="49">
        <f>T179/Q179</f>
        <v>1.507777085792388E-2</v>
      </c>
      <c r="U180" s="43" t="s">
        <v>705</v>
      </c>
    </row>
    <row r="181" spans="2:25">
      <c r="B181" s="42" t="s">
        <v>703</v>
      </c>
      <c r="C181" s="72">
        <f>'Date masura OD'!$R$89-C180</f>
        <v>-57112732</v>
      </c>
      <c r="H181">
        <f>'Date masura OD'!$R$89-H180</f>
        <v>-13935747</v>
      </c>
      <c r="Q181" s="72">
        <f>'Date masura OD'!$R$89-Q180</f>
        <v>-13725627</v>
      </c>
    </row>
    <row r="183" spans="2:25">
      <c r="Q183">
        <f>Q180-Q156</f>
        <v>13624389</v>
      </c>
    </row>
    <row r="184" spans="2:25">
      <c r="D184" s="1" t="s">
        <v>21</v>
      </c>
      <c r="E184">
        <f>D102</f>
        <v>0</v>
      </c>
    </row>
    <row r="185" spans="2:25">
      <c r="D185" s="1" t="s">
        <v>14</v>
      </c>
      <c r="E185">
        <f>D61</f>
        <v>0</v>
      </c>
    </row>
    <row r="186" spans="2:25">
      <c r="D186" s="1" t="s">
        <v>1221</v>
      </c>
      <c r="E186">
        <f>D166</f>
        <v>13186</v>
      </c>
    </row>
    <row r="187" spans="2:25">
      <c r="D187" s="1" t="s">
        <v>1223</v>
      </c>
      <c r="E187">
        <f>D160</f>
        <v>20304</v>
      </c>
    </row>
    <row r="188" spans="2:25">
      <c r="D188" s="1" t="s">
        <v>1225</v>
      </c>
      <c r="E188">
        <f>D162</f>
        <v>21751</v>
      </c>
    </row>
    <row r="189" spans="2:25">
      <c r="D189" s="1" t="s">
        <v>1227</v>
      </c>
      <c r="E189">
        <f>D165</f>
        <v>22585</v>
      </c>
    </row>
    <row r="190" spans="2:25">
      <c r="D190" s="207" t="s">
        <v>1272</v>
      </c>
      <c r="E190">
        <f>D158</f>
        <v>659</v>
      </c>
    </row>
  </sheetData>
  <autoFilter ref="H1:H183" xr:uid="{19AA9375-B11A-CE46-8E5F-B3B157D02F32}"/>
  <mergeCells count="215">
    <mergeCell ref="V171:V176"/>
    <mergeCell ref="V164:V165"/>
    <mergeCell ref="W164:W165"/>
    <mergeCell ref="X164:X165"/>
    <mergeCell ref="Y164:Y165"/>
    <mergeCell ref="W166:W167"/>
    <mergeCell ref="X166:X167"/>
    <mergeCell ref="Y166:Y167"/>
    <mergeCell ref="V168:V170"/>
    <mergeCell ref="W168:W170"/>
    <mergeCell ref="X168:X170"/>
    <mergeCell ref="Y168:Y170"/>
    <mergeCell ref="V166:V167"/>
    <mergeCell ref="W171:W176"/>
    <mergeCell ref="X171:X176"/>
    <mergeCell ref="Y171:Y176"/>
    <mergeCell ref="Y158:Y159"/>
    <mergeCell ref="V160:V161"/>
    <mergeCell ref="W160:W161"/>
    <mergeCell ref="X160:X161"/>
    <mergeCell ref="Y160:Y161"/>
    <mergeCell ref="V158:V159"/>
    <mergeCell ref="W158:W159"/>
    <mergeCell ref="X158:X159"/>
    <mergeCell ref="V162:V163"/>
    <mergeCell ref="W162:W163"/>
    <mergeCell ref="X162:X163"/>
    <mergeCell ref="Y162:Y163"/>
    <mergeCell ref="Y72:Y77"/>
    <mergeCell ref="AA1:AA3"/>
    <mergeCell ref="X61:X65"/>
    <mergeCell ref="Y61:Y65"/>
    <mergeCell ref="V66:V71"/>
    <mergeCell ref="W66:W71"/>
    <mergeCell ref="X66:X71"/>
    <mergeCell ref="Y66:Y71"/>
    <mergeCell ref="V61:V65"/>
    <mergeCell ref="W61:W65"/>
    <mergeCell ref="V45:V50"/>
    <mergeCell ref="W45:W50"/>
    <mergeCell ref="X45:X50"/>
    <mergeCell ref="Y45:Y50"/>
    <mergeCell ref="V51:V56"/>
    <mergeCell ref="Y51:Y56"/>
    <mergeCell ref="V57:V59"/>
    <mergeCell ref="W57:W59"/>
    <mergeCell ref="X57:X59"/>
    <mergeCell ref="Y57:Y59"/>
    <mergeCell ref="V36:V38"/>
    <mergeCell ref="W36:W38"/>
    <mergeCell ref="X36:X38"/>
    <mergeCell ref="Y36:Y38"/>
    <mergeCell ref="V147:V148"/>
    <mergeCell ref="V149:V150"/>
    <mergeCell ref="AB1:AB3"/>
    <mergeCell ref="V155:V157"/>
    <mergeCell ref="W155:W157"/>
    <mergeCell ref="X155:X157"/>
    <mergeCell ref="Y155:Y157"/>
    <mergeCell ref="V152:V154"/>
    <mergeCell ref="W152:W154"/>
    <mergeCell ref="X152:X154"/>
    <mergeCell ref="Y152:Y154"/>
    <mergeCell ref="W147:W148"/>
    <mergeCell ref="X147:X148"/>
    <mergeCell ref="Y147:Y148"/>
    <mergeCell ref="W149:W150"/>
    <mergeCell ref="X149:X150"/>
    <mergeCell ref="Y149:Y150"/>
    <mergeCell ref="V144:V145"/>
    <mergeCell ref="W144:W145"/>
    <mergeCell ref="X144:X145"/>
    <mergeCell ref="Y144:Y145"/>
    <mergeCell ref="V72:V77"/>
    <mergeCell ref="W72:W77"/>
    <mergeCell ref="X72:X77"/>
    <mergeCell ref="V131:V133"/>
    <mergeCell ref="W131:W133"/>
    <mergeCell ref="X131:X133"/>
    <mergeCell ref="Y131:Y133"/>
    <mergeCell ref="X136:X138"/>
    <mergeCell ref="Y136:Y138"/>
    <mergeCell ref="X139:X141"/>
    <mergeCell ref="Y139:Y141"/>
    <mergeCell ref="V142:V143"/>
    <mergeCell ref="W142:W143"/>
    <mergeCell ref="X142:X143"/>
    <mergeCell ref="Y142:Y143"/>
    <mergeCell ref="V134:V135"/>
    <mergeCell ref="W134:W135"/>
    <mergeCell ref="X134:X135"/>
    <mergeCell ref="Y134:Y135"/>
    <mergeCell ref="V136:V138"/>
    <mergeCell ref="W136:W138"/>
    <mergeCell ref="V139:V141"/>
    <mergeCell ref="W139:W141"/>
    <mergeCell ref="V124:V125"/>
    <mergeCell ref="W124:W125"/>
    <mergeCell ref="X124:X125"/>
    <mergeCell ref="Y124:Y125"/>
    <mergeCell ref="V126:V127"/>
    <mergeCell ref="W126:W127"/>
    <mergeCell ref="X126:X127"/>
    <mergeCell ref="Y126:Y127"/>
    <mergeCell ref="V129:V130"/>
    <mergeCell ref="W129:W130"/>
    <mergeCell ref="X129:X130"/>
    <mergeCell ref="Y129:Y130"/>
    <mergeCell ref="X119:X123"/>
    <mergeCell ref="Y119:Y123"/>
    <mergeCell ref="X108:X113"/>
    <mergeCell ref="Y108:Y113"/>
    <mergeCell ref="V108:V113"/>
    <mergeCell ref="W108:W113"/>
    <mergeCell ref="V119:V123"/>
    <mergeCell ref="W119:W123"/>
    <mergeCell ref="V114:V118"/>
    <mergeCell ref="W114:W118"/>
    <mergeCell ref="X114:X118"/>
    <mergeCell ref="X102:X105"/>
    <mergeCell ref="Y102:Y105"/>
    <mergeCell ref="V106:V107"/>
    <mergeCell ref="W106:W107"/>
    <mergeCell ref="X106:X107"/>
    <mergeCell ref="Y106:Y107"/>
    <mergeCell ref="V102:V105"/>
    <mergeCell ref="W102:W105"/>
    <mergeCell ref="Y114:Y118"/>
    <mergeCell ref="V99:V101"/>
    <mergeCell ref="W99:W101"/>
    <mergeCell ref="X99:X101"/>
    <mergeCell ref="Y99:Y101"/>
    <mergeCell ref="X93:X95"/>
    <mergeCell ref="Y93:Y95"/>
    <mergeCell ref="V96:V98"/>
    <mergeCell ref="W96:W98"/>
    <mergeCell ref="X96:X98"/>
    <mergeCell ref="Y96:Y98"/>
    <mergeCell ref="V93:V95"/>
    <mergeCell ref="W93:W95"/>
    <mergeCell ref="X78:X82"/>
    <mergeCell ref="Y78:Y82"/>
    <mergeCell ref="V78:V82"/>
    <mergeCell ref="W78:W82"/>
    <mergeCell ref="V90:V92"/>
    <mergeCell ref="W90:W92"/>
    <mergeCell ref="X90:X92"/>
    <mergeCell ref="Y90:Y92"/>
    <mergeCell ref="V86:V89"/>
    <mergeCell ref="W86:W89"/>
    <mergeCell ref="X86:X89"/>
    <mergeCell ref="Y86:Y89"/>
    <mergeCell ref="V33:V35"/>
    <mergeCell ref="W33:W35"/>
    <mergeCell ref="V42:V44"/>
    <mergeCell ref="W42:W44"/>
    <mergeCell ref="X42:X44"/>
    <mergeCell ref="Y42:Y44"/>
    <mergeCell ref="V39:V41"/>
    <mergeCell ref="W39:W41"/>
    <mergeCell ref="X33:X35"/>
    <mergeCell ref="Y33:Y35"/>
    <mergeCell ref="X39:X41"/>
    <mergeCell ref="V21:V23"/>
    <mergeCell ref="W21:W23"/>
    <mergeCell ref="X21:X23"/>
    <mergeCell ref="Y21:Y23"/>
    <mergeCell ref="X27:X29"/>
    <mergeCell ref="Y27:Y29"/>
    <mergeCell ref="V30:V32"/>
    <mergeCell ref="W30:W32"/>
    <mergeCell ref="X30:X32"/>
    <mergeCell ref="Y30:Y32"/>
    <mergeCell ref="V27:V29"/>
    <mergeCell ref="W27:W29"/>
    <mergeCell ref="V24:V26"/>
    <mergeCell ref="W24:W26"/>
    <mergeCell ref="X24:X26"/>
    <mergeCell ref="Y24:Y26"/>
    <mergeCell ref="X11:X13"/>
    <mergeCell ref="Y11:Y13"/>
    <mergeCell ref="X14:X15"/>
    <mergeCell ref="Y14:Y15"/>
    <mergeCell ref="V11:V13"/>
    <mergeCell ref="W11:W13"/>
    <mergeCell ref="V17:V20"/>
    <mergeCell ref="W17:W20"/>
    <mergeCell ref="X17:X20"/>
    <mergeCell ref="Y17:Y20"/>
    <mergeCell ref="V14:V15"/>
    <mergeCell ref="W14:W15"/>
    <mergeCell ref="W51:W56"/>
    <mergeCell ref="X51:X56"/>
    <mergeCell ref="Y39:Y41"/>
    <mergeCell ref="AF1:AK1"/>
    <mergeCell ref="AL1:AM1"/>
    <mergeCell ref="AN1:AN3"/>
    <mergeCell ref="AF2:AF3"/>
    <mergeCell ref="AG2:AG3"/>
    <mergeCell ref="AH2:AH3"/>
    <mergeCell ref="AI2:AI3"/>
    <mergeCell ref="AJ2:AJ3"/>
    <mergeCell ref="AK2:AK3"/>
    <mergeCell ref="AL2:AL3"/>
    <mergeCell ref="AM2:AM3"/>
    <mergeCell ref="V2:W2"/>
    <mergeCell ref="X2:Y2"/>
    <mergeCell ref="X4:X8"/>
    <mergeCell ref="Y4:Y8"/>
    <mergeCell ref="V9:V10"/>
    <mergeCell ref="W9:W10"/>
    <mergeCell ref="Y9:Y10"/>
    <mergeCell ref="X9:X10"/>
    <mergeCell ref="W4:W8"/>
    <mergeCell ref="V4:V8"/>
  </mergeCells>
  <phoneticPr fontId="9" type="noConversion"/>
  <conditionalFormatting sqref="AA1:AB124 AA125 AA126:AB126 AA127 AA128:AB1048576">
    <cfRule type="containsText" dxfId="13" priority="7" operator="containsText" text="Not OK">
      <formula>NOT(ISERROR(SEARCH("Not OK",AA1)))</formula>
    </cfRule>
    <cfRule type="containsText" dxfId="12" priority="8" operator="containsText" text="OK">
      <formula>NOT(ISERROR(SEARCH("OK",AA1)))</formula>
    </cfRule>
  </conditionalFormatting>
  <pageMargins left="0.7" right="0.7" top="0.75" bottom="0.75" header="0.3" footer="0.3"/>
  <pageSetup paperSize="9" orientation="portrait" r:id="rId1"/>
  <ignoredErrors>
    <ignoredError sqref="C20" formula="1"/>
    <ignoredError sqref="AI14" evalError="1"/>
  </ignoredErrors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notEqual" id="{0EC21B50-DCD0-7746-A047-CC80968E60A8}">
            <xm:f>'Date masura OD'!$R$89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equal" id="{B89D9F22-DEF2-C24F-8770-3E127C95F3A1}">
            <xm:f>'Date masura OD'!$R$89</xm:f>
            <x14:dxf>
              <fill>
                <patternFill>
                  <bgColor rgb="FF92D050"/>
                </patternFill>
              </fill>
            </x14:dxf>
          </x14:cfRule>
          <xm:sqref>C180</xm:sqref>
        </x14:conditionalFormatting>
        <x14:conditionalFormatting xmlns:xm="http://schemas.microsoft.com/office/excel/2006/main">
          <x14:cfRule type="cellIs" priority="3" operator="notEqual" id="{A6D85EC1-43D3-4D40-B5F7-3A8623F3C534}">
            <xm:f>'Date masura OD'!$R$89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equal" id="{369244E9-1200-0E43-86DC-262C5FA7A0D5}">
            <xm:f>'Date masura OD'!$R$89</xm:f>
            <x14:dxf>
              <fill>
                <patternFill>
                  <bgColor rgb="FF92D050"/>
                </patternFill>
              </fill>
            </x14:dxf>
          </x14:cfRule>
          <xm:sqref>H180</xm:sqref>
        </x14:conditionalFormatting>
        <x14:conditionalFormatting xmlns:xm="http://schemas.microsoft.com/office/excel/2006/main">
          <x14:cfRule type="cellIs" priority="1" operator="notEqual" id="{D14B0821-3A4D-084A-97B4-1F0404485611}">
            <xm:f>'Date masura OD'!$R$89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equal" id="{BE1249C8-6060-C849-9522-6EDA801FB78C}">
            <xm:f>'Date masura OD'!$R$89</xm:f>
            <x14:dxf>
              <fill>
                <patternFill>
                  <bgColor rgb="FF92D050"/>
                </patternFill>
              </fill>
            </x14:dxf>
          </x14:cfRule>
          <xm:sqref>Q180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1168E-980F-894A-833A-86A99E9AAD2C}">
  <dimension ref="A1:V170"/>
  <sheetViews>
    <sheetView zoomScale="55" zoomScaleNormal="5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112" sqref="D112"/>
    </sheetView>
  </sheetViews>
  <sheetFormatPr defaultColWidth="10.625" defaultRowHeight="15.75"/>
  <cols>
    <col min="1" max="1" width="10.875" style="4"/>
    <col min="2" max="2" width="22.125" style="4" customWidth="1"/>
    <col min="3" max="3" width="42" customWidth="1"/>
    <col min="4" max="4" width="22" bestFit="1" customWidth="1"/>
    <col min="5" max="5" width="21.875" customWidth="1"/>
    <col min="13" max="17" width="10.625" customWidth="1"/>
    <col min="18" max="18" width="11.875" customWidth="1"/>
    <col min="19" max="24" width="10.625" customWidth="1"/>
  </cols>
  <sheetData>
    <row r="1" spans="1:22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>D1+1</f>
        <v>5</v>
      </c>
      <c r="F1" s="39" t="s">
        <v>440</v>
      </c>
      <c r="G1" s="40"/>
      <c r="H1" s="39" t="s">
        <v>441</v>
      </c>
      <c r="I1" s="40"/>
      <c r="J1" s="567" t="s">
        <v>696</v>
      </c>
      <c r="K1" s="569"/>
      <c r="L1" s="567" t="s">
        <v>696</v>
      </c>
      <c r="M1" s="569"/>
      <c r="N1" s="25">
        <f t="shared" ref="N1:T1" si="0">M1+1</f>
        <v>1</v>
      </c>
      <c r="O1" s="25">
        <f t="shared" si="0"/>
        <v>2</v>
      </c>
      <c r="P1" s="25">
        <f t="shared" si="0"/>
        <v>3</v>
      </c>
      <c r="Q1" s="25">
        <f t="shared" si="0"/>
        <v>4</v>
      </c>
      <c r="R1" s="32">
        <f t="shared" si="0"/>
        <v>5</v>
      </c>
      <c r="S1" s="32">
        <f t="shared" si="0"/>
        <v>6</v>
      </c>
      <c r="T1" s="32">
        <f t="shared" si="0"/>
        <v>7</v>
      </c>
    </row>
    <row r="2" spans="1:22">
      <c r="A2" s="6" t="s">
        <v>115</v>
      </c>
      <c r="B2" s="6" t="s">
        <v>695</v>
      </c>
      <c r="C2" s="6" t="s">
        <v>520</v>
      </c>
      <c r="D2" s="6" t="s">
        <v>697</v>
      </c>
      <c r="E2" s="6" t="s">
        <v>413</v>
      </c>
      <c r="F2" s="6" t="s">
        <v>444</v>
      </c>
      <c r="G2" s="6" t="s">
        <v>445</v>
      </c>
      <c r="H2" s="6" t="s">
        <v>444</v>
      </c>
      <c r="I2" s="6" t="s">
        <v>445</v>
      </c>
      <c r="J2" s="6" t="s">
        <v>444</v>
      </c>
      <c r="K2" s="6" t="s">
        <v>445</v>
      </c>
      <c r="L2" s="6" t="s">
        <v>444</v>
      </c>
      <c r="M2" s="6" t="s">
        <v>445</v>
      </c>
      <c r="N2" s="26" t="s">
        <v>448</v>
      </c>
      <c r="O2" s="26" t="s">
        <v>449</v>
      </c>
      <c r="P2" s="26" t="s">
        <v>450</v>
      </c>
      <c r="Q2" s="26" t="s">
        <v>451</v>
      </c>
      <c r="R2" s="33" t="s">
        <v>698</v>
      </c>
      <c r="S2" s="33" t="s">
        <v>699</v>
      </c>
      <c r="T2" s="33" t="s">
        <v>700</v>
      </c>
    </row>
    <row r="3" spans="1:22" ht="16.5" thickBot="1">
      <c r="A3" s="6" t="s">
        <v>69</v>
      </c>
      <c r="B3" s="6" t="s">
        <v>69</v>
      </c>
      <c r="C3" s="6" t="s">
        <v>69</v>
      </c>
      <c r="D3" s="6" t="s">
        <v>69</v>
      </c>
      <c r="E3" s="6" t="s">
        <v>69</v>
      </c>
      <c r="F3" s="5" t="s">
        <v>69</v>
      </c>
      <c r="G3" s="5" t="s">
        <v>69</v>
      </c>
      <c r="H3" s="5" t="s">
        <v>69</v>
      </c>
      <c r="I3" s="5" t="s">
        <v>69</v>
      </c>
      <c r="J3" s="5" t="s">
        <v>69</v>
      </c>
      <c r="K3" s="5" t="s">
        <v>69</v>
      </c>
      <c r="L3" s="5" t="s">
        <v>69</v>
      </c>
      <c r="M3" s="5" t="s">
        <v>69</v>
      </c>
      <c r="N3" s="26" t="s">
        <v>446</v>
      </c>
      <c r="O3" s="26" t="s">
        <v>446</v>
      </c>
      <c r="P3" s="26" t="s">
        <v>447</v>
      </c>
      <c r="Q3" s="26" t="s">
        <v>447</v>
      </c>
      <c r="R3" s="33" t="s">
        <v>446</v>
      </c>
      <c r="S3" s="33" t="s">
        <v>446</v>
      </c>
      <c r="T3" s="33" t="s">
        <v>446</v>
      </c>
    </row>
    <row r="4" spans="1:22" ht="17.25" thickTop="1" thickBot="1">
      <c r="A4" s="142">
        <v>53</v>
      </c>
      <c r="B4" s="143" t="s">
        <v>568</v>
      </c>
      <c r="C4" s="142" t="s">
        <v>127</v>
      </c>
      <c r="D4" s="142">
        <v>1371641041</v>
      </c>
      <c r="E4" s="142">
        <v>1</v>
      </c>
      <c r="F4" s="147">
        <f>IFERROR(VLOOKUP(B4,Regularizare!$B:$AX,27,FALSE),"-")</f>
        <v>931666</v>
      </c>
      <c r="G4" s="147">
        <f>IF(COUNTIF(F4,"-")=1,"-",F4+N4)</f>
        <v>961187</v>
      </c>
      <c r="H4" s="147">
        <v>0</v>
      </c>
      <c r="I4" s="147">
        <v>0</v>
      </c>
      <c r="J4" s="147">
        <f>IFERROR(VLOOKUP(B4,Regularizare!$B:$AX,33,FALSE),"-")</f>
        <v>34505</v>
      </c>
      <c r="K4" s="147">
        <f>J4</f>
        <v>34505</v>
      </c>
      <c r="L4" s="147">
        <f>IFERROR(VLOOKUP(B4,Regularizare!$B:$AX,37,FALSE),"-")</f>
        <v>96205</v>
      </c>
      <c r="M4" s="147">
        <f>L4</f>
        <v>96205</v>
      </c>
      <c r="N4" s="147">
        <f>VLOOKUP(B4,'Inchidere contur'!$G:$H,2,FALSE)</f>
        <v>29521</v>
      </c>
      <c r="O4" s="147">
        <f>IFERROR((I4-H4)*E4,0)</f>
        <v>0</v>
      </c>
      <c r="P4" s="147">
        <v>0</v>
      </c>
      <c r="Q4" s="147">
        <v>0</v>
      </c>
      <c r="R4" s="178">
        <f>IFERROR(VLOOKUP(B4,'Inchidere contur'!$G:$T,11,FALSE),0)</f>
        <v>29521</v>
      </c>
      <c r="S4" s="147">
        <f>IFERROR(VLOOKUP(B4,'Inchidere contur'!$G:$T,12,FALSE),0)</f>
        <v>52535</v>
      </c>
      <c r="T4" s="147">
        <f>IFERROR(VLOOKUP(B4,'Inchidere contur'!$G:$T,13,FALSE),0)</f>
        <v>0</v>
      </c>
      <c r="V4" s="76"/>
    </row>
    <row r="5" spans="1:22" ht="17.25" thickTop="1" thickBot="1">
      <c r="A5" s="17">
        <f>A4+1</f>
        <v>54</v>
      </c>
      <c r="B5" s="38" t="s">
        <v>569</v>
      </c>
      <c r="C5" s="17" t="s">
        <v>128</v>
      </c>
      <c r="D5" s="17">
        <v>1371641137</v>
      </c>
      <c r="E5" s="17">
        <v>1</v>
      </c>
      <c r="F5" s="147">
        <f>IFERROR(VLOOKUP(B5,Regularizare!$B:$AX,27,FALSE),"-")</f>
        <v>1351050</v>
      </c>
      <c r="G5" s="147">
        <f t="shared" ref="G5:G69" si="1">IF(COUNTIF(F5,"-")=1,"-",F5+N5)</f>
        <v>1411101</v>
      </c>
      <c r="H5" s="1">
        <v>0</v>
      </c>
      <c r="I5" s="1">
        <v>0</v>
      </c>
      <c r="J5" s="147">
        <f>IFERROR(VLOOKUP(B5,Regularizare!$B:$AX,33,FALSE),"-")</f>
        <v>28372</v>
      </c>
      <c r="K5" s="1">
        <f>J5</f>
        <v>28372</v>
      </c>
      <c r="L5" s="1">
        <f>IFERROR(VLOOKUP(B5,Regularizare!$B:$AX,37,FALSE),"-")</f>
        <v>71333</v>
      </c>
      <c r="M5" s="1">
        <f>L5</f>
        <v>71333</v>
      </c>
      <c r="N5" s="147">
        <f>VLOOKUP(B5,'Inchidere contur'!$G:$H,2,FALSE)</f>
        <v>60051</v>
      </c>
      <c r="O5" s="1">
        <f t="shared" ref="O5:O18" si="2">IFERROR((I5-H5)*E5,0)</f>
        <v>0</v>
      </c>
      <c r="P5" s="1">
        <f t="shared" ref="P5:P19" si="3">P4</f>
        <v>0</v>
      </c>
      <c r="Q5" s="1">
        <f t="shared" ref="Q5:Q19" si="4">Q4</f>
        <v>0</v>
      </c>
      <c r="R5" s="178">
        <f>IFERROR(VLOOKUP(B5,'Inchidere contur'!$G:$T,11,FALSE),0)</f>
        <v>60051</v>
      </c>
      <c r="S5" s="147">
        <f>IFERROR(VLOOKUP(B5,'Inchidere contur'!$G:$T,12,FALSE),0)</f>
        <v>0</v>
      </c>
      <c r="T5" s="147">
        <f>IFERROR(VLOOKUP(B5,'Inchidere contur'!$G:$T,13,FALSE),0)</f>
        <v>35716</v>
      </c>
      <c r="V5" s="76"/>
    </row>
    <row r="6" spans="1:22" ht="17.25" thickTop="1" thickBot="1">
      <c r="A6" s="17">
        <f t="shared" ref="A6:A69" si="5">A5+1</f>
        <v>55</v>
      </c>
      <c r="B6" s="38" t="s">
        <v>570</v>
      </c>
      <c r="C6" s="17" t="s">
        <v>129</v>
      </c>
      <c r="D6" s="17">
        <v>1371628614</v>
      </c>
      <c r="E6" s="17">
        <v>1</v>
      </c>
      <c r="F6" s="147">
        <f>IFERROR(VLOOKUP(B6,Regularizare!$B:$AX,27,FALSE),"-")</f>
        <v>1449376</v>
      </c>
      <c r="G6" s="147">
        <f t="shared" si="1"/>
        <v>1503032</v>
      </c>
      <c r="H6" s="1">
        <v>0</v>
      </c>
      <c r="I6" s="1">
        <v>0</v>
      </c>
      <c r="J6" s="147">
        <f>IFERROR(VLOOKUP(B6,Regularizare!$B:$AX,33,FALSE),"-")</f>
        <v>117170</v>
      </c>
      <c r="K6" s="1">
        <f t="shared" ref="K6:K70" si="6">J6</f>
        <v>117170</v>
      </c>
      <c r="L6" s="1">
        <f>IFERROR(VLOOKUP(B6,Regularizare!$B:$AX,37,FALSE),"-")</f>
        <v>52778</v>
      </c>
      <c r="M6" s="1">
        <f t="shared" ref="M6:M70" si="7">L6</f>
        <v>52778</v>
      </c>
      <c r="N6" s="147">
        <f>VLOOKUP(B6,'Inchidere contur'!$G:$H,2,FALSE)</f>
        <v>53656</v>
      </c>
      <c r="O6" s="1">
        <f t="shared" si="2"/>
        <v>0</v>
      </c>
      <c r="P6" s="1">
        <f t="shared" si="3"/>
        <v>0</v>
      </c>
      <c r="Q6" s="1">
        <f t="shared" si="4"/>
        <v>0</v>
      </c>
      <c r="R6" s="178">
        <f>IFERROR(VLOOKUP(B6,'Inchidere contur'!$G:$T,11,FALSE),0)</f>
        <v>53656</v>
      </c>
      <c r="S6" s="147">
        <f>IFERROR(VLOOKUP(B6,'Inchidere contur'!$G:$T,12,FALSE),0)</f>
        <v>40731</v>
      </c>
      <c r="T6" s="147">
        <f>IFERROR(VLOOKUP(B6,'Inchidere contur'!$G:$T,13,FALSE),0)</f>
        <v>0</v>
      </c>
      <c r="V6" s="76"/>
    </row>
    <row r="7" spans="1:22" ht="17.25" thickTop="1" thickBot="1">
      <c r="A7" s="17">
        <f t="shared" si="5"/>
        <v>56</v>
      </c>
      <c r="B7" s="38" t="s">
        <v>571</v>
      </c>
      <c r="C7" s="17" t="s">
        <v>130</v>
      </c>
      <c r="D7" s="17">
        <v>1371641883</v>
      </c>
      <c r="E7" s="17">
        <v>1</v>
      </c>
      <c r="F7" s="147">
        <f>IFERROR(VLOOKUP(B7,Regularizare!$B:$AX,27,FALSE),"-")</f>
        <v>2649147</v>
      </c>
      <c r="G7" s="147">
        <f t="shared" si="1"/>
        <v>2745756</v>
      </c>
      <c r="H7" s="1">
        <v>0</v>
      </c>
      <c r="I7" s="1">
        <v>0</v>
      </c>
      <c r="J7" s="147">
        <f>IFERROR(VLOOKUP(B7,Regularizare!$B:$AX,33,FALSE),"-")</f>
        <v>31736</v>
      </c>
      <c r="K7" s="1">
        <f t="shared" si="6"/>
        <v>31736</v>
      </c>
      <c r="L7" s="1">
        <f>IFERROR(VLOOKUP(B7,Regularizare!$B:$AX,37,FALSE),"-")</f>
        <v>394948</v>
      </c>
      <c r="M7" s="1">
        <f t="shared" si="7"/>
        <v>394948</v>
      </c>
      <c r="N7" s="147">
        <f>VLOOKUP(B7,'Inchidere contur'!$G:$H,2,FALSE)</f>
        <v>96609</v>
      </c>
      <c r="O7" s="1">
        <f t="shared" si="2"/>
        <v>0</v>
      </c>
      <c r="P7" s="1">
        <f t="shared" si="3"/>
        <v>0</v>
      </c>
      <c r="Q7" s="1">
        <f t="shared" si="4"/>
        <v>0</v>
      </c>
      <c r="R7" s="178">
        <f>IFERROR(VLOOKUP(B7,'Inchidere contur'!$G:$T,11,FALSE),0)</f>
        <v>96609</v>
      </c>
      <c r="S7" s="147">
        <f>IFERROR(VLOOKUP(B7,'Inchidere contur'!$G:$T,12,FALSE),0)</f>
        <v>0</v>
      </c>
      <c r="T7" s="147">
        <f>IFERROR(VLOOKUP(B7,'Inchidere contur'!$G:$T,13,FALSE),0)</f>
        <v>35715</v>
      </c>
      <c r="V7" s="76"/>
    </row>
    <row r="8" spans="1:22" ht="17.25" thickTop="1" thickBot="1">
      <c r="A8" s="17">
        <f t="shared" si="5"/>
        <v>57</v>
      </c>
      <c r="B8" s="38" t="s">
        <v>572</v>
      </c>
      <c r="C8" s="17" t="s">
        <v>136</v>
      </c>
      <c r="D8" s="17" t="s">
        <v>922</v>
      </c>
      <c r="E8" s="17">
        <v>1</v>
      </c>
      <c r="F8" s="147">
        <f>IFERROR(VLOOKUP(B8,Regularizare!$B:$AX,27,FALSE),"-")</f>
        <v>186701</v>
      </c>
      <c r="G8" s="147">
        <f t="shared" si="1"/>
        <v>190306</v>
      </c>
      <c r="H8" s="1">
        <v>0</v>
      </c>
      <c r="I8" s="1">
        <v>0</v>
      </c>
      <c r="J8" s="147">
        <f>IFERROR(VLOOKUP(B8,Regularizare!$B:$AX,33,FALSE),"-")</f>
        <v>24896</v>
      </c>
      <c r="K8" s="1">
        <f t="shared" si="6"/>
        <v>24896</v>
      </c>
      <c r="L8" s="1">
        <f>IFERROR(VLOOKUP(B8,Regularizare!$B:$AX,37,FALSE),"-")</f>
        <v>2704</v>
      </c>
      <c r="M8" s="1">
        <f t="shared" si="7"/>
        <v>2704</v>
      </c>
      <c r="N8" s="147">
        <f>VLOOKUP(B8,'Inchidere contur'!$G:$H,2,FALSE)</f>
        <v>3605</v>
      </c>
      <c r="O8" s="1">
        <f t="shared" si="2"/>
        <v>0</v>
      </c>
      <c r="P8" s="1">
        <f t="shared" si="3"/>
        <v>0</v>
      </c>
      <c r="Q8" s="1">
        <f t="shared" si="4"/>
        <v>0</v>
      </c>
      <c r="R8" s="178">
        <f>IFERROR(VLOOKUP(B8,'Inchidere contur'!$G:$T,11,FALSE),0)</f>
        <v>3605</v>
      </c>
      <c r="S8" s="147">
        <f>IFERROR(VLOOKUP(B8,'Inchidere contur'!$G:$T,12,FALSE),0)</f>
        <v>0</v>
      </c>
      <c r="T8" s="147">
        <f>IFERROR(VLOOKUP(B8,'Inchidere contur'!$G:$T,13,FALSE),0)</f>
        <v>0</v>
      </c>
      <c r="V8" s="76"/>
    </row>
    <row r="9" spans="1:22" ht="17.25" thickTop="1" thickBot="1">
      <c r="A9" s="17">
        <f t="shared" si="5"/>
        <v>58</v>
      </c>
      <c r="B9" s="38" t="s">
        <v>573</v>
      </c>
      <c r="C9" s="17" t="s">
        <v>138</v>
      </c>
      <c r="D9" s="17">
        <v>1373075553</v>
      </c>
      <c r="E9" s="17">
        <v>1</v>
      </c>
      <c r="F9" s="147">
        <f>IFERROR(VLOOKUP(B9,Regularizare!$B:$AX,27,FALSE),"-")</f>
        <v>2702628</v>
      </c>
      <c r="G9" s="147">
        <f t="shared" si="1"/>
        <v>2864016</v>
      </c>
      <c r="H9" s="1">
        <v>0</v>
      </c>
      <c r="I9" s="1">
        <v>0</v>
      </c>
      <c r="J9" s="147">
        <f>IFERROR(VLOOKUP(B9,Regularizare!$B:$AX,33,FALSE),"-")</f>
        <v>343908</v>
      </c>
      <c r="K9" s="1">
        <f t="shared" si="6"/>
        <v>343908</v>
      </c>
      <c r="L9" s="1">
        <f>IFERROR(VLOOKUP(B9,Regularizare!$B:$AX,37,FALSE),"-")</f>
        <v>17840</v>
      </c>
      <c r="M9" s="1">
        <f t="shared" si="7"/>
        <v>17840</v>
      </c>
      <c r="N9" s="147">
        <f>VLOOKUP(B9,'Inchidere contur'!$G:$H,2,FALSE)</f>
        <v>161388</v>
      </c>
      <c r="O9" s="1">
        <f t="shared" si="2"/>
        <v>0</v>
      </c>
      <c r="P9" s="1">
        <f t="shared" si="3"/>
        <v>0</v>
      </c>
      <c r="Q9" s="1">
        <f t="shared" si="4"/>
        <v>0</v>
      </c>
      <c r="R9" s="178">
        <f>IFERROR(VLOOKUP(B9,'Inchidere contur'!$G:$T,11,FALSE),0)</f>
        <v>161388</v>
      </c>
      <c r="S9" s="147">
        <f>IFERROR(VLOOKUP(B9,'Inchidere contur'!$G:$T,12,FALSE),0)</f>
        <v>76578</v>
      </c>
      <c r="T9" s="147">
        <f>IFERROR(VLOOKUP(B9,'Inchidere contur'!$G:$T,13,FALSE),0)</f>
        <v>29203</v>
      </c>
      <c r="V9" s="76"/>
    </row>
    <row r="10" spans="1:22" ht="17.25" thickTop="1" thickBot="1">
      <c r="A10" s="17">
        <f t="shared" si="5"/>
        <v>59</v>
      </c>
      <c r="B10" s="38" t="s">
        <v>574</v>
      </c>
      <c r="C10" s="17" t="s">
        <v>139</v>
      </c>
      <c r="D10" s="17">
        <v>1373265813</v>
      </c>
      <c r="E10" s="17">
        <v>1</v>
      </c>
      <c r="F10" s="147">
        <f>IFERROR(VLOOKUP(B10,Regularizare!$B:$AX,27,FALSE),"-")</f>
        <v>1934438</v>
      </c>
      <c r="G10" s="147">
        <f t="shared" si="1"/>
        <v>2011656</v>
      </c>
      <c r="H10" s="1">
        <v>0</v>
      </c>
      <c r="I10" s="1">
        <v>0</v>
      </c>
      <c r="J10" s="147">
        <f>IFERROR(VLOOKUP(B10,Regularizare!$B:$AX,33,FALSE),"-")</f>
        <v>340015</v>
      </c>
      <c r="K10" s="1">
        <f t="shared" si="6"/>
        <v>340015</v>
      </c>
      <c r="L10" s="1">
        <f>IFERROR(VLOOKUP(B10,Regularizare!$B:$AX,37,FALSE),"-")</f>
        <v>2316</v>
      </c>
      <c r="M10" s="1">
        <f t="shared" si="7"/>
        <v>2316</v>
      </c>
      <c r="N10" s="147">
        <f>VLOOKUP(B10,'Inchidere contur'!$G:$H,2,FALSE)</f>
        <v>77218</v>
      </c>
      <c r="O10" s="1">
        <f t="shared" si="2"/>
        <v>0</v>
      </c>
      <c r="P10" s="1">
        <f t="shared" si="3"/>
        <v>0</v>
      </c>
      <c r="Q10" s="1">
        <f t="shared" si="4"/>
        <v>0</v>
      </c>
      <c r="R10" s="178">
        <f>IFERROR(VLOOKUP(B10,'Inchidere contur'!$G:$T,11,FALSE),0)</f>
        <v>77218</v>
      </c>
      <c r="S10" s="147">
        <f>IFERROR(VLOOKUP(B10,'Inchidere contur'!$G:$T,12,FALSE),0)</f>
        <v>110522</v>
      </c>
      <c r="T10" s="147">
        <f>IFERROR(VLOOKUP(B10,'Inchidere contur'!$G:$T,13,FALSE),0)</f>
        <v>34</v>
      </c>
      <c r="V10" s="76"/>
    </row>
    <row r="11" spans="1:22" ht="17.25" thickTop="1" thickBot="1">
      <c r="A11" s="17">
        <f t="shared" si="5"/>
        <v>60</v>
      </c>
      <c r="B11" s="38" t="s">
        <v>575</v>
      </c>
      <c r="C11" s="17" t="s">
        <v>141</v>
      </c>
      <c r="D11" s="17" t="s">
        <v>923</v>
      </c>
      <c r="E11" s="17">
        <v>1</v>
      </c>
      <c r="F11" s="147">
        <f>IFERROR(VLOOKUP(B11,Regularizare!$B:$AX,27,FALSE),"-")</f>
        <v>557661</v>
      </c>
      <c r="G11" s="147">
        <f t="shared" si="1"/>
        <v>593623</v>
      </c>
      <c r="H11" s="1">
        <v>0</v>
      </c>
      <c r="I11" s="1">
        <v>0</v>
      </c>
      <c r="J11" s="147">
        <f>IFERROR(VLOOKUP(B11,Regularizare!$B:$AX,33,FALSE),"-")</f>
        <v>9581</v>
      </c>
      <c r="K11" s="1">
        <f t="shared" si="6"/>
        <v>9581</v>
      </c>
      <c r="L11" s="1">
        <f>IFERROR(VLOOKUP(B11,Regularizare!$B:$AX,37,FALSE),"-")</f>
        <v>105280</v>
      </c>
      <c r="M11" s="1">
        <f t="shared" si="7"/>
        <v>105280</v>
      </c>
      <c r="N11" s="147">
        <f>VLOOKUP(B11,'Inchidere contur'!$G:$H,2,FALSE)</f>
        <v>35962</v>
      </c>
      <c r="O11" s="1">
        <f t="shared" si="2"/>
        <v>0</v>
      </c>
      <c r="P11" s="1">
        <f t="shared" si="3"/>
        <v>0</v>
      </c>
      <c r="Q11" s="1">
        <f t="shared" si="4"/>
        <v>0</v>
      </c>
      <c r="R11" s="178">
        <f>IFERROR(VLOOKUP(B11,'Inchidere contur'!$G:$T,11,FALSE),0)</f>
        <v>35962</v>
      </c>
      <c r="S11" s="147">
        <f>IFERROR(VLOOKUP(B11,'Inchidere contur'!$G:$T,12,FALSE),0)</f>
        <v>0</v>
      </c>
      <c r="T11" s="147">
        <f>IFERROR(VLOOKUP(B11,'Inchidere contur'!$G:$T,13,FALSE),0)</f>
        <v>0</v>
      </c>
      <c r="V11" s="76"/>
    </row>
    <row r="12" spans="1:22" ht="17.25" thickTop="1" thickBot="1">
      <c r="A12" s="17">
        <f t="shared" si="5"/>
        <v>61</v>
      </c>
      <c r="B12" s="38" t="s">
        <v>576</v>
      </c>
      <c r="C12" s="17" t="s">
        <v>145</v>
      </c>
      <c r="D12" s="17">
        <v>1371624631</v>
      </c>
      <c r="E12" s="17">
        <v>1</v>
      </c>
      <c r="F12" s="147">
        <f>IFERROR(VLOOKUP(B12,Regularizare!$B:$AX,27,FALSE),"-")</f>
        <v>7324459</v>
      </c>
      <c r="G12" s="147">
        <f t="shared" si="1"/>
        <v>7652161</v>
      </c>
      <c r="H12" s="1">
        <v>0</v>
      </c>
      <c r="I12" s="1">
        <v>0</v>
      </c>
      <c r="J12" s="147">
        <f>IFERROR(VLOOKUP(B12,Regularizare!$B:$AX,33,FALSE),"-")</f>
        <v>219556</v>
      </c>
      <c r="K12" s="1">
        <f t="shared" si="6"/>
        <v>219556</v>
      </c>
      <c r="L12" s="1">
        <f>IFERROR(VLOOKUP(B12,Regularizare!$B:$AX,37,FALSE),"-")</f>
        <v>91152</v>
      </c>
      <c r="M12" s="1">
        <f t="shared" si="7"/>
        <v>91152</v>
      </c>
      <c r="N12" s="147">
        <f>VLOOKUP(B12,'Inchidere contur'!$G:$H,2,FALSE)</f>
        <v>327702</v>
      </c>
      <c r="O12" s="1">
        <f t="shared" si="2"/>
        <v>0</v>
      </c>
      <c r="P12" s="1">
        <f t="shared" si="3"/>
        <v>0</v>
      </c>
      <c r="Q12" s="1">
        <f t="shared" si="4"/>
        <v>0</v>
      </c>
      <c r="R12" s="178">
        <f>IFERROR(VLOOKUP(B12,'Inchidere contur'!$G:$T,11,FALSE),0)</f>
        <v>327702</v>
      </c>
      <c r="S12" s="147">
        <f>IFERROR(VLOOKUP(B12,'Inchidere contur'!$G:$T,12,FALSE),0)</f>
        <v>0</v>
      </c>
      <c r="T12" s="147">
        <f>IFERROR(VLOOKUP(B12,'Inchidere contur'!$G:$T,13,FALSE),0)</f>
        <v>37318</v>
      </c>
      <c r="V12" s="76"/>
    </row>
    <row r="13" spans="1:22" ht="17.25" thickTop="1" thickBot="1">
      <c r="A13" s="17">
        <f t="shared" si="5"/>
        <v>62</v>
      </c>
      <c r="B13" s="38" t="s">
        <v>577</v>
      </c>
      <c r="C13" s="17" t="s">
        <v>146</v>
      </c>
      <c r="D13" s="17">
        <v>1372628411</v>
      </c>
      <c r="E13" s="17">
        <v>1</v>
      </c>
      <c r="F13" s="147">
        <f>IFERROR(VLOOKUP(B13,Regularizare!$B:$AX,27,FALSE),"-")</f>
        <v>4541183</v>
      </c>
      <c r="G13" s="147">
        <f t="shared" si="1"/>
        <v>4698818</v>
      </c>
      <c r="H13" s="1">
        <v>0</v>
      </c>
      <c r="I13" s="1">
        <v>0</v>
      </c>
      <c r="J13" s="147">
        <f>IFERROR(VLOOKUP(B13,Regularizare!$B:$AX,33,FALSE),"-")</f>
        <v>409408</v>
      </c>
      <c r="K13" s="1">
        <f t="shared" si="6"/>
        <v>409408</v>
      </c>
      <c r="L13" s="1">
        <f>IFERROR(VLOOKUP(B13,Regularizare!$B:$AX,37,FALSE),"-")</f>
        <v>1419</v>
      </c>
      <c r="M13" s="1">
        <f t="shared" si="7"/>
        <v>1419</v>
      </c>
      <c r="N13" s="147">
        <f>VLOOKUP(B13,'Inchidere contur'!$G:$H,2,FALSE)</f>
        <v>157635</v>
      </c>
      <c r="O13" s="1">
        <f t="shared" si="2"/>
        <v>0</v>
      </c>
      <c r="P13" s="1">
        <f t="shared" si="3"/>
        <v>0</v>
      </c>
      <c r="Q13" s="1">
        <f t="shared" si="4"/>
        <v>0</v>
      </c>
      <c r="R13" s="178">
        <f>IFERROR(VLOOKUP(B13,'Inchidere contur'!$G:$T,11,FALSE),0)</f>
        <v>157635</v>
      </c>
      <c r="S13" s="147">
        <f>IFERROR(VLOOKUP(B13,'Inchidere contur'!$G:$T,12,FALSE),0)</f>
        <v>133343</v>
      </c>
      <c r="T13" s="147">
        <f>IFERROR(VLOOKUP(B13,'Inchidere contur'!$G:$T,13,FALSE),0)</f>
        <v>0</v>
      </c>
      <c r="V13" s="76"/>
    </row>
    <row r="14" spans="1:22" s="244" customFormat="1" ht="17.25" thickTop="1" thickBot="1">
      <c r="A14" s="17">
        <f t="shared" si="5"/>
        <v>63</v>
      </c>
      <c r="B14" s="243" t="s">
        <v>1188</v>
      </c>
      <c r="C14" s="243" t="s">
        <v>147</v>
      </c>
      <c r="D14" s="243">
        <v>23298242</v>
      </c>
      <c r="E14" s="243">
        <v>500</v>
      </c>
      <c r="F14" s="542">
        <f>IFERROR(VLOOKUP(B14,Regularizare!$B:$AX,27,FALSE),"-")</f>
        <v>2672.9219999999996</v>
      </c>
      <c r="G14" s="542">
        <f>IF(COUNTIF(F14,"-")=1,"-",F14+N14/E14)</f>
        <v>2942.2839999999997</v>
      </c>
      <c r="H14" s="129"/>
      <c r="I14" s="129"/>
      <c r="J14" s="542">
        <f>IFERROR(VLOOKUP(B14,Regularizare!$B:$AX,33,FALSE),"-")</f>
        <v>0</v>
      </c>
      <c r="K14" s="129">
        <f t="shared" si="6"/>
        <v>0</v>
      </c>
      <c r="L14" s="129">
        <f>IFERROR(VLOOKUP(B14,Regularizare!$B:$AX,37,FALSE),"-")</f>
        <v>0</v>
      </c>
      <c r="M14" s="129">
        <f t="shared" si="7"/>
        <v>0</v>
      </c>
      <c r="N14" s="542">
        <f>VLOOKUP(B14,'Inchidere contur'!$G:$H,2,FALSE)</f>
        <v>134681</v>
      </c>
      <c r="O14" s="129">
        <f t="shared" si="2"/>
        <v>0</v>
      </c>
      <c r="P14" s="129">
        <f t="shared" si="3"/>
        <v>0</v>
      </c>
      <c r="Q14" s="129">
        <f t="shared" si="4"/>
        <v>0</v>
      </c>
      <c r="R14" s="543">
        <f>IFERROR(VLOOKUP(B14,'Inchidere contur'!$G:$T,11,FALSE),0)</f>
        <v>134681</v>
      </c>
      <c r="S14" s="542">
        <f>IFERROR(VLOOKUP(B14,'Inchidere contur'!$G:$T,12,FALSE),0)</f>
        <v>49849.500000000036</v>
      </c>
      <c r="T14" s="542">
        <f>IFERROR(VLOOKUP(B14,'Inchidere contur'!$G:$T,13,FALSE),0)</f>
        <v>0</v>
      </c>
      <c r="V14" s="544"/>
    </row>
    <row r="15" spans="1:22" ht="17.25" thickTop="1" thickBot="1">
      <c r="A15" s="17">
        <f t="shared" si="5"/>
        <v>64</v>
      </c>
      <c r="B15" s="38" t="s">
        <v>578</v>
      </c>
      <c r="C15" s="17" t="s">
        <v>498</v>
      </c>
      <c r="D15" s="17" t="s">
        <v>924</v>
      </c>
      <c r="E15" s="17">
        <v>1</v>
      </c>
      <c r="F15" s="147">
        <f>IFERROR(VLOOKUP(B15,Regularizare!$B:$AX,27,FALSE),"-")</f>
        <v>15618</v>
      </c>
      <c r="G15" s="147">
        <f t="shared" si="1"/>
        <v>15618</v>
      </c>
      <c r="H15" s="1">
        <v>0</v>
      </c>
      <c r="I15" s="1">
        <v>0</v>
      </c>
      <c r="J15" s="147">
        <f>IFERROR(VLOOKUP(B15,Regularizare!$B:$AX,33,FALSE),"-")</f>
        <v>442</v>
      </c>
      <c r="K15" s="1">
        <f t="shared" si="6"/>
        <v>442</v>
      </c>
      <c r="L15" s="1">
        <f>IFERROR(VLOOKUP(B15,Regularizare!$B:$AX,37,FALSE),"-")</f>
        <v>812</v>
      </c>
      <c r="M15" s="1">
        <f t="shared" si="7"/>
        <v>812</v>
      </c>
      <c r="N15" s="147">
        <f>VLOOKUP(B15,'Inchidere contur'!$G:$H,2,FALSE)</f>
        <v>0</v>
      </c>
      <c r="O15" s="1">
        <f t="shared" si="2"/>
        <v>0</v>
      </c>
      <c r="P15" s="1">
        <f>P13</f>
        <v>0</v>
      </c>
      <c r="Q15" s="1">
        <f>Q13</f>
        <v>0</v>
      </c>
      <c r="R15" s="178">
        <f>IFERROR(VLOOKUP(B15,'Inchidere contur'!$G:$T,11,FALSE),0)</f>
        <v>0</v>
      </c>
      <c r="S15" s="147">
        <f>IFERROR(VLOOKUP(B15,'Inchidere contur'!$G:$T,12,FALSE),0)</f>
        <v>0</v>
      </c>
      <c r="T15" s="147">
        <f>IFERROR(VLOOKUP(B15,'Inchidere contur'!$G:$T,13,FALSE),0)</f>
        <v>0</v>
      </c>
      <c r="V15" s="76"/>
    </row>
    <row r="16" spans="1:22" ht="17.25" thickTop="1" thickBot="1">
      <c r="A16" s="17">
        <f t="shared" si="5"/>
        <v>65</v>
      </c>
      <c r="B16" s="38" t="s">
        <v>579</v>
      </c>
      <c r="C16" s="17" t="s">
        <v>502</v>
      </c>
      <c r="D16" s="17" t="s">
        <v>925</v>
      </c>
      <c r="E16" s="17">
        <v>1</v>
      </c>
      <c r="F16" s="147">
        <f>IFERROR(VLOOKUP(B16,Regularizare!$B:$AX,27,FALSE),"-")</f>
        <v>0</v>
      </c>
      <c r="G16" s="147">
        <f t="shared" si="1"/>
        <v>0</v>
      </c>
      <c r="H16" s="1">
        <v>0</v>
      </c>
      <c r="I16" s="1">
        <v>0</v>
      </c>
      <c r="J16" s="147">
        <f>IFERROR(VLOOKUP(B16,Regularizare!$B:$AX,33,FALSE),"-")</f>
        <v>814</v>
      </c>
      <c r="K16" s="1">
        <f t="shared" si="6"/>
        <v>814</v>
      </c>
      <c r="L16" s="1">
        <f>IFERROR(VLOOKUP(B16,Regularizare!$B:$AX,37,FALSE),"-")</f>
        <v>888</v>
      </c>
      <c r="M16" s="1">
        <f t="shared" si="7"/>
        <v>888</v>
      </c>
      <c r="N16" s="147">
        <f>VLOOKUP(B16,'Inchidere contur'!$G:$H,2,FALSE)</f>
        <v>0</v>
      </c>
      <c r="O16" s="1">
        <f t="shared" si="2"/>
        <v>0</v>
      </c>
      <c r="P16" s="1">
        <f t="shared" si="3"/>
        <v>0</v>
      </c>
      <c r="Q16" s="1">
        <f t="shared" si="4"/>
        <v>0</v>
      </c>
      <c r="R16" s="178">
        <f>IFERROR(VLOOKUP(B16,'Inchidere contur'!$G:$T,11,FALSE),0)</f>
        <v>0</v>
      </c>
      <c r="S16" s="147">
        <f>IFERROR(VLOOKUP(B16,'Inchidere contur'!$G:$T,12,FALSE),0)</f>
        <v>0</v>
      </c>
      <c r="T16" s="147">
        <f>IFERROR(VLOOKUP(B16,'Inchidere contur'!$G:$T,13,FALSE),0)</f>
        <v>0</v>
      </c>
      <c r="V16" s="76"/>
    </row>
    <row r="17" spans="1:22" ht="17.25" thickTop="1" thickBot="1">
      <c r="A17" s="17">
        <f t="shared" si="5"/>
        <v>66</v>
      </c>
      <c r="B17" s="38" t="s">
        <v>580</v>
      </c>
      <c r="C17" s="17" t="s">
        <v>150</v>
      </c>
      <c r="D17" s="17">
        <v>1372745265</v>
      </c>
      <c r="E17" s="17">
        <v>1</v>
      </c>
      <c r="F17" s="147">
        <f>IFERROR(VLOOKUP(B17,Regularizare!$B:$AX,27,FALSE),"-")</f>
        <v>3395132</v>
      </c>
      <c r="G17" s="147">
        <f t="shared" si="1"/>
        <v>3590425</v>
      </c>
      <c r="H17" s="1">
        <v>0</v>
      </c>
      <c r="I17" s="1">
        <v>0</v>
      </c>
      <c r="J17" s="147">
        <f>IFERROR(VLOOKUP(B17,Regularizare!$B:$AX,33,FALSE),"-")</f>
        <v>136501</v>
      </c>
      <c r="K17" s="1">
        <f t="shared" si="6"/>
        <v>136501</v>
      </c>
      <c r="L17" s="1">
        <f>IFERROR(VLOOKUP(B17,Regularizare!$B:$AX,37,FALSE),"-")</f>
        <v>20388</v>
      </c>
      <c r="M17" s="1">
        <f t="shared" si="7"/>
        <v>20388</v>
      </c>
      <c r="N17" s="147">
        <f>VLOOKUP(B17,'Inchidere contur'!$G:$H,2,FALSE)</f>
        <v>195293</v>
      </c>
      <c r="O17" s="1">
        <f t="shared" si="2"/>
        <v>0</v>
      </c>
      <c r="P17" s="1">
        <f t="shared" si="3"/>
        <v>0</v>
      </c>
      <c r="Q17" s="1">
        <f t="shared" si="4"/>
        <v>0</v>
      </c>
      <c r="R17" s="178">
        <f>IFERROR(VLOOKUP(B17,'Inchidere contur'!$G:$T,11,FALSE),0)</f>
        <v>195293</v>
      </c>
      <c r="S17" s="147">
        <f>IFERROR(VLOOKUP(B17,'Inchidere contur'!$G:$T,12,FALSE),0)</f>
        <v>0</v>
      </c>
      <c r="T17" s="147">
        <f>IFERROR(VLOOKUP(B17,'Inchidere contur'!$G:$T,13,FALSE),0)</f>
        <v>16684</v>
      </c>
      <c r="V17" s="76"/>
    </row>
    <row r="18" spans="1:22" ht="17.25" thickTop="1" thickBot="1">
      <c r="A18" s="17">
        <f t="shared" si="5"/>
        <v>67</v>
      </c>
      <c r="B18" s="38" t="s">
        <v>581</v>
      </c>
      <c r="C18" s="17" t="s">
        <v>151</v>
      </c>
      <c r="D18" s="17">
        <v>1372643042</v>
      </c>
      <c r="E18" s="17">
        <v>1</v>
      </c>
      <c r="F18" s="147">
        <f>IFERROR(VLOOKUP(B18,Regularizare!$B:$AX,27,FALSE),"-")</f>
        <v>2845449</v>
      </c>
      <c r="G18" s="147">
        <f t="shared" si="1"/>
        <v>2963307</v>
      </c>
      <c r="H18" s="1">
        <v>0</v>
      </c>
      <c r="I18" s="1">
        <v>0</v>
      </c>
      <c r="J18" s="147">
        <f>IFERROR(VLOOKUP(B18,Regularizare!$B:$AX,33,FALSE),"-")</f>
        <v>163427</v>
      </c>
      <c r="K18" s="1">
        <f t="shared" si="6"/>
        <v>163427</v>
      </c>
      <c r="L18" s="1">
        <f>IFERROR(VLOOKUP(B18,Regularizare!$B:$AX,37,FALSE),"-")</f>
        <v>7237</v>
      </c>
      <c r="M18" s="1">
        <f t="shared" si="7"/>
        <v>7237</v>
      </c>
      <c r="N18" s="147">
        <f>VLOOKUP(B18,'Inchidere contur'!$G:$H,2,FALSE)</f>
        <v>117858</v>
      </c>
      <c r="O18" s="1">
        <f t="shared" si="2"/>
        <v>0</v>
      </c>
      <c r="P18" s="1">
        <f t="shared" si="3"/>
        <v>0</v>
      </c>
      <c r="Q18" s="1">
        <f t="shared" si="4"/>
        <v>0</v>
      </c>
      <c r="R18" s="178">
        <f>IFERROR(VLOOKUP(B18,'Inchidere contur'!$G:$T,11,FALSE),0)</f>
        <v>117858</v>
      </c>
      <c r="S18" s="147">
        <f>IFERROR(VLOOKUP(B18,'Inchidere contur'!$G:$T,12,FALSE),0)</f>
        <v>109278</v>
      </c>
      <c r="T18" s="147">
        <f>IFERROR(VLOOKUP(B18,'Inchidere contur'!$G:$T,13,FALSE),0)</f>
        <v>0</v>
      </c>
      <c r="V18" s="76"/>
    </row>
    <row r="19" spans="1:22" ht="17.25" thickTop="1" thickBot="1">
      <c r="A19" s="17">
        <f t="shared" si="5"/>
        <v>68</v>
      </c>
      <c r="B19" s="38" t="s">
        <v>582</v>
      </c>
      <c r="C19" s="17" t="s">
        <v>155</v>
      </c>
      <c r="D19" s="17">
        <v>1371622702</v>
      </c>
      <c r="E19" s="17">
        <v>1</v>
      </c>
      <c r="F19" s="147">
        <f>IFERROR(VLOOKUP(B19,Regularizare!$B:$AX,27,FALSE),"-")</f>
        <v>4214346</v>
      </c>
      <c r="G19" s="147">
        <f t="shared" si="1"/>
        <v>4382237</v>
      </c>
      <c r="H19" s="1">
        <v>0</v>
      </c>
      <c r="I19" s="1">
        <v>0</v>
      </c>
      <c r="J19" s="147">
        <f>IFERROR(VLOOKUP(B19,Regularizare!$B:$AX,33,FALSE),"-")</f>
        <v>223568</v>
      </c>
      <c r="K19" s="1">
        <f t="shared" si="6"/>
        <v>223568</v>
      </c>
      <c r="L19" s="1">
        <f>IFERROR(VLOOKUP(B19,Regularizare!$B:$AX,37,FALSE),"-")</f>
        <v>11184</v>
      </c>
      <c r="M19" s="1">
        <f t="shared" si="7"/>
        <v>11184</v>
      </c>
      <c r="N19" s="147">
        <f>VLOOKUP(B19,'Inchidere contur'!$G:$H,2,FALSE)</f>
        <v>167891</v>
      </c>
      <c r="O19" s="1">
        <f t="shared" ref="O19:O82" si="8">IFERROR((I19-H19)*E19,0)</f>
        <v>0</v>
      </c>
      <c r="P19" s="1">
        <f t="shared" si="3"/>
        <v>0</v>
      </c>
      <c r="Q19" s="1">
        <f t="shared" si="4"/>
        <v>0</v>
      </c>
      <c r="R19" s="178">
        <f>IFERROR(VLOOKUP(B19,'Inchidere contur'!$G:$T,11,FALSE),0)</f>
        <v>167891</v>
      </c>
      <c r="S19" s="147">
        <f>IFERROR(VLOOKUP(B19,'Inchidere contur'!$G:$T,12,FALSE),0)</f>
        <v>0</v>
      </c>
      <c r="T19" s="147">
        <f>IFERROR(VLOOKUP(B19,'Inchidere contur'!$G:$T,13,FALSE),0)</f>
        <v>0</v>
      </c>
      <c r="V19" s="76"/>
    </row>
    <row r="20" spans="1:22" ht="17.25" thickTop="1" thickBot="1">
      <c r="A20" s="17">
        <f t="shared" si="5"/>
        <v>69</v>
      </c>
      <c r="B20" s="38" t="s">
        <v>583</v>
      </c>
      <c r="C20" s="17" t="s">
        <v>157</v>
      </c>
      <c r="D20" s="17">
        <v>1371641581</v>
      </c>
      <c r="E20" s="17">
        <v>1</v>
      </c>
      <c r="F20" s="147">
        <f>IFERROR(VLOOKUP(B20,Regularizare!$B:$AX,27,FALSE),"-")</f>
        <v>5185710</v>
      </c>
      <c r="G20" s="147">
        <f t="shared" si="1"/>
        <v>5394522</v>
      </c>
      <c r="H20" s="1">
        <v>0</v>
      </c>
      <c r="I20" s="1">
        <v>0</v>
      </c>
      <c r="J20" s="147">
        <f>IFERROR(VLOOKUP(B20,Regularizare!$B:$AX,33,FALSE),"-")</f>
        <v>236837</v>
      </c>
      <c r="K20" s="1">
        <f t="shared" si="6"/>
        <v>236837</v>
      </c>
      <c r="L20" s="1">
        <f>IFERROR(VLOOKUP(B20,Regularizare!$B:$AX,37,FALSE),"-")</f>
        <v>9539</v>
      </c>
      <c r="M20" s="1">
        <f t="shared" si="7"/>
        <v>9539</v>
      </c>
      <c r="N20" s="147">
        <f>VLOOKUP(B20,'Inchidere contur'!$G:$H,2,FALSE)</f>
        <v>208812</v>
      </c>
      <c r="O20" s="1">
        <f t="shared" si="8"/>
        <v>0</v>
      </c>
      <c r="P20" s="1">
        <f t="shared" ref="P20:P83" si="9">P19</f>
        <v>0</v>
      </c>
      <c r="Q20" s="1">
        <f t="shared" ref="Q20:Q83" si="10">Q19</f>
        <v>0</v>
      </c>
      <c r="R20" s="178">
        <f>IFERROR(VLOOKUP(B20,'Inchidere contur'!$G:$T,11,FALSE),0)</f>
        <v>208812</v>
      </c>
      <c r="S20" s="147">
        <f>IFERROR(VLOOKUP(B20,'Inchidere contur'!$G:$T,12,FALSE),0)</f>
        <v>39479</v>
      </c>
      <c r="T20" s="147">
        <f>IFERROR(VLOOKUP(B20,'Inchidere contur'!$G:$T,13,FALSE),0)</f>
        <v>0</v>
      </c>
      <c r="V20" s="76"/>
    </row>
    <row r="21" spans="1:22" ht="17.25" thickTop="1" thickBot="1">
      <c r="A21" s="17">
        <f t="shared" si="5"/>
        <v>70</v>
      </c>
      <c r="B21" s="38" t="s">
        <v>584</v>
      </c>
      <c r="C21" s="17" t="s">
        <v>181</v>
      </c>
      <c r="D21" s="17">
        <v>1369534319</v>
      </c>
      <c r="E21" s="17">
        <v>1</v>
      </c>
      <c r="F21" s="147">
        <f>IFERROR(VLOOKUP(B21,Regularizare!$B:$AX,27,FALSE),"-")</f>
        <v>1170510</v>
      </c>
      <c r="G21" s="147">
        <f t="shared" si="1"/>
        <v>1210901</v>
      </c>
      <c r="H21" s="1">
        <v>0</v>
      </c>
      <c r="I21" s="1">
        <v>0</v>
      </c>
      <c r="J21" s="147">
        <f>IFERROR(VLOOKUP(B21,Regularizare!$B:$AX,33,FALSE),"-")</f>
        <v>157078</v>
      </c>
      <c r="K21" s="1">
        <f t="shared" si="6"/>
        <v>157078</v>
      </c>
      <c r="L21" s="1">
        <f>IFERROR(VLOOKUP(B21,Regularizare!$B:$AX,37,FALSE),"-")</f>
        <v>2357</v>
      </c>
      <c r="M21" s="1">
        <f t="shared" si="7"/>
        <v>2357</v>
      </c>
      <c r="N21" s="147">
        <f>VLOOKUP(B21,'Inchidere contur'!$G:$H,2,FALSE)</f>
        <v>40391</v>
      </c>
      <c r="O21" s="1">
        <f t="shared" si="8"/>
        <v>0</v>
      </c>
      <c r="P21" s="1">
        <f t="shared" si="9"/>
        <v>0</v>
      </c>
      <c r="Q21" s="1">
        <f t="shared" si="10"/>
        <v>0</v>
      </c>
      <c r="R21" s="178">
        <f>IFERROR(VLOOKUP(B21,'Inchidere contur'!$G:$T,11,FALSE),0)</f>
        <v>40391</v>
      </c>
      <c r="S21" s="147">
        <f>IFERROR(VLOOKUP(B21,'Inchidere contur'!$G:$T,12,FALSE),0)</f>
        <v>34586</v>
      </c>
      <c r="T21" s="147">
        <f>IFERROR(VLOOKUP(B21,'Inchidere contur'!$G:$T,13,FALSE),0)</f>
        <v>0</v>
      </c>
      <c r="V21" s="76"/>
    </row>
    <row r="22" spans="1:22" ht="17.25" thickTop="1" thickBot="1">
      <c r="A22" s="17">
        <f t="shared" si="5"/>
        <v>71</v>
      </c>
      <c r="B22" s="38" t="s">
        <v>585</v>
      </c>
      <c r="C22" s="17" t="s">
        <v>173</v>
      </c>
      <c r="D22" s="17">
        <v>1369546405</v>
      </c>
      <c r="E22" s="17">
        <v>1</v>
      </c>
      <c r="F22" s="147">
        <f>IFERROR(VLOOKUP(B22,Regularizare!$B:$AX,27,FALSE),"-")</f>
        <v>1233968</v>
      </c>
      <c r="G22" s="147">
        <f t="shared" si="1"/>
        <v>1277439</v>
      </c>
      <c r="H22" s="1">
        <v>0</v>
      </c>
      <c r="I22" s="1">
        <v>0</v>
      </c>
      <c r="J22" s="147">
        <f>IFERROR(VLOOKUP(B22,Regularizare!$B:$AX,33,FALSE),"-")</f>
        <v>159835</v>
      </c>
      <c r="K22" s="1">
        <f t="shared" si="6"/>
        <v>159835</v>
      </c>
      <c r="L22" s="1">
        <f>IFERROR(VLOOKUP(B22,Regularizare!$B:$AX,37,FALSE),"-")</f>
        <v>3873</v>
      </c>
      <c r="M22" s="1">
        <f t="shared" si="7"/>
        <v>3873</v>
      </c>
      <c r="N22" s="147">
        <f>VLOOKUP(B22,'Inchidere contur'!$G:$H,2,FALSE)</f>
        <v>43471</v>
      </c>
      <c r="O22" s="1">
        <f t="shared" si="8"/>
        <v>0</v>
      </c>
      <c r="P22" s="1">
        <f t="shared" si="9"/>
        <v>0</v>
      </c>
      <c r="Q22" s="1">
        <f t="shared" si="10"/>
        <v>0</v>
      </c>
      <c r="R22" s="178">
        <f>IFERROR(VLOOKUP(B22,'Inchidere contur'!$G:$T,11,FALSE),0)</f>
        <v>43471</v>
      </c>
      <c r="S22" s="147">
        <f>IFERROR(VLOOKUP(B22,'Inchidere contur'!$G:$T,12,FALSE),0)</f>
        <v>24153</v>
      </c>
      <c r="T22" s="147">
        <f>IFERROR(VLOOKUP(B22,'Inchidere contur'!$G:$T,13,FALSE),0)</f>
        <v>0</v>
      </c>
      <c r="V22" s="76"/>
    </row>
    <row r="23" spans="1:22" ht="17.25" thickTop="1" thickBot="1">
      <c r="A23" s="17">
        <f t="shared" si="5"/>
        <v>72</v>
      </c>
      <c r="B23" s="38" t="s">
        <v>586</v>
      </c>
      <c r="C23" s="17" t="s">
        <v>175</v>
      </c>
      <c r="D23" s="17">
        <v>1371623665</v>
      </c>
      <c r="E23" s="17">
        <v>1</v>
      </c>
      <c r="F23" s="147">
        <f>IFERROR(VLOOKUP(B23,Regularizare!$B:$AX,27,FALSE),"-")</f>
        <v>2700162</v>
      </c>
      <c r="G23" s="147">
        <f t="shared" si="1"/>
        <v>2820735</v>
      </c>
      <c r="H23" s="1">
        <v>0</v>
      </c>
      <c r="I23" s="1">
        <v>0</v>
      </c>
      <c r="J23" s="147">
        <f>IFERROR(VLOOKUP(B23,Regularizare!$B:$AX,33,FALSE),"-")</f>
        <v>155181</v>
      </c>
      <c r="K23" s="1">
        <f t="shared" si="6"/>
        <v>155181</v>
      </c>
      <c r="L23" s="1">
        <f>IFERROR(VLOOKUP(B23,Regularizare!$B:$AX,37,FALSE),"-")</f>
        <v>1655</v>
      </c>
      <c r="M23" s="1">
        <f t="shared" si="7"/>
        <v>1655</v>
      </c>
      <c r="N23" s="147">
        <f>VLOOKUP(B23,'Inchidere contur'!$G:$H,2,FALSE)</f>
        <v>120573</v>
      </c>
      <c r="O23" s="1">
        <f t="shared" si="8"/>
        <v>0</v>
      </c>
      <c r="P23" s="1">
        <f t="shared" si="9"/>
        <v>0</v>
      </c>
      <c r="Q23" s="1">
        <f t="shared" si="10"/>
        <v>0</v>
      </c>
      <c r="R23" s="178">
        <f>IFERROR(VLOOKUP(B23,'Inchidere contur'!$G:$T,11,FALSE),0)</f>
        <v>120573</v>
      </c>
      <c r="S23" s="147">
        <f>IFERROR(VLOOKUP(B23,'Inchidere contur'!$G:$T,12,FALSE),0)</f>
        <v>81464</v>
      </c>
      <c r="T23" s="147">
        <f>IFERROR(VLOOKUP(B23,'Inchidere contur'!$G:$T,13,FALSE),0)</f>
        <v>0</v>
      </c>
      <c r="V23" s="76"/>
    </row>
    <row r="24" spans="1:22" ht="17.25" thickTop="1" thickBot="1">
      <c r="A24" s="17">
        <f t="shared" si="5"/>
        <v>73</v>
      </c>
      <c r="B24" s="38" t="s">
        <v>587</v>
      </c>
      <c r="C24" s="17" t="s">
        <v>176</v>
      </c>
      <c r="D24" s="17">
        <v>1369534409</v>
      </c>
      <c r="E24" s="17">
        <v>1</v>
      </c>
      <c r="F24" s="147">
        <f>IFERROR(VLOOKUP(B24,Regularizare!$B:$AX,27,FALSE),"-")</f>
        <v>2091333</v>
      </c>
      <c r="G24" s="147">
        <f t="shared" si="1"/>
        <v>2172172</v>
      </c>
      <c r="H24" s="1">
        <v>0</v>
      </c>
      <c r="I24" s="1">
        <v>0</v>
      </c>
      <c r="J24" s="147">
        <f>IFERROR(VLOOKUP(B24,Regularizare!$B:$AX,33,FALSE),"-")</f>
        <v>167396</v>
      </c>
      <c r="K24" s="1">
        <f t="shared" si="6"/>
        <v>167396</v>
      </c>
      <c r="L24" s="1">
        <f>IFERROR(VLOOKUP(B24,Regularizare!$B:$AX,37,FALSE),"-")</f>
        <v>4042</v>
      </c>
      <c r="M24" s="1">
        <f t="shared" si="7"/>
        <v>4042</v>
      </c>
      <c r="N24" s="147">
        <f>VLOOKUP(B24,'Inchidere contur'!$G:$H,2,FALSE)</f>
        <v>80839</v>
      </c>
      <c r="O24" s="1">
        <f t="shared" si="8"/>
        <v>0</v>
      </c>
      <c r="P24" s="1">
        <f t="shared" si="9"/>
        <v>0</v>
      </c>
      <c r="Q24" s="1">
        <f t="shared" si="10"/>
        <v>0</v>
      </c>
      <c r="R24" s="178">
        <f>IFERROR(VLOOKUP(B24,'Inchidere contur'!$G:$T,11,FALSE),0)</f>
        <v>80839</v>
      </c>
      <c r="S24" s="147">
        <f>IFERROR(VLOOKUP(B24,'Inchidere contur'!$G:$T,12,FALSE),0)</f>
        <v>0</v>
      </c>
      <c r="T24" s="147">
        <f>IFERROR(VLOOKUP(B24,'Inchidere contur'!$G:$T,13,FALSE),0)</f>
        <v>0</v>
      </c>
      <c r="V24" s="76"/>
    </row>
    <row r="25" spans="1:22" ht="17.25" thickTop="1" thickBot="1">
      <c r="A25" s="17">
        <f t="shared" si="5"/>
        <v>74</v>
      </c>
      <c r="B25" s="38" t="s">
        <v>588</v>
      </c>
      <c r="C25" s="17" t="s">
        <v>178</v>
      </c>
      <c r="D25" s="17">
        <v>1372655772</v>
      </c>
      <c r="E25" s="17">
        <v>1</v>
      </c>
      <c r="F25" s="147">
        <f>IFERROR(VLOOKUP(B25,Regularizare!$B:$AX,27,FALSE),"-")</f>
        <v>1325097</v>
      </c>
      <c r="G25" s="147">
        <f t="shared" si="1"/>
        <v>1352170</v>
      </c>
      <c r="H25" s="1">
        <v>0</v>
      </c>
      <c r="I25" s="1">
        <v>0</v>
      </c>
      <c r="J25" s="147">
        <f>IFERROR(VLOOKUP(B25,Regularizare!$B:$AX,33,FALSE),"-")</f>
        <v>172035</v>
      </c>
      <c r="K25" s="1">
        <f t="shared" si="6"/>
        <v>172035</v>
      </c>
      <c r="L25" s="1">
        <f>IFERROR(VLOOKUP(B25,Regularizare!$B:$AX,37,FALSE),"-")</f>
        <v>138991</v>
      </c>
      <c r="M25" s="1">
        <f t="shared" si="7"/>
        <v>138991</v>
      </c>
      <c r="N25" s="147">
        <f>VLOOKUP(B25,'Inchidere contur'!$G:$H,2,FALSE)</f>
        <v>27073</v>
      </c>
      <c r="O25" s="1">
        <f t="shared" si="8"/>
        <v>0</v>
      </c>
      <c r="P25" s="1">
        <f>P24</f>
        <v>0</v>
      </c>
      <c r="Q25" s="1">
        <f>Q24</f>
        <v>0</v>
      </c>
      <c r="R25" s="178">
        <f>IFERROR(VLOOKUP(B25,'Inchidere contur'!$G:$T,11,FALSE),0)</f>
        <v>27073</v>
      </c>
      <c r="S25" s="147">
        <f>IFERROR(VLOOKUP(B25,'Inchidere contur'!$G:$T,12,FALSE),0)</f>
        <v>70622</v>
      </c>
      <c r="T25" s="147">
        <f>IFERROR(VLOOKUP(B25,'Inchidere contur'!$G:$T,13,FALSE),0)</f>
        <v>0</v>
      </c>
      <c r="V25" s="76"/>
    </row>
    <row r="26" spans="1:22" ht="17.25" thickTop="1" thickBot="1">
      <c r="A26" s="17">
        <f t="shared" si="5"/>
        <v>75</v>
      </c>
      <c r="B26" s="38" t="s">
        <v>589</v>
      </c>
      <c r="C26" s="17" t="s">
        <v>179</v>
      </c>
      <c r="D26" s="17">
        <v>1372654023</v>
      </c>
      <c r="E26" s="17">
        <v>1</v>
      </c>
      <c r="F26" s="147">
        <f>IFERROR(VLOOKUP(B26,Regularizare!$B:$AX,27,FALSE),"-")</f>
        <v>2223912</v>
      </c>
      <c r="G26" s="147">
        <f t="shared" si="1"/>
        <v>2352484</v>
      </c>
      <c r="H26" s="1">
        <v>0</v>
      </c>
      <c r="I26" s="1">
        <v>0</v>
      </c>
      <c r="J26" s="147">
        <f>IFERROR(VLOOKUP(B26,Regularizare!$B:$AX,33,FALSE),"-")</f>
        <v>254523</v>
      </c>
      <c r="K26" s="1">
        <f t="shared" si="6"/>
        <v>254523</v>
      </c>
      <c r="L26" s="1">
        <f>IFERROR(VLOOKUP(B26,Regularizare!$B:$AX,37,FALSE),"-")</f>
        <v>64</v>
      </c>
      <c r="M26" s="1">
        <f t="shared" si="7"/>
        <v>64</v>
      </c>
      <c r="N26" s="147">
        <f>VLOOKUP(B26,'Inchidere contur'!$G:$H,2,FALSE)</f>
        <v>128572</v>
      </c>
      <c r="O26" s="1">
        <f t="shared" si="8"/>
        <v>0</v>
      </c>
      <c r="P26" s="1">
        <f t="shared" si="9"/>
        <v>0</v>
      </c>
      <c r="Q26" s="1">
        <f t="shared" si="10"/>
        <v>0</v>
      </c>
      <c r="R26" s="178">
        <f>IFERROR(VLOOKUP(B26,'Inchidere contur'!$G:$T,11,FALSE),0)</f>
        <v>128572</v>
      </c>
      <c r="S26" s="147">
        <f>IFERROR(VLOOKUP(B26,'Inchidere contur'!$G:$T,12,FALSE),0)</f>
        <v>0</v>
      </c>
      <c r="T26" s="147">
        <f>IFERROR(VLOOKUP(B26,'Inchidere contur'!$G:$T,13,FALSE),0)</f>
        <v>56743</v>
      </c>
      <c r="V26" s="76"/>
    </row>
    <row r="27" spans="1:22" ht="17.25" thickTop="1" thickBot="1">
      <c r="A27" s="17">
        <f t="shared" si="5"/>
        <v>76</v>
      </c>
      <c r="B27" s="38" t="s">
        <v>590</v>
      </c>
      <c r="C27" s="17" t="s">
        <v>184</v>
      </c>
      <c r="D27" s="17">
        <v>1371628694</v>
      </c>
      <c r="E27" s="17">
        <v>1</v>
      </c>
      <c r="F27" s="147">
        <f>IFERROR(VLOOKUP(B27,Regularizare!$B:$AX,27,FALSE),"-")</f>
        <v>5141961</v>
      </c>
      <c r="G27" s="147">
        <f t="shared" si="1"/>
        <v>5432069</v>
      </c>
      <c r="H27" s="1">
        <v>0</v>
      </c>
      <c r="I27" s="1">
        <v>0</v>
      </c>
      <c r="J27" s="147">
        <f>IFERROR(VLOOKUP(B27,Regularizare!$B:$AX,33,FALSE),"-")</f>
        <v>259831</v>
      </c>
      <c r="K27" s="1">
        <f t="shared" si="6"/>
        <v>259831</v>
      </c>
      <c r="L27" s="1">
        <f>IFERROR(VLOOKUP(B27,Regularizare!$B:$AX,37,FALSE),"-")</f>
        <v>3792</v>
      </c>
      <c r="M27" s="1">
        <f t="shared" si="7"/>
        <v>3792</v>
      </c>
      <c r="N27" s="147">
        <f>VLOOKUP(B27,'Inchidere contur'!$G:$H,2,FALSE)</f>
        <v>290108</v>
      </c>
      <c r="O27" s="1">
        <f t="shared" si="8"/>
        <v>0</v>
      </c>
      <c r="P27" s="1">
        <f t="shared" si="9"/>
        <v>0</v>
      </c>
      <c r="Q27" s="1">
        <f t="shared" si="10"/>
        <v>0</v>
      </c>
      <c r="R27" s="178">
        <f>IFERROR(VLOOKUP(B27,'Inchidere contur'!$G:$T,11,FALSE),0)</f>
        <v>290108</v>
      </c>
      <c r="S27" s="147">
        <f>IFERROR(VLOOKUP(B27,'Inchidere contur'!$G:$T,12,FALSE),0)</f>
        <v>0</v>
      </c>
      <c r="T27" s="147">
        <f>IFERROR(VLOOKUP(B27,'Inchidere contur'!$G:$T,13,FALSE),0)</f>
        <v>11181</v>
      </c>
      <c r="V27" s="76"/>
    </row>
    <row r="28" spans="1:22" ht="17.25" thickTop="1" thickBot="1">
      <c r="A28" s="17">
        <f t="shared" si="5"/>
        <v>77</v>
      </c>
      <c r="B28" s="38" t="s">
        <v>591</v>
      </c>
      <c r="C28" s="17" t="s">
        <v>186</v>
      </c>
      <c r="D28" s="17">
        <v>1372655644</v>
      </c>
      <c r="E28" s="17">
        <v>1</v>
      </c>
      <c r="F28" s="147">
        <f>IFERROR(VLOOKUP(B28,Regularizare!$B:$AX,27,FALSE),"-")</f>
        <v>3707971.0000000009</v>
      </c>
      <c r="G28" s="147">
        <f t="shared" si="1"/>
        <v>3741435.0000000009</v>
      </c>
      <c r="H28" s="1">
        <v>0</v>
      </c>
      <c r="I28" s="1">
        <v>0</v>
      </c>
      <c r="J28" s="147">
        <f>IFERROR(VLOOKUP(B28,Regularizare!$B:$AX,33,FALSE),"-")</f>
        <v>98523</v>
      </c>
      <c r="K28" s="1">
        <f t="shared" si="6"/>
        <v>98523</v>
      </c>
      <c r="L28" s="1">
        <f>IFERROR(VLOOKUP(B28,Regularizare!$B:$AX,37,FALSE),"-")</f>
        <v>61553</v>
      </c>
      <c r="M28" s="1">
        <f t="shared" si="7"/>
        <v>61553</v>
      </c>
      <c r="N28" s="147">
        <f>VLOOKUP(B28,'Inchidere contur'!$G:$H,2,FALSE)</f>
        <v>33464</v>
      </c>
      <c r="O28" s="1">
        <f t="shared" si="8"/>
        <v>0</v>
      </c>
      <c r="P28" s="1">
        <f t="shared" si="9"/>
        <v>0</v>
      </c>
      <c r="Q28" s="1">
        <f t="shared" si="10"/>
        <v>0</v>
      </c>
      <c r="R28" s="178">
        <f>IFERROR(VLOOKUP(B28,'Inchidere contur'!$G:$T,11,FALSE),0)</f>
        <v>33464</v>
      </c>
      <c r="S28" s="147">
        <f>IFERROR(VLOOKUP(B28,'Inchidere contur'!$G:$T,12,FALSE),0)</f>
        <v>157386</v>
      </c>
      <c r="T28" s="147">
        <f>IFERROR(VLOOKUP(B28,'Inchidere contur'!$G:$T,13,FALSE),0)</f>
        <v>0</v>
      </c>
      <c r="V28" s="76"/>
    </row>
    <row r="29" spans="1:22" ht="17.25" thickTop="1" thickBot="1">
      <c r="A29" s="17">
        <f t="shared" si="5"/>
        <v>78</v>
      </c>
      <c r="B29" s="38" t="s">
        <v>592</v>
      </c>
      <c r="C29" s="17" t="s">
        <v>189</v>
      </c>
      <c r="D29" s="17">
        <v>1372745537</v>
      </c>
      <c r="E29" s="17">
        <v>1</v>
      </c>
      <c r="F29" s="147">
        <f>IFERROR(VLOOKUP(B29,Regularizare!$B:$AX,27,FALSE),"-")</f>
        <v>3873591</v>
      </c>
      <c r="G29" s="147">
        <f t="shared" si="1"/>
        <v>3992394</v>
      </c>
      <c r="H29" s="1">
        <v>0</v>
      </c>
      <c r="I29" s="1">
        <v>0</v>
      </c>
      <c r="J29" s="147">
        <f>IFERROR(VLOOKUP(B29,Regularizare!$B:$AX,33,FALSE),"-")</f>
        <v>439355</v>
      </c>
      <c r="K29" s="1">
        <f t="shared" si="6"/>
        <v>439355</v>
      </c>
      <c r="L29" s="1">
        <f>IFERROR(VLOOKUP(B29,Regularizare!$B:$AX,37,FALSE),"-")</f>
        <v>231</v>
      </c>
      <c r="M29" s="1">
        <f t="shared" si="7"/>
        <v>231</v>
      </c>
      <c r="N29" s="147">
        <f>VLOOKUP(B29,'Inchidere contur'!$G:$H,2,FALSE)</f>
        <v>118803</v>
      </c>
      <c r="O29" s="1">
        <f t="shared" si="8"/>
        <v>0</v>
      </c>
      <c r="P29" s="1">
        <f t="shared" si="9"/>
        <v>0</v>
      </c>
      <c r="Q29" s="1">
        <f t="shared" si="10"/>
        <v>0</v>
      </c>
      <c r="R29" s="178">
        <f>IFERROR(VLOOKUP(B29,'Inchidere contur'!$G:$T,11,FALSE),0)</f>
        <v>118803</v>
      </c>
      <c r="S29" s="147">
        <f>IFERROR(VLOOKUP(B29,'Inchidere contur'!$G:$T,12,FALSE),0)</f>
        <v>0</v>
      </c>
      <c r="T29" s="147">
        <f>IFERROR(VLOOKUP(B29,'Inchidere contur'!$G:$T,13,FALSE),0)</f>
        <v>6830</v>
      </c>
      <c r="V29" s="76"/>
    </row>
    <row r="30" spans="1:22" ht="17.25" thickTop="1" thickBot="1">
      <c r="A30" s="17">
        <f t="shared" si="5"/>
        <v>79</v>
      </c>
      <c r="B30" s="38" t="s">
        <v>593</v>
      </c>
      <c r="C30" s="17" t="s">
        <v>191</v>
      </c>
      <c r="D30" s="17">
        <v>1371628703</v>
      </c>
      <c r="E30" s="17">
        <v>1</v>
      </c>
      <c r="F30" s="147">
        <f>IFERROR(VLOOKUP(B30,Regularizare!$B:$AX,27,FALSE),"-")</f>
        <v>3477517</v>
      </c>
      <c r="G30" s="147">
        <f t="shared" si="1"/>
        <v>3731635</v>
      </c>
      <c r="H30" s="1">
        <v>0</v>
      </c>
      <c r="I30" s="1">
        <v>0</v>
      </c>
      <c r="J30" s="147">
        <f>IFERROR(VLOOKUP(B30,Regularizare!$B:$AX,33,FALSE),"-")</f>
        <v>272596</v>
      </c>
      <c r="K30" s="1">
        <f t="shared" si="6"/>
        <v>272596</v>
      </c>
      <c r="L30" s="1">
        <f>IFERROR(VLOOKUP(B30,Regularizare!$B:$AX,37,FALSE),"-")</f>
        <v>40904</v>
      </c>
      <c r="M30" s="1">
        <f t="shared" si="7"/>
        <v>40904</v>
      </c>
      <c r="N30" s="147">
        <f>VLOOKUP(B30,'Inchidere contur'!$G:$H,2,FALSE)</f>
        <v>254118</v>
      </c>
      <c r="O30" s="1">
        <f t="shared" si="8"/>
        <v>0</v>
      </c>
      <c r="P30" s="1">
        <f t="shared" si="9"/>
        <v>0</v>
      </c>
      <c r="Q30" s="1">
        <f t="shared" si="10"/>
        <v>0</v>
      </c>
      <c r="R30" s="178">
        <f>IFERROR(VLOOKUP(B30,'Inchidere contur'!$G:$T,11,FALSE),0)</f>
        <v>254118</v>
      </c>
      <c r="S30" s="147">
        <f>IFERROR(VLOOKUP(B30,'Inchidere contur'!$G:$T,12,FALSE),0)</f>
        <v>106240</v>
      </c>
      <c r="T30" s="147">
        <f>IFERROR(VLOOKUP(B30,'Inchidere contur'!$G:$T,13,FALSE),0)</f>
        <v>0</v>
      </c>
      <c r="V30" s="76"/>
    </row>
    <row r="31" spans="1:22" ht="17.25" thickTop="1" thickBot="1">
      <c r="A31" s="17">
        <f t="shared" si="5"/>
        <v>80</v>
      </c>
      <c r="B31" s="38" t="s">
        <v>594</v>
      </c>
      <c r="C31" s="17" t="s">
        <v>207</v>
      </c>
      <c r="D31" s="17">
        <v>1372642650</v>
      </c>
      <c r="E31" s="17">
        <v>1</v>
      </c>
      <c r="F31" s="147">
        <f>IFERROR(VLOOKUP(B31,Regularizare!$B:$AX,27,FALSE),"-")</f>
        <v>4541006</v>
      </c>
      <c r="G31" s="147">
        <f t="shared" si="1"/>
        <v>4797506</v>
      </c>
      <c r="H31" s="1">
        <v>0</v>
      </c>
      <c r="I31" s="1">
        <v>0</v>
      </c>
      <c r="J31" s="147">
        <f>IFERROR(VLOOKUP(B31,Regularizare!$B:$AX,33,FALSE),"-")</f>
        <v>277909</v>
      </c>
      <c r="K31" s="1">
        <f t="shared" si="6"/>
        <v>277909</v>
      </c>
      <c r="L31" s="1">
        <f>IFERROR(VLOOKUP(B31,Regularizare!$B:$AX,37,FALSE),"-")</f>
        <v>3740</v>
      </c>
      <c r="M31" s="1">
        <f t="shared" si="7"/>
        <v>3740</v>
      </c>
      <c r="N31" s="147">
        <f>VLOOKUP(B31,'Inchidere contur'!$G:$H,2,FALSE)</f>
        <v>256500</v>
      </c>
      <c r="O31" s="1">
        <f t="shared" si="8"/>
        <v>0</v>
      </c>
      <c r="P31" s="1">
        <f t="shared" si="9"/>
        <v>0</v>
      </c>
      <c r="Q31" s="1">
        <f t="shared" si="10"/>
        <v>0</v>
      </c>
      <c r="R31" s="178">
        <f>IFERROR(VLOOKUP(B31,'Inchidere contur'!$G:$T,11,FALSE),0)</f>
        <v>256500</v>
      </c>
      <c r="S31" s="147">
        <f>IFERROR(VLOOKUP(B31,'Inchidere contur'!$G:$T,12,FALSE),0)</f>
        <v>0</v>
      </c>
      <c r="T31" s="147">
        <f>IFERROR(VLOOKUP(B31,'Inchidere contur'!$G:$T,13,FALSE),0)</f>
        <v>11982</v>
      </c>
      <c r="V31" s="76"/>
    </row>
    <row r="32" spans="1:22" ht="17.25" thickTop="1" thickBot="1">
      <c r="A32" s="17">
        <f t="shared" si="5"/>
        <v>81</v>
      </c>
      <c r="B32" s="38" t="s">
        <v>595</v>
      </c>
      <c r="C32" s="17" t="s">
        <v>208</v>
      </c>
      <c r="D32" s="17">
        <v>1372628301</v>
      </c>
      <c r="E32" s="17">
        <v>1</v>
      </c>
      <c r="F32" s="147">
        <f>IFERROR(VLOOKUP(B32,Regularizare!$B:$AX,27,FALSE),"-")</f>
        <v>7554483</v>
      </c>
      <c r="G32" s="147">
        <f t="shared" si="1"/>
        <v>8007153</v>
      </c>
      <c r="H32" s="1">
        <v>0</v>
      </c>
      <c r="I32" s="1">
        <v>0</v>
      </c>
      <c r="J32" s="147">
        <f>IFERROR(VLOOKUP(B32,Regularizare!$B:$AX,33,FALSE),"-")</f>
        <v>370173</v>
      </c>
      <c r="K32" s="1">
        <f t="shared" si="6"/>
        <v>370173</v>
      </c>
      <c r="L32" s="1">
        <f>IFERROR(VLOOKUP(B32,Regularizare!$B:$AX,37,FALSE),"-")</f>
        <v>1793</v>
      </c>
      <c r="M32" s="1">
        <f t="shared" si="7"/>
        <v>1793</v>
      </c>
      <c r="N32" s="147">
        <f>VLOOKUP(B32,'Inchidere contur'!$G:$H,2,FALSE)</f>
        <v>452670</v>
      </c>
      <c r="O32" s="1">
        <f t="shared" si="8"/>
        <v>0</v>
      </c>
      <c r="P32" s="1">
        <f t="shared" si="9"/>
        <v>0</v>
      </c>
      <c r="Q32" s="1">
        <f t="shared" si="10"/>
        <v>0</v>
      </c>
      <c r="R32" s="178">
        <f>IFERROR(VLOOKUP(B32,'Inchidere contur'!$G:$T,11,FALSE),0)</f>
        <v>452670</v>
      </c>
      <c r="S32" s="147">
        <f>IFERROR(VLOOKUP(B32,'Inchidere contur'!$G:$T,12,FALSE),0)</f>
        <v>0</v>
      </c>
      <c r="T32" s="147">
        <f>IFERROR(VLOOKUP(B32,'Inchidere contur'!$G:$T,13,FALSE),0)</f>
        <v>0</v>
      </c>
      <c r="V32" s="76"/>
    </row>
    <row r="33" spans="1:22" ht="17.25" thickTop="1" thickBot="1">
      <c r="A33" s="17">
        <f t="shared" si="5"/>
        <v>82</v>
      </c>
      <c r="B33" s="38" t="s">
        <v>596</v>
      </c>
      <c r="C33" s="17" t="s">
        <v>209</v>
      </c>
      <c r="D33" s="17">
        <v>1372642646</v>
      </c>
      <c r="E33" s="17">
        <v>1</v>
      </c>
      <c r="F33" s="147">
        <f>IFERROR(VLOOKUP(B33,Regularizare!$B:$AX,27,FALSE),"-")</f>
        <v>3192300</v>
      </c>
      <c r="G33" s="147">
        <f t="shared" si="1"/>
        <v>3357636</v>
      </c>
      <c r="H33" s="1">
        <v>0</v>
      </c>
      <c r="I33" s="1">
        <v>0</v>
      </c>
      <c r="J33" s="147">
        <f>IFERROR(VLOOKUP(B33,Regularizare!$B:$AX,33,FALSE),"-")</f>
        <v>236780</v>
      </c>
      <c r="K33" s="1">
        <f t="shared" si="6"/>
        <v>236780</v>
      </c>
      <c r="L33" s="1">
        <f>IFERROR(VLOOKUP(B33,Regularizare!$B:$AX,37,FALSE),"-")</f>
        <v>53981</v>
      </c>
      <c r="M33" s="1">
        <f t="shared" si="7"/>
        <v>53981</v>
      </c>
      <c r="N33" s="147">
        <f>VLOOKUP(B33,'Inchidere contur'!$G:$H,2,FALSE)</f>
        <v>165336</v>
      </c>
      <c r="O33" s="1">
        <f t="shared" si="8"/>
        <v>0</v>
      </c>
      <c r="P33" s="1">
        <f t="shared" si="9"/>
        <v>0</v>
      </c>
      <c r="Q33" s="1">
        <f t="shared" si="10"/>
        <v>0</v>
      </c>
      <c r="R33" s="178">
        <f>IFERROR(VLOOKUP(B33,'Inchidere contur'!$G:$T,11,FALSE),0)</f>
        <v>165336</v>
      </c>
      <c r="S33" s="147">
        <f>IFERROR(VLOOKUP(B33,'Inchidere contur'!$G:$T,12,FALSE),0)</f>
        <v>147904</v>
      </c>
      <c r="T33" s="147">
        <f>IFERROR(VLOOKUP(B33,'Inchidere contur'!$G:$T,13,FALSE),0)</f>
        <v>0</v>
      </c>
      <c r="V33" s="76"/>
    </row>
    <row r="34" spans="1:22" ht="17.25" thickTop="1" thickBot="1">
      <c r="A34" s="17">
        <f t="shared" si="5"/>
        <v>83</v>
      </c>
      <c r="B34" s="38" t="s">
        <v>597</v>
      </c>
      <c r="C34" s="17" t="s">
        <v>210</v>
      </c>
      <c r="D34" s="17">
        <v>1372627968</v>
      </c>
      <c r="E34" s="17">
        <v>1</v>
      </c>
      <c r="F34" s="147">
        <f>IFERROR(VLOOKUP(B34,Regularizare!$B:$AX,27,FALSE),"-")</f>
        <v>3644631</v>
      </c>
      <c r="G34" s="147">
        <f t="shared" si="1"/>
        <v>3847478</v>
      </c>
      <c r="H34" s="1">
        <v>0</v>
      </c>
      <c r="I34" s="1">
        <v>0</v>
      </c>
      <c r="J34" s="147">
        <f>IFERROR(VLOOKUP(B34,Regularizare!$B:$AX,33,FALSE),"-")</f>
        <v>327368</v>
      </c>
      <c r="K34" s="1">
        <f t="shared" si="6"/>
        <v>327368</v>
      </c>
      <c r="L34" s="1">
        <f>IFERROR(VLOOKUP(B34,Regularizare!$B:$AX,37,FALSE),"-")</f>
        <v>1643</v>
      </c>
      <c r="M34" s="1">
        <f t="shared" si="7"/>
        <v>1643</v>
      </c>
      <c r="N34" s="147">
        <f>VLOOKUP(B34,'Inchidere contur'!$G:$H,2,FALSE)</f>
        <v>202847</v>
      </c>
      <c r="O34" s="1">
        <f t="shared" si="8"/>
        <v>0</v>
      </c>
      <c r="P34" s="1">
        <f t="shared" si="9"/>
        <v>0</v>
      </c>
      <c r="Q34" s="1">
        <f t="shared" si="10"/>
        <v>0</v>
      </c>
      <c r="R34" s="178">
        <f>IFERROR(VLOOKUP(B34,'Inchidere contur'!$G:$T,11,FALSE),0)</f>
        <v>202847</v>
      </c>
      <c r="S34" s="147">
        <f>IFERROR(VLOOKUP(B34,'Inchidere contur'!$G:$T,12,FALSE),0)</f>
        <v>0</v>
      </c>
      <c r="T34" s="147">
        <f>IFERROR(VLOOKUP(B34,'Inchidere contur'!$G:$T,13,FALSE),0)</f>
        <v>0</v>
      </c>
      <c r="V34" s="76"/>
    </row>
    <row r="35" spans="1:22" ht="17.25" thickTop="1" thickBot="1">
      <c r="A35" s="17">
        <f t="shared" si="5"/>
        <v>84</v>
      </c>
      <c r="B35" s="38" t="s">
        <v>598</v>
      </c>
      <c r="C35" s="17" t="s">
        <v>211</v>
      </c>
      <c r="D35" s="17" t="s">
        <v>926</v>
      </c>
      <c r="E35" s="17">
        <v>1</v>
      </c>
      <c r="F35" s="147">
        <f>IFERROR(VLOOKUP(B35,Regularizare!$B:$AX,27,FALSE),"-")</f>
        <v>0</v>
      </c>
      <c r="G35" s="147">
        <f t="shared" si="1"/>
        <v>0</v>
      </c>
      <c r="H35" s="1">
        <v>0</v>
      </c>
      <c r="I35" s="1">
        <v>0</v>
      </c>
      <c r="J35" s="147">
        <f>IFERROR(VLOOKUP(B35,Regularizare!$B:$AX,33,FALSE),"-")</f>
        <v>234174</v>
      </c>
      <c r="K35" s="1">
        <f t="shared" si="6"/>
        <v>234174</v>
      </c>
      <c r="L35" s="1">
        <f>IFERROR(VLOOKUP(B35,Regularizare!$B:$AX,37,FALSE),"-")</f>
        <v>1684</v>
      </c>
      <c r="M35" s="1">
        <f t="shared" si="7"/>
        <v>1684</v>
      </c>
      <c r="N35" s="147">
        <f>VLOOKUP(B35,'Inchidere contur'!$G:$H,2,FALSE)</f>
        <v>0</v>
      </c>
      <c r="O35" s="1">
        <f t="shared" si="8"/>
        <v>0</v>
      </c>
      <c r="P35" s="1">
        <f t="shared" si="9"/>
        <v>0</v>
      </c>
      <c r="Q35" s="1">
        <f t="shared" si="10"/>
        <v>0</v>
      </c>
      <c r="R35" s="178">
        <f>IFERROR(VLOOKUP(B35,'Inchidere contur'!$G:$T,11,FALSE),0)</f>
        <v>0</v>
      </c>
      <c r="S35" s="147">
        <f>IFERROR(VLOOKUP(B35,'Inchidere contur'!$G:$T,12,FALSE),0)</f>
        <v>0</v>
      </c>
      <c r="T35" s="147">
        <f>IFERROR(VLOOKUP(B35,'Inchidere contur'!$G:$T,13,FALSE),0)</f>
        <v>0</v>
      </c>
      <c r="V35" s="76"/>
    </row>
    <row r="36" spans="1:22" ht="17.25" thickTop="1" thickBot="1">
      <c r="A36" s="17">
        <f t="shared" si="5"/>
        <v>85</v>
      </c>
      <c r="B36" s="38" t="s">
        <v>599</v>
      </c>
      <c r="C36" s="17" t="s">
        <v>213</v>
      </c>
      <c r="D36" s="17" t="s">
        <v>927</v>
      </c>
      <c r="E36" s="17">
        <v>1</v>
      </c>
      <c r="F36" s="147">
        <f>IFERROR(VLOOKUP(B36,Regularizare!$B:$AX,27,FALSE),"-")</f>
        <v>0</v>
      </c>
      <c r="G36" s="147">
        <f t="shared" si="1"/>
        <v>0</v>
      </c>
      <c r="H36" s="1">
        <v>0</v>
      </c>
      <c r="I36" s="1">
        <v>0</v>
      </c>
      <c r="J36" s="147">
        <f>IFERROR(VLOOKUP(B36,Regularizare!$B:$AX,33,FALSE),"-")</f>
        <v>0</v>
      </c>
      <c r="K36" s="1">
        <f t="shared" si="6"/>
        <v>0</v>
      </c>
      <c r="L36" s="1">
        <f>IFERROR(VLOOKUP(B36,Regularizare!$B:$AX,37,FALSE),"-")</f>
        <v>32</v>
      </c>
      <c r="M36" s="1">
        <f t="shared" si="7"/>
        <v>32</v>
      </c>
      <c r="N36" s="147">
        <f>VLOOKUP(B36,'Inchidere contur'!$G:$H,2,FALSE)</f>
        <v>0</v>
      </c>
      <c r="O36" s="1">
        <f t="shared" si="8"/>
        <v>0</v>
      </c>
      <c r="P36" s="1">
        <f t="shared" si="9"/>
        <v>0</v>
      </c>
      <c r="Q36" s="1">
        <f t="shared" si="10"/>
        <v>0</v>
      </c>
      <c r="R36" s="178">
        <f>IFERROR(VLOOKUP(B36,'Inchidere contur'!$G:$T,11,FALSE),0)</f>
        <v>0</v>
      </c>
      <c r="S36" s="147">
        <f>IFERROR(VLOOKUP(B36,'Inchidere contur'!$G:$T,12,FALSE),0)</f>
        <v>0</v>
      </c>
      <c r="T36" s="147">
        <f>IFERROR(VLOOKUP(B36,'Inchidere contur'!$G:$T,13,FALSE),0)</f>
        <v>0</v>
      </c>
      <c r="V36" s="76"/>
    </row>
    <row r="37" spans="1:22" ht="17.25" thickTop="1" thickBot="1">
      <c r="A37" s="17">
        <f t="shared" si="5"/>
        <v>86</v>
      </c>
      <c r="B37" s="38" t="s">
        <v>600</v>
      </c>
      <c r="C37" s="17" t="s">
        <v>214</v>
      </c>
      <c r="D37" s="17" t="s">
        <v>928</v>
      </c>
      <c r="E37" s="17">
        <v>1</v>
      </c>
      <c r="F37" s="147">
        <f>IFERROR(VLOOKUP(B37,Regularizare!$B:$AX,27,FALSE),"-")</f>
        <v>0</v>
      </c>
      <c r="G37" s="147">
        <f t="shared" si="1"/>
        <v>0</v>
      </c>
      <c r="H37" s="1">
        <v>0</v>
      </c>
      <c r="I37" s="1">
        <v>0</v>
      </c>
      <c r="J37" s="147">
        <f>IFERROR(VLOOKUP(B37,Regularizare!$B:$AX,33,FALSE),"-")</f>
        <v>0</v>
      </c>
      <c r="K37" s="1">
        <f t="shared" si="6"/>
        <v>0</v>
      </c>
      <c r="L37" s="1">
        <f>IFERROR(VLOOKUP(B37,Regularizare!$B:$AX,37,FALSE),"-")</f>
        <v>32</v>
      </c>
      <c r="M37" s="1">
        <f t="shared" si="7"/>
        <v>32</v>
      </c>
      <c r="N37" s="147">
        <f>VLOOKUP(B37,'Inchidere contur'!$G:$H,2,FALSE)</f>
        <v>0</v>
      </c>
      <c r="O37" s="1">
        <f t="shared" si="8"/>
        <v>0</v>
      </c>
      <c r="P37" s="1">
        <f t="shared" si="9"/>
        <v>0</v>
      </c>
      <c r="Q37" s="1">
        <f t="shared" si="10"/>
        <v>0</v>
      </c>
      <c r="R37" s="178">
        <f>IFERROR(VLOOKUP(B37,'Inchidere contur'!$G:$T,11,FALSE),0)</f>
        <v>0</v>
      </c>
      <c r="S37" s="147">
        <f>IFERROR(VLOOKUP(B37,'Inchidere contur'!$G:$T,12,FALSE),0)</f>
        <v>0</v>
      </c>
      <c r="T37" s="147">
        <f>IFERROR(VLOOKUP(B37,'Inchidere contur'!$G:$T,13,FALSE),0)</f>
        <v>0</v>
      </c>
      <c r="V37" s="76"/>
    </row>
    <row r="38" spans="1:22" ht="17.25" thickTop="1" thickBot="1">
      <c r="A38" s="17">
        <f t="shared" si="5"/>
        <v>87</v>
      </c>
      <c r="B38" s="38" t="s">
        <v>601</v>
      </c>
      <c r="C38" s="17" t="s">
        <v>215</v>
      </c>
      <c r="D38" s="17" t="s">
        <v>929</v>
      </c>
      <c r="E38" s="17">
        <v>1</v>
      </c>
      <c r="F38" s="147">
        <f>IFERROR(VLOOKUP(B38,Regularizare!$B:$AX,27,FALSE),"-")</f>
        <v>0</v>
      </c>
      <c r="G38" s="147">
        <f t="shared" si="1"/>
        <v>0</v>
      </c>
      <c r="H38" s="1">
        <v>0</v>
      </c>
      <c r="I38" s="1">
        <v>0</v>
      </c>
      <c r="J38" s="147">
        <f>IFERROR(VLOOKUP(B38,Regularizare!$B:$AX,33,FALSE),"-")</f>
        <v>0</v>
      </c>
      <c r="K38" s="1">
        <f t="shared" si="6"/>
        <v>0</v>
      </c>
      <c r="L38" s="1">
        <f>IFERROR(VLOOKUP(B38,Regularizare!$B:$AX,37,FALSE),"-")</f>
        <v>32</v>
      </c>
      <c r="M38" s="1">
        <f t="shared" si="7"/>
        <v>32</v>
      </c>
      <c r="N38" s="147">
        <f>VLOOKUP(B38,'Inchidere contur'!$G:$H,2,FALSE)</f>
        <v>0</v>
      </c>
      <c r="O38" s="1">
        <f t="shared" si="8"/>
        <v>0</v>
      </c>
      <c r="P38" s="1">
        <f t="shared" si="9"/>
        <v>0</v>
      </c>
      <c r="Q38" s="1">
        <f t="shared" si="10"/>
        <v>0</v>
      </c>
      <c r="R38" s="178">
        <f>IFERROR(VLOOKUP(B38,'Inchidere contur'!$G:$T,11,FALSE),0)</f>
        <v>0</v>
      </c>
      <c r="S38" s="147">
        <f>IFERROR(VLOOKUP(B38,'Inchidere contur'!$G:$T,12,FALSE),0)</f>
        <v>0</v>
      </c>
      <c r="T38" s="147">
        <f>IFERROR(VLOOKUP(B38,'Inchidere contur'!$G:$T,13,FALSE),0)</f>
        <v>0</v>
      </c>
      <c r="V38" s="76"/>
    </row>
    <row r="39" spans="1:22" ht="17.25" thickTop="1" thickBot="1">
      <c r="A39" s="17">
        <f t="shared" si="5"/>
        <v>88</v>
      </c>
      <c r="B39" s="38" t="s">
        <v>602</v>
      </c>
      <c r="C39" s="17" t="s">
        <v>216</v>
      </c>
      <c r="D39" s="17" t="s">
        <v>930</v>
      </c>
      <c r="E39" s="17">
        <v>1</v>
      </c>
      <c r="F39" s="147">
        <f>IFERROR(VLOOKUP(B39,Regularizare!$B:$AX,27,FALSE),"-")</f>
        <v>0</v>
      </c>
      <c r="G39" s="147">
        <f t="shared" si="1"/>
        <v>0</v>
      </c>
      <c r="H39" s="1">
        <v>0</v>
      </c>
      <c r="I39" s="1">
        <v>0</v>
      </c>
      <c r="J39" s="147">
        <f>IFERROR(VLOOKUP(B39,Regularizare!$B:$AX,33,FALSE),"-")</f>
        <v>0</v>
      </c>
      <c r="K39" s="1">
        <f t="shared" si="6"/>
        <v>0</v>
      </c>
      <c r="L39" s="1">
        <f>IFERROR(VLOOKUP(B39,Regularizare!$B:$AX,37,FALSE),"-")</f>
        <v>32</v>
      </c>
      <c r="M39" s="1">
        <f t="shared" si="7"/>
        <v>32</v>
      </c>
      <c r="N39" s="147">
        <f>VLOOKUP(B39,'Inchidere contur'!$G:$H,2,FALSE)</f>
        <v>0</v>
      </c>
      <c r="O39" s="1">
        <f t="shared" si="8"/>
        <v>0</v>
      </c>
      <c r="P39" s="1">
        <f t="shared" si="9"/>
        <v>0</v>
      </c>
      <c r="Q39" s="1">
        <f t="shared" si="10"/>
        <v>0</v>
      </c>
      <c r="R39" s="178">
        <f>IFERROR(VLOOKUP(B39,'Inchidere contur'!$G:$T,11,FALSE),0)</f>
        <v>0</v>
      </c>
      <c r="S39" s="147">
        <f>IFERROR(VLOOKUP(B39,'Inchidere contur'!$G:$T,12,FALSE),0)</f>
        <v>0</v>
      </c>
      <c r="T39" s="147">
        <f>IFERROR(VLOOKUP(B39,'Inchidere contur'!$G:$T,13,FALSE),0)</f>
        <v>0</v>
      </c>
      <c r="V39" s="76"/>
    </row>
    <row r="40" spans="1:22" ht="17.25" thickTop="1" thickBot="1">
      <c r="A40" s="17">
        <f t="shared" si="5"/>
        <v>89</v>
      </c>
      <c r="B40" s="38" t="s">
        <v>603</v>
      </c>
      <c r="C40" s="17" t="s">
        <v>217</v>
      </c>
      <c r="D40" s="17" t="s">
        <v>931</v>
      </c>
      <c r="E40" s="17">
        <v>1</v>
      </c>
      <c r="F40" s="147">
        <f>IFERROR(VLOOKUP(B40,Regularizare!$B:$AX,27,FALSE),"-")</f>
        <v>-48</v>
      </c>
      <c r="G40" s="147">
        <f t="shared" si="1"/>
        <v>-48</v>
      </c>
      <c r="H40" s="1">
        <v>0</v>
      </c>
      <c r="I40" s="1">
        <v>0</v>
      </c>
      <c r="J40" s="147">
        <f>IFERROR(VLOOKUP(B40,Regularizare!$B:$AX,33,FALSE),"-")</f>
        <v>48</v>
      </c>
      <c r="K40" s="1">
        <f t="shared" si="6"/>
        <v>48</v>
      </c>
      <c r="L40" s="1">
        <f>IFERROR(VLOOKUP(B40,Regularizare!$B:$AX,37,FALSE),"-")</f>
        <v>80</v>
      </c>
      <c r="M40" s="1">
        <f t="shared" si="7"/>
        <v>80</v>
      </c>
      <c r="N40" s="147">
        <f>VLOOKUP(B40,'Inchidere contur'!$G:$H,2,FALSE)</f>
        <v>0</v>
      </c>
      <c r="O40" s="1">
        <f t="shared" si="8"/>
        <v>0</v>
      </c>
      <c r="P40" s="1">
        <f t="shared" si="9"/>
        <v>0</v>
      </c>
      <c r="Q40" s="1">
        <f t="shared" si="10"/>
        <v>0</v>
      </c>
      <c r="R40" s="178">
        <f>IFERROR(VLOOKUP(B40,'Inchidere contur'!$G:$T,11,FALSE),0)</f>
        <v>0</v>
      </c>
      <c r="S40" s="147">
        <f>IFERROR(VLOOKUP(B40,'Inchidere contur'!$G:$T,12,FALSE),0)</f>
        <v>0</v>
      </c>
      <c r="T40" s="147">
        <f>IFERROR(VLOOKUP(B40,'Inchidere contur'!$G:$T,13,FALSE),0)</f>
        <v>0</v>
      </c>
      <c r="V40" s="76"/>
    </row>
    <row r="41" spans="1:22" ht="17.25" thickTop="1" thickBot="1">
      <c r="A41" s="17">
        <f t="shared" si="5"/>
        <v>90</v>
      </c>
      <c r="B41" s="38" t="s">
        <v>604</v>
      </c>
      <c r="C41" s="17" t="s">
        <v>222</v>
      </c>
      <c r="D41" s="17">
        <v>1371034845</v>
      </c>
      <c r="E41" s="17">
        <v>1</v>
      </c>
      <c r="F41" s="147">
        <f>IFERROR(VLOOKUP(B41,Regularizare!$B:$AX,27,FALSE),"-")</f>
        <v>3071645</v>
      </c>
      <c r="G41" s="147">
        <f t="shared" si="1"/>
        <v>3199478</v>
      </c>
      <c r="H41" s="1">
        <v>0</v>
      </c>
      <c r="I41" s="1">
        <v>0</v>
      </c>
      <c r="J41" s="147">
        <f>IFERROR(VLOOKUP(B41,Regularizare!$B:$AX,33,FALSE),"-")</f>
        <v>313261</v>
      </c>
      <c r="K41" s="1">
        <f t="shared" si="6"/>
        <v>313261</v>
      </c>
      <c r="L41" s="1">
        <f>IFERROR(VLOOKUP(B41,Regularizare!$B:$AX,37,FALSE),"-")</f>
        <v>3526</v>
      </c>
      <c r="M41" s="1">
        <f t="shared" si="7"/>
        <v>3526</v>
      </c>
      <c r="N41" s="147">
        <f>VLOOKUP(B41,'Inchidere contur'!$G:$H,2,FALSE)</f>
        <v>127833</v>
      </c>
      <c r="O41" s="1">
        <f t="shared" si="8"/>
        <v>0</v>
      </c>
      <c r="P41" s="1">
        <f t="shared" si="9"/>
        <v>0</v>
      </c>
      <c r="Q41" s="1">
        <f t="shared" si="10"/>
        <v>0</v>
      </c>
      <c r="R41" s="178">
        <f>IFERROR(VLOOKUP(B41,'Inchidere contur'!$G:$T,11,FALSE),0)</f>
        <v>127833</v>
      </c>
      <c r="S41" s="147">
        <f>IFERROR(VLOOKUP(B41,'Inchidere contur'!$G:$T,12,FALSE),0)</f>
        <v>0</v>
      </c>
      <c r="T41" s="147">
        <f>IFERROR(VLOOKUP(B41,'Inchidere contur'!$G:$T,13,FALSE),0)</f>
        <v>8083</v>
      </c>
      <c r="V41" s="76"/>
    </row>
    <row r="42" spans="1:22" ht="17.25" thickTop="1" thickBot="1">
      <c r="A42" s="17">
        <f t="shared" si="5"/>
        <v>91</v>
      </c>
      <c r="B42" s="38" t="s">
        <v>605</v>
      </c>
      <c r="C42" s="17" t="s">
        <v>224</v>
      </c>
      <c r="D42" s="17">
        <v>1371022908</v>
      </c>
      <c r="E42" s="17">
        <v>1</v>
      </c>
      <c r="F42" s="147">
        <f>IFERROR(VLOOKUP(B42,Regularizare!$B:$AX,27,FALSE),"-")</f>
        <v>5113217</v>
      </c>
      <c r="G42" s="147">
        <f t="shared" si="1"/>
        <v>5266729</v>
      </c>
      <c r="H42" s="1">
        <v>0</v>
      </c>
      <c r="I42" s="1">
        <v>0</v>
      </c>
      <c r="J42" s="147">
        <f>IFERROR(VLOOKUP(B42,Regularizare!$B:$AX,33,FALSE),"-")</f>
        <v>244391</v>
      </c>
      <c r="K42" s="1">
        <f t="shared" si="6"/>
        <v>244391</v>
      </c>
      <c r="L42" s="1">
        <f>IFERROR(VLOOKUP(B42,Regularizare!$B:$AX,37,FALSE),"-")</f>
        <v>105113</v>
      </c>
      <c r="M42" s="1">
        <f t="shared" si="7"/>
        <v>105113</v>
      </c>
      <c r="N42" s="147">
        <f>VLOOKUP(B42,'Inchidere contur'!$G:$H,2,FALSE)</f>
        <v>153512</v>
      </c>
      <c r="O42" s="1">
        <f t="shared" si="8"/>
        <v>0</v>
      </c>
      <c r="P42" s="1">
        <f t="shared" si="9"/>
        <v>0</v>
      </c>
      <c r="Q42" s="1">
        <f t="shared" si="10"/>
        <v>0</v>
      </c>
      <c r="R42" s="178">
        <f>IFERROR(VLOOKUP(B42,'Inchidere contur'!$G:$T,11,FALSE),0)</f>
        <v>153512</v>
      </c>
      <c r="S42" s="147">
        <f>IFERROR(VLOOKUP(B42,'Inchidere contur'!$G:$T,12,FALSE),0)</f>
        <v>111950</v>
      </c>
      <c r="T42" s="147">
        <f>IFERROR(VLOOKUP(B42,'Inchidere contur'!$G:$T,13,FALSE),0)</f>
        <v>0</v>
      </c>
      <c r="V42" s="76"/>
    </row>
    <row r="43" spans="1:22" ht="17.25" thickTop="1" thickBot="1">
      <c r="A43" s="17">
        <f t="shared" si="5"/>
        <v>92</v>
      </c>
      <c r="B43" s="38" t="s">
        <v>606</v>
      </c>
      <c r="C43" s="17" t="s">
        <v>228</v>
      </c>
      <c r="D43" s="17">
        <v>1371514348</v>
      </c>
      <c r="E43" s="17">
        <v>1</v>
      </c>
      <c r="F43" s="147">
        <f>IFERROR(VLOOKUP(B43,Regularizare!$B:$AX,27,FALSE),"-")</f>
        <v>2487127</v>
      </c>
      <c r="G43" s="147">
        <f t="shared" si="1"/>
        <v>2597138</v>
      </c>
      <c r="H43" s="1">
        <v>0</v>
      </c>
      <c r="I43" s="1">
        <v>0</v>
      </c>
      <c r="J43" s="147">
        <f>IFERROR(VLOOKUP(B43,Regularizare!$B:$AX,33,FALSE),"-")</f>
        <v>156020</v>
      </c>
      <c r="K43" s="1">
        <f>J43</f>
        <v>156020</v>
      </c>
      <c r="L43" s="1">
        <f>IFERROR(VLOOKUP(B43,Regularizare!$B:$AX,37,FALSE),"-")</f>
        <v>18037</v>
      </c>
      <c r="M43" s="1">
        <f>L43</f>
        <v>18037</v>
      </c>
      <c r="N43" s="147">
        <f>VLOOKUP(B43,'Inchidere contur'!$G:$H,2,FALSE)</f>
        <v>110011</v>
      </c>
      <c r="O43" s="1">
        <f t="shared" si="8"/>
        <v>0</v>
      </c>
      <c r="P43" s="1">
        <f t="shared" si="9"/>
        <v>0</v>
      </c>
      <c r="Q43" s="1">
        <f t="shared" si="10"/>
        <v>0</v>
      </c>
      <c r="R43" s="178">
        <f>IFERROR(VLOOKUP(B43,'Inchidere contur'!$G:$T,11,FALSE),0)</f>
        <v>110011</v>
      </c>
      <c r="S43" s="147">
        <f>IFERROR(VLOOKUP(B43,'Inchidere contur'!$G:$T,12,FALSE),0)</f>
        <v>81458</v>
      </c>
      <c r="T43" s="147">
        <f>IFERROR(VLOOKUP(B43,'Inchidere contur'!$G:$T,13,FALSE),0)</f>
        <v>2318</v>
      </c>
      <c r="V43" s="76"/>
    </row>
    <row r="44" spans="1:22" ht="17.25" thickTop="1" thickBot="1">
      <c r="A44" s="17">
        <f t="shared" si="5"/>
        <v>93</v>
      </c>
      <c r="B44" s="38" t="s">
        <v>861</v>
      </c>
      <c r="C44" s="17" t="s">
        <v>230</v>
      </c>
      <c r="D44" s="17">
        <v>1371513453</v>
      </c>
      <c r="E44" s="17">
        <v>1</v>
      </c>
      <c r="F44" s="147">
        <f>IFERROR(VLOOKUP(B44,Regularizare!$B:$AX,27,FALSE),"-")</f>
        <v>2011361</v>
      </c>
      <c r="G44" s="147">
        <f t="shared" si="1"/>
        <v>2072756</v>
      </c>
      <c r="H44" s="1">
        <v>0</v>
      </c>
      <c r="I44" s="1">
        <v>0</v>
      </c>
      <c r="J44" s="147">
        <f>IFERROR(VLOOKUP(B44,Regularizare!$B:$AX,33,FALSE),"-")</f>
        <v>124289</v>
      </c>
      <c r="K44" s="1">
        <f t="shared" si="6"/>
        <v>124289</v>
      </c>
      <c r="L44" s="1">
        <f>IFERROR(VLOOKUP(B44,Regularizare!$B:$AX,37,FALSE),"-")</f>
        <v>82816</v>
      </c>
      <c r="M44" s="1">
        <f t="shared" si="7"/>
        <v>82816</v>
      </c>
      <c r="N44" s="147">
        <f>VLOOKUP(B44,'Inchidere contur'!$G:$H,2,FALSE)</f>
        <v>61395</v>
      </c>
      <c r="O44" s="1">
        <f t="shared" si="8"/>
        <v>0</v>
      </c>
      <c r="P44" s="1">
        <f t="shared" si="9"/>
        <v>0</v>
      </c>
      <c r="Q44" s="1">
        <f t="shared" si="10"/>
        <v>0</v>
      </c>
      <c r="R44" s="178">
        <f>IFERROR(VLOOKUP(B44,'Inchidere contur'!$G:$T,11,FALSE),0)</f>
        <v>61395</v>
      </c>
      <c r="S44" s="147">
        <f>IFERROR(VLOOKUP(B44,'Inchidere contur'!$G:$T,12,FALSE),0)</f>
        <v>56702</v>
      </c>
      <c r="T44" s="147">
        <f>IFERROR(VLOOKUP(B44,'Inchidere contur'!$G:$T,13,FALSE),0)</f>
        <v>1424</v>
      </c>
      <c r="V44" s="76"/>
    </row>
    <row r="45" spans="1:22" ht="17.25" thickTop="1" thickBot="1">
      <c r="A45" s="17">
        <f t="shared" si="5"/>
        <v>94</v>
      </c>
      <c r="B45" s="38" t="s">
        <v>607</v>
      </c>
      <c r="C45" s="17" t="s">
        <v>232</v>
      </c>
      <c r="D45" s="17">
        <v>1371511160</v>
      </c>
      <c r="E45" s="17">
        <v>1</v>
      </c>
      <c r="F45" s="147">
        <f>IFERROR(VLOOKUP(B45,Regularizare!$B:$AX,27,FALSE),"-")</f>
        <v>557092.99999999884</v>
      </c>
      <c r="G45" s="147">
        <f t="shared" si="1"/>
        <v>574806.99999999884</v>
      </c>
      <c r="H45" s="1">
        <v>0</v>
      </c>
      <c r="I45" s="1">
        <v>0</v>
      </c>
      <c r="J45" s="147">
        <f>IFERROR(VLOOKUP(B45,Regularizare!$B:$AX,33,FALSE),"-")</f>
        <v>53993</v>
      </c>
      <c r="K45" s="1">
        <f t="shared" si="6"/>
        <v>53993</v>
      </c>
      <c r="L45" s="1">
        <f>IFERROR(VLOOKUP(B45,Regularizare!$B:$AX,37,FALSE),"-")</f>
        <v>13610</v>
      </c>
      <c r="M45" s="1">
        <f t="shared" si="7"/>
        <v>13610</v>
      </c>
      <c r="N45" s="147">
        <f>VLOOKUP(B45,'Inchidere contur'!$G:$H,2,FALSE)</f>
        <v>17714</v>
      </c>
      <c r="O45" s="1">
        <f t="shared" si="8"/>
        <v>0</v>
      </c>
      <c r="P45" s="1">
        <f t="shared" si="9"/>
        <v>0</v>
      </c>
      <c r="Q45" s="1">
        <f t="shared" si="10"/>
        <v>0</v>
      </c>
      <c r="R45" s="178">
        <f>IFERROR(VLOOKUP(B45,'Inchidere contur'!$G:$T,11,FALSE),0)</f>
        <v>17714</v>
      </c>
      <c r="S45" s="147">
        <f>IFERROR(VLOOKUP(B45,'Inchidere contur'!$G:$T,12,FALSE),0)</f>
        <v>0</v>
      </c>
      <c r="T45" s="147">
        <f>IFERROR(VLOOKUP(B45,'Inchidere contur'!$G:$T,13,FALSE),0)</f>
        <v>0</v>
      </c>
      <c r="V45" s="76"/>
    </row>
    <row r="46" spans="1:22" ht="17.25" thickTop="1" thickBot="1">
      <c r="A46" s="17">
        <f t="shared" si="5"/>
        <v>95</v>
      </c>
      <c r="B46" s="38" t="s">
        <v>608</v>
      </c>
      <c r="C46" s="17" t="s">
        <v>237</v>
      </c>
      <c r="D46" s="17">
        <v>1369546436</v>
      </c>
      <c r="E46" s="17">
        <v>1</v>
      </c>
      <c r="F46" s="147">
        <f>IFERROR(VLOOKUP(B46,Regularizare!$B:$AX,27,FALSE),"-")</f>
        <v>7206283</v>
      </c>
      <c r="G46" s="147">
        <f t="shared" si="1"/>
        <v>7316003</v>
      </c>
      <c r="H46" s="1">
        <v>0</v>
      </c>
      <c r="I46" s="1">
        <v>0</v>
      </c>
      <c r="J46" s="147">
        <f>IFERROR(VLOOKUP(B46,Regularizare!$B:$AX,33,FALSE),"-")</f>
        <v>351747</v>
      </c>
      <c r="K46" s="1">
        <f t="shared" si="6"/>
        <v>351747</v>
      </c>
      <c r="L46" s="1">
        <f>IFERROR(VLOOKUP(B46,Regularizare!$B:$AX,37,FALSE),"-")</f>
        <v>61101</v>
      </c>
      <c r="M46" s="1">
        <f t="shared" si="7"/>
        <v>61101</v>
      </c>
      <c r="N46" s="147">
        <f>VLOOKUP(B46,'Inchidere contur'!$G:$H,2,FALSE)</f>
        <v>109720</v>
      </c>
      <c r="O46" s="1">
        <f t="shared" si="8"/>
        <v>0</v>
      </c>
      <c r="P46" s="1">
        <f t="shared" si="9"/>
        <v>0</v>
      </c>
      <c r="Q46" s="1">
        <f t="shared" si="10"/>
        <v>0</v>
      </c>
      <c r="R46" s="178">
        <f>IFERROR(VLOOKUP(B46,'Inchidere contur'!$G:$T,11,FALSE),0)</f>
        <v>109720</v>
      </c>
      <c r="S46" s="147">
        <f>IFERROR(VLOOKUP(B46,'Inchidere contur'!$G:$T,12,FALSE),0)</f>
        <v>0</v>
      </c>
      <c r="T46" s="147">
        <f>IFERROR(VLOOKUP(B46,'Inchidere contur'!$G:$T,13,FALSE),0)</f>
        <v>0</v>
      </c>
      <c r="V46" s="76"/>
    </row>
    <row r="47" spans="1:22" ht="17.25" thickTop="1" thickBot="1">
      <c r="A47" s="17">
        <f t="shared" si="5"/>
        <v>96</v>
      </c>
      <c r="B47" s="38" t="s">
        <v>609</v>
      </c>
      <c r="C47" s="17" t="s">
        <v>239</v>
      </c>
      <c r="D47" s="17">
        <v>1369546423</v>
      </c>
      <c r="E47" s="17">
        <v>1</v>
      </c>
      <c r="F47" s="147">
        <f>IFERROR(VLOOKUP(B47,Regularizare!$B:$AX,27,FALSE),"-")</f>
        <v>5510853</v>
      </c>
      <c r="G47" s="147">
        <f t="shared" si="1"/>
        <v>5597092</v>
      </c>
      <c r="H47" s="1">
        <v>0</v>
      </c>
      <c r="I47" s="1">
        <v>0</v>
      </c>
      <c r="J47" s="147">
        <f>IFERROR(VLOOKUP(B47,Regularizare!$B:$AX,33,FALSE),"-")</f>
        <v>328696</v>
      </c>
      <c r="K47" s="1">
        <f t="shared" si="6"/>
        <v>328696</v>
      </c>
      <c r="L47" s="1">
        <f>IFERROR(VLOOKUP(B47,Regularizare!$B:$AX,37,FALSE),"-")</f>
        <v>69251</v>
      </c>
      <c r="M47" s="1">
        <f t="shared" si="7"/>
        <v>69251</v>
      </c>
      <c r="N47" s="147">
        <f>VLOOKUP(B47,'Inchidere contur'!$G:$H,2,FALSE)</f>
        <v>86239</v>
      </c>
      <c r="O47" s="1">
        <f t="shared" si="8"/>
        <v>0</v>
      </c>
      <c r="P47" s="1">
        <f t="shared" si="9"/>
        <v>0</v>
      </c>
      <c r="Q47" s="1">
        <f t="shared" si="10"/>
        <v>0</v>
      </c>
      <c r="R47" s="178">
        <f>IFERROR(VLOOKUP(B47,'Inchidere contur'!$G:$T,11,FALSE),0)</f>
        <v>86239</v>
      </c>
      <c r="S47" s="147">
        <f>IFERROR(VLOOKUP(B47,'Inchidere contur'!$G:$T,12,FALSE),0)</f>
        <v>44103</v>
      </c>
      <c r="T47" s="147">
        <f>IFERROR(VLOOKUP(B47,'Inchidere contur'!$G:$T,13,FALSE),0)</f>
        <v>0</v>
      </c>
      <c r="V47" s="76"/>
    </row>
    <row r="48" spans="1:22" ht="17.25" thickTop="1" thickBot="1">
      <c r="A48" s="17">
        <f t="shared" si="5"/>
        <v>97</v>
      </c>
      <c r="B48" s="38" t="s">
        <v>610</v>
      </c>
      <c r="C48" s="17" t="s">
        <v>241</v>
      </c>
      <c r="D48" s="17">
        <v>1369357831</v>
      </c>
      <c r="E48" s="17">
        <v>1</v>
      </c>
      <c r="F48" s="147">
        <f>IFERROR(VLOOKUP(B48,Regularizare!$B:$AX,27,FALSE),"-")</f>
        <v>4253038</v>
      </c>
      <c r="G48" s="147">
        <f t="shared" si="1"/>
        <v>4311903</v>
      </c>
      <c r="H48" s="1">
        <v>0</v>
      </c>
      <c r="I48" s="1">
        <v>0</v>
      </c>
      <c r="J48" s="147">
        <f>IFERROR(VLOOKUP(B48,Regularizare!$B:$AX,33,FALSE),"-")</f>
        <v>181116</v>
      </c>
      <c r="K48" s="1">
        <f t="shared" si="6"/>
        <v>181116</v>
      </c>
      <c r="L48" s="1">
        <f>IFERROR(VLOOKUP(B48,Regularizare!$B:$AX,37,FALSE),"-")</f>
        <v>105944</v>
      </c>
      <c r="M48" s="1">
        <f t="shared" si="7"/>
        <v>105944</v>
      </c>
      <c r="N48" s="147">
        <f>VLOOKUP(B48,'Inchidere contur'!$G:$H,2,FALSE)</f>
        <v>58865</v>
      </c>
      <c r="O48" s="1">
        <f t="shared" si="8"/>
        <v>0</v>
      </c>
      <c r="P48" s="1">
        <f t="shared" si="9"/>
        <v>0</v>
      </c>
      <c r="Q48" s="1">
        <f t="shared" si="10"/>
        <v>0</v>
      </c>
      <c r="R48" s="178">
        <f>IFERROR(VLOOKUP(B48,'Inchidere contur'!$G:$T,11,FALSE),0)</f>
        <v>58865</v>
      </c>
      <c r="S48" s="147">
        <f>IFERROR(VLOOKUP(B48,'Inchidere contur'!$G:$T,12,FALSE),0)</f>
        <v>0</v>
      </c>
      <c r="T48" s="147">
        <f>IFERROR(VLOOKUP(B48,'Inchidere contur'!$G:$T,13,FALSE),0)</f>
        <v>0</v>
      </c>
      <c r="V48" s="76"/>
    </row>
    <row r="49" spans="1:22" ht="17.25" thickTop="1" thickBot="1">
      <c r="A49" s="17">
        <f t="shared" si="5"/>
        <v>98</v>
      </c>
      <c r="B49" s="38" t="s">
        <v>611</v>
      </c>
      <c r="C49" s="17" t="s">
        <v>243</v>
      </c>
      <c r="D49" s="17" t="s">
        <v>1018</v>
      </c>
      <c r="E49" s="17">
        <v>1</v>
      </c>
      <c r="F49" s="147">
        <f>IFERROR(VLOOKUP(B49,Regularizare!$B:$AX,27,FALSE),"-")</f>
        <v>2949532.5</v>
      </c>
      <c r="G49" s="147">
        <f t="shared" si="1"/>
        <v>3266377.5</v>
      </c>
      <c r="H49" s="1">
        <v>0</v>
      </c>
      <c r="I49" s="1">
        <v>0</v>
      </c>
      <c r="J49" s="147">
        <f>IFERROR(VLOOKUP(B49,Regularizare!$B:$AX,33,FALSE),"-")</f>
        <v>90050</v>
      </c>
      <c r="K49" s="1">
        <f t="shared" si="6"/>
        <v>90050</v>
      </c>
      <c r="L49" s="1">
        <f>IFERROR(VLOOKUP(B49,Regularizare!$B:$AX,37,FALSE),"-")</f>
        <v>8952</v>
      </c>
      <c r="M49" s="1">
        <f t="shared" si="7"/>
        <v>8952</v>
      </c>
      <c r="N49" s="147">
        <f>VLOOKUP(B49,'Inchidere contur'!$G:$H,2,FALSE)</f>
        <v>316845</v>
      </c>
      <c r="O49" s="1">
        <f t="shared" si="8"/>
        <v>0</v>
      </c>
      <c r="P49" s="1">
        <f t="shared" si="9"/>
        <v>0</v>
      </c>
      <c r="Q49" s="1">
        <f t="shared" si="10"/>
        <v>0</v>
      </c>
      <c r="R49" s="178">
        <f>IFERROR(VLOOKUP(B49,'Inchidere contur'!$G:$T,11,FALSE),0)</f>
        <v>316845</v>
      </c>
      <c r="S49" s="147">
        <f>IFERROR(VLOOKUP(B49,'Inchidere contur'!$G:$T,12,FALSE),0)</f>
        <v>0</v>
      </c>
      <c r="T49" s="147">
        <f>IFERROR(VLOOKUP(B49,'Inchidere contur'!$G:$T,13,FALSE),0)</f>
        <v>0</v>
      </c>
      <c r="V49" s="76"/>
    </row>
    <row r="50" spans="1:22" ht="17.25" thickTop="1" thickBot="1">
      <c r="A50" s="17">
        <f t="shared" si="5"/>
        <v>99</v>
      </c>
      <c r="B50" s="38" t="s">
        <v>612</v>
      </c>
      <c r="C50" s="17" t="s">
        <v>245</v>
      </c>
      <c r="D50" s="17" t="s">
        <v>1017</v>
      </c>
      <c r="E50" s="17">
        <v>1</v>
      </c>
      <c r="F50" s="147">
        <f>IFERROR(VLOOKUP(B50,Regularizare!$B:$AX,27,FALSE),"-")</f>
        <v>2818234.5</v>
      </c>
      <c r="G50" s="147">
        <f t="shared" si="1"/>
        <v>3117068.5</v>
      </c>
      <c r="H50" s="1">
        <v>0</v>
      </c>
      <c r="I50" s="1">
        <v>0</v>
      </c>
      <c r="J50" s="147">
        <f>IFERROR(VLOOKUP(B50,Regularizare!$B:$AX,33,FALSE),"-")</f>
        <v>90098</v>
      </c>
      <c r="K50" s="1">
        <f t="shared" si="6"/>
        <v>90098</v>
      </c>
      <c r="L50" s="1">
        <f>IFERROR(VLOOKUP(B50,Regularizare!$B:$AX,37,FALSE),"-")</f>
        <v>9000</v>
      </c>
      <c r="M50" s="1">
        <f t="shared" si="7"/>
        <v>9000</v>
      </c>
      <c r="N50" s="147">
        <f>VLOOKUP(B50,'Inchidere contur'!$G:$H,2,FALSE)</f>
        <v>298834</v>
      </c>
      <c r="O50" s="1">
        <f t="shared" si="8"/>
        <v>0</v>
      </c>
      <c r="P50" s="1">
        <f t="shared" si="9"/>
        <v>0</v>
      </c>
      <c r="Q50" s="1">
        <f t="shared" si="10"/>
        <v>0</v>
      </c>
      <c r="R50" s="178">
        <f>IFERROR(VLOOKUP(B50,'Inchidere contur'!$G:$T,11,FALSE),0)</f>
        <v>298834</v>
      </c>
      <c r="S50" s="147">
        <f>IFERROR(VLOOKUP(B50,'Inchidere contur'!$G:$T,12,FALSE),0)</f>
        <v>0</v>
      </c>
      <c r="T50" s="147">
        <f>IFERROR(VLOOKUP(B50,'Inchidere contur'!$G:$T,13,FALSE),0)</f>
        <v>0</v>
      </c>
      <c r="V50" s="76"/>
    </row>
    <row r="51" spans="1:22" ht="17.25" thickTop="1" thickBot="1">
      <c r="A51" s="17">
        <f t="shared" si="5"/>
        <v>100</v>
      </c>
      <c r="B51" s="38" t="s">
        <v>998</v>
      </c>
      <c r="C51" s="17" t="s">
        <v>1005</v>
      </c>
      <c r="D51" s="17" t="s">
        <v>1325</v>
      </c>
      <c r="E51" s="17">
        <v>1</v>
      </c>
      <c r="F51" s="147">
        <f>IFERROR(VLOOKUP(B51,Regularizare!$B:$AX,27,FALSE),"-")</f>
        <v>0</v>
      </c>
      <c r="G51" s="147">
        <f t="shared" si="1"/>
        <v>0</v>
      </c>
      <c r="H51" s="1">
        <v>0</v>
      </c>
      <c r="I51" s="1">
        <v>0</v>
      </c>
      <c r="J51" s="147">
        <f>IFERROR(VLOOKUP(B51,Regularizare!$B:$AX,33,FALSE),"-")</f>
        <v>0</v>
      </c>
      <c r="K51" s="1">
        <f t="shared" si="6"/>
        <v>0</v>
      </c>
      <c r="L51" s="1">
        <f>IFERROR(VLOOKUP(B51,Regularizare!$B:$AX,37,FALSE),"-")</f>
        <v>0</v>
      </c>
      <c r="M51" s="1">
        <f t="shared" si="7"/>
        <v>0</v>
      </c>
      <c r="N51" s="147">
        <f>VLOOKUP(B51,'Inchidere contur'!$G:$H,2,FALSE)</f>
        <v>0</v>
      </c>
      <c r="O51" s="1">
        <f t="shared" si="8"/>
        <v>0</v>
      </c>
      <c r="P51" s="1">
        <f t="shared" si="9"/>
        <v>0</v>
      </c>
      <c r="Q51" s="1">
        <f t="shared" si="10"/>
        <v>0</v>
      </c>
      <c r="R51" s="178">
        <f>IFERROR(VLOOKUP(B51,'Inchidere contur'!$G:$T,11,FALSE),0)</f>
        <v>0</v>
      </c>
      <c r="S51" s="147">
        <f>IFERROR(VLOOKUP(B51,'Inchidere contur'!$G:$T,12,FALSE),0)</f>
        <v>0</v>
      </c>
      <c r="T51" s="147">
        <f>IFERROR(VLOOKUP(B51,'Inchidere contur'!$G:$T,13,FALSE),0)</f>
        <v>0</v>
      </c>
      <c r="V51" s="76"/>
    </row>
    <row r="52" spans="1:22" ht="17.25" thickTop="1" thickBot="1">
      <c r="A52" s="17">
        <f t="shared" si="5"/>
        <v>101</v>
      </c>
      <c r="B52" s="38" t="s">
        <v>999</v>
      </c>
      <c r="C52" s="17" t="s">
        <v>1006</v>
      </c>
      <c r="D52" s="17" t="s">
        <v>1326</v>
      </c>
      <c r="E52" s="17">
        <v>1</v>
      </c>
      <c r="F52" s="147">
        <f>IFERROR(VLOOKUP(B52,Regularizare!$B:$AX,27,FALSE),"-")</f>
        <v>0</v>
      </c>
      <c r="G52" s="147">
        <f t="shared" si="1"/>
        <v>0</v>
      </c>
      <c r="H52" s="1">
        <v>0</v>
      </c>
      <c r="I52" s="1">
        <v>0</v>
      </c>
      <c r="J52" s="147">
        <f>IFERROR(VLOOKUP(B52,Regularizare!$B:$AX,33,FALSE),"-")</f>
        <v>0</v>
      </c>
      <c r="K52" s="1">
        <f t="shared" si="6"/>
        <v>0</v>
      </c>
      <c r="L52" s="1">
        <f>IFERROR(VLOOKUP(B52,Regularizare!$B:$AX,37,FALSE),"-")</f>
        <v>0</v>
      </c>
      <c r="M52" s="1">
        <f t="shared" si="7"/>
        <v>0</v>
      </c>
      <c r="N52" s="147">
        <f>VLOOKUP(B52,'Inchidere contur'!$G:$H,2,FALSE)</f>
        <v>0</v>
      </c>
      <c r="O52" s="1">
        <f t="shared" si="8"/>
        <v>0</v>
      </c>
      <c r="P52" s="1">
        <f t="shared" si="9"/>
        <v>0</v>
      </c>
      <c r="Q52" s="1">
        <f t="shared" si="10"/>
        <v>0</v>
      </c>
      <c r="R52" s="178">
        <f>IFERROR(VLOOKUP(B52,'Inchidere contur'!$G:$T,11,FALSE),0)</f>
        <v>0</v>
      </c>
      <c r="S52" s="147">
        <f>IFERROR(VLOOKUP(B52,'Inchidere contur'!$G:$T,12,FALSE),0)</f>
        <v>0</v>
      </c>
      <c r="T52" s="147">
        <f>IFERROR(VLOOKUP(B52,'Inchidere contur'!$G:$T,13,FALSE),0)</f>
        <v>0</v>
      </c>
      <c r="V52" s="76"/>
    </row>
    <row r="53" spans="1:22" ht="17.25" thickTop="1" thickBot="1">
      <c r="A53" s="17">
        <f t="shared" si="5"/>
        <v>102</v>
      </c>
      <c r="B53" s="38" t="s">
        <v>1000</v>
      </c>
      <c r="C53" s="17" t="s">
        <v>1007</v>
      </c>
      <c r="D53" s="17" t="s">
        <v>1327</v>
      </c>
      <c r="E53" s="17">
        <v>1</v>
      </c>
      <c r="F53" s="147">
        <f>IFERROR(VLOOKUP(B53,Regularizare!$B:$AX,27,FALSE),"-")</f>
        <v>0</v>
      </c>
      <c r="G53" s="147">
        <f t="shared" si="1"/>
        <v>0</v>
      </c>
      <c r="H53" s="1">
        <v>0</v>
      </c>
      <c r="I53" s="1">
        <v>0</v>
      </c>
      <c r="J53" s="147">
        <f>IFERROR(VLOOKUP(B53,Regularizare!$B:$AX,33,FALSE),"-")</f>
        <v>0</v>
      </c>
      <c r="K53" s="1">
        <f t="shared" si="6"/>
        <v>0</v>
      </c>
      <c r="L53" s="1">
        <f>IFERROR(VLOOKUP(B53,Regularizare!$B:$AX,37,FALSE),"-")</f>
        <v>0</v>
      </c>
      <c r="M53" s="1">
        <f t="shared" si="7"/>
        <v>0</v>
      </c>
      <c r="N53" s="147">
        <f>VLOOKUP(B53,'Inchidere contur'!$G:$H,2,FALSE)</f>
        <v>0</v>
      </c>
      <c r="O53" s="1">
        <f t="shared" si="8"/>
        <v>0</v>
      </c>
      <c r="P53" s="1">
        <f t="shared" si="9"/>
        <v>0</v>
      </c>
      <c r="Q53" s="1">
        <f t="shared" si="10"/>
        <v>0</v>
      </c>
      <c r="R53" s="178">
        <f>IFERROR(VLOOKUP(B53,'Inchidere contur'!$G:$T,11,FALSE),0)</f>
        <v>0</v>
      </c>
      <c r="S53" s="147">
        <f>IFERROR(VLOOKUP(B53,'Inchidere contur'!$G:$T,12,FALSE),0)</f>
        <v>0</v>
      </c>
      <c r="T53" s="147">
        <f>IFERROR(VLOOKUP(B53,'Inchidere contur'!$G:$T,13,FALSE),0)</f>
        <v>0</v>
      </c>
      <c r="V53" s="76"/>
    </row>
    <row r="54" spans="1:22" ht="17.25" thickTop="1" thickBot="1">
      <c r="A54" s="17">
        <f t="shared" si="5"/>
        <v>103</v>
      </c>
      <c r="B54" s="38" t="s">
        <v>1001</v>
      </c>
      <c r="C54" s="17" t="s">
        <v>1008</v>
      </c>
      <c r="D54" s="17" t="s">
        <v>1096</v>
      </c>
      <c r="E54" s="17">
        <v>1</v>
      </c>
      <c r="F54" s="147">
        <f>IFERROR(VLOOKUP(B54,Regularizare!$B:$AX,27,FALSE),"-")</f>
        <v>0</v>
      </c>
      <c r="G54" s="147">
        <f t="shared" si="1"/>
        <v>0</v>
      </c>
      <c r="H54" s="1">
        <v>0</v>
      </c>
      <c r="I54" s="1">
        <v>0</v>
      </c>
      <c r="J54" s="147">
        <f>IFERROR(VLOOKUP(B54,Regularizare!$B:$AX,33,FALSE),"-")</f>
        <v>0</v>
      </c>
      <c r="K54" s="1">
        <f t="shared" si="6"/>
        <v>0</v>
      </c>
      <c r="L54" s="1">
        <f>IFERROR(VLOOKUP(B54,Regularizare!$B:$AX,37,FALSE),"-")</f>
        <v>0</v>
      </c>
      <c r="M54" s="1">
        <f t="shared" si="7"/>
        <v>0</v>
      </c>
      <c r="N54" s="147">
        <f>VLOOKUP(B54,'Inchidere contur'!$G:$H,2,FALSE)</f>
        <v>0</v>
      </c>
      <c r="O54" s="1">
        <f t="shared" si="8"/>
        <v>0</v>
      </c>
      <c r="P54" s="1">
        <f t="shared" si="9"/>
        <v>0</v>
      </c>
      <c r="Q54" s="1">
        <f t="shared" si="10"/>
        <v>0</v>
      </c>
      <c r="R54" s="178">
        <f>IFERROR(VLOOKUP(B54,'Inchidere contur'!$G:$T,11,FALSE),0)</f>
        <v>0</v>
      </c>
      <c r="S54" s="147">
        <f>IFERROR(VLOOKUP(B54,'Inchidere contur'!$G:$T,12,FALSE),0)</f>
        <v>0</v>
      </c>
      <c r="T54" s="147">
        <f>IFERROR(VLOOKUP(B54,'Inchidere contur'!$G:$T,13,FALSE),0)</f>
        <v>0</v>
      </c>
      <c r="V54" s="76"/>
    </row>
    <row r="55" spans="1:22" ht="17.25" thickTop="1" thickBot="1">
      <c r="A55" s="17">
        <f t="shared" si="5"/>
        <v>104</v>
      </c>
      <c r="B55" s="38" t="s">
        <v>1002</v>
      </c>
      <c r="C55" s="17" t="s">
        <v>1009</v>
      </c>
      <c r="D55" s="17" t="s">
        <v>1097</v>
      </c>
      <c r="E55" s="17">
        <v>1</v>
      </c>
      <c r="F55" s="147">
        <f>IFERROR(VLOOKUP(B55,Regularizare!$B:$AX,27,FALSE),"-")</f>
        <v>0</v>
      </c>
      <c r="G55" s="147">
        <f t="shared" si="1"/>
        <v>0</v>
      </c>
      <c r="H55" s="1">
        <v>0</v>
      </c>
      <c r="I55" s="1">
        <v>0</v>
      </c>
      <c r="J55" s="147">
        <f>IFERROR(VLOOKUP(B55,Regularizare!$B:$AX,33,FALSE),"-")</f>
        <v>48</v>
      </c>
      <c r="K55" s="1">
        <f t="shared" si="6"/>
        <v>48</v>
      </c>
      <c r="L55" s="1">
        <f>IFERROR(VLOOKUP(B55,Regularizare!$B:$AX,37,FALSE),"-")</f>
        <v>48</v>
      </c>
      <c r="M55" s="1">
        <f t="shared" si="7"/>
        <v>48</v>
      </c>
      <c r="N55" s="147">
        <f>VLOOKUP(B55,'Inchidere contur'!$G:$H,2,FALSE)</f>
        <v>0</v>
      </c>
      <c r="O55" s="1">
        <f t="shared" si="8"/>
        <v>0</v>
      </c>
      <c r="P55" s="1">
        <f t="shared" si="9"/>
        <v>0</v>
      </c>
      <c r="Q55" s="1">
        <f t="shared" si="10"/>
        <v>0</v>
      </c>
      <c r="R55" s="178">
        <f>IFERROR(VLOOKUP(B55,'Inchidere contur'!$G:$T,11,FALSE),0)</f>
        <v>0</v>
      </c>
      <c r="S55" s="147">
        <f>IFERROR(VLOOKUP(B55,'Inchidere contur'!$G:$T,12,FALSE),0)</f>
        <v>0</v>
      </c>
      <c r="T55" s="147">
        <f>IFERROR(VLOOKUP(B55,'Inchidere contur'!$G:$T,13,FALSE),0)</f>
        <v>0</v>
      </c>
      <c r="V55" s="76"/>
    </row>
    <row r="56" spans="1:22" ht="17.25" thickTop="1" thickBot="1">
      <c r="A56" s="17">
        <f t="shared" si="5"/>
        <v>105</v>
      </c>
      <c r="B56" s="38" t="s">
        <v>613</v>
      </c>
      <c r="C56" s="17" t="s">
        <v>250</v>
      </c>
      <c r="D56" s="17">
        <v>1370137686</v>
      </c>
      <c r="E56" s="17">
        <v>1</v>
      </c>
      <c r="F56" s="147">
        <f>IFERROR(VLOOKUP(B56,Regularizare!$B:$AX,27,FALSE),"-")</f>
        <v>9185124</v>
      </c>
      <c r="G56" s="147">
        <f t="shared" si="1"/>
        <v>9483138</v>
      </c>
      <c r="H56" s="1">
        <v>0</v>
      </c>
      <c r="I56" s="1">
        <v>0</v>
      </c>
      <c r="J56" s="147">
        <f>IFERROR(VLOOKUP(B56,Regularizare!$B:$AX,33,FALSE),"-")</f>
        <v>466472</v>
      </c>
      <c r="K56" s="1">
        <f t="shared" si="6"/>
        <v>466472</v>
      </c>
      <c r="L56" s="1">
        <f>IFERROR(VLOOKUP(B56,Regularizare!$B:$AX,37,FALSE),"-")</f>
        <v>12437</v>
      </c>
      <c r="M56" s="1">
        <f t="shared" si="7"/>
        <v>12437</v>
      </c>
      <c r="N56" s="147">
        <f>VLOOKUP(B56,'Inchidere contur'!$G:$H,2,FALSE)</f>
        <v>298014</v>
      </c>
      <c r="O56" s="1">
        <f t="shared" si="8"/>
        <v>0</v>
      </c>
      <c r="P56" s="1">
        <f t="shared" si="9"/>
        <v>0</v>
      </c>
      <c r="Q56" s="1">
        <f t="shared" si="10"/>
        <v>0</v>
      </c>
      <c r="R56" s="178">
        <f>IFERROR(VLOOKUP(B56,'Inchidere contur'!$G:$T,11,FALSE),0)</f>
        <v>298014</v>
      </c>
      <c r="S56" s="147">
        <f>IFERROR(VLOOKUP(B56,'Inchidere contur'!$G:$T,12,FALSE),0)</f>
        <v>64628</v>
      </c>
      <c r="T56" s="147">
        <f>IFERROR(VLOOKUP(B56,'Inchidere contur'!$G:$T,13,FALSE),0)</f>
        <v>0</v>
      </c>
      <c r="V56" s="76"/>
    </row>
    <row r="57" spans="1:22" ht="17.25" thickTop="1" thickBot="1">
      <c r="A57" s="17">
        <f t="shared" si="5"/>
        <v>106</v>
      </c>
      <c r="B57" s="38" t="s">
        <v>614</v>
      </c>
      <c r="C57" s="17" t="s">
        <v>252</v>
      </c>
      <c r="D57" s="17">
        <v>1370137899</v>
      </c>
      <c r="E57" s="17">
        <v>1</v>
      </c>
      <c r="F57" s="147">
        <f>IFERROR(VLOOKUP(B57,Regularizare!$B:$AX,27,FALSE),"-")</f>
        <v>9443349</v>
      </c>
      <c r="G57" s="147">
        <f t="shared" si="1"/>
        <v>9765697</v>
      </c>
      <c r="H57" s="1">
        <v>0</v>
      </c>
      <c r="I57" s="1">
        <v>0</v>
      </c>
      <c r="J57" s="147">
        <f>IFERROR(VLOOKUP(B57,Regularizare!$B:$AX,33,FALSE),"-")</f>
        <v>452306</v>
      </c>
      <c r="K57" s="1">
        <f t="shared" si="6"/>
        <v>452306</v>
      </c>
      <c r="L57" s="1">
        <f>IFERROR(VLOOKUP(B57,Regularizare!$B:$AX,37,FALSE),"-")</f>
        <v>83484</v>
      </c>
      <c r="M57" s="1">
        <f t="shared" si="7"/>
        <v>83484</v>
      </c>
      <c r="N57" s="147">
        <f>VLOOKUP(B57,'Inchidere contur'!$G:$H,2,FALSE)</f>
        <v>322348</v>
      </c>
      <c r="O57" s="1">
        <f t="shared" si="8"/>
        <v>0</v>
      </c>
      <c r="P57" s="1">
        <f t="shared" si="9"/>
        <v>0</v>
      </c>
      <c r="Q57" s="1">
        <f t="shared" si="10"/>
        <v>0</v>
      </c>
      <c r="R57" s="178">
        <f>IFERROR(VLOOKUP(B57,'Inchidere contur'!$G:$T,11,FALSE),0)</f>
        <v>322348</v>
      </c>
      <c r="S57" s="147">
        <f>IFERROR(VLOOKUP(B57,'Inchidere contur'!$G:$T,12,FALSE),0)</f>
        <v>0</v>
      </c>
      <c r="T57" s="147">
        <f>IFERROR(VLOOKUP(B57,'Inchidere contur'!$G:$T,13,FALSE),0)</f>
        <v>0</v>
      </c>
      <c r="V57" s="76"/>
    </row>
    <row r="58" spans="1:22" ht="17.25" thickTop="1" thickBot="1">
      <c r="A58" s="17">
        <f t="shared" si="5"/>
        <v>107</v>
      </c>
      <c r="B58" s="38" t="s">
        <v>615</v>
      </c>
      <c r="C58" s="17" t="s">
        <v>254</v>
      </c>
      <c r="D58" s="17">
        <v>1370139991</v>
      </c>
      <c r="E58" s="17">
        <v>1</v>
      </c>
      <c r="F58" s="147">
        <f>IFERROR(VLOOKUP(B58,Regularizare!$B:$AX,27,FALSE),"-")</f>
        <v>11215682</v>
      </c>
      <c r="G58" s="147">
        <f t="shared" si="1"/>
        <v>11656976</v>
      </c>
      <c r="H58" s="1">
        <v>0</v>
      </c>
      <c r="I58" s="1">
        <v>0</v>
      </c>
      <c r="J58" s="147">
        <f>IFERROR(VLOOKUP(B58,Regularizare!$B:$AX,33,FALSE),"-")</f>
        <v>270522</v>
      </c>
      <c r="K58" s="1">
        <f t="shared" si="6"/>
        <v>270522</v>
      </c>
      <c r="L58" s="1">
        <f>IFERROR(VLOOKUP(B58,Regularizare!$B:$AX,37,FALSE),"-")</f>
        <v>97</v>
      </c>
      <c r="M58" s="1">
        <f t="shared" si="7"/>
        <v>97</v>
      </c>
      <c r="N58" s="147">
        <f>VLOOKUP(B58,'Inchidere contur'!$G:$H,2,FALSE)</f>
        <v>441294</v>
      </c>
      <c r="O58" s="1">
        <f t="shared" si="8"/>
        <v>0</v>
      </c>
      <c r="P58" s="1">
        <f t="shared" si="9"/>
        <v>0</v>
      </c>
      <c r="Q58" s="1">
        <f t="shared" si="10"/>
        <v>0</v>
      </c>
      <c r="R58" s="178">
        <f>IFERROR(VLOOKUP(B58,'Inchidere contur'!$G:$T,11,FALSE),0)</f>
        <v>441294</v>
      </c>
      <c r="S58" s="147">
        <f>IFERROR(VLOOKUP(B58,'Inchidere contur'!$G:$T,12,FALSE),0)</f>
        <v>0</v>
      </c>
      <c r="T58" s="147">
        <f>IFERROR(VLOOKUP(B58,'Inchidere contur'!$G:$T,13,FALSE),0)</f>
        <v>0</v>
      </c>
      <c r="V58" s="76"/>
    </row>
    <row r="59" spans="1:22" ht="17.25" thickTop="1" thickBot="1">
      <c r="A59" s="17">
        <f t="shared" si="5"/>
        <v>108</v>
      </c>
      <c r="B59" s="38" t="s">
        <v>616</v>
      </c>
      <c r="C59" s="17" t="s">
        <v>256</v>
      </c>
      <c r="D59" s="17">
        <v>1370139975</v>
      </c>
      <c r="E59" s="17">
        <v>1</v>
      </c>
      <c r="F59" s="147">
        <f>IFERROR(VLOOKUP(B59,Regularizare!$B:$AX,27,FALSE),"-")</f>
        <v>8665029</v>
      </c>
      <c r="G59" s="147">
        <f t="shared" si="1"/>
        <v>8926582</v>
      </c>
      <c r="H59" s="1">
        <v>0</v>
      </c>
      <c r="I59" s="1">
        <v>0</v>
      </c>
      <c r="J59" s="147">
        <f>IFERROR(VLOOKUP(B59,Regularizare!$B:$AX,33,FALSE),"-")</f>
        <v>960029</v>
      </c>
      <c r="K59" s="1">
        <f t="shared" si="6"/>
        <v>960029</v>
      </c>
      <c r="L59" s="1">
        <f>IFERROR(VLOOKUP(B59,Regularizare!$B:$AX,37,FALSE),"-")</f>
        <v>17479</v>
      </c>
      <c r="M59" s="1">
        <f t="shared" si="7"/>
        <v>17479</v>
      </c>
      <c r="N59" s="147">
        <f>VLOOKUP(B59,'Inchidere contur'!$G:$H,2,FALSE)</f>
        <v>261553</v>
      </c>
      <c r="O59" s="1">
        <f t="shared" si="8"/>
        <v>0</v>
      </c>
      <c r="P59" s="1">
        <f t="shared" si="9"/>
        <v>0</v>
      </c>
      <c r="Q59" s="1">
        <f t="shared" si="10"/>
        <v>0</v>
      </c>
      <c r="R59" s="178">
        <f>IFERROR(VLOOKUP(B59,'Inchidere contur'!$G:$T,11,FALSE),0)</f>
        <v>261553</v>
      </c>
      <c r="S59" s="147">
        <f>IFERROR(VLOOKUP(B59,'Inchidere contur'!$G:$T,12,FALSE),0)</f>
        <v>0</v>
      </c>
      <c r="T59" s="147">
        <f>IFERROR(VLOOKUP(B59,'Inchidere contur'!$G:$T,13,FALSE),0)</f>
        <v>0</v>
      </c>
      <c r="V59" s="76"/>
    </row>
    <row r="60" spans="1:22" ht="17.25" thickTop="1" thickBot="1">
      <c r="A60" s="17">
        <f t="shared" si="5"/>
        <v>109</v>
      </c>
      <c r="B60" s="38" t="s">
        <v>617</v>
      </c>
      <c r="C60" s="17" t="s">
        <v>261</v>
      </c>
      <c r="D60" s="17">
        <v>1371033646</v>
      </c>
      <c r="E60" s="17">
        <v>1</v>
      </c>
      <c r="F60" s="147">
        <f>IFERROR(VLOOKUP(B60,Regularizare!$B:$AX,27,FALSE),"-")</f>
        <v>5228689</v>
      </c>
      <c r="G60" s="147">
        <f t="shared" si="1"/>
        <v>5332101</v>
      </c>
      <c r="H60" s="1">
        <v>0</v>
      </c>
      <c r="I60" s="1">
        <v>0</v>
      </c>
      <c r="J60" s="147">
        <f>IFERROR(VLOOKUP(B60,Regularizare!$B:$AX,33,FALSE),"-")</f>
        <v>668230</v>
      </c>
      <c r="K60" s="1">
        <f t="shared" si="6"/>
        <v>668230</v>
      </c>
      <c r="L60" s="1">
        <f>IFERROR(VLOOKUP(B60,Regularizare!$B:$AX,37,FALSE),"-")</f>
        <v>11928</v>
      </c>
      <c r="M60" s="1">
        <f t="shared" si="7"/>
        <v>11928</v>
      </c>
      <c r="N60" s="147">
        <f>VLOOKUP(B60,'Inchidere contur'!$G:$H,2,FALSE)</f>
        <v>103412</v>
      </c>
      <c r="O60" s="1">
        <f t="shared" si="8"/>
        <v>0</v>
      </c>
      <c r="P60" s="1">
        <f t="shared" si="9"/>
        <v>0</v>
      </c>
      <c r="Q60" s="1">
        <f t="shared" si="10"/>
        <v>0</v>
      </c>
      <c r="R60" s="178">
        <f>IFERROR(VLOOKUP(B60,'Inchidere contur'!$G:$T,11,FALSE),0)</f>
        <v>103412</v>
      </c>
      <c r="S60" s="147">
        <f>IFERROR(VLOOKUP(B60,'Inchidere contur'!$G:$T,12,FALSE),0)</f>
        <v>42472</v>
      </c>
      <c r="T60" s="147">
        <f>IFERROR(VLOOKUP(B60,'Inchidere contur'!$G:$T,13,FALSE),0)</f>
        <v>0</v>
      </c>
      <c r="V60" s="76"/>
    </row>
    <row r="61" spans="1:22" ht="17.25" thickTop="1" thickBot="1">
      <c r="A61" s="17">
        <f t="shared" si="5"/>
        <v>110</v>
      </c>
      <c r="B61" s="38" t="s">
        <v>618</v>
      </c>
      <c r="C61" s="17" t="s">
        <v>263</v>
      </c>
      <c r="D61" s="17" t="s">
        <v>934</v>
      </c>
      <c r="E61" s="17">
        <v>1</v>
      </c>
      <c r="F61" s="147">
        <f>IFERROR(VLOOKUP(B61,Regularizare!$B:$AX,27,FALSE),"-")</f>
        <v>3682455</v>
      </c>
      <c r="G61" s="147">
        <f t="shared" si="1"/>
        <v>3973039</v>
      </c>
      <c r="H61" s="1">
        <v>0</v>
      </c>
      <c r="I61" s="1">
        <v>0</v>
      </c>
      <c r="J61" s="147">
        <f>IFERROR(VLOOKUP(B61,Regularizare!$B:$AX,33,FALSE),"-")</f>
        <v>112092</v>
      </c>
      <c r="K61" s="1">
        <f t="shared" si="6"/>
        <v>112092</v>
      </c>
      <c r="L61" s="1">
        <f>IFERROR(VLOOKUP(B61,Regularizare!$B:$AX,37,FALSE),"-")</f>
        <v>11742</v>
      </c>
      <c r="M61" s="1">
        <f t="shared" si="7"/>
        <v>11742</v>
      </c>
      <c r="N61" s="147">
        <f>VLOOKUP(B61,'Inchidere contur'!$G:$H,2,FALSE)</f>
        <v>290584</v>
      </c>
      <c r="O61" s="1">
        <f t="shared" si="8"/>
        <v>0</v>
      </c>
      <c r="P61" s="1">
        <f t="shared" si="9"/>
        <v>0</v>
      </c>
      <c r="Q61" s="1">
        <f t="shared" si="10"/>
        <v>0</v>
      </c>
      <c r="R61" s="178">
        <f>IFERROR(VLOOKUP(B61,'Inchidere contur'!$G:$T,11,FALSE),0)</f>
        <v>290584</v>
      </c>
      <c r="S61" s="147">
        <f>IFERROR(VLOOKUP(B61,'Inchidere contur'!$G:$T,12,FALSE),0)</f>
        <v>0</v>
      </c>
      <c r="T61" s="147">
        <f>IFERROR(VLOOKUP(B61,'Inchidere contur'!$G:$T,13,FALSE),0)</f>
        <v>0</v>
      </c>
      <c r="V61" s="76"/>
    </row>
    <row r="62" spans="1:22" ht="17.25" thickTop="1" thickBot="1">
      <c r="A62" s="17">
        <f t="shared" si="5"/>
        <v>111</v>
      </c>
      <c r="B62" s="38" t="s">
        <v>619</v>
      </c>
      <c r="C62" s="17" t="s">
        <v>265</v>
      </c>
      <c r="D62" s="17" t="s">
        <v>935</v>
      </c>
      <c r="E62" s="17">
        <v>1</v>
      </c>
      <c r="F62" s="147">
        <f>IFERROR(VLOOKUP(B62,Regularizare!$B:$AX,27,FALSE),"-")</f>
        <v>3689406</v>
      </c>
      <c r="G62" s="147">
        <f t="shared" si="1"/>
        <v>3965426</v>
      </c>
      <c r="H62" s="1">
        <v>0</v>
      </c>
      <c r="I62" s="1">
        <v>0</v>
      </c>
      <c r="J62" s="147">
        <f>IFERROR(VLOOKUP(B62,Regularizare!$B:$AX,33,FALSE),"-")</f>
        <v>112140</v>
      </c>
      <c r="K62" s="1">
        <f t="shared" si="6"/>
        <v>112140</v>
      </c>
      <c r="L62" s="1">
        <f>IFERROR(VLOOKUP(B62,Regularizare!$B:$AX,37,FALSE),"-")</f>
        <v>11790</v>
      </c>
      <c r="M62" s="1">
        <f t="shared" si="7"/>
        <v>11790</v>
      </c>
      <c r="N62" s="147">
        <f>VLOOKUP(B62,'Inchidere contur'!$G:$H,2,FALSE)</f>
        <v>276020</v>
      </c>
      <c r="O62" s="1">
        <f t="shared" si="8"/>
        <v>0</v>
      </c>
      <c r="P62" s="1">
        <f t="shared" si="9"/>
        <v>0</v>
      </c>
      <c r="Q62" s="1">
        <f t="shared" si="10"/>
        <v>0</v>
      </c>
      <c r="R62" s="178">
        <f>IFERROR(VLOOKUP(B62,'Inchidere contur'!$G:$T,11,FALSE),0)</f>
        <v>276020</v>
      </c>
      <c r="S62" s="147">
        <f>IFERROR(VLOOKUP(B62,'Inchidere contur'!$G:$T,12,FALSE),0)</f>
        <v>0</v>
      </c>
      <c r="T62" s="147">
        <f>IFERROR(VLOOKUP(B62,'Inchidere contur'!$G:$T,13,FALSE),0)</f>
        <v>0</v>
      </c>
      <c r="V62" s="76"/>
    </row>
    <row r="63" spans="1:22" ht="17.25" thickTop="1" thickBot="1">
      <c r="A63" s="17">
        <f t="shared" si="5"/>
        <v>112</v>
      </c>
      <c r="B63" s="38" t="s">
        <v>620</v>
      </c>
      <c r="C63" s="17" t="s">
        <v>270</v>
      </c>
      <c r="D63" s="17">
        <v>1371626280</v>
      </c>
      <c r="E63" s="17">
        <v>1</v>
      </c>
      <c r="F63" s="147">
        <f>IFERROR(VLOOKUP(B63,Regularizare!$B:$AX,27,FALSE),"-")</f>
        <v>8270846</v>
      </c>
      <c r="G63" s="147">
        <f t="shared" si="1"/>
        <v>8651404</v>
      </c>
      <c r="H63" s="1">
        <v>0</v>
      </c>
      <c r="I63" s="1">
        <v>0</v>
      </c>
      <c r="J63" s="147">
        <f>IFERROR(VLOOKUP(B63,Regularizare!$B:$AX,33,FALSE),"-")</f>
        <v>504189</v>
      </c>
      <c r="K63" s="1">
        <f t="shared" si="6"/>
        <v>504189</v>
      </c>
      <c r="L63" s="1">
        <f>IFERROR(VLOOKUP(B63,Regularizare!$B:$AX,37,FALSE),"-")</f>
        <v>34385</v>
      </c>
      <c r="M63" s="1">
        <f t="shared" si="7"/>
        <v>34385</v>
      </c>
      <c r="N63" s="147">
        <f>VLOOKUP(B63,'Inchidere contur'!$G:$H,2,FALSE)</f>
        <v>380558</v>
      </c>
      <c r="O63" s="1">
        <f t="shared" si="8"/>
        <v>0</v>
      </c>
      <c r="P63" s="1">
        <f t="shared" si="9"/>
        <v>0</v>
      </c>
      <c r="Q63" s="1">
        <f t="shared" si="10"/>
        <v>0</v>
      </c>
      <c r="R63" s="178">
        <f>IFERROR(VLOOKUP(B63,'Inchidere contur'!$G:$T,11,FALSE),0)</f>
        <v>380558</v>
      </c>
      <c r="S63" s="147">
        <f>IFERROR(VLOOKUP(B63,'Inchidere contur'!$G:$T,12,FALSE),0)</f>
        <v>0</v>
      </c>
      <c r="T63" s="147">
        <f>IFERROR(VLOOKUP(B63,'Inchidere contur'!$G:$T,13,FALSE),0)</f>
        <v>0</v>
      </c>
      <c r="V63" s="76"/>
    </row>
    <row r="64" spans="1:22" ht="17.25" thickTop="1" thickBot="1">
      <c r="A64" s="17">
        <f t="shared" si="5"/>
        <v>113</v>
      </c>
      <c r="B64" s="38" t="s">
        <v>621</v>
      </c>
      <c r="C64" s="17" t="s">
        <v>272</v>
      </c>
      <c r="D64" s="17">
        <v>1371624296</v>
      </c>
      <c r="E64" s="17">
        <v>1</v>
      </c>
      <c r="F64" s="147">
        <f>IFERROR(VLOOKUP(B64,Regularizare!$B:$AX,27,FALSE),"-")</f>
        <v>4437214.9999999944</v>
      </c>
      <c r="G64" s="147">
        <f t="shared" si="1"/>
        <v>4653802.9999999944</v>
      </c>
      <c r="H64" s="1">
        <v>0</v>
      </c>
      <c r="I64" s="1">
        <v>0</v>
      </c>
      <c r="J64" s="147">
        <f>IFERROR(VLOOKUP(B64,Regularizare!$B:$AX,33,FALSE),"-")</f>
        <v>545661</v>
      </c>
      <c r="K64" s="1">
        <f t="shared" si="6"/>
        <v>545661</v>
      </c>
      <c r="L64" s="1">
        <f>IFERROR(VLOOKUP(B64,Regularizare!$B:$AX,37,FALSE),"-")</f>
        <v>1904</v>
      </c>
      <c r="M64" s="1">
        <f t="shared" si="7"/>
        <v>1904</v>
      </c>
      <c r="N64" s="147">
        <f>VLOOKUP(B64,'Inchidere contur'!$G:$H,2,FALSE)</f>
        <v>216588</v>
      </c>
      <c r="O64" s="1">
        <f t="shared" si="8"/>
        <v>0</v>
      </c>
      <c r="P64" s="1">
        <f t="shared" si="9"/>
        <v>0</v>
      </c>
      <c r="Q64" s="1">
        <f t="shared" si="10"/>
        <v>0</v>
      </c>
      <c r="R64" s="178">
        <f>IFERROR(VLOOKUP(B64,'Inchidere contur'!$G:$T,11,FALSE),0)</f>
        <v>216588</v>
      </c>
      <c r="S64" s="147">
        <f>IFERROR(VLOOKUP(B64,'Inchidere contur'!$G:$T,12,FALSE),0)</f>
        <v>69144</v>
      </c>
      <c r="T64" s="147">
        <f>IFERROR(VLOOKUP(B64,'Inchidere contur'!$G:$T,13,FALSE),0)</f>
        <v>0</v>
      </c>
      <c r="V64" s="76"/>
    </row>
    <row r="65" spans="1:22" ht="17.25" thickTop="1" thickBot="1">
      <c r="A65" s="17">
        <f t="shared" si="5"/>
        <v>114</v>
      </c>
      <c r="B65" s="38" t="s">
        <v>622</v>
      </c>
      <c r="C65" s="17" t="s">
        <v>278</v>
      </c>
      <c r="D65" s="17" t="s">
        <v>936</v>
      </c>
      <c r="E65" s="17">
        <v>1</v>
      </c>
      <c r="F65" s="147">
        <f>IFERROR(VLOOKUP(B65,Regularizare!$B:$AX,27,FALSE),"-")</f>
        <v>5984288</v>
      </c>
      <c r="G65" s="147">
        <f t="shared" si="1"/>
        <v>6419231</v>
      </c>
      <c r="H65" s="1">
        <v>0</v>
      </c>
      <c r="I65" s="1">
        <v>0</v>
      </c>
      <c r="J65" s="147">
        <f>IFERROR(VLOOKUP(B65,Regularizare!$B:$AX,33,FALSE),"-")</f>
        <v>519601</v>
      </c>
      <c r="K65" s="1">
        <f t="shared" si="6"/>
        <v>519601</v>
      </c>
      <c r="L65" s="1">
        <f>IFERROR(VLOOKUP(B65,Regularizare!$B:$AX,37,FALSE),"-")</f>
        <v>60</v>
      </c>
      <c r="M65" s="1">
        <f t="shared" si="7"/>
        <v>60</v>
      </c>
      <c r="N65" s="147">
        <f>VLOOKUP(B65,'Inchidere contur'!$G:$H,2,FALSE)</f>
        <v>434943</v>
      </c>
      <c r="O65" s="1">
        <f t="shared" si="8"/>
        <v>0</v>
      </c>
      <c r="P65" s="1">
        <f t="shared" si="9"/>
        <v>0</v>
      </c>
      <c r="Q65" s="1">
        <f t="shared" si="10"/>
        <v>0</v>
      </c>
      <c r="R65" s="178">
        <f>IFERROR(VLOOKUP(B65,'Inchidere contur'!$G:$T,11,FALSE),0)</f>
        <v>434943</v>
      </c>
      <c r="S65" s="147">
        <f>IFERROR(VLOOKUP(B65,'Inchidere contur'!$G:$T,12,FALSE),0)</f>
        <v>0</v>
      </c>
      <c r="T65" s="147">
        <f>IFERROR(VLOOKUP(B65,'Inchidere contur'!$G:$T,13,FALSE),0)</f>
        <v>0</v>
      </c>
      <c r="V65" s="76"/>
    </row>
    <row r="66" spans="1:22" ht="17.25" thickTop="1" thickBot="1">
      <c r="A66" s="17">
        <f t="shared" si="5"/>
        <v>115</v>
      </c>
      <c r="B66" s="38" t="s">
        <v>623</v>
      </c>
      <c r="C66" s="17" t="s">
        <v>279</v>
      </c>
      <c r="D66" s="17" t="s">
        <v>937</v>
      </c>
      <c r="E66" s="17">
        <v>1</v>
      </c>
      <c r="F66" s="147">
        <f>IFERROR(VLOOKUP(B66,Regularizare!$B:$AX,27,FALSE),"-")</f>
        <v>5913379.9999999981</v>
      </c>
      <c r="G66" s="147">
        <f t="shared" si="1"/>
        <v>6328845.9999999981</v>
      </c>
      <c r="H66" s="1">
        <v>0</v>
      </c>
      <c r="I66" s="1">
        <v>0</v>
      </c>
      <c r="J66" s="147">
        <f>IFERROR(VLOOKUP(B66,Regularizare!$B:$AX,33,FALSE),"-")</f>
        <v>519649</v>
      </c>
      <c r="K66" s="1">
        <f>J66</f>
        <v>519649</v>
      </c>
      <c r="L66" s="1">
        <f>IFERROR(VLOOKUP(B66,Regularizare!$B:$AX,37,FALSE),"-")</f>
        <v>108</v>
      </c>
      <c r="M66" s="1">
        <f>L66</f>
        <v>108</v>
      </c>
      <c r="N66" s="147">
        <f>VLOOKUP(B66,'Inchidere contur'!$G:$H,2,FALSE)</f>
        <v>415466</v>
      </c>
      <c r="O66" s="1">
        <f t="shared" si="8"/>
        <v>0</v>
      </c>
      <c r="P66" s="1">
        <f t="shared" si="9"/>
        <v>0</v>
      </c>
      <c r="Q66" s="1">
        <f t="shared" si="10"/>
        <v>0</v>
      </c>
      <c r="R66" s="178">
        <f>IFERROR(VLOOKUP(B66,'Inchidere contur'!$G:$T,11,FALSE),0)</f>
        <v>415466</v>
      </c>
      <c r="S66" s="147">
        <f>IFERROR(VLOOKUP(B66,'Inchidere contur'!$G:$T,12,FALSE),0)</f>
        <v>0</v>
      </c>
      <c r="T66" s="147">
        <f>IFERROR(VLOOKUP(B66,'Inchidere contur'!$G:$T,13,FALSE),0)</f>
        <v>0</v>
      </c>
      <c r="V66" s="76"/>
    </row>
    <row r="67" spans="1:22" ht="17.25" thickTop="1" thickBot="1">
      <c r="A67" s="17">
        <f t="shared" si="5"/>
        <v>116</v>
      </c>
      <c r="B67" s="38" t="s">
        <v>624</v>
      </c>
      <c r="C67" s="17" t="s">
        <v>283</v>
      </c>
      <c r="D67" s="17">
        <v>1373264675</v>
      </c>
      <c r="E67" s="17">
        <v>1</v>
      </c>
      <c r="F67" s="147">
        <f>IFERROR(VLOOKUP(B67,Regularizare!$B:$AX,27,FALSE),"-")</f>
        <v>2646920</v>
      </c>
      <c r="G67" s="147">
        <f t="shared" si="1"/>
        <v>2846852</v>
      </c>
      <c r="H67" s="1">
        <v>0</v>
      </c>
      <c r="I67" s="1">
        <v>0</v>
      </c>
      <c r="J67" s="147">
        <f>IFERROR(VLOOKUP(B67,Regularizare!$B:$AX,33,FALSE),"-")</f>
        <v>43379</v>
      </c>
      <c r="K67" s="1">
        <f t="shared" si="6"/>
        <v>43379</v>
      </c>
      <c r="L67" s="1">
        <f>IFERROR(VLOOKUP(B67,Regularizare!$B:$AX,37,FALSE),"-")</f>
        <v>91610</v>
      </c>
      <c r="M67" s="1">
        <f t="shared" si="7"/>
        <v>91610</v>
      </c>
      <c r="N67" s="147">
        <f>VLOOKUP(B67,'Inchidere contur'!$G:$H,2,FALSE)</f>
        <v>199932</v>
      </c>
      <c r="O67" s="1">
        <f t="shared" si="8"/>
        <v>0</v>
      </c>
      <c r="P67" s="1">
        <f t="shared" si="9"/>
        <v>0</v>
      </c>
      <c r="Q67" s="1">
        <f t="shared" si="10"/>
        <v>0</v>
      </c>
      <c r="R67" s="178">
        <f>IFERROR(VLOOKUP(B67,'Inchidere contur'!$G:$T,11,FALSE),0)</f>
        <v>199932</v>
      </c>
      <c r="S67" s="147">
        <f>IFERROR(VLOOKUP(B67,'Inchidere contur'!$G:$T,12,FALSE),0)</f>
        <v>0</v>
      </c>
      <c r="T67" s="147">
        <f>IFERROR(VLOOKUP(B67,'Inchidere contur'!$G:$T,13,FALSE),0)</f>
        <v>11931</v>
      </c>
      <c r="V67" s="76"/>
    </row>
    <row r="68" spans="1:22" ht="17.25" thickTop="1" thickBot="1">
      <c r="A68" s="17">
        <f t="shared" si="5"/>
        <v>117</v>
      </c>
      <c r="B68" s="38" t="s">
        <v>625</v>
      </c>
      <c r="C68" s="17" t="s">
        <v>285</v>
      </c>
      <c r="D68" s="17">
        <v>1372644167</v>
      </c>
      <c r="E68" s="17">
        <v>1</v>
      </c>
      <c r="F68" s="147">
        <f>IFERROR(VLOOKUP(B68,Regularizare!$B:$AX,27,FALSE),"-")</f>
        <v>1110379</v>
      </c>
      <c r="G68" s="147">
        <f t="shared" si="1"/>
        <v>1130102</v>
      </c>
      <c r="H68" s="1">
        <v>0</v>
      </c>
      <c r="I68" s="1">
        <v>0</v>
      </c>
      <c r="J68" s="147">
        <f>IFERROR(VLOOKUP(B68,Regularizare!$B:$AX,33,FALSE),"-")</f>
        <v>49546</v>
      </c>
      <c r="K68" s="1">
        <f t="shared" si="6"/>
        <v>49546</v>
      </c>
      <c r="L68" s="1">
        <f>IFERROR(VLOOKUP(B68,Regularizare!$B:$AX,37,FALSE),"-")</f>
        <v>21203</v>
      </c>
      <c r="M68" s="1">
        <f t="shared" si="7"/>
        <v>21203</v>
      </c>
      <c r="N68" s="147">
        <f>VLOOKUP(B68,'Inchidere contur'!$G:$H,2,FALSE)</f>
        <v>19723</v>
      </c>
      <c r="O68" s="1">
        <f t="shared" si="8"/>
        <v>0</v>
      </c>
      <c r="P68" s="1">
        <f t="shared" si="9"/>
        <v>0</v>
      </c>
      <c r="Q68" s="1">
        <f t="shared" si="10"/>
        <v>0</v>
      </c>
      <c r="R68" s="178">
        <f>IFERROR(VLOOKUP(B68,'Inchidere contur'!$G:$T,11,FALSE),0)</f>
        <v>19723</v>
      </c>
      <c r="S68" s="147">
        <f>IFERROR(VLOOKUP(B68,'Inchidere contur'!$G:$T,12,FALSE),0)</f>
        <v>54421</v>
      </c>
      <c r="T68" s="147">
        <f>IFERROR(VLOOKUP(B68,'Inchidere contur'!$G:$T,13,FALSE),0)</f>
        <v>0</v>
      </c>
      <c r="V68" s="76"/>
    </row>
    <row r="69" spans="1:22" ht="17.25" thickTop="1" thickBot="1">
      <c r="A69" s="17">
        <f t="shared" si="5"/>
        <v>118</v>
      </c>
      <c r="B69" s="38" t="s">
        <v>626</v>
      </c>
      <c r="C69" s="17" t="s">
        <v>288</v>
      </c>
      <c r="D69" s="17">
        <v>1372644212</v>
      </c>
      <c r="E69" s="17">
        <v>1</v>
      </c>
      <c r="F69" s="147">
        <f>IFERROR(VLOOKUP(B69,Regularizare!$B:$AX,27,FALSE),"-")</f>
        <v>1163740</v>
      </c>
      <c r="G69" s="147">
        <f t="shared" si="1"/>
        <v>1211084</v>
      </c>
      <c r="H69" s="1">
        <v>0</v>
      </c>
      <c r="I69" s="1">
        <v>0</v>
      </c>
      <c r="J69" s="147">
        <f>IFERROR(VLOOKUP(B69,Regularizare!$B:$AX,33,FALSE),"-")</f>
        <v>4898</v>
      </c>
      <c r="K69" s="1">
        <f t="shared" si="6"/>
        <v>4898</v>
      </c>
      <c r="L69" s="1">
        <f>IFERROR(VLOOKUP(B69,Regularizare!$B:$AX,37,FALSE),"-")</f>
        <v>159829</v>
      </c>
      <c r="M69" s="1">
        <f t="shared" si="7"/>
        <v>159829</v>
      </c>
      <c r="N69" s="147">
        <f>VLOOKUP(B69,'Inchidere contur'!$G:$H,2,FALSE)</f>
        <v>47344</v>
      </c>
      <c r="O69" s="1">
        <f t="shared" si="8"/>
        <v>0</v>
      </c>
      <c r="P69" s="1">
        <f t="shared" si="9"/>
        <v>0</v>
      </c>
      <c r="Q69" s="1">
        <f t="shared" si="10"/>
        <v>0</v>
      </c>
      <c r="R69" s="178">
        <f>IFERROR(VLOOKUP(B69,'Inchidere contur'!$G:$T,11,FALSE),0)</f>
        <v>47344</v>
      </c>
      <c r="S69" s="147">
        <f>IFERROR(VLOOKUP(B69,'Inchidere contur'!$G:$T,12,FALSE),0)</f>
        <v>0</v>
      </c>
      <c r="T69" s="147">
        <f>IFERROR(VLOOKUP(B69,'Inchidere contur'!$G:$T,13,FALSE),0)</f>
        <v>1354</v>
      </c>
      <c r="V69" s="76"/>
    </row>
    <row r="70" spans="1:22" ht="17.25" thickTop="1" thickBot="1">
      <c r="A70" s="17">
        <f t="shared" ref="A70:A123" si="11">A69+1</f>
        <v>119</v>
      </c>
      <c r="B70" s="38" t="s">
        <v>627</v>
      </c>
      <c r="C70" s="17" t="s">
        <v>290</v>
      </c>
      <c r="D70" s="17">
        <v>1373265946</v>
      </c>
      <c r="E70" s="17">
        <v>1</v>
      </c>
      <c r="F70" s="147">
        <f>IFERROR(VLOOKUP(B70,Regularizare!$B:$AX,27,FALSE),"-")</f>
        <v>1599401</v>
      </c>
      <c r="G70" s="147">
        <f t="shared" ref="G70:G118" si="12">IF(COUNTIF(F70,"-")=1,"-",F70+N70)</f>
        <v>1659185</v>
      </c>
      <c r="H70" s="1">
        <v>0</v>
      </c>
      <c r="I70" s="1">
        <v>0</v>
      </c>
      <c r="J70" s="147">
        <f>IFERROR(VLOOKUP(B70,Regularizare!$B:$AX,33,FALSE),"-")</f>
        <v>40326</v>
      </c>
      <c r="K70" s="1">
        <f t="shared" si="6"/>
        <v>40326</v>
      </c>
      <c r="L70" s="1">
        <f>IFERROR(VLOOKUP(B70,Regularizare!$B:$AX,37,FALSE),"-")</f>
        <v>52218</v>
      </c>
      <c r="M70" s="1">
        <f t="shared" si="7"/>
        <v>52218</v>
      </c>
      <c r="N70" s="147">
        <f>VLOOKUP(B70,'Inchidere contur'!$G:$H,2,FALSE)</f>
        <v>59784</v>
      </c>
      <c r="O70" s="1">
        <f t="shared" si="8"/>
        <v>0</v>
      </c>
      <c r="P70" s="1">
        <f t="shared" si="9"/>
        <v>0</v>
      </c>
      <c r="Q70" s="1">
        <f t="shared" si="10"/>
        <v>0</v>
      </c>
      <c r="R70" s="178">
        <f>IFERROR(VLOOKUP(B70,'Inchidere contur'!$G:$T,11,FALSE),0)</f>
        <v>59784</v>
      </c>
      <c r="S70" s="147">
        <f>IFERROR(VLOOKUP(B70,'Inchidere contur'!$G:$T,12,FALSE),0)</f>
        <v>74395</v>
      </c>
      <c r="T70" s="147">
        <f>IFERROR(VLOOKUP(B70,'Inchidere contur'!$G:$T,13,FALSE),0)</f>
        <v>0</v>
      </c>
      <c r="V70" s="76"/>
    </row>
    <row r="71" spans="1:22" ht="17.25" thickTop="1" thickBot="1">
      <c r="A71" s="17">
        <f t="shared" si="11"/>
        <v>120</v>
      </c>
      <c r="B71" s="38" t="s">
        <v>628</v>
      </c>
      <c r="C71" s="17" t="s">
        <v>294</v>
      </c>
      <c r="D71" s="17">
        <v>1372640713</v>
      </c>
      <c r="E71" s="17">
        <v>1</v>
      </c>
      <c r="F71" s="147">
        <f>IFERROR(VLOOKUP(B71,Regularizare!$B:$AX,27,FALSE),"-")</f>
        <v>7772894</v>
      </c>
      <c r="G71" s="147">
        <f t="shared" si="12"/>
        <v>8193422</v>
      </c>
      <c r="H71" s="1">
        <v>0</v>
      </c>
      <c r="I71" s="1">
        <v>0</v>
      </c>
      <c r="J71" s="147">
        <f>IFERROR(VLOOKUP(B71,Regularizare!$B:$AX,33,FALSE),"-")</f>
        <v>229741</v>
      </c>
      <c r="K71" s="1">
        <f t="shared" ref="K71:K76" si="13">J71</f>
        <v>229741</v>
      </c>
      <c r="L71" s="1">
        <f>IFERROR(VLOOKUP(B71,Regularizare!$B:$AX,37,FALSE),"-")</f>
        <v>78076</v>
      </c>
      <c r="M71" s="1">
        <f t="shared" ref="M71:M76" si="14">L71</f>
        <v>78076</v>
      </c>
      <c r="N71" s="147">
        <f>VLOOKUP(B71,'Inchidere contur'!$G:$H,2,FALSE)</f>
        <v>420528</v>
      </c>
      <c r="O71" s="1">
        <f t="shared" si="8"/>
        <v>0</v>
      </c>
      <c r="P71" s="1">
        <f t="shared" si="9"/>
        <v>0</v>
      </c>
      <c r="Q71" s="1">
        <f t="shared" si="10"/>
        <v>0</v>
      </c>
      <c r="R71" s="178">
        <f>IFERROR(VLOOKUP(B71,'Inchidere contur'!$G:$T,11,FALSE),0)</f>
        <v>420528</v>
      </c>
      <c r="S71" s="147">
        <f>IFERROR(VLOOKUP(B71,'Inchidere contur'!$G:$T,12,FALSE),0)</f>
        <v>37745</v>
      </c>
      <c r="T71" s="147">
        <f>IFERROR(VLOOKUP(B71,'Inchidere contur'!$G:$T,13,FALSE),0)</f>
        <v>0</v>
      </c>
      <c r="V71" s="76"/>
    </row>
    <row r="72" spans="1:22" ht="17.25" thickTop="1" thickBot="1">
      <c r="A72" s="17">
        <f t="shared" si="11"/>
        <v>121</v>
      </c>
      <c r="B72" s="38" t="s">
        <v>629</v>
      </c>
      <c r="C72" s="17" t="s">
        <v>296</v>
      </c>
      <c r="D72" s="17">
        <v>1371642996</v>
      </c>
      <c r="E72" s="17">
        <v>1</v>
      </c>
      <c r="F72" s="147">
        <f>IFERROR(VLOOKUP(B72,Regularizare!$B:$AX,27,FALSE),"-")</f>
        <v>6780353</v>
      </c>
      <c r="G72" s="147">
        <f t="shared" si="12"/>
        <v>7082375</v>
      </c>
      <c r="H72" s="1">
        <v>0</v>
      </c>
      <c r="I72" s="1">
        <v>0</v>
      </c>
      <c r="J72" s="147">
        <f>IFERROR(VLOOKUP(B72,Regularizare!$B:$AX,33,FALSE),"-")</f>
        <v>263711</v>
      </c>
      <c r="K72" s="1">
        <f t="shared" si="13"/>
        <v>263711</v>
      </c>
      <c r="L72" s="1">
        <f>IFERROR(VLOOKUP(B72,Regularizare!$B:$AX,37,FALSE),"-")</f>
        <v>20437</v>
      </c>
      <c r="M72" s="1">
        <f t="shared" si="14"/>
        <v>20437</v>
      </c>
      <c r="N72" s="147">
        <f>VLOOKUP(B72,'Inchidere contur'!$G:$H,2,FALSE)</f>
        <v>302022</v>
      </c>
      <c r="O72" s="1">
        <f t="shared" si="8"/>
        <v>0</v>
      </c>
      <c r="P72" s="1">
        <f t="shared" si="9"/>
        <v>0</v>
      </c>
      <c r="Q72" s="1">
        <f t="shared" si="10"/>
        <v>0</v>
      </c>
      <c r="R72" s="178">
        <f>IFERROR(VLOOKUP(B72,'Inchidere contur'!$G:$T,11,FALSE),0)</f>
        <v>302022</v>
      </c>
      <c r="S72" s="147">
        <f>IFERROR(VLOOKUP(B72,'Inchidere contur'!$G:$T,12,FALSE),0)</f>
        <v>113990</v>
      </c>
      <c r="T72" s="147">
        <f>IFERROR(VLOOKUP(B72,'Inchidere contur'!$G:$T,13,FALSE),0)</f>
        <v>126303</v>
      </c>
      <c r="V72" s="76"/>
    </row>
    <row r="73" spans="1:22" ht="17.25" thickTop="1" thickBot="1">
      <c r="A73" s="17">
        <f t="shared" si="11"/>
        <v>122</v>
      </c>
      <c r="B73" s="38" t="s">
        <v>630</v>
      </c>
      <c r="C73" s="17" t="s">
        <v>298</v>
      </c>
      <c r="D73" s="17">
        <v>1371870596</v>
      </c>
      <c r="E73" s="17">
        <v>1</v>
      </c>
      <c r="F73" s="147">
        <f>IFERROR(VLOOKUP(B73,Regularizare!$B:$AX,27,FALSE),"-")</f>
        <v>2037582</v>
      </c>
      <c r="G73" s="147">
        <f t="shared" si="12"/>
        <v>2084607</v>
      </c>
      <c r="H73" s="1">
        <v>0</v>
      </c>
      <c r="I73" s="1">
        <v>0</v>
      </c>
      <c r="J73" s="147">
        <f>IFERROR(VLOOKUP(B73,Regularizare!$B:$AX,33,FALSE),"-")</f>
        <v>195814</v>
      </c>
      <c r="K73" s="1">
        <f t="shared" si="13"/>
        <v>195814</v>
      </c>
      <c r="L73" s="1">
        <f>IFERROR(VLOOKUP(B73,Regularizare!$B:$AX,37,FALSE),"-")</f>
        <v>116031</v>
      </c>
      <c r="M73" s="1">
        <f t="shared" si="14"/>
        <v>116031</v>
      </c>
      <c r="N73" s="147">
        <f>VLOOKUP(B73,'Inchidere contur'!$G:$H,2,FALSE)</f>
        <v>47025</v>
      </c>
      <c r="O73" s="1">
        <f t="shared" si="8"/>
        <v>0</v>
      </c>
      <c r="P73" s="1">
        <f t="shared" si="9"/>
        <v>0</v>
      </c>
      <c r="Q73" s="1">
        <f t="shared" si="10"/>
        <v>0</v>
      </c>
      <c r="R73" s="178">
        <f>IFERROR(VLOOKUP(B73,'Inchidere contur'!$G:$T,11,FALSE),0)</f>
        <v>47025</v>
      </c>
      <c r="S73" s="147">
        <f>IFERROR(VLOOKUP(B73,'Inchidere contur'!$G:$T,12,FALSE),0)</f>
        <v>153347</v>
      </c>
      <c r="T73" s="147">
        <f>IFERROR(VLOOKUP(B73,'Inchidere contur'!$G:$T,13,FALSE),0)</f>
        <v>0</v>
      </c>
      <c r="V73" s="76"/>
    </row>
    <row r="74" spans="1:22" ht="17.25" thickTop="1" thickBot="1">
      <c r="A74" s="17">
        <f t="shared" si="11"/>
        <v>123</v>
      </c>
      <c r="B74" s="38" t="s">
        <v>631</v>
      </c>
      <c r="C74" s="17" t="s">
        <v>1184</v>
      </c>
      <c r="D74" s="17">
        <v>1373708422</v>
      </c>
      <c r="E74" s="17">
        <v>1</v>
      </c>
      <c r="F74" s="147">
        <f>IFERROR(VLOOKUP(B74,Regularizare!$B:$AX,27,FALSE),"-")</f>
        <v>1245592</v>
      </c>
      <c r="G74" s="147">
        <f t="shared" si="12"/>
        <v>1316216</v>
      </c>
      <c r="H74" s="1">
        <v>0</v>
      </c>
      <c r="I74" s="1">
        <v>0</v>
      </c>
      <c r="J74" s="147">
        <f>IFERROR(VLOOKUP(B74,Regularizare!$B:$AX,33,FALSE),"-")</f>
        <v>4440</v>
      </c>
      <c r="K74" s="1">
        <f t="shared" si="13"/>
        <v>4440</v>
      </c>
      <c r="L74" s="1">
        <f>IFERROR(VLOOKUP(B74,Regularizare!$B:$AX,37,FALSE),"-")</f>
        <v>172006</v>
      </c>
      <c r="M74" s="1">
        <f t="shared" si="14"/>
        <v>172006</v>
      </c>
      <c r="N74" s="147">
        <f>VLOOKUP(B74,'Inchidere contur'!$G:$H,2,FALSE)</f>
        <v>70624</v>
      </c>
      <c r="O74" s="1">
        <f t="shared" si="8"/>
        <v>0</v>
      </c>
      <c r="P74" s="1">
        <f t="shared" si="9"/>
        <v>0</v>
      </c>
      <c r="Q74" s="1">
        <f t="shared" si="10"/>
        <v>0</v>
      </c>
      <c r="R74" s="178">
        <f>IFERROR(VLOOKUP(B74,'Inchidere contur'!$G:$T,11,FALSE),0)</f>
        <v>70624</v>
      </c>
      <c r="S74" s="147">
        <f>IFERROR(VLOOKUP(B74,'Inchidere contur'!$G:$T,12,FALSE),0)</f>
        <v>44270</v>
      </c>
      <c r="T74" s="147">
        <f>IFERROR(VLOOKUP(B74,'Inchidere contur'!$G:$T,13,FALSE),0)</f>
        <v>0</v>
      </c>
      <c r="V74" s="76"/>
    </row>
    <row r="75" spans="1:22" ht="17.25" thickTop="1" thickBot="1">
      <c r="A75" s="17">
        <f t="shared" si="11"/>
        <v>124</v>
      </c>
      <c r="B75" s="38" t="s">
        <v>632</v>
      </c>
      <c r="C75" s="17" t="s">
        <v>307</v>
      </c>
      <c r="D75" s="17">
        <v>1369546421</v>
      </c>
      <c r="E75" s="17">
        <v>1</v>
      </c>
      <c r="F75" s="147">
        <f>IFERROR(VLOOKUP(B75,Regularizare!$B:$AX,27,FALSE),"-")</f>
        <v>2828870</v>
      </c>
      <c r="G75" s="147">
        <f t="shared" si="12"/>
        <v>2862645</v>
      </c>
      <c r="H75" s="1">
        <v>0</v>
      </c>
      <c r="I75" s="1">
        <v>0</v>
      </c>
      <c r="J75" s="147">
        <f>IFERROR(VLOOKUP(B75,Regularizare!$B:$AX,33,FALSE),"-")</f>
        <v>549842</v>
      </c>
      <c r="K75" s="1">
        <f t="shared" si="13"/>
        <v>549842</v>
      </c>
      <c r="L75" s="1">
        <f>IFERROR(VLOOKUP(B75,Regularizare!$B:$AX,37,FALSE),"-")</f>
        <v>2277</v>
      </c>
      <c r="M75" s="1">
        <f t="shared" si="14"/>
        <v>2277</v>
      </c>
      <c r="N75" s="147">
        <f>VLOOKUP(B75,'Inchidere contur'!$G:$H,2,FALSE)</f>
        <v>33775</v>
      </c>
      <c r="O75" s="1">
        <f t="shared" si="8"/>
        <v>0</v>
      </c>
      <c r="P75" s="1">
        <f t="shared" si="9"/>
        <v>0</v>
      </c>
      <c r="Q75" s="1">
        <f t="shared" si="10"/>
        <v>0</v>
      </c>
      <c r="R75" s="178">
        <f>IFERROR(VLOOKUP(B75,'Inchidere contur'!$G:$T,11,FALSE),0)</f>
        <v>33775</v>
      </c>
      <c r="S75" s="147">
        <f>IFERROR(VLOOKUP(B75,'Inchidere contur'!$G:$T,12,FALSE),0)</f>
        <v>0</v>
      </c>
      <c r="T75" s="147">
        <f>IFERROR(VLOOKUP(B75,'Inchidere contur'!$G:$T,13,FALSE),0)</f>
        <v>0</v>
      </c>
      <c r="V75" s="76"/>
    </row>
    <row r="76" spans="1:22" ht="17.25" thickTop="1" thickBot="1">
      <c r="A76" s="17">
        <f t="shared" si="11"/>
        <v>125</v>
      </c>
      <c r="B76" s="38" t="s">
        <v>633</v>
      </c>
      <c r="C76" s="17" t="s">
        <v>309</v>
      </c>
      <c r="D76" s="17">
        <v>1369358959</v>
      </c>
      <c r="E76" s="17">
        <v>1</v>
      </c>
      <c r="F76" s="147">
        <f>IFERROR(VLOOKUP(B76,Regularizare!$B:$AX,27,FALSE),"-")</f>
        <v>2926145</v>
      </c>
      <c r="G76" s="147">
        <f t="shared" si="12"/>
        <v>2955720</v>
      </c>
      <c r="H76" s="1">
        <v>0</v>
      </c>
      <c r="I76" s="1">
        <v>0</v>
      </c>
      <c r="J76" s="147">
        <f>IFERROR(VLOOKUP(B76,Regularizare!$B:$AX,33,FALSE),"-")</f>
        <v>310145</v>
      </c>
      <c r="K76" s="1">
        <f t="shared" si="13"/>
        <v>310145</v>
      </c>
      <c r="L76" s="1">
        <f>IFERROR(VLOOKUP(B76,Regularizare!$B:$AX,37,FALSE),"-")</f>
        <v>4117</v>
      </c>
      <c r="M76" s="1">
        <f t="shared" si="14"/>
        <v>4117</v>
      </c>
      <c r="N76" s="147">
        <f>VLOOKUP(B76,'Inchidere contur'!$G:$H,2,FALSE)</f>
        <v>29575</v>
      </c>
      <c r="O76" s="1">
        <f t="shared" si="8"/>
        <v>0</v>
      </c>
      <c r="P76" s="1">
        <f t="shared" si="9"/>
        <v>0</v>
      </c>
      <c r="Q76" s="1">
        <f t="shared" si="10"/>
        <v>0</v>
      </c>
      <c r="R76" s="178">
        <f>IFERROR(VLOOKUP(B76,'Inchidere contur'!$G:$T,11,FALSE),0)</f>
        <v>29575</v>
      </c>
      <c r="S76" s="147">
        <f>IFERROR(VLOOKUP(B76,'Inchidere contur'!$G:$T,12,FALSE),0)</f>
        <v>13904</v>
      </c>
      <c r="T76" s="147">
        <f>IFERROR(VLOOKUP(B76,'Inchidere contur'!$G:$T,13,FALSE),0)</f>
        <v>0</v>
      </c>
      <c r="V76" s="76"/>
    </row>
    <row r="77" spans="1:22" ht="17.25" thickTop="1" thickBot="1">
      <c r="A77" s="17">
        <f t="shared" si="11"/>
        <v>126</v>
      </c>
      <c r="B77" s="38" t="s">
        <v>634</v>
      </c>
      <c r="C77" s="17" t="s">
        <v>311</v>
      </c>
      <c r="D77" s="17" t="s">
        <v>938</v>
      </c>
      <c r="E77" s="17">
        <v>1</v>
      </c>
      <c r="F77" s="147">
        <f>IFERROR(VLOOKUP(B77,Regularizare!$B:$AX,27,FALSE),"-")</f>
        <v>2826738</v>
      </c>
      <c r="G77" s="147">
        <f t="shared" si="12"/>
        <v>3084672</v>
      </c>
      <c r="H77" s="1">
        <v>0</v>
      </c>
      <c r="I77" s="1">
        <v>0</v>
      </c>
      <c r="J77" s="147">
        <f>IFERROR(VLOOKUP(B77,Regularizare!$B:$AX,33,FALSE),"-")</f>
        <v>103378</v>
      </c>
      <c r="K77" s="1">
        <f>J77</f>
        <v>103378</v>
      </c>
      <c r="L77" s="1">
        <f>IFERROR(VLOOKUP(B77,Regularizare!$B:$AX,37,FALSE),"-")</f>
        <v>2040</v>
      </c>
      <c r="M77" s="1">
        <f>L77</f>
        <v>2040</v>
      </c>
      <c r="N77" s="147">
        <f>VLOOKUP(B77,'Inchidere contur'!$G:$H,2,FALSE)</f>
        <v>257934</v>
      </c>
      <c r="O77" s="1">
        <f t="shared" si="8"/>
        <v>0</v>
      </c>
      <c r="P77" s="1">
        <f t="shared" si="9"/>
        <v>0</v>
      </c>
      <c r="Q77" s="1">
        <f t="shared" si="10"/>
        <v>0</v>
      </c>
      <c r="R77" s="178">
        <f>IFERROR(VLOOKUP(B77,'Inchidere contur'!$G:$T,11,FALSE),0)</f>
        <v>257934</v>
      </c>
      <c r="S77" s="147">
        <f>IFERROR(VLOOKUP(B77,'Inchidere contur'!$G:$T,12,FALSE),0)</f>
        <v>0</v>
      </c>
      <c r="T77" s="147">
        <f>IFERROR(VLOOKUP(B77,'Inchidere contur'!$G:$T,13,FALSE),0)</f>
        <v>0</v>
      </c>
      <c r="V77" s="76"/>
    </row>
    <row r="78" spans="1:22" ht="17.25" thickTop="1" thickBot="1">
      <c r="A78" s="17">
        <f t="shared" si="11"/>
        <v>127</v>
      </c>
      <c r="B78" s="38" t="s">
        <v>635</v>
      </c>
      <c r="C78" s="17" t="s">
        <v>313</v>
      </c>
      <c r="D78" s="17" t="s">
        <v>939</v>
      </c>
      <c r="E78" s="17">
        <v>1</v>
      </c>
      <c r="F78" s="147">
        <f>IFERROR(VLOOKUP(B78,Regularizare!$B:$AX,27,FALSE),"-")</f>
        <v>2826733</v>
      </c>
      <c r="G78" s="147">
        <f t="shared" si="12"/>
        <v>3084667</v>
      </c>
      <c r="H78" s="1">
        <v>0</v>
      </c>
      <c r="I78" s="1">
        <v>0</v>
      </c>
      <c r="J78" s="147">
        <f>IFERROR(VLOOKUP(B78,Regularizare!$B:$AX,33,FALSE),"-")</f>
        <v>103378</v>
      </c>
      <c r="K78" s="1">
        <f t="shared" ref="K78:K90" si="15">J78</f>
        <v>103378</v>
      </c>
      <c r="L78" s="1">
        <f>IFERROR(VLOOKUP(B78,Regularizare!$B:$AX,37,FALSE),"-")</f>
        <v>2040</v>
      </c>
      <c r="M78" s="1">
        <f t="shared" ref="M78:M90" si="16">L78</f>
        <v>2040</v>
      </c>
      <c r="N78" s="147">
        <f>VLOOKUP(B78,'Inchidere contur'!$G:$H,2,FALSE)</f>
        <v>257934</v>
      </c>
      <c r="O78" s="1">
        <f t="shared" si="8"/>
        <v>0</v>
      </c>
      <c r="P78" s="1">
        <f t="shared" si="9"/>
        <v>0</v>
      </c>
      <c r="Q78" s="1">
        <f t="shared" si="10"/>
        <v>0</v>
      </c>
      <c r="R78" s="178">
        <f>IFERROR(VLOOKUP(B78,'Inchidere contur'!$G:$T,11,FALSE),0)</f>
        <v>257934</v>
      </c>
      <c r="S78" s="147">
        <f>IFERROR(VLOOKUP(B78,'Inchidere contur'!$G:$T,12,FALSE),0)</f>
        <v>0</v>
      </c>
      <c r="T78" s="147">
        <f>IFERROR(VLOOKUP(B78,'Inchidere contur'!$G:$T,13,FALSE),0)</f>
        <v>0</v>
      </c>
      <c r="V78" s="76"/>
    </row>
    <row r="79" spans="1:22" ht="17.25" thickTop="1" thickBot="1">
      <c r="A79" s="17">
        <f t="shared" si="11"/>
        <v>128</v>
      </c>
      <c r="B79" s="38" t="s">
        <v>636</v>
      </c>
      <c r="C79" s="17" t="s">
        <v>315</v>
      </c>
      <c r="D79" s="17" t="s">
        <v>940</v>
      </c>
      <c r="E79" s="17">
        <v>1</v>
      </c>
      <c r="F79" s="147">
        <f>IFERROR(VLOOKUP(B79,Regularizare!$B:$AX,27,FALSE),"-")</f>
        <v>2785644</v>
      </c>
      <c r="G79" s="147">
        <f t="shared" si="12"/>
        <v>3027206</v>
      </c>
      <c r="H79" s="1">
        <v>0</v>
      </c>
      <c r="I79" s="1">
        <v>0</v>
      </c>
      <c r="J79" s="147">
        <f>IFERROR(VLOOKUP(B79,Regularizare!$B:$AX,33,FALSE),"-")</f>
        <v>103426</v>
      </c>
      <c r="K79" s="1">
        <f t="shared" si="15"/>
        <v>103426</v>
      </c>
      <c r="L79" s="1">
        <f>IFERROR(VLOOKUP(B79,Regularizare!$B:$AX,37,FALSE),"-")</f>
        <v>2088</v>
      </c>
      <c r="M79" s="1">
        <f t="shared" si="16"/>
        <v>2088</v>
      </c>
      <c r="N79" s="147">
        <f>VLOOKUP(B79,'Inchidere contur'!$G:$H,2,FALSE)</f>
        <v>241562</v>
      </c>
      <c r="O79" s="1">
        <f t="shared" si="8"/>
        <v>0</v>
      </c>
      <c r="P79" s="1">
        <f t="shared" si="9"/>
        <v>0</v>
      </c>
      <c r="Q79" s="1">
        <f t="shared" si="10"/>
        <v>0</v>
      </c>
      <c r="R79" s="178">
        <f>IFERROR(VLOOKUP(B79,'Inchidere contur'!$G:$T,11,FALSE),0)</f>
        <v>241562</v>
      </c>
      <c r="S79" s="147">
        <f>IFERROR(VLOOKUP(B79,'Inchidere contur'!$G:$T,12,FALSE),0)</f>
        <v>0</v>
      </c>
      <c r="T79" s="147">
        <f>IFERROR(VLOOKUP(B79,'Inchidere contur'!$G:$T,13,FALSE),0)</f>
        <v>0</v>
      </c>
      <c r="V79" s="76"/>
    </row>
    <row r="80" spans="1:22" ht="17.25" thickTop="1" thickBot="1">
      <c r="A80" s="17">
        <f t="shared" si="11"/>
        <v>129</v>
      </c>
      <c r="B80" s="38" t="s">
        <v>637</v>
      </c>
      <c r="C80" s="17" t="s">
        <v>320</v>
      </c>
      <c r="D80" s="17" t="s">
        <v>941</v>
      </c>
      <c r="E80" s="17">
        <v>1</v>
      </c>
      <c r="F80" s="147">
        <f>IFERROR(VLOOKUP(B80,Regularizare!$B:$AX,27,FALSE),"-")</f>
        <v>3070261</v>
      </c>
      <c r="G80" s="147">
        <f t="shared" si="12"/>
        <v>3264349</v>
      </c>
      <c r="H80" s="1">
        <v>0</v>
      </c>
      <c r="I80" s="1">
        <v>0</v>
      </c>
      <c r="J80" s="147">
        <f>IFERROR(VLOOKUP(B80,Regularizare!$B:$AX,33,FALSE),"-")</f>
        <v>148188</v>
      </c>
      <c r="K80" s="1">
        <f t="shared" si="15"/>
        <v>148188</v>
      </c>
      <c r="L80" s="1">
        <f>IFERROR(VLOOKUP(B80,Regularizare!$B:$AX,37,FALSE),"-")</f>
        <v>100</v>
      </c>
      <c r="M80" s="1">
        <f t="shared" si="16"/>
        <v>100</v>
      </c>
      <c r="N80" s="147">
        <f>VLOOKUP(B80,'Inchidere contur'!$G:$H,2,FALSE)</f>
        <v>194088</v>
      </c>
      <c r="O80" s="1">
        <f t="shared" si="8"/>
        <v>0</v>
      </c>
      <c r="P80" s="1">
        <f t="shared" si="9"/>
        <v>0</v>
      </c>
      <c r="Q80" s="1">
        <f t="shared" si="10"/>
        <v>0</v>
      </c>
      <c r="R80" s="178">
        <f>IFERROR(VLOOKUP(B80,'Inchidere contur'!$G:$T,11,FALSE),0)</f>
        <v>194088</v>
      </c>
      <c r="S80" s="147">
        <f>IFERROR(VLOOKUP(B80,'Inchidere contur'!$G:$T,12,FALSE),0)</f>
        <v>0</v>
      </c>
      <c r="T80" s="147">
        <f>IFERROR(VLOOKUP(B80,'Inchidere contur'!$G:$T,13,FALSE),0)</f>
        <v>0</v>
      </c>
      <c r="V80" s="76"/>
    </row>
    <row r="81" spans="1:22" ht="17.25" thickTop="1" thickBot="1">
      <c r="A81" s="17">
        <f t="shared" si="11"/>
        <v>130</v>
      </c>
      <c r="B81" s="38" t="s">
        <v>638</v>
      </c>
      <c r="C81" s="17" t="s">
        <v>322</v>
      </c>
      <c r="D81" s="17" t="s">
        <v>942</v>
      </c>
      <c r="E81" s="17">
        <v>1</v>
      </c>
      <c r="F81" s="147">
        <f>IFERROR(VLOOKUP(B81,Regularizare!$B:$AX,27,FALSE),"-")</f>
        <v>3070261</v>
      </c>
      <c r="G81" s="147">
        <f t="shared" si="12"/>
        <v>3264349</v>
      </c>
      <c r="H81" s="1">
        <v>0</v>
      </c>
      <c r="I81" s="1">
        <v>0</v>
      </c>
      <c r="J81" s="147">
        <f>IFERROR(VLOOKUP(B81,Regularizare!$B:$AX,33,FALSE),"-")</f>
        <v>148188</v>
      </c>
      <c r="K81" s="1">
        <f t="shared" si="15"/>
        <v>148188</v>
      </c>
      <c r="L81" s="1">
        <f>IFERROR(VLOOKUP(B81,Regularizare!$B:$AX,37,FALSE),"-")</f>
        <v>100</v>
      </c>
      <c r="M81" s="1">
        <f t="shared" si="16"/>
        <v>100</v>
      </c>
      <c r="N81" s="147">
        <f>VLOOKUP(B81,'Inchidere contur'!$G:$H,2,FALSE)</f>
        <v>194088</v>
      </c>
      <c r="O81" s="1">
        <f t="shared" si="8"/>
        <v>0</v>
      </c>
      <c r="P81" s="1">
        <f t="shared" si="9"/>
        <v>0</v>
      </c>
      <c r="Q81" s="1">
        <f t="shared" si="10"/>
        <v>0</v>
      </c>
      <c r="R81" s="178">
        <f>IFERROR(VLOOKUP(B81,'Inchidere contur'!$G:$T,11,FALSE),0)</f>
        <v>194088</v>
      </c>
      <c r="S81" s="147">
        <f>IFERROR(VLOOKUP(B81,'Inchidere contur'!$G:$T,12,FALSE),0)</f>
        <v>0</v>
      </c>
      <c r="T81" s="147">
        <f>IFERROR(VLOOKUP(B81,'Inchidere contur'!$G:$T,13,FALSE),0)</f>
        <v>0</v>
      </c>
      <c r="V81" s="76"/>
    </row>
    <row r="82" spans="1:22" ht="17.25" thickTop="1" thickBot="1">
      <c r="A82" s="17">
        <f t="shared" si="11"/>
        <v>131</v>
      </c>
      <c r="B82" s="38" t="s">
        <v>639</v>
      </c>
      <c r="C82" s="17" t="s">
        <v>324</v>
      </c>
      <c r="D82" s="17" t="s">
        <v>943</v>
      </c>
      <c r="E82" s="17">
        <v>1</v>
      </c>
      <c r="F82" s="147">
        <f>IFERROR(VLOOKUP(B82,Regularizare!$B:$AX,27,FALSE),"-")</f>
        <v>2446845</v>
      </c>
      <c r="G82" s="147">
        <f t="shared" si="12"/>
        <v>2640933</v>
      </c>
      <c r="H82" s="1">
        <v>0</v>
      </c>
      <c r="I82" s="1">
        <v>0</v>
      </c>
      <c r="J82" s="147">
        <f>IFERROR(VLOOKUP(B82,Regularizare!$B:$AX,33,FALSE),"-")</f>
        <v>148188</v>
      </c>
      <c r="K82" s="1">
        <f t="shared" si="15"/>
        <v>148188</v>
      </c>
      <c r="L82" s="1">
        <f>IFERROR(VLOOKUP(B82,Regularizare!$B:$AX,37,FALSE),"-")</f>
        <v>100</v>
      </c>
      <c r="M82" s="1">
        <f t="shared" si="16"/>
        <v>100</v>
      </c>
      <c r="N82" s="147">
        <f>VLOOKUP(B82,'Inchidere contur'!$G:$H,2,FALSE)</f>
        <v>194088</v>
      </c>
      <c r="O82" s="1">
        <f t="shared" si="8"/>
        <v>0</v>
      </c>
      <c r="P82" s="1">
        <f t="shared" si="9"/>
        <v>0</v>
      </c>
      <c r="Q82" s="1">
        <f t="shared" si="10"/>
        <v>0</v>
      </c>
      <c r="R82" s="178">
        <f>IFERROR(VLOOKUP(B82,'Inchidere contur'!$G:$T,11,FALSE),0)</f>
        <v>194088</v>
      </c>
      <c r="S82" s="147">
        <f>IFERROR(VLOOKUP(B82,'Inchidere contur'!$G:$T,12,FALSE),0)</f>
        <v>0</v>
      </c>
      <c r="T82" s="147">
        <f>IFERROR(VLOOKUP(B82,'Inchidere contur'!$G:$T,13,FALSE),0)</f>
        <v>0</v>
      </c>
      <c r="V82" s="76"/>
    </row>
    <row r="83" spans="1:22" ht="17.25" thickTop="1" thickBot="1">
      <c r="A83" s="17">
        <f t="shared" si="11"/>
        <v>132</v>
      </c>
      <c r="B83" s="38" t="s">
        <v>640</v>
      </c>
      <c r="C83" s="17" t="s">
        <v>326</v>
      </c>
      <c r="D83" s="17" t="s">
        <v>944</v>
      </c>
      <c r="E83" s="17">
        <v>1</v>
      </c>
      <c r="F83" s="147">
        <f>IFERROR(VLOOKUP(B83,Regularizare!$B:$AX,27,FALSE),"-")</f>
        <v>2387498</v>
      </c>
      <c r="G83" s="147">
        <f t="shared" si="12"/>
        <v>2567072</v>
      </c>
      <c r="H83" s="1">
        <v>0</v>
      </c>
      <c r="I83" s="1">
        <v>0</v>
      </c>
      <c r="J83" s="147">
        <f>IFERROR(VLOOKUP(B83,Regularizare!$B:$AX,33,FALSE),"-")</f>
        <v>148236</v>
      </c>
      <c r="K83" s="1">
        <f t="shared" si="15"/>
        <v>148236</v>
      </c>
      <c r="L83" s="1">
        <f>IFERROR(VLOOKUP(B83,Regularizare!$B:$AX,37,FALSE),"-")</f>
        <v>148</v>
      </c>
      <c r="M83" s="1">
        <f t="shared" si="16"/>
        <v>148</v>
      </c>
      <c r="N83" s="147">
        <f>VLOOKUP(B83,'Inchidere contur'!$G:$H,2,FALSE)</f>
        <v>179574</v>
      </c>
      <c r="O83" s="1">
        <f t="shared" ref="O83:O118" si="17">IFERROR((I83-H83)*E83,0)</f>
        <v>0</v>
      </c>
      <c r="P83" s="1">
        <f t="shared" si="9"/>
        <v>0</v>
      </c>
      <c r="Q83" s="1">
        <f t="shared" si="10"/>
        <v>0</v>
      </c>
      <c r="R83" s="178">
        <f>IFERROR(VLOOKUP(B83,'Inchidere contur'!$G:$T,11,FALSE),0)</f>
        <v>179574</v>
      </c>
      <c r="S83" s="147">
        <f>IFERROR(VLOOKUP(B83,'Inchidere contur'!$G:$T,12,FALSE),0)</f>
        <v>0</v>
      </c>
      <c r="T83" s="147">
        <f>IFERROR(VLOOKUP(B83,'Inchidere contur'!$G:$T,13,FALSE),0)</f>
        <v>0</v>
      </c>
      <c r="V83" s="76"/>
    </row>
    <row r="84" spans="1:22" ht="17.25" thickTop="1" thickBot="1">
      <c r="A84" s="17">
        <f t="shared" si="11"/>
        <v>133</v>
      </c>
      <c r="B84" s="38" t="s">
        <v>641</v>
      </c>
      <c r="C84" s="17" t="s">
        <v>330</v>
      </c>
      <c r="D84" s="17" t="s">
        <v>945</v>
      </c>
      <c r="E84" s="17">
        <v>1</v>
      </c>
      <c r="F84" s="147">
        <f>IFERROR(VLOOKUP(B84,Regularizare!$B:$AX,27,FALSE),"-")</f>
        <v>1207780</v>
      </c>
      <c r="G84" s="147">
        <f t="shared" si="12"/>
        <v>1297397</v>
      </c>
      <c r="H84" s="1">
        <v>0</v>
      </c>
      <c r="I84" s="1">
        <v>0</v>
      </c>
      <c r="J84" s="147">
        <f>IFERROR(VLOOKUP(B84,Regularizare!$B:$AX,33,FALSE),"-")</f>
        <v>22697</v>
      </c>
      <c r="K84" s="1">
        <f t="shared" si="15"/>
        <v>22697</v>
      </c>
      <c r="L84" s="1">
        <f>IFERROR(VLOOKUP(B84,Regularizare!$B:$AX,37,FALSE),"-")</f>
        <v>244</v>
      </c>
      <c r="M84" s="1">
        <f t="shared" si="16"/>
        <v>244</v>
      </c>
      <c r="N84" s="147">
        <f>VLOOKUP(B84,'Inchidere contur'!$G:$H,2,FALSE)</f>
        <v>89617</v>
      </c>
      <c r="O84" s="1">
        <f t="shared" si="17"/>
        <v>0</v>
      </c>
      <c r="P84" s="1">
        <f t="shared" ref="P84:P118" si="18">P83</f>
        <v>0</v>
      </c>
      <c r="Q84" s="1">
        <f t="shared" ref="Q84:Q118" si="19">Q83</f>
        <v>0</v>
      </c>
      <c r="R84" s="178">
        <f>IFERROR(VLOOKUP(B84,'Inchidere contur'!$G:$T,11,FALSE),0)</f>
        <v>89617</v>
      </c>
      <c r="S84" s="147">
        <f>IFERROR(VLOOKUP(B84,'Inchidere contur'!$G:$T,12,FALSE),0)</f>
        <v>0</v>
      </c>
      <c r="T84" s="147">
        <f>IFERROR(VLOOKUP(B84,'Inchidere contur'!$G:$T,13,FALSE),0)</f>
        <v>0</v>
      </c>
      <c r="V84" s="76"/>
    </row>
    <row r="85" spans="1:22" ht="17.25" thickTop="1" thickBot="1">
      <c r="A85" s="17">
        <f t="shared" si="11"/>
        <v>134</v>
      </c>
      <c r="B85" s="38" t="s">
        <v>642</v>
      </c>
      <c r="C85" s="17" t="s">
        <v>332</v>
      </c>
      <c r="D85" s="17" t="s">
        <v>946</v>
      </c>
      <c r="E85" s="17">
        <v>1</v>
      </c>
      <c r="F85" s="147">
        <f>IFERROR(VLOOKUP(B85,Regularizare!$B:$AX,27,FALSE),"-")</f>
        <v>1207780</v>
      </c>
      <c r="G85" s="147">
        <f t="shared" si="12"/>
        <v>1297397</v>
      </c>
      <c r="H85" s="1">
        <v>0</v>
      </c>
      <c r="I85" s="1">
        <v>0</v>
      </c>
      <c r="J85" s="147">
        <f>IFERROR(VLOOKUP(B85,Regularizare!$B:$AX,33,FALSE),"-")</f>
        <v>22697</v>
      </c>
      <c r="K85" s="1">
        <f t="shared" si="15"/>
        <v>22697</v>
      </c>
      <c r="L85" s="1">
        <f>IFERROR(VLOOKUP(B85,Regularizare!$B:$AX,37,FALSE),"-")</f>
        <v>244</v>
      </c>
      <c r="M85" s="1">
        <f t="shared" si="16"/>
        <v>244</v>
      </c>
      <c r="N85" s="147">
        <f>VLOOKUP(B85,'Inchidere contur'!$G:$H,2,FALSE)</f>
        <v>89617</v>
      </c>
      <c r="O85" s="1">
        <f t="shared" si="17"/>
        <v>0</v>
      </c>
      <c r="P85" s="1">
        <f t="shared" si="18"/>
        <v>0</v>
      </c>
      <c r="Q85" s="1">
        <f t="shared" si="19"/>
        <v>0</v>
      </c>
      <c r="R85" s="178">
        <f>IFERROR(VLOOKUP(B85,'Inchidere contur'!$G:$T,11,FALSE),0)</f>
        <v>89617</v>
      </c>
      <c r="S85" s="147">
        <f>IFERROR(VLOOKUP(B85,'Inchidere contur'!$G:$T,12,FALSE),0)</f>
        <v>0</v>
      </c>
      <c r="T85" s="147">
        <f>IFERROR(VLOOKUP(B85,'Inchidere contur'!$G:$T,13,FALSE),0)</f>
        <v>0</v>
      </c>
      <c r="V85" s="76"/>
    </row>
    <row r="86" spans="1:22" ht="17.25" thickTop="1" thickBot="1">
      <c r="A86" s="17">
        <f t="shared" si="11"/>
        <v>135</v>
      </c>
      <c r="B86" s="38" t="s">
        <v>643</v>
      </c>
      <c r="C86" s="17" t="s">
        <v>334</v>
      </c>
      <c r="D86" s="17" t="s">
        <v>947</v>
      </c>
      <c r="E86" s="17">
        <v>1</v>
      </c>
      <c r="F86" s="147">
        <f>IFERROR(VLOOKUP(B86,Regularizare!$B:$AX,27,FALSE),"-")</f>
        <v>1207780</v>
      </c>
      <c r="G86" s="147">
        <f t="shared" si="12"/>
        <v>1297397</v>
      </c>
      <c r="H86" s="1">
        <v>0</v>
      </c>
      <c r="I86" s="1">
        <v>0</v>
      </c>
      <c r="J86" s="147">
        <f>IFERROR(VLOOKUP(B86,Regularizare!$B:$AX,33,FALSE),"-")</f>
        <v>22697</v>
      </c>
      <c r="K86" s="1">
        <f t="shared" si="15"/>
        <v>22697</v>
      </c>
      <c r="L86" s="1">
        <f>IFERROR(VLOOKUP(B86,Regularizare!$B:$AX,37,FALSE),"-")</f>
        <v>244</v>
      </c>
      <c r="M86" s="1">
        <f t="shared" si="16"/>
        <v>244</v>
      </c>
      <c r="N86" s="147">
        <f>VLOOKUP(B86,'Inchidere contur'!$G:$H,2,FALSE)</f>
        <v>89617</v>
      </c>
      <c r="O86" s="1">
        <f t="shared" si="17"/>
        <v>0</v>
      </c>
      <c r="P86" s="1">
        <f t="shared" si="18"/>
        <v>0</v>
      </c>
      <c r="Q86" s="1">
        <f t="shared" si="19"/>
        <v>0</v>
      </c>
      <c r="R86" s="178">
        <f>IFERROR(VLOOKUP(B86,'Inchidere contur'!$G:$T,11,FALSE),0)</f>
        <v>89617</v>
      </c>
      <c r="S86" s="147">
        <f>IFERROR(VLOOKUP(B86,'Inchidere contur'!$G:$T,12,FALSE),0)</f>
        <v>0</v>
      </c>
      <c r="T86" s="147">
        <f>IFERROR(VLOOKUP(B86,'Inchidere contur'!$G:$T,13,FALSE),0)</f>
        <v>0</v>
      </c>
      <c r="V86" s="76"/>
    </row>
    <row r="87" spans="1:22" ht="17.25" thickTop="1" thickBot="1">
      <c r="A87" s="17">
        <f t="shared" si="11"/>
        <v>136</v>
      </c>
      <c r="B87" s="38" t="s">
        <v>644</v>
      </c>
      <c r="C87" s="17" t="s">
        <v>336</v>
      </c>
      <c r="D87" s="17" t="s">
        <v>948</v>
      </c>
      <c r="E87" s="17">
        <v>1</v>
      </c>
      <c r="F87" s="147">
        <f>IFERROR(VLOOKUP(B87,Regularizare!$B:$AX,27,FALSE),"-")</f>
        <v>1558118</v>
      </c>
      <c r="G87" s="147">
        <f t="shared" si="12"/>
        <v>1641030</v>
      </c>
      <c r="H87" s="1">
        <v>0</v>
      </c>
      <c r="I87" s="1">
        <v>0</v>
      </c>
      <c r="J87" s="147">
        <f>IFERROR(VLOOKUP(B87,Regularizare!$B:$AX,33,FALSE),"-")</f>
        <v>22745</v>
      </c>
      <c r="K87" s="1">
        <f t="shared" si="15"/>
        <v>22745</v>
      </c>
      <c r="L87" s="1">
        <f>IFERROR(VLOOKUP(B87,Regularizare!$B:$AX,37,FALSE),"-")</f>
        <v>292</v>
      </c>
      <c r="M87" s="1">
        <f t="shared" si="16"/>
        <v>292</v>
      </c>
      <c r="N87" s="147">
        <f>VLOOKUP(B87,'Inchidere contur'!$G:$H,2,FALSE)</f>
        <v>82912</v>
      </c>
      <c r="O87" s="1">
        <f t="shared" si="17"/>
        <v>0</v>
      </c>
      <c r="P87" s="1">
        <f t="shared" si="18"/>
        <v>0</v>
      </c>
      <c r="Q87" s="1">
        <f t="shared" si="19"/>
        <v>0</v>
      </c>
      <c r="R87" s="178">
        <f>IFERROR(VLOOKUP(B87,'Inchidere contur'!$G:$T,11,FALSE),0)</f>
        <v>82912</v>
      </c>
      <c r="S87" s="147">
        <f>IFERROR(VLOOKUP(B87,'Inchidere contur'!$G:$T,12,FALSE),0)</f>
        <v>0</v>
      </c>
      <c r="T87" s="147">
        <f>IFERROR(VLOOKUP(B87,'Inchidere contur'!$G:$T,13,FALSE),0)</f>
        <v>0</v>
      </c>
      <c r="V87" s="76"/>
    </row>
    <row r="88" spans="1:22" ht="17.25" thickTop="1" thickBot="1">
      <c r="A88" s="17">
        <f t="shared" si="11"/>
        <v>137</v>
      </c>
      <c r="B88" s="38" t="s">
        <v>645</v>
      </c>
      <c r="C88" s="17" t="s">
        <v>340</v>
      </c>
      <c r="D88" s="17">
        <v>1372642632</v>
      </c>
      <c r="E88" s="17">
        <v>1</v>
      </c>
      <c r="F88" s="147">
        <f>IFERROR(VLOOKUP(B88,Regularizare!$B:$AX,27,FALSE),"-")</f>
        <v>2066026</v>
      </c>
      <c r="G88" s="147">
        <f t="shared" si="12"/>
        <v>2138161</v>
      </c>
      <c r="H88" s="1">
        <v>0</v>
      </c>
      <c r="I88" s="1">
        <v>0</v>
      </c>
      <c r="J88" s="147">
        <f>IFERROR(VLOOKUP(B88,Regularizare!$B:$AX,33,FALSE),"-")</f>
        <v>168876</v>
      </c>
      <c r="K88" s="1">
        <f t="shared" si="15"/>
        <v>168876</v>
      </c>
      <c r="L88" s="1">
        <f>IFERROR(VLOOKUP(B88,Regularizare!$B:$AX,37,FALSE),"-")</f>
        <v>46153</v>
      </c>
      <c r="M88" s="1">
        <f t="shared" si="16"/>
        <v>46153</v>
      </c>
      <c r="N88" s="147">
        <f>VLOOKUP(B88,'Inchidere contur'!$G:$H,2,FALSE)</f>
        <v>72135</v>
      </c>
      <c r="O88" s="1">
        <f t="shared" si="17"/>
        <v>0</v>
      </c>
      <c r="P88" s="1">
        <f t="shared" si="18"/>
        <v>0</v>
      </c>
      <c r="Q88" s="1">
        <f t="shared" si="19"/>
        <v>0</v>
      </c>
      <c r="R88" s="178">
        <f>IFERROR(VLOOKUP(B88,'Inchidere contur'!$G:$T,11,FALSE),0)</f>
        <v>72135</v>
      </c>
      <c r="S88" s="147">
        <f>IFERROR(VLOOKUP(B88,'Inchidere contur'!$G:$T,12,FALSE),0)</f>
        <v>83063</v>
      </c>
      <c r="T88" s="147">
        <f>IFERROR(VLOOKUP(B88,'Inchidere contur'!$G:$T,13,FALSE),0)</f>
        <v>0</v>
      </c>
      <c r="V88" s="76"/>
    </row>
    <row r="89" spans="1:22" ht="17.25" thickTop="1" thickBot="1">
      <c r="A89" s="17">
        <f t="shared" si="11"/>
        <v>138</v>
      </c>
      <c r="B89" s="38" t="s">
        <v>646</v>
      </c>
      <c r="C89" s="17" t="s">
        <v>344</v>
      </c>
      <c r="D89" s="17">
        <v>1372641256</v>
      </c>
      <c r="E89" s="17">
        <v>1</v>
      </c>
      <c r="F89" s="147">
        <f>IFERROR(VLOOKUP(B89,Regularizare!$B:$AX,27,FALSE),"-")</f>
        <v>2417385</v>
      </c>
      <c r="G89" s="147">
        <f t="shared" si="12"/>
        <v>2512325</v>
      </c>
      <c r="H89" s="1">
        <v>0</v>
      </c>
      <c r="I89" s="1">
        <v>0</v>
      </c>
      <c r="J89" s="147">
        <f>IFERROR(VLOOKUP(B89,Regularizare!$B:$AX,33,FALSE),"-")</f>
        <v>79328</v>
      </c>
      <c r="K89" s="1">
        <f t="shared" si="15"/>
        <v>79328</v>
      </c>
      <c r="L89" s="1">
        <f>IFERROR(VLOOKUP(B89,Regularizare!$B:$AX,37,FALSE),"-")</f>
        <v>39632</v>
      </c>
      <c r="M89" s="1">
        <f t="shared" si="16"/>
        <v>39632</v>
      </c>
      <c r="N89" s="147">
        <f>VLOOKUP(B89,'Inchidere contur'!$G:$H,2,FALSE)</f>
        <v>94940</v>
      </c>
      <c r="O89" s="1">
        <f t="shared" si="17"/>
        <v>0</v>
      </c>
      <c r="P89" s="1">
        <f t="shared" si="18"/>
        <v>0</v>
      </c>
      <c r="Q89" s="1">
        <f t="shared" si="19"/>
        <v>0</v>
      </c>
      <c r="R89" s="178">
        <f>IFERROR(VLOOKUP(B89,'Inchidere contur'!$G:$T,11,FALSE),0)</f>
        <v>94940</v>
      </c>
      <c r="S89" s="147">
        <f>IFERROR(VLOOKUP(B89,'Inchidere contur'!$G:$T,12,FALSE),0)</f>
        <v>74598</v>
      </c>
      <c r="T89" s="147">
        <f>IFERROR(VLOOKUP(B89,'Inchidere contur'!$G:$T,13,FALSE),0)</f>
        <v>0</v>
      </c>
      <c r="V89" s="76"/>
    </row>
    <row r="90" spans="1:22" ht="17.25" thickTop="1" thickBot="1">
      <c r="A90" s="17">
        <f t="shared" si="11"/>
        <v>139</v>
      </c>
      <c r="B90" s="38" t="s">
        <v>647</v>
      </c>
      <c r="C90" s="17" t="s">
        <v>348</v>
      </c>
      <c r="D90" s="17" t="s">
        <v>949</v>
      </c>
      <c r="E90" s="17">
        <v>1</v>
      </c>
      <c r="F90" s="147">
        <f>IFERROR(VLOOKUP(B90,Regularizare!$B:$AX,27,FALSE),"-")</f>
        <v>3934551</v>
      </c>
      <c r="G90" s="147">
        <f t="shared" si="12"/>
        <v>4200185</v>
      </c>
      <c r="H90" s="1">
        <v>0</v>
      </c>
      <c r="I90" s="1">
        <v>0</v>
      </c>
      <c r="J90" s="147">
        <f>IFERROR(VLOOKUP(B90,Regularizare!$B:$AX,33,FALSE),"-")</f>
        <v>5456</v>
      </c>
      <c r="K90" s="1">
        <f t="shared" si="15"/>
        <v>5456</v>
      </c>
      <c r="L90" s="1">
        <f>IFERROR(VLOOKUP(B90,Regularizare!$B:$AX,37,FALSE),"-")</f>
        <v>121895</v>
      </c>
      <c r="M90" s="1">
        <f t="shared" si="16"/>
        <v>121895</v>
      </c>
      <c r="N90" s="147">
        <f>VLOOKUP(B90,'Inchidere contur'!$G:$H,2,FALSE)</f>
        <v>265634</v>
      </c>
      <c r="O90" s="1">
        <f t="shared" si="17"/>
        <v>0</v>
      </c>
      <c r="P90" s="1">
        <f t="shared" si="18"/>
        <v>0</v>
      </c>
      <c r="Q90" s="1">
        <f t="shared" si="19"/>
        <v>0</v>
      </c>
      <c r="R90" s="178">
        <f>IFERROR(VLOOKUP(B90,'Inchidere contur'!$G:$T,11,FALSE),0)</f>
        <v>265634</v>
      </c>
      <c r="S90" s="147">
        <f>IFERROR(VLOOKUP(B90,'Inchidere contur'!$G:$T,12,FALSE),0)</f>
        <v>0</v>
      </c>
      <c r="T90" s="147">
        <f>IFERROR(VLOOKUP(B90,'Inchidere contur'!$G:$T,13,FALSE),0)</f>
        <v>0</v>
      </c>
      <c r="V90" s="76"/>
    </row>
    <row r="91" spans="1:22" ht="17.25" thickTop="1" thickBot="1">
      <c r="A91" s="17">
        <f t="shared" si="11"/>
        <v>140</v>
      </c>
      <c r="B91" s="38" t="s">
        <v>648</v>
      </c>
      <c r="C91" s="17" t="s">
        <v>352</v>
      </c>
      <c r="D91" s="17">
        <v>1373707619</v>
      </c>
      <c r="E91" s="17">
        <v>1</v>
      </c>
      <c r="F91" s="147">
        <f>IFERROR(VLOOKUP(B91,Regularizare!$B:$AX,27,FALSE),"-")</f>
        <v>4457076</v>
      </c>
      <c r="G91" s="147">
        <f t="shared" si="12"/>
        <v>4764791</v>
      </c>
      <c r="H91" s="1">
        <v>0</v>
      </c>
      <c r="I91" s="1">
        <v>0</v>
      </c>
      <c r="J91" s="147">
        <f>IFERROR(VLOOKUP(B91,Regularizare!$B:$AX,33,FALSE),"-")</f>
        <v>400639</v>
      </c>
      <c r="K91" s="1">
        <f>J91</f>
        <v>400639</v>
      </c>
      <c r="L91" s="1">
        <f>IFERROR(VLOOKUP(B91,Regularizare!$B:$AX,37,FALSE),"-")</f>
        <v>508</v>
      </c>
      <c r="M91" s="1">
        <f>L91</f>
        <v>508</v>
      </c>
      <c r="N91" s="147">
        <f>VLOOKUP(B91,'Inchidere contur'!$G:$H,2,FALSE)</f>
        <v>307715</v>
      </c>
      <c r="O91" s="1">
        <f t="shared" si="17"/>
        <v>0</v>
      </c>
      <c r="P91" s="1">
        <f t="shared" si="18"/>
        <v>0</v>
      </c>
      <c r="Q91" s="1">
        <f t="shared" si="19"/>
        <v>0</v>
      </c>
      <c r="R91" s="178">
        <f>IFERROR(VLOOKUP(B91,'Inchidere contur'!$G:$T,11,FALSE),0)</f>
        <v>307715</v>
      </c>
      <c r="S91" s="147">
        <f>IFERROR(VLOOKUP(B91,'Inchidere contur'!$G:$T,12,FALSE),0)</f>
        <v>29034</v>
      </c>
      <c r="T91" s="147">
        <f>IFERROR(VLOOKUP(B91,'Inchidere contur'!$G:$T,13,FALSE),0)</f>
        <v>26203</v>
      </c>
      <c r="V91" s="76"/>
    </row>
    <row r="92" spans="1:22" ht="17.25" thickTop="1" thickBot="1">
      <c r="A92" s="17">
        <f t="shared" si="11"/>
        <v>141</v>
      </c>
      <c r="B92" s="38" t="s">
        <v>1180</v>
      </c>
      <c r="C92" s="17" t="s">
        <v>353</v>
      </c>
      <c r="D92" s="17">
        <v>1373706854</v>
      </c>
      <c r="E92" s="17">
        <v>1</v>
      </c>
      <c r="F92" s="147">
        <f>IFERROR(VLOOKUP(B92,Regularizare!$B:$AX,27,FALSE),"-")</f>
        <v>1545884</v>
      </c>
      <c r="G92" s="147">
        <f t="shared" si="12"/>
        <v>1617197</v>
      </c>
      <c r="H92" s="1">
        <v>0</v>
      </c>
      <c r="I92" s="1">
        <v>0</v>
      </c>
      <c r="J92" s="147">
        <f>IFERROR(VLOOKUP(B92,Regularizare!$B:$AX,33,FALSE),"-")</f>
        <v>349116</v>
      </c>
      <c r="K92" s="1">
        <f t="shared" ref="K92:K118" si="20">J92</f>
        <v>349116</v>
      </c>
      <c r="L92" s="1">
        <f>IFERROR(VLOOKUP(B92,Regularizare!$B:$AX,37,FALSE),"-")</f>
        <v>36</v>
      </c>
      <c r="M92" s="1">
        <f t="shared" ref="M92:M118" si="21">L92</f>
        <v>36</v>
      </c>
      <c r="N92" s="147">
        <f>VLOOKUP(B92,'Inchidere contur'!$G:$H,2,FALSE)</f>
        <v>71313</v>
      </c>
      <c r="O92" s="1">
        <f t="shared" si="17"/>
        <v>0</v>
      </c>
      <c r="P92" s="1">
        <f>P91</f>
        <v>0</v>
      </c>
      <c r="Q92" s="1">
        <f>Q91</f>
        <v>0</v>
      </c>
      <c r="R92" s="178">
        <f>IFERROR(VLOOKUP(B92,'Inchidere contur'!$G:$T,11,FALSE),0)</f>
        <v>71313</v>
      </c>
      <c r="S92" s="147">
        <f>IFERROR(VLOOKUP(B92,'Inchidere contur'!$G:$T,12,FALSE),0)</f>
        <v>40274</v>
      </c>
      <c r="T92" s="147">
        <f>IFERROR(VLOOKUP(B92,'Inchidere contur'!$G:$T,13,FALSE),0)</f>
        <v>23</v>
      </c>
      <c r="V92" s="76"/>
    </row>
    <row r="93" spans="1:22" ht="17.25" thickTop="1" thickBot="1">
      <c r="A93" s="17">
        <f t="shared" si="11"/>
        <v>142</v>
      </c>
      <c r="B93" s="38" t="s">
        <v>649</v>
      </c>
      <c r="C93" s="17" t="s">
        <v>357</v>
      </c>
      <c r="D93" s="17" t="s">
        <v>950</v>
      </c>
      <c r="E93" s="17"/>
      <c r="F93" s="147">
        <f>IFERROR(VLOOKUP(B93,Regularizare!$B:$AX,27,FALSE),"-")</f>
        <v>441354</v>
      </c>
      <c r="G93" s="147">
        <f t="shared" si="12"/>
        <v>463752</v>
      </c>
      <c r="H93" s="1">
        <v>0</v>
      </c>
      <c r="I93" s="1">
        <v>0</v>
      </c>
      <c r="J93" s="147">
        <f>IFERROR(VLOOKUP(B93,Regularizare!$B:$AX,33,FALSE),"-")</f>
        <v>57591</v>
      </c>
      <c r="K93" s="1">
        <f>J93</f>
        <v>57591</v>
      </c>
      <c r="L93" s="1">
        <f>IFERROR(VLOOKUP(B93,Regularizare!$B:$AX,37,FALSE),"-")</f>
        <v>6347</v>
      </c>
      <c r="M93" s="1">
        <f>L93</f>
        <v>6347</v>
      </c>
      <c r="N93" s="147">
        <f>VLOOKUP(B93,'Inchidere contur'!$G:$H,2,FALSE)</f>
        <v>22398</v>
      </c>
      <c r="O93" s="1">
        <f>IFERROR((I93-H93)*E93,0)</f>
        <v>0</v>
      </c>
      <c r="P93" s="1">
        <f>P92</f>
        <v>0</v>
      </c>
      <c r="Q93" s="1">
        <f>Q92</f>
        <v>0</v>
      </c>
      <c r="R93" s="178">
        <f>IFERROR(VLOOKUP(B93,'Inchidere contur'!$G:$T,11,FALSE),0)</f>
        <v>22398</v>
      </c>
      <c r="S93" s="147">
        <f>IFERROR(VLOOKUP(B93,'Inchidere contur'!$G:$T,12,FALSE),0)</f>
        <v>0</v>
      </c>
      <c r="T93" s="147">
        <f>IFERROR(VLOOKUP(B93,'Inchidere contur'!$G:$T,13,FALSE),0)</f>
        <v>0</v>
      </c>
      <c r="V93" s="76"/>
    </row>
    <row r="94" spans="1:22" ht="17.25" thickTop="1" thickBot="1">
      <c r="A94" s="17">
        <f t="shared" si="11"/>
        <v>143</v>
      </c>
      <c r="B94" s="38" t="s">
        <v>650</v>
      </c>
      <c r="C94" s="17" t="s">
        <v>361</v>
      </c>
      <c r="D94" s="17" t="s">
        <v>951</v>
      </c>
      <c r="E94" s="17">
        <v>1</v>
      </c>
      <c r="F94" s="147">
        <f>IFERROR(VLOOKUP(B94,Regularizare!$B:$AX,27,FALSE),"-")</f>
        <v>1461579</v>
      </c>
      <c r="G94" s="147">
        <f t="shared" si="12"/>
        <v>1526809</v>
      </c>
      <c r="H94" s="1">
        <v>0</v>
      </c>
      <c r="I94" s="1">
        <v>0</v>
      </c>
      <c r="J94" s="147">
        <f>IFERROR(VLOOKUP(B94,Regularizare!$B:$AX,33,FALSE),"-")</f>
        <v>88393</v>
      </c>
      <c r="K94" s="1">
        <f t="shared" si="20"/>
        <v>88393</v>
      </c>
      <c r="L94" s="1">
        <f>IFERROR(VLOOKUP(B94,Regularizare!$B:$AX,37,FALSE),"-")</f>
        <v>857</v>
      </c>
      <c r="M94" s="1">
        <f t="shared" si="21"/>
        <v>857</v>
      </c>
      <c r="N94" s="147">
        <f>VLOOKUP(B94,'Inchidere contur'!$G:$H,2,FALSE)</f>
        <v>65230</v>
      </c>
      <c r="O94" s="1">
        <f t="shared" si="17"/>
        <v>0</v>
      </c>
      <c r="P94" s="1">
        <f>P92</f>
        <v>0</v>
      </c>
      <c r="Q94" s="1">
        <f>Q92</f>
        <v>0</v>
      </c>
      <c r="R94" s="178">
        <f>IFERROR(VLOOKUP(B94,'Inchidere contur'!$G:$T,11,FALSE),0)</f>
        <v>65230</v>
      </c>
      <c r="S94" s="147">
        <f>IFERROR(VLOOKUP(B94,'Inchidere contur'!$G:$T,12,FALSE),0)</f>
        <v>0</v>
      </c>
      <c r="T94" s="147">
        <f>IFERROR(VLOOKUP(B94,'Inchidere contur'!$G:$T,13,FALSE),0)</f>
        <v>0</v>
      </c>
      <c r="V94" s="76"/>
    </row>
    <row r="95" spans="1:22" ht="17.25" thickTop="1" thickBot="1">
      <c r="A95" s="17">
        <f t="shared" si="11"/>
        <v>144</v>
      </c>
      <c r="B95" s="38" t="s">
        <v>651</v>
      </c>
      <c r="C95" s="17" t="s">
        <v>363</v>
      </c>
      <c r="D95" s="17" t="s">
        <v>952</v>
      </c>
      <c r="E95" s="17">
        <v>1</v>
      </c>
      <c r="F95" s="147">
        <f>IFERROR(VLOOKUP(B95,Regularizare!$B:$AX,27,FALSE),"-")</f>
        <v>1546225</v>
      </c>
      <c r="G95" s="147">
        <f t="shared" si="12"/>
        <v>1608532</v>
      </c>
      <c r="H95" s="1">
        <v>0</v>
      </c>
      <c r="I95" s="1">
        <v>0</v>
      </c>
      <c r="J95" s="147">
        <f>IFERROR(VLOOKUP(B95,Regularizare!$B:$AX,33,FALSE),"-")</f>
        <v>88441</v>
      </c>
      <c r="K95" s="1">
        <f t="shared" si="20"/>
        <v>88441</v>
      </c>
      <c r="L95" s="1">
        <f>IFERROR(VLOOKUP(B95,Regularizare!$B:$AX,37,FALSE),"-")</f>
        <v>905</v>
      </c>
      <c r="M95" s="1">
        <f t="shared" si="21"/>
        <v>905</v>
      </c>
      <c r="N95" s="147">
        <f>VLOOKUP(B95,'Inchidere contur'!$G:$H,2,FALSE)</f>
        <v>62307</v>
      </c>
      <c r="O95" s="1">
        <f t="shared" si="17"/>
        <v>0</v>
      </c>
      <c r="P95" s="1">
        <f t="shared" si="18"/>
        <v>0</v>
      </c>
      <c r="Q95" s="1">
        <f t="shared" si="19"/>
        <v>0</v>
      </c>
      <c r="R95" s="178">
        <f>IFERROR(VLOOKUP(B95,'Inchidere contur'!$G:$T,11,FALSE),0)</f>
        <v>62307</v>
      </c>
      <c r="S95" s="147">
        <f>IFERROR(VLOOKUP(B95,'Inchidere contur'!$G:$T,12,FALSE),0)</f>
        <v>0</v>
      </c>
      <c r="T95" s="147">
        <f>IFERROR(VLOOKUP(B95,'Inchidere contur'!$G:$T,13,FALSE),0)</f>
        <v>0</v>
      </c>
      <c r="V95" s="76"/>
    </row>
    <row r="96" spans="1:22" ht="17.25" thickTop="1" thickBot="1">
      <c r="A96" s="17">
        <f t="shared" si="11"/>
        <v>145</v>
      </c>
      <c r="B96" s="38" t="s">
        <v>652</v>
      </c>
      <c r="C96" s="17" t="s">
        <v>367</v>
      </c>
      <c r="D96" s="17">
        <v>1372643267</v>
      </c>
      <c r="E96" s="17">
        <v>1</v>
      </c>
      <c r="F96" s="147">
        <f>IFERROR(VLOOKUP(B96,Regularizare!$B:$AX,27,FALSE),"-")</f>
        <v>2777818</v>
      </c>
      <c r="G96" s="147">
        <f t="shared" si="12"/>
        <v>2914770</v>
      </c>
      <c r="H96" s="1">
        <v>0</v>
      </c>
      <c r="I96" s="1">
        <v>0</v>
      </c>
      <c r="J96" s="147">
        <f>IFERROR(VLOOKUP(B96,Regularizare!$B:$AX,33,FALSE),"-")</f>
        <v>171022</v>
      </c>
      <c r="K96" s="1">
        <f t="shared" si="20"/>
        <v>171022</v>
      </c>
      <c r="L96" s="1">
        <f>IFERROR(VLOOKUP(B96,Regularizare!$B:$AX,37,FALSE),"-")</f>
        <v>8685</v>
      </c>
      <c r="M96" s="1">
        <f t="shared" si="21"/>
        <v>8685</v>
      </c>
      <c r="N96" s="147">
        <f>VLOOKUP(B96,'Inchidere contur'!$G:$H,2,FALSE)</f>
        <v>136952</v>
      </c>
      <c r="O96" s="1">
        <f t="shared" si="17"/>
        <v>0</v>
      </c>
      <c r="P96" s="1">
        <f t="shared" si="18"/>
        <v>0</v>
      </c>
      <c r="Q96" s="1">
        <f t="shared" si="19"/>
        <v>0</v>
      </c>
      <c r="R96" s="178">
        <f>IFERROR(VLOOKUP(B96,'Inchidere contur'!$G:$T,11,FALSE),0)</f>
        <v>136952</v>
      </c>
      <c r="S96" s="147">
        <f>IFERROR(VLOOKUP(B96,'Inchidere contur'!$G:$T,12,FALSE),0)</f>
        <v>93169</v>
      </c>
      <c r="T96" s="147">
        <f>IFERROR(VLOOKUP(B96,'Inchidere contur'!$G:$T,13,FALSE),0)</f>
        <v>0</v>
      </c>
      <c r="V96" s="76"/>
    </row>
    <row r="97" spans="1:22" ht="17.25" thickTop="1" thickBot="1">
      <c r="A97" s="17">
        <f t="shared" si="11"/>
        <v>146</v>
      </c>
      <c r="B97" s="38" t="s">
        <v>653</v>
      </c>
      <c r="C97" s="17" t="s">
        <v>369</v>
      </c>
      <c r="D97" s="17">
        <v>1372640777</v>
      </c>
      <c r="E97" s="17">
        <v>1</v>
      </c>
      <c r="F97" s="147">
        <f>IFERROR(VLOOKUP(B97,Regularizare!$B:$AX,27,FALSE),"-")</f>
        <v>2284460</v>
      </c>
      <c r="G97" s="147">
        <f t="shared" si="12"/>
        <v>2403017</v>
      </c>
      <c r="H97" s="1">
        <v>0</v>
      </c>
      <c r="I97" s="1">
        <v>0</v>
      </c>
      <c r="J97" s="147">
        <f>IFERROR(VLOOKUP(B97,Regularizare!$B:$AX,33,FALSE),"-")</f>
        <v>156465</v>
      </c>
      <c r="K97" s="1">
        <f t="shared" si="20"/>
        <v>156465</v>
      </c>
      <c r="L97" s="1">
        <f>IFERROR(VLOOKUP(B97,Regularizare!$B:$AX,37,FALSE),"-")</f>
        <v>25305</v>
      </c>
      <c r="M97" s="1">
        <f t="shared" si="21"/>
        <v>25305</v>
      </c>
      <c r="N97" s="147">
        <f>VLOOKUP(B97,'Inchidere contur'!$G:$H,2,FALSE)</f>
        <v>118557</v>
      </c>
      <c r="O97" s="1">
        <f t="shared" si="17"/>
        <v>0</v>
      </c>
      <c r="P97" s="1">
        <f t="shared" si="18"/>
        <v>0</v>
      </c>
      <c r="Q97" s="1">
        <f t="shared" si="19"/>
        <v>0</v>
      </c>
      <c r="R97" s="178">
        <f>IFERROR(VLOOKUP(B97,'Inchidere contur'!$G:$T,11,FALSE),0)</f>
        <v>118557</v>
      </c>
      <c r="S97" s="147">
        <f>IFERROR(VLOOKUP(B97,'Inchidere contur'!$G:$T,12,FALSE),0)</f>
        <v>94866</v>
      </c>
      <c r="T97" s="147">
        <f>IFERROR(VLOOKUP(B97,'Inchidere contur'!$G:$T,13,FALSE),0)</f>
        <v>0</v>
      </c>
      <c r="V97" s="76"/>
    </row>
    <row r="98" spans="1:22" ht="17.25" thickTop="1" thickBot="1">
      <c r="A98" s="17">
        <f t="shared" si="11"/>
        <v>147</v>
      </c>
      <c r="B98" s="38" t="s">
        <v>654</v>
      </c>
      <c r="C98" s="17" t="s">
        <v>373</v>
      </c>
      <c r="D98" s="17" t="s">
        <v>953</v>
      </c>
      <c r="E98" s="17">
        <v>1</v>
      </c>
      <c r="F98" s="147">
        <f>IFERROR(VLOOKUP(B98,Regularizare!$B:$AX,27,FALSE),"-")</f>
        <v>304999</v>
      </c>
      <c r="G98" s="147">
        <f t="shared" si="12"/>
        <v>324076</v>
      </c>
      <c r="H98" s="1">
        <v>0</v>
      </c>
      <c r="I98" s="1">
        <v>0</v>
      </c>
      <c r="J98" s="147">
        <f>IFERROR(VLOOKUP(B98,Regularizare!$B:$AX,33,FALSE),"-")</f>
        <v>35114</v>
      </c>
      <c r="K98" s="1">
        <f t="shared" si="20"/>
        <v>35114</v>
      </c>
      <c r="L98" s="1">
        <f>IFERROR(VLOOKUP(B98,Regularizare!$B:$AX,37,FALSE),"-")</f>
        <v>4471</v>
      </c>
      <c r="M98" s="1">
        <f t="shared" si="21"/>
        <v>4471</v>
      </c>
      <c r="N98" s="147">
        <f>VLOOKUP(B98,'Inchidere contur'!$G:$H,2,FALSE)</f>
        <v>19077</v>
      </c>
      <c r="O98" s="1">
        <f t="shared" si="17"/>
        <v>0</v>
      </c>
      <c r="P98" s="1">
        <f t="shared" si="18"/>
        <v>0</v>
      </c>
      <c r="Q98" s="1">
        <f t="shared" si="19"/>
        <v>0</v>
      </c>
      <c r="R98" s="178">
        <f>IFERROR(VLOOKUP(B98,'Inchidere contur'!$G:$T,11,FALSE),0)</f>
        <v>19077</v>
      </c>
      <c r="S98" s="147">
        <f>IFERROR(VLOOKUP(B98,'Inchidere contur'!$G:$T,12,FALSE),0)</f>
        <v>0</v>
      </c>
      <c r="T98" s="147">
        <f>IFERROR(VLOOKUP(B98,'Inchidere contur'!$G:$T,13,FALSE),0)</f>
        <v>0</v>
      </c>
      <c r="V98" s="76"/>
    </row>
    <row r="99" spans="1:22" ht="17.25" thickTop="1" thickBot="1">
      <c r="A99" s="17">
        <f t="shared" si="11"/>
        <v>148</v>
      </c>
      <c r="B99" s="38" t="s">
        <v>655</v>
      </c>
      <c r="C99" s="17" t="s">
        <v>377</v>
      </c>
      <c r="D99" s="17" t="s">
        <v>954</v>
      </c>
      <c r="E99" s="17">
        <v>1</v>
      </c>
      <c r="F99" s="147">
        <f>IFERROR(VLOOKUP(B99,Regularizare!$B:$AX,27,FALSE),"-")</f>
        <v>573809</v>
      </c>
      <c r="G99" s="147">
        <f t="shared" si="12"/>
        <v>608835</v>
      </c>
      <c r="H99" s="1">
        <v>0</v>
      </c>
      <c r="I99" s="1">
        <v>0</v>
      </c>
      <c r="J99" s="147">
        <f>IFERROR(VLOOKUP(B99,Regularizare!$B:$AX,33,FALSE),"-")</f>
        <v>46631</v>
      </c>
      <c r="K99" s="1">
        <f t="shared" si="20"/>
        <v>46631</v>
      </c>
      <c r="L99" s="1">
        <f>IFERROR(VLOOKUP(B99,Regularizare!$B:$AX,37,FALSE),"-")</f>
        <v>4646</v>
      </c>
      <c r="M99" s="1">
        <f t="shared" si="21"/>
        <v>4646</v>
      </c>
      <c r="N99" s="147">
        <f>VLOOKUP(B99,'Inchidere contur'!$G:$H,2,FALSE)</f>
        <v>35026</v>
      </c>
      <c r="O99" s="1">
        <f t="shared" si="17"/>
        <v>0</v>
      </c>
      <c r="P99" s="1">
        <f t="shared" si="18"/>
        <v>0</v>
      </c>
      <c r="Q99" s="1">
        <f t="shared" si="19"/>
        <v>0</v>
      </c>
      <c r="R99" s="178">
        <f>IFERROR(VLOOKUP(B99,'Inchidere contur'!$G:$T,11,FALSE),0)</f>
        <v>35026</v>
      </c>
      <c r="S99" s="147">
        <f>IFERROR(VLOOKUP(B99,'Inchidere contur'!$G:$T,12,FALSE),0)</f>
        <v>0</v>
      </c>
      <c r="T99" s="147">
        <f>IFERROR(VLOOKUP(B99,'Inchidere contur'!$G:$T,13,FALSE),0)</f>
        <v>0</v>
      </c>
      <c r="V99" s="76"/>
    </row>
    <row r="100" spans="1:22" ht="17.25" thickTop="1" thickBot="1">
      <c r="A100" s="17">
        <f t="shared" si="11"/>
        <v>149</v>
      </c>
      <c r="B100" s="38" t="s">
        <v>656</v>
      </c>
      <c r="C100" s="17" t="s">
        <v>381</v>
      </c>
      <c r="D100" s="17">
        <v>1372628250</v>
      </c>
      <c r="E100" s="17">
        <v>1</v>
      </c>
      <c r="F100" s="147">
        <f>IFERROR(VLOOKUP(B100,Regularizare!$B:$AX,27,FALSE),"-")</f>
        <v>963363</v>
      </c>
      <c r="G100" s="147">
        <f t="shared" si="12"/>
        <v>1010477</v>
      </c>
      <c r="H100" s="1">
        <v>0</v>
      </c>
      <c r="I100" s="1">
        <v>0</v>
      </c>
      <c r="J100" s="147">
        <f>IFERROR(VLOOKUP(B100,Regularizare!$B:$AX,33,FALSE),"-")</f>
        <v>17456</v>
      </c>
      <c r="K100" s="1">
        <f t="shared" si="20"/>
        <v>17456</v>
      </c>
      <c r="L100" s="1">
        <f>IFERROR(VLOOKUP(B100,Regularizare!$B:$AX,37,FALSE),"-")</f>
        <v>47914</v>
      </c>
      <c r="M100" s="1">
        <f t="shared" si="21"/>
        <v>47914</v>
      </c>
      <c r="N100" s="147">
        <f>VLOOKUP(B100,'Inchidere contur'!$G:$H,2,FALSE)</f>
        <v>47114</v>
      </c>
      <c r="O100" s="1">
        <f t="shared" si="17"/>
        <v>0</v>
      </c>
      <c r="P100" s="1">
        <f t="shared" si="18"/>
        <v>0</v>
      </c>
      <c r="Q100" s="1">
        <f t="shared" si="19"/>
        <v>0</v>
      </c>
      <c r="R100" s="178">
        <f>IFERROR(VLOOKUP(B100,'Inchidere contur'!$G:$T,11,FALSE),0)</f>
        <v>47114</v>
      </c>
      <c r="S100" s="147">
        <f>IFERROR(VLOOKUP(B100,'Inchidere contur'!$G:$T,12,FALSE),0)</f>
        <v>0</v>
      </c>
      <c r="T100" s="147">
        <f>IFERROR(VLOOKUP(B100,'Inchidere contur'!$G:$T,13,FALSE),0)</f>
        <v>5344</v>
      </c>
      <c r="V100" s="76"/>
    </row>
    <row r="101" spans="1:22" ht="17.25" thickTop="1" thickBot="1">
      <c r="A101" s="17">
        <f t="shared" si="11"/>
        <v>150</v>
      </c>
      <c r="B101" s="38" t="s">
        <v>657</v>
      </c>
      <c r="C101" s="17" t="s">
        <v>385</v>
      </c>
      <c r="D101" s="17">
        <v>1371623282</v>
      </c>
      <c r="E101" s="17">
        <v>1</v>
      </c>
      <c r="F101" s="147">
        <f>IFERROR(VLOOKUP(B101,Regularizare!$B:$AX,27,FALSE),"-")</f>
        <v>1209476</v>
      </c>
      <c r="G101" s="147">
        <f t="shared" si="12"/>
        <v>1248531</v>
      </c>
      <c r="H101" s="1">
        <v>0</v>
      </c>
      <c r="I101" s="1">
        <v>0</v>
      </c>
      <c r="J101" s="147">
        <f>IFERROR(VLOOKUP(B101,Regularizare!$B:$AX,33,FALSE),"-")</f>
        <v>65286</v>
      </c>
      <c r="K101" s="1">
        <f t="shared" si="20"/>
        <v>65286</v>
      </c>
      <c r="L101" s="1">
        <f>IFERROR(VLOOKUP(B101,Regularizare!$B:$AX,37,FALSE),"-")</f>
        <v>25914</v>
      </c>
      <c r="M101" s="1">
        <f t="shared" si="21"/>
        <v>25914</v>
      </c>
      <c r="N101" s="147">
        <f>VLOOKUP(B101,'Inchidere contur'!$G:$H,2,FALSE)</f>
        <v>39055</v>
      </c>
      <c r="O101" s="1">
        <f t="shared" si="17"/>
        <v>0</v>
      </c>
      <c r="P101" s="1">
        <f t="shared" si="18"/>
        <v>0</v>
      </c>
      <c r="Q101" s="1">
        <f t="shared" si="19"/>
        <v>0</v>
      </c>
      <c r="R101" s="178">
        <f>IFERROR(VLOOKUP(B101,'Inchidere contur'!$G:$T,11,FALSE),0)</f>
        <v>39055</v>
      </c>
      <c r="S101" s="147">
        <f>IFERROR(VLOOKUP(B101,'Inchidere contur'!$G:$T,12,FALSE),0)</f>
        <v>36153</v>
      </c>
      <c r="T101" s="147">
        <f>IFERROR(VLOOKUP(B101,'Inchidere contur'!$G:$T,13,FALSE),0)</f>
        <v>0</v>
      </c>
      <c r="V101" s="76"/>
    </row>
    <row r="102" spans="1:22" ht="17.25" thickTop="1" thickBot="1">
      <c r="A102" s="17">
        <f t="shared" si="11"/>
        <v>151</v>
      </c>
      <c r="B102" s="38" t="s">
        <v>658</v>
      </c>
      <c r="C102" s="17" t="s">
        <v>400</v>
      </c>
      <c r="D102" s="17">
        <v>23298246</v>
      </c>
      <c r="E102" s="17">
        <v>500</v>
      </c>
      <c r="F102" s="147">
        <f>IFERROR(VLOOKUP(B102,Regularizare!$B:$AX,27,FALSE),"-")</f>
        <v>105.854</v>
      </c>
      <c r="G102" s="147">
        <f>IF(COUNTIF(F102,"-")=1,"-",F102+N102/E102)</f>
        <v>189.95</v>
      </c>
      <c r="H102" s="1">
        <v>0</v>
      </c>
      <c r="I102" s="1">
        <v>0</v>
      </c>
      <c r="J102" s="147">
        <f>IFERROR(VLOOKUP(B102,Regularizare!$B:$AX,33,FALSE),"-")</f>
        <v>0</v>
      </c>
      <c r="K102" s="1">
        <f t="shared" si="20"/>
        <v>0</v>
      </c>
      <c r="L102" s="1">
        <f>IFERROR(VLOOKUP(B102,Regularizare!$B:$AX,37,FALSE),"-")</f>
        <v>9881</v>
      </c>
      <c r="M102" s="1">
        <f t="shared" si="21"/>
        <v>9881</v>
      </c>
      <c r="N102" s="147">
        <f>VLOOKUP(B102,'Inchidere contur'!$G:$H,2,FALSE)</f>
        <v>42048</v>
      </c>
      <c r="O102" s="1">
        <f t="shared" si="17"/>
        <v>0</v>
      </c>
      <c r="P102" s="1">
        <f t="shared" si="18"/>
        <v>0</v>
      </c>
      <c r="Q102" s="1">
        <f t="shared" si="19"/>
        <v>0</v>
      </c>
      <c r="R102" s="178">
        <f>IFERROR(VLOOKUP(B102,'Inchidere contur'!$G:$T,11,FALSE),0)</f>
        <v>42048</v>
      </c>
      <c r="S102" s="147">
        <f>IFERROR(VLOOKUP(B102,'Inchidere contur'!$G:$T,12,FALSE),0)</f>
        <v>30925</v>
      </c>
      <c r="T102" s="147">
        <f>IFERROR(VLOOKUP(B102,'Inchidere contur'!$G:$T,13,FALSE),0)</f>
        <v>17996</v>
      </c>
      <c r="V102" s="76"/>
    </row>
    <row r="103" spans="1:22" ht="17.25" thickTop="1" thickBot="1">
      <c r="A103" s="17">
        <f t="shared" si="11"/>
        <v>152</v>
      </c>
      <c r="B103" s="38" t="s">
        <v>659</v>
      </c>
      <c r="C103" s="17" t="s">
        <v>401</v>
      </c>
      <c r="D103" s="17">
        <v>23298249</v>
      </c>
      <c r="E103" s="17">
        <v>500</v>
      </c>
      <c r="F103" s="147">
        <f>IFERROR(VLOOKUP(B103,Regularizare!$B:$AX,27,FALSE),"-")</f>
        <v>131.22399999999999</v>
      </c>
      <c r="G103" s="147">
        <f t="shared" ref="G103:G105" si="22">IF(COUNTIF(F103,"-")=1,"-",F103+N103/E103)</f>
        <v>261.57399999999996</v>
      </c>
      <c r="H103" s="1">
        <v>0</v>
      </c>
      <c r="I103" s="1">
        <v>0</v>
      </c>
      <c r="J103" s="147">
        <f>IFERROR(VLOOKUP(B103,Regularizare!$B:$AX,33,FALSE),"-")</f>
        <v>0</v>
      </c>
      <c r="K103" s="1">
        <f t="shared" si="20"/>
        <v>0</v>
      </c>
      <c r="L103" s="1">
        <f>IFERROR(VLOOKUP(B103,Regularizare!$B:$AX,37,FALSE),"-")</f>
        <v>17145</v>
      </c>
      <c r="M103" s="1">
        <f t="shared" si="21"/>
        <v>17145</v>
      </c>
      <c r="N103" s="147">
        <f>VLOOKUP(B103,'Inchidere contur'!$G:$H,2,FALSE)</f>
        <v>65175</v>
      </c>
      <c r="O103" s="1">
        <f t="shared" si="17"/>
        <v>0</v>
      </c>
      <c r="P103" s="1">
        <f t="shared" si="18"/>
        <v>0</v>
      </c>
      <c r="Q103" s="1">
        <f t="shared" si="19"/>
        <v>0</v>
      </c>
      <c r="R103" s="178">
        <f>IFERROR(VLOOKUP(B103,'Inchidere contur'!$G:$T,11,FALSE),0)</f>
        <v>65175</v>
      </c>
      <c r="S103" s="147">
        <f>IFERROR(VLOOKUP(B103,'Inchidere contur'!$G:$T,12,FALSE),0)</f>
        <v>56711</v>
      </c>
      <c r="T103" s="147">
        <f>IFERROR(VLOOKUP(B103,'Inchidere contur'!$G:$T,13,FALSE),0)</f>
        <v>207</v>
      </c>
      <c r="V103" s="76"/>
    </row>
    <row r="104" spans="1:22" ht="17.25" thickTop="1" thickBot="1">
      <c r="A104" s="17">
        <f t="shared" si="11"/>
        <v>153</v>
      </c>
      <c r="B104" s="38" t="s">
        <v>660</v>
      </c>
      <c r="C104" s="17" t="s">
        <v>403</v>
      </c>
      <c r="D104" s="17">
        <v>23298250</v>
      </c>
      <c r="E104" s="17">
        <v>200</v>
      </c>
      <c r="F104" s="147">
        <f>IFERROR(VLOOKUP(B104,Regularizare!$B:$AX,27,FALSE),"-")</f>
        <v>52.84</v>
      </c>
      <c r="G104" s="147">
        <f t="shared" si="22"/>
        <v>181.29500000000002</v>
      </c>
      <c r="H104" s="1">
        <v>0</v>
      </c>
      <c r="I104" s="1">
        <v>0</v>
      </c>
      <c r="J104" s="147">
        <f>IFERROR(VLOOKUP(B104,Regularizare!$B:$AX,33,FALSE),"-")</f>
        <v>0</v>
      </c>
      <c r="K104" s="1">
        <f t="shared" si="20"/>
        <v>0</v>
      </c>
      <c r="L104" s="1">
        <f>IFERROR(VLOOKUP(B104,Regularizare!$B:$AX,37,FALSE),"-")</f>
        <v>0</v>
      </c>
      <c r="M104" s="1">
        <f t="shared" si="21"/>
        <v>0</v>
      </c>
      <c r="N104" s="147">
        <f>VLOOKUP(B104,'Inchidere contur'!$G:$H,2,FALSE)</f>
        <v>25691.000000000004</v>
      </c>
      <c r="O104" s="1">
        <f t="shared" si="17"/>
        <v>0</v>
      </c>
      <c r="P104" s="1">
        <f t="shared" si="18"/>
        <v>0</v>
      </c>
      <c r="Q104" s="1">
        <f t="shared" si="19"/>
        <v>0</v>
      </c>
      <c r="R104" s="178">
        <f>IFERROR(VLOOKUP(B104,'Inchidere contur'!$G:$T,11,FALSE),0)</f>
        <v>25691.000000000004</v>
      </c>
      <c r="S104" s="147">
        <f>IFERROR(VLOOKUP(B104,'Inchidere contur'!$G:$T,12,FALSE),0)</f>
        <v>4594</v>
      </c>
      <c r="T104" s="147">
        <f>IFERROR(VLOOKUP(B104,'Inchidere contur'!$G:$T,13,FALSE),0)</f>
        <v>0</v>
      </c>
      <c r="V104" s="76"/>
    </row>
    <row r="105" spans="1:22" ht="17.25" thickTop="1" thickBot="1">
      <c r="A105" s="17">
        <f t="shared" si="11"/>
        <v>154</v>
      </c>
      <c r="B105" s="149" t="s">
        <v>661</v>
      </c>
      <c r="C105" s="136" t="s">
        <v>404</v>
      </c>
      <c r="D105" s="17">
        <v>23298245</v>
      </c>
      <c r="E105" s="136">
        <v>500</v>
      </c>
      <c r="F105" s="147">
        <f>IFERROR(VLOOKUP(B105,Regularizare!$B:$AX,27,FALSE),"-")</f>
        <v>2136.8560000000002</v>
      </c>
      <c r="G105" s="147">
        <f t="shared" si="22"/>
        <v>2339.3319999999999</v>
      </c>
      <c r="H105" s="139">
        <v>0</v>
      </c>
      <c r="I105" s="139">
        <v>0</v>
      </c>
      <c r="J105" s="147">
        <f>IFERROR(VLOOKUP(B105,Regularizare!$B:$AX,33,FALSE),"-")</f>
        <v>0</v>
      </c>
      <c r="K105" s="139">
        <f>J105</f>
        <v>0</v>
      </c>
      <c r="L105" s="139">
        <f>IFERROR(VLOOKUP(B105,Regularizare!$B:$AX,37,FALSE),"-")</f>
        <v>0</v>
      </c>
      <c r="M105" s="139">
        <f>L105</f>
        <v>0</v>
      </c>
      <c r="N105" s="147">
        <f>VLOOKUP(B105,'Inchidere contur'!$G:$H,2,FALSE)</f>
        <v>101237.99999999985</v>
      </c>
      <c r="O105" s="139">
        <f t="shared" si="17"/>
        <v>0</v>
      </c>
      <c r="P105" s="139">
        <f t="shared" si="18"/>
        <v>0</v>
      </c>
      <c r="Q105" s="139">
        <f t="shared" si="19"/>
        <v>0</v>
      </c>
      <c r="R105" s="178">
        <f>IFERROR(VLOOKUP(B105,'Inchidere contur'!$G:$T,11,FALSE),0)</f>
        <v>101237.99999999985</v>
      </c>
      <c r="S105" s="147">
        <f>IFERROR(VLOOKUP(B105,'Inchidere contur'!$G:$T,12,FALSE),0)</f>
        <v>0</v>
      </c>
      <c r="T105" s="147">
        <f>IFERROR(VLOOKUP(B105,'Inchidere contur'!$G:$T,13,FALSE),0)</f>
        <v>0</v>
      </c>
      <c r="V105" s="76"/>
    </row>
    <row r="106" spans="1:22" ht="17.25" thickTop="1" thickBot="1">
      <c r="A106" s="17">
        <f t="shared" si="11"/>
        <v>155</v>
      </c>
      <c r="B106" s="149" t="s">
        <v>1281</v>
      </c>
      <c r="C106" s="17" t="s">
        <v>1253</v>
      </c>
      <c r="D106" s="17">
        <v>1369546098</v>
      </c>
      <c r="E106" s="136">
        <v>1</v>
      </c>
      <c r="F106" s="147">
        <f>IFERROR(VLOOKUP(B106,Regularizare!$B:$AX,27,FALSE),"-")</f>
        <v>619536</v>
      </c>
      <c r="G106" s="147">
        <f t="shared" si="12"/>
        <v>632865</v>
      </c>
      <c r="H106" s="139">
        <v>0</v>
      </c>
      <c r="I106" s="139">
        <v>0</v>
      </c>
      <c r="J106" s="147">
        <f>IFERROR(VLOOKUP(B106,Regularizare!$B:$AX,33,FALSE),"-")</f>
        <v>47752</v>
      </c>
      <c r="K106" s="1">
        <f t="shared" si="20"/>
        <v>47752</v>
      </c>
      <c r="L106" s="1">
        <f>IFERROR(VLOOKUP(B106,Regularizare!$B:$AX,37,FALSE),"-")</f>
        <v>33896</v>
      </c>
      <c r="M106" s="1">
        <f t="shared" si="21"/>
        <v>33896</v>
      </c>
      <c r="N106" s="147">
        <f>VLOOKUP(B106,'Inchidere contur'!$G:$H,2,FALSE)</f>
        <v>13329</v>
      </c>
      <c r="O106" s="1">
        <f t="shared" si="17"/>
        <v>0</v>
      </c>
      <c r="P106" s="1">
        <f t="shared" si="18"/>
        <v>0</v>
      </c>
      <c r="Q106" s="1">
        <f t="shared" si="19"/>
        <v>0</v>
      </c>
      <c r="R106" s="178">
        <f>IFERROR(VLOOKUP(B106,'Inchidere contur'!$G:$T,11,FALSE),0)</f>
        <v>13329</v>
      </c>
      <c r="S106" s="147">
        <f>IFERROR(VLOOKUP(B106,'Inchidere contur'!$G:$T,12,FALSE),0)</f>
        <v>14978</v>
      </c>
      <c r="T106" s="147">
        <f>IFERROR(VLOOKUP(B106,'Inchidere contur'!$G:$T,13,FALSE),0)</f>
        <v>0</v>
      </c>
      <c r="V106" s="76"/>
    </row>
    <row r="107" spans="1:22" ht="17.25" thickTop="1" thickBot="1">
      <c r="A107" s="17">
        <f t="shared" si="11"/>
        <v>156</v>
      </c>
      <c r="B107" s="149" t="s">
        <v>1275</v>
      </c>
      <c r="C107" s="17" t="s">
        <v>1249</v>
      </c>
      <c r="D107" s="17">
        <v>1371034851</v>
      </c>
      <c r="E107" s="136">
        <v>1</v>
      </c>
      <c r="F107" s="147">
        <f>IFERROR(VLOOKUP(B107,Regularizare!$B:$AX,27,FALSE),"-")</f>
        <v>348318</v>
      </c>
      <c r="G107" s="147">
        <f t="shared" si="12"/>
        <v>354425</v>
      </c>
      <c r="H107" s="139">
        <v>0</v>
      </c>
      <c r="I107" s="139">
        <v>0</v>
      </c>
      <c r="J107" s="147">
        <f>IFERROR(VLOOKUP(B107,Regularizare!$B:$AX,33,FALSE),"-")</f>
        <v>306</v>
      </c>
      <c r="K107" s="1">
        <f t="shared" si="20"/>
        <v>306</v>
      </c>
      <c r="L107" s="1">
        <f>IFERROR(VLOOKUP(B107,Regularizare!$B:$AX,37,FALSE),"-")</f>
        <v>120211</v>
      </c>
      <c r="M107" s="1">
        <f t="shared" si="21"/>
        <v>120211</v>
      </c>
      <c r="N107" s="147">
        <f>VLOOKUP(B107,'Inchidere contur'!$G:$H,2,FALSE)</f>
        <v>6107</v>
      </c>
      <c r="O107" s="1">
        <f t="shared" si="17"/>
        <v>0</v>
      </c>
      <c r="P107" s="1">
        <f t="shared" si="18"/>
        <v>0</v>
      </c>
      <c r="Q107" s="1">
        <f t="shared" si="19"/>
        <v>0</v>
      </c>
      <c r="R107" s="178">
        <f>IFERROR(VLOOKUP(B107,'Inchidere contur'!$G:$T,11,FALSE),0)</f>
        <v>6107</v>
      </c>
      <c r="S107" s="147">
        <f>IFERROR(VLOOKUP(B107,'Inchidere contur'!$G:$T,12,FALSE),0)</f>
        <v>11000</v>
      </c>
      <c r="T107" s="147">
        <f>IFERROR(VLOOKUP(B107,'Inchidere contur'!$G:$T,13,FALSE),0)</f>
        <v>0</v>
      </c>
      <c r="V107" s="76"/>
    </row>
    <row r="108" spans="1:22" ht="17.25" thickTop="1" thickBot="1">
      <c r="A108" s="17">
        <f t="shared" si="11"/>
        <v>157</v>
      </c>
      <c r="B108" s="149" t="s">
        <v>1277</v>
      </c>
      <c r="C108" s="17" t="s">
        <v>1250</v>
      </c>
      <c r="D108" s="17">
        <v>1369359116</v>
      </c>
      <c r="E108" s="136">
        <v>1</v>
      </c>
      <c r="F108" s="147">
        <f>IFERROR(VLOOKUP(B108,Regularizare!$B:$AX,27,FALSE),"-")</f>
        <v>462177</v>
      </c>
      <c r="G108" s="147">
        <f t="shared" si="12"/>
        <v>472618</v>
      </c>
      <c r="H108" s="139">
        <v>0</v>
      </c>
      <c r="I108" s="139">
        <v>0</v>
      </c>
      <c r="J108" s="147">
        <f>IFERROR(VLOOKUP(B108,Regularizare!$B:$AX,33,FALSE),"-")</f>
        <v>338</v>
      </c>
      <c r="K108" s="1">
        <f t="shared" si="20"/>
        <v>338</v>
      </c>
      <c r="L108" s="1">
        <f>IFERROR(VLOOKUP(B108,Regularizare!$B:$AX,37,FALSE),"-")</f>
        <v>151215</v>
      </c>
      <c r="M108" s="1">
        <f t="shared" si="21"/>
        <v>151215</v>
      </c>
      <c r="N108" s="147">
        <f>VLOOKUP(B108,'Inchidere contur'!$G:$H,2,FALSE)</f>
        <v>10441</v>
      </c>
      <c r="O108" s="1">
        <f t="shared" si="17"/>
        <v>0</v>
      </c>
      <c r="P108" s="1">
        <f t="shared" si="18"/>
        <v>0</v>
      </c>
      <c r="Q108" s="1">
        <f t="shared" si="19"/>
        <v>0</v>
      </c>
      <c r="R108" s="178">
        <f>IFERROR(VLOOKUP(B108,'Inchidere contur'!$G:$T,11,FALSE),0)</f>
        <v>10441</v>
      </c>
      <c r="S108" s="147">
        <f>IFERROR(VLOOKUP(B108,'Inchidere contur'!$G:$T,12,FALSE),0)</f>
        <v>19977</v>
      </c>
      <c r="T108" s="147">
        <f>IFERROR(VLOOKUP(B108,'Inchidere contur'!$G:$T,13,FALSE),0)</f>
        <v>0</v>
      </c>
      <c r="V108" s="76"/>
    </row>
    <row r="109" spans="1:22" ht="17.25" thickTop="1" thickBot="1">
      <c r="A109" s="17">
        <f t="shared" si="11"/>
        <v>158</v>
      </c>
      <c r="B109" s="149" t="s">
        <v>1279</v>
      </c>
      <c r="C109" s="17" t="s">
        <v>1251</v>
      </c>
      <c r="D109" s="17">
        <v>1369358824</v>
      </c>
      <c r="E109" s="136">
        <v>1</v>
      </c>
      <c r="F109" s="147">
        <f>IFERROR(VLOOKUP(B109,Regularizare!$B:$AX,27,FALSE),"-")</f>
        <v>254554</v>
      </c>
      <c r="G109" s="147">
        <f t="shared" si="12"/>
        <v>259347</v>
      </c>
      <c r="H109" s="139">
        <v>0</v>
      </c>
      <c r="I109" s="139">
        <v>0</v>
      </c>
      <c r="J109" s="147">
        <f>IFERROR(VLOOKUP(B109,Regularizare!$B:$AX,33,FALSE),"-")</f>
        <v>36513</v>
      </c>
      <c r="K109" s="1">
        <f t="shared" si="20"/>
        <v>36513</v>
      </c>
      <c r="L109" s="1">
        <f>IFERROR(VLOOKUP(B109,Regularizare!$B:$AX,37,FALSE),"-")</f>
        <v>53590</v>
      </c>
      <c r="M109" s="1">
        <f t="shared" si="21"/>
        <v>53590</v>
      </c>
      <c r="N109" s="147">
        <f>VLOOKUP(B109,'Inchidere contur'!$G:$H,2,FALSE)</f>
        <v>4793</v>
      </c>
      <c r="O109" s="1">
        <f t="shared" si="17"/>
        <v>0</v>
      </c>
      <c r="P109" s="1">
        <f t="shared" si="18"/>
        <v>0</v>
      </c>
      <c r="Q109" s="1">
        <f t="shared" si="19"/>
        <v>0</v>
      </c>
      <c r="R109" s="178">
        <f>IFERROR(VLOOKUP(B109,'Inchidere contur'!$G:$T,11,FALSE),0)</f>
        <v>4793</v>
      </c>
      <c r="S109" s="147">
        <f>IFERROR(VLOOKUP(B109,'Inchidere contur'!$G:$T,12,FALSE),0)</f>
        <v>3692</v>
      </c>
      <c r="T109" s="147">
        <f>IFERROR(VLOOKUP(B109,'Inchidere contur'!$G:$T,13,FALSE),0)</f>
        <v>0</v>
      </c>
      <c r="V109" s="76"/>
    </row>
    <row r="110" spans="1:22" ht="17.25" thickTop="1" thickBot="1">
      <c r="A110" s="17">
        <f t="shared" si="11"/>
        <v>159</v>
      </c>
      <c r="B110" s="149" t="s">
        <v>1283</v>
      </c>
      <c r="C110" s="17" t="s">
        <v>1247</v>
      </c>
      <c r="D110" s="17">
        <v>1371869788</v>
      </c>
      <c r="E110" s="136">
        <v>1</v>
      </c>
      <c r="F110" s="147">
        <f>IFERROR(VLOOKUP(B110,Regularizare!$B:$AX,27,FALSE),"-")</f>
        <v>189874</v>
      </c>
      <c r="G110" s="147">
        <f t="shared" si="12"/>
        <v>193467</v>
      </c>
      <c r="H110" s="139">
        <v>0</v>
      </c>
      <c r="I110" s="139">
        <v>0</v>
      </c>
      <c r="J110" s="147">
        <f>IFERROR(VLOOKUP(B110,Regularizare!$B:$AX,33,FALSE),"-")</f>
        <v>1195</v>
      </c>
      <c r="K110" s="1">
        <f t="shared" si="20"/>
        <v>1195</v>
      </c>
      <c r="L110" s="1">
        <f>IFERROR(VLOOKUP(B110,Regularizare!$B:$AX,37,FALSE),"-")</f>
        <v>62751</v>
      </c>
      <c r="M110" s="1">
        <f t="shared" si="21"/>
        <v>62751</v>
      </c>
      <c r="N110" s="147">
        <f>VLOOKUP(B110,'Inchidere contur'!$G:$H,2,FALSE)</f>
        <v>3593</v>
      </c>
      <c r="O110" s="1">
        <f t="shared" si="17"/>
        <v>0</v>
      </c>
      <c r="P110" s="1">
        <f t="shared" si="18"/>
        <v>0</v>
      </c>
      <c r="Q110" s="1">
        <f t="shared" si="19"/>
        <v>0</v>
      </c>
      <c r="R110" s="178">
        <f>IFERROR(VLOOKUP(B110,'Inchidere contur'!$G:$T,11,FALSE),0)</f>
        <v>3593</v>
      </c>
      <c r="S110" s="147">
        <f>IFERROR(VLOOKUP(B110,'Inchidere contur'!$G:$T,12,FALSE),0)</f>
        <v>9902</v>
      </c>
      <c r="T110" s="147">
        <f>IFERROR(VLOOKUP(B110,'Inchidere contur'!$G:$T,13,FALSE),0)</f>
        <v>0</v>
      </c>
      <c r="V110" s="76"/>
    </row>
    <row r="111" spans="1:22" ht="17.25" thickTop="1" thickBot="1">
      <c r="A111" s="17">
        <f t="shared" si="11"/>
        <v>160</v>
      </c>
      <c r="B111" s="149" t="s">
        <v>1285</v>
      </c>
      <c r="C111" s="17" t="s">
        <v>1248</v>
      </c>
      <c r="D111" s="17">
        <v>1371870726</v>
      </c>
      <c r="E111" s="136">
        <v>1</v>
      </c>
      <c r="F111" s="147">
        <f>IFERROR(VLOOKUP(B111,Regularizare!$B:$AX,27,FALSE),"-")</f>
        <v>523514</v>
      </c>
      <c r="G111" s="147">
        <f t="shared" si="12"/>
        <v>538584</v>
      </c>
      <c r="H111" s="139">
        <v>0</v>
      </c>
      <c r="I111" s="139">
        <v>0</v>
      </c>
      <c r="J111" s="147">
        <f>IFERROR(VLOOKUP(B111,Regularizare!$B:$AX,33,FALSE),"-")</f>
        <v>26</v>
      </c>
      <c r="K111" s="1">
        <f>J111</f>
        <v>26</v>
      </c>
      <c r="L111" s="1">
        <f>IFERROR(VLOOKUP(B111,Regularizare!$B:$AX,37,FALSE),"-")</f>
        <v>89487</v>
      </c>
      <c r="M111" s="1">
        <f>L111</f>
        <v>89487</v>
      </c>
      <c r="N111" s="147">
        <f>VLOOKUP(B111,'Inchidere contur'!$G:$H,2,FALSE)</f>
        <v>15070</v>
      </c>
      <c r="O111" s="1">
        <f>IFERROR((I111-H111)*E111,0)</f>
        <v>0</v>
      </c>
      <c r="P111" s="1">
        <f t="shared" si="18"/>
        <v>0</v>
      </c>
      <c r="Q111" s="1">
        <f t="shared" si="19"/>
        <v>0</v>
      </c>
      <c r="R111" s="178">
        <f>IFERROR(VLOOKUP(B111,'Inchidere contur'!$G:$T,11,FALSE),0)</f>
        <v>15070</v>
      </c>
      <c r="S111" s="147">
        <f>IFERROR(VLOOKUP(B111,'Inchidere contur'!$G:$T,12,FALSE),0)</f>
        <v>0</v>
      </c>
      <c r="T111" s="147">
        <f>IFERROR(VLOOKUP(B111,'Inchidere contur'!$G:$T,13,FALSE),0)</f>
        <v>6506</v>
      </c>
      <c r="V111" s="76"/>
    </row>
    <row r="112" spans="1:22" ht="17.25" thickTop="1" thickBot="1">
      <c r="A112" s="17">
        <f t="shared" si="11"/>
        <v>161</v>
      </c>
      <c r="B112" s="149" t="s">
        <v>1266</v>
      </c>
      <c r="C112" s="251" t="s">
        <v>1241</v>
      </c>
      <c r="D112" s="17" t="s">
        <v>1426</v>
      </c>
      <c r="E112" s="136">
        <v>20</v>
      </c>
      <c r="F112" s="147">
        <f>IFERROR(VLOOKUP(D112,Regularizare!$D:$AX,25,FALSE),"-")</f>
        <v>800</v>
      </c>
      <c r="G112" s="147">
        <f t="shared" ref="G112:G117" si="23">IF(COUNTIF(F112,"-")=1,"-",F112+ROUND(N112/E112,2))</f>
        <v>918</v>
      </c>
      <c r="H112" s="139">
        <v>0</v>
      </c>
      <c r="I112" s="139">
        <v>0</v>
      </c>
      <c r="J112" s="147">
        <f>IFERROR(VLOOKUP(D112,Regularizare!$D:$AX,31,FALSE),"-")</f>
        <v>0</v>
      </c>
      <c r="K112" s="1">
        <f t="shared" si="20"/>
        <v>0</v>
      </c>
      <c r="L112" s="1">
        <f>IFERROR(VLOOKUP(D112,Regularizare!$D:$AX,35,FALSE),"-")</f>
        <v>0</v>
      </c>
      <c r="M112" s="1">
        <f t="shared" si="21"/>
        <v>0</v>
      </c>
      <c r="N112" s="147">
        <f>VLOOKUP(B112,'Inchidere contur'!$G:$H,2,FALSE)</f>
        <v>2360</v>
      </c>
      <c r="O112" s="1">
        <f t="shared" si="17"/>
        <v>0</v>
      </c>
      <c r="P112" s="1">
        <f>P110</f>
        <v>0</v>
      </c>
      <c r="Q112" s="1">
        <f>Q110</f>
        <v>0</v>
      </c>
      <c r="R112" s="178">
        <f>IFERROR(VLOOKUP(B112,'Inchidere contur'!$G:$T,11,FALSE),0)</f>
        <v>2360</v>
      </c>
      <c r="S112" s="147">
        <f>IFERROR(VLOOKUP(B112,'Inchidere contur'!$G:$T,12,FALSE),0)</f>
        <v>0</v>
      </c>
      <c r="T112" s="147">
        <f>IFERROR(VLOOKUP(B112,'Inchidere contur'!$G:$T,13,FALSE),0)</f>
        <v>0</v>
      </c>
      <c r="V112" s="76"/>
    </row>
    <row r="113" spans="1:22" ht="17.25" thickTop="1" thickBot="1">
      <c r="A113" s="17">
        <f t="shared" si="11"/>
        <v>162</v>
      </c>
      <c r="B113" s="149" t="s">
        <v>1267</v>
      </c>
      <c r="C113" s="251" t="s">
        <v>1242</v>
      </c>
      <c r="D113" s="17" t="s">
        <v>1230</v>
      </c>
      <c r="E113" s="136">
        <v>20</v>
      </c>
      <c r="F113" s="147">
        <f>IFERROR(VLOOKUP(D113,Regularizare!$D:$AX,25,FALSE),"-")</f>
        <v>24528.400000000005</v>
      </c>
      <c r="G113" s="147">
        <f t="shared" si="23"/>
        <v>24676.200000000004</v>
      </c>
      <c r="H113" s="139">
        <v>0</v>
      </c>
      <c r="I113" s="139">
        <v>0</v>
      </c>
      <c r="J113" s="147">
        <f>IFERROR(VLOOKUP(D113,Regularizare!$D:$AX,31,FALSE),"-")</f>
        <v>3528.93</v>
      </c>
      <c r="K113" s="1">
        <f>J113</f>
        <v>3528.93</v>
      </c>
      <c r="L113" s="1">
        <f>IFERROR(VLOOKUP(D113,Regularizare!$D:$AX,35,FALSE),"-")</f>
        <v>2460.681</v>
      </c>
      <c r="M113" s="1">
        <f>L113</f>
        <v>2460.681</v>
      </c>
      <c r="N113" s="147">
        <f>VLOOKUP(B113,'Inchidere contur'!$G:$H,2,FALSE)</f>
        <v>2956</v>
      </c>
      <c r="O113" s="1">
        <f t="shared" si="17"/>
        <v>0</v>
      </c>
      <c r="P113" s="1">
        <f t="shared" si="18"/>
        <v>0</v>
      </c>
      <c r="Q113" s="1">
        <f t="shared" si="19"/>
        <v>0</v>
      </c>
      <c r="R113" s="178">
        <f>IFERROR(VLOOKUP(B113,'Inchidere contur'!$G:$T,11,FALSE),0)</f>
        <v>2956</v>
      </c>
      <c r="S113" s="147">
        <f>IFERROR(VLOOKUP(B113,'Inchidere contur'!$G:$T,12,FALSE),0)</f>
        <v>0</v>
      </c>
      <c r="T113" s="147">
        <f>IFERROR(VLOOKUP(B113,'Inchidere contur'!$G:$T,13,FALSE),0)</f>
        <v>0</v>
      </c>
      <c r="V113" s="76"/>
    </row>
    <row r="114" spans="1:22" ht="17.25" thickTop="1" thickBot="1">
      <c r="A114" s="17">
        <f t="shared" si="11"/>
        <v>163</v>
      </c>
      <c r="B114" s="149" t="s">
        <v>1268</v>
      </c>
      <c r="C114" s="251" t="s">
        <v>1243</v>
      </c>
      <c r="D114" s="17" t="s">
        <v>1233</v>
      </c>
      <c r="E114" s="136">
        <v>20</v>
      </c>
      <c r="F114" s="147">
        <f>IFERROR(VLOOKUP(D114,Regularizare!$D:$AX,25,FALSE),"-")</f>
        <v>10252.92</v>
      </c>
      <c r="G114" s="147">
        <f t="shared" si="23"/>
        <v>10403.17</v>
      </c>
      <c r="H114" s="139">
        <v>0</v>
      </c>
      <c r="I114" s="139">
        <v>0</v>
      </c>
      <c r="J114" s="147">
        <f>IFERROR(VLOOKUP(D114,Regularizare!$D:$AX,31,FALSE),"-")</f>
        <v>274.09999999999997</v>
      </c>
      <c r="K114" s="1">
        <f>J114</f>
        <v>274.09999999999997</v>
      </c>
      <c r="L114" s="1">
        <f>IFERROR(VLOOKUP(D114,Regularizare!$D:$AX,35,FALSE),"-")</f>
        <v>2815.1319999999996</v>
      </c>
      <c r="M114" s="1">
        <f>L114</f>
        <v>2815.1319999999996</v>
      </c>
      <c r="N114" s="147">
        <f>VLOOKUP(B114,'Inchidere contur'!$G:$H,2,FALSE)</f>
        <v>3005</v>
      </c>
      <c r="O114" s="1">
        <f t="shared" si="17"/>
        <v>0</v>
      </c>
      <c r="P114" s="1">
        <f t="shared" si="18"/>
        <v>0</v>
      </c>
      <c r="Q114" s="1">
        <f t="shared" si="19"/>
        <v>0</v>
      </c>
      <c r="R114" s="178">
        <f>IFERROR(VLOOKUP(B114,'Inchidere contur'!$G:$T,11,FALSE),0)</f>
        <v>3005</v>
      </c>
      <c r="S114" s="147">
        <f>IFERROR(VLOOKUP(B114,'Inchidere contur'!$G:$T,12,FALSE),0)</f>
        <v>0</v>
      </c>
      <c r="T114" s="147">
        <f>IFERROR(VLOOKUP(B114,'Inchidere contur'!$G:$T,13,FALSE),0)</f>
        <v>0</v>
      </c>
      <c r="V114" s="76"/>
    </row>
    <row r="115" spans="1:22" ht="17.25" thickTop="1" thickBot="1">
      <c r="A115" s="17">
        <f t="shared" si="11"/>
        <v>164</v>
      </c>
      <c r="B115" s="149" t="s">
        <v>1269</v>
      </c>
      <c r="C115" s="251" t="s">
        <v>1244</v>
      </c>
      <c r="D115" s="17" t="s">
        <v>1235</v>
      </c>
      <c r="E115" s="136">
        <v>1</v>
      </c>
      <c r="F115" s="147">
        <f>IFERROR(VLOOKUP(D115,Regularizare!$D:$AX,25,FALSE),"-")</f>
        <v>43413</v>
      </c>
      <c r="G115" s="147">
        <f t="shared" si="23"/>
        <v>43985</v>
      </c>
      <c r="H115" s="139">
        <v>0</v>
      </c>
      <c r="I115" s="139">
        <v>0</v>
      </c>
      <c r="J115" s="147">
        <f>IFERROR(VLOOKUP(D115,Regularizare!$D:$AX,31,FALSE),"-")</f>
        <v>1470</v>
      </c>
      <c r="K115" s="1">
        <f>J115</f>
        <v>1470</v>
      </c>
      <c r="L115" s="1">
        <f>IFERROR(VLOOKUP(D115,Regularizare!$D:$AX,35,FALSE),"-")</f>
        <v>9201</v>
      </c>
      <c r="M115" s="1">
        <f>L115</f>
        <v>9201</v>
      </c>
      <c r="N115" s="147">
        <f>VLOOKUP(B115,'Inchidere contur'!$G:$H,2,FALSE)</f>
        <v>572</v>
      </c>
      <c r="O115" s="1">
        <f t="shared" si="17"/>
        <v>0</v>
      </c>
      <c r="P115" s="1">
        <f t="shared" si="18"/>
        <v>0</v>
      </c>
      <c r="Q115" s="1">
        <f t="shared" si="19"/>
        <v>0</v>
      </c>
      <c r="R115" s="178">
        <f>IFERROR(VLOOKUP(B115,'Inchidere contur'!$G:$T,11,FALSE),0)</f>
        <v>572</v>
      </c>
      <c r="S115" s="147">
        <f>IFERROR(VLOOKUP(B115,'Inchidere contur'!$G:$T,12,FALSE),0)</f>
        <v>0</v>
      </c>
      <c r="T115" s="147">
        <f>IFERROR(VLOOKUP(B115,'Inchidere contur'!$G:$T,13,FALSE),0)</f>
        <v>0</v>
      </c>
      <c r="V115" s="76"/>
    </row>
    <row r="116" spans="1:22" ht="17.25" thickTop="1" thickBot="1">
      <c r="A116" s="17">
        <f t="shared" si="11"/>
        <v>165</v>
      </c>
      <c r="B116" s="149" t="s">
        <v>1270</v>
      </c>
      <c r="C116" s="251" t="s">
        <v>1245</v>
      </c>
      <c r="D116" s="17" t="s">
        <v>1237</v>
      </c>
      <c r="E116" s="136">
        <v>50</v>
      </c>
      <c r="F116" s="147">
        <f>IFERROR(VLOOKUP(D116,Regularizare!$D:$AX,25,FALSE),"-")</f>
        <v>50</v>
      </c>
      <c r="G116" s="147">
        <f t="shared" si="23"/>
        <v>50</v>
      </c>
      <c r="H116" s="139">
        <v>0</v>
      </c>
      <c r="I116" s="139">
        <v>0</v>
      </c>
      <c r="J116" s="147">
        <f>IFERROR(VLOOKUP(D116,Regularizare!$D:$AX,31,FALSE),"-")</f>
        <v>7</v>
      </c>
      <c r="K116" s="1">
        <f>J116</f>
        <v>7</v>
      </c>
      <c r="L116" s="1">
        <f>IFERROR(VLOOKUP(D116,Regularizare!$D:$AX,35,FALSE),"-")</f>
        <v>0</v>
      </c>
      <c r="M116" s="1">
        <f>L116</f>
        <v>0</v>
      </c>
      <c r="N116" s="147">
        <f>VLOOKUP(B116,'Inchidere contur'!$G:$H,2,FALSE)</f>
        <v>0</v>
      </c>
      <c r="O116" s="1">
        <f t="shared" si="17"/>
        <v>0</v>
      </c>
      <c r="P116" s="1">
        <f t="shared" si="18"/>
        <v>0</v>
      </c>
      <c r="Q116" s="1">
        <f t="shared" si="19"/>
        <v>0</v>
      </c>
      <c r="R116" s="178">
        <f>IFERROR(VLOOKUP(B116,'Inchidere contur'!$G:$T,11,FALSE),0)</f>
        <v>0</v>
      </c>
      <c r="S116" s="147">
        <f>IFERROR(VLOOKUP(B116,'Inchidere contur'!$G:$T,12,FALSE),0)</f>
        <v>0</v>
      </c>
      <c r="T116" s="147">
        <f>IFERROR(VLOOKUP(B116,'Inchidere contur'!$G:$T,13,FALSE),0)</f>
        <v>0</v>
      </c>
      <c r="V116" s="76"/>
    </row>
    <row r="117" spans="1:22" ht="17.25" thickTop="1" thickBot="1">
      <c r="A117" s="17">
        <f t="shared" si="11"/>
        <v>166</v>
      </c>
      <c r="B117" s="149" t="s">
        <v>1271</v>
      </c>
      <c r="C117" s="251" t="s">
        <v>1246</v>
      </c>
      <c r="D117" s="17" t="s">
        <v>1429</v>
      </c>
      <c r="E117" s="136">
        <v>30</v>
      </c>
      <c r="F117" s="147">
        <f>IFERROR(VLOOKUP(D117,Regularizare!$D:$AX,25,FALSE),"-")</f>
        <v>201</v>
      </c>
      <c r="G117" s="147">
        <f t="shared" si="23"/>
        <v>346</v>
      </c>
      <c r="H117" s="139">
        <v>0</v>
      </c>
      <c r="I117" s="139">
        <v>0</v>
      </c>
      <c r="J117" s="147">
        <f>IFERROR(VLOOKUP(D117,Regularizare!$D:$AX,31,FALSE),"-")</f>
        <v>0</v>
      </c>
      <c r="K117" s="1">
        <f>J117</f>
        <v>0</v>
      </c>
      <c r="L117" s="1">
        <f>IFERROR(VLOOKUP(D117,Regularizare!$D:$AX,35,FALSE),"-")</f>
        <v>0</v>
      </c>
      <c r="M117" s="1">
        <f>L117</f>
        <v>0</v>
      </c>
      <c r="N117" s="147">
        <f>VLOOKUP(B117,'Inchidere contur'!$G:$H,2,FALSE)</f>
        <v>4350</v>
      </c>
      <c r="O117" s="1">
        <f t="shared" si="17"/>
        <v>0</v>
      </c>
      <c r="P117" s="1">
        <f t="shared" si="18"/>
        <v>0</v>
      </c>
      <c r="Q117" s="1">
        <f t="shared" si="19"/>
        <v>0</v>
      </c>
      <c r="R117" s="178">
        <f>IFERROR(VLOOKUP(B117,'Inchidere contur'!$G:$T,11,FALSE),0)</f>
        <v>4350</v>
      </c>
      <c r="S117" s="147">
        <f>IFERROR(VLOOKUP(B117,'Inchidere contur'!$G:$T,12,FALSE),0)</f>
        <v>0</v>
      </c>
      <c r="T117" s="147">
        <f>IFERROR(VLOOKUP(B117,'Inchidere contur'!$G:$T,13,FALSE),0)</f>
        <v>0</v>
      </c>
      <c r="V117" s="76"/>
    </row>
    <row r="118" spans="1:22" ht="17.25" thickTop="1" thickBot="1">
      <c r="A118" s="17">
        <f t="shared" si="11"/>
        <v>167</v>
      </c>
      <c r="B118" s="149" t="s">
        <v>1273</v>
      </c>
      <c r="C118" s="17" t="s">
        <v>1252</v>
      </c>
      <c r="D118" s="17">
        <v>1369358662</v>
      </c>
      <c r="E118" s="136">
        <v>1</v>
      </c>
      <c r="F118" s="147">
        <f>IFERROR(VLOOKUP(B118,Regularizare!$B:$AX,27,FALSE),"-")</f>
        <v>916135</v>
      </c>
      <c r="G118" s="147">
        <f t="shared" si="12"/>
        <v>941193</v>
      </c>
      <c r="H118" s="139">
        <v>0</v>
      </c>
      <c r="I118" s="139">
        <v>0</v>
      </c>
      <c r="J118" s="147">
        <f>IFERROR(VLOOKUP(B118,Regularizare!$B:$AX,33,FALSE),"-")</f>
        <v>93086</v>
      </c>
      <c r="K118" s="1">
        <f t="shared" si="20"/>
        <v>93086</v>
      </c>
      <c r="L118" s="1">
        <f>IFERROR(VLOOKUP(B118,Regularizare!$B:$AX,37,FALSE),"-")</f>
        <v>66430</v>
      </c>
      <c r="M118" s="1">
        <f t="shared" si="21"/>
        <v>66430</v>
      </c>
      <c r="N118" s="147">
        <f>VLOOKUP(B118,'Inchidere contur'!$G:$H,2,FALSE)</f>
        <v>25058</v>
      </c>
      <c r="O118" s="1">
        <f t="shared" si="17"/>
        <v>0</v>
      </c>
      <c r="P118" s="1">
        <f t="shared" si="18"/>
        <v>0</v>
      </c>
      <c r="Q118" s="1">
        <f t="shared" si="19"/>
        <v>0</v>
      </c>
      <c r="R118" s="178">
        <f>IFERROR(VLOOKUP(B118,'Inchidere contur'!$G:$T,11,FALSE),0)</f>
        <v>25058</v>
      </c>
      <c r="S118" s="147">
        <f>IFERROR(VLOOKUP(B118,'Inchidere contur'!$G:$T,12,FALSE),0)</f>
        <v>15338</v>
      </c>
      <c r="T118" s="147">
        <f>IFERROR(VLOOKUP(B118,'Inchidere contur'!$G:$T,13,FALSE),0)</f>
        <v>0</v>
      </c>
      <c r="V118" s="76"/>
    </row>
    <row r="119" spans="1:22" ht="16.5" thickTop="1">
      <c r="A119" s="17">
        <f t="shared" si="11"/>
        <v>168</v>
      </c>
      <c r="B119" s="150" t="s">
        <v>662</v>
      </c>
      <c r="C119" s="142" t="s">
        <v>1048</v>
      </c>
      <c r="D119" s="142">
        <v>1371642903</v>
      </c>
      <c r="E119" s="142">
        <v>1</v>
      </c>
      <c r="F119" s="147">
        <v>0</v>
      </c>
      <c r="G119" s="147">
        <v>0</v>
      </c>
      <c r="H119" s="1">
        <f>IFERROR(ROUND(VLOOKUP(D119,'Date masura SDI'!$A:$G,4,FALSE),0),"-")</f>
        <v>1665278</v>
      </c>
      <c r="I119" s="1">
        <f>IFERROR(ROUND(VLOOKUP(D119,'Date masura SDI'!$A:$G,5,FALSE),0),"-")</f>
        <v>1788097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f>IF(IFERROR(ROUND(VLOOKUP(D119,'Date masura SDI'!$A$5:$K$999,11,FALSE),0),"-")&lt;&gt;(I119-H119),"EROARE",IFERROR(ROUND(VLOOKUP(D119,'Date masura SDI'!$A$5:$K$999,11,FALSE),0),"-"))</f>
        <v>122819</v>
      </c>
      <c r="P119" s="147">
        <v>0</v>
      </c>
      <c r="Q119" s="147">
        <v>0</v>
      </c>
      <c r="R119" s="147">
        <v>0</v>
      </c>
      <c r="S119" s="147">
        <v>0</v>
      </c>
      <c r="T119" s="147">
        <v>0</v>
      </c>
      <c r="V119" s="76"/>
    </row>
    <row r="120" spans="1:22">
      <c r="A120" s="17">
        <f t="shared" si="11"/>
        <v>169</v>
      </c>
      <c r="B120" s="41" t="s">
        <v>663</v>
      </c>
      <c r="C120" s="17" t="s">
        <v>1049</v>
      </c>
      <c r="D120" s="17">
        <v>1371621928</v>
      </c>
      <c r="E120" s="17">
        <v>1</v>
      </c>
      <c r="F120" s="1">
        <v>0</v>
      </c>
      <c r="G120" s="1">
        <v>0</v>
      </c>
      <c r="H120" s="1">
        <f>IFERROR(ROUND(VLOOKUP(D120,'Date masura SDI'!$A:$G,4,FALSE),0),"-")</f>
        <v>593823</v>
      </c>
      <c r="I120" s="1">
        <f>IFERROR(ROUND(VLOOKUP(D120,'Date masura SDI'!$A:$G,5,FALSE),0),"-")</f>
        <v>635701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f>IF(IFERROR(ROUND(VLOOKUP(D120,'Date masura SDI'!$A$5:$K$999,11,FALSE),0),"-")&lt;&gt;(I120-H120),"EROARE",IFERROR(ROUND(VLOOKUP(D120,'Date masura SDI'!$A$5:$K$999,11,FALSE),0),"-"))</f>
        <v>41878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V120" s="76"/>
    </row>
    <row r="121" spans="1:22">
      <c r="A121" s="17">
        <f t="shared" si="11"/>
        <v>170</v>
      </c>
      <c r="B121" s="41" t="s">
        <v>664</v>
      </c>
      <c r="C121" s="17" t="s">
        <v>1050</v>
      </c>
      <c r="D121" s="17">
        <v>1373362497</v>
      </c>
      <c r="E121" s="17">
        <v>1</v>
      </c>
      <c r="F121" s="1">
        <v>0</v>
      </c>
      <c r="G121" s="1">
        <v>0</v>
      </c>
      <c r="H121" s="1">
        <f>IFERROR(ROUND(VLOOKUP(D121,'Date masura SDI'!$A:$G,4,FALSE),0),"-")</f>
        <v>1004454</v>
      </c>
      <c r="I121" s="1">
        <f>IFERROR(ROUND(VLOOKUP(D121,'Date masura SDI'!$A:$G,5,FALSE),0),"-")</f>
        <v>1081066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f>IF(IFERROR(ROUND(VLOOKUP(D121,'Date masura SDI'!$A$5:$K$999,11,FALSE),0),"-")&lt;&gt;(I121-H121),"EROARE",IFERROR(ROUND(VLOOKUP(D121,'Date masura SDI'!$A$5:$K$999,11,FALSE),0),"-"))</f>
        <v>76612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V121" s="76"/>
    </row>
    <row r="122" spans="1:22">
      <c r="A122" s="17">
        <f t="shared" si="11"/>
        <v>171</v>
      </c>
      <c r="B122" s="41" t="s">
        <v>665</v>
      </c>
      <c r="C122" s="17" t="s">
        <v>1051</v>
      </c>
      <c r="D122" s="17">
        <v>1373362724</v>
      </c>
      <c r="E122" s="17">
        <v>1</v>
      </c>
      <c r="F122" s="1">
        <v>0</v>
      </c>
      <c r="G122" s="1">
        <v>0</v>
      </c>
      <c r="H122" s="1">
        <f>IFERROR(ROUND(VLOOKUP(D122,'Date masura SDI'!$A:$G,4,FALSE),0),"-")</f>
        <v>1555608</v>
      </c>
      <c r="I122" s="1">
        <f>IFERROR(ROUND(VLOOKUP(D122,'Date masura SDI'!$A:$G,5,FALSE),0),"-")</f>
        <v>1695333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f>IF(IFERROR(ROUND(VLOOKUP(D122,'Date masura SDI'!$A$5:$K$999,11,FALSE),0),"-")&lt;&gt;(I122-H122),"EROARE",IFERROR(ROUND(VLOOKUP(D122,'Date masura SDI'!$A$5:$K$999,11,FALSE),0),"-"))</f>
        <v>139725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V122" s="76"/>
    </row>
    <row r="123" spans="1:22">
      <c r="A123" s="17">
        <f t="shared" si="11"/>
        <v>172</v>
      </c>
      <c r="B123" s="41" t="s">
        <v>666</v>
      </c>
      <c r="C123" s="17" t="s">
        <v>1052</v>
      </c>
      <c r="D123" s="17">
        <v>1371624621</v>
      </c>
      <c r="E123" s="17">
        <v>1</v>
      </c>
      <c r="F123" s="1">
        <v>0</v>
      </c>
      <c r="G123" s="1">
        <v>0</v>
      </c>
      <c r="H123" s="1">
        <f>IFERROR(ROUND(VLOOKUP(D123,'Date masura SDI'!$A:$G,4,FALSE),0),"-")</f>
        <v>1889329</v>
      </c>
      <c r="I123" s="1">
        <f>IFERROR(ROUND(VLOOKUP(D123,'Date masura SDI'!$A:$G,5,FALSE),0),"-")</f>
        <v>2059990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f>IF(IFERROR(ROUND(VLOOKUP(D123,'Date masura SDI'!$A$5:$K$999,11,FALSE),0),"-")&lt;&gt;(I123-H123),"EROARE",IFERROR(ROUND(VLOOKUP(D123,'Date masura SDI'!$A$5:$K$999,11,FALSE),0),"-"))</f>
        <v>170661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V123" s="76"/>
    </row>
    <row r="124" spans="1:22">
      <c r="A124" s="17">
        <f>A123+1</f>
        <v>173</v>
      </c>
      <c r="B124" s="41" t="s">
        <v>1422</v>
      </c>
      <c r="C124" s="17" t="s">
        <v>1423</v>
      </c>
      <c r="D124" s="17">
        <v>23295929</v>
      </c>
      <c r="E124" s="17">
        <v>500</v>
      </c>
      <c r="F124" s="1">
        <v>0</v>
      </c>
      <c r="G124" s="1">
        <v>0</v>
      </c>
      <c r="H124" s="1">
        <f>IFERROR(ROUND(VLOOKUP(D124,'Date masura SDI'!$A:$G,4,FALSE),0),"-")</f>
        <v>447</v>
      </c>
      <c r="I124" s="1">
        <f>IFERROR(ROUND(VLOOKUP(D124,'Date masura SDI'!$A:$G,5,FALSE),2),"-")</f>
        <v>546.82000000000005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6">
        <f>(I124-H124)*500</f>
        <v>49910.000000000022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V124" s="76"/>
    </row>
    <row r="125" spans="1:22">
      <c r="A125" s="17">
        <f>A124+1</f>
        <v>174</v>
      </c>
      <c r="B125" s="41" t="s">
        <v>667</v>
      </c>
      <c r="C125" s="17" t="s">
        <v>1053</v>
      </c>
      <c r="D125" s="17">
        <v>1371621682</v>
      </c>
      <c r="E125" s="17">
        <v>1</v>
      </c>
      <c r="F125" s="1">
        <v>0</v>
      </c>
      <c r="G125" s="1">
        <v>0</v>
      </c>
      <c r="H125" s="1">
        <f>IFERROR(ROUND(VLOOKUP(D125,'Date masura SDI'!$A:$G,4,FALSE),0),"-")</f>
        <v>1690393</v>
      </c>
      <c r="I125" s="1">
        <f>IFERROR(ROUND(VLOOKUP(D125,'Date masura SDI'!$A:$G,5,FALSE),0),"-")</f>
        <v>1816355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f>IF(IFERROR(ROUND(VLOOKUP(D125,'Date masura SDI'!$A$5:$K$999,11,FALSE),0),"-")&lt;&gt;(I125-H125),"EROARE",IFERROR(ROUND(VLOOKUP(D125,'Date masura SDI'!$A$5:$K$999,11,FALSE),0),"-"))</f>
        <v>125962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V125" s="76"/>
    </row>
    <row r="126" spans="1:22">
      <c r="A126" s="17">
        <f t="shared" ref="A126:A168" si="24">A125+1</f>
        <v>175</v>
      </c>
      <c r="B126" s="41" t="s">
        <v>668</v>
      </c>
      <c r="C126" s="17" t="s">
        <v>1054</v>
      </c>
      <c r="D126" s="17">
        <v>1371621501</v>
      </c>
      <c r="E126" s="17">
        <v>1</v>
      </c>
      <c r="F126" s="1">
        <v>0</v>
      </c>
      <c r="G126" s="1">
        <v>0</v>
      </c>
      <c r="H126" s="1">
        <f>IFERROR(ROUND(VLOOKUP(D126,'Date masura SDI'!$A:$G,4,FALSE),0),"-")</f>
        <v>495216</v>
      </c>
      <c r="I126" s="1">
        <f>IFERROR(ROUND(VLOOKUP(D126,'Date masura SDI'!$A:$G,5,FALSE),0),"-")</f>
        <v>534695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f>IF(IFERROR(ROUND(VLOOKUP(D126,'Date masura SDI'!$A$5:$K$999,11,FALSE),0),"-")&lt;&gt;(I126-H126),"EROARE",IFERROR(ROUND(VLOOKUP(D126,'Date masura SDI'!$A$5:$K$999,11,FALSE),0),"-"))</f>
        <v>39479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V126" s="76"/>
    </row>
    <row r="127" spans="1:22">
      <c r="A127" s="17">
        <f t="shared" si="24"/>
        <v>176</v>
      </c>
      <c r="B127" s="41" t="s">
        <v>669</v>
      </c>
      <c r="C127" s="17" t="s">
        <v>1055</v>
      </c>
      <c r="D127" s="17">
        <v>1371641082</v>
      </c>
      <c r="E127" s="17">
        <v>1</v>
      </c>
      <c r="F127" s="1">
        <v>0</v>
      </c>
      <c r="G127" s="1">
        <v>0</v>
      </c>
      <c r="H127" s="1">
        <f>IFERROR(ROUND(VLOOKUP(D127,'Date masura SDI'!$A:$G,4,FALSE),0),"-")</f>
        <v>516268</v>
      </c>
      <c r="I127" s="1">
        <f>IFERROR(ROUND(VLOOKUP(D127,'Date masura SDI'!$A:$G,5,FALSE),0),"-")</f>
        <v>550854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f>IF(IFERROR(ROUND(VLOOKUP(D127,'Date masura SDI'!$A$5:$K$999,11,FALSE),0),"-")&lt;&gt;(I127-H127),"EROARE",IFERROR(ROUND(VLOOKUP(D127,'Date masura SDI'!$A$5:$K$999,11,FALSE),0),"-"))</f>
        <v>34586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V127" s="76"/>
    </row>
    <row r="128" spans="1:22">
      <c r="A128" s="17">
        <f t="shared" si="24"/>
        <v>177</v>
      </c>
      <c r="B128" s="41" t="s">
        <v>670</v>
      </c>
      <c r="C128" s="17" t="s">
        <v>1056</v>
      </c>
      <c r="D128" s="17">
        <v>1372628454</v>
      </c>
      <c r="E128" s="17">
        <v>1</v>
      </c>
      <c r="F128" s="1">
        <v>0</v>
      </c>
      <c r="G128" s="1">
        <v>0</v>
      </c>
      <c r="H128" s="1">
        <f>IFERROR(ROUND(VLOOKUP(D128,'Date masura SDI'!$A:$G,4,FALSE),0),"-")</f>
        <v>357998</v>
      </c>
      <c r="I128" s="1">
        <f>IFERROR(ROUND(VLOOKUP(D128,'Date masura SDI'!$A:$G,5,FALSE),0),"-")</f>
        <v>382151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f>IF(IFERROR(ROUND(VLOOKUP(D128,'Date masura SDI'!$A$5:$K$999,11,FALSE),0),"-")&lt;&gt;(I128-H128),"EROARE",IFERROR(ROUND(VLOOKUP(D128,'Date masura SDI'!$A$5:$K$999,11,FALSE),0),"-"))</f>
        <v>24153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V128" s="76"/>
    </row>
    <row r="129" spans="1:22">
      <c r="A129" s="17">
        <f t="shared" si="24"/>
        <v>178</v>
      </c>
      <c r="B129" s="41" t="s">
        <v>671</v>
      </c>
      <c r="C129" s="17" t="s">
        <v>1057</v>
      </c>
      <c r="D129" s="17">
        <v>1372655654</v>
      </c>
      <c r="E129" s="17">
        <v>1</v>
      </c>
      <c r="F129" s="1">
        <v>0</v>
      </c>
      <c r="G129" s="1">
        <v>0</v>
      </c>
      <c r="H129" s="1">
        <f>IFERROR(ROUND(VLOOKUP(D129,'Date masura SDI'!$A:$G,4,FALSE),0),"-")</f>
        <v>1384703</v>
      </c>
      <c r="I129" s="1">
        <f>IFERROR(ROUND(VLOOKUP(D129,'Date masura SDI'!$A:$G,5,FALSE),0),"-")</f>
        <v>1466167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f>IF(IFERROR(ROUND(VLOOKUP(D129,'Date masura SDI'!$A$5:$K$999,11,FALSE),0),"-")&lt;&gt;(I129-H129),"EROARE",IFERROR(ROUND(VLOOKUP(D129,'Date masura SDI'!$A$5:$K$999,11,FALSE),0),"-"))</f>
        <v>81464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V129" s="76"/>
    </row>
    <row r="130" spans="1:22">
      <c r="A130" s="17">
        <f t="shared" si="24"/>
        <v>179</v>
      </c>
      <c r="B130" s="41" t="s">
        <v>672</v>
      </c>
      <c r="C130" s="17" t="s">
        <v>1058</v>
      </c>
      <c r="D130" s="17">
        <v>1372640362</v>
      </c>
      <c r="E130" s="17">
        <v>1</v>
      </c>
      <c r="F130" s="1">
        <v>0</v>
      </c>
      <c r="G130" s="1">
        <v>0</v>
      </c>
      <c r="H130" s="1">
        <f>IFERROR(ROUND(VLOOKUP(D130,'Date masura SDI'!$A:$G,4,FALSE),0),"-")</f>
        <v>1408554</v>
      </c>
      <c r="I130" s="1">
        <f>IFERROR(ROUND(VLOOKUP(D130,'Date masura SDI'!$A:$G,5,FALSE),0),"-")</f>
        <v>1535919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f>IF(IFERROR(ROUND(VLOOKUP(D130,'Date masura SDI'!$A$5:$K$999,11,FALSE),0),"-")&lt;&gt;(I130-H130),"EROARE",IFERROR(ROUND(VLOOKUP(D130,'Date masura SDI'!$A$5:$K$999,11,FALSE),0),"-"))</f>
        <v>127365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V130" s="76"/>
    </row>
    <row r="131" spans="1:22">
      <c r="A131" s="17">
        <f t="shared" si="24"/>
        <v>180</v>
      </c>
      <c r="B131" s="41" t="s">
        <v>673</v>
      </c>
      <c r="C131" s="17" t="s">
        <v>1059</v>
      </c>
      <c r="D131" s="17">
        <v>1371628684</v>
      </c>
      <c r="E131" s="17">
        <v>1</v>
      </c>
      <c r="F131" s="1">
        <v>0</v>
      </c>
      <c r="G131" s="1">
        <v>0</v>
      </c>
      <c r="H131" s="1">
        <f>IFERROR(ROUND(VLOOKUP(D131,'Date masura SDI'!$A:$G,4,FALSE),0),"-")</f>
        <v>2221679</v>
      </c>
      <c r="I131" s="1">
        <f>IFERROR(ROUND(VLOOKUP(D131,'Date masura SDI'!$A:$G,5,FALSE),0),"-")</f>
        <v>2390246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f>IF(IFERROR(ROUND(VLOOKUP(D131,'Date masura SDI'!$A$5:$K$999,11,FALSE),0),"-")&lt;&gt;(I131-H131),"EROARE",IFERROR(ROUND(VLOOKUP(D131,'Date masura SDI'!$A$5:$K$999,11,FALSE),0),"-"))</f>
        <v>168567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V131" s="76"/>
    </row>
    <row r="132" spans="1:22">
      <c r="A132" s="17">
        <f t="shared" si="24"/>
        <v>181</v>
      </c>
      <c r="B132" s="41" t="s">
        <v>674</v>
      </c>
      <c r="C132" s="17" t="s">
        <v>1060</v>
      </c>
      <c r="D132" s="17">
        <v>1371639203</v>
      </c>
      <c r="E132" s="17">
        <v>1</v>
      </c>
      <c r="F132" s="1">
        <v>0</v>
      </c>
      <c r="G132" s="1">
        <v>0</v>
      </c>
      <c r="H132" s="1">
        <f>IFERROR(ROUND(VLOOKUP(D132,'Date masura SDI'!$A:$G,4,FALSE),0),"-")</f>
        <v>1473576</v>
      </c>
      <c r="I132" s="1">
        <f>IFERROR(ROUND(VLOOKUP(D132,'Date masura SDI'!$A:$G,5,FALSE),0),"-")</f>
        <v>1586646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f>IF(IFERROR(ROUND(VLOOKUP(D132,'Date masura SDI'!$A$5:$K$999,11,FALSE),0),"-")&lt;&gt;(I132-H132),"EROARE",IFERROR(ROUND(VLOOKUP(D132,'Date masura SDI'!$A$5:$K$999,11,FALSE),0),"-"))</f>
        <v>113070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V132" s="76"/>
    </row>
    <row r="133" spans="1:22">
      <c r="A133" s="17">
        <f t="shared" si="24"/>
        <v>182</v>
      </c>
      <c r="B133" s="41" t="s">
        <v>675</v>
      </c>
      <c r="C133" s="17" t="s">
        <v>1061</v>
      </c>
      <c r="D133" s="17">
        <v>1371621427</v>
      </c>
      <c r="E133" s="17">
        <v>1</v>
      </c>
      <c r="F133" s="1">
        <v>0</v>
      </c>
      <c r="G133" s="1">
        <v>0</v>
      </c>
      <c r="H133" s="1">
        <f>IFERROR(ROUND(VLOOKUP(D133,'Date masura SDI'!$A:$G,4,FALSE),0),"-")</f>
        <v>1601886</v>
      </c>
      <c r="I133" s="1">
        <f>IFERROR(ROUND(VLOOKUP(D133,'Date masura SDI'!$A:$G,5,FALSE),0),"-")</f>
        <v>1761772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f>IF(IFERROR(ROUND(VLOOKUP(D133,'Date masura SDI'!$A$5:$K$999,11,FALSE),0),"-")&lt;&gt;(I133-H133),"EROARE",IFERROR(ROUND(VLOOKUP(D133,'Date masura SDI'!$A$5:$K$999,11,FALSE),0),"-"))</f>
        <v>159886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V133" s="76"/>
    </row>
    <row r="134" spans="1:22">
      <c r="A134" s="17">
        <f t="shared" si="24"/>
        <v>183</v>
      </c>
      <c r="B134" s="41" t="s">
        <v>676</v>
      </c>
      <c r="C134" s="17" t="s">
        <v>1062</v>
      </c>
      <c r="D134" s="17">
        <v>1371621427</v>
      </c>
      <c r="E134" s="17">
        <v>1</v>
      </c>
      <c r="F134" s="1">
        <v>0</v>
      </c>
      <c r="G134" s="1">
        <v>0</v>
      </c>
      <c r="H134" s="1">
        <f>IFERROR(ROUND(VLOOKUP(D134,'Date masura SDI'!$A:$G,4,FALSE),0),"-")</f>
        <v>1601886</v>
      </c>
      <c r="I134" s="1">
        <f>IFERROR(ROUND(VLOOKUP(D134,'Date masura SDI'!$A:$G,5,FALSE),0),"-")</f>
        <v>1761772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f>IF(IFERROR(ROUND(VLOOKUP(D134,'Date masura SDI'!$A$5:$K$999,11,FALSE),0),"-")&lt;&gt;(I134-H134),"EROARE",IFERROR(ROUND(VLOOKUP(D134,'Date masura SDI'!$A$5:$K$999,11,FALSE),0),"-"))</f>
        <v>159886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V134" s="76"/>
    </row>
    <row r="135" spans="1:22">
      <c r="A135" s="17">
        <f t="shared" si="24"/>
        <v>184</v>
      </c>
      <c r="B135" s="41" t="s">
        <v>677</v>
      </c>
      <c r="C135" s="17" t="s">
        <v>1063</v>
      </c>
      <c r="D135" s="17">
        <v>1371020412</v>
      </c>
      <c r="E135" s="17">
        <v>1</v>
      </c>
      <c r="F135" s="1">
        <v>0</v>
      </c>
      <c r="G135" s="1">
        <v>0</v>
      </c>
      <c r="H135" s="1">
        <f>IFERROR(ROUND(VLOOKUP(D135,'Date masura SDI'!$A:$G,4,FALSE),0),"-")</f>
        <v>2146057</v>
      </c>
      <c r="I135" s="1">
        <f>IFERROR(ROUND(VLOOKUP(D135,'Date masura SDI'!$A:$G,5,FALSE),0),"-")</f>
        <v>2266090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f>IF(IFERROR(ROUND(VLOOKUP(D135,'Date masura SDI'!$A$5:$K$999,11,FALSE),0),"-")&lt;&gt;(I135-H135),"EROARE",IFERROR(ROUND(VLOOKUP(D135,'Date masura SDI'!$A$5:$K$999,11,FALSE),0),"-"))</f>
        <v>120033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V135" s="76"/>
    </row>
    <row r="136" spans="1:22">
      <c r="A136" s="17">
        <f t="shared" si="24"/>
        <v>185</v>
      </c>
      <c r="B136" s="41" t="s">
        <v>864</v>
      </c>
      <c r="C136" s="17" t="s">
        <v>1064</v>
      </c>
      <c r="D136" s="17">
        <v>1371642424</v>
      </c>
      <c r="E136" s="17">
        <v>1</v>
      </c>
      <c r="F136" s="1">
        <v>0</v>
      </c>
      <c r="G136" s="1">
        <v>0</v>
      </c>
      <c r="H136" s="1">
        <f>IFERROR(ROUND(VLOOKUP(D136,'Date masura SDI'!$A:$G,4,FALSE),0),"-")</f>
        <v>1190620</v>
      </c>
      <c r="I136" s="1">
        <f>IFERROR(ROUND(VLOOKUP(D136,'Date masura SDI'!$A:$G,5,FALSE),0),"-")</f>
        <v>1259495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f>IF(IFERROR(ROUND(VLOOKUP(D136,'Date masura SDI'!$A$5:$K$999,11,FALSE),0),"-")&lt;&gt;(I136-H136),"EROARE",IFERROR(ROUND(VLOOKUP(D136,'Date masura SDI'!$A$5:$K$999,11,FALSE),0),"-"))</f>
        <v>68875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V136" s="76"/>
    </row>
    <row r="137" spans="1:22">
      <c r="A137" s="17">
        <f t="shared" si="24"/>
        <v>186</v>
      </c>
      <c r="B137" s="41" t="s">
        <v>863</v>
      </c>
      <c r="C137" s="17" t="s">
        <v>1065</v>
      </c>
      <c r="D137" s="17">
        <v>1371641399</v>
      </c>
      <c r="E137" s="17">
        <v>1</v>
      </c>
      <c r="F137" s="1">
        <v>0</v>
      </c>
      <c r="G137" s="1">
        <v>0</v>
      </c>
      <c r="H137" s="1">
        <f>IFERROR(ROUND(VLOOKUP(D137,'Date masura SDI'!$A:$G,4,FALSE),0),"-")</f>
        <v>241099</v>
      </c>
      <c r="I137" s="1">
        <f>IFERROR(ROUND(VLOOKUP(D137,'Date masura SDI'!$A:$G,5,FALSE),0),"-")</f>
        <v>255106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f>IF(IFERROR(ROUND(VLOOKUP(D137,'Date masura SDI'!$A$5:$K$999,11,FALSE),0),"-")&lt;&gt;(I137-H137),"EROARE",IFERROR(ROUND(VLOOKUP(D137,'Date masura SDI'!$A$5:$K$999,11,FALSE),0),"-"))</f>
        <v>14007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V137" s="76"/>
    </row>
    <row r="138" spans="1:22">
      <c r="A138" s="17">
        <f t="shared" si="24"/>
        <v>187</v>
      </c>
      <c r="B138" s="41" t="s">
        <v>678</v>
      </c>
      <c r="C138" s="17" t="s">
        <v>1066</v>
      </c>
      <c r="D138" s="17">
        <v>1371641418</v>
      </c>
      <c r="E138" s="17">
        <v>1</v>
      </c>
      <c r="F138" s="1">
        <v>0</v>
      </c>
      <c r="G138" s="1">
        <v>0</v>
      </c>
      <c r="H138" s="1">
        <f>IFERROR(ROUND(VLOOKUP(D138,'Date masura SDI'!$A:$G,4,FALSE),0),"-")</f>
        <v>1057582</v>
      </c>
      <c r="I138" s="1">
        <f>IFERROR(ROUND(VLOOKUP(D138,'Date masura SDI'!$A:$G,5,FALSE),0),"-")</f>
        <v>1116602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f>IF(IFERROR(ROUND(VLOOKUP(D138,'Date masura SDI'!$A$5:$K$999,11,FALSE),0),"-")&lt;&gt;(I138-H138),"EROARE",IFERROR(ROUND(VLOOKUP(D138,'Date masura SDI'!$A$5:$K$999,11,FALSE),0),"-"))</f>
        <v>59020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V138" s="76"/>
    </row>
    <row r="139" spans="1:22">
      <c r="A139" s="17">
        <f t="shared" si="24"/>
        <v>188</v>
      </c>
      <c r="B139" s="41" t="s">
        <v>679</v>
      </c>
      <c r="C139" s="17" t="s">
        <v>1067</v>
      </c>
      <c r="D139" s="17">
        <v>1371019871</v>
      </c>
      <c r="E139" s="17">
        <v>1</v>
      </c>
      <c r="F139" s="1">
        <v>0</v>
      </c>
      <c r="G139" s="1">
        <v>0</v>
      </c>
      <c r="H139" s="1">
        <f>IFERROR(ROUND(VLOOKUP(D139,'Date masura SDI'!$A:$G,4,FALSE),0),"-")</f>
        <v>813501</v>
      </c>
      <c r="I139" s="1">
        <f>IFERROR(ROUND(VLOOKUP(D139,'Date masura SDI'!$A:$G,5,FALSE),0),"-")</f>
        <v>857604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f>IF(IFERROR(ROUND(VLOOKUP(D139,'Date masura SDI'!$A$5:$K$999,11,FALSE),0),"-")&lt;&gt;(I139-H139),"EROARE",IFERROR(ROUND(VLOOKUP(D139,'Date masura SDI'!$A$5:$K$999,11,FALSE),0),"-"))</f>
        <v>44103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V139" s="76"/>
    </row>
    <row r="140" spans="1:22">
      <c r="A140" s="17">
        <f t="shared" si="24"/>
        <v>189</v>
      </c>
      <c r="B140" s="41" t="s">
        <v>1016</v>
      </c>
      <c r="C140" s="17" t="s">
        <v>1068</v>
      </c>
      <c r="D140" s="17">
        <v>1371019871</v>
      </c>
      <c r="E140" s="17">
        <v>1</v>
      </c>
      <c r="F140" s="1">
        <v>0</v>
      </c>
      <c r="G140" s="1">
        <v>0</v>
      </c>
      <c r="H140" s="1">
        <f>IFERROR(ROUND(VLOOKUP(D140,'Date masura SDI'!$A:$G,4,FALSE),0),"-")</f>
        <v>813501</v>
      </c>
      <c r="I140" s="1">
        <f>IFERROR(ROUND(VLOOKUP(D140,'Date masura SDI'!$A:$G,5,FALSE),0),"-")</f>
        <v>857604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f>IF(IFERROR(ROUND(VLOOKUP(D140,'Date masura SDI'!$A$5:$K$999,11,FALSE),0),"-")&lt;&gt;(I140-H140),"EROARE",IFERROR(ROUND(VLOOKUP(D140,'Date masura SDI'!$A$5:$K$999,11,FALSE),0),"-"))</f>
        <v>44103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V140" s="76"/>
    </row>
    <row r="141" spans="1:22">
      <c r="A141" s="17">
        <f t="shared" si="24"/>
        <v>190</v>
      </c>
      <c r="B141" s="41" t="s">
        <v>680</v>
      </c>
      <c r="C141" s="17" t="s">
        <v>1069</v>
      </c>
      <c r="D141" s="17">
        <v>1371022952</v>
      </c>
      <c r="E141" s="17">
        <v>1</v>
      </c>
      <c r="F141" s="1">
        <v>0</v>
      </c>
      <c r="G141" s="1">
        <v>0</v>
      </c>
      <c r="H141" s="1">
        <f>IFERROR(ROUND(VLOOKUP(D141,'Date masura SDI'!$A:$G,4,FALSE),0),"-")</f>
        <v>1087371</v>
      </c>
      <c r="I141" s="1">
        <f>IFERROR(ROUND(VLOOKUP(D141,'Date masura SDI'!$A:$G,5,FALSE),0),"-")</f>
        <v>1151999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f>IF(IFERROR(ROUND(VLOOKUP(D141,'Date masura SDI'!$A$5:$K$999,11,FALSE),0),"-")&lt;&gt;(I141-H141),"EROARE",IFERROR(ROUND(VLOOKUP(D141,'Date masura SDI'!$A$5:$K$999,11,FALSE),0),"-"))</f>
        <v>64628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V141" s="76"/>
    </row>
    <row r="142" spans="1:22">
      <c r="A142" s="17">
        <f t="shared" si="24"/>
        <v>191</v>
      </c>
      <c r="B142" s="41" t="s">
        <v>681</v>
      </c>
      <c r="C142" s="17" t="s">
        <v>1070</v>
      </c>
      <c r="D142" s="17">
        <v>1370127118</v>
      </c>
      <c r="E142" s="17">
        <v>1</v>
      </c>
      <c r="F142" s="1">
        <v>0</v>
      </c>
      <c r="G142" s="1">
        <v>0</v>
      </c>
      <c r="H142" s="1">
        <f>IFERROR(ROUND(VLOOKUP(D142,'Date masura SDI'!$A:$G,4,FALSE),0),"-")</f>
        <v>835686</v>
      </c>
      <c r="I142" s="1">
        <f>IFERROR(ROUND(VLOOKUP(D142,'Date masura SDI'!$A:$G,5,FALSE),0),"-")</f>
        <v>878158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f>IF(IFERROR(ROUND(VLOOKUP(D142,'Date masura SDI'!$A$5:$K$999,11,FALSE),0),"-")&lt;&gt;(I142-H142),"EROARE",IFERROR(ROUND(VLOOKUP(D142,'Date masura SDI'!$A$5:$K$999,11,FALSE),0),"-"))</f>
        <v>42472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V142" s="76"/>
    </row>
    <row r="143" spans="1:22">
      <c r="A143" s="17">
        <f t="shared" si="24"/>
        <v>192</v>
      </c>
      <c r="B143" s="41" t="s">
        <v>682</v>
      </c>
      <c r="C143" s="17" t="s">
        <v>1071</v>
      </c>
      <c r="D143" s="17">
        <v>1371641800</v>
      </c>
      <c r="E143" s="17">
        <v>1</v>
      </c>
      <c r="F143" s="1">
        <v>0</v>
      </c>
      <c r="G143" s="1">
        <v>0</v>
      </c>
      <c r="H143" s="1">
        <f>IFERROR(ROUND(VLOOKUP(D143,'Date masura SDI'!$A:$G,4,FALSE),0),"-")</f>
        <v>762309</v>
      </c>
      <c r="I143" s="1">
        <f>IFERROR(ROUND(VLOOKUP(D143,'Date masura SDI'!$A:$G,5,FALSE),0),"-")</f>
        <v>831453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f>IF(IFERROR(ROUND(VLOOKUP(D143,'Date masura SDI'!$A$5:$K$999,11,FALSE),0),"-")&lt;&gt;(I143-H143),"EROARE",IFERROR(ROUND(VLOOKUP(D143,'Date masura SDI'!$A$5:$K$999,11,FALSE),0),"-"))</f>
        <v>69144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V143" s="76"/>
    </row>
    <row r="144" spans="1:22">
      <c r="A144" s="17">
        <f t="shared" si="24"/>
        <v>193</v>
      </c>
      <c r="B144" s="41" t="s">
        <v>683</v>
      </c>
      <c r="C144" s="17" t="s">
        <v>1072</v>
      </c>
      <c r="D144" s="17">
        <v>1373265974</v>
      </c>
      <c r="E144" s="17">
        <v>1</v>
      </c>
      <c r="F144" s="1">
        <v>0</v>
      </c>
      <c r="G144" s="1">
        <v>0</v>
      </c>
      <c r="H144" s="1">
        <f>IFERROR(ROUND(VLOOKUP(D144,'Date masura SDI'!$A:$G,4,FALSE),0),"-")</f>
        <v>620788</v>
      </c>
      <c r="I144" s="1">
        <f>IFERROR(ROUND(VLOOKUP(D144,'Date masura SDI'!$A:$G,5,FALSE),0),"-")</f>
        <v>687140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f>IF(IFERROR(ROUND(VLOOKUP(D144,'Date masura SDI'!$A$5:$K$999,11,FALSE),0),"-")&lt;&gt;(I144-H144),"EROARE",IFERROR(ROUND(VLOOKUP(D144,'Date masura SDI'!$A$5:$K$999,11,FALSE),0),"-"))</f>
        <v>66352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V144" s="76"/>
    </row>
    <row r="145" spans="1:22">
      <c r="A145" s="17">
        <f t="shared" si="24"/>
        <v>194</v>
      </c>
      <c r="B145" s="41" t="s">
        <v>684</v>
      </c>
      <c r="C145" s="17" t="s">
        <v>1073</v>
      </c>
      <c r="D145" s="17">
        <v>1373265936</v>
      </c>
      <c r="E145" s="17">
        <v>1</v>
      </c>
      <c r="F145" s="1">
        <v>0</v>
      </c>
      <c r="G145" s="1">
        <v>0</v>
      </c>
      <c r="H145" s="1">
        <f>IFERROR(ROUND(VLOOKUP(D145,'Date masura SDI'!$A:$G,4,FALSE),0),"-")</f>
        <v>783769</v>
      </c>
      <c r="I145" s="1">
        <f>IFERROR(ROUND(VLOOKUP(D145,'Date masura SDI'!$A:$G,5,FALSE),0),"-")</f>
        <v>859518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f>IF(IFERROR(ROUND(VLOOKUP(D145,'Date masura SDI'!$A$5:$K$999,11,FALSE),0),"-")&lt;&gt;(I145-H145),"EROARE",IFERROR(ROUND(VLOOKUP(D145,'Date masura SDI'!$A$5:$K$999,11,FALSE),0),"-"))</f>
        <v>75749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V145" s="76"/>
    </row>
    <row r="146" spans="1:22">
      <c r="A146" s="17">
        <f t="shared" si="24"/>
        <v>195</v>
      </c>
      <c r="B146" s="41" t="s">
        <v>685</v>
      </c>
      <c r="C146" s="17" t="s">
        <v>1074</v>
      </c>
      <c r="D146" s="17">
        <v>1371624064</v>
      </c>
      <c r="E146" s="17">
        <v>1</v>
      </c>
      <c r="F146" s="1">
        <v>0</v>
      </c>
      <c r="G146" s="1">
        <v>0</v>
      </c>
      <c r="H146" s="1">
        <f>IFERROR(ROUND(VLOOKUP(D146,'Date masura SDI'!$A:$G,4,FALSE),0),"-")</f>
        <v>1493997</v>
      </c>
      <c r="I146" s="1">
        <f>IFERROR(ROUND(VLOOKUP(D146,'Date masura SDI'!$A:$G,5,FALSE),0),"-")</f>
        <v>1531742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f>IF(IFERROR(ROUND(VLOOKUP(D146,'Date masura SDI'!$A$5:$K$999,11,FALSE),0),"-")&lt;&gt;(I146-H146),"EROARE",IFERROR(ROUND(VLOOKUP(D146,'Date masura SDI'!$A$5:$K$999,11,FALSE),0),"-"))</f>
        <v>37745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V146" s="76"/>
    </row>
    <row r="147" spans="1:22">
      <c r="A147" s="17">
        <f t="shared" si="24"/>
        <v>196</v>
      </c>
      <c r="B147" s="41" t="s">
        <v>686</v>
      </c>
      <c r="C147" s="17" t="s">
        <v>1075</v>
      </c>
      <c r="D147" s="17">
        <v>1371871642</v>
      </c>
      <c r="E147" s="17">
        <v>1</v>
      </c>
      <c r="F147" s="1">
        <v>0</v>
      </c>
      <c r="G147" s="1">
        <v>0</v>
      </c>
      <c r="H147" s="1">
        <f>IFERROR(ROUND(VLOOKUP(D147,'Date masura SDI'!$A:$G,4,FALSE),0),"-")</f>
        <v>2258138</v>
      </c>
      <c r="I147" s="1">
        <f>IFERROR(ROUND(VLOOKUP(D147,'Date masura SDI'!$A:$G,5,FALSE),0),"-")</f>
        <v>2372128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f>IF(IFERROR(ROUND(VLOOKUP(D147,'Date masura SDI'!$A$5:$K$999,11,FALSE),0),"-")&lt;&gt;(I147-H147),"EROARE",IFERROR(ROUND(VLOOKUP(D147,'Date masura SDI'!$A$5:$K$999,11,FALSE),0),"-"))</f>
        <v>113990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V147" s="76"/>
    </row>
    <row r="148" spans="1:22">
      <c r="A148" s="17">
        <f t="shared" si="24"/>
        <v>197</v>
      </c>
      <c r="B148" s="41" t="s">
        <v>687</v>
      </c>
      <c r="C148" s="17" t="s">
        <v>1076</v>
      </c>
      <c r="D148" s="17">
        <v>1371624804</v>
      </c>
      <c r="E148" s="17">
        <v>1</v>
      </c>
      <c r="F148" s="1">
        <v>0</v>
      </c>
      <c r="G148" s="1">
        <v>0</v>
      </c>
      <c r="H148" s="1">
        <f>IFERROR(ROUND(VLOOKUP(D148,'Date masura SDI'!$A:$G,4,FALSE),0),"-")</f>
        <v>3310719</v>
      </c>
      <c r="I148" s="1">
        <f>IFERROR(ROUND(VLOOKUP(D148,'Date masura SDI'!$A:$G,5,FALSE),0),"-")</f>
        <v>3590369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f>IF(IFERROR(ROUND(VLOOKUP(D148,'Date masura SDI'!$A$5:$K$999,11,FALSE),0),"-")&lt;&gt;(I148-H148),"EROARE",IFERROR(ROUND(VLOOKUP(D148,'Date masura SDI'!$A$5:$K$999,11,FALSE),0),"-"))</f>
        <v>279650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V148" s="76"/>
    </row>
    <row r="149" spans="1:22">
      <c r="A149" s="17">
        <f t="shared" si="24"/>
        <v>198</v>
      </c>
      <c r="B149" s="41" t="s">
        <v>1178</v>
      </c>
      <c r="C149" s="12" t="s">
        <v>1179</v>
      </c>
      <c r="D149" s="17">
        <v>1373706532</v>
      </c>
      <c r="E149" s="17">
        <v>1</v>
      </c>
      <c r="F149" s="1">
        <v>0</v>
      </c>
      <c r="G149" s="1">
        <v>0</v>
      </c>
      <c r="H149" s="1">
        <f>IFERROR(ROUND(VLOOKUP(D149,'Date masura SDI'!$A:$G,4,FALSE),0),"-")</f>
        <v>275293</v>
      </c>
      <c r="I149" s="1">
        <f>IFERROR(ROUND(VLOOKUP(D149,'Date masura SDI'!$A:$G,5,FALSE),0),"-")</f>
        <v>319563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f>IF(IFERROR(ROUND(VLOOKUP(D149,'Date masura SDI'!$A$5:$K$999,11,FALSE),0),"-")&lt;&gt;(I149-H149),"EROARE",IFERROR(ROUND(VLOOKUP(D149,'Date masura SDI'!$A$5:$K$999,11,FALSE),0),"-"))</f>
        <v>44270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V149" s="76"/>
    </row>
    <row r="150" spans="1:22">
      <c r="A150" s="17">
        <f t="shared" si="24"/>
        <v>199</v>
      </c>
      <c r="B150" s="41" t="s">
        <v>688</v>
      </c>
      <c r="C150" s="17" t="s">
        <v>1077</v>
      </c>
      <c r="D150" s="17">
        <v>1371019838</v>
      </c>
      <c r="E150" s="17">
        <v>1</v>
      </c>
      <c r="F150" s="1">
        <v>0</v>
      </c>
      <c r="G150" s="1">
        <v>0</v>
      </c>
      <c r="H150" s="1">
        <f>IFERROR(ROUND(VLOOKUP(D150,'Date masura SDI'!$A:$G,4,FALSE),0),"-")</f>
        <v>207800</v>
      </c>
      <c r="I150" s="1">
        <f>IFERROR(ROUND(VLOOKUP(D150,'Date masura SDI'!$A:$G,5,FALSE),0),"-")</f>
        <v>221704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f>IF(IFERROR(ROUND(VLOOKUP(D150,'Date masura SDI'!$A$5:$K$999,11,FALSE),0),"-")&lt;&gt;(I150-H150),"EROARE",IFERROR(ROUND(VLOOKUP(D150,'Date masura SDI'!$A$5:$K$999,11,FALSE),0),"-"))</f>
        <v>13904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V150" s="76"/>
    </row>
    <row r="151" spans="1:22">
      <c r="A151" s="17">
        <f t="shared" si="24"/>
        <v>200</v>
      </c>
      <c r="B151" s="41" t="s">
        <v>689</v>
      </c>
      <c r="C151" s="17" t="s">
        <v>1078</v>
      </c>
      <c r="D151" s="17">
        <v>1371623899</v>
      </c>
      <c r="E151" s="17">
        <v>1</v>
      </c>
      <c r="F151" s="1">
        <v>0</v>
      </c>
      <c r="G151" s="1">
        <v>0</v>
      </c>
      <c r="H151" s="1">
        <f>IFERROR(ROUND(VLOOKUP(D151,'Date masura SDI'!$A:$G,4,FALSE),0),"-")</f>
        <v>881274</v>
      </c>
      <c r="I151" s="1">
        <f>IFERROR(ROUND(VLOOKUP(D151,'Date masura SDI'!$A:$G,5,FALSE),0),"-")</f>
        <v>964337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f>IF(IFERROR(ROUND(VLOOKUP(D151,'Date masura SDI'!$A$5:$K$999,11,FALSE),0),"-")&lt;&gt;(I151-H151),"EROARE",IFERROR(ROUND(VLOOKUP(D151,'Date masura SDI'!$A$5:$K$999,11,FALSE),0),"-"))</f>
        <v>83063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V151" s="76"/>
    </row>
    <row r="152" spans="1:22">
      <c r="A152" s="17">
        <f t="shared" si="24"/>
        <v>201</v>
      </c>
      <c r="B152" s="41" t="s">
        <v>690</v>
      </c>
      <c r="C152" s="17" t="s">
        <v>1079</v>
      </c>
      <c r="D152" s="17">
        <v>1371624214</v>
      </c>
      <c r="E152" s="17">
        <v>1</v>
      </c>
      <c r="F152" s="1">
        <v>0</v>
      </c>
      <c r="G152" s="1">
        <v>0</v>
      </c>
      <c r="H152" s="1">
        <f>IFERROR(ROUND(VLOOKUP(D152,'Date masura SDI'!$A:$G,4,FALSE),0),"-")</f>
        <v>908224</v>
      </c>
      <c r="I152" s="1">
        <f>IFERROR(ROUND(VLOOKUP(D152,'Date masura SDI'!$A:$G,5,FALSE),0),"-")</f>
        <v>982822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f>IF(IFERROR(ROUND(VLOOKUP(D152,'Date masura SDI'!$A$5:$K$999,11,FALSE),0),"-")&lt;&gt;(I152-H152),"EROARE",IFERROR(ROUND(VLOOKUP(D152,'Date masura SDI'!$A$5:$K$999,11,FALSE),0),"-"))</f>
        <v>74598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V152" s="76"/>
    </row>
    <row r="153" spans="1:22">
      <c r="A153" s="17">
        <f t="shared" si="24"/>
        <v>202</v>
      </c>
      <c r="B153" s="41" t="s">
        <v>691</v>
      </c>
      <c r="C153" s="17" t="s">
        <v>1080</v>
      </c>
      <c r="D153" s="17">
        <v>1373264334</v>
      </c>
      <c r="E153" s="17">
        <v>1</v>
      </c>
      <c r="F153" s="1">
        <v>0</v>
      </c>
      <c r="G153" s="1">
        <v>0</v>
      </c>
      <c r="H153" s="1">
        <f>IFERROR(ROUND(VLOOKUP(D153,'Date masura SDI'!$A:$G,4,FALSE),0),"-")</f>
        <v>1189708</v>
      </c>
      <c r="I153" s="1">
        <f>IFERROR(ROUND(VLOOKUP(D153,'Date masura SDI'!$A:$G,5,FALSE),0),"-")</f>
        <v>1282877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f>IF(IFERROR(ROUND(VLOOKUP(D153,'Date masura SDI'!$A$5:$K$999,11,FALSE),0),"-")&lt;&gt;(I153-H153),"EROARE",IFERROR(ROUND(VLOOKUP(D153,'Date masura SDI'!$A$5:$K$999,11,FALSE),0),"-"))</f>
        <v>93169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V153" s="76"/>
    </row>
    <row r="154" spans="1:22">
      <c r="A154" s="17">
        <f t="shared" si="24"/>
        <v>203</v>
      </c>
      <c r="B154" s="41" t="s">
        <v>692</v>
      </c>
      <c r="C154" s="17" t="s">
        <v>1081</v>
      </c>
      <c r="D154" s="17">
        <v>1372644177</v>
      </c>
      <c r="E154" s="17">
        <v>1</v>
      </c>
      <c r="F154" s="1">
        <v>0</v>
      </c>
      <c r="G154" s="1">
        <v>0</v>
      </c>
      <c r="H154" s="1">
        <f>IFERROR(ROUND(VLOOKUP(D154,'Date masura SDI'!$A:$G,4,FALSE),0),"-")</f>
        <v>1224362</v>
      </c>
      <c r="I154" s="1">
        <f>IFERROR(ROUND(VLOOKUP(D154,'Date masura SDI'!$A:$G,5,FALSE),0),"-")</f>
        <v>1319228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f>IF(IFERROR(ROUND(VLOOKUP(D154,'Date masura SDI'!$A$5:$K$999,11,FALSE),0),"-")&lt;&gt;(I154-H154),"EROARE",IFERROR(ROUND(VLOOKUP(D154,'Date masura SDI'!$A$5:$K$999,11,FALSE),0),"-"))</f>
        <v>94866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V154" s="76"/>
    </row>
    <row r="155" spans="1:22">
      <c r="A155" s="17">
        <f t="shared" si="24"/>
        <v>204</v>
      </c>
      <c r="B155" s="41" t="s">
        <v>693</v>
      </c>
      <c r="C155" s="17" t="s">
        <v>1082</v>
      </c>
      <c r="D155" s="17">
        <v>1372644189</v>
      </c>
      <c r="E155" s="17">
        <v>1</v>
      </c>
      <c r="F155" s="1">
        <v>0</v>
      </c>
      <c r="G155" s="1">
        <v>0</v>
      </c>
      <c r="H155" s="1">
        <f>IFERROR(ROUND(VLOOKUP(D155,'Date masura SDI'!$A:$G,4,FALSE),0),"-")</f>
        <v>449985</v>
      </c>
      <c r="I155" s="1">
        <f>IFERROR(ROUND(VLOOKUP(D155,'Date masura SDI'!$A:$G,5,FALSE),0),"-")</f>
        <v>455329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f>IF(IFERROR(ROUND(VLOOKUP(D155,'Date masura SDI'!$A$5:$K$999,11,FALSE),0),"-")&lt;&gt;(I155-H155),"EROARE",IFERROR(ROUND(VLOOKUP(D155,'Date masura SDI'!$A$5:$K$999,11,FALSE),0),"-"))</f>
        <v>5344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V155" s="76"/>
    </row>
    <row r="156" spans="1:22">
      <c r="A156" s="17">
        <f t="shared" si="24"/>
        <v>205</v>
      </c>
      <c r="B156" s="41" t="s">
        <v>694</v>
      </c>
      <c r="C156" s="17" t="s">
        <v>1083</v>
      </c>
      <c r="D156" s="17">
        <v>1372656740</v>
      </c>
      <c r="E156" s="17">
        <v>1</v>
      </c>
      <c r="F156" s="1">
        <v>0</v>
      </c>
      <c r="G156" s="1">
        <v>0</v>
      </c>
      <c r="H156" s="1">
        <f>IFERROR(ROUND(VLOOKUP(D156,'Date masura SDI'!$A:$G,4,FALSE),0),"-")</f>
        <v>382429</v>
      </c>
      <c r="I156" s="1">
        <f>IFERROR(ROUND(VLOOKUP(D156,'Date masura SDI'!$A:$G,5,FALSE),0),"-")</f>
        <v>418582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f>IF(IFERROR(ROUND(VLOOKUP(D156,'Date masura SDI'!$A$5:$K$999,11,FALSE),0),"-")&lt;&gt;(I156-H156),"EROARE",IFERROR(ROUND(VLOOKUP(D156,'Date masura SDI'!$A$5:$K$999,11,FALSE),0),"-"))</f>
        <v>36153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V156" s="76"/>
    </row>
    <row r="157" spans="1:22">
      <c r="A157" s="17">
        <f t="shared" si="24"/>
        <v>206</v>
      </c>
      <c r="B157" s="41" t="s">
        <v>1132</v>
      </c>
      <c r="C157" s="17" t="s">
        <v>1133</v>
      </c>
      <c r="D157" s="17">
        <v>23298253</v>
      </c>
      <c r="E157" s="17">
        <v>300</v>
      </c>
      <c r="F157" s="1">
        <v>0</v>
      </c>
      <c r="G157" s="1">
        <v>0</v>
      </c>
      <c r="H157" s="1">
        <f>IFERROR(ROUND(VLOOKUP(D157,'Date masura SDI'!$A:$G,4,FALSE),0),"-")</f>
        <v>0</v>
      </c>
      <c r="I157" s="1">
        <f>IFERROR(ROUND(VLOOKUP(D157,'Date masura SDI'!$A:$G,5,FALSE),3),"-")</f>
        <v>162.38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f>ROUND((I157-H157)*E157,0)</f>
        <v>48714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V157" s="76"/>
    </row>
    <row r="158" spans="1:22">
      <c r="A158" s="17">
        <f t="shared" si="24"/>
        <v>207</v>
      </c>
      <c r="B158" s="41" t="s">
        <v>1437</v>
      </c>
      <c r="C158" s="17" t="s">
        <v>1439</v>
      </c>
      <c r="D158" s="17">
        <v>23298248</v>
      </c>
      <c r="E158" s="17">
        <v>160</v>
      </c>
      <c r="F158" s="1">
        <v>0</v>
      </c>
      <c r="G158" s="1">
        <v>0</v>
      </c>
      <c r="H158" s="1">
        <f>IFERROR(ROUND(VLOOKUP(D158,'Date masura SDI'!$A:$G,4,FALSE),0),"-")</f>
        <v>0</v>
      </c>
      <c r="I158" s="1">
        <f>IFERROR(ROUND(VLOOKUP(D158,'Date masura SDI'!$A:$G,5,FALSE),3),"-")</f>
        <v>243.26300000000001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f>ROUND((I158-H158)*E158,0)</f>
        <v>38922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V158" s="76"/>
    </row>
    <row r="159" spans="1:22">
      <c r="A159" s="17">
        <f t="shared" si="24"/>
        <v>208</v>
      </c>
      <c r="B159" s="41" t="s">
        <v>1438</v>
      </c>
      <c r="C159" s="17" t="s">
        <v>1440</v>
      </c>
      <c r="D159" s="17">
        <v>23298255</v>
      </c>
      <c r="E159" s="17">
        <v>40</v>
      </c>
      <c r="F159" s="1">
        <v>0</v>
      </c>
      <c r="G159" s="1">
        <v>0</v>
      </c>
      <c r="H159" s="1">
        <f>IFERROR(ROUND(VLOOKUP(D159,'Date masura SDI'!$A:$G,4,FALSE),0),"-")</f>
        <v>0</v>
      </c>
      <c r="I159" s="1">
        <f>IFERROR(ROUND(VLOOKUP(D159,'Date masura SDI'!$A:$G,5,FALSE),3),"-")</f>
        <v>114.85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f t="shared" ref="O159" si="25">(I159-H159)*E159</f>
        <v>4594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V159" s="76"/>
    </row>
    <row r="160" spans="1:22">
      <c r="A160" s="17">
        <f t="shared" si="24"/>
        <v>209</v>
      </c>
      <c r="B160" s="41" t="s">
        <v>1181</v>
      </c>
      <c r="C160" s="17" t="s">
        <v>1185</v>
      </c>
      <c r="D160" s="17">
        <v>1373706938</v>
      </c>
      <c r="E160" s="17">
        <v>1</v>
      </c>
      <c r="F160" s="1">
        <v>0</v>
      </c>
      <c r="G160" s="1">
        <v>0</v>
      </c>
      <c r="H160" s="1">
        <f>IFERROR(ROUND(VLOOKUP(D160,'Date masura SDI'!$A:$G,4,FALSE),0),"-")</f>
        <v>284951</v>
      </c>
      <c r="I160" s="1">
        <f>IFERROR(ROUND(VLOOKUP(D160,'Date masura SDI'!$A:$G,5,FALSE),0),"-")</f>
        <v>314008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f>IF(IFERROR(ROUND(VLOOKUP(D160,'Date masura SDI'!$A$5:$K$999,11,FALSE),0),"-")&lt;&gt;(I160-H160),"EROARE",IFERROR(ROUND(VLOOKUP(D160,'Date masura SDI'!$A$5:$K$999,11,FALSE),0),"-"))</f>
        <v>29057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V160" s="76"/>
    </row>
    <row r="161" spans="1:22">
      <c r="A161" s="17">
        <f t="shared" si="24"/>
        <v>210</v>
      </c>
      <c r="B161" s="41" t="s">
        <v>1182</v>
      </c>
      <c r="C161" s="17" t="s">
        <v>1186</v>
      </c>
      <c r="D161" s="17">
        <v>1373706594</v>
      </c>
      <c r="E161" s="17">
        <v>1</v>
      </c>
      <c r="F161" s="1">
        <v>0</v>
      </c>
      <c r="G161" s="1">
        <v>0</v>
      </c>
      <c r="H161" s="1">
        <f>IFERROR(ROUND(VLOOKUP(D161,'Date masura SDI'!$A:$G,4,FALSE),0),"-")</f>
        <v>360100</v>
      </c>
      <c r="I161" s="1">
        <f>IFERROR(ROUND(VLOOKUP(D161,'Date masura SDI'!$A:$G,5,FALSE),0),"-")</f>
        <v>426577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f>IF(IFERROR(ROUND(VLOOKUP(D161,'Date masura SDI'!$A$5:$K$999,11,FALSE),0),"-")&lt;&gt;(I161-H161),"EROARE",IFERROR(ROUND(VLOOKUP(D161,'Date masura SDI'!$A$5:$K$999,11,FALSE),0),"-"))</f>
        <v>66477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V161" s="76"/>
    </row>
    <row r="162" spans="1:22">
      <c r="A162" s="17">
        <f t="shared" si="24"/>
        <v>211</v>
      </c>
      <c r="B162" s="41" t="s">
        <v>1286</v>
      </c>
      <c r="C162" s="17" t="str">
        <f>C106&amp;".PV"</f>
        <v>594020400001705610/1.PV</v>
      </c>
      <c r="D162" s="17">
        <v>1371033621</v>
      </c>
      <c r="E162" s="17">
        <v>1</v>
      </c>
      <c r="F162" s="1">
        <v>0</v>
      </c>
      <c r="G162" s="1">
        <v>0</v>
      </c>
      <c r="H162" s="1">
        <f>IFERROR(ROUND(VLOOKUP(D162,'Date masura SDI'!$A:$G,4,FALSE),0),"-")</f>
        <v>459257</v>
      </c>
      <c r="I162" s="1">
        <f>IFERROR(ROUND(VLOOKUP(D162,'Date masura SDI'!$A:$G,5,FALSE),0),"-")</f>
        <v>487421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f>IF(IFERROR(ROUND(VLOOKUP(D162,'Date masura SDI'!$A$5:$K$999,11,FALSE),0),"-")&lt;&gt;(I162-H162),"EROARE",IFERROR(ROUND(VLOOKUP(D162,'Date masura SDI'!$A$5:$K$999,11,FALSE),0),"-"))</f>
        <v>28164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V162" s="76"/>
    </row>
    <row r="163" spans="1:22">
      <c r="A163" s="17">
        <f t="shared" si="24"/>
        <v>212</v>
      </c>
      <c r="B163" s="41" t="s">
        <v>1287</v>
      </c>
      <c r="C163" s="17" t="str">
        <f>C107&amp;".PV"</f>
        <v>594020600000985765/1.PV</v>
      </c>
      <c r="D163" s="17">
        <v>1370127133</v>
      </c>
      <c r="E163" s="17">
        <v>1</v>
      </c>
      <c r="F163" s="1">
        <v>0</v>
      </c>
      <c r="G163" s="1">
        <v>0</v>
      </c>
      <c r="H163" s="1">
        <f>IFERROR(ROUND(VLOOKUP(D163,'Date masura SDI'!$A:$G,4,FALSE),0),"-")</f>
        <v>449179</v>
      </c>
      <c r="I163" s="1">
        <f>IFERROR(ROUND(VLOOKUP(D163,'Date masura SDI'!$A:$G,5,FALSE),0),"-")</f>
        <v>480483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f>IF(IFERROR(ROUND(VLOOKUP(D163,'Date masura SDI'!$A$5:$K$999,11,FALSE),0),"-")&lt;&gt;(I163-H163),"EROARE",IFERROR(ROUND(VLOOKUP(D163,'Date masura SDI'!$A$5:$K$999,11,FALSE),0),"-"))</f>
        <v>31304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V163" s="76"/>
    </row>
    <row r="164" spans="1:22">
      <c r="A164" s="17">
        <f t="shared" si="24"/>
        <v>213</v>
      </c>
      <c r="B164" s="41" t="s">
        <v>1288</v>
      </c>
      <c r="C164" s="17" t="str">
        <f>C108&amp;".PV"</f>
        <v>594020300002588154/1.PV</v>
      </c>
      <c r="D164" s="17">
        <v>1371032444</v>
      </c>
      <c r="E164" s="17">
        <v>1</v>
      </c>
      <c r="F164" s="1">
        <v>0</v>
      </c>
      <c r="G164" s="1">
        <v>0</v>
      </c>
      <c r="H164" s="1">
        <f>IFERROR(ROUND(VLOOKUP(D164,'Date masura SDI'!$A:$G,4,FALSE),0),"-")</f>
        <v>602669</v>
      </c>
      <c r="I164" s="1">
        <f>IFERROR(ROUND(VLOOKUP(D164,'Date masura SDI'!$A:$G,5,FALSE),0),"-")</f>
        <v>644397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f>IF(IFERROR(ROUND(VLOOKUP(D164,'Date masura SDI'!$A$5:$K$999,11,FALSE),0),"-")&lt;&gt;(I164-H164),"EROARE",IFERROR(ROUND(VLOOKUP(D164,'Date masura SDI'!$A$5:$K$999,11,FALSE),0),"-"))</f>
        <v>41728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V164" s="76"/>
    </row>
    <row r="165" spans="1:22">
      <c r="A165" s="17">
        <f t="shared" si="24"/>
        <v>214</v>
      </c>
      <c r="B165" s="41" t="s">
        <v>1289</v>
      </c>
      <c r="C165" s="17" t="str">
        <f>C109&amp;".PV"</f>
        <v>59401060000191744771568947/1.PV</v>
      </c>
      <c r="D165" s="17">
        <v>1371514496</v>
      </c>
      <c r="E165" s="17">
        <v>1</v>
      </c>
      <c r="F165" s="1">
        <v>0</v>
      </c>
      <c r="G165" s="1">
        <v>0</v>
      </c>
      <c r="H165" s="1">
        <f>IFERROR(ROUND(VLOOKUP(D165,'Date masura SDI'!$A:$G,4,FALSE),0),"-")</f>
        <v>358155</v>
      </c>
      <c r="I165" s="1">
        <f>IFERROR(ROUND(VLOOKUP(D165,'Date masura SDI'!$A:$G,5,FALSE),0),"-")</f>
        <v>384432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f>IF(IFERROR(ROUND(VLOOKUP(D165,'Date masura SDI'!$A$5:$K$999,11,FALSE),0),"-")&lt;&gt;(I165-H165),"EROARE",IFERROR(ROUND(VLOOKUP(D165,'Date masura SDI'!$A$5:$K$999,11,FALSE),0),"-"))</f>
        <v>26277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V165" s="76"/>
    </row>
    <row r="166" spans="1:22">
      <c r="A166" s="17">
        <f t="shared" si="24"/>
        <v>215</v>
      </c>
      <c r="B166" s="41" t="s">
        <v>1290</v>
      </c>
      <c r="C166" s="17" t="str">
        <f>C110&amp;".PV"</f>
        <v>EMO3446385/1.PV</v>
      </c>
      <c r="D166" s="17">
        <v>1371641982</v>
      </c>
      <c r="E166" s="17">
        <v>1</v>
      </c>
      <c r="F166" s="1">
        <v>0</v>
      </c>
      <c r="G166" s="1">
        <v>0</v>
      </c>
      <c r="H166" s="1">
        <f>IFERROR(ROUND(VLOOKUP(D166,'Date masura SDI'!$A:$G,4,FALSE),0),"-")</f>
        <v>358055</v>
      </c>
      <c r="I166" s="1">
        <f>IFERROR(ROUND(VLOOKUP(D166,'Date masura SDI'!$A:$G,5,FALSE),0),"-")</f>
        <v>374463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f>IF(IFERROR(ROUND(VLOOKUP(D166,'Date masura SDI'!$A$5:$K$999,11,FALSE),0),"-")&lt;&gt;(I166-H166),"EROARE",IFERROR(ROUND(VLOOKUP(D166,'Date masura SDI'!$A$5:$K$999,11,FALSE),0),"-"))</f>
        <v>16408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V166" s="76"/>
    </row>
    <row r="167" spans="1:22">
      <c r="A167" s="17">
        <f t="shared" si="24"/>
        <v>216</v>
      </c>
      <c r="B167" s="41" t="s">
        <v>1291</v>
      </c>
      <c r="C167" s="17" t="s">
        <v>1299</v>
      </c>
      <c r="D167" s="17">
        <v>1371475604</v>
      </c>
      <c r="E167" s="17">
        <v>1</v>
      </c>
      <c r="F167" s="1">
        <v>0</v>
      </c>
      <c r="G167" s="1">
        <v>0</v>
      </c>
      <c r="H167" s="1">
        <f>IFERROR(ROUND(VLOOKUP(D167,'Date masura SDI'!$A:$G,4,FALSE),0),"-")</f>
        <v>588124</v>
      </c>
      <c r="I167" s="1">
        <f>IFERROR(ROUND(VLOOKUP(D167,'Date masura SDI'!$A:$G,5,FALSE),0),"-")</f>
        <v>604121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f>IF(IFERROR(ROUND(VLOOKUP(D167,'Date masura SDI'!$A$5:$K$999,11,FALSE),0),"-")&lt;&gt;(I167-H167),"EROARE",IFERROR(ROUND(VLOOKUP(D167,'Date masura SDI'!$A$5:$K$999,11,FALSE),0),"-"))</f>
        <v>15997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V167" s="76"/>
    </row>
    <row r="168" spans="1:22">
      <c r="A168" s="17">
        <f t="shared" si="24"/>
        <v>217</v>
      </c>
      <c r="Q168" s="43" t="s">
        <v>702</v>
      </c>
      <c r="R168" s="74">
        <f>SUM(R4:R167)</f>
        <v>13608997</v>
      </c>
      <c r="S168" s="1">
        <f>SUM(S4:S167)</f>
        <v>2815473.5</v>
      </c>
      <c r="T168" s="1">
        <f>SUM(T4:T167)</f>
        <v>449098</v>
      </c>
      <c r="V168" s="76"/>
    </row>
    <row r="169" spans="1:22">
      <c r="Q169" s="43" t="s">
        <v>704</v>
      </c>
      <c r="R169" s="74">
        <f>'Inchidere contur'!$Q$180-'Inchidere contur'!Q16-'Inchidere contur'!Q60-'Inchidere contur'!Q83-'Inchidere contur'!Q84-'Inchidere contur'!Q85-'Inchidere contur'!Q128-'Inchidere contur'!Q146-'Inchidere contur'!Q151</f>
        <v>13608997</v>
      </c>
      <c r="S169" s="1">
        <f>'Inchidere contur'!$R$179</f>
        <v>2815473.5</v>
      </c>
      <c r="T169" s="1">
        <f>'Inchidere contur'!$S$179</f>
        <v>449098</v>
      </c>
      <c r="V169" s="76"/>
    </row>
    <row r="170" spans="1:22">
      <c r="Q170" s="43" t="s">
        <v>703</v>
      </c>
      <c r="R170" s="74">
        <f>R168-R169</f>
        <v>0</v>
      </c>
      <c r="S170" s="1">
        <f>S168-S169</f>
        <v>0</v>
      </c>
      <c r="T170" s="1">
        <f>T168-T169</f>
        <v>0</v>
      </c>
      <c r="V170" s="76"/>
    </row>
  </sheetData>
  <autoFilter ref="A3:U170" xr:uid="{F1E1168E-980F-894A-833A-86A99E9AAD2C}"/>
  <mergeCells count="2">
    <mergeCell ref="J1:K1"/>
    <mergeCell ref="L1:M1"/>
  </mergeCells>
  <phoneticPr fontId="9" type="noConversion"/>
  <conditionalFormatting sqref="N1:N118 N168:N1048576">
    <cfRule type="containsText" dxfId="11" priority="6" operator="containsText" text="MT_OD">
      <formula>NOT(ISERROR(SEARCH("MT_OD",N1)))</formula>
    </cfRule>
    <cfRule type="containsText" dxfId="10" priority="7" operator="containsText" text="JT_OD">
      <formula>NOT(ISERROR(SEARCH("JT_OD",N1)))</formula>
    </cfRule>
  </conditionalFormatting>
  <conditionalFormatting sqref="R170:T170">
    <cfRule type="cellIs" dxfId="9" priority="3" operator="notEqual">
      <formula>0</formula>
    </cfRule>
    <cfRule type="cellIs" dxfId="8" priority="5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BE2AF-175B-49A7-B1F1-93EAB119E68D}">
  <dimension ref="A1:CO128"/>
  <sheetViews>
    <sheetView zoomScale="70" zoomScaleNormal="70" workbookViewId="0">
      <pane xSplit="3" ySplit="3" topLeftCell="AR4" activePane="bottomRight" state="frozen"/>
      <selection pane="topRight" activeCell="C1" sqref="C1"/>
      <selection pane="bottomLeft" activeCell="A4" sqref="A4"/>
      <selection pane="bottomRight" activeCell="BI18" sqref="BI18"/>
    </sheetView>
  </sheetViews>
  <sheetFormatPr defaultColWidth="10.625" defaultRowHeight="15.75"/>
  <cols>
    <col min="1" max="1" width="10.625" style="4"/>
    <col min="2" max="2" width="12.375" style="4" customWidth="1"/>
    <col min="3" max="3" width="15.625" style="4" bestFit="1" customWidth="1"/>
    <col min="4" max="4" width="15.625" style="4" customWidth="1"/>
    <col min="5" max="40" width="28.375" style="13" customWidth="1"/>
    <col min="43" max="43" width="29.875" bestFit="1" customWidth="1"/>
    <col min="44" max="44" width="16.625" customWidth="1"/>
    <col min="45" max="45" width="10.625" customWidth="1"/>
    <col min="46" max="48" width="16.5" customWidth="1"/>
    <col min="49" max="82" width="10.625" customWidth="1"/>
    <col min="90" max="90" width="15.5" customWidth="1"/>
    <col min="91" max="91" width="13.875" customWidth="1"/>
    <col min="93" max="93" width="13.875" customWidth="1"/>
  </cols>
  <sheetData>
    <row r="1" spans="1:93">
      <c r="A1" s="5">
        <v>0</v>
      </c>
      <c r="B1" s="5">
        <v>0</v>
      </c>
      <c r="C1" s="5">
        <f>A1+1</f>
        <v>1</v>
      </c>
      <c r="D1" s="32">
        <f>C1+1</f>
        <v>2</v>
      </c>
      <c r="E1" s="32">
        <f t="shared" ref="E1:AN1" si="0">D1+1</f>
        <v>3</v>
      </c>
      <c r="F1" s="32">
        <f t="shared" si="0"/>
        <v>4</v>
      </c>
      <c r="G1" s="32">
        <f t="shared" si="0"/>
        <v>5</v>
      </c>
      <c r="H1" s="32">
        <f t="shared" si="0"/>
        <v>6</v>
      </c>
      <c r="I1" s="32">
        <f t="shared" si="0"/>
        <v>7</v>
      </c>
      <c r="J1" s="32">
        <f t="shared" si="0"/>
        <v>8</v>
      </c>
      <c r="K1" s="32">
        <f t="shared" si="0"/>
        <v>9</v>
      </c>
      <c r="L1" s="32">
        <f t="shared" si="0"/>
        <v>10</v>
      </c>
      <c r="M1" s="32">
        <f t="shared" si="0"/>
        <v>11</v>
      </c>
      <c r="N1" s="32">
        <f t="shared" si="0"/>
        <v>12</v>
      </c>
      <c r="O1" s="32">
        <f t="shared" si="0"/>
        <v>13</v>
      </c>
      <c r="P1" s="32">
        <f t="shared" si="0"/>
        <v>14</v>
      </c>
      <c r="Q1" s="32">
        <f t="shared" si="0"/>
        <v>15</v>
      </c>
      <c r="R1" s="32">
        <f t="shared" si="0"/>
        <v>16</v>
      </c>
      <c r="S1" s="32">
        <f t="shared" si="0"/>
        <v>17</v>
      </c>
      <c r="T1" s="32">
        <f t="shared" si="0"/>
        <v>18</v>
      </c>
      <c r="U1" s="32">
        <f t="shared" si="0"/>
        <v>19</v>
      </c>
      <c r="V1" s="32">
        <f t="shared" si="0"/>
        <v>20</v>
      </c>
      <c r="W1" s="32">
        <f t="shared" si="0"/>
        <v>21</v>
      </c>
      <c r="X1" s="32">
        <f t="shared" si="0"/>
        <v>22</v>
      </c>
      <c r="Y1" s="32">
        <f t="shared" si="0"/>
        <v>23</v>
      </c>
      <c r="Z1" s="32">
        <f t="shared" si="0"/>
        <v>24</v>
      </c>
      <c r="AA1" s="32">
        <f t="shared" si="0"/>
        <v>25</v>
      </c>
      <c r="AB1" s="32">
        <f t="shared" si="0"/>
        <v>26</v>
      </c>
      <c r="AC1" s="32">
        <f t="shared" si="0"/>
        <v>27</v>
      </c>
      <c r="AD1" s="32">
        <f t="shared" si="0"/>
        <v>28</v>
      </c>
      <c r="AE1" s="32">
        <f t="shared" si="0"/>
        <v>29</v>
      </c>
      <c r="AF1" s="32">
        <f t="shared" si="0"/>
        <v>30</v>
      </c>
      <c r="AG1" s="32">
        <f t="shared" si="0"/>
        <v>31</v>
      </c>
      <c r="AH1" s="32">
        <f t="shared" si="0"/>
        <v>32</v>
      </c>
      <c r="AI1" s="32">
        <f t="shared" si="0"/>
        <v>33</v>
      </c>
      <c r="AJ1" s="32">
        <f t="shared" si="0"/>
        <v>34</v>
      </c>
      <c r="AK1" s="32">
        <f t="shared" si="0"/>
        <v>35</v>
      </c>
      <c r="AL1" s="32">
        <f t="shared" si="0"/>
        <v>36</v>
      </c>
      <c r="AM1" s="32">
        <f t="shared" si="0"/>
        <v>37</v>
      </c>
      <c r="AN1" s="32">
        <f t="shared" si="0"/>
        <v>38</v>
      </c>
      <c r="AR1" s="32">
        <v>0</v>
      </c>
      <c r="AS1" s="32">
        <v>0</v>
      </c>
      <c r="AT1" s="32">
        <v>1</v>
      </c>
      <c r="AU1" s="32">
        <f t="shared" ref="AU1:BU1" si="1">AT1+1</f>
        <v>2</v>
      </c>
      <c r="AV1" s="32">
        <f t="shared" si="1"/>
        <v>3</v>
      </c>
      <c r="AW1" s="32">
        <f t="shared" si="1"/>
        <v>4</v>
      </c>
      <c r="AX1" s="32">
        <f t="shared" si="1"/>
        <v>5</v>
      </c>
      <c r="AY1" s="32">
        <f t="shared" si="1"/>
        <v>6</v>
      </c>
      <c r="AZ1" s="32">
        <f t="shared" si="1"/>
        <v>7</v>
      </c>
      <c r="BA1" s="32">
        <f t="shared" si="1"/>
        <v>8</v>
      </c>
      <c r="BB1" s="32">
        <f t="shared" si="1"/>
        <v>9</v>
      </c>
      <c r="BC1" s="32">
        <f t="shared" si="1"/>
        <v>10</v>
      </c>
      <c r="BD1" s="32">
        <f>BC1+1</f>
        <v>11</v>
      </c>
      <c r="BE1" s="32">
        <f>BD1+1</f>
        <v>12</v>
      </c>
      <c r="BF1" s="32">
        <f t="shared" si="1"/>
        <v>13</v>
      </c>
      <c r="BG1" s="32">
        <f t="shared" si="1"/>
        <v>14</v>
      </c>
      <c r="BH1" s="32">
        <f t="shared" si="1"/>
        <v>15</v>
      </c>
      <c r="BI1" s="32">
        <f t="shared" si="1"/>
        <v>16</v>
      </c>
      <c r="BJ1" s="32">
        <f t="shared" si="1"/>
        <v>17</v>
      </c>
      <c r="BK1" s="32">
        <f t="shared" si="1"/>
        <v>18</v>
      </c>
      <c r="BL1" s="32">
        <f t="shared" si="1"/>
        <v>19</v>
      </c>
      <c r="BM1" s="32">
        <f t="shared" si="1"/>
        <v>20</v>
      </c>
      <c r="BN1" s="32">
        <f t="shared" si="1"/>
        <v>21</v>
      </c>
      <c r="BO1" s="32">
        <f t="shared" si="1"/>
        <v>22</v>
      </c>
      <c r="BP1" s="32">
        <f t="shared" si="1"/>
        <v>23</v>
      </c>
      <c r="BQ1" s="32">
        <f t="shared" si="1"/>
        <v>24</v>
      </c>
      <c r="BR1" s="32">
        <f t="shared" si="1"/>
        <v>25</v>
      </c>
      <c r="BS1" s="32">
        <f t="shared" si="1"/>
        <v>26</v>
      </c>
      <c r="BT1" s="32">
        <f t="shared" si="1"/>
        <v>27</v>
      </c>
      <c r="BU1" s="32">
        <f t="shared" si="1"/>
        <v>28</v>
      </c>
      <c r="BV1" s="32">
        <f t="shared" ref="BV1:CC1" si="2">BU1+1</f>
        <v>29</v>
      </c>
      <c r="BW1" s="32">
        <f t="shared" si="2"/>
        <v>30</v>
      </c>
      <c r="BX1" s="32">
        <f t="shared" si="2"/>
        <v>31</v>
      </c>
      <c r="BY1" s="32">
        <f t="shared" si="2"/>
        <v>32</v>
      </c>
      <c r="BZ1" s="32">
        <f t="shared" si="2"/>
        <v>33</v>
      </c>
      <c r="CA1" s="32">
        <f t="shared" si="2"/>
        <v>34</v>
      </c>
      <c r="CB1" s="32">
        <f t="shared" si="2"/>
        <v>35</v>
      </c>
      <c r="CC1" s="32">
        <f t="shared" si="2"/>
        <v>36</v>
      </c>
    </row>
    <row r="2" spans="1:93" ht="78.75">
      <c r="A2" s="6" t="s">
        <v>115</v>
      </c>
      <c r="B2" s="201" t="s">
        <v>1134</v>
      </c>
      <c r="C2" s="6" t="s">
        <v>695</v>
      </c>
      <c r="D2" s="6" t="s">
        <v>518</v>
      </c>
      <c r="E2" s="199" t="s">
        <v>71</v>
      </c>
      <c r="F2" s="199" t="s">
        <v>72</v>
      </c>
      <c r="G2" s="199" t="s">
        <v>73</v>
      </c>
      <c r="H2" s="199" t="s">
        <v>868</v>
      </c>
      <c r="I2" s="199" t="s">
        <v>757</v>
      </c>
      <c r="J2" s="199" t="s">
        <v>74</v>
      </c>
      <c r="K2" s="199" t="s">
        <v>75</v>
      </c>
      <c r="L2" s="199" t="s">
        <v>76</v>
      </c>
      <c r="M2" s="199" t="s">
        <v>77</v>
      </c>
      <c r="N2" s="199" t="s">
        <v>78</v>
      </c>
      <c r="O2" s="199" t="s">
        <v>1313</v>
      </c>
      <c r="P2" s="199" t="s">
        <v>79</v>
      </c>
      <c r="Q2" s="199" t="s">
        <v>80</v>
      </c>
      <c r="R2" s="199" t="s">
        <v>81</v>
      </c>
      <c r="S2" s="199" t="s">
        <v>82</v>
      </c>
      <c r="T2" s="199" t="s">
        <v>83</v>
      </c>
      <c r="U2" s="199" t="s">
        <v>80</v>
      </c>
      <c r="V2" s="199" t="s">
        <v>81</v>
      </c>
      <c r="W2" s="199" t="s">
        <v>99</v>
      </c>
      <c r="X2" s="199" t="s">
        <v>100</v>
      </c>
      <c r="Y2" s="199" t="s">
        <v>101</v>
      </c>
      <c r="Z2" s="199" t="s">
        <v>869</v>
      </c>
      <c r="AA2" s="199" t="s">
        <v>758</v>
      </c>
      <c r="AB2" s="199" t="s">
        <v>102</v>
      </c>
      <c r="AC2" s="199" t="s">
        <v>103</v>
      </c>
      <c r="AD2" s="199" t="s">
        <v>104</v>
      </c>
      <c r="AE2" s="199" t="s">
        <v>105</v>
      </c>
      <c r="AF2" s="199" t="s">
        <v>106</v>
      </c>
      <c r="AG2" s="199" t="s">
        <v>1316</v>
      </c>
      <c r="AH2" s="199" t="s">
        <v>107</v>
      </c>
      <c r="AI2" s="199" t="s">
        <v>108</v>
      </c>
      <c r="AJ2" s="199" t="s">
        <v>109</v>
      </c>
      <c r="AK2" s="199" t="s">
        <v>110</v>
      </c>
      <c r="AL2" s="199" t="s">
        <v>111</v>
      </c>
      <c r="AM2" s="199" t="s">
        <v>112</v>
      </c>
      <c r="AN2" s="199" t="s">
        <v>113</v>
      </c>
      <c r="AR2" s="33" t="s">
        <v>68</v>
      </c>
      <c r="AS2" s="202" t="s">
        <v>1135</v>
      </c>
      <c r="AT2" s="199" t="s">
        <v>71</v>
      </c>
      <c r="AU2" s="199" t="s">
        <v>72</v>
      </c>
      <c r="AV2" s="199" t="s">
        <v>73</v>
      </c>
      <c r="AW2" s="199" t="s">
        <v>868</v>
      </c>
      <c r="AX2" s="199" t="s">
        <v>757</v>
      </c>
      <c r="AY2" s="199" t="s">
        <v>74</v>
      </c>
      <c r="AZ2" s="199" t="s">
        <v>75</v>
      </c>
      <c r="BA2" s="199" t="s">
        <v>76</v>
      </c>
      <c r="BB2" s="199" t="s">
        <v>77</v>
      </c>
      <c r="BC2" s="199" t="s">
        <v>78</v>
      </c>
      <c r="BD2" s="199" t="s">
        <v>1313</v>
      </c>
      <c r="BE2" s="199" t="s">
        <v>79</v>
      </c>
      <c r="BF2" s="199" t="s">
        <v>80</v>
      </c>
      <c r="BG2" s="199" t="s">
        <v>81</v>
      </c>
      <c r="BH2" s="199" t="s">
        <v>82</v>
      </c>
      <c r="BI2" s="199" t="s">
        <v>83</v>
      </c>
      <c r="BJ2" s="199" t="s">
        <v>80</v>
      </c>
      <c r="BK2" s="199" t="s">
        <v>81</v>
      </c>
      <c r="BL2" s="199" t="s">
        <v>99</v>
      </c>
      <c r="BM2" s="199" t="s">
        <v>100</v>
      </c>
      <c r="BN2" s="199" t="s">
        <v>101</v>
      </c>
      <c r="BO2" s="199" t="s">
        <v>869</v>
      </c>
      <c r="BP2" s="199" t="s">
        <v>758</v>
      </c>
      <c r="BQ2" s="199" t="s">
        <v>102</v>
      </c>
      <c r="BR2" s="199" t="s">
        <v>103</v>
      </c>
      <c r="BS2" s="199" t="s">
        <v>104</v>
      </c>
      <c r="BT2" s="199" t="s">
        <v>105</v>
      </c>
      <c r="BU2" s="199" t="s">
        <v>106</v>
      </c>
      <c r="BV2" s="199" t="s">
        <v>1316</v>
      </c>
      <c r="BW2" s="199" t="s">
        <v>107</v>
      </c>
      <c r="BX2" s="199" t="s">
        <v>108</v>
      </c>
      <c r="BY2" s="199" t="s">
        <v>109</v>
      </c>
      <c r="BZ2" s="199" t="s">
        <v>110</v>
      </c>
      <c r="CA2" s="199" t="s">
        <v>111</v>
      </c>
      <c r="CB2" s="199" t="s">
        <v>112</v>
      </c>
      <c r="CC2" s="199" t="s">
        <v>113</v>
      </c>
      <c r="CE2" s="206" t="s">
        <v>1139</v>
      </c>
      <c r="CF2" s="206" t="s">
        <v>1140</v>
      </c>
      <c r="CG2" s="206" t="s">
        <v>1141</v>
      </c>
      <c r="CH2" s="206" t="s">
        <v>1142</v>
      </c>
      <c r="CI2" s="206" t="s">
        <v>1143</v>
      </c>
      <c r="CJ2" s="206" t="s">
        <v>1140</v>
      </c>
      <c r="CL2" s="204" t="s">
        <v>704</v>
      </c>
    </row>
    <row r="3" spans="1:93">
      <c r="A3" s="6" t="s">
        <v>69</v>
      </c>
      <c r="B3" s="6" t="s">
        <v>69</v>
      </c>
      <c r="C3" s="6" t="s">
        <v>69</v>
      </c>
      <c r="D3" s="6" t="s">
        <v>69</v>
      </c>
      <c r="E3" s="32" t="s">
        <v>446</v>
      </c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R3" s="33"/>
      <c r="AS3" s="33"/>
      <c r="AT3" s="32" t="s">
        <v>446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</row>
    <row r="4" spans="1:93">
      <c r="A4" s="17">
        <v>1</v>
      </c>
      <c r="B4" s="17" t="str">
        <f>LEFT(C4,FIND("_",C4,1)-1)</f>
        <v>RBPM</v>
      </c>
      <c r="C4" s="325" t="s">
        <v>525</v>
      </c>
      <c r="D4" s="198" t="str">
        <f>IFERROR(VLOOKUP(C4,'Inchidere contur'!B:U,20,0),VLOOKUP(C4,'Inchidere contur'!G:U,15,0))</f>
        <v>MT_OD</v>
      </c>
      <c r="E4" s="126">
        <f>IFERROR(IFERROR(VLOOKUP(C4,'Inchidere contur'!B:U,20-4,0),VLOOKUP(C4,'Inchidere contur'!G:U,15-4,0)),"eroare")</f>
        <v>3497</v>
      </c>
      <c r="F4" s="200">
        <v>0</v>
      </c>
      <c r="G4" s="200">
        <v>0</v>
      </c>
      <c r="H4" s="126">
        <f>E4</f>
        <v>3497</v>
      </c>
      <c r="I4" s="126">
        <f t="shared" ref="I4:I35" si="3">IF(D4=$AQ$48,H4,0)</f>
        <v>0</v>
      </c>
      <c r="J4" s="126">
        <f>H4</f>
        <v>3497</v>
      </c>
      <c r="K4" s="126">
        <f>H4</f>
        <v>3497</v>
      </c>
      <c r="L4" s="126">
        <f>H4</f>
        <v>3497</v>
      </c>
      <c r="M4" s="126">
        <f>H4</f>
        <v>3497</v>
      </c>
      <c r="N4" s="126">
        <f>H4</f>
        <v>3497</v>
      </c>
      <c r="O4" s="126">
        <f>H4</f>
        <v>3497</v>
      </c>
      <c r="P4" s="126">
        <f t="shared" ref="P4:P14" si="4">E4</f>
        <v>3497</v>
      </c>
      <c r="Q4" s="126">
        <f t="shared" ref="Q4:Q35" si="5">IF(OR(D4=$AQ$49,D4=$AQ$50),H4,0)</f>
        <v>0</v>
      </c>
      <c r="R4" s="126">
        <f t="shared" ref="R4:R35" si="6">IF(OR(D4=$AQ$50),H4,0)</f>
        <v>0</v>
      </c>
      <c r="S4" s="126">
        <f>IFERROR(IFERROR(VLOOKUP(C4,'Inchidere contur'!B:U,20-3,0),VLOOKUP(C4,'Inchidere contur'!G:U,15-3,0)),"eroare")</f>
        <v>0</v>
      </c>
      <c r="T4" s="126">
        <f>IFERROR(IFERROR(VLOOKUP(C4,'Inchidere contur'!B:U,20-2,0),VLOOKUP(C4,'Inchidere contur'!G:U,15-2,0)),"eroare")</f>
        <v>0</v>
      </c>
      <c r="U4" s="126">
        <f>T4</f>
        <v>0</v>
      </c>
      <c r="V4" s="126">
        <f>T4</f>
        <v>0</v>
      </c>
      <c r="W4" s="126">
        <f>IFERROR(VLOOKUP(C4,Regularizare!B:AX,45,0),"eroare")</f>
        <v>0</v>
      </c>
      <c r="X4" s="126">
        <f>IFERROR(VLOOKUP(C4,Regularizare!B:AX,46,0),"eroare")+IFERROR(VLOOKUP(C4,Regularizare!B:AX,48,0),"eroare")</f>
        <v>0</v>
      </c>
      <c r="Y4" s="126">
        <f>IFERROR(VLOOKUP(C4,Regularizare!B:AX,47,0),"eroare")+IFERROR(VLOOKUP(C4,Regularizare!B:AX,49,0),"eroare")</f>
        <v>0</v>
      </c>
      <c r="Z4" s="126">
        <f>W4</f>
        <v>0</v>
      </c>
      <c r="AA4" s="126">
        <f t="shared" ref="AA4:AA35" si="7">IF(D4=$AQ$48,Z4,0)</f>
        <v>0</v>
      </c>
      <c r="AB4" s="126">
        <f>Z4</f>
        <v>0</v>
      </c>
      <c r="AC4" s="126">
        <f>Z4</f>
        <v>0</v>
      </c>
      <c r="AD4" s="126">
        <f>Z4</f>
        <v>0</v>
      </c>
      <c r="AE4" s="126">
        <f>Z4</f>
        <v>0</v>
      </c>
      <c r="AF4" s="126">
        <f>Z4</f>
        <v>0</v>
      </c>
      <c r="AG4" s="126">
        <f>Z4</f>
        <v>0</v>
      </c>
      <c r="AH4" s="126">
        <f t="shared" ref="AH4:AH14" si="8">Z4</f>
        <v>0</v>
      </c>
      <c r="AI4" s="126">
        <f t="shared" ref="AI4:AI35" si="9">IF(OR(D4=$AQ$49,D4=$AQ$50),W4,0)</f>
        <v>0</v>
      </c>
      <c r="AJ4" s="126">
        <f t="shared" ref="AJ4:AJ35" si="10">IF(OR(D4=$AQ$50),W4,0)</f>
        <v>0</v>
      </c>
      <c r="AK4" s="126">
        <v>0</v>
      </c>
      <c r="AL4" s="126">
        <v>0</v>
      </c>
      <c r="AM4" s="126">
        <v>0</v>
      </c>
      <c r="AN4" s="126">
        <v>0</v>
      </c>
      <c r="AQ4" t="str">
        <f>VLOOKUP(AR4,'Date SPV'!$B$4:$D$25,3,FALSE)</f>
        <v>Deva Shopping City SRL</v>
      </c>
      <c r="AR4" s="1" t="s">
        <v>0</v>
      </c>
      <c r="AS4" s="1">
        <v>1</v>
      </c>
      <c r="AT4" s="1">
        <f t="shared" ref="AT4:AT23" si="11">SUMIF(B:B,AR4,E:E)</f>
        <v>440919</v>
      </c>
      <c r="AU4" s="1">
        <f t="shared" ref="AU4:AU23" si="12">SUMIF(B:B,AR4,F:F)</f>
        <v>0</v>
      </c>
      <c r="AV4" s="1">
        <f t="shared" ref="AV4:AV23" si="13">SUMIF(B:B,AR4,G:G)</f>
        <v>0</v>
      </c>
      <c r="AW4" s="1">
        <f t="shared" ref="AW4:AW23" si="14">SUMIF(B:B,AR4,H:H)</f>
        <v>440919</v>
      </c>
      <c r="AX4" s="1">
        <f t="shared" ref="AX4:AX23" si="15">SUMIF(B:B,AR4,I:I)</f>
        <v>0</v>
      </c>
      <c r="AY4" s="1">
        <f t="shared" ref="AY4:AY23" si="16">SUMIF(B:B,AR4,J:J)</f>
        <v>440919</v>
      </c>
      <c r="AZ4" s="1">
        <f t="shared" ref="AZ4:AZ23" si="17">SUMIF(B:B,AR4,K:K)</f>
        <v>440919</v>
      </c>
      <c r="BA4" s="1">
        <f t="shared" ref="BA4:BA23" si="18">SUMIF(B:B,AR4,L:L)</f>
        <v>440919</v>
      </c>
      <c r="BB4" s="1">
        <f t="shared" ref="BB4:BB23" si="19">SUMIF(B:B,AR4,M:M)</f>
        <v>440919</v>
      </c>
      <c r="BC4" s="1">
        <f t="shared" ref="BC4:BC23" si="20">SUMIF(B:B,AR4,N:N)</f>
        <v>440919</v>
      </c>
      <c r="BD4" s="1">
        <f t="shared" ref="BD4:BD23" si="21">SUMIF(B:B,AR4,O:O)</f>
        <v>440919</v>
      </c>
      <c r="BE4" s="1">
        <f t="shared" ref="BE4:BE23" si="22">SUMIF(B:B,AR4,P:P)</f>
        <v>440919</v>
      </c>
      <c r="BF4" s="1">
        <f t="shared" ref="BF4:BF23" si="23">SUMIF(B:B,AR4,Q:Q)</f>
        <v>440919</v>
      </c>
      <c r="BG4" s="1">
        <f t="shared" ref="BG4:BG23" si="24">SUMIF(B:B,AR4,R:R)</f>
        <v>440919</v>
      </c>
      <c r="BH4" s="1">
        <f t="shared" ref="BH4:BH23" si="25">SUMIF(B:B,AR4,S:S)</f>
        <v>210825</v>
      </c>
      <c r="BI4" s="1">
        <f t="shared" ref="BI4:BI23" si="26">SUMIF(B:B,AR4,T:T)</f>
        <v>56743</v>
      </c>
      <c r="BJ4" s="1">
        <f t="shared" ref="BJ4:BJ23" si="27">SUMIF(B:B,AR4,U:U)</f>
        <v>56743</v>
      </c>
      <c r="BK4" s="1">
        <f t="shared" ref="BK4:BK23" si="28">SUMIF(B:B,AR4,V:V)</f>
        <v>56743</v>
      </c>
      <c r="BL4" s="1">
        <f t="shared" ref="BL4:BL23" si="29">SUMIF(B:B,AR4,W:W)</f>
        <v>0</v>
      </c>
      <c r="BM4" s="1">
        <f t="shared" ref="BM4:BM23" si="30">SUMIF(B:B,AR4,X:X)</f>
        <v>4452</v>
      </c>
      <c r="BN4" s="1">
        <f t="shared" ref="BN4:BN23" si="31">SUMIF(B:B,AR4,Y:Y)</f>
        <v>2366</v>
      </c>
      <c r="BO4" s="1">
        <f t="shared" ref="BO4:BO23" si="32">SUMIF(B:B,AR4,Z:Z)</f>
        <v>0</v>
      </c>
      <c r="BP4" s="1">
        <f t="shared" ref="BP4:BP23" si="33">SUMIF(B:B,AR4,AA:AA)</f>
        <v>0</v>
      </c>
      <c r="BQ4" s="1">
        <f t="shared" ref="BQ4:BQ23" si="34">SUMIF(B:B,AR4,AB:AB)</f>
        <v>0</v>
      </c>
      <c r="BR4" s="1">
        <f t="shared" ref="BR4:BR23" si="35">SUMIF(B:B,AR4,AC:AC)</f>
        <v>0</v>
      </c>
      <c r="BS4" s="1">
        <f t="shared" ref="BS4:BS23" si="36">SUMIF(B:B,AR4,AD:AD)</f>
        <v>0</v>
      </c>
      <c r="BT4" s="1">
        <f t="shared" ref="BT4:BT23" si="37">SUMIF(B:B,AR4,AE:AE)</f>
        <v>0</v>
      </c>
      <c r="BU4" s="1">
        <f t="shared" ref="BU4:BU23" si="38">SUMIF(B:B,AR4,AF:AF)</f>
        <v>0</v>
      </c>
      <c r="BV4" s="1">
        <f t="shared" ref="BV4:BV23" si="39">SUMIF(B:B,AR4,AG:AG)</f>
        <v>0</v>
      </c>
      <c r="BW4" s="1">
        <f t="shared" ref="BW4:BW23" si="40">SUMIF(B:B,AR4,AH:AH)</f>
        <v>0</v>
      </c>
      <c r="BX4" s="1">
        <f t="shared" ref="BX4:BX23" si="41">SUMIF(B:B,AR4,AI:AI)</f>
        <v>0</v>
      </c>
      <c r="BY4" s="1">
        <f t="shared" ref="BY4:BY23" si="42">SUMIF(B:B,AR4,AJ:AJ)</f>
        <v>0</v>
      </c>
      <c r="BZ4" s="1">
        <f t="shared" ref="BZ4:BZ23" si="43">SUMIF(B:B,AR4,AK:AK)</f>
        <v>0</v>
      </c>
      <c r="CA4" s="1">
        <f t="shared" ref="CA4:CA23" si="44">SUMIF(B:B,AR4,AL:AL)</f>
        <v>0</v>
      </c>
      <c r="CB4" s="1">
        <f t="shared" ref="CB4:CB23" si="45">SUMIF(B:B,AR4,AM:AM)</f>
        <v>0</v>
      </c>
      <c r="CC4" s="1">
        <f t="shared" ref="CC4:CC23" si="46">SUMIF(B:B,AR4,AN:AN)</f>
        <v>0</v>
      </c>
      <c r="CE4">
        <f>VLOOKUP(AR4,'Contorizare in SDI'!$T:$U,2,FALSE)</f>
        <v>267568</v>
      </c>
      <c r="CF4">
        <f t="shared" ref="CF4:CF10" si="47">CE4-BH4-BI4</f>
        <v>0</v>
      </c>
      <c r="CG4">
        <f>SUMIF('Date masura OD'!$B:$B,AR4,'Date masura OD'!R:R)</f>
        <v>447636</v>
      </c>
      <c r="CH4">
        <f>VLOOKUP(AR4,'Inchidere contur'!$AP:$AQ,2,FALSE)</f>
        <v>6717</v>
      </c>
      <c r="CI4">
        <f>CG4-CH4</f>
        <v>440919</v>
      </c>
      <c r="CJ4">
        <f t="shared" ref="CJ4:CJ32" si="48">CI4-AT4</f>
        <v>0</v>
      </c>
      <c r="CL4" t="s">
        <v>1136</v>
      </c>
      <c r="CM4" s="559">
        <f>SUM('Date masura OD'!$R5:$R95)-SUM('Inchidere contur'!T3:T176)-2*('Date masura OD'!R71+'Date masura OD'!R72)</f>
        <v>13624389</v>
      </c>
    </row>
    <row r="5" spans="1:93">
      <c r="A5" s="17">
        <v>2</v>
      </c>
      <c r="B5" s="17" t="str">
        <f t="shared" ref="B5:B69" si="49">LEFT(C5,FIND("_",C5,1)-1)</f>
        <v>RBPM</v>
      </c>
      <c r="C5" s="325" t="s">
        <v>1317</v>
      </c>
      <c r="D5" s="22" t="s">
        <v>517</v>
      </c>
      <c r="E5" s="200">
        <v>0</v>
      </c>
      <c r="F5" s="200">
        <v>0</v>
      </c>
      <c r="G5" s="200">
        <v>0</v>
      </c>
      <c r="H5" s="126">
        <f t="shared" ref="H5:H14" si="50">E5</f>
        <v>0</v>
      </c>
      <c r="I5" s="126">
        <f t="shared" si="3"/>
        <v>0</v>
      </c>
      <c r="J5" s="126">
        <f t="shared" ref="J5:J69" si="51">H5</f>
        <v>0</v>
      </c>
      <c r="K5" s="126">
        <f t="shared" ref="K5:K69" si="52">H5</f>
        <v>0</v>
      </c>
      <c r="L5" s="126">
        <f t="shared" ref="L5:L69" si="53">H5</f>
        <v>0</v>
      </c>
      <c r="M5" s="126">
        <f t="shared" ref="M5:M69" si="54">H5</f>
        <v>0</v>
      </c>
      <c r="N5" s="126">
        <f t="shared" ref="N5:N69" si="55">H5</f>
        <v>0</v>
      </c>
      <c r="O5" s="126">
        <f t="shared" ref="O5:O69" si="56">H5</f>
        <v>0</v>
      </c>
      <c r="P5" s="126">
        <f t="shared" si="4"/>
        <v>0</v>
      </c>
      <c r="Q5" s="126">
        <f t="shared" si="5"/>
        <v>0</v>
      </c>
      <c r="R5" s="126">
        <f t="shared" si="6"/>
        <v>0</v>
      </c>
      <c r="S5" s="200">
        <v>0</v>
      </c>
      <c r="T5" s="200">
        <v>0</v>
      </c>
      <c r="U5" s="200">
        <v>0</v>
      </c>
      <c r="V5" s="200">
        <v>0</v>
      </c>
      <c r="W5" s="126">
        <f>IFERROR(VLOOKUP(C5,Regularizare!B:AX,45,0),"eroare")</f>
        <v>716</v>
      </c>
      <c r="X5" s="126">
        <f>IFERROR(VLOOKUP(C5,Regularizare!B:AX,46,0),"eroare")+IFERROR(VLOOKUP(C5,Regularizare!B:AX,48,0),"eroare")</f>
        <v>61</v>
      </c>
      <c r="Y5" s="126">
        <f>IFERROR(VLOOKUP(C5,Regularizare!B:AX,47,0),"eroare")+IFERROR(VLOOKUP(C5,Regularizare!B:AX,49,0),"eroare")</f>
        <v>4507</v>
      </c>
      <c r="Z5" s="126">
        <f t="shared" ref="Z5:Z14" si="57">W5</f>
        <v>716</v>
      </c>
      <c r="AA5" s="126">
        <f t="shared" si="7"/>
        <v>0</v>
      </c>
      <c r="AB5" s="126">
        <f t="shared" ref="AB5:AB14" si="58">Z5</f>
        <v>716</v>
      </c>
      <c r="AC5" s="126">
        <f t="shared" ref="AC5:AC14" si="59">Z5</f>
        <v>716</v>
      </c>
      <c r="AD5" s="126">
        <f t="shared" ref="AD5:AD14" si="60">Z5</f>
        <v>716</v>
      </c>
      <c r="AE5" s="126">
        <f t="shared" ref="AE5:AE14" si="61">Z5</f>
        <v>716</v>
      </c>
      <c r="AF5" s="126">
        <f t="shared" ref="AF5:AF14" si="62">Z5</f>
        <v>716</v>
      </c>
      <c r="AG5" s="126">
        <f t="shared" ref="AG5:AG69" si="63">Z5</f>
        <v>716</v>
      </c>
      <c r="AH5" s="126">
        <f t="shared" si="8"/>
        <v>716</v>
      </c>
      <c r="AI5" s="126">
        <f t="shared" si="9"/>
        <v>0</v>
      </c>
      <c r="AJ5" s="126">
        <f t="shared" si="10"/>
        <v>0</v>
      </c>
      <c r="AK5" s="126">
        <v>0</v>
      </c>
      <c r="AL5" s="126">
        <v>0</v>
      </c>
      <c r="AM5" s="126">
        <v>0</v>
      </c>
      <c r="AN5" s="126">
        <v>0</v>
      </c>
      <c r="AQ5" t="str">
        <f>VLOOKUP(AR5,'Date SPV'!$B$4:$D$25,3,FALSE)</f>
        <v>Constanta Shopping City SRL</v>
      </c>
      <c r="AR5" s="1" t="s">
        <v>1</v>
      </c>
      <c r="AS5" s="1">
        <v>2</v>
      </c>
      <c r="AT5" s="1">
        <f t="shared" si="11"/>
        <v>1447555</v>
      </c>
      <c r="AU5" s="1">
        <f t="shared" si="12"/>
        <v>0</v>
      </c>
      <c r="AV5" s="1">
        <f t="shared" si="13"/>
        <v>0</v>
      </c>
      <c r="AW5" s="1">
        <f t="shared" si="14"/>
        <v>1447555</v>
      </c>
      <c r="AX5" s="1">
        <f t="shared" si="15"/>
        <v>0</v>
      </c>
      <c r="AY5" s="1">
        <f t="shared" si="16"/>
        <v>1447555</v>
      </c>
      <c r="AZ5" s="1">
        <f t="shared" si="17"/>
        <v>1447555</v>
      </c>
      <c r="BA5" s="1">
        <f t="shared" si="18"/>
        <v>1447555</v>
      </c>
      <c r="BB5" s="1">
        <f t="shared" si="19"/>
        <v>1447555</v>
      </c>
      <c r="BC5" s="1">
        <f t="shared" si="20"/>
        <v>1447555</v>
      </c>
      <c r="BD5" s="1">
        <f t="shared" si="21"/>
        <v>1447555</v>
      </c>
      <c r="BE5" s="1">
        <f t="shared" si="22"/>
        <v>1447555</v>
      </c>
      <c r="BF5" s="1">
        <f t="shared" si="23"/>
        <v>1447555</v>
      </c>
      <c r="BG5" s="1">
        <f t="shared" si="24"/>
        <v>1447555</v>
      </c>
      <c r="BH5" s="1">
        <f t="shared" si="25"/>
        <v>69144</v>
      </c>
      <c r="BI5" s="1">
        <f t="shared" si="26"/>
        <v>0</v>
      </c>
      <c r="BJ5" s="1">
        <f t="shared" si="27"/>
        <v>0</v>
      </c>
      <c r="BK5" s="1">
        <f t="shared" si="28"/>
        <v>0</v>
      </c>
      <c r="BL5" s="1">
        <f t="shared" si="29"/>
        <v>0</v>
      </c>
      <c r="BM5" s="1">
        <f t="shared" si="30"/>
        <v>29</v>
      </c>
      <c r="BN5" s="1">
        <f t="shared" si="31"/>
        <v>0</v>
      </c>
      <c r="BO5" s="1">
        <f t="shared" si="32"/>
        <v>0</v>
      </c>
      <c r="BP5" s="1">
        <f t="shared" si="33"/>
        <v>0</v>
      </c>
      <c r="BQ5" s="1">
        <f t="shared" si="34"/>
        <v>0</v>
      </c>
      <c r="BR5" s="1">
        <f t="shared" si="35"/>
        <v>0</v>
      </c>
      <c r="BS5" s="1">
        <f t="shared" si="36"/>
        <v>0</v>
      </c>
      <c r="BT5" s="1">
        <f t="shared" si="37"/>
        <v>0</v>
      </c>
      <c r="BU5" s="1">
        <f t="shared" si="38"/>
        <v>0</v>
      </c>
      <c r="BV5" s="1">
        <f t="shared" si="39"/>
        <v>0</v>
      </c>
      <c r="BW5" s="1">
        <f t="shared" si="40"/>
        <v>0</v>
      </c>
      <c r="BX5" s="1">
        <f t="shared" si="41"/>
        <v>0</v>
      </c>
      <c r="BY5" s="1">
        <f t="shared" si="42"/>
        <v>0</v>
      </c>
      <c r="BZ5" s="1">
        <f t="shared" si="43"/>
        <v>0</v>
      </c>
      <c r="CA5" s="1">
        <f t="shared" si="44"/>
        <v>0</v>
      </c>
      <c r="CB5" s="1">
        <f t="shared" si="45"/>
        <v>0</v>
      </c>
      <c r="CC5" s="1">
        <f t="shared" si="46"/>
        <v>0</v>
      </c>
      <c r="CE5">
        <f>VLOOKUP(AR5,'Contorizare in SDI'!$T:$U,2,FALSE)</f>
        <v>69144</v>
      </c>
      <c r="CF5">
        <f t="shared" si="47"/>
        <v>0</v>
      </c>
      <c r="CG5">
        <f>SUMIF('Date masura OD'!$B:$B,AR5,'Date masura OD'!R:R)</f>
        <v>1469600</v>
      </c>
      <c r="CH5">
        <f>VLOOKUP(AR5,'Inchidere contur'!$AP:$AQ,2,FALSE)</f>
        <v>22045</v>
      </c>
      <c r="CI5">
        <f t="shared" ref="CI5:CI32" si="64">CG5-CH5</f>
        <v>1447555</v>
      </c>
      <c r="CJ5">
        <f t="shared" si="48"/>
        <v>0</v>
      </c>
      <c r="CL5" t="s">
        <v>722</v>
      </c>
      <c r="CM5" s="559">
        <f>SUM(AT4:AT32)</f>
        <v>13624389</v>
      </c>
      <c r="CO5" s="76"/>
    </row>
    <row r="6" spans="1:93">
      <c r="A6" s="17">
        <v>3</v>
      </c>
      <c r="B6" s="17" t="str">
        <f t="shared" si="49"/>
        <v>RTJD</v>
      </c>
      <c r="C6" s="325" t="s">
        <v>536</v>
      </c>
      <c r="D6" s="198" t="str">
        <f>IFERROR(VLOOKUP(C6,'Inchidere contur'!B:U,20,0),VLOOKUP(C6,'Inchidere contur'!G:U,15,0))</f>
        <v>JT_OD</v>
      </c>
      <c r="E6" s="126">
        <f>IFERROR(IFERROR(VLOOKUP(C6,'Inchidere contur'!B:U,20-4,0),VLOOKUP(C6,'Inchidere contur'!G:U,15-4,0)),"eroare")</f>
        <v>100</v>
      </c>
      <c r="F6" s="200">
        <v>0</v>
      </c>
      <c r="G6" s="200">
        <v>0</v>
      </c>
      <c r="H6" s="126">
        <f t="shared" si="50"/>
        <v>100</v>
      </c>
      <c r="I6" s="126">
        <f t="shared" si="3"/>
        <v>100</v>
      </c>
      <c r="J6" s="126">
        <f t="shared" si="51"/>
        <v>100</v>
      </c>
      <c r="K6" s="126">
        <f t="shared" si="52"/>
        <v>100</v>
      </c>
      <c r="L6" s="126">
        <f t="shared" si="53"/>
        <v>100</v>
      </c>
      <c r="M6" s="126">
        <f t="shared" si="54"/>
        <v>100</v>
      </c>
      <c r="N6" s="126">
        <f t="shared" si="55"/>
        <v>100</v>
      </c>
      <c r="O6" s="126">
        <f t="shared" si="56"/>
        <v>100</v>
      </c>
      <c r="P6" s="126">
        <f t="shared" si="4"/>
        <v>100</v>
      </c>
      <c r="Q6" s="126">
        <f t="shared" si="5"/>
        <v>0</v>
      </c>
      <c r="R6" s="126">
        <f t="shared" si="6"/>
        <v>0</v>
      </c>
      <c r="S6" s="126">
        <f>IFERROR(IFERROR(VLOOKUP(C6,'Inchidere contur'!B:U,20-3,0),VLOOKUP(C6,'Inchidere contur'!G:U,15-3,0)),"eroare")</f>
        <v>0</v>
      </c>
      <c r="T6" s="126">
        <f>IFERROR(IFERROR(VLOOKUP(C6,'Inchidere contur'!B:U,20-2,0),VLOOKUP(C6,'Inchidere contur'!G:U,15-2,0)),"eroare")</f>
        <v>0</v>
      </c>
      <c r="U6" s="126">
        <f t="shared" ref="U6:U12" si="65">T6</f>
        <v>0</v>
      </c>
      <c r="V6" s="126">
        <f t="shared" ref="V6:V12" si="66">T6</f>
        <v>0</v>
      </c>
      <c r="W6" s="126">
        <f>IFERROR(VLOOKUP(C6,Regularizare!B:AX,45,0),"eroare")</f>
        <v>79</v>
      </c>
      <c r="X6" s="126">
        <f>IFERROR(VLOOKUP(C6,Regularizare!B:AX,46,0),"eroare")+IFERROR(VLOOKUP(C6,Regularizare!B:AX,48,0),"eroare")</f>
        <v>0</v>
      </c>
      <c r="Y6" s="126">
        <f>IFERROR(VLOOKUP(C6,Regularizare!B:AX,47,0),"eroare")+IFERROR(VLOOKUP(C6,Regularizare!B:AX,49,0),"eroare")</f>
        <v>0</v>
      </c>
      <c r="Z6" s="126">
        <f t="shared" si="57"/>
        <v>79</v>
      </c>
      <c r="AA6" s="126">
        <f t="shared" si="7"/>
        <v>79</v>
      </c>
      <c r="AB6" s="126">
        <f t="shared" si="58"/>
        <v>79</v>
      </c>
      <c r="AC6" s="126">
        <f t="shared" si="59"/>
        <v>79</v>
      </c>
      <c r="AD6" s="126">
        <f t="shared" si="60"/>
        <v>79</v>
      </c>
      <c r="AE6" s="126">
        <f t="shared" si="61"/>
        <v>79</v>
      </c>
      <c r="AF6" s="126">
        <f t="shared" si="62"/>
        <v>79</v>
      </c>
      <c r="AG6" s="126">
        <f t="shared" si="63"/>
        <v>79</v>
      </c>
      <c r="AH6" s="126">
        <f t="shared" si="8"/>
        <v>79</v>
      </c>
      <c r="AI6" s="126">
        <f t="shared" si="9"/>
        <v>0</v>
      </c>
      <c r="AJ6" s="126">
        <f t="shared" si="10"/>
        <v>0</v>
      </c>
      <c r="AK6" s="126">
        <v>0</v>
      </c>
      <c r="AL6" s="126">
        <v>0</v>
      </c>
      <c r="AM6" s="126">
        <v>0</v>
      </c>
      <c r="AN6" s="126">
        <v>0</v>
      </c>
      <c r="AQ6" t="str">
        <f>VLOOKUP(AR6,'Date SPV'!$B$4:$D$25,3,FALSE)</f>
        <v>Braila Promenada Mall SRL</v>
      </c>
      <c r="AR6" s="1" t="s">
        <v>2</v>
      </c>
      <c r="AS6" s="1">
        <v>3</v>
      </c>
      <c r="AT6" s="1">
        <f t="shared" si="11"/>
        <v>281670</v>
      </c>
      <c r="AU6" s="1">
        <f t="shared" si="12"/>
        <v>0</v>
      </c>
      <c r="AV6" s="1">
        <f t="shared" si="13"/>
        <v>0</v>
      </c>
      <c r="AW6" s="1">
        <f t="shared" si="14"/>
        <v>281670</v>
      </c>
      <c r="AX6" s="1">
        <f t="shared" si="15"/>
        <v>0</v>
      </c>
      <c r="AY6" s="1">
        <f t="shared" si="16"/>
        <v>281670</v>
      </c>
      <c r="AZ6" s="1">
        <f t="shared" si="17"/>
        <v>281670</v>
      </c>
      <c r="BA6" s="1">
        <f t="shared" si="18"/>
        <v>281670</v>
      </c>
      <c r="BB6" s="1">
        <f t="shared" si="19"/>
        <v>281670</v>
      </c>
      <c r="BC6" s="1">
        <f t="shared" si="20"/>
        <v>281670</v>
      </c>
      <c r="BD6" s="1">
        <f t="shared" si="21"/>
        <v>281670</v>
      </c>
      <c r="BE6" s="1">
        <f t="shared" si="22"/>
        <v>281670</v>
      </c>
      <c r="BF6" s="1">
        <f t="shared" si="23"/>
        <v>278173</v>
      </c>
      <c r="BG6" s="1">
        <f t="shared" si="24"/>
        <v>278173</v>
      </c>
      <c r="BH6" s="1">
        <f t="shared" si="25"/>
        <v>187100</v>
      </c>
      <c r="BI6" s="1">
        <f t="shared" si="26"/>
        <v>29237</v>
      </c>
      <c r="BJ6" s="1">
        <f t="shared" si="27"/>
        <v>29237</v>
      </c>
      <c r="BK6" s="1">
        <f t="shared" si="28"/>
        <v>29237</v>
      </c>
      <c r="BL6" s="1">
        <f t="shared" si="29"/>
        <v>716</v>
      </c>
      <c r="BM6" s="1">
        <f t="shared" si="30"/>
        <v>11676</v>
      </c>
      <c r="BN6" s="1">
        <f t="shared" si="31"/>
        <v>59666</v>
      </c>
      <c r="BO6" s="1">
        <f t="shared" si="32"/>
        <v>716</v>
      </c>
      <c r="BP6" s="1">
        <f t="shared" si="33"/>
        <v>0</v>
      </c>
      <c r="BQ6" s="1">
        <f t="shared" si="34"/>
        <v>716</v>
      </c>
      <c r="BR6" s="1">
        <f t="shared" si="35"/>
        <v>716</v>
      </c>
      <c r="BS6" s="1">
        <f t="shared" si="36"/>
        <v>716</v>
      </c>
      <c r="BT6" s="1">
        <f t="shared" si="37"/>
        <v>716</v>
      </c>
      <c r="BU6" s="1">
        <f t="shared" si="38"/>
        <v>716</v>
      </c>
      <c r="BV6" s="1">
        <f t="shared" si="39"/>
        <v>716</v>
      </c>
      <c r="BW6" s="1">
        <f t="shared" si="40"/>
        <v>716</v>
      </c>
      <c r="BX6" s="1">
        <f t="shared" si="41"/>
        <v>0</v>
      </c>
      <c r="BY6" s="1">
        <f t="shared" si="42"/>
        <v>0</v>
      </c>
      <c r="BZ6" s="1">
        <f t="shared" si="43"/>
        <v>0</v>
      </c>
      <c r="CA6" s="1">
        <f t="shared" si="44"/>
        <v>0</v>
      </c>
      <c r="CB6" s="1">
        <f t="shared" si="45"/>
        <v>0</v>
      </c>
      <c r="CC6" s="1">
        <f t="shared" si="46"/>
        <v>0</v>
      </c>
      <c r="CE6">
        <f>VLOOKUP(AR6,'Contorizare in SDI'!$T:$U,2,FALSE)</f>
        <v>216337</v>
      </c>
      <c r="CF6">
        <f t="shared" si="47"/>
        <v>0</v>
      </c>
      <c r="CG6">
        <f>SUMIF('Date masura OD'!$B:$B,AR6,'Date masura OD'!R:R)</f>
        <v>285907</v>
      </c>
      <c r="CH6">
        <f>VLOOKUP(AR6,'Inchidere contur'!$AP:$AQ,2,FALSE)</f>
        <v>4237</v>
      </c>
      <c r="CI6">
        <f t="shared" si="64"/>
        <v>281670</v>
      </c>
      <c r="CJ6">
        <f t="shared" si="48"/>
        <v>0</v>
      </c>
      <c r="CL6" s="328" t="s">
        <v>867</v>
      </c>
      <c r="CM6" s="72">
        <f>CM5-CM4</f>
        <v>0</v>
      </c>
    </row>
    <row r="7" spans="1:93">
      <c r="A7" s="17">
        <v>4</v>
      </c>
      <c r="B7" s="17" t="str">
        <f t="shared" si="49"/>
        <v>RPMB</v>
      </c>
      <c r="C7" s="325" t="s">
        <v>540</v>
      </c>
      <c r="D7" s="198" t="str">
        <f>IFERROR(VLOOKUP(C7,'Inchidere contur'!B:U,20,0),VLOOKUP(C7,'Inchidere contur'!G:U,15,0))</f>
        <v>MT_OD</v>
      </c>
      <c r="E7" s="126">
        <f>IFERROR(IFERROR(VLOOKUP(C7,'Inchidere contur'!B:U,20-4,0),VLOOKUP(C7,'Inchidere contur'!G:U,15-4,0)),"eroare")</f>
        <v>63360</v>
      </c>
      <c r="F7" s="200">
        <v>0</v>
      </c>
      <c r="G7" s="200">
        <v>0</v>
      </c>
      <c r="H7" s="126">
        <f t="shared" si="50"/>
        <v>63360</v>
      </c>
      <c r="I7" s="126">
        <f t="shared" si="3"/>
        <v>0</v>
      </c>
      <c r="J7" s="126">
        <f t="shared" si="51"/>
        <v>63360</v>
      </c>
      <c r="K7" s="126">
        <f t="shared" si="52"/>
        <v>63360</v>
      </c>
      <c r="L7" s="126">
        <f t="shared" si="53"/>
        <v>63360</v>
      </c>
      <c r="M7" s="126">
        <f t="shared" si="54"/>
        <v>63360</v>
      </c>
      <c r="N7" s="126">
        <f t="shared" si="55"/>
        <v>63360</v>
      </c>
      <c r="O7" s="126">
        <f t="shared" si="56"/>
        <v>63360</v>
      </c>
      <c r="P7" s="126">
        <f t="shared" si="4"/>
        <v>63360</v>
      </c>
      <c r="Q7" s="126">
        <f t="shared" si="5"/>
        <v>0</v>
      </c>
      <c r="R7" s="126">
        <f t="shared" si="6"/>
        <v>0</v>
      </c>
      <c r="S7" s="126">
        <f>IFERROR(IFERROR(VLOOKUP(C7,'Inchidere contur'!B:U,20-3,0),VLOOKUP(C7,'Inchidere contur'!G:U,15-3,0)),"eroare")</f>
        <v>0</v>
      </c>
      <c r="T7" s="126">
        <f>IFERROR(IFERROR(VLOOKUP(C7,'Inchidere contur'!B:U,20-2,0),VLOOKUP(C7,'Inchidere contur'!G:U,15-2,0)),"eroare")</f>
        <v>0</v>
      </c>
      <c r="U7" s="126">
        <f t="shared" si="65"/>
        <v>0</v>
      </c>
      <c r="V7" s="126">
        <f t="shared" si="66"/>
        <v>0</v>
      </c>
      <c r="W7" s="126">
        <f>IFERROR(VLOOKUP(C7,Regularizare!B:AX,45,0),"eroare")</f>
        <v>0</v>
      </c>
      <c r="X7" s="126">
        <f>IFERROR(VLOOKUP(C7,Regularizare!B:AX,46,0),"eroare")+IFERROR(VLOOKUP(C7,Regularizare!B:AX,48,0),"eroare")</f>
        <v>0</v>
      </c>
      <c r="Y7" s="126">
        <f>IFERROR(VLOOKUP(C7,Regularizare!B:AX,47,0),"eroare")+IFERROR(VLOOKUP(C7,Regularizare!B:AX,49,0),"eroare")</f>
        <v>0</v>
      </c>
      <c r="Z7" s="126">
        <f t="shared" si="57"/>
        <v>0</v>
      </c>
      <c r="AA7" s="126">
        <f t="shared" si="7"/>
        <v>0</v>
      </c>
      <c r="AB7" s="126">
        <f t="shared" si="58"/>
        <v>0</v>
      </c>
      <c r="AC7" s="126">
        <f t="shared" si="59"/>
        <v>0</v>
      </c>
      <c r="AD7" s="126">
        <f t="shared" si="60"/>
        <v>0</v>
      </c>
      <c r="AE7" s="126">
        <f t="shared" si="61"/>
        <v>0</v>
      </c>
      <c r="AF7" s="126">
        <f t="shared" si="62"/>
        <v>0</v>
      </c>
      <c r="AG7" s="126">
        <f t="shared" si="63"/>
        <v>0</v>
      </c>
      <c r="AH7" s="126">
        <f t="shared" si="8"/>
        <v>0</v>
      </c>
      <c r="AI7" s="126">
        <f t="shared" si="9"/>
        <v>0</v>
      </c>
      <c r="AJ7" s="126">
        <f t="shared" si="10"/>
        <v>0</v>
      </c>
      <c r="AK7" s="126">
        <v>0</v>
      </c>
      <c r="AL7" s="126">
        <v>0</v>
      </c>
      <c r="AM7" s="126">
        <v>0</v>
      </c>
      <c r="AN7" s="126">
        <v>0</v>
      </c>
      <c r="AQ7" t="str">
        <f>VLOOKUP(AR7,'Date SPV'!$B$4:$D$25,3,FALSE)</f>
        <v>Mega Mall Bucuresti SRL</v>
      </c>
      <c r="AR7" s="1" t="s">
        <v>3</v>
      </c>
      <c r="AS7" s="1">
        <v>4</v>
      </c>
      <c r="AT7" s="1">
        <f t="shared" si="11"/>
        <v>1934381</v>
      </c>
      <c r="AU7" s="1">
        <f t="shared" si="12"/>
        <v>0</v>
      </c>
      <c r="AV7" s="1">
        <f t="shared" si="13"/>
        <v>0</v>
      </c>
      <c r="AW7" s="1">
        <f t="shared" si="14"/>
        <v>1934381</v>
      </c>
      <c r="AX7" s="1">
        <f t="shared" si="15"/>
        <v>0</v>
      </c>
      <c r="AY7" s="1">
        <f t="shared" si="16"/>
        <v>1934381</v>
      </c>
      <c r="AZ7" s="1">
        <f t="shared" si="17"/>
        <v>1934381</v>
      </c>
      <c r="BA7" s="1">
        <f t="shared" si="18"/>
        <v>1934381</v>
      </c>
      <c r="BB7" s="1">
        <f t="shared" si="19"/>
        <v>1934381</v>
      </c>
      <c r="BC7" s="1">
        <f t="shared" si="20"/>
        <v>1934381</v>
      </c>
      <c r="BD7" s="1">
        <f t="shared" si="21"/>
        <v>1934381</v>
      </c>
      <c r="BE7" s="1">
        <f t="shared" si="22"/>
        <v>1934381</v>
      </c>
      <c r="BF7" s="1">
        <f t="shared" si="23"/>
        <v>1934381</v>
      </c>
      <c r="BG7" s="1">
        <f t="shared" si="24"/>
        <v>1934381</v>
      </c>
      <c r="BH7" s="1">
        <f t="shared" si="25"/>
        <v>13904</v>
      </c>
      <c r="BI7" s="1">
        <f t="shared" si="26"/>
        <v>0</v>
      </c>
      <c r="BJ7" s="1">
        <f t="shared" si="27"/>
        <v>0</v>
      </c>
      <c r="BK7" s="1">
        <f t="shared" si="28"/>
        <v>0</v>
      </c>
      <c r="BL7" s="1">
        <f t="shared" si="29"/>
        <v>0</v>
      </c>
      <c r="BM7" s="1">
        <f t="shared" si="30"/>
        <v>0</v>
      </c>
      <c r="BN7" s="1">
        <f t="shared" si="31"/>
        <v>0</v>
      </c>
      <c r="BO7" s="1">
        <f t="shared" si="32"/>
        <v>0</v>
      </c>
      <c r="BP7" s="1">
        <f t="shared" si="33"/>
        <v>0</v>
      </c>
      <c r="BQ7" s="1">
        <f t="shared" si="34"/>
        <v>0</v>
      </c>
      <c r="BR7" s="1">
        <f t="shared" si="35"/>
        <v>0</v>
      </c>
      <c r="BS7" s="1">
        <f t="shared" si="36"/>
        <v>0</v>
      </c>
      <c r="BT7" s="1">
        <f t="shared" si="37"/>
        <v>0</v>
      </c>
      <c r="BU7" s="1">
        <f t="shared" si="38"/>
        <v>0</v>
      </c>
      <c r="BV7" s="1">
        <f t="shared" si="39"/>
        <v>0</v>
      </c>
      <c r="BW7" s="1">
        <f t="shared" si="40"/>
        <v>0</v>
      </c>
      <c r="BX7" s="1">
        <f t="shared" si="41"/>
        <v>0</v>
      </c>
      <c r="BY7" s="1">
        <f t="shared" si="42"/>
        <v>0</v>
      </c>
      <c r="BZ7" s="1">
        <f t="shared" si="43"/>
        <v>0</v>
      </c>
      <c r="CA7" s="1">
        <f t="shared" si="44"/>
        <v>0</v>
      </c>
      <c r="CB7" s="1">
        <f t="shared" si="45"/>
        <v>0</v>
      </c>
      <c r="CC7" s="1">
        <f t="shared" si="46"/>
        <v>0</v>
      </c>
      <c r="CE7">
        <f>VLOOKUP(AR7,'Contorizare in SDI'!$T:$U,2,FALSE)</f>
        <v>13904</v>
      </c>
      <c r="CF7">
        <f t="shared" si="47"/>
        <v>0</v>
      </c>
      <c r="CG7">
        <f>SUMIF('Date masura OD'!$B:$B,AR7,'Date masura OD'!R:R)</f>
        <v>1963840</v>
      </c>
      <c r="CH7">
        <f>VLOOKUP(AR7,'Inchidere contur'!$AP:$AQ,2,FALSE)</f>
        <v>29459</v>
      </c>
      <c r="CI7">
        <f t="shared" si="64"/>
        <v>1934381</v>
      </c>
      <c r="CJ7">
        <f t="shared" si="48"/>
        <v>0</v>
      </c>
      <c r="CL7" t="s">
        <v>1137</v>
      </c>
      <c r="CM7" s="559">
        <f>SUM('Contorizare in SDI'!P:P)</f>
        <v>3343072.5</v>
      </c>
    </row>
    <row r="8" spans="1:93" ht="47.25">
      <c r="A8" s="17">
        <v>5</v>
      </c>
      <c r="B8" s="17" t="str">
        <f t="shared" si="49"/>
        <v>RPMB</v>
      </c>
      <c r="C8" s="325" t="s">
        <v>541</v>
      </c>
      <c r="D8" s="198" t="str">
        <f>IFERROR(VLOOKUP(C8,'Inchidere contur'!B:U,20,0),VLOOKUP(C8,'Inchidere contur'!G:U,15,0))</f>
        <v>JT_OD</v>
      </c>
      <c r="E8" s="126">
        <f>IFERROR(IFERROR(VLOOKUP(C8,'Inchidere contur'!B:U,20-4,0),VLOOKUP(C8,'Inchidere contur'!G:U,15-4,0)),"eroare")</f>
        <v>611</v>
      </c>
      <c r="F8" s="200">
        <v>0</v>
      </c>
      <c r="G8" s="200">
        <v>0</v>
      </c>
      <c r="H8" s="126">
        <f t="shared" si="50"/>
        <v>611</v>
      </c>
      <c r="I8" s="126">
        <f t="shared" si="3"/>
        <v>611</v>
      </c>
      <c r="J8" s="126">
        <f t="shared" si="51"/>
        <v>611</v>
      </c>
      <c r="K8" s="126">
        <f t="shared" si="52"/>
        <v>611</v>
      </c>
      <c r="L8" s="126">
        <f t="shared" si="53"/>
        <v>611</v>
      </c>
      <c r="M8" s="126">
        <f t="shared" si="54"/>
        <v>611</v>
      </c>
      <c r="N8" s="126">
        <f t="shared" si="55"/>
        <v>611</v>
      </c>
      <c r="O8" s="126">
        <f t="shared" si="56"/>
        <v>611</v>
      </c>
      <c r="P8" s="126">
        <f t="shared" si="4"/>
        <v>611</v>
      </c>
      <c r="Q8" s="126">
        <f t="shared" si="5"/>
        <v>0</v>
      </c>
      <c r="R8" s="126">
        <f t="shared" si="6"/>
        <v>0</v>
      </c>
      <c r="S8" s="126">
        <f>IFERROR(IFERROR(VLOOKUP(C8,'Inchidere contur'!B:U,20-3,0),VLOOKUP(C8,'Inchidere contur'!G:U,15-3,0)),"eroare")</f>
        <v>0</v>
      </c>
      <c r="T8" s="126">
        <f>IFERROR(IFERROR(VLOOKUP(C8,'Inchidere contur'!B:U,20-2,0),VLOOKUP(C8,'Inchidere contur'!G:U,15-2,0)),"eroare")</f>
        <v>0</v>
      </c>
      <c r="U8" s="126">
        <f t="shared" si="65"/>
        <v>0</v>
      </c>
      <c r="V8" s="126">
        <f t="shared" si="66"/>
        <v>0</v>
      </c>
      <c r="W8" s="126">
        <f>IFERROR(VLOOKUP(C8,Regularizare!B:AX,45,0),"eroare")</f>
        <v>0</v>
      </c>
      <c r="X8" s="126">
        <f>IFERROR(VLOOKUP(C8,Regularizare!B:AX,46,0),"eroare")+IFERROR(VLOOKUP(C8,Regularizare!B:AX,48,0),"eroare")</f>
        <v>0</v>
      </c>
      <c r="Y8" s="126">
        <f>IFERROR(VLOOKUP(C8,Regularizare!B:AX,47,0),"eroare")+IFERROR(VLOOKUP(C8,Regularizare!B:AX,49,0),"eroare")</f>
        <v>0</v>
      </c>
      <c r="Z8" s="126">
        <f t="shared" si="57"/>
        <v>0</v>
      </c>
      <c r="AA8" s="126">
        <f t="shared" si="7"/>
        <v>0</v>
      </c>
      <c r="AB8" s="126">
        <f t="shared" si="58"/>
        <v>0</v>
      </c>
      <c r="AC8" s="126">
        <f t="shared" si="59"/>
        <v>0</v>
      </c>
      <c r="AD8" s="126">
        <f t="shared" si="60"/>
        <v>0</v>
      </c>
      <c r="AE8" s="126">
        <f t="shared" si="61"/>
        <v>0</v>
      </c>
      <c r="AF8" s="126">
        <f t="shared" si="62"/>
        <v>0</v>
      </c>
      <c r="AG8" s="126">
        <f t="shared" si="63"/>
        <v>0</v>
      </c>
      <c r="AH8" s="126">
        <f t="shared" si="8"/>
        <v>0</v>
      </c>
      <c r="AI8" s="126">
        <f t="shared" si="9"/>
        <v>0</v>
      </c>
      <c r="AJ8" s="126">
        <f t="shared" si="10"/>
        <v>0</v>
      </c>
      <c r="AK8" s="126">
        <v>0</v>
      </c>
      <c r="AL8" s="126">
        <v>0</v>
      </c>
      <c r="AM8" s="126">
        <v>0</v>
      </c>
      <c r="AN8" s="126">
        <v>0</v>
      </c>
      <c r="AQ8" t="str">
        <f>VLOOKUP(AR8,'Date SPV'!$B$4:$D$25,3,FALSE)</f>
        <v>Promenada Mall Bucuresti SRL</v>
      </c>
      <c r="AR8" s="1" t="s">
        <v>4</v>
      </c>
      <c r="AS8" s="1">
        <v>5</v>
      </c>
      <c r="AT8" s="1">
        <f t="shared" si="11"/>
        <v>1390723</v>
      </c>
      <c r="AU8" s="1">
        <f t="shared" si="12"/>
        <v>0</v>
      </c>
      <c r="AV8" s="1">
        <f t="shared" si="13"/>
        <v>0</v>
      </c>
      <c r="AW8" s="1">
        <f t="shared" si="14"/>
        <v>1390723</v>
      </c>
      <c r="AX8" s="1">
        <f t="shared" si="15"/>
        <v>4154</v>
      </c>
      <c r="AY8" s="1">
        <f t="shared" si="16"/>
        <v>1390723</v>
      </c>
      <c r="AZ8" s="1">
        <f t="shared" si="17"/>
        <v>1390723</v>
      </c>
      <c r="BA8" s="1">
        <f t="shared" si="18"/>
        <v>1390723</v>
      </c>
      <c r="BB8" s="1">
        <f t="shared" si="19"/>
        <v>1390723</v>
      </c>
      <c r="BC8" s="1">
        <f t="shared" si="20"/>
        <v>1390723</v>
      </c>
      <c r="BD8" s="1">
        <f t="shared" si="21"/>
        <v>1390723</v>
      </c>
      <c r="BE8" s="1">
        <f t="shared" si="22"/>
        <v>1390723</v>
      </c>
      <c r="BF8" s="1">
        <f t="shared" si="23"/>
        <v>1323209</v>
      </c>
      <c r="BG8" s="1">
        <f t="shared" si="24"/>
        <v>1323209</v>
      </c>
      <c r="BH8" s="1">
        <f t="shared" si="25"/>
        <v>64628</v>
      </c>
      <c r="BI8" s="1">
        <f t="shared" si="26"/>
        <v>0</v>
      </c>
      <c r="BJ8" s="1">
        <f t="shared" si="27"/>
        <v>0</v>
      </c>
      <c r="BK8" s="1">
        <f t="shared" si="28"/>
        <v>0</v>
      </c>
      <c r="BL8" s="1">
        <f t="shared" si="29"/>
        <v>0</v>
      </c>
      <c r="BM8" s="1">
        <f t="shared" si="30"/>
        <v>0</v>
      </c>
      <c r="BN8" s="1">
        <f t="shared" si="31"/>
        <v>0</v>
      </c>
      <c r="BO8" s="1">
        <f t="shared" si="32"/>
        <v>0</v>
      </c>
      <c r="BP8" s="1">
        <f t="shared" si="33"/>
        <v>0</v>
      </c>
      <c r="BQ8" s="1">
        <f t="shared" si="34"/>
        <v>0</v>
      </c>
      <c r="BR8" s="1">
        <f t="shared" si="35"/>
        <v>0</v>
      </c>
      <c r="BS8" s="1">
        <f t="shared" si="36"/>
        <v>0</v>
      </c>
      <c r="BT8" s="1">
        <f t="shared" si="37"/>
        <v>0</v>
      </c>
      <c r="BU8" s="1">
        <f t="shared" si="38"/>
        <v>0</v>
      </c>
      <c r="BV8" s="1">
        <f t="shared" si="39"/>
        <v>0</v>
      </c>
      <c r="BW8" s="1">
        <f t="shared" si="40"/>
        <v>0</v>
      </c>
      <c r="BX8" s="1">
        <f t="shared" si="41"/>
        <v>0</v>
      </c>
      <c r="BY8" s="1">
        <f t="shared" si="42"/>
        <v>0</v>
      </c>
      <c r="BZ8" s="1">
        <f t="shared" si="43"/>
        <v>0</v>
      </c>
      <c r="CA8" s="1">
        <f t="shared" si="44"/>
        <v>0</v>
      </c>
      <c r="CB8" s="1">
        <f t="shared" si="45"/>
        <v>0</v>
      </c>
      <c r="CC8" s="1">
        <f t="shared" si="46"/>
        <v>0</v>
      </c>
      <c r="CE8">
        <f>VLOOKUP(AR8,'Contorizare in SDI'!$T:$U,2,FALSE)</f>
        <v>64628</v>
      </c>
      <c r="CF8">
        <f t="shared" si="47"/>
        <v>0</v>
      </c>
      <c r="CG8">
        <f>SUMIF('Date masura OD'!$B:$B,AR8,'Date masura OD'!R:R)</f>
        <v>1410874</v>
      </c>
      <c r="CH8">
        <f>VLOOKUP(AR8,'Inchidere contur'!$AP:$AQ,2,FALSE)</f>
        <v>20151</v>
      </c>
      <c r="CI8">
        <f t="shared" si="64"/>
        <v>1390723</v>
      </c>
      <c r="CJ8">
        <f t="shared" si="48"/>
        <v>0</v>
      </c>
      <c r="CL8" s="205" t="s">
        <v>1138</v>
      </c>
      <c r="CM8" s="559">
        <f>SUM(BH4:BI32)</f>
        <v>3264571.5</v>
      </c>
    </row>
    <row r="9" spans="1:93">
      <c r="A9" s="17">
        <v>6</v>
      </c>
      <c r="B9" s="17" t="str">
        <f t="shared" si="49"/>
        <v>RPMB</v>
      </c>
      <c r="C9" s="325" t="s">
        <v>542</v>
      </c>
      <c r="D9" s="198" t="str">
        <f>IFERROR(VLOOKUP(C9,'Inchidere contur'!B:U,20,0),VLOOKUP(C9,'Inchidere contur'!G:U,15,0))</f>
        <v>JT_OD</v>
      </c>
      <c r="E9" s="126">
        <f>IFERROR(IFERROR(VLOOKUP(C9,'Inchidere contur'!B:U,20-4,0),VLOOKUP(C9,'Inchidere contur'!G:U,15-4,0)),"eroare")</f>
        <v>3543</v>
      </c>
      <c r="F9" s="200">
        <v>0</v>
      </c>
      <c r="G9" s="200">
        <v>0</v>
      </c>
      <c r="H9" s="126">
        <f t="shared" si="50"/>
        <v>3543</v>
      </c>
      <c r="I9" s="126">
        <f t="shared" si="3"/>
        <v>3543</v>
      </c>
      <c r="J9" s="126">
        <f t="shared" si="51"/>
        <v>3543</v>
      </c>
      <c r="K9" s="126">
        <f t="shared" si="52"/>
        <v>3543</v>
      </c>
      <c r="L9" s="126">
        <f t="shared" si="53"/>
        <v>3543</v>
      </c>
      <c r="M9" s="126">
        <f t="shared" si="54"/>
        <v>3543</v>
      </c>
      <c r="N9" s="126">
        <f t="shared" si="55"/>
        <v>3543</v>
      </c>
      <c r="O9" s="126">
        <f t="shared" si="56"/>
        <v>3543</v>
      </c>
      <c r="P9" s="126">
        <f t="shared" si="4"/>
        <v>3543</v>
      </c>
      <c r="Q9" s="126">
        <f t="shared" si="5"/>
        <v>0</v>
      </c>
      <c r="R9" s="126">
        <f t="shared" si="6"/>
        <v>0</v>
      </c>
      <c r="S9" s="126">
        <f>IFERROR(IFERROR(VLOOKUP(C9,'Inchidere contur'!B:U,20-3,0),VLOOKUP(C9,'Inchidere contur'!G:U,15-3,0)),"eroare")</f>
        <v>0</v>
      </c>
      <c r="T9" s="126">
        <f>IFERROR(IFERROR(VLOOKUP(C9,'Inchidere contur'!B:U,20-2,0),VLOOKUP(C9,'Inchidere contur'!G:U,15-2,0)),"eroare")</f>
        <v>0</v>
      </c>
      <c r="U9" s="126">
        <f t="shared" si="65"/>
        <v>0</v>
      </c>
      <c r="V9" s="126">
        <f t="shared" si="66"/>
        <v>0</v>
      </c>
      <c r="W9" s="126">
        <f>IFERROR(VLOOKUP(C9,Regularizare!B:AX,45,0),"eroare")</f>
        <v>0</v>
      </c>
      <c r="X9" s="126">
        <f>IFERROR(VLOOKUP(C9,Regularizare!B:AX,46,0),"eroare")+IFERROR(VLOOKUP(C9,Regularizare!B:AX,48,0),"eroare")</f>
        <v>0</v>
      </c>
      <c r="Y9" s="126">
        <f>IFERROR(VLOOKUP(C9,Regularizare!B:AX,47,0),"eroare")+IFERROR(VLOOKUP(C9,Regularizare!B:AX,49,0),"eroare")</f>
        <v>0</v>
      </c>
      <c r="Z9" s="126">
        <f t="shared" si="57"/>
        <v>0</v>
      </c>
      <c r="AA9" s="126">
        <f t="shared" si="7"/>
        <v>0</v>
      </c>
      <c r="AB9" s="126">
        <f t="shared" si="58"/>
        <v>0</v>
      </c>
      <c r="AC9" s="126">
        <f t="shared" si="59"/>
        <v>0</v>
      </c>
      <c r="AD9" s="126">
        <f t="shared" si="60"/>
        <v>0</v>
      </c>
      <c r="AE9" s="126">
        <f t="shared" si="61"/>
        <v>0</v>
      </c>
      <c r="AF9" s="126">
        <f t="shared" si="62"/>
        <v>0</v>
      </c>
      <c r="AG9" s="126">
        <f t="shared" si="63"/>
        <v>0</v>
      </c>
      <c r="AH9" s="126">
        <f t="shared" si="8"/>
        <v>0</v>
      </c>
      <c r="AI9" s="126">
        <f t="shared" si="9"/>
        <v>0</v>
      </c>
      <c r="AJ9" s="126">
        <f t="shared" si="10"/>
        <v>0</v>
      </c>
      <c r="AK9" s="126">
        <v>0</v>
      </c>
      <c r="AL9" s="126">
        <v>0</v>
      </c>
      <c r="AM9" s="126">
        <v>0</v>
      </c>
      <c r="AN9" s="126">
        <v>0</v>
      </c>
      <c r="AQ9" t="str">
        <f>VLOOKUP(AR9,'Date SPV'!$B$4:$D$25,3,FALSE)</f>
        <v>Galati Shopping City SRL</v>
      </c>
      <c r="AR9" s="1" t="s">
        <v>5</v>
      </c>
      <c r="AS9" s="1">
        <v>6</v>
      </c>
      <c r="AT9" s="1">
        <f t="shared" si="11"/>
        <v>696493</v>
      </c>
      <c r="AU9" s="1">
        <f t="shared" si="12"/>
        <v>0</v>
      </c>
      <c r="AV9" s="1">
        <f t="shared" si="13"/>
        <v>0</v>
      </c>
      <c r="AW9" s="1">
        <f t="shared" si="14"/>
        <v>696493</v>
      </c>
      <c r="AX9" s="1">
        <f t="shared" si="15"/>
        <v>0</v>
      </c>
      <c r="AY9" s="1">
        <f t="shared" si="16"/>
        <v>696493</v>
      </c>
      <c r="AZ9" s="1">
        <f t="shared" si="17"/>
        <v>696493</v>
      </c>
      <c r="BA9" s="1">
        <f t="shared" si="18"/>
        <v>696493</v>
      </c>
      <c r="BB9" s="1">
        <f t="shared" si="19"/>
        <v>696493</v>
      </c>
      <c r="BC9" s="1">
        <f t="shared" si="20"/>
        <v>696493</v>
      </c>
      <c r="BD9" s="1">
        <f t="shared" si="21"/>
        <v>696493</v>
      </c>
      <c r="BE9" s="1">
        <f t="shared" si="22"/>
        <v>696493</v>
      </c>
      <c r="BF9" s="1">
        <f t="shared" si="23"/>
        <v>696493</v>
      </c>
      <c r="BG9" s="1">
        <f t="shared" si="24"/>
        <v>696493</v>
      </c>
      <c r="BH9" s="1">
        <f t="shared" si="25"/>
        <v>263626</v>
      </c>
      <c r="BI9" s="1">
        <f t="shared" si="26"/>
        <v>18011</v>
      </c>
      <c r="BJ9" s="1">
        <f t="shared" si="27"/>
        <v>18011</v>
      </c>
      <c r="BK9" s="1">
        <f t="shared" si="28"/>
        <v>18011</v>
      </c>
      <c r="BL9" s="1">
        <f t="shared" si="29"/>
        <v>0</v>
      </c>
      <c r="BM9" s="1">
        <f t="shared" si="30"/>
        <v>6914</v>
      </c>
      <c r="BN9" s="1">
        <f t="shared" si="31"/>
        <v>4365</v>
      </c>
      <c r="BO9" s="1">
        <f t="shared" si="32"/>
        <v>0</v>
      </c>
      <c r="BP9" s="1">
        <f t="shared" si="33"/>
        <v>0</v>
      </c>
      <c r="BQ9" s="1">
        <f t="shared" si="34"/>
        <v>0</v>
      </c>
      <c r="BR9" s="1">
        <f t="shared" si="35"/>
        <v>0</v>
      </c>
      <c r="BS9" s="1">
        <f t="shared" si="36"/>
        <v>0</v>
      </c>
      <c r="BT9" s="1">
        <f t="shared" si="37"/>
        <v>0</v>
      </c>
      <c r="BU9" s="1">
        <f t="shared" si="38"/>
        <v>0</v>
      </c>
      <c r="BV9" s="1">
        <f t="shared" si="39"/>
        <v>0</v>
      </c>
      <c r="BW9" s="1">
        <f t="shared" si="40"/>
        <v>0</v>
      </c>
      <c r="BX9" s="1">
        <f t="shared" si="41"/>
        <v>0</v>
      </c>
      <c r="BY9" s="1">
        <f t="shared" si="42"/>
        <v>0</v>
      </c>
      <c r="BZ9" s="1">
        <f t="shared" si="43"/>
        <v>0</v>
      </c>
      <c r="CA9" s="1">
        <f t="shared" si="44"/>
        <v>0</v>
      </c>
      <c r="CB9" s="1">
        <f t="shared" si="45"/>
        <v>0</v>
      </c>
      <c r="CC9" s="1">
        <f t="shared" si="46"/>
        <v>0</v>
      </c>
      <c r="CE9">
        <f>VLOOKUP(AR9,'Contorizare in SDI'!$T:$U,2,FALSE)</f>
        <v>281637</v>
      </c>
      <c r="CF9">
        <f t="shared" si="47"/>
        <v>0</v>
      </c>
      <c r="CG9">
        <f>SUMIF('Date masura OD'!$B:$B,AR9,'Date masura OD'!R:R)</f>
        <v>707100</v>
      </c>
      <c r="CH9">
        <f>VLOOKUP(AR9,'Inchidere contur'!$AP:$AQ,2,FALSE)</f>
        <v>10607</v>
      </c>
      <c r="CI9">
        <f t="shared" si="64"/>
        <v>696493</v>
      </c>
      <c r="CJ9">
        <f t="shared" si="48"/>
        <v>0</v>
      </c>
      <c r="CL9" t="s">
        <v>1328</v>
      </c>
      <c r="CM9" s="559">
        <f>SUM(CF4:CF33)</f>
        <v>78485</v>
      </c>
    </row>
    <row r="10" spans="1:93">
      <c r="A10" s="17">
        <v>7</v>
      </c>
      <c r="B10" s="17" t="str">
        <f t="shared" si="49"/>
        <v>RSEV</v>
      </c>
      <c r="C10" s="325" t="s">
        <v>554</v>
      </c>
      <c r="D10" s="198" t="str">
        <f>IFERROR(VLOOKUP(C10,'Inchidere contur'!B:U,20,0),VLOOKUP(C10,'Inchidere contur'!G:U,15,0))</f>
        <v>MT_OD</v>
      </c>
      <c r="E10" s="126">
        <f>IFERROR(IFERROR(VLOOKUP(C10,'Inchidere contur'!B:U,20-4,0),VLOOKUP(C10,'Inchidere contur'!G:U,15-4,0)),"eroare")</f>
        <v>38960</v>
      </c>
      <c r="F10" s="200">
        <v>0</v>
      </c>
      <c r="G10" s="200">
        <v>0</v>
      </c>
      <c r="H10" s="126">
        <f t="shared" si="50"/>
        <v>38960</v>
      </c>
      <c r="I10" s="126">
        <f t="shared" si="3"/>
        <v>0</v>
      </c>
      <c r="J10" s="126">
        <f t="shared" si="51"/>
        <v>38960</v>
      </c>
      <c r="K10" s="126">
        <f t="shared" si="52"/>
        <v>38960</v>
      </c>
      <c r="L10" s="126">
        <f t="shared" si="53"/>
        <v>38960</v>
      </c>
      <c r="M10" s="126">
        <f t="shared" si="54"/>
        <v>38960</v>
      </c>
      <c r="N10" s="126">
        <f t="shared" si="55"/>
        <v>38960</v>
      </c>
      <c r="O10" s="126">
        <f t="shared" si="56"/>
        <v>38960</v>
      </c>
      <c r="P10" s="126">
        <f t="shared" si="4"/>
        <v>38960</v>
      </c>
      <c r="Q10" s="126">
        <f t="shared" si="5"/>
        <v>0</v>
      </c>
      <c r="R10" s="126">
        <f t="shared" si="6"/>
        <v>0</v>
      </c>
      <c r="S10" s="126">
        <f>IFERROR(IFERROR(VLOOKUP(C10,'Inchidere contur'!B:U,20-3,0),VLOOKUP(C10,'Inchidere contur'!G:U,15-3,0)),"eroare")</f>
        <v>0</v>
      </c>
      <c r="T10" s="126">
        <f>IFERROR(IFERROR(VLOOKUP(C10,'Inchidere contur'!B:U,20-2,0),VLOOKUP(C10,'Inchidere contur'!G:U,15-2,0)),"eroare")</f>
        <v>0</v>
      </c>
      <c r="U10" s="126">
        <f t="shared" si="65"/>
        <v>0</v>
      </c>
      <c r="V10" s="126">
        <f t="shared" si="66"/>
        <v>0</v>
      </c>
      <c r="W10" s="126">
        <f>IFERROR(VLOOKUP(C10,Regularizare!B:AX,45,0),"eroare")</f>
        <v>0</v>
      </c>
      <c r="X10" s="126">
        <f>IFERROR(VLOOKUP(C10,Regularizare!B:AX,46,0),"eroare")+IFERROR(VLOOKUP(C10,Regularizare!B:AX,48,0),"eroare")</f>
        <v>0</v>
      </c>
      <c r="Y10" s="126">
        <f>IFERROR(VLOOKUP(C10,Regularizare!B:AX,47,0),"eroare")+IFERROR(VLOOKUP(C10,Regularizare!B:AX,49,0),"eroare")</f>
        <v>0</v>
      </c>
      <c r="Z10" s="126">
        <f t="shared" si="57"/>
        <v>0</v>
      </c>
      <c r="AA10" s="126">
        <f t="shared" si="7"/>
        <v>0</v>
      </c>
      <c r="AB10" s="126">
        <f t="shared" si="58"/>
        <v>0</v>
      </c>
      <c r="AC10" s="126">
        <f t="shared" si="59"/>
        <v>0</v>
      </c>
      <c r="AD10" s="126">
        <f t="shared" si="60"/>
        <v>0</v>
      </c>
      <c r="AE10" s="126">
        <f t="shared" si="61"/>
        <v>0</v>
      </c>
      <c r="AF10" s="126">
        <f t="shared" si="62"/>
        <v>0</v>
      </c>
      <c r="AG10" s="126">
        <f t="shared" si="63"/>
        <v>0</v>
      </c>
      <c r="AH10" s="126">
        <f t="shared" si="8"/>
        <v>0</v>
      </c>
      <c r="AI10" s="126">
        <f t="shared" si="9"/>
        <v>0</v>
      </c>
      <c r="AJ10" s="126">
        <f t="shared" si="10"/>
        <v>0</v>
      </c>
      <c r="AK10" s="126">
        <v>0</v>
      </c>
      <c r="AL10" s="126">
        <v>0</v>
      </c>
      <c r="AM10" s="126">
        <v>0</v>
      </c>
      <c r="AN10" s="126">
        <v>0</v>
      </c>
      <c r="AQ10" t="str">
        <f>VLOOKUP(AR10,'Date SPV'!$B$4:$D$25,3,FALSE)</f>
        <v>Aurora Mall Buzau SRL</v>
      </c>
      <c r="AR10" s="1" t="s">
        <v>6</v>
      </c>
      <c r="AS10" s="1">
        <v>7</v>
      </c>
      <c r="AT10" s="1">
        <f t="shared" si="11"/>
        <v>326783</v>
      </c>
      <c r="AU10" s="1">
        <f t="shared" si="12"/>
        <v>0</v>
      </c>
      <c r="AV10" s="1">
        <f t="shared" si="13"/>
        <v>0</v>
      </c>
      <c r="AW10" s="1">
        <f t="shared" si="14"/>
        <v>326783</v>
      </c>
      <c r="AX10" s="1">
        <f t="shared" si="15"/>
        <v>0</v>
      </c>
      <c r="AY10" s="1">
        <f t="shared" si="16"/>
        <v>326783</v>
      </c>
      <c r="AZ10" s="1">
        <f t="shared" si="17"/>
        <v>326783</v>
      </c>
      <c r="BA10" s="1">
        <f t="shared" si="18"/>
        <v>326783</v>
      </c>
      <c r="BB10" s="1">
        <f t="shared" si="19"/>
        <v>326783</v>
      </c>
      <c r="BC10" s="1">
        <f t="shared" si="20"/>
        <v>326783</v>
      </c>
      <c r="BD10" s="1">
        <f t="shared" si="21"/>
        <v>326783</v>
      </c>
      <c r="BE10" s="1">
        <f t="shared" si="22"/>
        <v>326783</v>
      </c>
      <c r="BF10" s="1">
        <f t="shared" si="23"/>
        <v>326783</v>
      </c>
      <c r="BG10" s="1">
        <f t="shared" si="24"/>
        <v>326783</v>
      </c>
      <c r="BH10" s="1">
        <f t="shared" si="25"/>
        <v>128816</v>
      </c>
      <c r="BI10" s="1">
        <f t="shared" si="26"/>
        <v>13285</v>
      </c>
      <c r="BJ10" s="1">
        <f t="shared" si="27"/>
        <v>13285</v>
      </c>
      <c r="BK10" s="1">
        <f t="shared" si="28"/>
        <v>13285</v>
      </c>
      <c r="BL10" s="1">
        <f t="shared" si="29"/>
        <v>0</v>
      </c>
      <c r="BM10" s="1">
        <f t="shared" si="30"/>
        <v>334</v>
      </c>
      <c r="BN10" s="1">
        <f t="shared" si="31"/>
        <v>0</v>
      </c>
      <c r="BO10" s="1">
        <f t="shared" si="32"/>
        <v>0</v>
      </c>
      <c r="BP10" s="1">
        <f t="shared" si="33"/>
        <v>0</v>
      </c>
      <c r="BQ10" s="1">
        <f t="shared" si="34"/>
        <v>0</v>
      </c>
      <c r="BR10" s="1">
        <f t="shared" si="35"/>
        <v>0</v>
      </c>
      <c r="BS10" s="1">
        <f t="shared" si="36"/>
        <v>0</v>
      </c>
      <c r="BT10" s="1">
        <f t="shared" si="37"/>
        <v>0</v>
      </c>
      <c r="BU10" s="1">
        <f t="shared" si="38"/>
        <v>0</v>
      </c>
      <c r="BV10" s="1">
        <f t="shared" si="39"/>
        <v>0</v>
      </c>
      <c r="BW10" s="1">
        <f t="shared" si="40"/>
        <v>0</v>
      </c>
      <c r="BX10" s="1">
        <f t="shared" si="41"/>
        <v>0</v>
      </c>
      <c r="BY10" s="1">
        <f t="shared" si="42"/>
        <v>0</v>
      </c>
      <c r="BZ10" s="1">
        <f t="shared" si="43"/>
        <v>0</v>
      </c>
      <c r="CA10" s="1">
        <f t="shared" si="44"/>
        <v>0</v>
      </c>
      <c r="CB10" s="1">
        <f t="shared" si="45"/>
        <v>0</v>
      </c>
      <c r="CC10" s="1">
        <f t="shared" si="46"/>
        <v>0</v>
      </c>
      <c r="CE10">
        <f>VLOOKUP(AR10,'Contorizare in SDI'!$T:$U,2,FALSE)</f>
        <v>142101</v>
      </c>
      <c r="CF10">
        <f t="shared" si="47"/>
        <v>0</v>
      </c>
      <c r="CG10">
        <f>SUMIF('Date masura OD'!$B:$B,AR10,'Date masura OD'!R:R)</f>
        <v>331760</v>
      </c>
      <c r="CH10">
        <f>VLOOKUP(AR10,'Inchidere contur'!$AP:$AQ,2,FALSE)</f>
        <v>4977</v>
      </c>
      <c r="CI10">
        <f t="shared" si="64"/>
        <v>326783</v>
      </c>
      <c r="CJ10">
        <f t="shared" si="48"/>
        <v>0</v>
      </c>
      <c r="CL10" s="328" t="s">
        <v>867</v>
      </c>
      <c r="CM10">
        <f>CM7-CM8-CM9</f>
        <v>16</v>
      </c>
    </row>
    <row r="11" spans="1:93">
      <c r="A11" s="17">
        <v>8</v>
      </c>
      <c r="B11" s="17" t="str">
        <f t="shared" si="49"/>
        <v>RSEV</v>
      </c>
      <c r="C11" s="325" t="s">
        <v>1084</v>
      </c>
      <c r="D11" s="22" t="s">
        <v>517</v>
      </c>
      <c r="E11" s="200">
        <v>0</v>
      </c>
      <c r="F11" s="200">
        <v>0</v>
      </c>
      <c r="G11" s="200">
        <v>0</v>
      </c>
      <c r="H11" s="126">
        <f t="shared" si="50"/>
        <v>0</v>
      </c>
      <c r="I11" s="126">
        <f t="shared" si="3"/>
        <v>0</v>
      </c>
      <c r="J11" s="126">
        <f t="shared" si="51"/>
        <v>0</v>
      </c>
      <c r="K11" s="126">
        <f t="shared" si="52"/>
        <v>0</v>
      </c>
      <c r="L11" s="126">
        <f t="shared" si="53"/>
        <v>0</v>
      </c>
      <c r="M11" s="126">
        <f t="shared" si="54"/>
        <v>0</v>
      </c>
      <c r="N11" s="126">
        <f t="shared" si="55"/>
        <v>0</v>
      </c>
      <c r="O11" s="126">
        <f t="shared" si="56"/>
        <v>0</v>
      </c>
      <c r="P11" s="126">
        <f t="shared" si="4"/>
        <v>0</v>
      </c>
      <c r="Q11" s="126">
        <f t="shared" si="5"/>
        <v>0</v>
      </c>
      <c r="R11" s="126">
        <f t="shared" si="6"/>
        <v>0</v>
      </c>
      <c r="S11" s="200">
        <v>0</v>
      </c>
      <c r="T11" s="200">
        <v>0</v>
      </c>
      <c r="U11" s="200">
        <v>0</v>
      </c>
      <c r="V11" s="200">
        <v>0</v>
      </c>
      <c r="W11" s="126">
        <f>IFERROR(VLOOKUP(C11,Regularizare!B:AX,45,0),"eroare")</f>
        <v>1563</v>
      </c>
      <c r="X11" s="126">
        <f>IFERROR(VLOOKUP(C11,Regularizare!B:AX,46,0),"eroare")+IFERROR(VLOOKUP(C11,Regularizare!B:AX,48,0),"eroare")</f>
        <v>3119</v>
      </c>
      <c r="Y11" s="126">
        <f>IFERROR(VLOOKUP(C11,Regularizare!B:AX,47,0),"eroare")+IFERROR(VLOOKUP(C11,Regularizare!B:AX,49,0),"eroare")</f>
        <v>33</v>
      </c>
      <c r="Z11" s="126">
        <f t="shared" si="57"/>
        <v>1563</v>
      </c>
      <c r="AA11" s="126">
        <f t="shared" si="7"/>
        <v>0</v>
      </c>
      <c r="AB11" s="126">
        <f t="shared" si="58"/>
        <v>1563</v>
      </c>
      <c r="AC11" s="126">
        <f t="shared" si="59"/>
        <v>1563</v>
      </c>
      <c r="AD11" s="126">
        <f t="shared" si="60"/>
        <v>1563</v>
      </c>
      <c r="AE11" s="126">
        <f t="shared" si="61"/>
        <v>1563</v>
      </c>
      <c r="AF11" s="126">
        <f t="shared" si="62"/>
        <v>1563</v>
      </c>
      <c r="AG11" s="126">
        <f t="shared" si="63"/>
        <v>1563</v>
      </c>
      <c r="AH11" s="126">
        <f t="shared" si="8"/>
        <v>1563</v>
      </c>
      <c r="AI11" s="126">
        <f t="shared" si="9"/>
        <v>0</v>
      </c>
      <c r="AJ11" s="126">
        <f t="shared" si="10"/>
        <v>0</v>
      </c>
      <c r="AK11" s="126">
        <v>0</v>
      </c>
      <c r="AL11" s="126">
        <v>0</v>
      </c>
      <c r="AM11" s="126">
        <v>0</v>
      </c>
      <c r="AN11" s="126">
        <v>0</v>
      </c>
      <c r="AQ11" t="str">
        <f>VLOOKUP(AR11,'Date SPV'!$B$4:$D$25,3,FALSE)</f>
        <v>Satu Mare Shopping City SRL</v>
      </c>
      <c r="AR11" s="1" t="s">
        <v>7</v>
      </c>
      <c r="AS11" s="1">
        <v>8</v>
      </c>
      <c r="AT11" s="1">
        <f t="shared" si="11"/>
        <v>376703</v>
      </c>
      <c r="AU11" s="1">
        <f t="shared" si="12"/>
        <v>0</v>
      </c>
      <c r="AV11" s="1">
        <f t="shared" si="13"/>
        <v>0</v>
      </c>
      <c r="AW11" s="1">
        <f t="shared" si="14"/>
        <v>376703</v>
      </c>
      <c r="AX11" s="1">
        <f t="shared" si="15"/>
        <v>0</v>
      </c>
      <c r="AY11" s="1">
        <f t="shared" si="16"/>
        <v>376703</v>
      </c>
      <c r="AZ11" s="1">
        <f t="shared" si="17"/>
        <v>376703</v>
      </c>
      <c r="BA11" s="1">
        <f t="shared" si="18"/>
        <v>376703</v>
      </c>
      <c r="BB11" s="1">
        <f t="shared" si="19"/>
        <v>376703</v>
      </c>
      <c r="BC11" s="1">
        <f t="shared" si="20"/>
        <v>376703</v>
      </c>
      <c r="BD11" s="1">
        <f t="shared" si="21"/>
        <v>376703</v>
      </c>
      <c r="BE11" s="1">
        <f t="shared" si="22"/>
        <v>376703</v>
      </c>
      <c r="BF11" s="1">
        <f t="shared" si="23"/>
        <v>376703</v>
      </c>
      <c r="BG11" s="1">
        <f t="shared" si="24"/>
        <v>376703</v>
      </c>
      <c r="BH11" s="1">
        <f t="shared" si="25"/>
        <v>39479</v>
      </c>
      <c r="BI11" s="1">
        <f t="shared" si="26"/>
        <v>0</v>
      </c>
      <c r="BJ11" s="1">
        <f t="shared" si="27"/>
        <v>0</v>
      </c>
      <c r="BK11" s="1">
        <f t="shared" si="28"/>
        <v>0</v>
      </c>
      <c r="BL11" s="1">
        <f t="shared" si="29"/>
        <v>0</v>
      </c>
      <c r="BM11" s="1">
        <f t="shared" si="30"/>
        <v>0</v>
      </c>
      <c r="BN11" s="1">
        <f t="shared" si="31"/>
        <v>0</v>
      </c>
      <c r="BO11" s="1">
        <f t="shared" si="32"/>
        <v>0</v>
      </c>
      <c r="BP11" s="1">
        <f t="shared" si="33"/>
        <v>0</v>
      </c>
      <c r="BQ11" s="1">
        <f t="shared" si="34"/>
        <v>0</v>
      </c>
      <c r="BR11" s="1">
        <f t="shared" si="35"/>
        <v>0</v>
      </c>
      <c r="BS11" s="1">
        <f t="shared" si="36"/>
        <v>0</v>
      </c>
      <c r="BT11" s="1">
        <f t="shared" si="37"/>
        <v>0</v>
      </c>
      <c r="BU11" s="1">
        <f t="shared" si="38"/>
        <v>0</v>
      </c>
      <c r="BV11" s="1">
        <f t="shared" si="39"/>
        <v>0</v>
      </c>
      <c r="BW11" s="1">
        <f t="shared" si="40"/>
        <v>0</v>
      </c>
      <c r="BX11" s="1">
        <f t="shared" si="41"/>
        <v>0</v>
      </c>
      <c r="BY11" s="1">
        <f t="shared" si="42"/>
        <v>0</v>
      </c>
      <c r="BZ11" s="1">
        <f t="shared" si="43"/>
        <v>0</v>
      </c>
      <c r="CA11" s="1">
        <f t="shared" si="44"/>
        <v>0</v>
      </c>
      <c r="CB11" s="1">
        <f t="shared" si="45"/>
        <v>0</v>
      </c>
      <c r="CC11" s="1">
        <f t="shared" si="46"/>
        <v>0</v>
      </c>
      <c r="CE11">
        <f>VLOOKUP(AR11,'Contorizare in SDI'!$T:$U,2,FALSE)</f>
        <v>39479</v>
      </c>
      <c r="CF11">
        <f t="shared" ref="CF11:CF17" si="67">CE11-BH11-BI11</f>
        <v>0</v>
      </c>
      <c r="CG11">
        <f>SUMIF('Date masura OD'!$B:$B,AR11,'Date masura OD'!R:R)</f>
        <v>382440</v>
      </c>
      <c r="CH11">
        <f>VLOOKUP(AR11,'Inchidere contur'!$AP:$AQ,2,FALSE)</f>
        <v>5737</v>
      </c>
      <c r="CI11">
        <f t="shared" si="64"/>
        <v>376703</v>
      </c>
      <c r="CJ11">
        <f t="shared" si="48"/>
        <v>0</v>
      </c>
    </row>
    <row r="12" spans="1:93">
      <c r="A12" s="17">
        <v>9</v>
      </c>
      <c r="B12" s="17" t="str">
        <f t="shared" si="49"/>
        <v>RNSS</v>
      </c>
      <c r="C12" s="325" t="s">
        <v>562</v>
      </c>
      <c r="D12" s="198" t="str">
        <f>IFERROR(VLOOKUP(C12,'Inchidere contur'!B:U,20,0),VLOOKUP(C12,'Inchidere contur'!G:U,15,0))</f>
        <v>JT_OD</v>
      </c>
      <c r="E12" s="126">
        <f>IFERROR(IFERROR(VLOOKUP(C12,'Inchidere contur'!B:U,20-4,0),VLOOKUP(C12,'Inchidere contur'!G:U,15-4,0)),"eroare")</f>
        <v>2953</v>
      </c>
      <c r="F12" s="200">
        <v>0</v>
      </c>
      <c r="G12" s="200">
        <v>0</v>
      </c>
      <c r="H12" s="126">
        <f t="shared" si="50"/>
        <v>2953</v>
      </c>
      <c r="I12" s="126">
        <f t="shared" si="3"/>
        <v>2953</v>
      </c>
      <c r="J12" s="126">
        <f t="shared" si="51"/>
        <v>2953</v>
      </c>
      <c r="K12" s="126">
        <f t="shared" si="52"/>
        <v>2953</v>
      </c>
      <c r="L12" s="126">
        <f t="shared" si="53"/>
        <v>2953</v>
      </c>
      <c r="M12" s="126">
        <f t="shared" si="54"/>
        <v>2953</v>
      </c>
      <c r="N12" s="126">
        <f t="shared" si="55"/>
        <v>2953</v>
      </c>
      <c r="O12" s="126">
        <f t="shared" si="56"/>
        <v>2953</v>
      </c>
      <c r="P12" s="126">
        <f t="shared" si="4"/>
        <v>2953</v>
      </c>
      <c r="Q12" s="126">
        <f t="shared" si="5"/>
        <v>0</v>
      </c>
      <c r="R12" s="126">
        <f t="shared" si="6"/>
        <v>0</v>
      </c>
      <c r="S12" s="126">
        <f>IFERROR(IFERROR(VLOOKUP(C12,'Inchidere contur'!B:U,20-3,0),VLOOKUP(C12,'Inchidere contur'!G:U,15-3,0)),"eroare")</f>
        <v>0</v>
      </c>
      <c r="T12" s="126">
        <f>IFERROR(IFERROR(VLOOKUP(C12,'Inchidere contur'!B:U,20-2,0),VLOOKUP(C12,'Inchidere contur'!G:U,15-2,0)),"eroare")</f>
        <v>0</v>
      </c>
      <c r="U12" s="126">
        <f t="shared" si="65"/>
        <v>0</v>
      </c>
      <c r="V12" s="126">
        <f t="shared" si="66"/>
        <v>0</v>
      </c>
      <c r="W12" s="126">
        <f>IFERROR(VLOOKUP(C12,Regularizare!B:AX,45,0),"eroare")</f>
        <v>0</v>
      </c>
      <c r="X12" s="126">
        <f>IFERROR(VLOOKUP(C12,Regularizare!B:AX,46,0),"eroare")+IFERROR(VLOOKUP(C12,Regularizare!B:AX,48,0),"eroare")</f>
        <v>45</v>
      </c>
      <c r="Y12" s="126">
        <f>IFERROR(VLOOKUP(C12,Regularizare!B:AX,47,0),"eroare")+IFERROR(VLOOKUP(C12,Regularizare!B:AX,49,0),"eroare")</f>
        <v>0</v>
      </c>
      <c r="Z12" s="126">
        <f t="shared" si="57"/>
        <v>0</v>
      </c>
      <c r="AA12" s="126">
        <f t="shared" si="7"/>
        <v>0</v>
      </c>
      <c r="AB12" s="126">
        <f t="shared" si="58"/>
        <v>0</v>
      </c>
      <c r="AC12" s="126">
        <f t="shared" si="59"/>
        <v>0</v>
      </c>
      <c r="AD12" s="126">
        <f t="shared" si="60"/>
        <v>0</v>
      </c>
      <c r="AE12" s="126">
        <f t="shared" si="61"/>
        <v>0</v>
      </c>
      <c r="AF12" s="126">
        <f t="shared" si="62"/>
        <v>0</v>
      </c>
      <c r="AG12" s="126">
        <f t="shared" si="63"/>
        <v>0</v>
      </c>
      <c r="AH12" s="126">
        <f t="shared" si="8"/>
        <v>0</v>
      </c>
      <c r="AI12" s="126">
        <f t="shared" si="9"/>
        <v>0</v>
      </c>
      <c r="AJ12" s="126">
        <f t="shared" si="10"/>
        <v>0</v>
      </c>
      <c r="AK12" s="126">
        <v>0</v>
      </c>
      <c r="AL12" s="126">
        <v>0</v>
      </c>
      <c r="AM12" s="126">
        <v>0</v>
      </c>
      <c r="AN12" s="126">
        <v>0</v>
      </c>
      <c r="AQ12" t="str">
        <f>VLOOKUP(AR12,'Date SPV'!$B$4:$D$25,3,FALSE)</f>
        <v>Shopping City Timisoara SRL</v>
      </c>
      <c r="AR12" s="1" t="s">
        <v>8</v>
      </c>
      <c r="AS12" s="1">
        <v>9</v>
      </c>
      <c r="AT12" s="1">
        <f t="shared" si="11"/>
        <v>1077353</v>
      </c>
      <c r="AU12" s="1">
        <f t="shared" si="12"/>
        <v>0</v>
      </c>
      <c r="AV12" s="1">
        <f t="shared" si="13"/>
        <v>0</v>
      </c>
      <c r="AW12" s="1">
        <f t="shared" si="14"/>
        <v>1077353</v>
      </c>
      <c r="AX12" s="1">
        <f t="shared" si="15"/>
        <v>0</v>
      </c>
      <c r="AY12" s="1">
        <f t="shared" si="16"/>
        <v>1077353</v>
      </c>
      <c r="AZ12" s="1">
        <f t="shared" si="17"/>
        <v>1077353</v>
      </c>
      <c r="BA12" s="1">
        <f t="shared" si="18"/>
        <v>1077353</v>
      </c>
      <c r="BB12" s="1">
        <f t="shared" si="19"/>
        <v>1077353</v>
      </c>
      <c r="BC12" s="1">
        <f t="shared" si="20"/>
        <v>1077353</v>
      </c>
      <c r="BD12" s="1">
        <f t="shared" si="21"/>
        <v>1077353</v>
      </c>
      <c r="BE12" s="1">
        <f t="shared" si="22"/>
        <v>1077353</v>
      </c>
      <c r="BF12" s="1">
        <f t="shared" si="23"/>
        <v>1077353</v>
      </c>
      <c r="BG12" s="1">
        <f t="shared" si="24"/>
        <v>1077353</v>
      </c>
      <c r="BH12" s="1">
        <f t="shared" si="25"/>
        <v>147904</v>
      </c>
      <c r="BI12" s="1">
        <f t="shared" si="26"/>
        <v>11982</v>
      </c>
      <c r="BJ12" s="1">
        <f t="shared" si="27"/>
        <v>11982</v>
      </c>
      <c r="BK12" s="1">
        <f t="shared" si="28"/>
        <v>11982</v>
      </c>
      <c r="BL12" s="1">
        <f t="shared" si="29"/>
        <v>0</v>
      </c>
      <c r="BM12" s="1">
        <f t="shared" si="30"/>
        <v>348</v>
      </c>
      <c r="BN12" s="1">
        <f t="shared" si="31"/>
        <v>125</v>
      </c>
      <c r="BO12" s="1">
        <f t="shared" si="32"/>
        <v>0</v>
      </c>
      <c r="BP12" s="1">
        <f t="shared" si="33"/>
        <v>0</v>
      </c>
      <c r="BQ12" s="1">
        <f t="shared" si="34"/>
        <v>0</v>
      </c>
      <c r="BR12" s="1">
        <f t="shared" si="35"/>
        <v>0</v>
      </c>
      <c r="BS12" s="1">
        <f t="shared" si="36"/>
        <v>0</v>
      </c>
      <c r="BT12" s="1">
        <f t="shared" si="37"/>
        <v>0</v>
      </c>
      <c r="BU12" s="1">
        <f t="shared" si="38"/>
        <v>0</v>
      </c>
      <c r="BV12" s="1">
        <f t="shared" si="39"/>
        <v>0</v>
      </c>
      <c r="BW12" s="1">
        <f t="shared" si="40"/>
        <v>0</v>
      </c>
      <c r="BX12" s="1">
        <f t="shared" si="41"/>
        <v>0</v>
      </c>
      <c r="BY12" s="1">
        <f t="shared" si="42"/>
        <v>0</v>
      </c>
      <c r="BZ12" s="1">
        <f t="shared" si="43"/>
        <v>0</v>
      </c>
      <c r="CA12" s="1">
        <f t="shared" si="44"/>
        <v>0</v>
      </c>
      <c r="CB12" s="1">
        <f t="shared" si="45"/>
        <v>0</v>
      </c>
      <c r="CC12" s="1">
        <f t="shared" si="46"/>
        <v>0</v>
      </c>
      <c r="CE12">
        <f>VLOOKUP(AR12,'Contorizare in SDI'!$T:$U,2,FALSE)</f>
        <v>159886</v>
      </c>
      <c r="CF12">
        <f t="shared" si="67"/>
        <v>0</v>
      </c>
      <c r="CG12">
        <f>SUMIF('Date masura OD'!$B:$B,AR12,'Date masura OD'!R:R)</f>
        <v>1093760</v>
      </c>
      <c r="CH12">
        <f>VLOOKUP(AR12,'Inchidere contur'!$AP:$AQ,2,FALSE)</f>
        <v>16407</v>
      </c>
      <c r="CI12">
        <f t="shared" si="64"/>
        <v>1077353</v>
      </c>
      <c r="CJ12">
        <f t="shared" si="48"/>
        <v>0</v>
      </c>
    </row>
    <row r="13" spans="1:93">
      <c r="A13" s="17">
        <v>10</v>
      </c>
      <c r="B13" s="17" t="str">
        <f t="shared" si="49"/>
        <v>RSSC</v>
      </c>
      <c r="C13" s="325" t="s">
        <v>565</v>
      </c>
      <c r="D13" s="198" t="str">
        <f>IFERROR(VLOOKUP(C13,'Inchidere contur'!B:U,20,0),VLOOKUP(C13,'Inchidere contur'!G:U,15,0))</f>
        <v>JT_OD</v>
      </c>
      <c r="E13" s="126">
        <f>IFERROR(IFERROR(VLOOKUP(C13,'Inchidere contur'!B:U,20-4,0),VLOOKUP(C13,'Inchidere contur'!G:U,15-4,0)),"eroare")</f>
        <v>3606</v>
      </c>
      <c r="F13" s="200">
        <v>0</v>
      </c>
      <c r="G13" s="200">
        <v>0</v>
      </c>
      <c r="H13" s="126">
        <f t="shared" si="50"/>
        <v>3606</v>
      </c>
      <c r="I13" s="126">
        <f t="shared" si="3"/>
        <v>3606</v>
      </c>
      <c r="J13" s="126">
        <f t="shared" si="51"/>
        <v>3606</v>
      </c>
      <c r="K13" s="126">
        <f t="shared" si="52"/>
        <v>3606</v>
      </c>
      <c r="L13" s="126">
        <f t="shared" si="53"/>
        <v>3606</v>
      </c>
      <c r="M13" s="126">
        <f t="shared" si="54"/>
        <v>3606</v>
      </c>
      <c r="N13" s="126">
        <f t="shared" si="55"/>
        <v>3606</v>
      </c>
      <c r="O13" s="126">
        <f t="shared" si="56"/>
        <v>3606</v>
      </c>
      <c r="P13" s="126">
        <f t="shared" si="4"/>
        <v>3606</v>
      </c>
      <c r="Q13" s="126">
        <f t="shared" si="5"/>
        <v>0</v>
      </c>
      <c r="R13" s="126">
        <f t="shared" si="6"/>
        <v>0</v>
      </c>
      <c r="S13" s="126">
        <f>IFERROR(IFERROR(VLOOKUP(C13,'Inchidere contur'!B:U,20-3,0),VLOOKUP(C13,'Inchidere contur'!G:U,15-3,0)),"eroare")</f>
        <v>0</v>
      </c>
      <c r="T13" s="126">
        <f>IFERROR(IFERROR(VLOOKUP(C13,'Inchidere contur'!B:U,20-2,0),VLOOKUP(C13,'Inchidere contur'!G:U,15-2,0)),"eroare")</f>
        <v>0</v>
      </c>
      <c r="U13" s="126">
        <f>T13</f>
        <v>0</v>
      </c>
      <c r="V13" s="126">
        <f>T13</f>
        <v>0</v>
      </c>
      <c r="W13" s="126">
        <f>IFERROR(VLOOKUP(C13,Regularizare!B:AX,45,0),"eroare")</f>
        <v>0</v>
      </c>
      <c r="X13" s="126">
        <f>IFERROR(VLOOKUP(C13,Regularizare!B:AX,46,0),"eroare")+IFERROR(VLOOKUP(C13,Regularizare!B:AX,48,0),"eroare")</f>
        <v>0</v>
      </c>
      <c r="Y13" s="126">
        <f>IFERROR(VLOOKUP(C13,Regularizare!B:AX,47,0),"eroare")+IFERROR(VLOOKUP(C13,Regularizare!B:AX,49,0),"eroare")</f>
        <v>0</v>
      </c>
      <c r="Z13" s="126">
        <f t="shared" si="57"/>
        <v>0</v>
      </c>
      <c r="AA13" s="126">
        <f t="shared" si="7"/>
        <v>0</v>
      </c>
      <c r="AB13" s="126">
        <f t="shared" si="58"/>
        <v>0</v>
      </c>
      <c r="AC13" s="126">
        <f t="shared" si="59"/>
        <v>0</v>
      </c>
      <c r="AD13" s="126">
        <f t="shared" si="60"/>
        <v>0</v>
      </c>
      <c r="AE13" s="126">
        <f t="shared" si="61"/>
        <v>0</v>
      </c>
      <c r="AF13" s="126">
        <f t="shared" si="62"/>
        <v>0</v>
      </c>
      <c r="AG13" s="126">
        <f t="shared" si="63"/>
        <v>0</v>
      </c>
      <c r="AH13" s="126">
        <f t="shared" si="8"/>
        <v>0</v>
      </c>
      <c r="AI13" s="126">
        <f t="shared" si="9"/>
        <v>0</v>
      </c>
      <c r="AJ13" s="126">
        <f t="shared" si="10"/>
        <v>0</v>
      </c>
      <c r="AK13" s="126">
        <v>0</v>
      </c>
      <c r="AL13" s="126">
        <v>0</v>
      </c>
      <c r="AM13" s="126">
        <v>0</v>
      </c>
      <c r="AN13" s="126">
        <v>0</v>
      </c>
      <c r="AQ13" t="str">
        <f>VLOOKUP(AR13,'Date SPV'!$B$4:$D$25,3,FALSE)</f>
        <v>Ploiesti Shopping City SRL</v>
      </c>
      <c r="AR13" s="1" t="s">
        <v>9</v>
      </c>
      <c r="AS13" s="1">
        <v>10</v>
      </c>
      <c r="AT13" s="1">
        <f t="shared" si="11"/>
        <v>620018</v>
      </c>
      <c r="AU13" s="1">
        <f t="shared" si="12"/>
        <v>0</v>
      </c>
      <c r="AV13" s="1">
        <f t="shared" si="13"/>
        <v>0</v>
      </c>
      <c r="AW13" s="1">
        <f t="shared" si="14"/>
        <v>620018</v>
      </c>
      <c r="AX13" s="1">
        <f t="shared" si="15"/>
        <v>0</v>
      </c>
      <c r="AY13" s="1">
        <f t="shared" si="16"/>
        <v>620018</v>
      </c>
      <c r="AZ13" s="1">
        <f t="shared" si="17"/>
        <v>620018</v>
      </c>
      <c r="BA13" s="1">
        <f t="shared" si="18"/>
        <v>620018</v>
      </c>
      <c r="BB13" s="1">
        <f t="shared" si="19"/>
        <v>620018</v>
      </c>
      <c r="BC13" s="1">
        <f t="shared" si="20"/>
        <v>620018</v>
      </c>
      <c r="BD13" s="1">
        <f t="shared" si="21"/>
        <v>620018</v>
      </c>
      <c r="BE13" s="1">
        <f t="shared" si="22"/>
        <v>620018</v>
      </c>
      <c r="BF13" s="1">
        <f t="shared" si="23"/>
        <v>620018</v>
      </c>
      <c r="BG13" s="1">
        <f t="shared" si="24"/>
        <v>620018</v>
      </c>
      <c r="BH13" s="1">
        <f t="shared" si="25"/>
        <v>183192.50000000003</v>
      </c>
      <c r="BI13" s="1">
        <f t="shared" si="26"/>
        <v>37318</v>
      </c>
      <c r="BJ13" s="1">
        <f t="shared" si="27"/>
        <v>37318</v>
      </c>
      <c r="BK13" s="1">
        <f t="shared" si="28"/>
        <v>37318</v>
      </c>
      <c r="BL13" s="1">
        <f t="shared" si="29"/>
        <v>1</v>
      </c>
      <c r="BM13" s="1">
        <f t="shared" si="30"/>
        <v>0</v>
      </c>
      <c r="BN13" s="1">
        <f t="shared" si="31"/>
        <v>0</v>
      </c>
      <c r="BO13" s="1">
        <f t="shared" si="32"/>
        <v>1</v>
      </c>
      <c r="BP13" s="1">
        <f t="shared" si="33"/>
        <v>0</v>
      </c>
      <c r="BQ13" s="1">
        <f t="shared" si="34"/>
        <v>1</v>
      </c>
      <c r="BR13" s="1">
        <f t="shared" si="35"/>
        <v>1</v>
      </c>
      <c r="BS13" s="1">
        <f t="shared" si="36"/>
        <v>1</v>
      </c>
      <c r="BT13" s="1">
        <f t="shared" si="37"/>
        <v>1</v>
      </c>
      <c r="BU13" s="1">
        <f t="shared" si="38"/>
        <v>1</v>
      </c>
      <c r="BV13" s="1">
        <f t="shared" si="39"/>
        <v>1</v>
      </c>
      <c r="BW13" s="1">
        <f t="shared" si="40"/>
        <v>1</v>
      </c>
      <c r="BX13" s="1">
        <f t="shared" si="41"/>
        <v>1</v>
      </c>
      <c r="BY13" s="1">
        <f t="shared" si="42"/>
        <v>1</v>
      </c>
      <c r="BZ13" s="1">
        <f t="shared" si="43"/>
        <v>0</v>
      </c>
      <c r="CA13" s="1">
        <f t="shared" si="44"/>
        <v>0</v>
      </c>
      <c r="CB13" s="1">
        <f t="shared" si="45"/>
        <v>0</v>
      </c>
      <c r="CC13" s="1">
        <f t="shared" si="46"/>
        <v>0</v>
      </c>
      <c r="CE13">
        <f>VLOOKUP(AR13,'Contorizare in SDI'!$T:$U,2,FALSE)</f>
        <v>220510.50000000003</v>
      </c>
      <c r="CF13">
        <f t="shared" si="67"/>
        <v>0</v>
      </c>
      <c r="CG13">
        <f>SUMIF('Date masura OD'!$B:$B,AR13,'Date masura OD'!R:R)</f>
        <v>629460</v>
      </c>
      <c r="CH13">
        <f>VLOOKUP(AR13,'Inchidere contur'!$AP:$AQ,2,FALSE)</f>
        <v>9442</v>
      </c>
      <c r="CI13">
        <f t="shared" si="64"/>
        <v>620018</v>
      </c>
      <c r="CJ13">
        <f t="shared" si="48"/>
        <v>0</v>
      </c>
    </row>
    <row r="14" spans="1:93">
      <c r="A14" s="17">
        <v>11</v>
      </c>
      <c r="B14" s="17" t="str">
        <f t="shared" si="49"/>
        <v>RRVS</v>
      </c>
      <c r="C14" s="198" t="s">
        <v>568</v>
      </c>
      <c r="D14" s="198" t="str">
        <f>IFERROR(VLOOKUP(C14,'Inchidere contur'!B:U,20,0),VLOOKUP(C14,'Inchidere contur'!G:U,15,0))</f>
        <v>JT_SDI</v>
      </c>
      <c r="E14" s="126">
        <f>IFERROR(IFERROR(VLOOKUP(C14,'Inchidere contur'!B:U,20-4,0),VLOOKUP(C14,'Inchidere contur'!G:U,15-4,0)),"eroare")</f>
        <v>29521</v>
      </c>
      <c r="F14" s="200">
        <v>0</v>
      </c>
      <c r="G14" s="200">
        <v>0</v>
      </c>
      <c r="H14" s="126">
        <f t="shared" si="50"/>
        <v>29521</v>
      </c>
      <c r="I14" s="126">
        <f t="shared" si="3"/>
        <v>0</v>
      </c>
      <c r="J14" s="126">
        <f t="shared" si="51"/>
        <v>29521</v>
      </c>
      <c r="K14" s="126">
        <f t="shared" si="52"/>
        <v>29521</v>
      </c>
      <c r="L14" s="126">
        <f t="shared" si="53"/>
        <v>29521</v>
      </c>
      <c r="M14" s="126">
        <f t="shared" si="54"/>
        <v>29521</v>
      </c>
      <c r="N14" s="126">
        <f t="shared" si="55"/>
        <v>29521</v>
      </c>
      <c r="O14" s="126">
        <f t="shared" si="56"/>
        <v>29521</v>
      </c>
      <c r="P14" s="126">
        <f t="shared" si="4"/>
        <v>29521</v>
      </c>
      <c r="Q14" s="126">
        <f t="shared" si="5"/>
        <v>29521</v>
      </c>
      <c r="R14" s="126">
        <f t="shared" si="6"/>
        <v>29521</v>
      </c>
      <c r="S14" s="126">
        <f>IFERROR(IFERROR(VLOOKUP(C14,'Inchidere contur'!B:U,20-3,0),VLOOKUP(C14,'Inchidere contur'!G:U,15-3,0)),"eroare")</f>
        <v>52535</v>
      </c>
      <c r="T14" s="126">
        <f>IFERROR(IFERROR(VLOOKUP(C14,'Inchidere contur'!B:U,20-2,0),VLOOKUP(C14,'Inchidere contur'!G:U,15-2,0)),"eroare")</f>
        <v>0</v>
      </c>
      <c r="U14" s="126">
        <f>T14</f>
        <v>0</v>
      </c>
      <c r="V14" s="126">
        <f>T14</f>
        <v>0</v>
      </c>
      <c r="W14" s="126">
        <f>IFERROR(VLOOKUP(C14,Regularizare!B:AX,45,0),"eroare")</f>
        <v>0</v>
      </c>
      <c r="X14" s="126">
        <f>IFERROR(VLOOKUP(C14,Regularizare!B:AX,46,0),"eroare")+IFERROR(VLOOKUP(C14,Regularizare!B:AX,48,0),"eroare")</f>
        <v>232</v>
      </c>
      <c r="Y14" s="126">
        <f>IFERROR(VLOOKUP(C14,Regularizare!B:AX,47,0),"eroare")+IFERROR(VLOOKUP(C14,Regularizare!B:AX,49,0),"eroare")</f>
        <v>982</v>
      </c>
      <c r="Z14" s="126">
        <f t="shared" si="57"/>
        <v>0</v>
      </c>
      <c r="AA14" s="126">
        <f t="shared" si="7"/>
        <v>0</v>
      </c>
      <c r="AB14" s="126">
        <f t="shared" si="58"/>
        <v>0</v>
      </c>
      <c r="AC14" s="126">
        <f t="shared" si="59"/>
        <v>0</v>
      </c>
      <c r="AD14" s="126">
        <f t="shared" si="60"/>
        <v>0</v>
      </c>
      <c r="AE14" s="126">
        <f t="shared" si="61"/>
        <v>0</v>
      </c>
      <c r="AF14" s="126">
        <f t="shared" si="62"/>
        <v>0</v>
      </c>
      <c r="AG14" s="126">
        <f t="shared" si="63"/>
        <v>0</v>
      </c>
      <c r="AH14" s="126">
        <f t="shared" si="8"/>
        <v>0</v>
      </c>
      <c r="AI14" s="126">
        <f t="shared" si="9"/>
        <v>0</v>
      </c>
      <c r="AJ14" s="126">
        <f t="shared" si="10"/>
        <v>0</v>
      </c>
      <c r="AK14" s="126">
        <v>0</v>
      </c>
      <c r="AL14" s="126">
        <v>0</v>
      </c>
      <c r="AM14" s="126">
        <v>0</v>
      </c>
      <c r="AN14" s="126">
        <v>0</v>
      </c>
      <c r="AQ14" t="str">
        <f>VLOOKUP(AR14,'Date SPV'!$B$4:$D$25,3,FALSE)</f>
        <v>Retail Park Pitesti SRL</v>
      </c>
      <c r="AR14" s="1" t="s">
        <v>10</v>
      </c>
      <c r="AS14" s="1">
        <v>11</v>
      </c>
      <c r="AT14" s="1">
        <f t="shared" si="11"/>
        <v>132914</v>
      </c>
      <c r="AU14" s="1">
        <f t="shared" si="12"/>
        <v>0</v>
      </c>
      <c r="AV14" s="1">
        <f t="shared" si="13"/>
        <v>0</v>
      </c>
      <c r="AW14" s="1">
        <f t="shared" si="14"/>
        <v>132914</v>
      </c>
      <c r="AX14" s="1">
        <f t="shared" si="15"/>
        <v>0</v>
      </c>
      <c r="AY14" s="1">
        <f t="shared" si="16"/>
        <v>132914</v>
      </c>
      <c r="AZ14" s="1">
        <f t="shared" si="17"/>
        <v>132914</v>
      </c>
      <c r="BA14" s="1">
        <f t="shared" si="18"/>
        <v>132914</v>
      </c>
      <c r="BB14" s="1">
        <f t="shared" si="19"/>
        <v>132914</v>
      </c>
      <c r="BC14" s="1">
        <f t="shared" si="20"/>
        <v>132914</v>
      </c>
      <c r="BD14" s="1">
        <f t="shared" si="21"/>
        <v>132914</v>
      </c>
      <c r="BE14" s="1">
        <f t="shared" si="22"/>
        <v>132914</v>
      </c>
      <c r="BF14" s="1">
        <f t="shared" si="23"/>
        <v>132914</v>
      </c>
      <c r="BG14" s="1">
        <f t="shared" si="24"/>
        <v>132914</v>
      </c>
      <c r="BH14" s="1">
        <f t="shared" si="25"/>
        <v>92230</v>
      </c>
      <c r="BI14" s="1">
        <f t="shared" si="26"/>
        <v>18203</v>
      </c>
      <c r="BJ14" s="1">
        <f t="shared" si="27"/>
        <v>18203</v>
      </c>
      <c r="BK14" s="1">
        <f t="shared" si="28"/>
        <v>18203</v>
      </c>
      <c r="BL14" s="1">
        <f t="shared" si="29"/>
        <v>0</v>
      </c>
      <c r="BM14" s="1">
        <f t="shared" si="30"/>
        <v>11931</v>
      </c>
      <c r="BN14" s="1">
        <f t="shared" si="31"/>
        <v>10195</v>
      </c>
      <c r="BO14" s="1">
        <f t="shared" si="32"/>
        <v>0</v>
      </c>
      <c r="BP14" s="1">
        <f t="shared" si="33"/>
        <v>0</v>
      </c>
      <c r="BQ14" s="1">
        <f t="shared" si="34"/>
        <v>0</v>
      </c>
      <c r="BR14" s="1">
        <f t="shared" si="35"/>
        <v>0</v>
      </c>
      <c r="BS14" s="1">
        <f t="shared" si="36"/>
        <v>0</v>
      </c>
      <c r="BT14" s="1">
        <f t="shared" si="37"/>
        <v>0</v>
      </c>
      <c r="BU14" s="1">
        <f t="shared" si="38"/>
        <v>0</v>
      </c>
      <c r="BV14" s="1">
        <f t="shared" si="39"/>
        <v>0</v>
      </c>
      <c r="BW14" s="1">
        <f t="shared" si="40"/>
        <v>0</v>
      </c>
      <c r="BX14" s="1">
        <f t="shared" si="41"/>
        <v>0</v>
      </c>
      <c r="BY14" s="1">
        <f t="shared" si="42"/>
        <v>0</v>
      </c>
      <c r="BZ14" s="1">
        <f t="shared" si="43"/>
        <v>0</v>
      </c>
      <c r="CA14" s="1">
        <f t="shared" si="44"/>
        <v>0</v>
      </c>
      <c r="CB14" s="1">
        <f t="shared" si="45"/>
        <v>0</v>
      </c>
      <c r="CC14" s="1">
        <f t="shared" si="46"/>
        <v>0</v>
      </c>
      <c r="CE14">
        <f>VLOOKUP(AR14,'Contorizare in SDI'!$T:$U,2,FALSE)</f>
        <v>110433</v>
      </c>
      <c r="CF14">
        <f t="shared" si="67"/>
        <v>0</v>
      </c>
      <c r="CG14">
        <f>'Date masura OD'!R56+'Date masura OD'!R57-'Date masura OD'!R71-'Date masura OD'!R72</f>
        <v>139539.00000000015</v>
      </c>
      <c r="CH14">
        <f>VLOOKUP(AR14,'Inchidere contur'!$AP:$AQ,2,FALSE)</f>
        <v>6625.0000000001455</v>
      </c>
      <c r="CI14">
        <f t="shared" si="64"/>
        <v>132914</v>
      </c>
      <c r="CJ14">
        <f>CI14-AT14</f>
        <v>0</v>
      </c>
    </row>
    <row r="15" spans="1:93">
      <c r="A15" s="17">
        <v>12</v>
      </c>
      <c r="B15" s="17" t="str">
        <f t="shared" si="49"/>
        <v>RRVS</v>
      </c>
      <c r="C15" s="198" t="s">
        <v>569</v>
      </c>
      <c r="D15" s="198" t="str">
        <f>IFERROR(VLOOKUP(C15,'Inchidere contur'!B:U,20,0),VLOOKUP(C15,'Inchidere contur'!G:U,15,0))</f>
        <v>JT_SDI</v>
      </c>
      <c r="E15" s="126">
        <f>IFERROR(IFERROR(VLOOKUP(C15,'Inchidere contur'!B:U,20-4,0),VLOOKUP(C15,'Inchidere contur'!G:U,15-4,0)),"eroare")</f>
        <v>60051</v>
      </c>
      <c r="F15" s="200">
        <v>0</v>
      </c>
      <c r="G15" s="200">
        <v>0</v>
      </c>
      <c r="H15" s="126">
        <f t="shared" ref="H15:H79" si="68">E15</f>
        <v>60051</v>
      </c>
      <c r="I15" s="126">
        <f t="shared" si="3"/>
        <v>0</v>
      </c>
      <c r="J15" s="126">
        <f t="shared" si="51"/>
        <v>60051</v>
      </c>
      <c r="K15" s="126">
        <f t="shared" si="52"/>
        <v>60051</v>
      </c>
      <c r="L15" s="126">
        <f t="shared" si="53"/>
        <v>60051</v>
      </c>
      <c r="M15" s="126">
        <f t="shared" si="54"/>
        <v>60051</v>
      </c>
      <c r="N15" s="126">
        <f t="shared" si="55"/>
        <v>60051</v>
      </c>
      <c r="O15" s="126">
        <f t="shared" si="56"/>
        <v>60051</v>
      </c>
      <c r="P15" s="126">
        <f t="shared" ref="P15:P79" si="69">E15</f>
        <v>60051</v>
      </c>
      <c r="Q15" s="126">
        <f t="shared" si="5"/>
        <v>60051</v>
      </c>
      <c r="R15" s="126">
        <f t="shared" si="6"/>
        <v>60051</v>
      </c>
      <c r="S15" s="126">
        <f>IFERROR(IFERROR(VLOOKUP(C15,'Inchidere contur'!B:U,20-3,0),VLOOKUP(C15,'Inchidere contur'!G:U,15-3,0)),"eroare")</f>
        <v>0</v>
      </c>
      <c r="T15" s="126">
        <f>IFERROR(IFERROR(VLOOKUP(C15,'Inchidere contur'!B:U,20-2,0),VLOOKUP(C15,'Inchidere contur'!G:U,15-2,0)),"eroare")</f>
        <v>35716</v>
      </c>
      <c r="U15" s="126">
        <f t="shared" ref="U15:U79" si="70">T15</f>
        <v>35716</v>
      </c>
      <c r="V15" s="126">
        <f t="shared" ref="V15:V79" si="71">T15</f>
        <v>35716</v>
      </c>
      <c r="W15" s="126">
        <f>IFERROR(VLOOKUP(C15,Regularizare!B:AX,45,0),"eroare")</f>
        <v>0</v>
      </c>
      <c r="X15" s="126">
        <f>IFERROR(VLOOKUP(C15,Regularizare!B:AX,46,0),"eroare")+IFERROR(VLOOKUP(C15,Regularizare!B:AX,48,0),"eroare")</f>
        <v>495</v>
      </c>
      <c r="Y15" s="126">
        <f>IFERROR(VLOOKUP(C15,Regularizare!B:AX,47,0),"eroare")+IFERROR(VLOOKUP(C15,Regularizare!B:AX,49,0),"eroare")</f>
        <v>2097</v>
      </c>
      <c r="Z15" s="126">
        <f t="shared" ref="Z15:Z79" si="72">W15</f>
        <v>0</v>
      </c>
      <c r="AA15" s="126">
        <f t="shared" si="7"/>
        <v>0</v>
      </c>
      <c r="AB15" s="126">
        <f t="shared" ref="AB15:AB79" si="73">Z15</f>
        <v>0</v>
      </c>
      <c r="AC15" s="126">
        <f t="shared" ref="AC15:AC79" si="74">Z15</f>
        <v>0</v>
      </c>
      <c r="AD15" s="126">
        <f t="shared" ref="AD15:AD79" si="75">Z15</f>
        <v>0</v>
      </c>
      <c r="AE15" s="126">
        <f t="shared" ref="AE15:AE79" si="76">Z15</f>
        <v>0</v>
      </c>
      <c r="AF15" s="126">
        <f t="shared" ref="AF15:AF79" si="77">Z15</f>
        <v>0</v>
      </c>
      <c r="AG15" s="126">
        <f t="shared" si="63"/>
        <v>0</v>
      </c>
      <c r="AH15" s="126">
        <f t="shared" ref="AH15:AH79" si="78">Z15</f>
        <v>0</v>
      </c>
      <c r="AI15" s="126">
        <f t="shared" si="9"/>
        <v>0</v>
      </c>
      <c r="AJ15" s="126">
        <f t="shared" si="10"/>
        <v>0</v>
      </c>
      <c r="AK15" s="126">
        <v>0</v>
      </c>
      <c r="AL15" s="126">
        <v>0</v>
      </c>
      <c r="AM15" s="126">
        <v>0</v>
      </c>
      <c r="AN15" s="126">
        <v>0</v>
      </c>
      <c r="AQ15" t="str">
        <f>VLOOKUP(AR15,'Date SPV'!$B$4:$D$25,3,FALSE)</f>
        <v>Ramnicu Valcea Shopping City SRL</v>
      </c>
      <c r="AR15" s="1" t="s">
        <v>11</v>
      </c>
      <c r="AS15" s="1">
        <v>12</v>
      </c>
      <c r="AT15" s="1">
        <f t="shared" si="11"/>
        <v>239837</v>
      </c>
      <c r="AU15" s="1">
        <f t="shared" si="12"/>
        <v>0</v>
      </c>
      <c r="AV15" s="1">
        <f t="shared" si="13"/>
        <v>0</v>
      </c>
      <c r="AW15" s="1">
        <f t="shared" si="14"/>
        <v>239837</v>
      </c>
      <c r="AX15" s="1">
        <f t="shared" si="15"/>
        <v>0</v>
      </c>
      <c r="AY15" s="1">
        <f t="shared" si="16"/>
        <v>239837</v>
      </c>
      <c r="AZ15" s="1">
        <f t="shared" si="17"/>
        <v>239837</v>
      </c>
      <c r="BA15" s="1">
        <f t="shared" si="18"/>
        <v>239837</v>
      </c>
      <c r="BB15" s="1">
        <f t="shared" si="19"/>
        <v>239837</v>
      </c>
      <c r="BC15" s="1">
        <f t="shared" si="20"/>
        <v>239837</v>
      </c>
      <c r="BD15" s="1">
        <f t="shared" si="21"/>
        <v>239837</v>
      </c>
      <c r="BE15" s="1">
        <f t="shared" si="22"/>
        <v>239837</v>
      </c>
      <c r="BF15" s="1">
        <f t="shared" si="23"/>
        <v>239837</v>
      </c>
      <c r="BG15" s="1">
        <f t="shared" si="24"/>
        <v>239837</v>
      </c>
      <c r="BH15" s="1">
        <f t="shared" si="25"/>
        <v>93266</v>
      </c>
      <c r="BI15" s="1">
        <f t="shared" si="26"/>
        <v>71431</v>
      </c>
      <c r="BJ15" s="1">
        <f t="shared" si="27"/>
        <v>71431</v>
      </c>
      <c r="BK15" s="1">
        <f t="shared" si="28"/>
        <v>71431</v>
      </c>
      <c r="BL15" s="1">
        <f t="shared" si="29"/>
        <v>0</v>
      </c>
      <c r="BM15" s="1">
        <f t="shared" si="30"/>
        <v>1880</v>
      </c>
      <c r="BN15" s="1">
        <f t="shared" si="31"/>
        <v>7970</v>
      </c>
      <c r="BO15" s="1">
        <f t="shared" si="32"/>
        <v>0</v>
      </c>
      <c r="BP15" s="1">
        <f t="shared" si="33"/>
        <v>0</v>
      </c>
      <c r="BQ15" s="1">
        <f t="shared" si="34"/>
        <v>0</v>
      </c>
      <c r="BR15" s="1">
        <f t="shared" si="35"/>
        <v>0</v>
      </c>
      <c r="BS15" s="1">
        <f t="shared" si="36"/>
        <v>0</v>
      </c>
      <c r="BT15" s="1">
        <f t="shared" si="37"/>
        <v>0</v>
      </c>
      <c r="BU15" s="1">
        <f t="shared" si="38"/>
        <v>0</v>
      </c>
      <c r="BV15" s="1">
        <f t="shared" si="39"/>
        <v>0</v>
      </c>
      <c r="BW15" s="1">
        <f t="shared" si="40"/>
        <v>0</v>
      </c>
      <c r="BX15" s="1">
        <f t="shared" si="41"/>
        <v>0</v>
      </c>
      <c r="BY15" s="1">
        <f t="shared" si="42"/>
        <v>0</v>
      </c>
      <c r="BZ15" s="1">
        <f t="shared" si="43"/>
        <v>0</v>
      </c>
      <c r="CA15" s="1">
        <f t="shared" si="44"/>
        <v>0</v>
      </c>
      <c r="CB15" s="1">
        <f t="shared" si="45"/>
        <v>0</v>
      </c>
      <c r="CC15" s="1">
        <f t="shared" si="46"/>
        <v>0</v>
      </c>
      <c r="CE15">
        <f>VLOOKUP(AR15,'Contorizare in SDI'!$T:$U,2,FALSE)</f>
        <v>164697</v>
      </c>
      <c r="CF15">
        <f t="shared" si="67"/>
        <v>0</v>
      </c>
      <c r="CG15">
        <f>SUMIF('Date masura OD'!$B:$B,AR15,'Date masura OD'!R:R)</f>
        <v>243490</v>
      </c>
      <c r="CH15">
        <f>VLOOKUP(AR15,'Inchidere contur'!$AP:$AQ,2,FALSE)</f>
        <v>3653</v>
      </c>
      <c r="CI15">
        <f t="shared" si="64"/>
        <v>239837</v>
      </c>
      <c r="CJ15">
        <f t="shared" si="48"/>
        <v>0</v>
      </c>
      <c r="CN15">
        <v>3230384</v>
      </c>
    </row>
    <row r="16" spans="1:93">
      <c r="A16" s="17">
        <v>13</v>
      </c>
      <c r="B16" s="17" t="str">
        <f t="shared" si="49"/>
        <v>RRVS</v>
      </c>
      <c r="C16" s="198" t="s">
        <v>570</v>
      </c>
      <c r="D16" s="198" t="str">
        <f>IFERROR(VLOOKUP(C16,'Inchidere contur'!B:U,20,0),VLOOKUP(C16,'Inchidere contur'!G:U,15,0))</f>
        <v>JT_SDI</v>
      </c>
      <c r="E16" s="126">
        <f>IFERROR(IFERROR(VLOOKUP(C16,'Inchidere contur'!B:U,20-4,0),VLOOKUP(C16,'Inchidere contur'!G:U,15-4,0)),"eroare")</f>
        <v>53656</v>
      </c>
      <c r="F16" s="200">
        <v>0</v>
      </c>
      <c r="G16" s="200">
        <v>0</v>
      </c>
      <c r="H16" s="126">
        <f t="shared" si="68"/>
        <v>53656</v>
      </c>
      <c r="I16" s="126">
        <f t="shared" si="3"/>
        <v>0</v>
      </c>
      <c r="J16" s="126">
        <f t="shared" si="51"/>
        <v>53656</v>
      </c>
      <c r="K16" s="126">
        <f t="shared" si="52"/>
        <v>53656</v>
      </c>
      <c r="L16" s="126">
        <f t="shared" si="53"/>
        <v>53656</v>
      </c>
      <c r="M16" s="126">
        <f t="shared" si="54"/>
        <v>53656</v>
      </c>
      <c r="N16" s="126">
        <f t="shared" si="55"/>
        <v>53656</v>
      </c>
      <c r="O16" s="126">
        <f t="shared" si="56"/>
        <v>53656</v>
      </c>
      <c r="P16" s="126">
        <f t="shared" si="69"/>
        <v>53656</v>
      </c>
      <c r="Q16" s="126">
        <f t="shared" si="5"/>
        <v>53656</v>
      </c>
      <c r="R16" s="126">
        <f t="shared" si="6"/>
        <v>53656</v>
      </c>
      <c r="S16" s="126">
        <f>IFERROR(IFERROR(VLOOKUP(C16,'Inchidere contur'!B:U,20-3,0),VLOOKUP(C16,'Inchidere contur'!G:U,15-3,0)),"eroare")</f>
        <v>40731</v>
      </c>
      <c r="T16" s="126">
        <f>IFERROR(IFERROR(VLOOKUP(C16,'Inchidere contur'!B:U,20-2,0),VLOOKUP(C16,'Inchidere contur'!G:U,15-2,0)),"eroare")</f>
        <v>0</v>
      </c>
      <c r="U16" s="126">
        <f t="shared" si="70"/>
        <v>0</v>
      </c>
      <c r="V16" s="126">
        <f t="shared" si="71"/>
        <v>0</v>
      </c>
      <c r="W16" s="126">
        <f>IFERROR(VLOOKUP(C16,Regularizare!B:AX,45,0),"eroare")</f>
        <v>0</v>
      </c>
      <c r="X16" s="126">
        <f>IFERROR(VLOOKUP(C16,Regularizare!B:AX,46,0),"eroare")+IFERROR(VLOOKUP(C16,Regularizare!B:AX,48,0),"eroare")</f>
        <v>415</v>
      </c>
      <c r="Y16" s="126">
        <f>IFERROR(VLOOKUP(C16,Regularizare!B:AX,47,0),"eroare")+IFERROR(VLOOKUP(C16,Regularizare!B:AX,49,0),"eroare")</f>
        <v>1759</v>
      </c>
      <c r="Z16" s="126">
        <f t="shared" si="72"/>
        <v>0</v>
      </c>
      <c r="AA16" s="126">
        <f t="shared" si="7"/>
        <v>0</v>
      </c>
      <c r="AB16" s="126">
        <f t="shared" si="73"/>
        <v>0</v>
      </c>
      <c r="AC16" s="126">
        <f t="shared" si="74"/>
        <v>0</v>
      </c>
      <c r="AD16" s="126">
        <f t="shared" si="75"/>
        <v>0</v>
      </c>
      <c r="AE16" s="126">
        <f t="shared" si="76"/>
        <v>0</v>
      </c>
      <c r="AF16" s="126">
        <f t="shared" si="77"/>
        <v>0</v>
      </c>
      <c r="AG16" s="126">
        <f t="shared" si="63"/>
        <v>0</v>
      </c>
      <c r="AH16" s="126">
        <f t="shared" si="78"/>
        <v>0</v>
      </c>
      <c r="AI16" s="126">
        <f t="shared" si="9"/>
        <v>0</v>
      </c>
      <c r="AJ16" s="126">
        <f t="shared" si="10"/>
        <v>0</v>
      </c>
      <c r="AK16" s="126">
        <v>0</v>
      </c>
      <c r="AL16" s="126">
        <v>0</v>
      </c>
      <c r="AM16" s="126">
        <v>0</v>
      </c>
      <c r="AN16" s="126">
        <v>0</v>
      </c>
      <c r="AQ16" t="str">
        <f>VLOOKUP(AR16,'Date SPV'!$B$4:$D$25,3,FALSE)</f>
        <v>Severin Shopping Center SRL</v>
      </c>
      <c r="AR16" s="1" t="s">
        <v>12</v>
      </c>
      <c r="AS16" s="1">
        <v>13</v>
      </c>
      <c r="AT16" s="1">
        <f t="shared" si="11"/>
        <v>206035</v>
      </c>
      <c r="AU16" s="1">
        <f t="shared" si="12"/>
        <v>0</v>
      </c>
      <c r="AV16" s="1">
        <f t="shared" si="13"/>
        <v>0</v>
      </c>
      <c r="AW16" s="1">
        <f t="shared" si="14"/>
        <v>206035</v>
      </c>
      <c r="AX16" s="1">
        <f t="shared" si="15"/>
        <v>0</v>
      </c>
      <c r="AY16" s="1">
        <f t="shared" si="16"/>
        <v>206035</v>
      </c>
      <c r="AZ16" s="1">
        <f t="shared" si="17"/>
        <v>206035</v>
      </c>
      <c r="BA16" s="1">
        <f t="shared" si="18"/>
        <v>206035</v>
      </c>
      <c r="BB16" s="1">
        <f t="shared" si="19"/>
        <v>206035</v>
      </c>
      <c r="BC16" s="1">
        <f t="shared" si="20"/>
        <v>206035</v>
      </c>
      <c r="BD16" s="1">
        <f t="shared" si="21"/>
        <v>206035</v>
      </c>
      <c r="BE16" s="1">
        <f t="shared" si="22"/>
        <v>206035</v>
      </c>
      <c r="BF16" s="1">
        <f t="shared" si="23"/>
        <v>167075</v>
      </c>
      <c r="BG16" s="1">
        <f t="shared" si="24"/>
        <v>167075</v>
      </c>
      <c r="BH16" s="1">
        <f t="shared" si="25"/>
        <v>157661</v>
      </c>
      <c r="BI16" s="1">
        <f t="shared" si="26"/>
        <v>0</v>
      </c>
      <c r="BJ16" s="1">
        <f t="shared" si="27"/>
        <v>0</v>
      </c>
      <c r="BK16" s="1">
        <f t="shared" si="28"/>
        <v>0</v>
      </c>
      <c r="BL16" s="1">
        <f t="shared" si="29"/>
        <v>1563</v>
      </c>
      <c r="BM16" s="1">
        <f t="shared" si="30"/>
        <v>3853</v>
      </c>
      <c r="BN16" s="1">
        <f t="shared" si="31"/>
        <v>1893</v>
      </c>
      <c r="BO16" s="1">
        <f t="shared" si="32"/>
        <v>1563</v>
      </c>
      <c r="BP16" s="1">
        <f t="shared" si="33"/>
        <v>0</v>
      </c>
      <c r="BQ16" s="1">
        <f t="shared" si="34"/>
        <v>1563</v>
      </c>
      <c r="BR16" s="1">
        <f t="shared" si="35"/>
        <v>1563</v>
      </c>
      <c r="BS16" s="1">
        <f t="shared" si="36"/>
        <v>1563</v>
      </c>
      <c r="BT16" s="1">
        <f t="shared" si="37"/>
        <v>1563</v>
      </c>
      <c r="BU16" s="1">
        <f t="shared" si="38"/>
        <v>1563</v>
      </c>
      <c r="BV16" s="1">
        <f t="shared" si="39"/>
        <v>1563</v>
      </c>
      <c r="BW16" s="1">
        <f t="shared" si="40"/>
        <v>1563</v>
      </c>
      <c r="BX16" s="1">
        <f t="shared" si="41"/>
        <v>0</v>
      </c>
      <c r="BY16" s="1">
        <f t="shared" si="42"/>
        <v>0</v>
      </c>
      <c r="BZ16" s="1">
        <f t="shared" si="43"/>
        <v>0</v>
      </c>
      <c r="CA16" s="1">
        <f t="shared" si="44"/>
        <v>0</v>
      </c>
      <c r="CB16" s="1">
        <f t="shared" si="45"/>
        <v>0</v>
      </c>
      <c r="CC16" s="1">
        <f t="shared" si="46"/>
        <v>0</v>
      </c>
      <c r="CE16">
        <f>VLOOKUP(AR16,'Contorizare in SDI'!$T:$U,2,FALSE)</f>
        <v>157661</v>
      </c>
      <c r="CF16">
        <f t="shared" si="67"/>
        <v>0</v>
      </c>
      <c r="CG16">
        <f>SUMIF('Date masura OD'!$B:$B,AR16,'Date masura OD'!R:R)</f>
        <v>208580</v>
      </c>
      <c r="CH16">
        <f>VLOOKUP(AR16,'Inchidere contur'!$AP:$AQ,2,FALSE)</f>
        <v>2545</v>
      </c>
      <c r="CI16">
        <f t="shared" si="64"/>
        <v>206035</v>
      </c>
      <c r="CJ16">
        <f t="shared" si="48"/>
        <v>0</v>
      </c>
    </row>
    <row r="17" spans="1:92">
      <c r="A17" s="17">
        <v>14</v>
      </c>
      <c r="B17" s="17" t="str">
        <f t="shared" si="49"/>
        <v>RRVS</v>
      </c>
      <c r="C17" s="198" t="s">
        <v>571</v>
      </c>
      <c r="D17" s="198" t="str">
        <f>IFERROR(VLOOKUP(C17,'Inchidere contur'!B:U,20,0),VLOOKUP(C17,'Inchidere contur'!G:U,15,0))</f>
        <v>JT_SDI</v>
      </c>
      <c r="E17" s="126">
        <f>IFERROR(IFERROR(VLOOKUP(C17,'Inchidere contur'!B:U,20-4,0),VLOOKUP(C17,'Inchidere contur'!G:U,15-4,0)),"eroare")</f>
        <v>96609</v>
      </c>
      <c r="F17" s="200">
        <v>0</v>
      </c>
      <c r="G17" s="200">
        <v>0</v>
      </c>
      <c r="H17" s="126">
        <f t="shared" si="68"/>
        <v>96609</v>
      </c>
      <c r="I17" s="126">
        <f t="shared" si="3"/>
        <v>0</v>
      </c>
      <c r="J17" s="126">
        <f t="shared" si="51"/>
        <v>96609</v>
      </c>
      <c r="K17" s="126">
        <f t="shared" si="52"/>
        <v>96609</v>
      </c>
      <c r="L17" s="126">
        <f t="shared" si="53"/>
        <v>96609</v>
      </c>
      <c r="M17" s="126">
        <f t="shared" si="54"/>
        <v>96609</v>
      </c>
      <c r="N17" s="126">
        <f t="shared" si="55"/>
        <v>96609</v>
      </c>
      <c r="O17" s="126">
        <f t="shared" si="56"/>
        <v>96609</v>
      </c>
      <c r="P17" s="126">
        <f t="shared" si="69"/>
        <v>96609</v>
      </c>
      <c r="Q17" s="126">
        <f t="shared" si="5"/>
        <v>96609</v>
      </c>
      <c r="R17" s="126">
        <f t="shared" si="6"/>
        <v>96609</v>
      </c>
      <c r="S17" s="126">
        <f>IFERROR(IFERROR(VLOOKUP(C17,'Inchidere contur'!B:U,20-3,0),VLOOKUP(C17,'Inchidere contur'!G:U,15-3,0)),"eroare")</f>
        <v>0</v>
      </c>
      <c r="T17" s="126">
        <f>IFERROR(IFERROR(VLOOKUP(C17,'Inchidere contur'!B:U,20-2,0),VLOOKUP(C17,'Inchidere contur'!G:U,15-2,0)),"eroare")</f>
        <v>35715</v>
      </c>
      <c r="U17" s="126">
        <f t="shared" si="70"/>
        <v>35715</v>
      </c>
      <c r="V17" s="126">
        <f t="shared" si="71"/>
        <v>35715</v>
      </c>
      <c r="W17" s="126">
        <f>IFERROR(VLOOKUP(C17,Regularizare!B:AX,45,0),"eroare")</f>
        <v>0</v>
      </c>
      <c r="X17" s="126">
        <f>IFERROR(VLOOKUP(C17,Regularizare!B:AX,46,0),"eroare")+IFERROR(VLOOKUP(C17,Regularizare!B:AX,48,0),"eroare")</f>
        <v>738</v>
      </c>
      <c r="Y17" s="126">
        <f>IFERROR(VLOOKUP(C17,Regularizare!B:AX,47,0),"eroare")+IFERROR(VLOOKUP(C17,Regularizare!B:AX,49,0),"eroare")</f>
        <v>3132</v>
      </c>
      <c r="Z17" s="126">
        <f t="shared" si="72"/>
        <v>0</v>
      </c>
      <c r="AA17" s="126">
        <f t="shared" si="7"/>
        <v>0</v>
      </c>
      <c r="AB17" s="126">
        <f t="shared" si="73"/>
        <v>0</v>
      </c>
      <c r="AC17" s="126">
        <f t="shared" si="74"/>
        <v>0</v>
      </c>
      <c r="AD17" s="126">
        <f t="shared" si="75"/>
        <v>0</v>
      </c>
      <c r="AE17" s="126">
        <f t="shared" si="76"/>
        <v>0</v>
      </c>
      <c r="AF17" s="126">
        <f t="shared" si="77"/>
        <v>0</v>
      </c>
      <c r="AG17" s="126">
        <f t="shared" si="63"/>
        <v>0</v>
      </c>
      <c r="AH17" s="126">
        <f t="shared" si="78"/>
        <v>0</v>
      </c>
      <c r="AI17" s="126">
        <f t="shared" si="9"/>
        <v>0</v>
      </c>
      <c r="AJ17" s="126">
        <f t="shared" si="10"/>
        <v>0</v>
      </c>
      <c r="AK17" s="126">
        <v>0</v>
      </c>
      <c r="AL17" s="126">
        <v>0</v>
      </c>
      <c r="AM17" s="126">
        <v>0</v>
      </c>
      <c r="AN17" s="126">
        <v>0</v>
      </c>
      <c r="AQ17" t="str">
        <f>VLOOKUP(AR17,'Date SPV'!$B$4:$D$25,3,FALSE)</f>
        <v>Targu Jiu Development SRL</v>
      </c>
      <c r="AR17" s="1" t="s">
        <v>13</v>
      </c>
      <c r="AS17" s="1">
        <v>14</v>
      </c>
      <c r="AT17" s="1">
        <f t="shared" si="11"/>
        <v>281445</v>
      </c>
      <c r="AU17" s="1">
        <f t="shared" si="12"/>
        <v>0</v>
      </c>
      <c r="AV17" s="1">
        <f t="shared" si="13"/>
        <v>0</v>
      </c>
      <c r="AW17" s="1">
        <f t="shared" si="14"/>
        <v>281445</v>
      </c>
      <c r="AX17" s="1">
        <f t="shared" si="15"/>
        <v>100</v>
      </c>
      <c r="AY17" s="1">
        <f t="shared" si="16"/>
        <v>281445</v>
      </c>
      <c r="AZ17" s="1">
        <f t="shared" si="17"/>
        <v>281445</v>
      </c>
      <c r="BA17" s="1">
        <f t="shared" si="18"/>
        <v>281445</v>
      </c>
      <c r="BB17" s="1">
        <f t="shared" si="19"/>
        <v>281445</v>
      </c>
      <c r="BC17" s="1">
        <f t="shared" si="20"/>
        <v>281445</v>
      </c>
      <c r="BD17" s="1">
        <f t="shared" si="21"/>
        <v>281445</v>
      </c>
      <c r="BE17" s="1">
        <f t="shared" si="22"/>
        <v>281445</v>
      </c>
      <c r="BF17" s="1">
        <f t="shared" si="23"/>
        <v>281345</v>
      </c>
      <c r="BG17" s="1">
        <f t="shared" si="24"/>
        <v>281345</v>
      </c>
      <c r="BH17" s="1">
        <f t="shared" si="25"/>
        <v>111950</v>
      </c>
      <c r="BI17" s="1">
        <f t="shared" si="26"/>
        <v>8083</v>
      </c>
      <c r="BJ17" s="1">
        <f t="shared" si="27"/>
        <v>8083</v>
      </c>
      <c r="BK17" s="1">
        <f t="shared" si="28"/>
        <v>8083</v>
      </c>
      <c r="BL17" s="1">
        <f t="shared" si="29"/>
        <v>79</v>
      </c>
      <c r="BM17" s="1">
        <f t="shared" si="30"/>
        <v>0</v>
      </c>
      <c r="BN17" s="1">
        <f t="shared" si="31"/>
        <v>0</v>
      </c>
      <c r="BO17" s="1">
        <f t="shared" si="32"/>
        <v>79</v>
      </c>
      <c r="BP17" s="1">
        <f t="shared" si="33"/>
        <v>79</v>
      </c>
      <c r="BQ17" s="1">
        <f t="shared" si="34"/>
        <v>79</v>
      </c>
      <c r="BR17" s="1">
        <f t="shared" si="35"/>
        <v>79</v>
      </c>
      <c r="BS17" s="1">
        <f t="shared" si="36"/>
        <v>79</v>
      </c>
      <c r="BT17" s="1">
        <f t="shared" si="37"/>
        <v>79</v>
      </c>
      <c r="BU17" s="1">
        <f t="shared" si="38"/>
        <v>79</v>
      </c>
      <c r="BV17" s="1">
        <f t="shared" si="39"/>
        <v>79</v>
      </c>
      <c r="BW17" s="1">
        <f t="shared" si="40"/>
        <v>79</v>
      </c>
      <c r="BX17" s="1">
        <f t="shared" si="41"/>
        <v>0</v>
      </c>
      <c r="BY17" s="1">
        <f t="shared" si="42"/>
        <v>0</v>
      </c>
      <c r="BZ17" s="1">
        <f t="shared" si="43"/>
        <v>0</v>
      </c>
      <c r="CA17" s="1">
        <f t="shared" si="44"/>
        <v>0</v>
      </c>
      <c r="CB17" s="1">
        <f t="shared" si="45"/>
        <v>0</v>
      </c>
      <c r="CC17" s="1">
        <f t="shared" si="46"/>
        <v>0</v>
      </c>
      <c r="CE17">
        <f>VLOOKUP(AR17,'Contorizare in SDI'!$T:$U,2,FALSE)</f>
        <v>120033</v>
      </c>
      <c r="CF17">
        <f t="shared" si="67"/>
        <v>0</v>
      </c>
      <c r="CG17">
        <f>SUMIF('Date masura OD'!$B:$B,AR17,'Date masura OD'!R:R)</f>
        <v>285730</v>
      </c>
      <c r="CH17">
        <f>VLOOKUP(AR17,'Inchidere contur'!$AP:$AQ,2,FALSE)</f>
        <v>4285</v>
      </c>
      <c r="CI17">
        <f t="shared" si="64"/>
        <v>281445</v>
      </c>
      <c r="CJ17">
        <f t="shared" si="48"/>
        <v>0</v>
      </c>
      <c r="CN17" s="559">
        <f>CN15-CM7</f>
        <v>-112688.5</v>
      </c>
    </row>
    <row r="18" spans="1:92">
      <c r="A18" s="17">
        <v>15</v>
      </c>
      <c r="B18" s="17" t="str">
        <f t="shared" si="49"/>
        <v>RBPM</v>
      </c>
      <c r="C18" s="198" t="s">
        <v>572</v>
      </c>
      <c r="D18" s="198" t="str">
        <f>IFERROR(VLOOKUP(C18,'Inchidere contur'!B:U,20,0),VLOOKUP(C18,'Inchidere contur'!G:U,15,0))</f>
        <v>JT_SDI</v>
      </c>
      <c r="E18" s="126">
        <f>IFERROR(IFERROR(VLOOKUP(C18,'Inchidere contur'!B:U,20-4,0),VLOOKUP(C18,'Inchidere contur'!G:U,15-4,0)),"eroare")</f>
        <v>3605</v>
      </c>
      <c r="F18" s="200">
        <v>0</v>
      </c>
      <c r="G18" s="200">
        <v>0</v>
      </c>
      <c r="H18" s="126">
        <f t="shared" si="68"/>
        <v>3605</v>
      </c>
      <c r="I18" s="126">
        <f t="shared" si="3"/>
        <v>0</v>
      </c>
      <c r="J18" s="126">
        <f t="shared" si="51"/>
        <v>3605</v>
      </c>
      <c r="K18" s="126">
        <f t="shared" si="52"/>
        <v>3605</v>
      </c>
      <c r="L18" s="126">
        <f t="shared" si="53"/>
        <v>3605</v>
      </c>
      <c r="M18" s="126">
        <f t="shared" si="54"/>
        <v>3605</v>
      </c>
      <c r="N18" s="126">
        <f t="shared" si="55"/>
        <v>3605</v>
      </c>
      <c r="O18" s="126">
        <f t="shared" si="56"/>
        <v>3605</v>
      </c>
      <c r="P18" s="126">
        <f t="shared" si="69"/>
        <v>3605</v>
      </c>
      <c r="Q18" s="126">
        <f t="shared" si="5"/>
        <v>3605</v>
      </c>
      <c r="R18" s="126">
        <f t="shared" si="6"/>
        <v>3605</v>
      </c>
      <c r="S18" s="126">
        <f>IFERROR(IFERROR(VLOOKUP(C18,'Inchidere contur'!B:U,20-3,0),VLOOKUP(C18,'Inchidere contur'!G:U,15-3,0)),"eroare")</f>
        <v>0</v>
      </c>
      <c r="T18" s="126">
        <f>IFERROR(IFERROR(VLOOKUP(C18,'Inchidere contur'!B:U,20-2,0),VLOOKUP(C18,'Inchidere contur'!G:U,15-2,0)),"eroare")</f>
        <v>0</v>
      </c>
      <c r="U18" s="126">
        <f t="shared" si="70"/>
        <v>0</v>
      </c>
      <c r="V18" s="126">
        <f t="shared" si="71"/>
        <v>0</v>
      </c>
      <c r="W18" s="126">
        <f>IFERROR(VLOOKUP(C18,Regularizare!B:AX,45,0),"eroare")</f>
        <v>0</v>
      </c>
      <c r="X18" s="126">
        <f>IFERROR(VLOOKUP(C18,Regularizare!B:AX,46,0),"eroare")+IFERROR(VLOOKUP(C18,Regularizare!B:AX,48,0),"eroare")</f>
        <v>25</v>
      </c>
      <c r="Y18" s="126">
        <f>IFERROR(VLOOKUP(C18,Regularizare!B:AX,47,0),"eroare")+IFERROR(VLOOKUP(C18,Regularizare!B:AX,49,0),"eroare")</f>
        <v>957</v>
      </c>
      <c r="Z18" s="126">
        <f t="shared" si="72"/>
        <v>0</v>
      </c>
      <c r="AA18" s="126">
        <f t="shared" si="7"/>
        <v>0</v>
      </c>
      <c r="AB18" s="126">
        <f t="shared" si="73"/>
        <v>0</v>
      </c>
      <c r="AC18" s="126">
        <f t="shared" si="74"/>
        <v>0</v>
      </c>
      <c r="AD18" s="126">
        <f t="shared" si="75"/>
        <v>0</v>
      </c>
      <c r="AE18" s="126">
        <f t="shared" si="76"/>
        <v>0</v>
      </c>
      <c r="AF18" s="126">
        <f t="shared" si="77"/>
        <v>0</v>
      </c>
      <c r="AG18" s="126">
        <f t="shared" si="63"/>
        <v>0</v>
      </c>
      <c r="AH18" s="126">
        <f t="shared" si="78"/>
        <v>0</v>
      </c>
      <c r="AI18" s="126">
        <f t="shared" si="9"/>
        <v>0</v>
      </c>
      <c r="AJ18" s="126">
        <f t="shared" si="10"/>
        <v>0</v>
      </c>
      <c r="AK18" s="126">
        <v>0</v>
      </c>
      <c r="AL18" s="126">
        <v>0</v>
      </c>
      <c r="AM18" s="126">
        <v>0</v>
      </c>
      <c r="AN18" s="126">
        <v>0</v>
      </c>
      <c r="AQ18" t="str">
        <f>VLOOKUP(AR18,'Date SPV'!$B$4:$D$25,3,FALSE)</f>
        <v>Vulcan Value Centre SRL</v>
      </c>
      <c r="AR18" s="1" t="s">
        <v>14</v>
      </c>
      <c r="AS18" s="1">
        <v>15</v>
      </c>
      <c r="AT18" s="1">
        <f t="shared" si="11"/>
        <v>189120</v>
      </c>
      <c r="AU18" s="1">
        <f t="shared" si="12"/>
        <v>0</v>
      </c>
      <c r="AV18" s="1">
        <f t="shared" si="13"/>
        <v>0</v>
      </c>
      <c r="AW18" s="1">
        <f t="shared" si="14"/>
        <v>189120</v>
      </c>
      <c r="AX18" s="1">
        <f t="shared" si="15"/>
        <v>0</v>
      </c>
      <c r="AY18" s="1">
        <f t="shared" si="16"/>
        <v>189120</v>
      </c>
      <c r="AZ18" s="1">
        <f t="shared" si="17"/>
        <v>189120</v>
      </c>
      <c r="BA18" s="1">
        <f t="shared" si="18"/>
        <v>189120</v>
      </c>
      <c r="BB18" s="1">
        <f t="shared" si="19"/>
        <v>189120</v>
      </c>
      <c r="BC18" s="1">
        <f t="shared" si="20"/>
        <v>189120</v>
      </c>
      <c r="BD18" s="1">
        <f t="shared" si="21"/>
        <v>189120</v>
      </c>
      <c r="BE18" s="1">
        <f t="shared" si="22"/>
        <v>189120</v>
      </c>
      <c r="BF18" s="1">
        <f t="shared" si="23"/>
        <v>189120</v>
      </c>
      <c r="BG18" s="1">
        <f t="shared" si="24"/>
        <v>189120</v>
      </c>
      <c r="BH18" s="1">
        <f t="shared" si="25"/>
        <v>138160</v>
      </c>
      <c r="BI18" s="1">
        <f t="shared" si="26"/>
        <v>3742</v>
      </c>
      <c r="BJ18" s="1">
        <f t="shared" si="27"/>
        <v>3742</v>
      </c>
      <c r="BK18" s="1">
        <f t="shared" si="28"/>
        <v>3742</v>
      </c>
      <c r="BL18" s="1">
        <f t="shared" si="29"/>
        <v>0</v>
      </c>
      <c r="BM18" s="1">
        <f t="shared" si="30"/>
        <v>0</v>
      </c>
      <c r="BN18" s="1">
        <f t="shared" si="31"/>
        <v>0</v>
      </c>
      <c r="BO18" s="1">
        <f t="shared" si="32"/>
        <v>0</v>
      </c>
      <c r="BP18" s="1">
        <f t="shared" si="33"/>
        <v>0</v>
      </c>
      <c r="BQ18" s="1">
        <f t="shared" si="34"/>
        <v>0</v>
      </c>
      <c r="BR18" s="1">
        <f t="shared" si="35"/>
        <v>0</v>
      </c>
      <c r="BS18" s="1">
        <f t="shared" si="36"/>
        <v>0</v>
      </c>
      <c r="BT18" s="1">
        <f t="shared" si="37"/>
        <v>0</v>
      </c>
      <c r="BU18" s="1">
        <f t="shared" si="38"/>
        <v>0</v>
      </c>
      <c r="BV18" s="1">
        <f t="shared" si="39"/>
        <v>0</v>
      </c>
      <c r="BW18" s="1">
        <f t="shared" si="40"/>
        <v>0</v>
      </c>
      <c r="BX18" s="1">
        <f t="shared" si="41"/>
        <v>0</v>
      </c>
      <c r="BY18" s="1">
        <f t="shared" si="42"/>
        <v>0</v>
      </c>
      <c r="BZ18" s="1">
        <f t="shared" si="43"/>
        <v>0</v>
      </c>
      <c r="CA18" s="1">
        <f t="shared" si="44"/>
        <v>0</v>
      </c>
      <c r="CB18" s="1">
        <f t="shared" si="45"/>
        <v>0</v>
      </c>
      <c r="CC18" s="1">
        <f t="shared" si="46"/>
        <v>0</v>
      </c>
      <c r="CE18">
        <f>VLOOKUP(AR18,'Contorizare in SDI'!$T:$U,2,FALSE)</f>
        <v>141902</v>
      </c>
      <c r="CF18">
        <f t="shared" ref="CF18:CF32" si="79">CE18-BH18-BI18</f>
        <v>0</v>
      </c>
      <c r="CG18">
        <f>SUMIF('Date masura OD'!$B:$B,AR18,'Date masura OD'!R:R)</f>
        <v>192000</v>
      </c>
      <c r="CH18">
        <f>VLOOKUP(AR18,'Inchidere contur'!$AP:$AQ,2,FALSE)</f>
        <v>2880</v>
      </c>
      <c r="CI18">
        <f t="shared" si="64"/>
        <v>189120</v>
      </c>
      <c r="CJ18">
        <f t="shared" si="48"/>
        <v>0</v>
      </c>
    </row>
    <row r="19" spans="1:92">
      <c r="A19" s="17">
        <v>16</v>
      </c>
      <c r="B19" s="17" t="str">
        <f t="shared" si="49"/>
        <v>RBPM</v>
      </c>
      <c r="C19" s="198" t="s">
        <v>573</v>
      </c>
      <c r="D19" s="198" t="str">
        <f>IFERROR(VLOOKUP(C19,'Inchidere contur'!B:U,20,0),VLOOKUP(C19,'Inchidere contur'!G:U,15,0))</f>
        <v>JT_SDI</v>
      </c>
      <c r="E19" s="126">
        <f>IFERROR(IFERROR(VLOOKUP(C19,'Inchidere contur'!B:U,20-4,0),VLOOKUP(C19,'Inchidere contur'!G:U,15-4,0)),"eroare")</f>
        <v>161388</v>
      </c>
      <c r="F19" s="200">
        <v>0</v>
      </c>
      <c r="G19" s="200">
        <v>0</v>
      </c>
      <c r="H19" s="126">
        <f t="shared" si="68"/>
        <v>161388</v>
      </c>
      <c r="I19" s="126">
        <f t="shared" si="3"/>
        <v>0</v>
      </c>
      <c r="J19" s="126">
        <f t="shared" si="51"/>
        <v>161388</v>
      </c>
      <c r="K19" s="126">
        <f t="shared" si="52"/>
        <v>161388</v>
      </c>
      <c r="L19" s="126">
        <f t="shared" si="53"/>
        <v>161388</v>
      </c>
      <c r="M19" s="126">
        <f t="shared" si="54"/>
        <v>161388</v>
      </c>
      <c r="N19" s="126">
        <f t="shared" si="55"/>
        <v>161388</v>
      </c>
      <c r="O19" s="126">
        <f t="shared" si="56"/>
        <v>161388</v>
      </c>
      <c r="P19" s="126">
        <f t="shared" si="69"/>
        <v>161388</v>
      </c>
      <c r="Q19" s="126">
        <f t="shared" si="5"/>
        <v>161388</v>
      </c>
      <c r="R19" s="126">
        <f t="shared" si="6"/>
        <v>161388</v>
      </c>
      <c r="S19" s="126">
        <f>IFERROR(IFERROR(VLOOKUP(C19,'Inchidere contur'!B:U,20-3,0),VLOOKUP(C19,'Inchidere contur'!G:U,15-3,0)),"eroare")</f>
        <v>76578</v>
      </c>
      <c r="T19" s="126">
        <f>IFERROR(IFERROR(VLOOKUP(C19,'Inchidere contur'!B:U,20-2,0),VLOOKUP(C19,'Inchidere contur'!G:U,15-2,0)),"eroare")</f>
        <v>29203</v>
      </c>
      <c r="U19" s="126">
        <f t="shared" si="70"/>
        <v>29203</v>
      </c>
      <c r="V19" s="126">
        <f t="shared" si="71"/>
        <v>29203</v>
      </c>
      <c r="W19" s="126">
        <f>IFERROR(VLOOKUP(C19,Regularizare!B:AX,45,0),"eroare")</f>
        <v>0</v>
      </c>
      <c r="X19" s="126">
        <f>IFERROR(VLOOKUP(C19,Regularizare!B:AX,46,0),"eroare")+IFERROR(VLOOKUP(C19,Regularizare!B:AX,48,0),"eroare")</f>
        <v>6381</v>
      </c>
      <c r="Y19" s="126">
        <f>IFERROR(VLOOKUP(C19,Regularizare!B:AX,47,0),"eroare")+IFERROR(VLOOKUP(C19,Regularizare!B:AX,49,0),"eroare")</f>
        <v>28201</v>
      </c>
      <c r="Z19" s="126">
        <f t="shared" si="72"/>
        <v>0</v>
      </c>
      <c r="AA19" s="126">
        <f t="shared" si="7"/>
        <v>0</v>
      </c>
      <c r="AB19" s="126">
        <f t="shared" si="73"/>
        <v>0</v>
      </c>
      <c r="AC19" s="126">
        <f t="shared" si="74"/>
        <v>0</v>
      </c>
      <c r="AD19" s="126">
        <f t="shared" si="75"/>
        <v>0</v>
      </c>
      <c r="AE19" s="126">
        <f t="shared" si="76"/>
        <v>0</v>
      </c>
      <c r="AF19" s="126">
        <f t="shared" si="77"/>
        <v>0</v>
      </c>
      <c r="AG19" s="126">
        <f t="shared" si="63"/>
        <v>0</v>
      </c>
      <c r="AH19" s="126">
        <f t="shared" si="78"/>
        <v>0</v>
      </c>
      <c r="AI19" s="126">
        <f t="shared" si="9"/>
        <v>0</v>
      </c>
      <c r="AJ19" s="126">
        <f t="shared" si="10"/>
        <v>0</v>
      </c>
      <c r="AK19" s="126">
        <v>0</v>
      </c>
      <c r="AL19" s="126">
        <v>0</v>
      </c>
      <c r="AM19" s="126">
        <v>0</v>
      </c>
      <c r="AN19" s="126">
        <v>0</v>
      </c>
      <c r="AQ19" t="str">
        <f>VLOOKUP(AR19,'Date SPV'!$B$4:$D$25,3,FALSE)</f>
        <v>Shopping City Piatra Neamt SRL</v>
      </c>
      <c r="AR19" s="1" t="s">
        <v>15</v>
      </c>
      <c r="AS19" s="1">
        <v>16</v>
      </c>
      <c r="AT19" s="1">
        <f t="shared" si="11"/>
        <v>313151</v>
      </c>
      <c r="AU19" s="1">
        <f t="shared" si="12"/>
        <v>0</v>
      </c>
      <c r="AV19" s="1">
        <f t="shared" si="13"/>
        <v>0</v>
      </c>
      <c r="AW19" s="1">
        <f t="shared" si="14"/>
        <v>313151</v>
      </c>
      <c r="AX19" s="1">
        <f t="shared" si="15"/>
        <v>0</v>
      </c>
      <c r="AY19" s="1">
        <f t="shared" si="16"/>
        <v>313151</v>
      </c>
      <c r="AZ19" s="1">
        <f t="shared" si="17"/>
        <v>313151</v>
      </c>
      <c r="BA19" s="1">
        <f t="shared" si="18"/>
        <v>313151</v>
      </c>
      <c r="BB19" s="1">
        <f t="shared" si="19"/>
        <v>313151</v>
      </c>
      <c r="BC19" s="1">
        <f t="shared" si="20"/>
        <v>313151</v>
      </c>
      <c r="BD19" s="1">
        <f t="shared" si="21"/>
        <v>313151</v>
      </c>
      <c r="BE19" s="1">
        <f t="shared" si="22"/>
        <v>313151</v>
      </c>
      <c r="BF19" s="1">
        <f t="shared" si="23"/>
        <v>313151</v>
      </c>
      <c r="BG19" s="1">
        <f t="shared" si="24"/>
        <v>313151</v>
      </c>
      <c r="BH19" s="1">
        <f t="shared" si="25"/>
        <v>109278</v>
      </c>
      <c r="BI19" s="1">
        <f t="shared" si="26"/>
        <v>16684</v>
      </c>
      <c r="BJ19" s="1">
        <f t="shared" si="27"/>
        <v>16684</v>
      </c>
      <c r="BK19" s="1">
        <f t="shared" si="28"/>
        <v>16684</v>
      </c>
      <c r="BL19" s="1">
        <f t="shared" si="29"/>
        <v>0</v>
      </c>
      <c r="BM19" s="1">
        <f t="shared" si="30"/>
        <v>382</v>
      </c>
      <c r="BN19" s="1">
        <f t="shared" si="31"/>
        <v>65</v>
      </c>
      <c r="BO19" s="1">
        <f t="shared" si="32"/>
        <v>0</v>
      </c>
      <c r="BP19" s="1">
        <f t="shared" si="33"/>
        <v>0</v>
      </c>
      <c r="BQ19" s="1">
        <f t="shared" si="34"/>
        <v>0</v>
      </c>
      <c r="BR19" s="1">
        <f t="shared" si="35"/>
        <v>0</v>
      </c>
      <c r="BS19" s="1">
        <f t="shared" si="36"/>
        <v>0</v>
      </c>
      <c r="BT19" s="1">
        <f t="shared" si="37"/>
        <v>0</v>
      </c>
      <c r="BU19" s="1">
        <f t="shared" si="38"/>
        <v>0</v>
      </c>
      <c r="BV19" s="1">
        <f t="shared" si="39"/>
        <v>0</v>
      </c>
      <c r="BW19" s="1">
        <f t="shared" si="40"/>
        <v>0</v>
      </c>
      <c r="BX19" s="1">
        <f t="shared" si="41"/>
        <v>0</v>
      </c>
      <c r="BY19" s="1">
        <f t="shared" si="42"/>
        <v>0</v>
      </c>
      <c r="BZ19" s="1">
        <f t="shared" si="43"/>
        <v>0</v>
      </c>
      <c r="CA19" s="1">
        <f t="shared" si="44"/>
        <v>0</v>
      </c>
      <c r="CB19" s="1">
        <f t="shared" si="45"/>
        <v>0</v>
      </c>
      <c r="CC19" s="1">
        <f t="shared" si="46"/>
        <v>0</v>
      </c>
      <c r="CE19">
        <f>VLOOKUP(AR19,'Contorizare in SDI'!$T:$U,2,FALSE)</f>
        <v>125962</v>
      </c>
      <c r="CF19">
        <f t="shared" si="79"/>
        <v>0</v>
      </c>
      <c r="CG19">
        <f>SUMIF('Date masura OD'!$B:$B,AR19,'Date masura OD'!R:R)</f>
        <v>317920</v>
      </c>
      <c r="CH19">
        <f>VLOOKUP(AR19,'Inchidere contur'!$AP:$AQ,2,FALSE)</f>
        <v>4769</v>
      </c>
      <c r="CI19">
        <f t="shared" si="64"/>
        <v>313151</v>
      </c>
      <c r="CJ19">
        <f t="shared" si="48"/>
        <v>0</v>
      </c>
    </row>
    <row r="20" spans="1:92">
      <c r="A20" s="17">
        <v>17</v>
      </c>
      <c r="B20" s="17" t="str">
        <f t="shared" si="49"/>
        <v>RBPM</v>
      </c>
      <c r="C20" s="198" t="s">
        <v>574</v>
      </c>
      <c r="D20" s="198" t="str">
        <f>IFERROR(VLOOKUP(C20,'Inchidere contur'!B:U,20,0),VLOOKUP(C20,'Inchidere contur'!G:U,15,0))</f>
        <v>JT_SDI</v>
      </c>
      <c r="E20" s="126">
        <f>IFERROR(IFERROR(VLOOKUP(C20,'Inchidere contur'!B:U,20-4,0),VLOOKUP(C20,'Inchidere contur'!G:U,15-4,0)),"eroare")</f>
        <v>77218</v>
      </c>
      <c r="F20" s="200">
        <v>0</v>
      </c>
      <c r="G20" s="200">
        <v>0</v>
      </c>
      <c r="H20" s="126">
        <f t="shared" si="68"/>
        <v>77218</v>
      </c>
      <c r="I20" s="126">
        <f t="shared" si="3"/>
        <v>0</v>
      </c>
      <c r="J20" s="126">
        <f t="shared" si="51"/>
        <v>77218</v>
      </c>
      <c r="K20" s="126">
        <f t="shared" si="52"/>
        <v>77218</v>
      </c>
      <c r="L20" s="126">
        <f t="shared" si="53"/>
        <v>77218</v>
      </c>
      <c r="M20" s="126">
        <f t="shared" si="54"/>
        <v>77218</v>
      </c>
      <c r="N20" s="126">
        <f t="shared" si="55"/>
        <v>77218</v>
      </c>
      <c r="O20" s="126">
        <f t="shared" si="56"/>
        <v>77218</v>
      </c>
      <c r="P20" s="126">
        <f t="shared" si="69"/>
        <v>77218</v>
      </c>
      <c r="Q20" s="126">
        <f t="shared" si="5"/>
        <v>77218</v>
      </c>
      <c r="R20" s="126">
        <f t="shared" si="6"/>
        <v>77218</v>
      </c>
      <c r="S20" s="126">
        <f>IFERROR(IFERROR(VLOOKUP(C20,'Inchidere contur'!B:U,20-3,0),VLOOKUP(C20,'Inchidere contur'!G:U,15-3,0)),"eroare")</f>
        <v>110522</v>
      </c>
      <c r="T20" s="126">
        <f>IFERROR(IFERROR(VLOOKUP(C20,'Inchidere contur'!B:U,20-2,0),VLOOKUP(C20,'Inchidere contur'!G:U,15-2,0)),"eroare")</f>
        <v>34</v>
      </c>
      <c r="U20" s="126">
        <f t="shared" si="70"/>
        <v>34</v>
      </c>
      <c r="V20" s="126">
        <f t="shared" si="71"/>
        <v>34</v>
      </c>
      <c r="W20" s="126">
        <f>IFERROR(VLOOKUP(C20,Regularizare!B:AX,45,0),"eroare")</f>
        <v>0</v>
      </c>
      <c r="X20" s="126">
        <f>IFERROR(VLOOKUP(C20,Regularizare!B:AX,46,0),"eroare")+IFERROR(VLOOKUP(C20,Regularizare!B:AX,48,0),"eroare")</f>
        <v>4639</v>
      </c>
      <c r="Y20" s="126">
        <f>IFERROR(VLOOKUP(C20,Regularizare!B:AX,47,0),"eroare")+IFERROR(VLOOKUP(C20,Regularizare!B:AX,49,0),"eroare")</f>
        <v>20511</v>
      </c>
      <c r="Z20" s="126">
        <f t="shared" si="72"/>
        <v>0</v>
      </c>
      <c r="AA20" s="126">
        <f t="shared" si="7"/>
        <v>0</v>
      </c>
      <c r="AB20" s="126">
        <f t="shared" si="73"/>
        <v>0</v>
      </c>
      <c r="AC20" s="126">
        <f t="shared" si="74"/>
        <v>0</v>
      </c>
      <c r="AD20" s="126">
        <f t="shared" si="75"/>
        <v>0</v>
      </c>
      <c r="AE20" s="126">
        <f t="shared" si="76"/>
        <v>0</v>
      </c>
      <c r="AF20" s="126">
        <f t="shared" si="77"/>
        <v>0</v>
      </c>
      <c r="AG20" s="126">
        <f t="shared" si="63"/>
        <v>0</v>
      </c>
      <c r="AH20" s="126">
        <f t="shared" si="78"/>
        <v>0</v>
      </c>
      <c r="AI20" s="126">
        <f t="shared" si="9"/>
        <v>0</v>
      </c>
      <c r="AJ20" s="126">
        <f t="shared" si="10"/>
        <v>0</v>
      </c>
      <c r="AK20" s="126">
        <v>0</v>
      </c>
      <c r="AL20" s="126">
        <v>0</v>
      </c>
      <c r="AM20" s="126">
        <v>0</v>
      </c>
      <c r="AN20" s="126">
        <v>0</v>
      </c>
      <c r="AQ20" t="str">
        <f>VLOOKUP(AR20,'Date SPV'!$B$4:$D$25,3,FALSE)</f>
        <v>Iris Titan Shopping Center SRL</v>
      </c>
      <c r="AR20" s="1" t="s">
        <v>16</v>
      </c>
      <c r="AS20" s="1">
        <v>17</v>
      </c>
      <c r="AT20" s="1">
        <f t="shared" si="11"/>
        <v>794597</v>
      </c>
      <c r="AU20" s="1">
        <f t="shared" si="12"/>
        <v>0</v>
      </c>
      <c r="AV20" s="1">
        <f t="shared" si="13"/>
        <v>0</v>
      </c>
      <c r="AW20" s="1">
        <f t="shared" si="14"/>
        <v>794597</v>
      </c>
      <c r="AX20" s="1">
        <f t="shared" si="15"/>
        <v>0</v>
      </c>
      <c r="AY20" s="1">
        <f t="shared" si="16"/>
        <v>794597</v>
      </c>
      <c r="AZ20" s="1">
        <f t="shared" si="17"/>
        <v>794597</v>
      </c>
      <c r="BA20" s="1">
        <f t="shared" si="18"/>
        <v>794597</v>
      </c>
      <c r="BB20" s="1">
        <f t="shared" si="19"/>
        <v>794597</v>
      </c>
      <c r="BC20" s="1">
        <f t="shared" si="20"/>
        <v>794597</v>
      </c>
      <c r="BD20" s="1">
        <f t="shared" si="21"/>
        <v>794597</v>
      </c>
      <c r="BE20" s="1">
        <f t="shared" si="22"/>
        <v>794597</v>
      </c>
      <c r="BF20" s="1">
        <f t="shared" si="23"/>
        <v>794597</v>
      </c>
      <c r="BG20" s="1">
        <f t="shared" si="24"/>
        <v>794597</v>
      </c>
      <c r="BH20" s="1">
        <f t="shared" si="25"/>
        <v>69308</v>
      </c>
      <c r="BI20" s="1">
        <f t="shared" si="26"/>
        <v>26226</v>
      </c>
      <c r="BJ20" s="1">
        <f t="shared" si="27"/>
        <v>26226</v>
      </c>
      <c r="BK20" s="1">
        <f t="shared" si="28"/>
        <v>26226</v>
      </c>
      <c r="BL20" s="1">
        <f t="shared" si="29"/>
        <v>0</v>
      </c>
      <c r="BM20" s="1">
        <f t="shared" si="30"/>
        <v>3292</v>
      </c>
      <c r="BN20" s="1">
        <f t="shared" si="31"/>
        <v>0</v>
      </c>
      <c r="BO20" s="1">
        <f t="shared" si="32"/>
        <v>0</v>
      </c>
      <c r="BP20" s="1">
        <f t="shared" si="33"/>
        <v>0</v>
      </c>
      <c r="BQ20" s="1">
        <f t="shared" si="34"/>
        <v>0</v>
      </c>
      <c r="BR20" s="1">
        <f t="shared" si="35"/>
        <v>0</v>
      </c>
      <c r="BS20" s="1">
        <f t="shared" si="36"/>
        <v>0</v>
      </c>
      <c r="BT20" s="1">
        <f t="shared" si="37"/>
        <v>0</v>
      </c>
      <c r="BU20" s="1">
        <f t="shared" si="38"/>
        <v>0</v>
      </c>
      <c r="BV20" s="1">
        <f t="shared" si="39"/>
        <v>0</v>
      </c>
      <c r="BW20" s="1">
        <f t="shared" si="40"/>
        <v>0</v>
      </c>
      <c r="BX20" s="1">
        <f t="shared" si="41"/>
        <v>0</v>
      </c>
      <c r="BY20" s="1">
        <f t="shared" si="42"/>
        <v>0</v>
      </c>
      <c r="BZ20" s="1">
        <f t="shared" si="43"/>
        <v>0</v>
      </c>
      <c r="CA20" s="1">
        <f t="shared" si="44"/>
        <v>0</v>
      </c>
      <c r="CB20" s="1">
        <f t="shared" si="45"/>
        <v>0</v>
      </c>
      <c r="CC20" s="1">
        <f t="shared" si="46"/>
        <v>0</v>
      </c>
      <c r="CE20">
        <f>VLOOKUP(AR20,'Contorizare in SDI'!$T:$U,2,FALSE)</f>
        <v>95534</v>
      </c>
      <c r="CF20">
        <f t="shared" si="79"/>
        <v>0</v>
      </c>
      <c r="CG20">
        <f>SUMIF('Date masura OD'!$B:$B,AR20,'Date masura OD'!R:R)</f>
        <v>806700</v>
      </c>
      <c r="CH20">
        <f>VLOOKUP(AR20,'Inchidere contur'!$AP:$AQ,2,FALSE)</f>
        <v>12103</v>
      </c>
      <c r="CI20">
        <f t="shared" si="64"/>
        <v>794597</v>
      </c>
      <c r="CJ20">
        <f t="shared" si="48"/>
        <v>0</v>
      </c>
    </row>
    <row r="21" spans="1:92">
      <c r="A21" s="17">
        <v>18</v>
      </c>
      <c r="B21" s="17" t="str">
        <f t="shared" si="49"/>
        <v>RBPM</v>
      </c>
      <c r="C21" s="198" t="s">
        <v>575</v>
      </c>
      <c r="D21" s="198" t="str">
        <f>IFERROR(VLOOKUP(C21,'Inchidere contur'!B:U,20,0),VLOOKUP(C21,'Inchidere contur'!G:U,15,0))</f>
        <v>JT_SDI</v>
      </c>
      <c r="E21" s="126">
        <f>IFERROR(IFERROR(VLOOKUP(C21,'Inchidere contur'!B:U,20-4,0),VLOOKUP(C21,'Inchidere contur'!G:U,15-4,0)),"eroare")</f>
        <v>35962</v>
      </c>
      <c r="F21" s="200">
        <v>0</v>
      </c>
      <c r="G21" s="200">
        <v>0</v>
      </c>
      <c r="H21" s="126">
        <f t="shared" si="68"/>
        <v>35962</v>
      </c>
      <c r="I21" s="126">
        <f t="shared" si="3"/>
        <v>0</v>
      </c>
      <c r="J21" s="126">
        <f t="shared" si="51"/>
        <v>35962</v>
      </c>
      <c r="K21" s="126">
        <f t="shared" si="52"/>
        <v>35962</v>
      </c>
      <c r="L21" s="126">
        <f t="shared" si="53"/>
        <v>35962</v>
      </c>
      <c r="M21" s="126">
        <f t="shared" si="54"/>
        <v>35962</v>
      </c>
      <c r="N21" s="126">
        <f t="shared" si="55"/>
        <v>35962</v>
      </c>
      <c r="O21" s="126">
        <f t="shared" si="56"/>
        <v>35962</v>
      </c>
      <c r="P21" s="126">
        <f t="shared" si="69"/>
        <v>35962</v>
      </c>
      <c r="Q21" s="126">
        <f t="shared" si="5"/>
        <v>35962</v>
      </c>
      <c r="R21" s="126">
        <f t="shared" si="6"/>
        <v>35962</v>
      </c>
      <c r="S21" s="126">
        <f>IFERROR(IFERROR(VLOOKUP(C21,'Inchidere contur'!B:U,20-3,0),VLOOKUP(C21,'Inchidere contur'!G:U,15-3,0)),"eroare")</f>
        <v>0</v>
      </c>
      <c r="T21" s="126">
        <f>IFERROR(IFERROR(VLOOKUP(C21,'Inchidere contur'!B:U,20-2,0),VLOOKUP(C21,'Inchidere contur'!G:U,15-2,0)),"eroare")</f>
        <v>0</v>
      </c>
      <c r="U21" s="126">
        <f t="shared" si="70"/>
        <v>0</v>
      </c>
      <c r="V21" s="126">
        <f t="shared" si="71"/>
        <v>0</v>
      </c>
      <c r="W21" s="126">
        <f>IFERROR(VLOOKUP(C21,Regularizare!B:AX,45,0),"eroare")</f>
        <v>0</v>
      </c>
      <c r="X21" s="126">
        <f>IFERROR(VLOOKUP(C21,Regularizare!B:AX,46,0),"eroare")+IFERROR(VLOOKUP(C21,Regularizare!B:AX,48,0),"eroare")</f>
        <v>570</v>
      </c>
      <c r="Y21" s="126">
        <f>IFERROR(VLOOKUP(C21,Regularizare!B:AX,47,0),"eroare")+IFERROR(VLOOKUP(C21,Regularizare!B:AX,49,0),"eroare")</f>
        <v>5490</v>
      </c>
      <c r="Z21" s="126">
        <f t="shared" si="72"/>
        <v>0</v>
      </c>
      <c r="AA21" s="126">
        <f t="shared" si="7"/>
        <v>0</v>
      </c>
      <c r="AB21" s="126">
        <f t="shared" si="73"/>
        <v>0</v>
      </c>
      <c r="AC21" s="126">
        <f t="shared" si="74"/>
        <v>0</v>
      </c>
      <c r="AD21" s="126">
        <f t="shared" si="75"/>
        <v>0</v>
      </c>
      <c r="AE21" s="126">
        <f t="shared" si="76"/>
        <v>0</v>
      </c>
      <c r="AF21" s="126">
        <f t="shared" si="77"/>
        <v>0</v>
      </c>
      <c r="AG21" s="126">
        <f t="shared" si="63"/>
        <v>0</v>
      </c>
      <c r="AH21" s="126">
        <f t="shared" si="78"/>
        <v>0</v>
      </c>
      <c r="AI21" s="126">
        <f t="shared" si="9"/>
        <v>0</v>
      </c>
      <c r="AJ21" s="126">
        <f t="shared" si="10"/>
        <v>0</v>
      </c>
      <c r="AK21" s="126">
        <v>0</v>
      </c>
      <c r="AL21" s="126">
        <v>0</v>
      </c>
      <c r="AM21" s="126">
        <v>0</v>
      </c>
      <c r="AN21" s="126">
        <v>0</v>
      </c>
      <c r="AQ21" t="str">
        <f>VLOOKUP(AR21,'Date SPV'!$B$4:$D$25,3,FALSE)</f>
        <v>Sibiu Shopping City 2 SRL</v>
      </c>
      <c r="AR21" s="1" t="s">
        <v>17</v>
      </c>
      <c r="AS21" s="1">
        <v>18</v>
      </c>
      <c r="AT21" s="1">
        <f t="shared" si="11"/>
        <v>89775</v>
      </c>
      <c r="AU21" s="1">
        <f t="shared" si="12"/>
        <v>0</v>
      </c>
      <c r="AV21" s="1">
        <f t="shared" si="13"/>
        <v>0</v>
      </c>
      <c r="AW21" s="1">
        <f t="shared" si="14"/>
        <v>89775</v>
      </c>
      <c r="AX21" s="1">
        <f t="shared" si="15"/>
        <v>3606</v>
      </c>
      <c r="AY21" s="1">
        <f t="shared" si="16"/>
        <v>89775</v>
      </c>
      <c r="AZ21" s="1">
        <f t="shared" si="17"/>
        <v>89775</v>
      </c>
      <c r="BA21" s="1">
        <f t="shared" si="18"/>
        <v>89775</v>
      </c>
      <c r="BB21" s="1">
        <f t="shared" si="19"/>
        <v>89775</v>
      </c>
      <c r="BC21" s="1">
        <f t="shared" si="20"/>
        <v>89775</v>
      </c>
      <c r="BD21" s="1">
        <f t="shared" si="21"/>
        <v>89775</v>
      </c>
      <c r="BE21" s="1">
        <f t="shared" si="22"/>
        <v>89775</v>
      </c>
      <c r="BF21" s="1">
        <f t="shared" si="23"/>
        <v>86169</v>
      </c>
      <c r="BG21" s="1">
        <f t="shared" si="24"/>
        <v>86169</v>
      </c>
      <c r="BH21" s="1">
        <f t="shared" si="25"/>
        <v>36153</v>
      </c>
      <c r="BI21" s="1">
        <f t="shared" si="26"/>
        <v>5344</v>
      </c>
      <c r="BJ21" s="1">
        <f t="shared" si="27"/>
        <v>5344</v>
      </c>
      <c r="BK21" s="1">
        <f t="shared" si="28"/>
        <v>5344</v>
      </c>
      <c r="BL21" s="1">
        <f t="shared" si="29"/>
        <v>0</v>
      </c>
      <c r="BM21" s="1">
        <f t="shared" si="30"/>
        <v>105</v>
      </c>
      <c r="BN21" s="1">
        <f t="shared" si="31"/>
        <v>0</v>
      </c>
      <c r="BO21" s="1">
        <f t="shared" si="32"/>
        <v>0</v>
      </c>
      <c r="BP21" s="1">
        <f t="shared" si="33"/>
        <v>0</v>
      </c>
      <c r="BQ21" s="1">
        <f t="shared" si="34"/>
        <v>0</v>
      </c>
      <c r="BR21" s="1">
        <f t="shared" si="35"/>
        <v>0</v>
      </c>
      <c r="BS21" s="1">
        <f t="shared" si="36"/>
        <v>0</v>
      </c>
      <c r="BT21" s="1">
        <f t="shared" si="37"/>
        <v>0</v>
      </c>
      <c r="BU21" s="1">
        <f t="shared" si="38"/>
        <v>0</v>
      </c>
      <c r="BV21" s="1">
        <f t="shared" si="39"/>
        <v>0</v>
      </c>
      <c r="BW21" s="1">
        <f t="shared" si="40"/>
        <v>0</v>
      </c>
      <c r="BX21" s="1">
        <f t="shared" si="41"/>
        <v>0</v>
      </c>
      <c r="BY21" s="1">
        <f t="shared" si="42"/>
        <v>0</v>
      </c>
      <c r="BZ21" s="1">
        <f t="shared" si="43"/>
        <v>0</v>
      </c>
      <c r="CA21" s="1">
        <f t="shared" si="44"/>
        <v>0</v>
      </c>
      <c r="CB21" s="1">
        <f t="shared" si="45"/>
        <v>0</v>
      </c>
      <c r="CC21" s="1">
        <f t="shared" si="46"/>
        <v>0</v>
      </c>
      <c r="CE21">
        <f>VLOOKUP(AR21,'Contorizare in SDI'!$T:$U,2,FALSE)</f>
        <v>41497</v>
      </c>
      <c r="CF21">
        <f t="shared" si="79"/>
        <v>0</v>
      </c>
      <c r="CG21">
        <f>SUMIF('Date masura OD'!$B:$B,AR21,'Date masura OD'!R:R)</f>
        <v>91088</v>
      </c>
      <c r="CH21">
        <f>VLOOKUP(AR21,'Inchidere contur'!$AP:$AQ,2,FALSE)</f>
        <v>1313</v>
      </c>
      <c r="CI21">
        <f t="shared" si="64"/>
        <v>89775</v>
      </c>
      <c r="CJ21">
        <f t="shared" si="48"/>
        <v>0</v>
      </c>
    </row>
    <row r="22" spans="1:92">
      <c r="A22" s="17">
        <v>19</v>
      </c>
      <c r="B22" s="17" t="str">
        <f t="shared" si="49"/>
        <v>RPSC</v>
      </c>
      <c r="C22" s="198" t="s">
        <v>576</v>
      </c>
      <c r="D22" s="198" t="str">
        <f>IFERROR(VLOOKUP(C22,'Inchidere contur'!B:U,20,0),VLOOKUP(C22,'Inchidere contur'!G:U,15,0))</f>
        <v>JT_SDI</v>
      </c>
      <c r="E22" s="126">
        <f>IFERROR(IFERROR(VLOOKUP(C22,'Inchidere contur'!B:U,20-4,0),VLOOKUP(C22,'Inchidere contur'!G:U,15-4,0)),"eroare")</f>
        <v>327702</v>
      </c>
      <c r="F22" s="200">
        <v>0</v>
      </c>
      <c r="G22" s="200">
        <v>0</v>
      </c>
      <c r="H22" s="126">
        <f t="shared" si="68"/>
        <v>327702</v>
      </c>
      <c r="I22" s="126">
        <f t="shared" si="3"/>
        <v>0</v>
      </c>
      <c r="J22" s="126">
        <f t="shared" si="51"/>
        <v>327702</v>
      </c>
      <c r="K22" s="126">
        <f t="shared" si="52"/>
        <v>327702</v>
      </c>
      <c r="L22" s="126">
        <f t="shared" si="53"/>
        <v>327702</v>
      </c>
      <c r="M22" s="126">
        <f t="shared" si="54"/>
        <v>327702</v>
      </c>
      <c r="N22" s="126">
        <f t="shared" si="55"/>
        <v>327702</v>
      </c>
      <c r="O22" s="126">
        <f t="shared" si="56"/>
        <v>327702</v>
      </c>
      <c r="P22" s="126">
        <f t="shared" si="69"/>
        <v>327702</v>
      </c>
      <c r="Q22" s="126">
        <f t="shared" si="5"/>
        <v>327702</v>
      </c>
      <c r="R22" s="126">
        <f t="shared" si="6"/>
        <v>327702</v>
      </c>
      <c r="S22" s="126">
        <f>IFERROR(IFERROR(VLOOKUP(C22,'Inchidere contur'!B:U,20-3,0),VLOOKUP(C22,'Inchidere contur'!G:U,15-3,0)),"eroare")</f>
        <v>0</v>
      </c>
      <c r="T22" s="126">
        <f>IFERROR(IFERROR(VLOOKUP(C22,'Inchidere contur'!B:U,20-2,0),VLOOKUP(C22,'Inchidere contur'!G:U,15-2,0)),"eroare")</f>
        <v>37318</v>
      </c>
      <c r="U22" s="126">
        <f t="shared" si="70"/>
        <v>37318</v>
      </c>
      <c r="V22" s="126">
        <f t="shared" si="71"/>
        <v>37318</v>
      </c>
      <c r="W22" s="126">
        <f>IFERROR(VLOOKUP(C22,Regularizare!B:AX,45,0),"eroare")</f>
        <v>0</v>
      </c>
      <c r="X22" s="126">
        <f>IFERROR(VLOOKUP(C22,Regularizare!B:AX,46,0),"eroare")+IFERROR(VLOOKUP(C22,Regularizare!B:AX,48,0),"eroare")</f>
        <v>0</v>
      </c>
      <c r="Y22" s="126">
        <f>IFERROR(VLOOKUP(C22,Regularizare!B:AX,47,0),"eroare")+IFERROR(VLOOKUP(C22,Regularizare!B:AX,49,0),"eroare")</f>
        <v>0</v>
      </c>
      <c r="Z22" s="126">
        <f t="shared" si="72"/>
        <v>0</v>
      </c>
      <c r="AA22" s="126">
        <f t="shared" si="7"/>
        <v>0</v>
      </c>
      <c r="AB22" s="126">
        <f t="shared" si="73"/>
        <v>0</v>
      </c>
      <c r="AC22" s="126">
        <f t="shared" si="74"/>
        <v>0</v>
      </c>
      <c r="AD22" s="126">
        <f t="shared" si="75"/>
        <v>0</v>
      </c>
      <c r="AE22" s="126">
        <f t="shared" si="76"/>
        <v>0</v>
      </c>
      <c r="AF22" s="126">
        <f t="shared" si="77"/>
        <v>0</v>
      </c>
      <c r="AG22" s="126">
        <f t="shared" si="63"/>
        <v>0</v>
      </c>
      <c r="AH22" s="126">
        <f t="shared" si="78"/>
        <v>0</v>
      </c>
      <c r="AI22" s="126">
        <f t="shared" si="9"/>
        <v>0</v>
      </c>
      <c r="AJ22" s="126">
        <f t="shared" si="10"/>
        <v>0</v>
      </c>
      <c r="AK22" s="126">
        <v>0</v>
      </c>
      <c r="AL22" s="126">
        <v>0</v>
      </c>
      <c r="AM22" s="126">
        <v>0</v>
      </c>
      <c r="AN22" s="126">
        <v>0</v>
      </c>
      <c r="AQ22" t="str">
        <f>VLOOKUP(AR22,'Date SPV'!$B$4:$D$25,3,FALSE)</f>
        <v>NRE Sibiu Shopping City SRL</v>
      </c>
      <c r="AR22" s="1" t="s">
        <v>18</v>
      </c>
      <c r="AS22" s="1">
        <v>19</v>
      </c>
      <c r="AT22" s="1">
        <f t="shared" si="11"/>
        <v>312565</v>
      </c>
      <c r="AU22" s="1">
        <f t="shared" si="12"/>
        <v>0</v>
      </c>
      <c r="AV22" s="1">
        <f t="shared" si="13"/>
        <v>0</v>
      </c>
      <c r="AW22" s="1">
        <f t="shared" si="14"/>
        <v>312565</v>
      </c>
      <c r="AX22" s="1">
        <f t="shared" si="15"/>
        <v>2953</v>
      </c>
      <c r="AY22" s="1">
        <f t="shared" si="16"/>
        <v>312565</v>
      </c>
      <c r="AZ22" s="1">
        <f t="shared" si="17"/>
        <v>312565</v>
      </c>
      <c r="BA22" s="1">
        <f t="shared" si="18"/>
        <v>312565</v>
      </c>
      <c r="BB22" s="1">
        <f t="shared" si="19"/>
        <v>312565</v>
      </c>
      <c r="BC22" s="1">
        <f t="shared" si="20"/>
        <v>312565</v>
      </c>
      <c r="BD22" s="1">
        <f t="shared" si="21"/>
        <v>312565</v>
      </c>
      <c r="BE22" s="1">
        <f t="shared" si="22"/>
        <v>312565</v>
      </c>
      <c r="BF22" s="1">
        <f t="shared" si="23"/>
        <v>309612</v>
      </c>
      <c r="BG22" s="1">
        <f t="shared" si="24"/>
        <v>309612</v>
      </c>
      <c r="BH22" s="1">
        <f t="shared" si="25"/>
        <v>188035</v>
      </c>
      <c r="BI22" s="1">
        <f t="shared" si="26"/>
        <v>0</v>
      </c>
      <c r="BJ22" s="1">
        <f t="shared" si="27"/>
        <v>0</v>
      </c>
      <c r="BK22" s="1">
        <f t="shared" si="28"/>
        <v>0</v>
      </c>
      <c r="BL22" s="1">
        <f t="shared" si="29"/>
        <v>0</v>
      </c>
      <c r="BM22" s="1">
        <f t="shared" si="30"/>
        <v>944</v>
      </c>
      <c r="BN22" s="1">
        <f t="shared" si="31"/>
        <v>292</v>
      </c>
      <c r="BO22" s="1">
        <f t="shared" si="32"/>
        <v>0</v>
      </c>
      <c r="BP22" s="1">
        <f t="shared" si="33"/>
        <v>0</v>
      </c>
      <c r="BQ22" s="1">
        <f t="shared" si="34"/>
        <v>0</v>
      </c>
      <c r="BR22" s="1">
        <f t="shared" si="35"/>
        <v>0</v>
      </c>
      <c r="BS22" s="1">
        <f t="shared" si="36"/>
        <v>0</v>
      </c>
      <c r="BT22" s="1">
        <f t="shared" si="37"/>
        <v>0</v>
      </c>
      <c r="BU22" s="1">
        <f t="shared" si="38"/>
        <v>0</v>
      </c>
      <c r="BV22" s="1">
        <f t="shared" si="39"/>
        <v>0</v>
      </c>
      <c r="BW22" s="1">
        <f t="shared" si="40"/>
        <v>0</v>
      </c>
      <c r="BX22" s="1">
        <f t="shared" si="41"/>
        <v>0</v>
      </c>
      <c r="BY22" s="1">
        <f t="shared" si="42"/>
        <v>0</v>
      </c>
      <c r="BZ22" s="1">
        <f t="shared" si="43"/>
        <v>0</v>
      </c>
      <c r="CA22" s="1">
        <f t="shared" si="44"/>
        <v>0</v>
      </c>
      <c r="CB22" s="1">
        <f t="shared" si="45"/>
        <v>0</v>
      </c>
      <c r="CC22" s="1">
        <f t="shared" si="46"/>
        <v>0</v>
      </c>
      <c r="CE22">
        <f>VLOOKUP(AR22,'Contorizare in SDI'!$T:$U,2,FALSE)</f>
        <v>188035</v>
      </c>
      <c r="CF22">
        <f t="shared" si="79"/>
        <v>0</v>
      </c>
      <c r="CG22">
        <f>SUMIF('Date masura OD'!$B:$B,AR22,'Date masura OD'!R:R)</f>
        <v>317281</v>
      </c>
      <c r="CH22">
        <f>VLOOKUP(AR22,'Inchidere contur'!$AP:$AQ,2,FALSE)</f>
        <v>4716</v>
      </c>
      <c r="CI22">
        <f t="shared" si="64"/>
        <v>312565</v>
      </c>
      <c r="CJ22">
        <f t="shared" si="48"/>
        <v>0</v>
      </c>
    </row>
    <row r="23" spans="1:92">
      <c r="A23" s="17">
        <v>20</v>
      </c>
      <c r="B23" s="17" t="str">
        <f t="shared" si="49"/>
        <v>RPSC</v>
      </c>
      <c r="C23" s="198" t="s">
        <v>577</v>
      </c>
      <c r="D23" s="198" t="str">
        <f>IFERROR(VLOOKUP(C23,'Inchidere contur'!B:U,20,0),VLOOKUP(C23,'Inchidere contur'!G:U,15,0))</f>
        <v>JT_SDI</v>
      </c>
      <c r="E23" s="126">
        <f>IFERROR(IFERROR(VLOOKUP(C23,'Inchidere contur'!B:U,20-4,0),VLOOKUP(C23,'Inchidere contur'!G:U,15-4,0)),"eroare")</f>
        <v>157635</v>
      </c>
      <c r="F23" s="200">
        <v>0</v>
      </c>
      <c r="G23" s="200">
        <v>0</v>
      </c>
      <c r="H23" s="126">
        <f t="shared" si="68"/>
        <v>157635</v>
      </c>
      <c r="I23" s="126">
        <f t="shared" si="3"/>
        <v>0</v>
      </c>
      <c r="J23" s="126">
        <f t="shared" si="51"/>
        <v>157635</v>
      </c>
      <c r="K23" s="126">
        <f t="shared" si="52"/>
        <v>157635</v>
      </c>
      <c r="L23" s="126">
        <f t="shared" si="53"/>
        <v>157635</v>
      </c>
      <c r="M23" s="126">
        <f t="shared" si="54"/>
        <v>157635</v>
      </c>
      <c r="N23" s="126">
        <f t="shared" si="55"/>
        <v>157635</v>
      </c>
      <c r="O23" s="126">
        <f t="shared" si="56"/>
        <v>157635</v>
      </c>
      <c r="P23" s="126">
        <f t="shared" si="69"/>
        <v>157635</v>
      </c>
      <c r="Q23" s="126">
        <f t="shared" si="5"/>
        <v>157635</v>
      </c>
      <c r="R23" s="126">
        <f t="shared" si="6"/>
        <v>157635</v>
      </c>
      <c r="S23" s="126">
        <f>IFERROR(IFERROR(VLOOKUP(C23,'Inchidere contur'!B:U,20-3,0),VLOOKUP(C23,'Inchidere contur'!G:U,15-3,0)),"eroare")</f>
        <v>133343</v>
      </c>
      <c r="T23" s="126">
        <f>IFERROR(IFERROR(VLOOKUP(C23,'Inchidere contur'!B:U,20-2,0),VLOOKUP(C23,'Inchidere contur'!G:U,15-2,0)),"eroare")</f>
        <v>0</v>
      </c>
      <c r="U23" s="126">
        <f t="shared" si="70"/>
        <v>0</v>
      </c>
      <c r="V23" s="126">
        <f t="shared" si="71"/>
        <v>0</v>
      </c>
      <c r="W23" s="126">
        <f>IFERROR(VLOOKUP(C23,Regularizare!B:AX,45,0),"eroare")</f>
        <v>0</v>
      </c>
      <c r="X23" s="126">
        <f>IFERROR(VLOOKUP(C23,Regularizare!B:AX,46,0),"eroare")+IFERROR(VLOOKUP(C23,Regularizare!B:AX,48,0),"eroare")</f>
        <v>0</v>
      </c>
      <c r="Y23" s="126">
        <f>IFERROR(VLOOKUP(C23,Regularizare!B:AX,47,0),"eroare")+IFERROR(VLOOKUP(C23,Regularizare!B:AX,49,0),"eroare")</f>
        <v>0</v>
      </c>
      <c r="Z23" s="126">
        <f t="shared" si="72"/>
        <v>0</v>
      </c>
      <c r="AA23" s="126">
        <f t="shared" si="7"/>
        <v>0</v>
      </c>
      <c r="AB23" s="126">
        <f t="shared" si="73"/>
        <v>0</v>
      </c>
      <c r="AC23" s="126">
        <f t="shared" si="74"/>
        <v>0</v>
      </c>
      <c r="AD23" s="126">
        <f t="shared" si="75"/>
        <v>0</v>
      </c>
      <c r="AE23" s="126">
        <f t="shared" si="76"/>
        <v>0</v>
      </c>
      <c r="AF23" s="126">
        <f t="shared" si="77"/>
        <v>0</v>
      </c>
      <c r="AG23" s="126">
        <f t="shared" si="63"/>
        <v>0</v>
      </c>
      <c r="AH23" s="126">
        <f t="shared" si="78"/>
        <v>0</v>
      </c>
      <c r="AI23" s="126">
        <f t="shared" si="9"/>
        <v>0</v>
      </c>
      <c r="AJ23" s="126">
        <f t="shared" si="10"/>
        <v>0</v>
      </c>
      <c r="AK23" s="126">
        <v>0</v>
      </c>
      <c r="AL23" s="126">
        <v>0</v>
      </c>
      <c r="AM23" s="126">
        <v>0</v>
      </c>
      <c r="AN23" s="126">
        <v>0</v>
      </c>
      <c r="AQ23" t="str">
        <f>VLOOKUP(AR23,'Date SPV'!$B$4:$D$25,3,FALSE)</f>
        <v>Festival Shopping Center SRL</v>
      </c>
      <c r="AR23" s="1" t="s">
        <v>19</v>
      </c>
      <c r="AS23" s="1">
        <v>20</v>
      </c>
      <c r="AT23" s="1">
        <f t="shared" si="11"/>
        <v>870503</v>
      </c>
      <c r="AU23" s="1">
        <f t="shared" si="12"/>
        <v>0</v>
      </c>
      <c r="AV23" s="1">
        <f t="shared" si="13"/>
        <v>0</v>
      </c>
      <c r="AW23" s="1">
        <f t="shared" si="14"/>
        <v>870503</v>
      </c>
      <c r="AX23" s="1">
        <f t="shared" si="15"/>
        <v>0</v>
      </c>
      <c r="AY23" s="1">
        <f t="shared" si="16"/>
        <v>870503</v>
      </c>
      <c r="AZ23" s="1">
        <f t="shared" si="17"/>
        <v>870503</v>
      </c>
      <c r="BA23" s="1">
        <f t="shared" si="18"/>
        <v>870503</v>
      </c>
      <c r="BB23" s="1">
        <f t="shared" si="19"/>
        <v>870503</v>
      </c>
      <c r="BC23" s="1">
        <f t="shared" si="20"/>
        <v>870503</v>
      </c>
      <c r="BD23" s="1">
        <f t="shared" si="21"/>
        <v>870503</v>
      </c>
      <c r="BE23" s="1">
        <f t="shared" si="22"/>
        <v>870503</v>
      </c>
      <c r="BF23" s="1">
        <f t="shared" si="23"/>
        <v>870503</v>
      </c>
      <c r="BG23" s="1">
        <f t="shared" si="24"/>
        <v>571669</v>
      </c>
      <c r="BH23" s="1">
        <f t="shared" si="25"/>
        <v>44103</v>
      </c>
      <c r="BI23" s="1">
        <f t="shared" si="26"/>
        <v>0</v>
      </c>
      <c r="BJ23" s="1">
        <f t="shared" si="27"/>
        <v>0</v>
      </c>
      <c r="BK23" s="1">
        <f t="shared" si="28"/>
        <v>0</v>
      </c>
      <c r="BL23" s="1">
        <f t="shared" si="29"/>
        <v>0</v>
      </c>
      <c r="BM23" s="1">
        <f t="shared" si="30"/>
        <v>0</v>
      </c>
      <c r="BN23" s="1">
        <f t="shared" si="31"/>
        <v>0</v>
      </c>
      <c r="BO23" s="1">
        <f t="shared" si="32"/>
        <v>0</v>
      </c>
      <c r="BP23" s="1">
        <f t="shared" si="33"/>
        <v>0</v>
      </c>
      <c r="BQ23" s="1">
        <f t="shared" si="34"/>
        <v>0</v>
      </c>
      <c r="BR23" s="1">
        <f t="shared" si="35"/>
        <v>0</v>
      </c>
      <c r="BS23" s="1">
        <f t="shared" si="36"/>
        <v>0</v>
      </c>
      <c r="BT23" s="1">
        <f t="shared" si="37"/>
        <v>0</v>
      </c>
      <c r="BU23" s="1">
        <f t="shared" si="38"/>
        <v>0</v>
      </c>
      <c r="BV23" s="1">
        <f t="shared" si="39"/>
        <v>0</v>
      </c>
      <c r="BW23" s="1">
        <f t="shared" si="40"/>
        <v>0</v>
      </c>
      <c r="BX23" s="1">
        <f t="shared" si="41"/>
        <v>0</v>
      </c>
      <c r="BY23" s="1">
        <f t="shared" si="42"/>
        <v>0</v>
      </c>
      <c r="BZ23" s="1">
        <f t="shared" si="43"/>
        <v>0</v>
      </c>
      <c r="CA23" s="1">
        <f t="shared" si="44"/>
        <v>0</v>
      </c>
      <c r="CB23" s="1">
        <f t="shared" si="45"/>
        <v>0</v>
      </c>
      <c r="CC23" s="1">
        <f t="shared" si="46"/>
        <v>0</v>
      </c>
      <c r="CE23">
        <f>VLOOKUP(AR23,'Contorizare in SDI'!$T:$U,2,FALSE)</f>
        <v>44103</v>
      </c>
      <c r="CF23">
        <f t="shared" si="79"/>
        <v>0</v>
      </c>
      <c r="CG23">
        <f>SUMIF('Date masura OD'!$B:$B,AR23,'Date masura OD'!R:R)</f>
        <v>883760</v>
      </c>
      <c r="CH23">
        <f>VLOOKUP(AR23,'Inchidere contur'!$AP:$AQ,2,FALSE)</f>
        <v>13257</v>
      </c>
      <c r="CI23">
        <f t="shared" si="64"/>
        <v>870503</v>
      </c>
      <c r="CJ23">
        <f t="shared" si="48"/>
        <v>0</v>
      </c>
    </row>
    <row r="24" spans="1:92">
      <c r="A24" s="17">
        <v>20</v>
      </c>
      <c r="B24" s="17" t="str">
        <f t="shared" si="49"/>
        <v>RPSC</v>
      </c>
      <c r="C24" s="198" t="s">
        <v>1188</v>
      </c>
      <c r="D24" s="198" t="str">
        <f>IFERROR(VLOOKUP(C24,'Inchidere contur'!B:U,20,0),VLOOKUP(C24,'Inchidere contur'!G:U,15,0))</f>
        <v>JT_SDI</v>
      </c>
      <c r="E24" s="126">
        <f>IFERROR(IFERROR(VLOOKUP(C24,'Inchidere contur'!B:U,20-4,0),VLOOKUP(C24,'Inchidere contur'!G:U,15-4,0)),"eroare")</f>
        <v>134681</v>
      </c>
      <c r="F24" s="200">
        <v>0</v>
      </c>
      <c r="G24" s="200">
        <v>0</v>
      </c>
      <c r="H24" s="126">
        <f t="shared" si="68"/>
        <v>134681</v>
      </c>
      <c r="I24" s="126">
        <f t="shared" si="3"/>
        <v>0</v>
      </c>
      <c r="J24" s="126">
        <f t="shared" si="51"/>
        <v>134681</v>
      </c>
      <c r="K24" s="126">
        <f t="shared" si="52"/>
        <v>134681</v>
      </c>
      <c r="L24" s="126">
        <f t="shared" si="53"/>
        <v>134681</v>
      </c>
      <c r="M24" s="126">
        <f t="shared" si="54"/>
        <v>134681</v>
      </c>
      <c r="N24" s="126">
        <f t="shared" si="55"/>
        <v>134681</v>
      </c>
      <c r="O24" s="126">
        <f t="shared" si="56"/>
        <v>134681</v>
      </c>
      <c r="P24" s="126">
        <f t="shared" si="69"/>
        <v>134681</v>
      </c>
      <c r="Q24" s="126">
        <f t="shared" si="5"/>
        <v>134681</v>
      </c>
      <c r="R24" s="126">
        <f t="shared" si="6"/>
        <v>134681</v>
      </c>
      <c r="S24" s="126">
        <f>IFERROR(IFERROR(VLOOKUP(C24,'Inchidere contur'!B:U,20-3,0),VLOOKUP(C24,'Inchidere contur'!G:U,15-3,0)),"eroare")</f>
        <v>49849.500000000036</v>
      </c>
      <c r="T24" s="126">
        <f>IFERROR(IFERROR(VLOOKUP(C24,'Inchidere contur'!B:U,20-2,0),VLOOKUP(C24,'Inchidere contur'!G:U,15-2,0)),"eroare")</f>
        <v>0</v>
      </c>
      <c r="U24" s="126">
        <f t="shared" si="70"/>
        <v>0</v>
      </c>
      <c r="V24" s="126">
        <f t="shared" si="71"/>
        <v>0</v>
      </c>
      <c r="W24" s="126">
        <f>IFERROR(VLOOKUP(C24,Regularizare!B:AX,45,0),"eroare")</f>
        <v>1</v>
      </c>
      <c r="X24" s="126">
        <f>IFERROR(VLOOKUP(C24,Regularizare!B:AX,46,0),"eroare")+IFERROR(VLOOKUP(C24,Regularizare!B:AX,48,0),"eroare")</f>
        <v>0</v>
      </c>
      <c r="Y24" s="126">
        <f>IFERROR(VLOOKUP(C24,Regularizare!B:AX,47,0),"eroare")+IFERROR(VLOOKUP(C24,Regularizare!B:AX,49,0),"eroare")</f>
        <v>0</v>
      </c>
      <c r="Z24" s="126">
        <f t="shared" si="72"/>
        <v>1</v>
      </c>
      <c r="AA24" s="126">
        <f t="shared" si="7"/>
        <v>0</v>
      </c>
      <c r="AB24" s="126">
        <f t="shared" ref="AB24" si="80">Z24</f>
        <v>1</v>
      </c>
      <c r="AC24" s="126">
        <f t="shared" ref="AC24" si="81">Z24</f>
        <v>1</v>
      </c>
      <c r="AD24" s="126">
        <f t="shared" ref="AD24" si="82">Z24</f>
        <v>1</v>
      </c>
      <c r="AE24" s="126">
        <f t="shared" ref="AE24" si="83">Z24</f>
        <v>1</v>
      </c>
      <c r="AF24" s="126">
        <f t="shared" ref="AF24" si="84">Z24</f>
        <v>1</v>
      </c>
      <c r="AG24" s="126">
        <f t="shared" ref="AG24" si="85">Z24</f>
        <v>1</v>
      </c>
      <c r="AH24" s="126">
        <f t="shared" ref="AH24" si="86">Z24</f>
        <v>1</v>
      </c>
      <c r="AI24" s="126">
        <f t="shared" si="9"/>
        <v>1</v>
      </c>
      <c r="AJ24" s="126">
        <f t="shared" si="10"/>
        <v>1</v>
      </c>
      <c r="AK24" s="126">
        <v>0</v>
      </c>
      <c r="AL24" s="126">
        <v>0</v>
      </c>
      <c r="AM24" s="126">
        <v>0</v>
      </c>
      <c r="AN24" s="126">
        <v>0</v>
      </c>
      <c r="AQ24" t="str">
        <f>VLOOKUP(AR24,'Date SPV'!$B$4:$D$25,3,FALSE)</f>
        <v>Targu Mures Shopping City SRL</v>
      </c>
      <c r="AR24" s="1" t="s">
        <v>20</v>
      </c>
      <c r="AS24" s="1">
        <v>21</v>
      </c>
      <c r="AT24" s="1">
        <f>SUMIF(B:B,AR24,E:E)</f>
        <v>670016</v>
      </c>
      <c r="AU24" s="1">
        <f>SUMIF(B:B,AR24,F:F)</f>
        <v>0</v>
      </c>
      <c r="AV24" s="1">
        <f>SUMIF(B:B,AR24,G:G)</f>
        <v>0</v>
      </c>
      <c r="AW24" s="1">
        <f>SUMIF(B:B,AR24,H:H)</f>
        <v>670016</v>
      </c>
      <c r="AX24" s="1">
        <f>SUMIF(B:B,AR24,I:I)</f>
        <v>0</v>
      </c>
      <c r="AY24" s="1">
        <f>SUMIF(B:B,AR24,J:J)</f>
        <v>670016</v>
      </c>
      <c r="AZ24" s="1">
        <f>SUMIF(B:B,AR24,K:K)</f>
        <v>670016</v>
      </c>
      <c r="BA24" s="1">
        <f>SUMIF(B:B,AR24,L:L)</f>
        <v>670016</v>
      </c>
      <c r="BB24" s="1">
        <f>SUMIF(B:B,AR24,M:M)</f>
        <v>670016</v>
      </c>
      <c r="BC24" s="1">
        <f>SUMIF(B:B,AR24,N:N)</f>
        <v>670016</v>
      </c>
      <c r="BD24" s="1">
        <f>SUMIF(B:B,AR24,O:O)</f>
        <v>670016</v>
      </c>
      <c r="BE24" s="1">
        <f>SUMIF(B:B,AR24,P:P)</f>
        <v>670016</v>
      </c>
      <c r="BF24" s="1">
        <f>SUMIF(B:B,AR24,Q:Q)</f>
        <v>670016</v>
      </c>
      <c r="BG24" s="1">
        <f>SUMIF(B:B,AR24,R:R)</f>
        <v>670016</v>
      </c>
      <c r="BH24" s="1">
        <f>SUMIF(B:B,AR24,S:S)</f>
        <v>42472</v>
      </c>
      <c r="BI24" s="1">
        <f>SUMIF(B:B,AR24,T:T)</f>
        <v>0</v>
      </c>
      <c r="BJ24" s="1">
        <f>SUMIF(B:B,AR24,U:U)</f>
        <v>0</v>
      </c>
      <c r="BK24" s="1">
        <f>SUMIF(B:B,AR24,V:V)</f>
        <v>0</v>
      </c>
      <c r="BL24" s="1">
        <f>SUMIF(B:B,AR24,W:W)</f>
        <v>0</v>
      </c>
      <c r="BM24" s="1">
        <f>SUMIF(B:B,AR24,X:X)</f>
        <v>0</v>
      </c>
      <c r="BN24" s="1">
        <f>SUMIF(B:B,AR24,Y:Y)</f>
        <v>0</v>
      </c>
      <c r="BO24" s="1">
        <f>SUMIF(B:B,AR24,Z:Z)</f>
        <v>0</v>
      </c>
      <c r="BP24" s="1">
        <f>SUMIF(B:B,AR24,AA:AA)</f>
        <v>0</v>
      </c>
      <c r="BQ24" s="1">
        <f>SUMIF(B:B,AR24,AB:AB)</f>
        <v>0</v>
      </c>
      <c r="BR24" s="1">
        <f>SUMIF(B:B,AR24,AC:AC)</f>
        <v>0</v>
      </c>
      <c r="BS24" s="1">
        <f>SUMIF(B:B,AR24,AD:AD)</f>
        <v>0</v>
      </c>
      <c r="BT24" s="1">
        <f>SUMIF(B:B,AR24,AE:AE)</f>
        <v>0</v>
      </c>
      <c r="BU24" s="1">
        <f>SUMIF(B:B,AR24,AF:AF)</f>
        <v>0</v>
      </c>
      <c r="BV24" s="1">
        <f>SUMIF(B:B,AR24,AG:AG)</f>
        <v>0</v>
      </c>
      <c r="BW24" s="1">
        <f>SUMIF(B:B,AR24,AH:AH)</f>
        <v>0</v>
      </c>
      <c r="BX24" s="1">
        <f>SUMIF(B:B,AR24,AI:AI)</f>
        <v>0</v>
      </c>
      <c r="BY24" s="1">
        <f>SUMIF(B:B,AR24,AJ:AJ)</f>
        <v>0</v>
      </c>
      <c r="BZ24" s="1">
        <f>SUMIF(B:B,AR24,AK:AK)</f>
        <v>0</v>
      </c>
      <c r="CA24" s="1">
        <f>SUMIF(B:B,AR24,AL:AL)</f>
        <v>0</v>
      </c>
      <c r="CB24" s="1">
        <f>SUMIF(B:B,AR24,AM:AM)</f>
        <v>0</v>
      </c>
      <c r="CC24" s="1">
        <f>SUMIF(B:B,AR24,AN:AN)</f>
        <v>0</v>
      </c>
    </row>
    <row r="25" spans="1:92">
      <c r="A25" s="17">
        <v>20</v>
      </c>
      <c r="B25" s="17" t="str">
        <f t="shared" si="49"/>
        <v>RPSC</v>
      </c>
      <c r="C25" s="198" t="s">
        <v>578</v>
      </c>
      <c r="D25" s="198" t="str">
        <f>IFERROR(VLOOKUP(C25,'Inchidere contur'!B:U,20,0),VLOOKUP(C25,'Inchidere contur'!G:U,15,0))</f>
        <v>JT_SDI</v>
      </c>
      <c r="E25" s="126">
        <f>IFERROR(IFERROR(VLOOKUP(C25,'Inchidere contur'!B:U,20-4,0),VLOOKUP(C25,'Inchidere contur'!G:U,15-4,0)),"eroare")</f>
        <v>0</v>
      </c>
      <c r="F25" s="200">
        <v>0</v>
      </c>
      <c r="G25" s="200">
        <v>0</v>
      </c>
      <c r="H25" s="126">
        <f t="shared" si="68"/>
        <v>0</v>
      </c>
      <c r="I25" s="126">
        <f t="shared" si="3"/>
        <v>0</v>
      </c>
      <c r="J25" s="126">
        <f t="shared" si="51"/>
        <v>0</v>
      </c>
      <c r="K25" s="126">
        <f t="shared" si="52"/>
        <v>0</v>
      </c>
      <c r="L25" s="126">
        <f t="shared" si="53"/>
        <v>0</v>
      </c>
      <c r="M25" s="126">
        <f t="shared" si="54"/>
        <v>0</v>
      </c>
      <c r="N25" s="126">
        <f t="shared" si="55"/>
        <v>0</v>
      </c>
      <c r="O25" s="126">
        <f t="shared" si="56"/>
        <v>0</v>
      </c>
      <c r="P25" s="126">
        <f t="shared" si="69"/>
        <v>0</v>
      </c>
      <c r="Q25" s="126">
        <f t="shared" si="5"/>
        <v>0</v>
      </c>
      <c r="R25" s="126">
        <f t="shared" si="6"/>
        <v>0</v>
      </c>
      <c r="S25" s="126">
        <f>IFERROR(IFERROR(VLOOKUP(C25,'Inchidere contur'!B:U,20-3,0),VLOOKUP(C25,'Inchidere contur'!G:U,15-3,0)),"eroare")</f>
        <v>0</v>
      </c>
      <c r="T25" s="126">
        <f>IFERROR(IFERROR(VLOOKUP(C25,'Inchidere contur'!B:U,20-2,0),VLOOKUP(C25,'Inchidere contur'!G:U,15-2,0)),"eroare")</f>
        <v>0</v>
      </c>
      <c r="U25" s="126">
        <f t="shared" si="70"/>
        <v>0</v>
      </c>
      <c r="V25" s="126">
        <f t="shared" si="71"/>
        <v>0</v>
      </c>
      <c r="W25" s="126">
        <f>IFERROR(VLOOKUP(C25,Regularizare!B:AX,45,0),"eroare")</f>
        <v>0</v>
      </c>
      <c r="X25" s="126">
        <f>IFERROR(VLOOKUP(C25,Regularizare!B:AX,46,0),"eroare")+IFERROR(VLOOKUP(C25,Regularizare!B:AX,48,0),"eroare")</f>
        <v>0</v>
      </c>
      <c r="Y25" s="126">
        <f>IFERROR(VLOOKUP(C25,Regularizare!B:AX,47,0),"eroare")+IFERROR(VLOOKUP(C25,Regularizare!B:AX,49,0),"eroare")</f>
        <v>0</v>
      </c>
      <c r="Z25" s="126">
        <f t="shared" si="72"/>
        <v>0</v>
      </c>
      <c r="AA25" s="126">
        <f t="shared" si="7"/>
        <v>0</v>
      </c>
      <c r="AB25" s="126">
        <f t="shared" si="73"/>
        <v>0</v>
      </c>
      <c r="AC25" s="126">
        <f t="shared" si="74"/>
        <v>0</v>
      </c>
      <c r="AD25" s="126">
        <f t="shared" si="75"/>
        <v>0</v>
      </c>
      <c r="AE25" s="126">
        <f t="shared" si="76"/>
        <v>0</v>
      </c>
      <c r="AF25" s="126">
        <f t="shared" si="77"/>
        <v>0</v>
      </c>
      <c r="AG25" s="126">
        <f t="shared" si="63"/>
        <v>0</v>
      </c>
      <c r="AH25" s="126">
        <f t="shared" si="78"/>
        <v>0</v>
      </c>
      <c r="AI25" s="126">
        <f t="shared" si="9"/>
        <v>0</v>
      </c>
      <c r="AJ25" s="126">
        <f t="shared" si="10"/>
        <v>0</v>
      </c>
      <c r="AK25" s="126">
        <v>0</v>
      </c>
      <c r="AL25" s="126">
        <v>0</v>
      </c>
      <c r="AM25" s="126">
        <v>0</v>
      </c>
      <c r="AN25" s="126">
        <v>0</v>
      </c>
      <c r="AQ25" t="str">
        <f>VLOOKUP(AR25,'Date SPV'!$B$4:$D$25,3,FALSE)</f>
        <v>General Building Management SRL</v>
      </c>
      <c r="AR25" s="1" t="s">
        <v>21</v>
      </c>
      <c r="AS25" s="1">
        <v>22</v>
      </c>
      <c r="AT25" s="1">
        <f>SUMIF(B:B,AR25,E:E)</f>
        <v>840199</v>
      </c>
      <c r="AU25" s="1">
        <f>SUMIF(B:B,AR25,F:F)</f>
        <v>0</v>
      </c>
      <c r="AV25" s="1">
        <f>SUMIF(B:B,AR25,G:G)</f>
        <v>0</v>
      </c>
      <c r="AW25" s="1">
        <f>SUMIF(B:B,AR25,H:H)</f>
        <v>840199</v>
      </c>
      <c r="AX25" s="1">
        <f>SUMIF(B:B,AR25,I:I)</f>
        <v>0</v>
      </c>
      <c r="AY25" s="1">
        <f>SUMIF(B:B,AR25,J:J)</f>
        <v>840199</v>
      </c>
      <c r="AZ25" s="1">
        <f>SUMIF(B:B,AR25,K:K)</f>
        <v>840199</v>
      </c>
      <c r="BA25" s="1">
        <f>SUMIF(B:B,AR25,L:L)</f>
        <v>840199</v>
      </c>
      <c r="BB25" s="1">
        <f>SUMIF(B:B,AR25,M:M)</f>
        <v>840199</v>
      </c>
      <c r="BC25" s="1">
        <f>SUMIF(B:B,AR25,N:N)</f>
        <v>840199</v>
      </c>
      <c r="BD25" s="1">
        <f>SUMIF(B:B,AR25,O:O)</f>
        <v>840199</v>
      </c>
      <c r="BE25" s="1">
        <f>SUMIF(B:B,AR25,P:P)</f>
        <v>840199</v>
      </c>
      <c r="BF25" s="1">
        <f>SUMIF(B:B,AR25,Q:Q)</f>
        <v>840199</v>
      </c>
      <c r="BG25" s="1">
        <f>SUMIF(B:B,AR25,R:R)</f>
        <v>840199</v>
      </c>
      <c r="BH25" s="1">
        <f>SUMIF(B:B,AR25,S:S)</f>
        <v>349352</v>
      </c>
      <c r="BI25" s="1">
        <f>SUMIF(B:B,AR25,T:T)</f>
        <v>126303</v>
      </c>
      <c r="BJ25" s="1">
        <f>SUMIF(B:B,AR25,U:U)</f>
        <v>126303</v>
      </c>
      <c r="BK25" s="1">
        <f>SUMIF(B:B,AR25,V:V)</f>
        <v>126303</v>
      </c>
      <c r="BL25" s="1">
        <f>SUMIF(B:B,AR25,W:W)</f>
        <v>0</v>
      </c>
      <c r="BM25" s="1">
        <f>SUMIF(B:B,AR25,X:X)</f>
        <v>2819</v>
      </c>
      <c r="BN25" s="1">
        <f>SUMIF(B:B,AR25,Y:Y)</f>
        <v>5957</v>
      </c>
      <c r="BO25" s="1">
        <f>SUMIF(B:B,AR25,Z:Z)</f>
        <v>0</v>
      </c>
      <c r="BP25" s="1">
        <f>SUMIF(B:B,AR25,AA:AA)</f>
        <v>0</v>
      </c>
      <c r="BQ25" s="1">
        <f>SUMIF(B:B,AR25,AB:AB)</f>
        <v>0</v>
      </c>
      <c r="BR25" s="1">
        <f>SUMIF(B:B,AR25,AC:AC)</f>
        <v>0</v>
      </c>
      <c r="BS25" s="1">
        <f>SUMIF(B:B,AR25,AD:AD)</f>
        <v>0</v>
      </c>
      <c r="BT25" s="1">
        <f>SUMIF(B:B,AR25,AE:AE)</f>
        <v>0</v>
      </c>
      <c r="BU25" s="1">
        <f>SUMIF(B:B,AR25,AF:AF)</f>
        <v>0</v>
      </c>
      <c r="BV25" s="1">
        <f>SUMIF(B:B,AR25,AG:AG)</f>
        <v>0</v>
      </c>
      <c r="BW25" s="1">
        <f>SUMIF(B:B,AR25,AH:AH)</f>
        <v>0</v>
      </c>
      <c r="BX25" s="1">
        <f>SUMIF(B:B,AR25,AI:AI)</f>
        <v>0</v>
      </c>
      <c r="BY25" s="1">
        <f>SUMIF(B:B,AR25,AJ:AJ)</f>
        <v>0</v>
      </c>
      <c r="BZ25" s="1">
        <f>SUMIF(B:B,AR25,AK:AK)</f>
        <v>0</v>
      </c>
      <c r="CA25" s="1">
        <f>SUMIF(B:B,AR25,AL:AL)</f>
        <v>0</v>
      </c>
      <c r="CB25" s="1">
        <f>SUMIF(B:B,AR25,AM:AM)</f>
        <v>0</v>
      </c>
      <c r="CC25" s="1">
        <f>SUMIF(B:B,AR25,AN:AN)</f>
        <v>0</v>
      </c>
      <c r="CE25">
        <f>VLOOKUP(AR25,'Contorizare in SDI'!$T:$U,2,FALSE)</f>
        <v>475655</v>
      </c>
      <c r="CF25">
        <f t="shared" si="79"/>
        <v>0</v>
      </c>
      <c r="CG25">
        <f>SUMIF('Date masura OD'!$B:$B,AR25,'Date masura OD'!R:R)</f>
        <v>852995</v>
      </c>
      <c r="CH25">
        <f>VLOOKUP(AR25,'Inchidere contur'!$AP:$AQ,2,FALSE)</f>
        <v>12796</v>
      </c>
      <c r="CI25">
        <f t="shared" si="64"/>
        <v>840199</v>
      </c>
      <c r="CJ25">
        <f t="shared" si="48"/>
        <v>0</v>
      </c>
    </row>
    <row r="26" spans="1:92">
      <c r="A26" s="17">
        <v>20</v>
      </c>
      <c r="B26" s="17" t="str">
        <f t="shared" si="49"/>
        <v>RPSC</v>
      </c>
      <c r="C26" s="198" t="s">
        <v>579</v>
      </c>
      <c r="D26" s="198" t="str">
        <f>IFERROR(VLOOKUP(C26,'Inchidere contur'!B:U,20,0),VLOOKUP(C26,'Inchidere contur'!G:U,15,0))</f>
        <v>JT_SDI</v>
      </c>
      <c r="E26" s="126">
        <f>IFERROR(IFERROR(VLOOKUP(C26,'Inchidere contur'!B:U,20-4,0),VLOOKUP(C26,'Inchidere contur'!G:U,15-4,0)),"eroare")</f>
        <v>0</v>
      </c>
      <c r="F26" s="200">
        <v>0</v>
      </c>
      <c r="G26" s="200">
        <v>0</v>
      </c>
      <c r="H26" s="126">
        <f t="shared" si="68"/>
        <v>0</v>
      </c>
      <c r="I26" s="126">
        <f t="shared" si="3"/>
        <v>0</v>
      </c>
      <c r="J26" s="126">
        <f t="shared" si="51"/>
        <v>0</v>
      </c>
      <c r="K26" s="126">
        <f t="shared" si="52"/>
        <v>0</v>
      </c>
      <c r="L26" s="126">
        <f t="shared" si="53"/>
        <v>0</v>
      </c>
      <c r="M26" s="126">
        <f t="shared" si="54"/>
        <v>0</v>
      </c>
      <c r="N26" s="126">
        <f t="shared" si="55"/>
        <v>0</v>
      </c>
      <c r="O26" s="126">
        <f t="shared" si="56"/>
        <v>0</v>
      </c>
      <c r="P26" s="126">
        <f t="shared" si="69"/>
        <v>0</v>
      </c>
      <c r="Q26" s="126">
        <f t="shared" si="5"/>
        <v>0</v>
      </c>
      <c r="R26" s="126">
        <f t="shared" si="6"/>
        <v>0</v>
      </c>
      <c r="S26" s="126">
        <f>IFERROR(IFERROR(VLOOKUP(C26,'Inchidere contur'!B:U,20-3,0),VLOOKUP(C26,'Inchidere contur'!G:U,15-3,0)),"eroare")</f>
        <v>0</v>
      </c>
      <c r="T26" s="126">
        <f>IFERROR(IFERROR(VLOOKUP(C26,'Inchidere contur'!B:U,20-2,0),VLOOKUP(C26,'Inchidere contur'!G:U,15-2,0)),"eroare")</f>
        <v>0</v>
      </c>
      <c r="U26" s="126">
        <f t="shared" si="70"/>
        <v>0</v>
      </c>
      <c r="V26" s="126">
        <f t="shared" si="71"/>
        <v>0</v>
      </c>
      <c r="W26" s="126">
        <f>IFERROR(VLOOKUP(C26,Regularizare!B:AX,45,0),"eroare")</f>
        <v>0</v>
      </c>
      <c r="X26" s="126">
        <f>IFERROR(VLOOKUP(C26,Regularizare!B:AX,46,0),"eroare")+IFERROR(VLOOKUP(C26,Regularizare!B:AX,48,0),"eroare")</f>
        <v>0</v>
      </c>
      <c r="Y26" s="126">
        <f>IFERROR(VLOOKUP(C26,Regularizare!B:AX,47,0),"eroare")+IFERROR(VLOOKUP(C26,Regularizare!B:AX,49,0),"eroare")</f>
        <v>0</v>
      </c>
      <c r="Z26" s="126">
        <f t="shared" si="72"/>
        <v>0</v>
      </c>
      <c r="AA26" s="126">
        <f t="shared" si="7"/>
        <v>0</v>
      </c>
      <c r="AB26" s="126">
        <f t="shared" si="73"/>
        <v>0</v>
      </c>
      <c r="AC26" s="126">
        <f t="shared" si="74"/>
        <v>0</v>
      </c>
      <c r="AD26" s="126">
        <f t="shared" si="75"/>
        <v>0</v>
      </c>
      <c r="AE26" s="126">
        <f t="shared" si="76"/>
        <v>0</v>
      </c>
      <c r="AF26" s="126">
        <f t="shared" si="77"/>
        <v>0</v>
      </c>
      <c r="AG26" s="126">
        <f t="shared" si="63"/>
        <v>0</v>
      </c>
      <c r="AH26" s="126">
        <f t="shared" si="78"/>
        <v>0</v>
      </c>
      <c r="AI26" s="126">
        <f t="shared" si="9"/>
        <v>0</v>
      </c>
      <c r="AJ26" s="126">
        <f t="shared" si="10"/>
        <v>0</v>
      </c>
      <c r="AK26" s="126">
        <v>0</v>
      </c>
      <c r="AL26" s="126">
        <v>0</v>
      </c>
      <c r="AM26" s="126">
        <v>0</v>
      </c>
      <c r="AN26" s="126">
        <v>0</v>
      </c>
      <c r="AQ26" t="s">
        <v>1200</v>
      </c>
      <c r="AR26" s="1" t="s">
        <v>1221</v>
      </c>
      <c r="AS26" s="1">
        <v>23</v>
      </c>
      <c r="AT26" s="14">
        <f t="shared" ref="AT26:AT32" si="87">SUMIF(C:C,_xlfn.CONCAT(AR26,"_1"),E:E)+SUMIF(C:C,_xlfn.CONCAT(AR26,"_2"),E:E)+SUMIF(C:C,_xlfn.CONCAT(AR26,"_3"),E:E)+SUMIF(C:C,_xlfn.CONCAT(AR26,"_4"),E:E)+SUMIF(C:C,_xlfn.CONCAT(AR26,"_5"),E:E)+SUMIF(C:C,_xlfn.CONCAT(AR26,"_6"),E:E)</f>
        <v>13329</v>
      </c>
      <c r="AU26" s="14">
        <f t="shared" ref="AU26:AU32" si="88">SUMIF(C:C,_xlfn.CONCAT(AR26,"_1"),F:F)+SUMIF(C:C,_xlfn.CONCAT(AR26,"_2"),F:F)+SUMIF(C:C,_xlfn.CONCAT(AR26,"_3"),F:F)+SUMIF(C:C,_xlfn.CONCAT(AR26,"_4"),F:F)+SUMIF(C:C,_xlfn.CONCAT(AR26,"_5"),F:F)+SUMIF(C:C,_xlfn.CONCAT(AR26,"_6"),F:F)</f>
        <v>0</v>
      </c>
      <c r="AV26" s="14">
        <f t="shared" ref="AV26:AV32" si="89">SUMIF(C:C,_xlfn.CONCAT(AR26,"_1"),G:G)+SUMIF(C:C,_xlfn.CONCAT(AR26,"_2"),G:G)+SUMIF(C:C,_xlfn.CONCAT(AR26,"_3"),G:G)+SUMIF(C:C,_xlfn.CONCAT(AR26,"_4"),G:G)+SUMIF(C:C,_xlfn.CONCAT(AR26,"_5"),G:G)+SUMIF(C:C,_xlfn.CONCAT(AR26,"_6"),G:G)</f>
        <v>0</v>
      </c>
      <c r="AW26" s="14">
        <f t="shared" ref="AW26:AW32" si="90">SUMIF(C:C,_xlfn.CONCAT(AR26,"_1"),H:H)+SUMIF(C:C,_xlfn.CONCAT(AR26,"_2"),H:H)+SUMIF(C:C,_xlfn.CONCAT(AR26,"_3"),H:H)+SUMIF(C:C,_xlfn.CONCAT(AR26,"_4"),H:H)+SUMIF(C:C,_xlfn.CONCAT(AR26,"_5"),H:H)+SUMIF(C:C,_xlfn.CONCAT(AR26,"_6"),H:H)</f>
        <v>13329</v>
      </c>
      <c r="AX26" s="14">
        <f t="shared" ref="AX26:AX32" si="91">SUMIF(C:C,_xlfn.CONCAT(AR26,"_1"),I:I)+SUMIF(C:C,_xlfn.CONCAT(AR26,"_2"),I:I)+SUMIF(C:C,_xlfn.CONCAT(AR26,"_3"),I:I)+SUMIF(C:C,_xlfn.CONCAT(AR26,"_4"),I:I)+SUMIF(C:C,_xlfn.CONCAT(AR26,"_5"),I:I)+SUMIF(C:C,_xlfn.CONCAT(AR26,"_6"),I:I)</f>
        <v>0</v>
      </c>
      <c r="AY26" s="14">
        <f t="shared" ref="AY26:AY32" si="92">SUMIF(C:C,_xlfn.CONCAT(AR26,"_1"),J:J)+SUMIF(C:C,_xlfn.CONCAT(AR26,"_2"),J:J)+SUMIF(C:C,_xlfn.CONCAT(AR26,"_3"),J:J)+SUMIF(C:C,_xlfn.CONCAT(AR26,"_4"),J:J)+SUMIF(C:C,_xlfn.CONCAT(AR26,"_5"),J:J)+SUMIF(C:C,_xlfn.CONCAT(AR26,"_6"),J:J)</f>
        <v>13329</v>
      </c>
      <c r="AZ26" s="14">
        <f t="shared" ref="AZ26:AZ32" si="93">SUMIF(C:C,_xlfn.CONCAT(AR26,"_1"),K:K)+SUMIF(C:C,_xlfn.CONCAT(AR26,"_2"),K:K)+SUMIF(C:C,_xlfn.CONCAT(AR26,"_3"),K:K)+SUMIF(C:C,_xlfn.CONCAT(AR26,"_4"),K:K)+SUMIF(C:C,_xlfn.CONCAT(AR26,"_5"),K:K)+SUMIF(C:C,_xlfn.CONCAT(AR26,"_6"),K:K)</f>
        <v>13329</v>
      </c>
      <c r="BA26" s="14">
        <f t="shared" ref="BA26:BA32" si="94">SUMIF(C:C,_xlfn.CONCAT(AR26,"_1"),L:L)+SUMIF(C:C,_xlfn.CONCAT(AR26,"_2"),L:L)+SUMIF(C:C,_xlfn.CONCAT(AR26,"_3"),L:L)+SUMIF(C:C,_xlfn.CONCAT(AR26,"_4"),L:L)+SUMIF(C:C,_xlfn.CONCAT(AR26,"_5"),L:L)+SUMIF(C:C,_xlfn.CONCAT(AR26,"_6"),L:L)</f>
        <v>13329</v>
      </c>
      <c r="BB26" s="14">
        <f t="shared" ref="BB26:BB32" si="95">SUMIF(C:C,_xlfn.CONCAT(AR26,"_1"),M:M)+SUMIF(C:C,_xlfn.CONCAT(AR26,"_2"),M:M)+SUMIF(C:C,_xlfn.CONCAT(AR26,"_3"),M:M)+SUMIF(C:C,_xlfn.CONCAT(AR26,"_4"),M:M)+SUMIF(C:C,_xlfn.CONCAT(AR26,"_5"),M:M)+SUMIF(C:C,_xlfn.CONCAT(AR26,"_6"),M:M)</f>
        <v>13329</v>
      </c>
      <c r="BC26" s="14">
        <f t="shared" ref="BC26:BC32" si="96">SUMIF(C:C,_xlfn.CONCAT(AR26,"_1"),N:N)+SUMIF(C:C,_xlfn.CONCAT(AR26,"_2"),N:N)+SUMIF(C:C,_xlfn.CONCAT(AR26,"_3"),N:N)+SUMIF(C:C,_xlfn.CONCAT(AR26,"_4"),N:N)+SUMIF(C:C,_xlfn.CONCAT(AR26,"_5"),N:N)+SUMIF(C:C,_xlfn.CONCAT(AR26,"_6"),N:N)</f>
        <v>13329</v>
      </c>
      <c r="BD26" s="14">
        <f t="shared" ref="BD26:BD32" si="97">SUMIF(C:C,_xlfn.CONCAT(AR26,"_1"),O:O)+SUMIF(C:C,_xlfn.CONCAT(AR26,"_2"),O:O)+SUMIF(C:C,_xlfn.CONCAT(AR26,"_3"),O:O)+SUMIF(C:C,_xlfn.CONCAT(AR26,"_4"),O:O)+SUMIF(C:C,_xlfn.CONCAT(AR26,"_5"),O:O)+SUMIF(C:C,_xlfn.CONCAT(AR26,"_6"),O:O)</f>
        <v>13329</v>
      </c>
      <c r="BE26" s="14">
        <f t="shared" ref="BE26:BE32" si="98">SUMIF(C:C,_xlfn.CONCAT(AR26,"_1"),P:P)+SUMIF(C:C,_xlfn.CONCAT(AR26,"_2"),P:P)+SUMIF(C:C,_xlfn.CONCAT(AR26,"_3"),P:P)+SUMIF(C:C,_xlfn.CONCAT(AR26,"_4"),P:P)+SUMIF(C:C,_xlfn.CONCAT(AR26,"_5"),P:P)+SUMIF(C:C,_xlfn.CONCAT(AR26,"_6"),P:P)</f>
        <v>13329</v>
      </c>
      <c r="BF26" s="14">
        <f t="shared" ref="BF26:BF32" si="99">SUMIF(C:C,_xlfn.CONCAT(AR26,"_1"),Q:Q)+SUMIF(C:C,_xlfn.CONCAT(AR26,"_2"),Q:Q)+SUMIF(C:C,_xlfn.CONCAT(AR26,"_3"),Q:Q)+SUMIF(C:C,_xlfn.CONCAT(AR26,"_4"),Q:Q)+SUMIF(C:C,_xlfn.CONCAT(AR26,"_5"),Q:Q)+SUMIF(C:C,_xlfn.CONCAT(AR26,"_6"),Q:Q)</f>
        <v>13329</v>
      </c>
      <c r="BG26" s="14">
        <f t="shared" ref="BG26:BG32" si="100">SUMIF(C:C,_xlfn.CONCAT(AR26,"_1"),R:R)+SUMIF(C:C,_xlfn.CONCAT(AR26,"_2"),R:R)+SUMIF(C:C,_xlfn.CONCAT(AR26,"_3"),R:R)+SUMIF(C:C,_xlfn.CONCAT(AR26,"_4"),R:R)+SUMIF(C:C,_xlfn.CONCAT(AR26,"_5"),R:R)+SUMIF(C:C,_xlfn.CONCAT(AR26,"_6"),R:R)</f>
        <v>13329</v>
      </c>
      <c r="BH26" s="14">
        <f t="shared" ref="BH26:BH32" si="101">SUMIF(C:C,_xlfn.CONCAT(AR26,"_1"),S:S)+SUMIF(C:C,_xlfn.CONCAT(AR26,"_2"),S:S)+SUMIF(C:C,_xlfn.CONCAT(AR26,"_3"),S:S)+SUMIF(C:C,_xlfn.CONCAT(AR26,"_4"),S:S)+SUMIF(C:C,_xlfn.CONCAT(AR26,"_5"),S:S)+SUMIF(C:C,_xlfn.CONCAT(AR26,"_6"),S:S)</f>
        <v>14978</v>
      </c>
      <c r="BI26" s="14">
        <f t="shared" ref="BI26:BI32" si="102">SUMIF(C:C,_xlfn.CONCAT(AR26,"_1"),T:T)+SUMIF(C:C,_xlfn.CONCAT(AR26,"_2"),T:T)+SUMIF(C:C,_xlfn.CONCAT(AR26,"_3"),T:T)+SUMIF(C:C,_xlfn.CONCAT(AR26,"_4"),T:T)+SUMIF(C:C,_xlfn.CONCAT(AR26,"_5"),T:T)+SUMIF(C:C,_xlfn.CONCAT(AR26,"_6"),T:T)</f>
        <v>0</v>
      </c>
      <c r="BJ26" s="14">
        <f t="shared" ref="BJ26:BJ32" si="103">SUMIF(C:C,_xlfn.CONCAT(AR26,"_1"),U:U)+SUMIF(C:C,_xlfn.CONCAT(AR26,"_2"),U:U)+SUMIF(C:C,_xlfn.CONCAT(AR26,"_3"),U:U)+SUMIF(C:C,_xlfn.CONCAT(AR26,"_4"),U:U)+SUMIF(C:C,_xlfn.CONCAT(AR26,"_5"),U:U)+SUMIF(C:C,_xlfn.CONCAT(AR26,"_6"),U:U)</f>
        <v>0</v>
      </c>
      <c r="BK26" s="14">
        <f t="shared" ref="BK26:BK32" si="104">SUMIF(C:C,_xlfn.CONCAT(AR26,"_1"),V:V)+SUMIF(C:C,_xlfn.CONCAT(AR26,"_2"),V:V)+SUMIF(C:C,_xlfn.CONCAT(AR26,"_3"),V:V)+SUMIF(C:C,_xlfn.CONCAT(AR26,"_4"),V:V)+SUMIF(C:C,_xlfn.CONCAT(AR26,"_5"),V:V)+SUMIF(C:C,_xlfn.CONCAT(AR26,"_6"),V:V)</f>
        <v>0</v>
      </c>
      <c r="BL26" s="14">
        <f t="shared" ref="BL26:BL32" si="105">SUMIF(C:C,_xlfn.CONCAT(AR26,"_1"),W:W)+SUMIF(C:C,_xlfn.CONCAT(AR26,"_2"),W:W)+SUMIF(C:C,_xlfn.CONCAT(AR26,"_3"),W:W)+SUMIF(C:C,_xlfn.CONCAT(AR26,"_4"),W:W)+SUMIF(C:C,_xlfn.CONCAT(AR26,"_5"),W:W)+SUMIF(C:C,_xlfn.CONCAT(AR26,"_6"),W:W)</f>
        <v>0</v>
      </c>
      <c r="BM26" s="14">
        <f t="shared" ref="BM26:BM32" si="106">SUMIF(C:C,_xlfn.CONCAT(AR26,"_1"),X:X)+SUMIF(C:C,_xlfn.CONCAT(AR26,"_2"),X:X)+SUMIF(C:C,_xlfn.CONCAT(AR26,"_3"),X:X)+SUMIF(C:C,_xlfn.CONCAT(AR26,"_4"),X:X)+SUMIF(C:C,_xlfn.CONCAT(AR26,"_5"),X:X)+SUMIF(C:C,_xlfn.CONCAT(AR26,"_6"),X:X)</f>
        <v>9</v>
      </c>
      <c r="BN26" s="14">
        <f t="shared" ref="BN26:BN32" si="107">SUMIF(C:C,_xlfn.CONCAT(AR26,"_1"),Y:Y)+SUMIF(C:C,_xlfn.CONCAT(AR26,"_2"),Y:Y)+SUMIF(C:C,_xlfn.CONCAT(AR26,"_3"),Y:Y)+SUMIF(C:C,_xlfn.CONCAT(AR26,"_4"),Y:Y)+SUMIF(C:C,_xlfn.CONCAT(AR26,"_5"),Y:Y)+SUMIF(C:C,_xlfn.CONCAT(AR26,"_6"),Y:Y)</f>
        <v>3</v>
      </c>
      <c r="BO26" s="14">
        <f t="shared" ref="BO26:BO32" si="108">SUMIF(C:C,_xlfn.CONCAT(AR26,"_1"),Z:Z)+SUMIF(C:C,_xlfn.CONCAT(AR26,"_2"),Z:Z)+SUMIF(C:C,_xlfn.CONCAT(AR26,"_3"),Z:Z)+SUMIF(C:C,_xlfn.CONCAT(AR26,"_4"),Z:Z)+SUMIF(C:C,_xlfn.CONCAT(AR26,"_5"),Z:Z)+SUMIF(C:C,_xlfn.CONCAT(AR26,"_6"),Z:Z)</f>
        <v>0</v>
      </c>
      <c r="BP26" s="14">
        <f t="shared" ref="BP26:BP32" si="109">SUMIF(C:C,_xlfn.CONCAT(AR26,"_1"),AA:AA)+SUMIF(C:C,_xlfn.CONCAT(AR26,"_2"),AA:AA)+SUMIF(C:C,_xlfn.CONCAT(AR26,"_3"),AA:AA)+SUMIF(C:C,_xlfn.CONCAT(AR26,"_4"),AA:AA)+SUMIF(C:C,_xlfn.CONCAT(AR26,"_5"),AA:AA)+SUMIF(C:C,_xlfn.CONCAT(AR26,"_6"),AA:AA)</f>
        <v>0</v>
      </c>
      <c r="BQ26" s="14">
        <f t="shared" ref="BQ26:BQ32" si="110">SUMIF(C:C,_xlfn.CONCAT(AR26,"_1"),AB:AB)+SUMIF(C:C,_xlfn.CONCAT(AR26,"_2"),AB:AB)+SUMIF(C:C,_xlfn.CONCAT(AR26,"_3"),AB:AB)+SUMIF(C:C,_xlfn.CONCAT(AR26,"_4"),AB:AB)+SUMIF(C:C,_xlfn.CONCAT(AR26,"_5"),AB:AB)+SUMIF(C:C,_xlfn.CONCAT(AR26,"_6"),AB:AB)</f>
        <v>0</v>
      </c>
      <c r="BR26" s="14">
        <f t="shared" ref="BR26:BR32" si="111">SUMIF(C:C,_xlfn.CONCAT(AR26,"_1"),AC:AC)+SUMIF(C:C,_xlfn.CONCAT(AR26,"_2"),AC:AC)+SUMIF(C:C,_xlfn.CONCAT(AR26,"_3"),AC:AC)+SUMIF(C:C,_xlfn.CONCAT(AR26,"_4"),AC:AC)+SUMIF(C:C,_xlfn.CONCAT(AR26,"_5"),AC:AC)+SUMIF(C:C,_xlfn.CONCAT(AR26,"_6"),AC:AC)</f>
        <v>0</v>
      </c>
      <c r="BS26" s="14">
        <f t="shared" ref="BS26:BS32" si="112">SUMIF(C:C,_xlfn.CONCAT(AR26,"_1"),AD:AD)+SUMIF(C:C,_xlfn.CONCAT(AR26,"_2"),AD:AD)+SUMIF(C:C,_xlfn.CONCAT(AR26,"_3"),AD:AD)+SUMIF(C:C,_xlfn.CONCAT(AR26,"_4"),AD:AD)+SUMIF(C:C,_xlfn.CONCAT(AR26,"_5"),AD:AD)+SUMIF(C:C,_xlfn.CONCAT(AR26,"_6"),AD:AD)</f>
        <v>0</v>
      </c>
      <c r="BT26" s="14">
        <f t="shared" ref="BT26:BT32" si="113">SUMIF(C:C,_xlfn.CONCAT(AR26,"_1"),AE:AE)+SUMIF(C:C,_xlfn.CONCAT(AR26,"_2"),AE:AE)+SUMIF(C:C,_xlfn.CONCAT(AR26,"_3"),AE:AE)+SUMIF(C:C,_xlfn.CONCAT(AR26,"_4"),AE:AE)+SUMIF(C:C,_xlfn.CONCAT(AR26,"_5"),AE:AE)+SUMIF(C:C,_xlfn.CONCAT(AR26,"_6"),AE:AE)</f>
        <v>0</v>
      </c>
      <c r="BU26" s="14">
        <f t="shared" ref="BU26:BU32" si="114">SUMIF(C:C,_xlfn.CONCAT(AR26,"_1"),AF:AF)+SUMIF(C:C,_xlfn.CONCAT(AR26,"_2"),AF:AF)+SUMIF(C:C,_xlfn.CONCAT(AR26,"_3"),AF:AF)+SUMIF(C:C,_xlfn.CONCAT(AR26,"_4"),AF:AF)+SUMIF(C:C,_xlfn.CONCAT(AR26,"_5"),AF:AF)+SUMIF(C:C,_xlfn.CONCAT(AR26,"_6"),AF:AF)</f>
        <v>0</v>
      </c>
      <c r="BV26" s="14">
        <f t="shared" ref="BV26:BV32" si="115">SUMIF(C:C,_xlfn.CONCAT(AR26,"_1"),AG:AG)+SUMIF(C:C,_xlfn.CONCAT(AR26,"_2"),AG:AG)+SUMIF(C:C,_xlfn.CONCAT(AR26,"_3"),AG:AG)+SUMIF(C:C,_xlfn.CONCAT(AR26,"_4"),AG:AG)+SUMIF(C:C,_xlfn.CONCAT(AR26,"_5"),AG:AG)+SUMIF(C:C,_xlfn.CONCAT(AR26,"_6"),AG:AG)</f>
        <v>0</v>
      </c>
      <c r="BW26" s="14">
        <f t="shared" ref="BW26:BW32" si="116">SUMIF(C:C,_xlfn.CONCAT(AR26,"_1"),AH:AH)+SUMIF(C:C,_xlfn.CONCAT(AR26,"_2"),AH:AH)+SUMIF(C:C,_xlfn.CONCAT(AR26,"_3"),AH:AH)+SUMIF(C:C,_xlfn.CONCAT(AR26,"_4"),AH:AH)+SUMIF(C:C,_xlfn.CONCAT(AR26,"_5"),AH:AH)+SUMIF(C:C,_xlfn.CONCAT(AR26,"_6"),AH:AH)</f>
        <v>0</v>
      </c>
      <c r="BX26" s="14">
        <f t="shared" ref="BX26:BX32" si="117">SUMIF(C:C,_xlfn.CONCAT(AR26,"_1"),AI:AI)+SUMIF(C:C,_xlfn.CONCAT(AR26,"_2"),AI:AI)+SUMIF(C:C,_xlfn.CONCAT(AR26,"_3"),AI:AI)+SUMIF(C:C,_xlfn.CONCAT(AR26,"_4"),AI:AI)+SUMIF(C:C,_xlfn.CONCAT(AR26,"_5"),AI:AI)+SUMIF(C:C,_xlfn.CONCAT(AR26,"_6"),AI:AI)</f>
        <v>0</v>
      </c>
      <c r="BY26" s="14">
        <f t="shared" ref="BY26:BY32" si="118">SUMIF(C:C,_xlfn.CONCAT(AR26,"_1"),AJ:AJ)+SUMIF(C:C,_xlfn.CONCAT(AR26,"_2"),AJ:AJ)+SUMIF(C:C,_xlfn.CONCAT(AR26,"_3"),AJ:AJ)+SUMIF(C:C,_xlfn.CONCAT(AR26,"_4"),AJ:AJ)+SUMIF(C:C,_xlfn.CONCAT(AR26,"_5"),AJ:AJ)+SUMIF(C:C,_xlfn.CONCAT(AR26,"_6"),AJ:AJ)</f>
        <v>0</v>
      </c>
      <c r="BZ26" s="14">
        <f t="shared" ref="BZ26:BZ32" si="119">SUMIF(C:C,_xlfn.CONCAT(AR26,"_1"),AK:AK)+SUMIF(C:C,_xlfn.CONCAT(AR26,"_2"),AK:AK)+SUMIF(C:C,_xlfn.CONCAT(AR26,"_3"),AK:AK)+SUMIF(C:C,_xlfn.CONCAT(AR26,"_4"),AK:AK)+SUMIF(C:C,_xlfn.CONCAT(AR26,"_5"),AK:AK)+SUMIF(C:C,_xlfn.CONCAT(AR26,"_6"),AK:AK)</f>
        <v>0</v>
      </c>
      <c r="CA26" s="14">
        <f t="shared" ref="CA26:CA32" si="120">SUMIF(C:C,_xlfn.CONCAT(AR26,"_1"),AL:AL)+SUMIF(C:C,_xlfn.CONCAT(AR26,"_2"),AL:AL)+SUMIF(C:C,_xlfn.CONCAT(AR26,"_3"),AL:AL)+SUMIF(C:C,_xlfn.CONCAT(AR26,"_4"),AL:AL)+SUMIF(C:C,_xlfn.CONCAT(AR26,"_5"),AL:AL)+SUMIF(C:C,_xlfn.CONCAT(AR26,"_6"),AL:AL)</f>
        <v>0</v>
      </c>
      <c r="CB26" s="14">
        <f t="shared" ref="CB26:CB32" si="121">SUMIF(C:C,_xlfn.CONCAT(AR26,"_1"),AM:AM)+SUMIF(C:C,_xlfn.CONCAT(AR26,"_2"),AM:AM)+SUMIF(C:C,_xlfn.CONCAT(AR26,"_3"),AM:AM)+SUMIF(C:C,_xlfn.CONCAT(AR26,"_4"),AM:AM)+SUMIF(C:C,_xlfn.CONCAT(AR26,"_5"),AM:AM)+SUMIF(C:C,_xlfn.CONCAT(AR26,"_6"),AM:AM)</f>
        <v>0</v>
      </c>
      <c r="CC26" s="14">
        <f t="shared" ref="CC26:CC32" si="122">SUMIF(C:C,_xlfn.CONCAT(AR26,"_1"),AN:AN)+SUMIF(C:C,_xlfn.CONCAT(AR26,"_2"),AN:AN)+SUMIF(C:C,_xlfn.CONCAT(AR26,"_3"),AN:AN)+SUMIF(C:C,_xlfn.CONCAT(AR26,"_4"),AN:AN)+SUMIF(C:C,_xlfn.CONCAT(AR26,"_5"),AN:AN)+SUMIF(C:C,_xlfn.CONCAT(AR26,"_6"),AN:AN)</f>
        <v>0</v>
      </c>
      <c r="CE26">
        <f>VLOOKUP(AR26,'Contorizare in SDI'!$T:$U,2,FALSE)</f>
        <v>28164</v>
      </c>
      <c r="CF26">
        <f t="shared" si="79"/>
        <v>13186</v>
      </c>
      <c r="CG26">
        <f>SUMIF('Date masura OD'!$B:$B,AR26,'Date masura OD'!R:R)</f>
        <v>13532</v>
      </c>
      <c r="CH26">
        <f>VLOOKUP(AR26,'Inchidere contur'!$AP:$AQ,2,FALSE)</f>
        <v>203</v>
      </c>
      <c r="CI26">
        <f t="shared" si="64"/>
        <v>13329</v>
      </c>
      <c r="CJ26">
        <f t="shared" si="48"/>
        <v>0</v>
      </c>
    </row>
    <row r="27" spans="1:92">
      <c r="A27" s="17">
        <v>20</v>
      </c>
      <c r="B27" s="17" t="str">
        <f t="shared" si="49"/>
        <v>RSCP</v>
      </c>
      <c r="C27" s="198" t="s">
        <v>580</v>
      </c>
      <c r="D27" s="198" t="str">
        <f>IFERROR(VLOOKUP(C27,'Inchidere contur'!B:U,20,0),VLOOKUP(C27,'Inchidere contur'!G:U,15,0))</f>
        <v>JT_SDI</v>
      </c>
      <c r="E27" s="126">
        <f>IFERROR(IFERROR(VLOOKUP(C27,'Inchidere contur'!B:U,20-4,0),VLOOKUP(C27,'Inchidere contur'!G:U,15-4,0)),"eroare")</f>
        <v>195293</v>
      </c>
      <c r="F27" s="200">
        <v>0</v>
      </c>
      <c r="G27" s="200">
        <v>0</v>
      </c>
      <c r="H27" s="126">
        <f t="shared" si="68"/>
        <v>195293</v>
      </c>
      <c r="I27" s="126">
        <f t="shared" si="3"/>
        <v>0</v>
      </c>
      <c r="J27" s="126">
        <f t="shared" si="51"/>
        <v>195293</v>
      </c>
      <c r="K27" s="126">
        <f t="shared" si="52"/>
        <v>195293</v>
      </c>
      <c r="L27" s="126">
        <f t="shared" si="53"/>
        <v>195293</v>
      </c>
      <c r="M27" s="126">
        <f t="shared" si="54"/>
        <v>195293</v>
      </c>
      <c r="N27" s="126">
        <f t="shared" si="55"/>
        <v>195293</v>
      </c>
      <c r="O27" s="126">
        <f t="shared" si="56"/>
        <v>195293</v>
      </c>
      <c r="P27" s="126">
        <f t="shared" si="69"/>
        <v>195293</v>
      </c>
      <c r="Q27" s="126">
        <f t="shared" si="5"/>
        <v>195293</v>
      </c>
      <c r="R27" s="126">
        <f t="shared" si="6"/>
        <v>195293</v>
      </c>
      <c r="S27" s="126">
        <f>IFERROR(IFERROR(VLOOKUP(C27,'Inchidere contur'!B:U,20-3,0),VLOOKUP(C27,'Inchidere contur'!G:U,15-3,0)),"eroare")</f>
        <v>0</v>
      </c>
      <c r="T27" s="126">
        <f>IFERROR(IFERROR(VLOOKUP(C27,'Inchidere contur'!B:U,20-2,0),VLOOKUP(C27,'Inchidere contur'!G:U,15-2,0)),"eroare")</f>
        <v>16684</v>
      </c>
      <c r="U27" s="126">
        <f t="shared" si="70"/>
        <v>16684</v>
      </c>
      <c r="V27" s="126">
        <f t="shared" si="71"/>
        <v>16684</v>
      </c>
      <c r="W27" s="126">
        <f>IFERROR(VLOOKUP(C27,Regularizare!B:AX,45,0),"eroare")</f>
        <v>0</v>
      </c>
      <c r="X27" s="126">
        <f>IFERROR(VLOOKUP(C27,Regularizare!B:AX,46,0),"eroare")+IFERROR(VLOOKUP(C27,Regularizare!B:AX,48,0),"eroare")</f>
        <v>233</v>
      </c>
      <c r="Y27" s="126">
        <f>IFERROR(VLOOKUP(C27,Regularizare!B:AX,47,0),"eroare")+IFERROR(VLOOKUP(C27,Regularizare!B:AX,49,0),"eroare")</f>
        <v>40</v>
      </c>
      <c r="Z27" s="126">
        <f t="shared" si="72"/>
        <v>0</v>
      </c>
      <c r="AA27" s="126">
        <f t="shared" si="7"/>
        <v>0</v>
      </c>
      <c r="AB27" s="126">
        <f t="shared" si="73"/>
        <v>0</v>
      </c>
      <c r="AC27" s="126">
        <f t="shared" si="74"/>
        <v>0</v>
      </c>
      <c r="AD27" s="126">
        <f t="shared" si="75"/>
        <v>0</v>
      </c>
      <c r="AE27" s="126">
        <f t="shared" si="76"/>
        <v>0</v>
      </c>
      <c r="AF27" s="126">
        <f t="shared" si="77"/>
        <v>0</v>
      </c>
      <c r="AG27" s="126">
        <f t="shared" si="63"/>
        <v>0</v>
      </c>
      <c r="AH27" s="126">
        <f t="shared" si="78"/>
        <v>0</v>
      </c>
      <c r="AI27" s="126">
        <f t="shared" si="9"/>
        <v>0</v>
      </c>
      <c r="AJ27" s="126">
        <f t="shared" si="10"/>
        <v>0</v>
      </c>
      <c r="AK27" s="126">
        <v>0</v>
      </c>
      <c r="AL27" s="126">
        <v>0</v>
      </c>
      <c r="AM27" s="126">
        <v>0</v>
      </c>
      <c r="AN27" s="126">
        <v>0</v>
      </c>
      <c r="AQ27" t="s">
        <v>1200</v>
      </c>
      <c r="AR27" s="1" t="s">
        <v>1223</v>
      </c>
      <c r="AS27" s="1">
        <v>24</v>
      </c>
      <c r="AT27" s="14">
        <f t="shared" si="87"/>
        <v>6107</v>
      </c>
      <c r="AU27" s="14">
        <f t="shared" si="88"/>
        <v>0</v>
      </c>
      <c r="AV27" s="14">
        <f t="shared" si="89"/>
        <v>0</v>
      </c>
      <c r="AW27" s="14">
        <f t="shared" si="90"/>
        <v>6107</v>
      </c>
      <c r="AX27" s="14">
        <f t="shared" si="91"/>
        <v>0</v>
      </c>
      <c r="AY27" s="14">
        <f t="shared" si="92"/>
        <v>6107</v>
      </c>
      <c r="AZ27" s="14">
        <f t="shared" si="93"/>
        <v>6107</v>
      </c>
      <c r="BA27" s="14">
        <f t="shared" si="94"/>
        <v>6107</v>
      </c>
      <c r="BB27" s="14">
        <f t="shared" si="95"/>
        <v>6107</v>
      </c>
      <c r="BC27" s="14">
        <f t="shared" si="96"/>
        <v>6107</v>
      </c>
      <c r="BD27" s="14">
        <f t="shared" si="97"/>
        <v>6107</v>
      </c>
      <c r="BE27" s="14">
        <f t="shared" si="98"/>
        <v>6107</v>
      </c>
      <c r="BF27" s="14">
        <f t="shared" si="99"/>
        <v>6107</v>
      </c>
      <c r="BG27" s="14">
        <f t="shared" si="100"/>
        <v>6107</v>
      </c>
      <c r="BH27" s="14">
        <f t="shared" si="101"/>
        <v>11000</v>
      </c>
      <c r="BI27" s="14">
        <f t="shared" si="102"/>
        <v>0</v>
      </c>
      <c r="BJ27" s="14">
        <f t="shared" si="103"/>
        <v>0</v>
      </c>
      <c r="BK27" s="14">
        <f t="shared" si="104"/>
        <v>0</v>
      </c>
      <c r="BL27" s="14">
        <f t="shared" si="105"/>
        <v>0</v>
      </c>
      <c r="BM27" s="14">
        <f t="shared" si="106"/>
        <v>10</v>
      </c>
      <c r="BN27" s="14">
        <f t="shared" si="107"/>
        <v>15</v>
      </c>
      <c r="BO27" s="14">
        <f t="shared" si="108"/>
        <v>0</v>
      </c>
      <c r="BP27" s="14">
        <f t="shared" si="109"/>
        <v>0</v>
      </c>
      <c r="BQ27" s="14">
        <f t="shared" si="110"/>
        <v>0</v>
      </c>
      <c r="BR27" s="14">
        <f t="shared" si="111"/>
        <v>0</v>
      </c>
      <c r="BS27" s="14">
        <f t="shared" si="112"/>
        <v>0</v>
      </c>
      <c r="BT27" s="14">
        <f t="shared" si="113"/>
        <v>0</v>
      </c>
      <c r="BU27" s="14">
        <f t="shared" si="114"/>
        <v>0</v>
      </c>
      <c r="BV27" s="14">
        <f t="shared" si="115"/>
        <v>0</v>
      </c>
      <c r="BW27" s="14">
        <f t="shared" si="116"/>
        <v>0</v>
      </c>
      <c r="BX27" s="14">
        <f t="shared" si="117"/>
        <v>0</v>
      </c>
      <c r="BY27" s="14">
        <f t="shared" si="118"/>
        <v>0</v>
      </c>
      <c r="BZ27" s="14">
        <f t="shared" si="119"/>
        <v>0</v>
      </c>
      <c r="CA27" s="14">
        <f t="shared" si="120"/>
        <v>0</v>
      </c>
      <c r="CB27" s="14">
        <f t="shared" si="121"/>
        <v>0</v>
      </c>
      <c r="CC27" s="14">
        <f t="shared" si="122"/>
        <v>0</v>
      </c>
      <c r="CE27">
        <f>VLOOKUP(AR27,'Contorizare in SDI'!$T:$U,2,FALSE)</f>
        <v>31304</v>
      </c>
      <c r="CF27">
        <f t="shared" si="79"/>
        <v>20304</v>
      </c>
      <c r="CG27">
        <f>SUMIF('Date masura OD'!$B:$B,AR27,'Date masura OD'!R:R)</f>
        <v>6200</v>
      </c>
      <c r="CH27">
        <f>VLOOKUP(AR27,'Inchidere contur'!$AP:$AQ,2,FALSE)</f>
        <v>93</v>
      </c>
      <c r="CI27">
        <f t="shared" si="64"/>
        <v>6107</v>
      </c>
      <c r="CJ27">
        <f t="shared" si="48"/>
        <v>0</v>
      </c>
    </row>
    <row r="28" spans="1:92">
      <c r="A28" s="17">
        <v>20</v>
      </c>
      <c r="B28" s="17" t="str">
        <f t="shared" si="49"/>
        <v>RSCP</v>
      </c>
      <c r="C28" s="198" t="s">
        <v>581</v>
      </c>
      <c r="D28" s="198" t="str">
        <f>IFERROR(VLOOKUP(C28,'Inchidere contur'!B:U,20,0),VLOOKUP(C28,'Inchidere contur'!G:U,15,0))</f>
        <v>JT_SDI</v>
      </c>
      <c r="E28" s="126">
        <f>IFERROR(IFERROR(VLOOKUP(C28,'Inchidere contur'!B:U,20-4,0),VLOOKUP(C28,'Inchidere contur'!G:U,15-4,0)),"eroare")</f>
        <v>117858</v>
      </c>
      <c r="F28" s="200">
        <v>0</v>
      </c>
      <c r="G28" s="200">
        <v>0</v>
      </c>
      <c r="H28" s="126">
        <f t="shared" si="68"/>
        <v>117858</v>
      </c>
      <c r="I28" s="126">
        <f t="shared" si="3"/>
        <v>0</v>
      </c>
      <c r="J28" s="126">
        <f t="shared" si="51"/>
        <v>117858</v>
      </c>
      <c r="K28" s="126">
        <f t="shared" si="52"/>
        <v>117858</v>
      </c>
      <c r="L28" s="126">
        <f t="shared" si="53"/>
        <v>117858</v>
      </c>
      <c r="M28" s="126">
        <f t="shared" si="54"/>
        <v>117858</v>
      </c>
      <c r="N28" s="126">
        <f t="shared" si="55"/>
        <v>117858</v>
      </c>
      <c r="O28" s="126">
        <f t="shared" si="56"/>
        <v>117858</v>
      </c>
      <c r="P28" s="126">
        <f t="shared" si="69"/>
        <v>117858</v>
      </c>
      <c r="Q28" s="126">
        <f t="shared" si="5"/>
        <v>117858</v>
      </c>
      <c r="R28" s="126">
        <f t="shared" si="6"/>
        <v>117858</v>
      </c>
      <c r="S28" s="126">
        <f>IFERROR(IFERROR(VLOOKUP(C28,'Inchidere contur'!B:U,20-3,0),VLOOKUP(C28,'Inchidere contur'!G:U,15-3,0)),"eroare")</f>
        <v>109278</v>
      </c>
      <c r="T28" s="126">
        <f>IFERROR(IFERROR(VLOOKUP(C28,'Inchidere contur'!B:U,20-2,0),VLOOKUP(C28,'Inchidere contur'!G:U,15-2,0)),"eroare")</f>
        <v>0</v>
      </c>
      <c r="U28" s="126">
        <f t="shared" si="70"/>
        <v>0</v>
      </c>
      <c r="V28" s="126">
        <f t="shared" si="71"/>
        <v>0</v>
      </c>
      <c r="W28" s="126">
        <f>IFERROR(VLOOKUP(C28,Regularizare!B:AX,45,0),"eroare")</f>
        <v>0</v>
      </c>
      <c r="X28" s="126">
        <f>IFERROR(VLOOKUP(C28,Regularizare!B:AX,46,0),"eroare")+IFERROR(VLOOKUP(C28,Regularizare!B:AX,48,0),"eroare")</f>
        <v>149</v>
      </c>
      <c r="Y28" s="126">
        <f>IFERROR(VLOOKUP(C28,Regularizare!B:AX,47,0),"eroare")+IFERROR(VLOOKUP(C28,Regularizare!B:AX,49,0),"eroare")</f>
        <v>25</v>
      </c>
      <c r="Z28" s="126">
        <f t="shared" si="72"/>
        <v>0</v>
      </c>
      <c r="AA28" s="126">
        <f t="shared" si="7"/>
        <v>0</v>
      </c>
      <c r="AB28" s="126">
        <f t="shared" si="73"/>
        <v>0</v>
      </c>
      <c r="AC28" s="126">
        <f t="shared" si="74"/>
        <v>0</v>
      </c>
      <c r="AD28" s="126">
        <f t="shared" si="75"/>
        <v>0</v>
      </c>
      <c r="AE28" s="126">
        <f t="shared" si="76"/>
        <v>0</v>
      </c>
      <c r="AF28" s="126">
        <f t="shared" si="77"/>
        <v>0</v>
      </c>
      <c r="AG28" s="126">
        <f t="shared" si="63"/>
        <v>0</v>
      </c>
      <c r="AH28" s="126">
        <f t="shared" si="78"/>
        <v>0</v>
      </c>
      <c r="AI28" s="126">
        <f t="shared" si="9"/>
        <v>0</v>
      </c>
      <c r="AJ28" s="126">
        <f t="shared" si="10"/>
        <v>0</v>
      </c>
      <c r="AK28" s="126">
        <v>0</v>
      </c>
      <c r="AL28" s="126">
        <v>0</v>
      </c>
      <c r="AM28" s="126">
        <v>0</v>
      </c>
      <c r="AN28" s="126">
        <v>0</v>
      </c>
      <c r="AQ28" t="s">
        <v>1200</v>
      </c>
      <c r="AR28" s="1" t="s">
        <v>1225</v>
      </c>
      <c r="AS28" s="1">
        <v>25</v>
      </c>
      <c r="AT28" s="14">
        <f t="shared" si="87"/>
        <v>10441</v>
      </c>
      <c r="AU28" s="14">
        <f t="shared" si="88"/>
        <v>0</v>
      </c>
      <c r="AV28" s="14">
        <f t="shared" si="89"/>
        <v>0</v>
      </c>
      <c r="AW28" s="14">
        <f t="shared" si="90"/>
        <v>10441</v>
      </c>
      <c r="AX28" s="14">
        <f t="shared" si="91"/>
        <v>0</v>
      </c>
      <c r="AY28" s="14">
        <f t="shared" si="92"/>
        <v>10441</v>
      </c>
      <c r="AZ28" s="14">
        <f t="shared" si="93"/>
        <v>10441</v>
      </c>
      <c r="BA28" s="14">
        <f t="shared" si="94"/>
        <v>10441</v>
      </c>
      <c r="BB28" s="14">
        <f t="shared" si="95"/>
        <v>10441</v>
      </c>
      <c r="BC28" s="14">
        <f t="shared" si="96"/>
        <v>10441</v>
      </c>
      <c r="BD28" s="14">
        <f t="shared" si="97"/>
        <v>10441</v>
      </c>
      <c r="BE28" s="14">
        <f t="shared" si="98"/>
        <v>10441</v>
      </c>
      <c r="BF28" s="14">
        <f t="shared" si="99"/>
        <v>10441</v>
      </c>
      <c r="BG28" s="14">
        <f t="shared" si="100"/>
        <v>10441</v>
      </c>
      <c r="BH28" s="14">
        <f t="shared" si="101"/>
        <v>19977</v>
      </c>
      <c r="BI28" s="14">
        <f t="shared" si="102"/>
        <v>0</v>
      </c>
      <c r="BJ28" s="14">
        <f t="shared" si="103"/>
        <v>0</v>
      </c>
      <c r="BK28" s="14">
        <f t="shared" si="104"/>
        <v>0</v>
      </c>
      <c r="BL28" s="14">
        <f t="shared" si="105"/>
        <v>0</v>
      </c>
      <c r="BM28" s="14">
        <f t="shared" si="106"/>
        <v>81</v>
      </c>
      <c r="BN28" s="14">
        <f t="shared" si="107"/>
        <v>78</v>
      </c>
      <c r="BO28" s="14">
        <f t="shared" si="108"/>
        <v>0</v>
      </c>
      <c r="BP28" s="14">
        <f t="shared" si="109"/>
        <v>0</v>
      </c>
      <c r="BQ28" s="14">
        <f t="shared" si="110"/>
        <v>0</v>
      </c>
      <c r="BR28" s="14">
        <f t="shared" si="111"/>
        <v>0</v>
      </c>
      <c r="BS28" s="14">
        <f t="shared" si="112"/>
        <v>0</v>
      </c>
      <c r="BT28" s="14">
        <f t="shared" si="113"/>
        <v>0</v>
      </c>
      <c r="BU28" s="14">
        <f t="shared" si="114"/>
        <v>0</v>
      </c>
      <c r="BV28" s="14">
        <f t="shared" si="115"/>
        <v>0</v>
      </c>
      <c r="BW28" s="14">
        <f t="shared" si="116"/>
        <v>0</v>
      </c>
      <c r="BX28" s="14">
        <f t="shared" si="117"/>
        <v>0</v>
      </c>
      <c r="BY28" s="14">
        <f t="shared" si="118"/>
        <v>0</v>
      </c>
      <c r="BZ28" s="14">
        <f t="shared" si="119"/>
        <v>0</v>
      </c>
      <c r="CA28" s="14">
        <f t="shared" si="120"/>
        <v>0</v>
      </c>
      <c r="CB28" s="14">
        <f t="shared" si="121"/>
        <v>0</v>
      </c>
      <c r="CC28" s="14">
        <f t="shared" si="122"/>
        <v>0</v>
      </c>
      <c r="CE28">
        <f>VLOOKUP(AR28,'Contorizare in SDI'!$T:$U,2,FALSE)</f>
        <v>41728</v>
      </c>
      <c r="CF28">
        <f t="shared" si="79"/>
        <v>21751</v>
      </c>
      <c r="CG28">
        <f>SUMIF('Date masura OD'!$B:$B,AR28,'Date masura OD'!R:R)</f>
        <v>10600</v>
      </c>
      <c r="CH28">
        <f>VLOOKUP(AR28,'Inchidere contur'!$AP:$AQ,2,FALSE)</f>
        <v>159</v>
      </c>
      <c r="CI28">
        <f t="shared" si="64"/>
        <v>10441</v>
      </c>
      <c r="CJ28">
        <f t="shared" si="48"/>
        <v>0</v>
      </c>
    </row>
    <row r="29" spans="1:92" ht="15.95" customHeight="1">
      <c r="A29" s="17">
        <v>20</v>
      </c>
      <c r="B29" s="17" t="str">
        <f t="shared" si="49"/>
        <v>RSMS</v>
      </c>
      <c r="C29" s="198" t="s">
        <v>582</v>
      </c>
      <c r="D29" s="198" t="str">
        <f>IFERROR(VLOOKUP(C29,'Inchidere contur'!B:U,20,0),VLOOKUP(C29,'Inchidere contur'!G:U,15,0))</f>
        <v>JT_SDI</v>
      </c>
      <c r="E29" s="126">
        <f>IFERROR(IFERROR(VLOOKUP(C29,'Inchidere contur'!B:U,20-4,0),VLOOKUP(C29,'Inchidere contur'!G:U,15-4,0)),"eroare")</f>
        <v>167891</v>
      </c>
      <c r="F29" s="200">
        <v>0</v>
      </c>
      <c r="G29" s="200">
        <v>0</v>
      </c>
      <c r="H29" s="126">
        <f t="shared" si="68"/>
        <v>167891</v>
      </c>
      <c r="I29" s="126">
        <f t="shared" si="3"/>
        <v>0</v>
      </c>
      <c r="J29" s="126">
        <f t="shared" si="51"/>
        <v>167891</v>
      </c>
      <c r="K29" s="126">
        <f t="shared" si="52"/>
        <v>167891</v>
      </c>
      <c r="L29" s="126">
        <f t="shared" si="53"/>
        <v>167891</v>
      </c>
      <c r="M29" s="126">
        <f t="shared" si="54"/>
        <v>167891</v>
      </c>
      <c r="N29" s="126">
        <f t="shared" si="55"/>
        <v>167891</v>
      </c>
      <c r="O29" s="126">
        <f t="shared" si="56"/>
        <v>167891</v>
      </c>
      <c r="P29" s="126">
        <f t="shared" si="69"/>
        <v>167891</v>
      </c>
      <c r="Q29" s="126">
        <f t="shared" si="5"/>
        <v>167891</v>
      </c>
      <c r="R29" s="126">
        <f t="shared" si="6"/>
        <v>167891</v>
      </c>
      <c r="S29" s="126">
        <f>IFERROR(IFERROR(VLOOKUP(C29,'Inchidere contur'!B:U,20-3,0),VLOOKUP(C29,'Inchidere contur'!G:U,15-3,0)),"eroare")</f>
        <v>0</v>
      </c>
      <c r="T29" s="126">
        <f>IFERROR(IFERROR(VLOOKUP(C29,'Inchidere contur'!B:U,20-2,0),VLOOKUP(C29,'Inchidere contur'!G:U,15-2,0)),"eroare")</f>
        <v>0</v>
      </c>
      <c r="U29" s="126">
        <f t="shared" si="70"/>
        <v>0</v>
      </c>
      <c r="V29" s="126">
        <f t="shared" si="71"/>
        <v>0</v>
      </c>
      <c r="W29" s="126">
        <f>IFERROR(VLOOKUP(C29,Regularizare!B:AX,45,0),"eroare")</f>
        <v>0</v>
      </c>
      <c r="X29" s="126">
        <f>IFERROR(VLOOKUP(C29,Regularizare!B:AX,46,0),"eroare")+IFERROR(VLOOKUP(C29,Regularizare!B:AX,48,0),"eroare")</f>
        <v>0</v>
      </c>
      <c r="Y29" s="126">
        <f>IFERROR(VLOOKUP(C29,Regularizare!B:AX,47,0),"eroare")+IFERROR(VLOOKUP(C29,Regularizare!B:AX,49,0),"eroare")</f>
        <v>0</v>
      </c>
      <c r="Z29" s="126">
        <f t="shared" si="72"/>
        <v>0</v>
      </c>
      <c r="AA29" s="126">
        <f t="shared" si="7"/>
        <v>0</v>
      </c>
      <c r="AB29" s="126">
        <f t="shared" si="73"/>
        <v>0</v>
      </c>
      <c r="AC29" s="126">
        <f t="shared" si="74"/>
        <v>0</v>
      </c>
      <c r="AD29" s="126">
        <f t="shared" si="75"/>
        <v>0</v>
      </c>
      <c r="AE29" s="126">
        <f t="shared" si="76"/>
        <v>0</v>
      </c>
      <c r="AF29" s="126">
        <f t="shared" si="77"/>
        <v>0</v>
      </c>
      <c r="AG29" s="126">
        <f t="shared" si="63"/>
        <v>0</v>
      </c>
      <c r="AH29" s="126">
        <f t="shared" si="78"/>
        <v>0</v>
      </c>
      <c r="AI29" s="126">
        <f t="shared" si="9"/>
        <v>0</v>
      </c>
      <c r="AJ29" s="126">
        <f t="shared" si="10"/>
        <v>0</v>
      </c>
      <c r="AK29" s="126">
        <v>0</v>
      </c>
      <c r="AL29" s="126">
        <v>0</v>
      </c>
      <c r="AM29" s="126">
        <v>0</v>
      </c>
      <c r="AN29" s="126">
        <v>0</v>
      </c>
      <c r="AQ29" t="s">
        <v>1200</v>
      </c>
      <c r="AR29" s="1" t="s">
        <v>1227</v>
      </c>
      <c r="AS29" s="1">
        <v>26</v>
      </c>
      <c r="AT29" s="14">
        <f t="shared" si="87"/>
        <v>4793</v>
      </c>
      <c r="AU29" s="14">
        <f t="shared" si="88"/>
        <v>0</v>
      </c>
      <c r="AV29" s="14">
        <f t="shared" si="89"/>
        <v>0</v>
      </c>
      <c r="AW29" s="14">
        <f t="shared" si="90"/>
        <v>4793</v>
      </c>
      <c r="AX29" s="14">
        <f t="shared" si="91"/>
        <v>0</v>
      </c>
      <c r="AY29" s="14">
        <f t="shared" si="92"/>
        <v>4793</v>
      </c>
      <c r="AZ29" s="14">
        <f t="shared" si="93"/>
        <v>4793</v>
      </c>
      <c r="BA29" s="14">
        <f t="shared" si="94"/>
        <v>4793</v>
      </c>
      <c r="BB29" s="14">
        <f t="shared" si="95"/>
        <v>4793</v>
      </c>
      <c r="BC29" s="14">
        <f t="shared" si="96"/>
        <v>4793</v>
      </c>
      <c r="BD29" s="14">
        <f t="shared" si="97"/>
        <v>4793</v>
      </c>
      <c r="BE29" s="14">
        <f t="shared" si="98"/>
        <v>4793</v>
      </c>
      <c r="BF29" s="14">
        <f t="shared" si="99"/>
        <v>4793</v>
      </c>
      <c r="BG29" s="14">
        <f t="shared" si="100"/>
        <v>4793</v>
      </c>
      <c r="BH29" s="14">
        <f t="shared" si="101"/>
        <v>3692</v>
      </c>
      <c r="BI29" s="14">
        <f t="shared" si="102"/>
        <v>0</v>
      </c>
      <c r="BJ29" s="14">
        <f t="shared" si="103"/>
        <v>0</v>
      </c>
      <c r="BK29" s="14">
        <f t="shared" si="104"/>
        <v>0</v>
      </c>
      <c r="BL29" s="14">
        <f t="shared" si="105"/>
        <v>0</v>
      </c>
      <c r="BM29" s="14">
        <f t="shared" si="106"/>
        <v>0</v>
      </c>
      <c r="BN29" s="14">
        <f t="shared" si="107"/>
        <v>0</v>
      </c>
      <c r="BO29" s="14">
        <f t="shared" si="108"/>
        <v>0</v>
      </c>
      <c r="BP29" s="14">
        <f t="shared" si="109"/>
        <v>0</v>
      </c>
      <c r="BQ29" s="14">
        <f t="shared" si="110"/>
        <v>0</v>
      </c>
      <c r="BR29" s="14">
        <f t="shared" si="111"/>
        <v>0</v>
      </c>
      <c r="BS29" s="14">
        <f t="shared" si="112"/>
        <v>0</v>
      </c>
      <c r="BT29" s="14">
        <f t="shared" si="113"/>
        <v>0</v>
      </c>
      <c r="BU29" s="14">
        <f t="shared" si="114"/>
        <v>0</v>
      </c>
      <c r="BV29" s="14">
        <f t="shared" si="115"/>
        <v>0</v>
      </c>
      <c r="BW29" s="14">
        <f t="shared" si="116"/>
        <v>0</v>
      </c>
      <c r="BX29" s="14">
        <f t="shared" si="117"/>
        <v>0</v>
      </c>
      <c r="BY29" s="14">
        <f t="shared" si="118"/>
        <v>0</v>
      </c>
      <c r="BZ29" s="14">
        <f t="shared" si="119"/>
        <v>0</v>
      </c>
      <c r="CA29" s="14">
        <f t="shared" si="120"/>
        <v>0</v>
      </c>
      <c r="CB29" s="14">
        <f t="shared" si="121"/>
        <v>0</v>
      </c>
      <c r="CC29" s="14">
        <f t="shared" si="122"/>
        <v>0</v>
      </c>
      <c r="CE29">
        <f>VLOOKUP(AR29,'Contorizare in SDI'!$T:$U,2,FALSE)</f>
        <v>26277</v>
      </c>
      <c r="CF29">
        <f t="shared" si="79"/>
        <v>22585</v>
      </c>
      <c r="CG29">
        <f>SUMIF('Date masura OD'!$B:$B,AR29,'Date masura OD'!R:R)</f>
        <v>4866</v>
      </c>
      <c r="CH29">
        <f>VLOOKUP(AR29,'Inchidere contur'!$AP:$AQ,2,FALSE)</f>
        <v>73</v>
      </c>
      <c r="CI29">
        <f t="shared" si="64"/>
        <v>4793</v>
      </c>
      <c r="CJ29">
        <f t="shared" si="48"/>
        <v>0</v>
      </c>
    </row>
    <row r="30" spans="1:92">
      <c r="A30" s="17">
        <v>20</v>
      </c>
      <c r="B30" s="17" t="str">
        <f t="shared" si="49"/>
        <v>RSMS</v>
      </c>
      <c r="C30" s="198" t="s">
        <v>583</v>
      </c>
      <c r="D30" s="198" t="str">
        <f>IFERROR(VLOOKUP(C30,'Inchidere contur'!B:U,20,0),VLOOKUP(C30,'Inchidere contur'!G:U,15,0))</f>
        <v>JT_SDI</v>
      </c>
      <c r="E30" s="126">
        <f>IFERROR(IFERROR(VLOOKUP(C30,'Inchidere contur'!B:U,20-4,0),VLOOKUP(C30,'Inchidere contur'!G:U,15-4,0)),"eroare")</f>
        <v>208812</v>
      </c>
      <c r="F30" s="200">
        <v>0</v>
      </c>
      <c r="G30" s="200">
        <v>0</v>
      </c>
      <c r="H30" s="126">
        <f t="shared" si="68"/>
        <v>208812</v>
      </c>
      <c r="I30" s="126">
        <f t="shared" si="3"/>
        <v>0</v>
      </c>
      <c r="J30" s="126">
        <f t="shared" si="51"/>
        <v>208812</v>
      </c>
      <c r="K30" s="126">
        <f t="shared" si="52"/>
        <v>208812</v>
      </c>
      <c r="L30" s="126">
        <f t="shared" si="53"/>
        <v>208812</v>
      </c>
      <c r="M30" s="126">
        <f t="shared" si="54"/>
        <v>208812</v>
      </c>
      <c r="N30" s="126">
        <f t="shared" si="55"/>
        <v>208812</v>
      </c>
      <c r="O30" s="126">
        <f t="shared" si="56"/>
        <v>208812</v>
      </c>
      <c r="P30" s="126">
        <f t="shared" si="69"/>
        <v>208812</v>
      </c>
      <c r="Q30" s="126">
        <f t="shared" si="5"/>
        <v>208812</v>
      </c>
      <c r="R30" s="126">
        <f t="shared" si="6"/>
        <v>208812</v>
      </c>
      <c r="S30" s="126">
        <f>IFERROR(IFERROR(VLOOKUP(C30,'Inchidere contur'!B:U,20-3,0),VLOOKUP(C30,'Inchidere contur'!G:U,15-3,0)),"eroare")</f>
        <v>39479</v>
      </c>
      <c r="T30" s="126">
        <f>IFERROR(IFERROR(VLOOKUP(C30,'Inchidere contur'!B:U,20-2,0),VLOOKUP(C30,'Inchidere contur'!G:U,15-2,0)),"eroare")</f>
        <v>0</v>
      </c>
      <c r="U30" s="126">
        <f t="shared" si="70"/>
        <v>0</v>
      </c>
      <c r="V30" s="126">
        <f t="shared" si="71"/>
        <v>0</v>
      </c>
      <c r="W30" s="126">
        <f>IFERROR(VLOOKUP(C30,Regularizare!B:AX,45,0),"eroare")</f>
        <v>0</v>
      </c>
      <c r="X30" s="126">
        <f>IFERROR(VLOOKUP(C30,Regularizare!B:AX,46,0),"eroare")+IFERROR(VLOOKUP(C30,Regularizare!B:AX,48,0),"eroare")</f>
        <v>0</v>
      </c>
      <c r="Y30" s="126">
        <f>IFERROR(VLOOKUP(C30,Regularizare!B:AX,47,0),"eroare")+IFERROR(VLOOKUP(C30,Regularizare!B:AX,49,0),"eroare")</f>
        <v>0</v>
      </c>
      <c r="Z30" s="126">
        <f t="shared" si="72"/>
        <v>0</v>
      </c>
      <c r="AA30" s="126">
        <f t="shared" si="7"/>
        <v>0</v>
      </c>
      <c r="AB30" s="126">
        <f t="shared" si="73"/>
        <v>0</v>
      </c>
      <c r="AC30" s="126">
        <f t="shared" si="74"/>
        <v>0</v>
      </c>
      <c r="AD30" s="126">
        <f t="shared" si="75"/>
        <v>0</v>
      </c>
      <c r="AE30" s="126">
        <f t="shared" si="76"/>
        <v>0</v>
      </c>
      <c r="AF30" s="126">
        <f t="shared" si="77"/>
        <v>0</v>
      </c>
      <c r="AG30" s="126">
        <f t="shared" si="63"/>
        <v>0</v>
      </c>
      <c r="AH30" s="126">
        <f t="shared" si="78"/>
        <v>0</v>
      </c>
      <c r="AI30" s="126">
        <f t="shared" si="9"/>
        <v>0</v>
      </c>
      <c r="AJ30" s="126">
        <f t="shared" si="10"/>
        <v>0</v>
      </c>
      <c r="AK30" s="126">
        <v>0</v>
      </c>
      <c r="AL30" s="126">
        <v>0</v>
      </c>
      <c r="AM30" s="126">
        <v>0</v>
      </c>
      <c r="AN30" s="126">
        <v>0</v>
      </c>
      <c r="AQ30" t="s">
        <v>1200</v>
      </c>
      <c r="AR30" s="1" t="s">
        <v>1265</v>
      </c>
      <c r="AS30" s="1">
        <v>27</v>
      </c>
      <c r="AT30" s="14">
        <f t="shared" si="87"/>
        <v>18663</v>
      </c>
      <c r="AU30" s="14">
        <f t="shared" si="88"/>
        <v>0</v>
      </c>
      <c r="AV30" s="14">
        <f t="shared" si="89"/>
        <v>0</v>
      </c>
      <c r="AW30" s="14">
        <f t="shared" si="90"/>
        <v>18663</v>
      </c>
      <c r="AX30" s="14">
        <f t="shared" si="91"/>
        <v>0</v>
      </c>
      <c r="AY30" s="14">
        <f t="shared" si="92"/>
        <v>18663</v>
      </c>
      <c r="AZ30" s="14">
        <f t="shared" si="93"/>
        <v>18663</v>
      </c>
      <c r="BA30" s="14">
        <f t="shared" si="94"/>
        <v>18663</v>
      </c>
      <c r="BB30" s="14">
        <f t="shared" si="95"/>
        <v>18663</v>
      </c>
      <c r="BC30" s="14">
        <f t="shared" si="96"/>
        <v>18663</v>
      </c>
      <c r="BD30" s="14">
        <f t="shared" si="97"/>
        <v>18663</v>
      </c>
      <c r="BE30" s="14">
        <f t="shared" si="98"/>
        <v>18663</v>
      </c>
      <c r="BF30" s="14">
        <f t="shared" si="99"/>
        <v>18663</v>
      </c>
      <c r="BG30" s="14">
        <f t="shared" si="100"/>
        <v>18663</v>
      </c>
      <c r="BH30" s="14">
        <f t="shared" si="101"/>
        <v>9902</v>
      </c>
      <c r="BI30" s="14">
        <f t="shared" si="102"/>
        <v>6506</v>
      </c>
      <c r="BJ30" s="14">
        <f t="shared" si="103"/>
        <v>6506</v>
      </c>
      <c r="BK30" s="14">
        <f t="shared" si="104"/>
        <v>6506</v>
      </c>
      <c r="BL30" s="14">
        <f t="shared" si="105"/>
        <v>0</v>
      </c>
      <c r="BM30" s="14">
        <f t="shared" si="106"/>
        <v>3553</v>
      </c>
      <c r="BN30" s="14">
        <f t="shared" si="107"/>
        <v>772</v>
      </c>
      <c r="BO30" s="14">
        <f t="shared" si="108"/>
        <v>0</v>
      </c>
      <c r="BP30" s="14">
        <f t="shared" si="109"/>
        <v>0</v>
      </c>
      <c r="BQ30" s="14">
        <f t="shared" si="110"/>
        <v>0</v>
      </c>
      <c r="BR30" s="14">
        <f t="shared" si="111"/>
        <v>0</v>
      </c>
      <c r="BS30" s="14">
        <f t="shared" si="112"/>
        <v>0</v>
      </c>
      <c r="BT30" s="14">
        <f t="shared" si="113"/>
        <v>0</v>
      </c>
      <c r="BU30" s="14">
        <f t="shared" si="114"/>
        <v>0</v>
      </c>
      <c r="BV30" s="14">
        <f t="shared" si="115"/>
        <v>0</v>
      </c>
      <c r="BW30" s="14">
        <f t="shared" si="116"/>
        <v>0</v>
      </c>
      <c r="BX30" s="14">
        <f t="shared" si="117"/>
        <v>0</v>
      </c>
      <c r="BY30" s="14">
        <f t="shared" si="118"/>
        <v>0</v>
      </c>
      <c r="BZ30" s="14">
        <f t="shared" si="119"/>
        <v>0</v>
      </c>
      <c r="CA30" s="14">
        <f t="shared" si="120"/>
        <v>0</v>
      </c>
      <c r="CB30" s="14">
        <f t="shared" si="121"/>
        <v>0</v>
      </c>
      <c r="CC30" s="14">
        <f t="shared" si="122"/>
        <v>0</v>
      </c>
      <c r="CE30">
        <f>VLOOKUP(AR30,'Contorizare in SDI'!$T:$U,2,FALSE)</f>
        <v>16408</v>
      </c>
      <c r="CF30">
        <f t="shared" si="79"/>
        <v>0</v>
      </c>
      <c r="CG30">
        <f>SUMIF('Date masura OD'!$B:$B,AR30,'Date masura OD'!R:R)</f>
        <v>18948</v>
      </c>
      <c r="CH30">
        <f>VLOOKUP(AR30,'Inchidere contur'!$AP:$AQ,2,FALSE)</f>
        <v>285</v>
      </c>
      <c r="CI30">
        <f t="shared" si="64"/>
        <v>18663</v>
      </c>
      <c r="CJ30">
        <f t="shared" si="48"/>
        <v>0</v>
      </c>
    </row>
    <row r="31" spans="1:92">
      <c r="A31" s="17">
        <v>20</v>
      </c>
      <c r="B31" s="17" t="str">
        <f t="shared" si="49"/>
        <v>RDSC</v>
      </c>
      <c r="C31" s="198" t="s">
        <v>584</v>
      </c>
      <c r="D31" s="198" t="str">
        <f>IFERROR(VLOOKUP(C31,'Inchidere contur'!B:U,20,0),VLOOKUP(C31,'Inchidere contur'!G:U,15,0))</f>
        <v>JT_SDI</v>
      </c>
      <c r="E31" s="126">
        <f>IFERROR(IFERROR(VLOOKUP(C31,'Inchidere contur'!B:U,20-4,0),VLOOKUP(C31,'Inchidere contur'!G:U,15-4,0)),"eroare")</f>
        <v>40391</v>
      </c>
      <c r="F31" s="200">
        <v>0</v>
      </c>
      <c r="G31" s="200">
        <v>0</v>
      </c>
      <c r="H31" s="126">
        <f t="shared" si="68"/>
        <v>40391</v>
      </c>
      <c r="I31" s="126">
        <f t="shared" si="3"/>
        <v>0</v>
      </c>
      <c r="J31" s="126">
        <f t="shared" si="51"/>
        <v>40391</v>
      </c>
      <c r="K31" s="126">
        <f t="shared" si="52"/>
        <v>40391</v>
      </c>
      <c r="L31" s="126">
        <f t="shared" si="53"/>
        <v>40391</v>
      </c>
      <c r="M31" s="126">
        <f t="shared" si="54"/>
        <v>40391</v>
      </c>
      <c r="N31" s="126">
        <f t="shared" si="55"/>
        <v>40391</v>
      </c>
      <c r="O31" s="126">
        <f t="shared" si="56"/>
        <v>40391</v>
      </c>
      <c r="P31" s="126">
        <f t="shared" si="69"/>
        <v>40391</v>
      </c>
      <c r="Q31" s="126">
        <f t="shared" si="5"/>
        <v>40391</v>
      </c>
      <c r="R31" s="126">
        <f t="shared" si="6"/>
        <v>40391</v>
      </c>
      <c r="S31" s="126">
        <f>IFERROR(IFERROR(VLOOKUP(C31,'Inchidere contur'!B:U,20-3,0),VLOOKUP(C31,'Inchidere contur'!G:U,15-3,0)),"eroare")</f>
        <v>34586</v>
      </c>
      <c r="T31" s="126">
        <f>IFERROR(IFERROR(VLOOKUP(C31,'Inchidere contur'!B:U,20-2,0),VLOOKUP(C31,'Inchidere contur'!G:U,15-2,0)),"eroare")</f>
        <v>0</v>
      </c>
      <c r="U31" s="126">
        <f t="shared" si="70"/>
        <v>0</v>
      </c>
      <c r="V31" s="126">
        <f t="shared" si="71"/>
        <v>0</v>
      </c>
      <c r="W31" s="126">
        <f>IFERROR(VLOOKUP(C31,Regularizare!B:AX,45,0),"eroare")</f>
        <v>0</v>
      </c>
      <c r="X31" s="126">
        <f>IFERROR(VLOOKUP(C31,Regularizare!B:AX,46,0),"eroare")+IFERROR(VLOOKUP(C31,Regularizare!B:AX,48,0),"eroare")</f>
        <v>0</v>
      </c>
      <c r="Y31" s="126">
        <f>IFERROR(VLOOKUP(C31,Regularizare!B:AX,47,0),"eroare")+IFERROR(VLOOKUP(C31,Regularizare!B:AX,49,0),"eroare")</f>
        <v>0</v>
      </c>
      <c r="Z31" s="126">
        <f t="shared" si="72"/>
        <v>0</v>
      </c>
      <c r="AA31" s="126">
        <f t="shared" si="7"/>
        <v>0</v>
      </c>
      <c r="AB31" s="126">
        <f t="shared" si="73"/>
        <v>0</v>
      </c>
      <c r="AC31" s="126">
        <f t="shared" si="74"/>
        <v>0</v>
      </c>
      <c r="AD31" s="126">
        <f t="shared" si="75"/>
        <v>0</v>
      </c>
      <c r="AE31" s="126">
        <f t="shared" si="76"/>
        <v>0</v>
      </c>
      <c r="AF31" s="126">
        <f t="shared" si="77"/>
        <v>0</v>
      </c>
      <c r="AG31" s="126">
        <f t="shared" si="63"/>
        <v>0</v>
      </c>
      <c r="AH31" s="126">
        <f t="shared" si="78"/>
        <v>0</v>
      </c>
      <c r="AI31" s="126">
        <f t="shared" si="9"/>
        <v>0</v>
      </c>
      <c r="AJ31" s="126">
        <f t="shared" si="10"/>
        <v>0</v>
      </c>
      <c r="AK31" s="126">
        <v>0</v>
      </c>
      <c r="AL31" s="126">
        <v>0</v>
      </c>
      <c r="AM31" s="126">
        <v>0</v>
      </c>
      <c r="AN31" s="126">
        <v>0</v>
      </c>
      <c r="AQ31" t="s">
        <v>1200</v>
      </c>
      <c r="AR31" s="1" t="s">
        <v>1231</v>
      </c>
      <c r="AS31" s="1">
        <v>28</v>
      </c>
      <c r="AT31" s="14">
        <f t="shared" si="87"/>
        <v>13243</v>
      </c>
      <c r="AU31" s="14">
        <f t="shared" si="88"/>
        <v>0</v>
      </c>
      <c r="AV31" s="14">
        <f t="shared" si="89"/>
        <v>0</v>
      </c>
      <c r="AW31" s="14">
        <f t="shared" si="90"/>
        <v>13243</v>
      </c>
      <c r="AX31" s="14">
        <f t="shared" si="91"/>
        <v>13243</v>
      </c>
      <c r="AY31" s="14">
        <f t="shared" si="92"/>
        <v>13243</v>
      </c>
      <c r="AZ31" s="14">
        <f t="shared" si="93"/>
        <v>13243</v>
      </c>
      <c r="BA31" s="14">
        <f t="shared" si="94"/>
        <v>13243</v>
      </c>
      <c r="BB31" s="14">
        <f t="shared" si="95"/>
        <v>13243</v>
      </c>
      <c r="BC31" s="14">
        <f t="shared" si="96"/>
        <v>13243</v>
      </c>
      <c r="BD31" s="14">
        <f t="shared" si="97"/>
        <v>13243</v>
      </c>
      <c r="BE31" s="14">
        <f t="shared" si="98"/>
        <v>13243</v>
      </c>
      <c r="BF31" s="14">
        <f t="shared" si="99"/>
        <v>0</v>
      </c>
      <c r="BG31" s="14">
        <f t="shared" si="100"/>
        <v>0</v>
      </c>
      <c r="BH31" s="14">
        <f t="shared" si="101"/>
        <v>0</v>
      </c>
      <c r="BI31" s="14">
        <f t="shared" si="102"/>
        <v>0</v>
      </c>
      <c r="BJ31" s="14">
        <f t="shared" si="103"/>
        <v>0</v>
      </c>
      <c r="BK31" s="14">
        <f t="shared" si="104"/>
        <v>0</v>
      </c>
      <c r="BL31" s="14">
        <f t="shared" si="105"/>
        <v>2220</v>
      </c>
      <c r="BM31" s="14">
        <f t="shared" si="106"/>
        <v>0</v>
      </c>
      <c r="BN31" s="14">
        <f t="shared" si="107"/>
        <v>0</v>
      </c>
      <c r="BO31" s="14">
        <f t="shared" si="108"/>
        <v>2220</v>
      </c>
      <c r="BP31" s="14">
        <f t="shared" si="109"/>
        <v>2220</v>
      </c>
      <c r="BQ31" s="14">
        <f t="shared" si="110"/>
        <v>2220</v>
      </c>
      <c r="BR31" s="14">
        <f t="shared" si="111"/>
        <v>2220</v>
      </c>
      <c r="BS31" s="14">
        <f t="shared" si="112"/>
        <v>2220</v>
      </c>
      <c r="BT31" s="14">
        <f t="shared" si="113"/>
        <v>2220</v>
      </c>
      <c r="BU31" s="14">
        <f t="shared" si="114"/>
        <v>2220</v>
      </c>
      <c r="BV31" s="14">
        <f t="shared" si="115"/>
        <v>2220</v>
      </c>
      <c r="BW31" s="14">
        <f t="shared" si="116"/>
        <v>2220</v>
      </c>
      <c r="BX31" s="14">
        <f t="shared" si="117"/>
        <v>0</v>
      </c>
      <c r="BY31" s="14">
        <f t="shared" si="118"/>
        <v>0</v>
      </c>
      <c r="BZ31" s="14">
        <f t="shared" si="119"/>
        <v>0</v>
      </c>
      <c r="CA31" s="14">
        <f t="shared" si="120"/>
        <v>0</v>
      </c>
      <c r="CB31" s="14">
        <f t="shared" si="121"/>
        <v>0</v>
      </c>
      <c r="CC31" s="14">
        <f t="shared" si="122"/>
        <v>0</v>
      </c>
      <c r="CE31">
        <f>VLOOKUP(AR31,'Contorizare in SDI'!$T:$U,2,FALSE)</f>
        <v>0</v>
      </c>
      <c r="CF31">
        <f t="shared" si="79"/>
        <v>0</v>
      </c>
      <c r="CG31">
        <f>SUMIF('Date masura OD'!$B:$B,AR31,'Date masura OD'!R:R)</f>
        <v>13243</v>
      </c>
      <c r="CH31">
        <f>VLOOKUP(AR31,'Inchidere contur'!$AP:$AQ,2,FALSE)</f>
        <v>0</v>
      </c>
      <c r="CI31">
        <f t="shared" si="64"/>
        <v>13243</v>
      </c>
      <c r="CJ31">
        <f t="shared" si="48"/>
        <v>0</v>
      </c>
    </row>
    <row r="32" spans="1:92">
      <c r="A32" s="17">
        <v>20</v>
      </c>
      <c r="B32" s="17" t="str">
        <f t="shared" si="49"/>
        <v>RDSC</v>
      </c>
      <c r="C32" s="198" t="s">
        <v>585</v>
      </c>
      <c r="D32" s="198" t="str">
        <f>IFERROR(VLOOKUP(C32,'Inchidere contur'!B:U,20,0),VLOOKUP(C32,'Inchidere contur'!G:U,15,0))</f>
        <v>JT_SDI</v>
      </c>
      <c r="E32" s="126">
        <f>IFERROR(IFERROR(VLOOKUP(C32,'Inchidere contur'!B:U,20-4,0),VLOOKUP(C32,'Inchidere contur'!G:U,15-4,0)),"eroare")</f>
        <v>43471</v>
      </c>
      <c r="F32" s="200">
        <v>0</v>
      </c>
      <c r="G32" s="200">
        <v>0</v>
      </c>
      <c r="H32" s="126">
        <f t="shared" si="68"/>
        <v>43471</v>
      </c>
      <c r="I32" s="126">
        <f t="shared" si="3"/>
        <v>0</v>
      </c>
      <c r="J32" s="126">
        <f t="shared" si="51"/>
        <v>43471</v>
      </c>
      <c r="K32" s="126">
        <f t="shared" si="52"/>
        <v>43471</v>
      </c>
      <c r="L32" s="126">
        <f t="shared" si="53"/>
        <v>43471</v>
      </c>
      <c r="M32" s="126">
        <f t="shared" si="54"/>
        <v>43471</v>
      </c>
      <c r="N32" s="126">
        <f t="shared" si="55"/>
        <v>43471</v>
      </c>
      <c r="O32" s="126">
        <f t="shared" si="56"/>
        <v>43471</v>
      </c>
      <c r="P32" s="126">
        <f t="shared" si="69"/>
        <v>43471</v>
      </c>
      <c r="Q32" s="126">
        <f t="shared" si="5"/>
        <v>43471</v>
      </c>
      <c r="R32" s="126">
        <f t="shared" si="6"/>
        <v>43471</v>
      </c>
      <c r="S32" s="126">
        <f>IFERROR(IFERROR(VLOOKUP(C32,'Inchidere contur'!B:U,20-3,0),VLOOKUP(C32,'Inchidere contur'!G:U,15-3,0)),"eroare")</f>
        <v>24153</v>
      </c>
      <c r="T32" s="126">
        <f>IFERROR(IFERROR(VLOOKUP(C32,'Inchidere contur'!B:U,20-2,0),VLOOKUP(C32,'Inchidere contur'!G:U,15-2,0)),"eroare")</f>
        <v>0</v>
      </c>
      <c r="U32" s="126">
        <f t="shared" si="70"/>
        <v>0</v>
      </c>
      <c r="V32" s="126">
        <f t="shared" si="71"/>
        <v>0</v>
      </c>
      <c r="W32" s="126">
        <f>IFERROR(VLOOKUP(C32,Regularizare!B:AX,45,0),"eroare")</f>
        <v>0</v>
      </c>
      <c r="X32" s="126">
        <f>IFERROR(VLOOKUP(C32,Regularizare!B:AX,46,0),"eroare")+IFERROR(VLOOKUP(C32,Regularizare!B:AX,48,0),"eroare")</f>
        <v>0</v>
      </c>
      <c r="Y32" s="126">
        <f>IFERROR(VLOOKUP(C32,Regularizare!B:AX,47,0),"eroare")+IFERROR(VLOOKUP(C32,Regularizare!B:AX,49,0),"eroare")</f>
        <v>0</v>
      </c>
      <c r="Z32" s="126">
        <f t="shared" si="72"/>
        <v>0</v>
      </c>
      <c r="AA32" s="126">
        <f t="shared" si="7"/>
        <v>0</v>
      </c>
      <c r="AB32" s="126">
        <f t="shared" si="73"/>
        <v>0</v>
      </c>
      <c r="AC32" s="126">
        <f t="shared" si="74"/>
        <v>0</v>
      </c>
      <c r="AD32" s="126">
        <f t="shared" si="75"/>
        <v>0</v>
      </c>
      <c r="AE32" s="126">
        <f t="shared" si="76"/>
        <v>0</v>
      </c>
      <c r="AF32" s="126">
        <f t="shared" si="77"/>
        <v>0</v>
      </c>
      <c r="AG32" s="126">
        <f t="shared" si="63"/>
        <v>0</v>
      </c>
      <c r="AH32" s="126">
        <f t="shared" si="78"/>
        <v>0</v>
      </c>
      <c r="AI32" s="126">
        <f t="shared" si="9"/>
        <v>0</v>
      </c>
      <c r="AJ32" s="126">
        <f t="shared" si="10"/>
        <v>0</v>
      </c>
      <c r="AK32" s="126">
        <v>0</v>
      </c>
      <c r="AL32" s="126">
        <v>0</v>
      </c>
      <c r="AM32" s="126">
        <v>0</v>
      </c>
      <c r="AN32" s="126">
        <v>0</v>
      </c>
      <c r="AQ32" t="s">
        <v>1213</v>
      </c>
      <c r="AR32" s="1" t="s">
        <v>1272</v>
      </c>
      <c r="AS32" s="1">
        <v>29</v>
      </c>
      <c r="AT32" s="14">
        <f t="shared" si="87"/>
        <v>25058</v>
      </c>
      <c r="AU32" s="14">
        <f t="shared" si="88"/>
        <v>0</v>
      </c>
      <c r="AV32" s="14">
        <f t="shared" si="89"/>
        <v>0</v>
      </c>
      <c r="AW32" s="14">
        <f t="shared" si="90"/>
        <v>25058</v>
      </c>
      <c r="AX32" s="14">
        <f t="shared" si="91"/>
        <v>0</v>
      </c>
      <c r="AY32" s="14">
        <f t="shared" si="92"/>
        <v>25058</v>
      </c>
      <c r="AZ32" s="14">
        <f t="shared" si="93"/>
        <v>25058</v>
      </c>
      <c r="BA32" s="14">
        <f t="shared" si="94"/>
        <v>25058</v>
      </c>
      <c r="BB32" s="14">
        <f t="shared" si="95"/>
        <v>25058</v>
      </c>
      <c r="BC32" s="14">
        <f t="shared" si="96"/>
        <v>25058</v>
      </c>
      <c r="BD32" s="14">
        <f t="shared" si="97"/>
        <v>25058</v>
      </c>
      <c r="BE32" s="14">
        <f t="shared" si="98"/>
        <v>25058</v>
      </c>
      <c r="BF32" s="14">
        <f t="shared" si="99"/>
        <v>25058</v>
      </c>
      <c r="BG32" s="14">
        <f t="shared" si="100"/>
        <v>25058</v>
      </c>
      <c r="BH32" s="14">
        <f t="shared" si="101"/>
        <v>15338</v>
      </c>
      <c r="BI32" s="14">
        <f t="shared" si="102"/>
        <v>0</v>
      </c>
      <c r="BJ32" s="14">
        <f t="shared" si="103"/>
        <v>0</v>
      </c>
      <c r="BK32" s="14">
        <f t="shared" si="104"/>
        <v>0</v>
      </c>
      <c r="BL32" s="14">
        <f t="shared" si="105"/>
        <v>0</v>
      </c>
      <c r="BM32" s="14">
        <f t="shared" si="106"/>
        <v>186</v>
      </c>
      <c r="BN32" s="14">
        <f t="shared" si="107"/>
        <v>4</v>
      </c>
      <c r="BO32" s="14">
        <f t="shared" si="108"/>
        <v>0</v>
      </c>
      <c r="BP32" s="14">
        <f t="shared" si="109"/>
        <v>0</v>
      </c>
      <c r="BQ32" s="14">
        <f t="shared" si="110"/>
        <v>0</v>
      </c>
      <c r="BR32" s="14">
        <f t="shared" si="111"/>
        <v>0</v>
      </c>
      <c r="BS32" s="14">
        <f t="shared" si="112"/>
        <v>0</v>
      </c>
      <c r="BT32" s="14">
        <f t="shared" si="113"/>
        <v>0</v>
      </c>
      <c r="BU32" s="14">
        <f t="shared" si="114"/>
        <v>0</v>
      </c>
      <c r="BV32" s="14">
        <f t="shared" si="115"/>
        <v>0</v>
      </c>
      <c r="BW32" s="14">
        <f t="shared" si="116"/>
        <v>0</v>
      </c>
      <c r="BX32" s="14">
        <f t="shared" si="117"/>
        <v>0</v>
      </c>
      <c r="BY32" s="14">
        <f t="shared" si="118"/>
        <v>0</v>
      </c>
      <c r="BZ32" s="14">
        <f t="shared" si="119"/>
        <v>0</v>
      </c>
      <c r="CA32" s="14">
        <f t="shared" si="120"/>
        <v>0</v>
      </c>
      <c r="CB32" s="14">
        <f t="shared" si="121"/>
        <v>0</v>
      </c>
      <c r="CC32" s="14">
        <f t="shared" si="122"/>
        <v>0</v>
      </c>
      <c r="CE32">
        <f>VLOOKUP(AR32,'Contorizare in SDI'!$T:$U,2,FALSE)</f>
        <v>15997</v>
      </c>
      <c r="CF32">
        <f t="shared" si="79"/>
        <v>659</v>
      </c>
      <c r="CG32">
        <f>SUMIF('Date masura OD'!$B:$B,AR32,'Date masura OD'!R:R)</f>
        <v>25440</v>
      </c>
      <c r="CH32">
        <f>VLOOKUP(AR32,'Inchidere contur'!$AP:$AQ,2,FALSE)</f>
        <v>382</v>
      </c>
      <c r="CI32">
        <f t="shared" si="64"/>
        <v>25058</v>
      </c>
      <c r="CJ32">
        <f t="shared" si="48"/>
        <v>0</v>
      </c>
    </row>
    <row r="33" spans="1:81">
      <c r="A33" s="17">
        <v>20</v>
      </c>
      <c r="B33" s="17" t="str">
        <f t="shared" si="49"/>
        <v>RDSC</v>
      </c>
      <c r="C33" s="198" t="s">
        <v>586</v>
      </c>
      <c r="D33" s="198" t="str">
        <f>IFERROR(VLOOKUP(C33,'Inchidere contur'!B:U,20,0),VLOOKUP(C33,'Inchidere contur'!G:U,15,0))</f>
        <v>JT_SDI</v>
      </c>
      <c r="E33" s="126">
        <f>IFERROR(IFERROR(VLOOKUP(C33,'Inchidere contur'!B:U,20-4,0),VLOOKUP(C33,'Inchidere contur'!G:U,15-4,0)),"eroare")</f>
        <v>120573</v>
      </c>
      <c r="F33" s="200">
        <v>0</v>
      </c>
      <c r="G33" s="200">
        <v>0</v>
      </c>
      <c r="H33" s="126">
        <f t="shared" si="68"/>
        <v>120573</v>
      </c>
      <c r="I33" s="126">
        <f t="shared" si="3"/>
        <v>0</v>
      </c>
      <c r="J33" s="126">
        <f t="shared" si="51"/>
        <v>120573</v>
      </c>
      <c r="K33" s="126">
        <f t="shared" si="52"/>
        <v>120573</v>
      </c>
      <c r="L33" s="126">
        <f t="shared" si="53"/>
        <v>120573</v>
      </c>
      <c r="M33" s="126">
        <f t="shared" si="54"/>
        <v>120573</v>
      </c>
      <c r="N33" s="126">
        <f t="shared" si="55"/>
        <v>120573</v>
      </c>
      <c r="O33" s="126">
        <f t="shared" si="56"/>
        <v>120573</v>
      </c>
      <c r="P33" s="126">
        <f t="shared" si="69"/>
        <v>120573</v>
      </c>
      <c r="Q33" s="126">
        <f t="shared" si="5"/>
        <v>120573</v>
      </c>
      <c r="R33" s="126">
        <f t="shared" si="6"/>
        <v>120573</v>
      </c>
      <c r="S33" s="126">
        <f>IFERROR(IFERROR(VLOOKUP(C33,'Inchidere contur'!B:U,20-3,0),VLOOKUP(C33,'Inchidere contur'!G:U,15-3,0)),"eroare")</f>
        <v>81464</v>
      </c>
      <c r="T33" s="126">
        <f>IFERROR(IFERROR(VLOOKUP(C33,'Inchidere contur'!B:U,20-2,0),VLOOKUP(C33,'Inchidere contur'!G:U,15-2,0)),"eroare")</f>
        <v>0</v>
      </c>
      <c r="U33" s="126">
        <f t="shared" si="70"/>
        <v>0</v>
      </c>
      <c r="V33" s="126">
        <f t="shared" si="71"/>
        <v>0</v>
      </c>
      <c r="W33" s="126">
        <f>IFERROR(VLOOKUP(C33,Regularizare!B:AX,45,0),"eroare")</f>
        <v>0</v>
      </c>
      <c r="X33" s="126">
        <f>IFERROR(VLOOKUP(C33,Regularizare!B:AX,46,0),"eroare")+IFERROR(VLOOKUP(C33,Regularizare!B:AX,48,0),"eroare")</f>
        <v>329</v>
      </c>
      <c r="Y33" s="126">
        <f>IFERROR(VLOOKUP(C33,Regularizare!B:AX,47,0),"eroare")+IFERROR(VLOOKUP(C33,Regularizare!B:AX,49,0),"eroare")</f>
        <v>209</v>
      </c>
      <c r="Z33" s="126">
        <f t="shared" si="72"/>
        <v>0</v>
      </c>
      <c r="AA33" s="126">
        <f t="shared" si="7"/>
        <v>0</v>
      </c>
      <c r="AB33" s="126">
        <f t="shared" si="73"/>
        <v>0</v>
      </c>
      <c r="AC33" s="126">
        <f t="shared" si="74"/>
        <v>0</v>
      </c>
      <c r="AD33" s="126">
        <f t="shared" si="75"/>
        <v>0</v>
      </c>
      <c r="AE33" s="126">
        <f t="shared" si="76"/>
        <v>0</v>
      </c>
      <c r="AF33" s="126">
        <f t="shared" si="77"/>
        <v>0</v>
      </c>
      <c r="AG33" s="126">
        <f t="shared" si="63"/>
        <v>0</v>
      </c>
      <c r="AH33" s="126">
        <f t="shared" si="78"/>
        <v>0</v>
      </c>
      <c r="AI33" s="126">
        <f t="shared" si="9"/>
        <v>0</v>
      </c>
      <c r="AJ33" s="126">
        <f t="shared" si="10"/>
        <v>0</v>
      </c>
      <c r="AK33" s="126">
        <v>0</v>
      </c>
      <c r="AL33" s="126">
        <v>0</v>
      </c>
      <c r="AM33" s="126">
        <v>0</v>
      </c>
      <c r="AN33" s="126">
        <v>0</v>
      </c>
      <c r="AR33" s="48" t="s">
        <v>702</v>
      </c>
      <c r="AS33" s="1"/>
      <c r="AT33" s="1">
        <f t="shared" ref="AT33:BD33" si="123">SUM(AT3:AT32)</f>
        <v>13624389</v>
      </c>
      <c r="AU33" s="1">
        <f t="shared" si="123"/>
        <v>0</v>
      </c>
      <c r="AV33" s="1">
        <f t="shared" si="123"/>
        <v>0</v>
      </c>
      <c r="AW33" s="1">
        <f t="shared" si="123"/>
        <v>13624389</v>
      </c>
      <c r="AX33" s="1">
        <f t="shared" si="123"/>
        <v>24056</v>
      </c>
      <c r="AY33" s="1">
        <f t="shared" si="123"/>
        <v>13624389</v>
      </c>
      <c r="AZ33" s="1">
        <f t="shared" si="123"/>
        <v>13624389</v>
      </c>
      <c r="BA33" s="1">
        <f t="shared" si="123"/>
        <v>13624389</v>
      </c>
      <c r="BB33" s="1">
        <f t="shared" si="123"/>
        <v>13624389</v>
      </c>
      <c r="BC33" s="1">
        <f t="shared" si="123"/>
        <v>13624389</v>
      </c>
      <c r="BD33" s="1">
        <f t="shared" si="123"/>
        <v>13624389</v>
      </c>
      <c r="BE33" s="1">
        <f t="shared" ref="BE33:CC33" si="124">SUM(BE3:BE32)</f>
        <v>13624389</v>
      </c>
      <c r="BF33" s="1">
        <f t="shared" si="124"/>
        <v>13494516</v>
      </c>
      <c r="BG33" s="1">
        <f t="shared" si="124"/>
        <v>13195682</v>
      </c>
      <c r="BH33" s="1">
        <f t="shared" si="124"/>
        <v>2815473.5</v>
      </c>
      <c r="BI33" s="1">
        <f t="shared" si="124"/>
        <v>449098</v>
      </c>
      <c r="BJ33" s="1">
        <f t="shared" si="124"/>
        <v>449098</v>
      </c>
      <c r="BK33" s="1">
        <f t="shared" si="124"/>
        <v>449098</v>
      </c>
      <c r="BL33" s="1">
        <f t="shared" si="124"/>
        <v>4579</v>
      </c>
      <c r="BM33" s="1">
        <f t="shared" si="124"/>
        <v>52798</v>
      </c>
      <c r="BN33" s="1">
        <f t="shared" si="124"/>
        <v>93766</v>
      </c>
      <c r="BO33" s="1">
        <f t="shared" si="124"/>
        <v>4579</v>
      </c>
      <c r="BP33" s="1">
        <f t="shared" si="124"/>
        <v>2299</v>
      </c>
      <c r="BQ33" s="1">
        <f t="shared" si="124"/>
        <v>4579</v>
      </c>
      <c r="BR33" s="1">
        <f t="shared" si="124"/>
        <v>4579</v>
      </c>
      <c r="BS33" s="1">
        <f t="shared" si="124"/>
        <v>4579</v>
      </c>
      <c r="BT33" s="1">
        <f t="shared" si="124"/>
        <v>4579</v>
      </c>
      <c r="BU33" s="1">
        <f t="shared" si="124"/>
        <v>4579</v>
      </c>
      <c r="BV33" s="1">
        <f t="shared" si="124"/>
        <v>4579</v>
      </c>
      <c r="BW33" s="1">
        <f t="shared" si="124"/>
        <v>4579</v>
      </c>
      <c r="BX33" s="1">
        <f t="shared" si="124"/>
        <v>1</v>
      </c>
      <c r="BY33" s="1">
        <f t="shared" si="124"/>
        <v>1</v>
      </c>
      <c r="BZ33" s="1">
        <f t="shared" si="124"/>
        <v>0</v>
      </c>
      <c r="CA33" s="1">
        <f t="shared" si="124"/>
        <v>0</v>
      </c>
      <c r="CB33" s="1">
        <f t="shared" si="124"/>
        <v>0</v>
      </c>
      <c r="CC33" s="1">
        <f t="shared" si="124"/>
        <v>0</v>
      </c>
    </row>
    <row r="34" spans="1:81">
      <c r="A34" s="17">
        <v>20</v>
      </c>
      <c r="B34" s="17" t="str">
        <f t="shared" si="49"/>
        <v>RDSC</v>
      </c>
      <c r="C34" s="198" t="s">
        <v>587</v>
      </c>
      <c r="D34" s="198" t="str">
        <f>IFERROR(VLOOKUP(C34,'Inchidere contur'!B:U,20,0),VLOOKUP(C34,'Inchidere contur'!G:U,15,0))</f>
        <v>JT_SDI</v>
      </c>
      <c r="E34" s="126">
        <f>IFERROR(IFERROR(VLOOKUP(C34,'Inchidere contur'!B:U,20-4,0),VLOOKUP(C34,'Inchidere contur'!G:U,15-4,0)),"eroare")</f>
        <v>80839</v>
      </c>
      <c r="F34" s="200">
        <v>0</v>
      </c>
      <c r="G34" s="200">
        <v>0</v>
      </c>
      <c r="H34" s="126">
        <f t="shared" si="68"/>
        <v>80839</v>
      </c>
      <c r="I34" s="126">
        <f t="shared" si="3"/>
        <v>0</v>
      </c>
      <c r="J34" s="126">
        <f t="shared" si="51"/>
        <v>80839</v>
      </c>
      <c r="K34" s="126">
        <f t="shared" si="52"/>
        <v>80839</v>
      </c>
      <c r="L34" s="126">
        <f t="shared" si="53"/>
        <v>80839</v>
      </c>
      <c r="M34" s="126">
        <f t="shared" si="54"/>
        <v>80839</v>
      </c>
      <c r="N34" s="126">
        <f t="shared" si="55"/>
        <v>80839</v>
      </c>
      <c r="O34" s="126">
        <f t="shared" si="56"/>
        <v>80839</v>
      </c>
      <c r="P34" s="126">
        <f t="shared" si="69"/>
        <v>80839</v>
      </c>
      <c r="Q34" s="126">
        <f t="shared" si="5"/>
        <v>80839</v>
      </c>
      <c r="R34" s="126">
        <f t="shared" si="6"/>
        <v>80839</v>
      </c>
      <c r="S34" s="126">
        <f>IFERROR(IFERROR(VLOOKUP(C34,'Inchidere contur'!B:U,20-3,0),VLOOKUP(C34,'Inchidere contur'!G:U,15-3,0)),"eroare")</f>
        <v>0</v>
      </c>
      <c r="T34" s="126">
        <f>IFERROR(IFERROR(VLOOKUP(C34,'Inchidere contur'!B:U,20-2,0),VLOOKUP(C34,'Inchidere contur'!G:U,15-2,0)),"eroare")</f>
        <v>0</v>
      </c>
      <c r="U34" s="126">
        <f t="shared" si="70"/>
        <v>0</v>
      </c>
      <c r="V34" s="126">
        <f t="shared" si="71"/>
        <v>0</v>
      </c>
      <c r="W34" s="126">
        <f>IFERROR(VLOOKUP(C34,Regularizare!B:AX,45,0),"eroare")</f>
        <v>0</v>
      </c>
      <c r="X34" s="126">
        <f>IFERROR(VLOOKUP(C34,Regularizare!B:AX,46,0),"eroare")+IFERROR(VLOOKUP(C34,Regularizare!B:AX,48,0),"eroare")</f>
        <v>229</v>
      </c>
      <c r="Y34" s="126">
        <f>IFERROR(VLOOKUP(C34,Regularizare!B:AX,47,0),"eroare")+IFERROR(VLOOKUP(C34,Regularizare!B:AX,49,0),"eroare")</f>
        <v>145</v>
      </c>
      <c r="Z34" s="126">
        <f t="shared" si="72"/>
        <v>0</v>
      </c>
      <c r="AA34" s="126">
        <f t="shared" si="7"/>
        <v>0</v>
      </c>
      <c r="AB34" s="126">
        <f t="shared" si="73"/>
        <v>0</v>
      </c>
      <c r="AC34" s="126">
        <f t="shared" si="74"/>
        <v>0</v>
      </c>
      <c r="AD34" s="126">
        <f t="shared" si="75"/>
        <v>0</v>
      </c>
      <c r="AE34" s="126">
        <f t="shared" si="76"/>
        <v>0</v>
      </c>
      <c r="AF34" s="126">
        <f t="shared" si="77"/>
        <v>0</v>
      </c>
      <c r="AG34" s="126">
        <f t="shared" si="63"/>
        <v>0</v>
      </c>
      <c r="AH34" s="126">
        <f t="shared" si="78"/>
        <v>0</v>
      </c>
      <c r="AI34" s="126">
        <f t="shared" si="9"/>
        <v>0</v>
      </c>
      <c r="AJ34" s="126">
        <f t="shared" si="10"/>
        <v>0</v>
      </c>
      <c r="AK34" s="126">
        <v>0</v>
      </c>
      <c r="AL34" s="126">
        <v>0</v>
      </c>
      <c r="AM34" s="126">
        <v>0</v>
      </c>
      <c r="AN34" s="126">
        <v>0</v>
      </c>
      <c r="AR34" s="48" t="s">
        <v>704</v>
      </c>
      <c r="AS34" s="1"/>
      <c r="AT34" s="74">
        <f>'Inchidere contur'!$Q$180</f>
        <v>13725627</v>
      </c>
      <c r="AU34" s="59">
        <f>'Inchidere contur'!$R$179</f>
        <v>2815473.5</v>
      </c>
      <c r="AV34" s="59">
        <f>'Inchidere contur'!$S$179</f>
        <v>449098</v>
      </c>
    </row>
    <row r="35" spans="1:81">
      <c r="A35" s="17">
        <v>20</v>
      </c>
      <c r="B35" s="17" t="str">
        <f t="shared" si="49"/>
        <v>RDSC</v>
      </c>
      <c r="C35" s="198" t="s">
        <v>588</v>
      </c>
      <c r="D35" s="198" t="str">
        <f>IFERROR(VLOOKUP(C35,'Inchidere contur'!B:U,20,0),VLOOKUP(C35,'Inchidere contur'!G:U,15,0))</f>
        <v>JT_SDI</v>
      </c>
      <c r="E35" s="126">
        <f>IFERROR(IFERROR(VLOOKUP(C35,'Inchidere contur'!B:U,20-4,0),VLOOKUP(C35,'Inchidere contur'!G:U,15-4,0)),"eroare")</f>
        <v>27073</v>
      </c>
      <c r="F35" s="200">
        <v>0</v>
      </c>
      <c r="G35" s="200">
        <v>0</v>
      </c>
      <c r="H35" s="126">
        <f t="shared" si="68"/>
        <v>27073</v>
      </c>
      <c r="I35" s="126">
        <f t="shared" si="3"/>
        <v>0</v>
      </c>
      <c r="J35" s="126">
        <f t="shared" si="51"/>
        <v>27073</v>
      </c>
      <c r="K35" s="126">
        <f t="shared" si="52"/>
        <v>27073</v>
      </c>
      <c r="L35" s="126">
        <f t="shared" si="53"/>
        <v>27073</v>
      </c>
      <c r="M35" s="126">
        <f t="shared" si="54"/>
        <v>27073</v>
      </c>
      <c r="N35" s="126">
        <f t="shared" si="55"/>
        <v>27073</v>
      </c>
      <c r="O35" s="126">
        <f t="shared" si="56"/>
        <v>27073</v>
      </c>
      <c r="P35" s="126">
        <f t="shared" si="69"/>
        <v>27073</v>
      </c>
      <c r="Q35" s="126">
        <f t="shared" si="5"/>
        <v>27073</v>
      </c>
      <c r="R35" s="126">
        <f t="shared" si="6"/>
        <v>27073</v>
      </c>
      <c r="S35" s="126">
        <f>IFERROR(IFERROR(VLOOKUP(C35,'Inchidere contur'!B:U,20-3,0),VLOOKUP(C35,'Inchidere contur'!G:U,15-3,0)),"eroare")</f>
        <v>70622</v>
      </c>
      <c r="T35" s="126">
        <f>IFERROR(IFERROR(VLOOKUP(C35,'Inchidere contur'!B:U,20-2,0),VLOOKUP(C35,'Inchidere contur'!G:U,15-2,0)),"eroare")</f>
        <v>0</v>
      </c>
      <c r="U35" s="126">
        <f t="shared" si="70"/>
        <v>0</v>
      </c>
      <c r="V35" s="126">
        <f t="shared" si="71"/>
        <v>0</v>
      </c>
      <c r="W35" s="126">
        <f>IFERROR(VLOOKUP(C35,Regularizare!B:AX,45,0),"eroare")</f>
        <v>0</v>
      </c>
      <c r="X35" s="126">
        <f>IFERROR(VLOOKUP(C35,Regularizare!B:AX,46,0),"eroare")+IFERROR(VLOOKUP(C35,Regularizare!B:AX,48,0),"eroare")</f>
        <v>708</v>
      </c>
      <c r="Y35" s="126">
        <f>IFERROR(VLOOKUP(C35,Regularizare!B:AX,47,0),"eroare")+IFERROR(VLOOKUP(C35,Regularizare!B:AX,49,0),"eroare")</f>
        <v>366</v>
      </c>
      <c r="Z35" s="126">
        <f t="shared" si="72"/>
        <v>0</v>
      </c>
      <c r="AA35" s="126">
        <f t="shared" si="7"/>
        <v>0</v>
      </c>
      <c r="AB35" s="126">
        <f t="shared" si="73"/>
        <v>0</v>
      </c>
      <c r="AC35" s="126">
        <f t="shared" si="74"/>
        <v>0</v>
      </c>
      <c r="AD35" s="126">
        <f t="shared" si="75"/>
        <v>0</v>
      </c>
      <c r="AE35" s="126">
        <f t="shared" si="76"/>
        <v>0</v>
      </c>
      <c r="AF35" s="126">
        <f t="shared" si="77"/>
        <v>0</v>
      </c>
      <c r="AG35" s="126">
        <f t="shared" si="63"/>
        <v>0</v>
      </c>
      <c r="AH35" s="126">
        <f t="shared" si="78"/>
        <v>0</v>
      </c>
      <c r="AI35" s="126">
        <f t="shared" si="9"/>
        <v>0</v>
      </c>
      <c r="AJ35" s="126">
        <f t="shared" si="10"/>
        <v>0</v>
      </c>
      <c r="AK35" s="126">
        <v>0</v>
      </c>
      <c r="AL35" s="126">
        <v>0</v>
      </c>
      <c r="AM35" s="126">
        <v>0</v>
      </c>
      <c r="AN35" s="126">
        <v>0</v>
      </c>
      <c r="AR35" s="48" t="s">
        <v>703</v>
      </c>
      <c r="AS35" s="48"/>
      <c r="AT35" s="1">
        <f>AT33-AT34</f>
        <v>-101238</v>
      </c>
      <c r="AU35" s="245">
        <f>BH33-AU34</f>
        <v>0</v>
      </c>
      <c r="AV35" s="245">
        <f>BI33-AV34</f>
        <v>0</v>
      </c>
    </row>
    <row r="36" spans="1:81">
      <c r="A36" s="17">
        <v>20</v>
      </c>
      <c r="B36" s="17" t="str">
        <f t="shared" si="49"/>
        <v>RDSC</v>
      </c>
      <c r="C36" s="198" t="s">
        <v>589</v>
      </c>
      <c r="D36" s="198" t="str">
        <f>IFERROR(VLOOKUP(C36,'Inchidere contur'!B:U,20,0),VLOOKUP(C36,'Inchidere contur'!G:U,15,0))</f>
        <v>JT_SDI</v>
      </c>
      <c r="E36" s="126">
        <f>IFERROR(IFERROR(VLOOKUP(C36,'Inchidere contur'!B:U,20-4,0),VLOOKUP(C36,'Inchidere contur'!G:U,15-4,0)),"eroare")</f>
        <v>128572</v>
      </c>
      <c r="F36" s="200">
        <v>0</v>
      </c>
      <c r="G36" s="200">
        <v>0</v>
      </c>
      <c r="H36" s="126">
        <f t="shared" si="68"/>
        <v>128572</v>
      </c>
      <c r="I36" s="126">
        <f t="shared" ref="I36:I67" si="125">IF(D36=$AQ$48,H36,0)</f>
        <v>0</v>
      </c>
      <c r="J36" s="126">
        <f t="shared" si="51"/>
        <v>128572</v>
      </c>
      <c r="K36" s="126">
        <f t="shared" si="52"/>
        <v>128572</v>
      </c>
      <c r="L36" s="126">
        <f t="shared" si="53"/>
        <v>128572</v>
      </c>
      <c r="M36" s="126">
        <f t="shared" si="54"/>
        <v>128572</v>
      </c>
      <c r="N36" s="126">
        <f t="shared" si="55"/>
        <v>128572</v>
      </c>
      <c r="O36" s="126">
        <f t="shared" si="56"/>
        <v>128572</v>
      </c>
      <c r="P36" s="126">
        <f t="shared" si="69"/>
        <v>128572</v>
      </c>
      <c r="Q36" s="126">
        <f t="shared" ref="Q36:Q69" si="126">IF(OR(D36=$AQ$49,D36=$AQ$50),H36,0)</f>
        <v>128572</v>
      </c>
      <c r="R36" s="126">
        <f t="shared" ref="R36:R69" si="127">IF(OR(D36=$AQ$50),H36,0)</f>
        <v>128572</v>
      </c>
      <c r="S36" s="126">
        <f>IFERROR(IFERROR(VLOOKUP(C36,'Inchidere contur'!B:U,20-3,0),VLOOKUP(C36,'Inchidere contur'!G:U,15-3,0)),"eroare")</f>
        <v>0</v>
      </c>
      <c r="T36" s="126">
        <f>IFERROR(IFERROR(VLOOKUP(C36,'Inchidere contur'!B:U,20-2,0),VLOOKUP(C36,'Inchidere contur'!G:U,15-2,0)),"eroare")</f>
        <v>56743</v>
      </c>
      <c r="U36" s="126">
        <f t="shared" si="70"/>
        <v>56743</v>
      </c>
      <c r="V36" s="126">
        <f t="shared" si="71"/>
        <v>56743</v>
      </c>
      <c r="W36" s="126">
        <f>IFERROR(VLOOKUP(C36,Regularizare!B:AX,45,0),"eroare")</f>
        <v>0</v>
      </c>
      <c r="X36" s="126">
        <f>IFERROR(VLOOKUP(C36,Regularizare!B:AX,46,0),"eroare")+IFERROR(VLOOKUP(C36,Regularizare!B:AX,48,0),"eroare")</f>
        <v>3186</v>
      </c>
      <c r="Y36" s="126">
        <f>IFERROR(VLOOKUP(C36,Regularizare!B:AX,47,0),"eroare")+IFERROR(VLOOKUP(C36,Regularizare!B:AX,49,0),"eroare")</f>
        <v>1646</v>
      </c>
      <c r="Z36" s="126">
        <f t="shared" si="72"/>
        <v>0</v>
      </c>
      <c r="AA36" s="126">
        <f t="shared" ref="AA36:AA67" si="128">IF(D36=$AQ$48,Z36,0)</f>
        <v>0</v>
      </c>
      <c r="AB36" s="126">
        <f t="shared" si="73"/>
        <v>0</v>
      </c>
      <c r="AC36" s="126">
        <f t="shared" si="74"/>
        <v>0</v>
      </c>
      <c r="AD36" s="126">
        <f t="shared" si="75"/>
        <v>0</v>
      </c>
      <c r="AE36" s="126">
        <f t="shared" si="76"/>
        <v>0</v>
      </c>
      <c r="AF36" s="126">
        <f t="shared" si="77"/>
        <v>0</v>
      </c>
      <c r="AG36" s="126">
        <f t="shared" si="63"/>
        <v>0</v>
      </c>
      <c r="AH36" s="126">
        <f t="shared" si="78"/>
        <v>0</v>
      </c>
      <c r="AI36" s="126">
        <f t="shared" ref="AI36:AI67" si="129">IF(OR(D36=$AQ$49,D36=$AQ$50),W36,0)</f>
        <v>0</v>
      </c>
      <c r="AJ36" s="126">
        <f t="shared" ref="AJ36:AJ67" si="130">IF(OR(D36=$AQ$50),W36,0)</f>
        <v>0</v>
      </c>
      <c r="AK36" s="126">
        <v>0</v>
      </c>
      <c r="AL36" s="126">
        <v>0</v>
      </c>
      <c r="AM36" s="126">
        <v>0</v>
      </c>
      <c r="AN36" s="126">
        <v>0</v>
      </c>
    </row>
    <row r="37" spans="1:81">
      <c r="A37" s="17">
        <v>20</v>
      </c>
      <c r="B37" s="17" t="str">
        <f t="shared" si="49"/>
        <v>RGSC</v>
      </c>
      <c r="C37" s="198" t="s">
        <v>590</v>
      </c>
      <c r="D37" s="198" t="str">
        <f>IFERROR(VLOOKUP(C37,'Inchidere contur'!B:U,20,0),VLOOKUP(C37,'Inchidere contur'!G:U,15,0))</f>
        <v>JT_SDI</v>
      </c>
      <c r="E37" s="126">
        <f>IFERROR(IFERROR(VLOOKUP(C37,'Inchidere contur'!B:U,20-4,0),VLOOKUP(C37,'Inchidere contur'!G:U,15-4,0)),"eroare")</f>
        <v>290108</v>
      </c>
      <c r="F37" s="200">
        <v>0</v>
      </c>
      <c r="G37" s="200">
        <v>0</v>
      </c>
      <c r="H37" s="126">
        <f t="shared" si="68"/>
        <v>290108</v>
      </c>
      <c r="I37" s="126">
        <f t="shared" si="125"/>
        <v>0</v>
      </c>
      <c r="J37" s="126">
        <f t="shared" si="51"/>
        <v>290108</v>
      </c>
      <c r="K37" s="126">
        <f t="shared" si="52"/>
        <v>290108</v>
      </c>
      <c r="L37" s="126">
        <f t="shared" si="53"/>
        <v>290108</v>
      </c>
      <c r="M37" s="126">
        <f t="shared" si="54"/>
        <v>290108</v>
      </c>
      <c r="N37" s="126">
        <f t="shared" si="55"/>
        <v>290108</v>
      </c>
      <c r="O37" s="126">
        <f t="shared" si="56"/>
        <v>290108</v>
      </c>
      <c r="P37" s="126">
        <f t="shared" si="69"/>
        <v>290108</v>
      </c>
      <c r="Q37" s="126">
        <f t="shared" si="126"/>
        <v>290108</v>
      </c>
      <c r="R37" s="126">
        <f t="shared" si="127"/>
        <v>290108</v>
      </c>
      <c r="S37" s="126">
        <f>IFERROR(IFERROR(VLOOKUP(C37,'Inchidere contur'!B:U,20-3,0),VLOOKUP(C37,'Inchidere contur'!G:U,15-3,0)),"eroare")</f>
        <v>0</v>
      </c>
      <c r="T37" s="126">
        <f>IFERROR(IFERROR(VLOOKUP(C37,'Inchidere contur'!B:U,20-2,0),VLOOKUP(C37,'Inchidere contur'!G:U,15-2,0)),"eroare")</f>
        <v>11181</v>
      </c>
      <c r="U37" s="126">
        <f t="shared" si="70"/>
        <v>11181</v>
      </c>
      <c r="V37" s="126">
        <f t="shared" si="71"/>
        <v>11181</v>
      </c>
      <c r="W37" s="126">
        <f>IFERROR(VLOOKUP(C37,Regularizare!B:AX,45,0),"eroare")</f>
        <v>0</v>
      </c>
      <c r="X37" s="126">
        <f>IFERROR(VLOOKUP(C37,Regularizare!B:AX,46,0),"eroare")+IFERROR(VLOOKUP(C37,Regularizare!B:AX,48,0),"eroare")</f>
        <v>4568</v>
      </c>
      <c r="Y37" s="126">
        <f>IFERROR(VLOOKUP(C37,Regularizare!B:AX,47,0),"eroare")+IFERROR(VLOOKUP(C37,Regularizare!B:AX,49,0),"eroare")</f>
        <v>2884</v>
      </c>
      <c r="Z37" s="126">
        <f t="shared" si="72"/>
        <v>0</v>
      </c>
      <c r="AA37" s="126">
        <f t="shared" si="128"/>
        <v>0</v>
      </c>
      <c r="AB37" s="126">
        <f t="shared" si="73"/>
        <v>0</v>
      </c>
      <c r="AC37" s="126">
        <f t="shared" si="74"/>
        <v>0</v>
      </c>
      <c r="AD37" s="126">
        <f t="shared" si="75"/>
        <v>0</v>
      </c>
      <c r="AE37" s="126">
        <f t="shared" si="76"/>
        <v>0</v>
      </c>
      <c r="AF37" s="126">
        <f t="shared" si="77"/>
        <v>0</v>
      </c>
      <c r="AG37" s="126">
        <f t="shared" si="63"/>
        <v>0</v>
      </c>
      <c r="AH37" s="126">
        <f t="shared" si="78"/>
        <v>0</v>
      </c>
      <c r="AI37" s="126">
        <f t="shared" si="129"/>
        <v>0</v>
      </c>
      <c r="AJ37" s="126">
        <f t="shared" si="130"/>
        <v>0</v>
      </c>
      <c r="AK37" s="126">
        <v>0</v>
      </c>
      <c r="AL37" s="126">
        <v>0</v>
      </c>
      <c r="AM37" s="126">
        <v>0</v>
      </c>
      <c r="AN37" s="126">
        <v>0</v>
      </c>
    </row>
    <row r="38" spans="1:81">
      <c r="A38" s="17">
        <v>20</v>
      </c>
      <c r="B38" s="17" t="str">
        <f t="shared" si="49"/>
        <v>RGSC</v>
      </c>
      <c r="C38" s="198" t="s">
        <v>591</v>
      </c>
      <c r="D38" s="198" t="str">
        <f>IFERROR(VLOOKUP(C38,'Inchidere contur'!B:U,20,0),VLOOKUP(C38,'Inchidere contur'!G:U,15,0))</f>
        <v>JT_SDI</v>
      </c>
      <c r="E38" s="126">
        <f>IFERROR(IFERROR(VLOOKUP(C38,'Inchidere contur'!B:U,20-4,0),VLOOKUP(C38,'Inchidere contur'!G:U,15-4,0)),"eroare")</f>
        <v>33464</v>
      </c>
      <c r="F38" s="200">
        <v>0</v>
      </c>
      <c r="G38" s="200">
        <v>0</v>
      </c>
      <c r="H38" s="126">
        <f t="shared" si="68"/>
        <v>33464</v>
      </c>
      <c r="I38" s="126">
        <f t="shared" si="125"/>
        <v>0</v>
      </c>
      <c r="J38" s="126">
        <f t="shared" si="51"/>
        <v>33464</v>
      </c>
      <c r="K38" s="126">
        <f t="shared" si="52"/>
        <v>33464</v>
      </c>
      <c r="L38" s="126">
        <f t="shared" si="53"/>
        <v>33464</v>
      </c>
      <c r="M38" s="126">
        <f t="shared" si="54"/>
        <v>33464</v>
      </c>
      <c r="N38" s="126">
        <f t="shared" si="55"/>
        <v>33464</v>
      </c>
      <c r="O38" s="126">
        <f t="shared" si="56"/>
        <v>33464</v>
      </c>
      <c r="P38" s="126">
        <f t="shared" si="69"/>
        <v>33464</v>
      </c>
      <c r="Q38" s="126">
        <f t="shared" si="126"/>
        <v>33464</v>
      </c>
      <c r="R38" s="126">
        <f t="shared" si="127"/>
        <v>33464</v>
      </c>
      <c r="S38" s="126">
        <f>IFERROR(IFERROR(VLOOKUP(C38,'Inchidere contur'!B:U,20-3,0),VLOOKUP(C38,'Inchidere contur'!G:U,15-3,0)),"eroare")</f>
        <v>157386</v>
      </c>
      <c r="T38" s="126">
        <f>IFERROR(IFERROR(VLOOKUP(C38,'Inchidere contur'!B:U,20-2,0),VLOOKUP(C38,'Inchidere contur'!G:U,15-2,0)),"eroare")</f>
        <v>0</v>
      </c>
      <c r="U38" s="126">
        <f t="shared" si="70"/>
        <v>0</v>
      </c>
      <c r="V38" s="126">
        <f t="shared" si="71"/>
        <v>0</v>
      </c>
      <c r="W38" s="126">
        <f>IFERROR(VLOOKUP(C38,Regularizare!B:AX,45,0),"eroare")</f>
        <v>0</v>
      </c>
      <c r="X38" s="126">
        <f>IFERROR(VLOOKUP(C38,Regularizare!B:AX,46,0),"eroare")+IFERROR(VLOOKUP(C38,Regularizare!B:AX,48,0),"eroare")</f>
        <v>2346</v>
      </c>
      <c r="Y38" s="126">
        <f>IFERROR(VLOOKUP(C38,Regularizare!B:AX,47,0),"eroare")+IFERROR(VLOOKUP(C38,Regularizare!B:AX,49,0),"eroare")</f>
        <v>1481</v>
      </c>
      <c r="Z38" s="126">
        <f t="shared" si="72"/>
        <v>0</v>
      </c>
      <c r="AA38" s="126">
        <f t="shared" si="128"/>
        <v>0</v>
      </c>
      <c r="AB38" s="126">
        <f t="shared" si="73"/>
        <v>0</v>
      </c>
      <c r="AC38" s="126">
        <f t="shared" si="74"/>
        <v>0</v>
      </c>
      <c r="AD38" s="126">
        <f t="shared" si="75"/>
        <v>0</v>
      </c>
      <c r="AE38" s="126">
        <f t="shared" si="76"/>
        <v>0</v>
      </c>
      <c r="AF38" s="126">
        <f t="shared" si="77"/>
        <v>0</v>
      </c>
      <c r="AG38" s="126">
        <f t="shared" si="63"/>
        <v>0</v>
      </c>
      <c r="AH38" s="126">
        <f t="shared" si="78"/>
        <v>0</v>
      </c>
      <c r="AI38" s="126">
        <f t="shared" si="129"/>
        <v>0</v>
      </c>
      <c r="AJ38" s="126">
        <f t="shared" si="130"/>
        <v>0</v>
      </c>
      <c r="AK38" s="126">
        <v>0</v>
      </c>
      <c r="AL38" s="126">
        <v>0</v>
      </c>
      <c r="AM38" s="126">
        <v>0</v>
      </c>
      <c r="AN38" s="126">
        <v>0</v>
      </c>
    </row>
    <row r="39" spans="1:81">
      <c r="A39" s="17">
        <v>20</v>
      </c>
      <c r="B39" s="17" t="str">
        <f t="shared" si="49"/>
        <v>RGSC</v>
      </c>
      <c r="C39" s="198" t="s">
        <v>592</v>
      </c>
      <c r="D39" s="198" t="str">
        <f>IFERROR(VLOOKUP(C39,'Inchidere contur'!B:U,20,0),VLOOKUP(C39,'Inchidere contur'!G:U,15,0))</f>
        <v>JT_SDI</v>
      </c>
      <c r="E39" s="126">
        <f>IFERROR(IFERROR(VLOOKUP(C39,'Inchidere contur'!B:U,20-4,0),VLOOKUP(C39,'Inchidere contur'!G:U,15-4,0)),"eroare")</f>
        <v>118803</v>
      </c>
      <c r="F39" s="200">
        <v>0</v>
      </c>
      <c r="G39" s="200">
        <v>0</v>
      </c>
      <c r="H39" s="126">
        <f t="shared" si="68"/>
        <v>118803</v>
      </c>
      <c r="I39" s="126">
        <f t="shared" si="125"/>
        <v>0</v>
      </c>
      <c r="J39" s="126">
        <f t="shared" si="51"/>
        <v>118803</v>
      </c>
      <c r="K39" s="126">
        <f t="shared" si="52"/>
        <v>118803</v>
      </c>
      <c r="L39" s="126">
        <f t="shared" si="53"/>
        <v>118803</v>
      </c>
      <c r="M39" s="126">
        <f t="shared" si="54"/>
        <v>118803</v>
      </c>
      <c r="N39" s="126">
        <f t="shared" si="55"/>
        <v>118803</v>
      </c>
      <c r="O39" s="126">
        <f t="shared" si="56"/>
        <v>118803</v>
      </c>
      <c r="P39" s="126">
        <f t="shared" si="69"/>
        <v>118803</v>
      </c>
      <c r="Q39" s="126">
        <f t="shared" si="126"/>
        <v>118803</v>
      </c>
      <c r="R39" s="126">
        <f t="shared" si="127"/>
        <v>118803</v>
      </c>
      <c r="S39" s="126">
        <f>IFERROR(IFERROR(VLOOKUP(C39,'Inchidere contur'!B:U,20-3,0),VLOOKUP(C39,'Inchidere contur'!G:U,15-3,0)),"eroare")</f>
        <v>0</v>
      </c>
      <c r="T39" s="126">
        <f>IFERROR(IFERROR(VLOOKUP(C39,'Inchidere contur'!B:U,20-2,0),VLOOKUP(C39,'Inchidere contur'!G:U,15-2,0)),"eroare")</f>
        <v>6830</v>
      </c>
      <c r="U39" s="126">
        <f t="shared" si="70"/>
        <v>6830</v>
      </c>
      <c r="V39" s="126">
        <f t="shared" si="71"/>
        <v>6830</v>
      </c>
      <c r="W39" s="126">
        <f>IFERROR(VLOOKUP(C39,Regularizare!B:AX,45,0),"eroare")</f>
        <v>0</v>
      </c>
      <c r="X39" s="126">
        <f>IFERROR(VLOOKUP(C39,Regularizare!B:AX,46,0),"eroare")+IFERROR(VLOOKUP(C39,Regularizare!B:AX,48,0),"eroare")</f>
        <v>0</v>
      </c>
      <c r="Y39" s="126">
        <f>IFERROR(VLOOKUP(C39,Regularizare!B:AX,47,0),"eroare")+IFERROR(VLOOKUP(C39,Regularizare!B:AX,49,0),"eroare")</f>
        <v>0</v>
      </c>
      <c r="Z39" s="126">
        <f t="shared" si="72"/>
        <v>0</v>
      </c>
      <c r="AA39" s="126">
        <f t="shared" si="128"/>
        <v>0</v>
      </c>
      <c r="AB39" s="126">
        <f t="shared" si="73"/>
        <v>0</v>
      </c>
      <c r="AC39" s="126">
        <f t="shared" si="74"/>
        <v>0</v>
      </c>
      <c r="AD39" s="126">
        <f t="shared" si="75"/>
        <v>0</v>
      </c>
      <c r="AE39" s="126">
        <f t="shared" si="76"/>
        <v>0</v>
      </c>
      <c r="AF39" s="126">
        <f t="shared" si="77"/>
        <v>0</v>
      </c>
      <c r="AG39" s="126">
        <f t="shared" si="63"/>
        <v>0</v>
      </c>
      <c r="AH39" s="126">
        <f t="shared" si="78"/>
        <v>0</v>
      </c>
      <c r="AI39" s="126">
        <f t="shared" si="129"/>
        <v>0</v>
      </c>
      <c r="AJ39" s="126">
        <f t="shared" si="130"/>
        <v>0</v>
      </c>
      <c r="AK39" s="126">
        <v>0</v>
      </c>
      <c r="AL39" s="126">
        <v>0</v>
      </c>
      <c r="AM39" s="126">
        <v>0</v>
      </c>
      <c r="AN39" s="126">
        <v>0</v>
      </c>
    </row>
    <row r="40" spans="1:81">
      <c r="A40" s="17">
        <v>20</v>
      </c>
      <c r="B40" s="17" t="str">
        <f t="shared" si="49"/>
        <v>RGSC</v>
      </c>
      <c r="C40" s="198" t="s">
        <v>593</v>
      </c>
      <c r="D40" s="198" t="str">
        <f>IFERROR(VLOOKUP(C40,'Inchidere contur'!B:U,20,0),VLOOKUP(C40,'Inchidere contur'!G:U,15,0))</f>
        <v>JT_SDI</v>
      </c>
      <c r="E40" s="126">
        <f>IFERROR(IFERROR(VLOOKUP(C40,'Inchidere contur'!B:U,20-4,0),VLOOKUP(C40,'Inchidere contur'!G:U,15-4,0)),"eroare")</f>
        <v>254118</v>
      </c>
      <c r="F40" s="200">
        <v>0</v>
      </c>
      <c r="G40" s="200">
        <v>0</v>
      </c>
      <c r="H40" s="126">
        <f t="shared" si="68"/>
        <v>254118</v>
      </c>
      <c r="I40" s="126">
        <f t="shared" si="125"/>
        <v>0</v>
      </c>
      <c r="J40" s="126">
        <f t="shared" si="51"/>
        <v>254118</v>
      </c>
      <c r="K40" s="126">
        <f t="shared" si="52"/>
        <v>254118</v>
      </c>
      <c r="L40" s="126">
        <f t="shared" si="53"/>
        <v>254118</v>
      </c>
      <c r="M40" s="126">
        <f t="shared" si="54"/>
        <v>254118</v>
      </c>
      <c r="N40" s="126">
        <f t="shared" si="55"/>
        <v>254118</v>
      </c>
      <c r="O40" s="126">
        <f t="shared" si="56"/>
        <v>254118</v>
      </c>
      <c r="P40" s="126">
        <f t="shared" si="69"/>
        <v>254118</v>
      </c>
      <c r="Q40" s="126">
        <f t="shared" si="126"/>
        <v>254118</v>
      </c>
      <c r="R40" s="126">
        <f t="shared" si="127"/>
        <v>254118</v>
      </c>
      <c r="S40" s="126">
        <f>IFERROR(IFERROR(VLOOKUP(C40,'Inchidere contur'!B:U,20-3,0),VLOOKUP(C40,'Inchidere contur'!G:U,15-3,0)),"eroare")</f>
        <v>106240</v>
      </c>
      <c r="T40" s="126">
        <f>IFERROR(IFERROR(VLOOKUP(C40,'Inchidere contur'!B:U,20-2,0),VLOOKUP(C40,'Inchidere contur'!G:U,15-2,0)),"eroare")</f>
        <v>0</v>
      </c>
      <c r="U40" s="126">
        <f t="shared" si="70"/>
        <v>0</v>
      </c>
      <c r="V40" s="126">
        <f t="shared" si="71"/>
        <v>0</v>
      </c>
      <c r="W40" s="126">
        <f>IFERROR(VLOOKUP(C40,Regularizare!B:AX,45,0),"eroare")</f>
        <v>0</v>
      </c>
      <c r="X40" s="126">
        <f>IFERROR(VLOOKUP(C40,Regularizare!B:AX,46,0),"eroare")+IFERROR(VLOOKUP(C40,Regularizare!B:AX,48,0),"eroare")</f>
        <v>0</v>
      </c>
      <c r="Y40" s="126">
        <f>IFERROR(VLOOKUP(C40,Regularizare!B:AX,47,0),"eroare")+IFERROR(VLOOKUP(C40,Regularizare!B:AX,49,0),"eroare")</f>
        <v>0</v>
      </c>
      <c r="Z40" s="126">
        <f t="shared" si="72"/>
        <v>0</v>
      </c>
      <c r="AA40" s="126">
        <f t="shared" si="128"/>
        <v>0</v>
      </c>
      <c r="AB40" s="126">
        <f t="shared" si="73"/>
        <v>0</v>
      </c>
      <c r="AC40" s="126">
        <f t="shared" si="74"/>
        <v>0</v>
      </c>
      <c r="AD40" s="126">
        <f t="shared" si="75"/>
        <v>0</v>
      </c>
      <c r="AE40" s="126">
        <f t="shared" si="76"/>
        <v>0</v>
      </c>
      <c r="AF40" s="126">
        <f t="shared" si="77"/>
        <v>0</v>
      </c>
      <c r="AG40" s="126">
        <f t="shared" si="63"/>
        <v>0</v>
      </c>
      <c r="AH40" s="126">
        <f t="shared" si="78"/>
        <v>0</v>
      </c>
      <c r="AI40" s="126">
        <f t="shared" si="129"/>
        <v>0</v>
      </c>
      <c r="AJ40" s="126">
        <f t="shared" si="130"/>
        <v>0</v>
      </c>
      <c r="AK40" s="126">
        <v>0</v>
      </c>
      <c r="AL40" s="126">
        <v>0</v>
      </c>
      <c r="AM40" s="126">
        <v>0</v>
      </c>
      <c r="AN40" s="126">
        <v>0</v>
      </c>
    </row>
    <row r="41" spans="1:81">
      <c r="A41" s="17">
        <v>20</v>
      </c>
      <c r="B41" s="17" t="str">
        <f t="shared" si="49"/>
        <v>RTIM</v>
      </c>
      <c r="C41" s="198" t="s">
        <v>594</v>
      </c>
      <c r="D41" s="198" t="str">
        <f>IFERROR(VLOOKUP(C41,'Inchidere contur'!B:U,20,0),VLOOKUP(C41,'Inchidere contur'!G:U,15,0))</f>
        <v>JT_SDI</v>
      </c>
      <c r="E41" s="126">
        <f>IFERROR(IFERROR(VLOOKUP(C41,'Inchidere contur'!B:U,20-4,0),VLOOKUP(C41,'Inchidere contur'!G:U,15-4,0)),"eroare")</f>
        <v>256500</v>
      </c>
      <c r="F41" s="200">
        <v>0</v>
      </c>
      <c r="G41" s="200">
        <v>0</v>
      </c>
      <c r="H41" s="126">
        <f t="shared" si="68"/>
        <v>256500</v>
      </c>
      <c r="I41" s="126">
        <f t="shared" si="125"/>
        <v>0</v>
      </c>
      <c r="J41" s="126">
        <f t="shared" si="51"/>
        <v>256500</v>
      </c>
      <c r="K41" s="126">
        <f t="shared" si="52"/>
        <v>256500</v>
      </c>
      <c r="L41" s="126">
        <f t="shared" si="53"/>
        <v>256500</v>
      </c>
      <c r="M41" s="126">
        <f t="shared" si="54"/>
        <v>256500</v>
      </c>
      <c r="N41" s="126">
        <f t="shared" si="55"/>
        <v>256500</v>
      </c>
      <c r="O41" s="126">
        <f t="shared" si="56"/>
        <v>256500</v>
      </c>
      <c r="P41" s="126">
        <f t="shared" si="69"/>
        <v>256500</v>
      </c>
      <c r="Q41" s="126">
        <f t="shared" si="126"/>
        <v>256500</v>
      </c>
      <c r="R41" s="126">
        <f t="shared" si="127"/>
        <v>256500</v>
      </c>
      <c r="S41" s="126">
        <f>IFERROR(IFERROR(VLOOKUP(C41,'Inchidere contur'!B:U,20-3,0),VLOOKUP(C41,'Inchidere contur'!G:U,15-3,0)),"eroare")</f>
        <v>0</v>
      </c>
      <c r="T41" s="126">
        <f>IFERROR(IFERROR(VLOOKUP(C41,'Inchidere contur'!B:U,20-2,0),VLOOKUP(C41,'Inchidere contur'!G:U,15-2,0)),"eroare")</f>
        <v>11982</v>
      </c>
      <c r="U41" s="126">
        <f t="shared" si="70"/>
        <v>11982</v>
      </c>
      <c r="V41" s="126">
        <f t="shared" si="71"/>
        <v>11982</v>
      </c>
      <c r="W41" s="126">
        <f>IFERROR(VLOOKUP(C41,Regularizare!B:AX,45,0),"eroare")</f>
        <v>0</v>
      </c>
      <c r="X41" s="126">
        <f>IFERROR(VLOOKUP(C41,Regularizare!B:AX,46,0),"eroare")+IFERROR(VLOOKUP(C41,Regularizare!B:AX,48,0),"eroare")</f>
        <v>83</v>
      </c>
      <c r="Y41" s="126">
        <f>IFERROR(VLOOKUP(C41,Regularizare!B:AX,47,0),"eroare")+IFERROR(VLOOKUP(C41,Regularizare!B:AX,49,0),"eroare")</f>
        <v>30</v>
      </c>
      <c r="Z41" s="126">
        <f t="shared" si="72"/>
        <v>0</v>
      </c>
      <c r="AA41" s="126">
        <f t="shared" si="128"/>
        <v>0</v>
      </c>
      <c r="AB41" s="126">
        <f t="shared" si="73"/>
        <v>0</v>
      </c>
      <c r="AC41" s="126">
        <f t="shared" si="74"/>
        <v>0</v>
      </c>
      <c r="AD41" s="126">
        <f t="shared" si="75"/>
        <v>0</v>
      </c>
      <c r="AE41" s="126">
        <f t="shared" si="76"/>
        <v>0</v>
      </c>
      <c r="AF41" s="126">
        <f t="shared" si="77"/>
        <v>0</v>
      </c>
      <c r="AG41" s="126">
        <f t="shared" si="63"/>
        <v>0</v>
      </c>
      <c r="AH41" s="126">
        <f t="shared" si="78"/>
        <v>0</v>
      </c>
      <c r="AI41" s="126">
        <f t="shared" si="129"/>
        <v>0</v>
      </c>
      <c r="AJ41" s="126">
        <f t="shared" si="130"/>
        <v>0</v>
      </c>
      <c r="AK41" s="126">
        <v>0</v>
      </c>
      <c r="AL41" s="126">
        <v>0</v>
      </c>
      <c r="AM41" s="126">
        <v>0</v>
      </c>
      <c r="AN41" s="126">
        <v>0</v>
      </c>
    </row>
    <row r="42" spans="1:81">
      <c r="A42" s="17">
        <v>20</v>
      </c>
      <c r="B42" s="17" t="str">
        <f t="shared" si="49"/>
        <v>RTIM</v>
      </c>
      <c r="C42" s="198" t="s">
        <v>595</v>
      </c>
      <c r="D42" s="198" t="str">
        <f>IFERROR(VLOOKUP(C42,'Inchidere contur'!B:U,20,0),VLOOKUP(C42,'Inchidere contur'!G:U,15,0))</f>
        <v>JT_SDI</v>
      </c>
      <c r="E42" s="126">
        <f>IFERROR(IFERROR(VLOOKUP(C42,'Inchidere contur'!B:U,20-4,0),VLOOKUP(C42,'Inchidere contur'!G:U,15-4,0)),"eroare")</f>
        <v>452670</v>
      </c>
      <c r="F42" s="200">
        <v>0</v>
      </c>
      <c r="G42" s="200">
        <v>0</v>
      </c>
      <c r="H42" s="126">
        <f t="shared" si="68"/>
        <v>452670</v>
      </c>
      <c r="I42" s="126">
        <f t="shared" si="125"/>
        <v>0</v>
      </c>
      <c r="J42" s="126">
        <f t="shared" si="51"/>
        <v>452670</v>
      </c>
      <c r="K42" s="126">
        <f t="shared" si="52"/>
        <v>452670</v>
      </c>
      <c r="L42" s="126">
        <f t="shared" si="53"/>
        <v>452670</v>
      </c>
      <c r="M42" s="126">
        <f t="shared" si="54"/>
        <v>452670</v>
      </c>
      <c r="N42" s="126">
        <f t="shared" si="55"/>
        <v>452670</v>
      </c>
      <c r="O42" s="126">
        <f t="shared" si="56"/>
        <v>452670</v>
      </c>
      <c r="P42" s="126">
        <f t="shared" si="69"/>
        <v>452670</v>
      </c>
      <c r="Q42" s="126">
        <f t="shared" si="126"/>
        <v>452670</v>
      </c>
      <c r="R42" s="126">
        <f t="shared" si="127"/>
        <v>452670</v>
      </c>
      <c r="S42" s="126">
        <f>IFERROR(IFERROR(VLOOKUP(C42,'Inchidere contur'!B:U,20-3,0),VLOOKUP(C42,'Inchidere contur'!G:U,15-3,0)),"eroare")</f>
        <v>0</v>
      </c>
      <c r="T42" s="126">
        <f>IFERROR(IFERROR(VLOOKUP(C42,'Inchidere contur'!B:U,20-2,0),VLOOKUP(C42,'Inchidere contur'!G:U,15-2,0)),"eroare")</f>
        <v>0</v>
      </c>
      <c r="U42" s="126">
        <f t="shared" si="70"/>
        <v>0</v>
      </c>
      <c r="V42" s="126">
        <f t="shared" si="71"/>
        <v>0</v>
      </c>
      <c r="W42" s="126">
        <f>IFERROR(VLOOKUP(C42,Regularizare!B:AX,45,0),"eroare")</f>
        <v>0</v>
      </c>
      <c r="X42" s="126">
        <f>IFERROR(VLOOKUP(C42,Regularizare!B:AX,46,0),"eroare")+IFERROR(VLOOKUP(C42,Regularizare!B:AX,48,0),"eroare")</f>
        <v>148</v>
      </c>
      <c r="Y42" s="126">
        <f>IFERROR(VLOOKUP(C42,Regularizare!B:AX,47,0),"eroare")+IFERROR(VLOOKUP(C42,Regularizare!B:AX,49,0),"eroare")</f>
        <v>53</v>
      </c>
      <c r="Z42" s="126">
        <f t="shared" si="72"/>
        <v>0</v>
      </c>
      <c r="AA42" s="126">
        <f t="shared" si="128"/>
        <v>0</v>
      </c>
      <c r="AB42" s="126">
        <f t="shared" si="73"/>
        <v>0</v>
      </c>
      <c r="AC42" s="126">
        <f t="shared" si="74"/>
        <v>0</v>
      </c>
      <c r="AD42" s="126">
        <f t="shared" si="75"/>
        <v>0</v>
      </c>
      <c r="AE42" s="126">
        <f t="shared" si="76"/>
        <v>0</v>
      </c>
      <c r="AF42" s="126">
        <f t="shared" si="77"/>
        <v>0</v>
      </c>
      <c r="AG42" s="126">
        <f t="shared" si="63"/>
        <v>0</v>
      </c>
      <c r="AH42" s="126">
        <f t="shared" si="78"/>
        <v>0</v>
      </c>
      <c r="AI42" s="126">
        <f t="shared" si="129"/>
        <v>0</v>
      </c>
      <c r="AJ42" s="126">
        <f t="shared" si="130"/>
        <v>0</v>
      </c>
      <c r="AK42" s="126">
        <v>0</v>
      </c>
      <c r="AL42" s="126">
        <v>0</v>
      </c>
      <c r="AM42" s="126">
        <v>0</v>
      </c>
      <c r="AN42" s="126">
        <v>0</v>
      </c>
    </row>
    <row r="43" spans="1:81">
      <c r="A43" s="17">
        <v>20</v>
      </c>
      <c r="B43" s="17" t="str">
        <f t="shared" si="49"/>
        <v>RTIM</v>
      </c>
      <c r="C43" s="198" t="s">
        <v>596</v>
      </c>
      <c r="D43" s="198" t="str">
        <f>IFERROR(VLOOKUP(C43,'Inchidere contur'!B:U,20,0),VLOOKUP(C43,'Inchidere contur'!G:U,15,0))</f>
        <v>JT_SDI</v>
      </c>
      <c r="E43" s="126">
        <f>IFERROR(IFERROR(VLOOKUP(C43,'Inchidere contur'!B:U,20-4,0),VLOOKUP(C43,'Inchidere contur'!G:U,15-4,0)),"eroare")</f>
        <v>165336</v>
      </c>
      <c r="F43" s="200">
        <v>0</v>
      </c>
      <c r="G43" s="200">
        <v>0</v>
      </c>
      <c r="H43" s="126">
        <f t="shared" si="68"/>
        <v>165336</v>
      </c>
      <c r="I43" s="126">
        <f t="shared" si="125"/>
        <v>0</v>
      </c>
      <c r="J43" s="126">
        <f t="shared" si="51"/>
        <v>165336</v>
      </c>
      <c r="K43" s="126">
        <f t="shared" si="52"/>
        <v>165336</v>
      </c>
      <c r="L43" s="126">
        <f t="shared" si="53"/>
        <v>165336</v>
      </c>
      <c r="M43" s="126">
        <f t="shared" si="54"/>
        <v>165336</v>
      </c>
      <c r="N43" s="126">
        <f t="shared" si="55"/>
        <v>165336</v>
      </c>
      <c r="O43" s="126">
        <f t="shared" si="56"/>
        <v>165336</v>
      </c>
      <c r="P43" s="126">
        <f t="shared" si="69"/>
        <v>165336</v>
      </c>
      <c r="Q43" s="126">
        <f t="shared" si="126"/>
        <v>165336</v>
      </c>
      <c r="R43" s="126">
        <f t="shared" si="127"/>
        <v>165336</v>
      </c>
      <c r="S43" s="126">
        <f>IFERROR(IFERROR(VLOOKUP(C43,'Inchidere contur'!B:U,20-3,0),VLOOKUP(C43,'Inchidere contur'!G:U,15-3,0)),"eroare")</f>
        <v>147904</v>
      </c>
      <c r="T43" s="126">
        <f>IFERROR(IFERROR(VLOOKUP(C43,'Inchidere contur'!B:U,20-2,0),VLOOKUP(C43,'Inchidere contur'!G:U,15-2,0)),"eroare")</f>
        <v>0</v>
      </c>
      <c r="U43" s="126">
        <f t="shared" si="70"/>
        <v>0</v>
      </c>
      <c r="V43" s="126">
        <f t="shared" si="71"/>
        <v>0</v>
      </c>
      <c r="W43" s="126">
        <f>IFERROR(VLOOKUP(C43,Regularizare!B:AX,45,0),"eroare")</f>
        <v>0</v>
      </c>
      <c r="X43" s="126">
        <f>IFERROR(VLOOKUP(C43,Regularizare!B:AX,46,0),"eroare")+IFERROR(VLOOKUP(C43,Regularizare!B:AX,48,0),"eroare")</f>
        <v>52</v>
      </c>
      <c r="Y43" s="126">
        <f>IFERROR(VLOOKUP(C43,Regularizare!B:AX,47,0),"eroare")+IFERROR(VLOOKUP(C43,Regularizare!B:AX,49,0),"eroare")</f>
        <v>19</v>
      </c>
      <c r="Z43" s="126">
        <f t="shared" si="72"/>
        <v>0</v>
      </c>
      <c r="AA43" s="126">
        <f t="shared" si="128"/>
        <v>0</v>
      </c>
      <c r="AB43" s="126">
        <f t="shared" si="73"/>
        <v>0</v>
      </c>
      <c r="AC43" s="126">
        <f t="shared" si="74"/>
        <v>0</v>
      </c>
      <c r="AD43" s="126">
        <f t="shared" si="75"/>
        <v>0</v>
      </c>
      <c r="AE43" s="126">
        <f t="shared" si="76"/>
        <v>0</v>
      </c>
      <c r="AF43" s="126">
        <f t="shared" si="77"/>
        <v>0</v>
      </c>
      <c r="AG43" s="126">
        <f t="shared" si="63"/>
        <v>0</v>
      </c>
      <c r="AH43" s="126">
        <f t="shared" si="78"/>
        <v>0</v>
      </c>
      <c r="AI43" s="126">
        <f t="shared" si="129"/>
        <v>0</v>
      </c>
      <c r="AJ43" s="126">
        <f t="shared" si="130"/>
        <v>0</v>
      </c>
      <c r="AK43" s="126">
        <v>0</v>
      </c>
      <c r="AL43" s="126">
        <v>0</v>
      </c>
      <c r="AM43" s="126">
        <v>0</v>
      </c>
      <c r="AN43" s="126">
        <v>0</v>
      </c>
    </row>
    <row r="44" spans="1:81">
      <c r="A44" s="17">
        <v>20</v>
      </c>
      <c r="B44" s="17" t="str">
        <f t="shared" si="49"/>
        <v>RTIM</v>
      </c>
      <c r="C44" s="198" t="s">
        <v>597</v>
      </c>
      <c r="D44" s="198" t="str">
        <f>IFERROR(VLOOKUP(C44,'Inchidere contur'!B:U,20,0),VLOOKUP(C44,'Inchidere contur'!G:U,15,0))</f>
        <v>JT_SDI</v>
      </c>
      <c r="E44" s="126">
        <f>IFERROR(IFERROR(VLOOKUP(C44,'Inchidere contur'!B:U,20-4,0),VLOOKUP(C44,'Inchidere contur'!G:U,15-4,0)),"eroare")</f>
        <v>202847</v>
      </c>
      <c r="F44" s="200">
        <v>0</v>
      </c>
      <c r="G44" s="200">
        <v>0</v>
      </c>
      <c r="H44" s="126">
        <f t="shared" si="68"/>
        <v>202847</v>
      </c>
      <c r="I44" s="126">
        <f t="shared" si="125"/>
        <v>0</v>
      </c>
      <c r="J44" s="126">
        <f t="shared" si="51"/>
        <v>202847</v>
      </c>
      <c r="K44" s="126">
        <f t="shared" si="52"/>
        <v>202847</v>
      </c>
      <c r="L44" s="126">
        <f t="shared" si="53"/>
        <v>202847</v>
      </c>
      <c r="M44" s="126">
        <f t="shared" si="54"/>
        <v>202847</v>
      </c>
      <c r="N44" s="126">
        <f t="shared" si="55"/>
        <v>202847</v>
      </c>
      <c r="O44" s="126">
        <f t="shared" si="56"/>
        <v>202847</v>
      </c>
      <c r="P44" s="126">
        <f t="shared" si="69"/>
        <v>202847</v>
      </c>
      <c r="Q44" s="126">
        <f t="shared" si="126"/>
        <v>202847</v>
      </c>
      <c r="R44" s="126">
        <f t="shared" si="127"/>
        <v>202847</v>
      </c>
      <c r="S44" s="126">
        <f>IFERROR(IFERROR(VLOOKUP(C44,'Inchidere contur'!B:U,20-3,0),VLOOKUP(C44,'Inchidere contur'!G:U,15-3,0)),"eroare")</f>
        <v>0</v>
      </c>
      <c r="T44" s="126">
        <f>IFERROR(IFERROR(VLOOKUP(C44,'Inchidere contur'!B:U,20-2,0),VLOOKUP(C44,'Inchidere contur'!G:U,15-2,0)),"eroare")</f>
        <v>0</v>
      </c>
      <c r="U44" s="126">
        <f t="shared" si="70"/>
        <v>0</v>
      </c>
      <c r="V44" s="126">
        <f t="shared" si="71"/>
        <v>0</v>
      </c>
      <c r="W44" s="126">
        <f>IFERROR(VLOOKUP(C44,Regularizare!B:AX,45,0),"eroare")</f>
        <v>0</v>
      </c>
      <c r="X44" s="126">
        <f>IFERROR(VLOOKUP(C44,Regularizare!B:AX,46,0),"eroare")+IFERROR(VLOOKUP(C44,Regularizare!B:AX,48,0),"eroare")</f>
        <v>65</v>
      </c>
      <c r="Y44" s="126">
        <f>IFERROR(VLOOKUP(C44,Regularizare!B:AX,47,0),"eroare")+IFERROR(VLOOKUP(C44,Regularizare!B:AX,49,0),"eroare")</f>
        <v>23</v>
      </c>
      <c r="Z44" s="126">
        <f t="shared" si="72"/>
        <v>0</v>
      </c>
      <c r="AA44" s="126">
        <f t="shared" si="128"/>
        <v>0</v>
      </c>
      <c r="AB44" s="126">
        <f t="shared" si="73"/>
        <v>0</v>
      </c>
      <c r="AC44" s="126">
        <f t="shared" si="74"/>
        <v>0</v>
      </c>
      <c r="AD44" s="126">
        <f t="shared" si="75"/>
        <v>0</v>
      </c>
      <c r="AE44" s="126">
        <f t="shared" si="76"/>
        <v>0</v>
      </c>
      <c r="AF44" s="126">
        <f t="shared" si="77"/>
        <v>0</v>
      </c>
      <c r="AG44" s="126">
        <f t="shared" si="63"/>
        <v>0</v>
      </c>
      <c r="AH44" s="126">
        <f t="shared" si="78"/>
        <v>0</v>
      </c>
      <c r="AI44" s="126">
        <f t="shared" si="129"/>
        <v>0</v>
      </c>
      <c r="AJ44" s="126">
        <f t="shared" si="130"/>
        <v>0</v>
      </c>
      <c r="AK44" s="126">
        <v>0</v>
      </c>
      <c r="AL44" s="126">
        <v>0</v>
      </c>
      <c r="AM44" s="126">
        <v>0</v>
      </c>
      <c r="AN44" s="126">
        <v>0</v>
      </c>
      <c r="AQ44" s="73" t="s">
        <v>865</v>
      </c>
      <c r="AT44" s="75">
        <f>AT34</f>
        <v>13725627</v>
      </c>
    </row>
    <row r="45" spans="1:81">
      <c r="A45" s="17">
        <v>20</v>
      </c>
      <c r="B45" s="17" t="str">
        <f t="shared" si="49"/>
        <v>RTIM</v>
      </c>
      <c r="C45" s="198" t="s">
        <v>598</v>
      </c>
      <c r="D45" s="198" t="str">
        <f>IFERROR(VLOOKUP(C45,'Inchidere contur'!B:U,20,0),VLOOKUP(C45,'Inchidere contur'!G:U,15,0))</f>
        <v>MT_SDI</v>
      </c>
      <c r="E45" s="126">
        <f>IFERROR(IFERROR(VLOOKUP(C45,'Inchidere contur'!B:U,20-4,0),VLOOKUP(C45,'Inchidere contur'!G:U,15-4,0)),"eroare")</f>
        <v>0</v>
      </c>
      <c r="F45" s="200">
        <v>0</v>
      </c>
      <c r="G45" s="200">
        <v>0</v>
      </c>
      <c r="H45" s="126">
        <f t="shared" si="68"/>
        <v>0</v>
      </c>
      <c r="I45" s="126">
        <f t="shared" si="125"/>
        <v>0</v>
      </c>
      <c r="J45" s="126">
        <f t="shared" si="51"/>
        <v>0</v>
      </c>
      <c r="K45" s="126">
        <f t="shared" si="52"/>
        <v>0</v>
      </c>
      <c r="L45" s="126">
        <f t="shared" si="53"/>
        <v>0</v>
      </c>
      <c r="M45" s="126">
        <f t="shared" si="54"/>
        <v>0</v>
      </c>
      <c r="N45" s="126">
        <f t="shared" si="55"/>
        <v>0</v>
      </c>
      <c r="O45" s="126">
        <f t="shared" si="56"/>
        <v>0</v>
      </c>
      <c r="P45" s="126">
        <f t="shared" si="69"/>
        <v>0</v>
      </c>
      <c r="Q45" s="126">
        <f t="shared" si="126"/>
        <v>0</v>
      </c>
      <c r="R45" s="126">
        <f t="shared" si="127"/>
        <v>0</v>
      </c>
      <c r="S45" s="126">
        <f>IFERROR(IFERROR(VLOOKUP(C45,'Inchidere contur'!B:U,20-3,0),VLOOKUP(C45,'Inchidere contur'!G:U,15-3,0)),"eroare")</f>
        <v>0</v>
      </c>
      <c r="T45" s="126">
        <f>IFERROR(IFERROR(VLOOKUP(C45,'Inchidere contur'!B:U,20-2,0),VLOOKUP(C45,'Inchidere contur'!G:U,15-2,0)),"eroare")</f>
        <v>0</v>
      </c>
      <c r="U45" s="126">
        <f t="shared" si="70"/>
        <v>0</v>
      </c>
      <c r="V45" s="126">
        <f t="shared" si="71"/>
        <v>0</v>
      </c>
      <c r="W45" s="126">
        <f>IFERROR(VLOOKUP(C45,Regularizare!B:AX,45,0),"eroare")</f>
        <v>0</v>
      </c>
      <c r="X45" s="126">
        <f>IFERROR(VLOOKUP(C45,Regularizare!B:AX,46,0),"eroare")+IFERROR(VLOOKUP(C45,Regularizare!B:AX,48,0),"eroare")</f>
        <v>0</v>
      </c>
      <c r="Y45" s="126">
        <f>IFERROR(VLOOKUP(C45,Regularizare!B:AX,47,0),"eroare")+IFERROR(VLOOKUP(C45,Regularizare!B:AX,49,0),"eroare")</f>
        <v>0</v>
      </c>
      <c r="Z45" s="126">
        <f t="shared" si="72"/>
        <v>0</v>
      </c>
      <c r="AA45" s="126">
        <f t="shared" si="128"/>
        <v>0</v>
      </c>
      <c r="AB45" s="126">
        <f t="shared" si="73"/>
        <v>0</v>
      </c>
      <c r="AC45" s="126">
        <f t="shared" si="74"/>
        <v>0</v>
      </c>
      <c r="AD45" s="126">
        <f t="shared" si="75"/>
        <v>0</v>
      </c>
      <c r="AE45" s="126">
        <f t="shared" si="76"/>
        <v>0</v>
      </c>
      <c r="AF45" s="126">
        <f t="shared" si="77"/>
        <v>0</v>
      </c>
      <c r="AG45" s="126">
        <f t="shared" si="63"/>
        <v>0</v>
      </c>
      <c r="AH45" s="126">
        <f t="shared" si="78"/>
        <v>0</v>
      </c>
      <c r="AI45" s="126">
        <f t="shared" si="129"/>
        <v>0</v>
      </c>
      <c r="AJ45" s="126">
        <f t="shared" si="130"/>
        <v>0</v>
      </c>
      <c r="AK45" s="126">
        <v>0</v>
      </c>
      <c r="AL45" s="126">
        <v>0</v>
      </c>
      <c r="AM45" s="126">
        <v>0</v>
      </c>
      <c r="AN45" s="126">
        <v>0</v>
      </c>
      <c r="AQ45" s="73" t="s">
        <v>866</v>
      </c>
      <c r="AT45" s="76">
        <f>AT35-SUM(E4:E55)</f>
        <v>-4730980</v>
      </c>
    </row>
    <row r="46" spans="1:81">
      <c r="A46" s="17">
        <v>20</v>
      </c>
      <c r="B46" s="17" t="str">
        <f t="shared" si="49"/>
        <v>RTIM</v>
      </c>
      <c r="C46" s="198" t="s">
        <v>599</v>
      </c>
      <c r="D46" s="198" t="str">
        <f>IFERROR(VLOOKUP(C46,'Inchidere contur'!B:U,20,0),VLOOKUP(C46,'Inchidere contur'!G:U,15,0))</f>
        <v>JT_SDI</v>
      </c>
      <c r="E46" s="126">
        <f>IFERROR(IFERROR(VLOOKUP(C46,'Inchidere contur'!B:U,20-4,0),VLOOKUP(C46,'Inchidere contur'!G:U,15-4,0)),"eroare")</f>
        <v>0</v>
      </c>
      <c r="F46" s="200">
        <v>0</v>
      </c>
      <c r="G46" s="200">
        <v>0</v>
      </c>
      <c r="H46" s="126">
        <f t="shared" si="68"/>
        <v>0</v>
      </c>
      <c r="I46" s="126">
        <f t="shared" si="125"/>
        <v>0</v>
      </c>
      <c r="J46" s="126">
        <f t="shared" si="51"/>
        <v>0</v>
      </c>
      <c r="K46" s="126">
        <f t="shared" si="52"/>
        <v>0</v>
      </c>
      <c r="L46" s="126">
        <f t="shared" si="53"/>
        <v>0</v>
      </c>
      <c r="M46" s="126">
        <f t="shared" si="54"/>
        <v>0</v>
      </c>
      <c r="N46" s="126">
        <f t="shared" si="55"/>
        <v>0</v>
      </c>
      <c r="O46" s="126">
        <f t="shared" si="56"/>
        <v>0</v>
      </c>
      <c r="P46" s="126">
        <f t="shared" si="69"/>
        <v>0</v>
      </c>
      <c r="Q46" s="126">
        <f t="shared" si="126"/>
        <v>0</v>
      </c>
      <c r="R46" s="126">
        <f t="shared" si="127"/>
        <v>0</v>
      </c>
      <c r="S46" s="126">
        <f>IFERROR(IFERROR(VLOOKUP(C46,'Inchidere contur'!B:U,20-3,0),VLOOKUP(C46,'Inchidere contur'!G:U,15-3,0)),"eroare")</f>
        <v>0</v>
      </c>
      <c r="T46" s="126">
        <f>IFERROR(IFERROR(VLOOKUP(C46,'Inchidere contur'!B:U,20-2,0),VLOOKUP(C46,'Inchidere contur'!G:U,15-2,0)),"eroare")</f>
        <v>0</v>
      </c>
      <c r="U46" s="126">
        <f t="shared" si="70"/>
        <v>0</v>
      </c>
      <c r="V46" s="126">
        <f t="shared" si="71"/>
        <v>0</v>
      </c>
      <c r="W46" s="126">
        <f>IFERROR(VLOOKUP(C46,Regularizare!B:AX,45,0),"eroare")</f>
        <v>0</v>
      </c>
      <c r="X46" s="126">
        <f>IFERROR(VLOOKUP(C46,Regularizare!B:AX,46,0),"eroare")+IFERROR(VLOOKUP(C46,Regularizare!B:AX,48,0),"eroare")</f>
        <v>0</v>
      </c>
      <c r="Y46" s="126">
        <f>IFERROR(VLOOKUP(C46,Regularizare!B:AX,47,0),"eroare")+IFERROR(VLOOKUP(C46,Regularizare!B:AX,49,0),"eroare")</f>
        <v>0</v>
      </c>
      <c r="Z46" s="126">
        <f t="shared" si="72"/>
        <v>0</v>
      </c>
      <c r="AA46" s="126">
        <f t="shared" si="128"/>
        <v>0</v>
      </c>
      <c r="AB46" s="126">
        <f t="shared" si="73"/>
        <v>0</v>
      </c>
      <c r="AC46" s="126">
        <f t="shared" si="74"/>
        <v>0</v>
      </c>
      <c r="AD46" s="126">
        <f t="shared" si="75"/>
        <v>0</v>
      </c>
      <c r="AE46" s="126">
        <f t="shared" si="76"/>
        <v>0</v>
      </c>
      <c r="AF46" s="126">
        <f t="shared" si="77"/>
        <v>0</v>
      </c>
      <c r="AG46" s="126">
        <f t="shared" si="63"/>
        <v>0</v>
      </c>
      <c r="AH46" s="126">
        <f t="shared" si="78"/>
        <v>0</v>
      </c>
      <c r="AI46" s="126">
        <f t="shared" si="129"/>
        <v>0</v>
      </c>
      <c r="AJ46" s="126">
        <f t="shared" si="130"/>
        <v>0</v>
      </c>
      <c r="AK46" s="126">
        <v>0</v>
      </c>
      <c r="AL46" s="126">
        <v>0</v>
      </c>
      <c r="AM46" s="126">
        <v>0</v>
      </c>
      <c r="AN46" s="126">
        <v>0</v>
      </c>
    </row>
    <row r="47" spans="1:81">
      <c r="A47" s="17">
        <v>20</v>
      </c>
      <c r="B47" s="17" t="str">
        <f t="shared" si="49"/>
        <v>RTIM</v>
      </c>
      <c r="C47" s="198" t="s">
        <v>600</v>
      </c>
      <c r="D47" s="198" t="str">
        <f>IFERROR(VLOOKUP(C47,'Inchidere contur'!B:U,20,0),VLOOKUP(C47,'Inchidere contur'!G:U,15,0))</f>
        <v>JT_SDI</v>
      </c>
      <c r="E47" s="126">
        <f>IFERROR(IFERROR(VLOOKUP(C47,'Inchidere contur'!B:U,20-4,0),VLOOKUP(C47,'Inchidere contur'!G:U,15-4,0)),"eroare")</f>
        <v>0</v>
      </c>
      <c r="F47" s="200">
        <v>0</v>
      </c>
      <c r="G47" s="200">
        <v>0</v>
      </c>
      <c r="H47" s="126">
        <f t="shared" si="68"/>
        <v>0</v>
      </c>
      <c r="I47" s="126">
        <f t="shared" si="125"/>
        <v>0</v>
      </c>
      <c r="J47" s="126">
        <f t="shared" si="51"/>
        <v>0</v>
      </c>
      <c r="K47" s="126">
        <f t="shared" si="52"/>
        <v>0</v>
      </c>
      <c r="L47" s="126">
        <f t="shared" si="53"/>
        <v>0</v>
      </c>
      <c r="M47" s="126">
        <f t="shared" si="54"/>
        <v>0</v>
      </c>
      <c r="N47" s="126">
        <f t="shared" si="55"/>
        <v>0</v>
      </c>
      <c r="O47" s="126">
        <f t="shared" si="56"/>
        <v>0</v>
      </c>
      <c r="P47" s="126">
        <f t="shared" si="69"/>
        <v>0</v>
      </c>
      <c r="Q47" s="126">
        <f t="shared" si="126"/>
        <v>0</v>
      </c>
      <c r="R47" s="126">
        <f t="shared" si="127"/>
        <v>0</v>
      </c>
      <c r="S47" s="126">
        <f>IFERROR(IFERROR(VLOOKUP(C47,'Inchidere contur'!B:U,20-3,0),VLOOKUP(C47,'Inchidere contur'!G:U,15-3,0)),"eroare")</f>
        <v>0</v>
      </c>
      <c r="T47" s="126">
        <f>IFERROR(IFERROR(VLOOKUP(C47,'Inchidere contur'!B:U,20-2,0),VLOOKUP(C47,'Inchidere contur'!G:U,15-2,0)),"eroare")</f>
        <v>0</v>
      </c>
      <c r="U47" s="126">
        <f t="shared" si="70"/>
        <v>0</v>
      </c>
      <c r="V47" s="126">
        <f t="shared" si="71"/>
        <v>0</v>
      </c>
      <c r="W47" s="126">
        <f>IFERROR(VLOOKUP(C47,Regularizare!B:AX,45,0),"eroare")</f>
        <v>0</v>
      </c>
      <c r="X47" s="126">
        <f>IFERROR(VLOOKUP(C47,Regularizare!B:AX,46,0),"eroare")+IFERROR(VLOOKUP(C47,Regularizare!B:AX,48,0),"eroare")</f>
        <v>0</v>
      </c>
      <c r="Y47" s="126">
        <f>IFERROR(VLOOKUP(C47,Regularizare!B:AX,47,0),"eroare")+IFERROR(VLOOKUP(C47,Regularizare!B:AX,49,0),"eroare")</f>
        <v>0</v>
      </c>
      <c r="Z47" s="126">
        <f t="shared" si="72"/>
        <v>0</v>
      </c>
      <c r="AA47" s="126">
        <f t="shared" si="128"/>
        <v>0</v>
      </c>
      <c r="AB47" s="126">
        <f t="shared" si="73"/>
        <v>0</v>
      </c>
      <c r="AC47" s="126">
        <f t="shared" si="74"/>
        <v>0</v>
      </c>
      <c r="AD47" s="126">
        <f t="shared" si="75"/>
        <v>0</v>
      </c>
      <c r="AE47" s="126">
        <f t="shared" si="76"/>
        <v>0</v>
      </c>
      <c r="AF47" s="126">
        <f t="shared" si="77"/>
        <v>0</v>
      </c>
      <c r="AG47" s="126">
        <f t="shared" si="63"/>
        <v>0</v>
      </c>
      <c r="AH47" s="126">
        <f t="shared" si="78"/>
        <v>0</v>
      </c>
      <c r="AI47" s="126">
        <f t="shared" si="129"/>
        <v>0</v>
      </c>
      <c r="AJ47" s="126">
        <f t="shared" si="130"/>
        <v>0</v>
      </c>
      <c r="AK47" s="126">
        <v>0</v>
      </c>
      <c r="AL47" s="126">
        <v>0</v>
      </c>
      <c r="AM47" s="126">
        <v>0</v>
      </c>
      <c r="AN47" s="126">
        <v>0</v>
      </c>
      <c r="AQ47" s="198" t="s">
        <v>517</v>
      </c>
    </row>
    <row r="48" spans="1:81">
      <c r="A48" s="17">
        <v>20</v>
      </c>
      <c r="B48" s="17" t="str">
        <f t="shared" si="49"/>
        <v>RTIM</v>
      </c>
      <c r="C48" s="198" t="s">
        <v>601</v>
      </c>
      <c r="D48" s="198" t="str">
        <f>IFERROR(VLOOKUP(C48,'Inchidere contur'!B:U,20,0),VLOOKUP(C48,'Inchidere contur'!G:U,15,0))</f>
        <v>JT_SDI</v>
      </c>
      <c r="E48" s="126">
        <f>IFERROR(IFERROR(VLOOKUP(C48,'Inchidere contur'!B:U,20-4,0),VLOOKUP(C48,'Inchidere contur'!G:U,15-4,0)),"eroare")</f>
        <v>0</v>
      </c>
      <c r="F48" s="200">
        <v>0</v>
      </c>
      <c r="G48" s="200">
        <v>0</v>
      </c>
      <c r="H48" s="126">
        <f t="shared" si="68"/>
        <v>0</v>
      </c>
      <c r="I48" s="126">
        <f t="shared" si="125"/>
        <v>0</v>
      </c>
      <c r="J48" s="126">
        <f t="shared" si="51"/>
        <v>0</v>
      </c>
      <c r="K48" s="126">
        <f t="shared" si="52"/>
        <v>0</v>
      </c>
      <c r="L48" s="126">
        <f t="shared" si="53"/>
        <v>0</v>
      </c>
      <c r="M48" s="126">
        <f t="shared" si="54"/>
        <v>0</v>
      </c>
      <c r="N48" s="126">
        <f t="shared" si="55"/>
        <v>0</v>
      </c>
      <c r="O48" s="126">
        <f t="shared" si="56"/>
        <v>0</v>
      </c>
      <c r="P48" s="126">
        <f t="shared" si="69"/>
        <v>0</v>
      </c>
      <c r="Q48" s="126">
        <f t="shared" si="126"/>
        <v>0</v>
      </c>
      <c r="R48" s="126">
        <f t="shared" si="127"/>
        <v>0</v>
      </c>
      <c r="S48" s="126">
        <f>IFERROR(IFERROR(VLOOKUP(C48,'Inchidere contur'!B:U,20-3,0),VLOOKUP(C48,'Inchidere contur'!G:U,15-3,0)),"eroare")</f>
        <v>0</v>
      </c>
      <c r="T48" s="126">
        <f>IFERROR(IFERROR(VLOOKUP(C48,'Inchidere contur'!B:U,20-2,0),VLOOKUP(C48,'Inchidere contur'!G:U,15-2,0)),"eroare")</f>
        <v>0</v>
      </c>
      <c r="U48" s="126">
        <f t="shared" si="70"/>
        <v>0</v>
      </c>
      <c r="V48" s="126">
        <f t="shared" si="71"/>
        <v>0</v>
      </c>
      <c r="W48" s="126">
        <f>IFERROR(VLOOKUP(C48,Regularizare!B:AX,45,0),"eroare")</f>
        <v>0</v>
      </c>
      <c r="X48" s="126">
        <f>IFERROR(VLOOKUP(C48,Regularizare!B:AX,46,0),"eroare")+IFERROR(VLOOKUP(C48,Regularizare!B:AX,48,0),"eroare")</f>
        <v>0</v>
      </c>
      <c r="Y48" s="126">
        <f>IFERROR(VLOOKUP(C48,Regularizare!B:AX,47,0),"eroare")+IFERROR(VLOOKUP(C48,Regularizare!B:AX,49,0),"eroare")</f>
        <v>0</v>
      </c>
      <c r="Z48" s="126">
        <f t="shared" si="72"/>
        <v>0</v>
      </c>
      <c r="AA48" s="126">
        <f t="shared" si="128"/>
        <v>0</v>
      </c>
      <c r="AB48" s="126">
        <f t="shared" si="73"/>
        <v>0</v>
      </c>
      <c r="AC48" s="126">
        <f t="shared" si="74"/>
        <v>0</v>
      </c>
      <c r="AD48" s="126">
        <f t="shared" si="75"/>
        <v>0</v>
      </c>
      <c r="AE48" s="126">
        <f t="shared" si="76"/>
        <v>0</v>
      </c>
      <c r="AF48" s="126">
        <f t="shared" si="77"/>
        <v>0</v>
      </c>
      <c r="AG48" s="126">
        <f t="shared" si="63"/>
        <v>0</v>
      </c>
      <c r="AH48" s="126">
        <f t="shared" si="78"/>
        <v>0</v>
      </c>
      <c r="AI48" s="126">
        <f t="shared" si="129"/>
        <v>0</v>
      </c>
      <c r="AJ48" s="126">
        <f t="shared" si="130"/>
        <v>0</v>
      </c>
      <c r="AK48" s="126">
        <v>0</v>
      </c>
      <c r="AL48" s="126">
        <v>0</v>
      </c>
      <c r="AM48" s="126">
        <v>0</v>
      </c>
      <c r="AN48" s="126">
        <v>0</v>
      </c>
      <c r="AQ48" s="198" t="s">
        <v>516</v>
      </c>
    </row>
    <row r="49" spans="1:43">
      <c r="A49" s="17">
        <v>20</v>
      </c>
      <c r="B49" s="17" t="str">
        <f t="shared" si="49"/>
        <v>RTIM</v>
      </c>
      <c r="C49" s="198" t="s">
        <v>602</v>
      </c>
      <c r="D49" s="198" t="str">
        <f>IFERROR(VLOOKUP(C49,'Inchidere contur'!B:U,20,0),VLOOKUP(C49,'Inchidere contur'!G:U,15,0))</f>
        <v>JT_SDI</v>
      </c>
      <c r="E49" s="126">
        <f>IFERROR(IFERROR(VLOOKUP(C49,'Inchidere contur'!B:U,20-4,0),VLOOKUP(C49,'Inchidere contur'!G:U,15-4,0)),"eroare")</f>
        <v>0</v>
      </c>
      <c r="F49" s="200">
        <v>0</v>
      </c>
      <c r="G49" s="200">
        <v>0</v>
      </c>
      <c r="H49" s="126">
        <f t="shared" si="68"/>
        <v>0</v>
      </c>
      <c r="I49" s="126">
        <f t="shared" si="125"/>
        <v>0</v>
      </c>
      <c r="J49" s="126">
        <f t="shared" si="51"/>
        <v>0</v>
      </c>
      <c r="K49" s="126">
        <f t="shared" si="52"/>
        <v>0</v>
      </c>
      <c r="L49" s="126">
        <f t="shared" si="53"/>
        <v>0</v>
      </c>
      <c r="M49" s="126">
        <f t="shared" si="54"/>
        <v>0</v>
      </c>
      <c r="N49" s="126">
        <f t="shared" si="55"/>
        <v>0</v>
      </c>
      <c r="O49" s="126">
        <f t="shared" si="56"/>
        <v>0</v>
      </c>
      <c r="P49" s="126">
        <f t="shared" si="69"/>
        <v>0</v>
      </c>
      <c r="Q49" s="126">
        <f t="shared" si="126"/>
        <v>0</v>
      </c>
      <c r="R49" s="126">
        <f t="shared" si="127"/>
        <v>0</v>
      </c>
      <c r="S49" s="126">
        <f>IFERROR(IFERROR(VLOOKUP(C49,'Inchidere contur'!B:U,20-3,0),VLOOKUP(C49,'Inchidere contur'!G:U,15-3,0)),"eroare")</f>
        <v>0</v>
      </c>
      <c r="T49" s="126">
        <f>IFERROR(IFERROR(VLOOKUP(C49,'Inchidere contur'!B:U,20-2,0),VLOOKUP(C49,'Inchidere contur'!G:U,15-2,0)),"eroare")</f>
        <v>0</v>
      </c>
      <c r="U49" s="126">
        <f t="shared" si="70"/>
        <v>0</v>
      </c>
      <c r="V49" s="126">
        <f t="shared" si="71"/>
        <v>0</v>
      </c>
      <c r="W49" s="126">
        <f>IFERROR(VLOOKUP(C49,Regularizare!B:AX,45,0),"eroare")</f>
        <v>0</v>
      </c>
      <c r="X49" s="126">
        <f>IFERROR(VLOOKUP(C49,Regularizare!B:AX,46,0),"eroare")+IFERROR(VLOOKUP(C49,Regularizare!B:AX,48,0),"eroare")</f>
        <v>0</v>
      </c>
      <c r="Y49" s="126">
        <f>IFERROR(VLOOKUP(C49,Regularizare!B:AX,47,0),"eroare")+IFERROR(VLOOKUP(C49,Regularizare!B:AX,49,0),"eroare")</f>
        <v>0</v>
      </c>
      <c r="Z49" s="126">
        <f t="shared" si="72"/>
        <v>0</v>
      </c>
      <c r="AA49" s="126">
        <f t="shared" si="128"/>
        <v>0</v>
      </c>
      <c r="AB49" s="126">
        <f t="shared" si="73"/>
        <v>0</v>
      </c>
      <c r="AC49" s="126">
        <f t="shared" si="74"/>
        <v>0</v>
      </c>
      <c r="AD49" s="126">
        <f t="shared" si="75"/>
        <v>0</v>
      </c>
      <c r="AE49" s="126">
        <f t="shared" si="76"/>
        <v>0</v>
      </c>
      <c r="AF49" s="126">
        <f t="shared" si="77"/>
        <v>0</v>
      </c>
      <c r="AG49" s="126">
        <f t="shared" si="63"/>
        <v>0</v>
      </c>
      <c r="AH49" s="126">
        <f t="shared" si="78"/>
        <v>0</v>
      </c>
      <c r="AI49" s="126">
        <f t="shared" si="129"/>
        <v>0</v>
      </c>
      <c r="AJ49" s="126">
        <f t="shared" si="130"/>
        <v>0</v>
      </c>
      <c r="AK49" s="126">
        <v>0</v>
      </c>
      <c r="AL49" s="126">
        <v>0</v>
      </c>
      <c r="AM49" s="126">
        <v>0</v>
      </c>
      <c r="AN49" s="126">
        <v>0</v>
      </c>
      <c r="AQ49" s="198" t="s">
        <v>515</v>
      </c>
    </row>
    <row r="50" spans="1:43">
      <c r="A50" s="17">
        <v>20</v>
      </c>
      <c r="B50" s="17" t="str">
        <f t="shared" si="49"/>
        <v>RTIM</v>
      </c>
      <c r="C50" s="198" t="s">
        <v>603</v>
      </c>
      <c r="D50" s="198" t="str">
        <f>IFERROR(VLOOKUP(C50,'Inchidere contur'!B:U,20,0),VLOOKUP(C50,'Inchidere contur'!G:U,15,0))</f>
        <v>MT_SDI</v>
      </c>
      <c r="E50" s="126">
        <f>IFERROR(IFERROR(VLOOKUP(C50,'Inchidere contur'!B:U,20-4,0),VLOOKUP(C50,'Inchidere contur'!G:U,15-4,0)),"eroare")</f>
        <v>0</v>
      </c>
      <c r="F50" s="200">
        <v>0</v>
      </c>
      <c r="G50" s="200">
        <v>0</v>
      </c>
      <c r="H50" s="126">
        <f t="shared" si="68"/>
        <v>0</v>
      </c>
      <c r="I50" s="126">
        <f t="shared" si="125"/>
        <v>0</v>
      </c>
      <c r="J50" s="126">
        <f t="shared" si="51"/>
        <v>0</v>
      </c>
      <c r="K50" s="126">
        <f t="shared" si="52"/>
        <v>0</v>
      </c>
      <c r="L50" s="126">
        <f t="shared" si="53"/>
        <v>0</v>
      </c>
      <c r="M50" s="126">
        <f t="shared" si="54"/>
        <v>0</v>
      </c>
      <c r="N50" s="126">
        <f t="shared" si="55"/>
        <v>0</v>
      </c>
      <c r="O50" s="126">
        <f t="shared" si="56"/>
        <v>0</v>
      </c>
      <c r="P50" s="126">
        <f t="shared" si="69"/>
        <v>0</v>
      </c>
      <c r="Q50" s="126">
        <f t="shared" si="126"/>
        <v>0</v>
      </c>
      <c r="R50" s="126">
        <f t="shared" si="127"/>
        <v>0</v>
      </c>
      <c r="S50" s="126">
        <f>IFERROR(IFERROR(VLOOKUP(C50,'Inchidere contur'!B:U,20-3,0),VLOOKUP(C50,'Inchidere contur'!G:U,15-3,0)),"eroare")</f>
        <v>0</v>
      </c>
      <c r="T50" s="126">
        <f>IFERROR(IFERROR(VLOOKUP(C50,'Inchidere contur'!B:U,20-2,0),VLOOKUP(C50,'Inchidere contur'!G:U,15-2,0)),"eroare")</f>
        <v>0</v>
      </c>
      <c r="U50" s="126">
        <f t="shared" si="70"/>
        <v>0</v>
      </c>
      <c r="V50" s="126">
        <f t="shared" si="71"/>
        <v>0</v>
      </c>
      <c r="W50" s="126">
        <f>IFERROR(VLOOKUP(C50,Regularizare!B:AX,45,0),"eroare")</f>
        <v>0</v>
      </c>
      <c r="X50" s="126">
        <f>IFERROR(VLOOKUP(C50,Regularizare!B:AX,46,0),"eroare")+IFERROR(VLOOKUP(C50,Regularizare!B:AX,48,0),"eroare")</f>
        <v>0</v>
      </c>
      <c r="Y50" s="126">
        <f>IFERROR(VLOOKUP(C50,Regularizare!B:AX,47,0),"eroare")+IFERROR(VLOOKUP(C50,Regularizare!B:AX,49,0),"eroare")</f>
        <v>0</v>
      </c>
      <c r="Z50" s="126">
        <f t="shared" si="72"/>
        <v>0</v>
      </c>
      <c r="AA50" s="126">
        <f t="shared" si="128"/>
        <v>0</v>
      </c>
      <c r="AB50" s="126">
        <f t="shared" si="73"/>
        <v>0</v>
      </c>
      <c r="AC50" s="126">
        <f t="shared" si="74"/>
        <v>0</v>
      </c>
      <c r="AD50" s="126">
        <f t="shared" si="75"/>
        <v>0</v>
      </c>
      <c r="AE50" s="126">
        <f t="shared" si="76"/>
        <v>0</v>
      </c>
      <c r="AF50" s="126">
        <f t="shared" si="77"/>
        <v>0</v>
      </c>
      <c r="AG50" s="126">
        <f t="shared" si="63"/>
        <v>0</v>
      </c>
      <c r="AH50" s="126">
        <f t="shared" si="78"/>
        <v>0</v>
      </c>
      <c r="AI50" s="126">
        <f t="shared" si="129"/>
        <v>0</v>
      </c>
      <c r="AJ50" s="126">
        <f t="shared" si="130"/>
        <v>0</v>
      </c>
      <c r="AK50" s="126">
        <v>0</v>
      </c>
      <c r="AL50" s="126">
        <v>0</v>
      </c>
      <c r="AM50" s="126">
        <v>0</v>
      </c>
      <c r="AN50" s="126">
        <v>0</v>
      </c>
      <c r="AQ50" s="198" t="s">
        <v>514</v>
      </c>
    </row>
    <row r="51" spans="1:43">
      <c r="A51" s="17">
        <v>20</v>
      </c>
      <c r="B51" s="17" t="str">
        <f t="shared" si="49"/>
        <v>RTJD</v>
      </c>
      <c r="C51" s="198" t="s">
        <v>604</v>
      </c>
      <c r="D51" s="198" t="str">
        <f>IFERROR(VLOOKUP(C51,'Inchidere contur'!B:U,20,0),VLOOKUP(C51,'Inchidere contur'!G:U,15,0))</f>
        <v>JT_SDI</v>
      </c>
      <c r="E51" s="126">
        <f>IFERROR(IFERROR(VLOOKUP(C51,'Inchidere contur'!B:U,20-4,0),VLOOKUP(C51,'Inchidere contur'!G:U,15-4,0)),"eroare")</f>
        <v>127833</v>
      </c>
      <c r="F51" s="200">
        <v>0</v>
      </c>
      <c r="G51" s="200">
        <v>0</v>
      </c>
      <c r="H51" s="126">
        <f t="shared" si="68"/>
        <v>127833</v>
      </c>
      <c r="I51" s="126">
        <f t="shared" si="125"/>
        <v>0</v>
      </c>
      <c r="J51" s="126">
        <f t="shared" si="51"/>
        <v>127833</v>
      </c>
      <c r="K51" s="126">
        <f t="shared" si="52"/>
        <v>127833</v>
      </c>
      <c r="L51" s="126">
        <f t="shared" si="53"/>
        <v>127833</v>
      </c>
      <c r="M51" s="126">
        <f t="shared" si="54"/>
        <v>127833</v>
      </c>
      <c r="N51" s="126">
        <f t="shared" si="55"/>
        <v>127833</v>
      </c>
      <c r="O51" s="126">
        <f t="shared" si="56"/>
        <v>127833</v>
      </c>
      <c r="P51" s="126">
        <f t="shared" si="69"/>
        <v>127833</v>
      </c>
      <c r="Q51" s="126">
        <f t="shared" si="126"/>
        <v>127833</v>
      </c>
      <c r="R51" s="126">
        <f t="shared" si="127"/>
        <v>127833</v>
      </c>
      <c r="S51" s="126">
        <f>IFERROR(IFERROR(VLOOKUP(C51,'Inchidere contur'!B:U,20-3,0),VLOOKUP(C51,'Inchidere contur'!G:U,15-3,0)),"eroare")</f>
        <v>0</v>
      </c>
      <c r="T51" s="126">
        <f>IFERROR(IFERROR(VLOOKUP(C51,'Inchidere contur'!B:U,20-2,0),VLOOKUP(C51,'Inchidere contur'!G:U,15-2,0)),"eroare")</f>
        <v>8083</v>
      </c>
      <c r="U51" s="126">
        <f t="shared" si="70"/>
        <v>8083</v>
      </c>
      <c r="V51" s="126">
        <f t="shared" si="71"/>
        <v>8083</v>
      </c>
      <c r="W51" s="126">
        <f>IFERROR(VLOOKUP(C51,Regularizare!B:AX,45,0),"eroare")</f>
        <v>0</v>
      </c>
      <c r="X51" s="126">
        <f>IFERROR(VLOOKUP(C51,Regularizare!B:AX,46,0),"eroare")+IFERROR(VLOOKUP(C51,Regularizare!B:AX,48,0),"eroare")</f>
        <v>0</v>
      </c>
      <c r="Y51" s="126">
        <f>IFERROR(VLOOKUP(C51,Regularizare!B:AX,47,0),"eroare")+IFERROR(VLOOKUP(C51,Regularizare!B:AX,49,0),"eroare")</f>
        <v>0</v>
      </c>
      <c r="Z51" s="126">
        <f t="shared" si="72"/>
        <v>0</v>
      </c>
      <c r="AA51" s="126">
        <f t="shared" si="128"/>
        <v>0</v>
      </c>
      <c r="AB51" s="126">
        <f t="shared" si="73"/>
        <v>0</v>
      </c>
      <c r="AC51" s="126">
        <f t="shared" si="74"/>
        <v>0</v>
      </c>
      <c r="AD51" s="126">
        <f t="shared" si="75"/>
        <v>0</v>
      </c>
      <c r="AE51" s="126">
        <f t="shared" si="76"/>
        <v>0</v>
      </c>
      <c r="AF51" s="126">
        <f t="shared" si="77"/>
        <v>0</v>
      </c>
      <c r="AG51" s="126">
        <f t="shared" si="63"/>
        <v>0</v>
      </c>
      <c r="AH51" s="126">
        <f t="shared" si="78"/>
        <v>0</v>
      </c>
      <c r="AI51" s="126">
        <f t="shared" si="129"/>
        <v>0</v>
      </c>
      <c r="AJ51" s="126">
        <f t="shared" si="130"/>
        <v>0</v>
      </c>
      <c r="AK51" s="126">
        <v>0</v>
      </c>
      <c r="AL51" s="126">
        <v>0</v>
      </c>
      <c r="AM51" s="126">
        <v>0</v>
      </c>
      <c r="AN51" s="126">
        <v>0</v>
      </c>
    </row>
    <row r="52" spans="1:43">
      <c r="A52" s="17">
        <v>20</v>
      </c>
      <c r="B52" s="17" t="str">
        <f t="shared" si="49"/>
        <v>RTJD</v>
      </c>
      <c r="C52" s="198" t="s">
        <v>605</v>
      </c>
      <c r="D52" s="198" t="str">
        <f>IFERROR(VLOOKUP(C52,'Inchidere contur'!B:U,20,0),VLOOKUP(C52,'Inchidere contur'!G:U,15,0))</f>
        <v>JT_SDI</v>
      </c>
      <c r="E52" s="126">
        <f>IFERROR(IFERROR(VLOOKUP(C52,'Inchidere contur'!B:U,20-4,0),VLOOKUP(C52,'Inchidere contur'!G:U,15-4,0)),"eroare")</f>
        <v>153512</v>
      </c>
      <c r="F52" s="200">
        <v>0</v>
      </c>
      <c r="G52" s="200">
        <v>0</v>
      </c>
      <c r="H52" s="126">
        <f t="shared" si="68"/>
        <v>153512</v>
      </c>
      <c r="I52" s="126">
        <f t="shared" si="125"/>
        <v>0</v>
      </c>
      <c r="J52" s="126">
        <f t="shared" si="51"/>
        <v>153512</v>
      </c>
      <c r="K52" s="126">
        <f t="shared" si="52"/>
        <v>153512</v>
      </c>
      <c r="L52" s="126">
        <f t="shared" si="53"/>
        <v>153512</v>
      </c>
      <c r="M52" s="126">
        <f t="shared" si="54"/>
        <v>153512</v>
      </c>
      <c r="N52" s="126">
        <f t="shared" si="55"/>
        <v>153512</v>
      </c>
      <c r="O52" s="126">
        <f t="shared" si="56"/>
        <v>153512</v>
      </c>
      <c r="P52" s="126">
        <f t="shared" si="69"/>
        <v>153512</v>
      </c>
      <c r="Q52" s="126">
        <f t="shared" si="126"/>
        <v>153512</v>
      </c>
      <c r="R52" s="126">
        <f t="shared" si="127"/>
        <v>153512</v>
      </c>
      <c r="S52" s="126">
        <f>IFERROR(IFERROR(VLOOKUP(C52,'Inchidere contur'!B:U,20-3,0),VLOOKUP(C52,'Inchidere contur'!G:U,15-3,0)),"eroare")</f>
        <v>111950</v>
      </c>
      <c r="T52" s="126">
        <f>IFERROR(IFERROR(VLOOKUP(C52,'Inchidere contur'!B:U,20-2,0),VLOOKUP(C52,'Inchidere contur'!G:U,15-2,0)),"eroare")</f>
        <v>0</v>
      </c>
      <c r="U52" s="126">
        <f t="shared" si="70"/>
        <v>0</v>
      </c>
      <c r="V52" s="126">
        <f t="shared" si="71"/>
        <v>0</v>
      </c>
      <c r="W52" s="126">
        <f>IFERROR(VLOOKUP(C52,Regularizare!B:AX,45,0),"eroare")</f>
        <v>0</v>
      </c>
      <c r="X52" s="126">
        <f>IFERROR(VLOOKUP(C52,Regularizare!B:AX,46,0),"eroare")+IFERROR(VLOOKUP(C52,Regularizare!B:AX,48,0),"eroare")</f>
        <v>0</v>
      </c>
      <c r="Y52" s="126">
        <f>IFERROR(VLOOKUP(C52,Regularizare!B:AX,47,0),"eroare")+IFERROR(VLOOKUP(C52,Regularizare!B:AX,49,0),"eroare")</f>
        <v>0</v>
      </c>
      <c r="Z52" s="126">
        <f t="shared" si="72"/>
        <v>0</v>
      </c>
      <c r="AA52" s="126">
        <f t="shared" si="128"/>
        <v>0</v>
      </c>
      <c r="AB52" s="126">
        <f t="shared" si="73"/>
        <v>0</v>
      </c>
      <c r="AC52" s="126">
        <f t="shared" si="74"/>
        <v>0</v>
      </c>
      <c r="AD52" s="126">
        <f t="shared" si="75"/>
        <v>0</v>
      </c>
      <c r="AE52" s="126">
        <f t="shared" si="76"/>
        <v>0</v>
      </c>
      <c r="AF52" s="126">
        <f t="shared" si="77"/>
        <v>0</v>
      </c>
      <c r="AG52" s="126">
        <f t="shared" si="63"/>
        <v>0</v>
      </c>
      <c r="AH52" s="126">
        <f t="shared" si="78"/>
        <v>0</v>
      </c>
      <c r="AI52" s="126">
        <f t="shared" si="129"/>
        <v>0</v>
      </c>
      <c r="AJ52" s="126">
        <f t="shared" si="130"/>
        <v>0</v>
      </c>
      <c r="AK52" s="126">
        <v>0</v>
      </c>
      <c r="AL52" s="126">
        <v>0</v>
      </c>
      <c r="AM52" s="126">
        <v>0</v>
      </c>
      <c r="AN52" s="126">
        <v>0</v>
      </c>
    </row>
    <row r="53" spans="1:43">
      <c r="A53" s="17">
        <v>20</v>
      </c>
      <c r="B53" s="17" t="str">
        <f t="shared" si="49"/>
        <v>RVUL</v>
      </c>
      <c r="C53" s="198" t="s">
        <v>606</v>
      </c>
      <c r="D53" s="198" t="str">
        <f>IFERROR(VLOOKUP(C53,'Inchidere contur'!B:U,20,0),VLOOKUP(C53,'Inchidere contur'!G:U,15,0))</f>
        <v>JT_SDI</v>
      </c>
      <c r="E53" s="126">
        <f>IFERROR(IFERROR(VLOOKUP(C53,'Inchidere contur'!B:U,20-4,0),VLOOKUP(C53,'Inchidere contur'!G:U,15-4,0)),"eroare")</f>
        <v>110011</v>
      </c>
      <c r="F53" s="200">
        <v>0</v>
      </c>
      <c r="G53" s="200">
        <v>0</v>
      </c>
      <c r="H53" s="126">
        <f t="shared" si="68"/>
        <v>110011</v>
      </c>
      <c r="I53" s="126">
        <f t="shared" si="125"/>
        <v>0</v>
      </c>
      <c r="J53" s="126">
        <f t="shared" si="51"/>
        <v>110011</v>
      </c>
      <c r="K53" s="126">
        <f t="shared" si="52"/>
        <v>110011</v>
      </c>
      <c r="L53" s="126">
        <f t="shared" si="53"/>
        <v>110011</v>
      </c>
      <c r="M53" s="126">
        <f t="shared" si="54"/>
        <v>110011</v>
      </c>
      <c r="N53" s="126">
        <f t="shared" si="55"/>
        <v>110011</v>
      </c>
      <c r="O53" s="126">
        <f t="shared" si="56"/>
        <v>110011</v>
      </c>
      <c r="P53" s="126">
        <f t="shared" si="69"/>
        <v>110011</v>
      </c>
      <c r="Q53" s="126">
        <f t="shared" si="126"/>
        <v>110011</v>
      </c>
      <c r="R53" s="126">
        <f t="shared" si="127"/>
        <v>110011</v>
      </c>
      <c r="S53" s="126">
        <f>IFERROR(IFERROR(VLOOKUP(C53,'Inchidere contur'!B:U,20-3,0),VLOOKUP(C53,'Inchidere contur'!G:U,15-3,0)),"eroare")</f>
        <v>81458</v>
      </c>
      <c r="T53" s="126">
        <f>IFERROR(IFERROR(VLOOKUP(C53,'Inchidere contur'!B:U,20-2,0),VLOOKUP(C53,'Inchidere contur'!G:U,15-2,0)),"eroare")</f>
        <v>2318</v>
      </c>
      <c r="U53" s="126">
        <f t="shared" si="70"/>
        <v>2318</v>
      </c>
      <c r="V53" s="126">
        <f t="shared" si="71"/>
        <v>2318</v>
      </c>
      <c r="W53" s="126">
        <f>IFERROR(VLOOKUP(C53,Regularizare!B:AX,45,0),"eroare")</f>
        <v>0</v>
      </c>
      <c r="X53" s="126">
        <f>IFERROR(VLOOKUP(C53,Regularizare!B:AX,46,0),"eroare")+IFERROR(VLOOKUP(C53,Regularizare!B:AX,48,0),"eroare")</f>
        <v>0</v>
      </c>
      <c r="Y53" s="126">
        <f>IFERROR(VLOOKUP(C53,Regularizare!B:AX,47,0),"eroare")+IFERROR(VLOOKUP(C53,Regularizare!B:AX,49,0),"eroare")</f>
        <v>0</v>
      </c>
      <c r="Z53" s="126">
        <f t="shared" si="72"/>
        <v>0</v>
      </c>
      <c r="AA53" s="126">
        <f t="shared" si="128"/>
        <v>0</v>
      </c>
      <c r="AB53" s="126">
        <f t="shared" si="73"/>
        <v>0</v>
      </c>
      <c r="AC53" s="126">
        <f t="shared" si="74"/>
        <v>0</v>
      </c>
      <c r="AD53" s="126">
        <f t="shared" si="75"/>
        <v>0</v>
      </c>
      <c r="AE53" s="126">
        <f t="shared" si="76"/>
        <v>0</v>
      </c>
      <c r="AF53" s="126">
        <f t="shared" si="77"/>
        <v>0</v>
      </c>
      <c r="AG53" s="126">
        <f t="shared" si="63"/>
        <v>0</v>
      </c>
      <c r="AH53" s="126">
        <f t="shared" si="78"/>
        <v>0</v>
      </c>
      <c r="AI53" s="126">
        <f t="shared" si="129"/>
        <v>0</v>
      </c>
      <c r="AJ53" s="126">
        <f t="shared" si="130"/>
        <v>0</v>
      </c>
      <c r="AK53" s="126">
        <v>0</v>
      </c>
      <c r="AL53" s="126">
        <v>0</v>
      </c>
      <c r="AM53" s="126">
        <v>0</v>
      </c>
      <c r="AN53" s="126">
        <v>0</v>
      </c>
    </row>
    <row r="54" spans="1:43">
      <c r="A54" s="17">
        <v>20</v>
      </c>
      <c r="B54" s="17" t="str">
        <f t="shared" si="49"/>
        <v>RVUL</v>
      </c>
      <c r="C54" s="198" t="s">
        <v>861</v>
      </c>
      <c r="D54" s="198" t="str">
        <f>IFERROR(VLOOKUP(C54,'Inchidere contur'!B:U,20,0),VLOOKUP(C54,'Inchidere contur'!G:U,15,0))</f>
        <v>JT_SDI</v>
      </c>
      <c r="E54" s="126">
        <f>IFERROR(IFERROR(VLOOKUP(C54,'Inchidere contur'!B:U,20-4,0),VLOOKUP(C54,'Inchidere contur'!G:U,15-4,0)),"eroare")</f>
        <v>61395</v>
      </c>
      <c r="F54" s="200">
        <v>0</v>
      </c>
      <c r="G54" s="200">
        <v>0</v>
      </c>
      <c r="H54" s="126">
        <f t="shared" si="68"/>
        <v>61395</v>
      </c>
      <c r="I54" s="126">
        <f t="shared" si="125"/>
        <v>0</v>
      </c>
      <c r="J54" s="126">
        <f t="shared" si="51"/>
        <v>61395</v>
      </c>
      <c r="K54" s="126">
        <f t="shared" si="52"/>
        <v>61395</v>
      </c>
      <c r="L54" s="126">
        <f t="shared" si="53"/>
        <v>61395</v>
      </c>
      <c r="M54" s="126">
        <f t="shared" si="54"/>
        <v>61395</v>
      </c>
      <c r="N54" s="126">
        <f t="shared" si="55"/>
        <v>61395</v>
      </c>
      <c r="O54" s="126">
        <f t="shared" si="56"/>
        <v>61395</v>
      </c>
      <c r="P54" s="126">
        <f t="shared" si="69"/>
        <v>61395</v>
      </c>
      <c r="Q54" s="126">
        <f t="shared" si="126"/>
        <v>61395</v>
      </c>
      <c r="R54" s="126">
        <f t="shared" si="127"/>
        <v>61395</v>
      </c>
      <c r="S54" s="126">
        <f>IFERROR(IFERROR(VLOOKUP(C54,'Inchidere contur'!B:U,20-3,0),VLOOKUP(C54,'Inchidere contur'!G:U,15-3,0)),"eroare")</f>
        <v>56702</v>
      </c>
      <c r="T54" s="126">
        <f>IFERROR(IFERROR(VLOOKUP(C54,'Inchidere contur'!B:U,20-2,0),VLOOKUP(C54,'Inchidere contur'!G:U,15-2,0)),"eroare")</f>
        <v>1424</v>
      </c>
      <c r="U54" s="126">
        <f t="shared" si="70"/>
        <v>1424</v>
      </c>
      <c r="V54" s="126">
        <f t="shared" si="71"/>
        <v>1424</v>
      </c>
      <c r="W54" s="126">
        <f>IFERROR(VLOOKUP(C54,Regularizare!B:AX,45,0),"eroare")</f>
        <v>0</v>
      </c>
      <c r="X54" s="126">
        <f>IFERROR(VLOOKUP(C54,Regularizare!B:AX,46,0),"eroare")+IFERROR(VLOOKUP(C54,Regularizare!B:AX,48,0),"eroare")</f>
        <v>0</v>
      </c>
      <c r="Y54" s="126">
        <f>IFERROR(VLOOKUP(C54,Regularizare!B:AX,47,0),"eroare")+IFERROR(VLOOKUP(C54,Regularizare!B:AX,49,0),"eroare")</f>
        <v>0</v>
      </c>
      <c r="Z54" s="126">
        <f t="shared" si="72"/>
        <v>0</v>
      </c>
      <c r="AA54" s="126">
        <f t="shared" si="128"/>
        <v>0</v>
      </c>
      <c r="AB54" s="126">
        <f t="shared" si="73"/>
        <v>0</v>
      </c>
      <c r="AC54" s="126">
        <f t="shared" si="74"/>
        <v>0</v>
      </c>
      <c r="AD54" s="126">
        <f t="shared" si="75"/>
        <v>0</v>
      </c>
      <c r="AE54" s="126">
        <f t="shared" si="76"/>
        <v>0</v>
      </c>
      <c r="AF54" s="126">
        <f t="shared" si="77"/>
        <v>0</v>
      </c>
      <c r="AG54" s="126">
        <f t="shared" si="63"/>
        <v>0</v>
      </c>
      <c r="AH54" s="126">
        <f t="shared" si="78"/>
        <v>0</v>
      </c>
      <c r="AI54" s="126">
        <f t="shared" si="129"/>
        <v>0</v>
      </c>
      <c r="AJ54" s="126">
        <f t="shared" si="130"/>
        <v>0</v>
      </c>
      <c r="AK54" s="126">
        <v>0</v>
      </c>
      <c r="AL54" s="126">
        <v>0</v>
      </c>
      <c r="AM54" s="126">
        <v>0</v>
      </c>
      <c r="AN54" s="126">
        <v>0</v>
      </c>
    </row>
    <row r="55" spans="1:43">
      <c r="A55" s="17">
        <v>20</v>
      </c>
      <c r="B55" s="17" t="str">
        <f t="shared" si="49"/>
        <v>RVUL</v>
      </c>
      <c r="C55" s="198" t="s">
        <v>607</v>
      </c>
      <c r="D55" s="198" t="str">
        <f>IFERROR(VLOOKUP(C55,'Inchidere contur'!B:U,20,0),VLOOKUP(C55,'Inchidere contur'!G:U,15,0))</f>
        <v>JT_SDI</v>
      </c>
      <c r="E55" s="126">
        <f>IFERROR(IFERROR(VLOOKUP(C55,'Inchidere contur'!B:U,20-4,0),VLOOKUP(C55,'Inchidere contur'!G:U,15-4,0)),"eroare")</f>
        <v>17714</v>
      </c>
      <c r="F55" s="200">
        <v>0</v>
      </c>
      <c r="G55" s="200">
        <v>0</v>
      </c>
      <c r="H55" s="126">
        <f t="shared" si="68"/>
        <v>17714</v>
      </c>
      <c r="I55" s="126">
        <f t="shared" si="125"/>
        <v>0</v>
      </c>
      <c r="J55" s="126">
        <f t="shared" si="51"/>
        <v>17714</v>
      </c>
      <c r="K55" s="126">
        <f t="shared" si="52"/>
        <v>17714</v>
      </c>
      <c r="L55" s="126">
        <f t="shared" si="53"/>
        <v>17714</v>
      </c>
      <c r="M55" s="126">
        <f t="shared" si="54"/>
        <v>17714</v>
      </c>
      <c r="N55" s="126">
        <f t="shared" si="55"/>
        <v>17714</v>
      </c>
      <c r="O55" s="126">
        <f t="shared" si="56"/>
        <v>17714</v>
      </c>
      <c r="P55" s="126">
        <f t="shared" si="69"/>
        <v>17714</v>
      </c>
      <c r="Q55" s="126">
        <f t="shared" si="126"/>
        <v>17714</v>
      </c>
      <c r="R55" s="126">
        <f t="shared" si="127"/>
        <v>17714</v>
      </c>
      <c r="S55" s="126">
        <f>IFERROR(IFERROR(VLOOKUP(C55,'Inchidere contur'!B:U,20-3,0),VLOOKUP(C55,'Inchidere contur'!G:U,15-3,0)),"eroare")</f>
        <v>0</v>
      </c>
      <c r="T55" s="126">
        <f>IFERROR(IFERROR(VLOOKUP(C55,'Inchidere contur'!B:U,20-2,0),VLOOKUP(C55,'Inchidere contur'!G:U,15-2,0)),"eroare")</f>
        <v>0</v>
      </c>
      <c r="U55" s="126">
        <f t="shared" si="70"/>
        <v>0</v>
      </c>
      <c r="V55" s="126">
        <f t="shared" si="71"/>
        <v>0</v>
      </c>
      <c r="W55" s="126">
        <f>IFERROR(VLOOKUP(C55,Regularizare!B:AX,45,0),"eroare")</f>
        <v>0</v>
      </c>
      <c r="X55" s="126">
        <f>IFERROR(VLOOKUP(C55,Regularizare!B:AX,46,0),"eroare")+IFERROR(VLOOKUP(C55,Regularizare!B:AX,48,0),"eroare")</f>
        <v>0</v>
      </c>
      <c r="Y55" s="126">
        <f>IFERROR(VLOOKUP(C55,Regularizare!B:AX,47,0),"eroare")+IFERROR(VLOOKUP(C55,Regularizare!B:AX,49,0),"eroare")</f>
        <v>0</v>
      </c>
      <c r="Z55" s="126">
        <f t="shared" si="72"/>
        <v>0</v>
      </c>
      <c r="AA55" s="126">
        <f t="shared" si="128"/>
        <v>0</v>
      </c>
      <c r="AB55" s="126">
        <f t="shared" si="73"/>
        <v>0</v>
      </c>
      <c r="AC55" s="126">
        <f t="shared" si="74"/>
        <v>0</v>
      </c>
      <c r="AD55" s="126">
        <f t="shared" si="75"/>
        <v>0</v>
      </c>
      <c r="AE55" s="126">
        <f t="shared" si="76"/>
        <v>0</v>
      </c>
      <c r="AF55" s="126">
        <f t="shared" si="77"/>
        <v>0</v>
      </c>
      <c r="AG55" s="126">
        <f t="shared" si="63"/>
        <v>0</v>
      </c>
      <c r="AH55" s="126">
        <f t="shared" si="78"/>
        <v>0</v>
      </c>
      <c r="AI55" s="126">
        <f t="shared" si="129"/>
        <v>0</v>
      </c>
      <c r="AJ55" s="126">
        <f t="shared" si="130"/>
        <v>0</v>
      </c>
      <c r="AK55" s="126">
        <v>0</v>
      </c>
      <c r="AL55" s="126">
        <v>0</v>
      </c>
      <c r="AM55" s="126">
        <v>0</v>
      </c>
      <c r="AN55" s="126">
        <v>0</v>
      </c>
    </row>
    <row r="56" spans="1:43">
      <c r="A56" s="17">
        <v>20</v>
      </c>
      <c r="B56" s="17" t="str">
        <f t="shared" si="49"/>
        <v>RFSC</v>
      </c>
      <c r="C56" s="198" t="s">
        <v>608</v>
      </c>
      <c r="D56" s="198" t="str">
        <f>IFERROR(VLOOKUP(C56,'Inchidere contur'!B:U,20,0),VLOOKUP(C56,'Inchidere contur'!G:U,15,0))</f>
        <v>JT_SDI</v>
      </c>
      <c r="E56" s="126">
        <f>IFERROR(IFERROR(VLOOKUP(C56,'Inchidere contur'!B:U,20-4,0),VLOOKUP(C56,'Inchidere contur'!G:U,15-4,0)),"eroare")</f>
        <v>109720</v>
      </c>
      <c r="F56" s="200">
        <v>0</v>
      </c>
      <c r="G56" s="200">
        <v>0</v>
      </c>
      <c r="H56" s="126">
        <f t="shared" si="68"/>
        <v>109720</v>
      </c>
      <c r="I56" s="126">
        <f t="shared" si="125"/>
        <v>0</v>
      </c>
      <c r="J56" s="126">
        <f t="shared" si="51"/>
        <v>109720</v>
      </c>
      <c r="K56" s="126">
        <f t="shared" si="52"/>
        <v>109720</v>
      </c>
      <c r="L56" s="126">
        <f t="shared" si="53"/>
        <v>109720</v>
      </c>
      <c r="M56" s="126">
        <f t="shared" si="54"/>
        <v>109720</v>
      </c>
      <c r="N56" s="126">
        <f t="shared" si="55"/>
        <v>109720</v>
      </c>
      <c r="O56" s="126">
        <f t="shared" si="56"/>
        <v>109720</v>
      </c>
      <c r="P56" s="126">
        <f t="shared" si="69"/>
        <v>109720</v>
      </c>
      <c r="Q56" s="126">
        <f t="shared" si="126"/>
        <v>109720</v>
      </c>
      <c r="R56" s="126">
        <f t="shared" si="127"/>
        <v>109720</v>
      </c>
      <c r="S56" s="126">
        <f>IFERROR(IFERROR(VLOOKUP(C56,'Inchidere contur'!B:U,20-3,0),VLOOKUP(C56,'Inchidere contur'!G:U,15-3,0)),"eroare")</f>
        <v>0</v>
      </c>
      <c r="T56" s="126">
        <f>IFERROR(IFERROR(VLOOKUP(C56,'Inchidere contur'!B:U,20-2,0),VLOOKUP(C56,'Inchidere contur'!G:U,15-2,0)),"eroare")</f>
        <v>0</v>
      </c>
      <c r="U56" s="126">
        <f t="shared" si="70"/>
        <v>0</v>
      </c>
      <c r="V56" s="126">
        <f t="shared" si="71"/>
        <v>0</v>
      </c>
      <c r="W56" s="126">
        <f>IFERROR(VLOOKUP(C56,Regularizare!B:AX,45,0),"eroare")</f>
        <v>0</v>
      </c>
      <c r="X56" s="126">
        <f>IFERROR(VLOOKUP(C56,Regularizare!B:AX,46,0),"eroare")+IFERROR(VLOOKUP(C56,Regularizare!B:AX,48,0),"eroare")</f>
        <v>0</v>
      </c>
      <c r="Y56" s="126">
        <f>IFERROR(VLOOKUP(C56,Regularizare!B:AX,47,0),"eroare")+IFERROR(VLOOKUP(C56,Regularizare!B:AX,49,0),"eroare")</f>
        <v>0</v>
      </c>
      <c r="Z56" s="126">
        <f t="shared" si="72"/>
        <v>0</v>
      </c>
      <c r="AA56" s="126">
        <f t="shared" si="128"/>
        <v>0</v>
      </c>
      <c r="AB56" s="126">
        <f t="shared" si="73"/>
        <v>0</v>
      </c>
      <c r="AC56" s="126">
        <f t="shared" si="74"/>
        <v>0</v>
      </c>
      <c r="AD56" s="126">
        <f t="shared" si="75"/>
        <v>0</v>
      </c>
      <c r="AE56" s="126">
        <f t="shared" si="76"/>
        <v>0</v>
      </c>
      <c r="AF56" s="126">
        <f t="shared" si="77"/>
        <v>0</v>
      </c>
      <c r="AG56" s="126">
        <f t="shared" si="63"/>
        <v>0</v>
      </c>
      <c r="AH56" s="126">
        <f t="shared" si="78"/>
        <v>0</v>
      </c>
      <c r="AI56" s="126">
        <f t="shared" si="129"/>
        <v>0</v>
      </c>
      <c r="AJ56" s="126">
        <f t="shared" si="130"/>
        <v>0</v>
      </c>
      <c r="AK56" s="126">
        <v>0</v>
      </c>
      <c r="AL56" s="126">
        <v>0</v>
      </c>
      <c r="AM56" s="126">
        <v>0</v>
      </c>
      <c r="AN56" s="126">
        <v>0</v>
      </c>
    </row>
    <row r="57" spans="1:43">
      <c r="A57" s="17">
        <v>20</v>
      </c>
      <c r="B57" s="17" t="str">
        <f t="shared" si="49"/>
        <v>RFSC</v>
      </c>
      <c r="C57" s="198" t="s">
        <v>609</v>
      </c>
      <c r="D57" s="198" t="str">
        <f>IFERROR(VLOOKUP(C57,'Inchidere contur'!B:U,20,0),VLOOKUP(C57,'Inchidere contur'!G:U,15,0))</f>
        <v>JT_SDI</v>
      </c>
      <c r="E57" s="126">
        <f>IFERROR(IFERROR(VLOOKUP(C57,'Inchidere contur'!B:U,20-4,0),VLOOKUP(C57,'Inchidere contur'!G:U,15-4,0)),"eroare")</f>
        <v>86239</v>
      </c>
      <c r="F57" s="200">
        <v>0</v>
      </c>
      <c r="G57" s="200">
        <v>0</v>
      </c>
      <c r="H57" s="126">
        <f t="shared" si="68"/>
        <v>86239</v>
      </c>
      <c r="I57" s="126">
        <f t="shared" si="125"/>
        <v>0</v>
      </c>
      <c r="J57" s="126">
        <f t="shared" si="51"/>
        <v>86239</v>
      </c>
      <c r="K57" s="126">
        <f t="shared" si="52"/>
        <v>86239</v>
      </c>
      <c r="L57" s="126">
        <f t="shared" si="53"/>
        <v>86239</v>
      </c>
      <c r="M57" s="126">
        <f t="shared" si="54"/>
        <v>86239</v>
      </c>
      <c r="N57" s="126">
        <f t="shared" si="55"/>
        <v>86239</v>
      </c>
      <c r="O57" s="126">
        <f t="shared" si="56"/>
        <v>86239</v>
      </c>
      <c r="P57" s="126">
        <f t="shared" si="69"/>
        <v>86239</v>
      </c>
      <c r="Q57" s="126">
        <f t="shared" si="126"/>
        <v>86239</v>
      </c>
      <c r="R57" s="126">
        <f t="shared" si="127"/>
        <v>86239</v>
      </c>
      <c r="S57" s="126">
        <f>IFERROR(IFERROR(VLOOKUP(C57,'Inchidere contur'!B:U,20-3,0),VLOOKUP(C57,'Inchidere contur'!G:U,15-3,0)),"eroare")</f>
        <v>44103</v>
      </c>
      <c r="T57" s="126">
        <f>IFERROR(IFERROR(VLOOKUP(C57,'Inchidere contur'!B:U,20-2,0),VLOOKUP(C57,'Inchidere contur'!G:U,15-2,0)),"eroare")</f>
        <v>0</v>
      </c>
      <c r="U57" s="126">
        <f t="shared" si="70"/>
        <v>0</v>
      </c>
      <c r="V57" s="126">
        <f t="shared" si="71"/>
        <v>0</v>
      </c>
      <c r="W57" s="126">
        <f>IFERROR(VLOOKUP(C57,Regularizare!B:AX,45,0),"eroare")</f>
        <v>0</v>
      </c>
      <c r="X57" s="126">
        <f>IFERROR(VLOOKUP(C57,Regularizare!B:AX,46,0),"eroare")+IFERROR(VLOOKUP(C57,Regularizare!B:AX,48,0),"eroare")</f>
        <v>0</v>
      </c>
      <c r="Y57" s="126">
        <f>IFERROR(VLOOKUP(C57,Regularizare!B:AX,47,0),"eroare")+IFERROR(VLOOKUP(C57,Regularizare!B:AX,49,0),"eroare")</f>
        <v>0</v>
      </c>
      <c r="Z57" s="126">
        <f t="shared" si="72"/>
        <v>0</v>
      </c>
      <c r="AA57" s="126">
        <f t="shared" si="128"/>
        <v>0</v>
      </c>
      <c r="AB57" s="126">
        <f t="shared" si="73"/>
        <v>0</v>
      </c>
      <c r="AC57" s="126">
        <f t="shared" si="74"/>
        <v>0</v>
      </c>
      <c r="AD57" s="126">
        <f t="shared" si="75"/>
        <v>0</v>
      </c>
      <c r="AE57" s="126">
        <f t="shared" si="76"/>
        <v>0</v>
      </c>
      <c r="AF57" s="126">
        <f t="shared" si="77"/>
        <v>0</v>
      </c>
      <c r="AG57" s="126">
        <f t="shared" si="63"/>
        <v>0</v>
      </c>
      <c r="AH57" s="126">
        <f t="shared" si="78"/>
        <v>0</v>
      </c>
      <c r="AI57" s="126">
        <f t="shared" si="129"/>
        <v>0</v>
      </c>
      <c r="AJ57" s="126">
        <f t="shared" si="130"/>
        <v>0</v>
      </c>
      <c r="AK57" s="126">
        <v>0</v>
      </c>
      <c r="AL57" s="126">
        <v>0</v>
      </c>
      <c r="AM57" s="126">
        <v>0</v>
      </c>
      <c r="AN57" s="126">
        <v>0</v>
      </c>
    </row>
    <row r="58" spans="1:43">
      <c r="A58" s="17">
        <v>20</v>
      </c>
      <c r="B58" s="17" t="str">
        <f t="shared" si="49"/>
        <v>RFSC</v>
      </c>
      <c r="C58" s="198" t="s">
        <v>610</v>
      </c>
      <c r="D58" s="198" t="str">
        <f>IFERROR(VLOOKUP(C58,'Inchidere contur'!B:U,20,0),VLOOKUP(C58,'Inchidere contur'!G:U,15,0))</f>
        <v>JT_SDI</v>
      </c>
      <c r="E58" s="126">
        <f>IFERROR(IFERROR(VLOOKUP(C58,'Inchidere contur'!B:U,20-4,0),VLOOKUP(C58,'Inchidere contur'!G:U,15-4,0)),"eroare")</f>
        <v>58865</v>
      </c>
      <c r="F58" s="200">
        <v>0</v>
      </c>
      <c r="G58" s="200">
        <v>0</v>
      </c>
      <c r="H58" s="126">
        <f t="shared" si="68"/>
        <v>58865</v>
      </c>
      <c r="I58" s="126">
        <f t="shared" si="125"/>
        <v>0</v>
      </c>
      <c r="J58" s="126">
        <f t="shared" si="51"/>
        <v>58865</v>
      </c>
      <c r="K58" s="126">
        <f t="shared" si="52"/>
        <v>58865</v>
      </c>
      <c r="L58" s="126">
        <f t="shared" si="53"/>
        <v>58865</v>
      </c>
      <c r="M58" s="126">
        <f t="shared" si="54"/>
        <v>58865</v>
      </c>
      <c r="N58" s="126">
        <f t="shared" si="55"/>
        <v>58865</v>
      </c>
      <c r="O58" s="126">
        <f t="shared" si="56"/>
        <v>58865</v>
      </c>
      <c r="P58" s="126">
        <f t="shared" si="69"/>
        <v>58865</v>
      </c>
      <c r="Q58" s="126">
        <f t="shared" si="126"/>
        <v>58865</v>
      </c>
      <c r="R58" s="126">
        <f t="shared" si="127"/>
        <v>58865</v>
      </c>
      <c r="S58" s="126">
        <f>IFERROR(IFERROR(VLOOKUP(C58,'Inchidere contur'!B:U,20-3,0),VLOOKUP(C58,'Inchidere contur'!G:U,15-3,0)),"eroare")</f>
        <v>0</v>
      </c>
      <c r="T58" s="126">
        <f>IFERROR(IFERROR(VLOOKUP(C58,'Inchidere contur'!B:U,20-2,0),VLOOKUP(C58,'Inchidere contur'!G:U,15-2,0)),"eroare")</f>
        <v>0</v>
      </c>
      <c r="U58" s="126">
        <f t="shared" si="70"/>
        <v>0</v>
      </c>
      <c r="V58" s="126">
        <f t="shared" si="71"/>
        <v>0</v>
      </c>
      <c r="W58" s="126">
        <f>IFERROR(VLOOKUP(C58,Regularizare!B:AX,45,0),"eroare")</f>
        <v>0</v>
      </c>
      <c r="X58" s="126">
        <f>IFERROR(VLOOKUP(C58,Regularizare!B:AX,46,0),"eroare")+IFERROR(VLOOKUP(C58,Regularizare!B:AX,48,0),"eroare")</f>
        <v>0</v>
      </c>
      <c r="Y58" s="126">
        <f>IFERROR(VLOOKUP(C58,Regularizare!B:AX,47,0),"eroare")+IFERROR(VLOOKUP(C58,Regularizare!B:AX,49,0),"eroare")</f>
        <v>0</v>
      </c>
      <c r="Z58" s="126">
        <f t="shared" si="72"/>
        <v>0</v>
      </c>
      <c r="AA58" s="126">
        <f t="shared" si="128"/>
        <v>0</v>
      </c>
      <c r="AB58" s="126">
        <f t="shared" si="73"/>
        <v>0</v>
      </c>
      <c r="AC58" s="126">
        <f t="shared" si="74"/>
        <v>0</v>
      </c>
      <c r="AD58" s="126">
        <f t="shared" si="75"/>
        <v>0</v>
      </c>
      <c r="AE58" s="126">
        <f t="shared" si="76"/>
        <v>0</v>
      </c>
      <c r="AF58" s="126">
        <f t="shared" si="77"/>
        <v>0</v>
      </c>
      <c r="AG58" s="126">
        <f t="shared" si="63"/>
        <v>0</v>
      </c>
      <c r="AH58" s="126">
        <f t="shared" si="78"/>
        <v>0</v>
      </c>
      <c r="AI58" s="126">
        <f t="shared" si="129"/>
        <v>0</v>
      </c>
      <c r="AJ58" s="126">
        <f t="shared" si="130"/>
        <v>0</v>
      </c>
      <c r="AK58" s="126">
        <v>0</v>
      </c>
      <c r="AL58" s="126">
        <v>0</v>
      </c>
      <c r="AM58" s="126">
        <v>0</v>
      </c>
      <c r="AN58" s="126">
        <v>0</v>
      </c>
    </row>
    <row r="59" spans="1:43">
      <c r="A59" s="17">
        <v>20</v>
      </c>
      <c r="B59" s="17" t="str">
        <f t="shared" si="49"/>
        <v>RFSC</v>
      </c>
      <c r="C59" s="198" t="s">
        <v>611</v>
      </c>
      <c r="D59" s="198" t="str">
        <f>IFERROR(VLOOKUP(C59,'Inchidere contur'!B:U,20,0),VLOOKUP(C59,'Inchidere contur'!G:U,15,0))</f>
        <v>JT_SDI</v>
      </c>
      <c r="E59" s="126">
        <f>IFERROR(IFERROR(VLOOKUP(C59,'Inchidere contur'!B:U,20-4,0),VLOOKUP(C59,'Inchidere contur'!G:U,15-4,0)),"eroare")</f>
        <v>316845</v>
      </c>
      <c r="F59" s="200">
        <v>0</v>
      </c>
      <c r="G59" s="200">
        <v>0</v>
      </c>
      <c r="H59" s="126">
        <f t="shared" si="68"/>
        <v>316845</v>
      </c>
      <c r="I59" s="126">
        <f t="shared" si="125"/>
        <v>0</v>
      </c>
      <c r="J59" s="126">
        <f t="shared" si="51"/>
        <v>316845</v>
      </c>
      <c r="K59" s="126">
        <f t="shared" si="52"/>
        <v>316845</v>
      </c>
      <c r="L59" s="126">
        <f t="shared" si="53"/>
        <v>316845</v>
      </c>
      <c r="M59" s="126">
        <f t="shared" si="54"/>
        <v>316845</v>
      </c>
      <c r="N59" s="126">
        <f t="shared" si="55"/>
        <v>316845</v>
      </c>
      <c r="O59" s="126">
        <f t="shared" si="56"/>
        <v>316845</v>
      </c>
      <c r="P59" s="126">
        <f t="shared" si="69"/>
        <v>316845</v>
      </c>
      <c r="Q59" s="126">
        <f t="shared" si="126"/>
        <v>316845</v>
      </c>
      <c r="R59" s="126">
        <f t="shared" si="127"/>
        <v>316845</v>
      </c>
      <c r="S59" s="126">
        <f>IFERROR(IFERROR(VLOOKUP(C59,'Inchidere contur'!B:U,20-3,0),VLOOKUP(C59,'Inchidere contur'!G:U,15-3,0)),"eroare")</f>
        <v>0</v>
      </c>
      <c r="T59" s="126">
        <f>IFERROR(IFERROR(VLOOKUP(C59,'Inchidere contur'!B:U,20-2,0),VLOOKUP(C59,'Inchidere contur'!G:U,15-2,0)),"eroare")</f>
        <v>0</v>
      </c>
      <c r="U59" s="126">
        <f t="shared" si="70"/>
        <v>0</v>
      </c>
      <c r="V59" s="126">
        <f t="shared" si="71"/>
        <v>0</v>
      </c>
      <c r="W59" s="126">
        <f>IFERROR(VLOOKUP(C59,Regularizare!B:AX,45,0),"eroare")</f>
        <v>0</v>
      </c>
      <c r="X59" s="126">
        <f>IFERROR(VLOOKUP(C59,Regularizare!B:AX,46,0),"eroare")+IFERROR(VLOOKUP(C59,Regularizare!B:AX,48,0),"eroare")</f>
        <v>0</v>
      </c>
      <c r="Y59" s="126">
        <f>IFERROR(VLOOKUP(C59,Regularizare!B:AX,47,0),"eroare")+IFERROR(VLOOKUP(C59,Regularizare!B:AX,49,0),"eroare")</f>
        <v>0</v>
      </c>
      <c r="Z59" s="126">
        <f t="shared" si="72"/>
        <v>0</v>
      </c>
      <c r="AA59" s="126">
        <f t="shared" si="128"/>
        <v>0</v>
      </c>
      <c r="AB59" s="126">
        <f t="shared" si="73"/>
        <v>0</v>
      </c>
      <c r="AC59" s="126">
        <f t="shared" si="74"/>
        <v>0</v>
      </c>
      <c r="AD59" s="126">
        <f t="shared" si="75"/>
        <v>0</v>
      </c>
      <c r="AE59" s="126">
        <f t="shared" si="76"/>
        <v>0</v>
      </c>
      <c r="AF59" s="126">
        <f t="shared" si="77"/>
        <v>0</v>
      </c>
      <c r="AG59" s="126">
        <f t="shared" si="63"/>
        <v>0</v>
      </c>
      <c r="AH59" s="126">
        <f t="shared" si="78"/>
        <v>0</v>
      </c>
      <c r="AI59" s="126">
        <f t="shared" si="129"/>
        <v>0</v>
      </c>
      <c r="AJ59" s="126">
        <f t="shared" si="130"/>
        <v>0</v>
      </c>
      <c r="AK59" s="126">
        <v>0</v>
      </c>
      <c r="AL59" s="126">
        <v>0</v>
      </c>
      <c r="AM59" s="126">
        <v>0</v>
      </c>
      <c r="AN59" s="126">
        <v>0</v>
      </c>
    </row>
    <row r="60" spans="1:43">
      <c r="A60" s="17">
        <v>20</v>
      </c>
      <c r="B60" s="17" t="str">
        <f t="shared" si="49"/>
        <v>RFSC</v>
      </c>
      <c r="C60" s="198" t="s">
        <v>612</v>
      </c>
      <c r="D60" s="198" t="str">
        <f>IFERROR(VLOOKUP(C60,'Inchidere contur'!B:U,20,0),VLOOKUP(C60,'Inchidere contur'!G:U,15,0))</f>
        <v>MT_SDI</v>
      </c>
      <c r="E60" s="126">
        <f>IFERROR(IFERROR(VLOOKUP(C60,'Inchidere contur'!B:U,20-4,0),VLOOKUP(C60,'Inchidere contur'!G:U,15-4,0)),"eroare")</f>
        <v>298834</v>
      </c>
      <c r="F60" s="200">
        <v>0</v>
      </c>
      <c r="G60" s="200">
        <v>0</v>
      </c>
      <c r="H60" s="126">
        <f t="shared" si="68"/>
        <v>298834</v>
      </c>
      <c r="I60" s="126">
        <f t="shared" si="125"/>
        <v>0</v>
      </c>
      <c r="J60" s="126">
        <f t="shared" si="51"/>
        <v>298834</v>
      </c>
      <c r="K60" s="126">
        <f t="shared" si="52"/>
        <v>298834</v>
      </c>
      <c r="L60" s="126">
        <f t="shared" si="53"/>
        <v>298834</v>
      </c>
      <c r="M60" s="126">
        <f t="shared" si="54"/>
        <v>298834</v>
      </c>
      <c r="N60" s="126">
        <f t="shared" si="55"/>
        <v>298834</v>
      </c>
      <c r="O60" s="126">
        <f t="shared" si="56"/>
        <v>298834</v>
      </c>
      <c r="P60" s="126">
        <f t="shared" si="69"/>
        <v>298834</v>
      </c>
      <c r="Q60" s="126">
        <f t="shared" si="126"/>
        <v>298834</v>
      </c>
      <c r="R60" s="126">
        <f t="shared" si="127"/>
        <v>0</v>
      </c>
      <c r="S60" s="126">
        <f>IFERROR(IFERROR(VLOOKUP(C60,'Inchidere contur'!B:U,20-3,0),VLOOKUP(C60,'Inchidere contur'!G:U,15-3,0)),"eroare")</f>
        <v>0</v>
      </c>
      <c r="T60" s="126">
        <f>IFERROR(IFERROR(VLOOKUP(C60,'Inchidere contur'!B:U,20-2,0),VLOOKUP(C60,'Inchidere contur'!G:U,15-2,0)),"eroare")</f>
        <v>0</v>
      </c>
      <c r="U60" s="126">
        <f t="shared" si="70"/>
        <v>0</v>
      </c>
      <c r="V60" s="126">
        <f t="shared" si="71"/>
        <v>0</v>
      </c>
      <c r="W60" s="126">
        <f>IFERROR(VLOOKUP(C60,Regularizare!B:AX,45,0),"eroare")</f>
        <v>0</v>
      </c>
      <c r="X60" s="126">
        <f>IFERROR(VLOOKUP(C60,Regularizare!B:AX,46,0),"eroare")+IFERROR(VLOOKUP(C60,Regularizare!B:AX,48,0),"eroare")</f>
        <v>0</v>
      </c>
      <c r="Y60" s="126">
        <f>IFERROR(VLOOKUP(C60,Regularizare!B:AX,47,0),"eroare")+IFERROR(VLOOKUP(C60,Regularizare!B:AX,49,0),"eroare")</f>
        <v>0</v>
      </c>
      <c r="Z60" s="126">
        <f t="shared" si="72"/>
        <v>0</v>
      </c>
      <c r="AA60" s="126">
        <f t="shared" si="128"/>
        <v>0</v>
      </c>
      <c r="AB60" s="126">
        <f t="shared" si="73"/>
        <v>0</v>
      </c>
      <c r="AC60" s="126">
        <f t="shared" si="74"/>
        <v>0</v>
      </c>
      <c r="AD60" s="126">
        <f t="shared" si="75"/>
        <v>0</v>
      </c>
      <c r="AE60" s="126">
        <f t="shared" si="76"/>
        <v>0</v>
      </c>
      <c r="AF60" s="126">
        <f t="shared" si="77"/>
        <v>0</v>
      </c>
      <c r="AG60" s="126">
        <f t="shared" si="63"/>
        <v>0</v>
      </c>
      <c r="AH60" s="126">
        <f t="shared" si="78"/>
        <v>0</v>
      </c>
      <c r="AI60" s="126">
        <f t="shared" si="129"/>
        <v>0</v>
      </c>
      <c r="AJ60" s="126">
        <f t="shared" si="130"/>
        <v>0</v>
      </c>
      <c r="AK60" s="126">
        <v>0</v>
      </c>
      <c r="AL60" s="126">
        <v>0</v>
      </c>
      <c r="AM60" s="126">
        <v>0</v>
      </c>
      <c r="AN60" s="126">
        <v>0</v>
      </c>
    </row>
    <row r="61" spans="1:43">
      <c r="A61" s="17">
        <v>20</v>
      </c>
      <c r="B61" s="17" t="str">
        <f t="shared" si="49"/>
        <v>RFSC</v>
      </c>
      <c r="C61" s="198" t="s">
        <v>998</v>
      </c>
      <c r="D61" s="198" t="str">
        <f>IFERROR(VLOOKUP(C61,'Inchidere contur'!B:U,20,0),VLOOKUP(C61,'Inchidere contur'!G:U,15,0))</f>
        <v>JT_SDI</v>
      </c>
      <c r="E61" s="126">
        <f>IFERROR(IFERROR(VLOOKUP(C61,'Inchidere contur'!B:U,20-4,0),VLOOKUP(C61,'Inchidere contur'!G:U,15-4,0)),"eroare")</f>
        <v>0</v>
      </c>
      <c r="F61" s="200">
        <v>0</v>
      </c>
      <c r="G61" s="200">
        <v>0</v>
      </c>
      <c r="H61" s="126">
        <f t="shared" si="68"/>
        <v>0</v>
      </c>
      <c r="I61" s="126">
        <f t="shared" si="125"/>
        <v>0</v>
      </c>
      <c r="J61" s="126">
        <f t="shared" si="51"/>
        <v>0</v>
      </c>
      <c r="K61" s="126">
        <f t="shared" si="52"/>
        <v>0</v>
      </c>
      <c r="L61" s="126">
        <f t="shared" si="53"/>
        <v>0</v>
      </c>
      <c r="M61" s="126">
        <f t="shared" si="54"/>
        <v>0</v>
      </c>
      <c r="N61" s="126">
        <f t="shared" si="55"/>
        <v>0</v>
      </c>
      <c r="O61" s="126">
        <f t="shared" si="56"/>
        <v>0</v>
      </c>
      <c r="P61" s="126">
        <f t="shared" si="69"/>
        <v>0</v>
      </c>
      <c r="Q61" s="126">
        <f t="shared" si="126"/>
        <v>0</v>
      </c>
      <c r="R61" s="126">
        <f t="shared" si="127"/>
        <v>0</v>
      </c>
      <c r="S61" s="126">
        <f>IFERROR(IFERROR(VLOOKUP(C61,'Inchidere contur'!B:U,20-3,0),VLOOKUP(C61,'Inchidere contur'!G:U,15-3,0)),"eroare")</f>
        <v>0</v>
      </c>
      <c r="T61" s="126">
        <f>IFERROR(IFERROR(VLOOKUP(C61,'Inchidere contur'!B:U,20-2,0),VLOOKUP(C61,'Inchidere contur'!G:U,15-2,0)),"eroare")</f>
        <v>0</v>
      </c>
      <c r="U61" s="126">
        <f t="shared" si="70"/>
        <v>0</v>
      </c>
      <c r="V61" s="126">
        <f t="shared" si="71"/>
        <v>0</v>
      </c>
      <c r="W61" s="126">
        <f>IFERROR(VLOOKUP(C61,Regularizare!B:AX,45,0),"eroare")</f>
        <v>0</v>
      </c>
      <c r="X61" s="126">
        <f>IFERROR(VLOOKUP(C61,Regularizare!B:AX,46,0),"eroare")+IFERROR(VLOOKUP(C61,Regularizare!B:AX,48,0),"eroare")</f>
        <v>0</v>
      </c>
      <c r="Y61" s="126">
        <f>IFERROR(VLOOKUP(C61,Regularizare!B:AX,47,0),"eroare")+IFERROR(VLOOKUP(C61,Regularizare!B:AX,49,0),"eroare")</f>
        <v>0</v>
      </c>
      <c r="Z61" s="126">
        <f t="shared" si="72"/>
        <v>0</v>
      </c>
      <c r="AA61" s="126">
        <f t="shared" si="128"/>
        <v>0</v>
      </c>
      <c r="AB61" s="126">
        <f t="shared" si="73"/>
        <v>0</v>
      </c>
      <c r="AC61" s="126">
        <f t="shared" si="74"/>
        <v>0</v>
      </c>
      <c r="AD61" s="126">
        <f t="shared" si="75"/>
        <v>0</v>
      </c>
      <c r="AE61" s="126">
        <f t="shared" si="76"/>
        <v>0</v>
      </c>
      <c r="AF61" s="126">
        <f t="shared" si="77"/>
        <v>0</v>
      </c>
      <c r="AG61" s="126">
        <f t="shared" si="63"/>
        <v>0</v>
      </c>
      <c r="AH61" s="126">
        <f t="shared" si="78"/>
        <v>0</v>
      </c>
      <c r="AI61" s="126">
        <f t="shared" si="129"/>
        <v>0</v>
      </c>
      <c r="AJ61" s="126">
        <f t="shared" si="130"/>
        <v>0</v>
      </c>
      <c r="AK61" s="126">
        <v>0</v>
      </c>
      <c r="AL61" s="126">
        <v>0</v>
      </c>
      <c r="AM61" s="126">
        <v>0</v>
      </c>
      <c r="AN61" s="126">
        <v>0</v>
      </c>
    </row>
    <row r="62" spans="1:43">
      <c r="A62" s="17">
        <v>20</v>
      </c>
      <c r="B62" s="17" t="str">
        <f t="shared" si="49"/>
        <v>RFSC</v>
      </c>
      <c r="C62" s="198" t="s">
        <v>999</v>
      </c>
      <c r="D62" s="198" t="str">
        <f>IFERROR(VLOOKUP(C62,'Inchidere contur'!B:U,20,0),VLOOKUP(C62,'Inchidere contur'!G:U,15,0))</f>
        <v>JT_SDI</v>
      </c>
      <c r="E62" s="126">
        <f>IFERROR(IFERROR(VLOOKUP(C62,'Inchidere contur'!B:U,20-4,0),VLOOKUP(C62,'Inchidere contur'!G:U,15-4,0)),"eroare")</f>
        <v>0</v>
      </c>
      <c r="F62" s="200">
        <v>0</v>
      </c>
      <c r="G62" s="200">
        <v>0</v>
      </c>
      <c r="H62" s="126">
        <f t="shared" si="68"/>
        <v>0</v>
      </c>
      <c r="I62" s="126">
        <f t="shared" si="125"/>
        <v>0</v>
      </c>
      <c r="J62" s="126">
        <f t="shared" si="51"/>
        <v>0</v>
      </c>
      <c r="K62" s="126">
        <f t="shared" si="52"/>
        <v>0</v>
      </c>
      <c r="L62" s="126">
        <f t="shared" si="53"/>
        <v>0</v>
      </c>
      <c r="M62" s="126">
        <f t="shared" si="54"/>
        <v>0</v>
      </c>
      <c r="N62" s="126">
        <f t="shared" si="55"/>
        <v>0</v>
      </c>
      <c r="O62" s="126">
        <f t="shared" si="56"/>
        <v>0</v>
      </c>
      <c r="P62" s="126">
        <f t="shared" si="69"/>
        <v>0</v>
      </c>
      <c r="Q62" s="126">
        <f t="shared" si="126"/>
        <v>0</v>
      </c>
      <c r="R62" s="126">
        <f t="shared" si="127"/>
        <v>0</v>
      </c>
      <c r="S62" s="126">
        <f>IFERROR(IFERROR(VLOOKUP(C62,'Inchidere contur'!B:U,20-3,0),VLOOKUP(C62,'Inchidere contur'!G:U,15-3,0)),"eroare")</f>
        <v>0</v>
      </c>
      <c r="T62" s="126">
        <f>IFERROR(IFERROR(VLOOKUP(C62,'Inchidere contur'!B:U,20-2,0),VLOOKUP(C62,'Inchidere contur'!G:U,15-2,0)),"eroare")</f>
        <v>0</v>
      </c>
      <c r="U62" s="126">
        <f t="shared" si="70"/>
        <v>0</v>
      </c>
      <c r="V62" s="126">
        <f t="shared" si="71"/>
        <v>0</v>
      </c>
      <c r="W62" s="126">
        <f>IFERROR(VLOOKUP(C62,Regularizare!B:AX,45,0),"eroare")</f>
        <v>0</v>
      </c>
      <c r="X62" s="126">
        <f>IFERROR(VLOOKUP(C62,Regularizare!B:AX,46,0),"eroare")+IFERROR(VLOOKUP(C62,Regularizare!B:AX,48,0),"eroare")</f>
        <v>0</v>
      </c>
      <c r="Y62" s="126">
        <f>IFERROR(VLOOKUP(C62,Regularizare!B:AX,47,0),"eroare")+IFERROR(VLOOKUP(C62,Regularizare!B:AX,49,0),"eroare")</f>
        <v>0</v>
      </c>
      <c r="Z62" s="126">
        <f t="shared" si="72"/>
        <v>0</v>
      </c>
      <c r="AA62" s="126">
        <f t="shared" si="128"/>
        <v>0</v>
      </c>
      <c r="AB62" s="126">
        <f t="shared" si="73"/>
        <v>0</v>
      </c>
      <c r="AC62" s="126">
        <f t="shared" si="74"/>
        <v>0</v>
      </c>
      <c r="AD62" s="126">
        <f t="shared" si="75"/>
        <v>0</v>
      </c>
      <c r="AE62" s="126">
        <f t="shared" si="76"/>
        <v>0</v>
      </c>
      <c r="AF62" s="126">
        <f t="shared" si="77"/>
        <v>0</v>
      </c>
      <c r="AG62" s="126">
        <f t="shared" si="63"/>
        <v>0</v>
      </c>
      <c r="AH62" s="126">
        <f t="shared" si="78"/>
        <v>0</v>
      </c>
      <c r="AI62" s="126">
        <f t="shared" si="129"/>
        <v>0</v>
      </c>
      <c r="AJ62" s="126">
        <f t="shared" si="130"/>
        <v>0</v>
      </c>
      <c r="AK62" s="126">
        <v>0</v>
      </c>
      <c r="AL62" s="126">
        <v>0</v>
      </c>
      <c r="AM62" s="126">
        <v>0</v>
      </c>
      <c r="AN62" s="126">
        <v>0</v>
      </c>
    </row>
    <row r="63" spans="1:43">
      <c r="A63" s="17">
        <v>20</v>
      </c>
      <c r="B63" s="17" t="str">
        <f t="shared" si="49"/>
        <v>RFSC</v>
      </c>
      <c r="C63" s="198" t="s">
        <v>1000</v>
      </c>
      <c r="D63" s="198" t="str">
        <f>IFERROR(VLOOKUP(C63,'Inchidere contur'!B:U,20,0),VLOOKUP(C63,'Inchidere contur'!G:U,15,0))</f>
        <v>JT_SDI</v>
      </c>
      <c r="E63" s="126">
        <f>IFERROR(IFERROR(VLOOKUP(C63,'Inchidere contur'!B:U,20-4,0),VLOOKUP(C63,'Inchidere contur'!G:U,15-4,0)),"eroare")</f>
        <v>0</v>
      </c>
      <c r="F63" s="200">
        <v>0</v>
      </c>
      <c r="G63" s="200">
        <v>0</v>
      </c>
      <c r="H63" s="126">
        <f t="shared" si="68"/>
        <v>0</v>
      </c>
      <c r="I63" s="126">
        <f t="shared" si="125"/>
        <v>0</v>
      </c>
      <c r="J63" s="126">
        <f t="shared" si="51"/>
        <v>0</v>
      </c>
      <c r="K63" s="126">
        <f t="shared" si="52"/>
        <v>0</v>
      </c>
      <c r="L63" s="126">
        <f t="shared" si="53"/>
        <v>0</v>
      </c>
      <c r="M63" s="126">
        <f t="shared" si="54"/>
        <v>0</v>
      </c>
      <c r="N63" s="126">
        <f t="shared" si="55"/>
        <v>0</v>
      </c>
      <c r="O63" s="126">
        <f t="shared" si="56"/>
        <v>0</v>
      </c>
      <c r="P63" s="126">
        <f t="shared" si="69"/>
        <v>0</v>
      </c>
      <c r="Q63" s="126">
        <f t="shared" si="126"/>
        <v>0</v>
      </c>
      <c r="R63" s="126">
        <f t="shared" si="127"/>
        <v>0</v>
      </c>
      <c r="S63" s="126">
        <f>IFERROR(IFERROR(VLOOKUP(C63,'Inchidere contur'!B:U,20-3,0),VLOOKUP(C63,'Inchidere contur'!G:U,15-3,0)),"eroare")</f>
        <v>0</v>
      </c>
      <c r="T63" s="126">
        <f>IFERROR(IFERROR(VLOOKUP(C63,'Inchidere contur'!B:U,20-2,0),VLOOKUP(C63,'Inchidere contur'!G:U,15-2,0)),"eroare")</f>
        <v>0</v>
      </c>
      <c r="U63" s="126">
        <f t="shared" si="70"/>
        <v>0</v>
      </c>
      <c r="V63" s="126">
        <f t="shared" si="71"/>
        <v>0</v>
      </c>
      <c r="W63" s="126">
        <f>IFERROR(VLOOKUP(C63,Regularizare!B:AX,45,0),"eroare")</f>
        <v>0</v>
      </c>
      <c r="X63" s="126">
        <f>IFERROR(VLOOKUP(C63,Regularizare!B:AX,46,0),"eroare")+IFERROR(VLOOKUP(C63,Regularizare!B:AX,48,0),"eroare")</f>
        <v>0</v>
      </c>
      <c r="Y63" s="126">
        <f>IFERROR(VLOOKUP(C63,Regularizare!B:AX,47,0),"eroare")+IFERROR(VLOOKUP(C63,Regularizare!B:AX,49,0),"eroare")</f>
        <v>0</v>
      </c>
      <c r="Z63" s="126">
        <f t="shared" si="72"/>
        <v>0</v>
      </c>
      <c r="AA63" s="126">
        <f t="shared" si="128"/>
        <v>0</v>
      </c>
      <c r="AB63" s="126">
        <f t="shared" si="73"/>
        <v>0</v>
      </c>
      <c r="AC63" s="126">
        <f t="shared" si="74"/>
        <v>0</v>
      </c>
      <c r="AD63" s="126">
        <f t="shared" si="75"/>
        <v>0</v>
      </c>
      <c r="AE63" s="126">
        <f t="shared" si="76"/>
        <v>0</v>
      </c>
      <c r="AF63" s="126">
        <f t="shared" si="77"/>
        <v>0</v>
      </c>
      <c r="AG63" s="126">
        <f t="shared" si="63"/>
        <v>0</v>
      </c>
      <c r="AH63" s="126">
        <f t="shared" si="78"/>
        <v>0</v>
      </c>
      <c r="AI63" s="126">
        <f t="shared" si="129"/>
        <v>0</v>
      </c>
      <c r="AJ63" s="126">
        <f t="shared" si="130"/>
        <v>0</v>
      </c>
      <c r="AK63" s="126">
        <v>0</v>
      </c>
      <c r="AL63" s="126">
        <v>0</v>
      </c>
      <c r="AM63" s="126">
        <v>0</v>
      </c>
      <c r="AN63" s="126">
        <v>0</v>
      </c>
    </row>
    <row r="64" spans="1:43">
      <c r="A64" s="17">
        <v>20</v>
      </c>
      <c r="B64" s="17" t="str">
        <f t="shared" si="49"/>
        <v>RFSC</v>
      </c>
      <c r="C64" s="198" t="s">
        <v>1001</v>
      </c>
      <c r="D64" s="198" t="str">
        <f>IFERROR(VLOOKUP(C64,'Inchidere contur'!B:U,20,0),VLOOKUP(C64,'Inchidere contur'!G:U,15,0))</f>
        <v>JT_SDI</v>
      </c>
      <c r="E64" s="126">
        <f>IFERROR(IFERROR(VLOOKUP(C64,'Inchidere contur'!B:U,20-4,0),VLOOKUP(C64,'Inchidere contur'!G:U,15-4,0)),"eroare")</f>
        <v>0</v>
      </c>
      <c r="F64" s="200">
        <v>0</v>
      </c>
      <c r="G64" s="200">
        <v>0</v>
      </c>
      <c r="H64" s="126">
        <f t="shared" si="68"/>
        <v>0</v>
      </c>
      <c r="I64" s="126">
        <f t="shared" si="125"/>
        <v>0</v>
      </c>
      <c r="J64" s="126">
        <f t="shared" si="51"/>
        <v>0</v>
      </c>
      <c r="K64" s="126">
        <f t="shared" si="52"/>
        <v>0</v>
      </c>
      <c r="L64" s="126">
        <f t="shared" si="53"/>
        <v>0</v>
      </c>
      <c r="M64" s="126">
        <f t="shared" si="54"/>
        <v>0</v>
      </c>
      <c r="N64" s="126">
        <f t="shared" si="55"/>
        <v>0</v>
      </c>
      <c r="O64" s="126">
        <f t="shared" si="56"/>
        <v>0</v>
      </c>
      <c r="P64" s="126">
        <f t="shared" si="69"/>
        <v>0</v>
      </c>
      <c r="Q64" s="126">
        <f t="shared" si="126"/>
        <v>0</v>
      </c>
      <c r="R64" s="126">
        <f t="shared" si="127"/>
        <v>0</v>
      </c>
      <c r="S64" s="126">
        <f>IFERROR(IFERROR(VLOOKUP(C64,'Inchidere contur'!B:U,20-3,0),VLOOKUP(C64,'Inchidere contur'!G:U,15-3,0)),"eroare")</f>
        <v>0</v>
      </c>
      <c r="T64" s="126">
        <f>IFERROR(IFERROR(VLOOKUP(C64,'Inchidere contur'!B:U,20-2,0),VLOOKUP(C64,'Inchidere contur'!G:U,15-2,0)),"eroare")</f>
        <v>0</v>
      </c>
      <c r="U64" s="126">
        <f t="shared" si="70"/>
        <v>0</v>
      </c>
      <c r="V64" s="126">
        <f t="shared" si="71"/>
        <v>0</v>
      </c>
      <c r="W64" s="126">
        <f>IFERROR(VLOOKUP(C64,Regularizare!B:AX,45,0),"eroare")</f>
        <v>0</v>
      </c>
      <c r="X64" s="126">
        <f>IFERROR(VLOOKUP(C64,Regularizare!B:AX,46,0),"eroare")+IFERROR(VLOOKUP(C64,Regularizare!B:AX,48,0),"eroare")</f>
        <v>0</v>
      </c>
      <c r="Y64" s="126">
        <f>IFERROR(VLOOKUP(C64,Regularizare!B:AX,47,0),"eroare")+IFERROR(VLOOKUP(C64,Regularizare!B:AX,49,0),"eroare")</f>
        <v>0</v>
      </c>
      <c r="Z64" s="126">
        <f t="shared" si="72"/>
        <v>0</v>
      </c>
      <c r="AA64" s="126">
        <f t="shared" si="128"/>
        <v>0</v>
      </c>
      <c r="AB64" s="126">
        <f t="shared" si="73"/>
        <v>0</v>
      </c>
      <c r="AC64" s="126">
        <f t="shared" si="74"/>
        <v>0</v>
      </c>
      <c r="AD64" s="126">
        <f t="shared" si="75"/>
        <v>0</v>
      </c>
      <c r="AE64" s="126">
        <f t="shared" si="76"/>
        <v>0</v>
      </c>
      <c r="AF64" s="126">
        <f t="shared" si="77"/>
        <v>0</v>
      </c>
      <c r="AG64" s="126">
        <f t="shared" si="63"/>
        <v>0</v>
      </c>
      <c r="AH64" s="126">
        <f t="shared" si="78"/>
        <v>0</v>
      </c>
      <c r="AI64" s="126">
        <f t="shared" si="129"/>
        <v>0</v>
      </c>
      <c r="AJ64" s="126">
        <f t="shared" si="130"/>
        <v>0</v>
      </c>
      <c r="AK64" s="126">
        <v>0</v>
      </c>
      <c r="AL64" s="126">
        <v>0</v>
      </c>
      <c r="AM64" s="126">
        <v>0</v>
      </c>
      <c r="AN64" s="126">
        <v>0</v>
      </c>
    </row>
    <row r="65" spans="1:40">
      <c r="A65" s="17">
        <v>20</v>
      </c>
      <c r="B65" s="17" t="str">
        <f t="shared" si="49"/>
        <v>RFSC</v>
      </c>
      <c r="C65" s="198" t="s">
        <v>1002</v>
      </c>
      <c r="D65" s="198" t="str">
        <f>IFERROR(VLOOKUP(C65,'Inchidere contur'!B:U,20,0),VLOOKUP(C65,'Inchidere contur'!G:U,15,0))</f>
        <v>MT_SDI</v>
      </c>
      <c r="E65" s="126">
        <f>IFERROR(IFERROR(VLOOKUP(C65,'Inchidere contur'!B:U,20-4,0),VLOOKUP(C65,'Inchidere contur'!G:U,15-4,0)),"eroare")</f>
        <v>0</v>
      </c>
      <c r="F65" s="200">
        <v>0</v>
      </c>
      <c r="G65" s="200">
        <v>0</v>
      </c>
      <c r="H65" s="126">
        <f t="shared" si="68"/>
        <v>0</v>
      </c>
      <c r="I65" s="126">
        <f t="shared" si="125"/>
        <v>0</v>
      </c>
      <c r="J65" s="126">
        <f t="shared" si="51"/>
        <v>0</v>
      </c>
      <c r="K65" s="126">
        <f t="shared" si="52"/>
        <v>0</v>
      </c>
      <c r="L65" s="126">
        <f t="shared" si="53"/>
        <v>0</v>
      </c>
      <c r="M65" s="126">
        <f t="shared" si="54"/>
        <v>0</v>
      </c>
      <c r="N65" s="126">
        <f t="shared" si="55"/>
        <v>0</v>
      </c>
      <c r="O65" s="126">
        <f t="shared" si="56"/>
        <v>0</v>
      </c>
      <c r="P65" s="126">
        <f t="shared" si="69"/>
        <v>0</v>
      </c>
      <c r="Q65" s="126">
        <f t="shared" si="126"/>
        <v>0</v>
      </c>
      <c r="R65" s="126">
        <f t="shared" si="127"/>
        <v>0</v>
      </c>
      <c r="S65" s="126">
        <f>IFERROR(IFERROR(VLOOKUP(C65,'Inchidere contur'!B:U,20-3,0),VLOOKUP(C65,'Inchidere contur'!G:U,15-3,0)),"eroare")</f>
        <v>0</v>
      </c>
      <c r="T65" s="126">
        <f>IFERROR(IFERROR(VLOOKUP(C65,'Inchidere contur'!B:U,20-2,0),VLOOKUP(C65,'Inchidere contur'!G:U,15-2,0)),"eroare")</f>
        <v>0</v>
      </c>
      <c r="U65" s="126">
        <f t="shared" si="70"/>
        <v>0</v>
      </c>
      <c r="V65" s="126">
        <f t="shared" si="71"/>
        <v>0</v>
      </c>
      <c r="W65" s="126">
        <f>IFERROR(VLOOKUP(C65,Regularizare!B:AX,45,0),"eroare")</f>
        <v>0</v>
      </c>
      <c r="X65" s="126">
        <f>IFERROR(VLOOKUP(C65,Regularizare!B:AX,46,0),"eroare")+IFERROR(VLOOKUP(C65,Regularizare!B:AX,48,0),"eroare")</f>
        <v>0</v>
      </c>
      <c r="Y65" s="126">
        <f>IFERROR(VLOOKUP(C65,Regularizare!B:AX,47,0),"eroare")+IFERROR(VLOOKUP(C65,Regularizare!B:AX,49,0),"eroare")</f>
        <v>0</v>
      </c>
      <c r="Z65" s="126">
        <f t="shared" si="72"/>
        <v>0</v>
      </c>
      <c r="AA65" s="126">
        <f t="shared" si="128"/>
        <v>0</v>
      </c>
      <c r="AB65" s="126">
        <f t="shared" si="73"/>
        <v>0</v>
      </c>
      <c r="AC65" s="126">
        <f t="shared" si="74"/>
        <v>0</v>
      </c>
      <c r="AD65" s="126">
        <f t="shared" si="75"/>
        <v>0</v>
      </c>
      <c r="AE65" s="126">
        <f t="shared" si="76"/>
        <v>0</v>
      </c>
      <c r="AF65" s="126">
        <f t="shared" si="77"/>
        <v>0</v>
      </c>
      <c r="AG65" s="126">
        <f t="shared" si="63"/>
        <v>0</v>
      </c>
      <c r="AH65" s="126">
        <f t="shared" si="78"/>
        <v>0</v>
      </c>
      <c r="AI65" s="126">
        <f t="shared" si="129"/>
        <v>0</v>
      </c>
      <c r="AJ65" s="126">
        <f t="shared" si="130"/>
        <v>0</v>
      </c>
      <c r="AK65" s="126">
        <v>0</v>
      </c>
      <c r="AL65" s="126">
        <v>0</v>
      </c>
      <c r="AM65" s="126">
        <v>0</v>
      </c>
      <c r="AN65" s="126">
        <v>0</v>
      </c>
    </row>
    <row r="66" spans="1:40">
      <c r="A66" s="17">
        <v>20</v>
      </c>
      <c r="B66" s="17" t="str">
        <f t="shared" si="49"/>
        <v>RPMB</v>
      </c>
      <c r="C66" s="198" t="s">
        <v>613</v>
      </c>
      <c r="D66" s="198" t="str">
        <f>IFERROR(VLOOKUP(C66,'Inchidere contur'!B:U,20,0),VLOOKUP(C66,'Inchidere contur'!G:U,15,0))</f>
        <v>JT_SDI</v>
      </c>
      <c r="E66" s="126">
        <f>IFERROR(IFERROR(VLOOKUP(C66,'Inchidere contur'!B:U,20-4,0),VLOOKUP(C66,'Inchidere contur'!G:U,15-4,0)),"eroare")</f>
        <v>298014</v>
      </c>
      <c r="F66" s="200">
        <v>0</v>
      </c>
      <c r="G66" s="200">
        <v>0</v>
      </c>
      <c r="H66" s="126">
        <f t="shared" si="68"/>
        <v>298014</v>
      </c>
      <c r="I66" s="126">
        <f t="shared" si="125"/>
        <v>0</v>
      </c>
      <c r="J66" s="126">
        <f t="shared" si="51"/>
        <v>298014</v>
      </c>
      <c r="K66" s="126">
        <f t="shared" si="52"/>
        <v>298014</v>
      </c>
      <c r="L66" s="126">
        <f t="shared" si="53"/>
        <v>298014</v>
      </c>
      <c r="M66" s="126">
        <f t="shared" si="54"/>
        <v>298014</v>
      </c>
      <c r="N66" s="126">
        <f t="shared" si="55"/>
        <v>298014</v>
      </c>
      <c r="O66" s="126">
        <f t="shared" si="56"/>
        <v>298014</v>
      </c>
      <c r="P66" s="126">
        <f t="shared" si="69"/>
        <v>298014</v>
      </c>
      <c r="Q66" s="126">
        <f t="shared" si="126"/>
        <v>298014</v>
      </c>
      <c r="R66" s="126">
        <f t="shared" si="127"/>
        <v>298014</v>
      </c>
      <c r="S66" s="126">
        <f>IFERROR(IFERROR(VLOOKUP(C66,'Inchidere contur'!B:U,20-3,0),VLOOKUP(C66,'Inchidere contur'!G:U,15-3,0)),"eroare")</f>
        <v>64628</v>
      </c>
      <c r="T66" s="126">
        <f>IFERROR(IFERROR(VLOOKUP(C66,'Inchidere contur'!B:U,20-2,0),VLOOKUP(C66,'Inchidere contur'!G:U,15-2,0)),"eroare")</f>
        <v>0</v>
      </c>
      <c r="U66" s="126">
        <f t="shared" si="70"/>
        <v>0</v>
      </c>
      <c r="V66" s="126">
        <f t="shared" si="71"/>
        <v>0</v>
      </c>
      <c r="W66" s="126">
        <f>IFERROR(VLOOKUP(C66,Regularizare!B:AX,45,0),"eroare")</f>
        <v>0</v>
      </c>
      <c r="X66" s="126">
        <f>IFERROR(VLOOKUP(C66,Regularizare!B:AX,46,0),"eroare")+IFERROR(VLOOKUP(C66,Regularizare!B:AX,48,0),"eroare")</f>
        <v>0</v>
      </c>
      <c r="Y66" s="126">
        <f>IFERROR(VLOOKUP(C66,Regularizare!B:AX,47,0),"eroare")+IFERROR(VLOOKUP(C66,Regularizare!B:AX,49,0),"eroare")</f>
        <v>0</v>
      </c>
      <c r="Z66" s="126">
        <f t="shared" si="72"/>
        <v>0</v>
      </c>
      <c r="AA66" s="126">
        <f t="shared" si="128"/>
        <v>0</v>
      </c>
      <c r="AB66" s="126">
        <f t="shared" si="73"/>
        <v>0</v>
      </c>
      <c r="AC66" s="126">
        <f t="shared" si="74"/>
        <v>0</v>
      </c>
      <c r="AD66" s="126">
        <f t="shared" si="75"/>
        <v>0</v>
      </c>
      <c r="AE66" s="126">
        <f t="shared" si="76"/>
        <v>0</v>
      </c>
      <c r="AF66" s="126">
        <f t="shared" si="77"/>
        <v>0</v>
      </c>
      <c r="AG66" s="126">
        <f t="shared" si="63"/>
        <v>0</v>
      </c>
      <c r="AH66" s="126">
        <f t="shared" si="78"/>
        <v>0</v>
      </c>
      <c r="AI66" s="126">
        <f t="shared" si="129"/>
        <v>0</v>
      </c>
      <c r="AJ66" s="126">
        <f t="shared" si="130"/>
        <v>0</v>
      </c>
      <c r="AK66" s="126">
        <v>0</v>
      </c>
      <c r="AL66" s="126">
        <v>0</v>
      </c>
      <c r="AM66" s="126">
        <v>0</v>
      </c>
      <c r="AN66" s="126">
        <v>0</v>
      </c>
    </row>
    <row r="67" spans="1:40">
      <c r="A67" s="17">
        <v>20</v>
      </c>
      <c r="B67" s="17" t="str">
        <f t="shared" si="49"/>
        <v>RPMB</v>
      </c>
      <c r="C67" s="198" t="s">
        <v>614</v>
      </c>
      <c r="D67" s="198" t="str">
        <f>IFERROR(VLOOKUP(C67,'Inchidere contur'!B:U,20,0),VLOOKUP(C67,'Inchidere contur'!G:U,15,0))</f>
        <v>JT_SDI</v>
      </c>
      <c r="E67" s="126">
        <f>IFERROR(IFERROR(VLOOKUP(C67,'Inchidere contur'!B:U,20-4,0),VLOOKUP(C67,'Inchidere contur'!G:U,15-4,0)),"eroare")</f>
        <v>322348</v>
      </c>
      <c r="F67" s="200">
        <v>0</v>
      </c>
      <c r="G67" s="200">
        <v>0</v>
      </c>
      <c r="H67" s="126">
        <f t="shared" si="68"/>
        <v>322348</v>
      </c>
      <c r="I67" s="126">
        <f t="shared" si="125"/>
        <v>0</v>
      </c>
      <c r="J67" s="126">
        <f t="shared" si="51"/>
        <v>322348</v>
      </c>
      <c r="K67" s="126">
        <f t="shared" si="52"/>
        <v>322348</v>
      </c>
      <c r="L67" s="126">
        <f t="shared" si="53"/>
        <v>322348</v>
      </c>
      <c r="M67" s="126">
        <f t="shared" si="54"/>
        <v>322348</v>
      </c>
      <c r="N67" s="126">
        <f t="shared" si="55"/>
        <v>322348</v>
      </c>
      <c r="O67" s="126">
        <f t="shared" si="56"/>
        <v>322348</v>
      </c>
      <c r="P67" s="126">
        <f t="shared" si="69"/>
        <v>322348</v>
      </c>
      <c r="Q67" s="126">
        <f t="shared" si="126"/>
        <v>322348</v>
      </c>
      <c r="R67" s="126">
        <f t="shared" si="127"/>
        <v>322348</v>
      </c>
      <c r="S67" s="126">
        <f>IFERROR(IFERROR(VLOOKUP(C67,'Inchidere contur'!B:U,20-3,0),VLOOKUP(C67,'Inchidere contur'!G:U,15-3,0)),"eroare")</f>
        <v>0</v>
      </c>
      <c r="T67" s="126">
        <f>IFERROR(IFERROR(VLOOKUP(C67,'Inchidere contur'!B:U,20-2,0),VLOOKUP(C67,'Inchidere contur'!G:U,15-2,0)),"eroare")</f>
        <v>0</v>
      </c>
      <c r="U67" s="126">
        <f t="shared" si="70"/>
        <v>0</v>
      </c>
      <c r="V67" s="126">
        <f t="shared" si="71"/>
        <v>0</v>
      </c>
      <c r="W67" s="126">
        <f>IFERROR(VLOOKUP(C67,Regularizare!B:AX,45,0),"eroare")</f>
        <v>0</v>
      </c>
      <c r="X67" s="126">
        <f>IFERROR(VLOOKUP(C67,Regularizare!B:AX,46,0),"eroare")+IFERROR(VLOOKUP(C67,Regularizare!B:AX,48,0),"eroare")</f>
        <v>0</v>
      </c>
      <c r="Y67" s="126">
        <f>IFERROR(VLOOKUP(C67,Regularizare!B:AX,47,0),"eroare")+IFERROR(VLOOKUP(C67,Regularizare!B:AX,49,0),"eroare")</f>
        <v>0</v>
      </c>
      <c r="Z67" s="126">
        <f t="shared" si="72"/>
        <v>0</v>
      </c>
      <c r="AA67" s="126">
        <f t="shared" si="128"/>
        <v>0</v>
      </c>
      <c r="AB67" s="126">
        <f t="shared" si="73"/>
        <v>0</v>
      </c>
      <c r="AC67" s="126">
        <f t="shared" si="74"/>
        <v>0</v>
      </c>
      <c r="AD67" s="126">
        <f t="shared" si="75"/>
        <v>0</v>
      </c>
      <c r="AE67" s="126">
        <f t="shared" si="76"/>
        <v>0</v>
      </c>
      <c r="AF67" s="126">
        <f t="shared" si="77"/>
        <v>0</v>
      </c>
      <c r="AG67" s="126">
        <f t="shared" si="63"/>
        <v>0</v>
      </c>
      <c r="AH67" s="126">
        <f t="shared" si="78"/>
        <v>0</v>
      </c>
      <c r="AI67" s="126">
        <f t="shared" si="129"/>
        <v>0</v>
      </c>
      <c r="AJ67" s="126">
        <f t="shared" si="130"/>
        <v>0</v>
      </c>
      <c r="AK67" s="126">
        <v>0</v>
      </c>
      <c r="AL67" s="126">
        <v>0</v>
      </c>
      <c r="AM67" s="126">
        <v>0</v>
      </c>
      <c r="AN67" s="126">
        <v>0</v>
      </c>
    </row>
    <row r="68" spans="1:40">
      <c r="A68" s="17">
        <v>20</v>
      </c>
      <c r="B68" s="17" t="str">
        <f t="shared" si="49"/>
        <v>RPMB</v>
      </c>
      <c r="C68" s="198" t="s">
        <v>615</v>
      </c>
      <c r="D68" s="198" t="str">
        <f>IFERROR(VLOOKUP(C68,'Inchidere contur'!B:U,20,0),VLOOKUP(C68,'Inchidere contur'!G:U,15,0))</f>
        <v>JT_SDI</v>
      </c>
      <c r="E68" s="126">
        <f>IFERROR(IFERROR(VLOOKUP(C68,'Inchidere contur'!B:U,20-4,0),VLOOKUP(C68,'Inchidere contur'!G:U,15-4,0)),"eroare")</f>
        <v>441294</v>
      </c>
      <c r="F68" s="200">
        <v>0</v>
      </c>
      <c r="G68" s="200">
        <v>0</v>
      </c>
      <c r="H68" s="126">
        <f t="shared" si="68"/>
        <v>441294</v>
      </c>
      <c r="I68" s="126">
        <f t="shared" ref="I68:I69" si="131">IF(D68=$AQ$48,H68,0)</f>
        <v>0</v>
      </c>
      <c r="J68" s="126">
        <f t="shared" si="51"/>
        <v>441294</v>
      </c>
      <c r="K68" s="126">
        <f t="shared" si="52"/>
        <v>441294</v>
      </c>
      <c r="L68" s="126">
        <f t="shared" si="53"/>
        <v>441294</v>
      </c>
      <c r="M68" s="126">
        <f t="shared" si="54"/>
        <v>441294</v>
      </c>
      <c r="N68" s="126">
        <f t="shared" si="55"/>
        <v>441294</v>
      </c>
      <c r="O68" s="126">
        <f t="shared" si="56"/>
        <v>441294</v>
      </c>
      <c r="P68" s="126">
        <f t="shared" si="69"/>
        <v>441294</v>
      </c>
      <c r="Q68" s="126">
        <f t="shared" si="126"/>
        <v>441294</v>
      </c>
      <c r="R68" s="126">
        <f t="shared" si="127"/>
        <v>441294</v>
      </c>
      <c r="S68" s="126">
        <f>IFERROR(IFERROR(VLOOKUP(C68,'Inchidere contur'!B:U,20-3,0),VLOOKUP(C68,'Inchidere contur'!G:U,15-3,0)),"eroare")</f>
        <v>0</v>
      </c>
      <c r="T68" s="126">
        <f>IFERROR(IFERROR(VLOOKUP(C68,'Inchidere contur'!B:U,20-2,0),VLOOKUP(C68,'Inchidere contur'!G:U,15-2,0)),"eroare")</f>
        <v>0</v>
      </c>
      <c r="U68" s="126">
        <f t="shared" si="70"/>
        <v>0</v>
      </c>
      <c r="V68" s="126">
        <f t="shared" si="71"/>
        <v>0</v>
      </c>
      <c r="W68" s="126">
        <f>IFERROR(VLOOKUP(C68,Regularizare!B:AX,45,0),"eroare")</f>
        <v>0</v>
      </c>
      <c r="X68" s="126">
        <f>IFERROR(VLOOKUP(C68,Regularizare!B:AX,46,0),"eroare")+IFERROR(VLOOKUP(C68,Regularizare!B:AX,48,0),"eroare")</f>
        <v>0</v>
      </c>
      <c r="Y68" s="126">
        <f>IFERROR(VLOOKUP(C68,Regularizare!B:AX,47,0),"eroare")+IFERROR(VLOOKUP(C68,Regularizare!B:AX,49,0),"eroare")</f>
        <v>0</v>
      </c>
      <c r="Z68" s="126">
        <f t="shared" si="72"/>
        <v>0</v>
      </c>
      <c r="AA68" s="126">
        <f t="shared" ref="AA68:AA79" si="132">IF(D68=$AQ$48,Z68,0)</f>
        <v>0</v>
      </c>
      <c r="AB68" s="126">
        <f t="shared" si="73"/>
        <v>0</v>
      </c>
      <c r="AC68" s="126">
        <f t="shared" si="74"/>
        <v>0</v>
      </c>
      <c r="AD68" s="126">
        <f t="shared" si="75"/>
        <v>0</v>
      </c>
      <c r="AE68" s="126">
        <f t="shared" si="76"/>
        <v>0</v>
      </c>
      <c r="AF68" s="126">
        <f t="shared" si="77"/>
        <v>0</v>
      </c>
      <c r="AG68" s="126">
        <f t="shared" si="63"/>
        <v>0</v>
      </c>
      <c r="AH68" s="126">
        <f t="shared" si="78"/>
        <v>0</v>
      </c>
      <c r="AI68" s="126">
        <f t="shared" ref="AI68:AI79" si="133">IF(OR(D68=$AQ$49,D68=$AQ$50),W68,0)</f>
        <v>0</v>
      </c>
      <c r="AJ68" s="126">
        <f t="shared" ref="AJ68:AJ79" si="134">IF(OR(D68=$AQ$50),W68,0)</f>
        <v>0</v>
      </c>
      <c r="AK68" s="126">
        <v>0</v>
      </c>
      <c r="AL68" s="126">
        <v>0</v>
      </c>
      <c r="AM68" s="126">
        <v>0</v>
      </c>
      <c r="AN68" s="126">
        <v>0</v>
      </c>
    </row>
    <row r="69" spans="1:40">
      <c r="A69" s="17">
        <v>20</v>
      </c>
      <c r="B69" s="17" t="str">
        <f t="shared" si="49"/>
        <v>RPMB</v>
      </c>
      <c r="C69" s="198" t="s">
        <v>616</v>
      </c>
      <c r="D69" s="198" t="str">
        <f>IFERROR(VLOOKUP(C69,'Inchidere contur'!B:U,20,0),VLOOKUP(C69,'Inchidere contur'!G:U,15,0))</f>
        <v>JT_SDI</v>
      </c>
      <c r="E69" s="126">
        <f>IFERROR(IFERROR(VLOOKUP(C69,'Inchidere contur'!B:U,20-4,0),VLOOKUP(C69,'Inchidere contur'!G:U,15-4,0)),"eroare")</f>
        <v>261553</v>
      </c>
      <c r="F69" s="200">
        <v>0</v>
      </c>
      <c r="G69" s="200">
        <v>0</v>
      </c>
      <c r="H69" s="126">
        <f t="shared" si="68"/>
        <v>261553</v>
      </c>
      <c r="I69" s="126">
        <f t="shared" si="131"/>
        <v>0</v>
      </c>
      <c r="J69" s="126">
        <f t="shared" si="51"/>
        <v>261553</v>
      </c>
      <c r="K69" s="126">
        <f t="shared" si="52"/>
        <v>261553</v>
      </c>
      <c r="L69" s="126">
        <f t="shared" si="53"/>
        <v>261553</v>
      </c>
      <c r="M69" s="126">
        <f t="shared" si="54"/>
        <v>261553</v>
      </c>
      <c r="N69" s="126">
        <f t="shared" si="55"/>
        <v>261553</v>
      </c>
      <c r="O69" s="126">
        <f t="shared" si="56"/>
        <v>261553</v>
      </c>
      <c r="P69" s="126">
        <f t="shared" si="69"/>
        <v>261553</v>
      </c>
      <c r="Q69" s="126">
        <f t="shared" si="126"/>
        <v>261553</v>
      </c>
      <c r="R69" s="126">
        <f t="shared" si="127"/>
        <v>261553</v>
      </c>
      <c r="S69" s="126">
        <f>IFERROR(IFERROR(VLOOKUP(C69,'Inchidere contur'!B:U,20-3,0),VLOOKUP(C69,'Inchidere contur'!G:U,15-3,0)),"eroare")</f>
        <v>0</v>
      </c>
      <c r="T69" s="126">
        <f>IFERROR(IFERROR(VLOOKUP(C69,'Inchidere contur'!B:U,20-2,0),VLOOKUP(C69,'Inchidere contur'!G:U,15-2,0)),"eroare")</f>
        <v>0</v>
      </c>
      <c r="U69" s="126">
        <f t="shared" si="70"/>
        <v>0</v>
      </c>
      <c r="V69" s="126">
        <f t="shared" si="71"/>
        <v>0</v>
      </c>
      <c r="W69" s="126">
        <f>IFERROR(VLOOKUP(C69,Regularizare!B:AX,45,0),"eroare")</f>
        <v>0</v>
      </c>
      <c r="X69" s="126">
        <f>IFERROR(VLOOKUP(C69,Regularizare!B:AX,46,0),"eroare")+IFERROR(VLOOKUP(C69,Regularizare!B:AX,48,0),"eroare")</f>
        <v>0</v>
      </c>
      <c r="Y69" s="126">
        <f>IFERROR(VLOOKUP(C69,Regularizare!B:AX,47,0),"eroare")+IFERROR(VLOOKUP(C69,Regularizare!B:AX,49,0),"eroare")</f>
        <v>0</v>
      </c>
      <c r="Z69" s="126">
        <f t="shared" si="72"/>
        <v>0</v>
      </c>
      <c r="AA69" s="126">
        <f t="shared" si="132"/>
        <v>0</v>
      </c>
      <c r="AB69" s="126">
        <f t="shared" si="73"/>
        <v>0</v>
      </c>
      <c r="AC69" s="126">
        <f t="shared" si="74"/>
        <v>0</v>
      </c>
      <c r="AD69" s="126">
        <f t="shared" si="75"/>
        <v>0</v>
      </c>
      <c r="AE69" s="126">
        <f t="shared" si="76"/>
        <v>0</v>
      </c>
      <c r="AF69" s="126">
        <f t="shared" si="77"/>
        <v>0</v>
      </c>
      <c r="AG69" s="126">
        <f t="shared" si="63"/>
        <v>0</v>
      </c>
      <c r="AH69" s="126">
        <f t="shared" si="78"/>
        <v>0</v>
      </c>
      <c r="AI69" s="126">
        <f t="shared" si="133"/>
        <v>0</v>
      </c>
      <c r="AJ69" s="126">
        <f t="shared" si="134"/>
        <v>0</v>
      </c>
      <c r="AK69" s="126">
        <v>0</v>
      </c>
      <c r="AL69" s="126">
        <v>0</v>
      </c>
      <c r="AM69" s="126">
        <v>0</v>
      </c>
      <c r="AN69" s="126">
        <v>0</v>
      </c>
    </row>
    <row r="70" spans="1:40">
      <c r="A70" s="17">
        <v>20</v>
      </c>
      <c r="B70" s="17" t="str">
        <f t="shared" ref="B70:B127" si="135">LEFT(C70,FIND("_",C70,1)-1)</f>
        <v>RTGU</v>
      </c>
      <c r="C70" s="198" t="s">
        <v>617</v>
      </c>
      <c r="D70" s="198" t="str">
        <f>IFERROR(VLOOKUP(C70,'Inchidere contur'!B:U,20,0),VLOOKUP(C70,'Inchidere contur'!G:U,15,0))</f>
        <v>JT_SDI</v>
      </c>
      <c r="E70" s="126">
        <f>IFERROR(IFERROR(VLOOKUP(C70,'Inchidere contur'!B:U,20-4,0),VLOOKUP(C70,'Inchidere contur'!G:U,15-4,0)),"eroare")</f>
        <v>103412</v>
      </c>
      <c r="F70" s="200">
        <v>0</v>
      </c>
      <c r="G70" s="200">
        <v>0</v>
      </c>
      <c r="H70" s="126">
        <f t="shared" si="68"/>
        <v>103412</v>
      </c>
      <c r="I70" s="126">
        <f t="shared" ref="I70:I128" si="136">IF(D70=$AQ$48,H70,0)</f>
        <v>0</v>
      </c>
      <c r="J70" s="126">
        <f t="shared" ref="J70:J128" si="137">H70</f>
        <v>103412</v>
      </c>
      <c r="K70" s="126">
        <f t="shared" ref="K70:K128" si="138">H70</f>
        <v>103412</v>
      </c>
      <c r="L70" s="126">
        <f t="shared" ref="L70:L128" si="139">H70</f>
        <v>103412</v>
      </c>
      <c r="M70" s="126">
        <f t="shared" ref="M70:M128" si="140">H70</f>
        <v>103412</v>
      </c>
      <c r="N70" s="126">
        <f t="shared" ref="N70:N128" si="141">H70</f>
        <v>103412</v>
      </c>
      <c r="O70" s="126">
        <f t="shared" ref="O70:O128" si="142">H70</f>
        <v>103412</v>
      </c>
      <c r="P70" s="126">
        <f t="shared" si="69"/>
        <v>103412</v>
      </c>
      <c r="Q70" s="126">
        <f t="shared" ref="Q70:Q128" si="143">IF(OR(D70=$AQ$49,D70=$AQ$50),H70,0)</f>
        <v>103412</v>
      </c>
      <c r="R70" s="126">
        <f t="shared" ref="R70:R128" si="144">IF(OR(D70=$AQ$50),H70,0)</f>
        <v>103412</v>
      </c>
      <c r="S70" s="126">
        <f>IFERROR(IFERROR(VLOOKUP(C70,'Inchidere contur'!B:U,20-3,0),VLOOKUP(C70,'Inchidere contur'!G:U,15-3,0)),"eroare")</f>
        <v>42472</v>
      </c>
      <c r="T70" s="126">
        <f>IFERROR(IFERROR(VLOOKUP(C70,'Inchidere contur'!B:U,20-2,0),VLOOKUP(C70,'Inchidere contur'!G:U,15-2,0)),"eroare")</f>
        <v>0</v>
      </c>
      <c r="U70" s="126">
        <f t="shared" si="70"/>
        <v>0</v>
      </c>
      <c r="V70" s="126">
        <f t="shared" si="71"/>
        <v>0</v>
      </c>
      <c r="W70" s="126">
        <f>IFERROR(VLOOKUP(C70,Regularizare!B:AX,45,0),"eroare")</f>
        <v>0</v>
      </c>
      <c r="X70" s="126">
        <f>IFERROR(VLOOKUP(C70,Regularizare!B:AX,46,0),"eroare")+IFERROR(VLOOKUP(C70,Regularizare!B:AX,48,0),"eroare")</f>
        <v>0</v>
      </c>
      <c r="Y70" s="126">
        <f>IFERROR(VLOOKUP(C70,Regularizare!B:AX,47,0),"eroare")+IFERROR(VLOOKUP(C70,Regularizare!B:AX,49,0),"eroare")</f>
        <v>0</v>
      </c>
      <c r="Z70" s="126">
        <f t="shared" si="72"/>
        <v>0</v>
      </c>
      <c r="AA70" s="126">
        <f t="shared" si="132"/>
        <v>0</v>
      </c>
      <c r="AB70" s="126">
        <f t="shared" si="73"/>
        <v>0</v>
      </c>
      <c r="AC70" s="126">
        <f t="shared" si="74"/>
        <v>0</v>
      </c>
      <c r="AD70" s="126">
        <f t="shared" si="75"/>
        <v>0</v>
      </c>
      <c r="AE70" s="126">
        <f t="shared" si="76"/>
        <v>0</v>
      </c>
      <c r="AF70" s="126">
        <f t="shared" si="77"/>
        <v>0</v>
      </c>
      <c r="AG70" s="126">
        <f t="shared" ref="AG70:AG128" si="145">Z70</f>
        <v>0</v>
      </c>
      <c r="AH70" s="126">
        <f t="shared" si="78"/>
        <v>0</v>
      </c>
      <c r="AI70" s="126">
        <f t="shared" si="133"/>
        <v>0</v>
      </c>
      <c r="AJ70" s="126">
        <f t="shared" si="134"/>
        <v>0</v>
      </c>
      <c r="AK70" s="126">
        <v>0</v>
      </c>
      <c r="AL70" s="126">
        <v>0</v>
      </c>
      <c r="AM70" s="126">
        <v>0</v>
      </c>
      <c r="AN70" s="126">
        <v>0</v>
      </c>
    </row>
    <row r="71" spans="1:40">
      <c r="A71" s="17">
        <v>20</v>
      </c>
      <c r="B71" s="17" t="str">
        <f t="shared" si="135"/>
        <v>RTGU</v>
      </c>
      <c r="C71" s="198" t="s">
        <v>618</v>
      </c>
      <c r="D71" s="198" t="str">
        <f>IFERROR(VLOOKUP(C71,'Inchidere contur'!B:U,20,0),VLOOKUP(C71,'Inchidere contur'!G:U,15,0))</f>
        <v>JT_SDI</v>
      </c>
      <c r="E71" s="126">
        <f>IFERROR(IFERROR(VLOOKUP(C71,'Inchidere contur'!B:U,20-4,0),VLOOKUP(C71,'Inchidere contur'!G:U,15-4,0)),"eroare")</f>
        <v>290584</v>
      </c>
      <c r="F71" s="200">
        <v>0</v>
      </c>
      <c r="G71" s="200">
        <v>0</v>
      </c>
      <c r="H71" s="126">
        <f t="shared" si="68"/>
        <v>290584</v>
      </c>
      <c r="I71" s="126">
        <f t="shared" si="136"/>
        <v>0</v>
      </c>
      <c r="J71" s="126">
        <f t="shared" si="137"/>
        <v>290584</v>
      </c>
      <c r="K71" s="126">
        <f t="shared" si="138"/>
        <v>290584</v>
      </c>
      <c r="L71" s="126">
        <f t="shared" si="139"/>
        <v>290584</v>
      </c>
      <c r="M71" s="126">
        <f t="shared" si="140"/>
        <v>290584</v>
      </c>
      <c r="N71" s="126">
        <f t="shared" si="141"/>
        <v>290584</v>
      </c>
      <c r="O71" s="126">
        <f t="shared" si="142"/>
        <v>290584</v>
      </c>
      <c r="P71" s="126">
        <f t="shared" si="69"/>
        <v>290584</v>
      </c>
      <c r="Q71" s="126">
        <f t="shared" si="143"/>
        <v>290584</v>
      </c>
      <c r="R71" s="126">
        <f t="shared" si="144"/>
        <v>290584</v>
      </c>
      <c r="S71" s="126">
        <f>IFERROR(IFERROR(VLOOKUP(C71,'Inchidere contur'!B:U,20-3,0),VLOOKUP(C71,'Inchidere contur'!G:U,15-3,0)),"eroare")</f>
        <v>0</v>
      </c>
      <c r="T71" s="126">
        <f>IFERROR(IFERROR(VLOOKUP(C71,'Inchidere contur'!B:U,20-2,0),VLOOKUP(C71,'Inchidere contur'!G:U,15-2,0)),"eroare")</f>
        <v>0</v>
      </c>
      <c r="U71" s="126">
        <f t="shared" si="70"/>
        <v>0</v>
      </c>
      <c r="V71" s="126">
        <f t="shared" si="71"/>
        <v>0</v>
      </c>
      <c r="W71" s="126">
        <f>IFERROR(VLOOKUP(C71,Regularizare!B:AX,45,0),"eroare")</f>
        <v>0</v>
      </c>
      <c r="X71" s="126">
        <f>IFERROR(VLOOKUP(C71,Regularizare!B:AX,46,0),"eroare")+IFERROR(VLOOKUP(C71,Regularizare!B:AX,48,0),"eroare")</f>
        <v>0</v>
      </c>
      <c r="Y71" s="126">
        <f>IFERROR(VLOOKUP(C71,Regularizare!B:AX,47,0),"eroare")+IFERROR(VLOOKUP(C71,Regularizare!B:AX,49,0),"eroare")</f>
        <v>0</v>
      </c>
      <c r="Z71" s="126">
        <f t="shared" si="72"/>
        <v>0</v>
      </c>
      <c r="AA71" s="126">
        <f t="shared" si="132"/>
        <v>0</v>
      </c>
      <c r="AB71" s="126">
        <f t="shared" si="73"/>
        <v>0</v>
      </c>
      <c r="AC71" s="126">
        <f t="shared" si="74"/>
        <v>0</v>
      </c>
      <c r="AD71" s="126">
        <f t="shared" si="75"/>
        <v>0</v>
      </c>
      <c r="AE71" s="126">
        <f t="shared" si="76"/>
        <v>0</v>
      </c>
      <c r="AF71" s="126">
        <f t="shared" si="77"/>
        <v>0</v>
      </c>
      <c r="AG71" s="126">
        <f t="shared" si="145"/>
        <v>0</v>
      </c>
      <c r="AH71" s="126">
        <f t="shared" si="78"/>
        <v>0</v>
      </c>
      <c r="AI71" s="126">
        <f t="shared" si="133"/>
        <v>0</v>
      </c>
      <c r="AJ71" s="126">
        <f t="shared" si="134"/>
        <v>0</v>
      </c>
      <c r="AK71" s="126">
        <v>0</v>
      </c>
      <c r="AL71" s="126">
        <v>0</v>
      </c>
      <c r="AM71" s="126">
        <v>0</v>
      </c>
      <c r="AN71" s="126">
        <v>0</v>
      </c>
    </row>
    <row r="72" spans="1:40">
      <c r="A72" s="17">
        <v>20</v>
      </c>
      <c r="B72" s="17" t="str">
        <f t="shared" si="135"/>
        <v>RTGU</v>
      </c>
      <c r="C72" s="198" t="s">
        <v>619</v>
      </c>
      <c r="D72" s="198" t="str">
        <f>IFERROR(VLOOKUP(C72,'Inchidere contur'!B:U,20,0),VLOOKUP(C72,'Inchidere contur'!G:U,15,0))</f>
        <v>JT_SDI</v>
      </c>
      <c r="E72" s="126">
        <f>IFERROR(IFERROR(VLOOKUP(C72,'Inchidere contur'!B:U,20-4,0),VLOOKUP(C72,'Inchidere contur'!G:U,15-4,0)),"eroare")</f>
        <v>276020</v>
      </c>
      <c r="F72" s="200">
        <v>0</v>
      </c>
      <c r="G72" s="200">
        <v>0</v>
      </c>
      <c r="H72" s="126">
        <f t="shared" si="68"/>
        <v>276020</v>
      </c>
      <c r="I72" s="126">
        <f t="shared" si="136"/>
        <v>0</v>
      </c>
      <c r="J72" s="126">
        <f t="shared" si="137"/>
        <v>276020</v>
      </c>
      <c r="K72" s="126">
        <f t="shared" si="138"/>
        <v>276020</v>
      </c>
      <c r="L72" s="126">
        <f t="shared" si="139"/>
        <v>276020</v>
      </c>
      <c r="M72" s="126">
        <f t="shared" si="140"/>
        <v>276020</v>
      </c>
      <c r="N72" s="126">
        <f t="shared" si="141"/>
        <v>276020</v>
      </c>
      <c r="O72" s="126">
        <f t="shared" si="142"/>
        <v>276020</v>
      </c>
      <c r="P72" s="126">
        <f t="shared" si="69"/>
        <v>276020</v>
      </c>
      <c r="Q72" s="126">
        <f t="shared" si="143"/>
        <v>276020</v>
      </c>
      <c r="R72" s="126">
        <f t="shared" si="144"/>
        <v>276020</v>
      </c>
      <c r="S72" s="126">
        <f>IFERROR(IFERROR(VLOOKUP(C72,'Inchidere contur'!B:U,20-3,0),VLOOKUP(C72,'Inchidere contur'!G:U,15-3,0)),"eroare")</f>
        <v>0</v>
      </c>
      <c r="T72" s="126">
        <f>IFERROR(IFERROR(VLOOKUP(C72,'Inchidere contur'!B:U,20-2,0),VLOOKUP(C72,'Inchidere contur'!G:U,15-2,0)),"eroare")</f>
        <v>0</v>
      </c>
      <c r="U72" s="126">
        <f t="shared" si="70"/>
        <v>0</v>
      </c>
      <c r="V72" s="126">
        <f t="shared" si="71"/>
        <v>0</v>
      </c>
      <c r="W72" s="126">
        <f>IFERROR(VLOOKUP(C72,Regularizare!B:AX,45,0),"eroare")</f>
        <v>0</v>
      </c>
      <c r="X72" s="126">
        <f>IFERROR(VLOOKUP(C72,Regularizare!B:AX,46,0),"eroare")+IFERROR(VLOOKUP(C72,Regularizare!B:AX,48,0),"eroare")</f>
        <v>0</v>
      </c>
      <c r="Y72" s="126">
        <f>IFERROR(VLOOKUP(C72,Regularizare!B:AX,47,0),"eroare")+IFERROR(VLOOKUP(C72,Regularizare!B:AX,49,0),"eroare")</f>
        <v>0</v>
      </c>
      <c r="Z72" s="126">
        <f t="shared" si="72"/>
        <v>0</v>
      </c>
      <c r="AA72" s="126">
        <f t="shared" si="132"/>
        <v>0</v>
      </c>
      <c r="AB72" s="126">
        <f t="shared" si="73"/>
        <v>0</v>
      </c>
      <c r="AC72" s="126">
        <f t="shared" si="74"/>
        <v>0</v>
      </c>
      <c r="AD72" s="126">
        <f t="shared" si="75"/>
        <v>0</v>
      </c>
      <c r="AE72" s="126">
        <f t="shared" si="76"/>
        <v>0</v>
      </c>
      <c r="AF72" s="126">
        <f t="shared" si="77"/>
        <v>0</v>
      </c>
      <c r="AG72" s="126">
        <f t="shared" si="145"/>
        <v>0</v>
      </c>
      <c r="AH72" s="126">
        <f t="shared" si="78"/>
        <v>0</v>
      </c>
      <c r="AI72" s="126">
        <f t="shared" si="133"/>
        <v>0</v>
      </c>
      <c r="AJ72" s="126">
        <f t="shared" si="134"/>
        <v>0</v>
      </c>
      <c r="AK72" s="126">
        <v>0</v>
      </c>
      <c r="AL72" s="126">
        <v>0</v>
      </c>
      <c r="AM72" s="126">
        <v>0</v>
      </c>
      <c r="AN72" s="126">
        <v>0</v>
      </c>
    </row>
    <row r="73" spans="1:40">
      <c r="A73" s="17">
        <v>20</v>
      </c>
      <c r="B73" s="17" t="str">
        <f t="shared" si="135"/>
        <v>RCSC</v>
      </c>
      <c r="C73" s="198" t="s">
        <v>620</v>
      </c>
      <c r="D73" s="198" t="str">
        <f>IFERROR(VLOOKUP(C73,'Inchidere contur'!B:U,20,0),VLOOKUP(C73,'Inchidere contur'!G:U,15,0))</f>
        <v>JT_SDI</v>
      </c>
      <c r="E73" s="126">
        <f>IFERROR(IFERROR(VLOOKUP(C73,'Inchidere contur'!B:U,20-4,0),VLOOKUP(C73,'Inchidere contur'!G:U,15-4,0)),"eroare")</f>
        <v>380558</v>
      </c>
      <c r="F73" s="200">
        <v>0</v>
      </c>
      <c r="G73" s="200">
        <v>0</v>
      </c>
      <c r="H73" s="126">
        <f t="shared" si="68"/>
        <v>380558</v>
      </c>
      <c r="I73" s="126">
        <f t="shared" si="136"/>
        <v>0</v>
      </c>
      <c r="J73" s="126">
        <f t="shared" si="137"/>
        <v>380558</v>
      </c>
      <c r="K73" s="126">
        <f t="shared" si="138"/>
        <v>380558</v>
      </c>
      <c r="L73" s="126">
        <f t="shared" si="139"/>
        <v>380558</v>
      </c>
      <c r="M73" s="126">
        <f t="shared" si="140"/>
        <v>380558</v>
      </c>
      <c r="N73" s="126">
        <f t="shared" si="141"/>
        <v>380558</v>
      </c>
      <c r="O73" s="126">
        <f t="shared" si="142"/>
        <v>380558</v>
      </c>
      <c r="P73" s="126">
        <f t="shared" si="69"/>
        <v>380558</v>
      </c>
      <c r="Q73" s="126">
        <f t="shared" si="143"/>
        <v>380558</v>
      </c>
      <c r="R73" s="126">
        <f t="shared" si="144"/>
        <v>380558</v>
      </c>
      <c r="S73" s="126">
        <f>IFERROR(IFERROR(VLOOKUP(C73,'Inchidere contur'!B:U,20-3,0),VLOOKUP(C73,'Inchidere contur'!G:U,15-3,0)),"eroare")</f>
        <v>0</v>
      </c>
      <c r="T73" s="126">
        <f>IFERROR(IFERROR(VLOOKUP(C73,'Inchidere contur'!B:U,20-2,0),VLOOKUP(C73,'Inchidere contur'!G:U,15-2,0)),"eroare")</f>
        <v>0</v>
      </c>
      <c r="U73" s="126">
        <f t="shared" si="70"/>
        <v>0</v>
      </c>
      <c r="V73" s="126">
        <f t="shared" si="71"/>
        <v>0</v>
      </c>
      <c r="W73" s="126">
        <f>IFERROR(VLOOKUP(C73,Regularizare!B:AX,45,0),"eroare")</f>
        <v>0</v>
      </c>
      <c r="X73" s="126">
        <f>IFERROR(VLOOKUP(C73,Regularizare!B:AX,46,0),"eroare")+IFERROR(VLOOKUP(C73,Regularizare!B:AX,48,0),"eroare")</f>
        <v>19</v>
      </c>
      <c r="Y73" s="126">
        <f>IFERROR(VLOOKUP(C73,Regularizare!B:AX,47,0),"eroare")+IFERROR(VLOOKUP(C73,Regularizare!B:AX,49,0),"eroare")</f>
        <v>0</v>
      </c>
      <c r="Z73" s="126">
        <f t="shared" si="72"/>
        <v>0</v>
      </c>
      <c r="AA73" s="126">
        <f t="shared" si="132"/>
        <v>0</v>
      </c>
      <c r="AB73" s="126">
        <f t="shared" si="73"/>
        <v>0</v>
      </c>
      <c r="AC73" s="126">
        <f t="shared" si="74"/>
        <v>0</v>
      </c>
      <c r="AD73" s="126">
        <f t="shared" si="75"/>
        <v>0</v>
      </c>
      <c r="AE73" s="126">
        <f t="shared" si="76"/>
        <v>0</v>
      </c>
      <c r="AF73" s="126">
        <f t="shared" si="77"/>
        <v>0</v>
      </c>
      <c r="AG73" s="126">
        <f t="shared" si="145"/>
        <v>0</v>
      </c>
      <c r="AH73" s="126">
        <f t="shared" si="78"/>
        <v>0</v>
      </c>
      <c r="AI73" s="126">
        <f t="shared" si="133"/>
        <v>0</v>
      </c>
      <c r="AJ73" s="126">
        <f t="shared" si="134"/>
        <v>0</v>
      </c>
      <c r="AK73" s="126">
        <v>0</v>
      </c>
      <c r="AL73" s="126">
        <v>0</v>
      </c>
      <c r="AM73" s="126">
        <v>0</v>
      </c>
      <c r="AN73" s="126">
        <v>0</v>
      </c>
    </row>
    <row r="74" spans="1:40">
      <c r="A74" s="17">
        <v>20</v>
      </c>
      <c r="B74" s="17" t="str">
        <f t="shared" si="135"/>
        <v>RCSC</v>
      </c>
      <c r="C74" s="198" t="s">
        <v>621</v>
      </c>
      <c r="D74" s="198" t="str">
        <f>IFERROR(VLOOKUP(C74,'Inchidere contur'!B:U,20,0),VLOOKUP(C74,'Inchidere contur'!G:U,15,0))</f>
        <v>JT_SDI</v>
      </c>
      <c r="E74" s="126">
        <f>IFERROR(IFERROR(VLOOKUP(C74,'Inchidere contur'!B:U,20-4,0),VLOOKUP(C74,'Inchidere contur'!G:U,15-4,0)),"eroare")</f>
        <v>216588</v>
      </c>
      <c r="F74" s="200">
        <v>0</v>
      </c>
      <c r="G74" s="200">
        <v>0</v>
      </c>
      <c r="H74" s="126">
        <f t="shared" si="68"/>
        <v>216588</v>
      </c>
      <c r="I74" s="126">
        <f t="shared" si="136"/>
        <v>0</v>
      </c>
      <c r="J74" s="126">
        <f t="shared" si="137"/>
        <v>216588</v>
      </c>
      <c r="K74" s="126">
        <f t="shared" si="138"/>
        <v>216588</v>
      </c>
      <c r="L74" s="126">
        <f t="shared" si="139"/>
        <v>216588</v>
      </c>
      <c r="M74" s="126">
        <f t="shared" si="140"/>
        <v>216588</v>
      </c>
      <c r="N74" s="126">
        <f t="shared" si="141"/>
        <v>216588</v>
      </c>
      <c r="O74" s="126">
        <f t="shared" si="142"/>
        <v>216588</v>
      </c>
      <c r="P74" s="126">
        <f t="shared" si="69"/>
        <v>216588</v>
      </c>
      <c r="Q74" s="126">
        <f t="shared" si="143"/>
        <v>216588</v>
      </c>
      <c r="R74" s="126">
        <f t="shared" si="144"/>
        <v>216588</v>
      </c>
      <c r="S74" s="126">
        <f>IFERROR(IFERROR(VLOOKUP(C74,'Inchidere contur'!B:U,20-3,0),VLOOKUP(C74,'Inchidere contur'!G:U,15-3,0)),"eroare")</f>
        <v>69144</v>
      </c>
      <c r="T74" s="126">
        <f>IFERROR(IFERROR(VLOOKUP(C74,'Inchidere contur'!B:U,20-2,0),VLOOKUP(C74,'Inchidere contur'!G:U,15-2,0)),"eroare")</f>
        <v>0</v>
      </c>
      <c r="U74" s="126">
        <f t="shared" si="70"/>
        <v>0</v>
      </c>
      <c r="V74" s="126">
        <f t="shared" si="71"/>
        <v>0</v>
      </c>
      <c r="W74" s="126">
        <f>IFERROR(VLOOKUP(C74,Regularizare!B:AX,45,0),"eroare")</f>
        <v>0</v>
      </c>
      <c r="X74" s="126">
        <f>IFERROR(VLOOKUP(C74,Regularizare!B:AX,46,0),"eroare")+IFERROR(VLOOKUP(C74,Regularizare!B:AX,48,0),"eroare")</f>
        <v>10</v>
      </c>
      <c r="Y74" s="126">
        <f>IFERROR(VLOOKUP(C74,Regularizare!B:AX,47,0),"eroare")+IFERROR(VLOOKUP(C74,Regularizare!B:AX,49,0),"eroare")</f>
        <v>0</v>
      </c>
      <c r="Z74" s="126">
        <f t="shared" si="72"/>
        <v>0</v>
      </c>
      <c r="AA74" s="126">
        <f t="shared" si="132"/>
        <v>0</v>
      </c>
      <c r="AB74" s="126">
        <f t="shared" si="73"/>
        <v>0</v>
      </c>
      <c r="AC74" s="126">
        <f t="shared" si="74"/>
        <v>0</v>
      </c>
      <c r="AD74" s="126">
        <f t="shared" si="75"/>
        <v>0</v>
      </c>
      <c r="AE74" s="126">
        <f t="shared" si="76"/>
        <v>0</v>
      </c>
      <c r="AF74" s="126">
        <f t="shared" si="77"/>
        <v>0</v>
      </c>
      <c r="AG74" s="126">
        <f t="shared" si="145"/>
        <v>0</v>
      </c>
      <c r="AH74" s="126">
        <f t="shared" si="78"/>
        <v>0</v>
      </c>
      <c r="AI74" s="126">
        <f t="shared" si="133"/>
        <v>0</v>
      </c>
      <c r="AJ74" s="126">
        <f t="shared" si="134"/>
        <v>0</v>
      </c>
      <c r="AK74" s="126">
        <v>0</v>
      </c>
      <c r="AL74" s="126">
        <v>0</v>
      </c>
      <c r="AM74" s="126">
        <v>0</v>
      </c>
      <c r="AN74" s="126">
        <v>0</v>
      </c>
    </row>
    <row r="75" spans="1:40">
      <c r="A75" s="17">
        <v>20</v>
      </c>
      <c r="B75" s="17" t="str">
        <f t="shared" si="135"/>
        <v>RCSC</v>
      </c>
      <c r="C75" s="198" t="s">
        <v>622</v>
      </c>
      <c r="D75" s="198" t="str">
        <f>IFERROR(VLOOKUP(C75,'Inchidere contur'!B:U,20,0),VLOOKUP(C75,'Inchidere contur'!G:U,15,0))</f>
        <v>JT_SDI</v>
      </c>
      <c r="E75" s="126">
        <f>IFERROR(IFERROR(VLOOKUP(C75,'Inchidere contur'!B:U,20-4,0),VLOOKUP(C75,'Inchidere contur'!G:U,15-4,0)),"eroare")</f>
        <v>434943</v>
      </c>
      <c r="F75" s="200">
        <v>0</v>
      </c>
      <c r="G75" s="200">
        <v>0</v>
      </c>
      <c r="H75" s="126">
        <f t="shared" si="68"/>
        <v>434943</v>
      </c>
      <c r="I75" s="126">
        <f t="shared" si="136"/>
        <v>0</v>
      </c>
      <c r="J75" s="126">
        <f t="shared" si="137"/>
        <v>434943</v>
      </c>
      <c r="K75" s="126">
        <f t="shared" si="138"/>
        <v>434943</v>
      </c>
      <c r="L75" s="126">
        <f t="shared" si="139"/>
        <v>434943</v>
      </c>
      <c r="M75" s="126">
        <f t="shared" si="140"/>
        <v>434943</v>
      </c>
      <c r="N75" s="126">
        <f t="shared" si="141"/>
        <v>434943</v>
      </c>
      <c r="O75" s="126">
        <f t="shared" si="142"/>
        <v>434943</v>
      </c>
      <c r="P75" s="126">
        <f t="shared" si="69"/>
        <v>434943</v>
      </c>
      <c r="Q75" s="126">
        <f t="shared" si="143"/>
        <v>434943</v>
      </c>
      <c r="R75" s="126">
        <f t="shared" si="144"/>
        <v>434943</v>
      </c>
      <c r="S75" s="126">
        <f>IFERROR(IFERROR(VLOOKUP(C75,'Inchidere contur'!B:U,20-3,0),VLOOKUP(C75,'Inchidere contur'!G:U,15-3,0)),"eroare")</f>
        <v>0</v>
      </c>
      <c r="T75" s="126">
        <f>IFERROR(IFERROR(VLOOKUP(C75,'Inchidere contur'!B:U,20-2,0),VLOOKUP(C75,'Inchidere contur'!G:U,15-2,0)),"eroare")</f>
        <v>0</v>
      </c>
      <c r="U75" s="126">
        <f t="shared" si="70"/>
        <v>0</v>
      </c>
      <c r="V75" s="126">
        <f t="shared" si="71"/>
        <v>0</v>
      </c>
      <c r="W75" s="126">
        <f>IFERROR(VLOOKUP(C75,Regularizare!B:AX,45,0),"eroare")</f>
        <v>0</v>
      </c>
      <c r="X75" s="126">
        <f>IFERROR(VLOOKUP(C75,Regularizare!B:AX,46,0),"eroare")+IFERROR(VLOOKUP(C75,Regularizare!B:AX,48,0),"eroare")</f>
        <v>0</v>
      </c>
      <c r="Y75" s="126">
        <f>IFERROR(VLOOKUP(C75,Regularizare!B:AX,47,0),"eroare")+IFERROR(VLOOKUP(C75,Regularizare!B:AX,49,0),"eroare")</f>
        <v>0</v>
      </c>
      <c r="Z75" s="126">
        <f t="shared" si="72"/>
        <v>0</v>
      </c>
      <c r="AA75" s="126">
        <f t="shared" si="132"/>
        <v>0</v>
      </c>
      <c r="AB75" s="126">
        <f t="shared" si="73"/>
        <v>0</v>
      </c>
      <c r="AC75" s="126">
        <f t="shared" si="74"/>
        <v>0</v>
      </c>
      <c r="AD75" s="126">
        <f t="shared" si="75"/>
        <v>0</v>
      </c>
      <c r="AE75" s="126">
        <f t="shared" si="76"/>
        <v>0</v>
      </c>
      <c r="AF75" s="126">
        <f t="shared" si="77"/>
        <v>0</v>
      </c>
      <c r="AG75" s="126">
        <f t="shared" si="145"/>
        <v>0</v>
      </c>
      <c r="AH75" s="126">
        <f t="shared" si="78"/>
        <v>0</v>
      </c>
      <c r="AI75" s="126">
        <f t="shared" si="133"/>
        <v>0</v>
      </c>
      <c r="AJ75" s="126">
        <f t="shared" si="134"/>
        <v>0</v>
      </c>
      <c r="AK75" s="126">
        <v>0</v>
      </c>
      <c r="AL75" s="126">
        <v>0</v>
      </c>
      <c r="AM75" s="126">
        <v>0</v>
      </c>
      <c r="AN75" s="126">
        <v>0</v>
      </c>
    </row>
    <row r="76" spans="1:40">
      <c r="A76" s="17">
        <v>20</v>
      </c>
      <c r="B76" s="17" t="str">
        <f t="shared" si="135"/>
        <v>RCSC</v>
      </c>
      <c r="C76" s="198" t="s">
        <v>623</v>
      </c>
      <c r="D76" s="198" t="str">
        <f>IFERROR(VLOOKUP(C76,'Inchidere contur'!B:U,20,0),VLOOKUP(C76,'Inchidere contur'!G:U,15,0))</f>
        <v>JT_SDI</v>
      </c>
      <c r="E76" s="126">
        <f>IFERROR(IFERROR(VLOOKUP(C76,'Inchidere contur'!B:U,20-4,0),VLOOKUP(C76,'Inchidere contur'!G:U,15-4,0)),"eroare")</f>
        <v>415466</v>
      </c>
      <c r="F76" s="200">
        <v>0</v>
      </c>
      <c r="G76" s="200">
        <v>0</v>
      </c>
      <c r="H76" s="126">
        <f t="shared" si="68"/>
        <v>415466</v>
      </c>
      <c r="I76" s="126">
        <f t="shared" si="136"/>
        <v>0</v>
      </c>
      <c r="J76" s="126">
        <f t="shared" si="137"/>
        <v>415466</v>
      </c>
      <c r="K76" s="126">
        <f t="shared" si="138"/>
        <v>415466</v>
      </c>
      <c r="L76" s="126">
        <f t="shared" si="139"/>
        <v>415466</v>
      </c>
      <c r="M76" s="126">
        <f t="shared" si="140"/>
        <v>415466</v>
      </c>
      <c r="N76" s="126">
        <f t="shared" si="141"/>
        <v>415466</v>
      </c>
      <c r="O76" s="126">
        <f t="shared" si="142"/>
        <v>415466</v>
      </c>
      <c r="P76" s="126">
        <f t="shared" si="69"/>
        <v>415466</v>
      </c>
      <c r="Q76" s="126">
        <f t="shared" si="143"/>
        <v>415466</v>
      </c>
      <c r="R76" s="126">
        <f t="shared" si="144"/>
        <v>415466</v>
      </c>
      <c r="S76" s="126">
        <f>IFERROR(IFERROR(VLOOKUP(C76,'Inchidere contur'!B:U,20-3,0),VLOOKUP(C76,'Inchidere contur'!G:U,15-3,0)),"eroare")</f>
        <v>0</v>
      </c>
      <c r="T76" s="126">
        <f>IFERROR(IFERROR(VLOOKUP(C76,'Inchidere contur'!B:U,20-2,0),VLOOKUP(C76,'Inchidere contur'!G:U,15-2,0)),"eroare")</f>
        <v>0</v>
      </c>
      <c r="U76" s="126">
        <f t="shared" si="70"/>
        <v>0</v>
      </c>
      <c r="V76" s="126">
        <f t="shared" si="71"/>
        <v>0</v>
      </c>
      <c r="W76" s="126">
        <f>IFERROR(VLOOKUP(C76,Regularizare!B:AX,45,0),"eroare")</f>
        <v>0</v>
      </c>
      <c r="X76" s="126">
        <f>IFERROR(VLOOKUP(C76,Regularizare!B:AX,46,0),"eroare")+IFERROR(VLOOKUP(C76,Regularizare!B:AX,48,0),"eroare")</f>
        <v>0</v>
      </c>
      <c r="Y76" s="126">
        <f>IFERROR(VLOOKUP(C76,Regularizare!B:AX,47,0),"eroare")+IFERROR(VLOOKUP(C76,Regularizare!B:AX,49,0),"eroare")</f>
        <v>0</v>
      </c>
      <c r="Z76" s="126">
        <f t="shared" si="72"/>
        <v>0</v>
      </c>
      <c r="AA76" s="126">
        <f t="shared" si="132"/>
        <v>0</v>
      </c>
      <c r="AB76" s="126">
        <f t="shared" si="73"/>
        <v>0</v>
      </c>
      <c r="AC76" s="126">
        <f t="shared" si="74"/>
        <v>0</v>
      </c>
      <c r="AD76" s="126">
        <f t="shared" si="75"/>
        <v>0</v>
      </c>
      <c r="AE76" s="126">
        <f t="shared" si="76"/>
        <v>0</v>
      </c>
      <c r="AF76" s="126">
        <f t="shared" si="77"/>
        <v>0</v>
      </c>
      <c r="AG76" s="126">
        <f t="shared" si="145"/>
        <v>0</v>
      </c>
      <c r="AH76" s="126">
        <f t="shared" si="78"/>
        <v>0</v>
      </c>
      <c r="AI76" s="126">
        <f t="shared" si="133"/>
        <v>0</v>
      </c>
      <c r="AJ76" s="126">
        <f t="shared" si="134"/>
        <v>0</v>
      </c>
      <c r="AK76" s="126">
        <v>0</v>
      </c>
      <c r="AL76" s="126">
        <v>0</v>
      </c>
      <c r="AM76" s="126">
        <v>0</v>
      </c>
      <c r="AN76" s="126">
        <v>0</v>
      </c>
    </row>
    <row r="77" spans="1:40">
      <c r="A77" s="17">
        <v>20</v>
      </c>
      <c r="B77" s="17" t="str">
        <f t="shared" si="135"/>
        <v>RAMB</v>
      </c>
      <c r="C77" s="198" t="s">
        <v>624</v>
      </c>
      <c r="D77" s="198" t="str">
        <f>IFERROR(VLOOKUP(C77,'Inchidere contur'!B:U,20,0),VLOOKUP(C77,'Inchidere contur'!G:U,15,0))</f>
        <v>JT_SDI</v>
      </c>
      <c r="E77" s="126">
        <f>IFERROR(IFERROR(VLOOKUP(C77,'Inchidere contur'!B:U,20-4,0),VLOOKUP(C77,'Inchidere contur'!G:U,15-4,0)),"eroare")</f>
        <v>199932</v>
      </c>
      <c r="F77" s="200">
        <v>0</v>
      </c>
      <c r="G77" s="200">
        <v>0</v>
      </c>
      <c r="H77" s="126">
        <f t="shared" si="68"/>
        <v>199932</v>
      </c>
      <c r="I77" s="126">
        <f t="shared" si="136"/>
        <v>0</v>
      </c>
      <c r="J77" s="126">
        <f t="shared" si="137"/>
        <v>199932</v>
      </c>
      <c r="K77" s="126">
        <f t="shared" si="138"/>
        <v>199932</v>
      </c>
      <c r="L77" s="126">
        <f t="shared" si="139"/>
        <v>199932</v>
      </c>
      <c r="M77" s="126">
        <f t="shared" si="140"/>
        <v>199932</v>
      </c>
      <c r="N77" s="126">
        <f t="shared" si="141"/>
        <v>199932</v>
      </c>
      <c r="O77" s="126">
        <f t="shared" si="142"/>
        <v>199932</v>
      </c>
      <c r="P77" s="126">
        <f t="shared" si="69"/>
        <v>199932</v>
      </c>
      <c r="Q77" s="126">
        <f t="shared" si="143"/>
        <v>199932</v>
      </c>
      <c r="R77" s="126">
        <f t="shared" si="144"/>
        <v>199932</v>
      </c>
      <c r="S77" s="126">
        <f>IFERROR(IFERROR(VLOOKUP(C77,'Inchidere contur'!B:U,20-3,0),VLOOKUP(C77,'Inchidere contur'!G:U,15-3,0)),"eroare")</f>
        <v>0</v>
      </c>
      <c r="T77" s="126">
        <f>IFERROR(IFERROR(VLOOKUP(C77,'Inchidere contur'!B:U,20-2,0),VLOOKUP(C77,'Inchidere contur'!G:U,15-2,0)),"eroare")</f>
        <v>11931</v>
      </c>
      <c r="U77" s="126">
        <f t="shared" si="70"/>
        <v>11931</v>
      </c>
      <c r="V77" s="126">
        <f t="shared" si="71"/>
        <v>11931</v>
      </c>
      <c r="W77" s="126">
        <f>IFERROR(VLOOKUP(C77,Regularizare!B:AX,45,0),"eroare")</f>
        <v>0</v>
      </c>
      <c r="X77" s="126">
        <f>IFERROR(VLOOKUP(C77,Regularizare!B:AX,46,0),"eroare")+IFERROR(VLOOKUP(C77,Regularizare!B:AX,48,0),"eroare")</f>
        <v>271</v>
      </c>
      <c r="Y77" s="126">
        <f>IFERROR(VLOOKUP(C77,Regularizare!B:AX,47,0),"eroare")+IFERROR(VLOOKUP(C77,Regularizare!B:AX,49,0),"eroare")</f>
        <v>0</v>
      </c>
      <c r="Z77" s="126">
        <f t="shared" si="72"/>
        <v>0</v>
      </c>
      <c r="AA77" s="126">
        <f t="shared" si="132"/>
        <v>0</v>
      </c>
      <c r="AB77" s="126">
        <f t="shared" si="73"/>
        <v>0</v>
      </c>
      <c r="AC77" s="126">
        <f t="shared" si="74"/>
        <v>0</v>
      </c>
      <c r="AD77" s="126">
        <f t="shared" si="75"/>
        <v>0</v>
      </c>
      <c r="AE77" s="126">
        <f t="shared" si="76"/>
        <v>0</v>
      </c>
      <c r="AF77" s="126">
        <f t="shared" si="77"/>
        <v>0</v>
      </c>
      <c r="AG77" s="126">
        <f t="shared" si="145"/>
        <v>0</v>
      </c>
      <c r="AH77" s="126">
        <f t="shared" si="78"/>
        <v>0</v>
      </c>
      <c r="AI77" s="126">
        <f t="shared" si="133"/>
        <v>0</v>
      </c>
      <c r="AJ77" s="126">
        <f t="shared" si="134"/>
        <v>0</v>
      </c>
      <c r="AK77" s="126">
        <v>0</v>
      </c>
      <c r="AL77" s="126">
        <v>0</v>
      </c>
      <c r="AM77" s="126">
        <v>0</v>
      </c>
      <c r="AN77" s="126">
        <v>0</v>
      </c>
    </row>
    <row r="78" spans="1:40">
      <c r="A78" s="17">
        <v>20</v>
      </c>
      <c r="B78" s="17" t="str">
        <f t="shared" si="135"/>
        <v>RAMB</v>
      </c>
      <c r="C78" s="198" t="s">
        <v>625</v>
      </c>
      <c r="D78" s="198" t="str">
        <f>IFERROR(VLOOKUP(C78,'Inchidere contur'!B:U,20,0),VLOOKUP(C78,'Inchidere contur'!G:U,15,0))</f>
        <v>JT_SDI</v>
      </c>
      <c r="E78" s="126">
        <f>IFERROR(IFERROR(VLOOKUP(C78,'Inchidere contur'!B:U,20-4,0),VLOOKUP(C78,'Inchidere contur'!G:U,15-4,0)),"eroare")</f>
        <v>19723</v>
      </c>
      <c r="F78" s="200">
        <v>0</v>
      </c>
      <c r="G78" s="200">
        <v>0</v>
      </c>
      <c r="H78" s="126">
        <f t="shared" si="68"/>
        <v>19723</v>
      </c>
      <c r="I78" s="126">
        <f t="shared" si="136"/>
        <v>0</v>
      </c>
      <c r="J78" s="126">
        <f t="shared" si="137"/>
        <v>19723</v>
      </c>
      <c r="K78" s="126">
        <f t="shared" si="138"/>
        <v>19723</v>
      </c>
      <c r="L78" s="126">
        <f t="shared" si="139"/>
        <v>19723</v>
      </c>
      <c r="M78" s="126">
        <f t="shared" si="140"/>
        <v>19723</v>
      </c>
      <c r="N78" s="126">
        <f t="shared" si="141"/>
        <v>19723</v>
      </c>
      <c r="O78" s="126">
        <f t="shared" si="142"/>
        <v>19723</v>
      </c>
      <c r="P78" s="126">
        <f t="shared" si="69"/>
        <v>19723</v>
      </c>
      <c r="Q78" s="126">
        <f t="shared" si="143"/>
        <v>19723</v>
      </c>
      <c r="R78" s="126">
        <f t="shared" si="144"/>
        <v>19723</v>
      </c>
      <c r="S78" s="126">
        <f>IFERROR(IFERROR(VLOOKUP(C78,'Inchidere contur'!B:U,20-3,0),VLOOKUP(C78,'Inchidere contur'!G:U,15-3,0)),"eroare")</f>
        <v>54421</v>
      </c>
      <c r="T78" s="126">
        <f>IFERROR(IFERROR(VLOOKUP(C78,'Inchidere contur'!B:U,20-2,0),VLOOKUP(C78,'Inchidere contur'!G:U,15-2,0)),"eroare")</f>
        <v>0</v>
      </c>
      <c r="U78" s="126">
        <f t="shared" si="70"/>
        <v>0</v>
      </c>
      <c r="V78" s="126">
        <f t="shared" si="71"/>
        <v>0</v>
      </c>
      <c r="W78" s="126">
        <f>IFERROR(VLOOKUP(C78,Regularizare!B:AX,45,0),"eroare")</f>
        <v>0</v>
      </c>
      <c r="X78" s="126">
        <f>IFERROR(VLOOKUP(C78,Regularizare!B:AX,46,0),"eroare")+IFERROR(VLOOKUP(C78,Regularizare!B:AX,48,0),"eroare")</f>
        <v>63</v>
      </c>
      <c r="Y78" s="126">
        <f>IFERROR(VLOOKUP(C78,Regularizare!B:AX,47,0),"eroare")+IFERROR(VLOOKUP(C78,Regularizare!B:AX,49,0),"eroare")</f>
        <v>0</v>
      </c>
      <c r="Z78" s="126">
        <f t="shared" si="72"/>
        <v>0</v>
      </c>
      <c r="AA78" s="126">
        <f t="shared" si="132"/>
        <v>0</v>
      </c>
      <c r="AB78" s="126">
        <f t="shared" si="73"/>
        <v>0</v>
      </c>
      <c r="AC78" s="126">
        <f t="shared" si="74"/>
        <v>0</v>
      </c>
      <c r="AD78" s="126">
        <f t="shared" si="75"/>
        <v>0</v>
      </c>
      <c r="AE78" s="126">
        <f t="shared" si="76"/>
        <v>0</v>
      </c>
      <c r="AF78" s="126">
        <f t="shared" si="77"/>
        <v>0</v>
      </c>
      <c r="AG78" s="126">
        <f t="shared" si="145"/>
        <v>0</v>
      </c>
      <c r="AH78" s="126">
        <f t="shared" si="78"/>
        <v>0</v>
      </c>
      <c r="AI78" s="126">
        <f t="shared" si="133"/>
        <v>0</v>
      </c>
      <c r="AJ78" s="126">
        <f t="shared" si="134"/>
        <v>0</v>
      </c>
      <c r="AK78" s="126">
        <v>0</v>
      </c>
      <c r="AL78" s="126">
        <v>0</v>
      </c>
      <c r="AM78" s="126">
        <v>0</v>
      </c>
      <c r="AN78" s="126">
        <v>0</v>
      </c>
    </row>
    <row r="79" spans="1:40">
      <c r="A79" s="17">
        <v>20</v>
      </c>
      <c r="B79" s="17" t="str">
        <f t="shared" si="135"/>
        <v>RAMB</v>
      </c>
      <c r="C79" s="198" t="s">
        <v>626</v>
      </c>
      <c r="D79" s="198" t="str">
        <f>IFERROR(VLOOKUP(C79,'Inchidere contur'!B:U,20,0),VLOOKUP(C79,'Inchidere contur'!G:U,15,0))</f>
        <v>JT_SDI</v>
      </c>
      <c r="E79" s="126">
        <f>IFERROR(IFERROR(VLOOKUP(C79,'Inchidere contur'!B:U,20-4,0),VLOOKUP(C79,'Inchidere contur'!G:U,15-4,0)),"eroare")</f>
        <v>47344</v>
      </c>
      <c r="F79" s="200">
        <v>0</v>
      </c>
      <c r="G79" s="200">
        <v>0</v>
      </c>
      <c r="H79" s="126">
        <f t="shared" si="68"/>
        <v>47344</v>
      </c>
      <c r="I79" s="126">
        <f t="shared" si="136"/>
        <v>0</v>
      </c>
      <c r="J79" s="126">
        <f t="shared" si="137"/>
        <v>47344</v>
      </c>
      <c r="K79" s="126">
        <f t="shared" si="138"/>
        <v>47344</v>
      </c>
      <c r="L79" s="126">
        <f t="shared" si="139"/>
        <v>47344</v>
      </c>
      <c r="M79" s="126">
        <f t="shared" si="140"/>
        <v>47344</v>
      </c>
      <c r="N79" s="126">
        <f t="shared" si="141"/>
        <v>47344</v>
      </c>
      <c r="O79" s="126">
        <f t="shared" si="142"/>
        <v>47344</v>
      </c>
      <c r="P79" s="126">
        <f t="shared" si="69"/>
        <v>47344</v>
      </c>
      <c r="Q79" s="126">
        <f t="shared" si="143"/>
        <v>47344</v>
      </c>
      <c r="R79" s="126">
        <f t="shared" si="144"/>
        <v>47344</v>
      </c>
      <c r="S79" s="126">
        <f>IFERROR(IFERROR(VLOOKUP(C79,'Inchidere contur'!B:U,20-3,0),VLOOKUP(C79,'Inchidere contur'!G:U,15-3,0)),"eroare")</f>
        <v>0</v>
      </c>
      <c r="T79" s="126">
        <f>IFERROR(IFERROR(VLOOKUP(C79,'Inchidere contur'!B:U,20-2,0),VLOOKUP(C79,'Inchidere contur'!G:U,15-2,0)),"eroare")</f>
        <v>1354</v>
      </c>
      <c r="U79" s="126">
        <f t="shared" si="70"/>
        <v>1354</v>
      </c>
      <c r="V79" s="126">
        <f t="shared" si="71"/>
        <v>1354</v>
      </c>
      <c r="W79" s="126">
        <f>IFERROR(VLOOKUP(C79,Regularizare!B:AX,45,0),"eroare")</f>
        <v>0</v>
      </c>
      <c r="X79" s="126">
        <f>IFERROR(VLOOKUP(C79,Regularizare!B:AX,46,0),"eroare")+IFERROR(VLOOKUP(C79,Regularizare!B:AX,48,0),"eroare")</f>
        <v>0</v>
      </c>
      <c r="Y79" s="126">
        <f>IFERROR(VLOOKUP(C79,Regularizare!B:AX,47,0),"eroare")+IFERROR(VLOOKUP(C79,Regularizare!B:AX,49,0),"eroare")</f>
        <v>0</v>
      </c>
      <c r="Z79" s="126">
        <f t="shared" si="72"/>
        <v>0</v>
      </c>
      <c r="AA79" s="126">
        <f t="shared" si="132"/>
        <v>0</v>
      </c>
      <c r="AB79" s="126">
        <f t="shared" si="73"/>
        <v>0</v>
      </c>
      <c r="AC79" s="126">
        <f t="shared" si="74"/>
        <v>0</v>
      </c>
      <c r="AD79" s="126">
        <f t="shared" si="75"/>
        <v>0</v>
      </c>
      <c r="AE79" s="126">
        <f t="shared" si="76"/>
        <v>0</v>
      </c>
      <c r="AF79" s="126">
        <f t="shared" si="77"/>
        <v>0</v>
      </c>
      <c r="AG79" s="126">
        <f t="shared" si="145"/>
        <v>0</v>
      </c>
      <c r="AH79" s="126">
        <f t="shared" si="78"/>
        <v>0</v>
      </c>
      <c r="AI79" s="126">
        <f t="shared" si="133"/>
        <v>0</v>
      </c>
      <c r="AJ79" s="126">
        <f t="shared" si="134"/>
        <v>0</v>
      </c>
      <c r="AK79" s="126">
        <v>0</v>
      </c>
      <c r="AL79" s="126">
        <v>0</v>
      </c>
      <c r="AM79" s="126">
        <v>0</v>
      </c>
      <c r="AN79" s="126">
        <v>0</v>
      </c>
    </row>
    <row r="80" spans="1:40">
      <c r="A80" s="17">
        <v>20</v>
      </c>
      <c r="B80" s="17" t="str">
        <f t="shared" si="135"/>
        <v>RAMB</v>
      </c>
      <c r="C80" s="198" t="s">
        <v>627</v>
      </c>
      <c r="D80" s="198" t="str">
        <f>IFERROR(VLOOKUP(C80,'Inchidere contur'!B:U,20,0),VLOOKUP(C80,'Inchidere contur'!G:U,15,0))</f>
        <v>JT_SDI</v>
      </c>
      <c r="E80" s="126">
        <f>IFERROR(IFERROR(VLOOKUP(C80,'Inchidere contur'!B:U,20-4,0),VLOOKUP(C80,'Inchidere contur'!G:U,15-4,0)),"eroare")</f>
        <v>59784</v>
      </c>
      <c r="F80" s="200">
        <v>0</v>
      </c>
      <c r="G80" s="200">
        <v>0</v>
      </c>
      <c r="H80" s="126">
        <f t="shared" ref="H80:H128" si="146">E80</f>
        <v>59784</v>
      </c>
      <c r="I80" s="126">
        <f t="shared" si="136"/>
        <v>0</v>
      </c>
      <c r="J80" s="126">
        <f t="shared" si="137"/>
        <v>59784</v>
      </c>
      <c r="K80" s="126">
        <f t="shared" si="138"/>
        <v>59784</v>
      </c>
      <c r="L80" s="126">
        <f t="shared" si="139"/>
        <v>59784</v>
      </c>
      <c r="M80" s="126">
        <f t="shared" si="140"/>
        <v>59784</v>
      </c>
      <c r="N80" s="126">
        <f t="shared" si="141"/>
        <v>59784</v>
      </c>
      <c r="O80" s="126">
        <f t="shared" si="142"/>
        <v>59784</v>
      </c>
      <c r="P80" s="126">
        <f t="shared" ref="P80:P128" si="147">E80</f>
        <v>59784</v>
      </c>
      <c r="Q80" s="126">
        <f t="shared" si="143"/>
        <v>59784</v>
      </c>
      <c r="R80" s="126">
        <f t="shared" si="144"/>
        <v>59784</v>
      </c>
      <c r="S80" s="126">
        <f>IFERROR(IFERROR(VLOOKUP(C80,'Inchidere contur'!B:U,20-3,0),VLOOKUP(C80,'Inchidere contur'!G:U,15-3,0)),"eroare")</f>
        <v>74395</v>
      </c>
      <c r="T80" s="126">
        <f>IFERROR(IFERROR(VLOOKUP(C80,'Inchidere contur'!B:U,20-2,0),VLOOKUP(C80,'Inchidere contur'!G:U,15-2,0)),"eroare")</f>
        <v>0</v>
      </c>
      <c r="U80" s="126">
        <f t="shared" ref="U80:U128" si="148">T80</f>
        <v>0</v>
      </c>
      <c r="V80" s="126">
        <f t="shared" ref="V80:V128" si="149">T80</f>
        <v>0</v>
      </c>
      <c r="W80" s="126">
        <f>IFERROR(VLOOKUP(C80,Regularizare!B:AX,45,0),"eroare")</f>
        <v>0</v>
      </c>
      <c r="X80" s="126">
        <f>IFERROR(VLOOKUP(C80,Regularizare!B:AX,46,0),"eroare")+IFERROR(VLOOKUP(C80,Regularizare!B:AX,48,0),"eroare")</f>
        <v>0</v>
      </c>
      <c r="Y80" s="126">
        <f>IFERROR(VLOOKUP(C80,Regularizare!B:AX,47,0),"eroare")+IFERROR(VLOOKUP(C80,Regularizare!B:AX,49,0),"eroare")</f>
        <v>0</v>
      </c>
      <c r="Z80" s="126">
        <f t="shared" ref="Z80:Z128" si="150">W80</f>
        <v>0</v>
      </c>
      <c r="AA80" s="126">
        <f t="shared" ref="AA80:AA128" si="151">IF(D80=$AQ$48,Z80,0)</f>
        <v>0</v>
      </c>
      <c r="AB80" s="126">
        <f t="shared" ref="AB80:AB128" si="152">Z80</f>
        <v>0</v>
      </c>
      <c r="AC80" s="126">
        <f t="shared" ref="AC80:AC128" si="153">Z80</f>
        <v>0</v>
      </c>
      <c r="AD80" s="126">
        <f t="shared" ref="AD80:AD128" si="154">Z80</f>
        <v>0</v>
      </c>
      <c r="AE80" s="126">
        <f t="shared" ref="AE80:AE128" si="155">Z80</f>
        <v>0</v>
      </c>
      <c r="AF80" s="126">
        <f t="shared" ref="AF80:AF128" si="156">Z80</f>
        <v>0</v>
      </c>
      <c r="AG80" s="126">
        <f t="shared" si="145"/>
        <v>0</v>
      </c>
      <c r="AH80" s="126">
        <f t="shared" ref="AH80:AH128" si="157">Z80</f>
        <v>0</v>
      </c>
      <c r="AI80" s="126">
        <f t="shared" ref="AI80:AI128" si="158">IF(OR(D80=$AQ$49,D80=$AQ$50),W80,0)</f>
        <v>0</v>
      </c>
      <c r="AJ80" s="126">
        <f t="shared" ref="AJ80:AJ128" si="159">IF(OR(D80=$AQ$50),W80,0)</f>
        <v>0</v>
      </c>
      <c r="AK80" s="126">
        <v>0</v>
      </c>
      <c r="AL80" s="126">
        <v>0</v>
      </c>
      <c r="AM80" s="126">
        <v>0</v>
      </c>
      <c r="AN80" s="126">
        <v>0</v>
      </c>
    </row>
    <row r="81" spans="1:40">
      <c r="A81" s="17">
        <v>20</v>
      </c>
      <c r="B81" s="17" t="str">
        <f t="shared" si="135"/>
        <v>RGBM</v>
      </c>
      <c r="C81" s="198" t="s">
        <v>628</v>
      </c>
      <c r="D81" s="198" t="str">
        <f>IFERROR(VLOOKUP(C81,'Inchidere contur'!B:U,20,0),VLOOKUP(C81,'Inchidere contur'!G:U,15,0))</f>
        <v>JT_SDI</v>
      </c>
      <c r="E81" s="126">
        <f>IFERROR(IFERROR(VLOOKUP(C81,'Inchidere contur'!B:U,20-4,0),VLOOKUP(C81,'Inchidere contur'!G:U,15-4,0)),"eroare")</f>
        <v>420528</v>
      </c>
      <c r="F81" s="200">
        <v>0</v>
      </c>
      <c r="G81" s="200">
        <v>0</v>
      </c>
      <c r="H81" s="126">
        <f t="shared" si="146"/>
        <v>420528</v>
      </c>
      <c r="I81" s="126">
        <f t="shared" si="136"/>
        <v>0</v>
      </c>
      <c r="J81" s="126">
        <f t="shared" si="137"/>
        <v>420528</v>
      </c>
      <c r="K81" s="126">
        <f t="shared" si="138"/>
        <v>420528</v>
      </c>
      <c r="L81" s="126">
        <f t="shared" si="139"/>
        <v>420528</v>
      </c>
      <c r="M81" s="126">
        <f t="shared" si="140"/>
        <v>420528</v>
      </c>
      <c r="N81" s="126">
        <f t="shared" si="141"/>
        <v>420528</v>
      </c>
      <c r="O81" s="126">
        <f t="shared" si="142"/>
        <v>420528</v>
      </c>
      <c r="P81" s="126">
        <f t="shared" si="147"/>
        <v>420528</v>
      </c>
      <c r="Q81" s="126">
        <f t="shared" si="143"/>
        <v>420528</v>
      </c>
      <c r="R81" s="126">
        <f t="shared" si="144"/>
        <v>420528</v>
      </c>
      <c r="S81" s="126">
        <f>IFERROR(IFERROR(VLOOKUP(C81,'Inchidere contur'!B:U,20-3,0),VLOOKUP(C81,'Inchidere contur'!G:U,15-3,0)),"eroare")</f>
        <v>37745</v>
      </c>
      <c r="T81" s="126">
        <f>IFERROR(IFERROR(VLOOKUP(C81,'Inchidere contur'!B:U,20-2,0),VLOOKUP(C81,'Inchidere contur'!G:U,15-2,0)),"eroare")</f>
        <v>0</v>
      </c>
      <c r="U81" s="126">
        <f t="shared" si="148"/>
        <v>0</v>
      </c>
      <c r="V81" s="126">
        <f t="shared" si="149"/>
        <v>0</v>
      </c>
      <c r="W81" s="126">
        <f>IFERROR(VLOOKUP(C81,Regularizare!B:AX,45,0),"eroare")</f>
        <v>0</v>
      </c>
      <c r="X81" s="126">
        <f>IFERROR(VLOOKUP(C81,Regularizare!B:AX,46,0),"eroare")+IFERROR(VLOOKUP(C81,Regularizare!B:AX,48,0),"eroare")</f>
        <v>306</v>
      </c>
      <c r="Y81" s="126">
        <f>IFERROR(VLOOKUP(C81,Regularizare!B:AX,47,0),"eroare")+IFERROR(VLOOKUP(C81,Regularizare!B:AX,49,0),"eroare")</f>
        <v>0</v>
      </c>
      <c r="Z81" s="126">
        <f t="shared" si="150"/>
        <v>0</v>
      </c>
      <c r="AA81" s="126">
        <f t="shared" si="151"/>
        <v>0</v>
      </c>
      <c r="AB81" s="126">
        <f t="shared" si="152"/>
        <v>0</v>
      </c>
      <c r="AC81" s="126">
        <f t="shared" si="153"/>
        <v>0</v>
      </c>
      <c r="AD81" s="126">
        <f t="shared" si="154"/>
        <v>0</v>
      </c>
      <c r="AE81" s="126">
        <f t="shared" si="155"/>
        <v>0</v>
      </c>
      <c r="AF81" s="126">
        <f t="shared" si="156"/>
        <v>0</v>
      </c>
      <c r="AG81" s="126">
        <f t="shared" si="145"/>
        <v>0</v>
      </c>
      <c r="AH81" s="126">
        <f t="shared" si="157"/>
        <v>0</v>
      </c>
      <c r="AI81" s="126">
        <f t="shared" si="158"/>
        <v>0</v>
      </c>
      <c r="AJ81" s="126">
        <f t="shared" si="159"/>
        <v>0</v>
      </c>
      <c r="AK81" s="126">
        <v>0</v>
      </c>
      <c r="AL81" s="126">
        <v>0</v>
      </c>
      <c r="AM81" s="126">
        <v>0</v>
      </c>
      <c r="AN81" s="126">
        <v>0</v>
      </c>
    </row>
    <row r="82" spans="1:40">
      <c r="A82" s="17">
        <v>20</v>
      </c>
      <c r="B82" s="17" t="str">
        <f t="shared" si="135"/>
        <v>RGBM</v>
      </c>
      <c r="C82" s="198" t="s">
        <v>629</v>
      </c>
      <c r="D82" s="198" t="str">
        <f>IFERROR(VLOOKUP(C82,'Inchidere contur'!B:U,20,0),VLOOKUP(C82,'Inchidere contur'!G:U,15,0))</f>
        <v>JT_SDI</v>
      </c>
      <c r="E82" s="126">
        <f>IFERROR(IFERROR(VLOOKUP(C82,'Inchidere contur'!B:U,20-4,0),VLOOKUP(C82,'Inchidere contur'!G:U,15-4,0)),"eroare")</f>
        <v>302022</v>
      </c>
      <c r="F82" s="200">
        <v>0</v>
      </c>
      <c r="G82" s="200">
        <v>0</v>
      </c>
      <c r="H82" s="126">
        <f t="shared" si="146"/>
        <v>302022</v>
      </c>
      <c r="I82" s="126">
        <f t="shared" si="136"/>
        <v>0</v>
      </c>
      <c r="J82" s="126">
        <f t="shared" si="137"/>
        <v>302022</v>
      </c>
      <c r="K82" s="126">
        <f t="shared" si="138"/>
        <v>302022</v>
      </c>
      <c r="L82" s="126">
        <f t="shared" si="139"/>
        <v>302022</v>
      </c>
      <c r="M82" s="126">
        <f t="shared" si="140"/>
        <v>302022</v>
      </c>
      <c r="N82" s="126">
        <f t="shared" si="141"/>
        <v>302022</v>
      </c>
      <c r="O82" s="126">
        <f t="shared" si="142"/>
        <v>302022</v>
      </c>
      <c r="P82" s="126">
        <f t="shared" si="147"/>
        <v>302022</v>
      </c>
      <c r="Q82" s="126">
        <f t="shared" si="143"/>
        <v>302022</v>
      </c>
      <c r="R82" s="126">
        <f t="shared" si="144"/>
        <v>302022</v>
      </c>
      <c r="S82" s="126">
        <f>IFERROR(IFERROR(VLOOKUP(C82,'Inchidere contur'!B:U,20-3,0),VLOOKUP(C82,'Inchidere contur'!G:U,15-3,0)),"eroare")</f>
        <v>113990</v>
      </c>
      <c r="T82" s="126">
        <f>IFERROR(IFERROR(VLOOKUP(C82,'Inchidere contur'!B:U,20-2,0),VLOOKUP(C82,'Inchidere contur'!G:U,15-2,0)),"eroare")</f>
        <v>126303</v>
      </c>
      <c r="U82" s="126">
        <f t="shared" si="148"/>
        <v>126303</v>
      </c>
      <c r="V82" s="126">
        <f t="shared" si="149"/>
        <v>126303</v>
      </c>
      <c r="W82" s="126">
        <f>IFERROR(VLOOKUP(C82,Regularizare!B:AX,45,0),"eroare")</f>
        <v>0</v>
      </c>
      <c r="X82" s="126">
        <f>IFERROR(VLOOKUP(C82,Regularizare!B:AX,46,0),"eroare")+IFERROR(VLOOKUP(C82,Regularizare!B:AX,48,0),"eroare")</f>
        <v>254</v>
      </c>
      <c r="Y82" s="126">
        <f>IFERROR(VLOOKUP(C82,Regularizare!B:AX,47,0),"eroare")+IFERROR(VLOOKUP(C82,Regularizare!B:AX,49,0),"eroare")</f>
        <v>0</v>
      </c>
      <c r="Z82" s="126">
        <f t="shared" si="150"/>
        <v>0</v>
      </c>
      <c r="AA82" s="126">
        <f t="shared" si="151"/>
        <v>0</v>
      </c>
      <c r="AB82" s="126">
        <f t="shared" si="152"/>
        <v>0</v>
      </c>
      <c r="AC82" s="126">
        <f t="shared" si="153"/>
        <v>0</v>
      </c>
      <c r="AD82" s="126">
        <f t="shared" si="154"/>
        <v>0</v>
      </c>
      <c r="AE82" s="126">
        <f t="shared" si="155"/>
        <v>0</v>
      </c>
      <c r="AF82" s="126">
        <f t="shared" si="156"/>
        <v>0</v>
      </c>
      <c r="AG82" s="126">
        <f t="shared" si="145"/>
        <v>0</v>
      </c>
      <c r="AH82" s="126">
        <f t="shared" si="157"/>
        <v>0</v>
      </c>
      <c r="AI82" s="126">
        <f t="shared" si="158"/>
        <v>0</v>
      </c>
      <c r="AJ82" s="126">
        <f t="shared" si="159"/>
        <v>0</v>
      </c>
      <c r="AK82" s="126">
        <v>0</v>
      </c>
      <c r="AL82" s="126">
        <v>0</v>
      </c>
      <c r="AM82" s="126">
        <v>0</v>
      </c>
      <c r="AN82" s="126">
        <v>0</v>
      </c>
    </row>
    <row r="83" spans="1:40">
      <c r="A83" s="17">
        <v>20</v>
      </c>
      <c r="B83" s="17" t="str">
        <f t="shared" si="135"/>
        <v>RGBM</v>
      </c>
      <c r="C83" s="198" t="s">
        <v>630</v>
      </c>
      <c r="D83" s="198" t="str">
        <f>IFERROR(VLOOKUP(C83,'Inchidere contur'!B:U,20,0),VLOOKUP(C83,'Inchidere contur'!G:U,15,0))</f>
        <v>JT_SDI</v>
      </c>
      <c r="E83" s="126">
        <f>IFERROR(IFERROR(VLOOKUP(C83,'Inchidere contur'!B:U,20-4,0),VLOOKUP(C83,'Inchidere contur'!G:U,15-4,0)),"eroare")</f>
        <v>47025</v>
      </c>
      <c r="F83" s="200">
        <v>0</v>
      </c>
      <c r="G83" s="200">
        <v>0</v>
      </c>
      <c r="H83" s="126">
        <f t="shared" si="146"/>
        <v>47025</v>
      </c>
      <c r="I83" s="126">
        <f t="shared" si="136"/>
        <v>0</v>
      </c>
      <c r="J83" s="126">
        <f t="shared" si="137"/>
        <v>47025</v>
      </c>
      <c r="K83" s="126">
        <f t="shared" si="138"/>
        <v>47025</v>
      </c>
      <c r="L83" s="126">
        <f t="shared" si="139"/>
        <v>47025</v>
      </c>
      <c r="M83" s="126">
        <f t="shared" si="140"/>
        <v>47025</v>
      </c>
      <c r="N83" s="126">
        <f t="shared" si="141"/>
        <v>47025</v>
      </c>
      <c r="O83" s="126">
        <f t="shared" si="142"/>
        <v>47025</v>
      </c>
      <c r="P83" s="126">
        <f t="shared" si="147"/>
        <v>47025</v>
      </c>
      <c r="Q83" s="126">
        <f t="shared" si="143"/>
        <v>47025</v>
      </c>
      <c r="R83" s="126">
        <f t="shared" si="144"/>
        <v>47025</v>
      </c>
      <c r="S83" s="126">
        <f>IFERROR(IFERROR(VLOOKUP(C83,'Inchidere contur'!B:U,20-3,0),VLOOKUP(C83,'Inchidere contur'!G:U,15-3,0)),"eroare")</f>
        <v>153347</v>
      </c>
      <c r="T83" s="126">
        <f>IFERROR(IFERROR(VLOOKUP(C83,'Inchidere contur'!B:U,20-2,0),VLOOKUP(C83,'Inchidere contur'!G:U,15-2,0)),"eroare")</f>
        <v>0</v>
      </c>
      <c r="U83" s="126">
        <f t="shared" si="148"/>
        <v>0</v>
      </c>
      <c r="V83" s="126">
        <f t="shared" si="149"/>
        <v>0</v>
      </c>
      <c r="W83" s="126">
        <f>IFERROR(VLOOKUP(C83,Regularizare!B:AX,45,0),"eroare")</f>
        <v>0</v>
      </c>
      <c r="X83" s="126">
        <f>IFERROR(VLOOKUP(C83,Regularizare!B:AX,46,0),"eroare")+IFERROR(VLOOKUP(C83,Regularizare!B:AX,48,0),"eroare")</f>
        <v>51</v>
      </c>
      <c r="Y83" s="126">
        <f>IFERROR(VLOOKUP(C83,Regularizare!B:AX,47,0),"eroare")+IFERROR(VLOOKUP(C83,Regularizare!B:AX,49,0),"eroare")</f>
        <v>0</v>
      </c>
      <c r="Z83" s="126">
        <f t="shared" si="150"/>
        <v>0</v>
      </c>
      <c r="AA83" s="126">
        <f t="shared" si="151"/>
        <v>0</v>
      </c>
      <c r="AB83" s="126">
        <f t="shared" si="152"/>
        <v>0</v>
      </c>
      <c r="AC83" s="126">
        <f t="shared" si="153"/>
        <v>0</v>
      </c>
      <c r="AD83" s="126">
        <f t="shared" si="154"/>
        <v>0</v>
      </c>
      <c r="AE83" s="126">
        <f t="shared" si="155"/>
        <v>0</v>
      </c>
      <c r="AF83" s="126">
        <f t="shared" si="156"/>
        <v>0</v>
      </c>
      <c r="AG83" s="126">
        <f t="shared" si="145"/>
        <v>0</v>
      </c>
      <c r="AH83" s="126">
        <f t="shared" si="157"/>
        <v>0</v>
      </c>
      <c r="AI83" s="126">
        <f t="shared" si="158"/>
        <v>0</v>
      </c>
      <c r="AJ83" s="126">
        <f t="shared" si="159"/>
        <v>0</v>
      </c>
      <c r="AK83" s="126">
        <v>0</v>
      </c>
      <c r="AL83" s="126">
        <v>0</v>
      </c>
      <c r="AM83" s="126">
        <v>0</v>
      </c>
      <c r="AN83" s="126">
        <v>0</v>
      </c>
    </row>
    <row r="84" spans="1:40">
      <c r="A84" s="17">
        <v>20</v>
      </c>
      <c r="B84" s="17" t="str">
        <f t="shared" si="135"/>
        <v>RGBM</v>
      </c>
      <c r="C84" s="198" t="s">
        <v>631</v>
      </c>
      <c r="D84" s="198" t="str">
        <f>IFERROR(VLOOKUP(C84,'Inchidere contur'!B:U,20,0),VLOOKUP(C84,'Inchidere contur'!G:U,15,0))</f>
        <v>JT_SDI</v>
      </c>
      <c r="E84" s="126">
        <f>IFERROR(IFERROR(VLOOKUP(C84,'Inchidere contur'!B:U,20-4,0),VLOOKUP(C84,'Inchidere contur'!G:U,15-4,0)),"eroare")</f>
        <v>70624</v>
      </c>
      <c r="F84" s="200">
        <v>0</v>
      </c>
      <c r="G84" s="200">
        <v>0</v>
      </c>
      <c r="H84" s="126">
        <f t="shared" si="146"/>
        <v>70624</v>
      </c>
      <c r="I84" s="126">
        <f t="shared" si="136"/>
        <v>0</v>
      </c>
      <c r="J84" s="126">
        <f t="shared" si="137"/>
        <v>70624</v>
      </c>
      <c r="K84" s="126">
        <f t="shared" si="138"/>
        <v>70624</v>
      </c>
      <c r="L84" s="126">
        <f t="shared" si="139"/>
        <v>70624</v>
      </c>
      <c r="M84" s="126">
        <f t="shared" si="140"/>
        <v>70624</v>
      </c>
      <c r="N84" s="126">
        <f t="shared" si="141"/>
        <v>70624</v>
      </c>
      <c r="O84" s="126">
        <f t="shared" si="142"/>
        <v>70624</v>
      </c>
      <c r="P84" s="126">
        <f t="shared" si="147"/>
        <v>70624</v>
      </c>
      <c r="Q84" s="126">
        <f t="shared" si="143"/>
        <v>70624</v>
      </c>
      <c r="R84" s="126">
        <f t="shared" si="144"/>
        <v>70624</v>
      </c>
      <c r="S84" s="126">
        <f>IFERROR(IFERROR(VLOOKUP(C84,'Inchidere contur'!B:U,20-3,0),VLOOKUP(C84,'Inchidere contur'!G:U,15-3,0)),"eroare")</f>
        <v>44270</v>
      </c>
      <c r="T84" s="126">
        <f>IFERROR(IFERROR(VLOOKUP(C84,'Inchidere contur'!B:U,20-2,0),VLOOKUP(C84,'Inchidere contur'!G:U,15-2,0)),"eroare")</f>
        <v>0</v>
      </c>
      <c r="U84" s="126">
        <f t="shared" si="148"/>
        <v>0</v>
      </c>
      <c r="V84" s="126">
        <f t="shared" si="149"/>
        <v>0</v>
      </c>
      <c r="W84" s="126">
        <f>IFERROR(VLOOKUP(C84,Regularizare!B:AX,45,0),"eroare")</f>
        <v>0</v>
      </c>
      <c r="X84" s="126">
        <f>IFERROR(VLOOKUP(C84,Regularizare!B:AX,46,0),"eroare")+IFERROR(VLOOKUP(C84,Regularizare!B:AX,48,0),"eroare")</f>
        <v>2208</v>
      </c>
      <c r="Y84" s="126">
        <f>IFERROR(VLOOKUP(C84,Regularizare!B:AX,47,0),"eroare")+IFERROR(VLOOKUP(C84,Regularizare!B:AX,49,0),"eroare")</f>
        <v>5957</v>
      </c>
      <c r="Z84" s="126">
        <f t="shared" si="150"/>
        <v>0</v>
      </c>
      <c r="AA84" s="126">
        <f t="shared" si="151"/>
        <v>0</v>
      </c>
      <c r="AB84" s="126">
        <f t="shared" si="152"/>
        <v>0</v>
      </c>
      <c r="AC84" s="126">
        <f t="shared" si="153"/>
        <v>0</v>
      </c>
      <c r="AD84" s="126">
        <f t="shared" si="154"/>
        <v>0</v>
      </c>
      <c r="AE84" s="126">
        <f t="shared" si="155"/>
        <v>0</v>
      </c>
      <c r="AF84" s="126">
        <f t="shared" si="156"/>
        <v>0</v>
      </c>
      <c r="AG84" s="126">
        <f t="shared" si="145"/>
        <v>0</v>
      </c>
      <c r="AH84" s="126">
        <f t="shared" si="157"/>
        <v>0</v>
      </c>
      <c r="AI84" s="126">
        <f t="shared" si="158"/>
        <v>0</v>
      </c>
      <c r="AJ84" s="126">
        <f t="shared" si="159"/>
        <v>0</v>
      </c>
      <c r="AK84" s="126">
        <v>0</v>
      </c>
      <c r="AL84" s="126">
        <v>0</v>
      </c>
      <c r="AM84" s="126">
        <v>0</v>
      </c>
      <c r="AN84" s="126">
        <v>0</v>
      </c>
    </row>
    <row r="85" spans="1:40">
      <c r="A85" s="17">
        <v>20</v>
      </c>
      <c r="B85" s="17" t="str">
        <f t="shared" si="135"/>
        <v>RMEG</v>
      </c>
      <c r="C85" s="198" t="s">
        <v>632</v>
      </c>
      <c r="D85" s="198" t="str">
        <f>IFERROR(VLOOKUP(C85,'Inchidere contur'!B:U,20,0),VLOOKUP(C85,'Inchidere contur'!G:U,15,0))</f>
        <v>JT_SDI</v>
      </c>
      <c r="E85" s="126">
        <f>IFERROR(IFERROR(VLOOKUP(C85,'Inchidere contur'!B:U,20-4,0),VLOOKUP(C85,'Inchidere contur'!G:U,15-4,0)),"eroare")</f>
        <v>33775</v>
      </c>
      <c r="F85" s="200">
        <v>0</v>
      </c>
      <c r="G85" s="200">
        <v>0</v>
      </c>
      <c r="H85" s="126">
        <f t="shared" si="146"/>
        <v>33775</v>
      </c>
      <c r="I85" s="126">
        <f t="shared" si="136"/>
        <v>0</v>
      </c>
      <c r="J85" s="126">
        <f t="shared" si="137"/>
        <v>33775</v>
      </c>
      <c r="K85" s="126">
        <f t="shared" si="138"/>
        <v>33775</v>
      </c>
      <c r="L85" s="126">
        <f t="shared" si="139"/>
        <v>33775</v>
      </c>
      <c r="M85" s="126">
        <f t="shared" si="140"/>
        <v>33775</v>
      </c>
      <c r="N85" s="126">
        <f t="shared" si="141"/>
        <v>33775</v>
      </c>
      <c r="O85" s="126">
        <f t="shared" si="142"/>
        <v>33775</v>
      </c>
      <c r="P85" s="126">
        <f t="shared" si="147"/>
        <v>33775</v>
      </c>
      <c r="Q85" s="126">
        <f t="shared" si="143"/>
        <v>33775</v>
      </c>
      <c r="R85" s="126">
        <f t="shared" si="144"/>
        <v>33775</v>
      </c>
      <c r="S85" s="126">
        <f>IFERROR(IFERROR(VLOOKUP(C85,'Inchidere contur'!B:U,20-3,0),VLOOKUP(C85,'Inchidere contur'!G:U,15-3,0)),"eroare")</f>
        <v>0</v>
      </c>
      <c r="T85" s="126">
        <f>IFERROR(IFERROR(VLOOKUP(C85,'Inchidere contur'!B:U,20-2,0),VLOOKUP(C85,'Inchidere contur'!G:U,15-2,0)),"eroare")</f>
        <v>0</v>
      </c>
      <c r="U85" s="126">
        <f t="shared" si="148"/>
        <v>0</v>
      </c>
      <c r="V85" s="126">
        <f t="shared" si="149"/>
        <v>0</v>
      </c>
      <c r="W85" s="126">
        <f>IFERROR(VLOOKUP(C85,Regularizare!B:AX,45,0),"eroare")</f>
        <v>0</v>
      </c>
      <c r="X85" s="126">
        <f>IFERROR(VLOOKUP(C85,Regularizare!B:AX,46,0),"eroare")+IFERROR(VLOOKUP(C85,Regularizare!B:AX,48,0),"eroare")</f>
        <v>0</v>
      </c>
      <c r="Y85" s="126">
        <f>IFERROR(VLOOKUP(C85,Regularizare!B:AX,47,0),"eroare")+IFERROR(VLOOKUP(C85,Regularizare!B:AX,49,0),"eroare")</f>
        <v>0</v>
      </c>
      <c r="Z85" s="126">
        <f t="shared" si="150"/>
        <v>0</v>
      </c>
      <c r="AA85" s="126">
        <f t="shared" si="151"/>
        <v>0</v>
      </c>
      <c r="AB85" s="126">
        <f t="shared" si="152"/>
        <v>0</v>
      </c>
      <c r="AC85" s="126">
        <f t="shared" si="153"/>
        <v>0</v>
      </c>
      <c r="AD85" s="126">
        <f t="shared" si="154"/>
        <v>0</v>
      </c>
      <c r="AE85" s="126">
        <f t="shared" si="155"/>
        <v>0</v>
      </c>
      <c r="AF85" s="126">
        <f t="shared" si="156"/>
        <v>0</v>
      </c>
      <c r="AG85" s="126">
        <f t="shared" si="145"/>
        <v>0</v>
      </c>
      <c r="AH85" s="126">
        <f t="shared" si="157"/>
        <v>0</v>
      </c>
      <c r="AI85" s="126">
        <f t="shared" si="158"/>
        <v>0</v>
      </c>
      <c r="AJ85" s="126">
        <f t="shared" si="159"/>
        <v>0</v>
      </c>
      <c r="AK85" s="126">
        <v>0</v>
      </c>
      <c r="AL85" s="126">
        <v>0</v>
      </c>
      <c r="AM85" s="126">
        <v>0</v>
      </c>
      <c r="AN85" s="126">
        <v>0</v>
      </c>
    </row>
    <row r="86" spans="1:40">
      <c r="A86" s="17">
        <v>20</v>
      </c>
      <c r="B86" s="17" t="str">
        <f t="shared" si="135"/>
        <v>RMEG</v>
      </c>
      <c r="C86" s="198" t="s">
        <v>633</v>
      </c>
      <c r="D86" s="198" t="str">
        <f>IFERROR(VLOOKUP(C86,'Inchidere contur'!B:U,20,0),VLOOKUP(C86,'Inchidere contur'!G:U,15,0))</f>
        <v>JT_SDI</v>
      </c>
      <c r="E86" s="126">
        <f>IFERROR(IFERROR(VLOOKUP(C86,'Inchidere contur'!B:U,20-4,0),VLOOKUP(C86,'Inchidere contur'!G:U,15-4,0)),"eroare")</f>
        <v>29575</v>
      </c>
      <c r="F86" s="200">
        <v>0</v>
      </c>
      <c r="G86" s="200">
        <v>0</v>
      </c>
      <c r="H86" s="126">
        <f t="shared" si="146"/>
        <v>29575</v>
      </c>
      <c r="I86" s="126">
        <f t="shared" si="136"/>
        <v>0</v>
      </c>
      <c r="J86" s="126">
        <f t="shared" si="137"/>
        <v>29575</v>
      </c>
      <c r="K86" s="126">
        <f t="shared" si="138"/>
        <v>29575</v>
      </c>
      <c r="L86" s="126">
        <f t="shared" si="139"/>
        <v>29575</v>
      </c>
      <c r="M86" s="126">
        <f t="shared" si="140"/>
        <v>29575</v>
      </c>
      <c r="N86" s="126">
        <f t="shared" si="141"/>
        <v>29575</v>
      </c>
      <c r="O86" s="126">
        <f t="shared" si="142"/>
        <v>29575</v>
      </c>
      <c r="P86" s="126">
        <f t="shared" si="147"/>
        <v>29575</v>
      </c>
      <c r="Q86" s="126">
        <f t="shared" si="143"/>
        <v>29575</v>
      </c>
      <c r="R86" s="126">
        <f t="shared" si="144"/>
        <v>29575</v>
      </c>
      <c r="S86" s="126">
        <f>IFERROR(IFERROR(VLOOKUP(C86,'Inchidere contur'!B:U,20-3,0),VLOOKUP(C86,'Inchidere contur'!G:U,15-3,0)),"eroare")</f>
        <v>13904</v>
      </c>
      <c r="T86" s="126">
        <f>IFERROR(IFERROR(VLOOKUP(C86,'Inchidere contur'!B:U,20-2,0),VLOOKUP(C86,'Inchidere contur'!G:U,15-2,0)),"eroare")</f>
        <v>0</v>
      </c>
      <c r="U86" s="126">
        <f t="shared" si="148"/>
        <v>0</v>
      </c>
      <c r="V86" s="126">
        <f t="shared" si="149"/>
        <v>0</v>
      </c>
      <c r="W86" s="126">
        <f>IFERROR(VLOOKUP(C86,Regularizare!B:AX,45,0),"eroare")</f>
        <v>0</v>
      </c>
      <c r="X86" s="126">
        <f>IFERROR(VLOOKUP(C86,Regularizare!B:AX,46,0),"eroare")+IFERROR(VLOOKUP(C86,Regularizare!B:AX,48,0),"eroare")</f>
        <v>0</v>
      </c>
      <c r="Y86" s="126">
        <f>IFERROR(VLOOKUP(C86,Regularizare!B:AX,47,0),"eroare")+IFERROR(VLOOKUP(C86,Regularizare!B:AX,49,0),"eroare")</f>
        <v>0</v>
      </c>
      <c r="Z86" s="126">
        <f t="shared" si="150"/>
        <v>0</v>
      </c>
      <c r="AA86" s="126">
        <f t="shared" si="151"/>
        <v>0</v>
      </c>
      <c r="AB86" s="126">
        <f t="shared" si="152"/>
        <v>0</v>
      </c>
      <c r="AC86" s="126">
        <f t="shared" si="153"/>
        <v>0</v>
      </c>
      <c r="AD86" s="126">
        <f t="shared" si="154"/>
        <v>0</v>
      </c>
      <c r="AE86" s="126">
        <f t="shared" si="155"/>
        <v>0</v>
      </c>
      <c r="AF86" s="126">
        <f t="shared" si="156"/>
        <v>0</v>
      </c>
      <c r="AG86" s="126">
        <f t="shared" si="145"/>
        <v>0</v>
      </c>
      <c r="AH86" s="126">
        <f t="shared" si="157"/>
        <v>0</v>
      </c>
      <c r="AI86" s="126">
        <f t="shared" si="158"/>
        <v>0</v>
      </c>
      <c r="AJ86" s="126">
        <f t="shared" si="159"/>
        <v>0</v>
      </c>
      <c r="AK86" s="126">
        <v>0</v>
      </c>
      <c r="AL86" s="126">
        <v>0</v>
      </c>
      <c r="AM86" s="126">
        <v>0</v>
      </c>
      <c r="AN86" s="126">
        <v>0</v>
      </c>
    </row>
    <row r="87" spans="1:40">
      <c r="A87" s="17">
        <v>20</v>
      </c>
      <c r="B87" s="17" t="str">
        <f t="shared" si="135"/>
        <v>RMEG</v>
      </c>
      <c r="C87" s="198" t="s">
        <v>634</v>
      </c>
      <c r="D87" s="198" t="str">
        <f>IFERROR(VLOOKUP(C87,'Inchidere contur'!B:U,20,0),VLOOKUP(C87,'Inchidere contur'!G:U,15,0))</f>
        <v>JT_SDI</v>
      </c>
      <c r="E87" s="126">
        <f>IFERROR(IFERROR(VLOOKUP(C87,'Inchidere contur'!B:U,20-4,0),VLOOKUP(C87,'Inchidere contur'!G:U,15-4,0)),"eroare")</f>
        <v>257934</v>
      </c>
      <c r="F87" s="200">
        <v>0</v>
      </c>
      <c r="G87" s="200">
        <v>0</v>
      </c>
      <c r="H87" s="126">
        <f t="shared" si="146"/>
        <v>257934</v>
      </c>
      <c r="I87" s="126">
        <f t="shared" si="136"/>
        <v>0</v>
      </c>
      <c r="J87" s="126">
        <f t="shared" si="137"/>
        <v>257934</v>
      </c>
      <c r="K87" s="126">
        <f t="shared" si="138"/>
        <v>257934</v>
      </c>
      <c r="L87" s="126">
        <f t="shared" si="139"/>
        <v>257934</v>
      </c>
      <c r="M87" s="126">
        <f t="shared" si="140"/>
        <v>257934</v>
      </c>
      <c r="N87" s="126">
        <f t="shared" si="141"/>
        <v>257934</v>
      </c>
      <c r="O87" s="126">
        <f t="shared" si="142"/>
        <v>257934</v>
      </c>
      <c r="P87" s="126">
        <f t="shared" si="147"/>
        <v>257934</v>
      </c>
      <c r="Q87" s="126">
        <f t="shared" si="143"/>
        <v>257934</v>
      </c>
      <c r="R87" s="126">
        <f t="shared" si="144"/>
        <v>257934</v>
      </c>
      <c r="S87" s="126">
        <f>IFERROR(IFERROR(VLOOKUP(C87,'Inchidere contur'!B:U,20-3,0),VLOOKUP(C87,'Inchidere contur'!G:U,15-3,0)),"eroare")</f>
        <v>0</v>
      </c>
      <c r="T87" s="126">
        <f>IFERROR(IFERROR(VLOOKUP(C87,'Inchidere contur'!B:U,20-2,0),VLOOKUP(C87,'Inchidere contur'!G:U,15-2,0)),"eroare")</f>
        <v>0</v>
      </c>
      <c r="U87" s="126">
        <f t="shared" si="148"/>
        <v>0</v>
      </c>
      <c r="V87" s="126">
        <f t="shared" si="149"/>
        <v>0</v>
      </c>
      <c r="W87" s="126">
        <f>IFERROR(VLOOKUP(C87,Regularizare!B:AX,45,0),"eroare")</f>
        <v>0</v>
      </c>
      <c r="X87" s="126">
        <f>IFERROR(VLOOKUP(C87,Regularizare!B:AX,46,0),"eroare")+IFERROR(VLOOKUP(C87,Regularizare!B:AX,48,0),"eroare")</f>
        <v>0</v>
      </c>
      <c r="Y87" s="126">
        <f>IFERROR(VLOOKUP(C87,Regularizare!B:AX,47,0),"eroare")+IFERROR(VLOOKUP(C87,Regularizare!B:AX,49,0),"eroare")</f>
        <v>0</v>
      </c>
      <c r="Z87" s="126">
        <f t="shared" si="150"/>
        <v>0</v>
      </c>
      <c r="AA87" s="126">
        <f t="shared" si="151"/>
        <v>0</v>
      </c>
      <c r="AB87" s="126">
        <f t="shared" si="152"/>
        <v>0</v>
      </c>
      <c r="AC87" s="126">
        <f t="shared" si="153"/>
        <v>0</v>
      </c>
      <c r="AD87" s="126">
        <f t="shared" si="154"/>
        <v>0</v>
      </c>
      <c r="AE87" s="126">
        <f t="shared" si="155"/>
        <v>0</v>
      </c>
      <c r="AF87" s="126">
        <f t="shared" si="156"/>
        <v>0</v>
      </c>
      <c r="AG87" s="126">
        <f t="shared" si="145"/>
        <v>0</v>
      </c>
      <c r="AH87" s="126">
        <f t="shared" si="157"/>
        <v>0</v>
      </c>
      <c r="AI87" s="126">
        <f t="shared" si="158"/>
        <v>0</v>
      </c>
      <c r="AJ87" s="126">
        <f t="shared" si="159"/>
        <v>0</v>
      </c>
      <c r="AK87" s="126">
        <v>0</v>
      </c>
      <c r="AL87" s="126">
        <v>0</v>
      </c>
      <c r="AM87" s="126">
        <v>0</v>
      </c>
      <c r="AN87" s="126">
        <v>0</v>
      </c>
    </row>
    <row r="88" spans="1:40">
      <c r="A88" s="17">
        <v>20</v>
      </c>
      <c r="B88" s="17" t="str">
        <f t="shared" si="135"/>
        <v>RMEG</v>
      </c>
      <c r="C88" s="198" t="s">
        <v>635</v>
      </c>
      <c r="D88" s="198" t="str">
        <f>IFERROR(VLOOKUP(C88,'Inchidere contur'!B:U,20,0),VLOOKUP(C88,'Inchidere contur'!G:U,15,0))</f>
        <v>JT_SDI</v>
      </c>
      <c r="E88" s="126">
        <f>IFERROR(IFERROR(VLOOKUP(C88,'Inchidere contur'!B:U,20-4,0),VLOOKUP(C88,'Inchidere contur'!G:U,15-4,0)),"eroare")</f>
        <v>257934</v>
      </c>
      <c r="F88" s="200">
        <v>0</v>
      </c>
      <c r="G88" s="200">
        <v>0</v>
      </c>
      <c r="H88" s="126">
        <f t="shared" si="146"/>
        <v>257934</v>
      </c>
      <c r="I88" s="126">
        <f t="shared" si="136"/>
        <v>0</v>
      </c>
      <c r="J88" s="126">
        <f t="shared" si="137"/>
        <v>257934</v>
      </c>
      <c r="K88" s="126">
        <f t="shared" si="138"/>
        <v>257934</v>
      </c>
      <c r="L88" s="126">
        <f t="shared" si="139"/>
        <v>257934</v>
      </c>
      <c r="M88" s="126">
        <f t="shared" si="140"/>
        <v>257934</v>
      </c>
      <c r="N88" s="126">
        <f t="shared" si="141"/>
        <v>257934</v>
      </c>
      <c r="O88" s="126">
        <f t="shared" si="142"/>
        <v>257934</v>
      </c>
      <c r="P88" s="126">
        <f t="shared" si="147"/>
        <v>257934</v>
      </c>
      <c r="Q88" s="126">
        <f t="shared" si="143"/>
        <v>257934</v>
      </c>
      <c r="R88" s="126">
        <f t="shared" si="144"/>
        <v>257934</v>
      </c>
      <c r="S88" s="126">
        <f>IFERROR(IFERROR(VLOOKUP(C88,'Inchidere contur'!B:U,20-3,0),VLOOKUP(C88,'Inchidere contur'!G:U,15-3,0)),"eroare")</f>
        <v>0</v>
      </c>
      <c r="T88" s="126">
        <f>IFERROR(IFERROR(VLOOKUP(C88,'Inchidere contur'!B:U,20-2,0),VLOOKUP(C88,'Inchidere contur'!G:U,15-2,0)),"eroare")</f>
        <v>0</v>
      </c>
      <c r="U88" s="126">
        <f t="shared" si="148"/>
        <v>0</v>
      </c>
      <c r="V88" s="126">
        <f t="shared" si="149"/>
        <v>0</v>
      </c>
      <c r="W88" s="126">
        <f>IFERROR(VLOOKUP(C88,Regularizare!B:AX,45,0),"eroare")</f>
        <v>0</v>
      </c>
      <c r="X88" s="126">
        <f>IFERROR(VLOOKUP(C88,Regularizare!B:AX,46,0),"eroare")+IFERROR(VLOOKUP(C88,Regularizare!B:AX,48,0),"eroare")</f>
        <v>0</v>
      </c>
      <c r="Y88" s="126">
        <f>IFERROR(VLOOKUP(C88,Regularizare!B:AX,47,0),"eroare")+IFERROR(VLOOKUP(C88,Regularizare!B:AX,49,0),"eroare")</f>
        <v>0</v>
      </c>
      <c r="Z88" s="126">
        <f t="shared" si="150"/>
        <v>0</v>
      </c>
      <c r="AA88" s="126">
        <f t="shared" si="151"/>
        <v>0</v>
      </c>
      <c r="AB88" s="126">
        <f t="shared" si="152"/>
        <v>0</v>
      </c>
      <c r="AC88" s="126">
        <f t="shared" si="153"/>
        <v>0</v>
      </c>
      <c r="AD88" s="126">
        <f t="shared" si="154"/>
        <v>0</v>
      </c>
      <c r="AE88" s="126">
        <f t="shared" si="155"/>
        <v>0</v>
      </c>
      <c r="AF88" s="126">
        <f t="shared" si="156"/>
        <v>0</v>
      </c>
      <c r="AG88" s="126">
        <f t="shared" si="145"/>
        <v>0</v>
      </c>
      <c r="AH88" s="126">
        <f t="shared" si="157"/>
        <v>0</v>
      </c>
      <c r="AI88" s="126">
        <f t="shared" si="158"/>
        <v>0</v>
      </c>
      <c r="AJ88" s="126">
        <f t="shared" si="159"/>
        <v>0</v>
      </c>
      <c r="AK88" s="126">
        <v>0</v>
      </c>
      <c r="AL88" s="126">
        <v>0</v>
      </c>
      <c r="AM88" s="126">
        <v>0</v>
      </c>
      <c r="AN88" s="126">
        <v>0</v>
      </c>
    </row>
    <row r="89" spans="1:40">
      <c r="A89" s="17">
        <v>20</v>
      </c>
      <c r="B89" s="17" t="str">
        <f t="shared" si="135"/>
        <v>RMEG</v>
      </c>
      <c r="C89" s="198" t="s">
        <v>636</v>
      </c>
      <c r="D89" s="198" t="str">
        <f>IFERROR(VLOOKUP(C89,'Inchidere contur'!B:U,20,0),VLOOKUP(C89,'Inchidere contur'!G:U,15,0))</f>
        <v>JT_SDI</v>
      </c>
      <c r="E89" s="126">
        <f>IFERROR(IFERROR(VLOOKUP(C89,'Inchidere contur'!B:U,20-4,0),VLOOKUP(C89,'Inchidere contur'!G:U,15-4,0)),"eroare")</f>
        <v>241562</v>
      </c>
      <c r="F89" s="200">
        <v>0</v>
      </c>
      <c r="G89" s="200">
        <v>0</v>
      </c>
      <c r="H89" s="126">
        <f t="shared" si="146"/>
        <v>241562</v>
      </c>
      <c r="I89" s="126">
        <f t="shared" si="136"/>
        <v>0</v>
      </c>
      <c r="J89" s="126">
        <f t="shared" si="137"/>
        <v>241562</v>
      </c>
      <c r="K89" s="126">
        <f t="shared" si="138"/>
        <v>241562</v>
      </c>
      <c r="L89" s="126">
        <f t="shared" si="139"/>
        <v>241562</v>
      </c>
      <c r="M89" s="126">
        <f t="shared" si="140"/>
        <v>241562</v>
      </c>
      <c r="N89" s="126">
        <f t="shared" si="141"/>
        <v>241562</v>
      </c>
      <c r="O89" s="126">
        <f t="shared" si="142"/>
        <v>241562</v>
      </c>
      <c r="P89" s="126">
        <f t="shared" si="147"/>
        <v>241562</v>
      </c>
      <c r="Q89" s="126">
        <f t="shared" si="143"/>
        <v>241562</v>
      </c>
      <c r="R89" s="126">
        <f t="shared" si="144"/>
        <v>241562</v>
      </c>
      <c r="S89" s="126">
        <f>IFERROR(IFERROR(VLOOKUP(C89,'Inchidere contur'!B:U,20-3,0),VLOOKUP(C89,'Inchidere contur'!G:U,15-3,0)),"eroare")</f>
        <v>0</v>
      </c>
      <c r="T89" s="126">
        <f>IFERROR(IFERROR(VLOOKUP(C89,'Inchidere contur'!B:U,20-2,0),VLOOKUP(C89,'Inchidere contur'!G:U,15-2,0)),"eroare")</f>
        <v>0</v>
      </c>
      <c r="U89" s="126">
        <f t="shared" si="148"/>
        <v>0</v>
      </c>
      <c r="V89" s="126">
        <f t="shared" si="149"/>
        <v>0</v>
      </c>
      <c r="W89" s="126">
        <f>IFERROR(VLOOKUP(C89,Regularizare!B:AX,45,0),"eroare")</f>
        <v>0</v>
      </c>
      <c r="X89" s="126">
        <f>IFERROR(VLOOKUP(C89,Regularizare!B:AX,46,0),"eroare")+IFERROR(VLOOKUP(C89,Regularizare!B:AX,48,0),"eroare")</f>
        <v>0</v>
      </c>
      <c r="Y89" s="126">
        <f>IFERROR(VLOOKUP(C89,Regularizare!B:AX,47,0),"eroare")+IFERROR(VLOOKUP(C89,Regularizare!B:AX,49,0),"eroare")</f>
        <v>0</v>
      </c>
      <c r="Z89" s="126">
        <f t="shared" si="150"/>
        <v>0</v>
      </c>
      <c r="AA89" s="126">
        <f t="shared" si="151"/>
        <v>0</v>
      </c>
      <c r="AB89" s="126">
        <f t="shared" si="152"/>
        <v>0</v>
      </c>
      <c r="AC89" s="126">
        <f t="shared" si="153"/>
        <v>0</v>
      </c>
      <c r="AD89" s="126">
        <f t="shared" si="154"/>
        <v>0</v>
      </c>
      <c r="AE89" s="126">
        <f t="shared" si="155"/>
        <v>0</v>
      </c>
      <c r="AF89" s="126">
        <f t="shared" si="156"/>
        <v>0</v>
      </c>
      <c r="AG89" s="126">
        <f t="shared" si="145"/>
        <v>0</v>
      </c>
      <c r="AH89" s="126">
        <f t="shared" si="157"/>
        <v>0</v>
      </c>
      <c r="AI89" s="126">
        <f t="shared" si="158"/>
        <v>0</v>
      </c>
      <c r="AJ89" s="126">
        <f t="shared" si="159"/>
        <v>0</v>
      </c>
      <c r="AK89" s="126">
        <v>0</v>
      </c>
      <c r="AL89" s="126">
        <v>0</v>
      </c>
      <c r="AM89" s="126">
        <v>0</v>
      </c>
      <c r="AN89" s="126">
        <v>0</v>
      </c>
    </row>
    <row r="90" spans="1:40">
      <c r="A90" s="17">
        <v>20</v>
      </c>
      <c r="B90" s="17" t="str">
        <f t="shared" si="135"/>
        <v>RMEG</v>
      </c>
      <c r="C90" s="198" t="s">
        <v>637</v>
      </c>
      <c r="D90" s="198" t="str">
        <f>IFERROR(VLOOKUP(C90,'Inchidere contur'!B:U,20,0),VLOOKUP(C90,'Inchidere contur'!G:U,15,0))</f>
        <v>JT_SDI</v>
      </c>
      <c r="E90" s="126">
        <f>IFERROR(IFERROR(VLOOKUP(C90,'Inchidere contur'!B:U,20-4,0),VLOOKUP(C90,'Inchidere contur'!G:U,15-4,0)),"eroare")</f>
        <v>194088</v>
      </c>
      <c r="F90" s="200">
        <v>0</v>
      </c>
      <c r="G90" s="200">
        <v>0</v>
      </c>
      <c r="H90" s="126">
        <f t="shared" si="146"/>
        <v>194088</v>
      </c>
      <c r="I90" s="126">
        <f t="shared" si="136"/>
        <v>0</v>
      </c>
      <c r="J90" s="126">
        <f t="shared" si="137"/>
        <v>194088</v>
      </c>
      <c r="K90" s="126">
        <f t="shared" si="138"/>
        <v>194088</v>
      </c>
      <c r="L90" s="126">
        <f t="shared" si="139"/>
        <v>194088</v>
      </c>
      <c r="M90" s="126">
        <f t="shared" si="140"/>
        <v>194088</v>
      </c>
      <c r="N90" s="126">
        <f t="shared" si="141"/>
        <v>194088</v>
      </c>
      <c r="O90" s="126">
        <f t="shared" si="142"/>
        <v>194088</v>
      </c>
      <c r="P90" s="126">
        <f t="shared" si="147"/>
        <v>194088</v>
      </c>
      <c r="Q90" s="126">
        <f t="shared" si="143"/>
        <v>194088</v>
      </c>
      <c r="R90" s="126">
        <f t="shared" si="144"/>
        <v>194088</v>
      </c>
      <c r="S90" s="126">
        <f>IFERROR(IFERROR(VLOOKUP(C90,'Inchidere contur'!B:U,20-3,0),VLOOKUP(C90,'Inchidere contur'!G:U,15-3,0)),"eroare")</f>
        <v>0</v>
      </c>
      <c r="T90" s="126">
        <f>IFERROR(IFERROR(VLOOKUP(C90,'Inchidere contur'!B:U,20-2,0),VLOOKUP(C90,'Inchidere contur'!G:U,15-2,0)),"eroare")</f>
        <v>0</v>
      </c>
      <c r="U90" s="126">
        <f t="shared" si="148"/>
        <v>0</v>
      </c>
      <c r="V90" s="126">
        <f t="shared" si="149"/>
        <v>0</v>
      </c>
      <c r="W90" s="126">
        <f>IFERROR(VLOOKUP(C90,Regularizare!B:AX,45,0),"eroare")</f>
        <v>0</v>
      </c>
      <c r="X90" s="126">
        <f>IFERROR(VLOOKUP(C90,Regularizare!B:AX,46,0),"eroare")+IFERROR(VLOOKUP(C90,Regularizare!B:AX,48,0),"eroare")</f>
        <v>0</v>
      </c>
      <c r="Y90" s="126">
        <f>IFERROR(VLOOKUP(C90,Regularizare!B:AX,47,0),"eroare")+IFERROR(VLOOKUP(C90,Regularizare!B:AX,49,0),"eroare")</f>
        <v>0</v>
      </c>
      <c r="Z90" s="126">
        <f t="shared" si="150"/>
        <v>0</v>
      </c>
      <c r="AA90" s="126">
        <f t="shared" si="151"/>
        <v>0</v>
      </c>
      <c r="AB90" s="126">
        <f t="shared" si="152"/>
        <v>0</v>
      </c>
      <c r="AC90" s="126">
        <f t="shared" si="153"/>
        <v>0</v>
      </c>
      <c r="AD90" s="126">
        <f t="shared" si="154"/>
        <v>0</v>
      </c>
      <c r="AE90" s="126">
        <f t="shared" si="155"/>
        <v>0</v>
      </c>
      <c r="AF90" s="126">
        <f t="shared" si="156"/>
        <v>0</v>
      </c>
      <c r="AG90" s="126">
        <f t="shared" si="145"/>
        <v>0</v>
      </c>
      <c r="AH90" s="126">
        <f t="shared" si="157"/>
        <v>0</v>
      </c>
      <c r="AI90" s="126">
        <f t="shared" si="158"/>
        <v>0</v>
      </c>
      <c r="AJ90" s="126">
        <f t="shared" si="159"/>
        <v>0</v>
      </c>
      <c r="AK90" s="126">
        <v>0</v>
      </c>
      <c r="AL90" s="126">
        <v>0</v>
      </c>
      <c r="AM90" s="126">
        <v>0</v>
      </c>
      <c r="AN90" s="126">
        <v>0</v>
      </c>
    </row>
    <row r="91" spans="1:40">
      <c r="A91" s="17">
        <v>20</v>
      </c>
      <c r="B91" s="17" t="str">
        <f t="shared" si="135"/>
        <v>RMEG</v>
      </c>
      <c r="C91" s="198" t="s">
        <v>638</v>
      </c>
      <c r="D91" s="198" t="str">
        <f>IFERROR(VLOOKUP(C91,'Inchidere contur'!B:U,20,0),VLOOKUP(C91,'Inchidere contur'!G:U,15,0))</f>
        <v>JT_SDI</v>
      </c>
      <c r="E91" s="126">
        <f>IFERROR(IFERROR(VLOOKUP(C91,'Inchidere contur'!B:U,20-4,0),VLOOKUP(C91,'Inchidere contur'!G:U,15-4,0)),"eroare")</f>
        <v>194088</v>
      </c>
      <c r="F91" s="200">
        <v>0</v>
      </c>
      <c r="G91" s="200">
        <v>0</v>
      </c>
      <c r="H91" s="126">
        <f t="shared" si="146"/>
        <v>194088</v>
      </c>
      <c r="I91" s="126">
        <f t="shared" si="136"/>
        <v>0</v>
      </c>
      <c r="J91" s="126">
        <f t="shared" si="137"/>
        <v>194088</v>
      </c>
      <c r="K91" s="126">
        <f t="shared" si="138"/>
        <v>194088</v>
      </c>
      <c r="L91" s="126">
        <f t="shared" si="139"/>
        <v>194088</v>
      </c>
      <c r="M91" s="126">
        <f t="shared" si="140"/>
        <v>194088</v>
      </c>
      <c r="N91" s="126">
        <f t="shared" si="141"/>
        <v>194088</v>
      </c>
      <c r="O91" s="126">
        <f t="shared" si="142"/>
        <v>194088</v>
      </c>
      <c r="P91" s="126">
        <f t="shared" si="147"/>
        <v>194088</v>
      </c>
      <c r="Q91" s="126">
        <f t="shared" si="143"/>
        <v>194088</v>
      </c>
      <c r="R91" s="126">
        <f t="shared" si="144"/>
        <v>194088</v>
      </c>
      <c r="S91" s="126">
        <f>IFERROR(IFERROR(VLOOKUP(C91,'Inchidere contur'!B:U,20-3,0),VLOOKUP(C91,'Inchidere contur'!G:U,15-3,0)),"eroare")</f>
        <v>0</v>
      </c>
      <c r="T91" s="126">
        <f>IFERROR(IFERROR(VLOOKUP(C91,'Inchidere contur'!B:U,20-2,0),VLOOKUP(C91,'Inchidere contur'!G:U,15-2,0)),"eroare")</f>
        <v>0</v>
      </c>
      <c r="U91" s="126">
        <f t="shared" si="148"/>
        <v>0</v>
      </c>
      <c r="V91" s="126">
        <f t="shared" si="149"/>
        <v>0</v>
      </c>
      <c r="W91" s="126">
        <f>IFERROR(VLOOKUP(C91,Regularizare!B:AX,45,0),"eroare")</f>
        <v>0</v>
      </c>
      <c r="X91" s="126">
        <f>IFERROR(VLOOKUP(C91,Regularizare!B:AX,46,0),"eroare")+IFERROR(VLOOKUP(C91,Regularizare!B:AX,48,0),"eroare")</f>
        <v>0</v>
      </c>
      <c r="Y91" s="126">
        <f>IFERROR(VLOOKUP(C91,Regularizare!B:AX,47,0),"eroare")+IFERROR(VLOOKUP(C91,Regularizare!B:AX,49,0),"eroare")</f>
        <v>0</v>
      </c>
      <c r="Z91" s="126">
        <f t="shared" si="150"/>
        <v>0</v>
      </c>
      <c r="AA91" s="126">
        <f t="shared" si="151"/>
        <v>0</v>
      </c>
      <c r="AB91" s="126">
        <f t="shared" si="152"/>
        <v>0</v>
      </c>
      <c r="AC91" s="126">
        <f t="shared" si="153"/>
        <v>0</v>
      </c>
      <c r="AD91" s="126">
        <f t="shared" si="154"/>
        <v>0</v>
      </c>
      <c r="AE91" s="126">
        <f t="shared" si="155"/>
        <v>0</v>
      </c>
      <c r="AF91" s="126">
        <f t="shared" si="156"/>
        <v>0</v>
      </c>
      <c r="AG91" s="126">
        <f t="shared" si="145"/>
        <v>0</v>
      </c>
      <c r="AH91" s="126">
        <f t="shared" si="157"/>
        <v>0</v>
      </c>
      <c r="AI91" s="126">
        <f t="shared" si="158"/>
        <v>0</v>
      </c>
      <c r="AJ91" s="126">
        <f t="shared" si="159"/>
        <v>0</v>
      </c>
      <c r="AK91" s="126">
        <v>0</v>
      </c>
      <c r="AL91" s="126">
        <v>0</v>
      </c>
      <c r="AM91" s="126">
        <v>0</v>
      </c>
      <c r="AN91" s="126">
        <v>0</v>
      </c>
    </row>
    <row r="92" spans="1:40">
      <c r="A92" s="17">
        <v>20</v>
      </c>
      <c r="B92" s="17" t="str">
        <f t="shared" si="135"/>
        <v>RMEG</v>
      </c>
      <c r="C92" s="198" t="s">
        <v>639</v>
      </c>
      <c r="D92" s="198" t="str">
        <f>IFERROR(VLOOKUP(C92,'Inchidere contur'!B:U,20,0),VLOOKUP(C92,'Inchidere contur'!G:U,15,0))</f>
        <v>JT_SDI</v>
      </c>
      <c r="E92" s="126">
        <f>IFERROR(IFERROR(VLOOKUP(C92,'Inchidere contur'!B:U,20-4,0),VLOOKUP(C92,'Inchidere contur'!G:U,15-4,0)),"eroare")</f>
        <v>194088</v>
      </c>
      <c r="F92" s="200">
        <v>0</v>
      </c>
      <c r="G92" s="200">
        <v>0</v>
      </c>
      <c r="H92" s="126">
        <f t="shared" si="146"/>
        <v>194088</v>
      </c>
      <c r="I92" s="126">
        <f t="shared" si="136"/>
        <v>0</v>
      </c>
      <c r="J92" s="126">
        <f t="shared" si="137"/>
        <v>194088</v>
      </c>
      <c r="K92" s="126">
        <f t="shared" si="138"/>
        <v>194088</v>
      </c>
      <c r="L92" s="126">
        <f t="shared" si="139"/>
        <v>194088</v>
      </c>
      <c r="M92" s="126">
        <f t="shared" si="140"/>
        <v>194088</v>
      </c>
      <c r="N92" s="126">
        <f t="shared" si="141"/>
        <v>194088</v>
      </c>
      <c r="O92" s="126">
        <f t="shared" si="142"/>
        <v>194088</v>
      </c>
      <c r="P92" s="126">
        <f t="shared" si="147"/>
        <v>194088</v>
      </c>
      <c r="Q92" s="126">
        <f t="shared" si="143"/>
        <v>194088</v>
      </c>
      <c r="R92" s="126">
        <f t="shared" si="144"/>
        <v>194088</v>
      </c>
      <c r="S92" s="126">
        <f>IFERROR(IFERROR(VLOOKUP(C92,'Inchidere contur'!B:U,20-3,0),VLOOKUP(C92,'Inchidere contur'!G:U,15-3,0)),"eroare")</f>
        <v>0</v>
      </c>
      <c r="T92" s="126">
        <f>IFERROR(IFERROR(VLOOKUP(C92,'Inchidere contur'!B:U,20-2,0),VLOOKUP(C92,'Inchidere contur'!G:U,15-2,0)),"eroare")</f>
        <v>0</v>
      </c>
      <c r="U92" s="126">
        <f t="shared" si="148"/>
        <v>0</v>
      </c>
      <c r="V92" s="126">
        <f t="shared" si="149"/>
        <v>0</v>
      </c>
      <c r="W92" s="126">
        <f>IFERROR(VLOOKUP(C92,Regularizare!B:AX,45,0),"eroare")</f>
        <v>0</v>
      </c>
      <c r="X92" s="126">
        <f>IFERROR(VLOOKUP(C92,Regularizare!B:AX,46,0),"eroare")+IFERROR(VLOOKUP(C92,Regularizare!B:AX,48,0),"eroare")</f>
        <v>0</v>
      </c>
      <c r="Y92" s="126">
        <f>IFERROR(VLOOKUP(C92,Regularizare!B:AX,47,0),"eroare")+IFERROR(VLOOKUP(C92,Regularizare!B:AX,49,0),"eroare")</f>
        <v>0</v>
      </c>
      <c r="Z92" s="126">
        <f t="shared" si="150"/>
        <v>0</v>
      </c>
      <c r="AA92" s="126">
        <f t="shared" si="151"/>
        <v>0</v>
      </c>
      <c r="AB92" s="126">
        <f t="shared" si="152"/>
        <v>0</v>
      </c>
      <c r="AC92" s="126">
        <f t="shared" si="153"/>
        <v>0</v>
      </c>
      <c r="AD92" s="126">
        <f t="shared" si="154"/>
        <v>0</v>
      </c>
      <c r="AE92" s="126">
        <f t="shared" si="155"/>
        <v>0</v>
      </c>
      <c r="AF92" s="126">
        <f t="shared" si="156"/>
        <v>0</v>
      </c>
      <c r="AG92" s="126">
        <f t="shared" si="145"/>
        <v>0</v>
      </c>
      <c r="AH92" s="126">
        <f t="shared" si="157"/>
        <v>0</v>
      </c>
      <c r="AI92" s="126">
        <f t="shared" si="158"/>
        <v>0</v>
      </c>
      <c r="AJ92" s="126">
        <f t="shared" si="159"/>
        <v>0</v>
      </c>
      <c r="AK92" s="126">
        <v>0</v>
      </c>
      <c r="AL92" s="126">
        <v>0</v>
      </c>
      <c r="AM92" s="126">
        <v>0</v>
      </c>
      <c r="AN92" s="126">
        <v>0</v>
      </c>
    </row>
    <row r="93" spans="1:40">
      <c r="A93" s="17">
        <v>20</v>
      </c>
      <c r="B93" s="17" t="str">
        <f t="shared" si="135"/>
        <v>RMEG</v>
      </c>
      <c r="C93" s="198" t="s">
        <v>640</v>
      </c>
      <c r="D93" s="198" t="str">
        <f>IFERROR(VLOOKUP(C93,'Inchidere contur'!B:U,20,0),VLOOKUP(C93,'Inchidere contur'!G:U,15,0))</f>
        <v>JT_SDI</v>
      </c>
      <c r="E93" s="126">
        <f>IFERROR(IFERROR(VLOOKUP(C93,'Inchidere contur'!B:U,20-4,0),VLOOKUP(C93,'Inchidere contur'!G:U,15-4,0)),"eroare")</f>
        <v>179574</v>
      </c>
      <c r="F93" s="200">
        <v>0</v>
      </c>
      <c r="G93" s="200">
        <v>0</v>
      </c>
      <c r="H93" s="126">
        <f t="shared" si="146"/>
        <v>179574</v>
      </c>
      <c r="I93" s="126">
        <f t="shared" si="136"/>
        <v>0</v>
      </c>
      <c r="J93" s="126">
        <f t="shared" si="137"/>
        <v>179574</v>
      </c>
      <c r="K93" s="126">
        <f t="shared" si="138"/>
        <v>179574</v>
      </c>
      <c r="L93" s="126">
        <f t="shared" si="139"/>
        <v>179574</v>
      </c>
      <c r="M93" s="126">
        <f t="shared" si="140"/>
        <v>179574</v>
      </c>
      <c r="N93" s="126">
        <f t="shared" si="141"/>
        <v>179574</v>
      </c>
      <c r="O93" s="126">
        <f t="shared" si="142"/>
        <v>179574</v>
      </c>
      <c r="P93" s="126">
        <f t="shared" si="147"/>
        <v>179574</v>
      </c>
      <c r="Q93" s="126">
        <f t="shared" si="143"/>
        <v>179574</v>
      </c>
      <c r="R93" s="126">
        <f t="shared" si="144"/>
        <v>179574</v>
      </c>
      <c r="S93" s="126">
        <f>IFERROR(IFERROR(VLOOKUP(C93,'Inchidere contur'!B:U,20-3,0),VLOOKUP(C93,'Inchidere contur'!G:U,15-3,0)),"eroare")</f>
        <v>0</v>
      </c>
      <c r="T93" s="126">
        <f>IFERROR(IFERROR(VLOOKUP(C93,'Inchidere contur'!B:U,20-2,0),VLOOKUP(C93,'Inchidere contur'!G:U,15-2,0)),"eroare")</f>
        <v>0</v>
      </c>
      <c r="U93" s="126">
        <f t="shared" si="148"/>
        <v>0</v>
      </c>
      <c r="V93" s="126">
        <f t="shared" si="149"/>
        <v>0</v>
      </c>
      <c r="W93" s="126">
        <f>IFERROR(VLOOKUP(C93,Regularizare!B:AX,45,0),"eroare")</f>
        <v>0</v>
      </c>
      <c r="X93" s="126">
        <f>IFERROR(VLOOKUP(C93,Regularizare!B:AX,46,0),"eroare")+IFERROR(VLOOKUP(C93,Regularizare!B:AX,48,0),"eroare")</f>
        <v>0</v>
      </c>
      <c r="Y93" s="126">
        <f>IFERROR(VLOOKUP(C93,Regularizare!B:AX,47,0),"eroare")+IFERROR(VLOOKUP(C93,Regularizare!B:AX,49,0),"eroare")</f>
        <v>0</v>
      </c>
      <c r="Z93" s="126">
        <f t="shared" si="150"/>
        <v>0</v>
      </c>
      <c r="AA93" s="126">
        <f t="shared" si="151"/>
        <v>0</v>
      </c>
      <c r="AB93" s="126">
        <f t="shared" si="152"/>
        <v>0</v>
      </c>
      <c r="AC93" s="126">
        <f t="shared" si="153"/>
        <v>0</v>
      </c>
      <c r="AD93" s="126">
        <f t="shared" si="154"/>
        <v>0</v>
      </c>
      <c r="AE93" s="126">
        <f t="shared" si="155"/>
        <v>0</v>
      </c>
      <c r="AF93" s="126">
        <f t="shared" si="156"/>
        <v>0</v>
      </c>
      <c r="AG93" s="126">
        <f t="shared" si="145"/>
        <v>0</v>
      </c>
      <c r="AH93" s="126">
        <f t="shared" si="157"/>
        <v>0</v>
      </c>
      <c r="AI93" s="126">
        <f t="shared" si="158"/>
        <v>0</v>
      </c>
      <c r="AJ93" s="126">
        <f t="shared" si="159"/>
        <v>0</v>
      </c>
      <c r="AK93" s="126">
        <v>0</v>
      </c>
      <c r="AL93" s="126">
        <v>0</v>
      </c>
      <c r="AM93" s="126">
        <v>0</v>
      </c>
      <c r="AN93" s="126">
        <v>0</v>
      </c>
    </row>
    <row r="94" spans="1:40">
      <c r="A94" s="17">
        <v>20</v>
      </c>
      <c r="B94" s="17" t="str">
        <f t="shared" si="135"/>
        <v>RMEG</v>
      </c>
      <c r="C94" s="198" t="s">
        <v>641</v>
      </c>
      <c r="D94" s="198" t="str">
        <f>IFERROR(VLOOKUP(C94,'Inchidere contur'!B:U,20,0),VLOOKUP(C94,'Inchidere contur'!G:U,15,0))</f>
        <v>JT_SDI</v>
      </c>
      <c r="E94" s="126">
        <f>IFERROR(IFERROR(VLOOKUP(C94,'Inchidere contur'!B:U,20-4,0),VLOOKUP(C94,'Inchidere contur'!G:U,15-4,0)),"eroare")</f>
        <v>89617</v>
      </c>
      <c r="F94" s="200">
        <v>0</v>
      </c>
      <c r="G94" s="200">
        <v>0</v>
      </c>
      <c r="H94" s="126">
        <f t="shared" si="146"/>
        <v>89617</v>
      </c>
      <c r="I94" s="126">
        <f t="shared" si="136"/>
        <v>0</v>
      </c>
      <c r="J94" s="126">
        <f t="shared" si="137"/>
        <v>89617</v>
      </c>
      <c r="K94" s="126">
        <f t="shared" si="138"/>
        <v>89617</v>
      </c>
      <c r="L94" s="126">
        <f t="shared" si="139"/>
        <v>89617</v>
      </c>
      <c r="M94" s="126">
        <f t="shared" si="140"/>
        <v>89617</v>
      </c>
      <c r="N94" s="126">
        <f t="shared" si="141"/>
        <v>89617</v>
      </c>
      <c r="O94" s="126">
        <f t="shared" si="142"/>
        <v>89617</v>
      </c>
      <c r="P94" s="126">
        <f t="shared" si="147"/>
        <v>89617</v>
      </c>
      <c r="Q94" s="126">
        <f t="shared" si="143"/>
        <v>89617</v>
      </c>
      <c r="R94" s="126">
        <f t="shared" si="144"/>
        <v>89617</v>
      </c>
      <c r="S94" s="126">
        <f>IFERROR(IFERROR(VLOOKUP(C94,'Inchidere contur'!B:U,20-3,0),VLOOKUP(C94,'Inchidere contur'!G:U,15-3,0)),"eroare")</f>
        <v>0</v>
      </c>
      <c r="T94" s="126">
        <f>IFERROR(IFERROR(VLOOKUP(C94,'Inchidere contur'!B:U,20-2,0),VLOOKUP(C94,'Inchidere contur'!G:U,15-2,0)),"eroare")</f>
        <v>0</v>
      </c>
      <c r="U94" s="126">
        <f t="shared" si="148"/>
        <v>0</v>
      </c>
      <c r="V94" s="126">
        <f t="shared" si="149"/>
        <v>0</v>
      </c>
      <c r="W94" s="126">
        <f>IFERROR(VLOOKUP(C94,Regularizare!B:AX,45,0),"eroare")</f>
        <v>0</v>
      </c>
      <c r="X94" s="126">
        <f>IFERROR(VLOOKUP(C94,Regularizare!B:AX,46,0),"eroare")+IFERROR(VLOOKUP(C94,Regularizare!B:AX,48,0),"eroare")</f>
        <v>0</v>
      </c>
      <c r="Y94" s="126">
        <f>IFERROR(VLOOKUP(C94,Regularizare!B:AX,47,0),"eroare")+IFERROR(VLOOKUP(C94,Regularizare!B:AX,49,0),"eroare")</f>
        <v>0</v>
      </c>
      <c r="Z94" s="126">
        <f t="shared" si="150"/>
        <v>0</v>
      </c>
      <c r="AA94" s="126">
        <f t="shared" si="151"/>
        <v>0</v>
      </c>
      <c r="AB94" s="126">
        <f t="shared" si="152"/>
        <v>0</v>
      </c>
      <c r="AC94" s="126">
        <f t="shared" si="153"/>
        <v>0</v>
      </c>
      <c r="AD94" s="126">
        <f t="shared" si="154"/>
        <v>0</v>
      </c>
      <c r="AE94" s="126">
        <f t="shared" si="155"/>
        <v>0</v>
      </c>
      <c r="AF94" s="126">
        <f t="shared" si="156"/>
        <v>0</v>
      </c>
      <c r="AG94" s="126">
        <f t="shared" si="145"/>
        <v>0</v>
      </c>
      <c r="AH94" s="126">
        <f t="shared" si="157"/>
        <v>0</v>
      </c>
      <c r="AI94" s="126">
        <f t="shared" si="158"/>
        <v>0</v>
      </c>
      <c r="AJ94" s="126">
        <f t="shared" si="159"/>
        <v>0</v>
      </c>
      <c r="AK94" s="126">
        <v>0</v>
      </c>
      <c r="AL94" s="126">
        <v>0</v>
      </c>
      <c r="AM94" s="126">
        <v>0</v>
      </c>
      <c r="AN94" s="126">
        <v>0</v>
      </c>
    </row>
    <row r="95" spans="1:40">
      <c r="A95" s="17">
        <v>20</v>
      </c>
      <c r="B95" s="17" t="str">
        <f t="shared" si="135"/>
        <v>RMEG</v>
      </c>
      <c r="C95" s="198" t="s">
        <v>642</v>
      </c>
      <c r="D95" s="198" t="str">
        <f>IFERROR(VLOOKUP(C95,'Inchidere contur'!B:U,20,0),VLOOKUP(C95,'Inchidere contur'!G:U,15,0))</f>
        <v>JT_SDI</v>
      </c>
      <c r="E95" s="126">
        <f>IFERROR(IFERROR(VLOOKUP(C95,'Inchidere contur'!B:U,20-4,0),VLOOKUP(C95,'Inchidere contur'!G:U,15-4,0)),"eroare")</f>
        <v>89617</v>
      </c>
      <c r="F95" s="200">
        <v>0</v>
      </c>
      <c r="G95" s="200">
        <v>0</v>
      </c>
      <c r="H95" s="126">
        <f t="shared" si="146"/>
        <v>89617</v>
      </c>
      <c r="I95" s="126">
        <f t="shared" si="136"/>
        <v>0</v>
      </c>
      <c r="J95" s="126">
        <f t="shared" si="137"/>
        <v>89617</v>
      </c>
      <c r="K95" s="126">
        <f t="shared" si="138"/>
        <v>89617</v>
      </c>
      <c r="L95" s="126">
        <f t="shared" si="139"/>
        <v>89617</v>
      </c>
      <c r="M95" s="126">
        <f t="shared" si="140"/>
        <v>89617</v>
      </c>
      <c r="N95" s="126">
        <f t="shared" si="141"/>
        <v>89617</v>
      </c>
      <c r="O95" s="126">
        <f t="shared" si="142"/>
        <v>89617</v>
      </c>
      <c r="P95" s="126">
        <f t="shared" si="147"/>
        <v>89617</v>
      </c>
      <c r="Q95" s="126">
        <f t="shared" si="143"/>
        <v>89617</v>
      </c>
      <c r="R95" s="126">
        <f t="shared" si="144"/>
        <v>89617</v>
      </c>
      <c r="S95" s="126">
        <f>IFERROR(IFERROR(VLOOKUP(C95,'Inchidere contur'!B:U,20-3,0),VLOOKUP(C95,'Inchidere contur'!G:U,15-3,0)),"eroare")</f>
        <v>0</v>
      </c>
      <c r="T95" s="126">
        <f>IFERROR(IFERROR(VLOOKUP(C95,'Inchidere contur'!B:U,20-2,0),VLOOKUP(C95,'Inchidere contur'!G:U,15-2,0)),"eroare")</f>
        <v>0</v>
      </c>
      <c r="U95" s="126">
        <f t="shared" si="148"/>
        <v>0</v>
      </c>
      <c r="V95" s="126">
        <f t="shared" si="149"/>
        <v>0</v>
      </c>
      <c r="W95" s="126">
        <f>IFERROR(VLOOKUP(C95,Regularizare!B:AX,45,0),"eroare")</f>
        <v>0</v>
      </c>
      <c r="X95" s="126">
        <f>IFERROR(VLOOKUP(C95,Regularizare!B:AX,46,0),"eroare")+IFERROR(VLOOKUP(C95,Regularizare!B:AX,48,0),"eroare")</f>
        <v>0</v>
      </c>
      <c r="Y95" s="126">
        <f>IFERROR(VLOOKUP(C95,Regularizare!B:AX,47,0),"eroare")+IFERROR(VLOOKUP(C95,Regularizare!B:AX,49,0),"eroare")</f>
        <v>0</v>
      </c>
      <c r="Z95" s="126">
        <f t="shared" si="150"/>
        <v>0</v>
      </c>
      <c r="AA95" s="126">
        <f t="shared" si="151"/>
        <v>0</v>
      </c>
      <c r="AB95" s="126">
        <f t="shared" si="152"/>
        <v>0</v>
      </c>
      <c r="AC95" s="126">
        <f t="shared" si="153"/>
        <v>0</v>
      </c>
      <c r="AD95" s="126">
        <f t="shared" si="154"/>
        <v>0</v>
      </c>
      <c r="AE95" s="126">
        <f t="shared" si="155"/>
        <v>0</v>
      </c>
      <c r="AF95" s="126">
        <f t="shared" si="156"/>
        <v>0</v>
      </c>
      <c r="AG95" s="126">
        <f t="shared" si="145"/>
        <v>0</v>
      </c>
      <c r="AH95" s="126">
        <f t="shared" si="157"/>
        <v>0</v>
      </c>
      <c r="AI95" s="126">
        <f t="shared" si="158"/>
        <v>0</v>
      </c>
      <c r="AJ95" s="126">
        <f t="shared" si="159"/>
        <v>0</v>
      </c>
      <c r="AK95" s="126">
        <v>0</v>
      </c>
      <c r="AL95" s="126">
        <v>0</v>
      </c>
      <c r="AM95" s="126">
        <v>0</v>
      </c>
      <c r="AN95" s="126">
        <v>0</v>
      </c>
    </row>
    <row r="96" spans="1:40">
      <c r="A96" s="17">
        <v>20</v>
      </c>
      <c r="B96" s="17" t="str">
        <f t="shared" si="135"/>
        <v>RMEG</v>
      </c>
      <c r="C96" s="198" t="s">
        <v>643</v>
      </c>
      <c r="D96" s="198" t="str">
        <f>IFERROR(VLOOKUP(C96,'Inchidere contur'!B:U,20,0),VLOOKUP(C96,'Inchidere contur'!G:U,15,0))</f>
        <v>JT_SDI</v>
      </c>
      <c r="E96" s="126">
        <f>IFERROR(IFERROR(VLOOKUP(C96,'Inchidere contur'!B:U,20-4,0),VLOOKUP(C96,'Inchidere contur'!G:U,15-4,0)),"eroare")</f>
        <v>89617</v>
      </c>
      <c r="F96" s="200">
        <v>0</v>
      </c>
      <c r="G96" s="200">
        <v>0</v>
      </c>
      <c r="H96" s="126">
        <f t="shared" si="146"/>
        <v>89617</v>
      </c>
      <c r="I96" s="126">
        <f t="shared" si="136"/>
        <v>0</v>
      </c>
      <c r="J96" s="126">
        <f t="shared" si="137"/>
        <v>89617</v>
      </c>
      <c r="K96" s="126">
        <f t="shared" si="138"/>
        <v>89617</v>
      </c>
      <c r="L96" s="126">
        <f t="shared" si="139"/>
        <v>89617</v>
      </c>
      <c r="M96" s="126">
        <f t="shared" si="140"/>
        <v>89617</v>
      </c>
      <c r="N96" s="126">
        <f t="shared" si="141"/>
        <v>89617</v>
      </c>
      <c r="O96" s="126">
        <f t="shared" si="142"/>
        <v>89617</v>
      </c>
      <c r="P96" s="126">
        <f t="shared" si="147"/>
        <v>89617</v>
      </c>
      <c r="Q96" s="126">
        <f t="shared" si="143"/>
        <v>89617</v>
      </c>
      <c r="R96" s="126">
        <f t="shared" si="144"/>
        <v>89617</v>
      </c>
      <c r="S96" s="126">
        <f>IFERROR(IFERROR(VLOOKUP(C96,'Inchidere contur'!B:U,20-3,0),VLOOKUP(C96,'Inchidere contur'!G:U,15-3,0)),"eroare")</f>
        <v>0</v>
      </c>
      <c r="T96" s="126">
        <f>IFERROR(IFERROR(VLOOKUP(C96,'Inchidere contur'!B:U,20-2,0),VLOOKUP(C96,'Inchidere contur'!G:U,15-2,0)),"eroare")</f>
        <v>0</v>
      </c>
      <c r="U96" s="126">
        <f t="shared" si="148"/>
        <v>0</v>
      </c>
      <c r="V96" s="126">
        <f t="shared" si="149"/>
        <v>0</v>
      </c>
      <c r="W96" s="126">
        <f>IFERROR(VLOOKUP(C96,Regularizare!B:AX,45,0),"eroare")</f>
        <v>0</v>
      </c>
      <c r="X96" s="126">
        <f>IFERROR(VLOOKUP(C96,Regularizare!B:AX,46,0),"eroare")+IFERROR(VLOOKUP(C96,Regularizare!B:AX,48,0),"eroare")</f>
        <v>0</v>
      </c>
      <c r="Y96" s="126">
        <f>IFERROR(VLOOKUP(C96,Regularizare!B:AX,47,0),"eroare")+IFERROR(VLOOKUP(C96,Regularizare!B:AX,49,0),"eroare")</f>
        <v>0</v>
      </c>
      <c r="Z96" s="126">
        <f t="shared" si="150"/>
        <v>0</v>
      </c>
      <c r="AA96" s="126">
        <f t="shared" si="151"/>
        <v>0</v>
      </c>
      <c r="AB96" s="126">
        <f t="shared" si="152"/>
        <v>0</v>
      </c>
      <c r="AC96" s="126">
        <f t="shared" si="153"/>
        <v>0</v>
      </c>
      <c r="AD96" s="126">
        <f t="shared" si="154"/>
        <v>0</v>
      </c>
      <c r="AE96" s="126">
        <f t="shared" si="155"/>
        <v>0</v>
      </c>
      <c r="AF96" s="126">
        <f t="shared" si="156"/>
        <v>0</v>
      </c>
      <c r="AG96" s="126">
        <f t="shared" si="145"/>
        <v>0</v>
      </c>
      <c r="AH96" s="126">
        <f t="shared" si="157"/>
        <v>0</v>
      </c>
      <c r="AI96" s="126">
        <f t="shared" si="158"/>
        <v>0</v>
      </c>
      <c r="AJ96" s="126">
        <f t="shared" si="159"/>
        <v>0</v>
      </c>
      <c r="AK96" s="126">
        <v>0</v>
      </c>
      <c r="AL96" s="126">
        <v>0</v>
      </c>
      <c r="AM96" s="126">
        <v>0</v>
      </c>
      <c r="AN96" s="126">
        <v>0</v>
      </c>
    </row>
    <row r="97" spans="1:40">
      <c r="A97" s="17">
        <v>20</v>
      </c>
      <c r="B97" s="17" t="str">
        <f t="shared" si="135"/>
        <v>RMEG</v>
      </c>
      <c r="C97" s="198" t="s">
        <v>644</v>
      </c>
      <c r="D97" s="198" t="str">
        <f>IFERROR(VLOOKUP(C97,'Inchidere contur'!B:U,20,0),VLOOKUP(C97,'Inchidere contur'!G:U,15,0))</f>
        <v>JT_SDI</v>
      </c>
      <c r="E97" s="126">
        <f>IFERROR(IFERROR(VLOOKUP(C97,'Inchidere contur'!B:U,20-4,0),VLOOKUP(C97,'Inchidere contur'!G:U,15-4,0)),"eroare")</f>
        <v>82912</v>
      </c>
      <c r="F97" s="200">
        <v>0</v>
      </c>
      <c r="G97" s="200">
        <v>0</v>
      </c>
      <c r="H97" s="126">
        <f t="shared" si="146"/>
        <v>82912</v>
      </c>
      <c r="I97" s="126">
        <f t="shared" si="136"/>
        <v>0</v>
      </c>
      <c r="J97" s="126">
        <f t="shared" si="137"/>
        <v>82912</v>
      </c>
      <c r="K97" s="126">
        <f t="shared" si="138"/>
        <v>82912</v>
      </c>
      <c r="L97" s="126">
        <f t="shared" si="139"/>
        <v>82912</v>
      </c>
      <c r="M97" s="126">
        <f t="shared" si="140"/>
        <v>82912</v>
      </c>
      <c r="N97" s="126">
        <f t="shared" si="141"/>
        <v>82912</v>
      </c>
      <c r="O97" s="126">
        <f t="shared" si="142"/>
        <v>82912</v>
      </c>
      <c r="P97" s="126">
        <f t="shared" si="147"/>
        <v>82912</v>
      </c>
      <c r="Q97" s="126">
        <f t="shared" si="143"/>
        <v>82912</v>
      </c>
      <c r="R97" s="126">
        <f t="shared" si="144"/>
        <v>82912</v>
      </c>
      <c r="S97" s="126">
        <f>IFERROR(IFERROR(VLOOKUP(C97,'Inchidere contur'!B:U,20-3,0),VLOOKUP(C97,'Inchidere contur'!G:U,15-3,0)),"eroare")</f>
        <v>0</v>
      </c>
      <c r="T97" s="126">
        <f>IFERROR(IFERROR(VLOOKUP(C97,'Inchidere contur'!B:U,20-2,0),VLOOKUP(C97,'Inchidere contur'!G:U,15-2,0)),"eroare")</f>
        <v>0</v>
      </c>
      <c r="U97" s="126">
        <f t="shared" si="148"/>
        <v>0</v>
      </c>
      <c r="V97" s="126">
        <f t="shared" si="149"/>
        <v>0</v>
      </c>
      <c r="W97" s="126">
        <f>IFERROR(VLOOKUP(C97,Regularizare!B:AX,45,0),"eroare")</f>
        <v>0</v>
      </c>
      <c r="X97" s="126">
        <f>IFERROR(VLOOKUP(C97,Regularizare!B:AX,46,0),"eroare")+IFERROR(VLOOKUP(C97,Regularizare!B:AX,48,0),"eroare")</f>
        <v>0</v>
      </c>
      <c r="Y97" s="126">
        <f>IFERROR(VLOOKUP(C97,Regularizare!B:AX,47,0),"eroare")+IFERROR(VLOOKUP(C97,Regularizare!B:AX,49,0),"eroare")</f>
        <v>0</v>
      </c>
      <c r="Z97" s="126">
        <f t="shared" si="150"/>
        <v>0</v>
      </c>
      <c r="AA97" s="126">
        <f t="shared" si="151"/>
        <v>0</v>
      </c>
      <c r="AB97" s="126">
        <f t="shared" si="152"/>
        <v>0</v>
      </c>
      <c r="AC97" s="126">
        <f t="shared" si="153"/>
        <v>0</v>
      </c>
      <c r="AD97" s="126">
        <f t="shared" si="154"/>
        <v>0</v>
      </c>
      <c r="AE97" s="126">
        <f t="shared" si="155"/>
        <v>0</v>
      </c>
      <c r="AF97" s="126">
        <f t="shared" si="156"/>
        <v>0</v>
      </c>
      <c r="AG97" s="126">
        <f t="shared" si="145"/>
        <v>0</v>
      </c>
      <c r="AH97" s="126">
        <f t="shared" si="157"/>
        <v>0</v>
      </c>
      <c r="AI97" s="126">
        <f t="shared" si="158"/>
        <v>0</v>
      </c>
      <c r="AJ97" s="126">
        <f t="shared" si="159"/>
        <v>0</v>
      </c>
      <c r="AK97" s="126">
        <v>0</v>
      </c>
      <c r="AL97" s="126">
        <v>0</v>
      </c>
      <c r="AM97" s="126">
        <v>0</v>
      </c>
      <c r="AN97" s="126">
        <v>0</v>
      </c>
    </row>
    <row r="98" spans="1:40">
      <c r="A98" s="17">
        <v>20</v>
      </c>
      <c r="B98" s="17" t="str">
        <f t="shared" si="135"/>
        <v>RSEV</v>
      </c>
      <c r="C98" s="198" t="s">
        <v>645</v>
      </c>
      <c r="D98" s="198" t="str">
        <f>IFERROR(VLOOKUP(C98,'Inchidere contur'!B:U,20,0),VLOOKUP(C98,'Inchidere contur'!G:U,15,0))</f>
        <v>JT_SDI</v>
      </c>
      <c r="E98" s="126">
        <f>IFERROR(IFERROR(VLOOKUP(C98,'Inchidere contur'!B:U,20-4,0),VLOOKUP(C98,'Inchidere contur'!G:U,15-4,0)),"eroare")</f>
        <v>72135</v>
      </c>
      <c r="F98" s="200">
        <v>0</v>
      </c>
      <c r="G98" s="200">
        <v>0</v>
      </c>
      <c r="H98" s="126">
        <f t="shared" si="146"/>
        <v>72135</v>
      </c>
      <c r="I98" s="126">
        <f t="shared" si="136"/>
        <v>0</v>
      </c>
      <c r="J98" s="126">
        <f t="shared" si="137"/>
        <v>72135</v>
      </c>
      <c r="K98" s="126">
        <f t="shared" si="138"/>
        <v>72135</v>
      </c>
      <c r="L98" s="126">
        <f t="shared" si="139"/>
        <v>72135</v>
      </c>
      <c r="M98" s="126">
        <f t="shared" si="140"/>
        <v>72135</v>
      </c>
      <c r="N98" s="126">
        <f t="shared" si="141"/>
        <v>72135</v>
      </c>
      <c r="O98" s="126">
        <f t="shared" si="142"/>
        <v>72135</v>
      </c>
      <c r="P98" s="126">
        <f t="shared" si="147"/>
        <v>72135</v>
      </c>
      <c r="Q98" s="126">
        <f t="shared" si="143"/>
        <v>72135</v>
      </c>
      <c r="R98" s="126">
        <f t="shared" si="144"/>
        <v>72135</v>
      </c>
      <c r="S98" s="126">
        <f>IFERROR(IFERROR(VLOOKUP(C98,'Inchidere contur'!B:U,20-3,0),VLOOKUP(C98,'Inchidere contur'!G:U,15-3,0)),"eroare")</f>
        <v>83063</v>
      </c>
      <c r="T98" s="126">
        <f>IFERROR(IFERROR(VLOOKUP(C98,'Inchidere contur'!B:U,20-2,0),VLOOKUP(C98,'Inchidere contur'!G:U,15-2,0)),"eroare")</f>
        <v>0</v>
      </c>
      <c r="U98" s="126">
        <f t="shared" si="148"/>
        <v>0</v>
      </c>
      <c r="V98" s="126">
        <f t="shared" si="149"/>
        <v>0</v>
      </c>
      <c r="W98" s="126">
        <f>IFERROR(VLOOKUP(C98,Regularizare!B:AX,45,0),"eroare")</f>
        <v>0</v>
      </c>
      <c r="X98" s="126">
        <f>IFERROR(VLOOKUP(C98,Regularizare!B:AX,46,0),"eroare")+IFERROR(VLOOKUP(C98,Regularizare!B:AX,48,0),"eroare")</f>
        <v>595</v>
      </c>
      <c r="Y98" s="126">
        <f>IFERROR(VLOOKUP(C98,Regularizare!B:AX,47,0),"eroare")+IFERROR(VLOOKUP(C98,Regularizare!B:AX,49,0),"eroare")</f>
        <v>1854</v>
      </c>
      <c r="Z98" s="126">
        <f t="shared" si="150"/>
        <v>0</v>
      </c>
      <c r="AA98" s="126">
        <f t="shared" si="151"/>
        <v>0</v>
      </c>
      <c r="AB98" s="126">
        <f t="shared" si="152"/>
        <v>0</v>
      </c>
      <c r="AC98" s="126">
        <f t="shared" si="153"/>
        <v>0</v>
      </c>
      <c r="AD98" s="126">
        <f t="shared" si="154"/>
        <v>0</v>
      </c>
      <c r="AE98" s="126">
        <f t="shared" si="155"/>
        <v>0</v>
      </c>
      <c r="AF98" s="126">
        <f t="shared" si="156"/>
        <v>0</v>
      </c>
      <c r="AG98" s="126">
        <f t="shared" si="145"/>
        <v>0</v>
      </c>
      <c r="AH98" s="126">
        <f t="shared" si="157"/>
        <v>0</v>
      </c>
      <c r="AI98" s="126">
        <f t="shared" si="158"/>
        <v>0</v>
      </c>
      <c r="AJ98" s="126">
        <f t="shared" si="159"/>
        <v>0</v>
      </c>
      <c r="AK98" s="126">
        <v>0</v>
      </c>
      <c r="AL98" s="126">
        <v>0</v>
      </c>
      <c r="AM98" s="126">
        <v>0</v>
      </c>
      <c r="AN98" s="126">
        <v>0</v>
      </c>
    </row>
    <row r="99" spans="1:40">
      <c r="A99" s="17">
        <v>20</v>
      </c>
      <c r="B99" s="17" t="str">
        <f t="shared" si="135"/>
        <v>RSEV</v>
      </c>
      <c r="C99" s="198" t="s">
        <v>646</v>
      </c>
      <c r="D99" s="198" t="str">
        <f>IFERROR(VLOOKUP(C99,'Inchidere contur'!B:U,20,0),VLOOKUP(C99,'Inchidere contur'!G:U,15,0))</f>
        <v>JT_SDI</v>
      </c>
      <c r="E99" s="126">
        <f>IFERROR(IFERROR(VLOOKUP(C99,'Inchidere contur'!B:U,20-4,0),VLOOKUP(C99,'Inchidere contur'!G:U,15-4,0)),"eroare")</f>
        <v>94940</v>
      </c>
      <c r="F99" s="200">
        <v>0</v>
      </c>
      <c r="G99" s="200">
        <v>0</v>
      </c>
      <c r="H99" s="126">
        <f t="shared" si="146"/>
        <v>94940</v>
      </c>
      <c r="I99" s="126">
        <f t="shared" si="136"/>
        <v>0</v>
      </c>
      <c r="J99" s="126">
        <f t="shared" si="137"/>
        <v>94940</v>
      </c>
      <c r="K99" s="126">
        <f t="shared" si="138"/>
        <v>94940</v>
      </c>
      <c r="L99" s="126">
        <f t="shared" si="139"/>
        <v>94940</v>
      </c>
      <c r="M99" s="126">
        <f t="shared" si="140"/>
        <v>94940</v>
      </c>
      <c r="N99" s="126">
        <f t="shared" si="141"/>
        <v>94940</v>
      </c>
      <c r="O99" s="126">
        <f t="shared" si="142"/>
        <v>94940</v>
      </c>
      <c r="P99" s="126">
        <f t="shared" si="147"/>
        <v>94940</v>
      </c>
      <c r="Q99" s="126">
        <f t="shared" si="143"/>
        <v>94940</v>
      </c>
      <c r="R99" s="126">
        <f t="shared" si="144"/>
        <v>94940</v>
      </c>
      <c r="S99" s="126">
        <f>IFERROR(IFERROR(VLOOKUP(C99,'Inchidere contur'!B:U,20-3,0),VLOOKUP(C99,'Inchidere contur'!G:U,15-3,0)),"eroare")</f>
        <v>74598</v>
      </c>
      <c r="T99" s="126">
        <f>IFERROR(IFERROR(VLOOKUP(C99,'Inchidere contur'!B:U,20-2,0),VLOOKUP(C99,'Inchidere contur'!G:U,15-2,0)),"eroare")</f>
        <v>0</v>
      </c>
      <c r="U99" s="126">
        <f t="shared" si="148"/>
        <v>0</v>
      </c>
      <c r="V99" s="126">
        <f t="shared" si="149"/>
        <v>0</v>
      </c>
      <c r="W99" s="126">
        <f>IFERROR(VLOOKUP(C99,Regularizare!B:AX,45,0),"eroare")</f>
        <v>0</v>
      </c>
      <c r="X99" s="126">
        <f>IFERROR(VLOOKUP(C99,Regularizare!B:AX,46,0),"eroare")+IFERROR(VLOOKUP(C99,Regularizare!B:AX,48,0),"eroare")</f>
        <v>139</v>
      </c>
      <c r="Y99" s="126">
        <f>IFERROR(VLOOKUP(C99,Regularizare!B:AX,47,0),"eroare")+IFERROR(VLOOKUP(C99,Regularizare!B:AX,49,0),"eroare")</f>
        <v>6</v>
      </c>
      <c r="Z99" s="126">
        <f t="shared" si="150"/>
        <v>0</v>
      </c>
      <c r="AA99" s="126">
        <f t="shared" si="151"/>
        <v>0</v>
      </c>
      <c r="AB99" s="126">
        <f t="shared" si="152"/>
        <v>0</v>
      </c>
      <c r="AC99" s="126">
        <f t="shared" si="153"/>
        <v>0</v>
      </c>
      <c r="AD99" s="126">
        <f t="shared" si="154"/>
        <v>0</v>
      </c>
      <c r="AE99" s="126">
        <f t="shared" si="155"/>
        <v>0</v>
      </c>
      <c r="AF99" s="126">
        <f t="shared" si="156"/>
        <v>0</v>
      </c>
      <c r="AG99" s="126">
        <f t="shared" si="145"/>
        <v>0</v>
      </c>
      <c r="AH99" s="126">
        <f t="shared" si="157"/>
        <v>0</v>
      </c>
      <c r="AI99" s="126">
        <f t="shared" si="158"/>
        <v>0</v>
      </c>
      <c r="AJ99" s="126">
        <f t="shared" si="159"/>
        <v>0</v>
      </c>
      <c r="AK99" s="126">
        <v>0</v>
      </c>
      <c r="AL99" s="126">
        <v>0</v>
      </c>
      <c r="AM99" s="126">
        <v>0</v>
      </c>
      <c r="AN99" s="126">
        <v>0</v>
      </c>
    </row>
    <row r="100" spans="1:40">
      <c r="A100" s="17">
        <v>20</v>
      </c>
      <c r="B100" s="17" t="str">
        <f t="shared" si="135"/>
        <v>RITS</v>
      </c>
      <c r="C100" s="198" t="s">
        <v>647</v>
      </c>
      <c r="D100" s="198" t="str">
        <f>IFERROR(VLOOKUP(C100,'Inchidere contur'!B:U,20,0),VLOOKUP(C100,'Inchidere contur'!G:U,15,0))</f>
        <v>JT_SDI</v>
      </c>
      <c r="E100" s="126">
        <f>IFERROR(IFERROR(VLOOKUP(C100,'Inchidere contur'!B:U,20-4,0),VLOOKUP(C100,'Inchidere contur'!G:U,15-4,0)),"eroare")</f>
        <v>265634</v>
      </c>
      <c r="F100" s="200">
        <v>0</v>
      </c>
      <c r="G100" s="200">
        <v>0</v>
      </c>
      <c r="H100" s="126">
        <f t="shared" si="146"/>
        <v>265634</v>
      </c>
      <c r="I100" s="126">
        <f t="shared" si="136"/>
        <v>0</v>
      </c>
      <c r="J100" s="126">
        <f t="shared" si="137"/>
        <v>265634</v>
      </c>
      <c r="K100" s="126">
        <f t="shared" si="138"/>
        <v>265634</v>
      </c>
      <c r="L100" s="126">
        <f t="shared" si="139"/>
        <v>265634</v>
      </c>
      <c r="M100" s="126">
        <f t="shared" si="140"/>
        <v>265634</v>
      </c>
      <c r="N100" s="126">
        <f t="shared" si="141"/>
        <v>265634</v>
      </c>
      <c r="O100" s="126">
        <f t="shared" si="142"/>
        <v>265634</v>
      </c>
      <c r="P100" s="126">
        <f t="shared" si="147"/>
        <v>265634</v>
      </c>
      <c r="Q100" s="126">
        <f t="shared" si="143"/>
        <v>265634</v>
      </c>
      <c r="R100" s="126">
        <f t="shared" si="144"/>
        <v>265634</v>
      </c>
      <c r="S100" s="126">
        <f>IFERROR(IFERROR(VLOOKUP(C100,'Inchidere contur'!B:U,20-3,0),VLOOKUP(C100,'Inchidere contur'!G:U,15-3,0)),"eroare")</f>
        <v>0</v>
      </c>
      <c r="T100" s="126">
        <f>IFERROR(IFERROR(VLOOKUP(C100,'Inchidere contur'!B:U,20-2,0),VLOOKUP(C100,'Inchidere contur'!G:U,15-2,0)),"eroare")</f>
        <v>0</v>
      </c>
      <c r="U100" s="126">
        <f t="shared" si="148"/>
        <v>0</v>
      </c>
      <c r="V100" s="126">
        <f t="shared" si="149"/>
        <v>0</v>
      </c>
      <c r="W100" s="126">
        <f>IFERROR(VLOOKUP(C100,Regularizare!B:AX,45,0),"eroare")</f>
        <v>0</v>
      </c>
      <c r="X100" s="126">
        <f>IFERROR(VLOOKUP(C100,Regularizare!B:AX,46,0),"eroare")+IFERROR(VLOOKUP(C100,Regularizare!B:AX,48,0),"eroare")</f>
        <v>0</v>
      </c>
      <c r="Y100" s="126">
        <f>IFERROR(VLOOKUP(C100,Regularizare!B:AX,47,0),"eroare")+IFERROR(VLOOKUP(C100,Regularizare!B:AX,49,0),"eroare")</f>
        <v>0</v>
      </c>
      <c r="Z100" s="126">
        <f t="shared" si="150"/>
        <v>0</v>
      </c>
      <c r="AA100" s="126">
        <f t="shared" si="151"/>
        <v>0</v>
      </c>
      <c r="AB100" s="126">
        <f t="shared" si="152"/>
        <v>0</v>
      </c>
      <c r="AC100" s="126">
        <f t="shared" si="153"/>
        <v>0</v>
      </c>
      <c r="AD100" s="126">
        <f t="shared" si="154"/>
        <v>0</v>
      </c>
      <c r="AE100" s="126">
        <f t="shared" si="155"/>
        <v>0</v>
      </c>
      <c r="AF100" s="126">
        <f t="shared" si="156"/>
        <v>0</v>
      </c>
      <c r="AG100" s="126">
        <f t="shared" si="145"/>
        <v>0</v>
      </c>
      <c r="AH100" s="126">
        <f t="shared" si="157"/>
        <v>0</v>
      </c>
      <c r="AI100" s="126">
        <f t="shared" si="158"/>
        <v>0</v>
      </c>
      <c r="AJ100" s="126">
        <f t="shared" si="159"/>
        <v>0</v>
      </c>
      <c r="AK100" s="126">
        <v>0</v>
      </c>
      <c r="AL100" s="126">
        <v>0</v>
      </c>
      <c r="AM100" s="126">
        <v>0</v>
      </c>
      <c r="AN100" s="126">
        <v>0</v>
      </c>
    </row>
    <row r="101" spans="1:40">
      <c r="A101" s="17">
        <v>20</v>
      </c>
      <c r="B101" s="17" t="str">
        <f t="shared" si="135"/>
        <v>RITS</v>
      </c>
      <c r="C101" s="198" t="s">
        <v>648</v>
      </c>
      <c r="D101" s="198" t="str">
        <f>IFERROR(VLOOKUP(C101,'Inchidere contur'!B:U,20,0),VLOOKUP(C101,'Inchidere contur'!G:U,15,0))</f>
        <v>JT_SDI</v>
      </c>
      <c r="E101" s="126">
        <f>IFERROR(IFERROR(VLOOKUP(C101,'Inchidere contur'!B:U,20-4,0),VLOOKUP(C101,'Inchidere contur'!G:U,15-4,0)),"eroare")</f>
        <v>307715</v>
      </c>
      <c r="F101" s="200">
        <v>0</v>
      </c>
      <c r="G101" s="200">
        <v>0</v>
      </c>
      <c r="H101" s="126">
        <f t="shared" si="146"/>
        <v>307715</v>
      </c>
      <c r="I101" s="126">
        <f t="shared" si="136"/>
        <v>0</v>
      </c>
      <c r="J101" s="126">
        <f t="shared" si="137"/>
        <v>307715</v>
      </c>
      <c r="K101" s="126">
        <f t="shared" si="138"/>
        <v>307715</v>
      </c>
      <c r="L101" s="126">
        <f t="shared" si="139"/>
        <v>307715</v>
      </c>
      <c r="M101" s="126">
        <f t="shared" si="140"/>
        <v>307715</v>
      </c>
      <c r="N101" s="126">
        <f t="shared" si="141"/>
        <v>307715</v>
      </c>
      <c r="O101" s="126">
        <f t="shared" si="142"/>
        <v>307715</v>
      </c>
      <c r="P101" s="126">
        <f t="shared" si="147"/>
        <v>307715</v>
      </c>
      <c r="Q101" s="126">
        <f t="shared" si="143"/>
        <v>307715</v>
      </c>
      <c r="R101" s="126">
        <f t="shared" si="144"/>
        <v>307715</v>
      </c>
      <c r="S101" s="126">
        <f>IFERROR(IFERROR(VLOOKUP(C101,'Inchidere contur'!B:U,20-3,0),VLOOKUP(C101,'Inchidere contur'!G:U,15-3,0)),"eroare")</f>
        <v>29034</v>
      </c>
      <c r="T101" s="126">
        <f>IFERROR(IFERROR(VLOOKUP(C101,'Inchidere contur'!B:U,20-2,0),VLOOKUP(C101,'Inchidere contur'!G:U,15-2,0)),"eroare")</f>
        <v>26203</v>
      </c>
      <c r="U101" s="126">
        <f t="shared" si="148"/>
        <v>26203</v>
      </c>
      <c r="V101" s="126">
        <f t="shared" si="149"/>
        <v>26203</v>
      </c>
      <c r="W101" s="126">
        <f>IFERROR(VLOOKUP(C101,Regularizare!B:AX,45,0),"eroare")</f>
        <v>0</v>
      </c>
      <c r="X101" s="126">
        <f>IFERROR(VLOOKUP(C101,Regularizare!B:AX,46,0),"eroare")+IFERROR(VLOOKUP(C101,Regularizare!B:AX,48,0),"eroare")</f>
        <v>0</v>
      </c>
      <c r="Y101" s="126">
        <f>IFERROR(VLOOKUP(C101,Regularizare!B:AX,47,0),"eroare")+IFERROR(VLOOKUP(C101,Regularizare!B:AX,49,0),"eroare")</f>
        <v>0</v>
      </c>
      <c r="Z101" s="126">
        <f t="shared" si="150"/>
        <v>0</v>
      </c>
      <c r="AA101" s="126">
        <f t="shared" si="151"/>
        <v>0</v>
      </c>
      <c r="AB101" s="126">
        <f t="shared" si="152"/>
        <v>0</v>
      </c>
      <c r="AC101" s="126">
        <f t="shared" si="153"/>
        <v>0</v>
      </c>
      <c r="AD101" s="126">
        <f t="shared" si="154"/>
        <v>0</v>
      </c>
      <c r="AE101" s="126">
        <f t="shared" si="155"/>
        <v>0</v>
      </c>
      <c r="AF101" s="126">
        <f t="shared" si="156"/>
        <v>0</v>
      </c>
      <c r="AG101" s="126">
        <f t="shared" si="145"/>
        <v>0</v>
      </c>
      <c r="AH101" s="126">
        <f t="shared" si="157"/>
        <v>0</v>
      </c>
      <c r="AI101" s="126">
        <f t="shared" si="158"/>
        <v>0</v>
      </c>
      <c r="AJ101" s="126">
        <f t="shared" si="159"/>
        <v>0</v>
      </c>
      <c r="AK101" s="126">
        <v>0</v>
      </c>
      <c r="AL101" s="126">
        <v>0</v>
      </c>
      <c r="AM101" s="126">
        <v>0</v>
      </c>
      <c r="AN101" s="126">
        <v>0</v>
      </c>
    </row>
    <row r="102" spans="1:40">
      <c r="A102" s="17">
        <v>20</v>
      </c>
      <c r="B102" s="17" t="str">
        <f t="shared" si="135"/>
        <v>RITS</v>
      </c>
      <c r="C102" s="198" t="s">
        <v>1180</v>
      </c>
      <c r="D102" s="198" t="str">
        <f>IFERROR(VLOOKUP(C102,'Inchidere contur'!B:U,20,0),VLOOKUP(C102,'Inchidere contur'!G:U,15,0))</f>
        <v>JT_SDI</v>
      </c>
      <c r="E102" s="126">
        <f>IFERROR(IFERROR(VLOOKUP(C102,'Inchidere contur'!B:U,20-4,0),VLOOKUP(C102,'Inchidere contur'!G:U,15-4,0)),"eroare")</f>
        <v>71313</v>
      </c>
      <c r="F102" s="200">
        <v>0</v>
      </c>
      <c r="G102" s="200">
        <v>0</v>
      </c>
      <c r="H102" s="126">
        <f t="shared" si="146"/>
        <v>71313</v>
      </c>
      <c r="I102" s="126">
        <f t="shared" si="136"/>
        <v>0</v>
      </c>
      <c r="J102" s="126">
        <f t="shared" si="137"/>
        <v>71313</v>
      </c>
      <c r="K102" s="126">
        <f t="shared" si="138"/>
        <v>71313</v>
      </c>
      <c r="L102" s="126">
        <f t="shared" si="139"/>
        <v>71313</v>
      </c>
      <c r="M102" s="126">
        <f t="shared" si="140"/>
        <v>71313</v>
      </c>
      <c r="N102" s="126">
        <f t="shared" si="141"/>
        <v>71313</v>
      </c>
      <c r="O102" s="126">
        <f t="shared" si="142"/>
        <v>71313</v>
      </c>
      <c r="P102" s="126">
        <f t="shared" si="147"/>
        <v>71313</v>
      </c>
      <c r="Q102" s="126">
        <f t="shared" si="143"/>
        <v>71313</v>
      </c>
      <c r="R102" s="126">
        <f t="shared" si="144"/>
        <v>71313</v>
      </c>
      <c r="S102" s="126">
        <f>IFERROR(IFERROR(VLOOKUP(C102,'Inchidere contur'!B:U,20-3,0),VLOOKUP(C102,'Inchidere contur'!G:U,15-3,0)),"eroare")</f>
        <v>40274</v>
      </c>
      <c r="T102" s="126">
        <f>IFERROR(IFERROR(VLOOKUP(C102,'Inchidere contur'!B:U,20-2,0),VLOOKUP(C102,'Inchidere contur'!G:U,15-2,0)),"eroare")</f>
        <v>23</v>
      </c>
      <c r="U102" s="126">
        <f t="shared" si="148"/>
        <v>23</v>
      </c>
      <c r="V102" s="126">
        <f t="shared" si="149"/>
        <v>23</v>
      </c>
      <c r="W102" s="126">
        <f>IFERROR(VLOOKUP(C102,Regularizare!B:AX,45,0),"eroare")</f>
        <v>0</v>
      </c>
      <c r="X102" s="126">
        <f>IFERROR(VLOOKUP(C102,Regularizare!B:AX,46,0),"eroare")+IFERROR(VLOOKUP(C102,Regularizare!B:AX,48,0),"eroare")</f>
        <v>0</v>
      </c>
      <c r="Y102" s="126">
        <f>IFERROR(VLOOKUP(C102,Regularizare!B:AX,47,0),"eroare")+IFERROR(VLOOKUP(C102,Regularizare!B:AX,49,0),"eroare")</f>
        <v>0</v>
      </c>
      <c r="Z102" s="126">
        <f t="shared" si="150"/>
        <v>0</v>
      </c>
      <c r="AA102" s="126">
        <f t="shared" si="151"/>
        <v>0</v>
      </c>
      <c r="AB102" s="126">
        <f t="shared" si="152"/>
        <v>0</v>
      </c>
      <c r="AC102" s="126">
        <f t="shared" si="153"/>
        <v>0</v>
      </c>
      <c r="AD102" s="126">
        <f t="shared" si="154"/>
        <v>0</v>
      </c>
      <c r="AE102" s="126">
        <f t="shared" si="155"/>
        <v>0</v>
      </c>
      <c r="AF102" s="126">
        <f t="shared" si="156"/>
        <v>0</v>
      </c>
      <c r="AG102" s="126">
        <f t="shared" si="145"/>
        <v>0</v>
      </c>
      <c r="AH102" s="126">
        <f t="shared" si="157"/>
        <v>0</v>
      </c>
      <c r="AI102" s="126">
        <f t="shared" si="158"/>
        <v>0</v>
      </c>
      <c r="AJ102" s="126">
        <f t="shared" si="159"/>
        <v>0</v>
      </c>
      <c r="AK102" s="126">
        <v>0</v>
      </c>
      <c r="AL102" s="126">
        <v>0</v>
      </c>
      <c r="AM102" s="126">
        <v>0</v>
      </c>
      <c r="AN102" s="126">
        <v>0</v>
      </c>
    </row>
    <row r="103" spans="1:40">
      <c r="A103" s="17">
        <v>20</v>
      </c>
      <c r="B103" s="17" t="str">
        <f t="shared" si="135"/>
        <v>RITS</v>
      </c>
      <c r="C103" s="198" t="s">
        <v>649</v>
      </c>
      <c r="D103" s="198" t="str">
        <f>IFERROR(VLOOKUP(C103,'Inchidere contur'!B:U,20,0),VLOOKUP(C103,'Inchidere contur'!G:U,15,0))</f>
        <v>JT_SDI</v>
      </c>
      <c r="E103" s="126">
        <f>IFERROR(IFERROR(VLOOKUP(C103,'Inchidere contur'!B:U,20-4,0),VLOOKUP(C103,'Inchidere contur'!G:U,15-4,0)),"eroare")</f>
        <v>22398</v>
      </c>
      <c r="F103" s="200">
        <v>0</v>
      </c>
      <c r="G103" s="200">
        <v>0</v>
      </c>
      <c r="H103" s="126">
        <f t="shared" si="146"/>
        <v>22398</v>
      </c>
      <c r="I103" s="126">
        <f t="shared" si="136"/>
        <v>0</v>
      </c>
      <c r="J103" s="126">
        <f t="shared" si="137"/>
        <v>22398</v>
      </c>
      <c r="K103" s="126">
        <f t="shared" si="138"/>
        <v>22398</v>
      </c>
      <c r="L103" s="126">
        <f t="shared" si="139"/>
        <v>22398</v>
      </c>
      <c r="M103" s="126">
        <f t="shared" si="140"/>
        <v>22398</v>
      </c>
      <c r="N103" s="126">
        <f t="shared" si="141"/>
        <v>22398</v>
      </c>
      <c r="O103" s="126">
        <f t="shared" si="142"/>
        <v>22398</v>
      </c>
      <c r="P103" s="126">
        <f t="shared" si="147"/>
        <v>22398</v>
      </c>
      <c r="Q103" s="126">
        <f t="shared" si="143"/>
        <v>22398</v>
      </c>
      <c r="R103" s="126">
        <f t="shared" si="144"/>
        <v>22398</v>
      </c>
      <c r="S103" s="126">
        <f>IFERROR(IFERROR(VLOOKUP(C103,'Inchidere contur'!B:U,20-3,0),VLOOKUP(C103,'Inchidere contur'!G:U,15-3,0)),"eroare")</f>
        <v>0</v>
      </c>
      <c r="T103" s="126">
        <f>IFERROR(IFERROR(VLOOKUP(C103,'Inchidere contur'!B:U,20-2,0),VLOOKUP(C103,'Inchidere contur'!G:U,15-2,0)),"eroare")</f>
        <v>0</v>
      </c>
      <c r="U103" s="126">
        <f t="shared" si="148"/>
        <v>0</v>
      </c>
      <c r="V103" s="126">
        <f t="shared" si="149"/>
        <v>0</v>
      </c>
      <c r="W103" s="126">
        <f>IFERROR(VLOOKUP(C103,Regularizare!B:AX,45,0),"eroare")</f>
        <v>0</v>
      </c>
      <c r="X103" s="126">
        <f>IFERROR(VLOOKUP(C103,Regularizare!B:AX,46,0),"eroare")+IFERROR(VLOOKUP(C103,Regularizare!B:AX,48,0),"eroare")</f>
        <v>3292</v>
      </c>
      <c r="Y103" s="126">
        <f>IFERROR(VLOOKUP(C103,Regularizare!B:AX,47,0),"eroare")+IFERROR(VLOOKUP(C103,Regularizare!B:AX,49,0),"eroare")</f>
        <v>0</v>
      </c>
      <c r="Z103" s="126">
        <f t="shared" si="150"/>
        <v>0</v>
      </c>
      <c r="AA103" s="126">
        <f t="shared" si="151"/>
        <v>0</v>
      </c>
      <c r="AB103" s="126">
        <f t="shared" si="152"/>
        <v>0</v>
      </c>
      <c r="AC103" s="126">
        <f t="shared" si="153"/>
        <v>0</v>
      </c>
      <c r="AD103" s="126">
        <f t="shared" si="154"/>
        <v>0</v>
      </c>
      <c r="AE103" s="126">
        <f t="shared" si="155"/>
        <v>0</v>
      </c>
      <c r="AF103" s="126">
        <f t="shared" si="156"/>
        <v>0</v>
      </c>
      <c r="AG103" s="126">
        <f t="shared" si="145"/>
        <v>0</v>
      </c>
      <c r="AH103" s="126">
        <f t="shared" si="157"/>
        <v>0</v>
      </c>
      <c r="AI103" s="126">
        <f t="shared" si="158"/>
        <v>0</v>
      </c>
      <c r="AJ103" s="126">
        <f t="shared" si="159"/>
        <v>0</v>
      </c>
      <c r="AK103" s="126">
        <v>0</v>
      </c>
      <c r="AL103" s="126">
        <v>0</v>
      </c>
      <c r="AM103" s="126">
        <v>0</v>
      </c>
      <c r="AN103" s="126">
        <v>0</v>
      </c>
    </row>
    <row r="104" spans="1:40">
      <c r="A104" s="17">
        <v>20</v>
      </c>
      <c r="B104" s="17" t="str">
        <f t="shared" si="135"/>
        <v>RITS</v>
      </c>
      <c r="C104" s="198" t="s">
        <v>650</v>
      </c>
      <c r="D104" s="198" t="str">
        <f>IFERROR(VLOOKUP(C104,'Inchidere contur'!B:U,20,0),VLOOKUP(C104,'Inchidere contur'!G:U,15,0))</f>
        <v>JT_SDI</v>
      </c>
      <c r="E104" s="126">
        <f>IFERROR(IFERROR(VLOOKUP(C104,'Inchidere contur'!B:U,20-4,0),VLOOKUP(C104,'Inchidere contur'!G:U,15-4,0)),"eroare")</f>
        <v>65230</v>
      </c>
      <c r="F104" s="200">
        <v>0</v>
      </c>
      <c r="G104" s="200">
        <v>0</v>
      </c>
      <c r="H104" s="126">
        <f t="shared" si="146"/>
        <v>65230</v>
      </c>
      <c r="I104" s="126">
        <f t="shared" si="136"/>
        <v>0</v>
      </c>
      <c r="J104" s="126">
        <f t="shared" si="137"/>
        <v>65230</v>
      </c>
      <c r="K104" s="126">
        <f t="shared" si="138"/>
        <v>65230</v>
      </c>
      <c r="L104" s="126">
        <f t="shared" si="139"/>
        <v>65230</v>
      </c>
      <c r="M104" s="126">
        <f t="shared" si="140"/>
        <v>65230</v>
      </c>
      <c r="N104" s="126">
        <f t="shared" si="141"/>
        <v>65230</v>
      </c>
      <c r="O104" s="126">
        <f t="shared" si="142"/>
        <v>65230</v>
      </c>
      <c r="P104" s="126">
        <f t="shared" si="147"/>
        <v>65230</v>
      </c>
      <c r="Q104" s="126">
        <f t="shared" si="143"/>
        <v>65230</v>
      </c>
      <c r="R104" s="126">
        <f t="shared" si="144"/>
        <v>65230</v>
      </c>
      <c r="S104" s="126">
        <f>IFERROR(IFERROR(VLOOKUP(C104,'Inchidere contur'!B:U,20-3,0),VLOOKUP(C104,'Inchidere contur'!G:U,15-3,0)),"eroare")</f>
        <v>0</v>
      </c>
      <c r="T104" s="126">
        <f>IFERROR(IFERROR(VLOOKUP(C104,'Inchidere contur'!B:U,20-2,0),VLOOKUP(C104,'Inchidere contur'!G:U,15-2,0)),"eroare")</f>
        <v>0</v>
      </c>
      <c r="U104" s="126">
        <f t="shared" si="148"/>
        <v>0</v>
      </c>
      <c r="V104" s="126">
        <f t="shared" si="149"/>
        <v>0</v>
      </c>
      <c r="W104" s="126">
        <f>IFERROR(VLOOKUP(C104,Regularizare!B:AX,45,0),"eroare")</f>
        <v>0</v>
      </c>
      <c r="X104" s="126">
        <f>IFERROR(VLOOKUP(C104,Regularizare!B:AX,46,0),"eroare")+IFERROR(VLOOKUP(C104,Regularizare!B:AX,48,0),"eroare")</f>
        <v>0</v>
      </c>
      <c r="Y104" s="126">
        <f>IFERROR(VLOOKUP(C104,Regularizare!B:AX,47,0),"eroare")+IFERROR(VLOOKUP(C104,Regularizare!B:AX,49,0),"eroare")</f>
        <v>0</v>
      </c>
      <c r="Z104" s="126">
        <f t="shared" si="150"/>
        <v>0</v>
      </c>
      <c r="AA104" s="126">
        <f t="shared" si="151"/>
        <v>0</v>
      </c>
      <c r="AB104" s="126">
        <f t="shared" si="152"/>
        <v>0</v>
      </c>
      <c r="AC104" s="126">
        <f t="shared" si="153"/>
        <v>0</v>
      </c>
      <c r="AD104" s="126">
        <f t="shared" si="154"/>
        <v>0</v>
      </c>
      <c r="AE104" s="126">
        <f t="shared" si="155"/>
        <v>0</v>
      </c>
      <c r="AF104" s="126">
        <f t="shared" si="156"/>
        <v>0</v>
      </c>
      <c r="AG104" s="126">
        <f t="shared" si="145"/>
        <v>0</v>
      </c>
      <c r="AH104" s="126">
        <f t="shared" si="157"/>
        <v>0</v>
      </c>
      <c r="AI104" s="126">
        <f t="shared" si="158"/>
        <v>0</v>
      </c>
      <c r="AJ104" s="126">
        <f t="shared" si="159"/>
        <v>0</v>
      </c>
      <c r="AK104" s="126">
        <v>0</v>
      </c>
      <c r="AL104" s="126">
        <v>0</v>
      </c>
      <c r="AM104" s="126">
        <v>0</v>
      </c>
      <c r="AN104" s="126">
        <v>0</v>
      </c>
    </row>
    <row r="105" spans="1:40">
      <c r="A105" s="17">
        <v>20</v>
      </c>
      <c r="B105" s="17" t="str">
        <f t="shared" si="135"/>
        <v>RITS</v>
      </c>
      <c r="C105" s="198" t="s">
        <v>651</v>
      </c>
      <c r="D105" s="198" t="str">
        <f>IFERROR(VLOOKUP(C105,'Inchidere contur'!B:U,20,0),VLOOKUP(C105,'Inchidere contur'!G:U,15,0))</f>
        <v>JT_SDI</v>
      </c>
      <c r="E105" s="126">
        <f>IFERROR(IFERROR(VLOOKUP(C105,'Inchidere contur'!B:U,20-4,0),VLOOKUP(C105,'Inchidere contur'!G:U,15-4,0)),"eroare")</f>
        <v>62307</v>
      </c>
      <c r="F105" s="200">
        <v>0</v>
      </c>
      <c r="G105" s="200">
        <v>0</v>
      </c>
      <c r="H105" s="126">
        <f t="shared" si="146"/>
        <v>62307</v>
      </c>
      <c r="I105" s="126">
        <f t="shared" si="136"/>
        <v>0</v>
      </c>
      <c r="J105" s="126">
        <f t="shared" si="137"/>
        <v>62307</v>
      </c>
      <c r="K105" s="126">
        <f t="shared" si="138"/>
        <v>62307</v>
      </c>
      <c r="L105" s="126">
        <f t="shared" si="139"/>
        <v>62307</v>
      </c>
      <c r="M105" s="126">
        <f t="shared" si="140"/>
        <v>62307</v>
      </c>
      <c r="N105" s="126">
        <f t="shared" si="141"/>
        <v>62307</v>
      </c>
      <c r="O105" s="126">
        <f t="shared" si="142"/>
        <v>62307</v>
      </c>
      <c r="P105" s="126">
        <f t="shared" si="147"/>
        <v>62307</v>
      </c>
      <c r="Q105" s="126">
        <f t="shared" si="143"/>
        <v>62307</v>
      </c>
      <c r="R105" s="126">
        <f t="shared" si="144"/>
        <v>62307</v>
      </c>
      <c r="S105" s="126">
        <f>IFERROR(IFERROR(VLOOKUP(C105,'Inchidere contur'!B:U,20-3,0),VLOOKUP(C105,'Inchidere contur'!G:U,15-3,0)),"eroare")</f>
        <v>0</v>
      </c>
      <c r="T105" s="126">
        <f>IFERROR(IFERROR(VLOOKUP(C105,'Inchidere contur'!B:U,20-2,0),VLOOKUP(C105,'Inchidere contur'!G:U,15-2,0)),"eroare")</f>
        <v>0</v>
      </c>
      <c r="U105" s="126">
        <f t="shared" si="148"/>
        <v>0</v>
      </c>
      <c r="V105" s="126">
        <f t="shared" si="149"/>
        <v>0</v>
      </c>
      <c r="W105" s="126">
        <f>IFERROR(VLOOKUP(C105,Regularizare!B:AX,45,0),"eroare")</f>
        <v>0</v>
      </c>
      <c r="X105" s="126">
        <f>IFERROR(VLOOKUP(C105,Regularizare!B:AX,46,0),"eroare")+IFERROR(VLOOKUP(C105,Regularizare!B:AX,48,0),"eroare")</f>
        <v>0</v>
      </c>
      <c r="Y105" s="126">
        <f>IFERROR(VLOOKUP(C105,Regularizare!B:AX,47,0),"eroare")+IFERROR(VLOOKUP(C105,Regularizare!B:AX,49,0),"eroare")</f>
        <v>0</v>
      </c>
      <c r="Z105" s="126">
        <f t="shared" si="150"/>
        <v>0</v>
      </c>
      <c r="AA105" s="126">
        <f t="shared" si="151"/>
        <v>0</v>
      </c>
      <c r="AB105" s="126">
        <f t="shared" si="152"/>
        <v>0</v>
      </c>
      <c r="AC105" s="126">
        <f t="shared" si="153"/>
        <v>0</v>
      </c>
      <c r="AD105" s="126">
        <f t="shared" si="154"/>
        <v>0</v>
      </c>
      <c r="AE105" s="126">
        <f t="shared" si="155"/>
        <v>0</v>
      </c>
      <c r="AF105" s="126">
        <f t="shared" si="156"/>
        <v>0</v>
      </c>
      <c r="AG105" s="126">
        <f t="shared" si="145"/>
        <v>0</v>
      </c>
      <c r="AH105" s="126">
        <f t="shared" si="157"/>
        <v>0</v>
      </c>
      <c r="AI105" s="126">
        <f t="shared" si="158"/>
        <v>0</v>
      </c>
      <c r="AJ105" s="126">
        <f t="shared" si="159"/>
        <v>0</v>
      </c>
      <c r="AK105" s="126">
        <v>0</v>
      </c>
      <c r="AL105" s="126">
        <v>0</v>
      </c>
      <c r="AM105" s="126">
        <v>0</v>
      </c>
      <c r="AN105" s="126">
        <v>0</v>
      </c>
    </row>
    <row r="106" spans="1:40">
      <c r="A106" s="17">
        <v>20</v>
      </c>
      <c r="B106" s="17" t="str">
        <f t="shared" si="135"/>
        <v>RNSS</v>
      </c>
      <c r="C106" s="198" t="s">
        <v>652</v>
      </c>
      <c r="D106" s="198" t="str">
        <f>IFERROR(VLOOKUP(C106,'Inchidere contur'!B:U,20,0),VLOOKUP(C106,'Inchidere contur'!G:U,15,0))</f>
        <v>JT_SDI</v>
      </c>
      <c r="E106" s="126">
        <f>IFERROR(IFERROR(VLOOKUP(C106,'Inchidere contur'!B:U,20-4,0),VLOOKUP(C106,'Inchidere contur'!G:U,15-4,0)),"eroare")</f>
        <v>136952</v>
      </c>
      <c r="F106" s="200">
        <v>0</v>
      </c>
      <c r="G106" s="200">
        <v>0</v>
      </c>
      <c r="H106" s="126">
        <f t="shared" si="146"/>
        <v>136952</v>
      </c>
      <c r="I106" s="126">
        <f t="shared" si="136"/>
        <v>0</v>
      </c>
      <c r="J106" s="126">
        <f t="shared" si="137"/>
        <v>136952</v>
      </c>
      <c r="K106" s="126">
        <f t="shared" si="138"/>
        <v>136952</v>
      </c>
      <c r="L106" s="126">
        <f t="shared" si="139"/>
        <v>136952</v>
      </c>
      <c r="M106" s="126">
        <f t="shared" si="140"/>
        <v>136952</v>
      </c>
      <c r="N106" s="126">
        <f t="shared" si="141"/>
        <v>136952</v>
      </c>
      <c r="O106" s="126">
        <f t="shared" si="142"/>
        <v>136952</v>
      </c>
      <c r="P106" s="126">
        <f t="shared" si="147"/>
        <v>136952</v>
      </c>
      <c r="Q106" s="126">
        <f t="shared" si="143"/>
        <v>136952</v>
      </c>
      <c r="R106" s="126">
        <f t="shared" si="144"/>
        <v>136952</v>
      </c>
      <c r="S106" s="126">
        <f>IFERROR(IFERROR(VLOOKUP(C106,'Inchidere contur'!B:U,20-3,0),VLOOKUP(C106,'Inchidere contur'!G:U,15-3,0)),"eroare")</f>
        <v>93169</v>
      </c>
      <c r="T106" s="126">
        <f>IFERROR(IFERROR(VLOOKUP(C106,'Inchidere contur'!B:U,20-2,0),VLOOKUP(C106,'Inchidere contur'!G:U,15-2,0)),"eroare")</f>
        <v>0</v>
      </c>
      <c r="U106" s="126">
        <f t="shared" si="148"/>
        <v>0</v>
      </c>
      <c r="V106" s="126">
        <f t="shared" si="149"/>
        <v>0</v>
      </c>
      <c r="W106" s="126">
        <f>IFERROR(VLOOKUP(C106,Regularizare!B:AX,45,0),"eroare")</f>
        <v>0</v>
      </c>
      <c r="X106" s="126">
        <f>IFERROR(VLOOKUP(C106,Regularizare!B:AX,46,0),"eroare")+IFERROR(VLOOKUP(C106,Regularizare!B:AX,48,0),"eroare")</f>
        <v>135</v>
      </c>
      <c r="Y106" s="126">
        <f>IFERROR(VLOOKUP(C106,Regularizare!B:AX,47,0),"eroare")+IFERROR(VLOOKUP(C106,Regularizare!B:AX,49,0),"eroare")</f>
        <v>163</v>
      </c>
      <c r="Z106" s="126">
        <f t="shared" si="150"/>
        <v>0</v>
      </c>
      <c r="AA106" s="126">
        <f t="shared" si="151"/>
        <v>0</v>
      </c>
      <c r="AB106" s="126">
        <f t="shared" si="152"/>
        <v>0</v>
      </c>
      <c r="AC106" s="126">
        <f t="shared" si="153"/>
        <v>0</v>
      </c>
      <c r="AD106" s="126">
        <f t="shared" si="154"/>
        <v>0</v>
      </c>
      <c r="AE106" s="126">
        <f t="shared" si="155"/>
        <v>0</v>
      </c>
      <c r="AF106" s="126">
        <f t="shared" si="156"/>
        <v>0</v>
      </c>
      <c r="AG106" s="126">
        <f t="shared" si="145"/>
        <v>0</v>
      </c>
      <c r="AH106" s="126">
        <f t="shared" si="157"/>
        <v>0</v>
      </c>
      <c r="AI106" s="126">
        <f t="shared" si="158"/>
        <v>0</v>
      </c>
      <c r="AJ106" s="126">
        <f t="shared" si="159"/>
        <v>0</v>
      </c>
      <c r="AK106" s="126">
        <v>0</v>
      </c>
      <c r="AL106" s="126">
        <v>0</v>
      </c>
      <c r="AM106" s="126">
        <v>0</v>
      </c>
      <c r="AN106" s="126">
        <v>0</v>
      </c>
    </row>
    <row r="107" spans="1:40">
      <c r="A107" s="17">
        <v>20</v>
      </c>
      <c r="B107" s="17" t="str">
        <f t="shared" si="135"/>
        <v>RNSS</v>
      </c>
      <c r="C107" s="198" t="s">
        <v>653</v>
      </c>
      <c r="D107" s="198" t="str">
        <f>IFERROR(VLOOKUP(C107,'Inchidere contur'!B:U,20,0),VLOOKUP(C107,'Inchidere contur'!G:U,15,0))</f>
        <v>JT_SDI</v>
      </c>
      <c r="E107" s="126">
        <f>IFERROR(IFERROR(VLOOKUP(C107,'Inchidere contur'!B:U,20-4,0),VLOOKUP(C107,'Inchidere contur'!G:U,15-4,0)),"eroare")</f>
        <v>118557</v>
      </c>
      <c r="F107" s="200">
        <v>0</v>
      </c>
      <c r="G107" s="200">
        <v>0</v>
      </c>
      <c r="H107" s="126">
        <f t="shared" si="146"/>
        <v>118557</v>
      </c>
      <c r="I107" s="126">
        <f t="shared" si="136"/>
        <v>0</v>
      </c>
      <c r="J107" s="126">
        <f t="shared" si="137"/>
        <v>118557</v>
      </c>
      <c r="K107" s="126">
        <f t="shared" si="138"/>
        <v>118557</v>
      </c>
      <c r="L107" s="126">
        <f t="shared" si="139"/>
        <v>118557</v>
      </c>
      <c r="M107" s="126">
        <f t="shared" si="140"/>
        <v>118557</v>
      </c>
      <c r="N107" s="126">
        <f t="shared" si="141"/>
        <v>118557</v>
      </c>
      <c r="O107" s="126">
        <f t="shared" si="142"/>
        <v>118557</v>
      </c>
      <c r="P107" s="126">
        <f t="shared" si="147"/>
        <v>118557</v>
      </c>
      <c r="Q107" s="126">
        <f t="shared" si="143"/>
        <v>118557</v>
      </c>
      <c r="R107" s="126">
        <f t="shared" si="144"/>
        <v>118557</v>
      </c>
      <c r="S107" s="126">
        <f>IFERROR(IFERROR(VLOOKUP(C107,'Inchidere contur'!B:U,20-3,0),VLOOKUP(C107,'Inchidere contur'!G:U,15-3,0)),"eroare")</f>
        <v>94866</v>
      </c>
      <c r="T107" s="126">
        <f>IFERROR(IFERROR(VLOOKUP(C107,'Inchidere contur'!B:U,20-2,0),VLOOKUP(C107,'Inchidere contur'!G:U,15-2,0)),"eroare")</f>
        <v>0</v>
      </c>
      <c r="U107" s="126">
        <f t="shared" si="148"/>
        <v>0</v>
      </c>
      <c r="V107" s="126">
        <f t="shared" si="149"/>
        <v>0</v>
      </c>
      <c r="W107" s="126">
        <f>IFERROR(VLOOKUP(C107,Regularizare!B:AX,45,0),"eroare")</f>
        <v>0</v>
      </c>
      <c r="X107" s="126">
        <f>IFERROR(VLOOKUP(C107,Regularizare!B:AX,46,0),"eroare")+IFERROR(VLOOKUP(C107,Regularizare!B:AX,48,0),"eroare")</f>
        <v>104</v>
      </c>
      <c r="Y107" s="126">
        <f>IFERROR(VLOOKUP(C107,Regularizare!B:AX,47,0),"eroare")+IFERROR(VLOOKUP(C107,Regularizare!B:AX,49,0),"eroare")</f>
        <v>129</v>
      </c>
      <c r="Z107" s="126">
        <f t="shared" si="150"/>
        <v>0</v>
      </c>
      <c r="AA107" s="126">
        <f t="shared" si="151"/>
        <v>0</v>
      </c>
      <c r="AB107" s="126">
        <f t="shared" si="152"/>
        <v>0</v>
      </c>
      <c r="AC107" s="126">
        <f t="shared" si="153"/>
        <v>0</v>
      </c>
      <c r="AD107" s="126">
        <f t="shared" si="154"/>
        <v>0</v>
      </c>
      <c r="AE107" s="126">
        <f t="shared" si="155"/>
        <v>0</v>
      </c>
      <c r="AF107" s="126">
        <f t="shared" si="156"/>
        <v>0</v>
      </c>
      <c r="AG107" s="126">
        <f t="shared" si="145"/>
        <v>0</v>
      </c>
      <c r="AH107" s="126">
        <f t="shared" si="157"/>
        <v>0</v>
      </c>
      <c r="AI107" s="126">
        <f t="shared" si="158"/>
        <v>0</v>
      </c>
      <c r="AJ107" s="126">
        <f t="shared" si="159"/>
        <v>0</v>
      </c>
      <c r="AK107" s="126">
        <v>0</v>
      </c>
      <c r="AL107" s="126">
        <v>0</v>
      </c>
      <c r="AM107" s="126">
        <v>0</v>
      </c>
      <c r="AN107" s="126">
        <v>0</v>
      </c>
    </row>
    <row r="108" spans="1:40">
      <c r="A108" s="17">
        <v>20</v>
      </c>
      <c r="B108" s="17" t="str">
        <f t="shared" si="135"/>
        <v>RNSS</v>
      </c>
      <c r="C108" s="198" t="s">
        <v>654</v>
      </c>
      <c r="D108" s="198" t="str">
        <f>IFERROR(VLOOKUP(C108,'Inchidere contur'!B:U,20,0),VLOOKUP(C108,'Inchidere contur'!G:U,15,0))</f>
        <v>JT_SDI</v>
      </c>
      <c r="E108" s="126">
        <f>IFERROR(IFERROR(VLOOKUP(C108,'Inchidere contur'!B:U,20-4,0),VLOOKUP(C108,'Inchidere contur'!G:U,15-4,0)),"eroare")</f>
        <v>19077</v>
      </c>
      <c r="F108" s="200">
        <v>0</v>
      </c>
      <c r="G108" s="200">
        <v>0</v>
      </c>
      <c r="H108" s="126">
        <f t="shared" si="146"/>
        <v>19077</v>
      </c>
      <c r="I108" s="126">
        <f t="shared" si="136"/>
        <v>0</v>
      </c>
      <c r="J108" s="126">
        <f t="shared" si="137"/>
        <v>19077</v>
      </c>
      <c r="K108" s="126">
        <f t="shared" si="138"/>
        <v>19077</v>
      </c>
      <c r="L108" s="126">
        <f t="shared" si="139"/>
        <v>19077</v>
      </c>
      <c r="M108" s="126">
        <f t="shared" si="140"/>
        <v>19077</v>
      </c>
      <c r="N108" s="126">
        <f t="shared" si="141"/>
        <v>19077</v>
      </c>
      <c r="O108" s="126">
        <f t="shared" si="142"/>
        <v>19077</v>
      </c>
      <c r="P108" s="126">
        <f t="shared" si="147"/>
        <v>19077</v>
      </c>
      <c r="Q108" s="126">
        <f t="shared" si="143"/>
        <v>19077</v>
      </c>
      <c r="R108" s="126">
        <f t="shared" si="144"/>
        <v>19077</v>
      </c>
      <c r="S108" s="126">
        <f>IFERROR(IFERROR(VLOOKUP(C108,'Inchidere contur'!B:U,20-3,0),VLOOKUP(C108,'Inchidere contur'!G:U,15-3,0)),"eroare")</f>
        <v>0</v>
      </c>
      <c r="T108" s="126">
        <f>IFERROR(IFERROR(VLOOKUP(C108,'Inchidere contur'!B:U,20-2,0),VLOOKUP(C108,'Inchidere contur'!G:U,15-2,0)),"eroare")</f>
        <v>0</v>
      </c>
      <c r="U108" s="126">
        <f t="shared" si="148"/>
        <v>0</v>
      </c>
      <c r="V108" s="126">
        <f t="shared" si="149"/>
        <v>0</v>
      </c>
      <c r="W108" s="126">
        <f>IFERROR(VLOOKUP(C108,Regularizare!B:AX,45,0),"eroare")</f>
        <v>0</v>
      </c>
      <c r="X108" s="126">
        <f>IFERROR(VLOOKUP(C108,Regularizare!B:AX,46,0),"eroare")+IFERROR(VLOOKUP(C108,Regularizare!B:AX,48,0),"eroare")</f>
        <v>189</v>
      </c>
      <c r="Y108" s="126">
        <f>IFERROR(VLOOKUP(C108,Regularizare!B:AX,47,0),"eroare")+IFERROR(VLOOKUP(C108,Regularizare!B:AX,49,0),"eroare")</f>
        <v>0</v>
      </c>
      <c r="Z108" s="126">
        <f t="shared" si="150"/>
        <v>0</v>
      </c>
      <c r="AA108" s="126">
        <f t="shared" si="151"/>
        <v>0</v>
      </c>
      <c r="AB108" s="126">
        <f t="shared" si="152"/>
        <v>0</v>
      </c>
      <c r="AC108" s="126">
        <f t="shared" si="153"/>
        <v>0</v>
      </c>
      <c r="AD108" s="126">
        <f t="shared" si="154"/>
        <v>0</v>
      </c>
      <c r="AE108" s="126">
        <f t="shared" si="155"/>
        <v>0</v>
      </c>
      <c r="AF108" s="126">
        <f t="shared" si="156"/>
        <v>0</v>
      </c>
      <c r="AG108" s="126">
        <f t="shared" si="145"/>
        <v>0</v>
      </c>
      <c r="AH108" s="126">
        <f t="shared" si="157"/>
        <v>0</v>
      </c>
      <c r="AI108" s="126">
        <f t="shared" si="158"/>
        <v>0</v>
      </c>
      <c r="AJ108" s="126">
        <f t="shared" si="159"/>
        <v>0</v>
      </c>
      <c r="AK108" s="126">
        <v>0</v>
      </c>
      <c r="AL108" s="126">
        <v>0</v>
      </c>
      <c r="AM108" s="126">
        <v>0</v>
      </c>
      <c r="AN108" s="126">
        <v>0</v>
      </c>
    </row>
    <row r="109" spans="1:40">
      <c r="A109" s="17">
        <v>20</v>
      </c>
      <c r="B109" s="17" t="str">
        <f t="shared" si="135"/>
        <v>RNSS</v>
      </c>
      <c r="C109" s="198" t="s">
        <v>655</v>
      </c>
      <c r="D109" s="198" t="str">
        <f>IFERROR(VLOOKUP(C109,'Inchidere contur'!B:U,20,0),VLOOKUP(C109,'Inchidere contur'!G:U,15,0))</f>
        <v>JT_SDI</v>
      </c>
      <c r="E109" s="126">
        <f>IFERROR(IFERROR(VLOOKUP(C109,'Inchidere contur'!B:U,20-4,0),VLOOKUP(C109,'Inchidere contur'!G:U,15-4,0)),"eroare")</f>
        <v>35026</v>
      </c>
      <c r="F109" s="200">
        <v>0</v>
      </c>
      <c r="G109" s="200">
        <v>0</v>
      </c>
      <c r="H109" s="126">
        <f t="shared" si="146"/>
        <v>35026</v>
      </c>
      <c r="I109" s="126">
        <f t="shared" si="136"/>
        <v>0</v>
      </c>
      <c r="J109" s="126">
        <f t="shared" si="137"/>
        <v>35026</v>
      </c>
      <c r="K109" s="126">
        <f t="shared" si="138"/>
        <v>35026</v>
      </c>
      <c r="L109" s="126">
        <f t="shared" si="139"/>
        <v>35026</v>
      </c>
      <c r="M109" s="126">
        <f t="shared" si="140"/>
        <v>35026</v>
      </c>
      <c r="N109" s="126">
        <f t="shared" si="141"/>
        <v>35026</v>
      </c>
      <c r="O109" s="126">
        <f t="shared" si="142"/>
        <v>35026</v>
      </c>
      <c r="P109" s="126">
        <f t="shared" si="147"/>
        <v>35026</v>
      </c>
      <c r="Q109" s="126">
        <f t="shared" si="143"/>
        <v>35026</v>
      </c>
      <c r="R109" s="126">
        <f t="shared" si="144"/>
        <v>35026</v>
      </c>
      <c r="S109" s="126">
        <f>IFERROR(IFERROR(VLOOKUP(C109,'Inchidere contur'!B:U,20-3,0),VLOOKUP(C109,'Inchidere contur'!G:U,15-3,0)),"eroare")</f>
        <v>0</v>
      </c>
      <c r="T109" s="126">
        <f>IFERROR(IFERROR(VLOOKUP(C109,'Inchidere contur'!B:U,20-2,0),VLOOKUP(C109,'Inchidere contur'!G:U,15-2,0)),"eroare")</f>
        <v>0</v>
      </c>
      <c r="U109" s="126">
        <f t="shared" si="148"/>
        <v>0</v>
      </c>
      <c r="V109" s="126">
        <f t="shared" si="149"/>
        <v>0</v>
      </c>
      <c r="W109" s="126">
        <f>IFERROR(VLOOKUP(C109,Regularizare!B:AX,45,0),"eroare")</f>
        <v>0</v>
      </c>
      <c r="X109" s="126">
        <f>IFERROR(VLOOKUP(C109,Regularizare!B:AX,46,0),"eroare")+IFERROR(VLOOKUP(C109,Regularizare!B:AX,48,0),"eroare")</f>
        <v>471</v>
      </c>
      <c r="Y109" s="126">
        <f>IFERROR(VLOOKUP(C109,Regularizare!B:AX,47,0),"eroare")+IFERROR(VLOOKUP(C109,Regularizare!B:AX,49,0),"eroare")</f>
        <v>0</v>
      </c>
      <c r="Z109" s="126">
        <f t="shared" si="150"/>
        <v>0</v>
      </c>
      <c r="AA109" s="126">
        <f t="shared" si="151"/>
        <v>0</v>
      </c>
      <c r="AB109" s="126">
        <f t="shared" si="152"/>
        <v>0</v>
      </c>
      <c r="AC109" s="126">
        <f t="shared" si="153"/>
        <v>0</v>
      </c>
      <c r="AD109" s="126">
        <f t="shared" si="154"/>
        <v>0</v>
      </c>
      <c r="AE109" s="126">
        <f t="shared" si="155"/>
        <v>0</v>
      </c>
      <c r="AF109" s="126">
        <f t="shared" si="156"/>
        <v>0</v>
      </c>
      <c r="AG109" s="126">
        <f t="shared" si="145"/>
        <v>0</v>
      </c>
      <c r="AH109" s="126">
        <f t="shared" si="157"/>
        <v>0</v>
      </c>
      <c r="AI109" s="126">
        <f t="shared" si="158"/>
        <v>0</v>
      </c>
      <c r="AJ109" s="126">
        <f t="shared" si="159"/>
        <v>0</v>
      </c>
      <c r="AK109" s="126">
        <v>0</v>
      </c>
      <c r="AL109" s="126">
        <v>0</v>
      </c>
      <c r="AM109" s="126">
        <v>0</v>
      </c>
      <c r="AN109" s="126">
        <v>0</v>
      </c>
    </row>
    <row r="110" spans="1:40">
      <c r="A110" s="17">
        <v>20</v>
      </c>
      <c r="B110" s="17" t="str">
        <f t="shared" si="135"/>
        <v>RSSC</v>
      </c>
      <c r="C110" s="198" t="s">
        <v>656</v>
      </c>
      <c r="D110" s="198" t="str">
        <f>IFERROR(VLOOKUP(C110,'Inchidere contur'!B:U,20,0),VLOOKUP(C110,'Inchidere contur'!G:U,15,0))</f>
        <v>JT_SDI</v>
      </c>
      <c r="E110" s="126">
        <f>IFERROR(IFERROR(VLOOKUP(C110,'Inchidere contur'!B:U,20-4,0),VLOOKUP(C110,'Inchidere contur'!G:U,15-4,0)),"eroare")</f>
        <v>47114</v>
      </c>
      <c r="F110" s="200">
        <v>0</v>
      </c>
      <c r="G110" s="200">
        <v>0</v>
      </c>
      <c r="H110" s="126">
        <f t="shared" si="146"/>
        <v>47114</v>
      </c>
      <c r="I110" s="126">
        <f t="shared" si="136"/>
        <v>0</v>
      </c>
      <c r="J110" s="126">
        <f t="shared" si="137"/>
        <v>47114</v>
      </c>
      <c r="K110" s="126">
        <f t="shared" si="138"/>
        <v>47114</v>
      </c>
      <c r="L110" s="126">
        <f t="shared" si="139"/>
        <v>47114</v>
      </c>
      <c r="M110" s="126">
        <f t="shared" si="140"/>
        <v>47114</v>
      </c>
      <c r="N110" s="126">
        <f t="shared" si="141"/>
        <v>47114</v>
      </c>
      <c r="O110" s="126">
        <f t="shared" si="142"/>
        <v>47114</v>
      </c>
      <c r="P110" s="126">
        <f t="shared" si="147"/>
        <v>47114</v>
      </c>
      <c r="Q110" s="126">
        <f t="shared" si="143"/>
        <v>47114</v>
      </c>
      <c r="R110" s="126">
        <f t="shared" si="144"/>
        <v>47114</v>
      </c>
      <c r="S110" s="126">
        <f>IFERROR(IFERROR(VLOOKUP(C110,'Inchidere contur'!B:U,20-3,0),VLOOKUP(C110,'Inchidere contur'!G:U,15-3,0)),"eroare")</f>
        <v>0</v>
      </c>
      <c r="T110" s="126">
        <f>IFERROR(IFERROR(VLOOKUP(C110,'Inchidere contur'!B:U,20-2,0),VLOOKUP(C110,'Inchidere contur'!G:U,15-2,0)),"eroare")</f>
        <v>5344</v>
      </c>
      <c r="U110" s="126">
        <f t="shared" si="148"/>
        <v>5344</v>
      </c>
      <c r="V110" s="126">
        <f t="shared" si="149"/>
        <v>5344</v>
      </c>
      <c r="W110" s="126">
        <f>IFERROR(VLOOKUP(C110,Regularizare!B:AX,45,0),"eroare")</f>
        <v>0</v>
      </c>
      <c r="X110" s="126">
        <f>IFERROR(VLOOKUP(C110,Regularizare!B:AX,46,0),"eroare")+IFERROR(VLOOKUP(C110,Regularizare!B:AX,48,0),"eroare")</f>
        <v>1</v>
      </c>
      <c r="Y110" s="126">
        <f>IFERROR(VLOOKUP(C110,Regularizare!B:AX,47,0),"eroare")+IFERROR(VLOOKUP(C110,Regularizare!B:AX,49,0),"eroare")</f>
        <v>0</v>
      </c>
      <c r="Z110" s="126">
        <f t="shared" si="150"/>
        <v>0</v>
      </c>
      <c r="AA110" s="126">
        <f t="shared" si="151"/>
        <v>0</v>
      </c>
      <c r="AB110" s="126">
        <f t="shared" si="152"/>
        <v>0</v>
      </c>
      <c r="AC110" s="126">
        <f t="shared" si="153"/>
        <v>0</v>
      </c>
      <c r="AD110" s="126">
        <f t="shared" si="154"/>
        <v>0</v>
      </c>
      <c r="AE110" s="126">
        <f t="shared" si="155"/>
        <v>0</v>
      </c>
      <c r="AF110" s="126">
        <f t="shared" si="156"/>
        <v>0</v>
      </c>
      <c r="AG110" s="126">
        <f t="shared" si="145"/>
        <v>0</v>
      </c>
      <c r="AH110" s="126">
        <f t="shared" si="157"/>
        <v>0</v>
      </c>
      <c r="AI110" s="126">
        <f t="shared" si="158"/>
        <v>0</v>
      </c>
      <c r="AJ110" s="126">
        <f t="shared" si="159"/>
        <v>0</v>
      </c>
      <c r="AK110" s="126">
        <v>0</v>
      </c>
      <c r="AL110" s="126">
        <v>0</v>
      </c>
      <c r="AM110" s="126">
        <v>0</v>
      </c>
      <c r="AN110" s="126">
        <v>0</v>
      </c>
    </row>
    <row r="111" spans="1:40">
      <c r="A111" s="17">
        <v>20</v>
      </c>
      <c r="B111" s="17" t="str">
        <f t="shared" si="135"/>
        <v>RSSC</v>
      </c>
      <c r="C111" s="198" t="s">
        <v>657</v>
      </c>
      <c r="D111" s="198" t="str">
        <f>IFERROR(VLOOKUP(C111,'Inchidere contur'!B:U,20,0),VLOOKUP(C111,'Inchidere contur'!G:U,15,0))</f>
        <v>JT_SDI</v>
      </c>
      <c r="E111" s="126">
        <f>IFERROR(IFERROR(VLOOKUP(C111,'Inchidere contur'!B:U,20-4,0),VLOOKUP(C111,'Inchidere contur'!G:U,15-4,0)),"eroare")</f>
        <v>39055</v>
      </c>
      <c r="F111" s="200">
        <v>0</v>
      </c>
      <c r="G111" s="200">
        <v>0</v>
      </c>
      <c r="H111" s="126">
        <f t="shared" si="146"/>
        <v>39055</v>
      </c>
      <c r="I111" s="126">
        <f t="shared" si="136"/>
        <v>0</v>
      </c>
      <c r="J111" s="126">
        <f t="shared" si="137"/>
        <v>39055</v>
      </c>
      <c r="K111" s="126">
        <f t="shared" si="138"/>
        <v>39055</v>
      </c>
      <c r="L111" s="126">
        <f t="shared" si="139"/>
        <v>39055</v>
      </c>
      <c r="M111" s="126">
        <f t="shared" si="140"/>
        <v>39055</v>
      </c>
      <c r="N111" s="126">
        <f t="shared" si="141"/>
        <v>39055</v>
      </c>
      <c r="O111" s="126">
        <f t="shared" si="142"/>
        <v>39055</v>
      </c>
      <c r="P111" s="126">
        <f t="shared" si="147"/>
        <v>39055</v>
      </c>
      <c r="Q111" s="126">
        <f t="shared" si="143"/>
        <v>39055</v>
      </c>
      <c r="R111" s="126">
        <f t="shared" si="144"/>
        <v>39055</v>
      </c>
      <c r="S111" s="126">
        <f>IFERROR(IFERROR(VLOOKUP(C111,'Inchidere contur'!B:U,20-3,0),VLOOKUP(C111,'Inchidere contur'!G:U,15-3,0)),"eroare")</f>
        <v>36153</v>
      </c>
      <c r="T111" s="126">
        <f>IFERROR(IFERROR(VLOOKUP(C111,'Inchidere contur'!B:U,20-2,0),VLOOKUP(C111,'Inchidere contur'!G:U,15-2,0)),"eroare")</f>
        <v>0</v>
      </c>
      <c r="U111" s="126">
        <f t="shared" si="148"/>
        <v>0</v>
      </c>
      <c r="V111" s="126">
        <f t="shared" si="149"/>
        <v>0</v>
      </c>
      <c r="W111" s="126">
        <f>IFERROR(VLOOKUP(C111,Regularizare!B:AX,45,0),"eroare")</f>
        <v>0</v>
      </c>
      <c r="X111" s="126">
        <f>IFERROR(VLOOKUP(C111,Regularizare!B:AX,46,0),"eroare")+IFERROR(VLOOKUP(C111,Regularizare!B:AX,48,0),"eroare")</f>
        <v>104</v>
      </c>
      <c r="Y111" s="126">
        <f>IFERROR(VLOOKUP(C111,Regularizare!B:AX,47,0),"eroare")+IFERROR(VLOOKUP(C111,Regularizare!B:AX,49,0),"eroare")</f>
        <v>0</v>
      </c>
      <c r="Z111" s="126">
        <f t="shared" si="150"/>
        <v>0</v>
      </c>
      <c r="AA111" s="126">
        <f t="shared" si="151"/>
        <v>0</v>
      </c>
      <c r="AB111" s="126">
        <f t="shared" si="152"/>
        <v>0</v>
      </c>
      <c r="AC111" s="126">
        <f t="shared" si="153"/>
        <v>0</v>
      </c>
      <c r="AD111" s="126">
        <f t="shared" si="154"/>
        <v>0</v>
      </c>
      <c r="AE111" s="126">
        <f t="shared" si="155"/>
        <v>0</v>
      </c>
      <c r="AF111" s="126">
        <f t="shared" si="156"/>
        <v>0</v>
      </c>
      <c r="AG111" s="126">
        <f t="shared" si="145"/>
        <v>0</v>
      </c>
      <c r="AH111" s="126">
        <f t="shared" si="157"/>
        <v>0</v>
      </c>
      <c r="AI111" s="126">
        <f t="shared" si="158"/>
        <v>0</v>
      </c>
      <c r="AJ111" s="126">
        <f t="shared" si="159"/>
        <v>0</v>
      </c>
      <c r="AK111" s="126">
        <v>0</v>
      </c>
      <c r="AL111" s="126">
        <v>0</v>
      </c>
      <c r="AM111" s="126">
        <v>0</v>
      </c>
      <c r="AN111" s="126">
        <v>0</v>
      </c>
    </row>
    <row r="112" spans="1:40">
      <c r="A112" s="17">
        <v>20</v>
      </c>
      <c r="B112" s="17" t="str">
        <f t="shared" si="135"/>
        <v>RRPP</v>
      </c>
      <c r="C112" s="198" t="s">
        <v>658</v>
      </c>
      <c r="D112" s="198" t="str">
        <f>IFERROR(VLOOKUP(C112,'Inchidere contur'!B:U,20,0),VLOOKUP(C112,'Inchidere contur'!G:U,15,0))</f>
        <v>JT_SDI</v>
      </c>
      <c r="E112" s="126">
        <f>IFERROR(IFERROR(VLOOKUP(C112,'Inchidere contur'!B:U,20-4,0),VLOOKUP(C112,'Inchidere contur'!G:U,15-4,0)),"eroare")</f>
        <v>42048</v>
      </c>
      <c r="F112" s="200">
        <v>0</v>
      </c>
      <c r="G112" s="200">
        <v>0</v>
      </c>
      <c r="H112" s="126">
        <f t="shared" si="146"/>
        <v>42048</v>
      </c>
      <c r="I112" s="126">
        <f t="shared" si="136"/>
        <v>0</v>
      </c>
      <c r="J112" s="126">
        <f t="shared" si="137"/>
        <v>42048</v>
      </c>
      <c r="K112" s="126">
        <f t="shared" si="138"/>
        <v>42048</v>
      </c>
      <c r="L112" s="126">
        <f t="shared" si="139"/>
        <v>42048</v>
      </c>
      <c r="M112" s="126">
        <f t="shared" si="140"/>
        <v>42048</v>
      </c>
      <c r="N112" s="126">
        <f t="shared" si="141"/>
        <v>42048</v>
      </c>
      <c r="O112" s="126">
        <f t="shared" si="142"/>
        <v>42048</v>
      </c>
      <c r="P112" s="126">
        <f t="shared" si="147"/>
        <v>42048</v>
      </c>
      <c r="Q112" s="126">
        <f t="shared" si="143"/>
        <v>42048</v>
      </c>
      <c r="R112" s="126">
        <f t="shared" si="144"/>
        <v>42048</v>
      </c>
      <c r="S112" s="126">
        <f>IFERROR(IFERROR(VLOOKUP(C112,'Inchidere contur'!B:U,20-3,0),VLOOKUP(C112,'Inchidere contur'!G:U,15-3,0)),"eroare")</f>
        <v>30925</v>
      </c>
      <c r="T112" s="126">
        <f>IFERROR(IFERROR(VLOOKUP(C112,'Inchidere contur'!B:U,20-2,0),VLOOKUP(C112,'Inchidere contur'!G:U,15-2,0)),"eroare")</f>
        <v>17996</v>
      </c>
      <c r="U112" s="126">
        <f t="shared" si="148"/>
        <v>17996</v>
      </c>
      <c r="V112" s="126">
        <f t="shared" si="149"/>
        <v>17996</v>
      </c>
      <c r="W112" s="126">
        <f>IFERROR(VLOOKUP(C112,Regularizare!B:AX,45,0),"eroare")</f>
        <v>0</v>
      </c>
      <c r="X112" s="126">
        <f>IFERROR(VLOOKUP(C112,Regularizare!B:AX,46,0),"eroare")+IFERROR(VLOOKUP(C112,Regularizare!B:AX,48,0),"eroare")</f>
        <v>5328</v>
      </c>
      <c r="Y112" s="126">
        <f>IFERROR(VLOOKUP(C112,Regularizare!B:AX,47,0),"eroare")+IFERROR(VLOOKUP(C112,Regularizare!B:AX,49,0),"eroare")</f>
        <v>4553</v>
      </c>
      <c r="Z112" s="126">
        <f t="shared" si="150"/>
        <v>0</v>
      </c>
      <c r="AA112" s="126">
        <f t="shared" si="151"/>
        <v>0</v>
      </c>
      <c r="AB112" s="126">
        <f t="shared" si="152"/>
        <v>0</v>
      </c>
      <c r="AC112" s="126">
        <f t="shared" si="153"/>
        <v>0</v>
      </c>
      <c r="AD112" s="126">
        <f t="shared" si="154"/>
        <v>0</v>
      </c>
      <c r="AE112" s="126">
        <f t="shared" si="155"/>
        <v>0</v>
      </c>
      <c r="AF112" s="126">
        <f t="shared" si="156"/>
        <v>0</v>
      </c>
      <c r="AG112" s="126">
        <f t="shared" si="145"/>
        <v>0</v>
      </c>
      <c r="AH112" s="126">
        <f t="shared" si="157"/>
        <v>0</v>
      </c>
      <c r="AI112" s="126">
        <f t="shared" si="158"/>
        <v>0</v>
      </c>
      <c r="AJ112" s="126">
        <f t="shared" si="159"/>
        <v>0</v>
      </c>
      <c r="AK112" s="126">
        <v>0</v>
      </c>
      <c r="AL112" s="126">
        <v>0</v>
      </c>
      <c r="AM112" s="126">
        <v>0</v>
      </c>
      <c r="AN112" s="126">
        <v>0</v>
      </c>
    </row>
    <row r="113" spans="1:40">
      <c r="A113" s="17">
        <v>20</v>
      </c>
      <c r="B113" s="17" t="str">
        <f t="shared" si="135"/>
        <v>RRPP</v>
      </c>
      <c r="C113" s="198" t="s">
        <v>659</v>
      </c>
      <c r="D113" s="198" t="str">
        <f>IFERROR(VLOOKUP(C113,'Inchidere contur'!B:U,20,0),VLOOKUP(C113,'Inchidere contur'!G:U,15,0))</f>
        <v>JT_SDI</v>
      </c>
      <c r="E113" s="126">
        <f>IFERROR(IFERROR(VLOOKUP(C113,'Inchidere contur'!B:U,20-4,0),VLOOKUP(C113,'Inchidere contur'!G:U,15-4,0)),"eroare")</f>
        <v>65175</v>
      </c>
      <c r="F113" s="200">
        <v>0</v>
      </c>
      <c r="G113" s="200">
        <v>0</v>
      </c>
      <c r="H113" s="126">
        <f t="shared" si="146"/>
        <v>65175</v>
      </c>
      <c r="I113" s="126">
        <f t="shared" si="136"/>
        <v>0</v>
      </c>
      <c r="J113" s="126">
        <f t="shared" si="137"/>
        <v>65175</v>
      </c>
      <c r="K113" s="126">
        <f t="shared" si="138"/>
        <v>65175</v>
      </c>
      <c r="L113" s="126">
        <f t="shared" si="139"/>
        <v>65175</v>
      </c>
      <c r="M113" s="126">
        <f t="shared" si="140"/>
        <v>65175</v>
      </c>
      <c r="N113" s="126">
        <f t="shared" si="141"/>
        <v>65175</v>
      </c>
      <c r="O113" s="126">
        <f t="shared" si="142"/>
        <v>65175</v>
      </c>
      <c r="P113" s="126">
        <f t="shared" si="147"/>
        <v>65175</v>
      </c>
      <c r="Q113" s="126">
        <f t="shared" si="143"/>
        <v>65175</v>
      </c>
      <c r="R113" s="126">
        <f t="shared" si="144"/>
        <v>65175</v>
      </c>
      <c r="S113" s="126">
        <f>IFERROR(IFERROR(VLOOKUP(C113,'Inchidere contur'!B:U,20-3,0),VLOOKUP(C113,'Inchidere contur'!G:U,15-3,0)),"eroare")</f>
        <v>56711</v>
      </c>
      <c r="T113" s="126">
        <f>IFERROR(IFERROR(VLOOKUP(C113,'Inchidere contur'!B:U,20-2,0),VLOOKUP(C113,'Inchidere contur'!G:U,15-2,0)),"eroare")</f>
        <v>207</v>
      </c>
      <c r="U113" s="126">
        <f t="shared" si="148"/>
        <v>207</v>
      </c>
      <c r="V113" s="126">
        <f t="shared" si="149"/>
        <v>207</v>
      </c>
      <c r="W113" s="126">
        <f>IFERROR(VLOOKUP(C113,Regularizare!B:AX,45,0),"eroare")</f>
        <v>0</v>
      </c>
      <c r="X113" s="126">
        <f>IFERROR(VLOOKUP(C113,Regularizare!B:AX,46,0),"eroare")+IFERROR(VLOOKUP(C113,Regularizare!B:AX,48,0),"eroare")</f>
        <v>6603</v>
      </c>
      <c r="Y113" s="126">
        <f>IFERROR(VLOOKUP(C113,Regularizare!B:AX,47,0),"eroare")+IFERROR(VLOOKUP(C113,Regularizare!B:AX,49,0),"eroare")</f>
        <v>5642</v>
      </c>
      <c r="Z113" s="126">
        <f t="shared" si="150"/>
        <v>0</v>
      </c>
      <c r="AA113" s="126">
        <f t="shared" si="151"/>
        <v>0</v>
      </c>
      <c r="AB113" s="126">
        <f t="shared" si="152"/>
        <v>0</v>
      </c>
      <c r="AC113" s="126">
        <f t="shared" si="153"/>
        <v>0</v>
      </c>
      <c r="AD113" s="126">
        <f t="shared" si="154"/>
        <v>0</v>
      </c>
      <c r="AE113" s="126">
        <f t="shared" si="155"/>
        <v>0</v>
      </c>
      <c r="AF113" s="126">
        <f t="shared" si="156"/>
        <v>0</v>
      </c>
      <c r="AG113" s="126">
        <f t="shared" si="145"/>
        <v>0</v>
      </c>
      <c r="AH113" s="126">
        <f t="shared" si="157"/>
        <v>0</v>
      </c>
      <c r="AI113" s="126">
        <f t="shared" si="158"/>
        <v>0</v>
      </c>
      <c r="AJ113" s="126">
        <f t="shared" si="159"/>
        <v>0</v>
      </c>
      <c r="AK113" s="126">
        <v>0</v>
      </c>
      <c r="AL113" s="126">
        <v>0</v>
      </c>
      <c r="AM113" s="126">
        <v>0</v>
      </c>
      <c r="AN113" s="126">
        <v>0</v>
      </c>
    </row>
    <row r="114" spans="1:40">
      <c r="A114" s="17">
        <v>20</v>
      </c>
      <c r="B114" s="17" t="str">
        <f t="shared" si="135"/>
        <v>RRPP</v>
      </c>
      <c r="C114" s="198" t="s">
        <v>660</v>
      </c>
      <c r="D114" s="198" t="str">
        <f>IFERROR(VLOOKUP(C114,'Inchidere contur'!B:U,20,0),VLOOKUP(C114,'Inchidere contur'!G:U,15,0))</f>
        <v>JT_SDI</v>
      </c>
      <c r="E114" s="126">
        <f>IFERROR(IFERROR(VLOOKUP(C114,'Inchidere contur'!B:U,20-4,0),VLOOKUP(C114,'Inchidere contur'!G:U,15-4,0)),"eroare")</f>
        <v>25691.000000000004</v>
      </c>
      <c r="F114" s="200">
        <v>0</v>
      </c>
      <c r="G114" s="200">
        <v>0</v>
      </c>
      <c r="H114" s="126">
        <f t="shared" si="146"/>
        <v>25691.000000000004</v>
      </c>
      <c r="I114" s="126">
        <f t="shared" si="136"/>
        <v>0</v>
      </c>
      <c r="J114" s="126">
        <f t="shared" si="137"/>
        <v>25691.000000000004</v>
      </c>
      <c r="K114" s="126">
        <f t="shared" si="138"/>
        <v>25691.000000000004</v>
      </c>
      <c r="L114" s="126">
        <f t="shared" si="139"/>
        <v>25691.000000000004</v>
      </c>
      <c r="M114" s="126">
        <f t="shared" si="140"/>
        <v>25691.000000000004</v>
      </c>
      <c r="N114" s="126">
        <f t="shared" si="141"/>
        <v>25691.000000000004</v>
      </c>
      <c r="O114" s="126">
        <f t="shared" si="142"/>
        <v>25691.000000000004</v>
      </c>
      <c r="P114" s="126">
        <f t="shared" si="147"/>
        <v>25691.000000000004</v>
      </c>
      <c r="Q114" s="126">
        <f t="shared" si="143"/>
        <v>25691.000000000004</v>
      </c>
      <c r="R114" s="126">
        <f t="shared" si="144"/>
        <v>25691.000000000004</v>
      </c>
      <c r="S114" s="126">
        <f>IFERROR(IFERROR(VLOOKUP(C114,'Inchidere contur'!B:U,20-3,0),VLOOKUP(C114,'Inchidere contur'!G:U,15-3,0)),"eroare")</f>
        <v>4594</v>
      </c>
      <c r="T114" s="126">
        <f>IFERROR(IFERROR(VLOOKUP(C114,'Inchidere contur'!B:U,20-2,0),VLOOKUP(C114,'Inchidere contur'!G:U,15-2,0)),"eroare")</f>
        <v>0</v>
      </c>
      <c r="U114" s="126">
        <f t="shared" si="148"/>
        <v>0</v>
      </c>
      <c r="V114" s="126">
        <f t="shared" si="149"/>
        <v>0</v>
      </c>
      <c r="W114" s="126">
        <f>IFERROR(VLOOKUP(C114,Regularizare!B:AX,45,0),"eroare")</f>
        <v>0</v>
      </c>
      <c r="X114" s="126">
        <f>IFERROR(VLOOKUP(C114,Regularizare!B:AX,46,0),"eroare")+IFERROR(VLOOKUP(C114,Regularizare!B:AX,48,0),"eroare")</f>
        <v>0</v>
      </c>
      <c r="Y114" s="126">
        <f>IFERROR(VLOOKUP(C114,Regularizare!B:AX,47,0),"eroare")+IFERROR(VLOOKUP(C114,Regularizare!B:AX,49,0),"eroare")</f>
        <v>0</v>
      </c>
      <c r="Z114" s="126">
        <f t="shared" si="150"/>
        <v>0</v>
      </c>
      <c r="AA114" s="126">
        <f t="shared" si="151"/>
        <v>0</v>
      </c>
      <c r="AB114" s="126">
        <f t="shared" si="152"/>
        <v>0</v>
      </c>
      <c r="AC114" s="126">
        <f t="shared" si="153"/>
        <v>0</v>
      </c>
      <c r="AD114" s="126">
        <f t="shared" si="154"/>
        <v>0</v>
      </c>
      <c r="AE114" s="126">
        <f t="shared" si="155"/>
        <v>0</v>
      </c>
      <c r="AF114" s="126">
        <f t="shared" si="156"/>
        <v>0</v>
      </c>
      <c r="AG114" s="126">
        <f t="shared" si="145"/>
        <v>0</v>
      </c>
      <c r="AH114" s="126">
        <f t="shared" si="157"/>
        <v>0</v>
      </c>
      <c r="AI114" s="126">
        <f t="shared" si="158"/>
        <v>0</v>
      </c>
      <c r="AJ114" s="126">
        <f t="shared" si="159"/>
        <v>0</v>
      </c>
      <c r="AK114" s="126">
        <v>0</v>
      </c>
      <c r="AL114" s="126">
        <v>0</v>
      </c>
      <c r="AM114" s="126">
        <v>0</v>
      </c>
      <c r="AN114" s="126">
        <v>0</v>
      </c>
    </row>
    <row r="115" spans="1:40">
      <c r="A115" s="17">
        <v>20</v>
      </c>
      <c r="B115" s="17" t="str">
        <f t="shared" si="135"/>
        <v>RRPP</v>
      </c>
      <c r="C115" s="198" t="s">
        <v>661</v>
      </c>
      <c r="D115" s="198" t="str">
        <f>IFERROR(VLOOKUP(C115,'Inchidere contur'!B:U,20,0),VLOOKUP(C115,'Inchidere contur'!G:U,15,0))</f>
        <v>MT_SDI</v>
      </c>
      <c r="E115" s="200">
        <v>0</v>
      </c>
      <c r="F115" s="200">
        <v>0</v>
      </c>
      <c r="G115" s="200">
        <v>0</v>
      </c>
      <c r="H115" s="200">
        <v>0</v>
      </c>
      <c r="I115" s="200">
        <v>0</v>
      </c>
      <c r="J115" s="200">
        <v>0</v>
      </c>
      <c r="K115" s="200">
        <v>0</v>
      </c>
      <c r="L115" s="200">
        <v>0</v>
      </c>
      <c r="M115" s="200">
        <v>0</v>
      </c>
      <c r="N115" s="200">
        <v>0</v>
      </c>
      <c r="O115" s="200">
        <v>0</v>
      </c>
      <c r="P115" s="200">
        <v>0</v>
      </c>
      <c r="Q115" s="200">
        <v>0</v>
      </c>
      <c r="R115" s="200">
        <v>0</v>
      </c>
      <c r="S115" s="200">
        <v>0</v>
      </c>
      <c r="T115" s="200">
        <v>0</v>
      </c>
      <c r="U115" s="200">
        <v>0</v>
      </c>
      <c r="V115" s="200">
        <v>0</v>
      </c>
      <c r="W115" s="200">
        <v>0</v>
      </c>
      <c r="X115" s="200">
        <v>0</v>
      </c>
      <c r="Y115" s="200">
        <v>0</v>
      </c>
      <c r="Z115" s="200">
        <v>0</v>
      </c>
      <c r="AA115" s="200">
        <v>0</v>
      </c>
      <c r="AB115" s="200">
        <v>0</v>
      </c>
      <c r="AC115" s="200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</row>
    <row r="116" spans="1:40">
      <c r="A116" s="17">
        <v>20</v>
      </c>
      <c r="B116" s="17" t="str">
        <f t="shared" si="135"/>
        <v>RN10</v>
      </c>
      <c r="C116" s="198" t="s">
        <v>1281</v>
      </c>
      <c r="D116" s="198" t="str">
        <f>IFERROR(VLOOKUP(C116,'Inchidere contur'!B:U,20,0),VLOOKUP(C116,'Inchidere contur'!G:U,15,0))</f>
        <v>JT_SDI</v>
      </c>
      <c r="E116" s="126">
        <f>IFERROR(IFERROR(VLOOKUP(C116,'Inchidere contur'!B:U,20-4,0),VLOOKUP(C116,'Inchidere contur'!G:U,15-4,0)),"eroare")</f>
        <v>13329</v>
      </c>
      <c r="F116" s="200">
        <v>0</v>
      </c>
      <c r="G116" s="200">
        <v>0</v>
      </c>
      <c r="H116" s="126">
        <f t="shared" si="146"/>
        <v>13329</v>
      </c>
      <c r="I116" s="126">
        <f t="shared" si="136"/>
        <v>0</v>
      </c>
      <c r="J116" s="126">
        <f t="shared" si="137"/>
        <v>13329</v>
      </c>
      <c r="K116" s="126">
        <f t="shared" si="138"/>
        <v>13329</v>
      </c>
      <c r="L116" s="126">
        <f t="shared" si="139"/>
        <v>13329</v>
      </c>
      <c r="M116" s="126">
        <f t="shared" si="140"/>
        <v>13329</v>
      </c>
      <c r="N116" s="126">
        <f t="shared" si="141"/>
        <v>13329</v>
      </c>
      <c r="O116" s="126">
        <f t="shared" si="142"/>
        <v>13329</v>
      </c>
      <c r="P116" s="126">
        <f t="shared" si="147"/>
        <v>13329</v>
      </c>
      <c r="Q116" s="126">
        <f t="shared" si="143"/>
        <v>13329</v>
      </c>
      <c r="R116" s="126">
        <f t="shared" si="144"/>
        <v>13329</v>
      </c>
      <c r="S116" s="126">
        <f>IFERROR(IFERROR(VLOOKUP(C116,'Inchidere contur'!B:U,20-3,0),VLOOKUP(C116,'Inchidere contur'!G:U,15-3,0)),"eroare")</f>
        <v>14978</v>
      </c>
      <c r="T116" s="126">
        <f>IFERROR(IFERROR(VLOOKUP(C116,'Inchidere contur'!B:U,20-2,0),VLOOKUP(C116,'Inchidere contur'!G:U,15-2,0)),"eroare")</f>
        <v>0</v>
      </c>
      <c r="U116" s="126">
        <f t="shared" si="148"/>
        <v>0</v>
      </c>
      <c r="V116" s="126">
        <f t="shared" si="149"/>
        <v>0</v>
      </c>
      <c r="W116" s="126">
        <f>IFERROR(VLOOKUP(C116,Regularizare!B:AX,45,0),"eroare")</f>
        <v>0</v>
      </c>
      <c r="X116" s="126">
        <f>IFERROR(VLOOKUP(C116,Regularizare!B:AX,46,0),"eroare")+IFERROR(VLOOKUP(C116,Regularizare!B:AX,48,0),"eroare")</f>
        <v>9</v>
      </c>
      <c r="Y116" s="126">
        <f>IFERROR(VLOOKUP(C116,Regularizare!B:AX,47,0),"eroare")+IFERROR(VLOOKUP(C116,Regularizare!B:AX,49,0),"eroare")</f>
        <v>3</v>
      </c>
      <c r="Z116" s="126">
        <f t="shared" si="150"/>
        <v>0</v>
      </c>
      <c r="AA116" s="126">
        <f t="shared" si="151"/>
        <v>0</v>
      </c>
      <c r="AB116" s="126">
        <f t="shared" si="152"/>
        <v>0</v>
      </c>
      <c r="AC116" s="126">
        <f t="shared" si="153"/>
        <v>0</v>
      </c>
      <c r="AD116" s="126">
        <f t="shared" si="154"/>
        <v>0</v>
      </c>
      <c r="AE116" s="126">
        <f t="shared" si="155"/>
        <v>0</v>
      </c>
      <c r="AF116" s="126">
        <f t="shared" si="156"/>
        <v>0</v>
      </c>
      <c r="AG116" s="126">
        <f t="shared" si="145"/>
        <v>0</v>
      </c>
      <c r="AH116" s="126">
        <f t="shared" si="157"/>
        <v>0</v>
      </c>
      <c r="AI116" s="126">
        <f t="shared" si="158"/>
        <v>0</v>
      </c>
      <c r="AJ116" s="126">
        <f t="shared" si="159"/>
        <v>0</v>
      </c>
      <c r="AK116" s="126">
        <v>0</v>
      </c>
      <c r="AL116" s="126">
        <v>0</v>
      </c>
      <c r="AM116" s="126">
        <v>0</v>
      </c>
      <c r="AN116" s="126">
        <v>0</v>
      </c>
    </row>
    <row r="117" spans="1:40">
      <c r="A117" s="17">
        <v>20</v>
      </c>
      <c r="B117" s="17" t="str">
        <f t="shared" si="135"/>
        <v>RN10</v>
      </c>
      <c r="C117" s="198" t="s">
        <v>1275</v>
      </c>
      <c r="D117" s="198" t="str">
        <f>IFERROR(VLOOKUP(C117,'Inchidere contur'!B:U,20,0),VLOOKUP(C117,'Inchidere contur'!G:U,15,0))</f>
        <v>JT_SDI</v>
      </c>
      <c r="E117" s="126">
        <f>IFERROR(IFERROR(VLOOKUP(C117,'Inchidere contur'!B:U,20-4,0),VLOOKUP(C117,'Inchidere contur'!G:U,15-4,0)),"eroare")</f>
        <v>6107</v>
      </c>
      <c r="F117" s="200">
        <v>0</v>
      </c>
      <c r="G117" s="200">
        <v>0</v>
      </c>
      <c r="H117" s="126">
        <f t="shared" si="146"/>
        <v>6107</v>
      </c>
      <c r="I117" s="126">
        <f t="shared" si="136"/>
        <v>0</v>
      </c>
      <c r="J117" s="126">
        <f t="shared" si="137"/>
        <v>6107</v>
      </c>
      <c r="K117" s="126">
        <f t="shared" si="138"/>
        <v>6107</v>
      </c>
      <c r="L117" s="126">
        <f t="shared" si="139"/>
        <v>6107</v>
      </c>
      <c r="M117" s="126">
        <f t="shared" si="140"/>
        <v>6107</v>
      </c>
      <c r="N117" s="126">
        <f t="shared" si="141"/>
        <v>6107</v>
      </c>
      <c r="O117" s="126">
        <f t="shared" si="142"/>
        <v>6107</v>
      </c>
      <c r="P117" s="126">
        <f t="shared" si="147"/>
        <v>6107</v>
      </c>
      <c r="Q117" s="126">
        <f t="shared" si="143"/>
        <v>6107</v>
      </c>
      <c r="R117" s="126">
        <f t="shared" si="144"/>
        <v>6107</v>
      </c>
      <c r="S117" s="126">
        <f>IFERROR(IFERROR(VLOOKUP(C117,'Inchidere contur'!B:U,20-3,0),VLOOKUP(C117,'Inchidere contur'!G:U,15-3,0)),"eroare")</f>
        <v>11000</v>
      </c>
      <c r="T117" s="126">
        <f>IFERROR(IFERROR(VLOOKUP(C117,'Inchidere contur'!B:U,20-2,0),VLOOKUP(C117,'Inchidere contur'!G:U,15-2,0)),"eroare")</f>
        <v>0</v>
      </c>
      <c r="U117" s="126">
        <f t="shared" si="148"/>
        <v>0</v>
      </c>
      <c r="V117" s="126">
        <f t="shared" si="149"/>
        <v>0</v>
      </c>
      <c r="W117" s="126">
        <f>IFERROR(VLOOKUP(C117,Regularizare!B:AX,45,0),"eroare")</f>
        <v>0</v>
      </c>
      <c r="X117" s="126">
        <f>IFERROR(VLOOKUP(C117,Regularizare!B:AX,46,0),"eroare")+IFERROR(VLOOKUP(C117,Regularizare!B:AX,48,0),"eroare")</f>
        <v>10</v>
      </c>
      <c r="Y117" s="126">
        <f>IFERROR(VLOOKUP(C117,Regularizare!B:AX,47,0),"eroare")+IFERROR(VLOOKUP(C117,Regularizare!B:AX,49,0),"eroare")</f>
        <v>15</v>
      </c>
      <c r="Z117" s="126">
        <f t="shared" si="150"/>
        <v>0</v>
      </c>
      <c r="AA117" s="126">
        <f t="shared" si="151"/>
        <v>0</v>
      </c>
      <c r="AB117" s="126">
        <f t="shared" si="152"/>
        <v>0</v>
      </c>
      <c r="AC117" s="126">
        <f t="shared" si="153"/>
        <v>0</v>
      </c>
      <c r="AD117" s="126">
        <f t="shared" si="154"/>
        <v>0</v>
      </c>
      <c r="AE117" s="126">
        <f t="shared" si="155"/>
        <v>0</v>
      </c>
      <c r="AF117" s="126">
        <f t="shared" si="156"/>
        <v>0</v>
      </c>
      <c r="AG117" s="126">
        <f t="shared" si="145"/>
        <v>0</v>
      </c>
      <c r="AH117" s="126">
        <f t="shared" si="157"/>
        <v>0</v>
      </c>
      <c r="AI117" s="126">
        <f t="shared" si="158"/>
        <v>0</v>
      </c>
      <c r="AJ117" s="126">
        <f t="shared" si="159"/>
        <v>0</v>
      </c>
      <c r="AK117" s="126">
        <v>0</v>
      </c>
      <c r="AL117" s="126">
        <v>0</v>
      </c>
      <c r="AM117" s="126">
        <v>0</v>
      </c>
      <c r="AN117" s="126">
        <v>0</v>
      </c>
    </row>
    <row r="118" spans="1:40">
      <c r="A118" s="17">
        <v>20</v>
      </c>
      <c r="B118" s="17" t="str">
        <f t="shared" si="135"/>
        <v>RN10</v>
      </c>
      <c r="C118" s="198" t="s">
        <v>1277</v>
      </c>
      <c r="D118" s="198" t="str">
        <f>IFERROR(VLOOKUP(C118,'Inchidere contur'!B:U,20,0),VLOOKUP(C118,'Inchidere contur'!G:U,15,0))</f>
        <v>JT_SDI</v>
      </c>
      <c r="E118" s="126">
        <f>IFERROR(IFERROR(VLOOKUP(C118,'Inchidere contur'!B:U,20-4,0),VLOOKUP(C118,'Inchidere contur'!G:U,15-4,0)),"eroare")</f>
        <v>10441</v>
      </c>
      <c r="F118" s="200">
        <v>0</v>
      </c>
      <c r="G118" s="200">
        <v>0</v>
      </c>
      <c r="H118" s="126">
        <f t="shared" si="146"/>
        <v>10441</v>
      </c>
      <c r="I118" s="126">
        <f t="shared" si="136"/>
        <v>0</v>
      </c>
      <c r="J118" s="126">
        <f t="shared" si="137"/>
        <v>10441</v>
      </c>
      <c r="K118" s="126">
        <f t="shared" si="138"/>
        <v>10441</v>
      </c>
      <c r="L118" s="126">
        <f t="shared" si="139"/>
        <v>10441</v>
      </c>
      <c r="M118" s="126">
        <f t="shared" si="140"/>
        <v>10441</v>
      </c>
      <c r="N118" s="126">
        <f t="shared" si="141"/>
        <v>10441</v>
      </c>
      <c r="O118" s="126">
        <f t="shared" si="142"/>
        <v>10441</v>
      </c>
      <c r="P118" s="126">
        <f t="shared" si="147"/>
        <v>10441</v>
      </c>
      <c r="Q118" s="126">
        <f t="shared" si="143"/>
        <v>10441</v>
      </c>
      <c r="R118" s="126">
        <f t="shared" si="144"/>
        <v>10441</v>
      </c>
      <c r="S118" s="126">
        <f>IFERROR(IFERROR(VLOOKUP(C118,'Inchidere contur'!B:U,20-3,0),VLOOKUP(C118,'Inchidere contur'!G:U,15-3,0)),"eroare")</f>
        <v>19977</v>
      </c>
      <c r="T118" s="126">
        <f>IFERROR(IFERROR(VLOOKUP(C118,'Inchidere contur'!B:U,20-2,0),VLOOKUP(C118,'Inchidere contur'!G:U,15-2,0)),"eroare")</f>
        <v>0</v>
      </c>
      <c r="U118" s="126">
        <f t="shared" si="148"/>
        <v>0</v>
      </c>
      <c r="V118" s="126">
        <f t="shared" si="149"/>
        <v>0</v>
      </c>
      <c r="W118" s="126">
        <f>IFERROR(VLOOKUP(C118,Regularizare!B:AX,45,0),"eroare")</f>
        <v>0</v>
      </c>
      <c r="X118" s="126">
        <f>IFERROR(VLOOKUP(C118,Regularizare!B:AX,46,0),"eroare")+IFERROR(VLOOKUP(C118,Regularizare!B:AX,48,0),"eroare")</f>
        <v>81</v>
      </c>
      <c r="Y118" s="126">
        <f>IFERROR(VLOOKUP(C118,Regularizare!B:AX,47,0),"eroare")+IFERROR(VLOOKUP(C118,Regularizare!B:AX,49,0),"eroare")</f>
        <v>78</v>
      </c>
      <c r="Z118" s="126">
        <f t="shared" si="150"/>
        <v>0</v>
      </c>
      <c r="AA118" s="126">
        <f t="shared" si="151"/>
        <v>0</v>
      </c>
      <c r="AB118" s="126">
        <f t="shared" si="152"/>
        <v>0</v>
      </c>
      <c r="AC118" s="126">
        <f t="shared" si="153"/>
        <v>0</v>
      </c>
      <c r="AD118" s="126">
        <f t="shared" si="154"/>
        <v>0</v>
      </c>
      <c r="AE118" s="126">
        <f t="shared" si="155"/>
        <v>0</v>
      </c>
      <c r="AF118" s="126">
        <f t="shared" si="156"/>
        <v>0</v>
      </c>
      <c r="AG118" s="126">
        <f t="shared" si="145"/>
        <v>0</v>
      </c>
      <c r="AH118" s="126">
        <f t="shared" si="157"/>
        <v>0</v>
      </c>
      <c r="AI118" s="126">
        <f t="shared" si="158"/>
        <v>0</v>
      </c>
      <c r="AJ118" s="126">
        <f t="shared" si="159"/>
        <v>0</v>
      </c>
      <c r="AK118" s="126">
        <v>0</v>
      </c>
      <c r="AL118" s="126">
        <v>0</v>
      </c>
      <c r="AM118" s="126">
        <v>0</v>
      </c>
      <c r="AN118" s="126">
        <v>0</v>
      </c>
    </row>
    <row r="119" spans="1:40">
      <c r="A119" s="17">
        <v>20</v>
      </c>
      <c r="B119" s="17" t="str">
        <f t="shared" si="135"/>
        <v>RN10</v>
      </c>
      <c r="C119" s="198" t="s">
        <v>1279</v>
      </c>
      <c r="D119" s="198" t="str">
        <f>IFERROR(VLOOKUP(C119,'Inchidere contur'!B:U,20,0),VLOOKUP(C119,'Inchidere contur'!G:U,15,0))</f>
        <v>JT_SDI</v>
      </c>
      <c r="E119" s="126">
        <f>IFERROR(IFERROR(VLOOKUP(C119,'Inchidere contur'!B:U,20-4,0),VLOOKUP(C119,'Inchidere contur'!G:U,15-4,0)),"eroare")</f>
        <v>4793</v>
      </c>
      <c r="F119" s="200">
        <v>0</v>
      </c>
      <c r="G119" s="200">
        <v>0</v>
      </c>
      <c r="H119" s="126">
        <f t="shared" si="146"/>
        <v>4793</v>
      </c>
      <c r="I119" s="126">
        <f t="shared" si="136"/>
        <v>0</v>
      </c>
      <c r="J119" s="126">
        <f t="shared" si="137"/>
        <v>4793</v>
      </c>
      <c r="K119" s="126">
        <f t="shared" si="138"/>
        <v>4793</v>
      </c>
      <c r="L119" s="126">
        <f t="shared" si="139"/>
        <v>4793</v>
      </c>
      <c r="M119" s="126">
        <f t="shared" si="140"/>
        <v>4793</v>
      </c>
      <c r="N119" s="126">
        <f t="shared" si="141"/>
        <v>4793</v>
      </c>
      <c r="O119" s="126">
        <f t="shared" si="142"/>
        <v>4793</v>
      </c>
      <c r="P119" s="126">
        <f t="shared" si="147"/>
        <v>4793</v>
      </c>
      <c r="Q119" s="126">
        <f t="shared" si="143"/>
        <v>4793</v>
      </c>
      <c r="R119" s="126">
        <f t="shared" si="144"/>
        <v>4793</v>
      </c>
      <c r="S119" s="126">
        <f>IFERROR(IFERROR(VLOOKUP(C119,'Inchidere contur'!B:U,20-3,0),VLOOKUP(C119,'Inchidere contur'!G:U,15-3,0)),"eroare")</f>
        <v>3692</v>
      </c>
      <c r="T119" s="126">
        <f>IFERROR(IFERROR(VLOOKUP(C119,'Inchidere contur'!B:U,20-2,0),VLOOKUP(C119,'Inchidere contur'!G:U,15-2,0)),"eroare")</f>
        <v>0</v>
      </c>
      <c r="U119" s="126">
        <f t="shared" si="148"/>
        <v>0</v>
      </c>
      <c r="V119" s="126">
        <f t="shared" si="149"/>
        <v>0</v>
      </c>
      <c r="W119" s="126">
        <f>IFERROR(VLOOKUP(C119,Regularizare!B:AX,45,0),"eroare")</f>
        <v>0</v>
      </c>
      <c r="X119" s="126">
        <f>IFERROR(VLOOKUP(C119,Regularizare!B:AX,46,0),"eroare")+IFERROR(VLOOKUP(C119,Regularizare!B:AX,48,0),"eroare")</f>
        <v>0</v>
      </c>
      <c r="Y119" s="126">
        <f>IFERROR(VLOOKUP(C119,Regularizare!B:AX,47,0),"eroare")+IFERROR(VLOOKUP(C119,Regularizare!B:AX,49,0),"eroare")</f>
        <v>0</v>
      </c>
      <c r="Z119" s="126">
        <f t="shared" si="150"/>
        <v>0</v>
      </c>
      <c r="AA119" s="126">
        <f t="shared" si="151"/>
        <v>0</v>
      </c>
      <c r="AB119" s="126">
        <f t="shared" si="152"/>
        <v>0</v>
      </c>
      <c r="AC119" s="126">
        <f t="shared" si="153"/>
        <v>0</v>
      </c>
      <c r="AD119" s="126">
        <f t="shared" si="154"/>
        <v>0</v>
      </c>
      <c r="AE119" s="126">
        <f t="shared" si="155"/>
        <v>0</v>
      </c>
      <c r="AF119" s="126">
        <f t="shared" si="156"/>
        <v>0</v>
      </c>
      <c r="AG119" s="126">
        <f t="shared" si="145"/>
        <v>0</v>
      </c>
      <c r="AH119" s="126">
        <f t="shared" si="157"/>
        <v>0</v>
      </c>
      <c r="AI119" s="126">
        <f t="shared" si="158"/>
        <v>0</v>
      </c>
      <c r="AJ119" s="126">
        <f t="shared" si="159"/>
        <v>0</v>
      </c>
      <c r="AK119" s="126">
        <v>0</v>
      </c>
      <c r="AL119" s="126">
        <v>0</v>
      </c>
      <c r="AM119" s="126">
        <v>0</v>
      </c>
      <c r="AN119" s="126">
        <v>0</v>
      </c>
    </row>
    <row r="120" spans="1:40">
      <c r="A120" s="17">
        <v>20</v>
      </c>
      <c r="B120" s="17" t="str">
        <f t="shared" si="135"/>
        <v>RN10</v>
      </c>
      <c r="C120" s="198" t="s">
        <v>1283</v>
      </c>
      <c r="D120" s="198" t="str">
        <f>IFERROR(VLOOKUP(C120,'Inchidere contur'!B:U,20,0),VLOOKUP(C120,'Inchidere contur'!G:U,15,0))</f>
        <v>JT_SDI</v>
      </c>
      <c r="E120" s="126">
        <f>IFERROR(IFERROR(VLOOKUP(C120,'Inchidere contur'!B:U,20-4,0),VLOOKUP(C120,'Inchidere contur'!G:U,15-4,0)),"eroare")</f>
        <v>3593</v>
      </c>
      <c r="F120" s="200">
        <v>0</v>
      </c>
      <c r="G120" s="200">
        <v>0</v>
      </c>
      <c r="H120" s="126">
        <f t="shared" si="146"/>
        <v>3593</v>
      </c>
      <c r="I120" s="126">
        <f t="shared" si="136"/>
        <v>0</v>
      </c>
      <c r="J120" s="126">
        <f t="shared" si="137"/>
        <v>3593</v>
      </c>
      <c r="K120" s="126">
        <f t="shared" si="138"/>
        <v>3593</v>
      </c>
      <c r="L120" s="126">
        <f t="shared" si="139"/>
        <v>3593</v>
      </c>
      <c r="M120" s="126">
        <f t="shared" si="140"/>
        <v>3593</v>
      </c>
      <c r="N120" s="126">
        <f t="shared" si="141"/>
        <v>3593</v>
      </c>
      <c r="O120" s="126">
        <f t="shared" si="142"/>
        <v>3593</v>
      </c>
      <c r="P120" s="126">
        <f t="shared" si="147"/>
        <v>3593</v>
      </c>
      <c r="Q120" s="126">
        <f t="shared" si="143"/>
        <v>3593</v>
      </c>
      <c r="R120" s="126">
        <f t="shared" si="144"/>
        <v>3593</v>
      </c>
      <c r="S120" s="126">
        <f>IFERROR(IFERROR(VLOOKUP(C120,'Inchidere contur'!B:U,20-3,0),VLOOKUP(C120,'Inchidere contur'!G:U,15-3,0)),"eroare")</f>
        <v>9902</v>
      </c>
      <c r="T120" s="126">
        <f>IFERROR(IFERROR(VLOOKUP(C120,'Inchidere contur'!B:U,20-2,0),VLOOKUP(C120,'Inchidere contur'!G:U,15-2,0)),"eroare")</f>
        <v>0</v>
      </c>
      <c r="U120" s="126">
        <f t="shared" si="148"/>
        <v>0</v>
      </c>
      <c r="V120" s="126">
        <f t="shared" si="149"/>
        <v>0</v>
      </c>
      <c r="W120" s="126">
        <f>IFERROR(VLOOKUP(C120,Regularizare!B:AX,45,0),"eroare")</f>
        <v>0</v>
      </c>
      <c r="X120" s="126">
        <f>IFERROR(VLOOKUP(C120,Regularizare!B:AX,46,0),"eroare")+IFERROR(VLOOKUP(C120,Regularizare!B:AX,48,0),"eroare")</f>
        <v>719</v>
      </c>
      <c r="Y120" s="126">
        <f>IFERROR(VLOOKUP(C120,Regularizare!B:AX,47,0),"eroare")+IFERROR(VLOOKUP(C120,Regularizare!B:AX,49,0),"eroare")</f>
        <v>157</v>
      </c>
      <c r="Z120" s="126">
        <f t="shared" si="150"/>
        <v>0</v>
      </c>
      <c r="AA120" s="126">
        <f t="shared" si="151"/>
        <v>0</v>
      </c>
      <c r="AB120" s="126">
        <f t="shared" si="152"/>
        <v>0</v>
      </c>
      <c r="AC120" s="126">
        <f t="shared" si="153"/>
        <v>0</v>
      </c>
      <c r="AD120" s="126">
        <f t="shared" si="154"/>
        <v>0</v>
      </c>
      <c r="AE120" s="126">
        <f t="shared" si="155"/>
        <v>0</v>
      </c>
      <c r="AF120" s="126">
        <f t="shared" si="156"/>
        <v>0</v>
      </c>
      <c r="AG120" s="126">
        <f t="shared" si="145"/>
        <v>0</v>
      </c>
      <c r="AH120" s="126">
        <f t="shared" si="157"/>
        <v>0</v>
      </c>
      <c r="AI120" s="126">
        <f t="shared" si="158"/>
        <v>0</v>
      </c>
      <c r="AJ120" s="126">
        <f t="shared" si="159"/>
        <v>0</v>
      </c>
      <c r="AK120" s="126">
        <v>0</v>
      </c>
      <c r="AL120" s="126">
        <v>0</v>
      </c>
      <c r="AM120" s="126">
        <v>0</v>
      </c>
      <c r="AN120" s="126">
        <v>0</v>
      </c>
    </row>
    <row r="121" spans="1:40">
      <c r="A121" s="17">
        <v>20</v>
      </c>
      <c r="B121" s="17" t="str">
        <f t="shared" si="135"/>
        <v>RN10</v>
      </c>
      <c r="C121" s="198" t="s">
        <v>1285</v>
      </c>
      <c r="D121" s="198" t="str">
        <f>IFERROR(VLOOKUP(C121,'Inchidere contur'!B:U,20,0),VLOOKUP(C121,'Inchidere contur'!G:U,15,0))</f>
        <v>JT_SDI</v>
      </c>
      <c r="E121" s="126">
        <f>IFERROR(IFERROR(VLOOKUP(C121,'Inchidere contur'!B:U,20-4,0),VLOOKUP(C121,'Inchidere contur'!G:U,15-4,0)),"eroare")</f>
        <v>15070</v>
      </c>
      <c r="F121" s="200">
        <v>0</v>
      </c>
      <c r="G121" s="200">
        <v>0</v>
      </c>
      <c r="H121" s="126">
        <f t="shared" si="146"/>
        <v>15070</v>
      </c>
      <c r="I121" s="126">
        <f t="shared" si="136"/>
        <v>0</v>
      </c>
      <c r="J121" s="126">
        <f t="shared" si="137"/>
        <v>15070</v>
      </c>
      <c r="K121" s="126">
        <f t="shared" si="138"/>
        <v>15070</v>
      </c>
      <c r="L121" s="126">
        <f t="shared" si="139"/>
        <v>15070</v>
      </c>
      <c r="M121" s="126">
        <f t="shared" si="140"/>
        <v>15070</v>
      </c>
      <c r="N121" s="126">
        <f t="shared" si="141"/>
        <v>15070</v>
      </c>
      <c r="O121" s="126">
        <f t="shared" si="142"/>
        <v>15070</v>
      </c>
      <c r="P121" s="126">
        <f t="shared" si="147"/>
        <v>15070</v>
      </c>
      <c r="Q121" s="126">
        <f t="shared" si="143"/>
        <v>15070</v>
      </c>
      <c r="R121" s="126">
        <f t="shared" si="144"/>
        <v>15070</v>
      </c>
      <c r="S121" s="126">
        <f>IFERROR(IFERROR(VLOOKUP(C121,'Inchidere contur'!B:U,20-3,0),VLOOKUP(C121,'Inchidere contur'!G:U,15-3,0)),"eroare")</f>
        <v>0</v>
      </c>
      <c r="T121" s="126">
        <f>IFERROR(IFERROR(VLOOKUP(C121,'Inchidere contur'!B:U,20-2,0),VLOOKUP(C121,'Inchidere contur'!G:U,15-2,0)),"eroare")</f>
        <v>6506</v>
      </c>
      <c r="U121" s="126">
        <f t="shared" si="148"/>
        <v>6506</v>
      </c>
      <c r="V121" s="126">
        <f t="shared" si="149"/>
        <v>6506</v>
      </c>
      <c r="W121" s="126">
        <f>IFERROR(VLOOKUP(C121,Regularizare!B:AX,45,0),"eroare")</f>
        <v>0</v>
      </c>
      <c r="X121" s="126">
        <f>IFERROR(VLOOKUP(C121,Regularizare!B:AX,46,0),"eroare")+IFERROR(VLOOKUP(C121,Regularizare!B:AX,48,0),"eroare")</f>
        <v>2834</v>
      </c>
      <c r="Y121" s="126">
        <f>IFERROR(VLOOKUP(C121,Regularizare!B:AX,47,0),"eroare")+IFERROR(VLOOKUP(C121,Regularizare!B:AX,49,0),"eroare")</f>
        <v>615</v>
      </c>
      <c r="Z121" s="126">
        <f t="shared" si="150"/>
        <v>0</v>
      </c>
      <c r="AA121" s="126">
        <f t="shared" si="151"/>
        <v>0</v>
      </c>
      <c r="AB121" s="126">
        <f t="shared" si="152"/>
        <v>0</v>
      </c>
      <c r="AC121" s="126">
        <f t="shared" si="153"/>
        <v>0</v>
      </c>
      <c r="AD121" s="126">
        <f t="shared" si="154"/>
        <v>0</v>
      </c>
      <c r="AE121" s="126">
        <f t="shared" si="155"/>
        <v>0</v>
      </c>
      <c r="AF121" s="126">
        <f t="shared" si="156"/>
        <v>0</v>
      </c>
      <c r="AG121" s="126">
        <f t="shared" si="145"/>
        <v>0</v>
      </c>
      <c r="AH121" s="126">
        <f t="shared" si="157"/>
        <v>0</v>
      </c>
      <c r="AI121" s="126">
        <f t="shared" si="158"/>
        <v>0</v>
      </c>
      <c r="AJ121" s="126">
        <f t="shared" si="159"/>
        <v>0</v>
      </c>
      <c r="AK121" s="126">
        <v>0</v>
      </c>
      <c r="AL121" s="126">
        <v>0</v>
      </c>
      <c r="AM121" s="126">
        <v>0</v>
      </c>
      <c r="AN121" s="126">
        <v>0</v>
      </c>
    </row>
    <row r="122" spans="1:40">
      <c r="A122" s="17">
        <v>20</v>
      </c>
      <c r="B122" s="17" t="str">
        <f t="shared" si="135"/>
        <v>RN10</v>
      </c>
      <c r="C122" s="198" t="s">
        <v>1266</v>
      </c>
      <c r="D122" s="198" t="str">
        <f>IFERROR(VLOOKUP(C122,'Inchidere contur'!B:U,20,0),VLOOKUP(C122,'Inchidere contur'!G:U,15,0))</f>
        <v>JT_OD</v>
      </c>
      <c r="E122" s="126">
        <f>IFERROR(IFERROR(VLOOKUP(C122,'Inchidere contur'!B:U,20-4,0),VLOOKUP(C122,'Inchidere contur'!G:U,15-4,0)),"eroare")</f>
        <v>2360</v>
      </c>
      <c r="F122" s="200">
        <v>0</v>
      </c>
      <c r="G122" s="200">
        <v>0</v>
      </c>
      <c r="H122" s="126">
        <f t="shared" si="146"/>
        <v>2360</v>
      </c>
      <c r="I122" s="126">
        <f t="shared" si="136"/>
        <v>2360</v>
      </c>
      <c r="J122" s="126">
        <f t="shared" si="137"/>
        <v>2360</v>
      </c>
      <c r="K122" s="126">
        <f t="shared" si="138"/>
        <v>2360</v>
      </c>
      <c r="L122" s="126">
        <f t="shared" si="139"/>
        <v>2360</v>
      </c>
      <c r="M122" s="126">
        <f t="shared" si="140"/>
        <v>2360</v>
      </c>
      <c r="N122" s="126">
        <f t="shared" si="141"/>
        <v>2360</v>
      </c>
      <c r="O122" s="126">
        <f t="shared" si="142"/>
        <v>2360</v>
      </c>
      <c r="P122" s="126">
        <f t="shared" si="147"/>
        <v>2360</v>
      </c>
      <c r="Q122" s="126">
        <f t="shared" si="143"/>
        <v>0</v>
      </c>
      <c r="R122" s="126">
        <f t="shared" si="144"/>
        <v>0</v>
      </c>
      <c r="S122" s="126">
        <f>IFERROR(IFERROR(VLOOKUP(C122,'Inchidere contur'!B:U,20-3,0),VLOOKUP(C122,'Inchidere contur'!G:U,15-3,0)),"eroare")</f>
        <v>0</v>
      </c>
      <c r="T122" s="126">
        <f>IFERROR(IFERROR(VLOOKUP(C122,'Inchidere contur'!B:U,20-2,0),VLOOKUP(C122,'Inchidere contur'!G:U,15-2,0)),"eroare")</f>
        <v>0</v>
      </c>
      <c r="U122" s="126">
        <f t="shared" si="148"/>
        <v>0</v>
      </c>
      <c r="V122" s="126">
        <f t="shared" si="149"/>
        <v>0</v>
      </c>
      <c r="W122" s="126">
        <f>IFERROR(VLOOKUP(C122,Regularizare!B:AX,45,0),"eroare")</f>
        <v>1820</v>
      </c>
      <c r="X122" s="126">
        <f>IFERROR(VLOOKUP(C122,Regularizare!B:AX,46,0),"eroare")+IFERROR(VLOOKUP(C122,Regularizare!B:AX,48,0),"eroare")</f>
        <v>0</v>
      </c>
      <c r="Y122" s="126">
        <f>IFERROR(VLOOKUP(C122,Regularizare!B:AX,47,0),"eroare")+IFERROR(VLOOKUP(C122,Regularizare!B:AX,49,0),"eroare")</f>
        <v>0</v>
      </c>
      <c r="Z122" s="126">
        <f t="shared" si="150"/>
        <v>1820</v>
      </c>
      <c r="AA122" s="126">
        <f t="shared" si="151"/>
        <v>1820</v>
      </c>
      <c r="AB122" s="126">
        <f t="shared" si="152"/>
        <v>1820</v>
      </c>
      <c r="AC122" s="126">
        <f t="shared" si="153"/>
        <v>1820</v>
      </c>
      <c r="AD122" s="126">
        <f t="shared" si="154"/>
        <v>1820</v>
      </c>
      <c r="AE122" s="126">
        <f t="shared" si="155"/>
        <v>1820</v>
      </c>
      <c r="AF122" s="126">
        <f t="shared" si="156"/>
        <v>1820</v>
      </c>
      <c r="AG122" s="126">
        <f t="shared" si="145"/>
        <v>1820</v>
      </c>
      <c r="AH122" s="126">
        <f t="shared" si="157"/>
        <v>1820</v>
      </c>
      <c r="AI122" s="126">
        <f t="shared" si="158"/>
        <v>0</v>
      </c>
      <c r="AJ122" s="126">
        <f t="shared" si="159"/>
        <v>0</v>
      </c>
      <c r="AK122" s="126">
        <v>0</v>
      </c>
      <c r="AL122" s="126">
        <v>0</v>
      </c>
      <c r="AM122" s="126">
        <v>0</v>
      </c>
      <c r="AN122" s="126">
        <v>0</v>
      </c>
    </row>
    <row r="123" spans="1:40">
      <c r="A123" s="17">
        <v>20</v>
      </c>
      <c r="B123" s="17" t="str">
        <f t="shared" si="135"/>
        <v>RN10</v>
      </c>
      <c r="C123" s="198" t="s">
        <v>1267</v>
      </c>
      <c r="D123" s="198" t="str">
        <f>IFERROR(VLOOKUP(C123,'Inchidere contur'!B:U,20,0),VLOOKUP(C123,'Inchidere contur'!G:U,15,0))</f>
        <v>JT_OD</v>
      </c>
      <c r="E123" s="126">
        <f>IFERROR(IFERROR(VLOOKUP(C123,'Inchidere contur'!B:U,20-4,0),VLOOKUP(C123,'Inchidere contur'!G:U,15-4,0)),"eroare")</f>
        <v>2956</v>
      </c>
      <c r="F123" s="200">
        <v>0</v>
      </c>
      <c r="G123" s="200">
        <v>0</v>
      </c>
      <c r="H123" s="126">
        <f t="shared" si="146"/>
        <v>2956</v>
      </c>
      <c r="I123" s="126">
        <f t="shared" si="136"/>
        <v>2956</v>
      </c>
      <c r="J123" s="126">
        <f t="shared" si="137"/>
        <v>2956</v>
      </c>
      <c r="K123" s="126">
        <f t="shared" si="138"/>
        <v>2956</v>
      </c>
      <c r="L123" s="126">
        <f t="shared" si="139"/>
        <v>2956</v>
      </c>
      <c r="M123" s="126">
        <f t="shared" si="140"/>
        <v>2956</v>
      </c>
      <c r="N123" s="126">
        <f t="shared" si="141"/>
        <v>2956</v>
      </c>
      <c r="O123" s="126">
        <f t="shared" si="142"/>
        <v>2956</v>
      </c>
      <c r="P123" s="126">
        <f t="shared" si="147"/>
        <v>2956</v>
      </c>
      <c r="Q123" s="126">
        <f t="shared" si="143"/>
        <v>0</v>
      </c>
      <c r="R123" s="126">
        <f t="shared" si="144"/>
        <v>0</v>
      </c>
      <c r="S123" s="126">
        <f>IFERROR(IFERROR(VLOOKUP(C123,'Inchidere contur'!B:U,20-3,0),VLOOKUP(C123,'Inchidere contur'!G:U,15-3,0)),"eroare")</f>
        <v>0</v>
      </c>
      <c r="T123" s="126">
        <f>IFERROR(IFERROR(VLOOKUP(C123,'Inchidere contur'!B:U,20-2,0),VLOOKUP(C123,'Inchidere contur'!G:U,15-2,0)),"eroare")</f>
        <v>0</v>
      </c>
      <c r="U123" s="126">
        <f t="shared" si="148"/>
        <v>0</v>
      </c>
      <c r="V123" s="126">
        <f t="shared" si="149"/>
        <v>0</v>
      </c>
      <c r="W123" s="126">
        <f>IFERROR(VLOOKUP(C123,Regularizare!B:AX,45,0),"eroare")</f>
        <v>0</v>
      </c>
      <c r="X123" s="126">
        <f>IFERROR(VLOOKUP(C123,Regularizare!B:AX,46,0),"eroare")+IFERROR(VLOOKUP(C123,Regularizare!B:AX,48,0),"eroare")</f>
        <v>0</v>
      </c>
      <c r="Y123" s="126">
        <f>IFERROR(VLOOKUP(C123,Regularizare!B:AX,47,0),"eroare")+IFERROR(VLOOKUP(C123,Regularizare!B:AX,49,0),"eroare")</f>
        <v>0</v>
      </c>
      <c r="Z123" s="126">
        <f t="shared" si="150"/>
        <v>0</v>
      </c>
      <c r="AA123" s="126">
        <f t="shared" si="151"/>
        <v>0</v>
      </c>
      <c r="AB123" s="126">
        <f t="shared" si="152"/>
        <v>0</v>
      </c>
      <c r="AC123" s="126">
        <f t="shared" si="153"/>
        <v>0</v>
      </c>
      <c r="AD123" s="126">
        <f t="shared" si="154"/>
        <v>0</v>
      </c>
      <c r="AE123" s="126">
        <f t="shared" si="155"/>
        <v>0</v>
      </c>
      <c r="AF123" s="126">
        <f t="shared" si="156"/>
        <v>0</v>
      </c>
      <c r="AG123" s="126">
        <f t="shared" si="145"/>
        <v>0</v>
      </c>
      <c r="AH123" s="126">
        <f t="shared" si="157"/>
        <v>0</v>
      </c>
      <c r="AI123" s="126">
        <f t="shared" si="158"/>
        <v>0</v>
      </c>
      <c r="AJ123" s="126">
        <f t="shared" si="159"/>
        <v>0</v>
      </c>
      <c r="AK123" s="126">
        <v>0</v>
      </c>
      <c r="AL123" s="126">
        <v>0</v>
      </c>
      <c r="AM123" s="126">
        <v>0</v>
      </c>
      <c r="AN123" s="126">
        <v>0</v>
      </c>
    </row>
    <row r="124" spans="1:40">
      <c r="A124" s="17">
        <v>20</v>
      </c>
      <c r="B124" s="17" t="str">
        <f t="shared" si="135"/>
        <v>RN10</v>
      </c>
      <c r="C124" s="198" t="s">
        <v>1268</v>
      </c>
      <c r="D124" s="198" t="str">
        <f>IFERROR(VLOOKUP(C124,'Inchidere contur'!B:U,20,0),VLOOKUP(C124,'Inchidere contur'!G:U,15,0))</f>
        <v>JT_OD</v>
      </c>
      <c r="E124" s="126">
        <f>IFERROR(IFERROR(VLOOKUP(C124,'Inchidere contur'!B:U,20-4,0),VLOOKUP(C124,'Inchidere contur'!G:U,15-4,0)),"eroare")</f>
        <v>3005</v>
      </c>
      <c r="F124" s="200">
        <v>0</v>
      </c>
      <c r="G124" s="200">
        <v>0</v>
      </c>
      <c r="H124" s="126">
        <f t="shared" si="146"/>
        <v>3005</v>
      </c>
      <c r="I124" s="126">
        <f t="shared" si="136"/>
        <v>3005</v>
      </c>
      <c r="J124" s="126">
        <f t="shared" si="137"/>
        <v>3005</v>
      </c>
      <c r="K124" s="126">
        <f t="shared" si="138"/>
        <v>3005</v>
      </c>
      <c r="L124" s="126">
        <f t="shared" si="139"/>
        <v>3005</v>
      </c>
      <c r="M124" s="126">
        <f t="shared" si="140"/>
        <v>3005</v>
      </c>
      <c r="N124" s="126">
        <f t="shared" si="141"/>
        <v>3005</v>
      </c>
      <c r="O124" s="126">
        <f t="shared" si="142"/>
        <v>3005</v>
      </c>
      <c r="P124" s="126">
        <f t="shared" si="147"/>
        <v>3005</v>
      </c>
      <c r="Q124" s="126">
        <f t="shared" si="143"/>
        <v>0</v>
      </c>
      <c r="R124" s="126">
        <f t="shared" si="144"/>
        <v>0</v>
      </c>
      <c r="S124" s="126">
        <f>IFERROR(IFERROR(VLOOKUP(C124,'Inchidere contur'!B:U,20-3,0),VLOOKUP(C124,'Inchidere contur'!G:U,15-3,0)),"eroare")</f>
        <v>0</v>
      </c>
      <c r="T124" s="126">
        <f>IFERROR(IFERROR(VLOOKUP(C124,'Inchidere contur'!B:U,20-2,0),VLOOKUP(C124,'Inchidere contur'!G:U,15-2,0)),"eroare")</f>
        <v>0</v>
      </c>
      <c r="U124" s="126">
        <f t="shared" si="148"/>
        <v>0</v>
      </c>
      <c r="V124" s="126">
        <f t="shared" si="149"/>
        <v>0</v>
      </c>
      <c r="W124" s="126">
        <f>IFERROR(VLOOKUP(C124,Regularizare!B:AX,45,0),"eroare")</f>
        <v>0</v>
      </c>
      <c r="X124" s="126">
        <f>IFERROR(VLOOKUP(C124,Regularizare!B:AX,46,0),"eroare")+IFERROR(VLOOKUP(C124,Regularizare!B:AX,48,0),"eroare")</f>
        <v>0</v>
      </c>
      <c r="Y124" s="126">
        <f>IFERROR(VLOOKUP(C124,Regularizare!B:AX,47,0),"eroare")+IFERROR(VLOOKUP(C124,Regularizare!B:AX,49,0),"eroare")</f>
        <v>0</v>
      </c>
      <c r="Z124" s="126">
        <f t="shared" si="150"/>
        <v>0</v>
      </c>
      <c r="AA124" s="126">
        <f t="shared" si="151"/>
        <v>0</v>
      </c>
      <c r="AB124" s="126">
        <f t="shared" si="152"/>
        <v>0</v>
      </c>
      <c r="AC124" s="126">
        <f t="shared" si="153"/>
        <v>0</v>
      </c>
      <c r="AD124" s="126">
        <f t="shared" si="154"/>
        <v>0</v>
      </c>
      <c r="AE124" s="126">
        <f t="shared" si="155"/>
        <v>0</v>
      </c>
      <c r="AF124" s="126">
        <f t="shared" si="156"/>
        <v>0</v>
      </c>
      <c r="AG124" s="126">
        <f t="shared" si="145"/>
        <v>0</v>
      </c>
      <c r="AH124" s="126">
        <f t="shared" si="157"/>
        <v>0</v>
      </c>
      <c r="AI124" s="126">
        <f t="shared" si="158"/>
        <v>0</v>
      </c>
      <c r="AJ124" s="126">
        <f t="shared" si="159"/>
        <v>0</v>
      </c>
      <c r="AK124" s="126">
        <v>0</v>
      </c>
      <c r="AL124" s="126">
        <v>0</v>
      </c>
      <c r="AM124" s="126">
        <v>0</v>
      </c>
      <c r="AN124" s="126">
        <v>0</v>
      </c>
    </row>
    <row r="125" spans="1:40">
      <c r="A125" s="17">
        <v>20</v>
      </c>
      <c r="B125" s="17" t="str">
        <f t="shared" si="135"/>
        <v>RN10</v>
      </c>
      <c r="C125" s="198" t="s">
        <v>1269</v>
      </c>
      <c r="D125" s="198" t="str">
        <f>IFERROR(VLOOKUP(C125,'Inchidere contur'!B:U,20,0),VLOOKUP(C125,'Inchidere contur'!G:U,15,0))</f>
        <v>JT_OD</v>
      </c>
      <c r="E125" s="126">
        <f>IFERROR(IFERROR(VLOOKUP(C125,'Inchidere contur'!B:U,20-4,0),VLOOKUP(C125,'Inchidere contur'!G:U,15-4,0)),"eroare")</f>
        <v>572</v>
      </c>
      <c r="F125" s="200">
        <v>0</v>
      </c>
      <c r="G125" s="200">
        <v>0</v>
      </c>
      <c r="H125" s="126">
        <f t="shared" si="146"/>
        <v>572</v>
      </c>
      <c r="I125" s="126">
        <f t="shared" si="136"/>
        <v>572</v>
      </c>
      <c r="J125" s="126">
        <f t="shared" si="137"/>
        <v>572</v>
      </c>
      <c r="K125" s="126">
        <f t="shared" si="138"/>
        <v>572</v>
      </c>
      <c r="L125" s="126">
        <f t="shared" si="139"/>
        <v>572</v>
      </c>
      <c r="M125" s="126">
        <f t="shared" si="140"/>
        <v>572</v>
      </c>
      <c r="N125" s="126">
        <f t="shared" si="141"/>
        <v>572</v>
      </c>
      <c r="O125" s="126">
        <f t="shared" si="142"/>
        <v>572</v>
      </c>
      <c r="P125" s="126">
        <f t="shared" si="147"/>
        <v>572</v>
      </c>
      <c r="Q125" s="126">
        <f t="shared" si="143"/>
        <v>0</v>
      </c>
      <c r="R125" s="126">
        <f t="shared" si="144"/>
        <v>0</v>
      </c>
      <c r="S125" s="126">
        <f>IFERROR(IFERROR(VLOOKUP(C125,'Inchidere contur'!B:U,20-3,0),VLOOKUP(C125,'Inchidere contur'!G:U,15-3,0)),"eroare")</f>
        <v>0</v>
      </c>
      <c r="T125" s="126">
        <f>IFERROR(IFERROR(VLOOKUP(C125,'Inchidere contur'!B:U,20-2,0),VLOOKUP(C125,'Inchidere contur'!G:U,15-2,0)),"eroare")</f>
        <v>0</v>
      </c>
      <c r="U125" s="126">
        <f t="shared" si="148"/>
        <v>0</v>
      </c>
      <c r="V125" s="126">
        <f t="shared" si="149"/>
        <v>0</v>
      </c>
      <c r="W125" s="126">
        <f>IFERROR(VLOOKUP(C125,Regularizare!B:AX,45,0),"eroare")</f>
        <v>100</v>
      </c>
      <c r="X125" s="126">
        <f>IFERROR(VLOOKUP(C125,Regularizare!B:AX,46,0),"eroare")+IFERROR(VLOOKUP(C125,Regularizare!B:AX,48,0),"eroare")</f>
        <v>0</v>
      </c>
      <c r="Y125" s="126">
        <f>IFERROR(VLOOKUP(C125,Regularizare!B:AX,47,0),"eroare")+IFERROR(VLOOKUP(C125,Regularizare!B:AX,49,0),"eroare")</f>
        <v>0</v>
      </c>
      <c r="Z125" s="126">
        <f t="shared" si="150"/>
        <v>100</v>
      </c>
      <c r="AA125" s="126">
        <f t="shared" si="151"/>
        <v>100</v>
      </c>
      <c r="AB125" s="126">
        <f t="shared" si="152"/>
        <v>100</v>
      </c>
      <c r="AC125" s="126">
        <f t="shared" si="153"/>
        <v>100</v>
      </c>
      <c r="AD125" s="126">
        <f t="shared" si="154"/>
        <v>100</v>
      </c>
      <c r="AE125" s="126">
        <f t="shared" si="155"/>
        <v>100</v>
      </c>
      <c r="AF125" s="126">
        <f t="shared" si="156"/>
        <v>100</v>
      </c>
      <c r="AG125" s="126">
        <f t="shared" si="145"/>
        <v>100</v>
      </c>
      <c r="AH125" s="126">
        <f t="shared" si="157"/>
        <v>100</v>
      </c>
      <c r="AI125" s="126">
        <f t="shared" si="158"/>
        <v>0</v>
      </c>
      <c r="AJ125" s="126">
        <f t="shared" si="159"/>
        <v>0</v>
      </c>
      <c r="AK125" s="126">
        <v>0</v>
      </c>
      <c r="AL125" s="126">
        <v>0</v>
      </c>
      <c r="AM125" s="126">
        <v>0</v>
      </c>
      <c r="AN125" s="126">
        <v>0</v>
      </c>
    </row>
    <row r="126" spans="1:40">
      <c r="A126" s="17">
        <v>20</v>
      </c>
      <c r="B126" s="17" t="str">
        <f t="shared" si="135"/>
        <v>RN10</v>
      </c>
      <c r="C126" s="198" t="s">
        <v>1270</v>
      </c>
      <c r="D126" s="198" t="str">
        <f>IFERROR(VLOOKUP(C126,'Inchidere contur'!B:U,20,0),VLOOKUP(C126,'Inchidere contur'!G:U,15,0))</f>
        <v>JT_OD</v>
      </c>
      <c r="E126" s="126">
        <f>IFERROR(IFERROR(VLOOKUP(C126,'Inchidere contur'!B:U,20-4,0),VLOOKUP(C126,'Inchidere contur'!G:U,15-4,0)),"eroare")</f>
        <v>0</v>
      </c>
      <c r="F126" s="200">
        <v>0</v>
      </c>
      <c r="G126" s="200">
        <v>0</v>
      </c>
      <c r="H126" s="126">
        <f t="shared" si="146"/>
        <v>0</v>
      </c>
      <c r="I126" s="126">
        <f t="shared" si="136"/>
        <v>0</v>
      </c>
      <c r="J126" s="126">
        <f t="shared" si="137"/>
        <v>0</v>
      </c>
      <c r="K126" s="126">
        <f t="shared" si="138"/>
        <v>0</v>
      </c>
      <c r="L126" s="126">
        <f t="shared" si="139"/>
        <v>0</v>
      </c>
      <c r="M126" s="126">
        <f t="shared" si="140"/>
        <v>0</v>
      </c>
      <c r="N126" s="126">
        <f t="shared" si="141"/>
        <v>0</v>
      </c>
      <c r="O126" s="126">
        <f t="shared" si="142"/>
        <v>0</v>
      </c>
      <c r="P126" s="126">
        <f t="shared" si="147"/>
        <v>0</v>
      </c>
      <c r="Q126" s="126">
        <f t="shared" si="143"/>
        <v>0</v>
      </c>
      <c r="R126" s="126">
        <f t="shared" si="144"/>
        <v>0</v>
      </c>
      <c r="S126" s="126">
        <f>IFERROR(IFERROR(VLOOKUP(C126,'Inchidere contur'!B:U,20-3,0),VLOOKUP(C126,'Inchidere contur'!G:U,15-3,0)),"eroare")</f>
        <v>0</v>
      </c>
      <c r="T126" s="126">
        <f>IFERROR(IFERROR(VLOOKUP(C126,'Inchidere contur'!B:U,20-2,0),VLOOKUP(C126,'Inchidere contur'!G:U,15-2,0)),"eroare")</f>
        <v>0</v>
      </c>
      <c r="U126" s="126">
        <f t="shared" si="148"/>
        <v>0</v>
      </c>
      <c r="V126" s="126">
        <f t="shared" si="149"/>
        <v>0</v>
      </c>
      <c r="W126" s="126">
        <f>IFERROR(VLOOKUP(C126,Regularizare!B:AX,45,0),"eroare")</f>
        <v>300</v>
      </c>
      <c r="X126" s="126">
        <f>IFERROR(VLOOKUP(C126,Regularizare!B:AX,46,0),"eroare")+IFERROR(VLOOKUP(C126,Regularizare!B:AX,48,0),"eroare")</f>
        <v>0</v>
      </c>
      <c r="Y126" s="126">
        <f>IFERROR(VLOOKUP(C126,Regularizare!B:AX,47,0),"eroare")+IFERROR(VLOOKUP(C126,Regularizare!B:AX,49,0),"eroare")</f>
        <v>0</v>
      </c>
      <c r="Z126" s="126">
        <f t="shared" si="150"/>
        <v>300</v>
      </c>
      <c r="AA126" s="126">
        <f t="shared" si="151"/>
        <v>300</v>
      </c>
      <c r="AB126" s="126">
        <f t="shared" si="152"/>
        <v>300</v>
      </c>
      <c r="AC126" s="126">
        <f t="shared" si="153"/>
        <v>300</v>
      </c>
      <c r="AD126" s="126">
        <f t="shared" si="154"/>
        <v>300</v>
      </c>
      <c r="AE126" s="126">
        <f t="shared" si="155"/>
        <v>300</v>
      </c>
      <c r="AF126" s="126">
        <f t="shared" si="156"/>
        <v>300</v>
      </c>
      <c r="AG126" s="126">
        <f t="shared" si="145"/>
        <v>300</v>
      </c>
      <c r="AH126" s="126">
        <f t="shared" si="157"/>
        <v>300</v>
      </c>
      <c r="AI126" s="126">
        <f t="shared" si="158"/>
        <v>0</v>
      </c>
      <c r="AJ126" s="126">
        <f t="shared" si="159"/>
        <v>0</v>
      </c>
      <c r="AK126" s="126">
        <v>0</v>
      </c>
      <c r="AL126" s="126">
        <v>0</v>
      </c>
      <c r="AM126" s="126">
        <v>0</v>
      </c>
      <c r="AN126" s="126">
        <v>0</v>
      </c>
    </row>
    <row r="127" spans="1:40">
      <c r="A127" s="17">
        <v>20</v>
      </c>
      <c r="B127" s="17" t="str">
        <f t="shared" si="135"/>
        <v>RN10</v>
      </c>
      <c r="C127" s="198" t="s">
        <v>1271</v>
      </c>
      <c r="D127" s="198" t="str">
        <f>IFERROR(VLOOKUP(C127,'Inchidere contur'!B:U,20,0),VLOOKUP(C127,'Inchidere contur'!G:U,15,0))</f>
        <v>JT_OD</v>
      </c>
      <c r="E127" s="126">
        <f>IFERROR(IFERROR(VLOOKUP(C127,'Inchidere contur'!B:U,20-4,0),VLOOKUP(C127,'Inchidere contur'!G:U,15-4,0)),"eroare")</f>
        <v>4350</v>
      </c>
      <c r="F127" s="200">
        <v>0</v>
      </c>
      <c r="G127" s="200">
        <v>0</v>
      </c>
      <c r="H127" s="126">
        <f t="shared" si="146"/>
        <v>4350</v>
      </c>
      <c r="I127" s="126">
        <f t="shared" si="136"/>
        <v>4350</v>
      </c>
      <c r="J127" s="126">
        <f t="shared" si="137"/>
        <v>4350</v>
      </c>
      <c r="K127" s="126">
        <f t="shared" si="138"/>
        <v>4350</v>
      </c>
      <c r="L127" s="126">
        <f t="shared" si="139"/>
        <v>4350</v>
      </c>
      <c r="M127" s="126">
        <f t="shared" si="140"/>
        <v>4350</v>
      </c>
      <c r="N127" s="126">
        <f t="shared" si="141"/>
        <v>4350</v>
      </c>
      <c r="O127" s="126">
        <f t="shared" si="142"/>
        <v>4350</v>
      </c>
      <c r="P127" s="126">
        <f t="shared" si="147"/>
        <v>4350</v>
      </c>
      <c r="Q127" s="126">
        <f t="shared" si="143"/>
        <v>0</v>
      </c>
      <c r="R127" s="126">
        <f t="shared" si="144"/>
        <v>0</v>
      </c>
      <c r="S127" s="126">
        <f>IFERROR(IFERROR(VLOOKUP(C127,'Inchidere contur'!B:U,20-3,0),VLOOKUP(C127,'Inchidere contur'!G:U,15-3,0)),"eroare")</f>
        <v>0</v>
      </c>
      <c r="T127" s="126">
        <f>IFERROR(IFERROR(VLOOKUP(C127,'Inchidere contur'!B:U,20-2,0),VLOOKUP(C127,'Inchidere contur'!G:U,15-2,0)),"eroare")</f>
        <v>0</v>
      </c>
      <c r="U127" s="126">
        <f t="shared" si="148"/>
        <v>0</v>
      </c>
      <c r="V127" s="126">
        <f t="shared" si="149"/>
        <v>0</v>
      </c>
      <c r="W127" s="126">
        <f>IFERROR(VLOOKUP(C127,Regularizare!B:AX,45,0),"eroare")</f>
        <v>0</v>
      </c>
      <c r="X127" s="126">
        <f>IFERROR(VLOOKUP(C127,Regularizare!B:AX,46,0),"eroare")+IFERROR(VLOOKUP(C127,Regularizare!B:AX,48,0),"eroare")</f>
        <v>0</v>
      </c>
      <c r="Y127" s="126">
        <f>IFERROR(VLOOKUP(C127,Regularizare!B:AX,47,0),"eroare")+IFERROR(VLOOKUP(C127,Regularizare!B:AX,49,0),"eroare")</f>
        <v>0</v>
      </c>
      <c r="Z127" s="126">
        <f t="shared" si="150"/>
        <v>0</v>
      </c>
      <c r="AA127" s="126">
        <f t="shared" si="151"/>
        <v>0</v>
      </c>
      <c r="AB127" s="126">
        <f t="shared" si="152"/>
        <v>0</v>
      </c>
      <c r="AC127" s="126">
        <f t="shared" si="153"/>
        <v>0</v>
      </c>
      <c r="AD127" s="126">
        <f t="shared" si="154"/>
        <v>0</v>
      </c>
      <c r="AE127" s="126">
        <f t="shared" si="155"/>
        <v>0</v>
      </c>
      <c r="AF127" s="126">
        <f t="shared" si="156"/>
        <v>0</v>
      </c>
      <c r="AG127" s="126">
        <f t="shared" si="145"/>
        <v>0</v>
      </c>
      <c r="AH127" s="126">
        <f t="shared" si="157"/>
        <v>0</v>
      </c>
      <c r="AI127" s="126">
        <f t="shared" si="158"/>
        <v>0</v>
      </c>
      <c r="AJ127" s="126">
        <f t="shared" si="159"/>
        <v>0</v>
      </c>
      <c r="AK127" s="126">
        <v>0</v>
      </c>
      <c r="AL127" s="126">
        <v>0</v>
      </c>
      <c r="AM127" s="126">
        <v>0</v>
      </c>
      <c r="AN127" s="126">
        <v>0</v>
      </c>
    </row>
    <row r="128" spans="1:40">
      <c r="A128" s="17">
        <v>20</v>
      </c>
      <c r="B128" s="17" t="str">
        <f>LEFT(C128,FIND("_",C128,1)-1)</f>
        <v>RN1</v>
      </c>
      <c r="C128" s="198" t="s">
        <v>1273</v>
      </c>
      <c r="D128" s="198" t="str">
        <f>IFERROR(VLOOKUP(C128,'Inchidere contur'!B:U,20,0),VLOOKUP(C128,'Inchidere contur'!G:U,15,0))</f>
        <v>JT_SDI</v>
      </c>
      <c r="E128" s="126">
        <f>IFERROR(IFERROR(VLOOKUP(C128,'Inchidere contur'!B:U,20-4,0),VLOOKUP(C128,'Inchidere contur'!G:U,15-4,0)),"eroare")</f>
        <v>25058</v>
      </c>
      <c r="F128" s="200">
        <v>0</v>
      </c>
      <c r="G128" s="200">
        <v>0</v>
      </c>
      <c r="H128" s="126">
        <f t="shared" si="146"/>
        <v>25058</v>
      </c>
      <c r="I128" s="126">
        <f t="shared" si="136"/>
        <v>0</v>
      </c>
      <c r="J128" s="126">
        <f t="shared" si="137"/>
        <v>25058</v>
      </c>
      <c r="K128" s="126">
        <f t="shared" si="138"/>
        <v>25058</v>
      </c>
      <c r="L128" s="126">
        <f t="shared" si="139"/>
        <v>25058</v>
      </c>
      <c r="M128" s="126">
        <f t="shared" si="140"/>
        <v>25058</v>
      </c>
      <c r="N128" s="126">
        <f t="shared" si="141"/>
        <v>25058</v>
      </c>
      <c r="O128" s="126">
        <f t="shared" si="142"/>
        <v>25058</v>
      </c>
      <c r="P128" s="126">
        <f t="shared" si="147"/>
        <v>25058</v>
      </c>
      <c r="Q128" s="126">
        <f t="shared" si="143"/>
        <v>25058</v>
      </c>
      <c r="R128" s="126">
        <f t="shared" si="144"/>
        <v>25058</v>
      </c>
      <c r="S128" s="126">
        <f>IFERROR(IFERROR(VLOOKUP(C128,'Inchidere contur'!B:U,20-3,0),VLOOKUP(C128,'Inchidere contur'!G:U,15-3,0)),"eroare")</f>
        <v>15338</v>
      </c>
      <c r="T128" s="126">
        <f>IFERROR(IFERROR(VLOOKUP(C128,'Inchidere contur'!B:U,20-2,0),VLOOKUP(C128,'Inchidere contur'!G:U,15-2,0)),"eroare")</f>
        <v>0</v>
      </c>
      <c r="U128" s="126">
        <f t="shared" si="148"/>
        <v>0</v>
      </c>
      <c r="V128" s="126">
        <f t="shared" si="149"/>
        <v>0</v>
      </c>
      <c r="W128" s="126">
        <f>IFERROR(VLOOKUP(C128,Regularizare!B:AX,45,0),"eroare")</f>
        <v>0</v>
      </c>
      <c r="X128" s="126">
        <f>IFERROR(VLOOKUP(C128,Regularizare!B:AX,46,0),"eroare")+IFERROR(VLOOKUP(C128,Regularizare!B:AX,48,0),"eroare")</f>
        <v>186</v>
      </c>
      <c r="Y128" s="126">
        <f>IFERROR(VLOOKUP(C128,Regularizare!B:AX,47,0),"eroare")+IFERROR(VLOOKUP(C128,Regularizare!B:AX,49,0),"eroare")</f>
        <v>4</v>
      </c>
      <c r="Z128" s="126">
        <f t="shared" si="150"/>
        <v>0</v>
      </c>
      <c r="AA128" s="126">
        <f t="shared" si="151"/>
        <v>0</v>
      </c>
      <c r="AB128" s="126">
        <f t="shared" si="152"/>
        <v>0</v>
      </c>
      <c r="AC128" s="126">
        <f t="shared" si="153"/>
        <v>0</v>
      </c>
      <c r="AD128" s="126">
        <f t="shared" si="154"/>
        <v>0</v>
      </c>
      <c r="AE128" s="126">
        <f t="shared" si="155"/>
        <v>0</v>
      </c>
      <c r="AF128" s="126">
        <f t="shared" si="156"/>
        <v>0</v>
      </c>
      <c r="AG128" s="126">
        <f t="shared" si="145"/>
        <v>0</v>
      </c>
      <c r="AH128" s="126">
        <f t="shared" si="157"/>
        <v>0</v>
      </c>
      <c r="AI128" s="126">
        <f t="shared" si="158"/>
        <v>0</v>
      </c>
      <c r="AJ128" s="126">
        <f t="shared" si="159"/>
        <v>0</v>
      </c>
      <c r="AK128" s="126">
        <v>0</v>
      </c>
      <c r="AL128" s="126">
        <v>0</v>
      </c>
      <c r="AM128" s="126">
        <v>0</v>
      </c>
      <c r="AN128" s="126">
        <v>0</v>
      </c>
    </row>
  </sheetData>
  <autoFilter ref="A2:CO127" xr:uid="{6F4BE2AF-175B-49A7-B1F1-93EAB119E68D}"/>
  <phoneticPr fontId="9" type="noConversion"/>
  <conditionalFormatting sqref="E1:AN1048576">
    <cfRule type="containsText" dxfId="7" priority="9" operator="containsText" text="eroare">
      <formula>NOT(ISERROR(SEARCH("eroare",E1)))</formula>
    </cfRule>
  </conditionalFormatting>
  <conditionalFormatting sqref="AT35:AV35">
    <cfRule type="cellIs" dxfId="6" priority="1" operator="notEqual">
      <formula>0</formula>
    </cfRule>
    <cfRule type="cellIs" dxfId="5" priority="2" operator="equal">
      <formula>0</formula>
    </cfRule>
  </conditionalFormatting>
  <conditionalFormatting sqref="AT1:CC3">
    <cfRule type="containsText" dxfId="4" priority="3" operator="containsText" text="eroare">
      <formula>NOT(ISERROR(SEARCH("eroare",AT1)))</formula>
    </cfRule>
  </conditionalFormatting>
  <conditionalFormatting sqref="CE2:CJ2 CL2">
    <cfRule type="containsText" dxfId="3" priority="7" operator="containsText" text="eroare">
      <formula>NOT(ISERROR(SEARCH("eroare",CE2)))</formula>
    </cfRule>
  </conditionalFormatting>
  <pageMargins left="0.7" right="0.7" top="0.75" bottom="0.75" header="0.3" footer="0.3"/>
  <pageSetup paperSize="9" orientation="portrait" r:id="rId1"/>
  <ignoredErrors>
    <ignoredError sqref="CG14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E20F-096C-6E43-A75E-8F6B04AE268D}">
  <sheetPr filterMode="1"/>
  <dimension ref="A1:AE274"/>
  <sheetViews>
    <sheetView topLeftCell="O1" zoomScale="85" zoomScaleNormal="85" workbookViewId="0">
      <selection activeCell="U26" sqref="U26"/>
    </sheetView>
  </sheetViews>
  <sheetFormatPr defaultColWidth="10.625" defaultRowHeight="15.75"/>
  <cols>
    <col min="1" max="2" width="5.625" style="122" customWidth="1"/>
    <col min="3" max="3" width="64.625" style="341" bestFit="1" customWidth="1"/>
    <col min="4" max="6" width="8.875" style="341"/>
    <col min="7" max="7" width="11.375" style="341" bestFit="1" customWidth="1"/>
    <col min="8" max="8" width="14.375" style="341" customWidth="1"/>
    <col min="9" max="9" width="36.5" style="341" customWidth="1"/>
    <col min="10" max="10" width="8.375" style="388" customWidth="1"/>
    <col min="11" max="11" width="18.125" style="341" customWidth="1"/>
    <col min="12" max="14" width="13.625" customWidth="1"/>
    <col min="15" max="15" width="42.125" bestFit="1" customWidth="1"/>
    <col min="16" max="19" width="13.625" customWidth="1"/>
    <col min="20" max="20" width="27.625" bestFit="1" customWidth="1"/>
    <col min="21" max="21" width="29.375" bestFit="1" customWidth="1"/>
    <col min="22" max="22" width="18.5" bestFit="1" customWidth="1"/>
    <col min="25" max="25" width="22" style="4" customWidth="1"/>
    <col min="26" max="28" width="18.375" style="13" customWidth="1"/>
    <col min="30" max="30" width="10.625" customWidth="1"/>
    <col min="33" max="33" width="10.875" customWidth="1"/>
  </cols>
  <sheetData>
    <row r="1" spans="3:31" ht="16.5" thickBot="1">
      <c r="C1" s="338" t="s">
        <v>1342</v>
      </c>
      <c r="D1" s="338" t="s">
        <v>1343</v>
      </c>
      <c r="E1" s="338" t="s">
        <v>1344</v>
      </c>
      <c r="F1" s="338" t="s">
        <v>1345</v>
      </c>
      <c r="G1" s="338" t="s">
        <v>1346</v>
      </c>
      <c r="H1" s="338" t="s">
        <v>1347</v>
      </c>
      <c r="I1" s="338" t="s">
        <v>520</v>
      </c>
      <c r="J1" s="395"/>
      <c r="K1" s="338" t="s">
        <v>1196</v>
      </c>
      <c r="O1" s="338" t="s">
        <v>1342</v>
      </c>
      <c r="P1" s="338" t="s">
        <v>1343</v>
      </c>
      <c r="Q1" s="338" t="s">
        <v>1344</v>
      </c>
      <c r="R1" s="338" t="s">
        <v>1346</v>
      </c>
      <c r="S1" s="338" t="s">
        <v>1347</v>
      </c>
      <c r="T1" s="338" t="s">
        <v>117</v>
      </c>
      <c r="U1" s="338" t="s">
        <v>120</v>
      </c>
      <c r="V1" s="338"/>
      <c r="Y1" s="6" t="s">
        <v>439</v>
      </c>
      <c r="Z1" s="6" t="s">
        <v>507</v>
      </c>
      <c r="AA1" s="6" t="s">
        <v>506</v>
      </c>
      <c r="AB1" s="6" t="s">
        <v>507</v>
      </c>
      <c r="AC1" s="33" t="s">
        <v>510</v>
      </c>
      <c r="AD1" s="33" t="s">
        <v>511</v>
      </c>
      <c r="AE1" s="35" t="s">
        <v>449</v>
      </c>
    </row>
    <row r="2" spans="3:31" ht="16.5" hidden="1" thickBot="1">
      <c r="C2" s="388"/>
      <c r="Y2" s="77" t="s">
        <v>69</v>
      </c>
      <c r="Z2" s="77" t="s">
        <v>69</v>
      </c>
      <c r="AA2" s="77" t="s">
        <v>69</v>
      </c>
      <c r="AB2" s="77" t="s">
        <v>69</v>
      </c>
      <c r="AC2" s="81" t="s">
        <v>446</v>
      </c>
      <c r="AD2" s="81" t="s">
        <v>446</v>
      </c>
      <c r="AE2" s="78" t="s">
        <v>446</v>
      </c>
    </row>
    <row r="3" spans="3:31" ht="16.5" thickBot="1">
      <c r="C3" s="342" t="s">
        <v>26</v>
      </c>
      <c r="D3" s="342" t="s">
        <v>1351</v>
      </c>
      <c r="E3" s="342" t="s">
        <v>1351</v>
      </c>
      <c r="F3" s="342" t="s">
        <v>1352</v>
      </c>
      <c r="G3" s="343">
        <v>45292</v>
      </c>
      <c r="H3" s="344" t="s">
        <v>1353</v>
      </c>
      <c r="I3" s="345" t="s">
        <v>239</v>
      </c>
      <c r="K3" s="342" t="s">
        <v>1354</v>
      </c>
      <c r="M3" s="406" t="s">
        <v>538</v>
      </c>
      <c r="N3" s="407" t="s">
        <v>679</v>
      </c>
      <c r="O3" s="407" t="str">
        <f>VLOOKUP(LEFT(M3,LEN(M3)-2),'Date SPV'!$B$4:$D$34,3,FALSE)</f>
        <v>Festival Shopping Center SRL</v>
      </c>
      <c r="P3" s="408" t="s">
        <v>1405</v>
      </c>
      <c r="Q3" s="408" t="s">
        <v>1405</v>
      </c>
      <c r="R3" s="408" t="s">
        <v>1405</v>
      </c>
      <c r="S3" s="407" t="str">
        <f>VLOOKUP(VLOOKUP(LEFT(M3,LEN(M3)-2),'Date SPV'!$B$4:$F$34,5,FALSE),'Date SPV'!$T$4:$U$11,2,FALSE)</f>
        <v>DEER Transilvania Sud</v>
      </c>
      <c r="T3" s="407" t="str">
        <f>VLOOKUP(M3,'Contorizare in SDI'!$B:$D,3,FALSE)</f>
        <v>594020200002317122</v>
      </c>
      <c r="U3" s="407" t="str">
        <f>VLOOKUP(N3,'Contorizare in SDI'!$F:$H,3,FALSE)</f>
        <v>594020200002317122/2</v>
      </c>
      <c r="V3" s="409" t="s">
        <v>1354</v>
      </c>
      <c r="W3" s="410">
        <f>W5+W7</f>
        <v>44103</v>
      </c>
      <c r="Y3" s="389" t="s">
        <v>521</v>
      </c>
      <c r="Z3" s="390" t="s">
        <v>662</v>
      </c>
      <c r="AA3" s="490" t="s">
        <v>568</v>
      </c>
      <c r="AB3" s="390" t="s">
        <v>662</v>
      </c>
      <c r="AC3" s="548">
        <v>52535</v>
      </c>
      <c r="AD3" s="548">
        <v>0</v>
      </c>
      <c r="AE3" s="393">
        <f>'Inchidere contur'!D4</f>
        <v>0</v>
      </c>
    </row>
    <row r="4" spans="3:31" ht="16.5" thickBot="1">
      <c r="C4" s="347" t="s">
        <v>26</v>
      </c>
      <c r="D4" s="347" t="s">
        <v>1351</v>
      </c>
      <c r="E4" s="347" t="s">
        <v>1351</v>
      </c>
      <c r="F4" s="347" t="s">
        <v>1352</v>
      </c>
      <c r="G4" s="348">
        <v>45292</v>
      </c>
      <c r="H4" s="349" t="s">
        <v>1353</v>
      </c>
      <c r="I4" s="341" t="s">
        <v>239</v>
      </c>
      <c r="K4" s="347" t="s">
        <v>1355</v>
      </c>
      <c r="M4" s="411" t="s">
        <v>538</v>
      </c>
      <c r="N4" s="403" t="str">
        <f>N3</f>
        <v>RFSC_1.2/PV</v>
      </c>
      <c r="O4" s="403" t="str">
        <f>VLOOKUP(LEFT(M4,LEN(M4)-2),'Date SPV'!$B$4:$D$34,3,FALSE)</f>
        <v>Festival Shopping Center SRL</v>
      </c>
      <c r="P4" s="412" t="s">
        <v>1405</v>
      </c>
      <c r="Q4" s="412" t="s">
        <v>1405</v>
      </c>
      <c r="R4" s="412" t="s">
        <v>1405</v>
      </c>
      <c r="S4" s="403" t="str">
        <f>VLOOKUP(VLOOKUP(LEFT(M4,LEN(M4)-2),'Date SPV'!$B$4:$F$34,5,FALSE),'Date SPV'!$T$4:$U$11,2,FALSE)</f>
        <v>DEER Transilvania Sud</v>
      </c>
      <c r="T4" s="403" t="str">
        <f>VLOOKUP(M4,'Contorizare in SDI'!$B:$D,3,FALSE)</f>
        <v>594020200002317122</v>
      </c>
      <c r="U4" s="403" t="str">
        <f>VLOOKUP(N4,'Contorizare in SDI'!$F:$H,3,FALSE)</f>
        <v>594020200002317122/2</v>
      </c>
      <c r="V4" s="413" t="s">
        <v>1355</v>
      </c>
      <c r="W4" s="414">
        <f>ROUND(W5*W6+W7*W8,2)</f>
        <v>41421.870000000003</v>
      </c>
      <c r="Y4" s="394" t="s">
        <v>521</v>
      </c>
      <c r="Z4" s="391" t="s">
        <v>69</v>
      </c>
      <c r="AA4" s="491" t="s">
        <v>569</v>
      </c>
      <c r="AB4" s="390" t="s">
        <v>662</v>
      </c>
      <c r="AC4" s="548">
        <v>0</v>
      </c>
      <c r="AD4" s="548">
        <v>35716</v>
      </c>
      <c r="AE4" s="393">
        <f>'Inchidere contur'!D5</f>
        <v>0</v>
      </c>
    </row>
    <row r="5" spans="3:31" ht="16.5" thickBot="1">
      <c r="C5" s="347" t="s">
        <v>26</v>
      </c>
      <c r="D5" s="347" t="s">
        <v>1351</v>
      </c>
      <c r="E5" s="347" t="s">
        <v>1351</v>
      </c>
      <c r="F5" s="347" t="s">
        <v>1352</v>
      </c>
      <c r="G5" s="348">
        <v>45292</v>
      </c>
      <c r="H5" s="349" t="s">
        <v>1353</v>
      </c>
      <c r="I5" s="341" t="s">
        <v>239</v>
      </c>
      <c r="K5" s="341" t="s">
        <v>1356</v>
      </c>
      <c r="M5" s="411" t="s">
        <v>538</v>
      </c>
      <c r="N5" s="403" t="str">
        <f>N4</f>
        <v>RFSC_1.2/PV</v>
      </c>
      <c r="O5" s="403" t="str">
        <f>VLOOKUP(LEFT(M5,LEN(M5)-2),'Date SPV'!$B$4:$D$34,3,FALSE)</f>
        <v>Festival Shopping Center SRL</v>
      </c>
      <c r="P5" s="412" t="s">
        <v>1405</v>
      </c>
      <c r="Q5" s="412" t="s">
        <v>1405</v>
      </c>
      <c r="R5" s="412" t="s">
        <v>1405</v>
      </c>
      <c r="S5" s="403" t="str">
        <f>VLOOKUP(VLOOKUP(LEFT(M5,LEN(M5)-2),'Date SPV'!$B$4:$F$34,5,FALSE),'Date SPV'!$T$4:$U$11,2,FALSE)</f>
        <v>DEER Transilvania Sud</v>
      </c>
      <c r="T5" s="403" t="str">
        <f>VLOOKUP(M5,'Contorizare in SDI'!$B:$D,3,FALSE)</f>
        <v>594020200002317122</v>
      </c>
      <c r="U5" s="403" t="str">
        <f>VLOOKUP(N5,'Contorizare in SDI'!$F:$H,3,FALSE)</f>
        <v>594020200002317122/2</v>
      </c>
      <c r="V5" s="415" t="s">
        <v>1356</v>
      </c>
      <c r="W5" s="414">
        <f>SUMIF($AB:$AB,N5,$AC:$AC)</f>
        <v>44103</v>
      </c>
      <c r="Y5" s="394" t="s">
        <v>521</v>
      </c>
      <c r="Z5" s="391" t="s">
        <v>663</v>
      </c>
      <c r="AA5" s="491" t="s">
        <v>570</v>
      </c>
      <c r="AB5" s="391" t="s">
        <v>663</v>
      </c>
      <c r="AC5" s="548">
        <v>40731</v>
      </c>
      <c r="AD5" s="548">
        <v>0</v>
      </c>
      <c r="AE5" s="393">
        <f>'Inchidere contur'!D6</f>
        <v>0</v>
      </c>
    </row>
    <row r="6" spans="3:31" ht="16.5" thickBot="1">
      <c r="C6" s="347" t="s">
        <v>26</v>
      </c>
      <c r="D6" s="347" t="s">
        <v>1351</v>
      </c>
      <c r="E6" s="347" t="s">
        <v>1351</v>
      </c>
      <c r="F6" s="347" t="s">
        <v>1352</v>
      </c>
      <c r="G6" s="348">
        <v>45292</v>
      </c>
      <c r="H6" s="349" t="s">
        <v>1353</v>
      </c>
      <c r="I6" s="341" t="s">
        <v>239</v>
      </c>
      <c r="K6" s="341" t="s">
        <v>1357</v>
      </c>
      <c r="M6" s="411" t="s">
        <v>538</v>
      </c>
      <c r="N6" s="403" t="str">
        <f>N5</f>
        <v>RFSC_1.2/PV</v>
      </c>
      <c r="O6" s="403" t="str">
        <f>VLOOKUP(LEFT(M6,LEN(M6)-2),'Date SPV'!$B$4:$D$34,3,FALSE)</f>
        <v>Festival Shopping Center SRL</v>
      </c>
      <c r="P6" s="412" t="s">
        <v>1405</v>
      </c>
      <c r="Q6" s="412" t="s">
        <v>1405</v>
      </c>
      <c r="R6" s="412" t="s">
        <v>1405</v>
      </c>
      <c r="S6" s="403" t="str">
        <f>VLOOKUP(VLOOKUP(LEFT(M6,LEN(M6)-2),'Date SPV'!$B$4:$F$34,5,FALSE),'Date SPV'!$T$4:$U$11,2,FALSE)</f>
        <v>DEER Transilvania Sud</v>
      </c>
      <c r="T6" s="403" t="str">
        <f>VLOOKUP(M6,'Contorizare in SDI'!$B:$D,3,FALSE)</f>
        <v>594020200002317122</v>
      </c>
      <c r="U6" s="403" t="str">
        <f>VLOOKUP(N6,'Contorizare in SDI'!$F:$H,3,FALSE)</f>
        <v>594020200002317122/2</v>
      </c>
      <c r="V6" s="415" t="s">
        <v>1357</v>
      </c>
      <c r="W6" s="414">
        <f>HLOOKUP(VLOOKUP(LEFT(M6,LEN(M6)-2),'Date SPV'!$B$4:$F$34,5,FALSE),'Preturi si tarife'!$C$2:$J$21,17,FALSE)</f>
        <v>0.93920760000000003</v>
      </c>
      <c r="Y6" s="394" t="s">
        <v>521</v>
      </c>
      <c r="Z6" s="391" t="s">
        <v>69</v>
      </c>
      <c r="AA6" s="491" t="s">
        <v>571</v>
      </c>
      <c r="AB6" s="391" t="s">
        <v>663</v>
      </c>
      <c r="AC6" s="548">
        <v>0</v>
      </c>
      <c r="AD6" s="548">
        <v>35715</v>
      </c>
      <c r="AE6" s="393">
        <f>'Inchidere contur'!D7</f>
        <v>0</v>
      </c>
    </row>
    <row r="7" spans="3:31" ht="16.5" thickBot="1">
      <c r="C7" s="347" t="s">
        <v>26</v>
      </c>
      <c r="D7" s="347" t="s">
        <v>1351</v>
      </c>
      <c r="E7" s="347" t="s">
        <v>1351</v>
      </c>
      <c r="F7" s="347" t="s">
        <v>1352</v>
      </c>
      <c r="G7" s="348">
        <v>45292</v>
      </c>
      <c r="H7" s="349" t="s">
        <v>1353</v>
      </c>
      <c r="I7" s="341" t="s">
        <v>239</v>
      </c>
      <c r="K7" s="341" t="s">
        <v>1358</v>
      </c>
      <c r="M7" s="411" t="s">
        <v>538</v>
      </c>
      <c r="N7" s="403" t="str">
        <f>N6</f>
        <v>RFSC_1.2/PV</v>
      </c>
      <c r="O7" s="403" t="str">
        <f>VLOOKUP(LEFT(M7,LEN(M7)-2),'Date SPV'!$B$4:$D$34,3,FALSE)</f>
        <v>Festival Shopping Center SRL</v>
      </c>
      <c r="P7" s="412" t="s">
        <v>1405</v>
      </c>
      <c r="Q7" s="412" t="s">
        <v>1405</v>
      </c>
      <c r="R7" s="412" t="s">
        <v>1405</v>
      </c>
      <c r="S7" s="403" t="str">
        <f>VLOOKUP(VLOOKUP(LEFT(M7,LEN(M7)-2),'Date SPV'!$B$4:$F$34,5,FALSE),'Date SPV'!$T$4:$U$11,2,FALSE)</f>
        <v>DEER Transilvania Sud</v>
      </c>
      <c r="T7" s="403" t="str">
        <f>VLOOKUP(M7,'Contorizare in SDI'!$B:$D,3,FALSE)</f>
        <v>594020200002317122</v>
      </c>
      <c r="U7" s="403" t="str">
        <f>VLOOKUP(N7,'Contorizare in SDI'!$F:$H,3,FALSE)</f>
        <v>594020200002317122/2</v>
      </c>
      <c r="V7" s="415" t="s">
        <v>1358</v>
      </c>
      <c r="W7" s="414">
        <f>SUMIF($AB:$AB,N7,$AD:$AD)</f>
        <v>0</v>
      </c>
      <c r="Y7" s="404" t="s">
        <v>521</v>
      </c>
      <c r="Z7" s="405" t="s">
        <v>69</v>
      </c>
      <c r="AA7" s="473" t="s">
        <v>955</v>
      </c>
      <c r="AB7" s="405" t="s">
        <v>69</v>
      </c>
      <c r="AC7" s="548">
        <v>0</v>
      </c>
      <c r="AD7" s="548">
        <v>0</v>
      </c>
      <c r="AE7" s="393">
        <f>'Inchidere contur'!D8</f>
        <v>0</v>
      </c>
    </row>
    <row r="8" spans="3:31" ht="16.5" thickBot="1">
      <c r="C8" s="347" t="s">
        <v>26</v>
      </c>
      <c r="D8" s="347" t="s">
        <v>1351</v>
      </c>
      <c r="E8" s="347" t="s">
        <v>1351</v>
      </c>
      <c r="F8" s="347" t="s">
        <v>1352</v>
      </c>
      <c r="G8" s="348">
        <v>45292</v>
      </c>
      <c r="H8" s="349" t="s">
        <v>1353</v>
      </c>
      <c r="I8" s="341" t="s">
        <v>239</v>
      </c>
      <c r="K8" s="341" t="s">
        <v>1357</v>
      </c>
      <c r="M8" s="416" t="s">
        <v>538</v>
      </c>
      <c r="N8" s="417" t="str">
        <f>N7</f>
        <v>RFSC_1.2/PV</v>
      </c>
      <c r="O8" s="417" t="str">
        <f>VLOOKUP(LEFT(M8,LEN(M8)-2),'Date SPV'!$B$4:$D$34,3,FALSE)</f>
        <v>Festival Shopping Center SRL</v>
      </c>
      <c r="P8" s="418" t="s">
        <v>1405</v>
      </c>
      <c r="Q8" s="418" t="s">
        <v>1405</v>
      </c>
      <c r="R8" s="418" t="s">
        <v>1405</v>
      </c>
      <c r="S8" s="417" t="str">
        <f>VLOOKUP(VLOOKUP(LEFT(M8,LEN(M8)-2),'Date SPV'!$B$4:$F$34,5,FALSE),'Date SPV'!$T$4:$U$11,2,FALSE)</f>
        <v>DEER Transilvania Sud</v>
      </c>
      <c r="T8" s="417" t="str">
        <f>VLOOKUP(M8,'Contorizare in SDI'!$B:$D,3,FALSE)</f>
        <v>594020200002317122</v>
      </c>
      <c r="U8" s="417" t="str">
        <f>VLOOKUP(N8,'Contorizare in SDI'!$F:$H,3,FALSE)</f>
        <v>594020200002317122/2</v>
      </c>
      <c r="V8" s="419" t="s">
        <v>1357</v>
      </c>
      <c r="W8" s="420">
        <f>HLOOKUP(VLOOKUP(LEFT(M8,LEN(M8)-2),'Date SPV'!$B$4:$F$34,5,FALSE),'Preturi si tarife'!$C$2:$J$21,18,FALSE)</f>
        <v>0.83390760000000008</v>
      </c>
      <c r="Y8" s="86" t="s">
        <v>522</v>
      </c>
      <c r="Z8" s="89" t="s">
        <v>69</v>
      </c>
      <c r="AA8" s="106" t="s">
        <v>572</v>
      </c>
      <c r="AB8" s="89" t="s">
        <v>69</v>
      </c>
      <c r="AC8" s="549">
        <v>0</v>
      </c>
      <c r="AD8" s="549">
        <v>0</v>
      </c>
      <c r="AE8" s="393">
        <f>'Inchidere contur'!D9</f>
        <v>0</v>
      </c>
    </row>
    <row r="9" spans="3:31" ht="16.5" thickBot="1">
      <c r="C9" s="342" t="s">
        <v>27</v>
      </c>
      <c r="D9" s="342" t="s">
        <v>1352</v>
      </c>
      <c r="E9" s="342" t="s">
        <v>1359</v>
      </c>
      <c r="F9" s="342" t="s">
        <v>1352</v>
      </c>
      <c r="G9" s="343">
        <v>45323</v>
      </c>
      <c r="H9" s="344" t="s">
        <v>1353</v>
      </c>
      <c r="I9" s="359" t="s">
        <v>261</v>
      </c>
      <c r="J9" s="396"/>
      <c r="K9" s="342" t="s">
        <v>1354</v>
      </c>
      <c r="L9" s="341"/>
      <c r="M9" s="421" t="s">
        <v>543</v>
      </c>
      <c r="N9" s="422" t="s">
        <v>681</v>
      </c>
      <c r="O9" s="422" t="str">
        <f>VLOOKUP(LEFT(M9,LEN(M9)-2),'Date SPV'!$B$4:$D$34,3,FALSE)</f>
        <v>Targu Mures Shopping City SRL</v>
      </c>
      <c r="P9" s="423" t="s">
        <v>1405</v>
      </c>
      <c r="Q9" s="423" t="s">
        <v>1405</v>
      </c>
      <c r="R9" s="423" t="s">
        <v>1405</v>
      </c>
      <c r="S9" s="422" t="str">
        <f>VLOOKUP(VLOOKUP(LEFT(M9,LEN(M9)-2),'Date SPV'!$B$4:$F$34,5,FALSE),'Date SPV'!$T$4:$U$11,2,FALSE)</f>
        <v>DEER Transilvania Sud</v>
      </c>
      <c r="T9" s="422" t="str">
        <f>VLOOKUP(M9,'Contorizare in SDI'!$B:$D,3,FALSE)</f>
        <v>594020300002742631</v>
      </c>
      <c r="U9" s="422" t="str">
        <f>VLOOKUP(N9,'Contorizare in SDI'!$F:$H,3,FALSE)</f>
        <v>594020300002742631/1</v>
      </c>
      <c r="V9" s="424" t="s">
        <v>1354</v>
      </c>
      <c r="W9" s="425">
        <f>W11+W13+W15</f>
        <v>42472</v>
      </c>
      <c r="Y9" s="30" t="s">
        <v>522</v>
      </c>
      <c r="Z9" s="29" t="s">
        <v>69</v>
      </c>
      <c r="AA9" s="107" t="s">
        <v>956</v>
      </c>
      <c r="AB9" s="29" t="s">
        <v>69</v>
      </c>
      <c r="AC9" s="549">
        <v>0</v>
      </c>
      <c r="AD9" s="549">
        <v>0</v>
      </c>
      <c r="AE9" s="393">
        <f>'Inchidere contur'!D10</f>
        <v>0</v>
      </c>
    </row>
    <row r="10" spans="3:31" ht="16.5" thickBot="1">
      <c r="C10" s="347" t="s">
        <v>27</v>
      </c>
      <c r="D10" s="347" t="s">
        <v>1352</v>
      </c>
      <c r="E10" s="347" t="s">
        <v>1359</v>
      </c>
      <c r="F10" s="347" t="s">
        <v>1352</v>
      </c>
      <c r="G10" s="348">
        <v>45323</v>
      </c>
      <c r="H10" s="349" t="s">
        <v>1353</v>
      </c>
      <c r="I10" s="341" t="s">
        <v>261</v>
      </c>
      <c r="K10" s="347" t="s">
        <v>1355</v>
      </c>
      <c r="L10" s="341"/>
      <c r="M10" s="426" t="s">
        <v>543</v>
      </c>
      <c r="N10" s="427" t="s">
        <v>681</v>
      </c>
      <c r="O10" s="427" t="str">
        <f>VLOOKUP(LEFT(M10,LEN(M10)-2),'Date SPV'!$B$4:$D$34,3,FALSE)</f>
        <v>Targu Mures Shopping City SRL</v>
      </c>
      <c r="P10" s="428" t="s">
        <v>1405</v>
      </c>
      <c r="Q10" s="428" t="s">
        <v>1405</v>
      </c>
      <c r="R10" s="428" t="s">
        <v>1405</v>
      </c>
      <c r="S10" s="427" t="str">
        <f>VLOOKUP(VLOOKUP(LEFT(M10,LEN(M10)-2),'Date SPV'!$B$4:$F$34,5,FALSE),'Date SPV'!$T$4:$U$11,2,FALSE)</f>
        <v>DEER Transilvania Sud</v>
      </c>
      <c r="T10" s="427" t="str">
        <f>VLOOKUP(M10,'Contorizare in SDI'!$B:$D,3,FALSE)</f>
        <v>594020300002742631</v>
      </c>
      <c r="U10" s="427" t="str">
        <f>VLOOKUP(N10,'Contorizare in SDI'!$F:$H,3,FALSE)</f>
        <v>594020300002742631/1</v>
      </c>
      <c r="V10" s="429" t="s">
        <v>1355</v>
      </c>
      <c r="W10" s="430">
        <f>ROUND(W11*W12+W13*W14+W15*W16,2)</f>
        <v>39890.03</v>
      </c>
      <c r="Y10" s="394" t="s">
        <v>523</v>
      </c>
      <c r="Z10" s="391" t="s">
        <v>664</v>
      </c>
      <c r="AA10" s="472" t="s">
        <v>573</v>
      </c>
      <c r="AB10" s="391" t="s">
        <v>664</v>
      </c>
      <c r="AC10" s="548">
        <v>76578</v>
      </c>
      <c r="AD10" s="548">
        <v>29203</v>
      </c>
      <c r="AE10" s="393">
        <f>'Inchidere contur'!D11</f>
        <v>0</v>
      </c>
    </row>
    <row r="11" spans="3:31" ht="16.5" thickBot="1">
      <c r="C11" s="347" t="s">
        <v>27</v>
      </c>
      <c r="D11" s="347" t="s">
        <v>1352</v>
      </c>
      <c r="E11" s="347" t="s">
        <v>1359</v>
      </c>
      <c r="F11" s="347" t="s">
        <v>1352</v>
      </c>
      <c r="G11" s="348">
        <v>45323</v>
      </c>
      <c r="H11" s="349" t="s">
        <v>1353</v>
      </c>
      <c r="I11" s="341" t="s">
        <v>261</v>
      </c>
      <c r="K11" s="341" t="s">
        <v>1356</v>
      </c>
      <c r="M11" s="426" t="s">
        <v>543</v>
      </c>
      <c r="N11" s="427" t="s">
        <v>681</v>
      </c>
      <c r="O11" s="427" t="str">
        <f>VLOOKUP(LEFT(M11,LEN(M11)-2),'Date SPV'!$B$4:$D$34,3,FALSE)</f>
        <v>Targu Mures Shopping City SRL</v>
      </c>
      <c r="P11" s="428" t="s">
        <v>1405</v>
      </c>
      <c r="Q11" s="428" t="s">
        <v>1405</v>
      </c>
      <c r="R11" s="428" t="s">
        <v>1405</v>
      </c>
      <c r="S11" s="427" t="str">
        <f>VLOOKUP(VLOOKUP(LEFT(M11,LEN(M11)-2),'Date SPV'!$B$4:$F$34,5,FALSE),'Date SPV'!$T$4:$U$11,2,FALSE)</f>
        <v>DEER Transilvania Sud</v>
      </c>
      <c r="T11" s="427" t="str">
        <f>VLOOKUP(M11,'Contorizare in SDI'!$B:$D,3,FALSE)</f>
        <v>594020300002742631</v>
      </c>
      <c r="U11" s="427" t="str">
        <f>VLOOKUP(N11,'Contorizare in SDI'!$F:$H,3,FALSE)</f>
        <v>594020300002742631/1</v>
      </c>
      <c r="V11" s="431" t="s">
        <v>1356</v>
      </c>
      <c r="W11" s="430">
        <f>SUMIF($AB:$AB,N11,$AC:$AC)</f>
        <v>42472</v>
      </c>
      <c r="Y11" s="394" t="s">
        <v>523</v>
      </c>
      <c r="Z11" s="391" t="s">
        <v>665</v>
      </c>
      <c r="AA11" s="472" t="s">
        <v>574</v>
      </c>
      <c r="AB11" s="391" t="s">
        <v>665</v>
      </c>
      <c r="AC11" s="548">
        <v>110522</v>
      </c>
      <c r="AD11" s="548">
        <v>34</v>
      </c>
      <c r="AE11" s="393">
        <f>'Inchidere contur'!D12</f>
        <v>0</v>
      </c>
    </row>
    <row r="12" spans="3:31" ht="16.5" thickBot="1">
      <c r="C12" s="347" t="s">
        <v>27</v>
      </c>
      <c r="D12" s="347" t="s">
        <v>1352</v>
      </c>
      <c r="E12" s="347" t="s">
        <v>1359</v>
      </c>
      <c r="F12" s="347" t="s">
        <v>1352</v>
      </c>
      <c r="G12" s="348">
        <v>45323</v>
      </c>
      <c r="H12" s="349" t="s">
        <v>1353</v>
      </c>
      <c r="I12" s="341" t="s">
        <v>261</v>
      </c>
      <c r="K12" s="341" t="s">
        <v>1357</v>
      </c>
      <c r="M12" s="426" t="s">
        <v>543</v>
      </c>
      <c r="N12" s="427" t="s">
        <v>681</v>
      </c>
      <c r="O12" s="427" t="str">
        <f>VLOOKUP(LEFT(M12,LEN(M12)-2),'Date SPV'!$B$4:$D$34,3,FALSE)</f>
        <v>Targu Mures Shopping City SRL</v>
      </c>
      <c r="P12" s="428" t="s">
        <v>1405</v>
      </c>
      <c r="Q12" s="428" t="s">
        <v>1405</v>
      </c>
      <c r="R12" s="428" t="s">
        <v>1405</v>
      </c>
      <c r="S12" s="427" t="str">
        <f>VLOOKUP(VLOOKUP(LEFT(M12,LEN(M12)-2),'Date SPV'!$B$4:$F$34,5,FALSE),'Date SPV'!$T$4:$U$11,2,FALSE)</f>
        <v>DEER Transilvania Sud</v>
      </c>
      <c r="T12" s="427" t="str">
        <f>VLOOKUP(M12,'Contorizare in SDI'!$B:$D,3,FALSE)</f>
        <v>594020300002742631</v>
      </c>
      <c r="U12" s="427" t="str">
        <f>VLOOKUP(N12,'Contorizare in SDI'!$F:$H,3,FALSE)</f>
        <v>594020300002742631/1</v>
      </c>
      <c r="V12" s="431" t="s">
        <v>1357</v>
      </c>
      <c r="W12" s="430">
        <f>HLOOKUP(VLOOKUP(LEFT(M12,LEN(M12)-2),'Date SPV'!$B$4:$F$34,5,FALSE),'Preturi si tarife'!$C$2:$J$21,17,FALSE)</f>
        <v>0.93920760000000003</v>
      </c>
      <c r="Y12" s="30" t="s">
        <v>523</v>
      </c>
      <c r="Z12" s="29" t="s">
        <v>69</v>
      </c>
      <c r="AA12" s="107" t="s">
        <v>957</v>
      </c>
      <c r="AB12" s="29" t="s">
        <v>69</v>
      </c>
      <c r="AC12" s="549">
        <v>0</v>
      </c>
      <c r="AD12" s="549">
        <v>0</v>
      </c>
      <c r="AE12" s="393">
        <f>'Inchidere contur'!D13</f>
        <v>0</v>
      </c>
    </row>
    <row r="13" spans="3:31" ht="16.5" thickBot="1">
      <c r="C13" s="347" t="s">
        <v>27</v>
      </c>
      <c r="D13" s="347" t="s">
        <v>1352</v>
      </c>
      <c r="E13" s="347" t="s">
        <v>1359</v>
      </c>
      <c r="F13" s="347" t="s">
        <v>1352</v>
      </c>
      <c r="G13" s="348">
        <v>45323</v>
      </c>
      <c r="H13" s="349" t="s">
        <v>1353</v>
      </c>
      <c r="I13" s="341" t="s">
        <v>261</v>
      </c>
      <c r="K13" s="341" t="s">
        <v>1358</v>
      </c>
      <c r="M13" s="426" t="s">
        <v>543</v>
      </c>
      <c r="N13" s="427" t="s">
        <v>681</v>
      </c>
      <c r="O13" s="427" t="str">
        <f>VLOOKUP(LEFT(M13,LEN(M13)-2),'Date SPV'!$B$4:$D$34,3,FALSE)</f>
        <v>Targu Mures Shopping City SRL</v>
      </c>
      <c r="P13" s="428" t="s">
        <v>1405</v>
      </c>
      <c r="Q13" s="428" t="s">
        <v>1405</v>
      </c>
      <c r="R13" s="428" t="s">
        <v>1405</v>
      </c>
      <c r="S13" s="427" t="str">
        <f>VLOOKUP(VLOOKUP(LEFT(M13,LEN(M13)-2),'Date SPV'!$B$4:$F$34,5,FALSE),'Date SPV'!$T$4:$U$11,2,FALSE)</f>
        <v>DEER Transilvania Sud</v>
      </c>
      <c r="T13" s="427" t="str">
        <f>VLOOKUP(M13,'Contorizare in SDI'!$B:$D,3,FALSE)</f>
        <v>594020300002742631</v>
      </c>
      <c r="U13" s="427" t="str">
        <f>VLOOKUP(N13,'Contorizare in SDI'!$F:$H,3,FALSE)</f>
        <v>594020300002742631/1</v>
      </c>
      <c r="V13" s="431" t="s">
        <v>1358</v>
      </c>
      <c r="W13" s="430">
        <f>SUMIF($AB:$AB,N13,$AD:$AD)</f>
        <v>0</v>
      </c>
      <c r="Y13" s="30" t="s">
        <v>524</v>
      </c>
      <c r="Z13" s="29" t="s">
        <v>69</v>
      </c>
      <c r="AA13" s="107" t="s">
        <v>575</v>
      </c>
      <c r="AB13" s="29" t="s">
        <v>69</v>
      </c>
      <c r="AC13" s="549">
        <v>0</v>
      </c>
      <c r="AD13" s="549">
        <v>0</v>
      </c>
      <c r="AE13" s="393">
        <f>'Inchidere contur'!D14</f>
        <v>0</v>
      </c>
    </row>
    <row r="14" spans="3:31" ht="16.5" thickBot="1">
      <c r="C14" s="347" t="s">
        <v>27</v>
      </c>
      <c r="D14" s="347" t="s">
        <v>1352</v>
      </c>
      <c r="E14" s="347" t="s">
        <v>1359</v>
      </c>
      <c r="F14" s="347" t="s">
        <v>1352</v>
      </c>
      <c r="G14" s="348">
        <v>45323</v>
      </c>
      <c r="H14" s="349" t="s">
        <v>1353</v>
      </c>
      <c r="I14" s="341" t="s">
        <v>261</v>
      </c>
      <c r="K14" s="341" t="s">
        <v>1357</v>
      </c>
      <c r="M14" s="426" t="s">
        <v>543</v>
      </c>
      <c r="N14" s="427" t="s">
        <v>681</v>
      </c>
      <c r="O14" s="427" t="str">
        <f>VLOOKUP(LEFT(M14,LEN(M14)-2),'Date SPV'!$B$4:$D$34,3,FALSE)</f>
        <v>Targu Mures Shopping City SRL</v>
      </c>
      <c r="P14" s="428" t="s">
        <v>1405</v>
      </c>
      <c r="Q14" s="428" t="s">
        <v>1405</v>
      </c>
      <c r="R14" s="428" t="s">
        <v>1405</v>
      </c>
      <c r="S14" s="427" t="str">
        <f>VLOOKUP(VLOOKUP(LEFT(M14,LEN(M14)-2),'Date SPV'!$B$4:$F$34,5,FALSE),'Date SPV'!$T$4:$U$11,2,FALSE)</f>
        <v>DEER Transilvania Sud</v>
      </c>
      <c r="T14" s="427" t="str">
        <f>VLOOKUP(M14,'Contorizare in SDI'!$B:$D,3,FALSE)</f>
        <v>594020300002742631</v>
      </c>
      <c r="U14" s="427" t="str">
        <f>VLOOKUP(N14,'Contorizare in SDI'!$F:$H,3,FALSE)</f>
        <v>594020300002742631/1</v>
      </c>
      <c r="V14" s="431" t="s">
        <v>1357</v>
      </c>
      <c r="W14" s="430">
        <f>HLOOKUP(VLOOKUP(LEFT(M14,LEN(M14)-2),'Date SPV'!$B$4:$F$34,5,FALSE),'Preturi si tarife'!$C$2:$J$21,18,FALSE)</f>
        <v>0.83390760000000008</v>
      </c>
      <c r="Y14" s="30" t="s">
        <v>524</v>
      </c>
      <c r="Z14" s="29" t="s">
        <v>69</v>
      </c>
      <c r="AA14" s="107" t="s">
        <v>958</v>
      </c>
      <c r="AB14" s="29" t="s">
        <v>69</v>
      </c>
      <c r="AC14" s="549">
        <v>0</v>
      </c>
      <c r="AD14" s="549">
        <v>0</v>
      </c>
      <c r="AE14" s="393">
        <f>'Inchidere contur'!D15</f>
        <v>0</v>
      </c>
    </row>
    <row r="15" spans="3:31" ht="16.5" thickBot="1">
      <c r="C15" s="347" t="s">
        <v>27</v>
      </c>
      <c r="D15" s="347" t="s">
        <v>1352</v>
      </c>
      <c r="E15" s="347" t="s">
        <v>1359</v>
      </c>
      <c r="F15" s="347" t="s">
        <v>1352</v>
      </c>
      <c r="G15" s="348">
        <v>45323</v>
      </c>
      <c r="H15" s="349" t="s">
        <v>1353</v>
      </c>
      <c r="I15" s="341" t="s">
        <v>261</v>
      </c>
      <c r="K15" s="341" t="s">
        <v>1360</v>
      </c>
      <c r="M15" s="426" t="s">
        <v>543</v>
      </c>
      <c r="N15" s="427" t="s">
        <v>681</v>
      </c>
      <c r="O15" s="427" t="str">
        <f>VLOOKUP(LEFT(M15,LEN(M15)-2),'Date SPV'!$B$4:$D$34,3,FALSE)</f>
        <v>Targu Mures Shopping City SRL</v>
      </c>
      <c r="P15" s="428" t="s">
        <v>1405</v>
      </c>
      <c r="Q15" s="428" t="s">
        <v>1405</v>
      </c>
      <c r="R15" s="428" t="s">
        <v>1405</v>
      </c>
      <c r="S15" s="427" t="str">
        <f>VLOOKUP(VLOOKUP(LEFT(M15,LEN(M15)-2),'Date SPV'!$B$4:$F$34,5,FALSE),'Date SPV'!$T$4:$U$11,2,FALSE)</f>
        <v>DEER Transilvania Sud</v>
      </c>
      <c r="T15" s="427" t="str">
        <f>VLOOKUP(M15,'Contorizare in SDI'!$B:$D,3,FALSE)</f>
        <v>594020300002742631</v>
      </c>
      <c r="U15" s="427" t="str">
        <f>VLOOKUP(N15,'Contorizare in SDI'!$F:$H,3,FALSE)</f>
        <v>594020300002742631/1</v>
      </c>
      <c r="V15" s="431" t="s">
        <v>1360</v>
      </c>
      <c r="W15" s="430">
        <f>SUMIF($AB:$AB,N15,$AE:$AE)</f>
        <v>0</v>
      </c>
      <c r="Y15" s="93" t="s">
        <v>525</v>
      </c>
      <c r="Z15" s="94" t="s">
        <v>69</v>
      </c>
      <c r="AA15" s="109" t="s">
        <v>525</v>
      </c>
      <c r="AB15" s="94" t="s">
        <v>69</v>
      </c>
      <c r="AC15" s="549">
        <v>0</v>
      </c>
      <c r="AD15" s="549">
        <v>0</v>
      </c>
      <c r="AE15" s="393">
        <f>'Inchidere contur'!D16</f>
        <v>0</v>
      </c>
    </row>
    <row r="16" spans="3:31" ht="16.5" thickBot="1">
      <c r="C16" s="347" t="s">
        <v>27</v>
      </c>
      <c r="D16" s="347" t="s">
        <v>1352</v>
      </c>
      <c r="E16" s="347" t="s">
        <v>1359</v>
      </c>
      <c r="F16" s="347" t="s">
        <v>1352</v>
      </c>
      <c r="G16" s="348">
        <v>45323</v>
      </c>
      <c r="H16" s="349" t="s">
        <v>1353</v>
      </c>
      <c r="I16" s="341" t="s">
        <v>261</v>
      </c>
      <c r="K16" s="341" t="s">
        <v>1357</v>
      </c>
      <c r="M16" s="432" t="s">
        <v>543</v>
      </c>
      <c r="N16" s="433" t="s">
        <v>681</v>
      </c>
      <c r="O16" s="433" t="str">
        <f>VLOOKUP(LEFT(M16,LEN(M16)-2),'Date SPV'!$B$4:$D$34,3,FALSE)</f>
        <v>Targu Mures Shopping City SRL</v>
      </c>
      <c r="P16" s="434" t="s">
        <v>1405</v>
      </c>
      <c r="Q16" s="434" t="s">
        <v>1405</v>
      </c>
      <c r="R16" s="434" t="s">
        <v>1405</v>
      </c>
      <c r="S16" s="433" t="str">
        <f>VLOOKUP(VLOOKUP(LEFT(M16,LEN(M16)-2),'Date SPV'!$B$4:$F$34,5,FALSE),'Date SPV'!$T$4:$U$11,2,FALSE)</f>
        <v>DEER Transilvania Sud</v>
      </c>
      <c r="T16" s="433" t="str">
        <f>VLOOKUP(M16,'Contorizare in SDI'!$B:$D,3,FALSE)</f>
        <v>594020300002742631</v>
      </c>
      <c r="U16" s="433" t="str">
        <f>VLOOKUP(N16,'Contorizare in SDI'!$F:$H,3,FALSE)</f>
        <v>594020300002742631/1</v>
      </c>
      <c r="V16" s="435" t="s">
        <v>1357</v>
      </c>
      <c r="W16" s="436">
        <f>HLOOKUP(VLOOKUP(LEFT(M16,LEN(M16)-2),'Date SPV'!$B$4:$F$34,5,FALSE),'Preturi si tarife'!$C$2:$J$21,3,FALSE)</f>
        <v>0.59499999999999997</v>
      </c>
      <c r="Y16" s="389" t="s">
        <v>526</v>
      </c>
      <c r="Z16" s="390" t="s">
        <v>69</v>
      </c>
      <c r="AA16" s="471" t="s">
        <v>576</v>
      </c>
      <c r="AB16" s="391" t="s">
        <v>666</v>
      </c>
      <c r="AC16" s="548">
        <v>0</v>
      </c>
      <c r="AD16" s="548">
        <v>37318</v>
      </c>
      <c r="AE16" s="393">
        <f>'Inchidere contur'!D17</f>
        <v>0</v>
      </c>
    </row>
    <row r="17" spans="3:31" ht="16.5" thickBot="1">
      <c r="C17" s="360" t="s">
        <v>1361</v>
      </c>
      <c r="D17" s="342" t="s">
        <v>1352</v>
      </c>
      <c r="E17" s="342" t="s">
        <v>1359</v>
      </c>
      <c r="F17" s="342" t="s">
        <v>1351</v>
      </c>
      <c r="G17" s="342"/>
      <c r="H17" s="344" t="s">
        <v>1353</v>
      </c>
      <c r="I17" s="359" t="s">
        <v>1224</v>
      </c>
      <c r="J17" s="396"/>
      <c r="K17" s="342" t="s">
        <v>1354</v>
      </c>
      <c r="M17" s="437" t="s">
        <v>1225</v>
      </c>
      <c r="N17" s="438" t="s">
        <v>1288</v>
      </c>
      <c r="O17" s="438" t="str">
        <f>_xlfn.CONCAT(VLOOKUP(M17,'Date SPV'!$B$4:$D$34,3,FALSE)," (",RIGHT(M17,LEN(M17)-FIND("_",M17,1))," )")</f>
        <v>Nepi Ten Development Solutions  SRL (Sighisoara )</v>
      </c>
      <c r="P17" s="439" t="s">
        <v>1405</v>
      </c>
      <c r="Q17" s="439" t="s">
        <v>1405</v>
      </c>
      <c r="R17" s="439" t="s">
        <v>1405</v>
      </c>
      <c r="S17" s="438" t="str">
        <f>VLOOKUP(VLOOKUP(M17,'Date SPV'!$B$4:$F$34,5,FALSE),'Date SPV'!$T$4:$U$11,2,FALSE)</f>
        <v>DEER Transilvania Sud</v>
      </c>
      <c r="T17" s="438" t="str">
        <f>VLOOKUP(M17,'Contorizare in SDI'!$B:$D,3,FALSE)</f>
        <v>594020300002588154</v>
      </c>
      <c r="U17" s="438" t="str">
        <f>VLOOKUP(N17,'Contorizare in SDI'!$F:$H,3,FALSE)</f>
        <v>594020300002588154/1</v>
      </c>
      <c r="V17" s="440" t="s">
        <v>1354</v>
      </c>
      <c r="W17" s="441">
        <f>W19+W21+W23</f>
        <v>41728</v>
      </c>
      <c r="Y17" s="394" t="s">
        <v>526</v>
      </c>
      <c r="Z17" s="391" t="s">
        <v>666</v>
      </c>
      <c r="AA17" s="472" t="s">
        <v>577</v>
      </c>
      <c r="AB17" s="391" t="s">
        <v>666</v>
      </c>
      <c r="AC17" s="548">
        <v>133343</v>
      </c>
      <c r="AD17" s="548">
        <v>0</v>
      </c>
      <c r="AE17" s="393">
        <f>'Inchidere contur'!D18</f>
        <v>0</v>
      </c>
    </row>
    <row r="18" spans="3:31" ht="16.5" thickBot="1">
      <c r="C18" s="361" t="s">
        <v>1361</v>
      </c>
      <c r="D18" s="347" t="s">
        <v>1352</v>
      </c>
      <c r="E18" s="347" t="s">
        <v>1359</v>
      </c>
      <c r="F18" s="347" t="s">
        <v>1351</v>
      </c>
      <c r="G18" s="347"/>
      <c r="H18" s="349" t="s">
        <v>1353</v>
      </c>
      <c r="I18" s="362" t="s">
        <v>1224</v>
      </c>
      <c r="J18" s="396"/>
      <c r="K18" s="347" t="s">
        <v>1355</v>
      </c>
      <c r="M18" s="442" t="s">
        <v>1225</v>
      </c>
      <c r="N18" s="443" t="s">
        <v>1288</v>
      </c>
      <c r="O18" s="443" t="str">
        <f>_xlfn.CONCAT(VLOOKUP(M18,'Date SPV'!$B$4:$D$34,3,FALSE)," (",RIGHT(M18,LEN(M18)-FIND("_",M18,1))," )")</f>
        <v>Nepi Ten Development Solutions  SRL (Sighisoara )</v>
      </c>
      <c r="P18" s="444" t="s">
        <v>1405</v>
      </c>
      <c r="Q18" s="444" t="s">
        <v>1405</v>
      </c>
      <c r="R18" s="444" t="s">
        <v>1405</v>
      </c>
      <c r="S18" s="443" t="str">
        <f>VLOOKUP(VLOOKUP(M18,'Date SPV'!$B$4:$F$34,5,FALSE),'Date SPV'!$T$4:$U$11,2,FALSE)</f>
        <v>DEER Transilvania Sud</v>
      </c>
      <c r="T18" s="443" t="str">
        <f>VLOOKUP(M18,'Contorizare in SDI'!$B:$D,3,FALSE)</f>
        <v>594020300002588154</v>
      </c>
      <c r="U18" s="443" t="str">
        <f>VLOOKUP(N18,'Contorizare in SDI'!$F:$H,3,FALSE)</f>
        <v>594020300002588154/1</v>
      </c>
      <c r="V18" s="445" t="s">
        <v>1355</v>
      </c>
      <c r="W18" s="446">
        <f>ROUND(W19*W20+W21*W22+W23*W24,2)</f>
        <v>31704.400000000001</v>
      </c>
      <c r="Y18" s="394" t="s">
        <v>526</v>
      </c>
      <c r="Z18" s="391" t="s">
        <v>1422</v>
      </c>
      <c r="AA18" s="472" t="s">
        <v>1188</v>
      </c>
      <c r="AB18" s="391" t="s">
        <v>1422</v>
      </c>
      <c r="AC18" s="72">
        <v>49849.500000000036</v>
      </c>
      <c r="AD18" s="72">
        <v>0</v>
      </c>
      <c r="AE18" s="393">
        <f>'Inchidere contur'!D19</f>
        <v>0</v>
      </c>
    </row>
    <row r="19" spans="3:31" ht="16.5" thickBot="1">
      <c r="C19" s="361" t="s">
        <v>1361</v>
      </c>
      <c r="D19" s="347" t="s">
        <v>1352</v>
      </c>
      <c r="E19" s="347" t="s">
        <v>1359</v>
      </c>
      <c r="F19" s="347" t="s">
        <v>1351</v>
      </c>
      <c r="G19" s="347"/>
      <c r="H19" s="349" t="s">
        <v>1353</v>
      </c>
      <c r="I19" s="362" t="s">
        <v>1224</v>
      </c>
      <c r="J19" s="396"/>
      <c r="K19" s="341" t="s">
        <v>1362</v>
      </c>
      <c r="M19" s="442" t="s">
        <v>1225</v>
      </c>
      <c r="N19" s="443" t="s">
        <v>1288</v>
      </c>
      <c r="O19" s="443" t="str">
        <f>_xlfn.CONCAT(VLOOKUP(M19,'Date SPV'!$B$4:$D$34,3,FALSE)," (",RIGHT(M19,LEN(M19)-FIND("_",M19,1))," )")</f>
        <v>Nepi Ten Development Solutions  SRL (Sighisoara )</v>
      </c>
      <c r="P19" s="444" t="s">
        <v>1405</v>
      </c>
      <c r="Q19" s="444" t="s">
        <v>1405</v>
      </c>
      <c r="R19" s="444" t="s">
        <v>1405</v>
      </c>
      <c r="S19" s="443" t="str">
        <f>VLOOKUP(VLOOKUP(M19,'Date SPV'!$B$4:$F$34,5,FALSE),'Date SPV'!$T$4:$U$11,2,FALSE)</f>
        <v>DEER Transilvania Sud</v>
      </c>
      <c r="T19" s="443" t="str">
        <f>VLOOKUP(M19,'Contorizare in SDI'!$B:$D,3,FALSE)</f>
        <v>594020300002588154</v>
      </c>
      <c r="U19" s="443" t="str">
        <f>VLOOKUP(N19,'Contorizare in SDI'!$F:$H,3,FALSE)</f>
        <v>594020300002588154/1</v>
      </c>
      <c r="V19" s="447" t="s">
        <v>1356</v>
      </c>
      <c r="W19" s="446">
        <f>SUMIF($AB:$AB,N19,$AC:$AC)</f>
        <v>19977</v>
      </c>
      <c r="Y19" s="394" t="s">
        <v>526</v>
      </c>
      <c r="Z19" s="391" t="s">
        <v>69</v>
      </c>
      <c r="AA19" s="472" t="s">
        <v>959</v>
      </c>
      <c r="AB19" s="391" t="s">
        <v>69</v>
      </c>
      <c r="AC19" s="548">
        <v>0</v>
      </c>
      <c r="AD19" s="548">
        <v>0</v>
      </c>
      <c r="AE19" s="393">
        <f>'Inchidere contur'!D20</f>
        <v>0</v>
      </c>
    </row>
    <row r="20" spans="3:31" ht="16.5" thickBot="1">
      <c r="C20" s="361" t="s">
        <v>1361</v>
      </c>
      <c r="D20" s="347" t="s">
        <v>1352</v>
      </c>
      <c r="E20" s="347" t="s">
        <v>1359</v>
      </c>
      <c r="F20" s="347" t="s">
        <v>1351</v>
      </c>
      <c r="G20" s="347"/>
      <c r="H20" s="349" t="s">
        <v>1353</v>
      </c>
      <c r="I20" s="362" t="s">
        <v>1224</v>
      </c>
      <c r="J20" s="396"/>
      <c r="K20" s="341" t="s">
        <v>1357</v>
      </c>
      <c r="M20" s="442" t="s">
        <v>1225</v>
      </c>
      <c r="N20" s="443" t="s">
        <v>1288</v>
      </c>
      <c r="O20" s="443" t="str">
        <f>_xlfn.CONCAT(VLOOKUP(M20,'Date SPV'!$B$4:$D$34,3,FALSE)," (",RIGHT(M20,LEN(M20)-FIND("_",M20,1))," )")</f>
        <v>Nepi Ten Development Solutions  SRL (Sighisoara )</v>
      </c>
      <c r="P20" s="444" t="s">
        <v>1405</v>
      </c>
      <c r="Q20" s="444" t="s">
        <v>1405</v>
      </c>
      <c r="R20" s="444" t="s">
        <v>1405</v>
      </c>
      <c r="S20" s="443" t="str">
        <f>VLOOKUP(VLOOKUP(M20,'Date SPV'!$B$4:$F$34,5,FALSE),'Date SPV'!$T$4:$U$11,2,FALSE)</f>
        <v>DEER Transilvania Sud</v>
      </c>
      <c r="T20" s="443" t="str">
        <f>VLOOKUP(M20,'Contorizare in SDI'!$B:$D,3,FALSE)</f>
        <v>594020300002588154</v>
      </c>
      <c r="U20" s="443" t="str">
        <f>VLOOKUP(N20,'Contorizare in SDI'!$F:$H,3,FALSE)</f>
        <v>594020300002588154/1</v>
      </c>
      <c r="V20" s="447" t="s">
        <v>1357</v>
      </c>
      <c r="W20" s="446">
        <f>HLOOKUP(VLOOKUP(M20,'Date SPV'!$B$4:$F$34,5,FALSE),'Preturi si tarife'!$C$2:$J$21,17,FALSE)</f>
        <v>0.93920760000000003</v>
      </c>
      <c r="Y20" s="30" t="s">
        <v>499</v>
      </c>
      <c r="Z20" s="29" t="s">
        <v>69</v>
      </c>
      <c r="AA20" s="107" t="s">
        <v>578</v>
      </c>
      <c r="AB20" s="29" t="s">
        <v>69</v>
      </c>
      <c r="AC20" s="549">
        <v>0</v>
      </c>
      <c r="AD20" s="549">
        <v>0</v>
      </c>
      <c r="AE20" s="393">
        <f>'Inchidere contur'!D21</f>
        <v>0</v>
      </c>
    </row>
    <row r="21" spans="3:31" ht="16.5" hidden="1" thickBot="1">
      <c r="C21" s="388"/>
      <c r="M21" s="442" t="s">
        <v>1225</v>
      </c>
      <c r="N21" s="443" t="s">
        <v>1288</v>
      </c>
      <c r="O21" s="443" t="str">
        <f>_xlfn.CONCAT(VLOOKUP(M21,'Date SPV'!$B$4:$D$34,3,FALSE)," (",RIGHT(M21,LEN(M21)-FIND("_",M21,1))," )")</f>
        <v>Nepi Ten Development Solutions  SRL (Sighisoara )</v>
      </c>
      <c r="P21" s="444" t="s">
        <v>1405</v>
      </c>
      <c r="Q21" s="444" t="s">
        <v>1405</v>
      </c>
      <c r="R21" s="444" t="s">
        <v>1405</v>
      </c>
      <c r="S21" s="443" t="str">
        <f>VLOOKUP(VLOOKUP(M21,'Date SPV'!$B$4:$F$34,5,FALSE),'Date SPV'!$T$4:$U$11,2,FALSE)</f>
        <v>DEER Transilvania Sud</v>
      </c>
      <c r="T21" s="443" t="str">
        <f>VLOOKUP(M21,'Contorizare in SDI'!$B:$D,3,FALSE)</f>
        <v>594020300002588154</v>
      </c>
      <c r="U21" s="443" t="str">
        <f>VLOOKUP(N21,'Contorizare in SDI'!$F:$H,3,FALSE)</f>
        <v>594020300002588154/1</v>
      </c>
      <c r="V21" s="447" t="s">
        <v>1358</v>
      </c>
      <c r="W21" s="446">
        <f>SUMIF($AB:$AB,N21,$AD:$AD)</f>
        <v>0</v>
      </c>
      <c r="Y21" s="30" t="s">
        <v>499</v>
      </c>
      <c r="Z21" s="29" t="s">
        <v>69</v>
      </c>
      <c r="AA21" s="107" t="s">
        <v>579</v>
      </c>
      <c r="AB21" s="29" t="s">
        <v>69</v>
      </c>
      <c r="AC21" s="88">
        <v>0</v>
      </c>
      <c r="AD21" s="88">
        <v>0</v>
      </c>
      <c r="AE21" s="393">
        <f>'Inchidere contur'!D22</f>
        <v>0</v>
      </c>
    </row>
    <row r="22" spans="3:31" ht="16.5" hidden="1" thickBot="1">
      <c r="C22" s="388"/>
      <c r="M22" s="442" t="s">
        <v>1225</v>
      </c>
      <c r="N22" s="443" t="s">
        <v>1288</v>
      </c>
      <c r="O22" s="443" t="str">
        <f>_xlfn.CONCAT(VLOOKUP(M22,'Date SPV'!$B$4:$D$34,3,FALSE)," (",RIGHT(M22,LEN(M22)-FIND("_",M22,1))," )")</f>
        <v>Nepi Ten Development Solutions  SRL (Sighisoara )</v>
      </c>
      <c r="P22" s="444" t="s">
        <v>1405</v>
      </c>
      <c r="Q22" s="444" t="s">
        <v>1405</v>
      </c>
      <c r="R22" s="444" t="s">
        <v>1405</v>
      </c>
      <c r="S22" s="443" t="str">
        <f>VLOOKUP(VLOOKUP(M22,'Date SPV'!$B$4:$F$34,5,FALSE),'Date SPV'!$T$4:$U$11,2,FALSE)</f>
        <v>DEER Transilvania Sud</v>
      </c>
      <c r="T22" s="443" t="str">
        <f>VLOOKUP(M22,'Contorizare in SDI'!$B:$D,3,FALSE)</f>
        <v>594020300002588154</v>
      </c>
      <c r="U22" s="443" t="str">
        <f>VLOOKUP(N22,'Contorizare in SDI'!$F:$H,3,FALSE)</f>
        <v>594020300002588154/1</v>
      </c>
      <c r="V22" s="447" t="s">
        <v>1357</v>
      </c>
      <c r="W22" s="446">
        <f>HLOOKUP(VLOOKUP(M22,'Date SPV'!$B$4:$F$34,5,FALSE),'Preturi si tarife'!$C$2:$J$21,18,FALSE)</f>
        <v>0.83390760000000008</v>
      </c>
      <c r="Y22" s="93" t="s">
        <v>499</v>
      </c>
      <c r="Z22" s="94" t="s">
        <v>69</v>
      </c>
      <c r="AA22" s="108" t="s">
        <v>960</v>
      </c>
      <c r="AB22" s="94" t="s">
        <v>69</v>
      </c>
      <c r="AC22" s="392">
        <v>0</v>
      </c>
      <c r="AD22" s="392">
        <v>0</v>
      </c>
      <c r="AE22" s="393">
        <f>'Inchidere contur'!D23</f>
        <v>0</v>
      </c>
    </row>
    <row r="23" spans="3:31" ht="16.5" thickBot="1">
      <c r="C23" s="361" t="s">
        <v>1361</v>
      </c>
      <c r="D23" s="347" t="s">
        <v>1352</v>
      </c>
      <c r="E23" s="347" t="s">
        <v>1359</v>
      </c>
      <c r="F23" s="347" t="s">
        <v>1351</v>
      </c>
      <c r="G23" s="347"/>
      <c r="H23" s="349" t="s">
        <v>1353</v>
      </c>
      <c r="I23" s="362" t="s">
        <v>1224</v>
      </c>
      <c r="J23" s="396"/>
      <c r="K23" s="341" t="s">
        <v>1360</v>
      </c>
      <c r="M23" s="442" t="s">
        <v>1225</v>
      </c>
      <c r="N23" s="443" t="s">
        <v>1288</v>
      </c>
      <c r="O23" s="443" t="str">
        <f>_xlfn.CONCAT(VLOOKUP(M23,'Date SPV'!$B$4:$D$34,3,FALSE)," (",RIGHT(M23,LEN(M23)-FIND("_",M23,1))," )")</f>
        <v>Nepi Ten Development Solutions  SRL (Sighisoara )</v>
      </c>
      <c r="P23" s="444" t="s">
        <v>1405</v>
      </c>
      <c r="Q23" s="444" t="s">
        <v>1405</v>
      </c>
      <c r="R23" s="444" t="s">
        <v>1405</v>
      </c>
      <c r="S23" s="443" t="str">
        <f>VLOOKUP(VLOOKUP(M23,'Date SPV'!$B$4:$F$34,5,FALSE),'Date SPV'!$T$4:$U$11,2,FALSE)</f>
        <v>DEER Transilvania Sud</v>
      </c>
      <c r="T23" s="443" t="str">
        <f>VLOOKUP(M23,'Contorizare in SDI'!$B:$D,3,FALSE)</f>
        <v>594020300002588154</v>
      </c>
      <c r="U23" s="443" t="str">
        <f>VLOOKUP(N23,'Contorizare in SDI'!$F:$H,3,FALSE)</f>
        <v>594020300002588154/1</v>
      </c>
      <c r="V23" s="447" t="s">
        <v>1360</v>
      </c>
      <c r="W23" s="446">
        <f>SUMIF($AB:$AB,N23,$AE:$AE)</f>
        <v>21751</v>
      </c>
      <c r="Y23" s="389" t="s">
        <v>527</v>
      </c>
      <c r="Z23" s="390" t="s">
        <v>69</v>
      </c>
      <c r="AA23" s="471" t="s">
        <v>580</v>
      </c>
      <c r="AB23" s="391" t="s">
        <v>667</v>
      </c>
      <c r="AC23" s="548">
        <v>0</v>
      </c>
      <c r="AD23" s="548">
        <v>16684</v>
      </c>
      <c r="AE23" s="393">
        <f>'Inchidere contur'!D24</f>
        <v>0</v>
      </c>
    </row>
    <row r="24" spans="3:31" ht="16.5" thickBot="1">
      <c r="C24" s="361" t="s">
        <v>1361</v>
      </c>
      <c r="D24" s="347" t="s">
        <v>1352</v>
      </c>
      <c r="E24" s="347" t="s">
        <v>1359</v>
      </c>
      <c r="F24" s="347" t="s">
        <v>1351</v>
      </c>
      <c r="G24" s="347"/>
      <c r="H24" s="349" t="s">
        <v>1353</v>
      </c>
      <c r="I24" s="362" t="s">
        <v>1224</v>
      </c>
      <c r="J24" s="396"/>
      <c r="K24" s="341" t="s">
        <v>1357</v>
      </c>
      <c r="M24" s="448" t="s">
        <v>1225</v>
      </c>
      <c r="N24" s="449" t="s">
        <v>1288</v>
      </c>
      <c r="O24" s="449" t="str">
        <f>_xlfn.CONCAT(VLOOKUP(M24,'Date SPV'!$B$4:$D$34,3,FALSE)," (",RIGHT(M24,LEN(M24)-FIND("_",M24,1))," )")</f>
        <v>Nepi Ten Development Solutions  SRL (Sighisoara )</v>
      </c>
      <c r="P24" s="450" t="s">
        <v>1405</v>
      </c>
      <c r="Q24" s="450" t="s">
        <v>1405</v>
      </c>
      <c r="R24" s="450" t="s">
        <v>1405</v>
      </c>
      <c r="S24" s="449" t="str">
        <f>VLOOKUP(VLOOKUP(M24,'Date SPV'!$B$4:$F$34,5,FALSE),'Date SPV'!$T$4:$U$11,2,FALSE)</f>
        <v>DEER Transilvania Sud</v>
      </c>
      <c r="T24" s="449" t="str">
        <f>VLOOKUP(M24,'Contorizare in SDI'!$B:$D,3,FALSE)</f>
        <v>594020300002588154</v>
      </c>
      <c r="U24" s="449" t="str">
        <f>VLOOKUP(N24,'Contorizare in SDI'!$F:$H,3,FALSE)</f>
        <v>594020300002588154/1</v>
      </c>
      <c r="V24" s="451" t="s">
        <v>1357</v>
      </c>
      <c r="W24" s="452">
        <f>HLOOKUP(VLOOKUP(M24,'Date SPV'!$B$4:$F$34,5,FALSE),'Preturi si tarife'!$C$2:$J$21,3,FALSE)</f>
        <v>0.59499999999999997</v>
      </c>
      <c r="Y24" s="394" t="s">
        <v>527</v>
      </c>
      <c r="Z24" s="391" t="s">
        <v>667</v>
      </c>
      <c r="AA24" s="472" t="s">
        <v>581</v>
      </c>
      <c r="AB24" s="391" t="s">
        <v>667</v>
      </c>
      <c r="AC24" s="548">
        <v>109278</v>
      </c>
      <c r="AD24" s="548">
        <v>0</v>
      </c>
      <c r="AE24" s="393">
        <f>'Inchidere contur'!D25</f>
        <v>0</v>
      </c>
    </row>
    <row r="25" spans="3:31" ht="16.5" thickBot="1">
      <c r="C25" s="360" t="s">
        <v>1363</v>
      </c>
      <c r="D25" s="342" t="s">
        <v>1352</v>
      </c>
      <c r="E25" s="342" t="s">
        <v>1359</v>
      </c>
      <c r="F25" s="342" t="s">
        <v>1351</v>
      </c>
      <c r="G25" s="342"/>
      <c r="H25" s="344" t="s">
        <v>1353</v>
      </c>
      <c r="I25" s="364" t="s">
        <v>1220</v>
      </c>
      <c r="J25" s="397"/>
      <c r="K25" s="342" t="s">
        <v>1354</v>
      </c>
      <c r="M25" s="437" t="s">
        <v>1221</v>
      </c>
      <c r="N25" s="438" t="s">
        <v>1286</v>
      </c>
      <c r="O25" s="438" t="str">
        <f>_xlfn.CONCAT(VLOOKUP(M25,'Date SPV'!$B$4:$D$34,3,FALSE)," (",RIGHT(M25,LEN(M25)-FIND("_",M25,1))," )")</f>
        <v>Nepi Ten Development Solutions  SRL (Alba )</v>
      </c>
      <c r="P25" s="439" t="s">
        <v>1405</v>
      </c>
      <c r="Q25" s="439" t="s">
        <v>1405</v>
      </c>
      <c r="R25" s="439" t="s">
        <v>1405</v>
      </c>
      <c r="S25" s="438" t="str">
        <f>VLOOKUP(VLOOKUP(M25,'Date SPV'!$B$4:$F$34,5,FALSE),'Date SPV'!$T$4:$U$11,2,FALSE)</f>
        <v>DEER Transilvania Sud</v>
      </c>
      <c r="T25" s="438" t="str">
        <f>VLOOKUP(M25,'Contorizare in SDI'!$B:$D,3,FALSE)</f>
        <v>594020400001705610</v>
      </c>
      <c r="U25" s="438" t="str">
        <f>VLOOKUP(N25,'Contorizare in SDI'!$F:$H,3,FALSE)</f>
        <v>594020400001705610/1</v>
      </c>
      <c r="V25" s="440" t="s">
        <v>1354</v>
      </c>
      <c r="W25" s="441">
        <f>W27+W29+W31</f>
        <v>28164</v>
      </c>
      <c r="Y25" s="404" t="s">
        <v>527</v>
      </c>
      <c r="Z25" s="405" t="s">
        <v>69</v>
      </c>
      <c r="AA25" s="473" t="s">
        <v>961</v>
      </c>
      <c r="AB25" s="405" t="s">
        <v>69</v>
      </c>
      <c r="AC25" s="548">
        <v>0</v>
      </c>
      <c r="AD25" s="548">
        <v>0</v>
      </c>
      <c r="AE25" s="393">
        <f>'Inchidere contur'!D26</f>
        <v>0</v>
      </c>
    </row>
    <row r="26" spans="3:31" ht="16.5" thickBot="1">
      <c r="C26" s="361" t="s">
        <v>1363</v>
      </c>
      <c r="D26" s="347" t="s">
        <v>1352</v>
      </c>
      <c r="E26" s="347" t="s">
        <v>1359</v>
      </c>
      <c r="F26" s="347" t="s">
        <v>1351</v>
      </c>
      <c r="G26" s="347"/>
      <c r="H26" s="349" t="s">
        <v>1353</v>
      </c>
      <c r="I26" s="365" t="s">
        <v>1220</v>
      </c>
      <c r="J26" s="397"/>
      <c r="K26" s="341" t="s">
        <v>1355</v>
      </c>
      <c r="M26" s="442" t="s">
        <v>1221</v>
      </c>
      <c r="N26" s="443" t="s">
        <v>1286</v>
      </c>
      <c r="O26" s="443" t="str">
        <f>_xlfn.CONCAT(VLOOKUP(M26,'Date SPV'!$B$4:$D$34,3,FALSE)," (",RIGHT(M26,LEN(M26)-FIND("_",M26,1))," )")</f>
        <v>Nepi Ten Development Solutions  SRL (Alba )</v>
      </c>
      <c r="P26" s="444" t="s">
        <v>1405</v>
      </c>
      <c r="Q26" s="444" t="s">
        <v>1405</v>
      </c>
      <c r="R26" s="444" t="s">
        <v>1405</v>
      </c>
      <c r="S26" s="443" t="str">
        <f>VLOOKUP(VLOOKUP(M26,'Date SPV'!$B$4:$F$34,5,FALSE),'Date SPV'!$T$4:$U$11,2,FALSE)</f>
        <v>DEER Transilvania Sud</v>
      </c>
      <c r="T26" s="443" t="str">
        <f>VLOOKUP(M26,'Contorizare in SDI'!$B:$D,3,FALSE)</f>
        <v>594020400001705610</v>
      </c>
      <c r="U26" s="443" t="str">
        <f>VLOOKUP(N26,'Contorizare in SDI'!$F:$H,3,FALSE)</f>
        <v>594020400001705610/1</v>
      </c>
      <c r="V26" s="445" t="s">
        <v>1355</v>
      </c>
      <c r="W26" s="446">
        <f>ROUND(W27*W28+W29*W30+W31*W32,2)</f>
        <v>21913.119999999999</v>
      </c>
      <c r="Y26" s="389" t="s">
        <v>528</v>
      </c>
      <c r="Z26" s="390" t="s">
        <v>69</v>
      </c>
      <c r="AA26" s="471" t="s">
        <v>582</v>
      </c>
      <c r="AB26" s="391" t="s">
        <v>668</v>
      </c>
      <c r="AC26" s="548">
        <v>0</v>
      </c>
      <c r="AD26" s="548">
        <v>0</v>
      </c>
      <c r="AE26" s="393">
        <f>'Inchidere contur'!D27</f>
        <v>0</v>
      </c>
    </row>
    <row r="27" spans="3:31" ht="16.5" thickBot="1">
      <c r="C27" s="361" t="s">
        <v>1363</v>
      </c>
      <c r="D27" s="347" t="s">
        <v>1352</v>
      </c>
      <c r="E27" s="347" t="s">
        <v>1359</v>
      </c>
      <c r="F27" s="347" t="s">
        <v>1351</v>
      </c>
      <c r="G27" s="347"/>
      <c r="H27" s="349" t="s">
        <v>1353</v>
      </c>
      <c r="I27" s="365" t="s">
        <v>1220</v>
      </c>
      <c r="J27" s="397"/>
      <c r="K27" s="347" t="s">
        <v>1362</v>
      </c>
      <c r="M27" s="442" t="s">
        <v>1221</v>
      </c>
      <c r="N27" s="443" t="s">
        <v>1286</v>
      </c>
      <c r="O27" s="443" t="str">
        <f>_xlfn.CONCAT(VLOOKUP(M27,'Date SPV'!$B$4:$D$34,3,FALSE)," (",RIGHT(M27,LEN(M27)-FIND("_",M27,1))," )")</f>
        <v>Nepi Ten Development Solutions  SRL (Alba )</v>
      </c>
      <c r="P27" s="444" t="s">
        <v>1405</v>
      </c>
      <c r="Q27" s="444" t="s">
        <v>1405</v>
      </c>
      <c r="R27" s="444" t="s">
        <v>1405</v>
      </c>
      <c r="S27" s="443" t="str">
        <f>VLOOKUP(VLOOKUP(M27,'Date SPV'!$B$4:$F$34,5,FALSE),'Date SPV'!$T$4:$U$11,2,FALSE)</f>
        <v>DEER Transilvania Sud</v>
      </c>
      <c r="T27" s="443" t="str">
        <f>VLOOKUP(M27,'Contorizare in SDI'!$B:$D,3,FALSE)</f>
        <v>594020400001705610</v>
      </c>
      <c r="U27" s="443" t="str">
        <f>VLOOKUP(N27,'Contorizare in SDI'!$F:$H,3,FALSE)</f>
        <v>594020400001705610/1</v>
      </c>
      <c r="V27" s="447" t="s">
        <v>1356</v>
      </c>
      <c r="W27" s="446">
        <f>SUMIF($AB:$AB,N27,$AC:$AC)</f>
        <v>14978</v>
      </c>
      <c r="Y27" s="394" t="s">
        <v>528</v>
      </c>
      <c r="Z27" s="391" t="s">
        <v>668</v>
      </c>
      <c r="AA27" s="472" t="s">
        <v>583</v>
      </c>
      <c r="AB27" s="391" t="s">
        <v>668</v>
      </c>
      <c r="AC27" s="548">
        <v>39479</v>
      </c>
      <c r="AD27" s="548">
        <v>0</v>
      </c>
      <c r="AE27" s="393">
        <f>'Inchidere contur'!D28</f>
        <v>0</v>
      </c>
    </row>
    <row r="28" spans="3:31" ht="16.5" thickBot="1">
      <c r="C28" s="361" t="s">
        <v>1363</v>
      </c>
      <c r="D28" s="347" t="s">
        <v>1352</v>
      </c>
      <c r="E28" s="347" t="s">
        <v>1359</v>
      </c>
      <c r="F28" s="347" t="s">
        <v>1351</v>
      </c>
      <c r="G28" s="347"/>
      <c r="H28" s="349" t="s">
        <v>1353</v>
      </c>
      <c r="I28" s="365" t="s">
        <v>1220</v>
      </c>
      <c r="J28" s="397"/>
      <c r="K28" s="341" t="s">
        <v>1357</v>
      </c>
      <c r="M28" s="442" t="s">
        <v>1221</v>
      </c>
      <c r="N28" s="443" t="s">
        <v>1286</v>
      </c>
      <c r="O28" s="443" t="str">
        <f>_xlfn.CONCAT(VLOOKUP(M28,'Date SPV'!$B$4:$D$34,3,FALSE)," (",RIGHT(M28,LEN(M28)-FIND("_",M28,1))," )")</f>
        <v>Nepi Ten Development Solutions  SRL (Alba )</v>
      </c>
      <c r="P28" s="444" t="s">
        <v>1405</v>
      </c>
      <c r="Q28" s="444" t="s">
        <v>1405</v>
      </c>
      <c r="R28" s="444" t="s">
        <v>1405</v>
      </c>
      <c r="S28" s="443" t="str">
        <f>VLOOKUP(VLOOKUP(M28,'Date SPV'!$B$4:$F$34,5,FALSE),'Date SPV'!$T$4:$U$11,2,FALSE)</f>
        <v>DEER Transilvania Sud</v>
      </c>
      <c r="T28" s="443" t="str">
        <f>VLOOKUP(M28,'Contorizare in SDI'!$B:$D,3,FALSE)</f>
        <v>594020400001705610</v>
      </c>
      <c r="U28" s="443" t="str">
        <f>VLOOKUP(N28,'Contorizare in SDI'!$F:$H,3,FALSE)</f>
        <v>594020400001705610/1</v>
      </c>
      <c r="V28" s="447" t="s">
        <v>1357</v>
      </c>
      <c r="W28" s="446">
        <f>HLOOKUP(VLOOKUP(M28,'Date SPV'!$B$4:$F$34,5,FALSE),'Preturi si tarife'!$C$2:$J$21,17,FALSE)</f>
        <v>0.93920760000000003</v>
      </c>
      <c r="Y28" s="404" t="s">
        <v>528</v>
      </c>
      <c r="Z28" s="405" t="s">
        <v>69</v>
      </c>
      <c r="AA28" s="473" t="s">
        <v>962</v>
      </c>
      <c r="AB28" s="405" t="s">
        <v>69</v>
      </c>
      <c r="AC28" s="548">
        <v>0</v>
      </c>
      <c r="AD28" s="548">
        <v>0</v>
      </c>
      <c r="AE28" s="393">
        <f>'Inchidere contur'!D29</f>
        <v>0</v>
      </c>
    </row>
    <row r="29" spans="3:31" ht="16.5" hidden="1" thickBot="1">
      <c r="C29" s="388"/>
      <c r="M29" s="442" t="s">
        <v>1221</v>
      </c>
      <c r="N29" s="443" t="s">
        <v>1286</v>
      </c>
      <c r="O29" s="443" t="str">
        <f>_xlfn.CONCAT(VLOOKUP(M29,'Date SPV'!$B$4:$D$34,3,FALSE)," (",RIGHT(M29,LEN(M29)-FIND("_",M29,1))," )")</f>
        <v>Nepi Ten Development Solutions  SRL (Alba )</v>
      </c>
      <c r="P29" s="444" t="s">
        <v>1405</v>
      </c>
      <c r="Q29" s="444" t="s">
        <v>1405</v>
      </c>
      <c r="R29" s="444" t="s">
        <v>1405</v>
      </c>
      <c r="S29" s="443" t="str">
        <f>VLOOKUP(VLOOKUP(M29,'Date SPV'!$B$4:$F$34,5,FALSE),'Date SPV'!$T$4:$U$11,2,FALSE)</f>
        <v>DEER Transilvania Sud</v>
      </c>
      <c r="T29" s="443" t="str">
        <f>VLOOKUP(M29,'Contorizare in SDI'!$B:$D,3,FALSE)</f>
        <v>594020400001705610</v>
      </c>
      <c r="U29" s="443" t="str">
        <f>VLOOKUP(N29,'Contorizare in SDI'!$F:$H,3,FALSE)</f>
        <v>594020400001705610/1</v>
      </c>
      <c r="V29" s="447" t="s">
        <v>1358</v>
      </c>
      <c r="W29" s="446">
        <f>SUMIF($AB:$AB,N29,$AD:$AD)</f>
        <v>0</v>
      </c>
      <c r="Y29" s="389" t="s">
        <v>529</v>
      </c>
      <c r="Z29" s="390" t="s">
        <v>669</v>
      </c>
      <c r="AA29" s="471" t="s">
        <v>584</v>
      </c>
      <c r="AB29" s="390" t="s">
        <v>669</v>
      </c>
      <c r="AC29" s="392">
        <v>34586</v>
      </c>
      <c r="AD29" s="392">
        <v>0</v>
      </c>
      <c r="AE29" s="393">
        <f>'Inchidere contur'!D30</f>
        <v>0</v>
      </c>
    </row>
    <row r="30" spans="3:31" ht="16.5" hidden="1" thickBot="1">
      <c r="C30" s="388"/>
      <c r="M30" s="442" t="s">
        <v>1221</v>
      </c>
      <c r="N30" s="443" t="s">
        <v>1286</v>
      </c>
      <c r="O30" s="443" t="str">
        <f>_xlfn.CONCAT(VLOOKUP(M30,'Date SPV'!$B$4:$D$34,3,FALSE)," (",RIGHT(M30,LEN(M30)-FIND("_",M30,1))," )")</f>
        <v>Nepi Ten Development Solutions  SRL (Alba )</v>
      </c>
      <c r="P30" s="444" t="s">
        <v>1405</v>
      </c>
      <c r="Q30" s="444" t="s">
        <v>1405</v>
      </c>
      <c r="R30" s="444" t="s">
        <v>1405</v>
      </c>
      <c r="S30" s="443" t="str">
        <f>VLOOKUP(VLOOKUP(M30,'Date SPV'!$B$4:$F$34,5,FALSE),'Date SPV'!$T$4:$U$11,2,FALSE)</f>
        <v>DEER Transilvania Sud</v>
      </c>
      <c r="T30" s="443" t="str">
        <f>VLOOKUP(M30,'Contorizare in SDI'!$B:$D,3,FALSE)</f>
        <v>594020400001705610</v>
      </c>
      <c r="U30" s="443" t="str">
        <f>VLOOKUP(N30,'Contorizare in SDI'!$F:$H,3,FALSE)</f>
        <v>594020400001705610/1</v>
      </c>
      <c r="V30" s="447" t="s">
        <v>1357</v>
      </c>
      <c r="W30" s="446">
        <f>HLOOKUP(VLOOKUP(M30,'Date SPV'!$B$4:$F$34,5,FALSE),'Preturi si tarife'!$C$2:$J$21,18,FALSE)</f>
        <v>0.83390760000000008</v>
      </c>
      <c r="Y30" s="394" t="s">
        <v>529</v>
      </c>
      <c r="Z30" s="391" t="s">
        <v>670</v>
      </c>
      <c r="AA30" s="472" t="s">
        <v>585</v>
      </c>
      <c r="AB30" s="391" t="s">
        <v>670</v>
      </c>
      <c r="AC30" s="392">
        <v>24153</v>
      </c>
      <c r="AD30" s="392">
        <v>0</v>
      </c>
      <c r="AE30" s="393">
        <f>'Inchidere contur'!D31</f>
        <v>0</v>
      </c>
    </row>
    <row r="31" spans="3:31" ht="16.5" thickBot="1">
      <c r="C31" s="361" t="s">
        <v>1363</v>
      </c>
      <c r="D31" s="347" t="s">
        <v>1352</v>
      </c>
      <c r="E31" s="347" t="s">
        <v>1359</v>
      </c>
      <c r="F31" s="347" t="s">
        <v>1351</v>
      </c>
      <c r="G31" s="347"/>
      <c r="H31" s="349" t="s">
        <v>1353</v>
      </c>
      <c r="I31" s="365" t="s">
        <v>1220</v>
      </c>
      <c r="J31" s="397"/>
      <c r="K31" s="347" t="s">
        <v>1360</v>
      </c>
      <c r="M31" s="442" t="s">
        <v>1221</v>
      </c>
      <c r="N31" s="443" t="s">
        <v>1286</v>
      </c>
      <c r="O31" s="443" t="str">
        <f>_xlfn.CONCAT(VLOOKUP(M31,'Date SPV'!$B$4:$D$34,3,FALSE)," (",RIGHT(M31,LEN(M31)-FIND("_",M31,1))," )")</f>
        <v>Nepi Ten Development Solutions  SRL (Alba )</v>
      </c>
      <c r="P31" s="444" t="s">
        <v>1405</v>
      </c>
      <c r="Q31" s="444" t="s">
        <v>1405</v>
      </c>
      <c r="R31" s="444" t="s">
        <v>1405</v>
      </c>
      <c r="S31" s="443" t="str">
        <f>VLOOKUP(VLOOKUP(M31,'Date SPV'!$B$4:$F$34,5,FALSE),'Date SPV'!$T$4:$U$11,2,FALSE)</f>
        <v>DEER Transilvania Sud</v>
      </c>
      <c r="T31" s="443" t="str">
        <f>VLOOKUP(M31,'Contorizare in SDI'!$B:$D,3,FALSE)</f>
        <v>594020400001705610</v>
      </c>
      <c r="U31" s="443" t="str">
        <f>VLOOKUP(N31,'Contorizare in SDI'!$F:$H,3,FALSE)</f>
        <v>594020400001705610/1</v>
      </c>
      <c r="V31" s="447" t="s">
        <v>1360</v>
      </c>
      <c r="W31" s="446">
        <f>SUMIF($AB:$AB,N31,$AE:$AE)</f>
        <v>13186</v>
      </c>
      <c r="Y31" s="394" t="s">
        <v>529</v>
      </c>
      <c r="Z31" s="391" t="s">
        <v>69</v>
      </c>
      <c r="AA31" s="472" t="s">
        <v>963</v>
      </c>
      <c r="AB31" s="391" t="s">
        <v>69</v>
      </c>
      <c r="AC31" s="548">
        <v>0</v>
      </c>
      <c r="AD31" s="548">
        <v>0</v>
      </c>
      <c r="AE31" s="393">
        <f>'Inchidere contur'!D32</f>
        <v>0</v>
      </c>
    </row>
    <row r="32" spans="3:31" ht="16.5" thickBot="1">
      <c r="C32" s="361" t="s">
        <v>1363</v>
      </c>
      <c r="D32" s="347" t="s">
        <v>1352</v>
      </c>
      <c r="E32" s="347" t="s">
        <v>1359</v>
      </c>
      <c r="F32" s="347" t="s">
        <v>1351</v>
      </c>
      <c r="G32" s="347"/>
      <c r="H32" s="349" t="s">
        <v>1353</v>
      </c>
      <c r="I32" s="365" t="s">
        <v>1220</v>
      </c>
      <c r="J32" s="397"/>
      <c r="K32" s="347" t="s">
        <v>1357</v>
      </c>
      <c r="M32" s="448" t="s">
        <v>1221</v>
      </c>
      <c r="N32" s="449" t="s">
        <v>1286</v>
      </c>
      <c r="O32" s="449" t="str">
        <f>_xlfn.CONCAT(VLOOKUP(M32,'Date SPV'!$B$4:$D$34,3,FALSE)," (",RIGHT(M32,LEN(M32)-FIND("_",M32,1))," )")</f>
        <v>Nepi Ten Development Solutions  SRL (Alba )</v>
      </c>
      <c r="P32" s="450" t="s">
        <v>1405</v>
      </c>
      <c r="Q32" s="450" t="s">
        <v>1405</v>
      </c>
      <c r="R32" s="450" t="s">
        <v>1405</v>
      </c>
      <c r="S32" s="449" t="str">
        <f>VLOOKUP(VLOOKUP(M32,'Date SPV'!$B$4:$F$34,5,FALSE),'Date SPV'!$T$4:$U$11,2,FALSE)</f>
        <v>DEER Transilvania Sud</v>
      </c>
      <c r="T32" s="449" t="str">
        <f>VLOOKUP(M32,'Contorizare in SDI'!$B:$D,3,FALSE)</f>
        <v>594020400001705610</v>
      </c>
      <c r="U32" s="449" t="str">
        <f>VLOOKUP(N32,'Contorizare in SDI'!$F:$H,3,FALSE)</f>
        <v>594020400001705610/1</v>
      </c>
      <c r="V32" s="451" t="s">
        <v>1357</v>
      </c>
      <c r="W32" s="452">
        <f>HLOOKUP(VLOOKUP(M32,'Date SPV'!$B$4:$F$34,5,FALSE),'Preturi si tarife'!$C$2:$J$21,3,FALSE)</f>
        <v>0.59499999999999997</v>
      </c>
      <c r="Y32" s="394" t="s">
        <v>530</v>
      </c>
      <c r="Z32" s="391" t="s">
        <v>671</v>
      </c>
      <c r="AA32" s="472" t="s">
        <v>586</v>
      </c>
      <c r="AB32" s="391" t="s">
        <v>671</v>
      </c>
      <c r="AC32" s="548">
        <v>81464</v>
      </c>
      <c r="AD32" s="548">
        <v>0</v>
      </c>
      <c r="AE32" s="393">
        <f>'Inchidere contur'!D33</f>
        <v>0</v>
      </c>
    </row>
    <row r="33" spans="3:31" ht="16.5" thickBot="1">
      <c r="C33" s="360" t="s">
        <v>1364</v>
      </c>
      <c r="D33" s="342" t="s">
        <v>1352</v>
      </c>
      <c r="E33" s="342" t="s">
        <v>1365</v>
      </c>
      <c r="F33" s="342" t="s">
        <v>1351</v>
      </c>
      <c r="G33" s="342"/>
      <c r="H33" s="344" t="s">
        <v>1366</v>
      </c>
      <c r="I33" s="366">
        <v>51663737</v>
      </c>
      <c r="J33" s="398"/>
      <c r="K33" s="342" t="s">
        <v>1354</v>
      </c>
      <c r="M33" s="437" t="s">
        <v>1227</v>
      </c>
      <c r="N33" s="438" t="s">
        <v>1289</v>
      </c>
      <c r="O33" s="438" t="str">
        <f>_xlfn.CONCAT(VLOOKUP(M33,'Date SPV'!$B$4:$D$34,3,FALSE)," (",RIGHT(M33,LEN(M33)-FIND("_",M33,1))," )")</f>
        <v>Nepi Ten Development Solutions  SRL (Alexandria )</v>
      </c>
      <c r="P33" s="439" t="s">
        <v>1405</v>
      </c>
      <c r="Q33" s="439" t="s">
        <v>1405</v>
      </c>
      <c r="R33" s="439" t="s">
        <v>1405</v>
      </c>
      <c r="S33" s="438" t="str">
        <f>VLOOKUP(VLOOKUP(M33,'Date SPV'!$B$4:$F$34,5,FALSE),'Date SPV'!$T$4:$U$11,2,FALSE)</f>
        <v>Distributie Energie Oltenia</v>
      </c>
      <c r="T33" s="438" t="str">
        <f>VLOOKUP(M33,'Contorizare in SDI'!$B:$D,3,FALSE)</f>
        <v>59401060000191744771568947</v>
      </c>
      <c r="U33" s="438" t="str">
        <f>VLOOKUP(N33,'Contorizare in SDI'!$F:$H,3,FALSE)</f>
        <v>59401060000191744771568947/1</v>
      </c>
      <c r="V33" s="440" t="s">
        <v>1354</v>
      </c>
      <c r="W33" s="441">
        <f>W35+W37+W39</f>
        <v>26277</v>
      </c>
      <c r="Y33" s="394" t="s">
        <v>530</v>
      </c>
      <c r="Z33" s="391" t="s">
        <v>69</v>
      </c>
      <c r="AA33" s="472" t="s">
        <v>587</v>
      </c>
      <c r="AB33" s="391" t="s">
        <v>671</v>
      </c>
      <c r="AC33" s="548">
        <v>0</v>
      </c>
      <c r="AD33" s="548">
        <v>0</v>
      </c>
      <c r="AE33" s="393">
        <f>'Inchidere contur'!D34</f>
        <v>0</v>
      </c>
    </row>
    <row r="34" spans="3:31" ht="16.5" thickBot="1">
      <c r="C34" s="361" t="s">
        <v>1364</v>
      </c>
      <c r="D34" s="347" t="s">
        <v>1352</v>
      </c>
      <c r="E34" s="347" t="s">
        <v>1365</v>
      </c>
      <c r="F34" s="347" t="s">
        <v>1351</v>
      </c>
      <c r="G34" s="347"/>
      <c r="H34" s="349" t="s">
        <v>1366</v>
      </c>
      <c r="I34" s="367">
        <v>51663737</v>
      </c>
      <c r="J34" s="398"/>
      <c r="K34" s="341" t="s">
        <v>1355</v>
      </c>
      <c r="M34" s="442" t="s">
        <v>1227</v>
      </c>
      <c r="N34" s="443" t="s">
        <v>1289</v>
      </c>
      <c r="O34" s="443" t="str">
        <f>_xlfn.CONCAT(VLOOKUP(M34,'Date SPV'!$B$4:$D$34,3,FALSE)," (",RIGHT(M34,LEN(M34)-FIND("_",M34,1))," )")</f>
        <v>Nepi Ten Development Solutions  SRL (Alexandria )</v>
      </c>
      <c r="P34" s="444" t="s">
        <v>1405</v>
      </c>
      <c r="Q34" s="444" t="s">
        <v>1405</v>
      </c>
      <c r="R34" s="444" t="s">
        <v>1405</v>
      </c>
      <c r="S34" s="443" t="str">
        <f>VLOOKUP(VLOOKUP(M34,'Date SPV'!$B$4:$F$34,5,FALSE),'Date SPV'!$T$4:$U$11,2,FALSE)</f>
        <v>Distributie Energie Oltenia</v>
      </c>
      <c r="T34" s="443" t="str">
        <f>VLOOKUP(M34,'Contorizare in SDI'!$B:$D,3,FALSE)</f>
        <v>59401060000191744771568947</v>
      </c>
      <c r="U34" s="443" t="str">
        <f>VLOOKUP(N34,'Contorizare in SDI'!$F:$H,3,FALSE)</f>
        <v>59401060000191744771568947/1</v>
      </c>
      <c r="V34" s="445" t="s">
        <v>1355</v>
      </c>
      <c r="W34" s="446">
        <f>ROUND(W35*W36+W37*W38+W39*W40,2)</f>
        <v>17038.21</v>
      </c>
      <c r="Y34" s="394" t="s">
        <v>530</v>
      </c>
      <c r="Z34" s="391" t="s">
        <v>69</v>
      </c>
      <c r="AA34" s="472" t="s">
        <v>964</v>
      </c>
      <c r="AB34" s="391" t="s">
        <v>69</v>
      </c>
      <c r="AC34" s="548">
        <v>0</v>
      </c>
      <c r="AD34" s="548">
        <v>0</v>
      </c>
      <c r="AE34" s="393">
        <f>'Inchidere contur'!D35</f>
        <v>0</v>
      </c>
    </row>
    <row r="35" spans="3:31" ht="16.5" thickBot="1">
      <c r="C35" s="361" t="s">
        <v>1364</v>
      </c>
      <c r="D35" s="347" t="s">
        <v>1352</v>
      </c>
      <c r="E35" s="347" t="s">
        <v>1365</v>
      </c>
      <c r="F35" s="347" t="s">
        <v>1351</v>
      </c>
      <c r="G35" s="347"/>
      <c r="H35" s="349" t="s">
        <v>1366</v>
      </c>
      <c r="I35" s="367">
        <v>51663737</v>
      </c>
      <c r="J35" s="398"/>
      <c r="K35" s="347" t="s">
        <v>1362</v>
      </c>
      <c r="M35" s="442" t="s">
        <v>1227</v>
      </c>
      <c r="N35" s="443" t="s">
        <v>1289</v>
      </c>
      <c r="O35" s="443" t="str">
        <f>_xlfn.CONCAT(VLOOKUP(M35,'Date SPV'!$B$4:$D$34,3,FALSE)," (",RIGHT(M35,LEN(M35)-FIND("_",M35,1))," )")</f>
        <v>Nepi Ten Development Solutions  SRL (Alexandria )</v>
      </c>
      <c r="P35" s="444" t="s">
        <v>1405</v>
      </c>
      <c r="Q35" s="444" t="s">
        <v>1405</v>
      </c>
      <c r="R35" s="444" t="s">
        <v>1405</v>
      </c>
      <c r="S35" s="443" t="str">
        <f>VLOOKUP(VLOOKUP(M35,'Date SPV'!$B$4:$F$34,5,FALSE),'Date SPV'!$T$4:$U$11,2,FALSE)</f>
        <v>Distributie Energie Oltenia</v>
      </c>
      <c r="T35" s="443" t="str">
        <f>VLOOKUP(M35,'Contorizare in SDI'!$B:$D,3,FALSE)</f>
        <v>59401060000191744771568947</v>
      </c>
      <c r="U35" s="443" t="str">
        <f>VLOOKUP(N35,'Contorizare in SDI'!$F:$H,3,FALSE)</f>
        <v>59401060000191744771568947/1</v>
      </c>
      <c r="V35" s="447" t="s">
        <v>1356</v>
      </c>
      <c r="W35" s="446">
        <f>SUMIF($AB:$AB,N35,$AC:$AC)</f>
        <v>3692</v>
      </c>
      <c r="Y35" s="394" t="s">
        <v>531</v>
      </c>
      <c r="Z35" s="391" t="s">
        <v>672</v>
      </c>
      <c r="AA35" s="472" t="s">
        <v>588</v>
      </c>
      <c r="AB35" s="391" t="s">
        <v>672</v>
      </c>
      <c r="AC35" s="548">
        <v>70622</v>
      </c>
      <c r="AD35" s="548">
        <v>0</v>
      </c>
      <c r="AE35" s="393">
        <f>'Inchidere contur'!D36</f>
        <v>0</v>
      </c>
    </row>
    <row r="36" spans="3:31" ht="16.5" thickBot="1">
      <c r="C36" s="361" t="s">
        <v>1364</v>
      </c>
      <c r="D36" s="347" t="s">
        <v>1352</v>
      </c>
      <c r="E36" s="347" t="s">
        <v>1365</v>
      </c>
      <c r="F36" s="347" t="s">
        <v>1351</v>
      </c>
      <c r="G36" s="347"/>
      <c r="H36" s="349" t="s">
        <v>1366</v>
      </c>
      <c r="I36" s="367">
        <v>51663737</v>
      </c>
      <c r="J36" s="398"/>
      <c r="K36" s="341" t="s">
        <v>1357</v>
      </c>
      <c r="M36" s="442" t="s">
        <v>1227</v>
      </c>
      <c r="N36" s="443" t="s">
        <v>1289</v>
      </c>
      <c r="O36" s="443" t="str">
        <f>_xlfn.CONCAT(VLOOKUP(M36,'Date SPV'!$B$4:$D$34,3,FALSE)," (",RIGHT(M36,LEN(M36)-FIND("_",M36,1))," )")</f>
        <v>Nepi Ten Development Solutions  SRL (Alexandria )</v>
      </c>
      <c r="P36" s="444" t="s">
        <v>1405</v>
      </c>
      <c r="Q36" s="444" t="s">
        <v>1405</v>
      </c>
      <c r="R36" s="444" t="s">
        <v>1405</v>
      </c>
      <c r="S36" s="443" t="str">
        <f>VLOOKUP(VLOOKUP(M36,'Date SPV'!$B$4:$F$34,5,FALSE),'Date SPV'!$T$4:$U$11,2,FALSE)</f>
        <v>Distributie Energie Oltenia</v>
      </c>
      <c r="T36" s="443" t="str">
        <f>VLOOKUP(M36,'Contorizare in SDI'!$B:$D,3,FALSE)</f>
        <v>59401060000191744771568947</v>
      </c>
      <c r="U36" s="443" t="str">
        <f>VLOOKUP(N36,'Contorizare in SDI'!$F:$H,3,FALSE)</f>
        <v>59401060000191744771568947/1</v>
      </c>
      <c r="V36" s="447" t="s">
        <v>1357</v>
      </c>
      <c r="W36" s="446">
        <f>HLOOKUP(VLOOKUP(M36,'Date SPV'!$B$4:$F$34,5,FALSE),'Preturi si tarife'!$C$2:$J$21,17,FALSE)</f>
        <v>0.97511760000000003</v>
      </c>
      <c r="Y36" s="394" t="s">
        <v>531</v>
      </c>
      <c r="Z36" s="391" t="s">
        <v>69</v>
      </c>
      <c r="AA36" s="472" t="s">
        <v>589</v>
      </c>
      <c r="AB36" s="391" t="s">
        <v>672</v>
      </c>
      <c r="AC36" s="548">
        <v>0</v>
      </c>
      <c r="AD36" s="548">
        <v>56743</v>
      </c>
      <c r="AE36" s="393">
        <f>'Inchidere contur'!D37</f>
        <v>0</v>
      </c>
    </row>
    <row r="37" spans="3:31" ht="16.5" hidden="1" thickBot="1">
      <c r="C37" s="388"/>
      <c r="M37" s="442" t="s">
        <v>1227</v>
      </c>
      <c r="N37" s="443" t="s">
        <v>1289</v>
      </c>
      <c r="O37" s="443" t="str">
        <f>_xlfn.CONCAT(VLOOKUP(M37,'Date SPV'!$B$4:$D$34,3,FALSE)," (",RIGHT(M37,LEN(M37)-FIND("_",M37,1))," )")</f>
        <v>Nepi Ten Development Solutions  SRL (Alexandria )</v>
      </c>
      <c r="P37" s="444" t="s">
        <v>1405</v>
      </c>
      <c r="Q37" s="444" t="s">
        <v>1405</v>
      </c>
      <c r="R37" s="444" t="s">
        <v>1405</v>
      </c>
      <c r="S37" s="443" t="str">
        <f>VLOOKUP(VLOOKUP(M37,'Date SPV'!$B$4:$F$34,5,FALSE),'Date SPV'!$T$4:$U$11,2,FALSE)</f>
        <v>Distributie Energie Oltenia</v>
      </c>
      <c r="T37" s="443" t="str">
        <f>VLOOKUP(M37,'Contorizare in SDI'!$B:$D,3,FALSE)</f>
        <v>59401060000191744771568947</v>
      </c>
      <c r="U37" s="443" t="str">
        <f>VLOOKUP(N37,'Contorizare in SDI'!$F:$H,3,FALSE)</f>
        <v>59401060000191744771568947/1</v>
      </c>
      <c r="V37" s="447" t="s">
        <v>1358</v>
      </c>
      <c r="W37" s="446">
        <f>SUMIF($AB:$AB,N37,$AD:$AD)</f>
        <v>0</v>
      </c>
      <c r="Y37" s="404" t="s">
        <v>531</v>
      </c>
      <c r="Z37" s="405" t="s">
        <v>69</v>
      </c>
      <c r="AA37" s="473" t="s">
        <v>965</v>
      </c>
      <c r="AB37" s="405" t="s">
        <v>69</v>
      </c>
      <c r="AC37" s="392">
        <v>0</v>
      </c>
      <c r="AD37" s="392">
        <v>0</v>
      </c>
      <c r="AE37" s="393">
        <f>'Inchidere contur'!D38</f>
        <v>0</v>
      </c>
    </row>
    <row r="38" spans="3:31" ht="16.5" hidden="1" thickBot="1">
      <c r="C38" s="388"/>
      <c r="M38" s="442" t="s">
        <v>1227</v>
      </c>
      <c r="N38" s="443" t="s">
        <v>1289</v>
      </c>
      <c r="O38" s="443" t="str">
        <f>_xlfn.CONCAT(VLOOKUP(M38,'Date SPV'!$B$4:$D$34,3,FALSE)," (",RIGHT(M38,LEN(M38)-FIND("_",M38,1))," )")</f>
        <v>Nepi Ten Development Solutions  SRL (Alexandria )</v>
      </c>
      <c r="P38" s="444" t="s">
        <v>1405</v>
      </c>
      <c r="Q38" s="444" t="s">
        <v>1405</v>
      </c>
      <c r="R38" s="444" t="s">
        <v>1405</v>
      </c>
      <c r="S38" s="443" t="str">
        <f>VLOOKUP(VLOOKUP(M38,'Date SPV'!$B$4:$F$34,5,FALSE),'Date SPV'!$T$4:$U$11,2,FALSE)</f>
        <v>Distributie Energie Oltenia</v>
      </c>
      <c r="T38" s="443" t="str">
        <f>VLOOKUP(M38,'Contorizare in SDI'!$B:$D,3,FALSE)</f>
        <v>59401060000191744771568947</v>
      </c>
      <c r="U38" s="443" t="str">
        <f>VLOOKUP(N38,'Contorizare in SDI'!$F:$H,3,FALSE)</f>
        <v>59401060000191744771568947/1</v>
      </c>
      <c r="V38" s="447" t="s">
        <v>1357</v>
      </c>
      <c r="W38" s="446">
        <f>HLOOKUP(VLOOKUP(M38,'Date SPV'!$B$4:$F$34,5,FALSE),'Preturi si tarife'!$C$2:$J$21,18,FALSE)</f>
        <v>0.85521760000000002</v>
      </c>
      <c r="Y38" s="389" t="s">
        <v>532</v>
      </c>
      <c r="Z38" s="390" t="s">
        <v>69</v>
      </c>
      <c r="AA38" s="471" t="s">
        <v>590</v>
      </c>
      <c r="AB38" s="391" t="s">
        <v>673</v>
      </c>
      <c r="AC38" s="392">
        <v>0</v>
      </c>
      <c r="AD38" s="392">
        <v>11181</v>
      </c>
      <c r="AE38" s="393">
        <f>'Inchidere contur'!D39</f>
        <v>0</v>
      </c>
    </row>
    <row r="39" spans="3:31" ht="16.5" thickBot="1">
      <c r="C39" s="361" t="s">
        <v>1364</v>
      </c>
      <c r="D39" s="347" t="s">
        <v>1352</v>
      </c>
      <c r="E39" s="347" t="s">
        <v>1365</v>
      </c>
      <c r="F39" s="347" t="s">
        <v>1351</v>
      </c>
      <c r="G39" s="347"/>
      <c r="H39" s="349" t="s">
        <v>1366</v>
      </c>
      <c r="I39" s="367">
        <v>51663737</v>
      </c>
      <c r="J39" s="398"/>
      <c r="K39" s="347" t="s">
        <v>1360</v>
      </c>
      <c r="M39" s="442" t="s">
        <v>1227</v>
      </c>
      <c r="N39" s="443" t="s">
        <v>1289</v>
      </c>
      <c r="O39" s="443" t="str">
        <f>_xlfn.CONCAT(VLOOKUP(M39,'Date SPV'!$B$4:$D$34,3,FALSE)," (",RIGHT(M39,LEN(M39)-FIND("_",M39,1))," )")</f>
        <v>Nepi Ten Development Solutions  SRL (Alexandria )</v>
      </c>
      <c r="P39" s="444" t="s">
        <v>1405</v>
      </c>
      <c r="Q39" s="444" t="s">
        <v>1405</v>
      </c>
      <c r="R39" s="444" t="s">
        <v>1405</v>
      </c>
      <c r="S39" s="443" t="str">
        <f>VLOOKUP(VLOOKUP(M39,'Date SPV'!$B$4:$F$34,5,FALSE),'Date SPV'!$T$4:$U$11,2,FALSE)</f>
        <v>Distributie Energie Oltenia</v>
      </c>
      <c r="T39" s="443" t="str">
        <f>VLOOKUP(M39,'Contorizare in SDI'!$B:$D,3,FALSE)</f>
        <v>59401060000191744771568947</v>
      </c>
      <c r="U39" s="443" t="str">
        <f>VLOOKUP(N39,'Contorizare in SDI'!$F:$H,3,FALSE)</f>
        <v>59401060000191744771568947/1</v>
      </c>
      <c r="V39" s="447" t="s">
        <v>1360</v>
      </c>
      <c r="W39" s="446">
        <f>SUMIF($AB:$AB,N39,$AE:$AE)</f>
        <v>22585</v>
      </c>
      <c r="Y39" s="394" t="s">
        <v>532</v>
      </c>
      <c r="Z39" s="391" t="s">
        <v>673</v>
      </c>
      <c r="AA39" s="472" t="s">
        <v>591</v>
      </c>
      <c r="AB39" s="391" t="s">
        <v>673</v>
      </c>
      <c r="AC39" s="548">
        <v>157386</v>
      </c>
      <c r="AD39" s="548">
        <v>0</v>
      </c>
      <c r="AE39" s="393">
        <f>'Inchidere contur'!D40</f>
        <v>0</v>
      </c>
    </row>
    <row r="40" spans="3:31" ht="16.5" thickBot="1">
      <c r="C40" s="361" t="s">
        <v>1364</v>
      </c>
      <c r="D40" s="347" t="s">
        <v>1352</v>
      </c>
      <c r="E40" s="347" t="s">
        <v>1365</v>
      </c>
      <c r="F40" s="347" t="s">
        <v>1351</v>
      </c>
      <c r="G40" s="347"/>
      <c r="H40" s="349" t="s">
        <v>1366</v>
      </c>
      <c r="I40" s="367">
        <v>51663737</v>
      </c>
      <c r="J40" s="398"/>
      <c r="K40" s="347" t="s">
        <v>1357</v>
      </c>
      <c r="M40" s="448" t="s">
        <v>1227</v>
      </c>
      <c r="N40" s="449" t="s">
        <v>1289</v>
      </c>
      <c r="O40" s="449" t="str">
        <f>_xlfn.CONCAT(VLOOKUP(M40,'Date SPV'!$B$4:$D$34,3,FALSE)," (",RIGHT(M40,LEN(M40)-FIND("_",M40,1))," )")</f>
        <v>Nepi Ten Development Solutions  SRL (Alexandria )</v>
      </c>
      <c r="P40" s="450" t="s">
        <v>1405</v>
      </c>
      <c r="Q40" s="450" t="s">
        <v>1405</v>
      </c>
      <c r="R40" s="450" t="s">
        <v>1405</v>
      </c>
      <c r="S40" s="449" t="str">
        <f>VLOOKUP(VLOOKUP(M40,'Date SPV'!$B$4:$F$34,5,FALSE),'Date SPV'!$T$4:$U$11,2,FALSE)</f>
        <v>Distributie Energie Oltenia</v>
      </c>
      <c r="T40" s="449" t="str">
        <f>VLOOKUP(M40,'Contorizare in SDI'!$B:$D,3,FALSE)</f>
        <v>59401060000191744771568947</v>
      </c>
      <c r="U40" s="449" t="str">
        <f>VLOOKUP(N40,'Contorizare in SDI'!$F:$H,3,FALSE)</f>
        <v>59401060000191744771568947/1</v>
      </c>
      <c r="V40" s="451" t="s">
        <v>1357</v>
      </c>
      <c r="W40" s="452">
        <f>HLOOKUP(VLOOKUP(M40,'Date SPV'!$B$4:$F$34,5,FALSE),'Preturi si tarife'!$C$2:$J$21,3,FALSE)</f>
        <v>0.59499999999999997</v>
      </c>
      <c r="Y40" s="394" t="s">
        <v>532</v>
      </c>
      <c r="Z40" s="391" t="s">
        <v>69</v>
      </c>
      <c r="AA40" s="472" t="s">
        <v>966</v>
      </c>
      <c r="AB40" s="391" t="s">
        <v>69</v>
      </c>
      <c r="AC40" s="548">
        <v>0</v>
      </c>
      <c r="AD40" s="548">
        <v>0</v>
      </c>
      <c r="AE40" s="393">
        <f>'Inchidere contur'!D41</f>
        <v>0</v>
      </c>
    </row>
    <row r="41" spans="3:31" ht="16.5" thickBot="1">
      <c r="C41" s="360" t="s">
        <v>1367</v>
      </c>
      <c r="D41" s="342" t="s">
        <v>1352</v>
      </c>
      <c r="E41" s="342" t="s">
        <v>1359</v>
      </c>
      <c r="F41" s="342" t="s">
        <v>1351</v>
      </c>
      <c r="G41" s="342"/>
      <c r="H41" s="344" t="s">
        <v>1353</v>
      </c>
      <c r="I41" s="368" t="s">
        <v>1222</v>
      </c>
      <c r="J41" s="399"/>
      <c r="K41" s="342" t="s">
        <v>1354</v>
      </c>
      <c r="M41" s="437" t="s">
        <v>1223</v>
      </c>
      <c r="N41" s="438" t="s">
        <v>1287</v>
      </c>
      <c r="O41" s="438" t="str">
        <f>_xlfn.CONCAT(VLOOKUP(M41,'Date SPV'!$B$4:$D$34,3,FALSE)," (",RIGHT(M41,LEN(M41)-FIND("_",M41,1))," )")</f>
        <v>Nepi Ten Development Solutions  SRL (Sfantul Gheorghe )</v>
      </c>
      <c r="P41" s="439" t="s">
        <v>1405</v>
      </c>
      <c r="Q41" s="439" t="s">
        <v>1405</v>
      </c>
      <c r="R41" s="439" t="s">
        <v>1405</v>
      </c>
      <c r="S41" s="438" t="str">
        <f>VLOOKUP(VLOOKUP(M41,'Date SPV'!$B$4:$F$34,5,FALSE),'Date SPV'!$T$4:$U$11,2,FALSE)</f>
        <v>DEER Transilvania Sud</v>
      </c>
      <c r="T41" s="438" t="str">
        <f>VLOOKUP(M41,'Contorizare in SDI'!$B:$D,3,FALSE)</f>
        <v>594020600000985765</v>
      </c>
      <c r="U41" s="438" t="str">
        <f>VLOOKUP(N41,'Contorizare in SDI'!$F:$H,3,FALSE)</f>
        <v>594020600000985765/1</v>
      </c>
      <c r="V41" s="440" t="s">
        <v>1354</v>
      </c>
      <c r="W41" s="441">
        <f>W43+W45+W47</f>
        <v>31304</v>
      </c>
      <c r="Y41" s="394" t="s">
        <v>504</v>
      </c>
      <c r="Z41" s="391" t="s">
        <v>69</v>
      </c>
      <c r="AA41" s="472" t="s">
        <v>592</v>
      </c>
      <c r="AB41" s="391" t="s">
        <v>674</v>
      </c>
      <c r="AC41" s="548">
        <v>0</v>
      </c>
      <c r="AD41" s="548">
        <v>6830</v>
      </c>
      <c r="AE41" s="393">
        <f>'Inchidere contur'!D42</f>
        <v>0</v>
      </c>
    </row>
    <row r="42" spans="3:31" ht="16.5" thickBot="1">
      <c r="C42" s="361" t="s">
        <v>1367</v>
      </c>
      <c r="D42" s="347" t="s">
        <v>1352</v>
      </c>
      <c r="E42" s="347" t="s">
        <v>1359</v>
      </c>
      <c r="F42" s="347" t="s">
        <v>1351</v>
      </c>
      <c r="G42" s="347"/>
      <c r="H42" s="349" t="s">
        <v>1353</v>
      </c>
      <c r="I42" s="369" t="s">
        <v>1222</v>
      </c>
      <c r="J42" s="399"/>
      <c r="K42" s="341" t="s">
        <v>1355</v>
      </c>
      <c r="M42" s="442" t="s">
        <v>1223</v>
      </c>
      <c r="N42" s="443" t="s">
        <v>1287</v>
      </c>
      <c r="O42" s="443" t="str">
        <f>_xlfn.CONCAT(VLOOKUP(M42,'Date SPV'!$B$4:$D$34,3,FALSE)," (",RIGHT(M42,LEN(M42)-FIND("_",M42,1))," )")</f>
        <v>Nepi Ten Development Solutions  SRL (Sfantul Gheorghe )</v>
      </c>
      <c r="P42" s="444" t="s">
        <v>1405</v>
      </c>
      <c r="Q42" s="444" t="s">
        <v>1405</v>
      </c>
      <c r="R42" s="444" t="s">
        <v>1405</v>
      </c>
      <c r="S42" s="443" t="str">
        <f>VLOOKUP(VLOOKUP(M42,'Date SPV'!$B$4:$F$34,5,FALSE),'Date SPV'!$T$4:$U$11,2,FALSE)</f>
        <v>DEER Transilvania Sud</v>
      </c>
      <c r="T42" s="443" t="str">
        <f>VLOOKUP(M42,'Contorizare in SDI'!$B:$D,3,FALSE)</f>
        <v>594020600000985765</v>
      </c>
      <c r="U42" s="443" t="str">
        <f>VLOOKUP(N42,'Contorizare in SDI'!$F:$H,3,FALSE)</f>
        <v>594020600000985765/1</v>
      </c>
      <c r="V42" s="445" t="s">
        <v>1355</v>
      </c>
      <c r="W42" s="446">
        <f>ROUND(W43*W44+W45*W46+W47*W48,2)</f>
        <v>22412.16</v>
      </c>
      <c r="Y42" s="394" t="s">
        <v>504</v>
      </c>
      <c r="Z42" s="391" t="s">
        <v>674</v>
      </c>
      <c r="AA42" s="472" t="s">
        <v>593</v>
      </c>
      <c r="AB42" s="391" t="s">
        <v>674</v>
      </c>
      <c r="AC42" s="548">
        <v>106240</v>
      </c>
      <c r="AD42" s="548">
        <v>0</v>
      </c>
      <c r="AE42" s="393">
        <f>'Inchidere contur'!D43</f>
        <v>0</v>
      </c>
    </row>
    <row r="43" spans="3:31" ht="16.5" thickBot="1">
      <c r="C43" s="361" t="s">
        <v>1367</v>
      </c>
      <c r="D43" s="347" t="s">
        <v>1352</v>
      </c>
      <c r="E43" s="347" t="s">
        <v>1359</v>
      </c>
      <c r="F43" s="347" t="s">
        <v>1351</v>
      </c>
      <c r="G43" s="347"/>
      <c r="H43" s="349" t="s">
        <v>1353</v>
      </c>
      <c r="I43" s="369" t="s">
        <v>1222</v>
      </c>
      <c r="J43" s="399"/>
      <c r="K43" s="347" t="s">
        <v>1362</v>
      </c>
      <c r="M43" s="442" t="s">
        <v>1223</v>
      </c>
      <c r="N43" s="443" t="s">
        <v>1287</v>
      </c>
      <c r="O43" s="443" t="str">
        <f>_xlfn.CONCAT(VLOOKUP(M43,'Date SPV'!$B$4:$D$34,3,FALSE)," (",RIGHT(M43,LEN(M43)-FIND("_",M43,1))," )")</f>
        <v>Nepi Ten Development Solutions  SRL (Sfantul Gheorghe )</v>
      </c>
      <c r="P43" s="444" t="s">
        <v>1405</v>
      </c>
      <c r="Q43" s="444" t="s">
        <v>1405</v>
      </c>
      <c r="R43" s="444" t="s">
        <v>1405</v>
      </c>
      <c r="S43" s="443" t="str">
        <f>VLOOKUP(VLOOKUP(M43,'Date SPV'!$B$4:$F$34,5,FALSE),'Date SPV'!$T$4:$U$11,2,FALSE)</f>
        <v>DEER Transilvania Sud</v>
      </c>
      <c r="T43" s="443" t="str">
        <f>VLOOKUP(M43,'Contorizare in SDI'!$B:$D,3,FALSE)</f>
        <v>594020600000985765</v>
      </c>
      <c r="U43" s="443" t="str">
        <f>VLOOKUP(N43,'Contorizare in SDI'!$F:$H,3,FALSE)</f>
        <v>594020600000985765/1</v>
      </c>
      <c r="V43" s="447" t="s">
        <v>1356</v>
      </c>
      <c r="W43" s="446">
        <f>SUMIF($AB:$AB,N43,$AC:$AC)</f>
        <v>11000</v>
      </c>
      <c r="Y43" s="404" t="s">
        <v>504</v>
      </c>
      <c r="Z43" s="405" t="s">
        <v>69</v>
      </c>
      <c r="AA43" s="473" t="s">
        <v>967</v>
      </c>
      <c r="AB43" s="405" t="s">
        <v>69</v>
      </c>
      <c r="AC43" s="548">
        <v>0</v>
      </c>
      <c r="AD43" s="548">
        <v>0</v>
      </c>
      <c r="AE43" s="393">
        <f>'Inchidere contur'!D44</f>
        <v>0</v>
      </c>
    </row>
    <row r="44" spans="3:31" ht="16.5" thickBot="1">
      <c r="C44" s="361" t="s">
        <v>1367</v>
      </c>
      <c r="D44" s="347" t="s">
        <v>1352</v>
      </c>
      <c r="E44" s="347" t="s">
        <v>1359</v>
      </c>
      <c r="F44" s="347" t="s">
        <v>1351</v>
      </c>
      <c r="G44" s="347"/>
      <c r="H44" s="349" t="s">
        <v>1353</v>
      </c>
      <c r="I44" s="369" t="s">
        <v>1222</v>
      </c>
      <c r="J44" s="399"/>
      <c r="K44" s="341" t="s">
        <v>1357</v>
      </c>
      <c r="M44" s="442" t="s">
        <v>1223</v>
      </c>
      <c r="N44" s="443" t="s">
        <v>1287</v>
      </c>
      <c r="O44" s="443" t="str">
        <f>_xlfn.CONCAT(VLOOKUP(M44,'Date SPV'!$B$4:$D$34,3,FALSE)," (",RIGHT(M44,LEN(M44)-FIND("_",M44,1))," )")</f>
        <v>Nepi Ten Development Solutions  SRL (Sfantul Gheorghe )</v>
      </c>
      <c r="P44" s="444" t="s">
        <v>1405</v>
      </c>
      <c r="Q44" s="444" t="s">
        <v>1405</v>
      </c>
      <c r="R44" s="444" t="s">
        <v>1405</v>
      </c>
      <c r="S44" s="443" t="str">
        <f>VLOOKUP(VLOOKUP(M44,'Date SPV'!$B$4:$F$34,5,FALSE),'Date SPV'!$T$4:$U$11,2,FALSE)</f>
        <v>DEER Transilvania Sud</v>
      </c>
      <c r="T44" s="443" t="str">
        <f>VLOOKUP(M44,'Contorizare in SDI'!$B:$D,3,FALSE)</f>
        <v>594020600000985765</v>
      </c>
      <c r="U44" s="443" t="str">
        <f>VLOOKUP(N44,'Contorizare in SDI'!$F:$H,3,FALSE)</f>
        <v>594020600000985765/1</v>
      </c>
      <c r="V44" s="447" t="s">
        <v>1357</v>
      </c>
      <c r="W44" s="446">
        <f>HLOOKUP(VLOOKUP(M44,'Date SPV'!$B$4:$F$34,5,FALSE),'Preturi si tarife'!$C$2:$J$21,17,FALSE)</f>
        <v>0.93920760000000003</v>
      </c>
      <c r="Y44" s="389" t="s">
        <v>533</v>
      </c>
      <c r="Z44" s="390" t="s">
        <v>69</v>
      </c>
      <c r="AA44" s="471" t="s">
        <v>594</v>
      </c>
      <c r="AB44" s="391" t="s">
        <v>675</v>
      </c>
      <c r="AC44" s="548">
        <v>0</v>
      </c>
      <c r="AD44" s="548">
        <v>11982</v>
      </c>
      <c r="AE44" s="393">
        <f>'Inchidere contur'!D45</f>
        <v>0</v>
      </c>
    </row>
    <row r="45" spans="3:31" ht="16.5" hidden="1" thickBot="1">
      <c r="C45" s="388"/>
      <c r="M45" s="442" t="s">
        <v>1223</v>
      </c>
      <c r="N45" s="443" t="s">
        <v>1287</v>
      </c>
      <c r="O45" s="443" t="str">
        <f>_xlfn.CONCAT(VLOOKUP(M45,'Date SPV'!$B$4:$D$34,3,FALSE)," (",RIGHT(M45,LEN(M45)-FIND("_",M45,1))," )")</f>
        <v>Nepi Ten Development Solutions  SRL (Sfantul Gheorghe )</v>
      </c>
      <c r="P45" s="444" t="s">
        <v>1405</v>
      </c>
      <c r="Q45" s="444" t="s">
        <v>1405</v>
      </c>
      <c r="R45" s="444" t="s">
        <v>1405</v>
      </c>
      <c r="S45" s="443" t="str">
        <f>VLOOKUP(VLOOKUP(M45,'Date SPV'!$B$4:$F$34,5,FALSE),'Date SPV'!$T$4:$U$11,2,FALSE)</f>
        <v>DEER Transilvania Sud</v>
      </c>
      <c r="T45" s="443" t="str">
        <f>VLOOKUP(M45,'Contorizare in SDI'!$B:$D,3,FALSE)</f>
        <v>594020600000985765</v>
      </c>
      <c r="U45" s="443" t="str">
        <f>VLOOKUP(N45,'Contorizare in SDI'!$F:$H,3,FALSE)</f>
        <v>594020600000985765/1</v>
      </c>
      <c r="V45" s="447" t="s">
        <v>1358</v>
      </c>
      <c r="W45" s="446">
        <f>SUMIF($AB:$AB,N45,$AD:$AD)</f>
        <v>0</v>
      </c>
      <c r="Y45" s="394" t="s">
        <v>533</v>
      </c>
      <c r="Z45" s="391" t="s">
        <v>69</v>
      </c>
      <c r="AA45" s="472" t="s">
        <v>595</v>
      </c>
      <c r="AB45" s="391" t="s">
        <v>675</v>
      </c>
      <c r="AC45" s="392">
        <v>0</v>
      </c>
      <c r="AD45" s="392">
        <v>0</v>
      </c>
      <c r="AE45" s="393">
        <f>'Inchidere contur'!D46</f>
        <v>0</v>
      </c>
    </row>
    <row r="46" spans="3:31" ht="16.5" hidden="1" thickBot="1">
      <c r="C46" s="388"/>
      <c r="M46" s="442" t="s">
        <v>1223</v>
      </c>
      <c r="N46" s="443" t="s">
        <v>1287</v>
      </c>
      <c r="O46" s="443" t="str">
        <f>_xlfn.CONCAT(VLOOKUP(M46,'Date SPV'!$B$4:$D$34,3,FALSE)," (",RIGHT(M46,LEN(M46)-FIND("_",M46,1))," )")</f>
        <v>Nepi Ten Development Solutions  SRL (Sfantul Gheorghe )</v>
      </c>
      <c r="P46" s="444" t="s">
        <v>1405</v>
      </c>
      <c r="Q46" s="444" t="s">
        <v>1405</v>
      </c>
      <c r="R46" s="444" t="s">
        <v>1405</v>
      </c>
      <c r="S46" s="443" t="str">
        <f>VLOOKUP(VLOOKUP(M46,'Date SPV'!$B$4:$F$34,5,FALSE),'Date SPV'!$T$4:$U$11,2,FALSE)</f>
        <v>DEER Transilvania Sud</v>
      </c>
      <c r="T46" s="443" t="str">
        <f>VLOOKUP(M46,'Contorizare in SDI'!$B:$D,3,FALSE)</f>
        <v>594020600000985765</v>
      </c>
      <c r="U46" s="443" t="str">
        <f>VLOOKUP(N46,'Contorizare in SDI'!$F:$H,3,FALSE)</f>
        <v>594020600000985765/1</v>
      </c>
      <c r="V46" s="447" t="s">
        <v>1357</v>
      </c>
      <c r="W46" s="446">
        <f>HLOOKUP(VLOOKUP(M46,'Date SPV'!$B$4:$F$34,5,FALSE),'Preturi si tarife'!$C$2:$J$21,18,FALSE)</f>
        <v>0.83390760000000008</v>
      </c>
      <c r="Y46" s="394" t="s">
        <v>533</v>
      </c>
      <c r="Z46" s="391" t="s">
        <v>675</v>
      </c>
      <c r="AA46" s="472" t="s">
        <v>596</v>
      </c>
      <c r="AB46" s="391" t="s">
        <v>675</v>
      </c>
      <c r="AC46" s="392">
        <v>147904</v>
      </c>
      <c r="AD46" s="392">
        <v>0</v>
      </c>
      <c r="AE46" s="393">
        <f>'Inchidere contur'!D47</f>
        <v>0</v>
      </c>
    </row>
    <row r="47" spans="3:31" ht="16.5" thickBot="1">
      <c r="C47" s="361" t="s">
        <v>1367</v>
      </c>
      <c r="D47" s="347" t="s">
        <v>1352</v>
      </c>
      <c r="E47" s="347" t="s">
        <v>1359</v>
      </c>
      <c r="F47" s="347" t="s">
        <v>1351</v>
      </c>
      <c r="G47" s="347"/>
      <c r="H47" s="349" t="s">
        <v>1353</v>
      </c>
      <c r="I47" s="369" t="s">
        <v>1222</v>
      </c>
      <c r="J47" s="399"/>
      <c r="K47" s="347" t="s">
        <v>1360</v>
      </c>
      <c r="M47" s="442" t="s">
        <v>1223</v>
      </c>
      <c r="N47" s="443" t="s">
        <v>1287</v>
      </c>
      <c r="O47" s="443" t="str">
        <f>_xlfn.CONCAT(VLOOKUP(M47,'Date SPV'!$B$4:$D$34,3,FALSE)," (",RIGHT(M47,LEN(M47)-FIND("_",M47,1))," )")</f>
        <v>Nepi Ten Development Solutions  SRL (Sfantul Gheorghe )</v>
      </c>
      <c r="P47" s="444" t="s">
        <v>1405</v>
      </c>
      <c r="Q47" s="444" t="s">
        <v>1405</v>
      </c>
      <c r="R47" s="444" t="s">
        <v>1405</v>
      </c>
      <c r="S47" s="443" t="str">
        <f>VLOOKUP(VLOOKUP(M47,'Date SPV'!$B$4:$F$34,5,FALSE),'Date SPV'!$T$4:$U$11,2,FALSE)</f>
        <v>DEER Transilvania Sud</v>
      </c>
      <c r="T47" s="443" t="str">
        <f>VLOOKUP(M47,'Contorizare in SDI'!$B:$D,3,FALSE)</f>
        <v>594020600000985765</v>
      </c>
      <c r="U47" s="443" t="str">
        <f>VLOOKUP(N47,'Contorizare in SDI'!$F:$H,3,FALSE)</f>
        <v>594020600000985765/1</v>
      </c>
      <c r="V47" s="447" t="s">
        <v>1360</v>
      </c>
      <c r="W47" s="446">
        <f>SUMIF($AB:$AB,N47,$AE:$AE)</f>
        <v>20304</v>
      </c>
      <c r="Y47" s="394" t="s">
        <v>533</v>
      </c>
      <c r="Z47" s="391" t="s">
        <v>69</v>
      </c>
      <c r="AA47" s="391" t="s">
        <v>597</v>
      </c>
      <c r="AB47" s="391" t="s">
        <v>69</v>
      </c>
      <c r="AC47" s="548">
        <v>0</v>
      </c>
      <c r="AD47" s="548">
        <v>0</v>
      </c>
      <c r="AE47" s="393">
        <f>'Inchidere contur'!D48</f>
        <v>0</v>
      </c>
    </row>
    <row r="48" spans="3:31" ht="16.5" thickBot="1">
      <c r="C48" s="361" t="s">
        <v>1367</v>
      </c>
      <c r="D48" s="347" t="s">
        <v>1352</v>
      </c>
      <c r="E48" s="347" t="s">
        <v>1359</v>
      </c>
      <c r="F48" s="347" t="s">
        <v>1351</v>
      </c>
      <c r="G48" s="347"/>
      <c r="H48" s="349" t="s">
        <v>1353</v>
      </c>
      <c r="I48" s="369" t="s">
        <v>1222</v>
      </c>
      <c r="J48" s="399"/>
      <c r="K48" s="347" t="s">
        <v>1357</v>
      </c>
      <c r="M48" s="448" t="s">
        <v>1223</v>
      </c>
      <c r="N48" s="449" t="s">
        <v>1287</v>
      </c>
      <c r="O48" s="449" t="str">
        <f>_xlfn.CONCAT(VLOOKUP(M48,'Date SPV'!$B$4:$D$34,3,FALSE)," (",RIGHT(M48,LEN(M48)-FIND("_",M48,1))," )")</f>
        <v>Nepi Ten Development Solutions  SRL (Sfantul Gheorghe )</v>
      </c>
      <c r="P48" s="450" t="s">
        <v>1405</v>
      </c>
      <c r="Q48" s="450" t="s">
        <v>1405</v>
      </c>
      <c r="R48" s="450" t="s">
        <v>1405</v>
      </c>
      <c r="S48" s="449" t="str">
        <f>VLOOKUP(VLOOKUP(M48,'Date SPV'!$B$4:$F$34,5,FALSE),'Date SPV'!$T$4:$U$11,2,FALSE)</f>
        <v>DEER Transilvania Sud</v>
      </c>
      <c r="T48" s="449" t="str">
        <f>VLOOKUP(M48,'Contorizare in SDI'!$B:$D,3,FALSE)</f>
        <v>594020600000985765</v>
      </c>
      <c r="U48" s="449" t="str">
        <f>VLOOKUP(N48,'Contorizare in SDI'!$F:$H,3,FALSE)</f>
        <v>594020600000985765/1</v>
      </c>
      <c r="V48" s="451" t="s">
        <v>1357</v>
      </c>
      <c r="W48" s="452">
        <f>HLOOKUP(VLOOKUP(M48,'Date SPV'!$B$4:$F$34,5,FALSE),'Preturi si tarife'!$C$2:$J$21,3,FALSE)</f>
        <v>0.59499999999999997</v>
      </c>
      <c r="Y48" s="394" t="s">
        <v>533</v>
      </c>
      <c r="Z48" s="391" t="s">
        <v>69</v>
      </c>
      <c r="AA48" s="391" t="s">
        <v>598</v>
      </c>
      <c r="AB48" s="391" t="s">
        <v>69</v>
      </c>
      <c r="AC48" s="549">
        <v>0</v>
      </c>
      <c r="AD48" s="549">
        <v>0</v>
      </c>
      <c r="AE48" s="393">
        <f>'Inchidere contur'!D49</f>
        <v>0</v>
      </c>
    </row>
    <row r="49" spans="3:31" ht="16.5" thickBot="1">
      <c r="C49" s="360" t="s">
        <v>1368</v>
      </c>
      <c r="D49" s="342" t="s">
        <v>1352</v>
      </c>
      <c r="E49" s="342" t="s">
        <v>1359</v>
      </c>
      <c r="F49" s="342" t="s">
        <v>1351</v>
      </c>
      <c r="G49" s="342"/>
      <c r="H49" s="344" t="s">
        <v>1353</v>
      </c>
      <c r="I49" s="368" t="s">
        <v>1239</v>
      </c>
      <c r="J49" s="399"/>
      <c r="K49" s="342" t="s">
        <v>1354</v>
      </c>
      <c r="M49" s="437" t="s">
        <v>1272</v>
      </c>
      <c r="N49" s="438" t="s">
        <v>1291</v>
      </c>
      <c r="O49" s="438" t="str">
        <f>_xlfn.CONCAT(VLOOKUP(M49,'Date SPV'!$B$4:$D$34,3,FALSE)," (",RIGHT(M49,LEN(M49)-FIND("_",M49,1))," )")</f>
        <v>Nepi Bucharest One  SRL (Brasov )</v>
      </c>
      <c r="P49" s="439" t="s">
        <v>1405</v>
      </c>
      <c r="Q49" s="439" t="s">
        <v>1405</v>
      </c>
      <c r="R49" s="439" t="s">
        <v>1405</v>
      </c>
      <c r="S49" s="438" t="str">
        <f>VLOOKUP(VLOOKUP(M49,'Date SPV'!$B$4:$F$34,5,FALSE),'Date SPV'!$T$4:$U$11,2,FALSE)</f>
        <v>DEER Transilvania Sud</v>
      </c>
      <c r="T49" s="438" t="str">
        <f>VLOOKUP(M49,'Contorizare in SDI'!$B:$D,3,FALSE)</f>
        <v>594020100002637995</v>
      </c>
      <c r="U49" s="438" t="str">
        <f>VLOOKUP(N49,'Contorizare in SDI'!$F:$H,3,FALSE)</f>
        <v>594020100002637995/1</v>
      </c>
      <c r="V49" s="440" t="s">
        <v>1354</v>
      </c>
      <c r="W49" s="441">
        <f>W51+W53+W55</f>
        <v>15997</v>
      </c>
      <c r="Y49" s="30" t="s">
        <v>533</v>
      </c>
      <c r="Z49" s="29" t="s">
        <v>69</v>
      </c>
      <c r="AA49" s="29" t="s">
        <v>968</v>
      </c>
      <c r="AB49" s="29" t="s">
        <v>69</v>
      </c>
      <c r="AC49" s="549">
        <v>0</v>
      </c>
      <c r="AD49" s="549">
        <v>0</v>
      </c>
      <c r="AE49" s="393">
        <f>'Inchidere contur'!D50</f>
        <v>0</v>
      </c>
    </row>
    <row r="50" spans="3:31" ht="16.5" thickBot="1">
      <c r="C50" s="361" t="s">
        <v>1368</v>
      </c>
      <c r="D50" s="347" t="s">
        <v>1352</v>
      </c>
      <c r="E50" s="347" t="s">
        <v>1359</v>
      </c>
      <c r="F50" s="347" t="s">
        <v>1351</v>
      </c>
      <c r="G50" s="347"/>
      <c r="H50" s="349" t="s">
        <v>1353</v>
      </c>
      <c r="I50" s="369" t="s">
        <v>1239</v>
      </c>
      <c r="J50" s="399"/>
      <c r="K50" s="341" t="s">
        <v>1355</v>
      </c>
      <c r="M50" s="442" t="s">
        <v>1272</v>
      </c>
      <c r="N50" s="443" t="s">
        <v>1291</v>
      </c>
      <c r="O50" s="443" t="str">
        <f>_xlfn.CONCAT(VLOOKUP(M50,'Date SPV'!$B$4:$D$34,3,FALSE)," (",RIGHT(M50,LEN(M50)-FIND("_",M50,1))," )")</f>
        <v>Nepi Bucharest One  SRL (Brasov )</v>
      </c>
      <c r="P50" s="444" t="s">
        <v>1405</v>
      </c>
      <c r="Q50" s="444" t="s">
        <v>1405</v>
      </c>
      <c r="R50" s="444" t="s">
        <v>1405</v>
      </c>
      <c r="S50" s="443" t="str">
        <f>VLOOKUP(VLOOKUP(M50,'Date SPV'!$B$4:$F$34,5,FALSE),'Date SPV'!$T$4:$U$11,2,FALSE)</f>
        <v>DEER Transilvania Sud</v>
      </c>
      <c r="T50" s="443" t="str">
        <f>VLOOKUP(M50,'Contorizare in SDI'!$B:$D,3,FALSE)</f>
        <v>594020100002637995</v>
      </c>
      <c r="U50" s="443" t="str">
        <f>VLOOKUP(N50,'Contorizare in SDI'!$F:$H,3,FALSE)</f>
        <v>594020100002637995/1</v>
      </c>
      <c r="V50" s="445" t="s">
        <v>1355</v>
      </c>
      <c r="W50" s="446">
        <f>ROUND(W51*W52+W53*W54+W55*W56,2)</f>
        <v>14797.67</v>
      </c>
      <c r="Y50" s="30" t="s">
        <v>534</v>
      </c>
      <c r="Z50" s="29" t="s">
        <v>69</v>
      </c>
      <c r="AA50" s="29" t="s">
        <v>599</v>
      </c>
      <c r="AB50" s="29" t="s">
        <v>69</v>
      </c>
      <c r="AC50" s="549">
        <v>0</v>
      </c>
      <c r="AD50" s="549">
        <v>0</v>
      </c>
      <c r="AE50" s="393">
        <f>'Inchidere contur'!D51</f>
        <v>0</v>
      </c>
    </row>
    <row r="51" spans="3:31" ht="16.5" thickBot="1">
      <c r="C51" s="361" t="s">
        <v>1368</v>
      </c>
      <c r="D51" s="347" t="s">
        <v>1352</v>
      </c>
      <c r="E51" s="347" t="s">
        <v>1359</v>
      </c>
      <c r="F51" s="347" t="s">
        <v>1351</v>
      </c>
      <c r="G51" s="347"/>
      <c r="H51" s="349" t="s">
        <v>1353</v>
      </c>
      <c r="I51" s="369" t="s">
        <v>1239</v>
      </c>
      <c r="J51" s="399"/>
      <c r="K51" s="347" t="s">
        <v>1362</v>
      </c>
      <c r="M51" s="442" t="s">
        <v>1272</v>
      </c>
      <c r="N51" s="443" t="s">
        <v>1291</v>
      </c>
      <c r="O51" s="443" t="str">
        <f>_xlfn.CONCAT(VLOOKUP(M51,'Date SPV'!$B$4:$D$34,3,FALSE)," (",RIGHT(M51,LEN(M51)-FIND("_",M51,1))," )")</f>
        <v>Nepi Bucharest One  SRL (Brasov )</v>
      </c>
      <c r="P51" s="444" t="s">
        <v>1405</v>
      </c>
      <c r="Q51" s="444" t="s">
        <v>1405</v>
      </c>
      <c r="R51" s="444" t="s">
        <v>1405</v>
      </c>
      <c r="S51" s="443" t="str">
        <f>VLOOKUP(VLOOKUP(M51,'Date SPV'!$B$4:$F$34,5,FALSE),'Date SPV'!$T$4:$U$11,2,FALSE)</f>
        <v>DEER Transilvania Sud</v>
      </c>
      <c r="T51" s="443" t="str">
        <f>VLOOKUP(M51,'Contorizare in SDI'!$B:$D,3,FALSE)</f>
        <v>594020100002637995</v>
      </c>
      <c r="U51" s="443" t="str">
        <f>VLOOKUP(N51,'Contorizare in SDI'!$F:$H,3,FALSE)</f>
        <v>594020100002637995/1</v>
      </c>
      <c r="V51" s="447" t="s">
        <v>1356</v>
      </c>
      <c r="W51" s="446">
        <f>SUMIF($AB:$AB,N51,$AC:$AC)</f>
        <v>15338</v>
      </c>
      <c r="Y51" s="30" t="s">
        <v>534</v>
      </c>
      <c r="Z51" s="29" t="s">
        <v>69</v>
      </c>
      <c r="AA51" s="29" t="s">
        <v>600</v>
      </c>
      <c r="AB51" s="29" t="s">
        <v>69</v>
      </c>
      <c r="AC51" s="549">
        <v>0</v>
      </c>
      <c r="AD51" s="549">
        <v>0</v>
      </c>
      <c r="AE51" s="393">
        <f>'Inchidere contur'!D52</f>
        <v>0</v>
      </c>
    </row>
    <row r="52" spans="3:31" ht="16.5" thickBot="1">
      <c r="C52" s="361" t="s">
        <v>1368</v>
      </c>
      <c r="D52" s="347" t="s">
        <v>1352</v>
      </c>
      <c r="E52" s="347" t="s">
        <v>1359</v>
      </c>
      <c r="F52" s="347" t="s">
        <v>1351</v>
      </c>
      <c r="G52" s="347"/>
      <c r="H52" s="349" t="s">
        <v>1353</v>
      </c>
      <c r="I52" s="369" t="s">
        <v>1239</v>
      </c>
      <c r="J52" s="399"/>
      <c r="K52" s="341" t="s">
        <v>1357</v>
      </c>
      <c r="M52" s="442" t="s">
        <v>1272</v>
      </c>
      <c r="N52" s="443" t="s">
        <v>1291</v>
      </c>
      <c r="O52" s="443" t="str">
        <f>_xlfn.CONCAT(VLOOKUP(M52,'Date SPV'!$B$4:$D$34,3,FALSE)," (",RIGHT(M52,LEN(M52)-FIND("_",M52,1))," )")</f>
        <v>Nepi Bucharest One  SRL (Brasov )</v>
      </c>
      <c r="P52" s="444" t="s">
        <v>1405</v>
      </c>
      <c r="Q52" s="444" t="s">
        <v>1405</v>
      </c>
      <c r="R52" s="444" t="s">
        <v>1405</v>
      </c>
      <c r="S52" s="443" t="str">
        <f>VLOOKUP(VLOOKUP(M52,'Date SPV'!$B$4:$F$34,5,FALSE),'Date SPV'!$T$4:$U$11,2,FALSE)</f>
        <v>DEER Transilvania Sud</v>
      </c>
      <c r="T52" s="443" t="str">
        <f>VLOOKUP(M52,'Contorizare in SDI'!$B:$D,3,FALSE)</f>
        <v>594020100002637995</v>
      </c>
      <c r="U52" s="443" t="str">
        <f>VLOOKUP(N52,'Contorizare in SDI'!$F:$H,3,FALSE)</f>
        <v>594020100002637995/1</v>
      </c>
      <c r="V52" s="447" t="s">
        <v>1357</v>
      </c>
      <c r="W52" s="446">
        <f>HLOOKUP(VLOOKUP(M52,'Date SPV'!$B$4:$F$34,5,FALSE),'Preturi si tarife'!$C$2:$J$21,17,FALSE)</f>
        <v>0.93920760000000003</v>
      </c>
      <c r="Y52" s="30" t="s">
        <v>534</v>
      </c>
      <c r="Z52" s="29" t="s">
        <v>69</v>
      </c>
      <c r="AA52" s="29" t="s">
        <v>601</v>
      </c>
      <c r="AB52" s="29" t="s">
        <v>69</v>
      </c>
      <c r="AC52" s="549">
        <v>0</v>
      </c>
      <c r="AD52" s="549">
        <v>0</v>
      </c>
      <c r="AE52" s="393">
        <f>'Inchidere contur'!D53</f>
        <v>0</v>
      </c>
    </row>
    <row r="53" spans="3:31" ht="16.5" hidden="1" thickBot="1">
      <c r="C53" s="388"/>
      <c r="M53" s="442" t="s">
        <v>1272</v>
      </c>
      <c r="N53" s="443" t="s">
        <v>1291</v>
      </c>
      <c r="O53" s="443" t="str">
        <f>_xlfn.CONCAT(VLOOKUP(M53,'Date SPV'!$B$4:$D$34,3,FALSE)," (",RIGHT(M53,LEN(M53)-FIND("_",M53,1))," )")</f>
        <v>Nepi Bucharest One  SRL (Brasov )</v>
      </c>
      <c r="P53" s="444" t="s">
        <v>1405</v>
      </c>
      <c r="Q53" s="444" t="s">
        <v>1405</v>
      </c>
      <c r="R53" s="444" t="s">
        <v>1405</v>
      </c>
      <c r="S53" s="443" t="str">
        <f>VLOOKUP(VLOOKUP(M53,'Date SPV'!$B$4:$F$34,5,FALSE),'Date SPV'!$T$4:$U$11,2,FALSE)</f>
        <v>DEER Transilvania Sud</v>
      </c>
      <c r="T53" s="443" t="str">
        <f>VLOOKUP(M53,'Contorizare in SDI'!$B:$D,3,FALSE)</f>
        <v>594020100002637995</v>
      </c>
      <c r="U53" s="443" t="str">
        <f>VLOOKUP(N53,'Contorizare in SDI'!$F:$H,3,FALSE)</f>
        <v>594020100002637995/1</v>
      </c>
      <c r="V53" s="447" t="s">
        <v>1358</v>
      </c>
      <c r="W53" s="446">
        <f>SUMIF($AB:$AB,N53,$AD:$AD)</f>
        <v>0</v>
      </c>
      <c r="Y53" s="30" t="s">
        <v>534</v>
      </c>
      <c r="Z53" s="29" t="s">
        <v>69</v>
      </c>
      <c r="AA53" s="29" t="s">
        <v>602</v>
      </c>
      <c r="AB53" s="29" t="s">
        <v>69</v>
      </c>
      <c r="AC53" s="88">
        <v>0</v>
      </c>
      <c r="AD53" s="88">
        <v>0</v>
      </c>
      <c r="AE53" s="393">
        <f>'Inchidere contur'!D54</f>
        <v>0</v>
      </c>
    </row>
    <row r="54" spans="3:31" ht="16.5" hidden="1" thickBot="1">
      <c r="C54" s="388"/>
      <c r="M54" s="442" t="s">
        <v>1272</v>
      </c>
      <c r="N54" s="443" t="s">
        <v>1291</v>
      </c>
      <c r="O54" s="443" t="str">
        <f>_xlfn.CONCAT(VLOOKUP(M54,'Date SPV'!$B$4:$D$34,3,FALSE)," (",RIGHT(M54,LEN(M54)-FIND("_",M54,1))," )")</f>
        <v>Nepi Bucharest One  SRL (Brasov )</v>
      </c>
      <c r="P54" s="444" t="s">
        <v>1405</v>
      </c>
      <c r="Q54" s="444" t="s">
        <v>1405</v>
      </c>
      <c r="R54" s="444" t="s">
        <v>1405</v>
      </c>
      <c r="S54" s="443" t="str">
        <f>VLOOKUP(VLOOKUP(M54,'Date SPV'!$B$4:$F$34,5,FALSE),'Date SPV'!$T$4:$U$11,2,FALSE)</f>
        <v>DEER Transilvania Sud</v>
      </c>
      <c r="T54" s="443" t="str">
        <f>VLOOKUP(M54,'Contorizare in SDI'!$B:$D,3,FALSE)</f>
        <v>594020100002637995</v>
      </c>
      <c r="U54" s="443" t="str">
        <f>VLOOKUP(N54,'Contorizare in SDI'!$F:$H,3,FALSE)</f>
        <v>594020100002637995/1</v>
      </c>
      <c r="V54" s="447" t="s">
        <v>1357</v>
      </c>
      <c r="W54" s="446">
        <f>HLOOKUP(VLOOKUP(M54,'Date SPV'!$B$4:$F$34,5,FALSE),'Preturi si tarife'!$C$2:$J$21,18,FALSE)</f>
        <v>0.83390760000000008</v>
      </c>
      <c r="Y54" s="30" t="s">
        <v>534</v>
      </c>
      <c r="Z54" s="29" t="s">
        <v>69</v>
      </c>
      <c r="AA54" s="29" t="s">
        <v>603</v>
      </c>
      <c r="AB54" s="29" t="s">
        <v>69</v>
      </c>
      <c r="AC54" s="88">
        <v>0</v>
      </c>
      <c r="AD54" s="88">
        <v>0</v>
      </c>
      <c r="AE54" s="393">
        <f>'Inchidere contur'!D55</f>
        <v>0</v>
      </c>
    </row>
    <row r="55" spans="3:31" ht="16.5" thickBot="1">
      <c r="C55" s="361" t="s">
        <v>1368</v>
      </c>
      <c r="D55" s="347" t="s">
        <v>1352</v>
      </c>
      <c r="E55" s="347" t="s">
        <v>1359</v>
      </c>
      <c r="F55" s="347" t="s">
        <v>1351</v>
      </c>
      <c r="G55" s="347"/>
      <c r="H55" s="349" t="s">
        <v>1353</v>
      </c>
      <c r="I55" s="369" t="s">
        <v>1239</v>
      </c>
      <c r="J55" s="399"/>
      <c r="K55" s="347" t="s">
        <v>1360</v>
      </c>
      <c r="M55" s="442" t="s">
        <v>1272</v>
      </c>
      <c r="N55" s="443" t="s">
        <v>1291</v>
      </c>
      <c r="O55" s="443" t="str">
        <f>_xlfn.CONCAT(VLOOKUP(M55,'Date SPV'!$B$4:$D$34,3,FALSE)," (",RIGHT(M55,LEN(M55)-FIND("_",M55,1))," )")</f>
        <v>Nepi Bucharest One  SRL (Brasov )</v>
      </c>
      <c r="P55" s="444" t="s">
        <v>1405</v>
      </c>
      <c r="Q55" s="444" t="s">
        <v>1405</v>
      </c>
      <c r="R55" s="444" t="s">
        <v>1405</v>
      </c>
      <c r="S55" s="443" t="str">
        <f>VLOOKUP(VLOOKUP(M55,'Date SPV'!$B$4:$F$34,5,FALSE),'Date SPV'!$T$4:$U$11,2,FALSE)</f>
        <v>DEER Transilvania Sud</v>
      </c>
      <c r="T55" s="443" t="str">
        <f>VLOOKUP(M55,'Contorizare in SDI'!$B:$D,3,FALSE)</f>
        <v>594020100002637995</v>
      </c>
      <c r="U55" s="443" t="str">
        <f>VLOOKUP(N55,'Contorizare in SDI'!$F:$H,3,FALSE)</f>
        <v>594020100002637995/1</v>
      </c>
      <c r="V55" s="447" t="s">
        <v>1360</v>
      </c>
      <c r="W55" s="446">
        <f>SUMIF($AB:$AB,N55,$AE:$AE)</f>
        <v>659</v>
      </c>
      <c r="Y55" s="93" t="s">
        <v>534</v>
      </c>
      <c r="Z55" s="94" t="s">
        <v>69</v>
      </c>
      <c r="AA55" s="94" t="s">
        <v>969</v>
      </c>
      <c r="AB55" s="94" t="s">
        <v>69</v>
      </c>
      <c r="AC55" s="548">
        <v>0</v>
      </c>
      <c r="AD55" s="548">
        <v>0</v>
      </c>
      <c r="AE55" s="393">
        <f>'Inchidere contur'!D56</f>
        <v>0</v>
      </c>
    </row>
    <row r="56" spans="3:31" ht="16.5" thickBot="1">
      <c r="C56" s="361" t="s">
        <v>1368</v>
      </c>
      <c r="D56" s="347" t="s">
        <v>1352</v>
      </c>
      <c r="E56" s="347" t="s">
        <v>1359</v>
      </c>
      <c r="F56" s="347" t="s">
        <v>1351</v>
      </c>
      <c r="G56" s="347"/>
      <c r="H56" s="349" t="s">
        <v>1353</v>
      </c>
      <c r="I56" s="369" t="s">
        <v>1239</v>
      </c>
      <c r="J56" s="399"/>
      <c r="K56" s="347" t="s">
        <v>1357</v>
      </c>
      <c r="M56" s="448" t="s">
        <v>1272</v>
      </c>
      <c r="N56" s="449" t="s">
        <v>1291</v>
      </c>
      <c r="O56" s="449" t="str">
        <f>_xlfn.CONCAT(VLOOKUP(M56,'Date SPV'!$B$4:$D$34,3,FALSE)," (",RIGHT(M56,LEN(M56)-FIND("_",M56,1))," )")</f>
        <v>Nepi Bucharest One  SRL (Brasov )</v>
      </c>
      <c r="P56" s="450" t="s">
        <v>1405</v>
      </c>
      <c r="Q56" s="450" t="s">
        <v>1405</v>
      </c>
      <c r="R56" s="450" t="s">
        <v>1405</v>
      </c>
      <c r="S56" s="449" t="str">
        <f>VLOOKUP(VLOOKUP(M56,'Date SPV'!$B$4:$F$34,5,FALSE),'Date SPV'!$T$4:$U$11,2,FALSE)</f>
        <v>DEER Transilvania Sud</v>
      </c>
      <c r="T56" s="449" t="str">
        <f>VLOOKUP(M56,'Contorizare in SDI'!$B:$D,3,FALSE)</f>
        <v>594020100002637995</v>
      </c>
      <c r="U56" s="449" t="str">
        <f>VLOOKUP(N56,'Contorizare in SDI'!$F:$H,3,FALSE)</f>
        <v>594020100002637995/1</v>
      </c>
      <c r="V56" s="451" t="s">
        <v>1357</v>
      </c>
      <c r="W56" s="452">
        <f>HLOOKUP(VLOOKUP(M56,'Date SPV'!$B$4:$F$34,5,FALSE),'Preturi si tarife'!$C$2:$J$21,3,FALSE)</f>
        <v>0.59499999999999997</v>
      </c>
      <c r="Y56" s="389" t="s">
        <v>535</v>
      </c>
      <c r="Z56" s="390" t="s">
        <v>69</v>
      </c>
      <c r="AA56" s="390" t="s">
        <v>604</v>
      </c>
      <c r="AB56" s="391" t="s">
        <v>677</v>
      </c>
      <c r="AC56" s="548">
        <v>0</v>
      </c>
      <c r="AD56" s="548">
        <v>8083</v>
      </c>
      <c r="AE56" s="393">
        <f>'Inchidere contur'!D57</f>
        <v>0</v>
      </c>
    </row>
    <row r="57" spans="3:31" ht="16.5" thickBot="1">
      <c r="C57" s="342" t="s">
        <v>63</v>
      </c>
      <c r="D57" s="342" t="s">
        <v>1351</v>
      </c>
      <c r="E57" s="342" t="s">
        <v>1351</v>
      </c>
      <c r="F57" s="342" t="s">
        <v>1352</v>
      </c>
      <c r="G57" s="343">
        <v>45323</v>
      </c>
      <c r="H57" s="344" t="s">
        <v>1369</v>
      </c>
      <c r="I57" s="368" t="s">
        <v>309</v>
      </c>
      <c r="J57" s="399"/>
      <c r="K57" s="342" t="s">
        <v>1354</v>
      </c>
      <c r="M57" s="406" t="s">
        <v>549</v>
      </c>
      <c r="N57" s="407" t="s">
        <v>688</v>
      </c>
      <c r="O57" s="407" t="str">
        <f>VLOOKUP(LEFT(M57,LEN(M57)-2),'Date SPV'!$B$4:$D$34,3,FALSE)</f>
        <v>Mega Mall Bucuresti SRL</v>
      </c>
      <c r="P57" s="408" t="s">
        <v>1405</v>
      </c>
      <c r="Q57" s="408" t="s">
        <v>1405</v>
      </c>
      <c r="R57" s="408" t="s">
        <v>1405</v>
      </c>
      <c r="S57" s="407" t="str">
        <f>VLOOKUP(VLOOKUP(LEFT(M57,LEN(M57)-2),'Date SPV'!$B$4:$F$34,5,FALSE),'Date SPV'!$T$4:$U$11,2,FALSE)</f>
        <v>Retele Electrice Muntenia</v>
      </c>
      <c r="T57" s="407" t="str">
        <f>VLOOKUP(M57,'Contorizare in SDI'!$B:$D,3,FALSE)</f>
        <v>RO001E110047438</v>
      </c>
      <c r="U57" s="407" t="str">
        <f>VLOOKUP(N57,'Contorizare in SDI'!$F:$H,3,FALSE)</f>
        <v>RO001E110047438/2</v>
      </c>
      <c r="V57" s="409" t="s">
        <v>1354</v>
      </c>
      <c r="W57" s="410">
        <f>W59+W61</f>
        <v>13904</v>
      </c>
      <c r="Y57" s="394" t="s">
        <v>535</v>
      </c>
      <c r="Z57" s="391" t="s">
        <v>677</v>
      </c>
      <c r="AA57" s="391" t="s">
        <v>605</v>
      </c>
      <c r="AB57" s="391" t="s">
        <v>677</v>
      </c>
      <c r="AC57" s="548">
        <v>111950</v>
      </c>
      <c r="AD57" s="548">
        <v>0</v>
      </c>
      <c r="AE57" s="393">
        <f>'Inchidere contur'!D58</f>
        <v>0</v>
      </c>
    </row>
    <row r="58" spans="3:31" ht="16.5" thickBot="1">
      <c r="C58" s="347" t="s">
        <v>63</v>
      </c>
      <c r="D58" s="347" t="s">
        <v>1351</v>
      </c>
      <c r="E58" s="347" t="s">
        <v>1351</v>
      </c>
      <c r="F58" s="347" t="s">
        <v>1352</v>
      </c>
      <c r="G58" s="348">
        <v>45323</v>
      </c>
      <c r="H58" s="349" t="s">
        <v>1369</v>
      </c>
      <c r="I58" s="369" t="s">
        <v>309</v>
      </c>
      <c r="J58" s="399"/>
      <c r="K58" s="347" t="s">
        <v>1355</v>
      </c>
      <c r="M58" s="411" t="s">
        <v>549</v>
      </c>
      <c r="N58" s="403" t="s">
        <v>688</v>
      </c>
      <c r="O58" s="403" t="str">
        <f>VLOOKUP(LEFT(M58,LEN(M58)-2),'Date SPV'!$B$4:$D$34,3,FALSE)</f>
        <v>Mega Mall Bucuresti SRL</v>
      </c>
      <c r="P58" s="412" t="s">
        <v>1405</v>
      </c>
      <c r="Q58" s="412" t="s">
        <v>1405</v>
      </c>
      <c r="R58" s="412" t="s">
        <v>1405</v>
      </c>
      <c r="S58" s="403" t="str">
        <f>VLOOKUP(VLOOKUP(LEFT(M58,LEN(M58)-2),'Date SPV'!$B$4:$F$34,5,FALSE),'Date SPV'!$T$4:$U$11,2,FALSE)</f>
        <v>Retele Electrice Muntenia</v>
      </c>
      <c r="T58" s="403" t="str">
        <f>VLOOKUP(M58,'Contorizare in SDI'!$B:$D,3,FALSE)</f>
        <v>RO001E110047438</v>
      </c>
      <c r="U58" s="403" t="str">
        <f>VLOOKUP(N58,'Contorizare in SDI'!$F:$H,3,FALSE)</f>
        <v>RO001E110047438/2</v>
      </c>
      <c r="V58" s="413" t="s">
        <v>1355</v>
      </c>
      <c r="W58" s="414">
        <f>ROUND(W59*W60+W61*W62,2)</f>
        <v>12522.74</v>
      </c>
      <c r="Y58" s="394" t="s">
        <v>535</v>
      </c>
      <c r="Z58" s="391" t="s">
        <v>69</v>
      </c>
      <c r="AA58" s="391" t="s">
        <v>970</v>
      </c>
      <c r="AB58" s="391" t="s">
        <v>69</v>
      </c>
      <c r="AC58" s="549">
        <v>0</v>
      </c>
      <c r="AD58" s="549">
        <v>0</v>
      </c>
      <c r="AE58" s="393">
        <f>'Inchidere contur'!D59</f>
        <v>0</v>
      </c>
    </row>
    <row r="59" spans="3:31" ht="16.5" thickBot="1">
      <c r="C59" s="347" t="s">
        <v>63</v>
      </c>
      <c r="D59" s="347" t="s">
        <v>1351</v>
      </c>
      <c r="E59" s="347" t="s">
        <v>1351</v>
      </c>
      <c r="F59" s="347" t="s">
        <v>1352</v>
      </c>
      <c r="G59" s="348">
        <v>45323</v>
      </c>
      <c r="H59" s="349" t="s">
        <v>1369</v>
      </c>
      <c r="I59" s="369" t="s">
        <v>309</v>
      </c>
      <c r="J59" s="399"/>
      <c r="K59" s="341" t="s">
        <v>1356</v>
      </c>
      <c r="M59" s="411" t="s">
        <v>549</v>
      </c>
      <c r="N59" s="403" t="s">
        <v>688</v>
      </c>
      <c r="O59" s="403" t="str">
        <f>VLOOKUP(LEFT(M59,LEN(M59)-2),'Date SPV'!$B$4:$D$34,3,FALSE)</f>
        <v>Mega Mall Bucuresti SRL</v>
      </c>
      <c r="P59" s="412" t="s">
        <v>1405</v>
      </c>
      <c r="Q59" s="412" t="s">
        <v>1405</v>
      </c>
      <c r="R59" s="412" t="s">
        <v>1405</v>
      </c>
      <c r="S59" s="403" t="str">
        <f>VLOOKUP(VLOOKUP(LEFT(M59,LEN(M59)-2),'Date SPV'!$B$4:$F$34,5,FALSE),'Date SPV'!$T$4:$U$11,2,FALSE)</f>
        <v>Retele Electrice Muntenia</v>
      </c>
      <c r="T59" s="403" t="str">
        <f>VLOOKUP(M59,'Contorizare in SDI'!$B:$D,3,FALSE)</f>
        <v>RO001E110047438</v>
      </c>
      <c r="U59" s="403" t="str">
        <f>VLOOKUP(N59,'Contorizare in SDI'!$F:$H,3,FALSE)</f>
        <v>RO001E110047438/2</v>
      </c>
      <c r="V59" s="415" t="s">
        <v>1356</v>
      </c>
      <c r="W59" s="414">
        <f>SUMIF($AB:$AB,N59,$AC:$AC)</f>
        <v>13904</v>
      </c>
      <c r="Y59" s="93" t="s">
        <v>536</v>
      </c>
      <c r="Z59" s="94" t="s">
        <v>69</v>
      </c>
      <c r="AA59" s="109" t="s">
        <v>536</v>
      </c>
      <c r="AB59" s="94" t="s">
        <v>69</v>
      </c>
      <c r="AC59" s="548">
        <v>0</v>
      </c>
      <c r="AD59" s="548">
        <v>0</v>
      </c>
      <c r="AE59" s="393">
        <f>'Inchidere contur'!D60</f>
        <v>0</v>
      </c>
    </row>
    <row r="60" spans="3:31" ht="16.5" thickBot="1">
      <c r="C60" s="347" t="s">
        <v>63</v>
      </c>
      <c r="D60" s="347" t="s">
        <v>1351</v>
      </c>
      <c r="E60" s="347" t="s">
        <v>1351</v>
      </c>
      <c r="F60" s="347" t="s">
        <v>1352</v>
      </c>
      <c r="G60" s="348">
        <v>45323</v>
      </c>
      <c r="H60" s="349" t="s">
        <v>1369</v>
      </c>
      <c r="I60" s="369" t="s">
        <v>309</v>
      </c>
      <c r="J60" s="399"/>
      <c r="K60" s="341" t="s">
        <v>1357</v>
      </c>
      <c r="M60" s="411" t="s">
        <v>549</v>
      </c>
      <c r="N60" s="403" t="s">
        <v>688</v>
      </c>
      <c r="O60" s="403" t="str">
        <f>VLOOKUP(LEFT(M60,LEN(M60)-2),'Date SPV'!$B$4:$D$34,3,FALSE)</f>
        <v>Mega Mall Bucuresti SRL</v>
      </c>
      <c r="P60" s="412" t="s">
        <v>1405</v>
      </c>
      <c r="Q60" s="412" t="s">
        <v>1405</v>
      </c>
      <c r="R60" s="412" t="s">
        <v>1405</v>
      </c>
      <c r="S60" s="403" t="str">
        <f>VLOOKUP(VLOOKUP(LEFT(M60,LEN(M60)-2),'Date SPV'!$B$4:$F$34,5,FALSE),'Date SPV'!$T$4:$U$11,2,FALSE)</f>
        <v>Retele Electrice Muntenia</v>
      </c>
      <c r="T60" s="403" t="str">
        <f>VLOOKUP(M60,'Contorizare in SDI'!$B:$D,3,FALSE)</f>
        <v>RO001E110047438</v>
      </c>
      <c r="U60" s="403" t="str">
        <f>VLOOKUP(N60,'Contorizare in SDI'!$F:$H,3,FALSE)</f>
        <v>RO001E110047438/2</v>
      </c>
      <c r="V60" s="415" t="s">
        <v>1357</v>
      </c>
      <c r="W60" s="414">
        <f>HLOOKUP(VLOOKUP(LEFT(M60,LEN(M60)-2),'Date SPV'!$B$4:$F$34,5,FALSE),'Preturi si tarife'!$C$2:$J$21,17,FALSE)</f>
        <v>0.90065760000000006</v>
      </c>
      <c r="Y60" s="389" t="s">
        <v>537</v>
      </c>
      <c r="Z60" s="390" t="s">
        <v>864</v>
      </c>
      <c r="AA60" s="390" t="s">
        <v>606</v>
      </c>
      <c r="AB60" s="390" t="s">
        <v>864</v>
      </c>
      <c r="AC60" s="548">
        <v>81458</v>
      </c>
      <c r="AD60" s="548">
        <v>2318</v>
      </c>
      <c r="AE60" s="393">
        <f>'Inchidere contur'!D61</f>
        <v>0</v>
      </c>
    </row>
    <row r="61" spans="3:31" ht="16.5" thickBot="1">
      <c r="C61" s="347" t="s">
        <v>63</v>
      </c>
      <c r="D61" s="347" t="s">
        <v>1351</v>
      </c>
      <c r="E61" s="347" t="s">
        <v>1351</v>
      </c>
      <c r="F61" s="347" t="s">
        <v>1352</v>
      </c>
      <c r="G61" s="348">
        <v>45323</v>
      </c>
      <c r="H61" s="349" t="s">
        <v>1369</v>
      </c>
      <c r="I61" s="369" t="s">
        <v>309</v>
      </c>
      <c r="J61" s="399"/>
      <c r="K61" s="341" t="s">
        <v>1358</v>
      </c>
      <c r="M61" s="411" t="s">
        <v>549</v>
      </c>
      <c r="N61" s="403" t="s">
        <v>688</v>
      </c>
      <c r="O61" s="403" t="str">
        <f>VLOOKUP(LEFT(M61,LEN(M61)-2),'Date SPV'!$B$4:$D$34,3,FALSE)</f>
        <v>Mega Mall Bucuresti SRL</v>
      </c>
      <c r="P61" s="412" t="s">
        <v>1405</v>
      </c>
      <c r="Q61" s="412" t="s">
        <v>1405</v>
      </c>
      <c r="R61" s="412" t="s">
        <v>1405</v>
      </c>
      <c r="S61" s="403" t="str">
        <f>VLOOKUP(VLOOKUP(LEFT(M61,LEN(M61)-2),'Date SPV'!$B$4:$F$34,5,FALSE),'Date SPV'!$T$4:$U$11,2,FALSE)</f>
        <v>Retele Electrice Muntenia</v>
      </c>
      <c r="T61" s="403" t="str">
        <f>VLOOKUP(M61,'Contorizare in SDI'!$B:$D,3,FALSE)</f>
        <v>RO001E110047438</v>
      </c>
      <c r="U61" s="403" t="str">
        <f>VLOOKUP(N61,'Contorizare in SDI'!$F:$H,3,FALSE)</f>
        <v>RO001E110047438/2</v>
      </c>
      <c r="V61" s="415" t="s">
        <v>1358</v>
      </c>
      <c r="W61" s="414">
        <f>SUMIF($AB:$AB,N61,$AD:$AD)</f>
        <v>0</v>
      </c>
      <c r="Y61" s="394" t="s">
        <v>537</v>
      </c>
      <c r="Z61" s="391" t="s">
        <v>863</v>
      </c>
      <c r="AA61" s="390" t="s">
        <v>606</v>
      </c>
      <c r="AB61" s="391" t="s">
        <v>863</v>
      </c>
      <c r="AC61" s="548">
        <v>0</v>
      </c>
      <c r="AD61" s="548">
        <v>0</v>
      </c>
      <c r="AE61" s="393">
        <f>'Inchidere contur'!D62</f>
        <v>0</v>
      </c>
    </row>
    <row r="62" spans="3:31" ht="16.5" thickBot="1">
      <c r="C62" s="347" t="s">
        <v>63</v>
      </c>
      <c r="D62" s="347" t="s">
        <v>1351</v>
      </c>
      <c r="E62" s="347" t="s">
        <v>1351</v>
      </c>
      <c r="F62" s="347" t="s">
        <v>1352</v>
      </c>
      <c r="G62" s="348">
        <v>45323</v>
      </c>
      <c r="H62" s="349" t="s">
        <v>1369</v>
      </c>
      <c r="I62" s="369" t="s">
        <v>309</v>
      </c>
      <c r="J62" s="399"/>
      <c r="K62" s="341" t="s">
        <v>1357</v>
      </c>
      <c r="M62" s="416" t="s">
        <v>549</v>
      </c>
      <c r="N62" s="417" t="s">
        <v>688</v>
      </c>
      <c r="O62" s="417" t="str">
        <f>VLOOKUP(LEFT(M62,LEN(M62)-2),'Date SPV'!$B$4:$D$34,3,FALSE)</f>
        <v>Mega Mall Bucuresti SRL</v>
      </c>
      <c r="P62" s="418" t="s">
        <v>1405</v>
      </c>
      <c r="Q62" s="418" t="s">
        <v>1405</v>
      </c>
      <c r="R62" s="418" t="s">
        <v>1405</v>
      </c>
      <c r="S62" s="417" t="str">
        <f>VLOOKUP(VLOOKUP(LEFT(M62,LEN(M62)-2),'Date SPV'!$B$4:$F$34,5,FALSE),'Date SPV'!$T$4:$U$11,2,FALSE)</f>
        <v>Retele Electrice Muntenia</v>
      </c>
      <c r="T62" s="417" t="str">
        <f>VLOOKUP(M62,'Contorizare in SDI'!$B:$D,3,FALSE)</f>
        <v>RO001E110047438</v>
      </c>
      <c r="U62" s="417" t="str">
        <f>VLOOKUP(N62,'Contorizare in SDI'!$F:$H,3,FALSE)</f>
        <v>RO001E110047438/2</v>
      </c>
      <c r="V62" s="419" t="s">
        <v>1357</v>
      </c>
      <c r="W62" s="420">
        <f>HLOOKUP(VLOOKUP(LEFT(M62,LEN(M62)-2),'Date SPV'!$B$4:$F$34,5,FALSE),'Preturi si tarife'!$C$2:$J$21,18,FALSE)</f>
        <v>0.80525760000000002</v>
      </c>
      <c r="Y62" s="394" t="s">
        <v>537</v>
      </c>
      <c r="Z62" s="391" t="s">
        <v>678</v>
      </c>
      <c r="AA62" s="391" t="s">
        <v>861</v>
      </c>
      <c r="AB62" s="391" t="s">
        <v>678</v>
      </c>
      <c r="AC62" s="549">
        <v>56702</v>
      </c>
      <c r="AD62" s="549">
        <v>1424</v>
      </c>
      <c r="AE62" s="393">
        <f>'Inchidere contur'!D63</f>
        <v>0</v>
      </c>
    </row>
    <row r="63" spans="3:31" ht="16.5" thickBot="1">
      <c r="C63" s="342" t="s">
        <v>60</v>
      </c>
      <c r="D63" s="342" t="s">
        <v>1351</v>
      </c>
      <c r="E63" s="342" t="s">
        <v>1351</v>
      </c>
      <c r="F63" s="342" t="s">
        <v>1352</v>
      </c>
      <c r="G63" s="343">
        <v>45323</v>
      </c>
      <c r="H63" s="344" t="s">
        <v>1369</v>
      </c>
      <c r="I63" s="368" t="s">
        <v>250</v>
      </c>
      <c r="J63" s="399"/>
      <c r="K63" s="342" t="s">
        <v>1354</v>
      </c>
      <c r="M63" s="406" t="s">
        <v>539</v>
      </c>
      <c r="N63" s="407" t="s">
        <v>680</v>
      </c>
      <c r="O63" s="407" t="str">
        <f>VLOOKUP(LEFT(M63,LEN(M63)-2),'Date SPV'!$B$4:$D$34,3,FALSE)</f>
        <v>Promenada Mall Bucuresti SRL</v>
      </c>
      <c r="P63" s="408" t="s">
        <v>1405</v>
      </c>
      <c r="Q63" s="408" t="s">
        <v>1405</v>
      </c>
      <c r="R63" s="408" t="s">
        <v>1405</v>
      </c>
      <c r="S63" s="407" t="str">
        <f>VLOOKUP(VLOOKUP(LEFT(M63,LEN(M63)-2),'Date SPV'!$B$4:$F$34,5,FALSE),'Date SPV'!$T$4:$U$11,2,FALSE)</f>
        <v>Retele Electrice Muntenia</v>
      </c>
      <c r="T63" s="407" t="str">
        <f>VLOOKUP(M63,'Contorizare in SDI'!$B:$D,3,FALSE)</f>
        <v>RO001E110523303</v>
      </c>
      <c r="U63" s="407" t="str">
        <f>VLOOKUP(N63,'Contorizare in SDI'!$F:$H,3,FALSE)</f>
        <v>RO001E110523303/1</v>
      </c>
      <c r="V63" s="409" t="s">
        <v>1354</v>
      </c>
      <c r="W63" s="410">
        <f>W65+W67</f>
        <v>64628</v>
      </c>
      <c r="Y63" s="30" t="s">
        <v>537</v>
      </c>
      <c r="Z63" s="29" t="s">
        <v>69</v>
      </c>
      <c r="AA63" s="29" t="s">
        <v>607</v>
      </c>
      <c r="AB63" s="29" t="s">
        <v>69</v>
      </c>
      <c r="AC63" s="549">
        <v>0</v>
      </c>
      <c r="AD63" s="549">
        <v>0</v>
      </c>
      <c r="AE63" s="393">
        <f>'Inchidere contur'!D64</f>
        <v>0</v>
      </c>
    </row>
    <row r="64" spans="3:31" ht="16.5" thickBot="1">
      <c r="C64" s="347" t="s">
        <v>60</v>
      </c>
      <c r="D64" s="347" t="s">
        <v>1351</v>
      </c>
      <c r="E64" s="347" t="s">
        <v>1351</v>
      </c>
      <c r="F64" s="347" t="s">
        <v>1352</v>
      </c>
      <c r="G64" s="348">
        <v>45323</v>
      </c>
      <c r="H64" s="349" t="s">
        <v>1369</v>
      </c>
      <c r="I64" s="369" t="s">
        <v>250</v>
      </c>
      <c r="J64" s="399"/>
      <c r="K64" s="347" t="s">
        <v>1355</v>
      </c>
      <c r="M64" s="411" t="s">
        <v>539</v>
      </c>
      <c r="N64" s="403" t="s">
        <v>680</v>
      </c>
      <c r="O64" s="403" t="str">
        <f>VLOOKUP(LEFT(M64,LEN(M64)-2),'Date SPV'!$B$4:$D$34,3,FALSE)</f>
        <v>Promenada Mall Bucuresti SRL</v>
      </c>
      <c r="P64" s="412" t="s">
        <v>1405</v>
      </c>
      <c r="Q64" s="412" t="s">
        <v>1405</v>
      </c>
      <c r="R64" s="412" t="s">
        <v>1405</v>
      </c>
      <c r="S64" s="403" t="str">
        <f>VLOOKUP(VLOOKUP(LEFT(M64,LEN(M64)-2),'Date SPV'!$B$4:$F$34,5,FALSE),'Date SPV'!$T$4:$U$11,2,FALSE)</f>
        <v>Retele Electrice Muntenia</v>
      </c>
      <c r="T64" s="403" t="str">
        <f>VLOOKUP(M64,'Contorizare in SDI'!$B:$D,3,FALSE)</f>
        <v>RO001E110523303</v>
      </c>
      <c r="U64" s="403" t="str">
        <f>VLOOKUP(N64,'Contorizare in SDI'!$F:$H,3,FALSE)</f>
        <v>RO001E110523303/1</v>
      </c>
      <c r="V64" s="413" t="s">
        <v>1355</v>
      </c>
      <c r="W64" s="414">
        <f>ROUND(W65*W66+W67*W68,2)</f>
        <v>58207.7</v>
      </c>
      <c r="Y64" s="93" t="s">
        <v>537</v>
      </c>
      <c r="Z64" s="94" t="s">
        <v>69</v>
      </c>
      <c r="AA64" s="94" t="s">
        <v>971</v>
      </c>
      <c r="AB64" s="94" t="s">
        <v>69</v>
      </c>
      <c r="AC64" s="548">
        <v>0</v>
      </c>
      <c r="AD64" s="548">
        <v>0</v>
      </c>
      <c r="AE64" s="393">
        <f>'Inchidere contur'!D65</f>
        <v>0</v>
      </c>
    </row>
    <row r="65" spans="3:31" ht="16.5" thickBot="1">
      <c r="C65" s="347" t="s">
        <v>60</v>
      </c>
      <c r="D65" s="347" t="s">
        <v>1351</v>
      </c>
      <c r="E65" s="347" t="s">
        <v>1351</v>
      </c>
      <c r="F65" s="347" t="s">
        <v>1352</v>
      </c>
      <c r="G65" s="348">
        <v>45323</v>
      </c>
      <c r="H65" s="349" t="s">
        <v>1369</v>
      </c>
      <c r="I65" s="369" t="s">
        <v>250</v>
      </c>
      <c r="J65" s="399"/>
      <c r="K65" s="341" t="s">
        <v>1356</v>
      </c>
      <c r="M65" s="411" t="s">
        <v>539</v>
      </c>
      <c r="N65" s="403" t="s">
        <v>680</v>
      </c>
      <c r="O65" s="403" t="str">
        <f>VLOOKUP(LEFT(M65,LEN(M65)-2),'Date SPV'!$B$4:$D$34,3,FALSE)</f>
        <v>Promenada Mall Bucuresti SRL</v>
      </c>
      <c r="P65" s="412" t="s">
        <v>1405</v>
      </c>
      <c r="Q65" s="412" t="s">
        <v>1405</v>
      </c>
      <c r="R65" s="412" t="s">
        <v>1405</v>
      </c>
      <c r="S65" s="403" t="str">
        <f>VLOOKUP(VLOOKUP(LEFT(M65,LEN(M65)-2),'Date SPV'!$B$4:$F$34,5,FALSE),'Date SPV'!$T$4:$U$11,2,FALSE)</f>
        <v>Retele Electrice Muntenia</v>
      </c>
      <c r="T65" s="403" t="str">
        <f>VLOOKUP(M65,'Contorizare in SDI'!$B:$D,3,FALSE)</f>
        <v>RO001E110523303</v>
      </c>
      <c r="U65" s="403" t="str">
        <f>VLOOKUP(N65,'Contorizare in SDI'!$F:$H,3,FALSE)</f>
        <v>RO001E110523303/1</v>
      </c>
      <c r="V65" s="415" t="s">
        <v>1356</v>
      </c>
      <c r="W65" s="414">
        <f>SUMIF($AB:$AB,N65,$AC:$AC)</f>
        <v>64628</v>
      </c>
      <c r="Y65" s="389" t="s">
        <v>538</v>
      </c>
      <c r="Z65" s="390" t="s">
        <v>69</v>
      </c>
      <c r="AA65" s="390" t="s">
        <v>608</v>
      </c>
      <c r="AB65" s="391" t="s">
        <v>679</v>
      </c>
      <c r="AC65" s="548">
        <v>0</v>
      </c>
      <c r="AD65" s="548">
        <v>0</v>
      </c>
      <c r="AE65" s="393">
        <f>'Inchidere contur'!D66</f>
        <v>0</v>
      </c>
    </row>
    <row r="66" spans="3:31" ht="16.5" thickBot="1">
      <c r="C66" s="347" t="s">
        <v>60</v>
      </c>
      <c r="D66" s="347" t="s">
        <v>1351</v>
      </c>
      <c r="E66" s="347" t="s">
        <v>1351</v>
      </c>
      <c r="F66" s="347" t="s">
        <v>1352</v>
      </c>
      <c r="G66" s="348">
        <v>45323</v>
      </c>
      <c r="H66" s="349" t="s">
        <v>1369</v>
      </c>
      <c r="I66" s="369" t="s">
        <v>250</v>
      </c>
      <c r="J66" s="399"/>
      <c r="K66" s="341" t="s">
        <v>1357</v>
      </c>
      <c r="M66" s="411" t="s">
        <v>539</v>
      </c>
      <c r="N66" s="403" t="s">
        <v>680</v>
      </c>
      <c r="O66" s="403" t="str">
        <f>VLOOKUP(LEFT(M66,LEN(M66)-2),'Date SPV'!$B$4:$D$34,3,FALSE)</f>
        <v>Promenada Mall Bucuresti SRL</v>
      </c>
      <c r="P66" s="412" t="s">
        <v>1405</v>
      </c>
      <c r="Q66" s="412" t="s">
        <v>1405</v>
      </c>
      <c r="R66" s="412" t="s">
        <v>1405</v>
      </c>
      <c r="S66" s="403" t="str">
        <f>VLOOKUP(VLOOKUP(LEFT(M66,LEN(M66)-2),'Date SPV'!$B$4:$F$34,5,FALSE),'Date SPV'!$T$4:$U$11,2,FALSE)</f>
        <v>Retele Electrice Muntenia</v>
      </c>
      <c r="T66" s="403" t="str">
        <f>VLOOKUP(M66,'Contorizare in SDI'!$B:$D,3,FALSE)</f>
        <v>RO001E110523303</v>
      </c>
      <c r="U66" s="403" t="str">
        <f>VLOOKUP(N66,'Contorizare in SDI'!$F:$H,3,FALSE)</f>
        <v>RO001E110523303/1</v>
      </c>
      <c r="V66" s="415" t="s">
        <v>1357</v>
      </c>
      <c r="W66" s="414">
        <f>HLOOKUP(VLOOKUP(LEFT(M66,LEN(M66)-2),'Date SPV'!$B$4:$F$34,5,FALSE),'Preturi si tarife'!$C$2:$J$21,17,FALSE)</f>
        <v>0.90065760000000006</v>
      </c>
      <c r="Y66" s="394" t="s">
        <v>538</v>
      </c>
      <c r="Z66" s="391" t="s">
        <v>679</v>
      </c>
      <c r="AA66" s="391" t="s">
        <v>609</v>
      </c>
      <c r="AB66" s="391" t="s">
        <v>679</v>
      </c>
      <c r="AC66" s="548">
        <v>44103</v>
      </c>
      <c r="AD66" s="548">
        <v>0</v>
      </c>
      <c r="AE66" s="393">
        <f>'Inchidere contur'!D67</f>
        <v>0</v>
      </c>
    </row>
    <row r="67" spans="3:31" ht="16.5" thickBot="1">
      <c r="C67" s="347" t="s">
        <v>60</v>
      </c>
      <c r="D67" s="347" t="s">
        <v>1351</v>
      </c>
      <c r="E67" s="347" t="s">
        <v>1351</v>
      </c>
      <c r="F67" s="347" t="s">
        <v>1352</v>
      </c>
      <c r="G67" s="348">
        <v>45323</v>
      </c>
      <c r="H67" s="349" t="s">
        <v>1369</v>
      </c>
      <c r="I67" s="369" t="s">
        <v>250</v>
      </c>
      <c r="J67" s="399"/>
      <c r="K67" s="341" t="s">
        <v>1358</v>
      </c>
      <c r="M67" s="411" t="s">
        <v>539</v>
      </c>
      <c r="N67" s="403" t="s">
        <v>680</v>
      </c>
      <c r="O67" s="403" t="str">
        <f>VLOOKUP(LEFT(M67,LEN(M67)-2),'Date SPV'!$B$4:$D$34,3,FALSE)</f>
        <v>Promenada Mall Bucuresti SRL</v>
      </c>
      <c r="P67" s="412" t="s">
        <v>1405</v>
      </c>
      <c r="Q67" s="412" t="s">
        <v>1405</v>
      </c>
      <c r="R67" s="412" t="s">
        <v>1405</v>
      </c>
      <c r="S67" s="403" t="str">
        <f>VLOOKUP(VLOOKUP(LEFT(M67,LEN(M67)-2),'Date SPV'!$B$4:$F$34,5,FALSE),'Date SPV'!$T$4:$U$11,2,FALSE)</f>
        <v>Retele Electrice Muntenia</v>
      </c>
      <c r="T67" s="403" t="str">
        <f>VLOOKUP(M67,'Contorizare in SDI'!$B:$D,3,FALSE)</f>
        <v>RO001E110523303</v>
      </c>
      <c r="U67" s="403" t="str">
        <f>VLOOKUP(N67,'Contorizare in SDI'!$F:$H,3,FALSE)</f>
        <v>RO001E110523303/1</v>
      </c>
      <c r="V67" s="415" t="s">
        <v>1358</v>
      </c>
      <c r="W67" s="414">
        <f>SUMIF($AB:$AB,N67,$AD:$AD)</f>
        <v>0</v>
      </c>
      <c r="Y67" s="394" t="s">
        <v>538</v>
      </c>
      <c r="Z67" s="391" t="s">
        <v>69</v>
      </c>
      <c r="AA67" s="391" t="s">
        <v>610</v>
      </c>
      <c r="AB67" s="391" t="s">
        <v>69</v>
      </c>
      <c r="AC67" s="548">
        <v>0</v>
      </c>
      <c r="AD67" s="548">
        <v>0</v>
      </c>
      <c r="AE67" s="393">
        <f>'Inchidere contur'!D68</f>
        <v>0</v>
      </c>
    </row>
    <row r="68" spans="3:31" ht="16.5" thickBot="1">
      <c r="C68" s="347" t="s">
        <v>60</v>
      </c>
      <c r="D68" s="347" t="s">
        <v>1351</v>
      </c>
      <c r="E68" s="347" t="s">
        <v>1351</v>
      </c>
      <c r="F68" s="347" t="s">
        <v>1352</v>
      </c>
      <c r="G68" s="348">
        <v>45323</v>
      </c>
      <c r="H68" s="349" t="s">
        <v>1369</v>
      </c>
      <c r="I68" s="369" t="s">
        <v>250</v>
      </c>
      <c r="J68" s="399"/>
      <c r="K68" s="341" t="s">
        <v>1357</v>
      </c>
      <c r="M68" s="416" t="s">
        <v>539</v>
      </c>
      <c r="N68" s="417" t="s">
        <v>680</v>
      </c>
      <c r="O68" s="417" t="str">
        <f>VLOOKUP(LEFT(M68,LEN(M68)-2),'Date SPV'!$B$4:$D$34,3,FALSE)</f>
        <v>Promenada Mall Bucuresti SRL</v>
      </c>
      <c r="P68" s="418" t="s">
        <v>1405</v>
      </c>
      <c r="Q68" s="418" t="s">
        <v>1405</v>
      </c>
      <c r="R68" s="418" t="s">
        <v>1405</v>
      </c>
      <c r="S68" s="417" t="str">
        <f>VLOOKUP(VLOOKUP(LEFT(M68,LEN(M68)-2),'Date SPV'!$B$4:$F$34,5,FALSE),'Date SPV'!$T$4:$U$11,2,FALSE)</f>
        <v>Retele Electrice Muntenia</v>
      </c>
      <c r="T68" s="417" t="str">
        <f>VLOOKUP(M68,'Contorizare in SDI'!$B:$D,3,FALSE)</f>
        <v>RO001E110523303</v>
      </c>
      <c r="U68" s="417" t="str">
        <f>VLOOKUP(N68,'Contorizare in SDI'!$F:$H,3,FALSE)</f>
        <v>RO001E110523303/1</v>
      </c>
      <c r="V68" s="419" t="s">
        <v>1357</v>
      </c>
      <c r="W68" s="420">
        <f>HLOOKUP(VLOOKUP(LEFT(M68,LEN(M68)-2),'Date SPV'!$B$4:$F$34,5,FALSE),'Preturi si tarife'!$C$2:$J$21,18,FALSE)</f>
        <v>0.80525760000000002</v>
      </c>
      <c r="Y68" s="394" t="s">
        <v>538</v>
      </c>
      <c r="Z68" s="391" t="s">
        <v>69</v>
      </c>
      <c r="AA68" s="391" t="s">
        <v>611</v>
      </c>
      <c r="AB68" s="391" t="s">
        <v>69</v>
      </c>
      <c r="AC68" s="548">
        <v>0</v>
      </c>
      <c r="AD68" s="548">
        <v>0</v>
      </c>
      <c r="AE68" s="393">
        <f>'Inchidere contur'!D69</f>
        <v>0</v>
      </c>
    </row>
    <row r="69" spans="3:31" ht="16.5" thickBot="1">
      <c r="C69" s="342" t="s">
        <v>1370</v>
      </c>
      <c r="D69" s="342" t="s">
        <v>1351</v>
      </c>
      <c r="E69" s="342" t="s">
        <v>1351</v>
      </c>
      <c r="F69" s="342" t="s">
        <v>1352</v>
      </c>
      <c r="G69" s="343">
        <v>45292</v>
      </c>
      <c r="H69" s="344" t="s">
        <v>1366</v>
      </c>
      <c r="I69" s="370" t="s">
        <v>219</v>
      </c>
      <c r="J69" s="400"/>
      <c r="K69" s="342" t="s">
        <v>1354</v>
      </c>
      <c r="M69" s="406" t="s">
        <v>535</v>
      </c>
      <c r="N69" s="407" t="s">
        <v>677</v>
      </c>
      <c r="O69" s="407" t="str">
        <f>VLOOKUP(LEFT(M69,LEN(M69)-2),'Date SPV'!$B$4:$D$34,3,FALSE)</f>
        <v>Targu Jiu Development SRL</v>
      </c>
      <c r="P69" s="408" t="s">
        <v>1405</v>
      </c>
      <c r="Q69" s="408" t="s">
        <v>1405</v>
      </c>
      <c r="R69" s="408" t="s">
        <v>1405</v>
      </c>
      <c r="S69" s="407" t="str">
        <f>VLOOKUP(VLOOKUP(LEFT(M69,LEN(M69)-2),'Date SPV'!$B$4:$F$34,5,FALSE),'Date SPV'!$T$4:$U$11,2,FALSE)</f>
        <v>Distributie Energie Oltenia</v>
      </c>
      <c r="T69" s="407" t="str">
        <f>VLOOKUP(M69,'Contorizare in SDI'!$B:$D,3,FALSE)</f>
        <v>59401030000224144171589916</v>
      </c>
      <c r="U69" s="407" t="str">
        <f>VLOOKUP(N69,'Contorizare in SDI'!$F:$H,3,FALSE)</f>
        <v>59401030000224144171589916/2</v>
      </c>
      <c r="V69" s="409" t="s">
        <v>1354</v>
      </c>
      <c r="W69" s="410">
        <f>W71+W73</f>
        <v>120033</v>
      </c>
      <c r="Y69" s="394" t="s">
        <v>538</v>
      </c>
      <c r="Z69" s="391" t="s">
        <v>69</v>
      </c>
      <c r="AA69" s="391" t="s">
        <v>612</v>
      </c>
      <c r="AB69" s="391" t="s">
        <v>69</v>
      </c>
      <c r="AC69" s="548">
        <v>0</v>
      </c>
      <c r="AD69" s="548">
        <v>0</v>
      </c>
      <c r="AE69" s="393">
        <f>'Inchidere contur'!D70</f>
        <v>0</v>
      </c>
    </row>
    <row r="70" spans="3:31" ht="16.5" thickBot="1">
      <c r="C70" s="347" t="s">
        <v>1370</v>
      </c>
      <c r="D70" s="347" t="s">
        <v>1351</v>
      </c>
      <c r="E70" s="347" t="s">
        <v>1351</v>
      </c>
      <c r="F70" s="347" t="s">
        <v>1352</v>
      </c>
      <c r="G70" s="348">
        <v>45292</v>
      </c>
      <c r="H70" s="349" t="s">
        <v>1366</v>
      </c>
      <c r="I70" s="351" t="s">
        <v>219</v>
      </c>
      <c r="J70" s="400"/>
      <c r="K70" s="347" t="s">
        <v>1355</v>
      </c>
      <c r="M70" s="411" t="s">
        <v>535</v>
      </c>
      <c r="N70" s="403" t="s">
        <v>677</v>
      </c>
      <c r="O70" s="403" t="str">
        <f>VLOOKUP(LEFT(M70,LEN(M70)-2),'Date SPV'!$B$4:$D$34,3,FALSE)</f>
        <v>Targu Jiu Development SRL</v>
      </c>
      <c r="P70" s="412" t="s">
        <v>1405</v>
      </c>
      <c r="Q70" s="412" t="s">
        <v>1405</v>
      </c>
      <c r="R70" s="412" t="s">
        <v>1405</v>
      </c>
      <c r="S70" s="403" t="str">
        <f>VLOOKUP(VLOOKUP(LEFT(M70,LEN(M70)-2),'Date SPV'!$B$4:$F$34,5,FALSE),'Date SPV'!$T$4:$U$11,2,FALSE)</f>
        <v>Distributie Energie Oltenia</v>
      </c>
      <c r="T70" s="403" t="str">
        <f>VLOOKUP(M70,'Contorizare in SDI'!$B:$D,3,FALSE)</f>
        <v>59401030000224144171589916</v>
      </c>
      <c r="U70" s="403" t="str">
        <f>VLOOKUP(N70,'Contorizare in SDI'!$F:$H,3,FALSE)</f>
        <v>59401030000224144171589916/2</v>
      </c>
      <c r="V70" s="413" t="s">
        <v>1355</v>
      </c>
      <c r="W70" s="414">
        <f>ROUND(W71*W72+W73*W74,2)</f>
        <v>116077.14</v>
      </c>
      <c r="Y70" s="394" t="s">
        <v>538</v>
      </c>
      <c r="Z70" s="391" t="s">
        <v>69</v>
      </c>
      <c r="AA70" s="391" t="s">
        <v>972</v>
      </c>
      <c r="AB70" s="391" t="s">
        <v>69</v>
      </c>
      <c r="AC70" s="549">
        <v>0</v>
      </c>
      <c r="AD70" s="549">
        <v>0</v>
      </c>
      <c r="AE70" s="393">
        <f>'Inchidere contur'!D71</f>
        <v>0</v>
      </c>
    </row>
    <row r="71" spans="3:31" ht="16.5" thickBot="1">
      <c r="C71" s="347" t="s">
        <v>1370</v>
      </c>
      <c r="D71" s="347" t="s">
        <v>1351</v>
      </c>
      <c r="E71" s="347" t="s">
        <v>1351</v>
      </c>
      <c r="F71" s="347" t="s">
        <v>1352</v>
      </c>
      <c r="G71" s="348">
        <v>45292</v>
      </c>
      <c r="H71" s="349" t="s">
        <v>1366</v>
      </c>
      <c r="I71" s="351" t="s">
        <v>224</v>
      </c>
      <c r="J71" s="400"/>
      <c r="K71" s="341" t="s">
        <v>1356</v>
      </c>
      <c r="M71" s="411" t="s">
        <v>535</v>
      </c>
      <c r="N71" s="403" t="s">
        <v>677</v>
      </c>
      <c r="O71" s="403" t="str">
        <f>VLOOKUP(LEFT(M71,LEN(M71)-2),'Date SPV'!$B$4:$D$34,3,FALSE)</f>
        <v>Targu Jiu Development SRL</v>
      </c>
      <c r="P71" s="412" t="s">
        <v>1405</v>
      </c>
      <c r="Q71" s="412" t="s">
        <v>1405</v>
      </c>
      <c r="R71" s="412" t="s">
        <v>1405</v>
      </c>
      <c r="S71" s="403" t="str">
        <f>VLOOKUP(VLOOKUP(LEFT(M71,LEN(M71)-2),'Date SPV'!$B$4:$F$34,5,FALSE),'Date SPV'!$T$4:$U$11,2,FALSE)</f>
        <v>Distributie Energie Oltenia</v>
      </c>
      <c r="T71" s="403" t="str">
        <f>VLOOKUP(M71,'Contorizare in SDI'!$B:$D,3,FALSE)</f>
        <v>59401030000224144171589916</v>
      </c>
      <c r="U71" s="403" t="str">
        <f>VLOOKUP(N71,'Contorizare in SDI'!$F:$H,3,FALSE)</f>
        <v>59401030000224144171589916/2</v>
      </c>
      <c r="V71" s="415" t="s">
        <v>1356</v>
      </c>
      <c r="W71" s="414">
        <f>SUMIF($AB:$AB,N71,$AC:$AC)</f>
        <v>111950</v>
      </c>
      <c r="Y71" s="83" t="s">
        <v>997</v>
      </c>
      <c r="Z71" s="84" t="s">
        <v>69</v>
      </c>
      <c r="AA71" s="84" t="s">
        <v>998</v>
      </c>
      <c r="AB71" s="84" t="s">
        <v>69</v>
      </c>
      <c r="AC71" s="549">
        <v>0</v>
      </c>
      <c r="AD71" s="549">
        <v>0</v>
      </c>
      <c r="AE71" s="393">
        <f>'Inchidere contur'!D72</f>
        <v>0</v>
      </c>
    </row>
    <row r="72" spans="3:31" ht="16.5" thickBot="1">
      <c r="C72" s="347" t="s">
        <v>1370</v>
      </c>
      <c r="D72" s="347" t="s">
        <v>1351</v>
      </c>
      <c r="E72" s="347" t="s">
        <v>1351</v>
      </c>
      <c r="F72" s="347" t="s">
        <v>1352</v>
      </c>
      <c r="G72" s="348">
        <v>45292</v>
      </c>
      <c r="H72" s="349" t="s">
        <v>1366</v>
      </c>
      <c r="I72" s="351" t="s">
        <v>224</v>
      </c>
      <c r="J72" s="400"/>
      <c r="K72" s="341" t="s">
        <v>1357</v>
      </c>
      <c r="M72" s="411" t="s">
        <v>535</v>
      </c>
      <c r="N72" s="403" t="s">
        <v>677</v>
      </c>
      <c r="O72" s="403" t="str">
        <f>VLOOKUP(LEFT(M72,LEN(M72)-2),'Date SPV'!$B$4:$D$34,3,FALSE)</f>
        <v>Targu Jiu Development SRL</v>
      </c>
      <c r="P72" s="412" t="s">
        <v>1405</v>
      </c>
      <c r="Q72" s="412" t="s">
        <v>1405</v>
      </c>
      <c r="R72" s="412" t="s">
        <v>1405</v>
      </c>
      <c r="S72" s="403" t="str">
        <f>VLOOKUP(VLOOKUP(LEFT(M72,LEN(M72)-2),'Date SPV'!$B$4:$F$34,5,FALSE),'Date SPV'!$T$4:$U$11,2,FALSE)</f>
        <v>Distributie Energie Oltenia</v>
      </c>
      <c r="T72" s="403" t="str">
        <f>VLOOKUP(M72,'Contorizare in SDI'!$B:$D,3,FALSE)</f>
        <v>59401030000224144171589916</v>
      </c>
      <c r="U72" s="403" t="str">
        <f>VLOOKUP(N72,'Contorizare in SDI'!$F:$H,3,FALSE)</f>
        <v>59401030000224144171589916/2</v>
      </c>
      <c r="V72" s="415" t="s">
        <v>1357</v>
      </c>
      <c r="W72" s="414">
        <f>HLOOKUP(VLOOKUP(LEFT(M72,LEN(M72)-2),'Date SPV'!$B$4:$F$34,5,FALSE),'Preturi si tarife'!$C$2:$J$21,17,FALSE)</f>
        <v>0.97511760000000003</v>
      </c>
      <c r="Y72" s="30" t="s">
        <v>997</v>
      </c>
      <c r="Z72" s="29" t="s">
        <v>1004</v>
      </c>
      <c r="AA72" s="29" t="s">
        <v>999</v>
      </c>
      <c r="AB72" s="84" t="s">
        <v>69</v>
      </c>
      <c r="AC72" s="549">
        <v>0</v>
      </c>
      <c r="AD72" s="549">
        <v>0</v>
      </c>
      <c r="AE72" s="393">
        <f>'Inchidere contur'!D73</f>
        <v>0</v>
      </c>
    </row>
    <row r="73" spans="3:31" ht="17.100000000000001" customHeight="1" thickBot="1">
      <c r="C73" s="347" t="s">
        <v>1370</v>
      </c>
      <c r="D73" s="347" t="s">
        <v>1351</v>
      </c>
      <c r="E73" s="347" t="s">
        <v>1351</v>
      </c>
      <c r="F73" s="347" t="s">
        <v>1352</v>
      </c>
      <c r="G73" s="348">
        <v>45292</v>
      </c>
      <c r="H73" s="349" t="s">
        <v>1366</v>
      </c>
      <c r="I73" s="351" t="s">
        <v>222</v>
      </c>
      <c r="J73" s="400"/>
      <c r="K73" s="341" t="s">
        <v>1358</v>
      </c>
      <c r="M73" s="411" t="s">
        <v>535</v>
      </c>
      <c r="N73" s="403" t="s">
        <v>677</v>
      </c>
      <c r="O73" s="403" t="str">
        <f>VLOOKUP(LEFT(M73,LEN(M73)-2),'Date SPV'!$B$4:$D$34,3,FALSE)</f>
        <v>Targu Jiu Development SRL</v>
      </c>
      <c r="P73" s="412" t="s">
        <v>1405</v>
      </c>
      <c r="Q73" s="412" t="s">
        <v>1405</v>
      </c>
      <c r="R73" s="412" t="s">
        <v>1405</v>
      </c>
      <c r="S73" s="403" t="str">
        <f>VLOOKUP(VLOOKUP(LEFT(M73,LEN(M73)-2),'Date SPV'!$B$4:$F$34,5,FALSE),'Date SPV'!$T$4:$U$11,2,FALSE)</f>
        <v>Distributie Energie Oltenia</v>
      </c>
      <c r="T73" s="403" t="str">
        <f>VLOOKUP(M73,'Contorizare in SDI'!$B:$D,3,FALSE)</f>
        <v>59401030000224144171589916</v>
      </c>
      <c r="U73" s="403" t="str">
        <f>VLOOKUP(N73,'Contorizare in SDI'!$F:$H,3,FALSE)</f>
        <v>59401030000224144171589916/2</v>
      </c>
      <c r="V73" s="415" t="s">
        <v>1358</v>
      </c>
      <c r="W73" s="414">
        <f>SUMIF($AB:$AB,N73,$AD:$AD)</f>
        <v>8083</v>
      </c>
      <c r="Y73" s="30" t="s">
        <v>997</v>
      </c>
      <c r="Z73" s="29" t="s">
        <v>69</v>
      </c>
      <c r="AA73" s="29" t="s">
        <v>1000</v>
      </c>
      <c r="AB73" s="29" t="s">
        <v>69</v>
      </c>
      <c r="AC73" s="549">
        <v>0</v>
      </c>
      <c r="AD73" s="549">
        <v>0</v>
      </c>
      <c r="AE73" s="393">
        <f>'Inchidere contur'!D74</f>
        <v>0</v>
      </c>
    </row>
    <row r="74" spans="3:31" ht="17.100000000000001" customHeight="1" thickBot="1">
      <c r="C74" s="347" t="s">
        <v>1370</v>
      </c>
      <c r="D74" s="347" t="s">
        <v>1351</v>
      </c>
      <c r="E74" s="347" t="s">
        <v>1351</v>
      </c>
      <c r="F74" s="347" t="s">
        <v>1352</v>
      </c>
      <c r="G74" s="348">
        <v>45292</v>
      </c>
      <c r="H74" s="349" t="s">
        <v>1366</v>
      </c>
      <c r="I74" s="351" t="s">
        <v>222</v>
      </c>
      <c r="J74" s="400"/>
      <c r="K74" s="341" t="s">
        <v>1357</v>
      </c>
      <c r="M74" s="416" t="s">
        <v>535</v>
      </c>
      <c r="N74" s="417" t="s">
        <v>677</v>
      </c>
      <c r="O74" s="417" t="str">
        <f>VLOOKUP(LEFT(M74,LEN(M74)-2),'Date SPV'!$B$4:$D$34,3,FALSE)</f>
        <v>Targu Jiu Development SRL</v>
      </c>
      <c r="P74" s="418" t="s">
        <v>1405</v>
      </c>
      <c r="Q74" s="418" t="s">
        <v>1405</v>
      </c>
      <c r="R74" s="418" t="s">
        <v>1405</v>
      </c>
      <c r="S74" s="417" t="str">
        <f>VLOOKUP(VLOOKUP(LEFT(M74,LEN(M74)-2),'Date SPV'!$B$4:$F$34,5,FALSE),'Date SPV'!$T$4:$U$11,2,FALSE)</f>
        <v>Distributie Energie Oltenia</v>
      </c>
      <c r="T74" s="417" t="str">
        <f>VLOOKUP(M74,'Contorizare in SDI'!$B:$D,3,FALSE)</f>
        <v>59401030000224144171589916</v>
      </c>
      <c r="U74" s="417" t="str">
        <f>VLOOKUP(N74,'Contorizare in SDI'!$F:$H,3,FALSE)</f>
        <v>59401030000224144171589916/2</v>
      </c>
      <c r="V74" s="419" t="s">
        <v>1357</v>
      </c>
      <c r="W74" s="420">
        <f>HLOOKUP(VLOOKUP(LEFT(M74,LEN(M74)-2),'Date SPV'!$B$4:$F$34,5,FALSE),'Preturi si tarife'!$C$2:$J$21,18,FALSE)</f>
        <v>0.85521760000000002</v>
      </c>
      <c r="Y74" s="30" t="s">
        <v>997</v>
      </c>
      <c r="Z74" s="29" t="s">
        <v>69</v>
      </c>
      <c r="AA74" s="29" t="s">
        <v>1001</v>
      </c>
      <c r="AB74" s="29" t="s">
        <v>69</v>
      </c>
      <c r="AC74" s="549">
        <v>0</v>
      </c>
      <c r="AD74" s="549">
        <v>0</v>
      </c>
      <c r="AE74" s="393">
        <f>'Inchidere contur'!D75</f>
        <v>0</v>
      </c>
    </row>
    <row r="75" spans="3:31" ht="16.5" thickBot="1">
      <c r="C75" s="342" t="s">
        <v>1371</v>
      </c>
      <c r="D75" s="342" t="s">
        <v>1352</v>
      </c>
      <c r="E75" s="347" t="s">
        <v>1351</v>
      </c>
      <c r="F75" s="342" t="s">
        <v>1352</v>
      </c>
      <c r="G75" s="343">
        <v>45292</v>
      </c>
      <c r="H75" s="344" t="s">
        <v>1369</v>
      </c>
      <c r="I75" s="370" t="s">
        <v>226</v>
      </c>
      <c r="J75" s="400"/>
      <c r="K75" s="342" t="s">
        <v>1354</v>
      </c>
      <c r="M75" s="456" t="s">
        <v>537</v>
      </c>
      <c r="N75" s="457" t="s">
        <v>69</v>
      </c>
      <c r="O75" s="457" t="str">
        <f>VLOOKUP(LEFT(M75,LEN(M75)-2),'Date SPV'!$B$4:$D$34,3,FALSE)</f>
        <v>Vulcan Value Centre SRL</v>
      </c>
      <c r="P75" s="458" t="s">
        <v>1405</v>
      </c>
      <c r="Q75" s="458" t="s">
        <v>1405</v>
      </c>
      <c r="R75" s="458" t="s">
        <v>1405</v>
      </c>
      <c r="S75" s="457" t="str">
        <f>VLOOKUP(VLOOKUP(LEFT(M75,LEN(M75)-2),'Date SPV'!$B$4:$F$34,5,FALSE),'Date SPV'!$T$4:$U$11,2,FALSE)</f>
        <v>Retele Electrice Muntenia</v>
      </c>
      <c r="T75" s="457" t="str">
        <f>VLOOKUP(M75,'Contorizare in SDI'!$B:$D,3,FALSE)</f>
        <v>RO001E110054223</v>
      </c>
      <c r="U75" s="457" t="s">
        <v>69</v>
      </c>
      <c r="V75" s="459" t="s">
        <v>1354</v>
      </c>
      <c r="W75" s="460">
        <f>W77+W79+W81+W83+W85</f>
        <v>141902</v>
      </c>
      <c r="Y75" s="30" t="s">
        <v>997</v>
      </c>
      <c r="Z75" s="29" t="s">
        <v>69</v>
      </c>
      <c r="AA75" s="29" t="s">
        <v>1002</v>
      </c>
      <c r="AB75" s="29" t="s">
        <v>69</v>
      </c>
      <c r="AC75" s="549">
        <v>0</v>
      </c>
      <c r="AD75" s="549">
        <v>0</v>
      </c>
      <c r="AE75" s="393">
        <f>'Inchidere contur'!D76</f>
        <v>0</v>
      </c>
    </row>
    <row r="76" spans="3:31" ht="16.5" thickBot="1">
      <c r="C76" s="347" t="s">
        <v>1371</v>
      </c>
      <c r="D76" s="342" t="s">
        <v>1352</v>
      </c>
      <c r="E76" s="347" t="s">
        <v>1351</v>
      </c>
      <c r="F76" s="347" t="s">
        <v>1352</v>
      </c>
      <c r="G76" s="348">
        <v>45292</v>
      </c>
      <c r="H76" s="349" t="s">
        <v>1369</v>
      </c>
      <c r="I76" s="351" t="s">
        <v>226</v>
      </c>
      <c r="J76" s="400"/>
      <c r="K76" s="347" t="s">
        <v>1355</v>
      </c>
      <c r="M76" s="461" t="s">
        <v>537</v>
      </c>
      <c r="N76" s="115" t="s">
        <v>69</v>
      </c>
      <c r="O76" s="115" t="str">
        <f>VLOOKUP(LEFT(M76,LEN(M76)-2),'Date SPV'!$B$4:$D$34,3,FALSE)</f>
        <v>Vulcan Value Centre SRL</v>
      </c>
      <c r="P76" s="462" t="s">
        <v>1405</v>
      </c>
      <c r="Q76" s="462" t="s">
        <v>1405</v>
      </c>
      <c r="R76" s="462" t="s">
        <v>1405</v>
      </c>
      <c r="S76" s="115" t="str">
        <f>VLOOKUP(VLOOKUP(LEFT(M76,LEN(M76)-2),'Date SPV'!$B$4:$F$34,5,FALSE),'Date SPV'!$T$4:$U$11,2,FALSE)</f>
        <v>Retele Electrice Muntenia</v>
      </c>
      <c r="T76" s="115" t="str">
        <f>VLOOKUP(M76,'Contorizare in SDI'!$B:$D,3,FALSE)</f>
        <v>RO001E110054223</v>
      </c>
      <c r="U76" s="115" t="s">
        <v>69</v>
      </c>
      <c r="V76" s="463" t="s">
        <v>1355</v>
      </c>
      <c r="W76" s="464">
        <f>ROUND(W77*W78+W79*W80+W81*W82+W83*W84+W85*W86,2)</f>
        <v>127448.13</v>
      </c>
      <c r="Y76" s="30" t="s">
        <v>997</v>
      </c>
      <c r="Z76" s="94" t="s">
        <v>69</v>
      </c>
      <c r="AA76" s="94" t="s">
        <v>1003</v>
      </c>
      <c r="AB76" s="94" t="s">
        <v>69</v>
      </c>
      <c r="AC76" s="548">
        <v>0</v>
      </c>
      <c r="AD76" s="548">
        <v>0</v>
      </c>
      <c r="AE76" s="393">
        <f>'Inchidere contur'!D77</f>
        <v>0</v>
      </c>
    </row>
    <row r="77" spans="3:31" ht="16.5" thickBot="1">
      <c r="C77" s="347" t="s">
        <v>1371</v>
      </c>
      <c r="D77" s="342" t="s">
        <v>1352</v>
      </c>
      <c r="E77" s="347" t="s">
        <v>1351</v>
      </c>
      <c r="F77" s="347" t="s">
        <v>1352</v>
      </c>
      <c r="G77" s="348">
        <v>45292</v>
      </c>
      <c r="H77" s="349" t="s">
        <v>1369</v>
      </c>
      <c r="I77" s="351" t="s">
        <v>228</v>
      </c>
      <c r="J77" s="400"/>
      <c r="K77" s="341" t="s">
        <v>1356</v>
      </c>
      <c r="M77" s="461" t="s">
        <v>537</v>
      </c>
      <c r="N77" s="115" t="s">
        <v>864</v>
      </c>
      <c r="O77" s="115" t="str">
        <f>VLOOKUP(LEFT(M77,LEN(M77)-2),'Date SPV'!$B$4:$D$34,3,FALSE)</f>
        <v>Vulcan Value Centre SRL</v>
      </c>
      <c r="P77" s="462" t="s">
        <v>1405</v>
      </c>
      <c r="Q77" s="462" t="s">
        <v>1405</v>
      </c>
      <c r="R77" s="462" t="s">
        <v>1405</v>
      </c>
      <c r="S77" s="115" t="str">
        <f>VLOOKUP(VLOOKUP(LEFT(M77,LEN(M77)-2),'Date SPV'!$B$4:$F$34,5,FALSE),'Date SPV'!$T$4:$U$11,2,FALSE)</f>
        <v>Retele Electrice Muntenia</v>
      </c>
      <c r="T77" s="115" t="str">
        <f>VLOOKUP(M77,'Contorizare in SDI'!$B:$D,3,FALSE)</f>
        <v>RO001E110054223</v>
      </c>
      <c r="U77" s="115" t="str">
        <f>VLOOKUP(N77,'Contorizare in SDI'!$F:$H,3,FALSE)</f>
        <v>RO001E110054223/1</v>
      </c>
      <c r="V77" s="465" t="s">
        <v>1356</v>
      </c>
      <c r="W77" s="464">
        <f>SUMIF($AB:$AB,N77,$AC:$AC)+SUMIF($AB:$AB,_xlfn.CONCAT(LEFT(N77,LEN(N77)-1),2),$AC:$AC)</f>
        <v>81458</v>
      </c>
      <c r="Y77" s="389" t="s">
        <v>539</v>
      </c>
      <c r="Z77" s="390" t="s">
        <v>680</v>
      </c>
      <c r="AA77" s="390" t="s">
        <v>613</v>
      </c>
      <c r="AB77" s="390" t="s">
        <v>680</v>
      </c>
      <c r="AC77" s="548">
        <v>64628</v>
      </c>
      <c r="AD77" s="548">
        <v>0</v>
      </c>
      <c r="AE77" s="393">
        <f>'Inchidere contur'!D78</f>
        <v>0</v>
      </c>
    </row>
    <row r="78" spans="3:31" ht="16.5" thickBot="1">
      <c r="C78" s="347" t="s">
        <v>1371</v>
      </c>
      <c r="D78" s="342" t="s">
        <v>1352</v>
      </c>
      <c r="E78" s="347" t="s">
        <v>1351</v>
      </c>
      <c r="F78" s="347" t="s">
        <v>1352</v>
      </c>
      <c r="G78" s="348">
        <v>45292</v>
      </c>
      <c r="H78" s="349" t="s">
        <v>1369</v>
      </c>
      <c r="I78" s="351" t="s">
        <v>228</v>
      </c>
      <c r="J78" s="400"/>
      <c r="K78" s="341" t="s">
        <v>1357</v>
      </c>
      <c r="M78" s="461" t="s">
        <v>537</v>
      </c>
      <c r="N78" s="115" t="s">
        <v>864</v>
      </c>
      <c r="O78" s="115" t="str">
        <f>VLOOKUP(LEFT(M78,LEN(M78)-2),'Date SPV'!$B$4:$D$34,3,FALSE)</f>
        <v>Vulcan Value Centre SRL</v>
      </c>
      <c r="P78" s="462" t="s">
        <v>1405</v>
      </c>
      <c r="Q78" s="462" t="s">
        <v>1405</v>
      </c>
      <c r="R78" s="462" t="s">
        <v>1405</v>
      </c>
      <c r="S78" s="115" t="str">
        <f>VLOOKUP(VLOOKUP(LEFT(M78,LEN(M78)-2),'Date SPV'!$B$4:$F$34,5,FALSE),'Date SPV'!$T$4:$U$11,2,FALSE)</f>
        <v>Retele Electrice Muntenia</v>
      </c>
      <c r="T78" s="115" t="str">
        <f>VLOOKUP(M78,'Contorizare in SDI'!$B:$D,3,FALSE)</f>
        <v>RO001E110054223</v>
      </c>
      <c r="U78" s="115" t="str">
        <f>VLOOKUP(N78,'Contorizare in SDI'!$F:$H,3,FALSE)</f>
        <v>RO001E110054223/1</v>
      </c>
      <c r="V78" s="465" t="s">
        <v>1357</v>
      </c>
      <c r="W78" s="464">
        <f>HLOOKUP(VLOOKUP(LEFT(M78,LEN(M78)-2),'Date SPV'!$B$4:$F$34,5,FALSE),'Preturi si tarife'!$C$2:$J$21,17,FALSE)</f>
        <v>0.90065760000000006</v>
      </c>
      <c r="Y78" s="394" t="s">
        <v>539</v>
      </c>
      <c r="Z78" s="391" t="s">
        <v>69</v>
      </c>
      <c r="AA78" s="391" t="s">
        <v>614</v>
      </c>
      <c r="AB78" s="390" t="s">
        <v>680</v>
      </c>
      <c r="AC78" s="548">
        <v>0</v>
      </c>
      <c r="AD78" s="548">
        <v>0</v>
      </c>
      <c r="AE78" s="393">
        <f>'Inchidere contur'!D79</f>
        <v>0</v>
      </c>
    </row>
    <row r="79" spans="3:31" ht="16.5" thickBot="1">
      <c r="C79" s="347" t="s">
        <v>1371</v>
      </c>
      <c r="D79" s="342" t="s">
        <v>1352</v>
      </c>
      <c r="E79" s="347" t="s">
        <v>1351</v>
      </c>
      <c r="F79" s="347" t="s">
        <v>1352</v>
      </c>
      <c r="G79" s="348">
        <v>45292</v>
      </c>
      <c r="H79" s="349" t="s">
        <v>1369</v>
      </c>
      <c r="I79" s="351" t="s">
        <v>228</v>
      </c>
      <c r="J79" s="400"/>
      <c r="K79" s="341" t="s">
        <v>1358</v>
      </c>
      <c r="M79" s="461" t="s">
        <v>537</v>
      </c>
      <c r="N79" s="115" t="s">
        <v>864</v>
      </c>
      <c r="O79" s="115" t="str">
        <f>VLOOKUP(LEFT(M79,LEN(M79)-2),'Date SPV'!$B$4:$D$34,3,FALSE)</f>
        <v>Vulcan Value Centre SRL</v>
      </c>
      <c r="P79" s="462" t="s">
        <v>1405</v>
      </c>
      <c r="Q79" s="462" t="s">
        <v>1405</v>
      </c>
      <c r="R79" s="462" t="s">
        <v>1405</v>
      </c>
      <c r="S79" s="115" t="str">
        <f>VLOOKUP(VLOOKUP(LEFT(M79,LEN(M79)-2),'Date SPV'!$B$4:$F$34,5,FALSE),'Date SPV'!$T$4:$U$11,2,FALSE)</f>
        <v>Retele Electrice Muntenia</v>
      </c>
      <c r="T79" s="115" t="str">
        <f>VLOOKUP(M79,'Contorizare in SDI'!$B:$D,3,FALSE)</f>
        <v>RO001E110054223</v>
      </c>
      <c r="U79" s="115" t="str">
        <f>VLOOKUP(N79,'Contorizare in SDI'!$F:$H,3,FALSE)</f>
        <v>RO001E110054223/1</v>
      </c>
      <c r="V79" s="465" t="s">
        <v>1358</v>
      </c>
      <c r="W79" s="464">
        <f>SUMIF($AB:$AB,N79,$AD:$AD)+SUMIF($AB:$AB,_xlfn.CONCAT(LEFT(N79,LEN(N79)-1),2),$AD:$AD)</f>
        <v>2318</v>
      </c>
      <c r="Y79" s="394" t="s">
        <v>539</v>
      </c>
      <c r="Z79" s="391" t="s">
        <v>69</v>
      </c>
      <c r="AA79" s="391" t="s">
        <v>615</v>
      </c>
      <c r="AB79" s="390" t="s">
        <v>680</v>
      </c>
      <c r="AC79" s="549">
        <v>0</v>
      </c>
      <c r="AD79" s="549">
        <v>0</v>
      </c>
      <c r="AE79" s="393">
        <f>'Inchidere contur'!D80</f>
        <v>0</v>
      </c>
    </row>
    <row r="80" spans="3:31" ht="16.5" thickBot="1">
      <c r="C80" s="347" t="s">
        <v>1371</v>
      </c>
      <c r="D80" s="342" t="s">
        <v>1352</v>
      </c>
      <c r="E80" s="347" t="s">
        <v>1351</v>
      </c>
      <c r="F80" s="347" t="s">
        <v>1352</v>
      </c>
      <c r="G80" s="348">
        <v>45292</v>
      </c>
      <c r="H80" s="349" t="s">
        <v>1369</v>
      </c>
      <c r="I80" s="351" t="s">
        <v>228</v>
      </c>
      <c r="J80" s="400"/>
      <c r="K80" s="341" t="s">
        <v>1357</v>
      </c>
      <c r="M80" s="461" t="s">
        <v>537</v>
      </c>
      <c r="N80" s="115" t="s">
        <v>864</v>
      </c>
      <c r="O80" s="115" t="str">
        <f>VLOOKUP(LEFT(M80,LEN(M80)-2),'Date SPV'!$B$4:$D$34,3,FALSE)</f>
        <v>Vulcan Value Centre SRL</v>
      </c>
      <c r="P80" s="462" t="s">
        <v>1405</v>
      </c>
      <c r="Q80" s="462" t="s">
        <v>1405</v>
      </c>
      <c r="R80" s="462" t="s">
        <v>1405</v>
      </c>
      <c r="S80" s="115" t="str">
        <f>VLOOKUP(VLOOKUP(LEFT(M80,LEN(M80)-2),'Date SPV'!$B$4:$F$34,5,FALSE),'Date SPV'!$T$4:$U$11,2,FALSE)</f>
        <v>Retele Electrice Muntenia</v>
      </c>
      <c r="T80" s="115" t="str">
        <f>VLOOKUP(M80,'Contorizare in SDI'!$B:$D,3,FALSE)</f>
        <v>RO001E110054223</v>
      </c>
      <c r="U80" s="115" t="str">
        <f>VLOOKUP(N80,'Contorizare in SDI'!$F:$H,3,FALSE)</f>
        <v>RO001E110054223/1</v>
      </c>
      <c r="V80" s="465" t="s">
        <v>1357</v>
      </c>
      <c r="W80" s="464">
        <f>HLOOKUP(VLOOKUP(LEFT(M80,LEN(M80)-2),'Date SPV'!$B$4:$F$34,5,FALSE),'Preturi si tarife'!$C$2:$J$21,18,FALSE)</f>
        <v>0.80525760000000002</v>
      </c>
      <c r="Y80" s="30" t="s">
        <v>539</v>
      </c>
      <c r="Z80" s="29" t="s">
        <v>69</v>
      </c>
      <c r="AA80" s="29" t="s">
        <v>616</v>
      </c>
      <c r="AB80" s="29" t="s">
        <v>69</v>
      </c>
      <c r="AC80" s="549">
        <v>0</v>
      </c>
      <c r="AD80" s="549">
        <v>0</v>
      </c>
      <c r="AE80" s="393">
        <f>'Inchidere contur'!D81</f>
        <v>0</v>
      </c>
    </row>
    <row r="81" spans="3:31" ht="16.5" thickBot="1">
      <c r="C81" s="347" t="s">
        <v>1371</v>
      </c>
      <c r="D81" s="342" t="s">
        <v>1352</v>
      </c>
      <c r="E81" s="347" t="s">
        <v>1351</v>
      </c>
      <c r="F81" s="347" t="s">
        <v>1352</v>
      </c>
      <c r="G81" s="348">
        <v>45292</v>
      </c>
      <c r="H81" s="349" t="s">
        <v>1369</v>
      </c>
      <c r="I81" s="351" t="s">
        <v>230</v>
      </c>
      <c r="J81" s="400"/>
      <c r="K81" s="341" t="s">
        <v>1356</v>
      </c>
      <c r="M81" s="461" t="s">
        <v>537</v>
      </c>
      <c r="N81" s="115" t="s">
        <v>678</v>
      </c>
      <c r="O81" s="115" t="str">
        <f>VLOOKUP(LEFT(M81,LEN(M81)-2),'Date SPV'!$B$4:$D$34,3,FALSE)</f>
        <v>Vulcan Value Centre SRL</v>
      </c>
      <c r="P81" s="462" t="s">
        <v>1405</v>
      </c>
      <c r="Q81" s="462" t="s">
        <v>1405</v>
      </c>
      <c r="R81" s="462" t="s">
        <v>1405</v>
      </c>
      <c r="S81" s="115" t="str">
        <f>VLOOKUP(VLOOKUP(LEFT(M81,LEN(M81)-2),'Date SPV'!$B$4:$F$34,5,FALSE),'Date SPV'!$T$4:$U$11,2,FALSE)</f>
        <v>Retele Electrice Muntenia</v>
      </c>
      <c r="T81" s="115" t="str">
        <f>VLOOKUP(M81,'Contorizare in SDI'!$B:$D,3,FALSE)</f>
        <v>RO001E110054223</v>
      </c>
      <c r="U81" s="115" t="str">
        <f>VLOOKUP(N81,'Contorizare in SDI'!$F:$H,3,FALSE)</f>
        <v>RO001E110054223/2</v>
      </c>
      <c r="V81" s="465" t="s">
        <v>1356</v>
      </c>
      <c r="W81" s="464">
        <f>SUMIF($AB:$AB,N81,$AC:$AC)</f>
        <v>56702</v>
      </c>
      <c r="Y81" s="30" t="s">
        <v>539</v>
      </c>
      <c r="Z81" s="29" t="s">
        <v>69</v>
      </c>
      <c r="AA81" s="29" t="s">
        <v>973</v>
      </c>
      <c r="AB81" s="29" t="s">
        <v>69</v>
      </c>
      <c r="AC81" s="549">
        <v>0</v>
      </c>
      <c r="AD81" s="549">
        <v>0</v>
      </c>
      <c r="AE81" s="393">
        <f>'Inchidere contur'!D82</f>
        <v>0</v>
      </c>
    </row>
    <row r="82" spans="3:31" ht="16.5" thickBot="1">
      <c r="C82" s="347" t="s">
        <v>1371</v>
      </c>
      <c r="D82" s="342" t="s">
        <v>1352</v>
      </c>
      <c r="E82" s="347" t="s">
        <v>1351</v>
      </c>
      <c r="F82" s="347" t="s">
        <v>1352</v>
      </c>
      <c r="G82" s="348">
        <v>45292</v>
      </c>
      <c r="H82" s="349" t="s">
        <v>1369</v>
      </c>
      <c r="I82" s="351" t="s">
        <v>230</v>
      </c>
      <c r="J82" s="400"/>
      <c r="K82" s="341" t="s">
        <v>1357</v>
      </c>
      <c r="M82" s="461" t="s">
        <v>537</v>
      </c>
      <c r="N82" s="115" t="s">
        <v>678</v>
      </c>
      <c r="O82" s="115" t="str">
        <f>VLOOKUP(LEFT(M82,LEN(M82)-2),'Date SPV'!$B$4:$D$34,3,FALSE)</f>
        <v>Vulcan Value Centre SRL</v>
      </c>
      <c r="P82" s="462" t="s">
        <v>1405</v>
      </c>
      <c r="Q82" s="462" t="s">
        <v>1405</v>
      </c>
      <c r="R82" s="462" t="s">
        <v>1405</v>
      </c>
      <c r="S82" s="115" t="str">
        <f>VLOOKUP(VLOOKUP(LEFT(M82,LEN(M82)-2),'Date SPV'!$B$4:$F$34,5,FALSE),'Date SPV'!$T$4:$U$11,2,FALSE)</f>
        <v>Retele Electrice Muntenia</v>
      </c>
      <c r="T82" s="115" t="str">
        <f>VLOOKUP(M82,'Contorizare in SDI'!$B:$D,3,FALSE)</f>
        <v>RO001E110054223</v>
      </c>
      <c r="U82" s="115" t="str">
        <f>VLOOKUP(N82,'Contorizare in SDI'!$F:$H,3,FALSE)</f>
        <v>RO001E110054223/2</v>
      </c>
      <c r="V82" s="465" t="s">
        <v>1357</v>
      </c>
      <c r="W82" s="464">
        <f>HLOOKUP(VLOOKUP(LEFT(M82,LEN(M82)-2),'Date SPV'!$B$4:$F$34,5,FALSE),'Preturi si tarife'!$C$2:$J$21,17,FALSE)</f>
        <v>0.90065760000000006</v>
      </c>
      <c r="Y82" s="30" t="s">
        <v>540</v>
      </c>
      <c r="Z82" s="29" t="s">
        <v>69</v>
      </c>
      <c r="AA82" s="109" t="s">
        <v>540</v>
      </c>
      <c r="AB82" s="29" t="s">
        <v>69</v>
      </c>
      <c r="AC82" s="549">
        <v>0</v>
      </c>
      <c r="AD82" s="549">
        <v>0</v>
      </c>
      <c r="AE82" s="393">
        <f>'Inchidere contur'!D83</f>
        <v>0</v>
      </c>
    </row>
    <row r="83" spans="3:31" ht="16.5" thickBot="1">
      <c r="C83" s="347" t="s">
        <v>1371</v>
      </c>
      <c r="D83" s="342" t="s">
        <v>1352</v>
      </c>
      <c r="E83" s="347" t="s">
        <v>1351</v>
      </c>
      <c r="F83" s="347" t="s">
        <v>1352</v>
      </c>
      <c r="G83" s="348">
        <v>45292</v>
      </c>
      <c r="H83" s="349" t="s">
        <v>1369</v>
      </c>
      <c r="I83" s="351" t="s">
        <v>230</v>
      </c>
      <c r="J83" s="400"/>
      <c r="K83" s="341" t="s">
        <v>1358</v>
      </c>
      <c r="M83" s="461" t="s">
        <v>537</v>
      </c>
      <c r="N83" s="115" t="s">
        <v>678</v>
      </c>
      <c r="O83" s="115" t="str">
        <f>VLOOKUP(LEFT(M83,LEN(M83)-2),'Date SPV'!$B$4:$D$34,3,FALSE)</f>
        <v>Vulcan Value Centre SRL</v>
      </c>
      <c r="P83" s="462" t="s">
        <v>1405</v>
      </c>
      <c r="Q83" s="462" t="s">
        <v>1405</v>
      </c>
      <c r="R83" s="462" t="s">
        <v>1405</v>
      </c>
      <c r="S83" s="115" t="str">
        <f>VLOOKUP(VLOOKUP(LEFT(M83,LEN(M83)-2),'Date SPV'!$B$4:$F$34,5,FALSE),'Date SPV'!$T$4:$U$11,2,FALSE)</f>
        <v>Retele Electrice Muntenia</v>
      </c>
      <c r="T83" s="115" t="str">
        <f>VLOOKUP(M83,'Contorizare in SDI'!$B:$D,3,FALSE)</f>
        <v>RO001E110054223</v>
      </c>
      <c r="U83" s="115" t="str">
        <f>VLOOKUP(N83,'Contorizare in SDI'!$F:$H,3,FALSE)</f>
        <v>RO001E110054223/2</v>
      </c>
      <c r="V83" s="465" t="s">
        <v>1358</v>
      </c>
      <c r="W83" s="464">
        <f>SUMIF($AB:$AB,N83,$AD:$AD)</f>
        <v>1424</v>
      </c>
      <c r="Y83" s="30" t="s">
        <v>541</v>
      </c>
      <c r="Z83" s="29" t="s">
        <v>69</v>
      </c>
      <c r="AA83" s="109" t="s">
        <v>541</v>
      </c>
      <c r="AB83" s="29" t="s">
        <v>69</v>
      </c>
      <c r="AC83" s="549">
        <v>0</v>
      </c>
      <c r="AD83" s="549">
        <v>0</v>
      </c>
      <c r="AE83" s="393">
        <f>'Inchidere contur'!D84</f>
        <v>0</v>
      </c>
    </row>
    <row r="84" spans="3:31" ht="16.5" thickBot="1">
      <c r="C84" s="347" t="s">
        <v>1371</v>
      </c>
      <c r="D84" s="342" t="s">
        <v>1352</v>
      </c>
      <c r="E84" s="347" t="s">
        <v>1351</v>
      </c>
      <c r="F84" s="347" t="s">
        <v>1352</v>
      </c>
      <c r="G84" s="348">
        <v>45292</v>
      </c>
      <c r="H84" s="349" t="s">
        <v>1369</v>
      </c>
      <c r="I84" s="351" t="s">
        <v>230</v>
      </c>
      <c r="J84" s="400"/>
      <c r="K84" s="341" t="s">
        <v>1357</v>
      </c>
      <c r="M84" s="461" t="s">
        <v>537</v>
      </c>
      <c r="N84" s="115" t="s">
        <v>678</v>
      </c>
      <c r="O84" s="115" t="str">
        <f>VLOOKUP(LEFT(M84,LEN(M84)-2),'Date SPV'!$B$4:$D$34,3,FALSE)</f>
        <v>Vulcan Value Centre SRL</v>
      </c>
      <c r="P84" s="462" t="s">
        <v>1405</v>
      </c>
      <c r="Q84" s="462" t="s">
        <v>1405</v>
      </c>
      <c r="R84" s="462" t="s">
        <v>1405</v>
      </c>
      <c r="S84" s="115" t="str">
        <f>VLOOKUP(VLOOKUP(LEFT(M84,LEN(M84)-2),'Date SPV'!$B$4:$F$34,5,FALSE),'Date SPV'!$T$4:$U$11,2,FALSE)</f>
        <v>Retele Electrice Muntenia</v>
      </c>
      <c r="T84" s="115" t="str">
        <f>VLOOKUP(M84,'Contorizare in SDI'!$B:$D,3,FALSE)</f>
        <v>RO001E110054223</v>
      </c>
      <c r="U84" s="115" t="str">
        <f>VLOOKUP(N84,'Contorizare in SDI'!$F:$H,3,FALSE)</f>
        <v>RO001E110054223/2</v>
      </c>
      <c r="V84" s="465" t="s">
        <v>1357</v>
      </c>
      <c r="W84" s="464">
        <f>HLOOKUP(VLOOKUP(LEFT(M84,LEN(M84)-2),'Date SPV'!$B$4:$F$34,5,FALSE),'Preturi si tarife'!$C$2:$J$21,18,FALSE)</f>
        <v>0.80525760000000002</v>
      </c>
      <c r="Y84" s="93" t="s">
        <v>542</v>
      </c>
      <c r="Z84" s="94" t="s">
        <v>69</v>
      </c>
      <c r="AA84" s="109" t="s">
        <v>542</v>
      </c>
      <c r="AB84" s="94" t="s">
        <v>69</v>
      </c>
      <c r="AC84" s="548">
        <v>0</v>
      </c>
      <c r="AD84" s="548">
        <v>0</v>
      </c>
      <c r="AE84" s="393">
        <f>'Inchidere contur'!D85</f>
        <v>0</v>
      </c>
    </row>
    <row r="85" spans="3:31" ht="16.5" thickBot="1">
      <c r="C85" s="347" t="s">
        <v>1371</v>
      </c>
      <c r="D85" s="342" t="s">
        <v>1352</v>
      </c>
      <c r="E85" s="371"/>
      <c r="F85" s="347"/>
      <c r="G85" s="348"/>
      <c r="H85" s="349"/>
      <c r="I85" s="351" t="s">
        <v>226</v>
      </c>
      <c r="J85" s="400"/>
      <c r="K85" s="347" t="s">
        <v>1360</v>
      </c>
      <c r="M85" s="461" t="s">
        <v>537</v>
      </c>
      <c r="N85" s="115" t="s">
        <v>678</v>
      </c>
      <c r="O85" s="115" t="str">
        <f>VLOOKUP(LEFT(M85,LEN(M85)-2),'Date SPV'!$B$4:$D$34,3,FALSE)</f>
        <v>Vulcan Value Centre SRL</v>
      </c>
      <c r="P85" s="462" t="s">
        <v>1405</v>
      </c>
      <c r="Q85" s="462" t="s">
        <v>1405</v>
      </c>
      <c r="R85" s="462" t="s">
        <v>1405</v>
      </c>
      <c r="S85" s="115" t="str">
        <f>VLOOKUP(VLOOKUP(LEFT(M85,LEN(M85)-2),'Date SPV'!$B$4:$F$34,5,FALSE),'Date SPV'!$T$4:$U$11,2,FALSE)</f>
        <v>Retele Electrice Muntenia</v>
      </c>
      <c r="T85" s="115" t="str">
        <f>VLOOKUP(M85,'Contorizare in SDI'!$B:$D,3,FALSE)</f>
        <v>RO001E110054223</v>
      </c>
      <c r="U85" s="115" t="str">
        <f>VLOOKUP(N85,'Contorizare in SDI'!$F:$H,3,FALSE)</f>
        <v>RO001E110054223/2</v>
      </c>
      <c r="V85" s="465" t="s">
        <v>1360</v>
      </c>
      <c r="W85" s="464">
        <f>SUMIF($AB:$AB,N85,$AE:$AE)</f>
        <v>0</v>
      </c>
      <c r="Y85" s="389" t="s">
        <v>543</v>
      </c>
      <c r="Z85" s="390" t="s">
        <v>681</v>
      </c>
      <c r="AA85" s="390" t="s">
        <v>617</v>
      </c>
      <c r="AB85" s="390" t="s">
        <v>681</v>
      </c>
      <c r="AC85" s="548">
        <v>42472</v>
      </c>
      <c r="AD85" s="548">
        <v>0</v>
      </c>
      <c r="AE85" s="393">
        <f>'Inchidere contur'!D86</f>
        <v>0</v>
      </c>
    </row>
    <row r="86" spans="3:31" ht="16.5" thickBot="1">
      <c r="C86" s="347" t="s">
        <v>1371</v>
      </c>
      <c r="D86" s="342" t="s">
        <v>1352</v>
      </c>
      <c r="E86" s="371"/>
      <c r="F86" s="347"/>
      <c r="G86" s="348"/>
      <c r="H86" s="349"/>
      <c r="I86" s="351" t="s">
        <v>226</v>
      </c>
      <c r="J86" s="400"/>
      <c r="K86" s="347" t="s">
        <v>1357</v>
      </c>
      <c r="M86" s="466" t="s">
        <v>537</v>
      </c>
      <c r="N86" s="467" t="s">
        <v>678</v>
      </c>
      <c r="O86" s="467" t="str">
        <f>VLOOKUP(LEFT(M86,LEN(M86)-2),'Date SPV'!$B$4:$D$34,3,FALSE)</f>
        <v>Vulcan Value Centre SRL</v>
      </c>
      <c r="P86" s="468" t="s">
        <v>1405</v>
      </c>
      <c r="Q86" s="468" t="s">
        <v>1405</v>
      </c>
      <c r="R86" s="468" t="s">
        <v>1405</v>
      </c>
      <c r="S86" s="467" t="str">
        <f>VLOOKUP(VLOOKUP(LEFT(M86,LEN(M86)-2),'Date SPV'!$B$4:$F$34,5,FALSE),'Date SPV'!$T$4:$U$11,2,FALSE)</f>
        <v>Retele Electrice Muntenia</v>
      </c>
      <c r="T86" s="467" t="str">
        <f>VLOOKUP(M86,'Contorizare in SDI'!$B:$D,3,FALSE)</f>
        <v>RO001E110054223</v>
      </c>
      <c r="U86" s="467" t="str">
        <f>VLOOKUP(N86,'Contorizare in SDI'!$F:$H,3,FALSE)</f>
        <v>RO001E110054223/2</v>
      </c>
      <c r="V86" s="469" t="s">
        <v>1357</v>
      </c>
      <c r="W86" s="470">
        <f>HLOOKUP(VLOOKUP(LEFT(M86,LEN(M86)-2),'Date SPV'!$B$4:$F$34,5,FALSE),'Preturi si tarife'!$C$2:$J$21,3,FALSE)</f>
        <v>0.59499999999999997</v>
      </c>
      <c r="Y86" s="394" t="s">
        <v>543</v>
      </c>
      <c r="Z86" s="391" t="s">
        <v>69</v>
      </c>
      <c r="AA86" s="391" t="s">
        <v>618</v>
      </c>
      <c r="AB86" s="390" t="s">
        <v>681</v>
      </c>
      <c r="AC86" s="548">
        <v>0</v>
      </c>
      <c r="AD86" s="548">
        <v>0</v>
      </c>
      <c r="AE86" s="393">
        <f>'Inchidere contur'!D87</f>
        <v>0</v>
      </c>
    </row>
    <row r="87" spans="3:31" ht="16.5" thickBot="1">
      <c r="C87" s="342" t="s">
        <v>54</v>
      </c>
      <c r="D87" s="342" t="s">
        <v>1352</v>
      </c>
      <c r="E87" s="342" t="s">
        <v>1359</v>
      </c>
      <c r="F87" s="342" t="s">
        <v>1352</v>
      </c>
      <c r="G87" s="343">
        <v>45292</v>
      </c>
      <c r="H87" s="344" t="s">
        <v>1372</v>
      </c>
      <c r="I87" s="370" t="s">
        <v>157</v>
      </c>
      <c r="J87" s="400"/>
      <c r="K87" s="342" t="s">
        <v>1354</v>
      </c>
      <c r="M87" s="421" t="s">
        <v>528</v>
      </c>
      <c r="N87" s="422" t="s">
        <v>668</v>
      </c>
      <c r="O87" s="422" t="str">
        <f>VLOOKUP(LEFT(M87,LEN(M87)-2),'Date SPV'!$B$4:$D$34,3,FALSE)</f>
        <v>Satu Mare Shopping City SRL</v>
      </c>
      <c r="P87" s="423" t="s">
        <v>1405</v>
      </c>
      <c r="Q87" s="423" t="s">
        <v>1405</v>
      </c>
      <c r="R87" s="423" t="s">
        <v>1405</v>
      </c>
      <c r="S87" s="422" t="str">
        <f>VLOOKUP(VLOOKUP(LEFT(M87,LEN(M87)-2),'Date SPV'!$B$4:$F$34,5,FALSE),'Date SPV'!$T$4:$U$11,2,FALSE)</f>
        <v>DEER Transilvania Nord</v>
      </c>
      <c r="T87" s="422" t="str">
        <f>VLOOKUP(M87,'Contorizare in SDI'!$B:$D,3,FALSE)</f>
        <v>594040400001839968</v>
      </c>
      <c r="U87" s="422" t="str">
        <f>VLOOKUP(N87,'Contorizare in SDI'!$F:$H,3,FALSE)</f>
        <v>594040400001839968/2</v>
      </c>
      <c r="V87" s="424" t="s">
        <v>1354</v>
      </c>
      <c r="W87" s="425">
        <f>W89+W91+W93</f>
        <v>39479</v>
      </c>
      <c r="Y87" s="394" t="s">
        <v>543</v>
      </c>
      <c r="Z87" s="391" t="s">
        <v>69</v>
      </c>
      <c r="AA87" s="391" t="s">
        <v>619</v>
      </c>
      <c r="AB87" s="390" t="s">
        <v>681</v>
      </c>
      <c r="AC87" s="548">
        <v>0</v>
      </c>
      <c r="AD87" s="548">
        <v>0</v>
      </c>
      <c r="AE87" s="393">
        <f>'Inchidere contur'!D88</f>
        <v>0</v>
      </c>
    </row>
    <row r="88" spans="3:31" ht="16.5" thickBot="1">
      <c r="C88" s="347" t="s">
        <v>54</v>
      </c>
      <c r="D88" s="347" t="s">
        <v>1352</v>
      </c>
      <c r="E88" s="347" t="s">
        <v>1359</v>
      </c>
      <c r="F88" s="347" t="s">
        <v>1352</v>
      </c>
      <c r="G88" s="348">
        <v>45292</v>
      </c>
      <c r="H88" s="349" t="s">
        <v>1372</v>
      </c>
      <c r="I88" s="351" t="s">
        <v>157</v>
      </c>
      <c r="J88" s="400"/>
      <c r="K88" s="347" t="s">
        <v>1355</v>
      </c>
      <c r="M88" s="426" t="s">
        <v>528</v>
      </c>
      <c r="N88" s="427" t="s">
        <v>668</v>
      </c>
      <c r="O88" s="427" t="str">
        <f>VLOOKUP(LEFT(M88,LEN(M88)-2),'Date SPV'!$B$4:$D$34,3,FALSE)</f>
        <v>Satu Mare Shopping City SRL</v>
      </c>
      <c r="P88" s="428" t="s">
        <v>1405</v>
      </c>
      <c r="Q88" s="428" t="s">
        <v>1405</v>
      </c>
      <c r="R88" s="428" t="s">
        <v>1405</v>
      </c>
      <c r="S88" s="427" t="str">
        <f>VLOOKUP(VLOOKUP(LEFT(M88,LEN(M88)-2),'Date SPV'!$B$4:$F$34,5,FALSE),'Date SPV'!$T$4:$U$11,2,FALSE)</f>
        <v>DEER Transilvania Nord</v>
      </c>
      <c r="T88" s="427" t="str">
        <f>VLOOKUP(M88,'Contorizare in SDI'!$B:$D,3,FALSE)</f>
        <v>594040400001839968</v>
      </c>
      <c r="U88" s="427" t="str">
        <f>VLOOKUP(N88,'Contorizare in SDI'!$F:$H,3,FALSE)</f>
        <v>594040400001839968/2</v>
      </c>
      <c r="V88" s="429" t="s">
        <v>1355</v>
      </c>
      <c r="W88" s="430">
        <f>ROUND(W89*W90+W91*W92+W93*W94,2)</f>
        <v>37260.58</v>
      </c>
      <c r="Y88" s="404" t="s">
        <v>543</v>
      </c>
      <c r="Z88" s="405" t="s">
        <v>69</v>
      </c>
      <c r="AA88" s="405" t="s">
        <v>974</v>
      </c>
      <c r="AB88" s="405" t="s">
        <v>69</v>
      </c>
      <c r="AC88" s="548">
        <v>0</v>
      </c>
      <c r="AD88" s="548">
        <v>0</v>
      </c>
      <c r="AE88" s="393">
        <f>'Inchidere contur'!D89</f>
        <v>0</v>
      </c>
    </row>
    <row r="89" spans="3:31" ht="16.5" thickBot="1">
      <c r="C89" s="347" t="s">
        <v>54</v>
      </c>
      <c r="D89" s="347" t="s">
        <v>1352</v>
      </c>
      <c r="E89" s="347" t="s">
        <v>1359</v>
      </c>
      <c r="F89" s="347" t="s">
        <v>1352</v>
      </c>
      <c r="G89" s="348">
        <v>45292</v>
      </c>
      <c r="H89" s="349" t="s">
        <v>1372</v>
      </c>
      <c r="I89" s="351" t="s">
        <v>157</v>
      </c>
      <c r="J89" s="400"/>
      <c r="K89" s="341" t="s">
        <v>1356</v>
      </c>
      <c r="M89" s="426" t="s">
        <v>528</v>
      </c>
      <c r="N89" s="427" t="s">
        <v>668</v>
      </c>
      <c r="O89" s="427" t="str">
        <f>VLOOKUP(LEFT(M89,LEN(M89)-2),'Date SPV'!$B$4:$D$34,3,FALSE)</f>
        <v>Satu Mare Shopping City SRL</v>
      </c>
      <c r="P89" s="428" t="s">
        <v>1405</v>
      </c>
      <c r="Q89" s="428" t="s">
        <v>1405</v>
      </c>
      <c r="R89" s="428" t="s">
        <v>1405</v>
      </c>
      <c r="S89" s="427" t="str">
        <f>VLOOKUP(VLOOKUP(LEFT(M89,LEN(M89)-2),'Date SPV'!$B$4:$F$34,5,FALSE),'Date SPV'!$T$4:$U$11,2,FALSE)</f>
        <v>DEER Transilvania Nord</v>
      </c>
      <c r="T89" s="427" t="str">
        <f>VLOOKUP(M89,'Contorizare in SDI'!$B:$D,3,FALSE)</f>
        <v>594040400001839968</v>
      </c>
      <c r="U89" s="427" t="str">
        <f>VLOOKUP(N89,'Contorizare in SDI'!$F:$H,3,FALSE)</f>
        <v>594040400001839968/2</v>
      </c>
      <c r="V89" s="431" t="s">
        <v>1356</v>
      </c>
      <c r="W89" s="430">
        <f>SUMIF($AB:$AB,N89,$AC:$AC)</f>
        <v>39479</v>
      </c>
      <c r="Y89" s="389" t="s">
        <v>544</v>
      </c>
      <c r="Z89" s="390" t="s">
        <v>69</v>
      </c>
      <c r="AA89" s="390" t="s">
        <v>620</v>
      </c>
      <c r="AB89" s="391" t="s">
        <v>682</v>
      </c>
      <c r="AC89" s="548">
        <v>0</v>
      </c>
      <c r="AD89" s="548">
        <v>0</v>
      </c>
      <c r="AE89" s="393">
        <f>'Inchidere contur'!D90</f>
        <v>0</v>
      </c>
    </row>
    <row r="90" spans="3:31" ht="16.5" thickBot="1">
      <c r="C90" s="347" t="s">
        <v>54</v>
      </c>
      <c r="D90" s="347" t="s">
        <v>1352</v>
      </c>
      <c r="E90" s="347" t="s">
        <v>1359</v>
      </c>
      <c r="F90" s="347" t="s">
        <v>1352</v>
      </c>
      <c r="G90" s="348">
        <v>45292</v>
      </c>
      <c r="H90" s="349" t="s">
        <v>1372</v>
      </c>
      <c r="I90" s="351" t="s">
        <v>157</v>
      </c>
      <c r="J90" s="400"/>
      <c r="K90" s="341" t="s">
        <v>1357</v>
      </c>
      <c r="M90" s="426" t="s">
        <v>528</v>
      </c>
      <c r="N90" s="427" t="s">
        <v>668</v>
      </c>
      <c r="O90" s="427" t="str">
        <f>VLOOKUP(LEFT(M90,LEN(M90)-2),'Date SPV'!$B$4:$D$34,3,FALSE)</f>
        <v>Satu Mare Shopping City SRL</v>
      </c>
      <c r="P90" s="428" t="s">
        <v>1405</v>
      </c>
      <c r="Q90" s="428" t="s">
        <v>1405</v>
      </c>
      <c r="R90" s="428" t="s">
        <v>1405</v>
      </c>
      <c r="S90" s="427" t="str">
        <f>VLOOKUP(VLOOKUP(LEFT(M90,LEN(M90)-2),'Date SPV'!$B$4:$F$34,5,FALSE),'Date SPV'!$T$4:$U$11,2,FALSE)</f>
        <v>DEER Transilvania Nord</v>
      </c>
      <c r="T90" s="427" t="str">
        <f>VLOOKUP(M90,'Contorizare in SDI'!$B:$D,3,FALSE)</f>
        <v>594040400001839968</v>
      </c>
      <c r="U90" s="427" t="str">
        <f>VLOOKUP(N90,'Contorizare in SDI'!$F:$H,3,FALSE)</f>
        <v>594040400001839968/2</v>
      </c>
      <c r="V90" s="431" t="s">
        <v>1357</v>
      </c>
      <c r="W90" s="430">
        <f>HLOOKUP(VLOOKUP(LEFT(M90,LEN(M90)-2),'Date SPV'!$B$4:$F$34,5,FALSE),'Preturi si tarife'!$C$2:$J$21,17,FALSE)</f>
        <v>0.94380760000000008</v>
      </c>
      <c r="Y90" s="394" t="s">
        <v>544</v>
      </c>
      <c r="Z90" s="391" t="s">
        <v>682</v>
      </c>
      <c r="AA90" s="391" t="s">
        <v>621</v>
      </c>
      <c r="AB90" s="391" t="s">
        <v>682</v>
      </c>
      <c r="AC90" s="548">
        <v>69144</v>
      </c>
      <c r="AD90" s="548">
        <v>0</v>
      </c>
      <c r="AE90" s="393">
        <f>'Inchidere contur'!D91</f>
        <v>0</v>
      </c>
    </row>
    <row r="91" spans="3:31" ht="16.5" thickBot="1">
      <c r="C91" s="347" t="s">
        <v>54</v>
      </c>
      <c r="D91" s="347" t="s">
        <v>1352</v>
      </c>
      <c r="E91" s="347" t="s">
        <v>1359</v>
      </c>
      <c r="F91" s="347" t="s">
        <v>1352</v>
      </c>
      <c r="G91" s="348">
        <v>45292</v>
      </c>
      <c r="H91" s="349" t="s">
        <v>1372</v>
      </c>
      <c r="I91" s="351" t="s">
        <v>157</v>
      </c>
      <c r="J91" s="400"/>
      <c r="K91" s="341" t="s">
        <v>1358</v>
      </c>
      <c r="M91" s="426" t="s">
        <v>528</v>
      </c>
      <c r="N91" s="427" t="s">
        <v>668</v>
      </c>
      <c r="O91" s="427" t="str">
        <f>VLOOKUP(LEFT(M91,LEN(M91)-2),'Date SPV'!$B$4:$D$34,3,FALSE)</f>
        <v>Satu Mare Shopping City SRL</v>
      </c>
      <c r="P91" s="428" t="s">
        <v>1405</v>
      </c>
      <c r="Q91" s="428" t="s">
        <v>1405</v>
      </c>
      <c r="R91" s="428" t="s">
        <v>1405</v>
      </c>
      <c r="S91" s="427" t="str">
        <f>VLOOKUP(VLOOKUP(LEFT(M91,LEN(M91)-2),'Date SPV'!$B$4:$F$34,5,FALSE),'Date SPV'!$T$4:$U$11,2,FALSE)</f>
        <v>DEER Transilvania Nord</v>
      </c>
      <c r="T91" s="427" t="str">
        <f>VLOOKUP(M91,'Contorizare in SDI'!$B:$D,3,FALSE)</f>
        <v>594040400001839968</v>
      </c>
      <c r="U91" s="427" t="str">
        <f>VLOOKUP(N91,'Contorizare in SDI'!$F:$H,3,FALSE)</f>
        <v>594040400001839968/2</v>
      </c>
      <c r="V91" s="431" t="s">
        <v>1358</v>
      </c>
      <c r="W91" s="430">
        <f>SUMIF($AB:$AB,N91,$AD:$AD)</f>
        <v>0</v>
      </c>
      <c r="Y91" s="394" t="s">
        <v>544</v>
      </c>
      <c r="Z91" s="391" t="s">
        <v>69</v>
      </c>
      <c r="AA91" s="391" t="s">
        <v>975</v>
      </c>
      <c r="AB91" s="391" t="s">
        <v>69</v>
      </c>
      <c r="AC91" s="549">
        <v>0</v>
      </c>
      <c r="AD91" s="549">
        <v>0</v>
      </c>
      <c r="AE91" s="393">
        <f>'Inchidere contur'!D92</f>
        <v>0</v>
      </c>
    </row>
    <row r="92" spans="3:31" ht="16.5" thickBot="1">
      <c r="C92" s="347" t="s">
        <v>54</v>
      </c>
      <c r="D92" s="347" t="s">
        <v>1352</v>
      </c>
      <c r="E92" s="347" t="s">
        <v>1359</v>
      </c>
      <c r="F92" s="347" t="s">
        <v>1352</v>
      </c>
      <c r="G92" s="348">
        <v>45292</v>
      </c>
      <c r="H92" s="349" t="s">
        <v>1372</v>
      </c>
      <c r="I92" s="351" t="s">
        <v>157</v>
      </c>
      <c r="J92" s="400"/>
      <c r="K92" s="341" t="s">
        <v>1357</v>
      </c>
      <c r="M92" s="426" t="s">
        <v>528</v>
      </c>
      <c r="N92" s="427" t="s">
        <v>668</v>
      </c>
      <c r="O92" s="427" t="str">
        <f>VLOOKUP(LEFT(M92,LEN(M92)-2),'Date SPV'!$B$4:$D$34,3,FALSE)</f>
        <v>Satu Mare Shopping City SRL</v>
      </c>
      <c r="P92" s="428" t="s">
        <v>1405</v>
      </c>
      <c r="Q92" s="428" t="s">
        <v>1405</v>
      </c>
      <c r="R92" s="428" t="s">
        <v>1405</v>
      </c>
      <c r="S92" s="427" t="str">
        <f>VLOOKUP(VLOOKUP(LEFT(M92,LEN(M92)-2),'Date SPV'!$B$4:$F$34,5,FALSE),'Date SPV'!$T$4:$U$11,2,FALSE)</f>
        <v>DEER Transilvania Nord</v>
      </c>
      <c r="T92" s="427" t="str">
        <f>VLOOKUP(M92,'Contorizare in SDI'!$B:$D,3,FALSE)</f>
        <v>594040400001839968</v>
      </c>
      <c r="U92" s="427" t="str">
        <f>VLOOKUP(N92,'Contorizare in SDI'!$F:$H,3,FALSE)</f>
        <v>594040400001839968/2</v>
      </c>
      <c r="V92" s="431" t="s">
        <v>1357</v>
      </c>
      <c r="W92" s="430">
        <f>HLOOKUP(VLOOKUP(LEFT(M92,LEN(M92)-2),'Date SPV'!$B$4:$F$34,5,FALSE),'Preturi si tarife'!$C$2:$J$21,18,FALSE)</f>
        <v>0.83390760000000008</v>
      </c>
      <c r="Y92" s="30" t="s">
        <v>545</v>
      </c>
      <c r="Z92" s="29" t="s">
        <v>69</v>
      </c>
      <c r="AA92" s="29" t="s">
        <v>622</v>
      </c>
      <c r="AB92" s="29" t="s">
        <v>69</v>
      </c>
      <c r="AC92" s="549">
        <v>0</v>
      </c>
      <c r="AD92" s="549">
        <v>0</v>
      </c>
      <c r="AE92" s="393">
        <f>'Inchidere contur'!D93</f>
        <v>0</v>
      </c>
    </row>
    <row r="93" spans="3:31" ht="16.5" thickBot="1">
      <c r="C93" s="347" t="s">
        <v>54</v>
      </c>
      <c r="D93" s="347" t="s">
        <v>1352</v>
      </c>
      <c r="E93" s="347" t="s">
        <v>1359</v>
      </c>
      <c r="F93" s="347" t="s">
        <v>1352</v>
      </c>
      <c r="G93" s="348">
        <v>45323</v>
      </c>
      <c r="H93" s="349" t="s">
        <v>1353</v>
      </c>
      <c r="I93" s="351" t="s">
        <v>157</v>
      </c>
      <c r="J93" s="400"/>
      <c r="K93" s="341" t="s">
        <v>1360</v>
      </c>
      <c r="M93" s="426" t="s">
        <v>528</v>
      </c>
      <c r="N93" s="427" t="s">
        <v>668</v>
      </c>
      <c r="O93" s="427" t="str">
        <f>VLOOKUP(LEFT(M93,LEN(M93)-2),'Date SPV'!$B$4:$D$34,3,FALSE)</f>
        <v>Satu Mare Shopping City SRL</v>
      </c>
      <c r="P93" s="428" t="s">
        <v>1405</v>
      </c>
      <c r="Q93" s="428" t="s">
        <v>1405</v>
      </c>
      <c r="R93" s="428" t="s">
        <v>1405</v>
      </c>
      <c r="S93" s="427" t="str">
        <f>VLOOKUP(VLOOKUP(LEFT(M93,LEN(M93)-2),'Date SPV'!$B$4:$F$34,5,FALSE),'Date SPV'!$T$4:$U$11,2,FALSE)</f>
        <v>DEER Transilvania Nord</v>
      </c>
      <c r="T93" s="427" t="str">
        <f>VLOOKUP(M93,'Contorizare in SDI'!$B:$D,3,FALSE)</f>
        <v>594040400001839968</v>
      </c>
      <c r="U93" s="427" t="str">
        <f>VLOOKUP(N93,'Contorizare in SDI'!$F:$H,3,FALSE)</f>
        <v>594040400001839968/2</v>
      </c>
      <c r="V93" s="431" t="s">
        <v>1360</v>
      </c>
      <c r="W93" s="430">
        <f>SUMIF($AB:$AB,N93,$AE:$AE)</f>
        <v>0</v>
      </c>
      <c r="Y93" s="30" t="s">
        <v>545</v>
      </c>
      <c r="Z93" s="29" t="s">
        <v>69</v>
      </c>
      <c r="AA93" s="29" t="s">
        <v>623</v>
      </c>
      <c r="AB93" s="29" t="s">
        <v>69</v>
      </c>
      <c r="AC93" s="549">
        <v>0</v>
      </c>
      <c r="AD93" s="549">
        <v>0</v>
      </c>
      <c r="AE93" s="393">
        <f>'Inchidere contur'!D94</f>
        <v>0</v>
      </c>
    </row>
    <row r="94" spans="3:31" ht="16.5" thickBot="1">
      <c r="C94" s="347" t="s">
        <v>54</v>
      </c>
      <c r="D94" s="347" t="s">
        <v>1352</v>
      </c>
      <c r="E94" s="347" t="s">
        <v>1359</v>
      </c>
      <c r="F94" s="347" t="s">
        <v>1352</v>
      </c>
      <c r="G94" s="348">
        <v>45323</v>
      </c>
      <c r="H94" s="349" t="s">
        <v>1353</v>
      </c>
      <c r="I94" s="351" t="s">
        <v>157</v>
      </c>
      <c r="J94" s="400"/>
      <c r="K94" s="341" t="s">
        <v>1357</v>
      </c>
      <c r="M94" s="426" t="s">
        <v>528</v>
      </c>
      <c r="N94" s="427" t="s">
        <v>668</v>
      </c>
      <c r="O94" s="427" t="str">
        <f>VLOOKUP(LEFT(M94,LEN(M94)-2),'Date SPV'!$B$4:$D$34,3,FALSE)</f>
        <v>Satu Mare Shopping City SRL</v>
      </c>
      <c r="P94" s="428" t="s">
        <v>1405</v>
      </c>
      <c r="Q94" s="428" t="s">
        <v>1405</v>
      </c>
      <c r="R94" s="428" t="s">
        <v>1405</v>
      </c>
      <c r="S94" s="427" t="str">
        <f>VLOOKUP(VLOOKUP(LEFT(M94,LEN(M94)-2),'Date SPV'!$B$4:$F$34,5,FALSE),'Date SPV'!$T$4:$U$11,2,FALSE)</f>
        <v>DEER Transilvania Nord</v>
      </c>
      <c r="T94" s="427" t="str">
        <f>VLOOKUP(M94,'Contorizare in SDI'!$B:$D,3,FALSE)</f>
        <v>594040400001839968</v>
      </c>
      <c r="U94" s="427" t="str">
        <f>VLOOKUP(N94,'Contorizare in SDI'!$F:$H,3,FALSE)</f>
        <v>594040400001839968/2</v>
      </c>
      <c r="V94" s="431" t="s">
        <v>1357</v>
      </c>
      <c r="W94" s="430">
        <f>HLOOKUP(VLOOKUP(LEFT(M94,LEN(M94)-2),'Date SPV'!$B$4:$F$34,5,FALSE),'Preturi si tarife'!$C$2:$J$21,3,FALSE)</f>
        <v>0.59499999999999997</v>
      </c>
      <c r="Y94" s="93" t="s">
        <v>545</v>
      </c>
      <c r="Z94" s="94" t="s">
        <v>69</v>
      </c>
      <c r="AA94" s="94" t="s">
        <v>976</v>
      </c>
      <c r="AB94" s="94" t="s">
        <v>69</v>
      </c>
      <c r="AC94" s="548">
        <v>0</v>
      </c>
      <c r="AD94" s="548">
        <v>0</v>
      </c>
      <c r="AE94" s="393">
        <f>'Inchidere contur'!D95</f>
        <v>0</v>
      </c>
    </row>
    <row r="95" spans="3:31" ht="16.5" thickBot="1">
      <c r="C95" s="342" t="s">
        <v>50</v>
      </c>
      <c r="D95" s="342" t="s">
        <v>1351</v>
      </c>
      <c r="E95" s="342" t="s">
        <v>1351</v>
      </c>
      <c r="F95" s="342" t="s">
        <v>1352</v>
      </c>
      <c r="G95" s="343">
        <v>45292</v>
      </c>
      <c r="H95" s="344" t="s">
        <v>1366</v>
      </c>
      <c r="I95" s="370" t="s">
        <v>429</v>
      </c>
      <c r="J95" s="400"/>
      <c r="K95" s="342" t="s">
        <v>1354</v>
      </c>
      <c r="M95" s="474" t="s">
        <v>521</v>
      </c>
      <c r="N95" s="475" t="s">
        <v>69</v>
      </c>
      <c r="O95" s="475" t="str">
        <f>VLOOKUP(LEFT(M95,LEN(M95)-2),'Date SPV'!$B$4:$D$34,3,FALSE)</f>
        <v>Ramnicu Valcea Shopping City SRL</v>
      </c>
      <c r="P95" s="476" t="s">
        <v>1405</v>
      </c>
      <c r="Q95" s="476" t="s">
        <v>1405</v>
      </c>
      <c r="R95" s="476" t="s">
        <v>1405</v>
      </c>
      <c r="S95" s="475" t="str">
        <f>VLOOKUP(VLOOKUP(LEFT(M95,LEN(M95)-2),'Date SPV'!$B$4:$F$34,5,FALSE),'Date SPV'!$T$4:$U$11,2,FALSE)</f>
        <v>Distributie Energie Oltenia</v>
      </c>
      <c r="T95" s="475" t="str">
        <f>VLOOKUP(M95,'Contorizare in SDI'!$B:$D,3,FALSE)</f>
        <v>59401070000220953171619201</v>
      </c>
      <c r="U95" s="475" t="s">
        <v>69</v>
      </c>
      <c r="V95" s="477" t="s">
        <v>1354</v>
      </c>
      <c r="W95" s="478">
        <f>W97+W99+W101+W103</f>
        <v>164697</v>
      </c>
      <c r="Y95" s="389" t="s">
        <v>546</v>
      </c>
      <c r="Z95" s="390" t="s">
        <v>69</v>
      </c>
      <c r="AA95" s="390" t="s">
        <v>624</v>
      </c>
      <c r="AB95" s="391" t="s">
        <v>683</v>
      </c>
      <c r="AC95" s="548">
        <v>0</v>
      </c>
      <c r="AD95" s="548">
        <v>11931</v>
      </c>
      <c r="AE95" s="393">
        <f>'Inchidere contur'!D96</f>
        <v>0</v>
      </c>
    </row>
    <row r="96" spans="3:31" ht="16.5" thickBot="1">
      <c r="C96" s="347" t="s">
        <v>50</v>
      </c>
      <c r="D96" s="347" t="s">
        <v>1351</v>
      </c>
      <c r="E96" s="347" t="s">
        <v>1351</v>
      </c>
      <c r="F96" s="347" t="s">
        <v>1352</v>
      </c>
      <c r="G96" s="348">
        <v>45292</v>
      </c>
      <c r="H96" s="349" t="s">
        <v>1366</v>
      </c>
      <c r="I96" s="351" t="s">
        <v>429</v>
      </c>
      <c r="J96" s="400"/>
      <c r="K96" s="347" t="s">
        <v>1355</v>
      </c>
      <c r="M96" s="479" t="s">
        <v>521</v>
      </c>
      <c r="N96" s="480" t="s">
        <v>69</v>
      </c>
      <c r="O96" s="480" t="str">
        <f>VLOOKUP(LEFT(M96,LEN(M96)-2),'Date SPV'!$B$4:$D$34,3,FALSE)</f>
        <v>Ramnicu Valcea Shopping City SRL</v>
      </c>
      <c r="P96" s="481" t="s">
        <v>1405</v>
      </c>
      <c r="Q96" s="481" t="s">
        <v>1405</v>
      </c>
      <c r="R96" s="481" t="s">
        <v>1405</v>
      </c>
      <c r="S96" s="480" t="str">
        <f>VLOOKUP(VLOOKUP(LEFT(M96,LEN(M96)-2),'Date SPV'!$B$4:$F$34,5,FALSE),'Date SPV'!$T$4:$U$11,2,FALSE)</f>
        <v>Distributie Energie Oltenia</v>
      </c>
      <c r="T96" s="480" t="str">
        <f>VLOOKUP(M96,'Contorizare in SDI'!$B:$D,3,FALSE)</f>
        <v>59401070000220953171619201</v>
      </c>
      <c r="U96" s="480" t="s">
        <v>69</v>
      </c>
      <c r="V96" s="482" t="s">
        <v>1355</v>
      </c>
      <c r="W96" s="483">
        <f>ROUND(W97*W98+W99*W100+W101*W102+W103*W104,2)</f>
        <v>152034.37</v>
      </c>
      <c r="Y96" s="394" t="s">
        <v>546</v>
      </c>
      <c r="Z96" s="391" t="s">
        <v>683</v>
      </c>
      <c r="AA96" s="391" t="s">
        <v>625</v>
      </c>
      <c r="AB96" s="391" t="s">
        <v>683</v>
      </c>
      <c r="AC96" s="548">
        <v>54421</v>
      </c>
      <c r="AD96" s="548">
        <v>0</v>
      </c>
      <c r="AE96" s="393">
        <f>'Inchidere contur'!D97</f>
        <v>0</v>
      </c>
    </row>
    <row r="97" spans="3:31" ht="16.5" thickBot="1">
      <c r="C97" s="347" t="s">
        <v>50</v>
      </c>
      <c r="D97" s="347" t="s">
        <v>1351</v>
      </c>
      <c r="E97" s="347" t="s">
        <v>1351</v>
      </c>
      <c r="F97" s="347" t="s">
        <v>1352</v>
      </c>
      <c r="G97" s="348">
        <v>45292</v>
      </c>
      <c r="H97" s="349" t="s">
        <v>1366</v>
      </c>
      <c r="I97" s="351" t="s">
        <v>127</v>
      </c>
      <c r="J97" s="400"/>
      <c r="K97" s="341" t="s">
        <v>1356</v>
      </c>
      <c r="M97" s="479" t="s">
        <v>521</v>
      </c>
      <c r="N97" s="480" t="s">
        <v>662</v>
      </c>
      <c r="O97" s="480" t="str">
        <f>VLOOKUP(LEFT(M97,LEN(M97)-2),'Date SPV'!$B$4:$D$34,3,FALSE)</f>
        <v>Ramnicu Valcea Shopping City SRL</v>
      </c>
      <c r="P97" s="481" t="s">
        <v>1405</v>
      </c>
      <c r="Q97" s="481" t="s">
        <v>1405</v>
      </c>
      <c r="R97" s="481" t="s">
        <v>1405</v>
      </c>
      <c r="S97" s="480" t="str">
        <f>VLOOKUP(VLOOKUP(LEFT(M97,LEN(M97)-2),'Date SPV'!$B$4:$F$34,5,FALSE),'Date SPV'!$T$4:$U$11,2,FALSE)</f>
        <v>Distributie Energie Oltenia</v>
      </c>
      <c r="T97" s="480" t="str">
        <f>VLOOKUP(M97,'Contorizare in SDI'!$B:$D,3,FALSE)</f>
        <v>59401070000220953171619201</v>
      </c>
      <c r="U97" s="480" t="str">
        <f>VLOOKUP(N97,'Contorizare in SDI'!$F:$H,3,FALSE)</f>
        <v>59401070000220953171619201/1</v>
      </c>
      <c r="V97" s="484" t="s">
        <v>1356</v>
      </c>
      <c r="W97" s="483">
        <f>SUMIF($AB:$AB,N97,$AC:$AC)</f>
        <v>52535</v>
      </c>
      <c r="Y97" s="394" t="s">
        <v>546</v>
      </c>
      <c r="Z97" s="391" t="s">
        <v>69</v>
      </c>
      <c r="AA97" s="391" t="s">
        <v>977</v>
      </c>
      <c r="AB97" s="391" t="s">
        <v>69</v>
      </c>
      <c r="AC97" s="548">
        <v>0</v>
      </c>
      <c r="AD97" s="548">
        <v>0</v>
      </c>
      <c r="AE97" s="393">
        <f>'Inchidere contur'!D98</f>
        <v>0</v>
      </c>
    </row>
    <row r="98" spans="3:31" ht="16.5" thickBot="1">
      <c r="C98" s="347" t="s">
        <v>50</v>
      </c>
      <c r="D98" s="347" t="s">
        <v>1351</v>
      </c>
      <c r="E98" s="347" t="s">
        <v>1351</v>
      </c>
      <c r="F98" s="347" t="s">
        <v>1352</v>
      </c>
      <c r="G98" s="348">
        <v>45292</v>
      </c>
      <c r="H98" s="349" t="s">
        <v>1366</v>
      </c>
      <c r="I98" s="351" t="s">
        <v>127</v>
      </c>
      <c r="J98" s="400"/>
      <c r="K98" s="341" t="s">
        <v>1357</v>
      </c>
      <c r="M98" s="479" t="s">
        <v>521</v>
      </c>
      <c r="N98" s="480" t="s">
        <v>662</v>
      </c>
      <c r="O98" s="480" t="str">
        <f>VLOOKUP(LEFT(M98,LEN(M98)-2),'Date SPV'!$B$4:$D$34,3,FALSE)</f>
        <v>Ramnicu Valcea Shopping City SRL</v>
      </c>
      <c r="P98" s="481" t="s">
        <v>1405</v>
      </c>
      <c r="Q98" s="481" t="s">
        <v>1405</v>
      </c>
      <c r="R98" s="481" t="s">
        <v>1405</v>
      </c>
      <c r="S98" s="480" t="str">
        <f>VLOOKUP(VLOOKUP(LEFT(M98,LEN(M98)-2),'Date SPV'!$B$4:$F$34,5,FALSE),'Date SPV'!$T$4:$U$11,2,FALSE)</f>
        <v>Distributie Energie Oltenia</v>
      </c>
      <c r="T98" s="480" t="str">
        <f>VLOOKUP(M98,'Contorizare in SDI'!$B:$D,3,FALSE)</f>
        <v>59401070000220953171619201</v>
      </c>
      <c r="U98" s="480" t="str">
        <f>VLOOKUP(N98,'Contorizare in SDI'!$F:$H,3,FALSE)</f>
        <v>59401070000220953171619201/1</v>
      </c>
      <c r="V98" s="484" t="s">
        <v>1357</v>
      </c>
      <c r="W98" s="483">
        <f>HLOOKUP(VLOOKUP(LEFT(M98,LEN(M98)-2),'Date SPV'!$B$4:$F$34,5,FALSE),'Preturi si tarife'!$C$2:$J$21,17,FALSE)</f>
        <v>0.97511760000000003</v>
      </c>
      <c r="Y98" s="394" t="s">
        <v>505</v>
      </c>
      <c r="Z98" s="391" t="s">
        <v>69</v>
      </c>
      <c r="AA98" s="391" t="s">
        <v>626</v>
      </c>
      <c r="AB98" s="391" t="s">
        <v>684</v>
      </c>
      <c r="AC98" s="548">
        <v>0</v>
      </c>
      <c r="AD98" s="548">
        <v>1354</v>
      </c>
      <c r="AE98" s="393">
        <f>'Inchidere contur'!D99</f>
        <v>0</v>
      </c>
    </row>
    <row r="99" spans="3:31" ht="16.5" thickBot="1">
      <c r="C99" s="347" t="s">
        <v>50</v>
      </c>
      <c r="D99" s="347" t="s">
        <v>1351</v>
      </c>
      <c r="E99" s="347" t="s">
        <v>1351</v>
      </c>
      <c r="F99" s="347" t="s">
        <v>1352</v>
      </c>
      <c r="G99" s="348">
        <v>45292</v>
      </c>
      <c r="H99" s="349" t="s">
        <v>1366</v>
      </c>
      <c r="I99" s="351" t="s">
        <v>127</v>
      </c>
      <c r="J99" s="400"/>
      <c r="K99" s="341" t="s">
        <v>1358</v>
      </c>
      <c r="M99" s="479" t="s">
        <v>521</v>
      </c>
      <c r="N99" s="480" t="s">
        <v>662</v>
      </c>
      <c r="O99" s="480" t="str">
        <f>VLOOKUP(LEFT(M99,LEN(M99)-2),'Date SPV'!$B$4:$D$34,3,FALSE)</f>
        <v>Ramnicu Valcea Shopping City SRL</v>
      </c>
      <c r="P99" s="481" t="s">
        <v>1405</v>
      </c>
      <c r="Q99" s="481" t="s">
        <v>1405</v>
      </c>
      <c r="R99" s="481" t="s">
        <v>1405</v>
      </c>
      <c r="S99" s="480" t="str">
        <f>VLOOKUP(VLOOKUP(LEFT(M99,LEN(M99)-2),'Date SPV'!$B$4:$F$34,5,FALSE),'Date SPV'!$T$4:$U$11,2,FALSE)</f>
        <v>Distributie Energie Oltenia</v>
      </c>
      <c r="T99" s="480" t="str">
        <f>VLOOKUP(M99,'Contorizare in SDI'!$B:$D,3,FALSE)</f>
        <v>59401070000220953171619201</v>
      </c>
      <c r="U99" s="480" t="str">
        <f>VLOOKUP(N99,'Contorizare in SDI'!$F:$H,3,FALSE)</f>
        <v>59401070000220953171619201/1</v>
      </c>
      <c r="V99" s="484" t="s">
        <v>1358</v>
      </c>
      <c r="W99" s="483">
        <f>SUMIF($AB:$AB,N99,$AD:$AD)</f>
        <v>35716</v>
      </c>
      <c r="Y99" s="394" t="s">
        <v>505</v>
      </c>
      <c r="Z99" s="391" t="s">
        <v>684</v>
      </c>
      <c r="AA99" s="391" t="s">
        <v>627</v>
      </c>
      <c r="AB99" s="391" t="s">
        <v>684</v>
      </c>
      <c r="AC99" s="548">
        <v>74395</v>
      </c>
      <c r="AD99" s="548">
        <v>0</v>
      </c>
      <c r="AE99" s="393">
        <f>'Inchidere contur'!D100</f>
        <v>0</v>
      </c>
    </row>
    <row r="100" spans="3:31" ht="16.5" thickBot="1">
      <c r="C100" s="347" t="s">
        <v>50</v>
      </c>
      <c r="D100" s="347" t="s">
        <v>1351</v>
      </c>
      <c r="E100" s="347" t="s">
        <v>1351</v>
      </c>
      <c r="F100" s="347" t="s">
        <v>1352</v>
      </c>
      <c r="G100" s="348">
        <v>45292</v>
      </c>
      <c r="H100" s="349" t="s">
        <v>1366</v>
      </c>
      <c r="I100" s="351" t="s">
        <v>127</v>
      </c>
      <c r="J100" s="400"/>
      <c r="K100" s="341" t="s">
        <v>1357</v>
      </c>
      <c r="M100" s="479" t="s">
        <v>521</v>
      </c>
      <c r="N100" s="480" t="s">
        <v>662</v>
      </c>
      <c r="O100" s="480" t="str">
        <f>VLOOKUP(LEFT(M100,LEN(M100)-2),'Date SPV'!$B$4:$D$34,3,FALSE)</f>
        <v>Ramnicu Valcea Shopping City SRL</v>
      </c>
      <c r="P100" s="481" t="s">
        <v>1405</v>
      </c>
      <c r="Q100" s="481" t="s">
        <v>1405</v>
      </c>
      <c r="R100" s="481" t="s">
        <v>1405</v>
      </c>
      <c r="S100" s="480" t="str">
        <f>VLOOKUP(VLOOKUP(LEFT(M100,LEN(M100)-2),'Date SPV'!$B$4:$F$34,5,FALSE),'Date SPV'!$T$4:$U$11,2,FALSE)</f>
        <v>Distributie Energie Oltenia</v>
      </c>
      <c r="T100" s="480" t="str">
        <f>VLOOKUP(M100,'Contorizare in SDI'!$B:$D,3,FALSE)</f>
        <v>59401070000220953171619201</v>
      </c>
      <c r="U100" s="480" t="str">
        <f>VLOOKUP(N100,'Contorizare in SDI'!$F:$H,3,FALSE)</f>
        <v>59401070000220953171619201/1</v>
      </c>
      <c r="V100" s="484" t="s">
        <v>1357</v>
      </c>
      <c r="W100" s="483">
        <f>HLOOKUP(VLOOKUP(LEFT(M100,LEN(M100)-2),'Date SPV'!$B$4:$F$34,5,FALSE),'Preturi si tarife'!$C$2:$J$21,18,FALSE)</f>
        <v>0.85521760000000002</v>
      </c>
      <c r="Y100" s="404" t="s">
        <v>505</v>
      </c>
      <c r="Z100" s="405" t="s">
        <v>69</v>
      </c>
      <c r="AA100" s="405" t="s">
        <v>978</v>
      </c>
      <c r="AB100" s="405" t="s">
        <v>69</v>
      </c>
      <c r="AC100" s="548">
        <v>0</v>
      </c>
      <c r="AD100" s="548">
        <v>0</v>
      </c>
      <c r="AE100" s="393">
        <f>'Inchidere contur'!D101</f>
        <v>0</v>
      </c>
    </row>
    <row r="101" spans="3:31" ht="16.5" thickBot="1">
      <c r="C101" s="347" t="s">
        <v>50</v>
      </c>
      <c r="D101" s="347" t="s">
        <v>1351</v>
      </c>
      <c r="E101" s="347" t="s">
        <v>1351</v>
      </c>
      <c r="F101" s="347" t="s">
        <v>1352</v>
      </c>
      <c r="G101" s="348">
        <v>45292</v>
      </c>
      <c r="H101" s="349" t="s">
        <v>1366</v>
      </c>
      <c r="I101" s="351" t="s">
        <v>129</v>
      </c>
      <c r="J101" s="400"/>
      <c r="K101" s="341" t="s">
        <v>1356</v>
      </c>
      <c r="M101" s="479" t="s">
        <v>521</v>
      </c>
      <c r="N101" s="480" t="s">
        <v>663</v>
      </c>
      <c r="O101" s="480" t="str">
        <f>VLOOKUP(LEFT(M101,LEN(M101)-2),'Date SPV'!$B$4:$D$34,3,FALSE)</f>
        <v>Ramnicu Valcea Shopping City SRL</v>
      </c>
      <c r="P101" s="481" t="s">
        <v>1405</v>
      </c>
      <c r="Q101" s="481" t="s">
        <v>1405</v>
      </c>
      <c r="R101" s="481" t="s">
        <v>1405</v>
      </c>
      <c r="S101" s="480" t="str">
        <f>VLOOKUP(VLOOKUP(LEFT(M101,LEN(M101)-2),'Date SPV'!$B$4:$F$34,5,FALSE),'Date SPV'!$T$4:$U$11,2,FALSE)</f>
        <v>Distributie Energie Oltenia</v>
      </c>
      <c r="T101" s="480" t="str">
        <f>VLOOKUP(M101,'Contorizare in SDI'!$B:$D,3,FALSE)</f>
        <v>59401070000220953171619201</v>
      </c>
      <c r="U101" s="480" t="str">
        <f>VLOOKUP(N101,'Contorizare in SDI'!$F:$H,3,FALSE)</f>
        <v>59401070000220953171619201/3</v>
      </c>
      <c r="V101" s="484" t="s">
        <v>1356</v>
      </c>
      <c r="W101" s="483">
        <f>SUMIF($AB:$AB,N101,$AC:$AC)</f>
        <v>40731</v>
      </c>
      <c r="Y101" s="389" t="s">
        <v>547</v>
      </c>
      <c r="Z101" s="390" t="s">
        <v>685</v>
      </c>
      <c r="AA101" s="390" t="s">
        <v>628</v>
      </c>
      <c r="AB101" s="390" t="s">
        <v>685</v>
      </c>
      <c r="AC101" s="548">
        <v>37745</v>
      </c>
      <c r="AD101" s="548">
        <v>0</v>
      </c>
      <c r="AE101" s="393">
        <f>'Inchidere contur'!D102</f>
        <v>0</v>
      </c>
    </row>
    <row r="102" spans="3:31" ht="16.5" thickBot="1">
      <c r="C102" s="347" t="s">
        <v>50</v>
      </c>
      <c r="D102" s="347" t="s">
        <v>1351</v>
      </c>
      <c r="E102" s="347" t="s">
        <v>1351</v>
      </c>
      <c r="F102" s="347" t="s">
        <v>1352</v>
      </c>
      <c r="G102" s="348">
        <v>45292</v>
      </c>
      <c r="H102" s="349" t="s">
        <v>1366</v>
      </c>
      <c r="I102" s="351" t="s">
        <v>129</v>
      </c>
      <c r="J102" s="400"/>
      <c r="K102" s="341" t="s">
        <v>1357</v>
      </c>
      <c r="M102" s="479" t="s">
        <v>521</v>
      </c>
      <c r="N102" s="480" t="s">
        <v>663</v>
      </c>
      <c r="O102" s="480" t="str">
        <f>VLOOKUP(LEFT(M102,LEN(M102)-2),'Date SPV'!$B$4:$D$34,3,FALSE)</f>
        <v>Ramnicu Valcea Shopping City SRL</v>
      </c>
      <c r="P102" s="481" t="s">
        <v>1405</v>
      </c>
      <c r="Q102" s="481" t="s">
        <v>1405</v>
      </c>
      <c r="R102" s="481" t="s">
        <v>1405</v>
      </c>
      <c r="S102" s="480" t="str">
        <f>VLOOKUP(VLOOKUP(LEFT(M102,LEN(M102)-2),'Date SPV'!$B$4:$F$34,5,FALSE),'Date SPV'!$T$4:$U$11,2,FALSE)</f>
        <v>Distributie Energie Oltenia</v>
      </c>
      <c r="T102" s="480" t="str">
        <f>VLOOKUP(M102,'Contorizare in SDI'!$B:$D,3,FALSE)</f>
        <v>59401070000220953171619201</v>
      </c>
      <c r="U102" s="480" t="str">
        <f>VLOOKUP(N102,'Contorizare in SDI'!$F:$H,3,FALSE)</f>
        <v>59401070000220953171619201/3</v>
      </c>
      <c r="V102" s="484" t="s">
        <v>1357</v>
      </c>
      <c r="W102" s="483">
        <f>HLOOKUP(VLOOKUP(LEFT(M102,LEN(M102)-2),'Date SPV'!$B$4:$F$34,5,FALSE),'Preturi si tarife'!$C$2:$J$21,17,FALSE)</f>
        <v>0.97511760000000003</v>
      </c>
      <c r="Y102" s="394" t="s">
        <v>547</v>
      </c>
      <c r="Z102" s="391" t="s">
        <v>686</v>
      </c>
      <c r="AA102" s="391" t="s">
        <v>629</v>
      </c>
      <c r="AB102" s="391" t="s">
        <v>686</v>
      </c>
      <c r="AC102" s="548">
        <v>113990</v>
      </c>
      <c r="AD102" s="548">
        <v>126303</v>
      </c>
      <c r="AE102" s="393">
        <f>'Inchidere contur'!D103</f>
        <v>0</v>
      </c>
    </row>
    <row r="103" spans="3:31" ht="16.5" thickBot="1">
      <c r="C103" s="347" t="s">
        <v>50</v>
      </c>
      <c r="D103" s="347" t="s">
        <v>1351</v>
      </c>
      <c r="E103" s="347" t="s">
        <v>1351</v>
      </c>
      <c r="F103" s="347" t="s">
        <v>1352</v>
      </c>
      <c r="G103" s="348">
        <v>45292</v>
      </c>
      <c r="H103" s="349" t="s">
        <v>1366</v>
      </c>
      <c r="I103" s="351" t="s">
        <v>129</v>
      </c>
      <c r="J103" s="400"/>
      <c r="K103" s="341" t="s">
        <v>1358</v>
      </c>
      <c r="M103" s="479" t="s">
        <v>521</v>
      </c>
      <c r="N103" s="480" t="s">
        <v>663</v>
      </c>
      <c r="O103" s="480" t="str">
        <f>VLOOKUP(LEFT(M103,LEN(M103)-2),'Date SPV'!$B$4:$D$34,3,FALSE)</f>
        <v>Ramnicu Valcea Shopping City SRL</v>
      </c>
      <c r="P103" s="481" t="s">
        <v>1405</v>
      </c>
      <c r="Q103" s="481" t="s">
        <v>1405</v>
      </c>
      <c r="R103" s="481" t="s">
        <v>1405</v>
      </c>
      <c r="S103" s="480" t="str">
        <f>VLOOKUP(VLOOKUP(LEFT(M103,LEN(M103)-2),'Date SPV'!$B$4:$F$34,5,FALSE),'Date SPV'!$T$4:$U$11,2,FALSE)</f>
        <v>Distributie Energie Oltenia</v>
      </c>
      <c r="T103" s="480" t="str">
        <f>VLOOKUP(M103,'Contorizare in SDI'!$B:$D,3,FALSE)</f>
        <v>59401070000220953171619201</v>
      </c>
      <c r="U103" s="480" t="str">
        <f>VLOOKUP(N103,'Contorizare in SDI'!$F:$H,3,FALSE)</f>
        <v>59401070000220953171619201/3</v>
      </c>
      <c r="V103" s="484" t="s">
        <v>1358</v>
      </c>
      <c r="W103" s="483">
        <f>SUMIF($AB:$AB,N103,$AD:$AD)</f>
        <v>35715</v>
      </c>
      <c r="Y103" s="394" t="s">
        <v>547</v>
      </c>
      <c r="Z103" s="391" t="s">
        <v>687</v>
      </c>
      <c r="AA103" s="391" t="s">
        <v>630</v>
      </c>
      <c r="AB103" s="391" t="s">
        <v>687</v>
      </c>
      <c r="AC103" s="548">
        <v>153347</v>
      </c>
      <c r="AD103" s="548">
        <v>0</v>
      </c>
      <c r="AE103" s="393">
        <f>'Inchidere contur'!D104</f>
        <v>0</v>
      </c>
    </row>
    <row r="104" spans="3:31" ht="16.5" thickBot="1">
      <c r="C104" s="347" t="s">
        <v>50</v>
      </c>
      <c r="D104" s="347" t="s">
        <v>1351</v>
      </c>
      <c r="E104" s="347" t="s">
        <v>1351</v>
      </c>
      <c r="F104" s="347" t="s">
        <v>1352</v>
      </c>
      <c r="G104" s="348">
        <v>45292</v>
      </c>
      <c r="H104" s="349" t="s">
        <v>1366</v>
      </c>
      <c r="I104" s="351" t="s">
        <v>129</v>
      </c>
      <c r="J104" s="400"/>
      <c r="K104" s="341" t="s">
        <v>1357</v>
      </c>
      <c r="M104" s="485" t="s">
        <v>521</v>
      </c>
      <c r="N104" s="486" t="s">
        <v>663</v>
      </c>
      <c r="O104" s="486" t="str">
        <f>VLOOKUP(LEFT(M104,LEN(M104)-2),'Date SPV'!$B$4:$D$34,3,FALSE)</f>
        <v>Ramnicu Valcea Shopping City SRL</v>
      </c>
      <c r="P104" s="487" t="s">
        <v>1405</v>
      </c>
      <c r="Q104" s="487" t="s">
        <v>1405</v>
      </c>
      <c r="R104" s="487" t="s">
        <v>1405</v>
      </c>
      <c r="S104" s="486" t="str">
        <f>VLOOKUP(VLOOKUP(LEFT(M104,LEN(M104)-2),'Date SPV'!$B$4:$F$34,5,FALSE),'Date SPV'!$T$4:$U$11,2,FALSE)</f>
        <v>Distributie Energie Oltenia</v>
      </c>
      <c r="T104" s="486" t="str">
        <f>VLOOKUP(M104,'Contorizare in SDI'!$B:$D,3,FALSE)</f>
        <v>59401070000220953171619201</v>
      </c>
      <c r="U104" s="486" t="str">
        <f>VLOOKUP(N104,'Contorizare in SDI'!$F:$H,3,FALSE)</f>
        <v>59401070000220953171619201/3</v>
      </c>
      <c r="V104" s="488" t="s">
        <v>1357</v>
      </c>
      <c r="W104" s="489">
        <f>HLOOKUP(VLOOKUP(LEFT(M104,LEN(M104)-2),'Date SPV'!$B$4:$F$34,5,FALSE),'Preturi si tarife'!$C$2:$J$21,18,FALSE)</f>
        <v>0.85521760000000002</v>
      </c>
      <c r="Y104" s="394" t="s">
        <v>547</v>
      </c>
      <c r="Z104" s="391" t="s">
        <v>69</v>
      </c>
      <c r="AA104" s="391" t="s">
        <v>979</v>
      </c>
      <c r="AB104" s="391" t="s">
        <v>69</v>
      </c>
      <c r="AC104" s="548">
        <v>0</v>
      </c>
      <c r="AD104" s="548">
        <v>0</v>
      </c>
      <c r="AE104" s="393">
        <f>'Inchidere contur'!D105</f>
        <v>0</v>
      </c>
    </row>
    <row r="105" spans="3:31" ht="16.5" thickBot="1">
      <c r="C105" s="342" t="s">
        <v>1373</v>
      </c>
      <c r="D105" s="342" t="s">
        <v>1351</v>
      </c>
      <c r="E105" s="342" t="s">
        <v>1351</v>
      </c>
      <c r="F105" s="342" t="s">
        <v>1352</v>
      </c>
      <c r="G105" s="343">
        <v>45292</v>
      </c>
      <c r="H105" s="344" t="s">
        <v>1374</v>
      </c>
      <c r="I105" s="370" t="s">
        <v>182</v>
      </c>
      <c r="J105" s="400"/>
      <c r="K105" s="342" t="s">
        <v>1354</v>
      </c>
      <c r="M105" s="474" t="s">
        <v>532</v>
      </c>
      <c r="N105" s="475" t="s">
        <v>69</v>
      </c>
      <c r="O105" s="475" t="str">
        <f>VLOOKUP(LEFT(M105,LEN(M105)-2),'Date SPV'!$B$4:$D$34,3,FALSE)</f>
        <v>Galati Shopping City SRL</v>
      </c>
      <c r="P105" s="476" t="s">
        <v>1405</v>
      </c>
      <c r="Q105" s="476" t="s">
        <v>1405</v>
      </c>
      <c r="R105" s="476" t="s">
        <v>1405</v>
      </c>
      <c r="S105" s="475" t="str">
        <f>VLOOKUP(VLOOKUP(LEFT(M105,LEN(M105)-2),'Date SPV'!$B$4:$F$34,5,FALSE),'Date SPV'!$T$4:$U$11,2,FALSE)</f>
        <v>DEER Muntenia Nord</v>
      </c>
      <c r="T105" s="475" t="str">
        <f>VLOOKUP(M105,'Contorizare in SDI'!$B:$D,3,FALSE)</f>
        <v>594030500002463001</v>
      </c>
      <c r="U105" s="475" t="s">
        <v>69</v>
      </c>
      <c r="V105" s="477" t="s">
        <v>1354</v>
      </c>
      <c r="W105" s="478">
        <f>W107+W109+W111+W113</f>
        <v>281637</v>
      </c>
      <c r="Y105" s="394" t="s">
        <v>548</v>
      </c>
      <c r="Z105" s="391" t="s">
        <v>1178</v>
      </c>
      <c r="AA105" s="391" t="s">
        <v>631</v>
      </c>
      <c r="AB105" s="391" t="s">
        <v>1178</v>
      </c>
      <c r="AC105" s="548">
        <v>44270</v>
      </c>
      <c r="AD105" s="548">
        <v>0</v>
      </c>
      <c r="AE105" s="393">
        <f>'Inchidere contur'!D106</f>
        <v>0</v>
      </c>
    </row>
    <row r="106" spans="3:31" ht="16.5" thickBot="1">
      <c r="C106" s="347" t="s">
        <v>1373</v>
      </c>
      <c r="D106" s="347" t="s">
        <v>1351</v>
      </c>
      <c r="E106" s="347" t="s">
        <v>1351</v>
      </c>
      <c r="F106" s="347" t="s">
        <v>1352</v>
      </c>
      <c r="G106" s="348">
        <v>45292</v>
      </c>
      <c r="H106" s="349" t="s">
        <v>1374</v>
      </c>
      <c r="I106" s="351" t="s">
        <v>182</v>
      </c>
      <c r="J106" s="400"/>
      <c r="K106" s="347" t="s">
        <v>1355</v>
      </c>
      <c r="M106" s="479" t="s">
        <v>532</v>
      </c>
      <c r="N106" s="480" t="s">
        <v>69</v>
      </c>
      <c r="O106" s="480" t="str">
        <f>VLOOKUP(LEFT(M106,LEN(M106)-2),'Date SPV'!$B$4:$D$34,3,FALSE)</f>
        <v>Galati Shopping City SRL</v>
      </c>
      <c r="P106" s="481" t="s">
        <v>1405</v>
      </c>
      <c r="Q106" s="481" t="s">
        <v>1405</v>
      </c>
      <c r="R106" s="481" t="s">
        <v>1405</v>
      </c>
      <c r="S106" s="480" t="str">
        <f>VLOOKUP(VLOOKUP(LEFT(M106,LEN(M106)-2),'Date SPV'!$B$4:$F$34,5,FALSE),'Date SPV'!$T$4:$U$11,2,FALSE)</f>
        <v>DEER Muntenia Nord</v>
      </c>
      <c r="T106" s="480" t="str">
        <f>VLOOKUP(M106,'Contorizare in SDI'!$B:$D,3,FALSE)</f>
        <v>594030500002463001</v>
      </c>
      <c r="U106" s="480" t="s">
        <v>69</v>
      </c>
      <c r="V106" s="482" t="s">
        <v>1355</v>
      </c>
      <c r="W106" s="483">
        <f>ROUND(W107*W108+W109*W110+W111*W112+W113*W114,2)</f>
        <v>270211.48</v>
      </c>
      <c r="Y106" s="404" t="s">
        <v>548</v>
      </c>
      <c r="Z106" s="405" t="s">
        <v>69</v>
      </c>
      <c r="AA106" s="405" t="s">
        <v>980</v>
      </c>
      <c r="AB106" s="405" t="s">
        <v>69</v>
      </c>
      <c r="AC106" s="548">
        <v>0</v>
      </c>
      <c r="AD106" s="548">
        <v>0</v>
      </c>
      <c r="AE106" s="393">
        <f>'Inchidere contur'!D107</f>
        <v>0</v>
      </c>
    </row>
    <row r="107" spans="3:31" ht="16.5" thickBot="1">
      <c r="C107" s="347" t="s">
        <v>1373</v>
      </c>
      <c r="D107" s="347" t="s">
        <v>1351</v>
      </c>
      <c r="E107" s="347" t="s">
        <v>1351</v>
      </c>
      <c r="F107" s="347" t="s">
        <v>1352</v>
      </c>
      <c r="G107" s="348">
        <v>45292</v>
      </c>
      <c r="H107" s="349" t="s">
        <v>1374</v>
      </c>
      <c r="I107" s="351" t="s">
        <v>186</v>
      </c>
      <c r="J107" s="400"/>
      <c r="K107" s="341" t="s">
        <v>1356</v>
      </c>
      <c r="M107" s="479" t="s">
        <v>532</v>
      </c>
      <c r="N107" s="480" t="s">
        <v>673</v>
      </c>
      <c r="O107" s="480" t="str">
        <f>VLOOKUP(LEFT(M107,LEN(M107)-2),'Date SPV'!$B$4:$D$34,3,FALSE)</f>
        <v>Galati Shopping City SRL</v>
      </c>
      <c r="P107" s="481" t="s">
        <v>1405</v>
      </c>
      <c r="Q107" s="481" t="s">
        <v>1405</v>
      </c>
      <c r="R107" s="481" t="s">
        <v>1405</v>
      </c>
      <c r="S107" s="480" t="str">
        <f>VLOOKUP(VLOOKUP(LEFT(M107,LEN(M107)-2),'Date SPV'!$B$4:$F$34,5,FALSE),'Date SPV'!$T$4:$U$11,2,FALSE)</f>
        <v>DEER Muntenia Nord</v>
      </c>
      <c r="T107" s="480" t="str">
        <f>VLOOKUP(M107,'Contorizare in SDI'!$B:$D,3,FALSE)</f>
        <v>594030500002463001</v>
      </c>
      <c r="U107" s="480" t="str">
        <f>VLOOKUP(N107,'Contorizare in SDI'!$F:$H,3,FALSE)</f>
        <v>594030500002463001/3</v>
      </c>
      <c r="V107" s="484" t="s">
        <v>1356</v>
      </c>
      <c r="W107" s="483">
        <f>SUMIF($AB:$AB,N107,$AC:$AC)</f>
        <v>157386</v>
      </c>
      <c r="Y107" s="389" t="s">
        <v>549</v>
      </c>
      <c r="Z107" s="390" t="s">
        <v>69</v>
      </c>
      <c r="AA107" s="390" t="s">
        <v>632</v>
      </c>
      <c r="AB107" s="391" t="s">
        <v>688</v>
      </c>
      <c r="AC107" s="548">
        <v>0</v>
      </c>
      <c r="AD107" s="548">
        <v>0</v>
      </c>
      <c r="AE107" s="393">
        <f>'Inchidere contur'!D108</f>
        <v>0</v>
      </c>
    </row>
    <row r="108" spans="3:31" ht="16.5" thickBot="1">
      <c r="C108" s="347" t="s">
        <v>1373</v>
      </c>
      <c r="D108" s="347" t="s">
        <v>1351</v>
      </c>
      <c r="E108" s="347" t="s">
        <v>1351</v>
      </c>
      <c r="F108" s="347" t="s">
        <v>1352</v>
      </c>
      <c r="G108" s="348">
        <v>45292</v>
      </c>
      <c r="H108" s="349" t="s">
        <v>1374</v>
      </c>
      <c r="I108" s="351" t="s">
        <v>186</v>
      </c>
      <c r="J108" s="400"/>
      <c r="K108" s="341" t="s">
        <v>1357</v>
      </c>
      <c r="M108" s="479" t="s">
        <v>532</v>
      </c>
      <c r="N108" s="480" t="s">
        <v>673</v>
      </c>
      <c r="O108" s="480" t="str">
        <f>VLOOKUP(LEFT(M108,LEN(M108)-2),'Date SPV'!$B$4:$D$34,3,FALSE)</f>
        <v>Galati Shopping City SRL</v>
      </c>
      <c r="P108" s="481" t="s">
        <v>1405</v>
      </c>
      <c r="Q108" s="481" t="s">
        <v>1405</v>
      </c>
      <c r="R108" s="481" t="s">
        <v>1405</v>
      </c>
      <c r="S108" s="480" t="str">
        <f>VLOOKUP(VLOOKUP(LEFT(M108,LEN(M108)-2),'Date SPV'!$B$4:$F$34,5,FALSE),'Date SPV'!$T$4:$U$11,2,FALSE)</f>
        <v>DEER Muntenia Nord</v>
      </c>
      <c r="T108" s="480" t="str">
        <f>VLOOKUP(M108,'Contorizare in SDI'!$B:$D,3,FALSE)</f>
        <v>594030500002463001</v>
      </c>
      <c r="U108" s="480" t="str">
        <f>VLOOKUP(N108,'Contorizare in SDI'!$F:$H,3,FALSE)</f>
        <v>594030500002463001/3</v>
      </c>
      <c r="V108" s="484" t="s">
        <v>1357</v>
      </c>
      <c r="W108" s="483">
        <f>HLOOKUP(VLOOKUP(LEFT(M108,LEN(M108)-2),'Date SPV'!$B$4:$F$34,5,FALSE),'Preturi si tarife'!$C$2:$J$21,17,FALSE)</f>
        <v>0.96800760000000008</v>
      </c>
      <c r="Y108" s="394" t="s">
        <v>549</v>
      </c>
      <c r="Z108" s="391" t="s">
        <v>688</v>
      </c>
      <c r="AA108" s="391" t="s">
        <v>633</v>
      </c>
      <c r="AB108" s="391" t="s">
        <v>688</v>
      </c>
      <c r="AC108" s="548">
        <v>13904</v>
      </c>
      <c r="AD108" s="548">
        <v>0</v>
      </c>
      <c r="AE108" s="393">
        <f>'Inchidere contur'!D109</f>
        <v>0</v>
      </c>
    </row>
    <row r="109" spans="3:31" ht="16.5" thickBot="1">
      <c r="C109" s="347" t="s">
        <v>1373</v>
      </c>
      <c r="D109" s="347" t="s">
        <v>1351</v>
      </c>
      <c r="E109" s="347" t="s">
        <v>1351</v>
      </c>
      <c r="F109" s="347" t="s">
        <v>1352</v>
      </c>
      <c r="G109" s="348">
        <v>45292</v>
      </c>
      <c r="H109" s="349" t="s">
        <v>1374</v>
      </c>
      <c r="I109" s="351" t="s">
        <v>184</v>
      </c>
      <c r="J109" s="400"/>
      <c r="K109" s="341" t="s">
        <v>1358</v>
      </c>
      <c r="M109" s="479" t="s">
        <v>532</v>
      </c>
      <c r="N109" s="480" t="s">
        <v>673</v>
      </c>
      <c r="O109" s="480" t="str">
        <f>VLOOKUP(LEFT(M109,LEN(M109)-2),'Date SPV'!$B$4:$D$34,3,FALSE)</f>
        <v>Galati Shopping City SRL</v>
      </c>
      <c r="P109" s="481" t="s">
        <v>1405</v>
      </c>
      <c r="Q109" s="481" t="s">
        <v>1405</v>
      </c>
      <c r="R109" s="481" t="s">
        <v>1405</v>
      </c>
      <c r="S109" s="480" t="str">
        <f>VLOOKUP(VLOOKUP(LEFT(M109,LEN(M109)-2),'Date SPV'!$B$4:$F$34,5,FALSE),'Date SPV'!$T$4:$U$11,2,FALSE)</f>
        <v>DEER Muntenia Nord</v>
      </c>
      <c r="T109" s="480" t="str">
        <f>VLOOKUP(M109,'Contorizare in SDI'!$B:$D,3,FALSE)</f>
        <v>594030500002463001</v>
      </c>
      <c r="U109" s="480" t="str">
        <f>VLOOKUP(N109,'Contorizare in SDI'!$F:$H,3,FALSE)</f>
        <v>594030500002463001/3</v>
      </c>
      <c r="V109" s="484" t="s">
        <v>1358</v>
      </c>
      <c r="W109" s="483">
        <f>SUMIF($AB:$AB,N109,$AD:$AD)</f>
        <v>11181</v>
      </c>
      <c r="Y109" s="394" t="s">
        <v>549</v>
      </c>
      <c r="Z109" s="391" t="s">
        <v>69</v>
      </c>
      <c r="AA109" s="391" t="s">
        <v>634</v>
      </c>
      <c r="AB109" s="391" t="s">
        <v>688</v>
      </c>
      <c r="AC109" s="548">
        <v>0</v>
      </c>
      <c r="AD109" s="548">
        <v>0</v>
      </c>
      <c r="AE109" s="393">
        <f>'Inchidere contur'!D110</f>
        <v>0</v>
      </c>
    </row>
    <row r="110" spans="3:31" ht="16.5" thickBot="1">
      <c r="C110" s="347" t="s">
        <v>1373</v>
      </c>
      <c r="D110" s="347" t="s">
        <v>1351</v>
      </c>
      <c r="E110" s="347" t="s">
        <v>1351</v>
      </c>
      <c r="F110" s="347" t="s">
        <v>1352</v>
      </c>
      <c r="G110" s="348">
        <v>45292</v>
      </c>
      <c r="H110" s="349" t="s">
        <v>1374</v>
      </c>
      <c r="I110" s="351" t="s">
        <v>184</v>
      </c>
      <c r="J110" s="400"/>
      <c r="K110" s="341" t="s">
        <v>1357</v>
      </c>
      <c r="M110" s="479" t="s">
        <v>532</v>
      </c>
      <c r="N110" s="480" t="s">
        <v>673</v>
      </c>
      <c r="O110" s="480" t="str">
        <f>VLOOKUP(LEFT(M110,LEN(M110)-2),'Date SPV'!$B$4:$D$34,3,FALSE)</f>
        <v>Galati Shopping City SRL</v>
      </c>
      <c r="P110" s="481" t="s">
        <v>1405</v>
      </c>
      <c r="Q110" s="481" t="s">
        <v>1405</v>
      </c>
      <c r="R110" s="481" t="s">
        <v>1405</v>
      </c>
      <c r="S110" s="480" t="str">
        <f>VLOOKUP(VLOOKUP(LEFT(M110,LEN(M110)-2),'Date SPV'!$B$4:$F$34,5,FALSE),'Date SPV'!$T$4:$U$11,2,FALSE)</f>
        <v>DEER Muntenia Nord</v>
      </c>
      <c r="T110" s="480" t="str">
        <f>VLOOKUP(M110,'Contorizare in SDI'!$B:$D,3,FALSE)</f>
        <v>594030500002463001</v>
      </c>
      <c r="U110" s="480" t="str">
        <f>VLOOKUP(N110,'Contorizare in SDI'!$F:$H,3,FALSE)</f>
        <v>594030500002463001/3</v>
      </c>
      <c r="V110" s="484" t="s">
        <v>1357</v>
      </c>
      <c r="W110" s="483">
        <f>HLOOKUP(VLOOKUP(LEFT(M110,LEN(M110)-2),'Date SPV'!$B$4:$F$34,5,FALSE),'Preturi si tarife'!$C$2:$J$21,18,FALSE)</f>
        <v>0.83390760000000008</v>
      </c>
      <c r="Y110" s="394" t="s">
        <v>549</v>
      </c>
      <c r="Z110" s="391" t="s">
        <v>69</v>
      </c>
      <c r="AA110" s="391" t="s">
        <v>635</v>
      </c>
      <c r="AB110" s="391" t="s">
        <v>688</v>
      </c>
      <c r="AC110" s="548">
        <v>0</v>
      </c>
      <c r="AD110" s="548">
        <v>0</v>
      </c>
      <c r="AE110" s="393">
        <f>'Inchidere contur'!D111</f>
        <v>0</v>
      </c>
    </row>
    <row r="111" spans="3:31" ht="16.5" thickBot="1">
      <c r="C111" s="347" t="s">
        <v>1373</v>
      </c>
      <c r="D111" s="347" t="s">
        <v>1351</v>
      </c>
      <c r="E111" s="347" t="s">
        <v>1351</v>
      </c>
      <c r="F111" s="347" t="s">
        <v>1352</v>
      </c>
      <c r="G111" s="348">
        <v>45292</v>
      </c>
      <c r="H111" s="349" t="s">
        <v>1374</v>
      </c>
      <c r="I111" s="351" t="s">
        <v>191</v>
      </c>
      <c r="J111" s="400"/>
      <c r="K111" s="341" t="s">
        <v>1356</v>
      </c>
      <c r="M111" s="479" t="s">
        <v>504</v>
      </c>
      <c r="N111" s="480" t="s">
        <v>674</v>
      </c>
      <c r="O111" s="480" t="str">
        <f>VLOOKUP(LEFT(M111,LEN(M111)-2),'Date SPV'!$B$4:$D$34,3,FALSE)</f>
        <v>Galati Shopping City SRL</v>
      </c>
      <c r="P111" s="481" t="s">
        <v>1405</v>
      </c>
      <c r="Q111" s="481" t="s">
        <v>1405</v>
      </c>
      <c r="R111" s="481" t="s">
        <v>1405</v>
      </c>
      <c r="S111" s="480" t="str">
        <f>VLOOKUP(VLOOKUP(LEFT(M111,LEN(M111)-2),'Date SPV'!$B$4:$F$34,5,FALSE),'Date SPV'!$T$4:$U$11,2,FALSE)</f>
        <v>DEER Muntenia Nord</v>
      </c>
      <c r="T111" s="480" t="str">
        <f>VLOOKUP(M111,'Contorizare in SDI'!$B:$D,3,FALSE)</f>
        <v>594030500002463001</v>
      </c>
      <c r="U111" s="480" t="str">
        <f>VLOOKUP(N111,'Contorizare in SDI'!$F:$H,3,FALSE)</f>
        <v>594030500002463001/4</v>
      </c>
      <c r="V111" s="484" t="s">
        <v>1356</v>
      </c>
      <c r="W111" s="483">
        <f>SUMIF($AB:$AB,N111,$AC:$AC)</f>
        <v>106240</v>
      </c>
      <c r="Y111" s="394" t="s">
        <v>549</v>
      </c>
      <c r="Z111" s="391" t="s">
        <v>69</v>
      </c>
      <c r="AA111" s="391" t="s">
        <v>636</v>
      </c>
      <c r="AB111" s="391" t="s">
        <v>688</v>
      </c>
      <c r="AC111" s="549">
        <v>0</v>
      </c>
      <c r="AD111" s="549">
        <v>0</v>
      </c>
      <c r="AE111" s="393">
        <f>'Inchidere contur'!D112</f>
        <v>0</v>
      </c>
    </row>
    <row r="112" spans="3:31" ht="16.5" thickBot="1">
      <c r="C112" s="347" t="s">
        <v>1373</v>
      </c>
      <c r="D112" s="347" t="s">
        <v>1351</v>
      </c>
      <c r="E112" s="347" t="s">
        <v>1351</v>
      </c>
      <c r="F112" s="347" t="s">
        <v>1352</v>
      </c>
      <c r="G112" s="348">
        <v>45292</v>
      </c>
      <c r="H112" s="349" t="s">
        <v>1374</v>
      </c>
      <c r="I112" s="351" t="s">
        <v>191</v>
      </c>
      <c r="J112" s="400"/>
      <c r="K112" s="341" t="s">
        <v>1357</v>
      </c>
      <c r="M112" s="479" t="s">
        <v>504</v>
      </c>
      <c r="N112" s="480" t="s">
        <v>674</v>
      </c>
      <c r="O112" s="480" t="str">
        <f>VLOOKUP(LEFT(M112,LEN(M112)-2),'Date SPV'!$B$4:$D$34,3,FALSE)</f>
        <v>Galati Shopping City SRL</v>
      </c>
      <c r="P112" s="481" t="s">
        <v>1405</v>
      </c>
      <c r="Q112" s="481" t="s">
        <v>1405</v>
      </c>
      <c r="R112" s="481" t="s">
        <v>1405</v>
      </c>
      <c r="S112" s="480" t="str">
        <f>VLOOKUP(VLOOKUP(LEFT(M112,LEN(M112)-2),'Date SPV'!$B$4:$F$34,5,FALSE),'Date SPV'!$T$4:$U$11,2,FALSE)</f>
        <v>DEER Muntenia Nord</v>
      </c>
      <c r="T112" s="480" t="str">
        <f>VLOOKUP(M112,'Contorizare in SDI'!$B:$D,3,FALSE)</f>
        <v>594030500002463001</v>
      </c>
      <c r="U112" s="480" t="str">
        <f>VLOOKUP(N112,'Contorizare in SDI'!$F:$H,3,FALSE)</f>
        <v>594030500002463001/4</v>
      </c>
      <c r="V112" s="484" t="s">
        <v>1357</v>
      </c>
      <c r="W112" s="483">
        <f>HLOOKUP(VLOOKUP(LEFT(M112,LEN(M112)-2),'Date SPV'!$B$4:$F$34,5,FALSE),'Preturi si tarife'!$C$2:$J$21,17,FALSE)</f>
        <v>0.96800760000000008</v>
      </c>
      <c r="Y112" s="30" t="s">
        <v>549</v>
      </c>
      <c r="Z112" s="29" t="s">
        <v>69</v>
      </c>
      <c r="AA112" s="29" t="s">
        <v>981</v>
      </c>
      <c r="AB112" s="29" t="s">
        <v>69</v>
      </c>
      <c r="AC112" s="549">
        <v>0</v>
      </c>
      <c r="AD112" s="549">
        <v>0</v>
      </c>
      <c r="AE112" s="393">
        <f>'Inchidere contur'!D113</f>
        <v>0</v>
      </c>
    </row>
    <row r="113" spans="3:31" ht="16.5" thickBot="1">
      <c r="C113" s="347" t="s">
        <v>1373</v>
      </c>
      <c r="D113" s="347" t="s">
        <v>1351</v>
      </c>
      <c r="E113" s="347" t="s">
        <v>1351</v>
      </c>
      <c r="F113" s="347" t="s">
        <v>1352</v>
      </c>
      <c r="G113" s="348">
        <v>45292</v>
      </c>
      <c r="H113" s="349" t="s">
        <v>1374</v>
      </c>
      <c r="I113" s="351" t="s">
        <v>189</v>
      </c>
      <c r="J113" s="400"/>
      <c r="K113" s="341" t="s">
        <v>1358</v>
      </c>
      <c r="M113" s="479" t="s">
        <v>504</v>
      </c>
      <c r="N113" s="480" t="s">
        <v>674</v>
      </c>
      <c r="O113" s="480" t="str">
        <f>VLOOKUP(LEFT(M113,LEN(M113)-2),'Date SPV'!$B$4:$D$34,3,FALSE)</f>
        <v>Galati Shopping City SRL</v>
      </c>
      <c r="P113" s="481" t="s">
        <v>1405</v>
      </c>
      <c r="Q113" s="481" t="s">
        <v>1405</v>
      </c>
      <c r="R113" s="481" t="s">
        <v>1405</v>
      </c>
      <c r="S113" s="480" t="str">
        <f>VLOOKUP(VLOOKUP(LEFT(M113,LEN(M113)-2),'Date SPV'!$B$4:$F$34,5,FALSE),'Date SPV'!$T$4:$U$11,2,FALSE)</f>
        <v>DEER Muntenia Nord</v>
      </c>
      <c r="T113" s="480" t="str">
        <f>VLOOKUP(M113,'Contorizare in SDI'!$B:$D,3,FALSE)</f>
        <v>594030500002463001</v>
      </c>
      <c r="U113" s="480" t="str">
        <f>VLOOKUP(N113,'Contorizare in SDI'!$F:$H,3,FALSE)</f>
        <v>594030500002463001/4</v>
      </c>
      <c r="V113" s="484" t="s">
        <v>1358</v>
      </c>
      <c r="W113" s="483">
        <f>SUMIF($AB:$AB,N113,$AD:$AD)</f>
        <v>6830</v>
      </c>
      <c r="Y113" s="30" t="s">
        <v>550</v>
      </c>
      <c r="Z113" s="29" t="s">
        <v>69</v>
      </c>
      <c r="AA113" s="29" t="s">
        <v>637</v>
      </c>
      <c r="AB113" s="29" t="s">
        <v>69</v>
      </c>
      <c r="AC113" s="549">
        <v>0</v>
      </c>
      <c r="AD113" s="549">
        <v>0</v>
      </c>
      <c r="AE113" s="393">
        <f>'Inchidere contur'!D114</f>
        <v>0</v>
      </c>
    </row>
    <row r="114" spans="3:31" ht="16.5" thickBot="1">
      <c r="C114" s="347" t="s">
        <v>1373</v>
      </c>
      <c r="D114" s="347" t="s">
        <v>1351</v>
      </c>
      <c r="E114" s="347" t="s">
        <v>1351</v>
      </c>
      <c r="F114" s="347" t="s">
        <v>1352</v>
      </c>
      <c r="G114" s="348">
        <v>45292</v>
      </c>
      <c r="H114" s="349" t="s">
        <v>1374</v>
      </c>
      <c r="I114" s="351" t="s">
        <v>189</v>
      </c>
      <c r="J114" s="400"/>
      <c r="K114" s="341" t="s">
        <v>1357</v>
      </c>
      <c r="M114" s="485" t="s">
        <v>504</v>
      </c>
      <c r="N114" s="486" t="s">
        <v>674</v>
      </c>
      <c r="O114" s="486" t="str">
        <f>VLOOKUP(LEFT(M114,LEN(M114)-2),'Date SPV'!$B$4:$D$34,3,FALSE)</f>
        <v>Galati Shopping City SRL</v>
      </c>
      <c r="P114" s="487" t="s">
        <v>1405</v>
      </c>
      <c r="Q114" s="487" t="s">
        <v>1405</v>
      </c>
      <c r="R114" s="487" t="s">
        <v>1405</v>
      </c>
      <c r="S114" s="486" t="str">
        <f>VLOOKUP(VLOOKUP(LEFT(M114,LEN(M114)-2),'Date SPV'!$B$4:$F$34,5,FALSE),'Date SPV'!$T$4:$U$11,2,FALSE)</f>
        <v>DEER Muntenia Nord</v>
      </c>
      <c r="T114" s="486" t="str">
        <f>VLOOKUP(M114,'Contorizare in SDI'!$B:$D,3,FALSE)</f>
        <v>594030500002463001</v>
      </c>
      <c r="U114" s="486" t="str">
        <f>VLOOKUP(N114,'Contorizare in SDI'!$F:$H,3,FALSE)</f>
        <v>594030500002463001/4</v>
      </c>
      <c r="V114" s="488" t="s">
        <v>1357</v>
      </c>
      <c r="W114" s="489">
        <f>HLOOKUP(VLOOKUP(LEFT(M114,LEN(M114)-2),'Date SPV'!$B$4:$F$34,5,FALSE),'Preturi si tarife'!$C$2:$J$21,18,FALSE)</f>
        <v>0.83390760000000008</v>
      </c>
      <c r="Y114" s="30" t="s">
        <v>550</v>
      </c>
      <c r="Z114" s="29" t="s">
        <v>69</v>
      </c>
      <c r="AA114" s="29" t="s">
        <v>638</v>
      </c>
      <c r="AB114" s="29" t="s">
        <v>69</v>
      </c>
      <c r="AC114" s="549">
        <v>0</v>
      </c>
      <c r="AD114" s="549">
        <v>0</v>
      </c>
      <c r="AE114" s="393">
        <f>'Inchidere contur'!D115</f>
        <v>0</v>
      </c>
    </row>
    <row r="115" spans="3:31" ht="16.5" thickBot="1">
      <c r="C115" s="360" t="s">
        <v>1375</v>
      </c>
      <c r="D115" s="342" t="s">
        <v>1351</v>
      </c>
      <c r="E115" s="342" t="s">
        <v>1351</v>
      </c>
      <c r="F115" s="342" t="s">
        <v>1351</v>
      </c>
      <c r="G115" s="342"/>
      <c r="H115" s="344" t="s">
        <v>1376</v>
      </c>
      <c r="I115" s="370" t="s">
        <v>1146</v>
      </c>
      <c r="J115" s="400"/>
      <c r="K115" s="342" t="s">
        <v>1354</v>
      </c>
      <c r="M115" s="437" t="s">
        <v>1265</v>
      </c>
      <c r="N115" s="438" t="s">
        <v>1290</v>
      </c>
      <c r="O115" s="438" t="str">
        <f>_xlfn.CONCAT(VLOOKUP(M115,'Date SPV'!$B$4:$D$34,3,FALSE)," (",RIGHT(M115,LEN(M115)-FIND("_",M115,1))," )")</f>
        <v>Nepi Ten Development Solutions  SRL (Vaslui )</v>
      </c>
      <c r="P115" s="439" t="s">
        <v>1405</v>
      </c>
      <c r="Q115" s="439" t="s">
        <v>1405</v>
      </c>
      <c r="R115" s="439" t="s">
        <v>1405</v>
      </c>
      <c r="S115" s="438" t="str">
        <f>VLOOKUP(VLOOKUP(M115,'Date SPV'!$B$4:$F$34,5,FALSE),'Date SPV'!$T$4:$U$11,2,FALSE)</f>
        <v>Delgaz Grid</v>
      </c>
      <c r="T115" s="438" t="str">
        <f>VLOOKUP(M115,'Contorizare in SDI'!$B:$D,3,FALSE)</f>
        <v>EMO3446385</v>
      </c>
      <c r="U115" s="438" t="str">
        <f>VLOOKUP(N115,'Contorizare in SDI'!$F:$H,3,FALSE)</f>
        <v>EMO3446385/1</v>
      </c>
      <c r="V115" s="440" t="s">
        <v>1354</v>
      </c>
      <c r="W115" s="441">
        <f>W117+W119</f>
        <v>16408</v>
      </c>
      <c r="Y115" s="30" t="s">
        <v>550</v>
      </c>
      <c r="Z115" s="29" t="s">
        <v>69</v>
      </c>
      <c r="AA115" s="29" t="s">
        <v>639</v>
      </c>
      <c r="AB115" s="29" t="s">
        <v>69</v>
      </c>
      <c r="AC115" s="549">
        <v>0</v>
      </c>
      <c r="AD115" s="549">
        <v>0</v>
      </c>
      <c r="AE115" s="393">
        <f>'Inchidere contur'!D116</f>
        <v>0</v>
      </c>
    </row>
    <row r="116" spans="3:31" ht="16.5" thickBot="1">
      <c r="C116" s="361" t="s">
        <v>1375</v>
      </c>
      <c r="D116" s="347" t="s">
        <v>1351</v>
      </c>
      <c r="E116" s="347" t="s">
        <v>1351</v>
      </c>
      <c r="F116" s="347" t="s">
        <v>1351</v>
      </c>
      <c r="G116" s="347"/>
      <c r="H116" s="349" t="s">
        <v>1376</v>
      </c>
      <c r="I116" s="351" t="s">
        <v>1146</v>
      </c>
      <c r="J116" s="400"/>
      <c r="K116" s="347" t="s">
        <v>1355</v>
      </c>
      <c r="M116" s="442" t="s">
        <v>1265</v>
      </c>
      <c r="N116" s="443" t="s">
        <v>1290</v>
      </c>
      <c r="O116" s="443" t="str">
        <f>_xlfn.CONCAT(VLOOKUP(M116,'Date SPV'!$B$4:$D$34,3,FALSE)," (",RIGHT(M116,LEN(M116)-FIND("_",M116,1))," )")</f>
        <v>Nepi Ten Development Solutions  SRL (Vaslui )</v>
      </c>
      <c r="P116" s="444" t="s">
        <v>1405</v>
      </c>
      <c r="Q116" s="444" t="s">
        <v>1405</v>
      </c>
      <c r="R116" s="444" t="s">
        <v>1405</v>
      </c>
      <c r="S116" s="443" t="str">
        <f>VLOOKUP(VLOOKUP(M116,'Date SPV'!$B$4:$F$34,5,FALSE),'Date SPV'!$T$4:$U$11,2,FALSE)</f>
        <v>Delgaz Grid</v>
      </c>
      <c r="T116" s="443" t="str">
        <f>VLOOKUP(M116,'Contorizare in SDI'!$B:$D,3,FALSE)</f>
        <v>EMO3446385</v>
      </c>
      <c r="U116" s="443" t="str">
        <f>VLOOKUP(N116,'Contorizare in SDI'!$F:$H,3,FALSE)</f>
        <v>EMO3446385/1</v>
      </c>
      <c r="V116" s="445" t="s">
        <v>1355</v>
      </c>
      <c r="W116" s="446">
        <f>ROUND(W117*W118+W119*W120,2)</f>
        <v>14809.24</v>
      </c>
      <c r="Y116" s="30" t="s">
        <v>550</v>
      </c>
      <c r="Z116" s="29" t="s">
        <v>69</v>
      </c>
      <c r="AA116" s="29" t="s">
        <v>640</v>
      </c>
      <c r="AB116" s="29" t="s">
        <v>69</v>
      </c>
      <c r="AC116" s="549">
        <v>0</v>
      </c>
      <c r="AD116" s="549">
        <v>0</v>
      </c>
      <c r="AE116" s="393">
        <f>'Inchidere contur'!D117</f>
        <v>0</v>
      </c>
    </row>
    <row r="117" spans="3:31" ht="16.5" thickBot="1">
      <c r="C117" s="361" t="s">
        <v>1375</v>
      </c>
      <c r="D117" s="347" t="s">
        <v>1351</v>
      </c>
      <c r="E117" s="347" t="s">
        <v>1351</v>
      </c>
      <c r="F117" s="347" t="s">
        <v>1351</v>
      </c>
      <c r="G117" s="347"/>
      <c r="H117" s="349" t="s">
        <v>1376</v>
      </c>
      <c r="I117" s="351" t="s">
        <v>1146</v>
      </c>
      <c r="J117" s="400"/>
      <c r="K117" s="341" t="s">
        <v>1362</v>
      </c>
      <c r="M117" s="442" t="s">
        <v>1265</v>
      </c>
      <c r="N117" s="443" t="s">
        <v>1290</v>
      </c>
      <c r="O117" s="443" t="str">
        <f>_xlfn.CONCAT(VLOOKUP(M117,'Date SPV'!$B$4:$D$34,3,FALSE)," (",RIGHT(M117,LEN(M117)-FIND("_",M117,1))," )")</f>
        <v>Nepi Ten Development Solutions  SRL (Vaslui )</v>
      </c>
      <c r="P117" s="444" t="s">
        <v>1405</v>
      </c>
      <c r="Q117" s="444" t="s">
        <v>1405</v>
      </c>
      <c r="R117" s="444" t="s">
        <v>1405</v>
      </c>
      <c r="S117" s="443" t="str">
        <f>VLOOKUP(VLOOKUP(M117,'Date SPV'!$B$4:$F$34,5,FALSE),'Date SPV'!$T$4:$U$11,2,FALSE)</f>
        <v>Delgaz Grid</v>
      </c>
      <c r="T117" s="443" t="str">
        <f>VLOOKUP(M117,'Contorizare in SDI'!$B:$D,3,FALSE)</f>
        <v>EMO3446385</v>
      </c>
      <c r="U117" s="443" t="str">
        <f>VLOOKUP(N117,'Contorizare in SDI'!$F:$H,3,FALSE)</f>
        <v>EMO3446385/1</v>
      </c>
      <c r="V117" s="447" t="s">
        <v>1356</v>
      </c>
      <c r="W117" s="446">
        <f>SUMIF($AB:$AB,N117,$AC:$AC)</f>
        <v>9902</v>
      </c>
      <c r="Y117" s="30" t="s">
        <v>550</v>
      </c>
      <c r="Z117" s="29" t="s">
        <v>69</v>
      </c>
      <c r="AA117" s="29" t="s">
        <v>982</v>
      </c>
      <c r="AB117" s="29" t="s">
        <v>69</v>
      </c>
      <c r="AC117" s="549">
        <v>0</v>
      </c>
      <c r="AD117" s="549">
        <v>0</v>
      </c>
      <c r="AE117" s="393">
        <f>'Inchidere contur'!D118</f>
        <v>0</v>
      </c>
    </row>
    <row r="118" spans="3:31" ht="16.5" thickBot="1">
      <c r="C118" s="361" t="s">
        <v>1375</v>
      </c>
      <c r="D118" s="347" t="s">
        <v>1351</v>
      </c>
      <c r="E118" s="347" t="s">
        <v>1351</v>
      </c>
      <c r="F118" s="347" t="s">
        <v>1351</v>
      </c>
      <c r="G118" s="347"/>
      <c r="H118" s="349" t="s">
        <v>1376</v>
      </c>
      <c r="I118" s="351" t="s">
        <v>1146</v>
      </c>
      <c r="J118" s="400"/>
      <c r="K118" s="341" t="s">
        <v>1357</v>
      </c>
      <c r="M118" s="442" t="s">
        <v>1265</v>
      </c>
      <c r="N118" s="443" t="s">
        <v>1290</v>
      </c>
      <c r="O118" s="443" t="str">
        <f>_xlfn.CONCAT(VLOOKUP(M118,'Date SPV'!$B$4:$D$34,3,FALSE)," (",RIGHT(M118,LEN(M118)-FIND("_",M118,1))," )")</f>
        <v>Nepi Ten Development Solutions  SRL (Vaslui )</v>
      </c>
      <c r="P118" s="444" t="s">
        <v>1405</v>
      </c>
      <c r="Q118" s="444" t="s">
        <v>1405</v>
      </c>
      <c r="R118" s="444" t="s">
        <v>1405</v>
      </c>
      <c r="S118" s="443" t="str">
        <f>VLOOKUP(VLOOKUP(M118,'Date SPV'!$B$4:$F$34,5,FALSE),'Date SPV'!$T$4:$U$11,2,FALSE)</f>
        <v>Delgaz Grid</v>
      </c>
      <c r="T118" s="443" t="str">
        <f>VLOOKUP(M118,'Contorizare in SDI'!$B:$D,3,FALSE)</f>
        <v>EMO3446385</v>
      </c>
      <c r="U118" s="443" t="str">
        <f>VLOOKUP(N118,'Contorizare in SDI'!$F:$H,3,FALSE)</f>
        <v>EMO3446385/1</v>
      </c>
      <c r="V118" s="447" t="s">
        <v>1357</v>
      </c>
      <c r="W118" s="446">
        <f>HLOOKUP(VLOOKUP(M118,'Date SPV'!$B$4:$F$34,5,FALSE),'Preturi si tarife'!$C$2:$J$21,17,FALSE)</f>
        <v>0.9485576</v>
      </c>
      <c r="Y118" s="30" t="s">
        <v>551</v>
      </c>
      <c r="Z118" s="29" t="s">
        <v>69</v>
      </c>
      <c r="AA118" s="29" t="s">
        <v>641</v>
      </c>
      <c r="AB118" s="29" t="s">
        <v>69</v>
      </c>
      <c r="AC118" s="549">
        <v>0</v>
      </c>
      <c r="AD118" s="549">
        <v>0</v>
      </c>
      <c r="AE118" s="393">
        <f>'Inchidere contur'!D119</f>
        <v>0</v>
      </c>
    </row>
    <row r="119" spans="3:31" ht="16.5" thickBot="1">
      <c r="C119" s="361" t="s">
        <v>1375</v>
      </c>
      <c r="D119" s="347" t="s">
        <v>1351</v>
      </c>
      <c r="E119" s="347" t="s">
        <v>1351</v>
      </c>
      <c r="F119" s="347" t="s">
        <v>1351</v>
      </c>
      <c r="G119" s="347"/>
      <c r="H119" s="349" t="s">
        <v>1376</v>
      </c>
      <c r="I119" s="351" t="s">
        <v>1146</v>
      </c>
      <c r="J119" s="400"/>
      <c r="K119" s="341" t="s">
        <v>1358</v>
      </c>
      <c r="M119" s="442" t="s">
        <v>1265</v>
      </c>
      <c r="N119" s="443" t="s">
        <v>1290</v>
      </c>
      <c r="O119" s="443" t="str">
        <f>_xlfn.CONCAT(VLOOKUP(M119,'Date SPV'!$B$4:$D$34,3,FALSE)," (",RIGHT(M119,LEN(M119)-FIND("_",M119,1))," )")</f>
        <v>Nepi Ten Development Solutions  SRL (Vaslui )</v>
      </c>
      <c r="P119" s="444" t="s">
        <v>1405</v>
      </c>
      <c r="Q119" s="444" t="s">
        <v>1405</v>
      </c>
      <c r="R119" s="444" t="s">
        <v>1405</v>
      </c>
      <c r="S119" s="443" t="str">
        <f>VLOOKUP(VLOOKUP(M119,'Date SPV'!$B$4:$F$34,5,FALSE),'Date SPV'!$T$4:$U$11,2,FALSE)</f>
        <v>Delgaz Grid</v>
      </c>
      <c r="T119" s="443" t="str">
        <f>VLOOKUP(M119,'Contorizare in SDI'!$B:$D,3,FALSE)</f>
        <v>EMO3446385</v>
      </c>
      <c r="U119" s="443" t="str">
        <f>VLOOKUP(N119,'Contorizare in SDI'!$F:$H,3,FALSE)</f>
        <v>EMO3446385/1</v>
      </c>
      <c r="V119" s="447" t="s">
        <v>1358</v>
      </c>
      <c r="W119" s="446">
        <f>SUMIF($AB:$AB,N119,$AD:$AD)</f>
        <v>6506</v>
      </c>
      <c r="Y119" s="30" t="s">
        <v>551</v>
      </c>
      <c r="Z119" s="29" t="s">
        <v>69</v>
      </c>
      <c r="AA119" s="29" t="s">
        <v>642</v>
      </c>
      <c r="AB119" s="29" t="s">
        <v>69</v>
      </c>
      <c r="AC119" s="549">
        <v>0</v>
      </c>
      <c r="AD119" s="549">
        <v>0</v>
      </c>
      <c r="AE119" s="393">
        <f>'Inchidere contur'!D120</f>
        <v>0</v>
      </c>
    </row>
    <row r="120" spans="3:31" ht="16.5" thickBot="1">
      <c r="C120" s="361" t="s">
        <v>1375</v>
      </c>
      <c r="D120" s="347" t="s">
        <v>1351</v>
      </c>
      <c r="E120" s="347" t="s">
        <v>1351</v>
      </c>
      <c r="F120" s="347" t="s">
        <v>1351</v>
      </c>
      <c r="G120" s="347"/>
      <c r="H120" s="349" t="s">
        <v>1376</v>
      </c>
      <c r="I120" s="351" t="s">
        <v>1146</v>
      </c>
      <c r="J120" s="400"/>
      <c r="K120" s="341" t="s">
        <v>1357</v>
      </c>
      <c r="M120" s="448" t="s">
        <v>1265</v>
      </c>
      <c r="N120" s="449" t="s">
        <v>1290</v>
      </c>
      <c r="O120" s="449" t="str">
        <f>_xlfn.CONCAT(VLOOKUP(M120,'Date SPV'!$B$4:$D$34,3,FALSE)," (",RIGHT(M120,LEN(M120)-FIND("_",M120,1))," )")</f>
        <v>Nepi Ten Development Solutions  SRL (Vaslui )</v>
      </c>
      <c r="P120" s="450" t="s">
        <v>1405</v>
      </c>
      <c r="Q120" s="450" t="s">
        <v>1405</v>
      </c>
      <c r="R120" s="450" t="s">
        <v>1405</v>
      </c>
      <c r="S120" s="449" t="str">
        <f>VLOOKUP(VLOOKUP(M120,'Date SPV'!$B$4:$F$34,5,FALSE),'Date SPV'!$T$4:$U$11,2,FALSE)</f>
        <v>Delgaz Grid</v>
      </c>
      <c r="T120" s="449" t="str">
        <f>VLOOKUP(M120,'Contorizare in SDI'!$B:$D,3,FALSE)</f>
        <v>EMO3446385</v>
      </c>
      <c r="U120" s="449" t="str">
        <f>VLOOKUP(N120,'Contorizare in SDI'!$F:$H,3,FALSE)</f>
        <v>EMO3446385/1</v>
      </c>
      <c r="V120" s="451" t="s">
        <v>1357</v>
      </c>
      <c r="W120" s="452">
        <f>HLOOKUP(VLOOKUP(M120,'Date SPV'!$B$4:$F$34,5,FALSE),'Preturi si tarife'!$C$2:$J$21,18,FALSE)</f>
        <v>0.83255760000000001</v>
      </c>
      <c r="Y120" s="30" t="s">
        <v>551</v>
      </c>
      <c r="Z120" s="29" t="s">
        <v>69</v>
      </c>
      <c r="AA120" s="29" t="s">
        <v>643</v>
      </c>
      <c r="AB120" s="29" t="s">
        <v>69</v>
      </c>
      <c r="AC120" s="549">
        <v>0</v>
      </c>
      <c r="AD120" s="549">
        <v>0</v>
      </c>
      <c r="AE120" s="393">
        <f>'Inchidere contur'!D121</f>
        <v>0</v>
      </c>
    </row>
    <row r="121" spans="3:31" ht="16.5" thickBot="1">
      <c r="C121" s="344" t="s">
        <v>1377</v>
      </c>
      <c r="D121" s="342" t="s">
        <v>1351</v>
      </c>
      <c r="E121" s="342" t="s">
        <v>1351</v>
      </c>
      <c r="F121" s="342" t="s">
        <v>1352</v>
      </c>
      <c r="G121" s="343">
        <v>45323</v>
      </c>
      <c r="H121" s="344" t="s">
        <v>1378</v>
      </c>
      <c r="I121" s="368" t="s">
        <v>267</v>
      </c>
      <c r="J121" s="399"/>
      <c r="K121" s="342" t="s">
        <v>1354</v>
      </c>
      <c r="M121" s="421" t="s">
        <v>544</v>
      </c>
      <c r="N121" s="422" t="s">
        <v>682</v>
      </c>
      <c r="O121" s="422" t="str">
        <f>VLOOKUP(LEFT(M121,LEN(M121)-2),'Date SPV'!$B$4:$D$34,3,FALSE)</f>
        <v>Constanta Shopping City SRL</v>
      </c>
      <c r="P121" s="423" t="s">
        <v>1405</v>
      </c>
      <c r="Q121" s="423" t="s">
        <v>1405</v>
      </c>
      <c r="R121" s="423" t="s">
        <v>1405</v>
      </c>
      <c r="S121" s="422" t="str">
        <f>VLOOKUP(VLOOKUP(LEFT(M121,LEN(M121)-2),'Date SPV'!$B$4:$F$34,5,FALSE),'Date SPV'!$T$4:$U$11,2,FALSE)</f>
        <v>Retele Electrice Dobrogea</v>
      </c>
      <c r="T121" s="422" t="str">
        <f>VLOOKUP(M121,'Contorizare in SDI'!$B:$D,3,FALSE)</f>
        <v>RO002E212833624</v>
      </c>
      <c r="U121" s="422" t="str">
        <f>VLOOKUP(N121,'Contorizare in SDI'!$F:$H,3,FALSE)</f>
        <v>RO002E212833624/2</v>
      </c>
      <c r="V121" s="424" t="s">
        <v>1354</v>
      </c>
      <c r="W121" s="425">
        <f>W123+W125+W127</f>
        <v>69144</v>
      </c>
      <c r="Y121" s="30" t="s">
        <v>551</v>
      </c>
      <c r="Z121" s="29" t="s">
        <v>69</v>
      </c>
      <c r="AA121" s="29" t="s">
        <v>644</v>
      </c>
      <c r="AB121" s="29" t="s">
        <v>69</v>
      </c>
      <c r="AC121" s="549">
        <v>0</v>
      </c>
      <c r="AD121" s="549">
        <v>0</v>
      </c>
      <c r="AE121" s="393">
        <f>'Inchidere contur'!D122</f>
        <v>0</v>
      </c>
    </row>
    <row r="122" spans="3:31" ht="16.5" thickBot="1">
      <c r="C122" s="349" t="s">
        <v>1377</v>
      </c>
      <c r="D122" s="347" t="s">
        <v>1351</v>
      </c>
      <c r="E122" s="347" t="s">
        <v>1351</v>
      </c>
      <c r="F122" s="347" t="s">
        <v>1352</v>
      </c>
      <c r="G122" s="348">
        <v>45323</v>
      </c>
      <c r="H122" s="349" t="s">
        <v>1378</v>
      </c>
      <c r="I122" s="351" t="s">
        <v>267</v>
      </c>
      <c r="J122" s="400"/>
      <c r="K122" s="347" t="s">
        <v>1355</v>
      </c>
      <c r="M122" s="426" t="s">
        <v>544</v>
      </c>
      <c r="N122" s="427" t="s">
        <v>682</v>
      </c>
      <c r="O122" s="427" t="str">
        <f>VLOOKUP(LEFT(M122,LEN(M122)-2),'Date SPV'!$B$4:$D$34,3,FALSE)</f>
        <v>Constanta Shopping City SRL</v>
      </c>
      <c r="P122" s="428" t="s">
        <v>1405</v>
      </c>
      <c r="Q122" s="428" t="s">
        <v>1405</v>
      </c>
      <c r="R122" s="428" t="s">
        <v>1405</v>
      </c>
      <c r="S122" s="427" t="str">
        <f>VLOOKUP(VLOOKUP(LEFT(M122,LEN(M122)-2),'Date SPV'!$B$4:$F$34,5,FALSE),'Date SPV'!$T$4:$U$11,2,FALSE)</f>
        <v>Retele Electrice Dobrogea</v>
      </c>
      <c r="T122" s="427" t="str">
        <f>VLOOKUP(M122,'Contorizare in SDI'!$B:$D,3,FALSE)</f>
        <v>RO002E212833624</v>
      </c>
      <c r="U122" s="427" t="str">
        <f>VLOOKUP(N122,'Contorizare in SDI'!$F:$H,3,FALSE)</f>
        <v>RO002E212833624/2</v>
      </c>
      <c r="V122" s="429" t="s">
        <v>1355</v>
      </c>
      <c r="W122" s="430">
        <f>ROUND(W123*W124+W125*W126+W127*W128,2)</f>
        <v>63457.43</v>
      </c>
      <c r="Y122" s="93" t="s">
        <v>551</v>
      </c>
      <c r="Z122" s="94" t="s">
        <v>69</v>
      </c>
      <c r="AA122" s="94" t="s">
        <v>983</v>
      </c>
      <c r="AB122" s="94" t="s">
        <v>69</v>
      </c>
      <c r="AC122" s="548">
        <v>0</v>
      </c>
      <c r="AD122" s="548">
        <v>0</v>
      </c>
      <c r="AE122" s="393">
        <f>'Inchidere contur'!D123</f>
        <v>0</v>
      </c>
    </row>
    <row r="123" spans="3:31" ht="16.5" thickBot="1">
      <c r="C123" s="349" t="s">
        <v>1377</v>
      </c>
      <c r="D123" s="347" t="s">
        <v>1351</v>
      </c>
      <c r="E123" s="347" t="s">
        <v>1351</v>
      </c>
      <c r="F123" s="347" t="s">
        <v>1352</v>
      </c>
      <c r="G123" s="348">
        <v>45323</v>
      </c>
      <c r="H123" s="349" t="s">
        <v>1378</v>
      </c>
      <c r="I123" s="351" t="s">
        <v>272</v>
      </c>
      <c r="J123" s="400"/>
      <c r="K123" s="341" t="s">
        <v>1356</v>
      </c>
      <c r="M123" s="426" t="s">
        <v>544</v>
      </c>
      <c r="N123" s="427" t="s">
        <v>682</v>
      </c>
      <c r="O123" s="427" t="str">
        <f>VLOOKUP(LEFT(M123,LEN(M123)-2),'Date SPV'!$B$4:$D$34,3,FALSE)</f>
        <v>Constanta Shopping City SRL</v>
      </c>
      <c r="P123" s="428" t="s">
        <v>1405</v>
      </c>
      <c r="Q123" s="428" t="s">
        <v>1405</v>
      </c>
      <c r="R123" s="428" t="s">
        <v>1405</v>
      </c>
      <c r="S123" s="427" t="str">
        <f>VLOOKUP(VLOOKUP(LEFT(M123,LEN(M123)-2),'Date SPV'!$B$4:$F$34,5,FALSE),'Date SPV'!$T$4:$U$11,2,FALSE)</f>
        <v>Retele Electrice Dobrogea</v>
      </c>
      <c r="T123" s="427" t="str">
        <f>VLOOKUP(M123,'Contorizare in SDI'!$B:$D,3,FALSE)</f>
        <v>RO002E212833624</v>
      </c>
      <c r="U123" s="427" t="str">
        <f>VLOOKUP(N123,'Contorizare in SDI'!$F:$H,3,FALSE)</f>
        <v>RO002E212833624/2</v>
      </c>
      <c r="V123" s="431" t="s">
        <v>1356</v>
      </c>
      <c r="W123" s="430">
        <f>SUMIF($AB:$AB,N123,$AC:$AC)</f>
        <v>69144</v>
      </c>
      <c r="Y123" s="389" t="s">
        <v>552</v>
      </c>
      <c r="Z123" s="390" t="s">
        <v>689</v>
      </c>
      <c r="AA123" s="390" t="s">
        <v>645</v>
      </c>
      <c r="AB123" s="390" t="s">
        <v>689</v>
      </c>
      <c r="AC123" s="548">
        <v>83063</v>
      </c>
      <c r="AD123" s="548">
        <v>0</v>
      </c>
      <c r="AE123" s="393">
        <f>'Inchidere contur'!D124</f>
        <v>0</v>
      </c>
    </row>
    <row r="124" spans="3:31" ht="16.5" thickBot="1">
      <c r="C124" s="349" t="s">
        <v>1377</v>
      </c>
      <c r="D124" s="347" t="s">
        <v>1351</v>
      </c>
      <c r="E124" s="347" t="s">
        <v>1351</v>
      </c>
      <c r="F124" s="347" t="s">
        <v>1352</v>
      </c>
      <c r="G124" s="348">
        <v>45323</v>
      </c>
      <c r="H124" s="349" t="s">
        <v>1378</v>
      </c>
      <c r="I124" s="351" t="s">
        <v>272</v>
      </c>
      <c r="J124" s="400"/>
      <c r="K124" s="341" t="s">
        <v>1357</v>
      </c>
      <c r="M124" s="426" t="s">
        <v>544</v>
      </c>
      <c r="N124" s="427" t="s">
        <v>682</v>
      </c>
      <c r="O124" s="427" t="str">
        <f>VLOOKUP(LEFT(M124,LEN(M124)-2),'Date SPV'!$B$4:$D$34,3,FALSE)</f>
        <v>Constanta Shopping City SRL</v>
      </c>
      <c r="P124" s="428" t="s">
        <v>1405</v>
      </c>
      <c r="Q124" s="428" t="s">
        <v>1405</v>
      </c>
      <c r="R124" s="428" t="s">
        <v>1405</v>
      </c>
      <c r="S124" s="427" t="str">
        <f>VLOOKUP(VLOOKUP(LEFT(M124,LEN(M124)-2),'Date SPV'!$B$4:$F$34,5,FALSE),'Date SPV'!$T$4:$U$11,2,FALSE)</f>
        <v>Retele Electrice Dobrogea</v>
      </c>
      <c r="T124" s="427" t="str">
        <f>VLOOKUP(M124,'Contorizare in SDI'!$B:$D,3,FALSE)</f>
        <v>RO002E212833624</v>
      </c>
      <c r="U124" s="427" t="str">
        <f>VLOOKUP(N124,'Contorizare in SDI'!$F:$H,3,FALSE)</f>
        <v>RO002E212833624/2</v>
      </c>
      <c r="V124" s="431" t="s">
        <v>1357</v>
      </c>
      <c r="W124" s="430">
        <f>HLOOKUP(VLOOKUP(LEFT(M124,LEN(M124)-2),'Date SPV'!$B$4:$F$34,5,FALSE),'Preturi si tarife'!$C$2:$J$21,17,FALSE)</f>
        <v>0.91775760000000006</v>
      </c>
      <c r="Y124" s="394" t="s">
        <v>552</v>
      </c>
      <c r="Z124" s="391" t="s">
        <v>69</v>
      </c>
      <c r="AA124" s="391" t="s">
        <v>984</v>
      </c>
      <c r="AB124" s="391" t="s">
        <v>69</v>
      </c>
      <c r="AC124" s="548">
        <v>0</v>
      </c>
      <c r="AD124" s="548">
        <v>0</v>
      </c>
      <c r="AE124" s="393">
        <f>'Inchidere contur'!D125</f>
        <v>0</v>
      </c>
    </row>
    <row r="125" spans="3:31" ht="16.5" thickBot="1">
      <c r="C125" s="349" t="s">
        <v>1377</v>
      </c>
      <c r="D125" s="347" t="s">
        <v>1351</v>
      </c>
      <c r="E125" s="347" t="s">
        <v>1351</v>
      </c>
      <c r="F125" s="347" t="s">
        <v>1352</v>
      </c>
      <c r="G125" s="348">
        <v>45323</v>
      </c>
      <c r="H125" s="349" t="s">
        <v>1378</v>
      </c>
      <c r="I125" s="351" t="s">
        <v>270</v>
      </c>
      <c r="J125" s="400"/>
      <c r="K125" s="341" t="s">
        <v>1358</v>
      </c>
      <c r="M125" s="426" t="s">
        <v>544</v>
      </c>
      <c r="N125" s="427" t="s">
        <v>682</v>
      </c>
      <c r="O125" s="427" t="str">
        <f>VLOOKUP(LEFT(M125,LEN(M125)-2),'Date SPV'!$B$4:$D$34,3,FALSE)</f>
        <v>Constanta Shopping City SRL</v>
      </c>
      <c r="P125" s="428" t="s">
        <v>1405</v>
      </c>
      <c r="Q125" s="428" t="s">
        <v>1405</v>
      </c>
      <c r="R125" s="428" t="s">
        <v>1405</v>
      </c>
      <c r="S125" s="427" t="str">
        <f>VLOOKUP(VLOOKUP(LEFT(M125,LEN(M125)-2),'Date SPV'!$B$4:$F$34,5,FALSE),'Date SPV'!$T$4:$U$11,2,FALSE)</f>
        <v>Retele Electrice Dobrogea</v>
      </c>
      <c r="T125" s="427" t="str">
        <f>VLOOKUP(M125,'Contorizare in SDI'!$B:$D,3,FALSE)</f>
        <v>RO002E212833624</v>
      </c>
      <c r="U125" s="427" t="str">
        <f>VLOOKUP(N125,'Contorizare in SDI'!$F:$H,3,FALSE)</f>
        <v>RO002E212833624/2</v>
      </c>
      <c r="V125" s="431" t="s">
        <v>1358</v>
      </c>
      <c r="W125" s="430">
        <f>SUMIF($AB:$AB,N125,$AD:$AD)</f>
        <v>0</v>
      </c>
      <c r="Y125" s="394" t="s">
        <v>553</v>
      </c>
      <c r="Z125" s="391" t="s">
        <v>690</v>
      </c>
      <c r="AA125" s="391" t="s">
        <v>646</v>
      </c>
      <c r="AB125" s="391" t="s">
        <v>690</v>
      </c>
      <c r="AC125" s="548">
        <v>74598</v>
      </c>
      <c r="AD125" s="548">
        <v>0</v>
      </c>
      <c r="AE125" s="393">
        <f>'Inchidere contur'!D126</f>
        <v>0</v>
      </c>
    </row>
    <row r="126" spans="3:31" ht="16.5" thickBot="1">
      <c r="C126" s="349" t="s">
        <v>1377</v>
      </c>
      <c r="D126" s="347" t="s">
        <v>1351</v>
      </c>
      <c r="E126" s="347" t="s">
        <v>1351</v>
      </c>
      <c r="F126" s="347" t="s">
        <v>1352</v>
      </c>
      <c r="G126" s="348">
        <v>45323</v>
      </c>
      <c r="H126" s="349" t="s">
        <v>1378</v>
      </c>
      <c r="I126" s="351" t="s">
        <v>270</v>
      </c>
      <c r="J126" s="400"/>
      <c r="K126" s="341" t="s">
        <v>1357</v>
      </c>
      <c r="M126" s="426" t="s">
        <v>544</v>
      </c>
      <c r="N126" s="427" t="s">
        <v>682</v>
      </c>
      <c r="O126" s="427" t="str">
        <f>VLOOKUP(LEFT(M126,LEN(M126)-2),'Date SPV'!$B$4:$D$34,3,FALSE)</f>
        <v>Constanta Shopping City SRL</v>
      </c>
      <c r="P126" s="428" t="s">
        <v>1405</v>
      </c>
      <c r="Q126" s="428" t="s">
        <v>1405</v>
      </c>
      <c r="R126" s="428" t="s">
        <v>1405</v>
      </c>
      <c r="S126" s="427" t="str">
        <f>VLOOKUP(VLOOKUP(LEFT(M126,LEN(M126)-2),'Date SPV'!$B$4:$F$34,5,FALSE),'Date SPV'!$T$4:$U$11,2,FALSE)</f>
        <v>Retele Electrice Dobrogea</v>
      </c>
      <c r="T126" s="427" t="str">
        <f>VLOOKUP(M126,'Contorizare in SDI'!$B:$D,3,FALSE)</f>
        <v>RO002E212833624</v>
      </c>
      <c r="U126" s="427" t="str">
        <f>VLOOKUP(N126,'Contorizare in SDI'!$F:$H,3,FALSE)</f>
        <v>RO002E212833624/2</v>
      </c>
      <c r="V126" s="431" t="s">
        <v>1357</v>
      </c>
      <c r="W126" s="430">
        <f>HLOOKUP(VLOOKUP(LEFT(M126,LEN(M126)-2),'Date SPV'!$B$4:$F$34,5,FALSE),'Preturi si tarife'!$C$2:$J$21,18,FALSE)</f>
        <v>0.80525760000000002</v>
      </c>
      <c r="Y126" s="394" t="s">
        <v>553</v>
      </c>
      <c r="Z126" s="391" t="s">
        <v>69</v>
      </c>
      <c r="AA126" s="391" t="s">
        <v>985</v>
      </c>
      <c r="AB126" s="391" t="s">
        <v>69</v>
      </c>
      <c r="AC126" s="549">
        <v>0</v>
      </c>
      <c r="AD126" s="549">
        <v>0</v>
      </c>
      <c r="AE126" s="393">
        <f>'Inchidere contur'!D127</f>
        <v>0</v>
      </c>
    </row>
    <row r="127" spans="3:31" ht="16.5" thickBot="1">
      <c r="C127" s="349" t="s">
        <v>1377</v>
      </c>
      <c r="D127" s="347" t="s">
        <v>1351</v>
      </c>
      <c r="E127" s="347" t="s">
        <v>1351</v>
      </c>
      <c r="F127" s="347" t="s">
        <v>1352</v>
      </c>
      <c r="G127" s="348">
        <v>45323</v>
      </c>
      <c r="H127" s="349" t="s">
        <v>1378</v>
      </c>
      <c r="I127" s="351" t="s">
        <v>267</v>
      </c>
      <c r="J127" s="400"/>
      <c r="K127" s="341" t="s">
        <v>1360</v>
      </c>
      <c r="M127" s="426" t="s">
        <v>544</v>
      </c>
      <c r="N127" s="427" t="s">
        <v>682</v>
      </c>
      <c r="O127" s="427" t="str">
        <f>VLOOKUP(LEFT(M127,LEN(M127)-2),'Date SPV'!$B$4:$D$34,3,FALSE)</f>
        <v>Constanta Shopping City SRL</v>
      </c>
      <c r="P127" s="428" t="s">
        <v>1405</v>
      </c>
      <c r="Q127" s="428" t="s">
        <v>1405</v>
      </c>
      <c r="R127" s="428" t="s">
        <v>1405</v>
      </c>
      <c r="S127" s="427" t="str">
        <f>VLOOKUP(VLOOKUP(LEFT(M127,LEN(M127)-2),'Date SPV'!$B$4:$F$34,5,FALSE),'Date SPV'!$T$4:$U$11,2,FALSE)</f>
        <v>Retele Electrice Dobrogea</v>
      </c>
      <c r="T127" s="427" t="str">
        <f>VLOOKUP(M127,'Contorizare in SDI'!$B:$D,3,FALSE)</f>
        <v>RO002E212833624</v>
      </c>
      <c r="U127" s="427" t="str">
        <f>VLOOKUP(N127,'Contorizare in SDI'!$F:$H,3,FALSE)</f>
        <v>RO002E212833624/2</v>
      </c>
      <c r="V127" s="431" t="s">
        <v>1360</v>
      </c>
      <c r="W127" s="430">
        <f>SUMIF($AB:$AB,N127,$AE:$AE)</f>
        <v>0</v>
      </c>
      <c r="Y127" s="93" t="s">
        <v>554</v>
      </c>
      <c r="Z127" s="94" t="s">
        <v>69</v>
      </c>
      <c r="AA127" s="97" t="s">
        <v>554</v>
      </c>
      <c r="AB127" s="94" t="s">
        <v>69</v>
      </c>
      <c r="AC127" s="549">
        <v>0</v>
      </c>
      <c r="AD127" s="549">
        <v>0</v>
      </c>
      <c r="AE127" s="393">
        <f>'Inchidere contur'!D128</f>
        <v>0</v>
      </c>
    </row>
    <row r="128" spans="3:31" ht="16.5" thickBot="1">
      <c r="C128" s="349" t="s">
        <v>1377</v>
      </c>
      <c r="D128" s="347" t="s">
        <v>1351</v>
      </c>
      <c r="E128" s="347" t="s">
        <v>1351</v>
      </c>
      <c r="F128" s="347" t="s">
        <v>1352</v>
      </c>
      <c r="G128" s="348">
        <v>45323</v>
      </c>
      <c r="H128" s="349" t="s">
        <v>1378</v>
      </c>
      <c r="I128" s="351" t="s">
        <v>267</v>
      </c>
      <c r="J128" s="400"/>
      <c r="K128" s="341" t="s">
        <v>1357</v>
      </c>
      <c r="M128" s="432" t="s">
        <v>544</v>
      </c>
      <c r="N128" s="433" t="s">
        <v>682</v>
      </c>
      <c r="O128" s="433" t="str">
        <f>VLOOKUP(LEFT(M128,LEN(M128)-2),'Date SPV'!$B$4:$D$34,3,FALSE)</f>
        <v>Constanta Shopping City SRL</v>
      </c>
      <c r="P128" s="434" t="s">
        <v>1405</v>
      </c>
      <c r="Q128" s="434" t="s">
        <v>1405</v>
      </c>
      <c r="R128" s="434" t="s">
        <v>1405</v>
      </c>
      <c r="S128" s="433" t="str">
        <f>VLOOKUP(VLOOKUP(LEFT(M128,LEN(M128)-2),'Date SPV'!$B$4:$F$34,5,FALSE),'Date SPV'!$T$4:$U$11,2,FALSE)</f>
        <v>Retele Electrice Dobrogea</v>
      </c>
      <c r="T128" s="433" t="str">
        <f>VLOOKUP(M128,'Contorizare in SDI'!$B:$D,3,FALSE)</f>
        <v>RO002E212833624</v>
      </c>
      <c r="U128" s="433" t="str">
        <f>VLOOKUP(N128,'Contorizare in SDI'!$F:$H,3,FALSE)</f>
        <v>RO002E212833624/2</v>
      </c>
      <c r="V128" s="435" t="s">
        <v>1357</v>
      </c>
      <c r="W128" s="436">
        <f>HLOOKUP(VLOOKUP(LEFT(M128,LEN(M128)-2),'Date SPV'!$B$4:$F$34,5,FALSE),'Preturi si tarife'!$C$2:$J$21,3,FALSE)</f>
        <v>0.59499999999999997</v>
      </c>
      <c r="Y128" s="86" t="s">
        <v>555</v>
      </c>
      <c r="Z128" s="89" t="s">
        <v>69</v>
      </c>
      <c r="AA128" s="89" t="s">
        <v>647</v>
      </c>
      <c r="AB128" s="89" t="s">
        <v>69</v>
      </c>
      <c r="AC128" s="549">
        <v>0</v>
      </c>
      <c r="AD128" s="549">
        <v>0</v>
      </c>
      <c r="AE128" s="393">
        <f>'Inchidere contur'!D129</f>
        <v>0</v>
      </c>
    </row>
    <row r="129" spans="3:31" ht="16.5" thickBot="1">
      <c r="C129" s="344" t="s">
        <v>1379</v>
      </c>
      <c r="D129" s="344" t="s">
        <v>1351</v>
      </c>
      <c r="E129" s="344" t="s">
        <v>1351</v>
      </c>
      <c r="F129" s="344" t="s">
        <v>1352</v>
      </c>
      <c r="G129" s="343">
        <v>45323</v>
      </c>
      <c r="H129" s="370" t="s">
        <v>1366</v>
      </c>
      <c r="I129" s="372" t="s">
        <v>292</v>
      </c>
      <c r="J129" s="401"/>
      <c r="K129" s="342" t="s">
        <v>1354</v>
      </c>
      <c r="M129" s="456" t="s">
        <v>547</v>
      </c>
      <c r="N129" s="457" t="s">
        <v>69</v>
      </c>
      <c r="O129" s="457" t="str">
        <f>VLOOKUP(LEFT(M129,LEN(M129)-2),'Date SPV'!$B$4:$D$34,3,FALSE)</f>
        <v>General Building Management SRL</v>
      </c>
      <c r="P129" s="458" t="s">
        <v>1405</v>
      </c>
      <c r="Q129" s="458" t="s">
        <v>1405</v>
      </c>
      <c r="R129" s="458" t="s">
        <v>1405</v>
      </c>
      <c r="S129" s="457" t="str">
        <f>VLOOKUP(VLOOKUP(LEFT(M129,LEN(M129)-2),'Date SPV'!$B$4:$F$34,5,FALSE),'Date SPV'!$T$4:$U$11,2,FALSE)</f>
        <v>Distributie Energie Oltenia</v>
      </c>
      <c r="T129" s="457" t="str">
        <f>VLOOKUP(M129,'Contorizare in SDI'!$B:$D,3,FALSE)</f>
        <v>59401010000363258971716818</v>
      </c>
      <c r="U129" s="457" t="s">
        <v>69</v>
      </c>
      <c r="V129" s="459" t="s">
        <v>1354</v>
      </c>
      <c r="W129" s="460">
        <f>W131+W133+W135+W137+W139+W141+W143</f>
        <v>431385</v>
      </c>
      <c r="Y129" s="30" t="s">
        <v>555</v>
      </c>
      <c r="Z129" s="29" t="s">
        <v>69</v>
      </c>
      <c r="AA129" s="29" t="s">
        <v>986</v>
      </c>
      <c r="AB129" s="29" t="s">
        <v>69</v>
      </c>
      <c r="AC129" s="548">
        <v>0</v>
      </c>
      <c r="AD129" s="548">
        <v>0</v>
      </c>
      <c r="AE129" s="393">
        <f>'Inchidere contur'!D130</f>
        <v>0</v>
      </c>
    </row>
    <row r="130" spans="3:31" ht="16.5" thickBot="1">
      <c r="C130" s="349" t="s">
        <v>1379</v>
      </c>
      <c r="D130" s="349" t="s">
        <v>1351</v>
      </c>
      <c r="E130" s="349" t="s">
        <v>1351</v>
      </c>
      <c r="F130" s="349" t="s">
        <v>1352</v>
      </c>
      <c r="G130" s="348">
        <v>45323</v>
      </c>
      <c r="H130" s="351" t="s">
        <v>1366</v>
      </c>
      <c r="I130" s="373" t="s">
        <v>292</v>
      </c>
      <c r="J130" s="401"/>
      <c r="K130" s="347" t="s">
        <v>1355</v>
      </c>
      <c r="M130" s="461" t="s">
        <v>547</v>
      </c>
      <c r="N130" s="115" t="s">
        <v>69</v>
      </c>
      <c r="O130" s="115" t="str">
        <f>VLOOKUP(LEFT(M130,LEN(M130)-2),'Date SPV'!$B$4:$D$34,3,FALSE)</f>
        <v>General Building Management SRL</v>
      </c>
      <c r="P130" s="462" t="s">
        <v>1405</v>
      </c>
      <c r="Q130" s="462" t="s">
        <v>1405</v>
      </c>
      <c r="R130" s="462" t="s">
        <v>1405</v>
      </c>
      <c r="S130" s="115" t="str">
        <f>VLOOKUP(VLOOKUP(LEFT(M130,LEN(M130)-2),'Date SPV'!$B$4:$F$34,5,FALSE),'Date SPV'!$T$4:$U$11,2,FALSE)</f>
        <v>Distributie Energie Oltenia</v>
      </c>
      <c r="T130" s="115" t="str">
        <f>VLOOKUP(M130,'Contorizare in SDI'!$B:$D,3,FALSE)</f>
        <v>59401010000363258971716818</v>
      </c>
      <c r="U130" s="115" t="s">
        <v>69</v>
      </c>
      <c r="V130" s="463" t="s">
        <v>1355</v>
      </c>
      <c r="W130" s="464">
        <f>ROUND(W131*W132+W133*W134+W135*W136+W137*W138+W139*W140+W141*W142+W143*W144,2)</f>
        <v>405507.38</v>
      </c>
      <c r="Y130" s="394" t="s">
        <v>556</v>
      </c>
      <c r="Z130" s="391" t="s">
        <v>1181</v>
      </c>
      <c r="AA130" s="391" t="s">
        <v>648</v>
      </c>
      <c r="AB130" s="391" t="s">
        <v>1181</v>
      </c>
      <c r="AC130" s="548">
        <v>29034</v>
      </c>
      <c r="AD130" s="548">
        <v>26203</v>
      </c>
      <c r="AE130" s="393">
        <f>'Inchidere contur'!D131</f>
        <v>0</v>
      </c>
    </row>
    <row r="131" spans="3:31" ht="17.100000000000001" customHeight="1" thickBot="1">
      <c r="C131" s="349" t="s">
        <v>1379</v>
      </c>
      <c r="D131" s="349" t="s">
        <v>1351</v>
      </c>
      <c r="E131" s="349" t="s">
        <v>1351</v>
      </c>
      <c r="F131" s="349" t="s">
        <v>1352</v>
      </c>
      <c r="G131" s="348">
        <v>45323</v>
      </c>
      <c r="H131" s="351" t="s">
        <v>1366</v>
      </c>
      <c r="I131" s="373" t="s">
        <v>294</v>
      </c>
      <c r="J131" s="401"/>
      <c r="K131" s="341" t="s">
        <v>1356</v>
      </c>
      <c r="M131" s="461" t="s">
        <v>547</v>
      </c>
      <c r="N131" s="115" t="s">
        <v>685</v>
      </c>
      <c r="O131" s="115" t="str">
        <f>VLOOKUP(LEFT(M131,LEN(M131)-2),'Date SPV'!$B$4:$D$34,3,FALSE)</f>
        <v>General Building Management SRL</v>
      </c>
      <c r="P131" s="462" t="s">
        <v>1405</v>
      </c>
      <c r="Q131" s="462" t="s">
        <v>1405</v>
      </c>
      <c r="R131" s="462" t="s">
        <v>1405</v>
      </c>
      <c r="S131" s="115" t="str">
        <f>VLOOKUP(VLOOKUP(LEFT(M131,LEN(M131)-2),'Date SPV'!$B$4:$F$34,5,FALSE),'Date SPV'!$T$4:$U$11,2,FALSE)</f>
        <v>Distributie Energie Oltenia</v>
      </c>
      <c r="T131" s="115" t="str">
        <f>VLOOKUP(M131,'Contorizare in SDI'!$B:$D,3,FALSE)</f>
        <v>59401010000363258971716818</v>
      </c>
      <c r="U131" s="115" t="str">
        <f>VLOOKUP(N131,'Contorizare in SDI'!$F:$H,3,FALSE)</f>
        <v>59401010000363258971716818/1</v>
      </c>
      <c r="V131" s="465" t="s">
        <v>1356</v>
      </c>
      <c r="W131" s="464">
        <f>SUMIF($AB:$AB,N131,$AC:$AC)</f>
        <v>37745</v>
      </c>
      <c r="Y131" s="394" t="s">
        <v>556</v>
      </c>
      <c r="Z131" s="391" t="s">
        <v>1182</v>
      </c>
      <c r="AA131" s="391" t="s">
        <v>1180</v>
      </c>
      <c r="AB131" s="391" t="s">
        <v>1182</v>
      </c>
      <c r="AC131" s="549">
        <v>40274</v>
      </c>
      <c r="AD131" s="549">
        <v>23</v>
      </c>
      <c r="AE131" s="393">
        <f>'Inchidere contur'!D132</f>
        <v>0</v>
      </c>
    </row>
    <row r="132" spans="3:31" ht="17.100000000000001" customHeight="1" thickBot="1">
      <c r="C132" s="349" t="s">
        <v>1379</v>
      </c>
      <c r="D132" s="349" t="s">
        <v>1351</v>
      </c>
      <c r="E132" s="349" t="s">
        <v>1351</v>
      </c>
      <c r="F132" s="349" t="s">
        <v>1352</v>
      </c>
      <c r="G132" s="348">
        <v>45323</v>
      </c>
      <c r="H132" s="351" t="s">
        <v>1366</v>
      </c>
      <c r="I132" s="373" t="s">
        <v>294</v>
      </c>
      <c r="J132" s="401"/>
      <c r="K132" s="341" t="s">
        <v>1357</v>
      </c>
      <c r="M132" s="461" t="s">
        <v>547</v>
      </c>
      <c r="N132" s="115" t="s">
        <v>685</v>
      </c>
      <c r="O132" s="115" t="str">
        <f>VLOOKUP(LEFT(M132,LEN(M132)-2),'Date SPV'!$B$4:$D$34,3,FALSE)</f>
        <v>General Building Management SRL</v>
      </c>
      <c r="P132" s="462" t="s">
        <v>1405</v>
      </c>
      <c r="Q132" s="462" t="s">
        <v>1405</v>
      </c>
      <c r="R132" s="462" t="s">
        <v>1405</v>
      </c>
      <c r="S132" s="115" t="str">
        <f>VLOOKUP(VLOOKUP(LEFT(M132,LEN(M132)-2),'Date SPV'!$B$4:$F$34,5,FALSE),'Date SPV'!$T$4:$U$11,2,FALSE)</f>
        <v>Distributie Energie Oltenia</v>
      </c>
      <c r="T132" s="115" t="str">
        <f>VLOOKUP(M132,'Contorizare in SDI'!$B:$D,3,FALSE)</f>
        <v>59401010000363258971716818</v>
      </c>
      <c r="U132" s="115" t="str">
        <f>VLOOKUP(N132,'Contorizare in SDI'!$F:$H,3,FALSE)</f>
        <v>59401010000363258971716818/1</v>
      </c>
      <c r="V132" s="465" t="s">
        <v>1357</v>
      </c>
      <c r="W132" s="464">
        <f>HLOOKUP(VLOOKUP(LEFT(M132,LEN(M132)-2),'Date SPV'!$B$4:$F$34,5,FALSE),'Preturi si tarife'!$C$2:$J$21,17,FALSE)</f>
        <v>0.97511760000000003</v>
      </c>
      <c r="Y132" s="30" t="s">
        <v>556</v>
      </c>
      <c r="Z132" s="29" t="s">
        <v>69</v>
      </c>
      <c r="AA132" s="29" t="s">
        <v>987</v>
      </c>
      <c r="AB132" s="29" t="s">
        <v>69</v>
      </c>
      <c r="AC132" s="549">
        <v>0</v>
      </c>
      <c r="AD132" s="549">
        <v>0</v>
      </c>
      <c r="AE132" s="393">
        <f>'Inchidere contur'!D133</f>
        <v>0</v>
      </c>
    </row>
    <row r="133" spans="3:31" ht="16.5" thickBot="1">
      <c r="C133" s="349" t="s">
        <v>1379</v>
      </c>
      <c r="D133" s="349" t="s">
        <v>1351</v>
      </c>
      <c r="E133" s="349" t="s">
        <v>1351</v>
      </c>
      <c r="F133" s="349" t="s">
        <v>1352</v>
      </c>
      <c r="G133" s="348">
        <v>45323</v>
      </c>
      <c r="H133" s="351" t="s">
        <v>1366</v>
      </c>
      <c r="I133" s="373" t="s">
        <v>294</v>
      </c>
      <c r="J133" s="401"/>
      <c r="K133" s="341" t="s">
        <v>1358</v>
      </c>
      <c r="M133" s="461" t="s">
        <v>547</v>
      </c>
      <c r="N133" s="115" t="s">
        <v>685</v>
      </c>
      <c r="O133" s="115" t="str">
        <f>VLOOKUP(LEFT(M133,LEN(M133)-2),'Date SPV'!$B$4:$D$34,3,FALSE)</f>
        <v>General Building Management SRL</v>
      </c>
      <c r="P133" s="462" t="s">
        <v>1405</v>
      </c>
      <c r="Q133" s="462" t="s">
        <v>1405</v>
      </c>
      <c r="R133" s="462" t="s">
        <v>1405</v>
      </c>
      <c r="S133" s="115" t="str">
        <f>VLOOKUP(VLOOKUP(LEFT(M133,LEN(M133)-2),'Date SPV'!$B$4:$F$34,5,FALSE),'Date SPV'!$T$4:$U$11,2,FALSE)</f>
        <v>Distributie Energie Oltenia</v>
      </c>
      <c r="T133" s="115" t="str">
        <f>VLOOKUP(M133,'Contorizare in SDI'!$B:$D,3,FALSE)</f>
        <v>59401010000363258971716818</v>
      </c>
      <c r="U133" s="115" t="str">
        <f>VLOOKUP(N133,'Contorizare in SDI'!$F:$H,3,FALSE)</f>
        <v>59401010000363258971716818/1</v>
      </c>
      <c r="V133" s="465" t="s">
        <v>1358</v>
      </c>
      <c r="W133" s="464">
        <f>SUMIF($AB:$AB,N133,$AD:$AD)</f>
        <v>0</v>
      </c>
      <c r="Y133" s="30" t="s">
        <v>557</v>
      </c>
      <c r="Z133" s="29" t="s">
        <v>69</v>
      </c>
      <c r="AA133" s="29" t="s">
        <v>649</v>
      </c>
      <c r="AB133" s="29" t="s">
        <v>69</v>
      </c>
      <c r="AC133" s="549">
        <v>0</v>
      </c>
      <c r="AD133" s="549">
        <v>0</v>
      </c>
      <c r="AE133" s="393">
        <f>'Inchidere contur'!D134</f>
        <v>0</v>
      </c>
    </row>
    <row r="134" spans="3:31" ht="16.5" thickBot="1">
      <c r="C134" s="349" t="s">
        <v>1379</v>
      </c>
      <c r="D134" s="349" t="s">
        <v>1351</v>
      </c>
      <c r="E134" s="349" t="s">
        <v>1351</v>
      </c>
      <c r="F134" s="349" t="s">
        <v>1352</v>
      </c>
      <c r="G134" s="348">
        <v>45323</v>
      </c>
      <c r="H134" s="351" t="s">
        <v>1366</v>
      </c>
      <c r="I134" s="373" t="s">
        <v>294</v>
      </c>
      <c r="J134" s="401"/>
      <c r="K134" s="341" t="s">
        <v>1357</v>
      </c>
      <c r="M134" s="461" t="s">
        <v>547</v>
      </c>
      <c r="N134" s="115" t="s">
        <v>685</v>
      </c>
      <c r="O134" s="115" t="str">
        <f>VLOOKUP(LEFT(M134,LEN(M134)-2),'Date SPV'!$B$4:$D$34,3,FALSE)</f>
        <v>General Building Management SRL</v>
      </c>
      <c r="P134" s="462" t="s">
        <v>1405</v>
      </c>
      <c r="Q134" s="462" t="s">
        <v>1405</v>
      </c>
      <c r="R134" s="462" t="s">
        <v>1405</v>
      </c>
      <c r="S134" s="115" t="str">
        <f>VLOOKUP(VLOOKUP(LEFT(M134,LEN(M134)-2),'Date SPV'!$B$4:$F$34,5,FALSE),'Date SPV'!$T$4:$U$11,2,FALSE)</f>
        <v>Distributie Energie Oltenia</v>
      </c>
      <c r="T134" s="115" t="str">
        <f>VLOOKUP(M134,'Contorizare in SDI'!$B:$D,3,FALSE)</f>
        <v>59401010000363258971716818</v>
      </c>
      <c r="U134" s="115" t="str">
        <f>VLOOKUP(N134,'Contorizare in SDI'!$F:$H,3,FALSE)</f>
        <v>59401010000363258971716818/1</v>
      </c>
      <c r="V134" s="465" t="s">
        <v>1357</v>
      </c>
      <c r="W134" s="464">
        <f>HLOOKUP(VLOOKUP(LEFT(M134,LEN(M134)-2),'Date SPV'!$B$4:$F$34,5,FALSE),'Preturi si tarife'!$C$2:$J$21,18,FALSE)</f>
        <v>0.85521760000000002</v>
      </c>
      <c r="Y134" s="30" t="s">
        <v>557</v>
      </c>
      <c r="Z134" s="29" t="s">
        <v>69</v>
      </c>
      <c r="AA134" s="29" t="s">
        <v>988</v>
      </c>
      <c r="AB134" s="29" t="s">
        <v>69</v>
      </c>
      <c r="AC134" s="549">
        <v>0</v>
      </c>
      <c r="AD134" s="549">
        <v>0</v>
      </c>
      <c r="AE134" s="393">
        <f>'Inchidere contur'!D135</f>
        <v>0</v>
      </c>
    </row>
    <row r="135" spans="3:31" ht="16.5" thickBot="1">
      <c r="C135" s="349" t="s">
        <v>1379</v>
      </c>
      <c r="D135" s="349" t="s">
        <v>1351</v>
      </c>
      <c r="E135" s="349" t="s">
        <v>1351</v>
      </c>
      <c r="F135" s="349" t="s">
        <v>1352</v>
      </c>
      <c r="G135" s="348">
        <v>45323</v>
      </c>
      <c r="H135" s="351" t="s">
        <v>1366</v>
      </c>
      <c r="I135" s="373" t="s">
        <v>296</v>
      </c>
      <c r="J135" s="401"/>
      <c r="K135" s="341" t="s">
        <v>1356</v>
      </c>
      <c r="M135" s="461" t="s">
        <v>547</v>
      </c>
      <c r="N135" s="115" t="s">
        <v>686</v>
      </c>
      <c r="O135" s="115" t="str">
        <f>VLOOKUP(LEFT(M135,LEN(M135)-2),'Date SPV'!$B$4:$D$34,3,FALSE)</f>
        <v>General Building Management SRL</v>
      </c>
      <c r="P135" s="462" t="s">
        <v>1405</v>
      </c>
      <c r="Q135" s="462" t="s">
        <v>1405</v>
      </c>
      <c r="R135" s="462" t="s">
        <v>1405</v>
      </c>
      <c r="S135" s="115" t="str">
        <f>VLOOKUP(VLOOKUP(LEFT(M135,LEN(M135)-2),'Date SPV'!$B$4:$F$34,5,FALSE),'Date SPV'!$T$4:$U$11,2,FALSE)</f>
        <v>Distributie Energie Oltenia</v>
      </c>
      <c r="T135" s="115" t="str">
        <f>VLOOKUP(M135,'Contorizare in SDI'!$B:$D,3,FALSE)</f>
        <v>59401010000363258971716818</v>
      </c>
      <c r="U135" s="115" t="str">
        <f>VLOOKUP(N135,'Contorizare in SDI'!$F:$H,3,FALSE)</f>
        <v>59401010000363258971716818/2</v>
      </c>
      <c r="V135" s="465" t="s">
        <v>1356</v>
      </c>
      <c r="W135" s="464">
        <f>SUMIF($AB:$AB,N135,$AC:$AC)</f>
        <v>113990</v>
      </c>
      <c r="Y135" s="30" t="s">
        <v>558</v>
      </c>
      <c r="Z135" s="29" t="s">
        <v>69</v>
      </c>
      <c r="AA135" s="29" t="s">
        <v>650</v>
      </c>
      <c r="AB135" s="29" t="s">
        <v>69</v>
      </c>
      <c r="AC135" s="549">
        <v>0</v>
      </c>
      <c r="AD135" s="549">
        <v>0</v>
      </c>
      <c r="AE135" s="393">
        <f>'Inchidere contur'!D136</f>
        <v>0</v>
      </c>
    </row>
    <row r="136" spans="3:31" ht="16.5" thickBot="1">
      <c r="C136" s="349" t="s">
        <v>1379</v>
      </c>
      <c r="D136" s="349" t="s">
        <v>1351</v>
      </c>
      <c r="E136" s="349" t="s">
        <v>1351</v>
      </c>
      <c r="F136" s="349" t="s">
        <v>1352</v>
      </c>
      <c r="G136" s="348">
        <v>45323</v>
      </c>
      <c r="H136" s="351" t="s">
        <v>1366</v>
      </c>
      <c r="I136" s="373" t="s">
        <v>296</v>
      </c>
      <c r="J136" s="401"/>
      <c r="K136" s="341" t="s">
        <v>1357</v>
      </c>
      <c r="M136" s="461" t="s">
        <v>547</v>
      </c>
      <c r="N136" s="115" t="s">
        <v>686</v>
      </c>
      <c r="O136" s="115" t="str">
        <f>VLOOKUP(LEFT(M136,LEN(M136)-2),'Date SPV'!$B$4:$D$34,3,FALSE)</f>
        <v>General Building Management SRL</v>
      </c>
      <c r="P136" s="462" t="s">
        <v>1405</v>
      </c>
      <c r="Q136" s="462" t="s">
        <v>1405</v>
      </c>
      <c r="R136" s="462" t="s">
        <v>1405</v>
      </c>
      <c r="S136" s="115" t="str">
        <f>VLOOKUP(VLOOKUP(LEFT(M136,LEN(M136)-2),'Date SPV'!$B$4:$F$34,5,FALSE),'Date SPV'!$T$4:$U$11,2,FALSE)</f>
        <v>Distributie Energie Oltenia</v>
      </c>
      <c r="T136" s="115" t="str">
        <f>VLOOKUP(M136,'Contorizare in SDI'!$B:$D,3,FALSE)</f>
        <v>59401010000363258971716818</v>
      </c>
      <c r="U136" s="115" t="str">
        <f>VLOOKUP(N136,'Contorizare in SDI'!$F:$H,3,FALSE)</f>
        <v>59401010000363258971716818/2</v>
      </c>
      <c r="V136" s="465" t="s">
        <v>1357</v>
      </c>
      <c r="W136" s="464">
        <f>HLOOKUP(VLOOKUP(LEFT(M136,LEN(M136)-2),'Date SPV'!$B$4:$F$34,5,FALSE),'Preturi si tarife'!$C$2:$J$21,17,FALSE)</f>
        <v>0.97511760000000003</v>
      </c>
      <c r="Y136" s="30" t="s">
        <v>558</v>
      </c>
      <c r="Z136" s="29" t="s">
        <v>69</v>
      </c>
      <c r="AA136" s="29" t="s">
        <v>651</v>
      </c>
      <c r="AB136" s="29" t="s">
        <v>69</v>
      </c>
      <c r="AC136" s="549">
        <v>0</v>
      </c>
      <c r="AD136" s="549">
        <v>0</v>
      </c>
      <c r="AE136" s="393">
        <f>'Inchidere contur'!D137</f>
        <v>0</v>
      </c>
    </row>
    <row r="137" spans="3:31" ht="16.5" thickBot="1">
      <c r="C137" s="349" t="s">
        <v>1379</v>
      </c>
      <c r="D137" s="349" t="s">
        <v>1351</v>
      </c>
      <c r="E137" s="349" t="s">
        <v>1351</v>
      </c>
      <c r="F137" s="349" t="s">
        <v>1352</v>
      </c>
      <c r="G137" s="348">
        <v>45323</v>
      </c>
      <c r="H137" s="351" t="s">
        <v>1366</v>
      </c>
      <c r="I137" s="373" t="s">
        <v>296</v>
      </c>
      <c r="J137" s="401"/>
      <c r="K137" s="341" t="s">
        <v>1358</v>
      </c>
      <c r="M137" s="461" t="s">
        <v>547</v>
      </c>
      <c r="N137" s="115" t="s">
        <v>686</v>
      </c>
      <c r="O137" s="115" t="str">
        <f>VLOOKUP(LEFT(M137,LEN(M137)-2),'Date SPV'!$B$4:$D$34,3,FALSE)</f>
        <v>General Building Management SRL</v>
      </c>
      <c r="P137" s="462" t="s">
        <v>1405</v>
      </c>
      <c r="Q137" s="462" t="s">
        <v>1405</v>
      </c>
      <c r="R137" s="462" t="s">
        <v>1405</v>
      </c>
      <c r="S137" s="115" t="str">
        <f>VLOOKUP(VLOOKUP(LEFT(M137,LEN(M137)-2),'Date SPV'!$B$4:$F$34,5,FALSE),'Date SPV'!$T$4:$U$11,2,FALSE)</f>
        <v>Distributie Energie Oltenia</v>
      </c>
      <c r="T137" s="115" t="str">
        <f>VLOOKUP(M137,'Contorizare in SDI'!$B:$D,3,FALSE)</f>
        <v>59401010000363258971716818</v>
      </c>
      <c r="U137" s="115" t="str">
        <f>VLOOKUP(N137,'Contorizare in SDI'!$F:$H,3,FALSE)</f>
        <v>59401010000363258971716818/2</v>
      </c>
      <c r="V137" s="465" t="s">
        <v>1358</v>
      </c>
      <c r="W137" s="464">
        <f>SUMIF($AB:$AB,N137,$AD:$AD)</f>
        <v>126303</v>
      </c>
      <c r="Y137" s="93" t="s">
        <v>558</v>
      </c>
      <c r="Z137" s="94" t="s">
        <v>69</v>
      </c>
      <c r="AA137" s="94" t="s">
        <v>989</v>
      </c>
      <c r="AB137" s="94" t="s">
        <v>69</v>
      </c>
      <c r="AC137" s="548">
        <v>0</v>
      </c>
      <c r="AD137" s="548">
        <v>0</v>
      </c>
      <c r="AE137" s="393">
        <f>'Inchidere contur'!D138</f>
        <v>0</v>
      </c>
    </row>
    <row r="138" spans="3:31" ht="16.5" thickBot="1">
      <c r="C138" s="349" t="s">
        <v>1379</v>
      </c>
      <c r="D138" s="349" t="s">
        <v>1351</v>
      </c>
      <c r="E138" s="349" t="s">
        <v>1351</v>
      </c>
      <c r="F138" s="349" t="s">
        <v>1352</v>
      </c>
      <c r="G138" s="348">
        <v>45323</v>
      </c>
      <c r="H138" s="351" t="s">
        <v>1366</v>
      </c>
      <c r="I138" s="373" t="s">
        <v>296</v>
      </c>
      <c r="J138" s="401"/>
      <c r="K138" s="341" t="s">
        <v>1357</v>
      </c>
      <c r="M138" s="461" t="s">
        <v>547</v>
      </c>
      <c r="N138" s="115" t="s">
        <v>686</v>
      </c>
      <c r="O138" s="115" t="str">
        <f>VLOOKUP(LEFT(M138,LEN(M138)-2),'Date SPV'!$B$4:$D$34,3,FALSE)</f>
        <v>General Building Management SRL</v>
      </c>
      <c r="P138" s="462" t="s">
        <v>1405</v>
      </c>
      <c r="Q138" s="462" t="s">
        <v>1405</v>
      </c>
      <c r="R138" s="462" t="s">
        <v>1405</v>
      </c>
      <c r="S138" s="115" t="str">
        <f>VLOOKUP(VLOOKUP(LEFT(M138,LEN(M138)-2),'Date SPV'!$B$4:$F$34,5,FALSE),'Date SPV'!$T$4:$U$11,2,FALSE)</f>
        <v>Distributie Energie Oltenia</v>
      </c>
      <c r="T138" s="115" t="str">
        <f>VLOOKUP(M138,'Contorizare in SDI'!$B:$D,3,FALSE)</f>
        <v>59401010000363258971716818</v>
      </c>
      <c r="U138" s="115" t="str">
        <f>VLOOKUP(N138,'Contorizare in SDI'!$F:$H,3,FALSE)</f>
        <v>59401010000363258971716818/2</v>
      </c>
      <c r="V138" s="465" t="s">
        <v>1357</v>
      </c>
      <c r="W138" s="464">
        <f>HLOOKUP(VLOOKUP(LEFT(M138,LEN(M138)-2),'Date SPV'!$B$4:$F$34,5,FALSE),'Preturi si tarife'!$C$2:$J$21,18,FALSE)</f>
        <v>0.85521760000000002</v>
      </c>
      <c r="Y138" s="389" t="s">
        <v>559</v>
      </c>
      <c r="Z138" s="390" t="s">
        <v>691</v>
      </c>
      <c r="AA138" s="390" t="s">
        <v>652</v>
      </c>
      <c r="AB138" s="390" t="s">
        <v>691</v>
      </c>
      <c r="AC138" s="548">
        <v>93169</v>
      </c>
      <c r="AD138" s="548">
        <v>0</v>
      </c>
      <c r="AE138" s="393">
        <f>'Inchidere contur'!D139</f>
        <v>0</v>
      </c>
    </row>
    <row r="139" spans="3:31" ht="16.5" thickBot="1">
      <c r="C139" s="349" t="s">
        <v>1379</v>
      </c>
      <c r="D139" s="349" t="s">
        <v>1351</v>
      </c>
      <c r="E139" s="349" t="s">
        <v>1351</v>
      </c>
      <c r="F139" s="349" t="s">
        <v>1352</v>
      </c>
      <c r="G139" s="348">
        <v>45323</v>
      </c>
      <c r="H139" s="351" t="s">
        <v>1366</v>
      </c>
      <c r="I139" s="373" t="s">
        <v>298</v>
      </c>
      <c r="J139" s="401"/>
      <c r="K139" s="341" t="s">
        <v>1356</v>
      </c>
      <c r="M139" s="461" t="s">
        <v>547</v>
      </c>
      <c r="N139" s="115" t="s">
        <v>687</v>
      </c>
      <c r="O139" s="115" t="str">
        <f>VLOOKUP(LEFT(M139,LEN(M139)-2),'Date SPV'!$B$4:$D$34,3,FALSE)</f>
        <v>General Building Management SRL</v>
      </c>
      <c r="P139" s="462" t="s">
        <v>1405</v>
      </c>
      <c r="Q139" s="462" t="s">
        <v>1405</v>
      </c>
      <c r="R139" s="462" t="s">
        <v>1405</v>
      </c>
      <c r="S139" s="115" t="str">
        <f>VLOOKUP(VLOOKUP(LEFT(M139,LEN(M139)-2),'Date SPV'!$B$4:$F$34,5,FALSE),'Date SPV'!$T$4:$U$11,2,FALSE)</f>
        <v>Distributie Energie Oltenia</v>
      </c>
      <c r="T139" s="115" t="str">
        <f>VLOOKUP(M139,'Contorizare in SDI'!$B:$D,3,FALSE)</f>
        <v>59401010000363258971716818</v>
      </c>
      <c r="U139" s="115" t="str">
        <f>VLOOKUP(N139,'Contorizare in SDI'!$F:$H,3,FALSE)</f>
        <v>59401010000363258971716818/3</v>
      </c>
      <c r="V139" s="465" t="s">
        <v>1356</v>
      </c>
      <c r="W139" s="464">
        <f>SUMIF($AB:$AB,N139,$AC:$AC)</f>
        <v>153347</v>
      </c>
      <c r="Y139" s="394" t="s">
        <v>559</v>
      </c>
      <c r="Z139" s="391" t="s">
        <v>692</v>
      </c>
      <c r="AA139" s="391" t="s">
        <v>653</v>
      </c>
      <c r="AB139" s="391" t="s">
        <v>692</v>
      </c>
      <c r="AC139" s="549">
        <v>94866</v>
      </c>
      <c r="AD139" s="549">
        <v>0</v>
      </c>
      <c r="AE139" s="393">
        <f>'Inchidere contur'!D140</f>
        <v>0</v>
      </c>
    </row>
    <row r="140" spans="3:31" ht="16.5" thickBot="1">
      <c r="C140" s="349" t="s">
        <v>1379</v>
      </c>
      <c r="D140" s="349" t="s">
        <v>1351</v>
      </c>
      <c r="E140" s="349" t="s">
        <v>1351</v>
      </c>
      <c r="F140" s="349" t="s">
        <v>1352</v>
      </c>
      <c r="G140" s="348">
        <v>45323</v>
      </c>
      <c r="H140" s="351" t="s">
        <v>1366</v>
      </c>
      <c r="I140" s="373" t="s">
        <v>298</v>
      </c>
      <c r="J140" s="401"/>
      <c r="K140" s="341" t="s">
        <v>1357</v>
      </c>
      <c r="M140" s="461" t="s">
        <v>547</v>
      </c>
      <c r="N140" s="115" t="s">
        <v>687</v>
      </c>
      <c r="O140" s="115" t="str">
        <f>VLOOKUP(LEFT(M140,LEN(M140)-2),'Date SPV'!$B$4:$D$34,3,FALSE)</f>
        <v>General Building Management SRL</v>
      </c>
      <c r="P140" s="462" t="s">
        <v>1405</v>
      </c>
      <c r="Q140" s="462" t="s">
        <v>1405</v>
      </c>
      <c r="R140" s="462" t="s">
        <v>1405</v>
      </c>
      <c r="S140" s="115" t="str">
        <f>VLOOKUP(VLOOKUP(LEFT(M140,LEN(M140)-2),'Date SPV'!$B$4:$F$34,5,FALSE),'Date SPV'!$T$4:$U$11,2,FALSE)</f>
        <v>Distributie Energie Oltenia</v>
      </c>
      <c r="T140" s="115" t="str">
        <f>VLOOKUP(M140,'Contorizare in SDI'!$B:$D,3,FALSE)</f>
        <v>59401010000363258971716818</v>
      </c>
      <c r="U140" s="115" t="str">
        <f>VLOOKUP(N140,'Contorizare in SDI'!$F:$H,3,FALSE)</f>
        <v>59401010000363258971716818/3</v>
      </c>
      <c r="V140" s="465" t="s">
        <v>1357</v>
      </c>
      <c r="W140" s="464">
        <f>HLOOKUP(VLOOKUP(LEFT(M140,LEN(M140)-2),'Date SPV'!$B$4:$F$34,5,FALSE),'Preturi si tarife'!$C$2:$J$21,17,FALSE)</f>
        <v>0.97511760000000003</v>
      </c>
      <c r="Y140" s="30" t="s">
        <v>559</v>
      </c>
      <c r="Z140" s="29" t="s">
        <v>69</v>
      </c>
      <c r="AA140" s="29" t="s">
        <v>990</v>
      </c>
      <c r="AB140" s="29" t="s">
        <v>69</v>
      </c>
      <c r="AC140" s="549">
        <v>0</v>
      </c>
      <c r="AD140" s="549">
        <v>0</v>
      </c>
      <c r="AE140" s="393">
        <f>'Inchidere contur'!D141</f>
        <v>0</v>
      </c>
    </row>
    <row r="141" spans="3:31" ht="16.5" thickBot="1">
      <c r="C141" s="349" t="s">
        <v>1379</v>
      </c>
      <c r="D141" s="349" t="s">
        <v>1351</v>
      </c>
      <c r="E141" s="349" t="s">
        <v>1351</v>
      </c>
      <c r="F141" s="349" t="s">
        <v>1352</v>
      </c>
      <c r="G141" s="348">
        <v>45323</v>
      </c>
      <c r="H141" s="351" t="s">
        <v>1366</v>
      </c>
      <c r="I141" s="373" t="s">
        <v>298</v>
      </c>
      <c r="J141" s="401"/>
      <c r="K141" s="341" t="s">
        <v>1358</v>
      </c>
      <c r="M141" s="461" t="s">
        <v>547</v>
      </c>
      <c r="N141" s="115" t="s">
        <v>687</v>
      </c>
      <c r="O141" s="115" t="str">
        <f>VLOOKUP(LEFT(M141,LEN(M141)-2),'Date SPV'!$B$4:$D$34,3,FALSE)</f>
        <v>General Building Management SRL</v>
      </c>
      <c r="P141" s="462" t="s">
        <v>1405</v>
      </c>
      <c r="Q141" s="462" t="s">
        <v>1405</v>
      </c>
      <c r="R141" s="462" t="s">
        <v>1405</v>
      </c>
      <c r="S141" s="115" t="str">
        <f>VLOOKUP(VLOOKUP(LEFT(M141,LEN(M141)-2),'Date SPV'!$B$4:$F$34,5,FALSE),'Date SPV'!$T$4:$U$11,2,FALSE)</f>
        <v>Distributie Energie Oltenia</v>
      </c>
      <c r="T141" s="115" t="str">
        <f>VLOOKUP(M141,'Contorizare in SDI'!$B:$D,3,FALSE)</f>
        <v>59401010000363258971716818</v>
      </c>
      <c r="U141" s="115" t="str">
        <f>VLOOKUP(N141,'Contorizare in SDI'!$F:$H,3,FALSE)</f>
        <v>59401010000363258971716818/3</v>
      </c>
      <c r="V141" s="465" t="s">
        <v>1358</v>
      </c>
      <c r="W141" s="464">
        <f>SUMIF($AB:$AB,N141,$AD:$AD)</f>
        <v>0</v>
      </c>
      <c r="Y141" s="30" t="s">
        <v>560</v>
      </c>
      <c r="Z141" s="29" t="s">
        <v>69</v>
      </c>
      <c r="AA141" s="29" t="s">
        <v>654</v>
      </c>
      <c r="AB141" s="29" t="s">
        <v>69</v>
      </c>
      <c r="AC141" s="549">
        <v>0</v>
      </c>
      <c r="AD141" s="549">
        <v>0</v>
      </c>
      <c r="AE141" s="393">
        <f>'Inchidere contur'!D142</f>
        <v>0</v>
      </c>
    </row>
    <row r="142" spans="3:31" ht="16.5" thickBot="1">
      <c r="C142" s="349" t="s">
        <v>1379</v>
      </c>
      <c r="D142" s="349" t="s">
        <v>1351</v>
      </c>
      <c r="E142" s="349" t="s">
        <v>1351</v>
      </c>
      <c r="F142" s="349" t="s">
        <v>1352</v>
      </c>
      <c r="G142" s="348">
        <v>45323</v>
      </c>
      <c r="H142" s="351" t="s">
        <v>1366</v>
      </c>
      <c r="I142" s="373" t="s">
        <v>298</v>
      </c>
      <c r="J142" s="401"/>
      <c r="K142" s="341" t="s">
        <v>1357</v>
      </c>
      <c r="M142" s="461" t="s">
        <v>547</v>
      </c>
      <c r="N142" s="115" t="s">
        <v>687</v>
      </c>
      <c r="O142" s="115" t="str">
        <f>VLOOKUP(LEFT(M142,LEN(M142)-2),'Date SPV'!$B$4:$D$34,3,FALSE)</f>
        <v>General Building Management SRL</v>
      </c>
      <c r="P142" s="462" t="s">
        <v>1405</v>
      </c>
      <c r="Q142" s="462" t="s">
        <v>1405</v>
      </c>
      <c r="R142" s="462" t="s">
        <v>1405</v>
      </c>
      <c r="S142" s="115" t="str">
        <f>VLOOKUP(VLOOKUP(LEFT(M142,LEN(M142)-2),'Date SPV'!$B$4:$F$34,5,FALSE),'Date SPV'!$T$4:$U$11,2,FALSE)</f>
        <v>Distributie Energie Oltenia</v>
      </c>
      <c r="T142" s="115" t="str">
        <f>VLOOKUP(M142,'Contorizare in SDI'!$B:$D,3,FALSE)</f>
        <v>59401010000363258971716818</v>
      </c>
      <c r="U142" s="115" t="str">
        <f>VLOOKUP(N142,'Contorizare in SDI'!$F:$H,3,FALSE)</f>
        <v>59401010000363258971716818/3</v>
      </c>
      <c r="V142" s="465" t="s">
        <v>1357</v>
      </c>
      <c r="W142" s="464">
        <f>HLOOKUP(VLOOKUP(LEFT(M142,LEN(M142)-2),'Date SPV'!$B$4:$F$34,5,FALSE),'Preturi si tarife'!$C$2:$J$21,18,FALSE)</f>
        <v>0.85521760000000002</v>
      </c>
      <c r="Y142" s="30" t="s">
        <v>560</v>
      </c>
      <c r="Z142" s="29" t="s">
        <v>69</v>
      </c>
      <c r="AA142" s="29" t="s">
        <v>991</v>
      </c>
      <c r="AB142" s="29" t="s">
        <v>69</v>
      </c>
      <c r="AC142" s="549">
        <v>0</v>
      </c>
      <c r="AD142" s="549">
        <v>0</v>
      </c>
      <c r="AE142" s="393">
        <f>'Inchidere contur'!D143</f>
        <v>0</v>
      </c>
    </row>
    <row r="143" spans="3:31" ht="16.5" thickBot="1">
      <c r="C143" s="349" t="s">
        <v>1379</v>
      </c>
      <c r="D143" s="349"/>
      <c r="E143" s="371"/>
      <c r="F143" s="347"/>
      <c r="G143" s="348"/>
      <c r="H143" s="349"/>
      <c r="I143" s="372" t="s">
        <v>292</v>
      </c>
      <c r="J143" s="401"/>
      <c r="K143" s="347" t="s">
        <v>1360</v>
      </c>
      <c r="M143" s="461" t="s">
        <v>547</v>
      </c>
      <c r="N143" s="115" t="s">
        <v>69</v>
      </c>
      <c r="O143" s="115" t="str">
        <f>VLOOKUP(LEFT(M143,LEN(M143)-2),'Date SPV'!$B$4:$D$34,3,FALSE)</f>
        <v>General Building Management SRL</v>
      </c>
      <c r="P143" s="462" t="s">
        <v>1405</v>
      </c>
      <c r="Q143" s="462" t="s">
        <v>1405</v>
      </c>
      <c r="R143" s="462" t="s">
        <v>1405</v>
      </c>
      <c r="S143" s="115" t="str">
        <f>VLOOKUP(VLOOKUP(LEFT(M143,LEN(M143)-2),'Date SPV'!$B$4:$F$34,5,FALSE),'Date SPV'!$T$4:$U$11,2,FALSE)</f>
        <v>Distributie Energie Oltenia</v>
      </c>
      <c r="T143" s="115" t="str">
        <f>VLOOKUP(M143,'Contorizare in SDI'!$B:$D,3,FALSE)</f>
        <v>59401010000363258971716818</v>
      </c>
      <c r="U143" s="115" t="str">
        <f>VLOOKUP(N143,'Contorizare in SDI'!$F:$H,3,FALSE)</f>
        <v>-</v>
      </c>
      <c r="V143" s="465" t="s">
        <v>1360</v>
      </c>
      <c r="W143" s="464">
        <f>SUMIF($AB:$AB,N142,$AE:$AE)</f>
        <v>0</v>
      </c>
      <c r="Y143" s="30" t="s">
        <v>561</v>
      </c>
      <c r="Z143" s="29" t="s">
        <v>69</v>
      </c>
      <c r="AA143" s="29" t="s">
        <v>655</v>
      </c>
      <c r="AB143" s="29" t="s">
        <v>69</v>
      </c>
      <c r="AC143" s="549">
        <v>0</v>
      </c>
      <c r="AD143" s="549">
        <v>0</v>
      </c>
      <c r="AE143" s="393">
        <f>'Inchidere contur'!D144</f>
        <v>0</v>
      </c>
    </row>
    <row r="144" spans="3:31" ht="16.5" thickBot="1">
      <c r="C144" s="349" t="s">
        <v>1379</v>
      </c>
      <c r="D144" s="349"/>
      <c r="E144" s="371"/>
      <c r="F144" s="347"/>
      <c r="G144" s="348"/>
      <c r="H144" s="349"/>
      <c r="I144" s="372" t="s">
        <v>292</v>
      </c>
      <c r="J144" s="401"/>
      <c r="K144" s="347" t="s">
        <v>1357</v>
      </c>
      <c r="M144" s="466" t="s">
        <v>547</v>
      </c>
      <c r="N144" s="467" t="s">
        <v>69</v>
      </c>
      <c r="O144" s="467" t="str">
        <f>VLOOKUP(LEFT(M144,LEN(M144)-2),'Date SPV'!$B$4:$D$34,3,FALSE)</f>
        <v>General Building Management SRL</v>
      </c>
      <c r="P144" s="468" t="s">
        <v>1405</v>
      </c>
      <c r="Q144" s="468" t="s">
        <v>1405</v>
      </c>
      <c r="R144" s="468" t="s">
        <v>1405</v>
      </c>
      <c r="S144" s="467" t="str">
        <f>VLOOKUP(VLOOKUP(LEFT(M144,LEN(M144)-2),'Date SPV'!$B$4:$F$34,5,FALSE),'Date SPV'!$T$4:$U$11,2,FALSE)</f>
        <v>Distributie Energie Oltenia</v>
      </c>
      <c r="T144" s="467" t="str">
        <f>VLOOKUP(M144,'Contorizare in SDI'!$B:$D,3,FALSE)</f>
        <v>59401010000363258971716818</v>
      </c>
      <c r="U144" s="467" t="str">
        <f>VLOOKUP(N144,'Contorizare in SDI'!$F:$H,3,FALSE)</f>
        <v>-</v>
      </c>
      <c r="V144" s="469" t="s">
        <v>1357</v>
      </c>
      <c r="W144" s="470">
        <f>HLOOKUP(VLOOKUP(LEFT(M144,LEN(M144)-2),'Date SPV'!$B$4:$F$34,5,FALSE),'Preturi si tarife'!$C$2:$J$21,3,FALSE)</f>
        <v>0.59499999999999997</v>
      </c>
      <c r="Y144" s="30" t="s">
        <v>561</v>
      </c>
      <c r="Z144" s="29" t="s">
        <v>69</v>
      </c>
      <c r="AA144" s="29" t="s">
        <v>992</v>
      </c>
      <c r="AB144" s="29" t="s">
        <v>69</v>
      </c>
      <c r="AC144" s="549">
        <v>0</v>
      </c>
      <c r="AD144" s="549">
        <v>0</v>
      </c>
      <c r="AE144" s="393">
        <f>'Inchidere contur'!D145</f>
        <v>0</v>
      </c>
    </row>
    <row r="145" spans="3:31" ht="16.5" thickBot="1">
      <c r="C145" s="374" t="s">
        <v>1380</v>
      </c>
      <c r="D145" s="375" t="s">
        <v>1351</v>
      </c>
      <c r="E145" s="375" t="s">
        <v>1351</v>
      </c>
      <c r="F145" s="375" t="s">
        <v>1352</v>
      </c>
      <c r="G145" s="376">
        <v>45292</v>
      </c>
      <c r="H145" s="374" t="s">
        <v>1374</v>
      </c>
      <c r="I145" s="377" t="s">
        <v>437</v>
      </c>
      <c r="J145" s="400"/>
      <c r="K145" s="375" t="s">
        <v>1354</v>
      </c>
      <c r="M145" s="474" t="s">
        <v>526</v>
      </c>
      <c r="N145" s="475" t="s">
        <v>69</v>
      </c>
      <c r="O145" s="475" t="str">
        <f>VLOOKUP(LEFT(M145,LEN(M145)-2),'Date SPV'!$B$4:$D$34,3,FALSE)</f>
        <v>Ploiesti Shopping City SRL</v>
      </c>
      <c r="P145" s="476" t="s">
        <v>1405</v>
      </c>
      <c r="Q145" s="476" t="s">
        <v>1405</v>
      </c>
      <c r="R145" s="476" t="s">
        <v>1405</v>
      </c>
      <c r="S145" s="475" t="str">
        <f>VLOOKUP(VLOOKUP(LEFT(M145,LEN(M145)-2),'Date SPV'!$B$4:$F$34,5,FALSE),'Date SPV'!$T$4:$U$11,2,FALSE)</f>
        <v>DEER Muntenia Nord</v>
      </c>
      <c r="T145" s="475" t="str">
        <f>VLOOKUP(M145,'Contorizare in SDI'!$B:$D,3,FALSE)</f>
        <v>594030100003367652</v>
      </c>
      <c r="U145" s="475" t="s">
        <v>69</v>
      </c>
      <c r="V145" s="477" t="s">
        <v>1354</v>
      </c>
      <c r="W145" s="478">
        <f>W147+W149+W151+W153</f>
        <v>220510.50000000003</v>
      </c>
      <c r="Y145" s="93" t="s">
        <v>562</v>
      </c>
      <c r="Z145" s="94" t="s">
        <v>69</v>
      </c>
      <c r="AA145" s="97" t="s">
        <v>562</v>
      </c>
      <c r="AB145" s="94" t="s">
        <v>69</v>
      </c>
      <c r="AC145" s="548">
        <v>0</v>
      </c>
      <c r="AD145" s="548">
        <v>0</v>
      </c>
      <c r="AE145" s="393">
        <f>'Inchidere contur'!D146</f>
        <v>0</v>
      </c>
    </row>
    <row r="146" spans="3:31" ht="16.5" thickBot="1">
      <c r="C146" s="349" t="s">
        <v>1380</v>
      </c>
      <c r="D146" s="347" t="s">
        <v>1351</v>
      </c>
      <c r="E146" s="347" t="s">
        <v>1351</v>
      </c>
      <c r="F146" s="347" t="s">
        <v>1352</v>
      </c>
      <c r="G146" s="348">
        <v>45292</v>
      </c>
      <c r="H146" s="349" t="s">
        <v>1374</v>
      </c>
      <c r="I146" s="351" t="s">
        <v>146</v>
      </c>
      <c r="J146" s="400"/>
      <c r="K146" s="347" t="s">
        <v>1355</v>
      </c>
      <c r="M146" s="479" t="s">
        <v>526</v>
      </c>
      <c r="N146" s="480" t="s">
        <v>69</v>
      </c>
      <c r="O146" s="480" t="str">
        <f>VLOOKUP(LEFT(M146,LEN(M146)-2),'Date SPV'!$B$4:$D$34,3,FALSE)</f>
        <v>Ploiesti Shopping City SRL</v>
      </c>
      <c r="P146" s="481" t="s">
        <v>1405</v>
      </c>
      <c r="Q146" s="481" t="s">
        <v>1405</v>
      </c>
      <c r="R146" s="481" t="s">
        <v>1405</v>
      </c>
      <c r="S146" s="480" t="str">
        <f>VLOOKUP(VLOOKUP(LEFT(M146,LEN(M146)-2),'Date SPV'!$B$4:$F$34,5,FALSE),'Date SPV'!$T$4:$U$11,2,FALSE)</f>
        <v>DEER Muntenia Nord</v>
      </c>
      <c r="T146" s="480" t="str">
        <f>VLOOKUP(M146,'Contorizare in SDI'!$B:$D,3,FALSE)</f>
        <v>594030100003367652</v>
      </c>
      <c r="U146" s="480" t="s">
        <v>69</v>
      </c>
      <c r="V146" s="482" t="s">
        <v>1355</v>
      </c>
      <c r="W146" s="483">
        <f>ROUND(W147*W148+W149*W150+W151*W152+W153*W154,2)</f>
        <v>208451.5</v>
      </c>
      <c r="Y146" s="389" t="s">
        <v>563</v>
      </c>
      <c r="Z146" s="390" t="s">
        <v>693</v>
      </c>
      <c r="AA146" s="390" t="s">
        <v>656</v>
      </c>
      <c r="AB146" s="390" t="s">
        <v>693</v>
      </c>
      <c r="AC146" s="548">
        <v>0</v>
      </c>
      <c r="AD146" s="548">
        <v>5344</v>
      </c>
      <c r="AE146" s="393">
        <f>'Inchidere contur'!D147</f>
        <v>0</v>
      </c>
    </row>
    <row r="147" spans="3:31" ht="16.5" thickBot="1">
      <c r="C147" s="349" t="s">
        <v>1380</v>
      </c>
      <c r="D147" s="347" t="s">
        <v>1351</v>
      </c>
      <c r="E147" s="347" t="s">
        <v>1351</v>
      </c>
      <c r="F147" s="347" t="s">
        <v>1352</v>
      </c>
      <c r="G147" s="348">
        <v>45292</v>
      </c>
      <c r="H147" s="349" t="s">
        <v>1374</v>
      </c>
      <c r="I147" s="351" t="s">
        <v>146</v>
      </c>
      <c r="J147" s="400"/>
      <c r="K147" s="341" t="s">
        <v>1356</v>
      </c>
      <c r="M147" s="479" t="s">
        <v>526</v>
      </c>
      <c r="N147" s="480" t="s">
        <v>666</v>
      </c>
      <c r="O147" s="480" t="str">
        <f>VLOOKUP(LEFT(M147,LEN(M147)-2),'Date SPV'!$B$4:$D$34,3,FALSE)</f>
        <v>Ploiesti Shopping City SRL</v>
      </c>
      <c r="P147" s="481" t="s">
        <v>1405</v>
      </c>
      <c r="Q147" s="481" t="s">
        <v>1405</v>
      </c>
      <c r="R147" s="481" t="s">
        <v>1405</v>
      </c>
      <c r="S147" s="480" t="str">
        <f>VLOOKUP(VLOOKUP(LEFT(M147,LEN(M147)-2),'Date SPV'!$B$4:$F$34,5,FALSE),'Date SPV'!$T$4:$U$11,2,FALSE)</f>
        <v>DEER Muntenia Nord</v>
      </c>
      <c r="T147" s="480" t="str">
        <f>VLOOKUP(M147,'Contorizare in SDI'!$B:$D,3,FALSE)</f>
        <v>594030100003367652</v>
      </c>
      <c r="U147" s="480" t="str">
        <f>VLOOKUP(N147,'Contorizare in SDI'!$F:$H,3,FALSE)</f>
        <v>594030100003367652/2</v>
      </c>
      <c r="V147" s="484" t="s">
        <v>1356</v>
      </c>
      <c r="W147" s="483">
        <f>SUMIF($AB:$AB,N147,$AC:$AC)</f>
        <v>133343</v>
      </c>
      <c r="Y147" s="394" t="s">
        <v>563</v>
      </c>
      <c r="Z147" s="391" t="s">
        <v>69</v>
      </c>
      <c r="AA147" s="391" t="s">
        <v>993</v>
      </c>
      <c r="AB147" s="391" t="s">
        <v>69</v>
      </c>
      <c r="AC147" s="548">
        <v>0</v>
      </c>
      <c r="AD147" s="548">
        <v>0</v>
      </c>
      <c r="AE147" s="393">
        <f>'Inchidere contur'!D148</f>
        <v>0</v>
      </c>
    </row>
    <row r="148" spans="3:31" ht="16.5" thickBot="1">
      <c r="C148" s="349" t="s">
        <v>1380</v>
      </c>
      <c r="D148" s="347" t="s">
        <v>1351</v>
      </c>
      <c r="E148" s="347" t="s">
        <v>1351</v>
      </c>
      <c r="F148" s="347" t="s">
        <v>1352</v>
      </c>
      <c r="G148" s="348">
        <v>45292</v>
      </c>
      <c r="H148" s="349" t="s">
        <v>1374</v>
      </c>
      <c r="I148" s="351" t="s">
        <v>146</v>
      </c>
      <c r="J148" s="400"/>
      <c r="K148" s="341" t="s">
        <v>1357</v>
      </c>
      <c r="M148" s="479" t="s">
        <v>526</v>
      </c>
      <c r="N148" s="480" t="s">
        <v>666</v>
      </c>
      <c r="O148" s="480" t="str">
        <f>VLOOKUP(LEFT(M148,LEN(M148)-2),'Date SPV'!$B$4:$D$34,3,FALSE)</f>
        <v>Ploiesti Shopping City SRL</v>
      </c>
      <c r="P148" s="481" t="s">
        <v>1405</v>
      </c>
      <c r="Q148" s="481" t="s">
        <v>1405</v>
      </c>
      <c r="R148" s="481" t="s">
        <v>1405</v>
      </c>
      <c r="S148" s="480" t="str">
        <f>VLOOKUP(VLOOKUP(LEFT(M148,LEN(M148)-2),'Date SPV'!$B$4:$F$34,5,FALSE),'Date SPV'!$T$4:$U$11,2,FALSE)</f>
        <v>DEER Muntenia Nord</v>
      </c>
      <c r="T148" s="480" t="str">
        <f>VLOOKUP(M148,'Contorizare in SDI'!$B:$D,3,FALSE)</f>
        <v>594030100003367652</v>
      </c>
      <c r="U148" s="480" t="str">
        <f>VLOOKUP(N148,'Contorizare in SDI'!$F:$H,3,FALSE)</f>
        <v>594030100003367652/2</v>
      </c>
      <c r="V148" s="484" t="s">
        <v>1357</v>
      </c>
      <c r="W148" s="483">
        <f>HLOOKUP(VLOOKUP(LEFT(M148,LEN(M148)-2),'Date SPV'!$B$4:$F$34,5,FALSE),'Preturi si tarife'!$C$2:$J$21,17,FALSE)</f>
        <v>0.96800760000000008</v>
      </c>
      <c r="Y148" s="394" t="s">
        <v>564</v>
      </c>
      <c r="Z148" s="391" t="s">
        <v>694</v>
      </c>
      <c r="AA148" s="391" t="s">
        <v>657</v>
      </c>
      <c r="AB148" s="391" t="s">
        <v>694</v>
      </c>
      <c r="AC148" s="548">
        <v>36153</v>
      </c>
      <c r="AD148" s="548">
        <v>0</v>
      </c>
      <c r="AE148" s="393">
        <f>'Inchidere contur'!D149</f>
        <v>0</v>
      </c>
    </row>
    <row r="149" spans="3:31" ht="16.5" thickBot="1">
      <c r="C149" s="349" t="s">
        <v>1380</v>
      </c>
      <c r="D149" s="347" t="s">
        <v>1351</v>
      </c>
      <c r="E149" s="347" t="s">
        <v>1351</v>
      </c>
      <c r="F149" s="347" t="s">
        <v>1352</v>
      </c>
      <c r="G149" s="348">
        <v>45292</v>
      </c>
      <c r="H149" s="349" t="s">
        <v>1374</v>
      </c>
      <c r="I149" s="351" t="s">
        <v>145</v>
      </c>
      <c r="J149" s="400"/>
      <c r="K149" s="341" t="s">
        <v>1358</v>
      </c>
      <c r="M149" s="479" t="s">
        <v>526</v>
      </c>
      <c r="N149" s="480" t="s">
        <v>666</v>
      </c>
      <c r="O149" s="480" t="str">
        <f>VLOOKUP(LEFT(M149,LEN(M149)-2),'Date SPV'!$B$4:$D$34,3,FALSE)</f>
        <v>Ploiesti Shopping City SRL</v>
      </c>
      <c r="P149" s="481" t="s">
        <v>1405</v>
      </c>
      <c r="Q149" s="481" t="s">
        <v>1405</v>
      </c>
      <c r="R149" s="481" t="s">
        <v>1405</v>
      </c>
      <c r="S149" s="480" t="str">
        <f>VLOOKUP(VLOOKUP(LEFT(M149,LEN(M149)-2),'Date SPV'!$B$4:$F$34,5,FALSE),'Date SPV'!$T$4:$U$11,2,FALSE)</f>
        <v>DEER Muntenia Nord</v>
      </c>
      <c r="T149" s="480" t="str">
        <f>VLOOKUP(M149,'Contorizare in SDI'!$B:$D,3,FALSE)</f>
        <v>594030100003367652</v>
      </c>
      <c r="U149" s="480" t="str">
        <f>VLOOKUP(N149,'Contorizare in SDI'!$F:$H,3,FALSE)</f>
        <v>594030100003367652/2</v>
      </c>
      <c r="V149" s="484" t="s">
        <v>1358</v>
      </c>
      <c r="W149" s="483">
        <f>SUMIF($AB:$AB,N149,$AD:$AD)</f>
        <v>37318</v>
      </c>
      <c r="Y149" s="394" t="s">
        <v>564</v>
      </c>
      <c r="Z149" s="391" t="s">
        <v>69</v>
      </c>
      <c r="AA149" s="391" t="s">
        <v>994</v>
      </c>
      <c r="AB149" s="391" t="s">
        <v>69</v>
      </c>
      <c r="AC149" s="549">
        <v>0</v>
      </c>
      <c r="AD149" s="549">
        <v>0</v>
      </c>
      <c r="AE149" s="393">
        <f>'Inchidere contur'!D150</f>
        <v>0</v>
      </c>
    </row>
    <row r="150" spans="3:31" ht="16.5" thickBot="1">
      <c r="C150" s="349" t="s">
        <v>1380</v>
      </c>
      <c r="D150" s="347" t="s">
        <v>1351</v>
      </c>
      <c r="E150" s="347" t="s">
        <v>1351</v>
      </c>
      <c r="F150" s="347" t="s">
        <v>1352</v>
      </c>
      <c r="G150" s="348">
        <v>45292</v>
      </c>
      <c r="H150" s="349" t="s">
        <v>1374</v>
      </c>
      <c r="I150" s="351" t="s">
        <v>145</v>
      </c>
      <c r="J150" s="400"/>
      <c r="K150" s="341" t="s">
        <v>1357</v>
      </c>
      <c r="M150" s="479" t="s">
        <v>526</v>
      </c>
      <c r="N150" s="480" t="s">
        <v>666</v>
      </c>
      <c r="O150" s="480" t="str">
        <f>VLOOKUP(LEFT(M150,LEN(M150)-2),'Date SPV'!$B$4:$D$34,3,FALSE)</f>
        <v>Ploiesti Shopping City SRL</v>
      </c>
      <c r="P150" s="481" t="s">
        <v>1405</v>
      </c>
      <c r="Q150" s="481" t="s">
        <v>1405</v>
      </c>
      <c r="R150" s="481" t="s">
        <v>1405</v>
      </c>
      <c r="S150" s="480" t="str">
        <f>VLOOKUP(VLOOKUP(LEFT(M150,LEN(M150)-2),'Date SPV'!$B$4:$F$34,5,FALSE),'Date SPV'!$T$4:$U$11,2,FALSE)</f>
        <v>DEER Muntenia Nord</v>
      </c>
      <c r="T150" s="480" t="str">
        <f>VLOOKUP(M150,'Contorizare in SDI'!$B:$D,3,FALSE)</f>
        <v>594030100003367652</v>
      </c>
      <c r="U150" s="480" t="str">
        <f>VLOOKUP(N150,'Contorizare in SDI'!$F:$H,3,FALSE)</f>
        <v>594030100003367652/2</v>
      </c>
      <c r="V150" s="484" t="s">
        <v>1357</v>
      </c>
      <c r="W150" s="483">
        <f>HLOOKUP(VLOOKUP(LEFT(M150,LEN(M150)-2),'Date SPV'!$B$4:$F$34,5,FALSE),'Preturi si tarife'!$C$2:$J$21,18,FALSE)</f>
        <v>0.83390760000000008</v>
      </c>
      <c r="Y150" s="93" t="s">
        <v>565</v>
      </c>
      <c r="Z150" s="94" t="s">
        <v>69</v>
      </c>
      <c r="AA150" s="97" t="s">
        <v>565</v>
      </c>
      <c r="AB150" s="94" t="s">
        <v>69</v>
      </c>
      <c r="AC150" s="548">
        <v>0</v>
      </c>
      <c r="AD150" s="548">
        <v>0</v>
      </c>
      <c r="AE150" s="393">
        <f>'Inchidere contur'!D151</f>
        <v>0</v>
      </c>
    </row>
    <row r="151" spans="3:31" ht="16.5" thickBot="1">
      <c r="C151" s="349" t="s">
        <v>1380</v>
      </c>
      <c r="D151" s="347" t="s">
        <v>1351</v>
      </c>
      <c r="E151" s="347" t="s">
        <v>1351</v>
      </c>
      <c r="F151" s="347" t="s">
        <v>1352</v>
      </c>
      <c r="G151" s="348">
        <v>45627</v>
      </c>
      <c r="H151" s="349" t="s">
        <v>1374</v>
      </c>
      <c r="I151" s="351" t="s">
        <v>147</v>
      </c>
      <c r="K151" s="341" t="s">
        <v>1356</v>
      </c>
      <c r="M151" s="479" t="s">
        <v>526</v>
      </c>
      <c r="N151" s="480" t="s">
        <v>1422</v>
      </c>
      <c r="O151" s="480" t="str">
        <f>VLOOKUP(LEFT(M151,LEN(M151)-2),'Date SPV'!$B$4:$D$34,3,FALSE)</f>
        <v>Ploiesti Shopping City SRL</v>
      </c>
      <c r="P151" s="481" t="s">
        <v>1405</v>
      </c>
      <c r="Q151" s="481" t="s">
        <v>1405</v>
      </c>
      <c r="R151" s="481" t="s">
        <v>1405</v>
      </c>
      <c r="S151" s="480" t="str">
        <f>VLOOKUP(VLOOKUP(LEFT(M151,LEN(M151)-2),'Date SPV'!$B$4:$F$34,5,FALSE),'Date SPV'!$T$4:$U$11,2,FALSE)</f>
        <v>DEER Muntenia Nord</v>
      </c>
      <c r="T151" s="480" t="str">
        <f>VLOOKUP(M151,'Contorizare in SDI'!$B:$D,3,FALSE)</f>
        <v>594030100003367652</v>
      </c>
      <c r="U151" s="480" t="str">
        <f>VLOOKUP(N151,'Contorizare in SDI'!$F:$H,3,FALSE)</f>
        <v>594030100003367652/3</v>
      </c>
      <c r="V151" s="484" t="s">
        <v>1356</v>
      </c>
      <c r="W151" s="483">
        <f>SUMIF($AB:$AB,N151,$AC:$AC)</f>
        <v>49849.500000000036</v>
      </c>
      <c r="Y151" s="509" t="s">
        <v>566</v>
      </c>
      <c r="Z151" s="405" t="s">
        <v>1132</v>
      </c>
      <c r="AA151" s="510" t="s">
        <v>658</v>
      </c>
      <c r="AB151" s="405" t="s">
        <v>1132</v>
      </c>
      <c r="AC151" s="549">
        <v>30925</v>
      </c>
      <c r="AD151" s="549">
        <v>17996</v>
      </c>
      <c r="AE151" s="393">
        <f>'Inchidere contur'!D152</f>
        <v>0</v>
      </c>
    </row>
    <row r="152" spans="3:31" ht="16.5" thickBot="1">
      <c r="C152" s="349" t="s">
        <v>1380</v>
      </c>
      <c r="D152" s="347" t="s">
        <v>1351</v>
      </c>
      <c r="E152" s="347" t="s">
        <v>1351</v>
      </c>
      <c r="F152" s="347" t="s">
        <v>1352</v>
      </c>
      <c r="G152" s="348">
        <v>45628</v>
      </c>
      <c r="H152" s="349" t="s">
        <v>1374</v>
      </c>
      <c r="I152" s="351" t="s">
        <v>147</v>
      </c>
      <c r="K152" s="341" t="s">
        <v>1357</v>
      </c>
      <c r="M152" s="479" t="s">
        <v>526</v>
      </c>
      <c r="N152" s="480" t="s">
        <v>1422</v>
      </c>
      <c r="O152" s="480" t="str">
        <f>VLOOKUP(LEFT(M152,LEN(M152)-2),'Date SPV'!$B$4:$D$34,3,FALSE)</f>
        <v>Ploiesti Shopping City SRL</v>
      </c>
      <c r="P152" s="481" t="s">
        <v>1405</v>
      </c>
      <c r="Q152" s="481" t="s">
        <v>1405</v>
      </c>
      <c r="R152" s="481" t="s">
        <v>1405</v>
      </c>
      <c r="S152" s="480" t="str">
        <f>VLOOKUP(VLOOKUP(LEFT(M152,LEN(M152)-2),'Date SPV'!$B$4:$F$34,5,FALSE),'Date SPV'!$T$4:$U$11,2,FALSE)</f>
        <v>DEER Muntenia Nord</v>
      </c>
      <c r="T152" s="480" t="str">
        <f>VLOOKUP(M152,'Contorizare in SDI'!$B:$D,3,FALSE)</f>
        <v>594030100003367652</v>
      </c>
      <c r="U152" s="480" t="str">
        <f>VLOOKUP(N152,'Contorizare in SDI'!$F:$H,3,FALSE)</f>
        <v>594030100003367652/3</v>
      </c>
      <c r="V152" s="484" t="s">
        <v>1357</v>
      </c>
      <c r="W152" s="483">
        <f>HLOOKUP(VLOOKUP(LEFT(M152,LEN(M152)-2),'Date SPV'!$B$4:$F$34,5,FALSE),'Preturi si tarife'!$C$2:$J$21,17,FALSE)</f>
        <v>0.96800760000000008</v>
      </c>
      <c r="Y152" s="30" t="s">
        <v>566</v>
      </c>
      <c r="Z152" s="405" t="s">
        <v>1437</v>
      </c>
      <c r="AA152" s="29" t="s">
        <v>659</v>
      </c>
      <c r="AB152" s="405" t="s">
        <v>1437</v>
      </c>
      <c r="AC152" s="549">
        <v>56711</v>
      </c>
      <c r="AD152" s="549">
        <v>207</v>
      </c>
      <c r="AE152" s="393">
        <f>'Inchidere contur'!D153</f>
        <v>0</v>
      </c>
    </row>
    <row r="153" spans="3:31" ht="16.5" thickBot="1">
      <c r="C153" s="349" t="s">
        <v>1380</v>
      </c>
      <c r="D153" s="347" t="s">
        <v>1351</v>
      </c>
      <c r="E153" s="347" t="s">
        <v>1351</v>
      </c>
      <c r="F153" s="347" t="s">
        <v>1352</v>
      </c>
      <c r="G153" s="348">
        <v>45629</v>
      </c>
      <c r="H153" s="349" t="s">
        <v>1374</v>
      </c>
      <c r="I153" s="351" t="s">
        <v>147</v>
      </c>
      <c r="K153" s="341" t="s">
        <v>1358</v>
      </c>
      <c r="M153" s="479" t="s">
        <v>526</v>
      </c>
      <c r="N153" s="480" t="s">
        <v>1422</v>
      </c>
      <c r="O153" s="480" t="str">
        <f>VLOOKUP(LEFT(M153,LEN(M153)-2),'Date SPV'!$B$4:$D$34,3,FALSE)</f>
        <v>Ploiesti Shopping City SRL</v>
      </c>
      <c r="P153" s="481" t="s">
        <v>1405</v>
      </c>
      <c r="Q153" s="481" t="s">
        <v>1405</v>
      </c>
      <c r="R153" s="481" t="s">
        <v>1405</v>
      </c>
      <c r="S153" s="480" t="str">
        <f>VLOOKUP(VLOOKUP(LEFT(M153,LEN(M153)-2),'Date SPV'!$B$4:$F$34,5,FALSE),'Date SPV'!$T$4:$U$11,2,FALSE)</f>
        <v>DEER Muntenia Nord</v>
      </c>
      <c r="T153" s="480" t="str">
        <f>VLOOKUP(M153,'Contorizare in SDI'!$B:$D,3,FALSE)</f>
        <v>594030100003367652</v>
      </c>
      <c r="U153" s="480" t="str">
        <f>VLOOKUP(N153,'Contorizare in SDI'!$F:$H,3,FALSE)</f>
        <v>594030100003367652/3</v>
      </c>
      <c r="V153" s="484" t="s">
        <v>1358</v>
      </c>
      <c r="W153" s="483">
        <f>SUMIF($AB:$AB,N153,$AD:$AD)</f>
        <v>0</v>
      </c>
      <c r="Y153" s="30" t="s">
        <v>566</v>
      </c>
      <c r="Z153" s="29" t="s">
        <v>69</v>
      </c>
      <c r="AA153" s="29" t="s">
        <v>995</v>
      </c>
      <c r="AB153" s="29" t="s">
        <v>69</v>
      </c>
      <c r="AC153" s="549">
        <v>0</v>
      </c>
      <c r="AD153" s="549">
        <v>0</v>
      </c>
      <c r="AE153" s="393">
        <f>'Inchidere contur'!D154</f>
        <v>0</v>
      </c>
    </row>
    <row r="154" spans="3:31" ht="16.5" thickBot="1">
      <c r="C154" s="349" t="s">
        <v>1380</v>
      </c>
      <c r="D154" s="347" t="s">
        <v>1351</v>
      </c>
      <c r="E154" s="347" t="s">
        <v>1351</v>
      </c>
      <c r="F154" s="347" t="s">
        <v>1352</v>
      </c>
      <c r="G154" s="348">
        <v>45630</v>
      </c>
      <c r="H154" s="349" t="s">
        <v>1374</v>
      </c>
      <c r="I154" s="351" t="s">
        <v>147</v>
      </c>
      <c r="K154" s="341" t="s">
        <v>1357</v>
      </c>
      <c r="M154" s="485" t="s">
        <v>526</v>
      </c>
      <c r="N154" s="480" t="s">
        <v>1422</v>
      </c>
      <c r="O154" s="486" t="str">
        <f>VLOOKUP(LEFT(M154,LEN(M154)-2),'Date SPV'!$B$4:$D$34,3,FALSE)</f>
        <v>Ploiesti Shopping City SRL</v>
      </c>
      <c r="P154" s="487" t="s">
        <v>1405</v>
      </c>
      <c r="Q154" s="487" t="s">
        <v>1405</v>
      </c>
      <c r="R154" s="487" t="s">
        <v>1405</v>
      </c>
      <c r="S154" s="486" t="str">
        <f>VLOOKUP(VLOOKUP(LEFT(M154,LEN(M154)-2),'Date SPV'!$B$4:$F$34,5,FALSE),'Date SPV'!$T$4:$U$11,2,FALSE)</f>
        <v>DEER Muntenia Nord</v>
      </c>
      <c r="T154" s="486" t="str">
        <f>VLOOKUP(M154,'Contorizare in SDI'!$B:$D,3,FALSE)</f>
        <v>594030100003367652</v>
      </c>
      <c r="U154" s="486" t="str">
        <f>VLOOKUP(N154,'Contorizare in SDI'!$F:$H,3,FALSE)</f>
        <v>594030100003367652/3</v>
      </c>
      <c r="V154" s="488" t="s">
        <v>1357</v>
      </c>
      <c r="W154" s="489">
        <f>HLOOKUP(VLOOKUP(LEFT(M154,LEN(M154)-2),'Date SPV'!$B$4:$F$34,5,FALSE),'Preturi si tarife'!$C$2:$J$21,18,FALSE)</f>
        <v>0.83390760000000008</v>
      </c>
      <c r="Y154" s="30" t="s">
        <v>567</v>
      </c>
      <c r="Z154" s="405" t="s">
        <v>1438</v>
      </c>
      <c r="AA154" s="29" t="s">
        <v>660</v>
      </c>
      <c r="AB154" s="405" t="s">
        <v>1438</v>
      </c>
      <c r="AC154" s="549">
        <v>4594</v>
      </c>
      <c r="AD154" s="549">
        <v>0</v>
      </c>
      <c r="AE154" s="393">
        <f>'Inchidere contur'!D155</f>
        <v>0</v>
      </c>
    </row>
    <row r="155" spans="3:31" ht="16.5" thickBot="1">
      <c r="C155" s="374" t="s">
        <v>1381</v>
      </c>
      <c r="D155" s="375" t="s">
        <v>1351</v>
      </c>
      <c r="E155" s="375" t="s">
        <v>1351</v>
      </c>
      <c r="F155" s="375" t="s">
        <v>1352</v>
      </c>
      <c r="G155" s="343">
        <v>45323</v>
      </c>
      <c r="H155" s="377" t="s">
        <v>1366</v>
      </c>
      <c r="I155" s="377" t="s">
        <v>1382</v>
      </c>
      <c r="J155" s="400"/>
      <c r="K155" s="342" t="s">
        <v>1354</v>
      </c>
      <c r="M155" s="474" t="s">
        <v>552</v>
      </c>
      <c r="N155" s="475" t="s">
        <v>69</v>
      </c>
      <c r="O155" s="475" t="str">
        <f>VLOOKUP(LEFT(M155,LEN(M155)-2),'Date SPV'!$B$4:$D$34,3,FALSE)</f>
        <v>Severin Shopping Center SRL</v>
      </c>
      <c r="P155" s="476" t="s">
        <v>1405</v>
      </c>
      <c r="Q155" s="476" t="s">
        <v>1405</v>
      </c>
      <c r="R155" s="476" t="s">
        <v>1405</v>
      </c>
      <c r="S155" s="475" t="str">
        <f>VLOOKUP(VLOOKUP(LEFT(M155,LEN(M155)-2),'Date SPV'!$B$4:$F$34,5,FALSE),'Date SPV'!$T$4:$U$11,2,FALSE)</f>
        <v>Distributie Energie Oltenia</v>
      </c>
      <c r="T155" s="475" t="s">
        <v>69</v>
      </c>
      <c r="U155" s="475" t="s">
        <v>69</v>
      </c>
      <c r="V155" s="477" t="s">
        <v>1354</v>
      </c>
      <c r="W155" s="478">
        <f>W157+W159+W161+W163</f>
        <v>157661</v>
      </c>
      <c r="Y155" s="30" t="s">
        <v>567</v>
      </c>
      <c r="Z155" s="29" t="s">
        <v>69</v>
      </c>
      <c r="AA155" s="29" t="s">
        <v>661</v>
      </c>
      <c r="AB155" s="29" t="s">
        <v>69</v>
      </c>
      <c r="AC155" s="549">
        <v>0</v>
      </c>
      <c r="AD155" s="549">
        <v>0</v>
      </c>
      <c r="AE155" s="393">
        <f>'Inchidere contur'!D156</f>
        <v>0</v>
      </c>
    </row>
    <row r="156" spans="3:31" ht="16.5" thickBot="1">
      <c r="C156" s="349" t="s">
        <v>1381</v>
      </c>
      <c r="D156" s="347" t="s">
        <v>1351</v>
      </c>
      <c r="E156" s="347" t="s">
        <v>1351</v>
      </c>
      <c r="F156" s="347" t="s">
        <v>1352</v>
      </c>
      <c r="G156" s="348">
        <v>45323</v>
      </c>
      <c r="H156" s="351" t="s">
        <v>1366</v>
      </c>
      <c r="I156" s="351" t="s">
        <v>1382</v>
      </c>
      <c r="J156" s="400"/>
      <c r="K156" s="347" t="s">
        <v>1355</v>
      </c>
      <c r="M156" s="479" t="s">
        <v>552</v>
      </c>
      <c r="N156" s="480" t="s">
        <v>69</v>
      </c>
      <c r="O156" s="480" t="str">
        <f>VLOOKUP(LEFT(M156,LEN(M156)-2),'Date SPV'!$B$4:$D$34,3,FALSE)</f>
        <v>Severin Shopping Center SRL</v>
      </c>
      <c r="P156" s="481" t="s">
        <v>1405</v>
      </c>
      <c r="Q156" s="481" t="s">
        <v>1405</v>
      </c>
      <c r="R156" s="481" t="s">
        <v>1405</v>
      </c>
      <c r="S156" s="480" t="str">
        <f>VLOOKUP(VLOOKUP(LEFT(M156,LEN(M156)-2),'Date SPV'!$B$4:$F$34,5,FALSE),'Date SPV'!$T$4:$U$11,2,FALSE)</f>
        <v>Distributie Energie Oltenia</v>
      </c>
      <c r="T156" s="480" t="s">
        <v>69</v>
      </c>
      <c r="U156" s="480" t="s">
        <v>69</v>
      </c>
      <c r="V156" s="482" t="s">
        <v>1355</v>
      </c>
      <c r="W156" s="483">
        <f>ROUND(W157*W158+W159*W160+W161*W162+W163*W164,2)</f>
        <v>153738.01999999999</v>
      </c>
      <c r="Y156" s="256" t="s">
        <v>567</v>
      </c>
      <c r="Z156" s="257" t="s">
        <v>69</v>
      </c>
      <c r="AA156" s="257" t="s">
        <v>996</v>
      </c>
      <c r="AB156" s="257" t="s">
        <v>69</v>
      </c>
      <c r="AC156" s="548">
        <v>0</v>
      </c>
      <c r="AD156" s="548">
        <v>0</v>
      </c>
      <c r="AE156" s="393">
        <f>'Inchidere contur'!D157</f>
        <v>0</v>
      </c>
    </row>
    <row r="157" spans="3:31" ht="16.5" thickBot="1">
      <c r="C157" s="349" t="s">
        <v>1381</v>
      </c>
      <c r="D157" s="347" t="s">
        <v>1351</v>
      </c>
      <c r="E157" s="347" t="s">
        <v>1351</v>
      </c>
      <c r="F157" s="347" t="s">
        <v>1352</v>
      </c>
      <c r="G157" s="348">
        <v>45323</v>
      </c>
      <c r="H157" s="351" t="s">
        <v>1366</v>
      </c>
      <c r="I157" s="373" t="s">
        <v>340</v>
      </c>
      <c r="J157" s="401"/>
      <c r="K157" s="341" t="s">
        <v>1356</v>
      </c>
      <c r="M157" s="479" t="s">
        <v>552</v>
      </c>
      <c r="N157" s="480" t="s">
        <v>689</v>
      </c>
      <c r="O157" s="480" t="str">
        <f>VLOOKUP(LEFT(M157,LEN(M157)-2),'Date SPV'!$B$4:$D$34,3,FALSE)</f>
        <v>Severin Shopping Center SRL</v>
      </c>
      <c r="P157" s="481" t="s">
        <v>1405</v>
      </c>
      <c r="Q157" s="481" t="s">
        <v>1405</v>
      </c>
      <c r="R157" s="481" t="s">
        <v>1405</v>
      </c>
      <c r="S157" s="480" t="str">
        <f>VLOOKUP(VLOOKUP(LEFT(M157,LEN(M157)-2),'Date SPV'!$B$4:$F$34,5,FALSE),'Date SPV'!$T$4:$U$11,2,FALSE)</f>
        <v>Distributie Energie Oltenia</v>
      </c>
      <c r="T157" s="480" t="str">
        <f>VLOOKUP(M157,'Contorizare in SDI'!$B:$D,3,FALSE)</f>
        <v>59401040000145272271526125</v>
      </c>
      <c r="U157" s="480" t="str">
        <f>VLOOKUP(N157,'Contorizare in SDI'!$F:$H,3,FALSE)</f>
        <v>59401040000145272271526125/1</v>
      </c>
      <c r="V157" s="484" t="s">
        <v>1356</v>
      </c>
      <c r="W157" s="483">
        <f>SUMIF($AB:$AB,N157,$AC:$AC)</f>
        <v>83063</v>
      </c>
      <c r="Y157" s="453" t="s">
        <v>1272</v>
      </c>
      <c r="Z157" s="454" t="s">
        <v>1291</v>
      </c>
      <c r="AA157" s="454" t="s">
        <v>1273</v>
      </c>
      <c r="AB157" s="454" t="s">
        <v>1291</v>
      </c>
      <c r="AC157" s="548">
        <v>15338</v>
      </c>
      <c r="AD157" s="548">
        <v>0</v>
      </c>
      <c r="AE157" s="393">
        <f>'Inchidere contur'!D158</f>
        <v>659</v>
      </c>
    </row>
    <row r="158" spans="3:31" ht="16.5" thickBot="1">
      <c r="C158" s="349" t="s">
        <v>1381</v>
      </c>
      <c r="D158" s="347" t="s">
        <v>1351</v>
      </c>
      <c r="E158" s="347" t="s">
        <v>1351</v>
      </c>
      <c r="F158" s="347" t="s">
        <v>1352</v>
      </c>
      <c r="G158" s="348">
        <v>45323</v>
      </c>
      <c r="H158" s="351" t="s">
        <v>1366</v>
      </c>
      <c r="I158" s="373" t="s">
        <v>340</v>
      </c>
      <c r="J158" s="401"/>
      <c r="K158" s="341" t="s">
        <v>1357</v>
      </c>
      <c r="M158" s="479" t="s">
        <v>552</v>
      </c>
      <c r="N158" s="480" t="s">
        <v>689</v>
      </c>
      <c r="O158" s="480" t="str">
        <f>VLOOKUP(LEFT(M158,LEN(M158)-2),'Date SPV'!$B$4:$D$34,3,FALSE)</f>
        <v>Severin Shopping Center SRL</v>
      </c>
      <c r="P158" s="481" t="s">
        <v>1405</v>
      </c>
      <c r="Q158" s="481" t="s">
        <v>1405</v>
      </c>
      <c r="R158" s="481" t="s">
        <v>1405</v>
      </c>
      <c r="S158" s="480" t="str">
        <f>VLOOKUP(VLOOKUP(LEFT(M158,LEN(M158)-2),'Date SPV'!$B$4:$F$34,5,FALSE),'Date SPV'!$T$4:$U$11,2,FALSE)</f>
        <v>Distributie Energie Oltenia</v>
      </c>
      <c r="T158" s="480" t="str">
        <f>VLOOKUP(M158,'Contorizare in SDI'!$B:$D,3,FALSE)</f>
        <v>59401040000145272271526125</v>
      </c>
      <c r="U158" s="480" t="str">
        <f>VLOOKUP(N158,'Contorizare in SDI'!$F:$H,3,FALSE)</f>
        <v>59401040000145272271526125/1</v>
      </c>
      <c r="V158" s="484" t="s">
        <v>1357</v>
      </c>
      <c r="W158" s="483">
        <f>HLOOKUP(VLOOKUP(LEFT(M158,LEN(M158)-2),'Date SPV'!$B$4:$F$34,5,FALSE),'Preturi si tarife'!$C$2:$J$21,17,FALSE)</f>
        <v>0.97511760000000003</v>
      </c>
      <c r="Y158" s="453" t="s">
        <v>1272</v>
      </c>
      <c r="Z158" s="454" t="s">
        <v>69</v>
      </c>
      <c r="AA158" s="454" t="s">
        <v>1274</v>
      </c>
      <c r="AB158" s="454" t="s">
        <v>69</v>
      </c>
      <c r="AC158" s="548">
        <v>0</v>
      </c>
      <c r="AD158" s="548">
        <v>0</v>
      </c>
      <c r="AE158" s="393">
        <f>'Inchidere contur'!D159</f>
        <v>659</v>
      </c>
    </row>
    <row r="159" spans="3:31" ht="16.5" thickBot="1">
      <c r="C159" s="349" t="s">
        <v>1381</v>
      </c>
      <c r="D159" s="347" t="s">
        <v>1351</v>
      </c>
      <c r="E159" s="347" t="s">
        <v>1351</v>
      </c>
      <c r="F159" s="347" t="s">
        <v>1352</v>
      </c>
      <c r="G159" s="348">
        <v>45323</v>
      </c>
      <c r="H159" s="351" t="s">
        <v>1366</v>
      </c>
      <c r="I159" s="373" t="s">
        <v>344</v>
      </c>
      <c r="J159" s="401"/>
      <c r="K159" s="341" t="s">
        <v>1356</v>
      </c>
      <c r="M159" s="479" t="s">
        <v>552</v>
      </c>
      <c r="N159" s="480" t="s">
        <v>689</v>
      </c>
      <c r="O159" s="480" t="str">
        <f>VLOOKUP(LEFT(M159,LEN(M159)-2),'Date SPV'!$B$4:$D$34,3,FALSE)</f>
        <v>Severin Shopping Center SRL</v>
      </c>
      <c r="P159" s="481" t="s">
        <v>1405</v>
      </c>
      <c r="Q159" s="481" t="s">
        <v>1405</v>
      </c>
      <c r="R159" s="481" t="s">
        <v>1405</v>
      </c>
      <c r="S159" s="480" t="str">
        <f>VLOOKUP(VLOOKUP(LEFT(M159,LEN(M159)-2),'Date SPV'!$B$4:$F$34,5,FALSE),'Date SPV'!$T$4:$U$11,2,FALSE)</f>
        <v>Distributie Energie Oltenia</v>
      </c>
      <c r="T159" s="480" t="str">
        <f>VLOOKUP(M159,'Contorizare in SDI'!$B:$D,3,FALSE)</f>
        <v>59401040000145272271526125</v>
      </c>
      <c r="U159" s="480" t="str">
        <f>VLOOKUP(N159,'Contorizare in SDI'!$F:$H,3,FALSE)</f>
        <v>59401040000145272271526125/1</v>
      </c>
      <c r="V159" s="484" t="s">
        <v>1358</v>
      </c>
      <c r="W159" s="483">
        <f>SUMIF($AB:$AB,N159,$AD:$AD)</f>
        <v>0</v>
      </c>
      <c r="Y159" s="453" t="s">
        <v>1223</v>
      </c>
      <c r="Z159" s="454" t="s">
        <v>1287</v>
      </c>
      <c r="AA159" s="454" t="s">
        <v>1275</v>
      </c>
      <c r="AB159" s="454" t="s">
        <v>1287</v>
      </c>
      <c r="AC159" s="548">
        <v>11000</v>
      </c>
      <c r="AD159" s="548">
        <v>0</v>
      </c>
      <c r="AE159" s="393">
        <f>'Inchidere contur'!D160</f>
        <v>20304</v>
      </c>
    </row>
    <row r="160" spans="3:31" ht="16.5" thickBot="1">
      <c r="C160" s="349" t="s">
        <v>1381</v>
      </c>
      <c r="D160" s="347" t="s">
        <v>1351</v>
      </c>
      <c r="E160" s="347" t="s">
        <v>1351</v>
      </c>
      <c r="F160" s="347" t="s">
        <v>1352</v>
      </c>
      <c r="G160" s="348">
        <v>45323</v>
      </c>
      <c r="H160" s="351" t="s">
        <v>1366</v>
      </c>
      <c r="I160" s="373" t="s">
        <v>344</v>
      </c>
      <c r="J160" s="401"/>
      <c r="K160" s="341" t="s">
        <v>1357</v>
      </c>
      <c r="M160" s="479" t="s">
        <v>552</v>
      </c>
      <c r="N160" s="480" t="s">
        <v>689</v>
      </c>
      <c r="O160" s="480" t="str">
        <f>VLOOKUP(LEFT(M160,LEN(M160)-2),'Date SPV'!$B$4:$D$34,3,FALSE)</f>
        <v>Severin Shopping Center SRL</v>
      </c>
      <c r="P160" s="481" t="s">
        <v>1405</v>
      </c>
      <c r="Q160" s="481" t="s">
        <v>1405</v>
      </c>
      <c r="R160" s="481" t="s">
        <v>1405</v>
      </c>
      <c r="S160" s="480" t="str">
        <f>VLOOKUP(VLOOKUP(LEFT(M160,LEN(M160)-2),'Date SPV'!$B$4:$F$34,5,FALSE),'Date SPV'!$T$4:$U$11,2,FALSE)</f>
        <v>Distributie Energie Oltenia</v>
      </c>
      <c r="T160" s="480" t="str">
        <f>VLOOKUP(M160,'Contorizare in SDI'!$B:$D,3,FALSE)</f>
        <v>59401040000145272271526125</v>
      </c>
      <c r="U160" s="480" t="str">
        <f>VLOOKUP(N160,'Contorizare in SDI'!$F:$H,3,FALSE)</f>
        <v>59401040000145272271526125/1</v>
      </c>
      <c r="V160" s="484" t="s">
        <v>1357</v>
      </c>
      <c r="W160" s="483">
        <f>HLOOKUP(VLOOKUP(LEFT(M160,LEN(M160)-2),'Date SPV'!$B$4:$F$34,5,FALSE),'Preturi si tarife'!$C$2:$J$21,18,FALSE)</f>
        <v>0.85521760000000002</v>
      </c>
      <c r="Y160" s="453" t="s">
        <v>1223</v>
      </c>
      <c r="Z160" s="391" t="s">
        <v>69</v>
      </c>
      <c r="AA160" s="454" t="s">
        <v>1276</v>
      </c>
      <c r="AB160" s="391" t="s">
        <v>69</v>
      </c>
      <c r="AC160" s="548">
        <v>0</v>
      </c>
      <c r="AD160" s="548">
        <v>0</v>
      </c>
      <c r="AE160" s="393">
        <f>'Inchidere contur'!D161</f>
        <v>20304</v>
      </c>
    </row>
    <row r="161" spans="3:31" ht="16.5" hidden="1" thickBot="1">
      <c r="C161" s="388"/>
      <c r="M161" s="479" t="s">
        <v>553</v>
      </c>
      <c r="N161" s="480" t="s">
        <v>690</v>
      </c>
      <c r="O161" s="480" t="str">
        <f>VLOOKUP(LEFT(M161,LEN(M161)-2),'Date SPV'!$B$4:$D$34,3,FALSE)</f>
        <v>Severin Shopping Center SRL</v>
      </c>
      <c r="P161" s="481" t="s">
        <v>1405</v>
      </c>
      <c r="Q161" s="481" t="s">
        <v>1405</v>
      </c>
      <c r="R161" s="481" t="s">
        <v>1405</v>
      </c>
      <c r="S161" s="480" t="str">
        <f>VLOOKUP(VLOOKUP(LEFT(M161,LEN(M161)-2),'Date SPV'!$B$4:$F$34,5,FALSE),'Date SPV'!$T$4:$U$11,2,FALSE)</f>
        <v>Distributie Energie Oltenia</v>
      </c>
      <c r="T161" s="480" t="str">
        <f>VLOOKUP(M161,'Contorizare in SDI'!$B:$D,3,FALSE)</f>
        <v>59401040000153661371602579</v>
      </c>
      <c r="U161" s="480" t="str">
        <f>VLOOKUP(N161,'Contorizare in SDI'!$F:$H,3,FALSE)</f>
        <v>59401040000153661371602579/1</v>
      </c>
      <c r="V161" s="484" t="s">
        <v>1356</v>
      </c>
      <c r="W161" s="483">
        <f>SUMIF($AB:$AB,N161,$AC:$AC)</f>
        <v>74598</v>
      </c>
      <c r="Y161" s="453" t="s">
        <v>1225</v>
      </c>
      <c r="Z161" s="454" t="s">
        <v>1288</v>
      </c>
      <c r="AA161" s="454" t="s">
        <v>1277</v>
      </c>
      <c r="AB161" s="454" t="s">
        <v>1288</v>
      </c>
      <c r="AC161" s="392">
        <v>19977</v>
      </c>
      <c r="AD161" s="392">
        <v>0</v>
      </c>
      <c r="AE161" s="393">
        <f>'Inchidere contur'!D162</f>
        <v>21751</v>
      </c>
    </row>
    <row r="162" spans="3:31" ht="16.5" hidden="1" thickBot="1">
      <c r="C162" s="388"/>
      <c r="M162" s="479" t="s">
        <v>553</v>
      </c>
      <c r="N162" s="480" t="s">
        <v>690</v>
      </c>
      <c r="O162" s="480" t="str">
        <f>VLOOKUP(LEFT(M162,LEN(M162)-2),'Date SPV'!$B$4:$D$34,3,FALSE)</f>
        <v>Severin Shopping Center SRL</v>
      </c>
      <c r="P162" s="481" t="s">
        <v>1405</v>
      </c>
      <c r="Q162" s="481" t="s">
        <v>1405</v>
      </c>
      <c r="R162" s="481" t="s">
        <v>1405</v>
      </c>
      <c r="S162" s="480" t="str">
        <f>VLOOKUP(VLOOKUP(LEFT(M162,LEN(M162)-2),'Date SPV'!$B$4:$F$34,5,FALSE),'Date SPV'!$T$4:$U$11,2,FALSE)</f>
        <v>Distributie Energie Oltenia</v>
      </c>
      <c r="T162" s="480" t="str">
        <f>VLOOKUP(M162,'Contorizare in SDI'!$B:$D,3,FALSE)</f>
        <v>59401040000153661371602579</v>
      </c>
      <c r="U162" s="480" t="str">
        <f>VLOOKUP(N162,'Contorizare in SDI'!$F:$H,3,FALSE)</f>
        <v>59401040000153661371602579/1</v>
      </c>
      <c r="V162" s="484" t="s">
        <v>1357</v>
      </c>
      <c r="W162" s="483">
        <f>HLOOKUP(VLOOKUP(LEFT(M162,LEN(M162)-2),'Date SPV'!$B$4:$F$34,5,FALSE),'Preturi si tarife'!$C$2:$J$21,17,FALSE)</f>
        <v>0.97511760000000003</v>
      </c>
      <c r="Y162" s="453" t="s">
        <v>1225</v>
      </c>
      <c r="Z162" s="455" t="s">
        <v>69</v>
      </c>
      <c r="AA162" s="454" t="s">
        <v>1278</v>
      </c>
      <c r="AB162" s="455" t="s">
        <v>69</v>
      </c>
      <c r="AC162" s="392">
        <v>0</v>
      </c>
      <c r="AD162" s="392">
        <v>0</v>
      </c>
      <c r="AE162" s="393">
        <f>'Inchidere contur'!D163</f>
        <v>21751</v>
      </c>
    </row>
    <row r="163" spans="3:31" ht="16.5" hidden="1" thickBot="1">
      <c r="C163" s="388"/>
      <c r="M163" s="479" t="s">
        <v>553</v>
      </c>
      <c r="N163" s="480" t="s">
        <v>690</v>
      </c>
      <c r="O163" s="480" t="str">
        <f>VLOOKUP(LEFT(M163,LEN(M163)-2),'Date SPV'!$B$4:$D$34,3,FALSE)</f>
        <v>Severin Shopping Center SRL</v>
      </c>
      <c r="P163" s="481" t="s">
        <v>1405</v>
      </c>
      <c r="Q163" s="481" t="s">
        <v>1405</v>
      </c>
      <c r="R163" s="481" t="s">
        <v>1405</v>
      </c>
      <c r="S163" s="480" t="str">
        <f>VLOOKUP(VLOOKUP(LEFT(M163,LEN(M163)-2),'Date SPV'!$B$4:$F$34,5,FALSE),'Date SPV'!$T$4:$U$11,2,FALSE)</f>
        <v>Distributie Energie Oltenia</v>
      </c>
      <c r="T163" s="480" t="str">
        <f>VLOOKUP(M163,'Contorizare in SDI'!$B:$D,3,FALSE)</f>
        <v>59401040000153661371602579</v>
      </c>
      <c r="U163" s="480" t="str">
        <f>VLOOKUP(N163,'Contorizare in SDI'!$F:$H,3,FALSE)</f>
        <v>59401040000153661371602579/1</v>
      </c>
      <c r="V163" s="484" t="s">
        <v>1358</v>
      </c>
      <c r="W163" s="483">
        <f>SUMIF($AB:$AB,N163,$AD:$AD)</f>
        <v>0</v>
      </c>
      <c r="Y163" s="453" t="s">
        <v>1227</v>
      </c>
      <c r="Z163" s="454" t="s">
        <v>1289</v>
      </c>
      <c r="AA163" s="453" t="s">
        <v>1279</v>
      </c>
      <c r="AB163" s="454" t="s">
        <v>1289</v>
      </c>
      <c r="AC163" s="392">
        <v>3692</v>
      </c>
      <c r="AD163" s="392">
        <v>0</v>
      </c>
      <c r="AE163" s="393">
        <f>'Inchidere contur'!D164</f>
        <v>22585</v>
      </c>
    </row>
    <row r="164" spans="3:31" ht="16.5" hidden="1" thickBot="1">
      <c r="C164" s="388"/>
      <c r="M164" s="485" t="s">
        <v>553</v>
      </c>
      <c r="N164" s="486" t="s">
        <v>690</v>
      </c>
      <c r="O164" s="486" t="str">
        <f>VLOOKUP(LEFT(M164,LEN(M164)-2),'Date SPV'!$B$4:$D$34,3,FALSE)</f>
        <v>Severin Shopping Center SRL</v>
      </c>
      <c r="P164" s="487" t="s">
        <v>1405</v>
      </c>
      <c r="Q164" s="487" t="s">
        <v>1405</v>
      </c>
      <c r="R164" s="487" t="s">
        <v>1405</v>
      </c>
      <c r="S164" s="486" t="str">
        <f>VLOOKUP(VLOOKUP(LEFT(M164,LEN(M164)-2),'Date SPV'!$B$4:$F$34,5,FALSE),'Date SPV'!$T$4:$U$11,2,FALSE)</f>
        <v>Distributie Energie Oltenia</v>
      </c>
      <c r="T164" s="486" t="str">
        <f>VLOOKUP(M164,'Contorizare in SDI'!$B:$D,3,FALSE)</f>
        <v>59401040000153661371602579</v>
      </c>
      <c r="U164" s="486" t="str">
        <f>VLOOKUP(N164,'Contorizare in SDI'!$F:$H,3,FALSE)</f>
        <v>59401040000153661371602579/1</v>
      </c>
      <c r="V164" s="488" t="s">
        <v>1357</v>
      </c>
      <c r="W164" s="489">
        <f>HLOOKUP(VLOOKUP(LEFT(M164,LEN(M164)-2),'Date SPV'!$B$4:$F$34,5,FALSE),'Preturi si tarife'!$C$2:$J$21,18,FALSE)</f>
        <v>0.85521760000000002</v>
      </c>
      <c r="Y164" s="453" t="s">
        <v>1227</v>
      </c>
      <c r="Z164" s="391" t="s">
        <v>69</v>
      </c>
      <c r="AA164" s="453" t="s">
        <v>1280</v>
      </c>
      <c r="AB164" s="391" t="s">
        <v>69</v>
      </c>
      <c r="AC164" s="392">
        <v>0</v>
      </c>
      <c r="AD164" s="392">
        <v>0</v>
      </c>
      <c r="AE164" s="393">
        <f>'Inchidere contur'!D165</f>
        <v>22585</v>
      </c>
    </row>
    <row r="165" spans="3:31" ht="16.5" thickBot="1">
      <c r="C165" s="374" t="s">
        <v>1383</v>
      </c>
      <c r="D165" s="375" t="s">
        <v>1351</v>
      </c>
      <c r="E165" s="375" t="s">
        <v>1351</v>
      </c>
      <c r="F165" s="375" t="s">
        <v>1352</v>
      </c>
      <c r="G165" s="376">
        <v>45292</v>
      </c>
      <c r="H165" s="374" t="s">
        <v>1376</v>
      </c>
      <c r="I165" s="377" t="s">
        <v>153</v>
      </c>
      <c r="J165" s="400"/>
      <c r="K165" s="342" t="s">
        <v>1354</v>
      </c>
      <c r="M165" s="406" t="s">
        <v>527</v>
      </c>
      <c r="N165" s="407" t="s">
        <v>667</v>
      </c>
      <c r="O165" s="407" t="str">
        <f>VLOOKUP(LEFT(M165,LEN(M165)-2),'Date SPV'!$B$4:$D$34,3,FALSE)</f>
        <v>Shopping City Piatra Neamt SRL</v>
      </c>
      <c r="P165" s="408" t="s">
        <v>1405</v>
      </c>
      <c r="Q165" s="408" t="s">
        <v>1405</v>
      </c>
      <c r="R165" s="408" t="s">
        <v>1405</v>
      </c>
      <c r="S165" s="407" t="str">
        <f>VLOOKUP(VLOOKUP(LEFT(M165,LEN(M165)-2),'Date SPV'!$B$4:$F$34,5,FALSE),'Date SPV'!$T$4:$U$11,2,FALSE)</f>
        <v>Delgaz Grid</v>
      </c>
      <c r="T165" s="407" t="str">
        <f>VLOOKUP(M165,'Contorizare in SDI'!$B:$D,3,FALSE)</f>
        <v>EMO3621722</v>
      </c>
      <c r="U165" s="407" t="str">
        <f>VLOOKUP(N165,'Contorizare in SDI'!$F:$H,3,FALSE)</f>
        <v>EMO3621722/2</v>
      </c>
      <c r="V165" s="409" t="s">
        <v>1354</v>
      </c>
      <c r="W165" s="410">
        <f>W167+W169</f>
        <v>125962</v>
      </c>
      <c r="Y165" s="453" t="s">
        <v>1221</v>
      </c>
      <c r="Z165" s="454" t="s">
        <v>1286</v>
      </c>
      <c r="AA165" s="453" t="s">
        <v>1281</v>
      </c>
      <c r="AB165" s="454" t="s">
        <v>1286</v>
      </c>
      <c r="AC165" s="548">
        <v>14978</v>
      </c>
      <c r="AD165" s="548">
        <v>0</v>
      </c>
      <c r="AE165" s="393">
        <f>'Inchidere contur'!D166</f>
        <v>13186</v>
      </c>
    </row>
    <row r="166" spans="3:31" ht="16.5" thickBot="1">
      <c r="C166" s="349" t="s">
        <v>1383</v>
      </c>
      <c r="D166" s="347" t="s">
        <v>1351</v>
      </c>
      <c r="E166" s="347" t="s">
        <v>1351</v>
      </c>
      <c r="F166" s="347" t="s">
        <v>1352</v>
      </c>
      <c r="G166" s="348">
        <v>45292</v>
      </c>
      <c r="H166" s="349" t="s">
        <v>1376</v>
      </c>
      <c r="I166" s="351" t="s">
        <v>151</v>
      </c>
      <c r="J166" s="400"/>
      <c r="K166" s="347" t="s">
        <v>1355</v>
      </c>
      <c r="M166" s="411" t="s">
        <v>527</v>
      </c>
      <c r="N166" s="403" t="s">
        <v>667</v>
      </c>
      <c r="O166" s="403" t="str">
        <f>VLOOKUP(LEFT(M166,LEN(M166)-2),'Date SPV'!$B$4:$D$34,3,FALSE)</f>
        <v>Shopping City Piatra Neamt SRL</v>
      </c>
      <c r="P166" s="412" t="s">
        <v>1405</v>
      </c>
      <c r="Q166" s="412" t="s">
        <v>1405</v>
      </c>
      <c r="R166" s="412" t="s">
        <v>1405</v>
      </c>
      <c r="S166" s="403" t="str">
        <f>VLOOKUP(VLOOKUP(LEFT(M166,LEN(M166)-2),'Date SPV'!$B$4:$F$34,5,FALSE),'Date SPV'!$T$4:$U$11,2,FALSE)</f>
        <v>Delgaz Grid</v>
      </c>
      <c r="T166" s="403" t="str">
        <f>VLOOKUP(M166,'Contorizare in SDI'!$B:$D,3,FALSE)</f>
        <v>EMO3621722</v>
      </c>
      <c r="U166" s="403" t="str">
        <f>VLOOKUP(N166,'Contorizare in SDI'!$F:$H,3,FALSE)</f>
        <v>EMO3621722/2</v>
      </c>
      <c r="V166" s="413" t="s">
        <v>1355</v>
      </c>
      <c r="W166" s="414">
        <f>ROUND(W167*W168+W169*W170,2)</f>
        <v>117546.87</v>
      </c>
      <c r="Y166" s="453" t="s">
        <v>1221</v>
      </c>
      <c r="Z166" s="391" t="s">
        <v>69</v>
      </c>
      <c r="AA166" s="453" t="s">
        <v>1282</v>
      </c>
      <c r="AB166" s="391" t="s">
        <v>69</v>
      </c>
      <c r="AC166" s="548">
        <v>0</v>
      </c>
      <c r="AD166" s="548">
        <v>0</v>
      </c>
      <c r="AE166" s="393">
        <f>'Inchidere contur'!D167</f>
        <v>13186</v>
      </c>
    </row>
    <row r="167" spans="3:31" ht="16.5" thickBot="1">
      <c r="C167" s="349" t="s">
        <v>1383</v>
      </c>
      <c r="D167" s="347" t="s">
        <v>1351</v>
      </c>
      <c r="E167" s="347" t="s">
        <v>1351</v>
      </c>
      <c r="F167" s="347" t="s">
        <v>1352</v>
      </c>
      <c r="G167" s="348">
        <v>45292</v>
      </c>
      <c r="H167" s="349" t="s">
        <v>1376</v>
      </c>
      <c r="I167" s="351" t="s">
        <v>151</v>
      </c>
      <c r="J167" s="400"/>
      <c r="K167" s="341" t="s">
        <v>1356</v>
      </c>
      <c r="M167" s="411" t="s">
        <v>527</v>
      </c>
      <c r="N167" s="403" t="s">
        <v>667</v>
      </c>
      <c r="O167" s="403" t="str">
        <f>VLOOKUP(LEFT(M167,LEN(M167)-2),'Date SPV'!$B$4:$D$34,3,FALSE)</f>
        <v>Shopping City Piatra Neamt SRL</v>
      </c>
      <c r="P167" s="412" t="s">
        <v>1405</v>
      </c>
      <c r="Q167" s="412" t="s">
        <v>1405</v>
      </c>
      <c r="R167" s="412" t="s">
        <v>1405</v>
      </c>
      <c r="S167" s="403" t="str">
        <f>VLOOKUP(VLOOKUP(LEFT(M167,LEN(M167)-2),'Date SPV'!$B$4:$F$34,5,FALSE),'Date SPV'!$T$4:$U$11,2,FALSE)</f>
        <v>Delgaz Grid</v>
      </c>
      <c r="T167" s="403" t="str">
        <f>VLOOKUP(M167,'Contorizare in SDI'!$B:$D,3,FALSE)</f>
        <v>EMO3621722</v>
      </c>
      <c r="U167" s="403" t="str">
        <f>VLOOKUP(N167,'Contorizare in SDI'!$F:$H,3,FALSE)</f>
        <v>EMO3621722/2</v>
      </c>
      <c r="V167" s="415" t="s">
        <v>1356</v>
      </c>
      <c r="W167" s="414">
        <f>SUMIF($AB:$AB,N167,$AC:$AC)</f>
        <v>109278</v>
      </c>
      <c r="Y167" s="453" t="s">
        <v>1265</v>
      </c>
      <c r="Z167" s="454" t="s">
        <v>1290</v>
      </c>
      <c r="AA167" s="453" t="s">
        <v>1283</v>
      </c>
      <c r="AB167" s="454" t="s">
        <v>1290</v>
      </c>
      <c r="AC167" s="548">
        <v>9902</v>
      </c>
      <c r="AD167" s="548">
        <v>0</v>
      </c>
      <c r="AE167" s="393">
        <f>'Inchidere contur'!D168</f>
        <v>0</v>
      </c>
    </row>
    <row r="168" spans="3:31" ht="16.5" thickBot="1">
      <c r="C168" s="349" t="s">
        <v>1383</v>
      </c>
      <c r="D168" s="347" t="s">
        <v>1351</v>
      </c>
      <c r="E168" s="347" t="s">
        <v>1351</v>
      </c>
      <c r="F168" s="347" t="s">
        <v>1352</v>
      </c>
      <c r="G168" s="348">
        <v>45292</v>
      </c>
      <c r="H168" s="349" t="s">
        <v>1376</v>
      </c>
      <c r="I168" s="351" t="s">
        <v>151</v>
      </c>
      <c r="J168" s="400"/>
      <c r="K168" s="341" t="s">
        <v>1357</v>
      </c>
      <c r="M168" s="411" t="s">
        <v>527</v>
      </c>
      <c r="N168" s="403" t="s">
        <v>667</v>
      </c>
      <c r="O168" s="403" t="str">
        <f>VLOOKUP(LEFT(M168,LEN(M168)-2),'Date SPV'!$B$4:$D$34,3,FALSE)</f>
        <v>Shopping City Piatra Neamt SRL</v>
      </c>
      <c r="P168" s="412" t="s">
        <v>1405</v>
      </c>
      <c r="Q168" s="412" t="s">
        <v>1405</v>
      </c>
      <c r="R168" s="412" t="s">
        <v>1405</v>
      </c>
      <c r="S168" s="403" t="str">
        <f>VLOOKUP(VLOOKUP(LEFT(M168,LEN(M168)-2),'Date SPV'!$B$4:$F$34,5,FALSE),'Date SPV'!$T$4:$U$11,2,FALSE)</f>
        <v>Delgaz Grid</v>
      </c>
      <c r="T168" s="403" t="str">
        <f>VLOOKUP(M168,'Contorizare in SDI'!$B:$D,3,FALSE)</f>
        <v>EMO3621722</v>
      </c>
      <c r="U168" s="403" t="str">
        <f>VLOOKUP(N168,'Contorizare in SDI'!$F:$H,3,FALSE)</f>
        <v>EMO3621722/2</v>
      </c>
      <c r="V168" s="415" t="s">
        <v>1357</v>
      </c>
      <c r="W168" s="414">
        <f>HLOOKUP(VLOOKUP(LEFT(M168,LEN(M168)-2),'Date SPV'!$B$4:$F$34,5,FALSE),'Preturi si tarife'!$C$2:$J$21,17,FALSE)</f>
        <v>0.9485576</v>
      </c>
      <c r="Y168" s="453" t="s">
        <v>1265</v>
      </c>
      <c r="Z168" s="391" t="s">
        <v>69</v>
      </c>
      <c r="AA168" s="453" t="s">
        <v>1285</v>
      </c>
      <c r="AB168" s="454" t="s">
        <v>1290</v>
      </c>
      <c r="AC168" s="548">
        <v>0</v>
      </c>
      <c r="AD168" s="548">
        <v>6506</v>
      </c>
      <c r="AE168" s="393">
        <f>'Inchidere contur'!D169</f>
        <v>0</v>
      </c>
    </row>
    <row r="169" spans="3:31" ht="16.5" thickBot="1">
      <c r="C169" s="349" t="s">
        <v>1383</v>
      </c>
      <c r="D169" s="347" t="s">
        <v>1351</v>
      </c>
      <c r="E169" s="347" t="s">
        <v>1351</v>
      </c>
      <c r="F169" s="347" t="s">
        <v>1352</v>
      </c>
      <c r="G169" s="348">
        <v>45292</v>
      </c>
      <c r="H169" s="349" t="s">
        <v>1376</v>
      </c>
      <c r="I169" s="351" t="s">
        <v>150</v>
      </c>
      <c r="J169" s="400"/>
      <c r="K169" s="341" t="s">
        <v>1358</v>
      </c>
      <c r="M169" s="411" t="s">
        <v>527</v>
      </c>
      <c r="N169" s="403" t="s">
        <v>667</v>
      </c>
      <c r="O169" s="403" t="str">
        <f>VLOOKUP(LEFT(M169,LEN(M169)-2),'Date SPV'!$B$4:$D$34,3,FALSE)</f>
        <v>Shopping City Piatra Neamt SRL</v>
      </c>
      <c r="P169" s="412" t="s">
        <v>1405</v>
      </c>
      <c r="Q169" s="412" t="s">
        <v>1405</v>
      </c>
      <c r="R169" s="412" t="s">
        <v>1405</v>
      </c>
      <c r="S169" s="403" t="str">
        <f>VLOOKUP(VLOOKUP(LEFT(M169,LEN(M169)-2),'Date SPV'!$B$4:$F$34,5,FALSE),'Date SPV'!$T$4:$U$11,2,FALSE)</f>
        <v>Delgaz Grid</v>
      </c>
      <c r="T169" s="403" t="str">
        <f>VLOOKUP(M169,'Contorizare in SDI'!$B:$D,3,FALSE)</f>
        <v>EMO3621722</v>
      </c>
      <c r="U169" s="403" t="str">
        <f>VLOOKUP(N169,'Contorizare in SDI'!$F:$H,3,FALSE)</f>
        <v>EMO3621722/2</v>
      </c>
      <c r="V169" s="415" t="s">
        <v>1358</v>
      </c>
      <c r="W169" s="414">
        <f>SUMIF($AB:$AB,N169,$AD:$AD)</f>
        <v>16684</v>
      </c>
      <c r="Y169" s="453" t="s">
        <v>1265</v>
      </c>
      <c r="Z169" s="391" t="s">
        <v>69</v>
      </c>
      <c r="AA169" s="453" t="s">
        <v>1284</v>
      </c>
      <c r="AB169" s="391" t="s">
        <v>69</v>
      </c>
      <c r="AC169" s="549">
        <v>0</v>
      </c>
      <c r="AD169" s="549">
        <v>0</v>
      </c>
      <c r="AE169" s="393">
        <f>'Inchidere contur'!D170</f>
        <v>0</v>
      </c>
    </row>
    <row r="170" spans="3:31" ht="16.5" thickBot="1">
      <c r="C170" s="349" t="s">
        <v>1383</v>
      </c>
      <c r="D170" s="347" t="s">
        <v>1351</v>
      </c>
      <c r="E170" s="347" t="s">
        <v>1351</v>
      </c>
      <c r="F170" s="347" t="s">
        <v>1352</v>
      </c>
      <c r="G170" s="348">
        <v>45292</v>
      </c>
      <c r="H170" s="349" t="s">
        <v>1376</v>
      </c>
      <c r="I170" s="351" t="s">
        <v>150</v>
      </c>
      <c r="J170" s="400"/>
      <c r="K170" s="341" t="s">
        <v>1357</v>
      </c>
      <c r="M170" s="416" t="s">
        <v>527</v>
      </c>
      <c r="N170" s="417" t="s">
        <v>667</v>
      </c>
      <c r="O170" s="417" t="str">
        <f>VLOOKUP(LEFT(M170,LEN(M170)-2),'Date SPV'!$B$4:$D$34,3,FALSE)</f>
        <v>Shopping City Piatra Neamt SRL</v>
      </c>
      <c r="P170" s="418" t="s">
        <v>1405</v>
      </c>
      <c r="Q170" s="418" t="s">
        <v>1405</v>
      </c>
      <c r="R170" s="418" t="s">
        <v>1405</v>
      </c>
      <c r="S170" s="417" t="str">
        <f>VLOOKUP(VLOOKUP(LEFT(M170,LEN(M170)-2),'Date SPV'!$B$4:$F$34,5,FALSE),'Date SPV'!$T$4:$U$11,2,FALSE)</f>
        <v>Delgaz Grid</v>
      </c>
      <c r="T170" s="417" t="str">
        <f>VLOOKUP(M170,'Contorizare in SDI'!$B:$D,3,FALSE)</f>
        <v>EMO3621722</v>
      </c>
      <c r="U170" s="417" t="str">
        <f>VLOOKUP(N170,'Contorizare in SDI'!$F:$H,3,FALSE)</f>
        <v>EMO3621722/2</v>
      </c>
      <c r="V170" s="419" t="s">
        <v>1357</v>
      </c>
      <c r="W170" s="420">
        <f>HLOOKUP(VLOOKUP(LEFT(M170,LEN(M170)-2),'Date SPV'!$B$4:$F$34,5,FALSE),'Preturi si tarife'!$C$2:$J$21,18,FALSE)</f>
        <v>0.83255760000000001</v>
      </c>
      <c r="Y170" s="256" t="s">
        <v>1231</v>
      </c>
      <c r="Z170" s="29" t="s">
        <v>69</v>
      </c>
      <c r="AA170" s="256" t="s">
        <v>1266</v>
      </c>
      <c r="AB170" s="29" t="s">
        <v>69</v>
      </c>
      <c r="AC170" s="549">
        <v>0</v>
      </c>
      <c r="AD170" s="549">
        <v>0</v>
      </c>
      <c r="AE170" s="393">
        <f>'Inchidere contur'!D171</f>
        <v>0</v>
      </c>
    </row>
    <row r="171" spans="3:31" ht="16.5" thickBot="1">
      <c r="C171" s="374" t="s">
        <v>1384</v>
      </c>
      <c r="D171" s="375" t="s">
        <v>1351</v>
      </c>
      <c r="E171" s="375" t="s">
        <v>1351</v>
      </c>
      <c r="F171" s="375" t="s">
        <v>1352</v>
      </c>
      <c r="G171" s="376">
        <v>45292</v>
      </c>
      <c r="H171" s="374" t="s">
        <v>1385</v>
      </c>
      <c r="I171" s="374" t="s">
        <v>175</v>
      </c>
      <c r="J171" s="402"/>
      <c r="K171" s="375" t="s">
        <v>1354</v>
      </c>
      <c r="M171" s="406" t="s">
        <v>530</v>
      </c>
      <c r="N171" s="407" t="s">
        <v>671</v>
      </c>
      <c r="O171" s="407" t="str">
        <f>VLOOKUP(LEFT(M171,LEN(M171)-2),'Date SPV'!$B$4:$D$34,3,FALSE)</f>
        <v>Deva Shopping City SRL</v>
      </c>
      <c r="P171" s="408" t="s">
        <v>1405</v>
      </c>
      <c r="Q171" s="408" t="s">
        <v>1405</v>
      </c>
      <c r="R171" s="408" t="s">
        <v>1405</v>
      </c>
      <c r="S171" s="407" t="str">
        <f>VLOOKUP(VLOOKUP(LEFT(M171,LEN(M171)-2),'Date SPV'!$B$4:$F$34,5,FALSE),'Date SPV'!$T$4:$U$11,2,FALSE)</f>
        <v>Retele Electrice Banat</v>
      </c>
      <c r="T171" s="407" t="str">
        <f>VLOOKUP(M171,'Contorizare in SDI'!$B:$D,3,FALSE)</f>
        <v>RO005E532371182</v>
      </c>
      <c r="U171" s="407" t="str">
        <f>VLOOKUP(N171,'Contorizare in SDI'!$F:$H,3,FALSE)</f>
        <v>RO005E532371182/1</v>
      </c>
      <c r="V171" s="409" t="s">
        <v>1354</v>
      </c>
      <c r="W171" s="410">
        <f>W173+W175</f>
        <v>81464</v>
      </c>
      <c r="Y171" s="256" t="s">
        <v>1231</v>
      </c>
      <c r="Z171" s="29" t="s">
        <v>69</v>
      </c>
      <c r="AA171" s="256" t="s">
        <v>1267</v>
      </c>
      <c r="AB171" s="29" t="s">
        <v>69</v>
      </c>
      <c r="AC171" s="549">
        <v>0</v>
      </c>
      <c r="AD171" s="549">
        <v>0</v>
      </c>
      <c r="AE171" s="393">
        <f>'Inchidere contur'!D172</f>
        <v>0</v>
      </c>
    </row>
    <row r="172" spans="3:31" ht="16.5" thickBot="1">
      <c r="C172" s="349" t="s">
        <v>1384</v>
      </c>
      <c r="D172" s="347" t="s">
        <v>1351</v>
      </c>
      <c r="E172" s="347" t="s">
        <v>1351</v>
      </c>
      <c r="F172" s="347" t="s">
        <v>1352</v>
      </c>
      <c r="G172" s="348">
        <v>45292</v>
      </c>
      <c r="H172" s="349" t="s">
        <v>1385</v>
      </c>
      <c r="I172" s="351" t="s">
        <v>175</v>
      </c>
      <c r="J172" s="400"/>
      <c r="K172" s="347" t="s">
        <v>1355</v>
      </c>
      <c r="M172" s="411" t="s">
        <v>530</v>
      </c>
      <c r="N172" s="403" t="s">
        <v>671</v>
      </c>
      <c r="O172" s="403" t="str">
        <f>VLOOKUP(LEFT(M172,LEN(M172)-2),'Date SPV'!$B$4:$D$34,3,FALSE)</f>
        <v>Deva Shopping City SRL</v>
      </c>
      <c r="P172" s="412" t="s">
        <v>1405</v>
      </c>
      <c r="Q172" s="412" t="s">
        <v>1405</v>
      </c>
      <c r="R172" s="412" t="s">
        <v>1405</v>
      </c>
      <c r="S172" s="403" t="str">
        <f>VLOOKUP(VLOOKUP(LEFT(M172,LEN(M172)-2),'Date SPV'!$B$4:$F$34,5,FALSE),'Date SPV'!$T$4:$U$11,2,FALSE)</f>
        <v>Retele Electrice Banat</v>
      </c>
      <c r="T172" s="403" t="str">
        <f>VLOOKUP(M172,'Contorizare in SDI'!$B:$D,3,FALSE)</f>
        <v>RO005E532371182</v>
      </c>
      <c r="U172" s="403" t="str">
        <f>VLOOKUP(N172,'Contorizare in SDI'!$F:$H,3,FALSE)</f>
        <v>RO005E532371182/1</v>
      </c>
      <c r="V172" s="413" t="s">
        <v>1355</v>
      </c>
      <c r="W172" s="414">
        <f>ROUND(W173*W174+W175*W176,2)</f>
        <v>73322.289999999994</v>
      </c>
      <c r="Y172" s="256" t="s">
        <v>1231</v>
      </c>
      <c r="Z172" s="29" t="s">
        <v>69</v>
      </c>
      <c r="AA172" s="256" t="s">
        <v>1268</v>
      </c>
      <c r="AB172" s="29" t="s">
        <v>69</v>
      </c>
      <c r="AC172" s="549">
        <v>0</v>
      </c>
      <c r="AD172" s="549">
        <v>0</v>
      </c>
      <c r="AE172" s="393">
        <f>'Inchidere contur'!D173</f>
        <v>0</v>
      </c>
    </row>
    <row r="173" spans="3:31" ht="16.5" thickBot="1">
      <c r="C173" s="349" t="s">
        <v>1384</v>
      </c>
      <c r="D173" s="347" t="s">
        <v>1351</v>
      </c>
      <c r="E173" s="347" t="s">
        <v>1351</v>
      </c>
      <c r="F173" s="347" t="s">
        <v>1352</v>
      </c>
      <c r="G173" s="348">
        <v>45292</v>
      </c>
      <c r="H173" s="349" t="s">
        <v>1385</v>
      </c>
      <c r="I173" s="351" t="s">
        <v>175</v>
      </c>
      <c r="J173" s="400"/>
      <c r="K173" s="341" t="s">
        <v>1356</v>
      </c>
      <c r="M173" s="411" t="s">
        <v>530</v>
      </c>
      <c r="N173" s="403" t="s">
        <v>671</v>
      </c>
      <c r="O173" s="403" t="str">
        <f>VLOOKUP(LEFT(M173,LEN(M173)-2),'Date SPV'!$B$4:$D$34,3,FALSE)</f>
        <v>Deva Shopping City SRL</v>
      </c>
      <c r="P173" s="412" t="s">
        <v>1405</v>
      </c>
      <c r="Q173" s="412" t="s">
        <v>1405</v>
      </c>
      <c r="R173" s="412" t="s">
        <v>1405</v>
      </c>
      <c r="S173" s="403" t="str">
        <f>VLOOKUP(VLOOKUP(LEFT(M173,LEN(M173)-2),'Date SPV'!$B$4:$F$34,5,FALSE),'Date SPV'!$T$4:$U$11,2,FALSE)</f>
        <v>Retele Electrice Banat</v>
      </c>
      <c r="T173" s="403" t="str">
        <f>VLOOKUP(M173,'Contorizare in SDI'!$B:$D,3,FALSE)</f>
        <v>RO005E532371182</v>
      </c>
      <c r="U173" s="403" t="str">
        <f>VLOOKUP(N173,'Contorizare in SDI'!$F:$H,3,FALSE)</f>
        <v>RO005E532371182/1</v>
      </c>
      <c r="V173" s="415" t="s">
        <v>1356</v>
      </c>
      <c r="W173" s="414">
        <f>SUMIF($AB:$AB,N173,$AC:$AC)</f>
        <v>81464</v>
      </c>
      <c r="Y173" s="256" t="s">
        <v>1231</v>
      </c>
      <c r="Z173" s="29" t="s">
        <v>69</v>
      </c>
      <c r="AA173" s="256" t="s">
        <v>1269</v>
      </c>
      <c r="AB173" s="29" t="s">
        <v>69</v>
      </c>
      <c r="AC173" s="549">
        <v>0</v>
      </c>
      <c r="AD173" s="549">
        <v>0</v>
      </c>
      <c r="AE173" s="393">
        <f>'Inchidere contur'!D174</f>
        <v>0</v>
      </c>
    </row>
    <row r="174" spans="3:31" ht="16.5" thickBot="1">
      <c r="C174" s="349" t="s">
        <v>1384</v>
      </c>
      <c r="D174" s="347" t="s">
        <v>1351</v>
      </c>
      <c r="E174" s="347" t="s">
        <v>1351</v>
      </c>
      <c r="F174" s="347" t="s">
        <v>1352</v>
      </c>
      <c r="G174" s="348">
        <v>45292</v>
      </c>
      <c r="H174" s="349" t="s">
        <v>1385</v>
      </c>
      <c r="I174" s="351" t="s">
        <v>175</v>
      </c>
      <c r="J174" s="400"/>
      <c r="K174" s="341" t="s">
        <v>1357</v>
      </c>
      <c r="M174" s="411" t="s">
        <v>530</v>
      </c>
      <c r="N174" s="403" t="s">
        <v>671</v>
      </c>
      <c r="O174" s="403" t="str">
        <f>VLOOKUP(LEFT(M174,LEN(M174)-2),'Date SPV'!$B$4:$D$34,3,FALSE)</f>
        <v>Deva Shopping City SRL</v>
      </c>
      <c r="P174" s="412" t="s">
        <v>1405</v>
      </c>
      <c r="Q174" s="412" t="s">
        <v>1405</v>
      </c>
      <c r="R174" s="412" t="s">
        <v>1405</v>
      </c>
      <c r="S174" s="403" t="str">
        <f>VLOOKUP(VLOOKUP(LEFT(M174,LEN(M174)-2),'Date SPV'!$B$4:$F$34,5,FALSE),'Date SPV'!$T$4:$U$11,2,FALSE)</f>
        <v>Retele Electrice Banat</v>
      </c>
      <c r="T174" s="403" t="str">
        <f>VLOOKUP(M174,'Contorizare in SDI'!$B:$D,3,FALSE)</f>
        <v>RO005E532371182</v>
      </c>
      <c r="U174" s="403" t="str">
        <f>VLOOKUP(N174,'Contorizare in SDI'!$F:$H,3,FALSE)</f>
        <v>RO005E532371182/1</v>
      </c>
      <c r="V174" s="415" t="s">
        <v>1357</v>
      </c>
      <c r="W174" s="414">
        <f>HLOOKUP(VLOOKUP(LEFT(M174,LEN(M174)-2),'Date SPV'!$B$4:$F$34,5,FALSE),'Preturi si tarife'!$C$2:$J$21,17,FALSE)</f>
        <v>0.90005760000000001</v>
      </c>
      <c r="Y174" s="256" t="s">
        <v>1231</v>
      </c>
      <c r="Z174" s="29" t="s">
        <v>69</v>
      </c>
      <c r="AA174" s="256" t="s">
        <v>1270</v>
      </c>
      <c r="AB174" s="29" t="s">
        <v>69</v>
      </c>
      <c r="AC174" s="549">
        <v>0</v>
      </c>
      <c r="AD174" s="549">
        <v>0</v>
      </c>
      <c r="AE174" s="393">
        <f>'Inchidere contur'!D175</f>
        <v>0</v>
      </c>
    </row>
    <row r="175" spans="3:31">
      <c r="C175" s="349" t="s">
        <v>1384</v>
      </c>
      <c r="D175" s="347" t="s">
        <v>1351</v>
      </c>
      <c r="E175" s="347" t="s">
        <v>1351</v>
      </c>
      <c r="F175" s="347" t="s">
        <v>1352</v>
      </c>
      <c r="G175" s="348">
        <v>45292</v>
      </c>
      <c r="H175" s="349" t="s">
        <v>1385</v>
      </c>
      <c r="I175" s="351" t="s">
        <v>175</v>
      </c>
      <c r="J175" s="400"/>
      <c r="K175" s="341" t="s">
        <v>1358</v>
      </c>
      <c r="M175" s="411" t="s">
        <v>530</v>
      </c>
      <c r="N175" s="403" t="s">
        <v>671</v>
      </c>
      <c r="O175" s="403" t="str">
        <f>VLOOKUP(LEFT(M175,LEN(M175)-2),'Date SPV'!$B$4:$D$34,3,FALSE)</f>
        <v>Deva Shopping City SRL</v>
      </c>
      <c r="P175" s="412" t="s">
        <v>1405</v>
      </c>
      <c r="Q175" s="412" t="s">
        <v>1405</v>
      </c>
      <c r="R175" s="412" t="s">
        <v>1405</v>
      </c>
      <c r="S175" s="403" t="str">
        <f>VLOOKUP(VLOOKUP(LEFT(M175,LEN(M175)-2),'Date SPV'!$B$4:$F$34,5,FALSE),'Date SPV'!$T$4:$U$11,2,FALSE)</f>
        <v>Retele Electrice Banat</v>
      </c>
      <c r="T175" s="403" t="str">
        <f>VLOOKUP(M175,'Contorizare in SDI'!$B:$D,3,FALSE)</f>
        <v>RO005E532371182</v>
      </c>
      <c r="U175" s="403" t="str">
        <f>VLOOKUP(N175,'Contorizare in SDI'!$F:$H,3,FALSE)</f>
        <v>RO005E532371182/1</v>
      </c>
      <c r="V175" s="415" t="s">
        <v>1358</v>
      </c>
      <c r="W175" s="414">
        <f>SUMIF($AB:$AB,N175,$AD:$AD)</f>
        <v>0</v>
      </c>
      <c r="Y175" s="256" t="s">
        <v>1231</v>
      </c>
      <c r="Z175" s="29" t="s">
        <v>69</v>
      </c>
      <c r="AA175" s="256" t="s">
        <v>1271</v>
      </c>
      <c r="AB175" s="29" t="s">
        <v>69</v>
      </c>
      <c r="AC175" s="72">
        <v>0</v>
      </c>
      <c r="AD175" s="72">
        <v>0</v>
      </c>
      <c r="AE175" s="393">
        <f>'Inchidere contur'!D176</f>
        <v>0</v>
      </c>
    </row>
    <row r="176" spans="3:31" ht="16.5" thickBot="1">
      <c r="C176" s="349" t="s">
        <v>1384</v>
      </c>
      <c r="D176" s="347" t="s">
        <v>1351</v>
      </c>
      <c r="E176" s="347" t="s">
        <v>1351</v>
      </c>
      <c r="F176" s="347" t="s">
        <v>1352</v>
      </c>
      <c r="G176" s="348">
        <v>45292</v>
      </c>
      <c r="H176" s="349" t="s">
        <v>1385</v>
      </c>
      <c r="I176" s="351" t="s">
        <v>175</v>
      </c>
      <c r="J176" s="400"/>
      <c r="K176" s="341" t="s">
        <v>1357</v>
      </c>
      <c r="M176" s="416" t="s">
        <v>530</v>
      </c>
      <c r="N176" s="417" t="s">
        <v>671</v>
      </c>
      <c r="O176" s="417" t="str">
        <f>VLOOKUP(LEFT(M176,LEN(M176)-2),'Date SPV'!$B$4:$D$34,3,FALSE)</f>
        <v>Deva Shopping City SRL</v>
      </c>
      <c r="P176" s="418" t="s">
        <v>1405</v>
      </c>
      <c r="Q176" s="418" t="s">
        <v>1405</v>
      </c>
      <c r="R176" s="418" t="s">
        <v>1405</v>
      </c>
      <c r="S176" s="417" t="str">
        <f>VLOOKUP(VLOOKUP(LEFT(M176,LEN(M176)-2),'Date SPV'!$B$4:$F$34,5,FALSE),'Date SPV'!$T$4:$U$11,2,FALSE)</f>
        <v>Retele Electrice Banat</v>
      </c>
      <c r="T176" s="417" t="str">
        <f>VLOOKUP(M176,'Contorizare in SDI'!$B:$D,3,FALSE)</f>
        <v>RO005E532371182</v>
      </c>
      <c r="U176" s="417" t="str">
        <f>VLOOKUP(N176,'Contorizare in SDI'!$F:$H,3,FALSE)</f>
        <v>RO005E532371182/1</v>
      </c>
      <c r="V176" s="419" t="s">
        <v>1357</v>
      </c>
      <c r="W176" s="420">
        <f>HLOOKUP(VLOOKUP(LEFT(M176,LEN(M176)-2),'Date SPV'!$B$4:$F$34,5,FALSE),'Preturi si tarife'!$C$2:$J$21,18,FALSE)</f>
        <v>0.80525760000000002</v>
      </c>
    </row>
    <row r="177" spans="3:23">
      <c r="C177" s="374" t="s">
        <v>1386</v>
      </c>
      <c r="D177" s="375" t="s">
        <v>1351</v>
      </c>
      <c r="E177" s="375" t="s">
        <v>1351</v>
      </c>
      <c r="F177" s="375" t="s">
        <v>1352</v>
      </c>
      <c r="G177" s="376">
        <v>45292</v>
      </c>
      <c r="H177" s="374" t="s">
        <v>1385</v>
      </c>
      <c r="I177" s="374" t="s">
        <v>165</v>
      </c>
      <c r="J177" s="402"/>
      <c r="K177" s="375" t="s">
        <v>1354</v>
      </c>
      <c r="M177" s="406" t="s">
        <v>531</v>
      </c>
      <c r="N177" s="407" t="s">
        <v>672</v>
      </c>
      <c r="O177" s="407" t="str">
        <f>VLOOKUP(LEFT(M177,LEN(M177)-2),'Date SPV'!$B$4:$D$34,3,FALSE)</f>
        <v>Deva Shopping City SRL</v>
      </c>
      <c r="P177" s="408" t="s">
        <v>1405</v>
      </c>
      <c r="Q177" s="408" t="s">
        <v>1405</v>
      </c>
      <c r="R177" s="408" t="s">
        <v>1405</v>
      </c>
      <c r="S177" s="407" t="str">
        <f>VLOOKUP(VLOOKUP(LEFT(M177,LEN(M177)-2),'Date SPV'!$B$4:$F$34,5,FALSE),'Date SPV'!$T$4:$U$11,2,FALSE)</f>
        <v>Retele Electrice Banat</v>
      </c>
      <c r="T177" s="407" t="str">
        <f>VLOOKUP(M177,'Contorizare in SDI'!$B:$D,3,FALSE)</f>
        <v>RO005E532220590</v>
      </c>
      <c r="U177" s="407" t="str">
        <f>VLOOKUP(N177,'Contorizare in SDI'!$F:$H,3,FALSE)</f>
        <v>RO005E532220590/1</v>
      </c>
      <c r="V177" s="409" t="s">
        <v>1354</v>
      </c>
      <c r="W177" s="410">
        <f>W179+W181</f>
        <v>127365</v>
      </c>
    </row>
    <row r="178" spans="3:23">
      <c r="C178" s="349" t="s">
        <v>1386</v>
      </c>
      <c r="D178" s="347" t="s">
        <v>1351</v>
      </c>
      <c r="E178" s="347" t="s">
        <v>1351</v>
      </c>
      <c r="F178" s="347" t="s">
        <v>1352</v>
      </c>
      <c r="G178" s="348">
        <v>45292</v>
      </c>
      <c r="H178" s="349" t="s">
        <v>1385</v>
      </c>
      <c r="I178" s="351" t="s">
        <v>165</v>
      </c>
      <c r="J178" s="400"/>
      <c r="K178" s="347" t="s">
        <v>1355</v>
      </c>
      <c r="M178" s="411" t="s">
        <v>531</v>
      </c>
      <c r="N178" s="403" t="s">
        <v>672</v>
      </c>
      <c r="O178" s="403" t="str">
        <f>VLOOKUP(LEFT(M178,LEN(M178)-2),'Date SPV'!$B$4:$D$34,3,FALSE)</f>
        <v>Deva Shopping City SRL</v>
      </c>
      <c r="P178" s="412" t="s">
        <v>1405</v>
      </c>
      <c r="Q178" s="412" t="s">
        <v>1405</v>
      </c>
      <c r="R178" s="412" t="s">
        <v>1405</v>
      </c>
      <c r="S178" s="403" t="str">
        <f>VLOOKUP(VLOOKUP(LEFT(M178,LEN(M178)-2),'Date SPV'!$B$4:$F$34,5,FALSE),'Date SPV'!$T$4:$U$11,2,FALSE)</f>
        <v>Retele Electrice Banat</v>
      </c>
      <c r="T178" s="403" t="str">
        <f>VLOOKUP(M178,'Contorizare in SDI'!$B:$D,3,FALSE)</f>
        <v>RO005E532220590</v>
      </c>
      <c r="U178" s="403" t="str">
        <f>VLOOKUP(N178,'Contorizare in SDI'!$F:$H,3,FALSE)</f>
        <v>RO005E532220590/1</v>
      </c>
      <c r="V178" s="413" t="s">
        <v>1355</v>
      </c>
      <c r="W178" s="414">
        <f>ROUND(W179*W180+W181*W182,2)</f>
        <v>109256.6</v>
      </c>
    </row>
    <row r="179" spans="3:23">
      <c r="C179" s="349" t="s">
        <v>1386</v>
      </c>
      <c r="D179" s="347" t="s">
        <v>1351</v>
      </c>
      <c r="E179" s="347" t="s">
        <v>1351</v>
      </c>
      <c r="F179" s="347" t="s">
        <v>1352</v>
      </c>
      <c r="G179" s="348">
        <v>45292</v>
      </c>
      <c r="H179" s="349" t="s">
        <v>1385</v>
      </c>
      <c r="I179" s="351" t="s">
        <v>178</v>
      </c>
      <c r="J179" s="400"/>
      <c r="K179" s="341" t="s">
        <v>1356</v>
      </c>
      <c r="M179" s="411" t="s">
        <v>531</v>
      </c>
      <c r="N179" s="403" t="s">
        <v>672</v>
      </c>
      <c r="O179" s="403" t="str">
        <f>VLOOKUP(LEFT(M179,LEN(M179)-2),'Date SPV'!$B$4:$D$34,3,FALSE)</f>
        <v>Deva Shopping City SRL</v>
      </c>
      <c r="P179" s="412" t="s">
        <v>1405</v>
      </c>
      <c r="Q179" s="412" t="s">
        <v>1405</v>
      </c>
      <c r="R179" s="412" t="s">
        <v>1405</v>
      </c>
      <c r="S179" s="403" t="str">
        <f>VLOOKUP(VLOOKUP(LEFT(M179,LEN(M179)-2),'Date SPV'!$B$4:$F$34,5,FALSE),'Date SPV'!$T$4:$U$11,2,FALSE)</f>
        <v>Retele Electrice Banat</v>
      </c>
      <c r="T179" s="403" t="str">
        <f>VLOOKUP(M179,'Contorizare in SDI'!$B:$D,3,FALSE)</f>
        <v>RO005E532220590</v>
      </c>
      <c r="U179" s="403" t="str">
        <f>VLOOKUP(N179,'Contorizare in SDI'!$F:$H,3,FALSE)</f>
        <v>RO005E532220590/1</v>
      </c>
      <c r="V179" s="415" t="s">
        <v>1356</v>
      </c>
      <c r="W179" s="414">
        <f>SUMIF($AB:$AB,N179,$AC:$AC)</f>
        <v>70622</v>
      </c>
    </row>
    <row r="180" spans="3:23">
      <c r="C180" s="349" t="s">
        <v>1386</v>
      </c>
      <c r="D180" s="347" t="s">
        <v>1351</v>
      </c>
      <c r="E180" s="347" t="s">
        <v>1351</v>
      </c>
      <c r="F180" s="347" t="s">
        <v>1352</v>
      </c>
      <c r="G180" s="348">
        <v>45292</v>
      </c>
      <c r="H180" s="349" t="s">
        <v>1385</v>
      </c>
      <c r="I180" s="351" t="s">
        <v>178</v>
      </c>
      <c r="J180" s="400"/>
      <c r="K180" s="341" t="s">
        <v>1357</v>
      </c>
      <c r="M180" s="411" t="s">
        <v>531</v>
      </c>
      <c r="N180" s="403" t="s">
        <v>672</v>
      </c>
      <c r="O180" s="403" t="str">
        <f>VLOOKUP(LEFT(M180,LEN(M180)-2),'Date SPV'!$B$4:$D$34,3,FALSE)</f>
        <v>Deva Shopping City SRL</v>
      </c>
      <c r="P180" s="412" t="s">
        <v>1405</v>
      </c>
      <c r="Q180" s="412" t="s">
        <v>1405</v>
      </c>
      <c r="R180" s="412" t="s">
        <v>1405</v>
      </c>
      <c r="S180" s="403" t="str">
        <f>VLOOKUP(VLOOKUP(LEFT(M180,LEN(M180)-2),'Date SPV'!$B$4:$F$34,5,FALSE),'Date SPV'!$T$4:$U$11,2,FALSE)</f>
        <v>Retele Electrice Banat</v>
      </c>
      <c r="T180" s="403" t="str">
        <f>VLOOKUP(M180,'Contorizare in SDI'!$B:$D,3,FALSE)</f>
        <v>RO005E532220590</v>
      </c>
      <c r="U180" s="403" t="str">
        <f>VLOOKUP(N180,'Contorizare in SDI'!$F:$H,3,FALSE)</f>
        <v>RO005E532220590/1</v>
      </c>
      <c r="V180" s="415" t="s">
        <v>1357</v>
      </c>
      <c r="W180" s="414">
        <f>HLOOKUP(VLOOKUP(LEFT(M180,LEN(M180)-2),'Date SPV'!$B$4:$F$34,5,FALSE),'Preturi si tarife'!$C$2:$J$21,17,FALSE)</f>
        <v>0.90005760000000001</v>
      </c>
    </row>
    <row r="181" spans="3:23">
      <c r="C181" s="349" t="s">
        <v>1386</v>
      </c>
      <c r="D181" s="347" t="s">
        <v>1351</v>
      </c>
      <c r="E181" s="347" t="s">
        <v>1351</v>
      </c>
      <c r="F181" s="347" t="s">
        <v>1352</v>
      </c>
      <c r="G181" s="348">
        <v>45292</v>
      </c>
      <c r="H181" s="349" t="s">
        <v>1385</v>
      </c>
      <c r="I181" s="351" t="s">
        <v>179</v>
      </c>
      <c r="J181" s="400"/>
      <c r="K181" s="341" t="s">
        <v>1358</v>
      </c>
      <c r="M181" s="411" t="s">
        <v>531</v>
      </c>
      <c r="N181" s="403" t="s">
        <v>672</v>
      </c>
      <c r="O181" s="403" t="str">
        <f>VLOOKUP(LEFT(M181,LEN(M181)-2),'Date SPV'!$B$4:$D$34,3,FALSE)</f>
        <v>Deva Shopping City SRL</v>
      </c>
      <c r="P181" s="412" t="s">
        <v>1405</v>
      </c>
      <c r="Q181" s="412" t="s">
        <v>1405</v>
      </c>
      <c r="R181" s="412" t="s">
        <v>1405</v>
      </c>
      <c r="S181" s="403" t="str">
        <f>VLOOKUP(VLOOKUP(LEFT(M181,LEN(M181)-2),'Date SPV'!$B$4:$F$34,5,FALSE),'Date SPV'!$T$4:$U$11,2,FALSE)</f>
        <v>Retele Electrice Banat</v>
      </c>
      <c r="T181" s="403" t="str">
        <f>VLOOKUP(M181,'Contorizare in SDI'!$B:$D,3,FALSE)</f>
        <v>RO005E532220590</v>
      </c>
      <c r="U181" s="403" t="str">
        <f>VLOOKUP(N181,'Contorizare in SDI'!$F:$H,3,FALSE)</f>
        <v>RO005E532220590/1</v>
      </c>
      <c r="V181" s="415" t="s">
        <v>1358</v>
      </c>
      <c r="W181" s="414">
        <f>SUMIF($AB:$AB,N181,$AD:$AD)</f>
        <v>56743</v>
      </c>
    </row>
    <row r="182" spans="3:23" ht="16.5" thickBot="1">
      <c r="C182" s="349" t="s">
        <v>1386</v>
      </c>
      <c r="D182" s="347" t="s">
        <v>1351</v>
      </c>
      <c r="E182" s="347" t="s">
        <v>1351</v>
      </c>
      <c r="F182" s="347" t="s">
        <v>1352</v>
      </c>
      <c r="G182" s="348">
        <v>45292</v>
      </c>
      <c r="H182" s="349" t="s">
        <v>1385</v>
      </c>
      <c r="I182" s="351" t="s">
        <v>179</v>
      </c>
      <c r="J182" s="400"/>
      <c r="K182" s="341" t="s">
        <v>1357</v>
      </c>
      <c r="M182" s="416" t="s">
        <v>531</v>
      </c>
      <c r="N182" s="417" t="s">
        <v>672</v>
      </c>
      <c r="O182" s="417" t="str">
        <f>VLOOKUP(LEFT(M182,LEN(M182)-2),'Date SPV'!$B$4:$D$34,3,FALSE)</f>
        <v>Deva Shopping City SRL</v>
      </c>
      <c r="P182" s="418" t="s">
        <v>1405</v>
      </c>
      <c r="Q182" s="418" t="s">
        <v>1405</v>
      </c>
      <c r="R182" s="418" t="s">
        <v>1405</v>
      </c>
      <c r="S182" s="417" t="str">
        <f>VLOOKUP(VLOOKUP(LEFT(M182,LEN(M182)-2),'Date SPV'!$B$4:$F$34,5,FALSE),'Date SPV'!$T$4:$U$11,2,FALSE)</f>
        <v>Retele Electrice Banat</v>
      </c>
      <c r="T182" s="417" t="str">
        <f>VLOOKUP(M182,'Contorizare in SDI'!$B:$D,3,FALSE)</f>
        <v>RO005E532220590</v>
      </c>
      <c r="U182" s="417" t="str">
        <f>VLOOKUP(N182,'Contorizare in SDI'!$F:$H,3,FALSE)</f>
        <v>RO005E532220590/1</v>
      </c>
      <c r="V182" s="419" t="s">
        <v>1357</v>
      </c>
      <c r="W182" s="420">
        <f>HLOOKUP(VLOOKUP(LEFT(M182,LEN(M182)-2),'Date SPV'!$B$4:$F$34,5,FALSE),'Preturi si tarife'!$C$2:$J$21,18,FALSE)</f>
        <v>0.80525760000000002</v>
      </c>
    </row>
    <row r="183" spans="3:23">
      <c r="C183" s="374" t="s">
        <v>1387</v>
      </c>
      <c r="D183" s="375" t="s">
        <v>1351</v>
      </c>
      <c r="E183" s="375" t="s">
        <v>1351</v>
      </c>
      <c r="F183" s="375" t="s">
        <v>1352</v>
      </c>
      <c r="G183" s="376">
        <v>45292</v>
      </c>
      <c r="H183" s="374" t="s">
        <v>1385</v>
      </c>
      <c r="I183" s="374" t="s">
        <v>161</v>
      </c>
      <c r="J183" s="402"/>
      <c r="K183" s="375" t="s">
        <v>1354</v>
      </c>
      <c r="M183" s="474" t="s">
        <v>529</v>
      </c>
      <c r="N183" s="475" t="s">
        <v>69</v>
      </c>
      <c r="O183" s="475" t="str">
        <f>VLOOKUP(LEFT(M183,LEN(M183)-2),'Date SPV'!$B$4:$D$34,3,FALSE)</f>
        <v>Deva Shopping City SRL</v>
      </c>
      <c r="P183" s="476" t="s">
        <v>1405</v>
      </c>
      <c r="Q183" s="476" t="s">
        <v>1405</v>
      </c>
      <c r="R183" s="476" t="s">
        <v>1405</v>
      </c>
      <c r="S183" s="475" t="str">
        <f>VLOOKUP(VLOOKUP(LEFT(M183,LEN(M183)-2),'Date SPV'!$B$4:$F$34,5,FALSE),'Date SPV'!$T$4:$U$11,2,FALSE)</f>
        <v>Retele Electrice Banat</v>
      </c>
      <c r="T183" s="475" t="str">
        <f>VLOOKUP(M183,'Contorizare in SDI'!$B:$D,3,FALSE)</f>
        <v>RO005E532240390</v>
      </c>
      <c r="U183" s="475" t="s">
        <v>69</v>
      </c>
      <c r="V183" s="477" t="s">
        <v>1354</v>
      </c>
      <c r="W183" s="478">
        <f>W185+W187+W189+W191</f>
        <v>58739</v>
      </c>
    </row>
    <row r="184" spans="3:23">
      <c r="C184" s="349" t="s">
        <v>1387</v>
      </c>
      <c r="D184" s="347" t="s">
        <v>1351</v>
      </c>
      <c r="E184" s="347" t="s">
        <v>1351</v>
      </c>
      <c r="F184" s="347" t="s">
        <v>1352</v>
      </c>
      <c r="G184" s="348">
        <v>45292</v>
      </c>
      <c r="H184" s="349" t="s">
        <v>1385</v>
      </c>
      <c r="I184" s="351" t="s">
        <v>161</v>
      </c>
      <c r="J184" s="400"/>
      <c r="K184" s="347" t="s">
        <v>1355</v>
      </c>
      <c r="M184" s="479" t="s">
        <v>529</v>
      </c>
      <c r="N184" s="480" t="s">
        <v>69</v>
      </c>
      <c r="O184" s="480" t="str">
        <f>VLOOKUP(LEFT(M184,LEN(M184)-2),'Date SPV'!$B$4:$D$34,3,FALSE)</f>
        <v>Deva Shopping City SRL</v>
      </c>
      <c r="P184" s="481" t="s">
        <v>1405</v>
      </c>
      <c r="Q184" s="481" t="s">
        <v>1405</v>
      </c>
      <c r="R184" s="481" t="s">
        <v>1405</v>
      </c>
      <c r="S184" s="480" t="str">
        <f>VLOOKUP(VLOOKUP(LEFT(M184,LEN(M184)-2),'Date SPV'!$B$4:$F$34,5,FALSE),'Date SPV'!$T$4:$U$11,2,FALSE)</f>
        <v>Retele Electrice Banat</v>
      </c>
      <c r="T184" s="480" t="str">
        <f>VLOOKUP(M184,'Contorizare in SDI'!$B:$D,3,FALSE)</f>
        <v>RO005E532240390</v>
      </c>
      <c r="U184" s="480" t="s">
        <v>69</v>
      </c>
      <c r="V184" s="482" t="s">
        <v>1355</v>
      </c>
      <c r="W184" s="483">
        <f>ROUND(W185*W186+W187*W188+W189*W190+W191*W192,2)</f>
        <v>52868.480000000003</v>
      </c>
    </row>
    <row r="185" spans="3:23">
      <c r="C185" s="349" t="s">
        <v>1387</v>
      </c>
      <c r="D185" s="347" t="s">
        <v>1351</v>
      </c>
      <c r="E185" s="347" t="s">
        <v>1351</v>
      </c>
      <c r="F185" s="347" t="s">
        <v>1352</v>
      </c>
      <c r="G185" s="348">
        <v>45292</v>
      </c>
      <c r="H185" s="349" t="s">
        <v>1385</v>
      </c>
      <c r="I185" s="351" t="s">
        <v>181</v>
      </c>
      <c r="J185" s="400"/>
      <c r="K185" s="341" t="s">
        <v>1356</v>
      </c>
      <c r="M185" s="479" t="s">
        <v>529</v>
      </c>
      <c r="N185" s="480" t="s">
        <v>669</v>
      </c>
      <c r="O185" s="480" t="str">
        <f>VLOOKUP(LEFT(M185,LEN(M185)-2),'Date SPV'!$B$4:$D$34,3,FALSE)</f>
        <v>Deva Shopping City SRL</v>
      </c>
      <c r="P185" s="481" t="s">
        <v>1405</v>
      </c>
      <c r="Q185" s="481" t="s">
        <v>1405</v>
      </c>
      <c r="R185" s="481" t="s">
        <v>1405</v>
      </c>
      <c r="S185" s="480" t="str">
        <f>VLOOKUP(VLOOKUP(LEFT(M185,LEN(M185)-2),'Date SPV'!$B$4:$F$34,5,FALSE),'Date SPV'!$T$4:$U$11,2,FALSE)</f>
        <v>Retele Electrice Banat</v>
      </c>
      <c r="T185" s="480" t="str">
        <f>VLOOKUP(M185,'Contorizare in SDI'!$B:$D,3,FALSE)</f>
        <v>RO005E532240390</v>
      </c>
      <c r="U185" s="480" t="str">
        <f>VLOOKUP(N185,'Contorizare in SDI'!$F:$H,3,FALSE)</f>
        <v>RO005E532240390/1</v>
      </c>
      <c r="V185" s="484" t="s">
        <v>1356</v>
      </c>
      <c r="W185" s="483">
        <f>SUMIF($AB:$AB,N185,$AC:$AC)</f>
        <v>34586</v>
      </c>
    </row>
    <row r="186" spans="3:23">
      <c r="C186" s="349" t="s">
        <v>1387</v>
      </c>
      <c r="D186" s="347" t="s">
        <v>1351</v>
      </c>
      <c r="E186" s="347" t="s">
        <v>1351</v>
      </c>
      <c r="F186" s="347" t="s">
        <v>1352</v>
      </c>
      <c r="G186" s="348">
        <v>45292</v>
      </c>
      <c r="H186" s="349" t="s">
        <v>1385</v>
      </c>
      <c r="I186" s="351" t="s">
        <v>181</v>
      </c>
      <c r="J186" s="400"/>
      <c r="K186" s="341" t="s">
        <v>1357</v>
      </c>
      <c r="M186" s="479" t="s">
        <v>529</v>
      </c>
      <c r="N186" s="480" t="s">
        <v>669</v>
      </c>
      <c r="O186" s="480" t="str">
        <f>VLOOKUP(LEFT(M186,LEN(M186)-2),'Date SPV'!$B$4:$D$34,3,FALSE)</f>
        <v>Deva Shopping City SRL</v>
      </c>
      <c r="P186" s="481" t="s">
        <v>1405</v>
      </c>
      <c r="Q186" s="481" t="s">
        <v>1405</v>
      </c>
      <c r="R186" s="481" t="s">
        <v>1405</v>
      </c>
      <c r="S186" s="480" t="str">
        <f>VLOOKUP(VLOOKUP(LEFT(M186,LEN(M186)-2),'Date SPV'!$B$4:$F$34,5,FALSE),'Date SPV'!$T$4:$U$11,2,FALSE)</f>
        <v>Retele Electrice Banat</v>
      </c>
      <c r="T186" s="480" t="str">
        <f>VLOOKUP(M186,'Contorizare in SDI'!$B:$D,3,FALSE)</f>
        <v>RO005E532240390</v>
      </c>
      <c r="U186" s="480" t="str">
        <f>VLOOKUP(N186,'Contorizare in SDI'!$F:$H,3,FALSE)</f>
        <v>RO005E532240390/1</v>
      </c>
      <c r="V186" s="484" t="s">
        <v>1357</v>
      </c>
      <c r="W186" s="483">
        <f>HLOOKUP(VLOOKUP(LEFT(M186,LEN(M186)-2),'Date SPV'!$B$4:$F$34,5,FALSE),'Preturi si tarife'!$C$2:$J$21,17,FALSE)</f>
        <v>0.90005760000000001</v>
      </c>
    </row>
    <row r="187" spans="3:23">
      <c r="C187" s="349" t="s">
        <v>1387</v>
      </c>
      <c r="D187" s="347" t="s">
        <v>1351</v>
      </c>
      <c r="E187" s="347" t="s">
        <v>1351</v>
      </c>
      <c r="F187" s="347" t="s">
        <v>1352</v>
      </c>
      <c r="G187" s="348">
        <v>45292</v>
      </c>
      <c r="H187" s="349" t="s">
        <v>1385</v>
      </c>
      <c r="I187" s="351" t="s">
        <v>181</v>
      </c>
      <c r="J187" s="400"/>
      <c r="K187" s="341" t="s">
        <v>1358</v>
      </c>
      <c r="M187" s="479" t="s">
        <v>529</v>
      </c>
      <c r="N187" s="480" t="s">
        <v>669</v>
      </c>
      <c r="O187" s="480" t="str">
        <f>VLOOKUP(LEFT(M187,LEN(M187)-2),'Date SPV'!$B$4:$D$34,3,FALSE)</f>
        <v>Deva Shopping City SRL</v>
      </c>
      <c r="P187" s="481" t="s">
        <v>1405</v>
      </c>
      <c r="Q187" s="481" t="s">
        <v>1405</v>
      </c>
      <c r="R187" s="481" t="s">
        <v>1405</v>
      </c>
      <c r="S187" s="480" t="str">
        <f>VLOOKUP(VLOOKUP(LEFT(M187,LEN(M187)-2),'Date SPV'!$B$4:$F$34,5,FALSE),'Date SPV'!$T$4:$U$11,2,FALSE)</f>
        <v>Retele Electrice Banat</v>
      </c>
      <c r="T187" s="480" t="str">
        <f>VLOOKUP(M187,'Contorizare in SDI'!$B:$D,3,FALSE)</f>
        <v>RO005E532240390</v>
      </c>
      <c r="U187" s="480" t="str">
        <f>VLOOKUP(N187,'Contorizare in SDI'!$F:$H,3,FALSE)</f>
        <v>RO005E532240390/1</v>
      </c>
      <c r="V187" s="484" t="s">
        <v>1358</v>
      </c>
      <c r="W187" s="483">
        <f>SUMIF($AB:$AB,N187,$AD:$AD)</f>
        <v>0</v>
      </c>
    </row>
    <row r="188" spans="3:23">
      <c r="C188" s="349" t="s">
        <v>1387</v>
      </c>
      <c r="D188" s="347" t="s">
        <v>1351</v>
      </c>
      <c r="E188" s="347" t="s">
        <v>1351</v>
      </c>
      <c r="F188" s="347" t="s">
        <v>1352</v>
      </c>
      <c r="G188" s="348">
        <v>45292</v>
      </c>
      <c r="H188" s="349" t="s">
        <v>1385</v>
      </c>
      <c r="I188" s="351" t="s">
        <v>181</v>
      </c>
      <c r="J188" s="400"/>
      <c r="K188" s="341" t="s">
        <v>1357</v>
      </c>
      <c r="M188" s="479" t="s">
        <v>529</v>
      </c>
      <c r="N188" s="480" t="s">
        <v>669</v>
      </c>
      <c r="O188" s="480" t="str">
        <f>VLOOKUP(LEFT(M188,LEN(M188)-2),'Date SPV'!$B$4:$D$34,3,FALSE)</f>
        <v>Deva Shopping City SRL</v>
      </c>
      <c r="P188" s="481" t="s">
        <v>1405</v>
      </c>
      <c r="Q188" s="481" t="s">
        <v>1405</v>
      </c>
      <c r="R188" s="481" t="s">
        <v>1405</v>
      </c>
      <c r="S188" s="480" t="str">
        <f>VLOOKUP(VLOOKUP(LEFT(M188,LEN(M188)-2),'Date SPV'!$B$4:$F$34,5,FALSE),'Date SPV'!$T$4:$U$11,2,FALSE)</f>
        <v>Retele Electrice Banat</v>
      </c>
      <c r="T188" s="480" t="str">
        <f>VLOOKUP(M188,'Contorizare in SDI'!$B:$D,3,FALSE)</f>
        <v>RO005E532240390</v>
      </c>
      <c r="U188" s="480" t="str">
        <f>VLOOKUP(N188,'Contorizare in SDI'!$F:$H,3,FALSE)</f>
        <v>RO005E532240390/1</v>
      </c>
      <c r="V188" s="484" t="s">
        <v>1357</v>
      </c>
      <c r="W188" s="483">
        <f>HLOOKUP(VLOOKUP(LEFT(M188,LEN(M188)-2),'Date SPV'!$B$4:$F$34,5,FALSE),'Preturi si tarife'!$C$2:$J$21,18,FALSE)</f>
        <v>0.80525760000000002</v>
      </c>
    </row>
    <row r="189" spans="3:23">
      <c r="C189" s="349" t="s">
        <v>1387</v>
      </c>
      <c r="D189" s="347" t="s">
        <v>1351</v>
      </c>
      <c r="E189" s="347" t="s">
        <v>1351</v>
      </c>
      <c r="F189" s="347" t="s">
        <v>1352</v>
      </c>
      <c r="G189" s="348">
        <v>45292</v>
      </c>
      <c r="H189" s="349" t="s">
        <v>1385</v>
      </c>
      <c r="I189" s="351" t="s">
        <v>173</v>
      </c>
      <c r="J189" s="400"/>
      <c r="K189" s="341" t="s">
        <v>1356</v>
      </c>
      <c r="M189" s="479" t="s">
        <v>529</v>
      </c>
      <c r="N189" s="480" t="s">
        <v>670</v>
      </c>
      <c r="O189" s="480" t="str">
        <f>VLOOKUP(LEFT(M189,LEN(M189)-2),'Date SPV'!$B$4:$D$34,3,FALSE)</f>
        <v>Deva Shopping City SRL</v>
      </c>
      <c r="P189" s="481" t="s">
        <v>1405</v>
      </c>
      <c r="Q189" s="481" t="s">
        <v>1405</v>
      </c>
      <c r="R189" s="481" t="s">
        <v>1405</v>
      </c>
      <c r="S189" s="480" t="str">
        <f>VLOOKUP(VLOOKUP(LEFT(M189,LEN(M189)-2),'Date SPV'!$B$4:$F$34,5,FALSE),'Date SPV'!$T$4:$U$11,2,FALSE)</f>
        <v>Retele Electrice Banat</v>
      </c>
      <c r="T189" s="480" t="str">
        <f>VLOOKUP(M189,'Contorizare in SDI'!$B:$D,3,FALSE)</f>
        <v>RO005E532240390</v>
      </c>
      <c r="U189" s="480" t="str">
        <f>VLOOKUP(N189,'Contorizare in SDI'!$F:$H,3,FALSE)</f>
        <v>RO005E532240390/2</v>
      </c>
      <c r="V189" s="484" t="s">
        <v>1356</v>
      </c>
      <c r="W189" s="483">
        <f>SUMIF($AB:$AB,N189,$AC:$AC)</f>
        <v>24153</v>
      </c>
    </row>
    <row r="190" spans="3:23">
      <c r="C190" s="349" t="s">
        <v>1387</v>
      </c>
      <c r="D190" s="347" t="s">
        <v>1351</v>
      </c>
      <c r="E190" s="347" t="s">
        <v>1351</v>
      </c>
      <c r="F190" s="347" t="s">
        <v>1352</v>
      </c>
      <c r="G190" s="348">
        <v>45292</v>
      </c>
      <c r="H190" s="349" t="s">
        <v>1385</v>
      </c>
      <c r="I190" s="351" t="s">
        <v>173</v>
      </c>
      <c r="J190" s="400"/>
      <c r="K190" s="341" t="s">
        <v>1357</v>
      </c>
      <c r="M190" s="479" t="s">
        <v>529</v>
      </c>
      <c r="N190" s="480" t="s">
        <v>670</v>
      </c>
      <c r="O190" s="480" t="str">
        <f>VLOOKUP(LEFT(M190,LEN(M190)-2),'Date SPV'!$B$4:$D$34,3,FALSE)</f>
        <v>Deva Shopping City SRL</v>
      </c>
      <c r="P190" s="481" t="s">
        <v>1405</v>
      </c>
      <c r="Q190" s="481" t="s">
        <v>1405</v>
      </c>
      <c r="R190" s="481" t="s">
        <v>1405</v>
      </c>
      <c r="S190" s="480" t="str">
        <f>VLOOKUP(VLOOKUP(LEFT(M190,LEN(M190)-2),'Date SPV'!$B$4:$F$34,5,FALSE),'Date SPV'!$T$4:$U$11,2,FALSE)</f>
        <v>Retele Electrice Banat</v>
      </c>
      <c r="T190" s="480" t="str">
        <f>VLOOKUP(M190,'Contorizare in SDI'!$B:$D,3,FALSE)</f>
        <v>RO005E532240390</v>
      </c>
      <c r="U190" s="480" t="str">
        <f>VLOOKUP(N190,'Contorizare in SDI'!$F:$H,3,FALSE)</f>
        <v>RO005E532240390/2</v>
      </c>
      <c r="V190" s="484" t="s">
        <v>1357</v>
      </c>
      <c r="W190" s="483">
        <f>HLOOKUP(VLOOKUP(LEFT(M190,LEN(M190)-2),'Date SPV'!$B$4:$F$34,5,FALSE),'Preturi si tarife'!$C$2:$J$21,17,FALSE)</f>
        <v>0.90005760000000001</v>
      </c>
    </row>
    <row r="191" spans="3:23">
      <c r="C191" s="349" t="s">
        <v>1387</v>
      </c>
      <c r="D191" s="347" t="s">
        <v>1351</v>
      </c>
      <c r="E191" s="347" t="s">
        <v>1351</v>
      </c>
      <c r="F191" s="347" t="s">
        <v>1352</v>
      </c>
      <c r="G191" s="348">
        <v>45292</v>
      </c>
      <c r="H191" s="349" t="s">
        <v>1385</v>
      </c>
      <c r="I191" s="351" t="s">
        <v>173</v>
      </c>
      <c r="J191" s="400"/>
      <c r="K191" s="341" t="s">
        <v>1358</v>
      </c>
      <c r="M191" s="479" t="s">
        <v>529</v>
      </c>
      <c r="N191" s="480" t="s">
        <v>670</v>
      </c>
      <c r="O191" s="480" t="str">
        <f>VLOOKUP(LEFT(M191,LEN(M191)-2),'Date SPV'!$B$4:$D$34,3,FALSE)</f>
        <v>Deva Shopping City SRL</v>
      </c>
      <c r="P191" s="481" t="s">
        <v>1405</v>
      </c>
      <c r="Q191" s="481" t="s">
        <v>1405</v>
      </c>
      <c r="R191" s="481" t="s">
        <v>1405</v>
      </c>
      <c r="S191" s="480" t="str">
        <f>VLOOKUP(VLOOKUP(LEFT(M191,LEN(M191)-2),'Date SPV'!$B$4:$F$34,5,FALSE),'Date SPV'!$T$4:$U$11,2,FALSE)</f>
        <v>Retele Electrice Banat</v>
      </c>
      <c r="T191" s="480" t="str">
        <f>VLOOKUP(M191,'Contorizare in SDI'!$B:$D,3,FALSE)</f>
        <v>RO005E532240390</v>
      </c>
      <c r="U191" s="480" t="str">
        <f>VLOOKUP(N191,'Contorizare in SDI'!$F:$H,3,FALSE)</f>
        <v>RO005E532240390/2</v>
      </c>
      <c r="V191" s="484" t="s">
        <v>1358</v>
      </c>
      <c r="W191" s="483">
        <f>SUMIF($AB:$AB,N191,$AD:$AD)</f>
        <v>0</v>
      </c>
    </row>
    <row r="192" spans="3:23" ht="16.5" thickBot="1">
      <c r="C192" s="349" t="s">
        <v>1387</v>
      </c>
      <c r="D192" s="347" t="s">
        <v>1351</v>
      </c>
      <c r="E192" s="347" t="s">
        <v>1351</v>
      </c>
      <c r="F192" s="347" t="s">
        <v>1352</v>
      </c>
      <c r="G192" s="348">
        <v>45292</v>
      </c>
      <c r="H192" s="349" t="s">
        <v>1385</v>
      </c>
      <c r="I192" s="351" t="s">
        <v>173</v>
      </c>
      <c r="J192" s="400"/>
      <c r="K192" s="341" t="s">
        <v>1357</v>
      </c>
      <c r="M192" s="485" t="s">
        <v>529</v>
      </c>
      <c r="N192" s="486" t="s">
        <v>670</v>
      </c>
      <c r="O192" s="486" t="str">
        <f>VLOOKUP(LEFT(M192,LEN(M192)-2),'Date SPV'!$B$4:$D$34,3,FALSE)</f>
        <v>Deva Shopping City SRL</v>
      </c>
      <c r="P192" s="487" t="s">
        <v>1405</v>
      </c>
      <c r="Q192" s="487" t="s">
        <v>1405</v>
      </c>
      <c r="R192" s="487" t="s">
        <v>1405</v>
      </c>
      <c r="S192" s="486" t="str">
        <f>VLOOKUP(VLOOKUP(LEFT(M192,LEN(M192)-2),'Date SPV'!$B$4:$F$34,5,FALSE),'Date SPV'!$T$4:$U$11,2,FALSE)</f>
        <v>Retele Electrice Banat</v>
      </c>
      <c r="T192" s="486" t="str">
        <f>VLOOKUP(M192,'Contorizare in SDI'!$B:$D,3,FALSE)</f>
        <v>RO005E532240390</v>
      </c>
      <c r="U192" s="486" t="str">
        <f>VLOOKUP(N192,'Contorizare in SDI'!$F:$H,3,FALSE)</f>
        <v>RO005E532240390/2</v>
      </c>
      <c r="V192" s="488" t="s">
        <v>1357</v>
      </c>
      <c r="W192" s="489">
        <f>HLOOKUP(VLOOKUP(LEFT(M192,LEN(M192)-2),'Date SPV'!$B$4:$F$34,5,FALSE),'Preturi si tarife'!$C$2:$J$21,18,FALSE)</f>
        <v>0.80525760000000002</v>
      </c>
    </row>
    <row r="193" spans="3:23">
      <c r="C193" s="374" t="s">
        <v>1388</v>
      </c>
      <c r="D193" s="374" t="s">
        <v>1351</v>
      </c>
      <c r="E193" s="374" t="s">
        <v>1351</v>
      </c>
      <c r="F193" s="374" t="s">
        <v>1352</v>
      </c>
      <c r="G193" s="379">
        <v>45352</v>
      </c>
      <c r="H193" s="344" t="s">
        <v>1353</v>
      </c>
      <c r="I193" s="374" t="s">
        <v>1389</v>
      </c>
      <c r="J193" s="402"/>
      <c r="K193" s="375" t="s">
        <v>1354</v>
      </c>
      <c r="M193" s="474" t="s">
        <v>563</v>
      </c>
      <c r="N193" s="475" t="s">
        <v>69</v>
      </c>
      <c r="O193" s="475" t="str">
        <f>VLOOKUP(LEFT(M193,LEN(M193)-2),'Date SPV'!$B$4:$D$34,3,FALSE)</f>
        <v>Sibiu Shopping City 2 SRL</v>
      </c>
      <c r="P193" s="476" t="s">
        <v>1405</v>
      </c>
      <c r="Q193" s="476" t="s">
        <v>1405</v>
      </c>
      <c r="R193" s="476" t="s">
        <v>1405</v>
      </c>
      <c r="S193" s="475" t="str">
        <f>VLOOKUP(VLOOKUP(LEFT(M193,LEN(M193)-2),'Date SPV'!$B$4:$F$34,5,FALSE),'Date SPV'!$T$4:$U$11,2,FALSE)</f>
        <v>DEER Transilvania Sud</v>
      </c>
      <c r="T193" s="475" t="s">
        <v>69</v>
      </c>
      <c r="U193" s="475" t="s">
        <v>69</v>
      </c>
      <c r="V193" s="477" t="s">
        <v>1354</v>
      </c>
      <c r="W193" s="478">
        <f>W195+W197+W199+W201</f>
        <v>41497</v>
      </c>
    </row>
    <row r="194" spans="3:23">
      <c r="C194" s="349" t="s">
        <v>1390</v>
      </c>
      <c r="D194" s="349" t="s">
        <v>1351</v>
      </c>
      <c r="E194" s="349" t="s">
        <v>1351</v>
      </c>
      <c r="F194" s="349" t="s">
        <v>1352</v>
      </c>
      <c r="G194" s="348">
        <v>45352</v>
      </c>
      <c r="H194" s="349" t="s">
        <v>1353</v>
      </c>
      <c r="I194" s="351" t="s">
        <v>1389</v>
      </c>
      <c r="J194" s="400"/>
      <c r="K194" s="347" t="s">
        <v>1355</v>
      </c>
      <c r="M194" s="479" t="s">
        <v>563</v>
      </c>
      <c r="N194" s="480" t="s">
        <v>69</v>
      </c>
      <c r="O194" s="480" t="str">
        <f>VLOOKUP(LEFT(M194,LEN(M194)-2),'Date SPV'!$B$4:$D$34,3,FALSE)</f>
        <v>Sibiu Shopping City 2 SRL</v>
      </c>
      <c r="P194" s="481" t="s">
        <v>1405</v>
      </c>
      <c r="Q194" s="481" t="s">
        <v>1405</v>
      </c>
      <c r="R194" s="481" t="s">
        <v>1405</v>
      </c>
      <c r="S194" s="480" t="str">
        <f>VLOOKUP(VLOOKUP(LEFT(M194,LEN(M194)-2),'Date SPV'!$B$4:$F$34,5,FALSE),'Date SPV'!$T$4:$U$11,2,FALSE)</f>
        <v>DEER Transilvania Sud</v>
      </c>
      <c r="T194" s="480" t="s">
        <v>69</v>
      </c>
      <c r="U194" s="480" t="s">
        <v>69</v>
      </c>
      <c r="V194" s="482" t="s">
        <v>1355</v>
      </c>
      <c r="W194" s="483">
        <f>ROUND(W195*W196+W197*W198+W199*W200+W201*W202,2)</f>
        <v>38411.57</v>
      </c>
    </row>
    <row r="195" spans="3:23">
      <c r="C195" s="349" t="s">
        <v>1390</v>
      </c>
      <c r="D195" s="349" t="s">
        <v>1351</v>
      </c>
      <c r="E195" s="349" t="s">
        <v>1351</v>
      </c>
      <c r="F195" s="349" t="s">
        <v>1352</v>
      </c>
      <c r="G195" s="348">
        <v>45352</v>
      </c>
      <c r="H195" s="349" t="s">
        <v>1353</v>
      </c>
      <c r="I195" s="369" t="s">
        <v>381</v>
      </c>
      <c r="J195" s="399"/>
      <c r="K195" s="341" t="s">
        <v>1356</v>
      </c>
      <c r="M195" s="479" t="s">
        <v>563</v>
      </c>
      <c r="N195" s="480" t="s">
        <v>693</v>
      </c>
      <c r="O195" s="480" t="str">
        <f>VLOOKUP(LEFT(M195,LEN(M195)-2),'Date SPV'!$B$4:$D$34,3,FALSE)</f>
        <v>Sibiu Shopping City 2 SRL</v>
      </c>
      <c r="P195" s="481" t="s">
        <v>1405</v>
      </c>
      <c r="Q195" s="481" t="s">
        <v>1405</v>
      </c>
      <c r="R195" s="481" t="s">
        <v>1405</v>
      </c>
      <c r="S195" s="480" t="str">
        <f>VLOOKUP(VLOOKUP(LEFT(M195,LEN(M195)-2),'Date SPV'!$B$4:$F$34,5,FALSE),'Date SPV'!$T$4:$U$11,2,FALSE)</f>
        <v>DEER Transilvania Sud</v>
      </c>
      <c r="T195" s="480" t="str">
        <f>VLOOKUP(M195,'Contorizare in SDI'!$B:$D,3,FALSE)</f>
        <v>594020200001926325</v>
      </c>
      <c r="U195" s="480" t="str">
        <f>VLOOKUP(N195,'Contorizare in SDI'!$F:$H,3,FALSE)</f>
        <v>594020200001926325/1</v>
      </c>
      <c r="V195" s="484" t="s">
        <v>1356</v>
      </c>
      <c r="W195" s="483">
        <f>SUMIF($AB:$AB,N195,$AC:$AC)</f>
        <v>0</v>
      </c>
    </row>
    <row r="196" spans="3:23">
      <c r="C196" s="349" t="s">
        <v>1390</v>
      </c>
      <c r="D196" s="349" t="s">
        <v>1351</v>
      </c>
      <c r="E196" s="349" t="s">
        <v>1351</v>
      </c>
      <c r="F196" s="349" t="s">
        <v>1352</v>
      </c>
      <c r="G196" s="348">
        <v>45352</v>
      </c>
      <c r="H196" s="349" t="s">
        <v>1353</v>
      </c>
      <c r="I196" s="369" t="s">
        <v>381</v>
      </c>
      <c r="J196" s="399"/>
      <c r="K196" s="341" t="s">
        <v>1357</v>
      </c>
      <c r="M196" s="479" t="s">
        <v>563</v>
      </c>
      <c r="N196" s="480" t="s">
        <v>693</v>
      </c>
      <c r="O196" s="480" t="str">
        <f>VLOOKUP(LEFT(M196,LEN(M196)-2),'Date SPV'!$B$4:$D$34,3,FALSE)</f>
        <v>Sibiu Shopping City 2 SRL</v>
      </c>
      <c r="P196" s="481" t="s">
        <v>1405</v>
      </c>
      <c r="Q196" s="481" t="s">
        <v>1405</v>
      </c>
      <c r="R196" s="481" t="s">
        <v>1405</v>
      </c>
      <c r="S196" s="480" t="str">
        <f>VLOOKUP(VLOOKUP(LEFT(M196,LEN(M196)-2),'Date SPV'!$B$4:$F$34,5,FALSE),'Date SPV'!$T$4:$U$11,2,FALSE)</f>
        <v>DEER Transilvania Sud</v>
      </c>
      <c r="T196" s="480" t="str">
        <f>VLOOKUP(M196,'Contorizare in SDI'!$B:$D,3,FALSE)</f>
        <v>594020200001926325</v>
      </c>
      <c r="U196" s="480" t="str">
        <f>VLOOKUP(N196,'Contorizare in SDI'!$F:$H,3,FALSE)</f>
        <v>594020200001926325/1</v>
      </c>
      <c r="V196" s="484" t="s">
        <v>1357</v>
      </c>
      <c r="W196" s="483">
        <f>HLOOKUP(VLOOKUP(LEFT(M196,LEN(M196)-2),'Date SPV'!$B$4:$F$34,5,FALSE),'Preturi si tarife'!$C$2:$J$21,17,FALSE)</f>
        <v>0.93920760000000003</v>
      </c>
    </row>
    <row r="197" spans="3:23">
      <c r="C197" s="349" t="s">
        <v>1390</v>
      </c>
      <c r="D197" s="349" t="s">
        <v>1351</v>
      </c>
      <c r="E197" s="349" t="s">
        <v>1351</v>
      </c>
      <c r="F197" s="349" t="s">
        <v>1352</v>
      </c>
      <c r="G197" s="348">
        <v>45352</v>
      </c>
      <c r="H197" s="349" t="s">
        <v>1353</v>
      </c>
      <c r="I197" s="369" t="s">
        <v>381</v>
      </c>
      <c r="J197" s="399"/>
      <c r="K197" s="341" t="s">
        <v>1358</v>
      </c>
      <c r="M197" s="479" t="s">
        <v>563</v>
      </c>
      <c r="N197" s="480" t="s">
        <v>693</v>
      </c>
      <c r="O197" s="480" t="str">
        <f>VLOOKUP(LEFT(M197,LEN(M197)-2),'Date SPV'!$B$4:$D$34,3,FALSE)</f>
        <v>Sibiu Shopping City 2 SRL</v>
      </c>
      <c r="P197" s="481" t="s">
        <v>1405</v>
      </c>
      <c r="Q197" s="481" t="s">
        <v>1405</v>
      </c>
      <c r="R197" s="481" t="s">
        <v>1405</v>
      </c>
      <c r="S197" s="480" t="str">
        <f>VLOOKUP(VLOOKUP(LEFT(M197,LEN(M197)-2),'Date SPV'!$B$4:$F$34,5,FALSE),'Date SPV'!$T$4:$U$11,2,FALSE)</f>
        <v>DEER Transilvania Sud</v>
      </c>
      <c r="T197" s="480" t="str">
        <f>VLOOKUP(M197,'Contorizare in SDI'!$B:$D,3,FALSE)</f>
        <v>594020200001926325</v>
      </c>
      <c r="U197" s="480" t="str">
        <f>VLOOKUP(N197,'Contorizare in SDI'!$F:$H,3,FALSE)</f>
        <v>594020200001926325/1</v>
      </c>
      <c r="V197" s="484" t="s">
        <v>1358</v>
      </c>
      <c r="W197" s="483">
        <f>SUMIF($AB:$AB,N197,$AD:$AD)</f>
        <v>5344</v>
      </c>
    </row>
    <row r="198" spans="3:23">
      <c r="C198" s="349" t="s">
        <v>1390</v>
      </c>
      <c r="D198" s="349" t="s">
        <v>1351</v>
      </c>
      <c r="E198" s="349" t="s">
        <v>1351</v>
      </c>
      <c r="F198" s="349" t="s">
        <v>1352</v>
      </c>
      <c r="G198" s="348">
        <v>45352</v>
      </c>
      <c r="H198" s="349" t="s">
        <v>1353</v>
      </c>
      <c r="I198" s="369" t="s">
        <v>381</v>
      </c>
      <c r="J198" s="399"/>
      <c r="K198" s="341" t="s">
        <v>1357</v>
      </c>
      <c r="M198" s="479" t="s">
        <v>563</v>
      </c>
      <c r="N198" s="480" t="s">
        <v>693</v>
      </c>
      <c r="O198" s="480" t="str">
        <f>VLOOKUP(LEFT(M198,LEN(M198)-2),'Date SPV'!$B$4:$D$34,3,FALSE)</f>
        <v>Sibiu Shopping City 2 SRL</v>
      </c>
      <c r="P198" s="481" t="s">
        <v>1405</v>
      </c>
      <c r="Q198" s="481" t="s">
        <v>1405</v>
      </c>
      <c r="R198" s="481" t="s">
        <v>1405</v>
      </c>
      <c r="S198" s="480" t="str">
        <f>VLOOKUP(VLOOKUP(LEFT(M198,LEN(M198)-2),'Date SPV'!$B$4:$F$34,5,FALSE),'Date SPV'!$T$4:$U$11,2,FALSE)</f>
        <v>DEER Transilvania Sud</v>
      </c>
      <c r="T198" s="480" t="str">
        <f>VLOOKUP(M198,'Contorizare in SDI'!$B:$D,3,FALSE)</f>
        <v>594020200001926325</v>
      </c>
      <c r="U198" s="480" t="str">
        <f>VLOOKUP(N198,'Contorizare in SDI'!$F:$H,3,FALSE)</f>
        <v>594020200001926325/1</v>
      </c>
      <c r="V198" s="484" t="s">
        <v>1357</v>
      </c>
      <c r="W198" s="483">
        <f>HLOOKUP(VLOOKUP(LEFT(M198,LEN(M198)-2),'Date SPV'!$B$4:$F$34,5,FALSE),'Preturi si tarife'!$C$2:$J$21,18,FALSE)</f>
        <v>0.83390760000000008</v>
      </c>
    </row>
    <row r="199" spans="3:23">
      <c r="C199" s="349" t="s">
        <v>1391</v>
      </c>
      <c r="D199" s="349" t="s">
        <v>1351</v>
      </c>
      <c r="E199" s="349" t="s">
        <v>1351</v>
      </c>
      <c r="F199" s="349" t="s">
        <v>1352</v>
      </c>
      <c r="G199" s="348">
        <v>45352</v>
      </c>
      <c r="H199" s="349" t="s">
        <v>1353</v>
      </c>
      <c r="I199" s="369" t="s">
        <v>385</v>
      </c>
      <c r="J199" s="399"/>
      <c r="K199" s="341" t="s">
        <v>1356</v>
      </c>
      <c r="M199" s="479" t="s">
        <v>564</v>
      </c>
      <c r="N199" s="480" t="s">
        <v>694</v>
      </c>
      <c r="O199" s="480" t="str">
        <f>VLOOKUP(LEFT(M199,LEN(M199)-2),'Date SPV'!$B$4:$D$34,3,FALSE)</f>
        <v>Sibiu Shopping City 2 SRL</v>
      </c>
      <c r="P199" s="481" t="s">
        <v>1405</v>
      </c>
      <c r="Q199" s="481" t="s">
        <v>1405</v>
      </c>
      <c r="R199" s="481" t="s">
        <v>1405</v>
      </c>
      <c r="S199" s="480" t="str">
        <f>VLOOKUP(VLOOKUP(LEFT(M199,LEN(M199)-2),'Date SPV'!$B$4:$F$34,5,FALSE),'Date SPV'!$T$4:$U$11,2,FALSE)</f>
        <v>DEER Transilvania Sud</v>
      </c>
      <c r="T199" s="480" t="str">
        <f>VLOOKUP(M199,'Contorizare in SDI'!$B:$D,3,FALSE)</f>
        <v>594020200001926332</v>
      </c>
      <c r="U199" s="480" t="str">
        <f>VLOOKUP(N199,'Contorizare in SDI'!$F:$H,3,FALSE)</f>
        <v>594020200001926332/1</v>
      </c>
      <c r="V199" s="484" t="s">
        <v>1356</v>
      </c>
      <c r="W199" s="483">
        <f>SUMIF($AB:$AB,N199,$AC:$AC)</f>
        <v>36153</v>
      </c>
    </row>
    <row r="200" spans="3:23">
      <c r="C200" s="349" t="s">
        <v>1391</v>
      </c>
      <c r="D200" s="349" t="s">
        <v>1351</v>
      </c>
      <c r="E200" s="349" t="s">
        <v>1351</v>
      </c>
      <c r="F200" s="349" t="s">
        <v>1352</v>
      </c>
      <c r="G200" s="348">
        <v>45352</v>
      </c>
      <c r="H200" s="349" t="s">
        <v>1353</v>
      </c>
      <c r="I200" s="369" t="s">
        <v>385</v>
      </c>
      <c r="J200" s="399"/>
      <c r="K200" s="341" t="s">
        <v>1357</v>
      </c>
      <c r="M200" s="479" t="s">
        <v>564</v>
      </c>
      <c r="N200" s="480" t="s">
        <v>694</v>
      </c>
      <c r="O200" s="480" t="str">
        <f>VLOOKUP(LEFT(M200,LEN(M200)-2),'Date SPV'!$B$4:$D$34,3,FALSE)</f>
        <v>Sibiu Shopping City 2 SRL</v>
      </c>
      <c r="P200" s="481" t="s">
        <v>1405</v>
      </c>
      <c r="Q200" s="481" t="s">
        <v>1405</v>
      </c>
      <c r="R200" s="481" t="s">
        <v>1405</v>
      </c>
      <c r="S200" s="480" t="str">
        <f>VLOOKUP(VLOOKUP(LEFT(M200,LEN(M200)-2),'Date SPV'!$B$4:$F$34,5,FALSE),'Date SPV'!$T$4:$U$11,2,FALSE)</f>
        <v>DEER Transilvania Sud</v>
      </c>
      <c r="T200" s="480" t="str">
        <f>VLOOKUP(M200,'Contorizare in SDI'!$B:$D,3,FALSE)</f>
        <v>594020200001926332</v>
      </c>
      <c r="U200" s="480" t="str">
        <f>VLOOKUP(N200,'Contorizare in SDI'!$F:$H,3,FALSE)</f>
        <v>594020200001926332/1</v>
      </c>
      <c r="V200" s="484" t="s">
        <v>1357</v>
      </c>
      <c r="W200" s="483">
        <f>HLOOKUP(VLOOKUP(LEFT(M200,LEN(M200)-2),'Date SPV'!$B$4:$F$34,5,FALSE),'Preturi si tarife'!$C$2:$J$21,17,FALSE)</f>
        <v>0.93920760000000003</v>
      </c>
    </row>
    <row r="201" spans="3:23">
      <c r="C201" s="349" t="s">
        <v>1391</v>
      </c>
      <c r="D201" s="349" t="s">
        <v>1351</v>
      </c>
      <c r="E201" s="349" t="s">
        <v>1351</v>
      </c>
      <c r="F201" s="349" t="s">
        <v>1352</v>
      </c>
      <c r="G201" s="348">
        <v>45352</v>
      </c>
      <c r="H201" s="349" t="s">
        <v>1353</v>
      </c>
      <c r="I201" s="369" t="s">
        <v>385</v>
      </c>
      <c r="J201" s="399"/>
      <c r="K201" s="341" t="s">
        <v>1358</v>
      </c>
      <c r="M201" s="479" t="s">
        <v>564</v>
      </c>
      <c r="N201" s="480" t="s">
        <v>694</v>
      </c>
      <c r="O201" s="480" t="str">
        <f>VLOOKUP(LEFT(M201,LEN(M201)-2),'Date SPV'!$B$4:$D$34,3,FALSE)</f>
        <v>Sibiu Shopping City 2 SRL</v>
      </c>
      <c r="P201" s="481" t="s">
        <v>1405</v>
      </c>
      <c r="Q201" s="481" t="s">
        <v>1405</v>
      </c>
      <c r="R201" s="481" t="s">
        <v>1405</v>
      </c>
      <c r="S201" s="480" t="str">
        <f>VLOOKUP(VLOOKUP(LEFT(M201,LEN(M201)-2),'Date SPV'!$B$4:$F$34,5,FALSE),'Date SPV'!$T$4:$U$11,2,FALSE)</f>
        <v>DEER Transilvania Sud</v>
      </c>
      <c r="T201" s="480" t="str">
        <f>VLOOKUP(M201,'Contorizare in SDI'!$B:$D,3,FALSE)</f>
        <v>594020200001926332</v>
      </c>
      <c r="U201" s="480" t="str">
        <f>VLOOKUP(N201,'Contorizare in SDI'!$F:$H,3,FALSE)</f>
        <v>594020200001926332/1</v>
      </c>
      <c r="V201" s="484" t="s">
        <v>1358</v>
      </c>
      <c r="W201" s="483">
        <f>SUMIF($AB:$AB,N201,$AD:$AD)</f>
        <v>0</v>
      </c>
    </row>
    <row r="202" spans="3:23" ht="16.5" thickBot="1">
      <c r="C202" s="349" t="s">
        <v>1391</v>
      </c>
      <c r="D202" s="349" t="s">
        <v>1351</v>
      </c>
      <c r="E202" s="349" t="s">
        <v>1351</v>
      </c>
      <c r="F202" s="349" t="s">
        <v>1352</v>
      </c>
      <c r="G202" s="348">
        <v>45352</v>
      </c>
      <c r="H202" s="349" t="s">
        <v>1353</v>
      </c>
      <c r="I202" s="369" t="s">
        <v>385</v>
      </c>
      <c r="J202" s="399"/>
      <c r="K202" s="341" t="s">
        <v>1357</v>
      </c>
      <c r="M202" s="485" t="s">
        <v>564</v>
      </c>
      <c r="N202" s="486" t="s">
        <v>694</v>
      </c>
      <c r="O202" s="486" t="str">
        <f>VLOOKUP(LEFT(M202,LEN(M202)-2),'Date SPV'!$B$4:$D$34,3,FALSE)</f>
        <v>Sibiu Shopping City 2 SRL</v>
      </c>
      <c r="P202" s="487" t="s">
        <v>1405</v>
      </c>
      <c r="Q202" s="487" t="s">
        <v>1405</v>
      </c>
      <c r="R202" s="487" t="s">
        <v>1405</v>
      </c>
      <c r="S202" s="486" t="str">
        <f>VLOOKUP(VLOOKUP(LEFT(M202,LEN(M202)-2),'Date SPV'!$B$4:$F$34,5,FALSE),'Date SPV'!$T$4:$U$11,2,FALSE)</f>
        <v>DEER Transilvania Sud</v>
      </c>
      <c r="T202" s="486" t="str">
        <f>VLOOKUP(M202,'Contorizare in SDI'!$B:$D,3,FALSE)</f>
        <v>594020200001926332</v>
      </c>
      <c r="U202" s="486" t="str">
        <f>VLOOKUP(N202,'Contorizare in SDI'!$F:$H,3,FALSE)</f>
        <v>594020200001926332/1</v>
      </c>
      <c r="V202" s="488" t="s">
        <v>1357</v>
      </c>
      <c r="W202" s="489">
        <f>HLOOKUP(VLOOKUP(LEFT(M202,LEN(M202)-2),'Date SPV'!$B$4:$F$34,5,FALSE),'Preturi si tarife'!$C$2:$J$21,18,FALSE)</f>
        <v>0.83390760000000008</v>
      </c>
    </row>
    <row r="203" spans="3:23">
      <c r="C203" s="374" t="s">
        <v>1392</v>
      </c>
      <c r="D203" s="374" t="s">
        <v>1351</v>
      </c>
      <c r="E203" s="374" t="s">
        <v>1351</v>
      </c>
      <c r="F203" s="374" t="s">
        <v>1352</v>
      </c>
      <c r="G203" s="376">
        <v>45352</v>
      </c>
      <c r="H203" s="374" t="s">
        <v>1353</v>
      </c>
      <c r="I203" s="377" t="s">
        <v>365</v>
      </c>
      <c r="J203" s="400"/>
      <c r="K203" s="375" t="s">
        <v>1354</v>
      </c>
      <c r="M203" s="474" t="s">
        <v>559</v>
      </c>
      <c r="N203" s="475" t="s">
        <v>69</v>
      </c>
      <c r="O203" s="475" t="str">
        <f>VLOOKUP(LEFT(M203,LEN(M203)-2),'Date SPV'!$B$4:$D$34,3,FALSE)</f>
        <v>NRE Sibiu Shopping City SRL</v>
      </c>
      <c r="P203" s="476" t="s">
        <v>1405</v>
      </c>
      <c r="Q203" s="476" t="s">
        <v>1405</v>
      </c>
      <c r="R203" s="476" t="s">
        <v>1405</v>
      </c>
      <c r="S203" s="475" t="str">
        <f>VLOOKUP(VLOOKUP(LEFT(M203,LEN(M203)-2),'Date SPV'!$B$4:$F$34,5,FALSE),'Date SPV'!$T$4:$U$11,2,FALSE)</f>
        <v>DEER Transilvania Sud</v>
      </c>
      <c r="T203" s="475" t="str">
        <f>VLOOKUP(M203,'Contorizare in SDI'!$B:$D,3,FALSE)</f>
        <v>594020200001925328</v>
      </c>
      <c r="U203" s="475" t="s">
        <v>69</v>
      </c>
      <c r="V203" s="477" t="s">
        <v>1354</v>
      </c>
      <c r="W203" s="478">
        <f>W205+W207+W211+W213</f>
        <v>188035</v>
      </c>
    </row>
    <row r="204" spans="3:23">
      <c r="C204" s="349" t="s">
        <v>1392</v>
      </c>
      <c r="D204" s="349" t="s">
        <v>1351</v>
      </c>
      <c r="E204" s="349" t="s">
        <v>1351</v>
      </c>
      <c r="F204" s="349" t="s">
        <v>1352</v>
      </c>
      <c r="G204" s="348">
        <v>45352</v>
      </c>
      <c r="H204" s="349" t="s">
        <v>1353</v>
      </c>
      <c r="I204" s="351" t="s">
        <v>365</v>
      </c>
      <c r="J204" s="400"/>
      <c r="K204" s="347" t="s">
        <v>1355</v>
      </c>
      <c r="M204" s="479" t="s">
        <v>559</v>
      </c>
      <c r="N204" s="480" t="s">
        <v>69</v>
      </c>
      <c r="O204" s="480" t="str">
        <f>VLOOKUP(LEFT(M204,LEN(M204)-2),'Date SPV'!$B$4:$D$34,3,FALSE)</f>
        <v>NRE Sibiu Shopping City SRL</v>
      </c>
      <c r="P204" s="481" t="s">
        <v>1405</v>
      </c>
      <c r="Q204" s="481" t="s">
        <v>1405</v>
      </c>
      <c r="R204" s="481" t="s">
        <v>1405</v>
      </c>
      <c r="S204" s="480" t="str">
        <f>VLOOKUP(VLOOKUP(LEFT(M204,LEN(M204)-2),'Date SPV'!$B$4:$F$34,5,FALSE),'Date SPV'!$T$4:$U$11,2,FALSE)</f>
        <v>DEER Transilvania Sud</v>
      </c>
      <c r="T204" s="480" t="str">
        <f>VLOOKUP(M204,'Contorizare in SDI'!$B:$D,3,FALSE)</f>
        <v>594020200001925328</v>
      </c>
      <c r="U204" s="480" t="s">
        <v>69</v>
      </c>
      <c r="V204" s="482" t="s">
        <v>1355</v>
      </c>
      <c r="W204" s="483">
        <f>ROUND(W205*W206+W207*W208+W211*W212+W213*W214,2)</f>
        <v>176603.9</v>
      </c>
    </row>
    <row r="205" spans="3:23">
      <c r="C205" s="349" t="s">
        <v>1392</v>
      </c>
      <c r="D205" s="349" t="s">
        <v>1351</v>
      </c>
      <c r="E205" s="349" t="s">
        <v>1351</v>
      </c>
      <c r="F205" s="349" t="s">
        <v>1352</v>
      </c>
      <c r="G205" s="348">
        <v>45352</v>
      </c>
      <c r="H205" s="349" t="s">
        <v>1353</v>
      </c>
      <c r="I205" s="369" t="s">
        <v>367</v>
      </c>
      <c r="J205" s="399"/>
      <c r="K205" s="341" t="s">
        <v>1356</v>
      </c>
      <c r="M205" s="479" t="s">
        <v>559</v>
      </c>
      <c r="N205" s="480" t="s">
        <v>691</v>
      </c>
      <c r="O205" s="480" t="str">
        <f>VLOOKUP(LEFT(M205,LEN(M205)-2),'Date SPV'!$B$4:$D$34,3,FALSE)</f>
        <v>NRE Sibiu Shopping City SRL</v>
      </c>
      <c r="P205" s="481" t="s">
        <v>1405</v>
      </c>
      <c r="Q205" s="481" t="s">
        <v>1405</v>
      </c>
      <c r="R205" s="481" t="s">
        <v>1405</v>
      </c>
      <c r="S205" s="480" t="str">
        <f>VLOOKUP(VLOOKUP(LEFT(M205,LEN(M205)-2),'Date SPV'!$B$4:$F$34,5,FALSE),'Date SPV'!$T$4:$U$11,2,FALSE)</f>
        <v>DEER Transilvania Sud</v>
      </c>
      <c r="T205" s="480" t="str">
        <f>VLOOKUP(M205,'Contorizare in SDI'!$B:$D,3,FALSE)</f>
        <v>594020200001925328</v>
      </c>
      <c r="U205" s="480" t="str">
        <f>VLOOKUP(N205,'Contorizare in SDI'!$F:$H,3,FALSE)</f>
        <v>594020200001925328/1</v>
      </c>
      <c r="V205" s="484" t="s">
        <v>1356</v>
      </c>
      <c r="W205" s="483">
        <f>SUMIF($AB:$AB,N205,$AC:$AC)</f>
        <v>93169</v>
      </c>
    </row>
    <row r="206" spans="3:23">
      <c r="C206" s="349" t="s">
        <v>1392</v>
      </c>
      <c r="D206" s="349" t="s">
        <v>1351</v>
      </c>
      <c r="E206" s="349" t="s">
        <v>1351</v>
      </c>
      <c r="F206" s="349" t="s">
        <v>1352</v>
      </c>
      <c r="G206" s="348">
        <v>45352</v>
      </c>
      <c r="H206" s="349" t="s">
        <v>1353</v>
      </c>
      <c r="I206" s="369" t="s">
        <v>367</v>
      </c>
      <c r="J206" s="399"/>
      <c r="K206" s="341" t="s">
        <v>1357</v>
      </c>
      <c r="M206" s="479" t="s">
        <v>559</v>
      </c>
      <c r="N206" s="480" t="s">
        <v>691</v>
      </c>
      <c r="O206" s="480" t="str">
        <f>VLOOKUP(LEFT(M206,LEN(M206)-2),'Date SPV'!$B$4:$D$34,3,FALSE)</f>
        <v>NRE Sibiu Shopping City SRL</v>
      </c>
      <c r="P206" s="481" t="s">
        <v>1405</v>
      </c>
      <c r="Q206" s="481" t="s">
        <v>1405</v>
      </c>
      <c r="R206" s="481" t="s">
        <v>1405</v>
      </c>
      <c r="S206" s="480" t="str">
        <f>VLOOKUP(VLOOKUP(LEFT(M206,LEN(M206)-2),'Date SPV'!$B$4:$F$34,5,FALSE),'Date SPV'!$T$4:$U$11,2,FALSE)</f>
        <v>DEER Transilvania Sud</v>
      </c>
      <c r="T206" s="480" t="str">
        <f>VLOOKUP(M206,'Contorizare in SDI'!$B:$D,3,FALSE)</f>
        <v>594020200001925328</v>
      </c>
      <c r="U206" s="480" t="str">
        <f>VLOOKUP(N206,'Contorizare in SDI'!$F:$H,3,FALSE)</f>
        <v>594020200001925328/1</v>
      </c>
      <c r="V206" s="484" t="s">
        <v>1357</v>
      </c>
      <c r="W206" s="483">
        <f>HLOOKUP(VLOOKUP(LEFT(M206,LEN(M206)-2),'Date SPV'!$B$4:$F$34,5,FALSE),'Preturi si tarife'!$C$2:$J$21,17,FALSE)</f>
        <v>0.93920760000000003</v>
      </c>
    </row>
    <row r="207" spans="3:23">
      <c r="C207" s="349" t="s">
        <v>1392</v>
      </c>
      <c r="D207" s="349" t="s">
        <v>1351</v>
      </c>
      <c r="E207" s="349" t="s">
        <v>1351</v>
      </c>
      <c r="F207" s="349" t="s">
        <v>1352</v>
      </c>
      <c r="G207" s="348">
        <v>45352</v>
      </c>
      <c r="H207" s="349" t="s">
        <v>1353</v>
      </c>
      <c r="I207" s="369" t="s">
        <v>367</v>
      </c>
      <c r="J207" s="399"/>
      <c r="K207" s="341" t="s">
        <v>1358</v>
      </c>
      <c r="M207" s="479" t="s">
        <v>559</v>
      </c>
      <c r="N207" s="480" t="s">
        <v>691</v>
      </c>
      <c r="O207" s="480" t="str">
        <f>VLOOKUP(LEFT(M207,LEN(M207)-2),'Date SPV'!$B$4:$D$34,3,FALSE)</f>
        <v>NRE Sibiu Shopping City SRL</v>
      </c>
      <c r="P207" s="481" t="s">
        <v>1405</v>
      </c>
      <c r="Q207" s="481" t="s">
        <v>1405</v>
      </c>
      <c r="R207" s="481" t="s">
        <v>1405</v>
      </c>
      <c r="S207" s="480" t="str">
        <f>VLOOKUP(VLOOKUP(LEFT(M207,LEN(M207)-2),'Date SPV'!$B$4:$F$34,5,FALSE),'Date SPV'!$T$4:$U$11,2,FALSE)</f>
        <v>DEER Transilvania Sud</v>
      </c>
      <c r="T207" s="480" t="str">
        <f>VLOOKUP(M207,'Contorizare in SDI'!$B:$D,3,FALSE)</f>
        <v>594020200001925328</v>
      </c>
      <c r="U207" s="480" t="str">
        <f>VLOOKUP(N207,'Contorizare in SDI'!$F:$H,3,FALSE)</f>
        <v>594020200001925328/1</v>
      </c>
      <c r="V207" s="484" t="s">
        <v>1358</v>
      </c>
      <c r="W207" s="483">
        <f>SUMIF($AB:$AB,N207,$AD:$AD)</f>
        <v>0</v>
      </c>
    </row>
    <row r="208" spans="3:23">
      <c r="C208" s="349" t="s">
        <v>1392</v>
      </c>
      <c r="D208" s="349" t="s">
        <v>1351</v>
      </c>
      <c r="E208" s="349" t="s">
        <v>1351</v>
      </c>
      <c r="F208" s="349" t="s">
        <v>1352</v>
      </c>
      <c r="G208" s="348">
        <v>45352</v>
      </c>
      <c r="H208" s="349" t="s">
        <v>1353</v>
      </c>
      <c r="I208" s="369" t="s">
        <v>367</v>
      </c>
      <c r="J208" s="399"/>
      <c r="K208" s="341" t="s">
        <v>1357</v>
      </c>
      <c r="M208" s="479" t="s">
        <v>559</v>
      </c>
      <c r="N208" s="480" t="s">
        <v>691</v>
      </c>
      <c r="O208" s="480" t="str">
        <f>VLOOKUP(LEFT(M208,LEN(M208)-2),'Date SPV'!$B$4:$D$34,3,FALSE)</f>
        <v>NRE Sibiu Shopping City SRL</v>
      </c>
      <c r="P208" s="481" t="s">
        <v>1405</v>
      </c>
      <c r="Q208" s="481" t="s">
        <v>1405</v>
      </c>
      <c r="R208" s="481" t="s">
        <v>1405</v>
      </c>
      <c r="S208" s="480" t="str">
        <f>VLOOKUP(VLOOKUP(LEFT(M208,LEN(M208)-2),'Date SPV'!$B$4:$F$34,5,FALSE),'Date SPV'!$T$4:$U$11,2,FALSE)</f>
        <v>DEER Transilvania Sud</v>
      </c>
      <c r="T208" s="480" t="str">
        <f>VLOOKUP(M208,'Contorizare in SDI'!$B:$D,3,FALSE)</f>
        <v>594020200001925328</v>
      </c>
      <c r="U208" s="480" t="str">
        <f>VLOOKUP(N208,'Contorizare in SDI'!$F:$H,3,FALSE)</f>
        <v>594020200001925328/1</v>
      </c>
      <c r="V208" s="484" t="s">
        <v>1357</v>
      </c>
      <c r="W208" s="483">
        <f>HLOOKUP(VLOOKUP(LEFT(M208,LEN(M208)-2),'Date SPV'!$B$4:$F$34,5,FALSE),'Preturi si tarife'!$C$2:$J$21,18,FALSE)</f>
        <v>0.83390760000000008</v>
      </c>
    </row>
    <row r="209" spans="3:23">
      <c r="C209" s="374" t="s">
        <v>1393</v>
      </c>
      <c r="D209" s="374" t="s">
        <v>1351</v>
      </c>
      <c r="E209" s="374" t="s">
        <v>1351</v>
      </c>
      <c r="F209" s="374" t="s">
        <v>1352</v>
      </c>
      <c r="G209" s="376">
        <v>45352</v>
      </c>
      <c r="H209" s="374" t="s">
        <v>1353</v>
      </c>
      <c r="I209" s="377" t="s">
        <v>365</v>
      </c>
      <c r="J209" s="400"/>
      <c r="K209" s="375" t="s">
        <v>1354</v>
      </c>
      <c r="M209" s="492"/>
      <c r="N209" s="255"/>
      <c r="O209" s="255"/>
      <c r="P209" s="255"/>
      <c r="Q209" s="255"/>
      <c r="R209" s="255"/>
      <c r="S209" s="255"/>
      <c r="T209" s="255"/>
      <c r="U209" s="255"/>
      <c r="V209" s="255"/>
      <c r="W209" s="493">
        <v>0</v>
      </c>
    </row>
    <row r="210" spans="3:23">
      <c r="C210" s="349" t="s">
        <v>1393</v>
      </c>
      <c r="D210" s="349" t="s">
        <v>1351</v>
      </c>
      <c r="E210" s="349" t="s">
        <v>1351</v>
      </c>
      <c r="F210" s="349" t="s">
        <v>1352</v>
      </c>
      <c r="G210" s="348">
        <v>45352</v>
      </c>
      <c r="H210" s="349" t="s">
        <v>1353</v>
      </c>
      <c r="I210" s="351" t="s">
        <v>365</v>
      </c>
      <c r="J210" s="400"/>
      <c r="K210" s="347" t="s">
        <v>1355</v>
      </c>
      <c r="M210" s="492"/>
      <c r="N210" s="255"/>
      <c r="O210" s="255"/>
      <c r="P210" s="255"/>
      <c r="Q210" s="255"/>
      <c r="R210" s="255"/>
      <c r="S210" s="255"/>
      <c r="T210" s="255"/>
      <c r="U210" s="255"/>
      <c r="V210" s="255"/>
      <c r="W210" s="493">
        <v>0</v>
      </c>
    </row>
    <row r="211" spans="3:23">
      <c r="C211" s="349" t="s">
        <v>1393</v>
      </c>
      <c r="D211" s="349" t="s">
        <v>1351</v>
      </c>
      <c r="E211" s="349" t="s">
        <v>1351</v>
      </c>
      <c r="F211" s="349" t="s">
        <v>1352</v>
      </c>
      <c r="G211" s="348">
        <v>45352</v>
      </c>
      <c r="H211" s="349" t="s">
        <v>1353</v>
      </c>
      <c r="I211" s="369" t="s">
        <v>369</v>
      </c>
      <c r="J211" s="399"/>
      <c r="K211" s="341" t="s">
        <v>1356</v>
      </c>
      <c r="M211" s="479" t="s">
        <v>559</v>
      </c>
      <c r="N211" s="480" t="s">
        <v>692</v>
      </c>
      <c r="O211" s="480" t="str">
        <f>VLOOKUP(LEFT(M211,LEN(M211)-2),'Date SPV'!$B$4:$D$34,3,FALSE)</f>
        <v>NRE Sibiu Shopping City SRL</v>
      </c>
      <c r="P211" s="481" t="s">
        <v>1405</v>
      </c>
      <c r="Q211" s="481" t="s">
        <v>1405</v>
      </c>
      <c r="R211" s="481" t="s">
        <v>1405</v>
      </c>
      <c r="S211" s="480" t="str">
        <f>VLOOKUP(VLOOKUP(LEFT(M211,LEN(M211)-2),'Date SPV'!$B$4:$F$34,5,FALSE),'Date SPV'!$T$4:$U$11,2,FALSE)</f>
        <v>DEER Transilvania Sud</v>
      </c>
      <c r="T211" s="480" t="str">
        <f>VLOOKUP(M211,'Contorizare in SDI'!$B:$D,3,FALSE)</f>
        <v>594020200001925328</v>
      </c>
      <c r="U211" s="480" t="str">
        <f>VLOOKUP(N211,'Contorizare in SDI'!$F:$H,3,FALSE)</f>
        <v>594020200001925328/2</v>
      </c>
      <c r="V211" s="484" t="s">
        <v>1356</v>
      </c>
      <c r="W211" s="483">
        <f>SUMIF($AB:$AB,N211,$AC:$AC)</f>
        <v>94866</v>
      </c>
    </row>
    <row r="212" spans="3:23">
      <c r="C212" s="349" t="s">
        <v>1393</v>
      </c>
      <c r="D212" s="349" t="s">
        <v>1351</v>
      </c>
      <c r="E212" s="349" t="s">
        <v>1351</v>
      </c>
      <c r="F212" s="349" t="s">
        <v>1352</v>
      </c>
      <c r="G212" s="348">
        <v>45352</v>
      </c>
      <c r="H212" s="349" t="s">
        <v>1353</v>
      </c>
      <c r="I212" s="369" t="s">
        <v>369</v>
      </c>
      <c r="J212" s="399"/>
      <c r="K212" s="341" t="s">
        <v>1357</v>
      </c>
      <c r="M212" s="479" t="s">
        <v>559</v>
      </c>
      <c r="N212" s="480" t="s">
        <v>692</v>
      </c>
      <c r="O212" s="480" t="str">
        <f>VLOOKUP(LEFT(M212,LEN(M212)-2),'Date SPV'!$B$4:$D$34,3,FALSE)</f>
        <v>NRE Sibiu Shopping City SRL</v>
      </c>
      <c r="P212" s="481" t="s">
        <v>1405</v>
      </c>
      <c r="Q212" s="481" t="s">
        <v>1405</v>
      </c>
      <c r="R212" s="481" t="s">
        <v>1405</v>
      </c>
      <c r="S212" s="480" t="str">
        <f>VLOOKUP(VLOOKUP(LEFT(M212,LEN(M212)-2),'Date SPV'!$B$4:$F$34,5,FALSE),'Date SPV'!$T$4:$U$11,2,FALSE)</f>
        <v>DEER Transilvania Sud</v>
      </c>
      <c r="T212" s="480" t="str">
        <f>VLOOKUP(M212,'Contorizare in SDI'!$B:$D,3,FALSE)</f>
        <v>594020200001925328</v>
      </c>
      <c r="U212" s="480" t="str">
        <f>VLOOKUP(N212,'Contorizare in SDI'!$F:$H,3,FALSE)</f>
        <v>594020200001925328/2</v>
      </c>
      <c r="V212" s="484" t="s">
        <v>1357</v>
      </c>
      <c r="W212" s="483">
        <f>HLOOKUP(VLOOKUP(LEFT(M212,LEN(M212)-2),'Date SPV'!$B$4:$F$34,5,FALSE),'Preturi si tarife'!$C$2:$J$21,17,FALSE)</f>
        <v>0.93920760000000003</v>
      </c>
    </row>
    <row r="213" spans="3:23">
      <c r="C213" s="349" t="s">
        <v>1393</v>
      </c>
      <c r="D213" s="349" t="s">
        <v>1351</v>
      </c>
      <c r="E213" s="349" t="s">
        <v>1351</v>
      </c>
      <c r="F213" s="349" t="s">
        <v>1352</v>
      </c>
      <c r="G213" s="348">
        <v>45352</v>
      </c>
      <c r="H213" s="349" t="s">
        <v>1353</v>
      </c>
      <c r="I213" s="369" t="s">
        <v>369</v>
      </c>
      <c r="J213" s="399"/>
      <c r="K213" s="341" t="s">
        <v>1358</v>
      </c>
      <c r="M213" s="479" t="s">
        <v>559</v>
      </c>
      <c r="N213" s="480" t="s">
        <v>692</v>
      </c>
      <c r="O213" s="480" t="str">
        <f>VLOOKUP(LEFT(M213,LEN(M213)-2),'Date SPV'!$B$4:$D$34,3,FALSE)</f>
        <v>NRE Sibiu Shopping City SRL</v>
      </c>
      <c r="P213" s="481" t="s">
        <v>1405</v>
      </c>
      <c r="Q213" s="481" t="s">
        <v>1405</v>
      </c>
      <c r="R213" s="481" t="s">
        <v>1405</v>
      </c>
      <c r="S213" s="480" t="str">
        <f>VLOOKUP(VLOOKUP(LEFT(M213,LEN(M213)-2),'Date SPV'!$B$4:$F$34,5,FALSE),'Date SPV'!$T$4:$U$11,2,FALSE)</f>
        <v>DEER Transilvania Sud</v>
      </c>
      <c r="T213" s="480" t="str">
        <f>VLOOKUP(M213,'Contorizare in SDI'!$B:$D,3,FALSE)</f>
        <v>594020200001925328</v>
      </c>
      <c r="U213" s="480" t="str">
        <f>VLOOKUP(N213,'Contorizare in SDI'!$F:$H,3,FALSE)</f>
        <v>594020200001925328/2</v>
      </c>
      <c r="V213" s="484" t="s">
        <v>1358</v>
      </c>
      <c r="W213" s="483">
        <f>SUMIF($AB:$AB,N213,$AD:$AD)</f>
        <v>0</v>
      </c>
    </row>
    <row r="214" spans="3:23" ht="16.5" thickBot="1">
      <c r="C214" s="349" t="s">
        <v>1393</v>
      </c>
      <c r="D214" s="349" t="s">
        <v>1351</v>
      </c>
      <c r="E214" s="349" t="s">
        <v>1351</v>
      </c>
      <c r="F214" s="349" t="s">
        <v>1352</v>
      </c>
      <c r="G214" s="348">
        <v>45352</v>
      </c>
      <c r="H214" s="349" t="s">
        <v>1353</v>
      </c>
      <c r="I214" s="369" t="s">
        <v>369</v>
      </c>
      <c r="J214" s="399"/>
      <c r="K214" s="341" t="s">
        <v>1357</v>
      </c>
      <c r="M214" s="485" t="s">
        <v>559</v>
      </c>
      <c r="N214" s="486" t="s">
        <v>692</v>
      </c>
      <c r="O214" s="486" t="str">
        <f>VLOOKUP(LEFT(M214,LEN(M214)-2),'Date SPV'!$B$4:$D$34,3,FALSE)</f>
        <v>NRE Sibiu Shopping City SRL</v>
      </c>
      <c r="P214" s="487" t="s">
        <v>1405</v>
      </c>
      <c r="Q214" s="487" t="s">
        <v>1405</v>
      </c>
      <c r="R214" s="487" t="s">
        <v>1405</v>
      </c>
      <c r="S214" s="486" t="str">
        <f>VLOOKUP(VLOOKUP(LEFT(M214,LEN(M214)-2),'Date SPV'!$B$4:$F$34,5,FALSE),'Date SPV'!$T$4:$U$11,2,FALSE)</f>
        <v>DEER Transilvania Sud</v>
      </c>
      <c r="T214" s="486" t="str">
        <f>VLOOKUP(M214,'Contorizare in SDI'!$B:$D,3,FALSE)</f>
        <v>594020200001925328</v>
      </c>
      <c r="U214" s="486" t="str">
        <f>VLOOKUP(N214,'Contorizare in SDI'!$F:$H,3,FALSE)</f>
        <v>594020200001925328/2</v>
      </c>
      <c r="V214" s="488" t="s">
        <v>1357</v>
      </c>
      <c r="W214" s="489">
        <f>HLOOKUP(VLOOKUP(LEFT(M214,LEN(M214)-2),'Date SPV'!$B$4:$F$34,5,FALSE),'Preturi si tarife'!$C$2:$J$21,18,FALSE)</f>
        <v>0.83390760000000008</v>
      </c>
    </row>
    <row r="215" spans="3:23">
      <c r="C215" s="374" t="s">
        <v>1394</v>
      </c>
      <c r="D215" s="374" t="s">
        <v>1351</v>
      </c>
      <c r="E215" s="374" t="s">
        <v>1351</v>
      </c>
      <c r="F215" s="374" t="s">
        <v>1352</v>
      </c>
      <c r="G215" s="376">
        <v>45292</v>
      </c>
      <c r="H215" s="374" t="s">
        <v>1385</v>
      </c>
      <c r="I215" s="377" t="s">
        <v>193</v>
      </c>
      <c r="J215" s="400"/>
      <c r="K215" s="375" t="s">
        <v>1354</v>
      </c>
      <c r="M215" s="406" t="s">
        <v>533</v>
      </c>
      <c r="N215" s="407" t="s">
        <v>675</v>
      </c>
      <c r="O215" s="407" t="str">
        <f>VLOOKUP(LEFT(M215,LEN(M215)-2),'Date SPV'!$B$4:$D$34,3,FALSE)</f>
        <v>Shopping City Timisoara SRL</v>
      </c>
      <c r="P215" s="408" t="s">
        <v>1405</v>
      </c>
      <c r="Q215" s="408" t="s">
        <v>1405</v>
      </c>
      <c r="R215" s="408" t="s">
        <v>1405</v>
      </c>
      <c r="S215" s="407" t="str">
        <f>VLOOKUP(VLOOKUP(LEFT(M215,LEN(M215)-2),'Date SPV'!$B$4:$F$34,5,FALSE),'Date SPV'!$T$4:$U$11,2,FALSE)</f>
        <v>Retele Electrice Banat</v>
      </c>
      <c r="T215" s="407" t="str">
        <f>VLOOKUP(M215,'Contorizare in SDI'!$B:$D,3,FALSE)</f>
        <v>RO005E513396506</v>
      </c>
      <c r="U215" s="407" t="str">
        <f>VLOOKUP(N215,'Contorizare in SDI'!$F:$H,3,FALSE)</f>
        <v>RO005E513396506/3</v>
      </c>
      <c r="V215" s="409" t="s">
        <v>1354</v>
      </c>
      <c r="W215" s="410">
        <f>W217+W219</f>
        <v>159886</v>
      </c>
    </row>
    <row r="216" spans="3:23">
      <c r="C216" s="349" t="s">
        <v>1394</v>
      </c>
      <c r="D216" s="349" t="s">
        <v>1351</v>
      </c>
      <c r="E216" s="349" t="s">
        <v>1351</v>
      </c>
      <c r="F216" s="349" t="s">
        <v>1352</v>
      </c>
      <c r="G216" s="348">
        <v>45292</v>
      </c>
      <c r="H216" s="349" t="s">
        <v>1385</v>
      </c>
      <c r="I216" s="351" t="s">
        <v>193</v>
      </c>
      <c r="J216" s="400"/>
      <c r="K216" s="347" t="s">
        <v>1355</v>
      </c>
      <c r="M216" s="411" t="s">
        <v>533</v>
      </c>
      <c r="N216" s="403" t="s">
        <v>675</v>
      </c>
      <c r="O216" s="403" t="str">
        <f>VLOOKUP(LEFT(M216,LEN(M216)-2),'Date SPV'!$B$4:$D$34,3,FALSE)</f>
        <v>Shopping City Timisoara SRL</v>
      </c>
      <c r="P216" s="412" t="s">
        <v>1405</v>
      </c>
      <c r="Q216" s="412" t="s">
        <v>1405</v>
      </c>
      <c r="R216" s="412" t="s">
        <v>1405</v>
      </c>
      <c r="S216" s="403" t="str">
        <f>VLOOKUP(VLOOKUP(LEFT(M216,LEN(M216)-2),'Date SPV'!$B$4:$F$34,5,FALSE),'Date SPV'!$T$4:$U$11,2,FALSE)</f>
        <v>Retele Electrice Banat</v>
      </c>
      <c r="T216" s="403" t="str">
        <f>VLOOKUP(M216,'Contorizare in SDI'!$B:$D,3,FALSE)</f>
        <v>RO005E513396506</v>
      </c>
      <c r="U216" s="403" t="str">
        <f>VLOOKUP(N216,'Contorizare in SDI'!$F:$H,3,FALSE)</f>
        <v>RO005E513396506/3</v>
      </c>
      <c r="V216" s="413" t="s">
        <v>1355</v>
      </c>
      <c r="W216" s="414">
        <f>ROUND(W217*W218+W219*W220,2)</f>
        <v>142770.72</v>
      </c>
    </row>
    <row r="217" spans="3:23">
      <c r="C217" s="349" t="s">
        <v>1394</v>
      </c>
      <c r="D217" s="349" t="s">
        <v>1351</v>
      </c>
      <c r="E217" s="349" t="s">
        <v>1351</v>
      </c>
      <c r="F217" s="349" t="s">
        <v>1352</v>
      </c>
      <c r="G217" s="348">
        <v>45292</v>
      </c>
      <c r="H217" s="349" t="s">
        <v>1385</v>
      </c>
      <c r="I217" s="351" t="s">
        <v>209</v>
      </c>
      <c r="J217" s="400"/>
      <c r="K217" s="341" t="s">
        <v>1356</v>
      </c>
      <c r="M217" s="411" t="s">
        <v>533</v>
      </c>
      <c r="N217" s="403" t="s">
        <v>675</v>
      </c>
      <c r="O217" s="403" t="str">
        <f>VLOOKUP(LEFT(M217,LEN(M217)-2),'Date SPV'!$B$4:$D$34,3,FALSE)</f>
        <v>Shopping City Timisoara SRL</v>
      </c>
      <c r="P217" s="412" t="s">
        <v>1405</v>
      </c>
      <c r="Q217" s="412" t="s">
        <v>1405</v>
      </c>
      <c r="R217" s="412" t="s">
        <v>1405</v>
      </c>
      <c r="S217" s="403" t="str">
        <f>VLOOKUP(VLOOKUP(LEFT(M217,LEN(M217)-2),'Date SPV'!$B$4:$F$34,5,FALSE),'Date SPV'!$T$4:$U$11,2,FALSE)</f>
        <v>Retele Electrice Banat</v>
      </c>
      <c r="T217" s="403" t="str">
        <f>VLOOKUP(M217,'Contorizare in SDI'!$B:$D,3,FALSE)</f>
        <v>RO005E513396506</v>
      </c>
      <c r="U217" s="403" t="str">
        <f>VLOOKUP(N217,'Contorizare in SDI'!$F:$H,3,FALSE)</f>
        <v>RO005E513396506/3</v>
      </c>
      <c r="V217" s="415" t="s">
        <v>1356</v>
      </c>
      <c r="W217" s="414">
        <f>SUMIF($AB:$AB,N217,$AC:$AC)</f>
        <v>147904</v>
      </c>
    </row>
    <row r="218" spans="3:23">
      <c r="C218" s="349" t="s">
        <v>1394</v>
      </c>
      <c r="D218" s="349" t="s">
        <v>1351</v>
      </c>
      <c r="E218" s="349" t="s">
        <v>1351</v>
      </c>
      <c r="F218" s="349" t="s">
        <v>1352</v>
      </c>
      <c r="G218" s="348">
        <v>45292</v>
      </c>
      <c r="H218" s="349" t="s">
        <v>1385</v>
      </c>
      <c r="I218" s="351" t="s">
        <v>209</v>
      </c>
      <c r="J218" s="400"/>
      <c r="K218" s="341" t="s">
        <v>1357</v>
      </c>
      <c r="M218" s="411" t="s">
        <v>533</v>
      </c>
      <c r="N218" s="403" t="s">
        <v>675</v>
      </c>
      <c r="O218" s="403" t="str">
        <f>VLOOKUP(LEFT(M218,LEN(M218)-2),'Date SPV'!$B$4:$D$34,3,FALSE)</f>
        <v>Shopping City Timisoara SRL</v>
      </c>
      <c r="P218" s="412" t="s">
        <v>1405</v>
      </c>
      <c r="Q218" s="412" t="s">
        <v>1405</v>
      </c>
      <c r="R218" s="412" t="s">
        <v>1405</v>
      </c>
      <c r="S218" s="403" t="str">
        <f>VLOOKUP(VLOOKUP(LEFT(M218,LEN(M218)-2),'Date SPV'!$B$4:$F$34,5,FALSE),'Date SPV'!$T$4:$U$11,2,FALSE)</f>
        <v>Retele Electrice Banat</v>
      </c>
      <c r="T218" s="403" t="str">
        <f>VLOOKUP(M218,'Contorizare in SDI'!$B:$D,3,FALSE)</f>
        <v>RO005E513396506</v>
      </c>
      <c r="U218" s="403" t="str">
        <f>VLOOKUP(N218,'Contorizare in SDI'!$F:$H,3,FALSE)</f>
        <v>RO005E513396506/3</v>
      </c>
      <c r="V218" s="415" t="s">
        <v>1357</v>
      </c>
      <c r="W218" s="414">
        <f>HLOOKUP(VLOOKUP(LEFT(M218,LEN(M218)-2),'Date SPV'!$B$4:$F$34,5,FALSE),'Preturi si tarife'!$C$2:$J$21,17,FALSE)</f>
        <v>0.90005760000000001</v>
      </c>
    </row>
    <row r="219" spans="3:23">
      <c r="C219" s="349" t="s">
        <v>1394</v>
      </c>
      <c r="D219" s="349" t="s">
        <v>1351</v>
      </c>
      <c r="E219" s="349" t="s">
        <v>1351</v>
      </c>
      <c r="F219" s="349" t="s">
        <v>1352</v>
      </c>
      <c r="G219" s="348">
        <v>45292</v>
      </c>
      <c r="H219" s="349" t="s">
        <v>1385</v>
      </c>
      <c r="I219" s="351" t="s">
        <v>207</v>
      </c>
      <c r="J219" s="400"/>
      <c r="K219" s="341" t="s">
        <v>1358</v>
      </c>
      <c r="M219" s="411" t="s">
        <v>533</v>
      </c>
      <c r="N219" s="403" t="s">
        <v>675</v>
      </c>
      <c r="O219" s="403" t="str">
        <f>VLOOKUP(LEFT(M219,LEN(M219)-2),'Date SPV'!$B$4:$D$34,3,FALSE)</f>
        <v>Shopping City Timisoara SRL</v>
      </c>
      <c r="P219" s="412" t="s">
        <v>1405</v>
      </c>
      <c r="Q219" s="412" t="s">
        <v>1405</v>
      </c>
      <c r="R219" s="412" t="s">
        <v>1405</v>
      </c>
      <c r="S219" s="403" t="str">
        <f>VLOOKUP(VLOOKUP(LEFT(M219,LEN(M219)-2),'Date SPV'!$B$4:$F$34,5,FALSE),'Date SPV'!$T$4:$U$11,2,FALSE)</f>
        <v>Retele Electrice Banat</v>
      </c>
      <c r="T219" s="403" t="str">
        <f>VLOOKUP(M219,'Contorizare in SDI'!$B:$D,3,FALSE)</f>
        <v>RO005E513396506</v>
      </c>
      <c r="U219" s="403" t="str">
        <f>VLOOKUP(N219,'Contorizare in SDI'!$F:$H,3,FALSE)</f>
        <v>RO005E513396506/3</v>
      </c>
      <c r="V219" s="415" t="s">
        <v>1358</v>
      </c>
      <c r="W219" s="414">
        <f>SUMIF($AB:$AB,N219,$AD:$AD)</f>
        <v>11982</v>
      </c>
    </row>
    <row r="220" spans="3:23" ht="16.5" thickBot="1">
      <c r="C220" s="349" t="s">
        <v>1394</v>
      </c>
      <c r="D220" s="349" t="s">
        <v>1351</v>
      </c>
      <c r="E220" s="349" t="s">
        <v>1351</v>
      </c>
      <c r="F220" s="349" t="s">
        <v>1352</v>
      </c>
      <c r="G220" s="348">
        <v>45292</v>
      </c>
      <c r="H220" s="349" t="s">
        <v>1385</v>
      </c>
      <c r="I220" s="351" t="s">
        <v>207</v>
      </c>
      <c r="J220" s="400"/>
      <c r="K220" s="341" t="s">
        <v>1357</v>
      </c>
      <c r="M220" s="416" t="s">
        <v>533</v>
      </c>
      <c r="N220" s="417" t="s">
        <v>675</v>
      </c>
      <c r="O220" s="417" t="str">
        <f>VLOOKUP(LEFT(M220,LEN(M220)-2),'Date SPV'!$B$4:$D$34,3,FALSE)</f>
        <v>Shopping City Timisoara SRL</v>
      </c>
      <c r="P220" s="418" t="s">
        <v>1405</v>
      </c>
      <c r="Q220" s="418" t="s">
        <v>1405</v>
      </c>
      <c r="R220" s="418" t="s">
        <v>1405</v>
      </c>
      <c r="S220" s="417" t="str">
        <f>VLOOKUP(VLOOKUP(LEFT(M220,LEN(M220)-2),'Date SPV'!$B$4:$F$34,5,FALSE),'Date SPV'!$T$4:$U$11,2,FALSE)</f>
        <v>Retele Electrice Banat</v>
      </c>
      <c r="T220" s="417" t="str">
        <f>VLOOKUP(M220,'Contorizare in SDI'!$B:$D,3,FALSE)</f>
        <v>RO005E513396506</v>
      </c>
      <c r="U220" s="417" t="str">
        <f>VLOOKUP(N220,'Contorizare in SDI'!$F:$H,3,FALSE)</f>
        <v>RO005E513396506/3</v>
      </c>
      <c r="V220" s="419" t="s">
        <v>1357</v>
      </c>
      <c r="W220" s="420">
        <f>HLOOKUP(VLOOKUP(LEFT(M220,LEN(M220)-2),'Date SPV'!$B$4:$F$34,5,FALSE),'Preturi si tarife'!$C$2:$J$21,18,FALSE)</f>
        <v>0.80525760000000002</v>
      </c>
    </row>
    <row r="221" spans="3:23">
      <c r="C221" s="374" t="s">
        <v>1395</v>
      </c>
      <c r="D221" s="374" t="s">
        <v>1351</v>
      </c>
      <c r="E221" s="374" t="s">
        <v>1351</v>
      </c>
      <c r="F221" s="374" t="s">
        <v>1352</v>
      </c>
      <c r="G221" s="379">
        <v>45323</v>
      </c>
      <c r="H221" s="374" t="s">
        <v>1374</v>
      </c>
      <c r="I221" s="374" t="s">
        <v>281</v>
      </c>
      <c r="J221" s="402"/>
      <c r="K221" s="375" t="s">
        <v>1354</v>
      </c>
      <c r="M221" s="474" t="s">
        <v>546</v>
      </c>
      <c r="N221" s="475" t="s">
        <v>69</v>
      </c>
      <c r="O221" s="475" t="str">
        <f>VLOOKUP(LEFT(M221,LEN(M221)-2),'Date SPV'!$B$4:$D$34,3,FALSE)</f>
        <v>Aurora Mall Buzau SRL</v>
      </c>
      <c r="P221" s="476" t="s">
        <v>1405</v>
      </c>
      <c r="Q221" s="476" t="s">
        <v>1405</v>
      </c>
      <c r="R221" s="476" t="s">
        <v>1405</v>
      </c>
      <c r="S221" s="475" t="str">
        <f>VLOOKUP(VLOOKUP(LEFT(M221,LEN(M221)-2),'Date SPV'!$B$4:$F$34,5,FALSE),'Date SPV'!$T$4:$U$11,2,FALSE)</f>
        <v>DEER Muntenia Nord</v>
      </c>
      <c r="T221" s="475" t="str">
        <f>VLOOKUP(M221,'Contorizare in SDI'!$B:$D,3,FALSE)</f>
        <v>594030300002113780</v>
      </c>
      <c r="U221" s="475" t="s">
        <v>69</v>
      </c>
      <c r="V221" s="477" t="s">
        <v>1354</v>
      </c>
      <c r="W221" s="478">
        <f>W223+W225+W229+W231</f>
        <v>142101</v>
      </c>
    </row>
    <row r="222" spans="3:23">
      <c r="C222" s="349" t="s">
        <v>1395</v>
      </c>
      <c r="D222" s="349" t="s">
        <v>1351</v>
      </c>
      <c r="E222" s="349" t="s">
        <v>1351</v>
      </c>
      <c r="F222" s="349" t="s">
        <v>1352</v>
      </c>
      <c r="G222" s="380">
        <v>45323</v>
      </c>
      <c r="H222" s="349" t="s">
        <v>1374</v>
      </c>
      <c r="I222" s="351" t="s">
        <v>281</v>
      </c>
      <c r="J222" s="400"/>
      <c r="K222" s="347" t="s">
        <v>1355</v>
      </c>
      <c r="M222" s="479" t="s">
        <v>546</v>
      </c>
      <c r="N222" s="480" t="s">
        <v>69</v>
      </c>
      <c r="O222" s="480" t="str">
        <f>VLOOKUP(LEFT(M222,LEN(M222)-2),'Date SPV'!$B$4:$D$34,3,FALSE)</f>
        <v>Aurora Mall Buzau SRL</v>
      </c>
      <c r="P222" s="481" t="s">
        <v>1405</v>
      </c>
      <c r="Q222" s="481" t="s">
        <v>1405</v>
      </c>
      <c r="R222" s="481" t="s">
        <v>1405</v>
      </c>
      <c r="S222" s="480" t="str">
        <f>VLOOKUP(VLOOKUP(LEFT(M222,LEN(M222)-2),'Date SPV'!$B$4:$F$34,5,FALSE),'Date SPV'!$T$4:$U$11,2,FALSE)</f>
        <v>DEER Muntenia Nord</v>
      </c>
      <c r="T222" s="480" t="str">
        <f>VLOOKUP(M222,'Contorizare in SDI'!$B:$D,3,FALSE)</f>
        <v>594030300002113780</v>
      </c>
      <c r="U222" s="480" t="s">
        <v>69</v>
      </c>
      <c r="V222" s="482" t="s">
        <v>1355</v>
      </c>
      <c r="W222" s="483">
        <f>ROUND(W223*W224+W225*W226+W229*W230+W231*W232,2)</f>
        <v>135773.32999999999</v>
      </c>
    </row>
    <row r="223" spans="3:23">
      <c r="C223" s="349" t="s">
        <v>1395</v>
      </c>
      <c r="D223" s="349" t="s">
        <v>1351</v>
      </c>
      <c r="E223" s="349" t="s">
        <v>1351</v>
      </c>
      <c r="F223" s="349" t="s">
        <v>1352</v>
      </c>
      <c r="G223" s="380">
        <v>45323</v>
      </c>
      <c r="H223" s="349" t="s">
        <v>1374</v>
      </c>
      <c r="I223" s="351" t="s">
        <v>285</v>
      </c>
      <c r="J223" s="400"/>
      <c r="K223" s="341" t="s">
        <v>1356</v>
      </c>
      <c r="M223" s="479" t="s">
        <v>546</v>
      </c>
      <c r="N223" s="480" t="s">
        <v>683</v>
      </c>
      <c r="O223" s="480" t="str">
        <f>VLOOKUP(LEFT(M223,LEN(M223)-2),'Date SPV'!$B$4:$D$34,3,FALSE)</f>
        <v>Aurora Mall Buzau SRL</v>
      </c>
      <c r="P223" s="481" t="s">
        <v>1405</v>
      </c>
      <c r="Q223" s="481" t="s">
        <v>1405</v>
      </c>
      <c r="R223" s="481" t="s">
        <v>1405</v>
      </c>
      <c r="S223" s="480" t="str">
        <f>VLOOKUP(VLOOKUP(LEFT(M223,LEN(M223)-2),'Date SPV'!$B$4:$F$34,5,FALSE),'Date SPV'!$T$4:$U$11,2,FALSE)</f>
        <v>DEER Muntenia Nord</v>
      </c>
      <c r="T223" s="480" t="str">
        <f>VLOOKUP(M223,'Contorizare in SDI'!$B:$D,3,FALSE)</f>
        <v>594030300002113780</v>
      </c>
      <c r="U223" s="480" t="str">
        <f>VLOOKUP(N223,'Contorizare in SDI'!$F:$H,3,FALSE)</f>
        <v>594030300002113780/3</v>
      </c>
      <c r="V223" s="484" t="s">
        <v>1356</v>
      </c>
      <c r="W223" s="483">
        <f>SUMIF($AB:$AB,N223,$AC:$AC)</f>
        <v>54421</v>
      </c>
    </row>
    <row r="224" spans="3:23">
      <c r="C224" s="349" t="s">
        <v>1395</v>
      </c>
      <c r="D224" s="349" t="s">
        <v>1351</v>
      </c>
      <c r="E224" s="349" t="s">
        <v>1351</v>
      </c>
      <c r="F224" s="349" t="s">
        <v>1352</v>
      </c>
      <c r="G224" s="380">
        <v>45323</v>
      </c>
      <c r="H224" s="349" t="s">
        <v>1374</v>
      </c>
      <c r="I224" s="351" t="s">
        <v>285</v>
      </c>
      <c r="J224" s="400"/>
      <c r="K224" s="341" t="s">
        <v>1357</v>
      </c>
      <c r="M224" s="479" t="s">
        <v>546</v>
      </c>
      <c r="N224" s="480" t="s">
        <v>683</v>
      </c>
      <c r="O224" s="480" t="str">
        <f>VLOOKUP(LEFT(M224,LEN(M224)-2),'Date SPV'!$B$4:$D$34,3,FALSE)</f>
        <v>Aurora Mall Buzau SRL</v>
      </c>
      <c r="P224" s="481" t="s">
        <v>1405</v>
      </c>
      <c r="Q224" s="481" t="s">
        <v>1405</v>
      </c>
      <c r="R224" s="481" t="s">
        <v>1405</v>
      </c>
      <c r="S224" s="480" t="str">
        <f>VLOOKUP(VLOOKUP(LEFT(M224,LEN(M224)-2),'Date SPV'!$B$4:$F$34,5,FALSE),'Date SPV'!$T$4:$U$11,2,FALSE)</f>
        <v>DEER Muntenia Nord</v>
      </c>
      <c r="T224" s="480" t="str">
        <f>VLOOKUP(M224,'Contorizare in SDI'!$B:$D,3,FALSE)</f>
        <v>594030300002113780</v>
      </c>
      <c r="U224" s="480" t="str">
        <f>VLOOKUP(N224,'Contorizare in SDI'!$F:$H,3,FALSE)</f>
        <v>594030300002113780/3</v>
      </c>
      <c r="V224" s="484" t="s">
        <v>1357</v>
      </c>
      <c r="W224" s="483">
        <f>HLOOKUP(VLOOKUP(LEFT(M224,LEN(M224)-2),'Date SPV'!$B$4:$F$34,5,FALSE),'Preturi si tarife'!$C$2:$J$21,17,FALSE)</f>
        <v>0.96800760000000008</v>
      </c>
    </row>
    <row r="225" spans="3:23">
      <c r="C225" s="349" t="s">
        <v>1395</v>
      </c>
      <c r="D225" s="349" t="s">
        <v>1351</v>
      </c>
      <c r="E225" s="349" t="s">
        <v>1351</v>
      </c>
      <c r="F225" s="349" t="s">
        <v>1352</v>
      </c>
      <c r="G225" s="380">
        <v>45323</v>
      </c>
      <c r="H225" s="349" t="s">
        <v>1374</v>
      </c>
      <c r="I225" s="351" t="s">
        <v>283</v>
      </c>
      <c r="J225" s="400"/>
      <c r="K225" s="341" t="s">
        <v>1358</v>
      </c>
      <c r="M225" s="479" t="s">
        <v>546</v>
      </c>
      <c r="N225" s="480" t="s">
        <v>683</v>
      </c>
      <c r="O225" s="480" t="str">
        <f>VLOOKUP(LEFT(M225,LEN(M225)-2),'Date SPV'!$B$4:$D$34,3,FALSE)</f>
        <v>Aurora Mall Buzau SRL</v>
      </c>
      <c r="P225" s="481" t="s">
        <v>1405</v>
      </c>
      <c r="Q225" s="481" t="s">
        <v>1405</v>
      </c>
      <c r="R225" s="481" t="s">
        <v>1405</v>
      </c>
      <c r="S225" s="480" t="str">
        <f>VLOOKUP(VLOOKUP(LEFT(M225,LEN(M225)-2),'Date SPV'!$B$4:$F$34,5,FALSE),'Date SPV'!$T$4:$U$11,2,FALSE)</f>
        <v>DEER Muntenia Nord</v>
      </c>
      <c r="T225" s="480" t="str">
        <f>VLOOKUP(M225,'Contorizare in SDI'!$B:$D,3,FALSE)</f>
        <v>594030300002113780</v>
      </c>
      <c r="U225" s="480" t="str">
        <f>VLOOKUP(N225,'Contorizare in SDI'!$F:$H,3,FALSE)</f>
        <v>594030300002113780/3</v>
      </c>
      <c r="V225" s="484" t="s">
        <v>1358</v>
      </c>
      <c r="W225" s="483">
        <f>SUMIF($AB:$AB,N225,$AD:$AD)</f>
        <v>11931</v>
      </c>
    </row>
    <row r="226" spans="3:23">
      <c r="C226" s="349" t="s">
        <v>1395</v>
      </c>
      <c r="D226" s="349" t="s">
        <v>1351</v>
      </c>
      <c r="E226" s="349" t="s">
        <v>1351</v>
      </c>
      <c r="F226" s="349" t="s">
        <v>1352</v>
      </c>
      <c r="G226" s="380">
        <v>45323</v>
      </c>
      <c r="H226" s="349" t="s">
        <v>1374</v>
      </c>
      <c r="I226" s="351" t="s">
        <v>283</v>
      </c>
      <c r="J226" s="400"/>
      <c r="K226" s="341" t="s">
        <v>1357</v>
      </c>
      <c r="M226" s="479" t="s">
        <v>546</v>
      </c>
      <c r="N226" s="480" t="s">
        <v>683</v>
      </c>
      <c r="O226" s="480" t="str">
        <f>VLOOKUP(LEFT(M226,LEN(M226)-2),'Date SPV'!$B$4:$D$34,3,FALSE)</f>
        <v>Aurora Mall Buzau SRL</v>
      </c>
      <c r="P226" s="481" t="s">
        <v>1405</v>
      </c>
      <c r="Q226" s="481" t="s">
        <v>1405</v>
      </c>
      <c r="R226" s="481" t="s">
        <v>1405</v>
      </c>
      <c r="S226" s="480" t="str">
        <f>VLOOKUP(VLOOKUP(LEFT(M226,LEN(M226)-2),'Date SPV'!$B$4:$F$34,5,FALSE),'Date SPV'!$T$4:$U$11,2,FALSE)</f>
        <v>DEER Muntenia Nord</v>
      </c>
      <c r="T226" s="480" t="str">
        <f>VLOOKUP(M226,'Contorizare in SDI'!$B:$D,3,FALSE)</f>
        <v>594030300002113780</v>
      </c>
      <c r="U226" s="480" t="str">
        <f>VLOOKUP(N226,'Contorizare in SDI'!$F:$H,3,FALSE)</f>
        <v>594030300002113780/3</v>
      </c>
      <c r="V226" s="484" t="s">
        <v>1357</v>
      </c>
      <c r="W226" s="483">
        <f>HLOOKUP(VLOOKUP(LEFT(M226,LEN(M226)-2),'Date SPV'!$B$4:$F$34,5,FALSE),'Preturi si tarife'!$C$2:$J$21,18,FALSE)</f>
        <v>0.83390760000000008</v>
      </c>
    </row>
    <row r="227" spans="3:23">
      <c r="C227" s="374" t="s">
        <v>1396</v>
      </c>
      <c r="D227" s="374" t="s">
        <v>1351</v>
      </c>
      <c r="E227" s="374" t="s">
        <v>1351</v>
      </c>
      <c r="F227" s="374" t="s">
        <v>1352</v>
      </c>
      <c r="G227" s="379">
        <v>45323</v>
      </c>
      <c r="H227" s="374" t="s">
        <v>1374</v>
      </c>
      <c r="I227" s="374" t="s">
        <v>281</v>
      </c>
      <c r="J227" s="402"/>
      <c r="K227" s="375" t="s">
        <v>1354</v>
      </c>
      <c r="M227" s="492"/>
      <c r="N227" s="255"/>
      <c r="O227" s="255"/>
      <c r="P227" s="255"/>
      <c r="Q227" s="255"/>
      <c r="R227" s="255"/>
      <c r="S227" s="255"/>
      <c r="T227" s="255"/>
      <c r="U227" s="255"/>
      <c r="V227" s="255"/>
      <c r="W227" s="493">
        <v>0</v>
      </c>
    </row>
    <row r="228" spans="3:23">
      <c r="C228" s="349" t="s">
        <v>1396</v>
      </c>
      <c r="D228" s="349" t="s">
        <v>1351</v>
      </c>
      <c r="E228" s="349" t="s">
        <v>1351</v>
      </c>
      <c r="F228" s="349" t="s">
        <v>1352</v>
      </c>
      <c r="G228" s="380">
        <v>45323</v>
      </c>
      <c r="H228" s="349" t="s">
        <v>1374</v>
      </c>
      <c r="I228" s="351" t="s">
        <v>281</v>
      </c>
      <c r="J228" s="400"/>
      <c r="K228" s="347" t="s">
        <v>1355</v>
      </c>
      <c r="M228" s="492"/>
      <c r="N228" s="255"/>
      <c r="O228" s="255"/>
      <c r="P228" s="255"/>
      <c r="Q228" s="255"/>
      <c r="R228" s="255"/>
      <c r="S228" s="255"/>
      <c r="T228" s="255"/>
      <c r="U228" s="255"/>
      <c r="V228" s="255"/>
      <c r="W228" s="493">
        <v>0</v>
      </c>
    </row>
    <row r="229" spans="3:23">
      <c r="C229" s="349" t="s">
        <v>1396</v>
      </c>
      <c r="D229" s="349" t="s">
        <v>1351</v>
      </c>
      <c r="E229" s="349" t="s">
        <v>1351</v>
      </c>
      <c r="F229" s="349" t="s">
        <v>1352</v>
      </c>
      <c r="G229" s="380">
        <v>45323</v>
      </c>
      <c r="H229" s="349" t="s">
        <v>1374</v>
      </c>
      <c r="I229" s="351" t="s">
        <v>290</v>
      </c>
      <c r="J229" s="400"/>
      <c r="K229" s="341" t="s">
        <v>1356</v>
      </c>
      <c r="M229" s="479" t="s">
        <v>505</v>
      </c>
      <c r="N229" s="480" t="s">
        <v>684</v>
      </c>
      <c r="O229" s="480" t="str">
        <f>VLOOKUP(LEFT(M229,LEN(M229)-2),'Date SPV'!$B$4:$D$34,3,FALSE)</f>
        <v>Aurora Mall Buzau SRL</v>
      </c>
      <c r="P229" s="481" t="s">
        <v>1405</v>
      </c>
      <c r="Q229" s="481" t="s">
        <v>1405</v>
      </c>
      <c r="R229" s="481" t="s">
        <v>1405</v>
      </c>
      <c r="S229" s="480" t="str">
        <f>VLOOKUP(VLOOKUP(LEFT(M229,LEN(M229)-2),'Date SPV'!$B$4:$F$34,5,FALSE),'Date SPV'!$T$4:$U$11,2,FALSE)</f>
        <v>DEER Muntenia Nord</v>
      </c>
      <c r="T229" s="480" t="str">
        <f>VLOOKUP(M229,'Contorizare in SDI'!$B:$D,3,FALSE)</f>
        <v>594030300002113780</v>
      </c>
      <c r="U229" s="480" t="str">
        <f>VLOOKUP(N229,'Contorizare in SDI'!$F:$H,3,FALSE)</f>
        <v>594030300002113780/4</v>
      </c>
      <c r="V229" s="484" t="s">
        <v>1356</v>
      </c>
      <c r="W229" s="483">
        <f>SUMIF($AB:$AB,N229,$AC:$AC)</f>
        <v>74395</v>
      </c>
    </row>
    <row r="230" spans="3:23">
      <c r="C230" s="349" t="s">
        <v>1396</v>
      </c>
      <c r="D230" s="349" t="s">
        <v>1351</v>
      </c>
      <c r="E230" s="349" t="s">
        <v>1351</v>
      </c>
      <c r="F230" s="349" t="s">
        <v>1352</v>
      </c>
      <c r="G230" s="380">
        <v>45323</v>
      </c>
      <c r="H230" s="349" t="s">
        <v>1374</v>
      </c>
      <c r="I230" s="351" t="s">
        <v>290</v>
      </c>
      <c r="J230" s="400"/>
      <c r="K230" s="341" t="s">
        <v>1357</v>
      </c>
      <c r="M230" s="479" t="s">
        <v>505</v>
      </c>
      <c r="N230" s="480" t="s">
        <v>684</v>
      </c>
      <c r="O230" s="480" t="str">
        <f>VLOOKUP(LEFT(M230,LEN(M230)-2),'Date SPV'!$B$4:$D$34,3,FALSE)</f>
        <v>Aurora Mall Buzau SRL</v>
      </c>
      <c r="P230" s="481" t="s">
        <v>1405</v>
      </c>
      <c r="Q230" s="481" t="s">
        <v>1405</v>
      </c>
      <c r="R230" s="481" t="s">
        <v>1405</v>
      </c>
      <c r="S230" s="480" t="str">
        <f>VLOOKUP(VLOOKUP(LEFT(M230,LEN(M230)-2),'Date SPV'!$B$4:$F$34,5,FALSE),'Date SPV'!$T$4:$U$11,2,FALSE)</f>
        <v>DEER Muntenia Nord</v>
      </c>
      <c r="T230" s="480" t="str">
        <f>VLOOKUP(M230,'Contorizare in SDI'!$B:$D,3,FALSE)</f>
        <v>594030300002113780</v>
      </c>
      <c r="U230" s="480" t="str">
        <f>VLOOKUP(N230,'Contorizare in SDI'!$F:$H,3,FALSE)</f>
        <v>594030300002113780/4</v>
      </c>
      <c r="V230" s="484" t="s">
        <v>1357</v>
      </c>
      <c r="W230" s="483">
        <f>HLOOKUP(VLOOKUP(LEFT(M230,LEN(M230)-2),'Date SPV'!$B$4:$F$34,5,FALSE),'Preturi si tarife'!$C$2:$J$21,17,FALSE)</f>
        <v>0.96800760000000008</v>
      </c>
    </row>
    <row r="231" spans="3:23">
      <c r="C231" s="349" t="s">
        <v>1396</v>
      </c>
      <c r="D231" s="349" t="s">
        <v>1351</v>
      </c>
      <c r="E231" s="349" t="s">
        <v>1351</v>
      </c>
      <c r="F231" s="349" t="s">
        <v>1352</v>
      </c>
      <c r="G231" s="380">
        <v>45323</v>
      </c>
      <c r="H231" s="349" t="s">
        <v>1374</v>
      </c>
      <c r="I231" s="351" t="s">
        <v>288</v>
      </c>
      <c r="J231" s="400"/>
      <c r="K231" s="341" t="s">
        <v>1358</v>
      </c>
      <c r="M231" s="479" t="s">
        <v>505</v>
      </c>
      <c r="N231" s="480" t="s">
        <v>684</v>
      </c>
      <c r="O231" s="480" t="str">
        <f>VLOOKUP(LEFT(M231,LEN(M231)-2),'Date SPV'!$B$4:$D$34,3,FALSE)</f>
        <v>Aurora Mall Buzau SRL</v>
      </c>
      <c r="P231" s="481" t="s">
        <v>1405</v>
      </c>
      <c r="Q231" s="481" t="s">
        <v>1405</v>
      </c>
      <c r="R231" s="481" t="s">
        <v>1405</v>
      </c>
      <c r="S231" s="480" t="str">
        <f>VLOOKUP(VLOOKUP(LEFT(M231,LEN(M231)-2),'Date SPV'!$B$4:$F$34,5,FALSE),'Date SPV'!$T$4:$U$11,2,FALSE)</f>
        <v>DEER Muntenia Nord</v>
      </c>
      <c r="T231" s="480" t="str">
        <f>VLOOKUP(M231,'Contorizare in SDI'!$B:$D,3,FALSE)</f>
        <v>594030300002113780</v>
      </c>
      <c r="U231" s="480" t="str">
        <f>VLOOKUP(N231,'Contorizare in SDI'!$F:$H,3,FALSE)</f>
        <v>594030300002113780/4</v>
      </c>
      <c r="V231" s="484" t="s">
        <v>1358</v>
      </c>
      <c r="W231" s="483">
        <f>SUMIF($AB:$AB,N231,$AD:$AD)</f>
        <v>1354</v>
      </c>
    </row>
    <row r="232" spans="3:23" ht="16.5" thickBot="1">
      <c r="C232" s="349" t="s">
        <v>1396</v>
      </c>
      <c r="D232" s="349" t="s">
        <v>1351</v>
      </c>
      <c r="E232" s="349" t="s">
        <v>1351</v>
      </c>
      <c r="F232" s="349" t="s">
        <v>1352</v>
      </c>
      <c r="G232" s="380">
        <v>45323</v>
      </c>
      <c r="H232" s="349" t="s">
        <v>1374</v>
      </c>
      <c r="I232" s="351" t="s">
        <v>288</v>
      </c>
      <c r="J232" s="400"/>
      <c r="K232" s="341" t="s">
        <v>1357</v>
      </c>
      <c r="M232" s="485" t="s">
        <v>505</v>
      </c>
      <c r="N232" s="486" t="s">
        <v>684</v>
      </c>
      <c r="O232" s="486" t="str">
        <f>VLOOKUP(LEFT(M232,LEN(M232)-2),'Date SPV'!$B$4:$D$34,3,FALSE)</f>
        <v>Aurora Mall Buzau SRL</v>
      </c>
      <c r="P232" s="487" t="s">
        <v>1405</v>
      </c>
      <c r="Q232" s="487" t="s">
        <v>1405</v>
      </c>
      <c r="R232" s="487" t="s">
        <v>1405</v>
      </c>
      <c r="S232" s="486" t="str">
        <f>VLOOKUP(VLOOKUP(LEFT(M232,LEN(M232)-2),'Date SPV'!$B$4:$F$34,5,FALSE),'Date SPV'!$T$4:$U$11,2,FALSE)</f>
        <v>DEER Muntenia Nord</v>
      </c>
      <c r="T232" s="486" t="str">
        <f>VLOOKUP(M232,'Contorizare in SDI'!$B:$D,3,FALSE)</f>
        <v>594030300002113780</v>
      </c>
      <c r="U232" s="486" t="str">
        <f>VLOOKUP(N232,'Contorizare in SDI'!$F:$H,3,FALSE)</f>
        <v>594030300002113780/4</v>
      </c>
      <c r="V232" s="488" t="s">
        <v>1357</v>
      </c>
      <c r="W232" s="489">
        <f>HLOOKUP(VLOOKUP(LEFT(M232,LEN(M232)-2),'Date SPV'!$B$4:$F$34,5,FALSE),'Preturi si tarife'!$C$2:$J$21,18,FALSE)</f>
        <v>0.83390760000000008</v>
      </c>
    </row>
    <row r="233" spans="3:23">
      <c r="C233" s="374" t="s">
        <v>1397</v>
      </c>
      <c r="D233" s="374" t="s">
        <v>1351</v>
      </c>
      <c r="E233" s="374" t="s">
        <v>1351</v>
      </c>
      <c r="F233" s="374" t="s">
        <v>1352</v>
      </c>
      <c r="G233" s="379">
        <v>45323</v>
      </c>
      <c r="H233" s="374" t="s">
        <v>1374</v>
      </c>
      <c r="I233" s="374" t="s">
        <v>433</v>
      </c>
      <c r="J233" s="402"/>
      <c r="K233" s="375" t="s">
        <v>1354</v>
      </c>
      <c r="M233" s="474" t="s">
        <v>523</v>
      </c>
      <c r="N233" s="475" t="s">
        <v>69</v>
      </c>
      <c r="O233" s="475" t="str">
        <f>VLOOKUP(LEFT(M233,LEN(M233)-2),'Date SPV'!$B$4:$D$34,3,FALSE)</f>
        <v>Braila Promenada Mall SRL</v>
      </c>
      <c r="P233" s="476" t="s">
        <v>1405</v>
      </c>
      <c r="Q233" s="476" t="s">
        <v>1405</v>
      </c>
      <c r="R233" s="476" t="s">
        <v>1405</v>
      </c>
      <c r="S233" s="475" t="str">
        <f>VLOOKUP(VLOOKUP(LEFT(M233,LEN(M233)-2),'Date SPV'!$B$4:$F$34,5,FALSE),'Date SPV'!$T$4:$U$11,2,FALSE)</f>
        <v>DEER Muntenia Nord</v>
      </c>
      <c r="T233" s="475" t="str">
        <f>VLOOKUP(M233,'Contorizare in SDI'!$B:$D,3,FALSE)</f>
        <v>594030200001494937</v>
      </c>
      <c r="U233" s="475" t="s">
        <v>69</v>
      </c>
      <c r="V233" s="477" t="s">
        <v>1354</v>
      </c>
      <c r="W233" s="478">
        <f>W235+W237+W239+W241</f>
        <v>216337</v>
      </c>
    </row>
    <row r="234" spans="3:23">
      <c r="C234" s="349" t="s">
        <v>1398</v>
      </c>
      <c r="D234" s="349" t="s">
        <v>1351</v>
      </c>
      <c r="E234" s="349" t="s">
        <v>1351</v>
      </c>
      <c r="F234" s="349" t="s">
        <v>1352</v>
      </c>
      <c r="G234" s="348">
        <v>45323</v>
      </c>
      <c r="H234" s="349" t="s">
        <v>1374</v>
      </c>
      <c r="I234" s="351" t="s">
        <v>433</v>
      </c>
      <c r="J234" s="400"/>
      <c r="K234" s="347" t="s">
        <v>1355</v>
      </c>
      <c r="M234" s="479" t="s">
        <v>523</v>
      </c>
      <c r="N234" s="480" t="s">
        <v>69</v>
      </c>
      <c r="O234" s="480" t="str">
        <f>VLOOKUP(LEFT(M234,LEN(M234)-2),'Date SPV'!$B$4:$D$34,3,FALSE)</f>
        <v>Braila Promenada Mall SRL</v>
      </c>
      <c r="P234" s="481" t="s">
        <v>1405</v>
      </c>
      <c r="Q234" s="481" t="s">
        <v>1405</v>
      </c>
      <c r="R234" s="481" t="s">
        <v>1405</v>
      </c>
      <c r="S234" s="480" t="str">
        <f>VLOOKUP(VLOOKUP(LEFT(M234,LEN(M234)-2),'Date SPV'!$B$4:$F$34,5,FALSE),'Date SPV'!$T$4:$U$11,2,FALSE)</f>
        <v>DEER Muntenia Nord</v>
      </c>
      <c r="T234" s="480" t="str">
        <f>VLOOKUP(M234,'Contorizare in SDI'!$B:$D,3,FALSE)</f>
        <v>594030200001494937</v>
      </c>
      <c r="U234" s="480" t="s">
        <v>69</v>
      </c>
      <c r="V234" s="482" t="s">
        <v>1355</v>
      </c>
      <c r="W234" s="483">
        <f>ROUND(W235*W236+W237*W238+W239*W240+W241*W242,2)</f>
        <v>205495.18</v>
      </c>
    </row>
    <row r="235" spans="3:23">
      <c r="C235" s="349" t="s">
        <v>1398</v>
      </c>
      <c r="D235" s="349" t="s">
        <v>1351</v>
      </c>
      <c r="E235" s="349" t="s">
        <v>1351</v>
      </c>
      <c r="F235" s="349" t="s">
        <v>1352</v>
      </c>
      <c r="G235" s="348">
        <v>45323</v>
      </c>
      <c r="H235" s="349" t="s">
        <v>1374</v>
      </c>
      <c r="I235" s="369" t="s">
        <v>138</v>
      </c>
      <c r="J235" s="399"/>
      <c r="K235" s="341" t="s">
        <v>1356</v>
      </c>
      <c r="M235" s="479" t="s">
        <v>523</v>
      </c>
      <c r="N235" s="480" t="s">
        <v>664</v>
      </c>
      <c r="O235" s="480" t="str">
        <f>VLOOKUP(LEFT(M235,LEN(M235)-2),'Date SPV'!$B$4:$D$34,3,FALSE)</f>
        <v>Braila Promenada Mall SRL</v>
      </c>
      <c r="P235" s="481" t="s">
        <v>1405</v>
      </c>
      <c r="Q235" s="481" t="s">
        <v>1405</v>
      </c>
      <c r="R235" s="481" t="s">
        <v>1405</v>
      </c>
      <c r="S235" s="480" t="str">
        <f>VLOOKUP(VLOOKUP(LEFT(M235,LEN(M235)-2),'Date SPV'!$B$4:$F$34,5,FALSE),'Date SPV'!$T$4:$U$11,2,FALSE)</f>
        <v>DEER Muntenia Nord</v>
      </c>
      <c r="T235" s="480" t="str">
        <f>VLOOKUP(M235,'Contorizare in SDI'!$B:$D,3,FALSE)</f>
        <v>594030200001494937</v>
      </c>
      <c r="U235" s="480" t="str">
        <f>VLOOKUP(N235,'Contorizare in SDI'!$F:$H,3,FALSE)</f>
        <v>594030200001494937/1</v>
      </c>
      <c r="V235" s="484" t="s">
        <v>1356</v>
      </c>
      <c r="W235" s="483">
        <f>SUMIF($AB:$AB,N235,$AC:$AC)</f>
        <v>76578</v>
      </c>
    </row>
    <row r="236" spans="3:23">
      <c r="C236" s="349" t="s">
        <v>1398</v>
      </c>
      <c r="D236" s="349" t="s">
        <v>1351</v>
      </c>
      <c r="E236" s="349" t="s">
        <v>1351</v>
      </c>
      <c r="F236" s="349" t="s">
        <v>1352</v>
      </c>
      <c r="G236" s="348">
        <v>45323</v>
      </c>
      <c r="H236" s="349" t="s">
        <v>1374</v>
      </c>
      <c r="I236" s="369" t="s">
        <v>138</v>
      </c>
      <c r="J236" s="399"/>
      <c r="K236" s="341" t="s">
        <v>1357</v>
      </c>
      <c r="M236" s="479" t="s">
        <v>523</v>
      </c>
      <c r="N236" s="480" t="s">
        <v>664</v>
      </c>
      <c r="O236" s="480" t="str">
        <f>VLOOKUP(LEFT(M236,LEN(M236)-2),'Date SPV'!$B$4:$D$34,3,FALSE)</f>
        <v>Braila Promenada Mall SRL</v>
      </c>
      <c r="P236" s="481" t="s">
        <v>1405</v>
      </c>
      <c r="Q236" s="481" t="s">
        <v>1405</v>
      </c>
      <c r="R236" s="481" t="s">
        <v>1405</v>
      </c>
      <c r="S236" s="480" t="str">
        <f>VLOOKUP(VLOOKUP(LEFT(M236,LEN(M236)-2),'Date SPV'!$B$4:$F$34,5,FALSE),'Date SPV'!$T$4:$U$11,2,FALSE)</f>
        <v>DEER Muntenia Nord</v>
      </c>
      <c r="T236" s="480" t="str">
        <f>VLOOKUP(M236,'Contorizare in SDI'!$B:$D,3,FALSE)</f>
        <v>594030200001494937</v>
      </c>
      <c r="U236" s="480" t="str">
        <f>VLOOKUP(N236,'Contorizare in SDI'!$F:$H,3,FALSE)</f>
        <v>594030200001494937/1</v>
      </c>
      <c r="V236" s="484" t="s">
        <v>1357</v>
      </c>
      <c r="W236" s="483">
        <f>HLOOKUP(VLOOKUP(LEFT(M236,LEN(M236)-2),'Date SPV'!$B$4:$F$34,5,FALSE),'Preturi si tarife'!$C$2:$J$21,17,FALSE)</f>
        <v>0.96800760000000008</v>
      </c>
    </row>
    <row r="237" spans="3:23">
      <c r="C237" s="349" t="s">
        <v>1398</v>
      </c>
      <c r="D237" s="349" t="s">
        <v>1351</v>
      </c>
      <c r="E237" s="349" t="s">
        <v>1351</v>
      </c>
      <c r="F237" s="349" t="s">
        <v>1352</v>
      </c>
      <c r="G237" s="348">
        <v>45323</v>
      </c>
      <c r="H237" s="349" t="s">
        <v>1374</v>
      </c>
      <c r="I237" s="369" t="s">
        <v>138</v>
      </c>
      <c r="J237" s="399"/>
      <c r="K237" s="341" t="s">
        <v>1358</v>
      </c>
      <c r="M237" s="479" t="s">
        <v>523</v>
      </c>
      <c r="N237" s="480" t="s">
        <v>664</v>
      </c>
      <c r="O237" s="480" t="str">
        <f>VLOOKUP(LEFT(M237,LEN(M237)-2),'Date SPV'!$B$4:$D$34,3,FALSE)</f>
        <v>Braila Promenada Mall SRL</v>
      </c>
      <c r="P237" s="481" t="s">
        <v>1405</v>
      </c>
      <c r="Q237" s="481" t="s">
        <v>1405</v>
      </c>
      <c r="R237" s="481" t="s">
        <v>1405</v>
      </c>
      <c r="S237" s="480" t="str">
        <f>VLOOKUP(VLOOKUP(LEFT(M237,LEN(M237)-2),'Date SPV'!$B$4:$F$34,5,FALSE),'Date SPV'!$T$4:$U$11,2,FALSE)</f>
        <v>DEER Muntenia Nord</v>
      </c>
      <c r="T237" s="480" t="str">
        <f>VLOOKUP(M237,'Contorizare in SDI'!$B:$D,3,FALSE)</f>
        <v>594030200001494937</v>
      </c>
      <c r="U237" s="480" t="str">
        <f>VLOOKUP(N237,'Contorizare in SDI'!$F:$H,3,FALSE)</f>
        <v>594030200001494937/1</v>
      </c>
      <c r="V237" s="484" t="s">
        <v>1358</v>
      </c>
      <c r="W237" s="483">
        <f>SUMIF($AB:$AB,N237,$AD:$AD)</f>
        <v>29203</v>
      </c>
    </row>
    <row r="238" spans="3:23">
      <c r="C238" s="349" t="s">
        <v>1398</v>
      </c>
      <c r="D238" s="349" t="s">
        <v>1351</v>
      </c>
      <c r="E238" s="349" t="s">
        <v>1351</v>
      </c>
      <c r="F238" s="349" t="s">
        <v>1352</v>
      </c>
      <c r="G238" s="348">
        <v>45323</v>
      </c>
      <c r="H238" s="349" t="s">
        <v>1374</v>
      </c>
      <c r="I238" s="369" t="s">
        <v>138</v>
      </c>
      <c r="J238" s="399"/>
      <c r="K238" s="341" t="s">
        <v>1357</v>
      </c>
      <c r="M238" s="479" t="s">
        <v>523</v>
      </c>
      <c r="N238" s="480" t="s">
        <v>664</v>
      </c>
      <c r="O238" s="480" t="str">
        <f>VLOOKUP(LEFT(M238,LEN(M238)-2),'Date SPV'!$B$4:$D$34,3,FALSE)</f>
        <v>Braila Promenada Mall SRL</v>
      </c>
      <c r="P238" s="481" t="s">
        <v>1405</v>
      </c>
      <c r="Q238" s="481" t="s">
        <v>1405</v>
      </c>
      <c r="R238" s="481" t="s">
        <v>1405</v>
      </c>
      <c r="S238" s="480" t="str">
        <f>VLOOKUP(VLOOKUP(LEFT(M238,LEN(M238)-2),'Date SPV'!$B$4:$F$34,5,FALSE),'Date SPV'!$T$4:$U$11,2,FALSE)</f>
        <v>DEER Muntenia Nord</v>
      </c>
      <c r="T238" s="480" t="str">
        <f>VLOOKUP(M238,'Contorizare in SDI'!$B:$D,3,FALSE)</f>
        <v>594030200001494937</v>
      </c>
      <c r="U238" s="480" t="str">
        <f>VLOOKUP(N238,'Contorizare in SDI'!$F:$H,3,FALSE)</f>
        <v>594030200001494937/1</v>
      </c>
      <c r="V238" s="484" t="s">
        <v>1357</v>
      </c>
      <c r="W238" s="483">
        <f>HLOOKUP(VLOOKUP(LEFT(M238,LEN(M238)-2),'Date SPV'!$B$4:$F$34,5,FALSE),'Preturi si tarife'!$C$2:$J$21,18,FALSE)</f>
        <v>0.83390760000000008</v>
      </c>
    </row>
    <row r="239" spans="3:23">
      <c r="C239" s="349" t="s">
        <v>1398</v>
      </c>
      <c r="D239" s="349" t="s">
        <v>1351</v>
      </c>
      <c r="E239" s="349" t="s">
        <v>1351</v>
      </c>
      <c r="F239" s="349" t="s">
        <v>1352</v>
      </c>
      <c r="G239" s="348">
        <v>45323</v>
      </c>
      <c r="H239" s="349" t="s">
        <v>1374</v>
      </c>
      <c r="I239" s="369" t="s">
        <v>139</v>
      </c>
      <c r="J239" s="399"/>
      <c r="K239" s="341" t="s">
        <v>1356</v>
      </c>
      <c r="M239" s="479" t="s">
        <v>523</v>
      </c>
      <c r="N239" s="480" t="s">
        <v>665</v>
      </c>
      <c r="O239" s="480" t="str">
        <f>VLOOKUP(LEFT(M239,LEN(M239)-2),'Date SPV'!$B$4:$D$34,3,FALSE)</f>
        <v>Braila Promenada Mall SRL</v>
      </c>
      <c r="P239" s="481" t="s">
        <v>1405</v>
      </c>
      <c r="Q239" s="481" t="s">
        <v>1405</v>
      </c>
      <c r="R239" s="481" t="s">
        <v>1405</v>
      </c>
      <c r="S239" s="480" t="str">
        <f>VLOOKUP(VLOOKUP(LEFT(M239,LEN(M239)-2),'Date SPV'!$B$4:$F$34,5,FALSE),'Date SPV'!$T$4:$U$11,2,FALSE)</f>
        <v>DEER Muntenia Nord</v>
      </c>
      <c r="T239" s="480" t="str">
        <f>VLOOKUP(M239,'Contorizare in SDI'!$B:$D,3,FALSE)</f>
        <v>594030200001494937</v>
      </c>
      <c r="U239" s="480" t="str">
        <f>VLOOKUP(N239,'Contorizare in SDI'!$F:$H,3,FALSE)</f>
        <v>594030200001494937/2</v>
      </c>
      <c r="V239" s="484" t="s">
        <v>1356</v>
      </c>
      <c r="W239" s="483">
        <f>SUMIF($AB:$AB,N239,$AC:$AC)</f>
        <v>110522</v>
      </c>
    </row>
    <row r="240" spans="3:23">
      <c r="C240" s="349" t="s">
        <v>1398</v>
      </c>
      <c r="D240" s="349" t="s">
        <v>1351</v>
      </c>
      <c r="E240" s="349" t="s">
        <v>1351</v>
      </c>
      <c r="F240" s="349" t="s">
        <v>1352</v>
      </c>
      <c r="G240" s="348">
        <v>45323</v>
      </c>
      <c r="H240" s="349" t="s">
        <v>1374</v>
      </c>
      <c r="I240" s="369" t="s">
        <v>139</v>
      </c>
      <c r="J240" s="399"/>
      <c r="K240" s="341" t="s">
        <v>1357</v>
      </c>
      <c r="M240" s="479" t="s">
        <v>523</v>
      </c>
      <c r="N240" s="480" t="s">
        <v>665</v>
      </c>
      <c r="O240" s="480" t="str">
        <f>VLOOKUP(LEFT(M240,LEN(M240)-2),'Date SPV'!$B$4:$D$34,3,FALSE)</f>
        <v>Braila Promenada Mall SRL</v>
      </c>
      <c r="P240" s="481" t="s">
        <v>1405</v>
      </c>
      <c r="Q240" s="481" t="s">
        <v>1405</v>
      </c>
      <c r="R240" s="481" t="s">
        <v>1405</v>
      </c>
      <c r="S240" s="480" t="str">
        <f>VLOOKUP(VLOOKUP(LEFT(M240,LEN(M240)-2),'Date SPV'!$B$4:$F$34,5,FALSE),'Date SPV'!$T$4:$U$11,2,FALSE)</f>
        <v>DEER Muntenia Nord</v>
      </c>
      <c r="T240" s="480" t="str">
        <f>VLOOKUP(M240,'Contorizare in SDI'!$B:$D,3,FALSE)</f>
        <v>594030200001494937</v>
      </c>
      <c r="U240" s="480" t="str">
        <f>VLOOKUP(N240,'Contorizare in SDI'!$F:$H,3,FALSE)</f>
        <v>594030200001494937/2</v>
      </c>
      <c r="V240" s="484" t="s">
        <v>1357</v>
      </c>
      <c r="W240" s="483">
        <f>HLOOKUP(VLOOKUP(LEFT(M240,LEN(M240)-2),'Date SPV'!$B$4:$F$34,5,FALSE),'Preturi si tarife'!$C$2:$J$21,17,FALSE)</f>
        <v>0.96800760000000008</v>
      </c>
    </row>
    <row r="241" spans="3:23">
      <c r="C241" s="349" t="s">
        <v>1398</v>
      </c>
      <c r="D241" s="349" t="s">
        <v>1351</v>
      </c>
      <c r="E241" s="349" t="s">
        <v>1351</v>
      </c>
      <c r="F241" s="349" t="s">
        <v>1352</v>
      </c>
      <c r="G241" s="348">
        <v>45323</v>
      </c>
      <c r="H241" s="349" t="s">
        <v>1374</v>
      </c>
      <c r="I241" s="369" t="s">
        <v>139</v>
      </c>
      <c r="J241" s="399"/>
      <c r="K241" s="341" t="s">
        <v>1358</v>
      </c>
      <c r="M241" s="479" t="s">
        <v>523</v>
      </c>
      <c r="N241" s="480" t="s">
        <v>665</v>
      </c>
      <c r="O241" s="480" t="str">
        <f>VLOOKUP(LEFT(M241,LEN(M241)-2),'Date SPV'!$B$4:$D$34,3,FALSE)</f>
        <v>Braila Promenada Mall SRL</v>
      </c>
      <c r="P241" s="481" t="s">
        <v>1405</v>
      </c>
      <c r="Q241" s="481" t="s">
        <v>1405</v>
      </c>
      <c r="R241" s="481" t="s">
        <v>1405</v>
      </c>
      <c r="S241" s="480" t="str">
        <f>VLOOKUP(VLOOKUP(LEFT(M241,LEN(M241)-2),'Date SPV'!$B$4:$F$34,5,FALSE),'Date SPV'!$T$4:$U$11,2,FALSE)</f>
        <v>DEER Muntenia Nord</v>
      </c>
      <c r="T241" s="480" t="str">
        <f>VLOOKUP(M241,'Contorizare in SDI'!$B:$D,3,FALSE)</f>
        <v>594030200001494937</v>
      </c>
      <c r="U241" s="480" t="str">
        <f>VLOOKUP(N241,'Contorizare in SDI'!$F:$H,3,FALSE)</f>
        <v>594030200001494937/2</v>
      </c>
      <c r="V241" s="484" t="s">
        <v>1358</v>
      </c>
      <c r="W241" s="483">
        <f>SUMIF($AB:$AB,N241,$AD:$AD)</f>
        <v>34</v>
      </c>
    </row>
    <row r="242" spans="3:23" ht="16.5" thickBot="1">
      <c r="C242" s="349" t="s">
        <v>1398</v>
      </c>
      <c r="D242" s="349" t="s">
        <v>1351</v>
      </c>
      <c r="E242" s="349" t="s">
        <v>1351</v>
      </c>
      <c r="F242" s="349" t="s">
        <v>1352</v>
      </c>
      <c r="G242" s="348">
        <v>45323</v>
      </c>
      <c r="H242" s="349" t="s">
        <v>1374</v>
      </c>
      <c r="I242" s="369" t="s">
        <v>139</v>
      </c>
      <c r="J242" s="399"/>
      <c r="K242" s="341" t="s">
        <v>1357</v>
      </c>
      <c r="M242" s="485" t="s">
        <v>523</v>
      </c>
      <c r="N242" s="486" t="s">
        <v>665</v>
      </c>
      <c r="O242" s="486" t="str">
        <f>VLOOKUP(LEFT(M242,LEN(M242)-2),'Date SPV'!$B$4:$D$34,3,FALSE)</f>
        <v>Braila Promenada Mall SRL</v>
      </c>
      <c r="P242" s="487" t="s">
        <v>1405</v>
      </c>
      <c r="Q242" s="487" t="s">
        <v>1405</v>
      </c>
      <c r="R242" s="487" t="s">
        <v>1405</v>
      </c>
      <c r="S242" s="486" t="str">
        <f>VLOOKUP(VLOOKUP(LEFT(M242,LEN(M242)-2),'Date SPV'!$B$4:$F$34,5,FALSE),'Date SPV'!$T$4:$U$11,2,FALSE)</f>
        <v>DEER Muntenia Nord</v>
      </c>
      <c r="T242" s="486" t="str">
        <f>VLOOKUP(M242,'Contorizare in SDI'!$B:$D,3,FALSE)</f>
        <v>594030200001494937</v>
      </c>
      <c r="U242" s="486" t="str">
        <f>VLOOKUP(N242,'Contorizare in SDI'!$F:$H,3,FALSE)</f>
        <v>594030200001494937/2</v>
      </c>
      <c r="V242" s="488" t="s">
        <v>1357</v>
      </c>
      <c r="W242" s="489">
        <f>HLOOKUP(VLOOKUP(LEFT(M242,LEN(M242)-2),'Date SPV'!$B$4:$F$34,5,FALSE),'Preturi si tarife'!$C$2:$J$21,18,FALSE)</f>
        <v>0.83390760000000008</v>
      </c>
    </row>
    <row r="243" spans="3:23">
      <c r="C243" s="374" t="s">
        <v>66</v>
      </c>
      <c r="D243" s="374" t="s">
        <v>1351</v>
      </c>
      <c r="E243" s="374" t="s">
        <v>1351</v>
      </c>
      <c r="F243" s="374" t="s">
        <v>1352</v>
      </c>
      <c r="G243" s="379">
        <v>45413</v>
      </c>
      <c r="H243" s="374" t="s">
        <v>1366</v>
      </c>
      <c r="I243" s="374" t="s">
        <v>1441</v>
      </c>
      <c r="J243" s="402"/>
      <c r="K243" s="375" t="s">
        <v>1354</v>
      </c>
      <c r="M243" s="494" t="s">
        <v>566</v>
      </c>
      <c r="N243" s="495" t="s">
        <v>69</v>
      </c>
      <c r="O243" s="495" t="str">
        <f>VLOOKUP(LEFT(M243,LEN(M243)-2),'Date SPV'!$B$4:$D$34,3,FALSE)</f>
        <v>Retail Park Pitesti SRL</v>
      </c>
      <c r="P243" s="496" t="s">
        <v>1405</v>
      </c>
      <c r="Q243" s="496" t="s">
        <v>1405</v>
      </c>
      <c r="R243" s="496" t="s">
        <v>1405</v>
      </c>
      <c r="S243" s="495" t="str">
        <f>VLOOKUP(VLOOKUP(LEFT(M243,LEN(M243)-2),'Date SPV'!$B$4:$F$34,5,FALSE),'Date SPV'!$T$4:$U$11,2,FALSE)</f>
        <v>Distributie Energie Oltenia</v>
      </c>
      <c r="T243" s="495" t="str">
        <f>VLOOKUP(M243,'Contorizare in SDI'!$B:$D,3,FALSE)</f>
        <v>59401020000375096971689655</v>
      </c>
      <c r="U243" s="495" t="s">
        <v>69</v>
      </c>
      <c r="V243" s="497" t="s">
        <v>1354</v>
      </c>
      <c r="W243" s="498">
        <f>W245+W247+W249+W251+W253+W255</f>
        <v>110433</v>
      </c>
    </row>
    <row r="244" spans="3:23">
      <c r="C244" s="349" t="s">
        <v>66</v>
      </c>
      <c r="D244" s="349" t="s">
        <v>1351</v>
      </c>
      <c r="E244" s="349" t="s">
        <v>1351</v>
      </c>
      <c r="F244" s="349" t="s">
        <v>1352</v>
      </c>
      <c r="G244" s="348">
        <v>45413</v>
      </c>
      <c r="H244" s="349" t="s">
        <v>1366</v>
      </c>
      <c r="I244" s="369" t="s">
        <v>401</v>
      </c>
      <c r="J244" s="399"/>
      <c r="K244" s="347" t="s">
        <v>1355</v>
      </c>
      <c r="M244" s="499" t="s">
        <v>566</v>
      </c>
      <c r="N244" s="500" t="s">
        <v>69</v>
      </c>
      <c r="O244" s="500" t="str">
        <f>VLOOKUP(LEFT(M244,LEN(M244)-2),'Date SPV'!$B$4:$D$34,3,FALSE)</f>
        <v>Retail Park Pitesti SRL</v>
      </c>
      <c r="P244" s="501" t="s">
        <v>1405</v>
      </c>
      <c r="Q244" s="501" t="s">
        <v>1405</v>
      </c>
      <c r="R244" s="501" t="s">
        <v>1405</v>
      </c>
      <c r="S244" s="500" t="str">
        <f>VLOOKUP(VLOOKUP(LEFT(M244,LEN(M244)-2),'Date SPV'!$B$4:$F$34,5,FALSE),'Date SPV'!$T$4:$U$11,2,FALSE)</f>
        <v>Distributie Energie Oltenia</v>
      </c>
      <c r="T244" s="500" t="str">
        <f>VLOOKUP(M244,'Contorizare in SDI'!$B:$D,3,FALSE)</f>
        <v>59401020000375096971689655</v>
      </c>
      <c r="U244" s="500" t="s">
        <v>69</v>
      </c>
      <c r="V244" s="502" t="s">
        <v>1355</v>
      </c>
      <c r="W244" s="503">
        <f>ROUND(W245*W246+W247*W248+W249*W250+W251*W252+W253*W254+W255*W256,2)</f>
        <v>105502.62</v>
      </c>
    </row>
    <row r="245" spans="3:23">
      <c r="C245" s="349" t="s">
        <v>66</v>
      </c>
      <c r="D245" s="349" t="s">
        <v>1351</v>
      </c>
      <c r="E245" s="349" t="s">
        <v>1351</v>
      </c>
      <c r="F245" s="349" t="s">
        <v>1352</v>
      </c>
      <c r="G245" s="348">
        <v>45413</v>
      </c>
      <c r="H245" s="349" t="s">
        <v>1366</v>
      </c>
      <c r="I245" s="369" t="s">
        <v>401</v>
      </c>
      <c r="J245" s="399"/>
      <c r="K245" s="341" t="s">
        <v>1356</v>
      </c>
      <c r="M245" s="499" t="s">
        <v>566</v>
      </c>
      <c r="N245" s="500" t="s">
        <v>1132</v>
      </c>
      <c r="O245" s="500" t="str">
        <f>VLOOKUP(LEFT(M245,LEN(M245)-2),'Date SPV'!$B$4:$D$34,3,FALSE)</f>
        <v>Retail Park Pitesti SRL</v>
      </c>
      <c r="P245" s="501" t="s">
        <v>1405</v>
      </c>
      <c r="Q245" s="501" t="s">
        <v>1405</v>
      </c>
      <c r="R245" s="501" t="s">
        <v>1405</v>
      </c>
      <c r="S245" s="500" t="str">
        <f>VLOOKUP(VLOOKUP(LEFT(M245,LEN(M245)-2),'Date SPV'!$B$4:$F$34,5,FALSE),'Date SPV'!$T$4:$U$11,2,FALSE)</f>
        <v>Distributie Energie Oltenia</v>
      </c>
      <c r="T245" s="500" t="str">
        <f>VLOOKUP(M245,'Contorizare in SDI'!$B:$D,3,FALSE)</f>
        <v>59401020000375096971689655</v>
      </c>
      <c r="U245" s="500" t="str">
        <f>VLOOKUP(N245,'Contorizare in SDI'!$F:$H,3,FALSE)</f>
        <v>59401020000375096971689655/1</v>
      </c>
      <c r="V245" s="504" t="s">
        <v>1356</v>
      </c>
      <c r="W245" s="503">
        <f>SUMIF($AB:$AB,N245,$AC:$AC)</f>
        <v>30925</v>
      </c>
    </row>
    <row r="246" spans="3:23">
      <c r="C246" s="349" t="s">
        <v>66</v>
      </c>
      <c r="D246" s="349" t="s">
        <v>1351</v>
      </c>
      <c r="E246" s="349" t="s">
        <v>1351</v>
      </c>
      <c r="F246" s="349" t="s">
        <v>1352</v>
      </c>
      <c r="G246" s="348">
        <v>45413</v>
      </c>
      <c r="H246" s="349" t="s">
        <v>1366</v>
      </c>
      <c r="I246" s="369" t="s">
        <v>401</v>
      </c>
      <c r="J246" s="399"/>
      <c r="K246" s="341" t="s">
        <v>1357</v>
      </c>
      <c r="M246" s="499" t="s">
        <v>566</v>
      </c>
      <c r="N246" s="500" t="s">
        <v>1132</v>
      </c>
      <c r="O246" s="500" t="str">
        <f>VLOOKUP(LEFT(M246,LEN(M246)-2),'Date SPV'!$B$4:$D$34,3,FALSE)</f>
        <v>Retail Park Pitesti SRL</v>
      </c>
      <c r="P246" s="501" t="s">
        <v>1405</v>
      </c>
      <c r="Q246" s="501" t="s">
        <v>1405</v>
      </c>
      <c r="R246" s="501" t="s">
        <v>1405</v>
      </c>
      <c r="S246" s="500" t="str">
        <f>VLOOKUP(VLOOKUP(LEFT(M246,LEN(M246)-2),'Date SPV'!$B$4:$F$34,5,FALSE),'Date SPV'!$T$4:$U$11,2,FALSE)</f>
        <v>Distributie Energie Oltenia</v>
      </c>
      <c r="T246" s="500" t="str">
        <f>VLOOKUP(M246,'Contorizare in SDI'!$B:$D,3,FALSE)</f>
        <v>59401020000375096971689655</v>
      </c>
      <c r="U246" s="500" t="str">
        <f>VLOOKUP(N246,'Contorizare in SDI'!$F:$H,3,FALSE)</f>
        <v>59401020000375096971689655/1</v>
      </c>
      <c r="V246" s="504" t="s">
        <v>1357</v>
      </c>
      <c r="W246" s="503">
        <f>HLOOKUP(VLOOKUP(LEFT(M246,LEN(M246)-2),'Date SPV'!$B$4:$F$34,5,FALSE),'Preturi si tarife'!$C$2:$J$21,17,FALSE)</f>
        <v>0.97511760000000003</v>
      </c>
    </row>
    <row r="247" spans="3:23">
      <c r="C247" s="349" t="s">
        <v>66</v>
      </c>
      <c r="D247" s="349" t="s">
        <v>1351</v>
      </c>
      <c r="E247" s="349" t="s">
        <v>1351</v>
      </c>
      <c r="F247" s="349" t="s">
        <v>1352</v>
      </c>
      <c r="G247" s="348">
        <v>45413</v>
      </c>
      <c r="H247" s="349" t="s">
        <v>1366</v>
      </c>
      <c r="I247" s="369" t="s">
        <v>401</v>
      </c>
      <c r="J247" s="399"/>
      <c r="K247" s="341" t="s">
        <v>1358</v>
      </c>
      <c r="M247" s="499" t="s">
        <v>566</v>
      </c>
      <c r="N247" s="500" t="s">
        <v>1132</v>
      </c>
      <c r="O247" s="500" t="str">
        <f>VLOOKUP(LEFT(M247,LEN(M247)-2),'Date SPV'!$B$4:$D$34,3,FALSE)</f>
        <v>Retail Park Pitesti SRL</v>
      </c>
      <c r="P247" s="501" t="s">
        <v>1405</v>
      </c>
      <c r="Q247" s="501" t="s">
        <v>1405</v>
      </c>
      <c r="R247" s="501" t="s">
        <v>1405</v>
      </c>
      <c r="S247" s="500" t="str">
        <f>VLOOKUP(VLOOKUP(LEFT(M247,LEN(M247)-2),'Date SPV'!$B$4:$F$34,5,FALSE),'Date SPV'!$T$4:$U$11,2,FALSE)</f>
        <v>Distributie Energie Oltenia</v>
      </c>
      <c r="T247" s="500" t="str">
        <f>VLOOKUP(M247,'Contorizare in SDI'!$B:$D,3,FALSE)</f>
        <v>59401020000375096971689655</v>
      </c>
      <c r="U247" s="500" t="str">
        <f>VLOOKUP(N247,'Contorizare in SDI'!$F:$H,3,FALSE)</f>
        <v>59401020000375096971689655/1</v>
      </c>
      <c r="V247" s="504" t="s">
        <v>1358</v>
      </c>
      <c r="W247" s="503">
        <f>SUMIF($AB:$AB,N247,$AD:$AD)</f>
        <v>17996</v>
      </c>
    </row>
    <row r="248" spans="3:23">
      <c r="C248" s="349" t="s">
        <v>66</v>
      </c>
      <c r="D248" s="349" t="s">
        <v>1351</v>
      </c>
      <c r="E248" s="349" t="s">
        <v>1351</v>
      </c>
      <c r="F248" s="349" t="s">
        <v>1352</v>
      </c>
      <c r="G248" s="348">
        <v>45413</v>
      </c>
      <c r="H248" s="349" t="s">
        <v>1366</v>
      </c>
      <c r="I248" s="369" t="s">
        <v>401</v>
      </c>
      <c r="J248" s="399"/>
      <c r="K248" s="341" t="s">
        <v>1357</v>
      </c>
      <c r="M248" s="499" t="s">
        <v>566</v>
      </c>
      <c r="N248" s="500" t="s">
        <v>1132</v>
      </c>
      <c r="O248" s="500" t="str">
        <f>VLOOKUP(LEFT(M248,LEN(M248)-2),'Date SPV'!$B$4:$D$34,3,FALSE)</f>
        <v>Retail Park Pitesti SRL</v>
      </c>
      <c r="P248" s="501" t="s">
        <v>1405</v>
      </c>
      <c r="Q248" s="501" t="s">
        <v>1405</v>
      </c>
      <c r="R248" s="501" t="s">
        <v>1405</v>
      </c>
      <c r="S248" s="500" t="str">
        <f>VLOOKUP(VLOOKUP(LEFT(M248,LEN(M248)-2),'Date SPV'!$B$4:$F$34,5,FALSE),'Date SPV'!$T$4:$U$11,2,FALSE)</f>
        <v>Distributie Energie Oltenia</v>
      </c>
      <c r="T248" s="500" t="str">
        <f>VLOOKUP(M248,'Contorizare in SDI'!$B:$D,3,FALSE)</f>
        <v>59401020000375096971689655</v>
      </c>
      <c r="U248" s="500" t="str">
        <f>VLOOKUP(N248,'Contorizare in SDI'!$F:$H,3,FALSE)</f>
        <v>59401020000375096971689655/1</v>
      </c>
      <c r="V248" s="504" t="s">
        <v>1357</v>
      </c>
      <c r="W248" s="503">
        <f>HLOOKUP(VLOOKUP(LEFT(M248,LEN(M248)-2),'Date SPV'!$B$4:$F$34,5,FALSE),'Preturi si tarife'!$C$2:$J$21,18,FALSE)</f>
        <v>0.85521760000000002</v>
      </c>
    </row>
    <row r="249" spans="3:23">
      <c r="C249" s="349" t="s">
        <v>66</v>
      </c>
      <c r="D249" s="349" t="s">
        <v>1351</v>
      </c>
      <c r="E249" s="349" t="s">
        <v>1351</v>
      </c>
      <c r="F249" s="349" t="s">
        <v>1352</v>
      </c>
      <c r="G249" s="348">
        <v>45413</v>
      </c>
      <c r="H249" s="349" t="s">
        <v>1366</v>
      </c>
      <c r="I249" s="369" t="s">
        <v>401</v>
      </c>
      <c r="J249" s="399"/>
      <c r="K249" s="341" t="s">
        <v>1356</v>
      </c>
      <c r="M249" s="499" t="s">
        <v>566</v>
      </c>
      <c r="N249" s="500" t="s">
        <v>1437</v>
      </c>
      <c r="O249" s="500" t="str">
        <f>VLOOKUP(LEFT(M249,LEN(M249)-2),'Date SPV'!$B$4:$D$34,3,FALSE)</f>
        <v>Retail Park Pitesti SRL</v>
      </c>
      <c r="P249" s="501" t="s">
        <v>1405</v>
      </c>
      <c r="Q249" s="501" t="s">
        <v>1405</v>
      </c>
      <c r="R249" s="501" t="s">
        <v>1405</v>
      </c>
      <c r="S249" s="500" t="str">
        <f>VLOOKUP(VLOOKUP(LEFT(M249,LEN(M249)-2),'Date SPV'!$B$4:$F$34,5,FALSE),'Date SPV'!$T$4:$U$11,2,FALSE)</f>
        <v>Distributie Energie Oltenia</v>
      </c>
      <c r="T249" s="500" t="str">
        <f>VLOOKUP(M249,'Contorizare in SDI'!$B:$D,3,FALSE)</f>
        <v>59401020000375096971689655</v>
      </c>
      <c r="U249" s="500" t="str">
        <f>VLOOKUP(N249,'Contorizare in SDI'!$F:$H,3,FALSE)</f>
        <v>59401020000375096971689655/2</v>
      </c>
      <c r="V249" s="504" t="s">
        <v>1356</v>
      </c>
      <c r="W249" s="503">
        <f>SUMIF($AB:$AB,N249,$AC:$AC)</f>
        <v>56711</v>
      </c>
    </row>
    <row r="250" spans="3:23">
      <c r="C250" s="349" t="s">
        <v>66</v>
      </c>
      <c r="D250" s="349" t="s">
        <v>1351</v>
      </c>
      <c r="E250" s="349" t="s">
        <v>1351</v>
      </c>
      <c r="F250" s="349" t="s">
        <v>1352</v>
      </c>
      <c r="G250" s="348">
        <v>45413</v>
      </c>
      <c r="H250" s="349" t="s">
        <v>1366</v>
      </c>
      <c r="I250" s="369" t="s">
        <v>401</v>
      </c>
      <c r="J250" s="399"/>
      <c r="K250" s="341" t="s">
        <v>1357</v>
      </c>
      <c r="M250" s="499" t="s">
        <v>566</v>
      </c>
      <c r="N250" s="500" t="s">
        <v>1437</v>
      </c>
      <c r="O250" s="500" t="str">
        <f>VLOOKUP(LEFT(M250,LEN(M250)-2),'Date SPV'!$B$4:$D$34,3,FALSE)</f>
        <v>Retail Park Pitesti SRL</v>
      </c>
      <c r="P250" s="501" t="s">
        <v>1405</v>
      </c>
      <c r="Q250" s="501" t="s">
        <v>1405</v>
      </c>
      <c r="R250" s="501" t="s">
        <v>1405</v>
      </c>
      <c r="S250" s="500" t="str">
        <f>VLOOKUP(VLOOKUP(LEFT(M250,LEN(M250)-2),'Date SPV'!$B$4:$F$34,5,FALSE),'Date SPV'!$T$4:$U$11,2,FALSE)</f>
        <v>Distributie Energie Oltenia</v>
      </c>
      <c r="T250" s="500" t="str">
        <f>VLOOKUP(M250,'Contorizare in SDI'!$B:$D,3,FALSE)</f>
        <v>59401020000375096971689655</v>
      </c>
      <c r="U250" s="500" t="str">
        <f>VLOOKUP(N250,'Contorizare in SDI'!$F:$H,3,FALSE)</f>
        <v>59401020000375096971689655/2</v>
      </c>
      <c r="V250" s="504" t="s">
        <v>1357</v>
      </c>
      <c r="W250" s="503">
        <f>HLOOKUP(VLOOKUP(LEFT(M250,LEN(M250)-2),'Date SPV'!$B$4:$F$34,5,FALSE),'Preturi si tarife'!$C$2:$J$21,17,FALSE)</f>
        <v>0.97511760000000003</v>
      </c>
    </row>
    <row r="251" spans="3:23">
      <c r="C251" s="349" t="s">
        <v>66</v>
      </c>
      <c r="D251" s="349" t="s">
        <v>1351</v>
      </c>
      <c r="E251" s="349" t="s">
        <v>1351</v>
      </c>
      <c r="F251" s="349" t="s">
        <v>1352</v>
      </c>
      <c r="G251" s="348">
        <v>45413</v>
      </c>
      <c r="H251" s="349" t="s">
        <v>1366</v>
      </c>
      <c r="I251" s="369" t="s">
        <v>401</v>
      </c>
      <c r="J251" s="399"/>
      <c r="K251" s="341" t="s">
        <v>1358</v>
      </c>
      <c r="M251" s="499" t="s">
        <v>566</v>
      </c>
      <c r="N251" s="500" t="s">
        <v>1437</v>
      </c>
      <c r="O251" s="500" t="str">
        <f>VLOOKUP(LEFT(M251,LEN(M251)-2),'Date SPV'!$B$4:$D$34,3,FALSE)</f>
        <v>Retail Park Pitesti SRL</v>
      </c>
      <c r="P251" s="501" t="s">
        <v>1405</v>
      </c>
      <c r="Q251" s="501" t="s">
        <v>1405</v>
      </c>
      <c r="R251" s="501" t="s">
        <v>1405</v>
      </c>
      <c r="S251" s="500" t="str">
        <f>VLOOKUP(VLOOKUP(LEFT(M251,LEN(M251)-2),'Date SPV'!$B$4:$F$34,5,FALSE),'Date SPV'!$T$4:$U$11,2,FALSE)</f>
        <v>Distributie Energie Oltenia</v>
      </c>
      <c r="T251" s="500" t="str">
        <f>VLOOKUP(M251,'Contorizare in SDI'!$B:$D,3,FALSE)</f>
        <v>59401020000375096971689655</v>
      </c>
      <c r="U251" s="500" t="str">
        <f>VLOOKUP(N251,'Contorizare in SDI'!$F:$H,3,FALSE)</f>
        <v>59401020000375096971689655/2</v>
      </c>
      <c r="V251" s="504" t="s">
        <v>1358</v>
      </c>
      <c r="W251" s="503">
        <f>SUMIF($AB:$AB,N251,$AD:$AD)</f>
        <v>207</v>
      </c>
    </row>
    <row r="252" spans="3:23">
      <c r="C252" s="349" t="s">
        <v>66</v>
      </c>
      <c r="D252" s="349" t="s">
        <v>1351</v>
      </c>
      <c r="E252" s="349" t="s">
        <v>1351</v>
      </c>
      <c r="F252" s="349" t="s">
        <v>1352</v>
      </c>
      <c r="G252" s="348">
        <v>45413</v>
      </c>
      <c r="H252" s="349" t="s">
        <v>1366</v>
      </c>
      <c r="I252" s="369" t="s">
        <v>401</v>
      </c>
      <c r="J252" s="399"/>
      <c r="K252" s="341" t="s">
        <v>1357</v>
      </c>
      <c r="M252" s="499" t="s">
        <v>566</v>
      </c>
      <c r="N252" s="500" t="s">
        <v>1437</v>
      </c>
      <c r="O252" s="500" t="str">
        <f>VLOOKUP(LEFT(M252,LEN(M252)-2),'Date SPV'!$B$4:$D$34,3,FALSE)</f>
        <v>Retail Park Pitesti SRL</v>
      </c>
      <c r="P252" s="501" t="s">
        <v>1405</v>
      </c>
      <c r="Q252" s="501" t="s">
        <v>1405</v>
      </c>
      <c r="R252" s="501" t="s">
        <v>1405</v>
      </c>
      <c r="S252" s="500" t="str">
        <f>VLOOKUP(VLOOKUP(LEFT(M252,LEN(M252)-2),'Date SPV'!$B$4:$F$34,5,FALSE),'Date SPV'!$T$4:$U$11,2,FALSE)</f>
        <v>Distributie Energie Oltenia</v>
      </c>
      <c r="T252" s="500" t="str">
        <f>VLOOKUP(M252,'Contorizare in SDI'!$B:$D,3,FALSE)</f>
        <v>59401020000375096971689655</v>
      </c>
      <c r="U252" s="500" t="str">
        <f>VLOOKUP(N252,'Contorizare in SDI'!$F:$H,3,FALSE)</f>
        <v>59401020000375096971689655/2</v>
      </c>
      <c r="V252" s="504" t="s">
        <v>1357</v>
      </c>
      <c r="W252" s="503">
        <f>HLOOKUP(VLOOKUP(LEFT(M252,LEN(M252)-2),'Date SPV'!$B$4:$F$34,5,FALSE),'Preturi si tarife'!$C$2:$J$21,18,FALSE)</f>
        <v>0.85521760000000002</v>
      </c>
    </row>
    <row r="253" spans="3:23">
      <c r="C253" s="349" t="s">
        <v>66</v>
      </c>
      <c r="D253" s="349" t="s">
        <v>1351</v>
      </c>
      <c r="E253" s="349" t="s">
        <v>1351</v>
      </c>
      <c r="F253" s="349" t="s">
        <v>1352</v>
      </c>
      <c r="G253" s="348">
        <v>45413</v>
      </c>
      <c r="H253" s="349" t="s">
        <v>1366</v>
      </c>
      <c r="I253" s="369" t="s">
        <v>404</v>
      </c>
      <c r="J253" s="399"/>
      <c r="K253" s="341" t="s">
        <v>1356</v>
      </c>
      <c r="M253" s="499" t="s">
        <v>567</v>
      </c>
      <c r="N253" s="500" t="s">
        <v>1438</v>
      </c>
      <c r="O253" s="500" t="str">
        <f>VLOOKUP(LEFT(M253,LEN(M253)-2),'Date SPV'!$B$4:$D$34,3,FALSE)</f>
        <v>Retail Park Pitesti SRL</v>
      </c>
      <c r="P253" s="501" t="s">
        <v>1405</v>
      </c>
      <c r="Q253" s="501" t="s">
        <v>1405</v>
      </c>
      <c r="R253" s="501" t="s">
        <v>1405</v>
      </c>
      <c r="S253" s="500" t="str">
        <f>VLOOKUP(VLOOKUP(LEFT(M253,LEN(M253)-2),'Date SPV'!$B$4:$F$34,5,FALSE),'Date SPV'!$T$4:$U$11,2,FALSE)</f>
        <v>Distributie Energie Oltenia</v>
      </c>
      <c r="T253" s="500" t="str">
        <f>VLOOKUP(M253,'Contorizare in SDI'!$B:$D,3,FALSE)</f>
        <v>59401020000375096971448223</v>
      </c>
      <c r="U253" s="500" t="str">
        <f>VLOOKUP(N253,'Contorizare in SDI'!$F:$H,3,FALSE)</f>
        <v>59401020000375096971448223/1</v>
      </c>
      <c r="V253" s="504" t="s">
        <v>1356</v>
      </c>
      <c r="W253" s="503">
        <f>SUMIF($AB:$AB,N253,$AC:$AC)</f>
        <v>4594</v>
      </c>
    </row>
    <row r="254" spans="3:23">
      <c r="C254" s="349" t="s">
        <v>66</v>
      </c>
      <c r="D254" s="349" t="s">
        <v>1351</v>
      </c>
      <c r="E254" s="349" t="s">
        <v>1351</v>
      </c>
      <c r="F254" s="349" t="s">
        <v>1352</v>
      </c>
      <c r="G254" s="348">
        <v>45413</v>
      </c>
      <c r="H254" s="349" t="s">
        <v>1366</v>
      </c>
      <c r="I254" s="369" t="s">
        <v>404</v>
      </c>
      <c r="J254" s="399"/>
      <c r="K254" s="341" t="s">
        <v>1357</v>
      </c>
      <c r="M254" s="499" t="s">
        <v>567</v>
      </c>
      <c r="N254" s="500" t="s">
        <v>1438</v>
      </c>
      <c r="O254" s="500" t="str">
        <f>VLOOKUP(LEFT(M254,LEN(M254)-2),'Date SPV'!$B$4:$D$34,3,FALSE)</f>
        <v>Retail Park Pitesti SRL</v>
      </c>
      <c r="P254" s="501" t="s">
        <v>1405</v>
      </c>
      <c r="Q254" s="501" t="s">
        <v>1405</v>
      </c>
      <c r="R254" s="501" t="s">
        <v>1405</v>
      </c>
      <c r="S254" s="500" t="str">
        <f>VLOOKUP(VLOOKUP(LEFT(M254,LEN(M254)-2),'Date SPV'!$B$4:$F$34,5,FALSE),'Date SPV'!$T$4:$U$11,2,FALSE)</f>
        <v>Distributie Energie Oltenia</v>
      </c>
      <c r="T254" s="500" t="str">
        <f>VLOOKUP(M254,'Contorizare in SDI'!$B:$D,3,FALSE)</f>
        <v>59401020000375096971448223</v>
      </c>
      <c r="U254" s="500" t="str">
        <f>VLOOKUP(N254,'Contorizare in SDI'!$F:$H,3,FALSE)</f>
        <v>59401020000375096971448223/1</v>
      </c>
      <c r="V254" s="504" t="s">
        <v>1357</v>
      </c>
      <c r="W254" s="503">
        <f>HLOOKUP(VLOOKUP(LEFT(M254,LEN(M254)-2),'Date SPV'!$B$4:$F$34,5,FALSE),'Preturi si tarife'!$C$2:$J$21,17,FALSE)</f>
        <v>0.97511760000000003</v>
      </c>
    </row>
    <row r="255" spans="3:23">
      <c r="C255" s="349" t="s">
        <v>66</v>
      </c>
      <c r="D255" s="349" t="s">
        <v>1351</v>
      </c>
      <c r="E255" s="349" t="s">
        <v>1351</v>
      </c>
      <c r="F255" s="349" t="s">
        <v>1352</v>
      </c>
      <c r="G255" s="348">
        <v>45413</v>
      </c>
      <c r="H255" s="349" t="s">
        <v>1366</v>
      </c>
      <c r="I255" s="369" t="s">
        <v>404</v>
      </c>
      <c r="J255" s="399"/>
      <c r="K255" s="341" t="s">
        <v>1358</v>
      </c>
      <c r="M255" s="499" t="s">
        <v>567</v>
      </c>
      <c r="N255" s="500" t="s">
        <v>1438</v>
      </c>
      <c r="O255" s="500" t="str">
        <f>VLOOKUP(LEFT(M255,LEN(M255)-2),'Date SPV'!$B$4:$D$34,3,FALSE)</f>
        <v>Retail Park Pitesti SRL</v>
      </c>
      <c r="P255" s="501" t="s">
        <v>1405</v>
      </c>
      <c r="Q255" s="501" t="s">
        <v>1405</v>
      </c>
      <c r="R255" s="501" t="s">
        <v>1405</v>
      </c>
      <c r="S255" s="500" t="str">
        <f>VLOOKUP(VLOOKUP(LEFT(M255,LEN(M255)-2),'Date SPV'!$B$4:$F$34,5,FALSE),'Date SPV'!$T$4:$U$11,2,FALSE)</f>
        <v>Distributie Energie Oltenia</v>
      </c>
      <c r="T255" s="500" t="str">
        <f>VLOOKUP(M255,'Contorizare in SDI'!$B:$D,3,FALSE)</f>
        <v>59401020000375096971448223</v>
      </c>
      <c r="U255" s="500" t="str">
        <f>VLOOKUP(N255,'Contorizare in SDI'!$F:$H,3,FALSE)</f>
        <v>59401020000375096971448223/1</v>
      </c>
      <c r="V255" s="504" t="s">
        <v>1358</v>
      </c>
      <c r="W255" s="503">
        <f>SUMIF($AB:$AB,N255,$AD:$AD)</f>
        <v>0</v>
      </c>
    </row>
    <row r="256" spans="3:23" ht="16.5" thickBot="1">
      <c r="C256" s="349" t="s">
        <v>66</v>
      </c>
      <c r="D256" s="349" t="s">
        <v>1351</v>
      </c>
      <c r="E256" s="349" t="s">
        <v>1351</v>
      </c>
      <c r="F256" s="349" t="s">
        <v>1352</v>
      </c>
      <c r="G256" s="348">
        <v>45413</v>
      </c>
      <c r="H256" s="349" t="s">
        <v>1366</v>
      </c>
      <c r="I256" s="369" t="s">
        <v>404</v>
      </c>
      <c r="J256" s="399"/>
      <c r="K256" s="341" t="s">
        <v>1357</v>
      </c>
      <c r="M256" s="499" t="s">
        <v>567</v>
      </c>
      <c r="N256" s="500" t="s">
        <v>1438</v>
      </c>
      <c r="O256" s="505" t="str">
        <f>VLOOKUP(LEFT(M256,LEN(M256)-2),'Date SPV'!$B$4:$D$34,3,FALSE)</f>
        <v>Retail Park Pitesti SRL</v>
      </c>
      <c r="P256" s="507" t="s">
        <v>1405</v>
      </c>
      <c r="Q256" s="507" t="s">
        <v>1405</v>
      </c>
      <c r="R256" s="507" t="s">
        <v>1405</v>
      </c>
      <c r="S256" s="505" t="str">
        <f>VLOOKUP(VLOOKUP(LEFT(M256,LEN(M256)-2),'Date SPV'!$B$4:$F$34,5,FALSE),'Date SPV'!$T$4:$U$11,2,FALSE)</f>
        <v>Distributie Energie Oltenia</v>
      </c>
      <c r="T256" s="505" t="str">
        <f>VLOOKUP(M256,'Contorizare in SDI'!$B:$D,3,FALSE)</f>
        <v>59401020000375096971448223</v>
      </c>
      <c r="U256" s="505" t="str">
        <f>VLOOKUP(N256,'Contorizare in SDI'!$F:$H,3,FALSE)</f>
        <v>59401020000375096971448223/1</v>
      </c>
      <c r="V256" s="508" t="s">
        <v>1357</v>
      </c>
      <c r="W256" s="506">
        <f>HLOOKUP(VLOOKUP(LEFT(M256,LEN(M256)-2),'Date SPV'!$B$4:$F$34,5,FALSE),'Preturi si tarife'!$C$2:$J$21,18,FALSE)</f>
        <v>0.85521760000000002</v>
      </c>
    </row>
    <row r="257" spans="3:23">
      <c r="C257" s="374" t="s">
        <v>1399</v>
      </c>
      <c r="D257" s="374" t="s">
        <v>1351</v>
      </c>
      <c r="E257" s="374" t="s">
        <v>1351</v>
      </c>
      <c r="F257" s="374" t="s">
        <v>1352</v>
      </c>
      <c r="G257" s="379"/>
      <c r="H257" s="374" t="s">
        <v>1366</v>
      </c>
      <c r="I257" s="374" t="s">
        <v>1184</v>
      </c>
      <c r="J257" s="402"/>
      <c r="K257" s="375" t="s">
        <v>1354</v>
      </c>
      <c r="M257" s="406" t="s">
        <v>548</v>
      </c>
      <c r="N257" s="407" t="s">
        <v>1178</v>
      </c>
      <c r="O257" s="407" t="str">
        <f>VLOOKUP(LEFT(M257,LEN(M257)-2),'Date SPV'!$B$4:$D$34,3,FALSE)</f>
        <v>General Building Management SRL</v>
      </c>
      <c r="P257" s="408" t="s">
        <v>1405</v>
      </c>
      <c r="Q257" s="408" t="s">
        <v>1405</v>
      </c>
      <c r="R257" s="408" t="s">
        <v>1405</v>
      </c>
      <c r="S257" s="407" t="str">
        <f>VLOOKUP(VLOOKUP(LEFT(M257,LEN(M257)-2),'Date SPV'!$B$4:$F$34,5,FALSE),'Date SPV'!$T$4:$U$11,2,FALSE)</f>
        <v>Distributie Energie Oltenia</v>
      </c>
      <c r="T257" s="407" t="str">
        <f>VLOOKUP(M257,'Contorizare in SDI'!$B:$D,3,FALSE)</f>
        <v>594010100003643714 71721547</v>
      </c>
      <c r="U257" s="407" t="str">
        <f>VLOOKUP(N257,'Contorizare in SDI'!$F:$H,3,FALSE)</f>
        <v>594010100003643714 71721547/1</v>
      </c>
      <c r="V257" s="409" t="s">
        <v>1354</v>
      </c>
      <c r="W257" s="410">
        <f>W259+W261</f>
        <v>44270</v>
      </c>
    </row>
    <row r="258" spans="3:23">
      <c r="C258" s="349" t="s">
        <v>1399</v>
      </c>
      <c r="D258" s="349" t="s">
        <v>1351</v>
      </c>
      <c r="E258" s="349" t="s">
        <v>1351</v>
      </c>
      <c r="F258" s="349" t="s">
        <v>1352</v>
      </c>
      <c r="G258" s="348"/>
      <c r="H258" s="349" t="s">
        <v>1366</v>
      </c>
      <c r="I258" s="341" t="s">
        <v>1184</v>
      </c>
      <c r="K258" s="347" t="s">
        <v>1355</v>
      </c>
      <c r="M258" s="411" t="s">
        <v>548</v>
      </c>
      <c r="N258" s="403" t="s">
        <v>1178</v>
      </c>
      <c r="O258" s="403" t="str">
        <f>VLOOKUP(LEFT(M258,LEN(M258)-2),'Date SPV'!$B$4:$D$34,3,FALSE)</f>
        <v>General Building Management SRL</v>
      </c>
      <c r="P258" s="412" t="s">
        <v>1405</v>
      </c>
      <c r="Q258" s="412" t="s">
        <v>1405</v>
      </c>
      <c r="R258" s="412" t="s">
        <v>1405</v>
      </c>
      <c r="S258" s="403" t="str">
        <f>VLOOKUP(VLOOKUP(LEFT(M258,LEN(M258)-2),'Date SPV'!$B$4:$F$34,5,FALSE),'Date SPV'!$T$4:$U$11,2,FALSE)</f>
        <v>Distributie Energie Oltenia</v>
      </c>
      <c r="T258" s="403" t="str">
        <f>VLOOKUP(M258,'Contorizare in SDI'!$B:$D,3,FALSE)</f>
        <v>594010100003643714 71721547</v>
      </c>
      <c r="U258" s="403" t="str">
        <f>VLOOKUP(N258,'Contorizare in SDI'!$F:$H,3,FALSE)</f>
        <v>594010100003643714 71721547/1</v>
      </c>
      <c r="V258" s="413" t="s">
        <v>1355</v>
      </c>
      <c r="W258" s="414">
        <f>ROUND(W259*W260+W261*W262,2)</f>
        <v>43168.46</v>
      </c>
    </row>
    <row r="259" spans="3:23">
      <c r="C259" s="349" t="s">
        <v>1399</v>
      </c>
      <c r="D259" s="349" t="s">
        <v>1351</v>
      </c>
      <c r="E259" s="349" t="s">
        <v>1351</v>
      </c>
      <c r="F259" s="349" t="s">
        <v>1352</v>
      </c>
      <c r="G259" s="348"/>
      <c r="H259" s="349" t="s">
        <v>1366</v>
      </c>
      <c r="I259" s="341" t="s">
        <v>1184</v>
      </c>
      <c r="K259" s="341" t="s">
        <v>1356</v>
      </c>
      <c r="M259" s="411" t="s">
        <v>548</v>
      </c>
      <c r="N259" s="403" t="s">
        <v>1178</v>
      </c>
      <c r="O259" s="403" t="str">
        <f>VLOOKUP(LEFT(M259,LEN(M259)-2),'Date SPV'!$B$4:$D$34,3,FALSE)</f>
        <v>General Building Management SRL</v>
      </c>
      <c r="P259" s="412" t="s">
        <v>1405</v>
      </c>
      <c r="Q259" s="412" t="s">
        <v>1405</v>
      </c>
      <c r="R259" s="412" t="s">
        <v>1405</v>
      </c>
      <c r="S259" s="403" t="str">
        <f>VLOOKUP(VLOOKUP(LEFT(M259,LEN(M259)-2),'Date SPV'!$B$4:$F$34,5,FALSE),'Date SPV'!$T$4:$U$11,2,FALSE)</f>
        <v>Distributie Energie Oltenia</v>
      </c>
      <c r="T259" s="403" t="str">
        <f>VLOOKUP(M259,'Contorizare in SDI'!$B:$D,3,FALSE)</f>
        <v>594010100003643714 71721547</v>
      </c>
      <c r="U259" s="403" t="str">
        <f>VLOOKUP(N259,'Contorizare in SDI'!$F:$H,3,FALSE)</f>
        <v>594010100003643714 71721547/1</v>
      </c>
      <c r="V259" s="415" t="s">
        <v>1356</v>
      </c>
      <c r="W259" s="414">
        <f>SUMIF($AB:$AB,N259,$AC:$AC)</f>
        <v>44270</v>
      </c>
    </row>
    <row r="260" spans="3:23">
      <c r="C260" s="349" t="s">
        <v>1399</v>
      </c>
      <c r="D260" s="349" t="s">
        <v>1351</v>
      </c>
      <c r="E260" s="349" t="s">
        <v>1351</v>
      </c>
      <c r="F260" s="349" t="s">
        <v>1352</v>
      </c>
      <c r="G260" s="348"/>
      <c r="H260" s="349" t="s">
        <v>1366</v>
      </c>
      <c r="I260" s="341" t="s">
        <v>1184</v>
      </c>
      <c r="K260" s="341" t="s">
        <v>1357</v>
      </c>
      <c r="M260" s="411" t="s">
        <v>548</v>
      </c>
      <c r="N260" s="403" t="s">
        <v>1178</v>
      </c>
      <c r="O260" s="403" t="str">
        <f>VLOOKUP(LEFT(M260,LEN(M260)-2),'Date SPV'!$B$4:$D$34,3,FALSE)</f>
        <v>General Building Management SRL</v>
      </c>
      <c r="P260" s="412" t="s">
        <v>1405</v>
      </c>
      <c r="Q260" s="412" t="s">
        <v>1405</v>
      </c>
      <c r="R260" s="412" t="s">
        <v>1405</v>
      </c>
      <c r="S260" s="403" t="str">
        <f>VLOOKUP(VLOOKUP(LEFT(M260,LEN(M260)-2),'Date SPV'!$B$4:$F$34,5,FALSE),'Date SPV'!$T$4:$U$11,2,FALSE)</f>
        <v>Distributie Energie Oltenia</v>
      </c>
      <c r="T260" s="403" t="str">
        <f>VLOOKUP(M260,'Contorizare in SDI'!$B:$D,3,FALSE)</f>
        <v>594010100003643714 71721547</v>
      </c>
      <c r="U260" s="403" t="str">
        <f>VLOOKUP(N260,'Contorizare in SDI'!$F:$H,3,FALSE)</f>
        <v>594010100003643714 71721547/1</v>
      </c>
      <c r="V260" s="415" t="s">
        <v>1357</v>
      </c>
      <c r="W260" s="414">
        <f>HLOOKUP(VLOOKUP(LEFT(M260,LEN(M260)-2),'Date SPV'!$B$4:$F$34,5,FALSE),'Preturi si tarife'!$C$2:$J$21,17,FALSE)</f>
        <v>0.97511760000000003</v>
      </c>
    </row>
    <row r="261" spans="3:23">
      <c r="C261" s="349" t="s">
        <v>1399</v>
      </c>
      <c r="D261" s="349" t="s">
        <v>1351</v>
      </c>
      <c r="E261" s="349" t="s">
        <v>1351</v>
      </c>
      <c r="F261" s="349" t="s">
        <v>1352</v>
      </c>
      <c r="G261" s="348"/>
      <c r="H261" s="349" t="s">
        <v>1366</v>
      </c>
      <c r="I261" s="341" t="s">
        <v>1184</v>
      </c>
      <c r="K261" s="341" t="s">
        <v>1358</v>
      </c>
      <c r="M261" s="411" t="s">
        <v>548</v>
      </c>
      <c r="N261" s="403" t="s">
        <v>1178</v>
      </c>
      <c r="O261" s="403" t="str">
        <f>VLOOKUP(LEFT(M261,LEN(M261)-2),'Date SPV'!$B$4:$D$34,3,FALSE)</f>
        <v>General Building Management SRL</v>
      </c>
      <c r="P261" s="412" t="s">
        <v>1405</v>
      </c>
      <c r="Q261" s="412" t="s">
        <v>1405</v>
      </c>
      <c r="R261" s="412" t="s">
        <v>1405</v>
      </c>
      <c r="S261" s="403" t="str">
        <f>VLOOKUP(VLOOKUP(LEFT(M261,LEN(M261)-2),'Date SPV'!$B$4:$F$34,5,FALSE),'Date SPV'!$T$4:$U$11,2,FALSE)</f>
        <v>Distributie Energie Oltenia</v>
      </c>
      <c r="T261" s="403" t="str">
        <f>VLOOKUP(M261,'Contorizare in SDI'!$B:$D,3,FALSE)</f>
        <v>594010100003643714 71721547</v>
      </c>
      <c r="U261" s="403" t="str">
        <f>VLOOKUP(N261,'Contorizare in SDI'!$F:$H,3,FALSE)</f>
        <v>594010100003643714 71721547/1</v>
      </c>
      <c r="V261" s="415" t="s">
        <v>1358</v>
      </c>
      <c r="W261" s="414">
        <f>SUMIF($AB:$AB,N261,$AD:$AD)</f>
        <v>0</v>
      </c>
    </row>
    <row r="262" spans="3:23" ht="16.5" thickBot="1">
      <c r="C262" s="349" t="s">
        <v>1399</v>
      </c>
      <c r="D262" s="349" t="s">
        <v>1351</v>
      </c>
      <c r="E262" s="349" t="s">
        <v>1351</v>
      </c>
      <c r="F262" s="349" t="s">
        <v>1352</v>
      </c>
      <c r="G262" s="348"/>
      <c r="H262" s="349" t="s">
        <v>1366</v>
      </c>
      <c r="I262" s="341" t="s">
        <v>1184</v>
      </c>
      <c r="K262" s="341" t="s">
        <v>1357</v>
      </c>
      <c r="M262" s="416" t="s">
        <v>548</v>
      </c>
      <c r="N262" s="417" t="s">
        <v>1178</v>
      </c>
      <c r="O262" s="417" t="str">
        <f>VLOOKUP(LEFT(M262,LEN(M262)-2),'Date SPV'!$B$4:$D$34,3,FALSE)</f>
        <v>General Building Management SRL</v>
      </c>
      <c r="P262" s="418" t="s">
        <v>1405</v>
      </c>
      <c r="Q262" s="418" t="s">
        <v>1405</v>
      </c>
      <c r="R262" s="418" t="s">
        <v>1405</v>
      </c>
      <c r="S262" s="417" t="str">
        <f>VLOOKUP(VLOOKUP(LEFT(M262,LEN(M262)-2),'Date SPV'!$B$4:$F$34,5,FALSE),'Date SPV'!$T$4:$U$11,2,FALSE)</f>
        <v>Distributie Energie Oltenia</v>
      </c>
      <c r="T262" s="417" t="str">
        <f>VLOOKUP(M262,'Contorizare in SDI'!$B:$D,3,FALSE)</f>
        <v>594010100003643714 71721547</v>
      </c>
      <c r="U262" s="417" t="str">
        <f>VLOOKUP(N262,'Contorizare in SDI'!$F:$H,3,FALSE)</f>
        <v>594010100003643714 71721547/1</v>
      </c>
      <c r="V262" s="419" t="s">
        <v>1357</v>
      </c>
      <c r="W262" s="420">
        <f>HLOOKUP(VLOOKUP(LEFT(M262,LEN(M262)-2),'Date SPV'!$B$4:$F$34,5,FALSE),'Preturi si tarife'!$C$2:$J$21,18,FALSE)</f>
        <v>0.85521760000000002</v>
      </c>
    </row>
    <row r="263" spans="3:23">
      <c r="C263" s="374" t="s">
        <v>1400</v>
      </c>
      <c r="D263" s="374" t="s">
        <v>1351</v>
      </c>
      <c r="E263" s="374" t="s">
        <v>1351</v>
      </c>
      <c r="F263" s="374" t="s">
        <v>1352</v>
      </c>
      <c r="G263" s="379"/>
      <c r="H263" s="349" t="s">
        <v>1369</v>
      </c>
      <c r="I263" s="341" t="s">
        <v>352</v>
      </c>
      <c r="K263" s="375" t="s">
        <v>1354</v>
      </c>
      <c r="M263" s="474" t="s">
        <v>556</v>
      </c>
      <c r="N263" s="475" t="s">
        <v>69</v>
      </c>
      <c r="O263" s="475" t="str">
        <f>VLOOKUP(LEFT(M263,LEN(M263)-2),'Date SPV'!$B$4:$D$34,3,FALSE)</f>
        <v>Iris Titan Shopping Center SRL</v>
      </c>
      <c r="P263" s="476" t="s">
        <v>1405</v>
      </c>
      <c r="Q263" s="476" t="s">
        <v>1405</v>
      </c>
      <c r="R263" s="476" t="s">
        <v>1405</v>
      </c>
      <c r="S263" s="475" t="str">
        <f>VLOOKUP(VLOOKUP(LEFT(M263,LEN(M263)-2),'Date SPV'!$B$4:$F$34,5,FALSE),'Date SPV'!$T$4:$U$11,2,FALSE)</f>
        <v>Retele Electrice Muntenia</v>
      </c>
      <c r="T263" s="475" t="str">
        <f>VLOOKUP(M263,'Contorizare in SDI'!$B:$D,3,FALSE)</f>
        <v>RO001E109430691</v>
      </c>
      <c r="U263" s="475" t="s">
        <v>69</v>
      </c>
      <c r="V263" s="477" t="s">
        <v>1354</v>
      </c>
      <c r="W263" s="478">
        <f>W265+W267+W271+W273</f>
        <v>95534</v>
      </c>
    </row>
    <row r="264" spans="3:23">
      <c r="C264" s="349" t="s">
        <v>1400</v>
      </c>
      <c r="D264" s="349" t="s">
        <v>1351</v>
      </c>
      <c r="E264" s="349" t="s">
        <v>1351</v>
      </c>
      <c r="F264" s="349" t="s">
        <v>1352</v>
      </c>
      <c r="G264" s="348"/>
      <c r="H264" s="349" t="s">
        <v>1369</v>
      </c>
      <c r="I264" s="341" t="s">
        <v>352</v>
      </c>
      <c r="K264" s="347" t="s">
        <v>1355</v>
      </c>
      <c r="M264" s="479" t="s">
        <v>556</v>
      </c>
      <c r="N264" s="480" t="s">
        <v>69</v>
      </c>
      <c r="O264" s="480" t="str">
        <f>VLOOKUP(LEFT(M264,LEN(M264)-2),'Date SPV'!$B$4:$D$34,3,FALSE)</f>
        <v>Iris Titan Shopping Center SRL</v>
      </c>
      <c r="P264" s="481" t="s">
        <v>1405</v>
      </c>
      <c r="Q264" s="481" t="s">
        <v>1405</v>
      </c>
      <c r="R264" s="481" t="s">
        <v>1405</v>
      </c>
      <c r="S264" s="480" t="str">
        <f>VLOOKUP(VLOOKUP(LEFT(M264,LEN(M264)-2),'Date SPV'!$B$4:$F$34,5,FALSE),'Date SPV'!$T$4:$U$11,2,FALSE)</f>
        <v>Retele Electrice Muntenia</v>
      </c>
      <c r="T264" s="480" t="str">
        <f>VLOOKUP(M264,'Contorizare in SDI'!$B:$D,3,FALSE)</f>
        <v>RO001E109430691</v>
      </c>
      <c r="U264" s="480" t="s">
        <v>69</v>
      </c>
      <c r="V264" s="482" t="s">
        <v>1355</v>
      </c>
      <c r="W264" s="483">
        <f>ROUND(W265*W266+W267*W268+W271*W272+W273*W274,2)</f>
        <v>83541.460000000006</v>
      </c>
    </row>
    <row r="265" spans="3:23">
      <c r="C265" s="349" t="s">
        <v>1400</v>
      </c>
      <c r="D265" s="349" t="s">
        <v>1351</v>
      </c>
      <c r="E265" s="349" t="s">
        <v>1351</v>
      </c>
      <c r="F265" s="349" t="s">
        <v>1352</v>
      </c>
      <c r="G265" s="348"/>
      <c r="H265" s="349" t="s">
        <v>1369</v>
      </c>
      <c r="I265" s="341" t="s">
        <v>352</v>
      </c>
      <c r="K265" s="341" t="s">
        <v>1356</v>
      </c>
      <c r="M265" s="479" t="s">
        <v>556</v>
      </c>
      <c r="N265" s="480" t="s">
        <v>1181</v>
      </c>
      <c r="O265" s="480" t="str">
        <f>VLOOKUP(LEFT(M265,LEN(M265)-2),'Date SPV'!$B$4:$D$34,3,FALSE)</f>
        <v>Iris Titan Shopping Center SRL</v>
      </c>
      <c r="P265" s="481" t="s">
        <v>1405</v>
      </c>
      <c r="Q265" s="481" t="s">
        <v>1405</v>
      </c>
      <c r="R265" s="481" t="s">
        <v>1405</v>
      </c>
      <c r="S265" s="480" t="str">
        <f>VLOOKUP(VLOOKUP(LEFT(M265,LEN(M265)-2),'Date SPV'!$B$4:$F$34,5,FALSE),'Date SPV'!$T$4:$U$11,2,FALSE)</f>
        <v>Retele Electrice Muntenia</v>
      </c>
      <c r="T265" s="480" t="str">
        <f>VLOOKUP(M265,'Contorizare in SDI'!$B:$D,3,FALSE)</f>
        <v>RO001E109430691</v>
      </c>
      <c r="U265" s="480" t="str">
        <f>VLOOKUP(N265,'Contorizare in SDI'!$F:$H,3,FALSE)</f>
        <v>RO001E109430691/1</v>
      </c>
      <c r="V265" s="484" t="s">
        <v>1356</v>
      </c>
      <c r="W265" s="483">
        <f>SUMIF($AB:$AB,N265,$AC:$AC)</f>
        <v>29034</v>
      </c>
    </row>
    <row r="266" spans="3:23">
      <c r="C266" s="349" t="s">
        <v>1400</v>
      </c>
      <c r="D266" s="349" t="s">
        <v>1351</v>
      </c>
      <c r="E266" s="349" t="s">
        <v>1351</v>
      </c>
      <c r="F266" s="349" t="s">
        <v>1352</v>
      </c>
      <c r="G266" s="348"/>
      <c r="H266" s="349" t="s">
        <v>1369</v>
      </c>
      <c r="I266" s="341" t="s">
        <v>352</v>
      </c>
      <c r="K266" s="341" t="s">
        <v>1357</v>
      </c>
      <c r="M266" s="479" t="s">
        <v>556</v>
      </c>
      <c r="N266" s="480" t="s">
        <v>1181</v>
      </c>
      <c r="O266" s="480" t="str">
        <f>VLOOKUP(LEFT(M266,LEN(M266)-2),'Date SPV'!$B$4:$D$34,3,FALSE)</f>
        <v>Iris Titan Shopping Center SRL</v>
      </c>
      <c r="P266" s="481" t="s">
        <v>1405</v>
      </c>
      <c r="Q266" s="481" t="s">
        <v>1405</v>
      </c>
      <c r="R266" s="481" t="s">
        <v>1405</v>
      </c>
      <c r="S266" s="480" t="str">
        <f>VLOOKUP(VLOOKUP(LEFT(M266,LEN(M266)-2),'Date SPV'!$B$4:$F$34,5,FALSE),'Date SPV'!$T$4:$U$11,2,FALSE)</f>
        <v>Retele Electrice Muntenia</v>
      </c>
      <c r="T266" s="480" t="str">
        <f>VLOOKUP(M266,'Contorizare in SDI'!$B:$D,3,FALSE)</f>
        <v>RO001E109430691</v>
      </c>
      <c r="U266" s="480" t="str">
        <f>VLOOKUP(N266,'Contorizare in SDI'!$F:$H,3,FALSE)</f>
        <v>RO001E109430691/1</v>
      </c>
      <c r="V266" s="484" t="s">
        <v>1357</v>
      </c>
      <c r="W266" s="483">
        <f>HLOOKUP(VLOOKUP(LEFT(M266,LEN(M266)-2),'Date SPV'!$B$4:$F$34,5,FALSE),'Preturi si tarife'!$C$2:$J$21,17,FALSE)</f>
        <v>0.90065760000000006</v>
      </c>
    </row>
    <row r="267" spans="3:23">
      <c r="C267" s="349" t="s">
        <v>1400</v>
      </c>
      <c r="D267" s="349" t="s">
        <v>1351</v>
      </c>
      <c r="E267" s="349" t="s">
        <v>1351</v>
      </c>
      <c r="F267" s="349" t="s">
        <v>1352</v>
      </c>
      <c r="G267" s="348"/>
      <c r="H267" s="349" t="s">
        <v>1369</v>
      </c>
      <c r="I267" s="341" t="s">
        <v>352</v>
      </c>
      <c r="K267" s="341" t="s">
        <v>1358</v>
      </c>
      <c r="M267" s="479" t="s">
        <v>556</v>
      </c>
      <c r="N267" s="480" t="s">
        <v>1181</v>
      </c>
      <c r="O267" s="480" t="str">
        <f>VLOOKUP(LEFT(M267,LEN(M267)-2),'Date SPV'!$B$4:$D$34,3,FALSE)</f>
        <v>Iris Titan Shopping Center SRL</v>
      </c>
      <c r="P267" s="481" t="s">
        <v>1405</v>
      </c>
      <c r="Q267" s="481" t="s">
        <v>1405</v>
      </c>
      <c r="R267" s="481" t="s">
        <v>1405</v>
      </c>
      <c r="S267" s="480" t="str">
        <f>VLOOKUP(VLOOKUP(LEFT(M267,LEN(M267)-2),'Date SPV'!$B$4:$F$34,5,FALSE),'Date SPV'!$T$4:$U$11,2,FALSE)</f>
        <v>Retele Electrice Muntenia</v>
      </c>
      <c r="T267" s="480" t="str">
        <f>VLOOKUP(M267,'Contorizare in SDI'!$B:$D,3,FALSE)</f>
        <v>RO001E109430691</v>
      </c>
      <c r="U267" s="480" t="str">
        <f>VLOOKUP(N267,'Contorizare in SDI'!$F:$H,3,FALSE)</f>
        <v>RO001E109430691/1</v>
      </c>
      <c r="V267" s="484" t="s">
        <v>1358</v>
      </c>
      <c r="W267" s="483">
        <f>SUMIF($AB:$AB,N267,$AD:$AD)</f>
        <v>26203</v>
      </c>
    </row>
    <row r="268" spans="3:23">
      <c r="C268" s="349" t="s">
        <v>1400</v>
      </c>
      <c r="D268" s="349" t="s">
        <v>1351</v>
      </c>
      <c r="E268" s="349" t="s">
        <v>1351</v>
      </c>
      <c r="F268" s="349" t="s">
        <v>1352</v>
      </c>
      <c r="G268" s="348"/>
      <c r="H268" s="349" t="s">
        <v>1369</v>
      </c>
      <c r="I268" s="341" t="s">
        <v>352</v>
      </c>
      <c r="K268" s="341" t="s">
        <v>1357</v>
      </c>
      <c r="M268" s="479" t="s">
        <v>556</v>
      </c>
      <c r="N268" s="480" t="s">
        <v>1181</v>
      </c>
      <c r="O268" s="480" t="str">
        <f>VLOOKUP(LEFT(M268,LEN(M268)-2),'Date SPV'!$B$4:$D$34,3,FALSE)</f>
        <v>Iris Titan Shopping Center SRL</v>
      </c>
      <c r="P268" s="481" t="s">
        <v>1405</v>
      </c>
      <c r="Q268" s="481" t="s">
        <v>1405</v>
      </c>
      <c r="R268" s="481" t="s">
        <v>1405</v>
      </c>
      <c r="S268" s="480" t="str">
        <f>VLOOKUP(VLOOKUP(LEFT(M268,LEN(M268)-2),'Date SPV'!$B$4:$F$34,5,FALSE),'Date SPV'!$T$4:$U$11,2,FALSE)</f>
        <v>Retele Electrice Muntenia</v>
      </c>
      <c r="T268" s="480" t="str">
        <f>VLOOKUP(M268,'Contorizare in SDI'!$B:$D,3,FALSE)</f>
        <v>RO001E109430691</v>
      </c>
      <c r="U268" s="480" t="str">
        <f>VLOOKUP(N268,'Contorizare in SDI'!$F:$H,3,FALSE)</f>
        <v>RO001E109430691/1</v>
      </c>
      <c r="V268" s="484" t="s">
        <v>1357</v>
      </c>
      <c r="W268" s="483">
        <f>HLOOKUP(VLOOKUP(LEFT(M268,LEN(M268)-2),'Date SPV'!$B$4:$F$34,5,FALSE),'Preturi si tarife'!$C$2:$J$21,18,FALSE)</f>
        <v>0.80525760000000002</v>
      </c>
    </row>
    <row r="269" spans="3:23">
      <c r="C269" s="374" t="s">
        <v>1400</v>
      </c>
      <c r="D269" s="349" t="s">
        <v>1351</v>
      </c>
      <c r="E269" s="349" t="s">
        <v>1351</v>
      </c>
      <c r="F269" s="349"/>
      <c r="G269" s="348"/>
      <c r="H269" s="349"/>
      <c r="I269" s="341" t="s">
        <v>353</v>
      </c>
      <c r="K269" s="375" t="s">
        <v>1354</v>
      </c>
      <c r="M269" s="492"/>
      <c r="N269" s="255"/>
      <c r="O269" s="255"/>
      <c r="P269" s="255"/>
      <c r="Q269" s="255"/>
      <c r="R269" s="255"/>
      <c r="S269" s="255"/>
      <c r="T269" s="255"/>
      <c r="U269" s="255"/>
      <c r="V269" s="255"/>
      <c r="W269" s="493">
        <v>0</v>
      </c>
    </row>
    <row r="270" spans="3:23">
      <c r="C270" s="349" t="s">
        <v>1400</v>
      </c>
      <c r="D270" s="349" t="s">
        <v>1351</v>
      </c>
      <c r="E270" s="349" t="s">
        <v>1351</v>
      </c>
      <c r="F270" s="349"/>
      <c r="G270" s="348"/>
      <c r="H270" s="349"/>
      <c r="I270" s="341" t="s">
        <v>353</v>
      </c>
      <c r="K270" s="347" t="s">
        <v>1355</v>
      </c>
      <c r="M270" s="492"/>
      <c r="N270" s="255"/>
      <c r="O270" s="255"/>
      <c r="P270" s="255"/>
      <c r="Q270" s="255"/>
      <c r="R270" s="255"/>
      <c r="S270" s="255"/>
      <c r="T270" s="255"/>
      <c r="U270" s="255"/>
      <c r="V270" s="255"/>
      <c r="W270" s="493">
        <v>0</v>
      </c>
    </row>
    <row r="271" spans="3:23">
      <c r="C271" s="349" t="s">
        <v>1400</v>
      </c>
      <c r="D271" s="349" t="s">
        <v>1351</v>
      </c>
      <c r="E271" s="349" t="s">
        <v>1351</v>
      </c>
      <c r="F271" s="349"/>
      <c r="G271" s="348"/>
      <c r="H271" s="349"/>
      <c r="I271" s="341" t="s">
        <v>353</v>
      </c>
      <c r="K271" s="341" t="s">
        <v>1356</v>
      </c>
      <c r="M271" s="479" t="s">
        <v>556</v>
      </c>
      <c r="N271" s="480" t="s">
        <v>1182</v>
      </c>
      <c r="O271" s="480" t="str">
        <f>VLOOKUP(LEFT(M271,LEN(M271)-2),'Date SPV'!$B$4:$D$34,3,FALSE)</f>
        <v>Iris Titan Shopping Center SRL</v>
      </c>
      <c r="P271" s="481" t="s">
        <v>1405</v>
      </c>
      <c r="Q271" s="481" t="s">
        <v>1405</v>
      </c>
      <c r="R271" s="481" t="s">
        <v>1405</v>
      </c>
      <c r="S271" s="480" t="str">
        <f>VLOOKUP(VLOOKUP(LEFT(M271,LEN(M271)-2),'Date SPV'!$B$4:$F$34,5,FALSE),'Date SPV'!$T$4:$U$11,2,FALSE)</f>
        <v>Retele Electrice Muntenia</v>
      </c>
      <c r="T271" s="480" t="str">
        <f>VLOOKUP(M271,'Contorizare in SDI'!$B:$D,3,FALSE)</f>
        <v>RO001E109430691</v>
      </c>
      <c r="U271" s="480" t="str">
        <f>VLOOKUP(N271,'Contorizare in SDI'!$F:$H,3,FALSE)</f>
        <v>RO001E109430691/2</v>
      </c>
      <c r="V271" s="484" t="s">
        <v>1356</v>
      </c>
      <c r="W271" s="483">
        <f>SUMIF($AB:$AB,N271,$AC:$AC)</f>
        <v>40274</v>
      </c>
    </row>
    <row r="272" spans="3:23">
      <c r="C272" s="349" t="s">
        <v>1400</v>
      </c>
      <c r="D272" s="349" t="s">
        <v>1351</v>
      </c>
      <c r="E272" s="349" t="s">
        <v>1351</v>
      </c>
      <c r="F272" s="349"/>
      <c r="G272" s="348"/>
      <c r="H272" s="349"/>
      <c r="I272" s="341" t="s">
        <v>353</v>
      </c>
      <c r="K272" s="341" t="s">
        <v>1357</v>
      </c>
      <c r="M272" s="479" t="s">
        <v>556</v>
      </c>
      <c r="N272" s="480" t="s">
        <v>1182</v>
      </c>
      <c r="O272" s="480" t="str">
        <f>VLOOKUP(LEFT(M272,LEN(M272)-2),'Date SPV'!$B$4:$D$34,3,FALSE)</f>
        <v>Iris Titan Shopping Center SRL</v>
      </c>
      <c r="P272" s="481" t="s">
        <v>1405</v>
      </c>
      <c r="Q272" s="481" t="s">
        <v>1405</v>
      </c>
      <c r="R272" s="481" t="s">
        <v>1405</v>
      </c>
      <c r="S272" s="480" t="str">
        <f>VLOOKUP(VLOOKUP(LEFT(M272,LEN(M272)-2),'Date SPV'!$B$4:$F$34,5,FALSE),'Date SPV'!$T$4:$U$11,2,FALSE)</f>
        <v>Retele Electrice Muntenia</v>
      </c>
      <c r="T272" s="480" t="str">
        <f>VLOOKUP(M272,'Contorizare in SDI'!$B:$D,3,FALSE)</f>
        <v>RO001E109430691</v>
      </c>
      <c r="U272" s="480" t="str">
        <f>VLOOKUP(N272,'Contorizare in SDI'!$F:$H,3,FALSE)</f>
        <v>RO001E109430691/2</v>
      </c>
      <c r="V272" s="484" t="s">
        <v>1357</v>
      </c>
      <c r="W272" s="483">
        <f>HLOOKUP(VLOOKUP(LEFT(M272,LEN(M272)-2),'Date SPV'!$B$4:$F$34,5,FALSE),'Preturi si tarife'!$C$2:$J$21,17,FALSE)</f>
        <v>0.90065760000000006</v>
      </c>
    </row>
    <row r="273" spans="3:23">
      <c r="C273" s="349" t="s">
        <v>1400</v>
      </c>
      <c r="D273" s="349" t="s">
        <v>1351</v>
      </c>
      <c r="E273" s="349" t="s">
        <v>1351</v>
      </c>
      <c r="F273" s="349"/>
      <c r="G273" s="348"/>
      <c r="H273" s="349"/>
      <c r="I273" s="341" t="s">
        <v>353</v>
      </c>
      <c r="K273" s="341" t="s">
        <v>1358</v>
      </c>
      <c r="M273" s="479" t="s">
        <v>556</v>
      </c>
      <c r="N273" s="480" t="s">
        <v>1182</v>
      </c>
      <c r="O273" s="480" t="str">
        <f>VLOOKUP(LEFT(M273,LEN(M273)-2),'Date SPV'!$B$4:$D$34,3,FALSE)</f>
        <v>Iris Titan Shopping Center SRL</v>
      </c>
      <c r="P273" s="481" t="s">
        <v>1405</v>
      </c>
      <c r="Q273" s="481" t="s">
        <v>1405</v>
      </c>
      <c r="R273" s="481" t="s">
        <v>1405</v>
      </c>
      <c r="S273" s="480" t="str">
        <f>VLOOKUP(VLOOKUP(LEFT(M273,LEN(M273)-2),'Date SPV'!$B$4:$F$34,5,FALSE),'Date SPV'!$T$4:$U$11,2,FALSE)</f>
        <v>Retele Electrice Muntenia</v>
      </c>
      <c r="T273" s="480" t="str">
        <f>VLOOKUP(M273,'Contorizare in SDI'!$B:$D,3,FALSE)</f>
        <v>RO001E109430691</v>
      </c>
      <c r="U273" s="480" t="str">
        <f>VLOOKUP(N273,'Contorizare in SDI'!$F:$H,3,FALSE)</f>
        <v>RO001E109430691/2</v>
      </c>
      <c r="V273" s="484" t="s">
        <v>1358</v>
      </c>
      <c r="W273" s="483">
        <f>SUMIF($AB:$AB,N273,$AD:$AD)</f>
        <v>23</v>
      </c>
    </row>
    <row r="274" spans="3:23" ht="16.5" thickBot="1">
      <c r="C274" s="349" t="s">
        <v>1400</v>
      </c>
      <c r="D274" s="349" t="s">
        <v>1351</v>
      </c>
      <c r="E274" s="349" t="s">
        <v>1351</v>
      </c>
      <c r="F274" s="349"/>
      <c r="G274" s="348"/>
      <c r="H274" s="349"/>
      <c r="I274" s="341" t="s">
        <v>353</v>
      </c>
      <c r="K274" s="341" t="s">
        <v>1357</v>
      </c>
      <c r="M274" s="485" t="s">
        <v>556</v>
      </c>
      <c r="N274" s="486" t="s">
        <v>1182</v>
      </c>
      <c r="O274" s="486" t="str">
        <f>VLOOKUP(LEFT(M274,LEN(M274)-2),'Date SPV'!$B$4:$D$34,3,FALSE)</f>
        <v>Iris Titan Shopping Center SRL</v>
      </c>
      <c r="P274" s="487" t="s">
        <v>1405</v>
      </c>
      <c r="Q274" s="487" t="s">
        <v>1405</v>
      </c>
      <c r="R274" s="487" t="s">
        <v>1405</v>
      </c>
      <c r="S274" s="486" t="str">
        <f>VLOOKUP(VLOOKUP(LEFT(M274,LEN(M274)-2),'Date SPV'!$B$4:$F$34,5,FALSE),'Date SPV'!$T$4:$U$11,2,FALSE)</f>
        <v>Retele Electrice Muntenia</v>
      </c>
      <c r="T274" s="486" t="str">
        <f>VLOOKUP(M274,'Contorizare in SDI'!$B:$D,3,FALSE)</f>
        <v>RO001E109430691</v>
      </c>
      <c r="U274" s="486" t="str">
        <f>VLOOKUP(N274,'Contorizare in SDI'!$F:$H,3,FALSE)</f>
        <v>RO001E109430691/2</v>
      </c>
      <c r="V274" s="488" t="s">
        <v>1357</v>
      </c>
      <c r="W274" s="489">
        <f>HLOOKUP(VLOOKUP(LEFT(M274,LEN(M274)-2),'Date SPV'!$B$4:$F$34,5,FALSE),'Preturi si tarife'!$C$2:$J$21,18,FALSE)</f>
        <v>0.80525760000000002</v>
      </c>
    </row>
  </sheetData>
  <autoFilter ref="K1:K274" xr:uid="{64B3E20F-096C-6E43-A75E-8F6B04AE268D}">
    <filterColumn colId="0">
      <customFilters>
        <customFilter operator="notEqual" val=" "/>
      </customFilters>
    </filterColumn>
  </autoFilter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3ACCC-B790-3942-9871-1C1DA5D8C849}">
  <dimension ref="A1:AE1045"/>
  <sheetViews>
    <sheetView topLeftCell="A229" zoomScale="85" zoomScaleNormal="85" workbookViewId="0">
      <selection activeCell="D74" sqref="D74:K98"/>
    </sheetView>
  </sheetViews>
  <sheetFormatPr defaultColWidth="8.875" defaultRowHeight="15"/>
  <cols>
    <col min="1" max="2" width="8.875" style="101"/>
    <col min="3" max="3" width="8.875" style="101" customWidth="1"/>
    <col min="4" max="4" width="30.125" style="101" customWidth="1"/>
    <col min="5" max="5" width="15.125" style="101" customWidth="1"/>
    <col min="6" max="6" width="11.125" style="101" customWidth="1"/>
    <col min="7" max="7" width="7.875" style="101" customWidth="1"/>
    <col min="8" max="8" width="10.375" style="101" customWidth="1"/>
    <col min="9" max="9" width="5.375" style="101" customWidth="1"/>
    <col min="10" max="10" width="7.5" style="101" customWidth="1"/>
    <col min="11" max="11" width="44.875" style="101" bestFit="1" customWidth="1"/>
    <col min="12" max="12" width="10.125" style="101" bestFit="1" customWidth="1"/>
    <col min="13" max="13" width="10.375" style="101" bestFit="1" customWidth="1"/>
    <col min="14" max="14" width="13.5" style="101" customWidth="1"/>
    <col min="15" max="15" width="14.5" style="101" customWidth="1"/>
    <col min="16" max="16" width="18.125" style="101" customWidth="1"/>
    <col min="17" max="17" width="15" style="101" customWidth="1"/>
    <col min="18" max="18" width="17.625" style="101" customWidth="1"/>
    <col min="19" max="19" width="18" style="101" customWidth="1"/>
    <col min="20" max="20" width="15.875" style="101" customWidth="1"/>
    <col min="21" max="21" width="17" style="101" customWidth="1"/>
    <col min="22" max="22" width="8.5" style="101" customWidth="1"/>
    <col min="23" max="23" width="12" style="101" customWidth="1"/>
    <col min="24" max="24" width="13.875" style="101" customWidth="1"/>
    <col min="25" max="25" width="7.875" style="101" customWidth="1"/>
    <col min="26" max="26" width="17.5" style="101" customWidth="1"/>
    <col min="27" max="27" width="12" style="101" customWidth="1"/>
    <col min="28" max="28" width="13.875" style="101" customWidth="1"/>
    <col min="29" max="29" width="8.5" style="101" customWidth="1"/>
    <col min="30" max="30" width="10.125" style="101" customWidth="1"/>
    <col min="31" max="31" width="6.625" style="101" customWidth="1"/>
    <col min="32" max="32" width="8.875" style="101" customWidth="1"/>
    <col min="33" max="16384" width="8.875" style="101"/>
  </cols>
  <sheetData>
    <row r="1" spans="1:31">
      <c r="E1" s="99" t="s">
        <v>870</v>
      </c>
      <c r="F1" s="100" t="s">
        <v>871</v>
      </c>
      <c r="G1" s="100" t="s">
        <v>872</v>
      </c>
      <c r="H1" s="100" t="s">
        <v>873</v>
      </c>
      <c r="I1" s="100" t="s">
        <v>874</v>
      </c>
      <c r="J1" s="100" t="s">
        <v>875</v>
      </c>
      <c r="K1" s="99" t="s">
        <v>876</v>
      </c>
      <c r="L1" s="99" t="s">
        <v>877</v>
      </c>
      <c r="M1" s="99" t="s">
        <v>878</v>
      </c>
      <c r="N1" s="99" t="s">
        <v>879</v>
      </c>
      <c r="O1" s="99" t="s">
        <v>880</v>
      </c>
      <c r="P1" s="100" t="s">
        <v>872</v>
      </c>
      <c r="Q1" s="100" t="s">
        <v>881</v>
      </c>
      <c r="R1" s="99" t="s">
        <v>882</v>
      </c>
      <c r="S1" s="100" t="s">
        <v>883</v>
      </c>
      <c r="T1" s="100" t="s">
        <v>884</v>
      </c>
      <c r="U1" s="100" t="s">
        <v>885</v>
      </c>
      <c r="V1" s="100" t="s">
        <v>886</v>
      </c>
      <c r="W1" s="100" t="s">
        <v>887</v>
      </c>
      <c r="X1" s="100" t="s">
        <v>888</v>
      </c>
      <c r="Y1" s="100" t="s">
        <v>872</v>
      </c>
      <c r="Z1" s="100" t="s">
        <v>889</v>
      </c>
      <c r="AA1" s="100" t="s">
        <v>887</v>
      </c>
      <c r="AB1" s="100" t="s">
        <v>890</v>
      </c>
      <c r="AC1" s="100" t="s">
        <v>891</v>
      </c>
      <c r="AD1" s="100" t="s">
        <v>892</v>
      </c>
      <c r="AE1" s="100" t="s">
        <v>893</v>
      </c>
    </row>
    <row r="2" spans="1:31">
      <c r="A2" s="101">
        <v>1</v>
      </c>
      <c r="B2" s="101">
        <f>IF(A2&lt;&gt;A1,1,B1+1)</f>
        <v>1</v>
      </c>
      <c r="C2" s="101" t="str">
        <f>_xlfn.CONCAT("T",B2)</f>
        <v>T1</v>
      </c>
      <c r="D2" s="101" t="s">
        <v>50</v>
      </c>
      <c r="E2" s="101" t="str">
        <f>VLOOKUP(A2,'Date SPV'!$A$4:$B$34,2,FALSE)</f>
        <v>RRVS</v>
      </c>
      <c r="H2" s="105" t="s">
        <v>894</v>
      </c>
      <c r="K2" s="101" t="str">
        <f>VLOOKUP(C2,'Preturi si tarife'!$A$4:$B$39,2,FALSE)</f>
        <v>Energie activa 1</v>
      </c>
      <c r="L2" s="102">
        <f>IF(B2=1,'Date masura OD'!$I$5,IF(B2=19,'Date masura OD'!$AK$5,L1))</f>
        <v>45778</v>
      </c>
      <c r="M2" s="102">
        <f>IF(B2=1,'Date masura OD'!$J$5,IF(B2=19,'Date masura OD'!$AL$5,M1))</f>
        <v>45808</v>
      </c>
      <c r="N2" s="104">
        <f>VLOOKUP(E2,verificare!$AR$4:$CC$33,B2+2,FALSE)</f>
        <v>239837</v>
      </c>
      <c r="O2" s="103">
        <f>HLOOKUP(VLOOKUP(E2,'Date SPV'!$B$4:$F$34,5,FALSE),'Preturi si tarife'!$C$2:$J$39,B2+2,FALSE)*10000</f>
        <v>5950</v>
      </c>
      <c r="Q2" s="101" t="s">
        <v>1187</v>
      </c>
      <c r="R2" s="101" t="str">
        <f>VLOOKUP(K2,'Preturi si tarife'!$B$4:$K$39,10,FALSE)</f>
        <v>ICOENG0001</v>
      </c>
      <c r="T2" s="101" t="s">
        <v>895</v>
      </c>
      <c r="V2" s="101" t="s">
        <v>896</v>
      </c>
      <c r="X2" s="101" t="s">
        <v>1187</v>
      </c>
      <c r="AC2" s="101" t="s">
        <v>897</v>
      </c>
      <c r="AD2" s="101">
        <v>10000</v>
      </c>
    </row>
    <row r="3" spans="1:31">
      <c r="A3" s="101">
        <f>IF(B2=36,A2+1,A2)</f>
        <v>1</v>
      </c>
      <c r="B3" s="101">
        <f t="shared" ref="B3:B12" si="0">IF(A3&lt;&gt;A2,1,B2+1)</f>
        <v>2</v>
      </c>
      <c r="C3" s="101" t="str">
        <f t="shared" ref="C3:C66" si="1">_xlfn.CONCAT("T",B3)</f>
        <v>T2</v>
      </c>
      <c r="D3" s="101" t="str">
        <f>IF(A3&lt;&gt;A2,VLOOKUP(A3,'Date SPV'!$A:$D,4,FALSE),D2)</f>
        <v>Ramnicu Valcea Shopping City SRL</v>
      </c>
      <c r="E3" s="101" t="str">
        <f>VLOOKUP(A3,'Date SPV'!$A$4:$B$34,2,FALSE)</f>
        <v>RRVS</v>
      </c>
      <c r="H3" s="105" t="s">
        <v>894</v>
      </c>
      <c r="K3" s="101" t="str">
        <f>VLOOKUP(C3,'Preturi si tarife'!$A$4:$B$39,2,FALSE)</f>
        <v>Energie reactiva  1X</v>
      </c>
      <c r="L3" s="102">
        <f>IF(B3=1,'Date masura OD'!$I$5,IF(B3=19,'Date masura OD'!$AK$5,L2))</f>
        <v>45778</v>
      </c>
      <c r="M3" s="102">
        <f>IF(B3=1,'Date masura OD'!$J$5,IF(B3=19,'Date masura OD'!$AL$5,M2))</f>
        <v>45808</v>
      </c>
      <c r="N3" s="104">
        <f>VLOOKUP(E3,verificare!$AR$4:$CC$33,B3+2,FALSE)</f>
        <v>0</v>
      </c>
      <c r="O3" s="103">
        <f>HLOOKUP(VLOOKUP(E3,'Date SPV'!$B$4:$F$34,5,FALSE),'Preturi si tarife'!$C$2:$J$39,B3+2,FALSE)*10000</f>
        <v>1465</v>
      </c>
      <c r="Q3" s="101" t="str">
        <f>Q2</f>
        <v>One-off</v>
      </c>
      <c r="R3" s="101" t="str">
        <f>VLOOKUP(K3,'Preturi si tarife'!$B$4:$K$39,10,FALSE)</f>
        <v>ICOENG0001</v>
      </c>
      <c r="T3" s="101" t="str">
        <f>T2</f>
        <v>INV + 30</v>
      </c>
      <c r="V3" s="101" t="str">
        <f>V2</f>
        <v>Active</v>
      </c>
      <c r="X3" s="101" t="str">
        <f>X2</f>
        <v>One-off</v>
      </c>
      <c r="AC3" s="101" t="str">
        <f>AC2</f>
        <v>RON</v>
      </c>
      <c r="AD3" s="101">
        <f>AD2</f>
        <v>10000</v>
      </c>
    </row>
    <row r="4" spans="1:31">
      <c r="A4" s="101">
        <f t="shared" ref="A4:A67" si="2">IF(B3=36,A3+1,A3)</f>
        <v>1</v>
      </c>
      <c r="B4" s="101">
        <f t="shared" si="0"/>
        <v>3</v>
      </c>
      <c r="C4" s="101" t="str">
        <f t="shared" si="1"/>
        <v>T3</v>
      </c>
      <c r="D4" s="101" t="str">
        <f>IF(A4&lt;&gt;A3,VLOOKUP(A4,'Date SPV'!$A:$D,4,FALSE),D3)</f>
        <v>Ramnicu Valcea Shopping City SRL</v>
      </c>
      <c r="E4" s="101" t="str">
        <f>VLOOKUP(A4,'Date SPV'!$A$4:$B$34,2,FALSE)</f>
        <v>RRVS</v>
      </c>
      <c r="H4" s="105" t="s">
        <v>894</v>
      </c>
      <c r="K4" s="101" t="str">
        <f>VLOOKUP(C4,'Preturi si tarife'!$A$4:$B$39,2,FALSE)</f>
        <v>Energie reactiva  3X</v>
      </c>
      <c r="L4" s="102">
        <f>IF(B4=1,'Date masura OD'!$I$5,IF(B4=19,'Date masura OD'!$AK$5,L3))</f>
        <v>45778</v>
      </c>
      <c r="M4" s="102">
        <f>IF(B4=1,'Date masura OD'!$J$5,IF(B4=19,'Date masura OD'!$AL$5,M3))</f>
        <v>45808</v>
      </c>
      <c r="N4" s="104">
        <f>VLOOKUP(E4,verificare!$AR$4:$CC$33,B4+2,FALSE)</f>
        <v>0</v>
      </c>
      <c r="O4" s="103">
        <f>HLOOKUP(VLOOKUP(E4,'Date SPV'!$B$4:$F$34,5,FALSE),'Preturi si tarife'!$C$2:$J$39,B4+2,FALSE)*10000</f>
        <v>4395</v>
      </c>
      <c r="Q4" s="101" t="str">
        <f t="shared" ref="Q4:Q67" si="3">Q3</f>
        <v>One-off</v>
      </c>
      <c r="R4" s="101" t="str">
        <f>VLOOKUP(K4,'Preturi si tarife'!$B$4:$K$39,10,FALSE)</f>
        <v>ICOENG0001</v>
      </c>
      <c r="T4" s="101" t="str">
        <f t="shared" ref="T4:T67" si="4">T3</f>
        <v>INV + 30</v>
      </c>
      <c r="V4" s="101" t="str">
        <f t="shared" ref="V4:V67" si="5">V3</f>
        <v>Active</v>
      </c>
      <c r="X4" s="101" t="str">
        <f t="shared" ref="X4:X67" si="6">X3</f>
        <v>One-off</v>
      </c>
      <c r="AC4" s="101" t="str">
        <f t="shared" ref="AC4:AC67" si="7">AC3</f>
        <v>RON</v>
      </c>
      <c r="AD4" s="101">
        <f t="shared" ref="AD4:AD67" si="8">AD3</f>
        <v>10000</v>
      </c>
    </row>
    <row r="5" spans="1:31">
      <c r="A5" s="101">
        <f t="shared" si="2"/>
        <v>1</v>
      </c>
      <c r="B5" s="101">
        <f t="shared" si="0"/>
        <v>4</v>
      </c>
      <c r="C5" s="101" t="str">
        <f t="shared" si="1"/>
        <v>T4</v>
      </c>
      <c r="D5" s="101" t="str">
        <f>IF(A5&lt;&gt;A4,VLOOKUP(A5,'Date SPV'!$A:$D,4,FALSE),D4)</f>
        <v>Ramnicu Valcea Shopping City SRL</v>
      </c>
      <c r="E5" s="101" t="str">
        <f>VLOOKUP(A5,'Date SPV'!$A$4:$B$34,2,FALSE)</f>
        <v>RRVS</v>
      </c>
      <c r="H5" s="105" t="s">
        <v>894</v>
      </c>
      <c r="K5" s="101" t="str">
        <f>VLOOKUP(C5,'Preturi si tarife'!$A$4:$B$39,2,FALSE)</f>
        <v>Tarife distributie en. El IT+MT</v>
      </c>
      <c r="L5" s="102">
        <f>IF(B5=1,'Date masura OD'!$I$5,IF(B5=19,'Date masura OD'!$AK$5,L4))</f>
        <v>45778</v>
      </c>
      <c r="M5" s="102">
        <f>IF(B5=1,'Date masura OD'!$J$5,IF(B5=19,'Date masura OD'!$AL$5,M4))</f>
        <v>45808</v>
      </c>
      <c r="N5" s="104">
        <f>VLOOKUP(E5,verificare!$AR$4:$CC$33,B5+2,FALSE)</f>
        <v>239837</v>
      </c>
      <c r="O5" s="103">
        <f>HLOOKUP(VLOOKUP(E5,'Date SPV'!$B$4:$F$34,5,FALSE),'Preturi si tarife'!$C$2:$J$39,B5+2,FALSE)*10000</f>
        <v>1361.3999999999999</v>
      </c>
      <c r="Q5" s="101" t="str">
        <f t="shared" si="3"/>
        <v>One-off</v>
      </c>
      <c r="R5" s="101" t="str">
        <f>VLOOKUP(K5,'Preturi si tarife'!$B$4:$K$39,10,FALSE)</f>
        <v>ICOENG0001</v>
      </c>
      <c r="T5" s="101" t="str">
        <f t="shared" si="4"/>
        <v>INV + 30</v>
      </c>
      <c r="V5" s="101" t="str">
        <f t="shared" si="5"/>
        <v>Active</v>
      </c>
      <c r="X5" s="101" t="str">
        <f t="shared" si="6"/>
        <v>One-off</v>
      </c>
      <c r="AC5" s="101" t="str">
        <f t="shared" si="7"/>
        <v>RON</v>
      </c>
      <c r="AD5" s="101">
        <f t="shared" si="8"/>
        <v>10000</v>
      </c>
    </row>
    <row r="6" spans="1:31">
      <c r="A6" s="101">
        <f t="shared" si="2"/>
        <v>1</v>
      </c>
      <c r="B6" s="101">
        <f t="shared" si="0"/>
        <v>5</v>
      </c>
      <c r="C6" s="101" t="str">
        <f t="shared" si="1"/>
        <v>T5</v>
      </c>
      <c r="D6" s="101" t="str">
        <f>IF(A6&lt;&gt;A5,VLOOKUP(A6,'Date SPV'!$A:$D,4,FALSE),D5)</f>
        <v>Ramnicu Valcea Shopping City SRL</v>
      </c>
      <c r="E6" s="101" t="str">
        <f>VLOOKUP(A6,'Date SPV'!$A$4:$B$34,2,FALSE)</f>
        <v>RRVS</v>
      </c>
      <c r="H6" s="105" t="s">
        <v>894</v>
      </c>
      <c r="K6" s="101" t="str">
        <f>VLOOKUP(C6,'Preturi si tarife'!$A$4:$B$39,2,FALSE)</f>
        <v>Tarife distributie en. El JT</v>
      </c>
      <c r="L6" s="102">
        <f>IF(B6=1,'Date masura OD'!$I$5,IF(B6=19,'Date masura OD'!$AK$5,L5))</f>
        <v>45778</v>
      </c>
      <c r="M6" s="102">
        <f>IF(B6=1,'Date masura OD'!$J$5,IF(B6=19,'Date masura OD'!$AL$5,M5))</f>
        <v>45808</v>
      </c>
      <c r="N6" s="104">
        <f>VLOOKUP(E6,verificare!$AR$4:$CC$33,B6+2,FALSE)</f>
        <v>0</v>
      </c>
      <c r="O6" s="103">
        <f>HLOOKUP(VLOOKUP(E6,'Date SPV'!$B$4:$F$34,5,FALSE),'Preturi si tarife'!$C$2:$J$39,B6+2,FALSE)*10000</f>
        <v>2273.8999999999996</v>
      </c>
      <c r="Q6" s="101" t="str">
        <f t="shared" si="3"/>
        <v>One-off</v>
      </c>
      <c r="R6" s="101" t="str">
        <f>VLOOKUP(K6,'Preturi si tarife'!$B$4:$K$39,10,FALSE)</f>
        <v>ICOENG0001</v>
      </c>
      <c r="T6" s="101" t="str">
        <f t="shared" si="4"/>
        <v>INV + 30</v>
      </c>
      <c r="V6" s="101" t="str">
        <f t="shared" si="5"/>
        <v>Active</v>
      </c>
      <c r="X6" s="101" t="str">
        <f t="shared" si="6"/>
        <v>One-off</v>
      </c>
      <c r="AC6" s="101" t="str">
        <f t="shared" si="7"/>
        <v>RON</v>
      </c>
      <c r="AD6" s="101">
        <f t="shared" si="8"/>
        <v>10000</v>
      </c>
    </row>
    <row r="7" spans="1:31">
      <c r="A7" s="101">
        <f t="shared" si="2"/>
        <v>1</v>
      </c>
      <c r="B7" s="101">
        <f t="shared" si="0"/>
        <v>6</v>
      </c>
      <c r="C7" s="101" t="str">
        <f t="shared" si="1"/>
        <v>T6</v>
      </c>
      <c r="D7" s="101" t="str">
        <f>IF(A7&lt;&gt;A6,VLOOKUP(A7,'Date SPV'!$A:$D,4,FALSE),D6)</f>
        <v>Ramnicu Valcea Shopping City SRL</v>
      </c>
      <c r="E7" s="101" t="str">
        <f>VLOOKUP(A7,'Date SPV'!$A$4:$B$34,2,FALSE)</f>
        <v>RRVS</v>
      </c>
      <c r="H7" s="105" t="s">
        <v>894</v>
      </c>
      <c r="K7" s="101" t="str">
        <f>VLOOKUP(C7,'Preturi si tarife'!$A$4:$B$39,2,FALSE)</f>
        <v xml:space="preserve">Servicii Sistem </v>
      </c>
      <c r="L7" s="102">
        <f>IF(B7=1,'Date masura OD'!$I$5,IF(B7=19,'Date masura OD'!$AK$5,L6))</f>
        <v>45778</v>
      </c>
      <c r="M7" s="102">
        <f>IF(B7=1,'Date masura OD'!$J$5,IF(B7=19,'Date masura OD'!$AL$5,M6))</f>
        <v>45808</v>
      </c>
      <c r="N7" s="104">
        <f>VLOOKUP(E7,verificare!$AR$4:$CC$33,B7+2,FALSE)</f>
        <v>239837</v>
      </c>
      <c r="O7" s="103">
        <f>HLOOKUP(VLOOKUP(E7,'Date SPV'!$B$4:$F$34,5,FALSE),'Preturi si tarife'!$C$2:$J$39,B7+2,FALSE)*10000</f>
        <v>115.1</v>
      </c>
      <c r="Q7" s="101" t="str">
        <f t="shared" si="3"/>
        <v>One-off</v>
      </c>
      <c r="R7" s="101" t="str">
        <f>VLOOKUP(K7,'Preturi si tarife'!$B$4:$K$39,10,FALSE)</f>
        <v>ICOENG0001</v>
      </c>
      <c r="T7" s="101" t="str">
        <f t="shared" si="4"/>
        <v>INV + 30</v>
      </c>
      <c r="V7" s="101" t="str">
        <f t="shared" si="5"/>
        <v>Active</v>
      </c>
      <c r="X7" s="101" t="str">
        <f t="shared" si="6"/>
        <v>One-off</v>
      </c>
      <c r="AC7" s="101" t="str">
        <f t="shared" si="7"/>
        <v>RON</v>
      </c>
      <c r="AD7" s="101">
        <f t="shared" si="8"/>
        <v>10000</v>
      </c>
    </row>
    <row r="8" spans="1:31">
      <c r="A8" s="101">
        <f t="shared" si="2"/>
        <v>1</v>
      </c>
      <c r="B8" s="101">
        <f t="shared" si="0"/>
        <v>7</v>
      </c>
      <c r="C8" s="101" t="str">
        <f t="shared" si="1"/>
        <v>T7</v>
      </c>
      <c r="D8" s="101" t="str">
        <f>IF(A8&lt;&gt;A7,VLOOKUP(A8,'Date SPV'!$A:$D,4,FALSE),D7)</f>
        <v>Ramnicu Valcea Shopping City SRL</v>
      </c>
      <c r="E8" s="101" t="str">
        <f>VLOOKUP(A8,'Date SPV'!$A$4:$B$34,2,FALSE)</f>
        <v>RRVS</v>
      </c>
      <c r="H8" s="105" t="s">
        <v>894</v>
      </c>
      <c r="K8" s="101" t="str">
        <f>VLOOKUP(C8,'Preturi si tarife'!$A$4:$B$39,2,FALSE)</f>
        <v>Tarif de introducere en. el in retea (TL)</v>
      </c>
      <c r="L8" s="102">
        <f>IF(B8=1,'Date masura OD'!$I$5,IF(B8=19,'Date masura OD'!$AK$5,L7))</f>
        <v>45778</v>
      </c>
      <c r="M8" s="102">
        <f>IF(B8=1,'Date masura OD'!$J$5,IF(B8=19,'Date masura OD'!$AL$5,M7))</f>
        <v>45808</v>
      </c>
      <c r="N8" s="104">
        <f>VLOOKUP(E8,verificare!$AR$4:$CC$33,B8+2,FALSE)</f>
        <v>239837</v>
      </c>
      <c r="O8" s="103">
        <f>HLOOKUP(VLOOKUP(E8,'Date SPV'!$B$4:$F$34,5,FALSE),'Preturi si tarife'!$C$2:$J$39,B8+2,FALSE)*10000</f>
        <v>330.3</v>
      </c>
      <c r="Q8" s="101" t="str">
        <f t="shared" si="3"/>
        <v>One-off</v>
      </c>
      <c r="R8" s="101" t="str">
        <f>VLOOKUP(K8,'Preturi si tarife'!$B$4:$K$39,10,FALSE)</f>
        <v>ICOENG0001</v>
      </c>
      <c r="T8" s="101" t="str">
        <f t="shared" si="4"/>
        <v>INV + 30</v>
      </c>
      <c r="V8" s="101" t="str">
        <f t="shared" si="5"/>
        <v>Active</v>
      </c>
      <c r="X8" s="101" t="str">
        <f t="shared" si="6"/>
        <v>One-off</v>
      </c>
      <c r="AC8" s="101" t="str">
        <f t="shared" si="7"/>
        <v>RON</v>
      </c>
      <c r="AD8" s="101">
        <f t="shared" si="8"/>
        <v>10000</v>
      </c>
    </row>
    <row r="9" spans="1:31">
      <c r="A9" s="101">
        <f t="shared" si="2"/>
        <v>1</v>
      </c>
      <c r="B9" s="101">
        <f t="shared" si="0"/>
        <v>8</v>
      </c>
      <c r="C9" s="101" t="str">
        <f t="shared" si="1"/>
        <v>T8</v>
      </c>
      <c r="D9" s="101" t="str">
        <f>IF(A9&lt;&gt;A8,VLOOKUP(A9,'Date SPV'!$A:$D,4,FALSE),D8)</f>
        <v>Ramnicu Valcea Shopping City SRL</v>
      </c>
      <c r="E9" s="101" t="str">
        <f>VLOOKUP(A9,'Date SPV'!$A$4:$B$34,2,FALSE)</f>
        <v>RRVS</v>
      </c>
      <c r="H9" s="105" t="s">
        <v>894</v>
      </c>
      <c r="K9" s="101" t="str">
        <f>VLOOKUP(C9,'Preturi si tarife'!$A$4:$B$39,2,FALSE)</f>
        <v>Tarif de introducere en.el in retea (TG)</v>
      </c>
      <c r="L9" s="102">
        <f>IF(B9=1,'Date masura OD'!$I$5,IF(B9=19,'Date masura OD'!$AK$5,L8))</f>
        <v>45778</v>
      </c>
      <c r="M9" s="102">
        <f>IF(B9=1,'Date masura OD'!$J$5,IF(B9=19,'Date masura OD'!$AL$5,M8))</f>
        <v>45808</v>
      </c>
      <c r="N9" s="104">
        <f>VLOOKUP(E9,verificare!$AR$4:$CC$33,B9+2,FALSE)</f>
        <v>239837</v>
      </c>
      <c r="O9" s="103">
        <f>HLOOKUP(VLOOKUP(E9,'Date SPV'!$B$4:$F$34,5,FALSE),'Preturi si tarife'!$C$2:$J$39,B9+2,FALSE)*10000</f>
        <v>32.9</v>
      </c>
      <c r="Q9" s="101" t="str">
        <f t="shared" si="3"/>
        <v>One-off</v>
      </c>
      <c r="R9" s="101" t="str">
        <f>VLOOKUP(K9,'Preturi si tarife'!$B$4:$K$39,10,FALSE)</f>
        <v>ICOENG0001</v>
      </c>
      <c r="T9" s="101" t="str">
        <f t="shared" si="4"/>
        <v>INV + 30</v>
      </c>
      <c r="V9" s="101" t="str">
        <f t="shared" si="5"/>
        <v>Active</v>
      </c>
      <c r="X9" s="101" t="str">
        <f t="shared" si="6"/>
        <v>One-off</v>
      </c>
      <c r="AC9" s="101" t="str">
        <f t="shared" si="7"/>
        <v>RON</v>
      </c>
      <c r="AD9" s="101">
        <f t="shared" si="8"/>
        <v>10000</v>
      </c>
    </row>
    <row r="10" spans="1:31">
      <c r="A10" s="101">
        <f t="shared" si="2"/>
        <v>1</v>
      </c>
      <c r="B10" s="101">
        <f t="shared" si="0"/>
        <v>9</v>
      </c>
      <c r="C10" s="101" t="str">
        <f t="shared" si="1"/>
        <v>T9</v>
      </c>
      <c r="D10" s="101" t="str">
        <f>IF(A10&lt;&gt;A9,VLOOKUP(A10,'Date SPV'!$A:$D,4,FALSE),D9)</f>
        <v>Ramnicu Valcea Shopping City SRL</v>
      </c>
      <c r="E10" s="101" t="str">
        <f>VLOOKUP(A10,'Date SPV'!$A$4:$B$34,2,FALSE)</f>
        <v>RRVS</v>
      </c>
      <c r="H10" s="105" t="s">
        <v>894</v>
      </c>
      <c r="K10" s="101" t="str">
        <f>VLOOKUP(C10,'Preturi si tarife'!$A$4:$B$39,2,FALSE)</f>
        <v>Contributie pentru cogenerare</v>
      </c>
      <c r="L10" s="102">
        <f>IF(B10=1,'Date masura OD'!$I$5,IF(B10=19,'Date masura OD'!$AK$5,L9))</f>
        <v>45778</v>
      </c>
      <c r="M10" s="102">
        <f>IF(B10=1,'Date masura OD'!$J$5,IF(B10=19,'Date masura OD'!$AL$5,M9))</f>
        <v>45808</v>
      </c>
      <c r="N10" s="104">
        <f>VLOOKUP(E10,verificare!$AR$4:$CC$33,B10+2,FALSE)</f>
        <v>239837</v>
      </c>
      <c r="O10" s="103">
        <f>HLOOKUP(VLOOKUP(E10,'Date SPV'!$B$4:$F$34,5,FALSE),'Preturi si tarife'!$C$2:$J$39,B10+2,FALSE)*10000</f>
        <v>35</v>
      </c>
      <c r="Q10" s="101" t="str">
        <f t="shared" si="3"/>
        <v>One-off</v>
      </c>
      <c r="R10" s="101" t="str">
        <f>VLOOKUP(K10,'Preturi si tarife'!$B$4:$K$39,10,FALSE)</f>
        <v>ICOENG0001</v>
      </c>
      <c r="T10" s="101" t="str">
        <f t="shared" si="4"/>
        <v>INV + 30</v>
      </c>
      <c r="V10" s="101" t="str">
        <f t="shared" si="5"/>
        <v>Active</v>
      </c>
      <c r="X10" s="101" t="str">
        <f t="shared" si="6"/>
        <v>One-off</v>
      </c>
      <c r="AC10" s="101" t="str">
        <f t="shared" si="7"/>
        <v>RON</v>
      </c>
      <c r="AD10" s="101">
        <f t="shared" si="8"/>
        <v>10000</v>
      </c>
    </row>
    <row r="11" spans="1:31">
      <c r="A11" s="101">
        <f t="shared" si="2"/>
        <v>1</v>
      </c>
      <c r="B11" s="101">
        <f t="shared" si="0"/>
        <v>10</v>
      </c>
      <c r="C11" s="101" t="str">
        <f t="shared" si="1"/>
        <v>T10</v>
      </c>
      <c r="D11" s="101" t="str">
        <f>IF(A11&lt;&gt;A10,VLOOKUP(A11,'Date SPV'!$A:$D,4,FALSE),D10)</f>
        <v>Ramnicu Valcea Shopping City SRL</v>
      </c>
      <c r="E11" s="101" t="str">
        <f>VLOOKUP(A11,'Date SPV'!$A$4:$B$34,2,FALSE)</f>
        <v>RRVS</v>
      </c>
      <c r="H11" s="105" t="s">
        <v>894</v>
      </c>
      <c r="K11" s="101" t="str">
        <f>VLOOKUP(C11,'Preturi si tarife'!$A$4:$B$39,2,FALSE)</f>
        <v xml:space="preserve">Certificate verzi </v>
      </c>
      <c r="L11" s="102">
        <f>IF(B11=1,'Date masura OD'!$I$5,IF(B11=19,'Date masura OD'!$AK$5,L10))</f>
        <v>45778</v>
      </c>
      <c r="M11" s="102">
        <f>IF(B11=1,'Date masura OD'!$J$5,IF(B11=19,'Date masura OD'!$AL$5,M10))</f>
        <v>45808</v>
      </c>
      <c r="N11" s="104">
        <f>VLOOKUP(E11,verificare!$AR$4:$CC$33,B11+2,FALSE)</f>
        <v>239837</v>
      </c>
      <c r="O11" s="103">
        <f>HLOOKUP(VLOOKUP(E11,'Date SPV'!$B$4:$F$34,5,FALSE),'Preturi si tarife'!$C$2:$J$39,B11+2,FALSE)*10000</f>
        <v>725.41599999999994</v>
      </c>
      <c r="Q11" s="101" t="str">
        <f t="shared" si="3"/>
        <v>One-off</v>
      </c>
      <c r="R11" s="101" t="str">
        <f>VLOOKUP(K11,'Preturi si tarife'!$B$4:$K$39,10,FALSE)</f>
        <v>ICOENG0001</v>
      </c>
      <c r="T11" s="101" t="str">
        <f t="shared" si="4"/>
        <v>INV + 30</v>
      </c>
      <c r="V11" s="101" t="str">
        <f t="shared" si="5"/>
        <v>Active</v>
      </c>
      <c r="X11" s="101" t="str">
        <f t="shared" si="6"/>
        <v>One-off</v>
      </c>
      <c r="AC11" s="101" t="str">
        <f t="shared" si="7"/>
        <v>RON</v>
      </c>
      <c r="AD11" s="101">
        <f t="shared" si="8"/>
        <v>10000</v>
      </c>
    </row>
    <row r="12" spans="1:31">
      <c r="A12" s="101">
        <f t="shared" si="2"/>
        <v>1</v>
      </c>
      <c r="B12" s="101">
        <f t="shared" si="0"/>
        <v>11</v>
      </c>
      <c r="C12" s="101" t="str">
        <f t="shared" si="1"/>
        <v>T11</v>
      </c>
      <c r="D12" s="101" t="str">
        <f>IF(A12&lt;&gt;A11,VLOOKUP(A12,'Date SPV'!$A:$D,4,FALSE),D11)</f>
        <v>Ramnicu Valcea Shopping City SRL</v>
      </c>
      <c r="E12" s="101" t="str">
        <f>VLOOKUP(A12,'Date SPV'!$A$4:$B$34,2,FALSE)</f>
        <v>RRVS</v>
      </c>
      <c r="H12" s="105" t="s">
        <v>894</v>
      </c>
      <c r="K12" s="101" t="str">
        <f>VLOOKUP(C12,'Preturi si tarife'!$A$4:$B$39,2,FALSE)</f>
        <v>Contributie CFD</v>
      </c>
      <c r="L12" s="102">
        <f>IF(B12=1,'Date masura OD'!$I$5,IF(B12=19,'Date masura OD'!$AK$5,L11))</f>
        <v>45778</v>
      </c>
      <c r="M12" s="102">
        <f>IF(B12=1,'Date masura OD'!$J$5,IF(B12=19,'Date masura OD'!$AL$5,M11))</f>
        <v>45808</v>
      </c>
      <c r="N12" s="104">
        <f>VLOOKUP(E12,verificare!$AR$4:$CC$33,B12+2,FALSE)</f>
        <v>239837</v>
      </c>
      <c r="O12" s="103">
        <f>HLOOKUP(VLOOKUP(E12,'Date SPV'!$B$4:$F$34,5,FALSE),'Preturi si tarife'!$C$2:$J$39,B12+2,FALSE)*10000</f>
        <v>2.06</v>
      </c>
      <c r="Q12" s="101" t="str">
        <f t="shared" si="3"/>
        <v>One-off</v>
      </c>
      <c r="R12" s="101" t="str">
        <f>VLOOKUP(K12,'Preturi si tarife'!$B$4:$K$39,10,FALSE)</f>
        <v>ICOENG0001</v>
      </c>
      <c r="T12" s="101" t="str">
        <f t="shared" si="4"/>
        <v>INV + 30</v>
      </c>
      <c r="V12" s="101" t="str">
        <f t="shared" si="5"/>
        <v>Active</v>
      </c>
      <c r="X12" s="101" t="str">
        <f t="shared" si="6"/>
        <v>One-off</v>
      </c>
      <c r="AC12" s="101" t="str">
        <f t="shared" si="7"/>
        <v>RON</v>
      </c>
      <c r="AD12" s="101">
        <f t="shared" si="8"/>
        <v>10000</v>
      </c>
    </row>
    <row r="13" spans="1:31">
      <c r="A13" s="101">
        <f t="shared" si="2"/>
        <v>1</v>
      </c>
      <c r="B13" s="101">
        <f t="shared" ref="B13:B27" si="9">IF(A13&lt;&gt;A12,1,B12+1)</f>
        <v>12</v>
      </c>
      <c r="C13" s="101" t="str">
        <f t="shared" si="1"/>
        <v>T12</v>
      </c>
      <c r="D13" s="101" t="str">
        <f>IF(A13&lt;&gt;A12,VLOOKUP(A13,'Date SPV'!$A:$D,4,FALSE),D12)</f>
        <v>Ramnicu Valcea Shopping City SRL</v>
      </c>
      <c r="E13" s="101" t="str">
        <f>VLOOKUP(A13,'Date SPV'!$A$4:$B$34,2,FALSE)</f>
        <v>RRVS</v>
      </c>
      <c r="H13" s="105" t="s">
        <v>894</v>
      </c>
      <c r="K13" s="101" t="str">
        <f>VLOOKUP(C13,'Preturi si tarife'!$A$4:$B$39,2,FALSE)</f>
        <v>Acciza</v>
      </c>
      <c r="L13" s="102">
        <f>IF(B13=1,'Date masura OD'!$I$5,IF(B13=19,'Date masura OD'!$AK$5,L12))</f>
        <v>45778</v>
      </c>
      <c r="M13" s="102">
        <f>IF(B13=1,'Date masura OD'!$J$5,IF(B13=19,'Date masura OD'!$AL$5,M12))</f>
        <v>45808</v>
      </c>
      <c r="N13" s="104">
        <f>VLOOKUP(E13,verificare!$AR$4:$CC$33,B13+2,FALSE)</f>
        <v>239837</v>
      </c>
      <c r="O13" s="103">
        <f>HLOOKUP(VLOOKUP(E13,'Date SPV'!$B$4:$F$34,5,FALSE),'Preturi si tarife'!$C$2:$J$39,B13+2,FALSE)*10000</f>
        <v>0</v>
      </c>
      <c r="Q13" s="101" t="str">
        <f t="shared" si="3"/>
        <v>One-off</v>
      </c>
      <c r="R13" s="101" t="str">
        <f>VLOOKUP(K13,'Preturi si tarife'!$B$4:$K$39,10,FALSE)</f>
        <v>ICOENG0001</v>
      </c>
      <c r="T13" s="101" t="str">
        <f t="shared" si="4"/>
        <v>INV + 30</v>
      </c>
      <c r="V13" s="101" t="str">
        <f t="shared" si="5"/>
        <v>Active</v>
      </c>
      <c r="X13" s="101" t="str">
        <f t="shared" si="6"/>
        <v>One-off</v>
      </c>
      <c r="AC13" s="101" t="str">
        <f t="shared" si="7"/>
        <v>RON</v>
      </c>
      <c r="AD13" s="101">
        <f t="shared" si="8"/>
        <v>10000</v>
      </c>
    </row>
    <row r="14" spans="1:31">
      <c r="A14" s="101">
        <f t="shared" si="2"/>
        <v>1</v>
      </c>
      <c r="B14" s="101">
        <f t="shared" si="9"/>
        <v>13</v>
      </c>
      <c r="C14" s="101" t="str">
        <f t="shared" si="1"/>
        <v>T13</v>
      </c>
      <c r="D14" s="101" t="str">
        <f>IF(A14&lt;&gt;A13,VLOOKUP(A14,'Date SPV'!$A:$D,4,FALSE),D13)</f>
        <v>Ramnicu Valcea Shopping City SRL</v>
      </c>
      <c r="E14" s="101" t="str">
        <f>VLOOKUP(A14,'Date SPV'!$A$4:$B$34,2,FALSE)</f>
        <v>RRVS</v>
      </c>
      <c r="H14" s="105" t="s">
        <v>894</v>
      </c>
      <c r="K14" s="101" t="str">
        <f>VLOOKUP(C14,'Preturi si tarife'!$A$4:$B$39,2,FALSE)</f>
        <v>Tarif distributie SDI MT</v>
      </c>
      <c r="L14" s="102">
        <f>IF(B14=1,'Date masura OD'!$I$5,IF(B14=19,'Date masura OD'!$AK$5,L13))</f>
        <v>45778</v>
      </c>
      <c r="M14" s="102">
        <f>IF(B14=1,'Date masura OD'!$J$5,IF(B14=19,'Date masura OD'!$AL$5,M13))</f>
        <v>45808</v>
      </c>
      <c r="N14" s="104">
        <f>VLOOKUP(E14,verificare!$AR$4:$CC$33,B14+2,FALSE)</f>
        <v>239837</v>
      </c>
      <c r="O14" s="103">
        <f>HLOOKUP(VLOOKUP(E14,'Date SPV'!$B$4:$F$34,5,FALSE),'Preturi si tarife'!$C$2:$J$39,B14+2,FALSE)*10000</f>
        <v>170</v>
      </c>
      <c r="Q14" s="101" t="str">
        <f t="shared" si="3"/>
        <v>One-off</v>
      </c>
      <c r="R14" s="101" t="str">
        <f>VLOOKUP(K14,'Preturi si tarife'!$B$4:$K$39,10,FALSE)</f>
        <v>ICOENG0010</v>
      </c>
      <c r="T14" s="101" t="str">
        <f t="shared" si="4"/>
        <v>INV + 30</v>
      </c>
      <c r="V14" s="101" t="str">
        <f t="shared" si="5"/>
        <v>Active</v>
      </c>
      <c r="X14" s="101" t="str">
        <f t="shared" si="6"/>
        <v>One-off</v>
      </c>
      <c r="AC14" s="101" t="str">
        <f t="shared" si="7"/>
        <v>RON</v>
      </c>
      <c r="AD14" s="101">
        <f t="shared" si="8"/>
        <v>10000</v>
      </c>
    </row>
    <row r="15" spans="1:31">
      <c r="A15" s="101">
        <f t="shared" si="2"/>
        <v>1</v>
      </c>
      <c r="B15" s="101">
        <f t="shared" si="9"/>
        <v>14</v>
      </c>
      <c r="C15" s="101" t="str">
        <f t="shared" si="1"/>
        <v>T14</v>
      </c>
      <c r="D15" s="101" t="str">
        <f>IF(A15&lt;&gt;A14,VLOOKUP(A15,'Date SPV'!$A:$D,4,FALSE),D14)</f>
        <v>Ramnicu Valcea Shopping City SRL</v>
      </c>
      <c r="E15" s="101" t="str">
        <f>VLOOKUP(A15,'Date SPV'!$A$4:$B$34,2,FALSE)</f>
        <v>RRVS</v>
      </c>
      <c r="H15" s="105" t="s">
        <v>894</v>
      </c>
      <c r="K15" s="101" t="str">
        <f>VLOOKUP(C15,'Preturi si tarife'!$A$4:$B$39,2,FALSE)</f>
        <v>Tarif distributie SDI JT</v>
      </c>
      <c r="L15" s="102">
        <f>IF(B15=1,'Date masura OD'!$I$5,IF(B15=19,'Date masura OD'!$AK$5,L14))</f>
        <v>45778</v>
      </c>
      <c r="M15" s="102">
        <f>IF(B15=1,'Date masura OD'!$J$5,IF(B15=19,'Date masura OD'!$AL$5,M14))</f>
        <v>45808</v>
      </c>
      <c r="N15" s="104">
        <f>VLOOKUP(E15,verificare!$AR$4:$CC$33,B15+2,FALSE)</f>
        <v>239837</v>
      </c>
      <c r="O15" s="103">
        <f>HLOOKUP(VLOOKUP(E15,'Date SPV'!$B$4:$F$34,5,FALSE),'Preturi si tarife'!$C$2:$J$39,B15+2,FALSE)*10000</f>
        <v>1029</v>
      </c>
      <c r="Q15" s="101" t="str">
        <f t="shared" si="3"/>
        <v>One-off</v>
      </c>
      <c r="R15" s="101" t="str">
        <f>VLOOKUP(K15,'Preturi si tarife'!$B$4:$K$39,10,FALSE)</f>
        <v>ICOENG0010</v>
      </c>
      <c r="T15" s="101" t="str">
        <f t="shared" si="4"/>
        <v>INV + 30</v>
      </c>
      <c r="V15" s="101" t="str">
        <f t="shared" si="5"/>
        <v>Active</v>
      </c>
      <c r="X15" s="101" t="str">
        <f t="shared" si="6"/>
        <v>One-off</v>
      </c>
      <c r="AC15" s="101" t="str">
        <f t="shared" si="7"/>
        <v>RON</v>
      </c>
      <c r="AD15" s="101">
        <f t="shared" si="8"/>
        <v>10000</v>
      </c>
    </row>
    <row r="16" spans="1:31">
      <c r="A16" s="101">
        <f t="shared" si="2"/>
        <v>1</v>
      </c>
      <c r="B16" s="101">
        <f t="shared" si="9"/>
        <v>15</v>
      </c>
      <c r="C16" s="101" t="str">
        <f t="shared" si="1"/>
        <v>T15</v>
      </c>
      <c r="D16" s="101" t="str">
        <f>IF(A16&lt;&gt;A15,VLOOKUP(A16,'Date SPV'!$A:$D,4,FALSE),D15)</f>
        <v>Ramnicu Valcea Shopping City SRL</v>
      </c>
      <c r="E16" s="101" t="str">
        <f>VLOOKUP(A16,'Date SPV'!$A$4:$B$34,2,FALSE)</f>
        <v>RRVS</v>
      </c>
      <c r="H16" s="105" t="s">
        <v>894</v>
      </c>
      <c r="K16" s="101" t="str">
        <f>VLOOKUP(C16,'Preturi si tarife'!$A$4:$B$39,2,FALSE)</f>
        <v>Energie activa 2</v>
      </c>
      <c r="L16" s="102">
        <f>IF(B16=1,'Date masura OD'!$I$5,IF(B16=19,'Date masura OD'!$AK$5,L15))</f>
        <v>45778</v>
      </c>
      <c r="M16" s="102">
        <f>IF(B16=1,'Date masura OD'!$J$5,IF(B16=19,'Date masura OD'!$AL$5,M15))</f>
        <v>45808</v>
      </c>
      <c r="N16" s="104">
        <f>VLOOKUP(E16,verificare!$AR$4:$CC$33,B16+2,FALSE)</f>
        <v>93266</v>
      </c>
      <c r="O16" s="103">
        <f>HLOOKUP(VLOOKUP(E16,'Date SPV'!$B$4:$F$34,5,FALSE),'Preturi si tarife'!$C$2:$J$39,B16+2,FALSE)*10000</f>
        <v>9751.1759999999995</v>
      </c>
      <c r="Q16" s="101" t="str">
        <f t="shared" si="3"/>
        <v>One-off</v>
      </c>
      <c r="R16" s="101" t="str">
        <f>VLOOKUP(K16,'Preturi si tarife'!$B$4:$K$39,10,FALSE)</f>
        <v>ICOENG0012</v>
      </c>
      <c r="T16" s="101" t="str">
        <f t="shared" si="4"/>
        <v>INV + 30</v>
      </c>
      <c r="V16" s="101" t="str">
        <f t="shared" si="5"/>
        <v>Active</v>
      </c>
      <c r="X16" s="101" t="str">
        <f t="shared" si="6"/>
        <v>One-off</v>
      </c>
      <c r="AC16" s="101" t="str">
        <f t="shared" si="7"/>
        <v>RON</v>
      </c>
      <c r="AD16" s="101">
        <f t="shared" si="8"/>
        <v>10000</v>
      </c>
    </row>
    <row r="17" spans="1:30">
      <c r="A17" s="101">
        <f t="shared" si="2"/>
        <v>1</v>
      </c>
      <c r="B17" s="101">
        <f t="shared" si="9"/>
        <v>16</v>
      </c>
      <c r="C17" s="101" t="str">
        <f t="shared" si="1"/>
        <v>T16</v>
      </c>
      <c r="D17" s="101" t="str">
        <f>IF(A17&lt;&gt;A16,VLOOKUP(A17,'Date SPV'!$A:$D,4,FALSE),D16)</f>
        <v>Ramnicu Valcea Shopping City SRL</v>
      </c>
      <c r="E17" s="101" t="str">
        <f>VLOOKUP(A17,'Date SPV'!$A$4:$B$34,2,FALSE)</f>
        <v>RRVS</v>
      </c>
      <c r="H17" s="105" t="s">
        <v>894</v>
      </c>
      <c r="K17" s="101" t="str">
        <f>VLOOKUP(C17,'Preturi si tarife'!$A$4:$B$39,2,FALSE)</f>
        <v>Energie activa 3</v>
      </c>
      <c r="L17" s="102">
        <f>IF(B17=1,'Date masura OD'!$I$5,IF(B17=19,'Date masura OD'!$AK$5,L16))</f>
        <v>45778</v>
      </c>
      <c r="M17" s="102">
        <f>IF(B17=1,'Date masura OD'!$J$5,IF(B17=19,'Date masura OD'!$AL$5,M16))</f>
        <v>45808</v>
      </c>
      <c r="N17" s="104">
        <f>VLOOKUP(E17,verificare!$AR$4:$CC$33,B17+2,FALSE)</f>
        <v>71431</v>
      </c>
      <c r="O17" s="103">
        <f>HLOOKUP(VLOOKUP(E17,'Date SPV'!$B$4:$F$34,5,FALSE),'Preturi si tarife'!$C$2:$J$39,B17+2,FALSE)*10000</f>
        <v>8552.1759999999995</v>
      </c>
      <c r="Q17" s="101" t="str">
        <f t="shared" si="3"/>
        <v>One-off</v>
      </c>
      <c r="R17" s="101" t="str">
        <f>VLOOKUP(K17,'Preturi si tarife'!$B$4:$K$39,10,FALSE)</f>
        <v>ICOENG0012</v>
      </c>
      <c r="T17" s="101" t="str">
        <f t="shared" si="4"/>
        <v>INV + 30</v>
      </c>
      <c r="V17" s="101" t="str">
        <f t="shared" si="5"/>
        <v>Active</v>
      </c>
      <c r="X17" s="101" t="str">
        <f t="shared" si="6"/>
        <v>One-off</v>
      </c>
      <c r="AC17" s="101" t="str">
        <f t="shared" si="7"/>
        <v>RON</v>
      </c>
      <c r="AD17" s="101">
        <f t="shared" si="8"/>
        <v>10000</v>
      </c>
    </row>
    <row r="18" spans="1:30">
      <c r="A18" s="101">
        <f t="shared" si="2"/>
        <v>1</v>
      </c>
      <c r="B18" s="101">
        <f>IF(A18&lt;&gt;A17,1,B17+1)</f>
        <v>17</v>
      </c>
      <c r="C18" s="101" t="str">
        <f t="shared" si="1"/>
        <v>T17</v>
      </c>
      <c r="D18" s="101" t="str">
        <f>IF(A18&lt;&gt;A17,VLOOKUP(A18,'Date SPV'!$A:$D,4,FALSE),D17)</f>
        <v>Ramnicu Valcea Shopping City SRL</v>
      </c>
      <c r="E18" s="101" t="str">
        <f>VLOOKUP(A18,'Date SPV'!$A$4:$B$34,2,FALSE)</f>
        <v>RRVS</v>
      </c>
      <c r="H18" s="105" t="s">
        <v>894</v>
      </c>
      <c r="K18" s="101" t="str">
        <f>VLOOKUP(C18,'Preturi si tarife'!$A$4:$B$39,2,FALSE)</f>
        <v>Tarif distributie SDI MT_</v>
      </c>
      <c r="L18" s="102">
        <f>IF(B18=1,'Date masura OD'!$I$5,IF(B18=19,'Date masura OD'!$AK$5,L17))</f>
        <v>45778</v>
      </c>
      <c r="M18" s="102">
        <f>IF(B18=1,'Date masura OD'!$J$5,IF(B18=19,'Date masura OD'!$AL$5,M17))</f>
        <v>45808</v>
      </c>
      <c r="N18" s="104">
        <f>VLOOKUP(E18,verificare!$AR$4:$CC$33,B18+2,FALSE)</f>
        <v>71431</v>
      </c>
      <c r="O18" s="103">
        <f>HLOOKUP(VLOOKUP(E18,'Date SPV'!$B$4:$F$34,5,FALSE),'Preturi si tarife'!$C$2:$J$39,B18+2,FALSE)*10000</f>
        <v>170</v>
      </c>
      <c r="Q18" s="101" t="str">
        <f t="shared" si="3"/>
        <v>One-off</v>
      </c>
      <c r="R18" s="101" t="str">
        <f>VLOOKUP(K18,'Preturi si tarife'!$B$4:$K$39,10,FALSE)</f>
        <v>ICOENG0010</v>
      </c>
      <c r="T18" s="101" t="str">
        <f t="shared" si="4"/>
        <v>INV + 30</v>
      </c>
      <c r="V18" s="101" t="str">
        <f t="shared" si="5"/>
        <v>Active</v>
      </c>
      <c r="X18" s="101" t="str">
        <f t="shared" si="6"/>
        <v>One-off</v>
      </c>
      <c r="AC18" s="101" t="str">
        <f t="shared" si="7"/>
        <v>RON</v>
      </c>
      <c r="AD18" s="101">
        <f t="shared" si="8"/>
        <v>10000</v>
      </c>
    </row>
    <row r="19" spans="1:30">
      <c r="A19" s="101">
        <f t="shared" si="2"/>
        <v>1</v>
      </c>
      <c r="B19" s="101">
        <f t="shared" si="9"/>
        <v>18</v>
      </c>
      <c r="C19" s="101" t="str">
        <f t="shared" si="1"/>
        <v>T18</v>
      </c>
      <c r="D19" s="101" t="str">
        <f>IF(A19&lt;&gt;A18,VLOOKUP(A19,'Date SPV'!$A:$D,4,FALSE),D18)</f>
        <v>Ramnicu Valcea Shopping City SRL</v>
      </c>
      <c r="E19" s="101" t="str">
        <f>VLOOKUP(A19,'Date SPV'!$A$4:$B$34,2,FALSE)</f>
        <v>RRVS</v>
      </c>
      <c r="H19" s="105" t="s">
        <v>894</v>
      </c>
      <c r="K19" s="101" t="str">
        <f>VLOOKUP(C19,'Preturi si tarife'!$A$4:$B$39,2,FALSE)</f>
        <v>Tarif distributie SDI JT_</v>
      </c>
      <c r="L19" s="102">
        <f>IF(B19=1,'Date masura OD'!$I$5,IF(B19=19,'Date masura OD'!$AK$5,L18))</f>
        <v>45778</v>
      </c>
      <c r="M19" s="102">
        <f>IF(B19=1,'Date masura OD'!$J$5,IF(B19=19,'Date masura OD'!$AL$5,M18))</f>
        <v>45808</v>
      </c>
      <c r="N19" s="104">
        <f>VLOOKUP(E19,verificare!$AR$4:$CC$33,B19+2,FALSE)</f>
        <v>71431</v>
      </c>
      <c r="O19" s="103">
        <f>HLOOKUP(VLOOKUP(E19,'Date SPV'!$B$4:$F$34,5,FALSE),'Preturi si tarife'!$C$2:$J$39,B19+2,FALSE)*10000</f>
        <v>1029</v>
      </c>
      <c r="Q19" s="101" t="str">
        <f t="shared" si="3"/>
        <v>One-off</v>
      </c>
      <c r="R19" s="101" t="str">
        <f>VLOOKUP(K19,'Preturi si tarife'!$B$4:$K$39,10,FALSE)</f>
        <v>ICOENG0010</v>
      </c>
      <c r="T19" s="101" t="str">
        <f t="shared" si="4"/>
        <v>INV + 30</v>
      </c>
      <c r="V19" s="101" t="str">
        <f t="shared" si="5"/>
        <v>Active</v>
      </c>
      <c r="X19" s="101" t="str">
        <f t="shared" si="6"/>
        <v>One-off</v>
      </c>
      <c r="AC19" s="101" t="str">
        <f t="shared" si="7"/>
        <v>RON</v>
      </c>
      <c r="AD19" s="101">
        <f t="shared" si="8"/>
        <v>10000</v>
      </c>
    </row>
    <row r="20" spans="1:30">
      <c r="A20" s="101">
        <f t="shared" si="2"/>
        <v>1</v>
      </c>
      <c r="B20" s="101">
        <f t="shared" si="9"/>
        <v>19</v>
      </c>
      <c r="C20" s="101" t="str">
        <f t="shared" si="1"/>
        <v>T19</v>
      </c>
      <c r="D20" s="101" t="str">
        <f>IF(A20&lt;&gt;A19,VLOOKUP(A20,'Date SPV'!$A:$D,4,FALSE),D19)</f>
        <v>Ramnicu Valcea Shopping City SRL</v>
      </c>
      <c r="E20" s="101" t="str">
        <f>VLOOKUP(A20,'Date SPV'!$A$4:$B$34,2,FALSE)</f>
        <v>RRVS</v>
      </c>
      <c r="H20" s="105" t="s">
        <v>894</v>
      </c>
      <c r="K20" s="101" t="str">
        <f>VLOOKUP(C20,'Preturi si tarife'!$A$4:$B$39,2,FALSE)</f>
        <v>Regularizare Energie activa 1</v>
      </c>
      <c r="L20" s="102">
        <f>IF(B20=1,'Date masura OD'!$I$5,IF(B20=19,'Date masura OD'!$AK$5,L19))</f>
        <v>45748</v>
      </c>
      <c r="M20" s="102">
        <f>IF(B20=1,'Date masura OD'!$J$5,IF(B20=19,'Date masura OD'!$AL$5,M19))</f>
        <v>45777</v>
      </c>
      <c r="N20" s="104">
        <f>VLOOKUP(E20,verificare!$AR$4:$CC$33,B20+2,FALSE)</f>
        <v>0</v>
      </c>
      <c r="O20" s="103">
        <f>HLOOKUP(VLOOKUP(E20,'Date SPV'!$B$4:$F$34,5,FALSE),'Preturi si tarife'!$C$2:$J$39,B20+2,FALSE)*10000</f>
        <v>5950</v>
      </c>
      <c r="Q20" s="101" t="str">
        <f t="shared" si="3"/>
        <v>One-off</v>
      </c>
      <c r="R20" s="101" t="str">
        <f>VLOOKUP(K20,'Preturi si tarife'!$B$4:$K$39,10,FALSE)</f>
        <v>ICOENG0001</v>
      </c>
      <c r="T20" s="101" t="str">
        <f t="shared" si="4"/>
        <v>INV + 30</v>
      </c>
      <c r="V20" s="101" t="str">
        <f t="shared" si="5"/>
        <v>Active</v>
      </c>
      <c r="X20" s="101" t="str">
        <f t="shared" si="6"/>
        <v>One-off</v>
      </c>
      <c r="AC20" s="101" t="str">
        <f t="shared" si="7"/>
        <v>RON</v>
      </c>
      <c r="AD20" s="101">
        <f t="shared" si="8"/>
        <v>10000</v>
      </c>
    </row>
    <row r="21" spans="1:30">
      <c r="A21" s="101">
        <f t="shared" si="2"/>
        <v>1</v>
      </c>
      <c r="B21" s="101">
        <f t="shared" si="9"/>
        <v>20</v>
      </c>
      <c r="C21" s="101" t="str">
        <f t="shared" si="1"/>
        <v>T20</v>
      </c>
      <c r="D21" s="101" t="str">
        <f>IF(A21&lt;&gt;A20,VLOOKUP(A21,'Date SPV'!$A:$D,4,FALSE),D20)</f>
        <v>Ramnicu Valcea Shopping City SRL</v>
      </c>
      <c r="E21" s="101" t="str">
        <f>VLOOKUP(A21,'Date SPV'!$A$4:$B$34,2,FALSE)</f>
        <v>RRVS</v>
      </c>
      <c r="H21" s="105" t="s">
        <v>894</v>
      </c>
      <c r="K21" s="101" t="str">
        <f>VLOOKUP(C21,'Preturi si tarife'!$A$4:$B$39,2,FALSE)</f>
        <v>Regularizare Energie reactiva  1X</v>
      </c>
      <c r="L21" s="102">
        <f>IF(B21=1,'Date masura OD'!$I$5,IF(B21=19,'Date masura OD'!$AK$5,L20))</f>
        <v>45748</v>
      </c>
      <c r="M21" s="102">
        <f>IF(B21=1,'Date masura OD'!$J$5,IF(B21=19,'Date masura OD'!$AL$5,M20))</f>
        <v>45777</v>
      </c>
      <c r="N21" s="104">
        <f>VLOOKUP(E21,verificare!$AR$4:$CC$33,B21+2,FALSE)</f>
        <v>1880</v>
      </c>
      <c r="O21" s="103">
        <f>HLOOKUP(VLOOKUP(E21,'Date SPV'!$B$4:$F$34,5,FALSE),'Preturi si tarife'!$C$2:$J$39,B21+2,FALSE)*10000</f>
        <v>1465</v>
      </c>
      <c r="Q21" s="101" t="str">
        <f t="shared" si="3"/>
        <v>One-off</v>
      </c>
      <c r="R21" s="101" t="str">
        <f>VLOOKUP(K21,'Preturi si tarife'!$B$4:$K$39,10,FALSE)</f>
        <v>ICOENG0001</v>
      </c>
      <c r="T21" s="101" t="str">
        <f t="shared" si="4"/>
        <v>INV + 30</v>
      </c>
      <c r="V21" s="101" t="str">
        <f t="shared" si="5"/>
        <v>Active</v>
      </c>
      <c r="X21" s="101" t="str">
        <f t="shared" si="6"/>
        <v>One-off</v>
      </c>
      <c r="AC21" s="101" t="str">
        <f t="shared" si="7"/>
        <v>RON</v>
      </c>
      <c r="AD21" s="101">
        <f t="shared" si="8"/>
        <v>10000</v>
      </c>
    </row>
    <row r="22" spans="1:30">
      <c r="A22" s="101">
        <f t="shared" si="2"/>
        <v>1</v>
      </c>
      <c r="B22" s="101">
        <f t="shared" si="9"/>
        <v>21</v>
      </c>
      <c r="C22" s="101" t="str">
        <f t="shared" si="1"/>
        <v>T21</v>
      </c>
      <c r="D22" s="101" t="str">
        <f>IF(A22&lt;&gt;A21,VLOOKUP(A22,'Date SPV'!$A:$D,4,FALSE),D21)</f>
        <v>Ramnicu Valcea Shopping City SRL</v>
      </c>
      <c r="E22" s="101" t="str">
        <f>VLOOKUP(A22,'Date SPV'!$A$4:$B$34,2,FALSE)</f>
        <v>RRVS</v>
      </c>
      <c r="H22" s="105" t="s">
        <v>894</v>
      </c>
      <c r="K22" s="101" t="str">
        <f>VLOOKUP(C22,'Preturi si tarife'!$A$4:$B$39,2,FALSE)</f>
        <v>Regularizare Energie reactiva  3X</v>
      </c>
      <c r="L22" s="102">
        <f>IF(B22=1,'Date masura OD'!$I$5,IF(B22=19,'Date masura OD'!$AK$5,L21))</f>
        <v>45748</v>
      </c>
      <c r="M22" s="102">
        <f>IF(B22=1,'Date masura OD'!$J$5,IF(B22=19,'Date masura OD'!$AL$5,M21))</f>
        <v>45777</v>
      </c>
      <c r="N22" s="104">
        <f>VLOOKUP(E22,verificare!$AR$4:$CC$33,B22+2,FALSE)</f>
        <v>7970</v>
      </c>
      <c r="O22" s="103">
        <f>HLOOKUP(VLOOKUP(E22,'Date SPV'!$B$4:$F$34,5,FALSE),'Preturi si tarife'!$C$2:$J$39,B22+2,FALSE)*10000</f>
        <v>4395</v>
      </c>
      <c r="Q22" s="101" t="str">
        <f t="shared" si="3"/>
        <v>One-off</v>
      </c>
      <c r="R22" s="101" t="str">
        <f>VLOOKUP(K22,'Preturi si tarife'!$B$4:$K$39,10,FALSE)</f>
        <v>ICOENG0001</v>
      </c>
      <c r="T22" s="101" t="str">
        <f t="shared" si="4"/>
        <v>INV + 30</v>
      </c>
      <c r="V22" s="101" t="str">
        <f t="shared" si="5"/>
        <v>Active</v>
      </c>
      <c r="X22" s="101" t="str">
        <f t="shared" si="6"/>
        <v>One-off</v>
      </c>
      <c r="AC22" s="101" t="str">
        <f t="shared" si="7"/>
        <v>RON</v>
      </c>
      <c r="AD22" s="101">
        <f t="shared" si="8"/>
        <v>10000</v>
      </c>
    </row>
    <row r="23" spans="1:30">
      <c r="A23" s="101">
        <f t="shared" si="2"/>
        <v>1</v>
      </c>
      <c r="B23" s="101">
        <f t="shared" si="9"/>
        <v>22</v>
      </c>
      <c r="C23" s="101" t="str">
        <f t="shared" si="1"/>
        <v>T22</v>
      </c>
      <c r="D23" s="101" t="str">
        <f>IF(A23&lt;&gt;A22,VLOOKUP(A23,'Date SPV'!$A:$D,4,FALSE),D22)</f>
        <v>Ramnicu Valcea Shopping City SRL</v>
      </c>
      <c r="E23" s="101" t="str">
        <f>VLOOKUP(A23,'Date SPV'!$A$4:$B$34,2,FALSE)</f>
        <v>RRVS</v>
      </c>
      <c r="H23" s="105" t="s">
        <v>894</v>
      </c>
      <c r="K23" s="101" t="str">
        <f>VLOOKUP(C23,'Preturi si tarife'!$A$4:$B$39,2,FALSE)</f>
        <v>Regularizare Tarife distributie en. El IT+MT</v>
      </c>
      <c r="L23" s="102">
        <f>IF(B23=1,'Date masura OD'!$I$5,IF(B23=19,'Date masura OD'!$AK$5,L22))</f>
        <v>45748</v>
      </c>
      <c r="M23" s="102">
        <f>IF(B23=1,'Date masura OD'!$J$5,IF(B23=19,'Date masura OD'!$AL$5,M22))</f>
        <v>45777</v>
      </c>
      <c r="N23" s="104">
        <f>VLOOKUP(E23,verificare!$AR$4:$CC$33,B23+2,FALSE)</f>
        <v>0</v>
      </c>
      <c r="O23" s="103">
        <f>HLOOKUP(VLOOKUP(E23,'Date SPV'!$B$4:$F$34,5,FALSE),'Preturi si tarife'!$C$2:$J$39,B23+2,FALSE)*10000</f>
        <v>1361.3999999999999</v>
      </c>
      <c r="Q23" s="101" t="str">
        <f t="shared" si="3"/>
        <v>One-off</v>
      </c>
      <c r="R23" s="101" t="str">
        <f>VLOOKUP(K23,'Preturi si tarife'!$B$4:$K$39,10,FALSE)</f>
        <v>ICOENG0001</v>
      </c>
      <c r="T23" s="101" t="str">
        <f t="shared" si="4"/>
        <v>INV + 30</v>
      </c>
      <c r="V23" s="101" t="str">
        <f t="shared" si="5"/>
        <v>Active</v>
      </c>
      <c r="X23" s="101" t="str">
        <f t="shared" si="6"/>
        <v>One-off</v>
      </c>
      <c r="AC23" s="101" t="str">
        <f t="shared" si="7"/>
        <v>RON</v>
      </c>
      <c r="AD23" s="101">
        <f t="shared" si="8"/>
        <v>10000</v>
      </c>
    </row>
    <row r="24" spans="1:30">
      <c r="A24" s="101">
        <f t="shared" si="2"/>
        <v>1</v>
      </c>
      <c r="B24" s="101">
        <f t="shared" si="9"/>
        <v>23</v>
      </c>
      <c r="C24" s="101" t="str">
        <f t="shared" si="1"/>
        <v>T23</v>
      </c>
      <c r="D24" s="101" t="str">
        <f>IF(A24&lt;&gt;A23,VLOOKUP(A24,'Date SPV'!$A:$D,4,FALSE),D23)</f>
        <v>Ramnicu Valcea Shopping City SRL</v>
      </c>
      <c r="E24" s="101" t="str">
        <f>VLOOKUP(A24,'Date SPV'!$A$4:$B$34,2,FALSE)</f>
        <v>RRVS</v>
      </c>
      <c r="H24" s="105" t="s">
        <v>894</v>
      </c>
      <c r="K24" s="101" t="str">
        <f>VLOOKUP(C24,'Preturi si tarife'!$A$4:$B$39,2,FALSE)</f>
        <v>Regularizare Tarife distributie en. El JT</v>
      </c>
      <c r="L24" s="102">
        <f>IF(B24=1,'Date masura OD'!$I$5,IF(B24=19,'Date masura OD'!$AK$5,L23))</f>
        <v>45748</v>
      </c>
      <c r="M24" s="102">
        <f>IF(B24=1,'Date masura OD'!$J$5,IF(B24=19,'Date masura OD'!$AL$5,M23))</f>
        <v>45777</v>
      </c>
      <c r="N24" s="104">
        <f>VLOOKUP(E24,verificare!$AR$4:$CC$33,B24+2,FALSE)</f>
        <v>0</v>
      </c>
      <c r="O24" s="103">
        <f>HLOOKUP(VLOOKUP(E24,'Date SPV'!$B$4:$F$34,5,FALSE),'Preturi si tarife'!$C$2:$J$39,B24+2,FALSE)*10000</f>
        <v>2273.8999999999996</v>
      </c>
      <c r="Q24" s="101" t="str">
        <f t="shared" si="3"/>
        <v>One-off</v>
      </c>
      <c r="R24" s="101" t="str">
        <f>VLOOKUP(K24,'Preturi si tarife'!$B$4:$K$39,10,FALSE)</f>
        <v>ICOENG0001</v>
      </c>
      <c r="T24" s="101" t="str">
        <f t="shared" si="4"/>
        <v>INV + 30</v>
      </c>
      <c r="V24" s="101" t="str">
        <f t="shared" si="5"/>
        <v>Active</v>
      </c>
      <c r="X24" s="101" t="str">
        <f t="shared" si="6"/>
        <v>One-off</v>
      </c>
      <c r="AC24" s="101" t="str">
        <f t="shared" si="7"/>
        <v>RON</v>
      </c>
      <c r="AD24" s="101">
        <f t="shared" si="8"/>
        <v>10000</v>
      </c>
    </row>
    <row r="25" spans="1:30">
      <c r="A25" s="101">
        <f t="shared" si="2"/>
        <v>1</v>
      </c>
      <c r="B25" s="101">
        <f t="shared" si="9"/>
        <v>24</v>
      </c>
      <c r="C25" s="101" t="str">
        <f t="shared" si="1"/>
        <v>T24</v>
      </c>
      <c r="D25" s="101" t="str">
        <f>IF(A25&lt;&gt;A24,VLOOKUP(A25,'Date SPV'!$A:$D,4,FALSE),D24)</f>
        <v>Ramnicu Valcea Shopping City SRL</v>
      </c>
      <c r="E25" s="101" t="str">
        <f>VLOOKUP(A25,'Date SPV'!$A$4:$B$34,2,FALSE)</f>
        <v>RRVS</v>
      </c>
      <c r="H25" s="105" t="s">
        <v>894</v>
      </c>
      <c r="K25" s="101" t="str">
        <f>VLOOKUP(C25,'Preturi si tarife'!$A$4:$B$39,2,FALSE)</f>
        <v xml:space="preserve">Regularizare Servicii Sistem </v>
      </c>
      <c r="L25" s="102">
        <f>IF(B25=1,'Date masura OD'!$I$5,IF(B25=19,'Date masura OD'!$AK$5,L24))</f>
        <v>45748</v>
      </c>
      <c r="M25" s="102">
        <f>IF(B25=1,'Date masura OD'!$J$5,IF(B25=19,'Date masura OD'!$AL$5,M24))</f>
        <v>45777</v>
      </c>
      <c r="N25" s="104">
        <f>VLOOKUP(E25,verificare!$AR$4:$CC$33,B25+2,FALSE)</f>
        <v>0</v>
      </c>
      <c r="O25" s="103">
        <f>HLOOKUP(VLOOKUP(E25,'Date SPV'!$B$4:$F$34,5,FALSE),'Preturi si tarife'!$C$2:$J$39,B25+2,FALSE)*10000</f>
        <v>115.1</v>
      </c>
      <c r="Q25" s="101" t="str">
        <f t="shared" si="3"/>
        <v>One-off</v>
      </c>
      <c r="R25" s="101" t="str">
        <f>VLOOKUP(K25,'Preturi si tarife'!$B$4:$K$39,10,FALSE)</f>
        <v>ICOENG0001</v>
      </c>
      <c r="T25" s="101" t="str">
        <f t="shared" si="4"/>
        <v>INV + 30</v>
      </c>
      <c r="V25" s="101" t="str">
        <f t="shared" si="5"/>
        <v>Active</v>
      </c>
      <c r="X25" s="101" t="str">
        <f t="shared" si="6"/>
        <v>One-off</v>
      </c>
      <c r="AC25" s="101" t="str">
        <f t="shared" si="7"/>
        <v>RON</v>
      </c>
      <c r="AD25" s="101">
        <f t="shared" si="8"/>
        <v>10000</v>
      </c>
    </row>
    <row r="26" spans="1:30">
      <c r="A26" s="101">
        <f t="shared" si="2"/>
        <v>1</v>
      </c>
      <c r="B26" s="101">
        <f t="shared" si="9"/>
        <v>25</v>
      </c>
      <c r="C26" s="101" t="str">
        <f t="shared" si="1"/>
        <v>T25</v>
      </c>
      <c r="D26" s="101" t="str">
        <f>IF(A26&lt;&gt;A25,VLOOKUP(A26,'Date SPV'!$A:$D,4,FALSE),D25)</f>
        <v>Ramnicu Valcea Shopping City SRL</v>
      </c>
      <c r="E26" s="101" t="str">
        <f>VLOOKUP(A26,'Date SPV'!$A$4:$B$34,2,FALSE)</f>
        <v>RRVS</v>
      </c>
      <c r="H26" s="105" t="s">
        <v>894</v>
      </c>
      <c r="K26" s="101" t="str">
        <f>VLOOKUP(C26,'Preturi si tarife'!$A$4:$B$39,2,FALSE)</f>
        <v>Regularizare Tarif de introducere en. el in retea (TL)</v>
      </c>
      <c r="L26" s="102">
        <f>IF(B26=1,'Date masura OD'!$I$5,IF(B26=19,'Date masura OD'!$AK$5,L25))</f>
        <v>45748</v>
      </c>
      <c r="M26" s="102">
        <f>IF(B26=1,'Date masura OD'!$J$5,IF(B26=19,'Date masura OD'!$AL$5,M25))</f>
        <v>45777</v>
      </c>
      <c r="N26" s="104">
        <f>VLOOKUP(E26,verificare!$AR$4:$CC$33,B26+2,FALSE)</f>
        <v>0</v>
      </c>
      <c r="O26" s="103">
        <f>HLOOKUP(VLOOKUP(E26,'Date SPV'!$B$4:$F$34,5,FALSE),'Preturi si tarife'!$C$2:$J$39,B26+2,FALSE)*10000</f>
        <v>330.3</v>
      </c>
      <c r="Q26" s="101" t="str">
        <f t="shared" si="3"/>
        <v>One-off</v>
      </c>
      <c r="R26" s="101" t="str">
        <f>VLOOKUP(K26,'Preturi si tarife'!$B$4:$K$39,10,FALSE)</f>
        <v>ICOENG0001</v>
      </c>
      <c r="T26" s="101" t="str">
        <f t="shared" si="4"/>
        <v>INV + 30</v>
      </c>
      <c r="V26" s="101" t="str">
        <f t="shared" si="5"/>
        <v>Active</v>
      </c>
      <c r="X26" s="101" t="str">
        <f t="shared" si="6"/>
        <v>One-off</v>
      </c>
      <c r="AC26" s="101" t="str">
        <f t="shared" si="7"/>
        <v>RON</v>
      </c>
      <c r="AD26" s="101">
        <f t="shared" si="8"/>
        <v>10000</v>
      </c>
    </row>
    <row r="27" spans="1:30">
      <c r="A27" s="101">
        <f t="shared" si="2"/>
        <v>1</v>
      </c>
      <c r="B27" s="101">
        <f t="shared" si="9"/>
        <v>26</v>
      </c>
      <c r="C27" s="101" t="str">
        <f t="shared" si="1"/>
        <v>T26</v>
      </c>
      <c r="D27" s="101" t="str">
        <f>IF(A27&lt;&gt;A26,VLOOKUP(A27,'Date SPV'!$A:$D,4,FALSE),D26)</f>
        <v>Ramnicu Valcea Shopping City SRL</v>
      </c>
      <c r="E27" s="101" t="str">
        <f>VLOOKUP(A27,'Date SPV'!$A$4:$B$34,2,FALSE)</f>
        <v>RRVS</v>
      </c>
      <c r="H27" s="105" t="s">
        <v>894</v>
      </c>
      <c r="K27" s="101" t="str">
        <f>VLOOKUP(C27,'Preturi si tarife'!$A$4:$B$39,2,FALSE)</f>
        <v>Regularizare Tarif de introducere en.el in retea (TG)</v>
      </c>
      <c r="L27" s="102">
        <f>IF(B27=1,'Date masura OD'!$I$5,IF(B27=19,'Date masura OD'!$AK$5,L26))</f>
        <v>45748</v>
      </c>
      <c r="M27" s="102">
        <f>IF(B27=1,'Date masura OD'!$J$5,IF(B27=19,'Date masura OD'!$AL$5,M26))</f>
        <v>45777</v>
      </c>
      <c r="N27" s="104">
        <f>VLOOKUP(E27,verificare!$AR$4:$CC$33,B27+2,FALSE)</f>
        <v>0</v>
      </c>
      <c r="O27" s="103">
        <f>HLOOKUP(VLOOKUP(E27,'Date SPV'!$B$4:$F$34,5,FALSE),'Preturi si tarife'!$C$2:$J$39,B27+2,FALSE)*10000</f>
        <v>32.9</v>
      </c>
      <c r="Q27" s="101" t="str">
        <f t="shared" si="3"/>
        <v>One-off</v>
      </c>
      <c r="R27" s="101" t="str">
        <f>VLOOKUP(K27,'Preturi si tarife'!$B$4:$K$39,10,FALSE)</f>
        <v>ICOENG0001</v>
      </c>
      <c r="T27" s="101" t="str">
        <f t="shared" si="4"/>
        <v>INV + 30</v>
      </c>
      <c r="V27" s="101" t="str">
        <f t="shared" si="5"/>
        <v>Active</v>
      </c>
      <c r="X27" s="101" t="str">
        <f t="shared" si="6"/>
        <v>One-off</v>
      </c>
      <c r="AC27" s="101" t="str">
        <f t="shared" si="7"/>
        <v>RON</v>
      </c>
      <c r="AD27" s="101">
        <f t="shared" si="8"/>
        <v>10000</v>
      </c>
    </row>
    <row r="28" spans="1:30">
      <c r="A28" s="101">
        <f t="shared" si="2"/>
        <v>1</v>
      </c>
      <c r="B28" s="101">
        <f t="shared" ref="B28:B91" si="10">IF(A28&lt;&gt;A27,1,B27+1)</f>
        <v>27</v>
      </c>
      <c r="C28" s="101" t="str">
        <f t="shared" si="1"/>
        <v>T27</v>
      </c>
      <c r="D28" s="101" t="str">
        <f>IF(A28&lt;&gt;A27,VLOOKUP(A28,'Date SPV'!$A:$D,4,FALSE),D27)</f>
        <v>Ramnicu Valcea Shopping City SRL</v>
      </c>
      <c r="E28" s="101" t="str">
        <f>VLOOKUP(A28,'Date SPV'!$A$4:$B$34,2,FALSE)</f>
        <v>RRVS</v>
      </c>
      <c r="H28" s="105" t="s">
        <v>894</v>
      </c>
      <c r="K28" s="101" t="str">
        <f>VLOOKUP(C28,'Preturi si tarife'!$A$4:$B$39,2,FALSE)</f>
        <v>Regularizare Contributie pentru cogenerare</v>
      </c>
      <c r="L28" s="102">
        <f>IF(B28=1,'Date masura OD'!$I$5,IF(B28=19,'Date masura OD'!$AK$5,L27))</f>
        <v>45748</v>
      </c>
      <c r="M28" s="102">
        <f>IF(B28=1,'Date masura OD'!$J$5,IF(B28=19,'Date masura OD'!$AL$5,M27))</f>
        <v>45777</v>
      </c>
      <c r="N28" s="104">
        <f>VLOOKUP(E28,verificare!$AR$4:$CC$33,B28+2,FALSE)</f>
        <v>0</v>
      </c>
      <c r="O28" s="103">
        <f>HLOOKUP(VLOOKUP(E28,'Date SPV'!$B$4:$F$34,5,FALSE),'Preturi si tarife'!$C$2:$J$39,B28+2,FALSE)*10000</f>
        <v>35</v>
      </c>
      <c r="Q28" s="101" t="str">
        <f t="shared" si="3"/>
        <v>One-off</v>
      </c>
      <c r="R28" s="101" t="str">
        <f>VLOOKUP(K28,'Preturi si tarife'!$B$4:$K$39,10,FALSE)</f>
        <v>ICOENG0001</v>
      </c>
      <c r="T28" s="101" t="str">
        <f t="shared" si="4"/>
        <v>INV + 30</v>
      </c>
      <c r="V28" s="101" t="str">
        <f t="shared" si="5"/>
        <v>Active</v>
      </c>
      <c r="X28" s="101" t="str">
        <f t="shared" si="6"/>
        <v>One-off</v>
      </c>
      <c r="AC28" s="101" t="str">
        <f t="shared" si="7"/>
        <v>RON</v>
      </c>
      <c r="AD28" s="101">
        <f t="shared" si="8"/>
        <v>10000</v>
      </c>
    </row>
    <row r="29" spans="1:30">
      <c r="A29" s="101">
        <f t="shared" si="2"/>
        <v>1</v>
      </c>
      <c r="B29" s="101">
        <f t="shared" si="10"/>
        <v>28</v>
      </c>
      <c r="C29" s="101" t="str">
        <f t="shared" si="1"/>
        <v>T28</v>
      </c>
      <c r="D29" s="101" t="str">
        <f>IF(A29&lt;&gt;A28,VLOOKUP(A29,'Date SPV'!$A:$D,4,FALSE),D28)</f>
        <v>Ramnicu Valcea Shopping City SRL</v>
      </c>
      <c r="E29" s="101" t="str">
        <f>VLOOKUP(A29,'Date SPV'!$A$4:$B$34,2,FALSE)</f>
        <v>RRVS</v>
      </c>
      <c r="H29" s="105" t="s">
        <v>894</v>
      </c>
      <c r="K29" s="101" t="str">
        <f>VLOOKUP(C29,'Preturi si tarife'!$A$4:$B$39,2,FALSE)</f>
        <v xml:space="preserve">Regularizare Certificate verzi </v>
      </c>
      <c r="L29" s="102">
        <f>IF(B29=1,'Date masura OD'!$I$5,IF(B29=19,'Date masura OD'!$AK$5,L28))</f>
        <v>45748</v>
      </c>
      <c r="M29" s="102">
        <f>IF(B29=1,'Date masura OD'!$J$5,IF(B29=19,'Date masura OD'!$AL$5,M28))</f>
        <v>45777</v>
      </c>
      <c r="N29" s="104">
        <f>VLOOKUP(E29,verificare!$AR$4:$CC$33,B29+2,FALSE)</f>
        <v>0</v>
      </c>
      <c r="O29" s="103">
        <f>HLOOKUP(VLOOKUP(E29,'Date SPV'!$B$4:$F$34,5,FALSE),'Preturi si tarife'!$C$2:$J$39,B29+2,FALSE)*10000</f>
        <v>725.41599999999994</v>
      </c>
      <c r="Q29" s="101" t="str">
        <f t="shared" si="3"/>
        <v>One-off</v>
      </c>
      <c r="R29" s="101" t="str">
        <f>VLOOKUP(K29,'Preturi si tarife'!$B$4:$K$39,10,FALSE)</f>
        <v>ICOENG0001</v>
      </c>
      <c r="T29" s="101" t="str">
        <f t="shared" si="4"/>
        <v>INV + 30</v>
      </c>
      <c r="V29" s="101" t="str">
        <f t="shared" si="5"/>
        <v>Active</v>
      </c>
      <c r="X29" s="101" t="str">
        <f t="shared" si="6"/>
        <v>One-off</v>
      </c>
      <c r="AC29" s="101" t="str">
        <f t="shared" si="7"/>
        <v>RON</v>
      </c>
      <c r="AD29" s="101">
        <f t="shared" si="8"/>
        <v>10000</v>
      </c>
    </row>
    <row r="30" spans="1:30">
      <c r="A30" s="101">
        <f t="shared" si="2"/>
        <v>1</v>
      </c>
      <c r="B30" s="101">
        <f t="shared" si="10"/>
        <v>29</v>
      </c>
      <c r="C30" s="101" t="str">
        <f t="shared" si="1"/>
        <v>T29</v>
      </c>
      <c r="D30" s="101" t="str">
        <f>IF(A30&lt;&gt;A29,VLOOKUP(A30,'Date SPV'!$A:$D,4,FALSE),D29)</f>
        <v>Ramnicu Valcea Shopping City SRL</v>
      </c>
      <c r="E30" s="101" t="str">
        <f>VLOOKUP(A30,'Date SPV'!$A$4:$B$34,2,FALSE)</f>
        <v>RRVS</v>
      </c>
      <c r="H30" s="105" t="s">
        <v>894</v>
      </c>
      <c r="K30" s="101" t="str">
        <f>VLOOKUP(C30,'Preturi si tarife'!$A$4:$B$39,2,FALSE)</f>
        <v>Regularizare Contributie CFD</v>
      </c>
      <c r="L30" s="102">
        <f>IF(B30=1,'Date masura OD'!$I$5,IF(B30=19,'Date masura OD'!$AK$5,L29))</f>
        <v>45748</v>
      </c>
      <c r="M30" s="102">
        <f>IF(B30=1,'Date masura OD'!$J$5,IF(B30=19,'Date masura OD'!$AL$5,M29))</f>
        <v>45777</v>
      </c>
      <c r="N30" s="104">
        <f>VLOOKUP(E30,verificare!$AR$4:$CC$33,B30+2,FALSE)</f>
        <v>0</v>
      </c>
      <c r="O30" s="103">
        <f>HLOOKUP(VLOOKUP(E30,'Date SPV'!$B$4:$F$34,5,FALSE),'Preturi si tarife'!$C$2:$J$39,B30+2,FALSE)*10000</f>
        <v>2.06</v>
      </c>
      <c r="Q30" s="101" t="str">
        <f t="shared" si="3"/>
        <v>One-off</v>
      </c>
      <c r="R30" s="101" t="str">
        <f>VLOOKUP(K30,'Preturi si tarife'!$B$4:$K$39,10,FALSE)</f>
        <v>ICOENG0001</v>
      </c>
      <c r="T30" s="101" t="str">
        <f t="shared" si="4"/>
        <v>INV + 30</v>
      </c>
      <c r="V30" s="101" t="str">
        <f t="shared" si="5"/>
        <v>Active</v>
      </c>
      <c r="X30" s="101" t="str">
        <f t="shared" si="6"/>
        <v>One-off</v>
      </c>
      <c r="AC30" s="101" t="str">
        <f t="shared" si="7"/>
        <v>RON</v>
      </c>
      <c r="AD30" s="101">
        <f t="shared" si="8"/>
        <v>10000</v>
      </c>
    </row>
    <row r="31" spans="1:30">
      <c r="A31" s="101">
        <f t="shared" si="2"/>
        <v>1</v>
      </c>
      <c r="B31" s="101">
        <f t="shared" si="10"/>
        <v>30</v>
      </c>
      <c r="C31" s="101" t="str">
        <f t="shared" si="1"/>
        <v>T30</v>
      </c>
      <c r="D31" s="101" t="str">
        <f>IF(A31&lt;&gt;A30,VLOOKUP(A31,'Date SPV'!$A:$D,4,FALSE),D30)</f>
        <v>Ramnicu Valcea Shopping City SRL</v>
      </c>
      <c r="E31" s="101" t="str">
        <f>VLOOKUP(A31,'Date SPV'!$A$4:$B$34,2,FALSE)</f>
        <v>RRVS</v>
      </c>
      <c r="H31" s="105" t="s">
        <v>894</v>
      </c>
      <c r="K31" s="101" t="str">
        <f>VLOOKUP(C31,'Preturi si tarife'!$A$4:$B$39,2,FALSE)</f>
        <v>Regularizare Acciza</v>
      </c>
      <c r="L31" s="102">
        <f>IF(B31=1,'Date masura OD'!$I$5,IF(B31=19,'Date masura OD'!$AK$5,L30))</f>
        <v>45748</v>
      </c>
      <c r="M31" s="102">
        <f>IF(B31=1,'Date masura OD'!$J$5,IF(B31=19,'Date masura OD'!$AL$5,M30))</f>
        <v>45777</v>
      </c>
      <c r="N31" s="104">
        <f>VLOOKUP(E31,verificare!$AR$4:$CC$33,B31+2,FALSE)</f>
        <v>0</v>
      </c>
      <c r="O31" s="103">
        <f>HLOOKUP(VLOOKUP(E31,'Date SPV'!$B$4:$F$34,5,FALSE),'Preturi si tarife'!$C$2:$J$39,B31+2,FALSE)*10000</f>
        <v>0</v>
      </c>
      <c r="Q31" s="101" t="str">
        <f t="shared" si="3"/>
        <v>One-off</v>
      </c>
      <c r="R31" s="101" t="str">
        <f>VLOOKUP(K31,'Preturi si tarife'!$B$4:$K$39,10,FALSE)</f>
        <v>ICOENG0001</v>
      </c>
      <c r="T31" s="101" t="str">
        <f t="shared" si="4"/>
        <v>INV + 30</v>
      </c>
      <c r="V31" s="101" t="str">
        <f t="shared" si="5"/>
        <v>Active</v>
      </c>
      <c r="X31" s="101" t="str">
        <f t="shared" si="6"/>
        <v>One-off</v>
      </c>
      <c r="AC31" s="101" t="str">
        <f t="shared" si="7"/>
        <v>RON</v>
      </c>
      <c r="AD31" s="101">
        <f t="shared" si="8"/>
        <v>10000</v>
      </c>
    </row>
    <row r="32" spans="1:30">
      <c r="A32" s="101">
        <f t="shared" si="2"/>
        <v>1</v>
      </c>
      <c r="B32" s="101">
        <f t="shared" si="10"/>
        <v>31</v>
      </c>
      <c r="C32" s="101" t="str">
        <f t="shared" si="1"/>
        <v>T31</v>
      </c>
      <c r="D32" s="101" t="str">
        <f>IF(A32&lt;&gt;A31,VLOOKUP(A32,'Date SPV'!$A:$D,4,FALSE),D31)</f>
        <v>Ramnicu Valcea Shopping City SRL</v>
      </c>
      <c r="E32" s="101" t="str">
        <f>VLOOKUP(A32,'Date SPV'!$A$4:$B$34,2,FALSE)</f>
        <v>RRVS</v>
      </c>
      <c r="H32" s="105" t="s">
        <v>894</v>
      </c>
      <c r="K32" s="101" t="str">
        <f>VLOOKUP(C32,'Preturi si tarife'!$A$4:$B$39,2,FALSE)</f>
        <v>Regularizare Tarif distributie SDI MT Ea1</v>
      </c>
      <c r="L32" s="102">
        <f>IF(B32=1,'Date masura OD'!$I$5,IF(B32=19,'Date masura OD'!$AK$5,L31))</f>
        <v>45748</v>
      </c>
      <c r="M32" s="102">
        <f>IF(B32=1,'Date masura OD'!$J$5,IF(B32=19,'Date masura OD'!$AL$5,M31))</f>
        <v>45777</v>
      </c>
      <c r="N32" s="104">
        <f>VLOOKUP(E32,verificare!$AR$4:$CC$33,B32+2,FALSE)</f>
        <v>0</v>
      </c>
      <c r="O32" s="103">
        <f>HLOOKUP(VLOOKUP(E32,'Date SPV'!$B$4:$F$34,5,FALSE),'Preturi si tarife'!$C$2:$J$39,B32+2,FALSE)*10000</f>
        <v>170</v>
      </c>
      <c r="Q32" s="101" t="str">
        <f t="shared" si="3"/>
        <v>One-off</v>
      </c>
      <c r="R32" s="101" t="str">
        <f>VLOOKUP(K32,'Preturi si tarife'!$B$4:$K$39,10,FALSE)</f>
        <v>ICOENG0010</v>
      </c>
      <c r="T32" s="101" t="str">
        <f t="shared" si="4"/>
        <v>INV + 30</v>
      </c>
      <c r="V32" s="101" t="str">
        <f t="shared" si="5"/>
        <v>Active</v>
      </c>
      <c r="X32" s="101" t="str">
        <f t="shared" si="6"/>
        <v>One-off</v>
      </c>
      <c r="AC32" s="101" t="str">
        <f t="shared" si="7"/>
        <v>RON</v>
      </c>
      <c r="AD32" s="101">
        <f t="shared" si="8"/>
        <v>10000</v>
      </c>
    </row>
    <row r="33" spans="1:30">
      <c r="A33" s="101">
        <f t="shared" si="2"/>
        <v>1</v>
      </c>
      <c r="B33" s="101">
        <f t="shared" si="10"/>
        <v>32</v>
      </c>
      <c r="C33" s="101" t="str">
        <f t="shared" si="1"/>
        <v>T32</v>
      </c>
      <c r="D33" s="101" t="str">
        <f>IF(A33&lt;&gt;A32,VLOOKUP(A33,'Date SPV'!$A:$D,4,FALSE),D32)</f>
        <v>Ramnicu Valcea Shopping City SRL</v>
      </c>
      <c r="E33" s="101" t="str">
        <f>VLOOKUP(A33,'Date SPV'!$A$4:$B$34,2,FALSE)</f>
        <v>RRVS</v>
      </c>
      <c r="H33" s="105" t="s">
        <v>894</v>
      </c>
      <c r="K33" s="101" t="str">
        <f>VLOOKUP(C33,'Preturi si tarife'!$A$4:$B$39,2,FALSE)</f>
        <v>Regularizare Tarif distributie SDI JT Ea1</v>
      </c>
      <c r="L33" s="102">
        <f>IF(B33=1,'Date masura OD'!$I$5,IF(B33=19,'Date masura OD'!$AK$5,L32))</f>
        <v>45748</v>
      </c>
      <c r="M33" s="102">
        <f>IF(B33=1,'Date masura OD'!$J$5,IF(B33=19,'Date masura OD'!$AL$5,M32))</f>
        <v>45777</v>
      </c>
      <c r="N33" s="104">
        <f>VLOOKUP(E33,verificare!$AR$4:$CC$33,B33+2,FALSE)</f>
        <v>0</v>
      </c>
      <c r="O33" s="103">
        <f>HLOOKUP(VLOOKUP(E33,'Date SPV'!$B$4:$F$34,5,FALSE),'Preturi si tarife'!$C$2:$J$39,B33+2,FALSE)*10000</f>
        <v>1029</v>
      </c>
      <c r="Q33" s="101" t="str">
        <f t="shared" si="3"/>
        <v>One-off</v>
      </c>
      <c r="R33" s="101" t="str">
        <f>VLOOKUP(K33,'Preturi si tarife'!$B$4:$K$39,10,FALSE)</f>
        <v>ICOENG0010</v>
      </c>
      <c r="T33" s="101" t="str">
        <f t="shared" si="4"/>
        <v>INV + 30</v>
      </c>
      <c r="V33" s="101" t="str">
        <f t="shared" si="5"/>
        <v>Active</v>
      </c>
      <c r="X33" s="101" t="str">
        <f t="shared" si="6"/>
        <v>One-off</v>
      </c>
      <c r="AC33" s="101" t="str">
        <f t="shared" si="7"/>
        <v>RON</v>
      </c>
      <c r="AD33" s="101">
        <f t="shared" si="8"/>
        <v>10000</v>
      </c>
    </row>
    <row r="34" spans="1:30">
      <c r="A34" s="101">
        <f t="shared" si="2"/>
        <v>1</v>
      </c>
      <c r="B34" s="101">
        <f t="shared" si="10"/>
        <v>33</v>
      </c>
      <c r="C34" s="101" t="str">
        <f t="shared" si="1"/>
        <v>T33</v>
      </c>
      <c r="D34" s="101" t="str">
        <f>IF(A34&lt;&gt;A33,VLOOKUP(A34,'Date SPV'!$A:$D,4,FALSE),D33)</f>
        <v>Ramnicu Valcea Shopping City SRL</v>
      </c>
      <c r="E34" s="101" t="str">
        <f>VLOOKUP(A34,'Date SPV'!$A$4:$B$34,2,FALSE)</f>
        <v>RRVS</v>
      </c>
      <c r="H34" s="105" t="s">
        <v>894</v>
      </c>
      <c r="K34" s="101" t="str">
        <f>VLOOKUP(C34,'Preturi si tarife'!$A$4:$B$39,2,FALSE)</f>
        <v>Regularizare Energie activa 2</v>
      </c>
      <c r="L34" s="102">
        <f>IF(B34=1,'Date masura OD'!$I$5,IF(B34=19,'Date masura OD'!$AK$5,L33))</f>
        <v>45748</v>
      </c>
      <c r="M34" s="102">
        <f>IF(B34=1,'Date masura OD'!$J$5,IF(B34=19,'Date masura OD'!$AL$5,M33))</f>
        <v>45777</v>
      </c>
      <c r="N34" s="104">
        <f>VLOOKUP(E34,verificare!$AR$4:$CC$33,B34+2,FALSE)</f>
        <v>0</v>
      </c>
      <c r="O34" s="103">
        <f>HLOOKUP(VLOOKUP(E34,'Date SPV'!$B$4:$F$34,5,FALSE),'Preturi si tarife'!$C$2:$J$39,B34+2,FALSE)*10000</f>
        <v>9751.1759999999995</v>
      </c>
      <c r="Q34" s="101" t="str">
        <f t="shared" si="3"/>
        <v>One-off</v>
      </c>
      <c r="R34" s="101" t="str">
        <f>VLOOKUP(K34,'Preturi si tarife'!$B$4:$K$39,10,FALSE)</f>
        <v>ICOENG0012</v>
      </c>
      <c r="T34" s="101" t="str">
        <f t="shared" si="4"/>
        <v>INV + 30</v>
      </c>
      <c r="V34" s="101" t="str">
        <f t="shared" si="5"/>
        <v>Active</v>
      </c>
      <c r="X34" s="101" t="str">
        <f t="shared" si="6"/>
        <v>One-off</v>
      </c>
      <c r="AC34" s="101" t="str">
        <f t="shared" si="7"/>
        <v>RON</v>
      </c>
      <c r="AD34" s="101">
        <f t="shared" si="8"/>
        <v>10000</v>
      </c>
    </row>
    <row r="35" spans="1:30">
      <c r="A35" s="101">
        <f t="shared" si="2"/>
        <v>1</v>
      </c>
      <c r="B35" s="101">
        <f t="shared" si="10"/>
        <v>34</v>
      </c>
      <c r="C35" s="101" t="str">
        <f t="shared" si="1"/>
        <v>T34</v>
      </c>
      <c r="D35" s="101" t="str">
        <f>IF(A35&lt;&gt;A34,VLOOKUP(A35,'Date SPV'!$A:$D,4,FALSE),D34)</f>
        <v>Ramnicu Valcea Shopping City SRL</v>
      </c>
      <c r="E35" s="101" t="str">
        <f>VLOOKUP(A35,'Date SPV'!$A$4:$B$34,2,FALSE)</f>
        <v>RRVS</v>
      </c>
      <c r="H35" s="105" t="s">
        <v>894</v>
      </c>
      <c r="K35" s="101" t="str">
        <f>VLOOKUP(C35,'Preturi si tarife'!$A$4:$B$39,2,FALSE)</f>
        <v>Regularizare Energie activa 3</v>
      </c>
      <c r="L35" s="102">
        <f>IF(B35=1,'Date masura OD'!$I$5,IF(B35=19,'Date masura OD'!$AK$5,L34))</f>
        <v>45748</v>
      </c>
      <c r="M35" s="102">
        <f>IF(B35=1,'Date masura OD'!$J$5,IF(B35=19,'Date masura OD'!$AL$5,M34))</f>
        <v>45777</v>
      </c>
      <c r="N35" s="104">
        <f>VLOOKUP(E35,verificare!$AR$4:$CC$33,B35+2,FALSE)</f>
        <v>0</v>
      </c>
      <c r="O35" s="103">
        <f>HLOOKUP(VLOOKUP(E35,'Date SPV'!$B$4:$F$34,5,FALSE),'Preturi si tarife'!$C$2:$J$39,B35+2,FALSE)*10000</f>
        <v>8552.1759999999995</v>
      </c>
      <c r="Q35" s="101" t="str">
        <f t="shared" si="3"/>
        <v>One-off</v>
      </c>
      <c r="R35" s="101" t="str">
        <f>VLOOKUP(K35,'Preturi si tarife'!$B$4:$K$39,10,FALSE)</f>
        <v>ICOENG0012</v>
      </c>
      <c r="T35" s="101" t="str">
        <f t="shared" si="4"/>
        <v>INV + 30</v>
      </c>
      <c r="V35" s="101" t="str">
        <f t="shared" si="5"/>
        <v>Active</v>
      </c>
      <c r="X35" s="101" t="str">
        <f t="shared" si="6"/>
        <v>One-off</v>
      </c>
      <c r="AC35" s="101" t="str">
        <f t="shared" si="7"/>
        <v>RON</v>
      </c>
      <c r="AD35" s="101">
        <f t="shared" si="8"/>
        <v>10000</v>
      </c>
    </row>
    <row r="36" spans="1:30">
      <c r="A36" s="101">
        <f t="shared" si="2"/>
        <v>1</v>
      </c>
      <c r="B36" s="101">
        <f t="shared" si="10"/>
        <v>35</v>
      </c>
      <c r="C36" s="101" t="str">
        <f t="shared" si="1"/>
        <v>T35</v>
      </c>
      <c r="D36" s="101" t="str">
        <f>IF(A36&lt;&gt;A35,VLOOKUP(A36,'Date SPV'!$A:$D,4,FALSE),D35)</f>
        <v>Ramnicu Valcea Shopping City SRL</v>
      </c>
      <c r="E36" s="101" t="str">
        <f>VLOOKUP(A36,'Date SPV'!$A$4:$B$34,2,FALSE)</f>
        <v>RRVS</v>
      </c>
      <c r="H36" s="105" t="s">
        <v>894</v>
      </c>
      <c r="K36" s="101" t="str">
        <f>VLOOKUP(C36,'Preturi si tarife'!$A$4:$B$39,2,FALSE)</f>
        <v>Regularizare Tarif distributie SDI MT Ea3</v>
      </c>
      <c r="L36" s="102">
        <f>IF(B36=1,'Date masura OD'!$I$5,IF(B36=19,'Date masura OD'!$AK$5,L35))</f>
        <v>45748</v>
      </c>
      <c r="M36" s="102">
        <f>IF(B36=1,'Date masura OD'!$J$5,IF(B36=19,'Date masura OD'!$AL$5,M35))</f>
        <v>45777</v>
      </c>
      <c r="N36" s="104">
        <f>VLOOKUP(E36,verificare!$AR$4:$CC$33,B36+2,FALSE)</f>
        <v>0</v>
      </c>
      <c r="O36" s="103">
        <f>HLOOKUP(VLOOKUP(E36,'Date SPV'!$B$4:$F$34,5,FALSE),'Preturi si tarife'!$C$2:$J$39,B36+2,FALSE)*10000</f>
        <v>170</v>
      </c>
      <c r="Q36" s="101" t="str">
        <f t="shared" si="3"/>
        <v>One-off</v>
      </c>
      <c r="R36" s="101" t="str">
        <f>VLOOKUP(K36,'Preturi si tarife'!$B$4:$K$39,10,FALSE)</f>
        <v>ICOENG0010</v>
      </c>
      <c r="T36" s="101" t="str">
        <f t="shared" si="4"/>
        <v>INV + 30</v>
      </c>
      <c r="V36" s="101" t="str">
        <f t="shared" si="5"/>
        <v>Active</v>
      </c>
      <c r="X36" s="101" t="str">
        <f t="shared" si="6"/>
        <v>One-off</v>
      </c>
      <c r="AC36" s="101" t="str">
        <f t="shared" si="7"/>
        <v>RON</v>
      </c>
      <c r="AD36" s="101">
        <f t="shared" si="8"/>
        <v>10000</v>
      </c>
    </row>
    <row r="37" spans="1:30">
      <c r="A37" s="101">
        <f t="shared" si="2"/>
        <v>1</v>
      </c>
      <c r="B37" s="101">
        <f t="shared" si="10"/>
        <v>36</v>
      </c>
      <c r="C37" s="101" t="str">
        <f t="shared" si="1"/>
        <v>T36</v>
      </c>
      <c r="D37" s="101" t="str">
        <f>IF(A37&lt;&gt;A36,VLOOKUP(A37,'Date SPV'!$A:$D,4,FALSE),D36)</f>
        <v>Ramnicu Valcea Shopping City SRL</v>
      </c>
      <c r="E37" s="101" t="str">
        <f>VLOOKUP(A37,'Date SPV'!$A$4:$B$34,2,FALSE)</f>
        <v>RRVS</v>
      </c>
      <c r="H37" s="105" t="s">
        <v>894</v>
      </c>
      <c r="K37" s="101" t="str">
        <f>VLOOKUP(C37,'Preturi si tarife'!$A$4:$B$39,2,FALSE)</f>
        <v>Regularizare Tarif distributie SDI JT Ea3</v>
      </c>
      <c r="L37" s="102">
        <f>IF(B37=1,'Date masura OD'!$I$5,IF(B37=19,'Date masura OD'!$AK$5,L36))</f>
        <v>45748</v>
      </c>
      <c r="M37" s="102">
        <f>IF(B37=1,'Date masura OD'!$J$5,IF(B37=19,'Date masura OD'!$AL$5,M36))</f>
        <v>45777</v>
      </c>
      <c r="N37" s="104">
        <f>VLOOKUP(E37,verificare!$AR$4:$CC$33,B37+2,FALSE)</f>
        <v>0</v>
      </c>
      <c r="O37" s="103">
        <f>HLOOKUP(VLOOKUP(E37,'Date SPV'!$B$4:$F$34,5,FALSE),'Preturi si tarife'!$C$2:$J$39,B37+2,FALSE)*10000</f>
        <v>1029</v>
      </c>
      <c r="Q37" s="101" t="str">
        <f t="shared" si="3"/>
        <v>One-off</v>
      </c>
      <c r="R37" s="101" t="str">
        <f>VLOOKUP(K37,'Preturi si tarife'!$B$4:$K$39,10,FALSE)</f>
        <v>ICOENG0010</v>
      </c>
      <c r="T37" s="101" t="str">
        <f t="shared" si="4"/>
        <v>INV + 30</v>
      </c>
      <c r="V37" s="101" t="str">
        <f t="shared" si="5"/>
        <v>Active</v>
      </c>
      <c r="X37" s="101" t="str">
        <f t="shared" si="6"/>
        <v>One-off</v>
      </c>
      <c r="AC37" s="101" t="str">
        <f t="shared" si="7"/>
        <v>RON</v>
      </c>
      <c r="AD37" s="101">
        <f t="shared" si="8"/>
        <v>10000</v>
      </c>
    </row>
    <row r="38" spans="1:30">
      <c r="A38" s="101">
        <f t="shared" si="2"/>
        <v>2</v>
      </c>
      <c r="B38" s="101">
        <f t="shared" si="10"/>
        <v>1</v>
      </c>
      <c r="C38" s="101" t="str">
        <f t="shared" si="1"/>
        <v>T1</v>
      </c>
      <c r="D38" s="101" t="str">
        <f>IF(A38&lt;&gt;A37,VLOOKUP(A38,'Date SPV'!$A:$D,4,FALSE),D37)</f>
        <v>Braila Promenada Mall SRL</v>
      </c>
      <c r="E38" s="101" t="str">
        <f>VLOOKUP(A38,'Date SPV'!$A$4:$B$34,2,FALSE)</f>
        <v>RBPM</v>
      </c>
      <c r="H38" s="105" t="s">
        <v>894</v>
      </c>
      <c r="K38" s="101" t="str">
        <f>VLOOKUP(C38,'Preturi si tarife'!$A$4:$B$39,2,FALSE)</f>
        <v>Energie activa 1</v>
      </c>
      <c r="L38" s="102">
        <f>IF(B38=1,'Date masura OD'!$I$5,IF(B38=19,'Date masura OD'!$AK$5,L37))</f>
        <v>45778</v>
      </c>
      <c r="M38" s="102">
        <f>IF(B38=1,'Date masura OD'!$J$5,IF(B38=19,'Date masura OD'!$AL$5,M37))</f>
        <v>45808</v>
      </c>
      <c r="N38" s="104">
        <f>VLOOKUP(E38,verificare!$AR$4:$CC$33,B38+2,FALSE)</f>
        <v>281670</v>
      </c>
      <c r="O38" s="103">
        <f>HLOOKUP(VLOOKUP(E38,'Date SPV'!$B$4:$F$34,5,FALSE),'Preturi si tarife'!$C$2:$J$39,B38+2,FALSE)*10000</f>
        <v>5950</v>
      </c>
      <c r="Q38" s="101" t="str">
        <f t="shared" si="3"/>
        <v>One-off</v>
      </c>
      <c r="R38" s="101" t="str">
        <f>VLOOKUP(K38,'Preturi si tarife'!$B$4:$K$39,10,FALSE)</f>
        <v>ICOENG0001</v>
      </c>
      <c r="T38" s="101" t="str">
        <f t="shared" si="4"/>
        <v>INV + 30</v>
      </c>
      <c r="V38" s="101" t="str">
        <f t="shared" si="5"/>
        <v>Active</v>
      </c>
      <c r="X38" s="101" t="str">
        <f t="shared" si="6"/>
        <v>One-off</v>
      </c>
      <c r="AC38" s="101" t="str">
        <f t="shared" si="7"/>
        <v>RON</v>
      </c>
      <c r="AD38" s="101">
        <f t="shared" si="8"/>
        <v>10000</v>
      </c>
    </row>
    <row r="39" spans="1:30">
      <c r="A39" s="101">
        <f t="shared" si="2"/>
        <v>2</v>
      </c>
      <c r="B39" s="101">
        <f t="shared" si="10"/>
        <v>2</v>
      </c>
      <c r="C39" s="101" t="str">
        <f t="shared" si="1"/>
        <v>T2</v>
      </c>
      <c r="D39" s="101" t="str">
        <f>IF(A39&lt;&gt;A38,VLOOKUP(A39,'Date SPV'!$A:$D,4,FALSE),D38)</f>
        <v>Braila Promenada Mall SRL</v>
      </c>
      <c r="E39" s="101" t="str">
        <f>VLOOKUP(A39,'Date SPV'!$A$4:$B$34,2,FALSE)</f>
        <v>RBPM</v>
      </c>
      <c r="H39" s="105" t="s">
        <v>894</v>
      </c>
      <c r="K39" s="101" t="str">
        <f>VLOOKUP(C39,'Preturi si tarife'!$A$4:$B$39,2,FALSE)</f>
        <v>Energie reactiva  1X</v>
      </c>
      <c r="L39" s="102">
        <f>IF(B39=1,'Date masura OD'!$I$5,IF(B39=19,'Date masura OD'!$AK$5,L38))</f>
        <v>45778</v>
      </c>
      <c r="M39" s="102">
        <f>IF(B39=1,'Date masura OD'!$J$5,IF(B39=19,'Date masura OD'!$AL$5,M38))</f>
        <v>45808</v>
      </c>
      <c r="N39" s="104">
        <f>VLOOKUP(E39,verificare!$AR$4:$CC$33,B39+2,FALSE)</f>
        <v>0</v>
      </c>
      <c r="O39" s="103">
        <f>HLOOKUP(VLOOKUP(E39,'Date SPV'!$B$4:$F$34,5,FALSE),'Preturi si tarife'!$C$2:$J$39,B39+2,FALSE)*10000</f>
        <v>1465</v>
      </c>
      <c r="Q39" s="101" t="str">
        <f t="shared" si="3"/>
        <v>One-off</v>
      </c>
      <c r="R39" s="101" t="str">
        <f>VLOOKUP(K39,'Preturi si tarife'!$B$4:$K$39,10,FALSE)</f>
        <v>ICOENG0001</v>
      </c>
      <c r="T39" s="101" t="str">
        <f t="shared" si="4"/>
        <v>INV + 30</v>
      </c>
      <c r="V39" s="101" t="str">
        <f t="shared" si="5"/>
        <v>Active</v>
      </c>
      <c r="X39" s="101" t="str">
        <f t="shared" si="6"/>
        <v>One-off</v>
      </c>
      <c r="AC39" s="101" t="str">
        <f t="shared" si="7"/>
        <v>RON</v>
      </c>
      <c r="AD39" s="101">
        <f t="shared" si="8"/>
        <v>10000</v>
      </c>
    </row>
    <row r="40" spans="1:30">
      <c r="A40" s="101">
        <f t="shared" si="2"/>
        <v>2</v>
      </c>
      <c r="B40" s="101">
        <f t="shared" si="10"/>
        <v>3</v>
      </c>
      <c r="C40" s="101" t="str">
        <f t="shared" si="1"/>
        <v>T3</v>
      </c>
      <c r="D40" s="101" t="str">
        <f>IF(A40&lt;&gt;A39,VLOOKUP(A40,'Date SPV'!$A:$D,4,FALSE),D39)</f>
        <v>Braila Promenada Mall SRL</v>
      </c>
      <c r="E40" s="101" t="str">
        <f>VLOOKUP(A40,'Date SPV'!$A$4:$B$34,2,FALSE)</f>
        <v>RBPM</v>
      </c>
      <c r="H40" s="105" t="s">
        <v>894</v>
      </c>
      <c r="K40" s="101" t="str">
        <f>VLOOKUP(C40,'Preturi si tarife'!$A$4:$B$39,2,FALSE)</f>
        <v>Energie reactiva  3X</v>
      </c>
      <c r="L40" s="102">
        <f>IF(B40=1,'Date masura OD'!$I$5,IF(B40=19,'Date masura OD'!$AK$5,L39))</f>
        <v>45778</v>
      </c>
      <c r="M40" s="102">
        <f>IF(B40=1,'Date masura OD'!$J$5,IF(B40=19,'Date masura OD'!$AL$5,M39))</f>
        <v>45808</v>
      </c>
      <c r="N40" s="104">
        <f>VLOOKUP(E40,verificare!$AR$4:$CC$33,B40+2,FALSE)</f>
        <v>0</v>
      </c>
      <c r="O40" s="103">
        <f>HLOOKUP(VLOOKUP(E40,'Date SPV'!$B$4:$F$34,5,FALSE),'Preturi si tarife'!$C$2:$J$39,B40+2,FALSE)*10000</f>
        <v>4395</v>
      </c>
      <c r="Q40" s="101" t="str">
        <f t="shared" si="3"/>
        <v>One-off</v>
      </c>
      <c r="R40" s="101" t="str">
        <f>VLOOKUP(K40,'Preturi si tarife'!$B$4:$K$39,10,FALSE)</f>
        <v>ICOENG0001</v>
      </c>
      <c r="T40" s="101" t="str">
        <f t="shared" si="4"/>
        <v>INV + 30</v>
      </c>
      <c r="V40" s="101" t="str">
        <f t="shared" si="5"/>
        <v>Active</v>
      </c>
      <c r="X40" s="101" t="str">
        <f t="shared" si="6"/>
        <v>One-off</v>
      </c>
      <c r="AC40" s="101" t="str">
        <f t="shared" si="7"/>
        <v>RON</v>
      </c>
      <c r="AD40" s="101">
        <f t="shared" si="8"/>
        <v>10000</v>
      </c>
    </row>
    <row r="41" spans="1:30">
      <c r="A41" s="101">
        <f t="shared" si="2"/>
        <v>2</v>
      </c>
      <c r="B41" s="101">
        <f t="shared" si="10"/>
        <v>4</v>
      </c>
      <c r="C41" s="101" t="str">
        <f t="shared" si="1"/>
        <v>T4</v>
      </c>
      <c r="D41" s="101" t="str">
        <f>IF(A41&lt;&gt;A40,VLOOKUP(A41,'Date SPV'!$A:$D,4,FALSE),D40)</f>
        <v>Braila Promenada Mall SRL</v>
      </c>
      <c r="E41" s="101" t="str">
        <f>VLOOKUP(A41,'Date SPV'!$A$4:$B$34,2,FALSE)</f>
        <v>RBPM</v>
      </c>
      <c r="H41" s="105" t="s">
        <v>894</v>
      </c>
      <c r="K41" s="101" t="str">
        <f>VLOOKUP(C41,'Preturi si tarife'!$A$4:$B$39,2,FALSE)</f>
        <v>Tarife distributie en. El IT+MT</v>
      </c>
      <c r="L41" s="102">
        <f>IF(B41=1,'Date masura OD'!$I$5,IF(B41=19,'Date masura OD'!$AK$5,L40))</f>
        <v>45778</v>
      </c>
      <c r="M41" s="102">
        <f>IF(B41=1,'Date masura OD'!$J$5,IF(B41=19,'Date masura OD'!$AL$5,M40))</f>
        <v>45808</v>
      </c>
      <c r="N41" s="104">
        <f>VLOOKUP(E41,verificare!$AR$4:$CC$33,B41+2,FALSE)</f>
        <v>281670</v>
      </c>
      <c r="O41" s="103">
        <f>HLOOKUP(VLOOKUP(E41,'Date SPV'!$B$4:$F$34,5,FALSE),'Preturi si tarife'!$C$2:$J$39,B41+2,FALSE)*10000</f>
        <v>1148.3</v>
      </c>
      <c r="Q41" s="101" t="str">
        <f t="shared" si="3"/>
        <v>One-off</v>
      </c>
      <c r="R41" s="101" t="str">
        <f>VLOOKUP(K41,'Preturi si tarife'!$B$4:$K$39,10,FALSE)</f>
        <v>ICOENG0001</v>
      </c>
      <c r="T41" s="101" t="str">
        <f t="shared" si="4"/>
        <v>INV + 30</v>
      </c>
      <c r="V41" s="101" t="str">
        <f t="shared" si="5"/>
        <v>Active</v>
      </c>
      <c r="X41" s="101" t="str">
        <f t="shared" si="6"/>
        <v>One-off</v>
      </c>
      <c r="AC41" s="101" t="str">
        <f t="shared" si="7"/>
        <v>RON</v>
      </c>
      <c r="AD41" s="101">
        <f t="shared" si="8"/>
        <v>10000</v>
      </c>
    </row>
    <row r="42" spans="1:30">
      <c r="A42" s="101">
        <f t="shared" si="2"/>
        <v>2</v>
      </c>
      <c r="B42" s="101">
        <f t="shared" si="10"/>
        <v>5</v>
      </c>
      <c r="C42" s="101" t="str">
        <f t="shared" si="1"/>
        <v>T5</v>
      </c>
      <c r="D42" s="101" t="str">
        <f>IF(A42&lt;&gt;A41,VLOOKUP(A42,'Date SPV'!$A:$D,4,FALSE),D41)</f>
        <v>Braila Promenada Mall SRL</v>
      </c>
      <c r="E42" s="101" t="str">
        <f>VLOOKUP(A42,'Date SPV'!$A$4:$B$34,2,FALSE)</f>
        <v>RBPM</v>
      </c>
      <c r="H42" s="105" t="s">
        <v>894</v>
      </c>
      <c r="K42" s="101" t="str">
        <f>VLOOKUP(C42,'Preturi si tarife'!$A$4:$B$39,2,FALSE)</f>
        <v>Tarife distributie en. El JT</v>
      </c>
      <c r="L42" s="102">
        <f>IF(B42=1,'Date masura OD'!$I$5,IF(B42=19,'Date masura OD'!$AK$5,L41))</f>
        <v>45778</v>
      </c>
      <c r="M42" s="102">
        <f>IF(B42=1,'Date masura OD'!$J$5,IF(B42=19,'Date masura OD'!$AL$5,M41))</f>
        <v>45808</v>
      </c>
      <c r="N42" s="104">
        <f>VLOOKUP(E42,verificare!$AR$4:$CC$33,B42+2,FALSE)</f>
        <v>0</v>
      </c>
      <c r="O42" s="103">
        <f>HLOOKUP(VLOOKUP(E42,'Date SPV'!$B$4:$F$34,5,FALSE),'Preturi si tarife'!$C$2:$J$39,B42+2,FALSE)*10000</f>
        <v>2361</v>
      </c>
      <c r="Q42" s="101" t="str">
        <f t="shared" si="3"/>
        <v>One-off</v>
      </c>
      <c r="R42" s="101" t="str">
        <f>VLOOKUP(K42,'Preturi si tarife'!$B$4:$K$39,10,FALSE)</f>
        <v>ICOENG0001</v>
      </c>
      <c r="T42" s="101" t="str">
        <f t="shared" si="4"/>
        <v>INV + 30</v>
      </c>
      <c r="V42" s="101" t="str">
        <f t="shared" si="5"/>
        <v>Active</v>
      </c>
      <c r="X42" s="101" t="str">
        <f t="shared" si="6"/>
        <v>One-off</v>
      </c>
      <c r="AC42" s="101" t="str">
        <f t="shared" si="7"/>
        <v>RON</v>
      </c>
      <c r="AD42" s="101">
        <f t="shared" si="8"/>
        <v>10000</v>
      </c>
    </row>
    <row r="43" spans="1:30">
      <c r="A43" s="101">
        <f t="shared" si="2"/>
        <v>2</v>
      </c>
      <c r="B43" s="101">
        <f t="shared" si="10"/>
        <v>6</v>
      </c>
      <c r="C43" s="101" t="str">
        <f t="shared" si="1"/>
        <v>T6</v>
      </c>
      <c r="D43" s="101" t="str">
        <f>IF(A43&lt;&gt;A42,VLOOKUP(A43,'Date SPV'!$A:$D,4,FALSE),D42)</f>
        <v>Braila Promenada Mall SRL</v>
      </c>
      <c r="E43" s="101" t="str">
        <f>VLOOKUP(A43,'Date SPV'!$A$4:$B$34,2,FALSE)</f>
        <v>RBPM</v>
      </c>
      <c r="H43" s="105" t="s">
        <v>894</v>
      </c>
      <c r="K43" s="101" t="str">
        <f>VLOOKUP(C43,'Preturi si tarife'!$A$4:$B$39,2,FALSE)</f>
        <v xml:space="preserve">Servicii Sistem </v>
      </c>
      <c r="L43" s="102">
        <f>IF(B43=1,'Date masura OD'!$I$5,IF(B43=19,'Date masura OD'!$AK$5,L42))</f>
        <v>45778</v>
      </c>
      <c r="M43" s="102">
        <f>IF(B43=1,'Date masura OD'!$J$5,IF(B43=19,'Date masura OD'!$AL$5,M42))</f>
        <v>45808</v>
      </c>
      <c r="N43" s="104">
        <f>VLOOKUP(E43,verificare!$AR$4:$CC$33,B43+2,FALSE)</f>
        <v>281670</v>
      </c>
      <c r="O43" s="103">
        <f>HLOOKUP(VLOOKUP(E43,'Date SPV'!$B$4:$F$34,5,FALSE),'Preturi si tarife'!$C$2:$J$39,B43+2,FALSE)*10000</f>
        <v>115.1</v>
      </c>
      <c r="Q43" s="101" t="str">
        <f t="shared" si="3"/>
        <v>One-off</v>
      </c>
      <c r="R43" s="101" t="str">
        <f>VLOOKUP(K43,'Preturi si tarife'!$B$4:$K$39,10,FALSE)</f>
        <v>ICOENG0001</v>
      </c>
      <c r="T43" s="101" t="str">
        <f t="shared" si="4"/>
        <v>INV + 30</v>
      </c>
      <c r="V43" s="101" t="str">
        <f t="shared" si="5"/>
        <v>Active</v>
      </c>
      <c r="X43" s="101" t="str">
        <f t="shared" si="6"/>
        <v>One-off</v>
      </c>
      <c r="AC43" s="101" t="str">
        <f t="shared" si="7"/>
        <v>RON</v>
      </c>
      <c r="AD43" s="101">
        <f t="shared" si="8"/>
        <v>10000</v>
      </c>
    </row>
    <row r="44" spans="1:30">
      <c r="A44" s="101">
        <f t="shared" si="2"/>
        <v>2</v>
      </c>
      <c r="B44" s="101">
        <f t="shared" si="10"/>
        <v>7</v>
      </c>
      <c r="C44" s="101" t="str">
        <f t="shared" si="1"/>
        <v>T7</v>
      </c>
      <c r="D44" s="101" t="str">
        <f>IF(A44&lt;&gt;A43,VLOOKUP(A44,'Date SPV'!$A:$D,4,FALSE),D43)</f>
        <v>Braila Promenada Mall SRL</v>
      </c>
      <c r="E44" s="101" t="str">
        <f>VLOOKUP(A44,'Date SPV'!$A$4:$B$34,2,FALSE)</f>
        <v>RBPM</v>
      </c>
      <c r="H44" s="105" t="s">
        <v>894</v>
      </c>
      <c r="K44" s="101" t="str">
        <f>VLOOKUP(C44,'Preturi si tarife'!$A$4:$B$39,2,FALSE)</f>
        <v>Tarif de introducere en. el in retea (TL)</v>
      </c>
      <c r="L44" s="102">
        <f>IF(B44=1,'Date masura OD'!$I$5,IF(B44=19,'Date masura OD'!$AK$5,L43))</f>
        <v>45778</v>
      </c>
      <c r="M44" s="102">
        <f>IF(B44=1,'Date masura OD'!$J$5,IF(B44=19,'Date masura OD'!$AL$5,M43))</f>
        <v>45808</v>
      </c>
      <c r="N44" s="104">
        <f>VLOOKUP(E44,verificare!$AR$4:$CC$33,B44+2,FALSE)</f>
        <v>281670</v>
      </c>
      <c r="O44" s="103">
        <f>HLOOKUP(VLOOKUP(E44,'Date SPV'!$B$4:$F$34,5,FALSE),'Preturi si tarife'!$C$2:$J$39,B44+2,FALSE)*10000</f>
        <v>330.3</v>
      </c>
      <c r="Q44" s="101" t="str">
        <f t="shared" si="3"/>
        <v>One-off</v>
      </c>
      <c r="R44" s="101" t="str">
        <f>VLOOKUP(K44,'Preturi si tarife'!$B$4:$K$39,10,FALSE)</f>
        <v>ICOENG0001</v>
      </c>
      <c r="T44" s="101" t="str">
        <f t="shared" si="4"/>
        <v>INV + 30</v>
      </c>
      <c r="V44" s="101" t="str">
        <f t="shared" si="5"/>
        <v>Active</v>
      </c>
      <c r="X44" s="101" t="str">
        <f t="shared" si="6"/>
        <v>One-off</v>
      </c>
      <c r="AC44" s="101" t="str">
        <f t="shared" si="7"/>
        <v>RON</v>
      </c>
      <c r="AD44" s="101">
        <f t="shared" si="8"/>
        <v>10000</v>
      </c>
    </row>
    <row r="45" spans="1:30">
      <c r="A45" s="101">
        <f t="shared" si="2"/>
        <v>2</v>
      </c>
      <c r="B45" s="101">
        <f t="shared" si="10"/>
        <v>8</v>
      </c>
      <c r="C45" s="101" t="str">
        <f t="shared" si="1"/>
        <v>T8</v>
      </c>
      <c r="D45" s="101" t="str">
        <f>IF(A45&lt;&gt;A44,VLOOKUP(A45,'Date SPV'!$A:$D,4,FALSE),D44)</f>
        <v>Braila Promenada Mall SRL</v>
      </c>
      <c r="E45" s="101" t="str">
        <f>VLOOKUP(A45,'Date SPV'!$A$4:$B$34,2,FALSE)</f>
        <v>RBPM</v>
      </c>
      <c r="H45" s="105" t="s">
        <v>894</v>
      </c>
      <c r="K45" s="101" t="str">
        <f>VLOOKUP(C45,'Preturi si tarife'!$A$4:$B$39,2,FALSE)</f>
        <v>Tarif de introducere en.el in retea (TG)</v>
      </c>
      <c r="L45" s="102">
        <f>IF(B45=1,'Date masura OD'!$I$5,IF(B45=19,'Date masura OD'!$AK$5,L44))</f>
        <v>45778</v>
      </c>
      <c r="M45" s="102">
        <f>IF(B45=1,'Date masura OD'!$J$5,IF(B45=19,'Date masura OD'!$AL$5,M44))</f>
        <v>45808</v>
      </c>
      <c r="N45" s="104">
        <f>VLOOKUP(E45,verificare!$AR$4:$CC$33,B45+2,FALSE)</f>
        <v>281670</v>
      </c>
      <c r="O45" s="103">
        <f>HLOOKUP(VLOOKUP(E45,'Date SPV'!$B$4:$F$34,5,FALSE),'Preturi si tarife'!$C$2:$J$39,B45+2,FALSE)*10000</f>
        <v>32.9</v>
      </c>
      <c r="Q45" s="101" t="str">
        <f t="shared" si="3"/>
        <v>One-off</v>
      </c>
      <c r="R45" s="101" t="str">
        <f>VLOOKUP(K45,'Preturi si tarife'!$B$4:$K$39,10,FALSE)</f>
        <v>ICOENG0001</v>
      </c>
      <c r="T45" s="101" t="str">
        <f t="shared" si="4"/>
        <v>INV + 30</v>
      </c>
      <c r="V45" s="101" t="str">
        <f t="shared" si="5"/>
        <v>Active</v>
      </c>
      <c r="X45" s="101" t="str">
        <f t="shared" si="6"/>
        <v>One-off</v>
      </c>
      <c r="AC45" s="101" t="str">
        <f t="shared" si="7"/>
        <v>RON</v>
      </c>
      <c r="AD45" s="101">
        <f t="shared" si="8"/>
        <v>10000</v>
      </c>
    </row>
    <row r="46" spans="1:30">
      <c r="A46" s="101">
        <f t="shared" si="2"/>
        <v>2</v>
      </c>
      <c r="B46" s="101">
        <f t="shared" si="10"/>
        <v>9</v>
      </c>
      <c r="C46" s="101" t="str">
        <f t="shared" si="1"/>
        <v>T9</v>
      </c>
      <c r="D46" s="101" t="str">
        <f>IF(A46&lt;&gt;A45,VLOOKUP(A46,'Date SPV'!$A:$D,4,FALSE),D45)</f>
        <v>Braila Promenada Mall SRL</v>
      </c>
      <c r="E46" s="101" t="str">
        <f>VLOOKUP(A46,'Date SPV'!$A$4:$B$34,2,FALSE)</f>
        <v>RBPM</v>
      </c>
      <c r="H46" s="105" t="s">
        <v>894</v>
      </c>
      <c r="K46" s="101" t="str">
        <f>VLOOKUP(C46,'Preturi si tarife'!$A$4:$B$39,2,FALSE)</f>
        <v>Contributie pentru cogenerare</v>
      </c>
      <c r="L46" s="102">
        <f>IF(B46=1,'Date masura OD'!$I$5,IF(B46=19,'Date masura OD'!$AK$5,L45))</f>
        <v>45778</v>
      </c>
      <c r="M46" s="102">
        <f>IF(B46=1,'Date masura OD'!$J$5,IF(B46=19,'Date masura OD'!$AL$5,M45))</f>
        <v>45808</v>
      </c>
      <c r="N46" s="104">
        <f>VLOOKUP(E46,verificare!$AR$4:$CC$33,B46+2,FALSE)</f>
        <v>281670</v>
      </c>
      <c r="O46" s="103">
        <f>HLOOKUP(VLOOKUP(E46,'Date SPV'!$B$4:$F$34,5,FALSE),'Preturi si tarife'!$C$2:$J$39,B46+2,FALSE)*10000</f>
        <v>35</v>
      </c>
      <c r="Q46" s="101" t="str">
        <f t="shared" si="3"/>
        <v>One-off</v>
      </c>
      <c r="R46" s="101" t="str">
        <f>VLOOKUP(K46,'Preturi si tarife'!$B$4:$K$39,10,FALSE)</f>
        <v>ICOENG0001</v>
      </c>
      <c r="T46" s="101" t="str">
        <f t="shared" si="4"/>
        <v>INV + 30</v>
      </c>
      <c r="V46" s="101" t="str">
        <f t="shared" si="5"/>
        <v>Active</v>
      </c>
      <c r="X46" s="101" t="str">
        <f t="shared" si="6"/>
        <v>One-off</v>
      </c>
      <c r="AC46" s="101" t="str">
        <f t="shared" si="7"/>
        <v>RON</v>
      </c>
      <c r="AD46" s="101">
        <f t="shared" si="8"/>
        <v>10000</v>
      </c>
    </row>
    <row r="47" spans="1:30">
      <c r="A47" s="101">
        <f t="shared" si="2"/>
        <v>2</v>
      </c>
      <c r="B47" s="101">
        <f t="shared" si="10"/>
        <v>10</v>
      </c>
      <c r="C47" s="101" t="str">
        <f t="shared" si="1"/>
        <v>T10</v>
      </c>
      <c r="D47" s="101" t="str">
        <f>IF(A47&lt;&gt;A46,VLOOKUP(A47,'Date SPV'!$A:$D,4,FALSE),D46)</f>
        <v>Braila Promenada Mall SRL</v>
      </c>
      <c r="E47" s="101" t="str">
        <f>VLOOKUP(A47,'Date SPV'!$A$4:$B$34,2,FALSE)</f>
        <v>RBPM</v>
      </c>
      <c r="H47" s="105" t="s">
        <v>894</v>
      </c>
      <c r="K47" s="101" t="str">
        <f>VLOOKUP(C47,'Preturi si tarife'!$A$4:$B$39,2,FALSE)</f>
        <v xml:space="preserve">Certificate verzi </v>
      </c>
      <c r="L47" s="102">
        <f>IF(B47=1,'Date masura OD'!$I$5,IF(B47=19,'Date masura OD'!$AK$5,L46))</f>
        <v>45778</v>
      </c>
      <c r="M47" s="102">
        <f>IF(B47=1,'Date masura OD'!$J$5,IF(B47=19,'Date masura OD'!$AL$5,M46))</f>
        <v>45808</v>
      </c>
      <c r="N47" s="104">
        <f>VLOOKUP(E47,verificare!$AR$4:$CC$33,B47+2,FALSE)</f>
        <v>281670</v>
      </c>
      <c r="O47" s="103">
        <f>HLOOKUP(VLOOKUP(E47,'Date SPV'!$B$4:$F$34,5,FALSE),'Preturi si tarife'!$C$2:$J$39,B47+2,FALSE)*10000</f>
        <v>725.41599999999994</v>
      </c>
      <c r="Q47" s="101" t="str">
        <f t="shared" si="3"/>
        <v>One-off</v>
      </c>
      <c r="R47" s="101" t="str">
        <f>VLOOKUP(K47,'Preturi si tarife'!$B$4:$K$39,10,FALSE)</f>
        <v>ICOENG0001</v>
      </c>
      <c r="T47" s="101" t="str">
        <f t="shared" si="4"/>
        <v>INV + 30</v>
      </c>
      <c r="V47" s="101" t="str">
        <f t="shared" si="5"/>
        <v>Active</v>
      </c>
      <c r="X47" s="101" t="str">
        <f t="shared" si="6"/>
        <v>One-off</v>
      </c>
      <c r="AC47" s="101" t="str">
        <f t="shared" si="7"/>
        <v>RON</v>
      </c>
      <c r="AD47" s="101">
        <f t="shared" si="8"/>
        <v>10000</v>
      </c>
    </row>
    <row r="48" spans="1:30">
      <c r="A48" s="101">
        <f t="shared" si="2"/>
        <v>2</v>
      </c>
      <c r="B48" s="101">
        <f t="shared" si="10"/>
        <v>11</v>
      </c>
      <c r="C48" s="101" t="str">
        <f t="shared" si="1"/>
        <v>T11</v>
      </c>
      <c r="D48" s="101" t="str">
        <f>IF(A48&lt;&gt;A47,VLOOKUP(A48,'Date SPV'!$A:$D,4,FALSE),D47)</f>
        <v>Braila Promenada Mall SRL</v>
      </c>
      <c r="E48" s="101" t="str">
        <f>VLOOKUP(A48,'Date SPV'!$A$4:$B$34,2,FALSE)</f>
        <v>RBPM</v>
      </c>
      <c r="H48" s="105" t="s">
        <v>894</v>
      </c>
      <c r="K48" s="101" t="str">
        <f>VLOOKUP(C48,'Preturi si tarife'!$A$4:$B$39,2,FALSE)</f>
        <v>Contributie CFD</v>
      </c>
      <c r="L48" s="102">
        <f>IF(B48=1,'Date masura OD'!$I$5,IF(B48=19,'Date masura OD'!$AK$5,L47))</f>
        <v>45778</v>
      </c>
      <c r="M48" s="102">
        <f>IF(B48=1,'Date masura OD'!$J$5,IF(B48=19,'Date masura OD'!$AL$5,M47))</f>
        <v>45808</v>
      </c>
      <c r="N48" s="104">
        <f>VLOOKUP(E48,verificare!$AR$4:$CC$33,B48+2,FALSE)</f>
        <v>281670</v>
      </c>
      <c r="O48" s="103">
        <f>HLOOKUP(VLOOKUP(E48,'Date SPV'!$B$4:$F$34,5,FALSE),'Preturi si tarife'!$C$2:$J$39,B48+2,FALSE)*10000</f>
        <v>2.06</v>
      </c>
      <c r="Q48" s="101" t="str">
        <f t="shared" si="3"/>
        <v>One-off</v>
      </c>
      <c r="R48" s="101" t="str">
        <f>VLOOKUP(K48,'Preturi si tarife'!$B$4:$K$39,10,FALSE)</f>
        <v>ICOENG0001</v>
      </c>
      <c r="T48" s="101" t="str">
        <f t="shared" si="4"/>
        <v>INV + 30</v>
      </c>
      <c r="V48" s="101" t="str">
        <f t="shared" si="5"/>
        <v>Active</v>
      </c>
      <c r="X48" s="101" t="str">
        <f t="shared" si="6"/>
        <v>One-off</v>
      </c>
      <c r="AC48" s="101" t="str">
        <f t="shared" si="7"/>
        <v>RON</v>
      </c>
      <c r="AD48" s="101">
        <f t="shared" si="8"/>
        <v>10000</v>
      </c>
    </row>
    <row r="49" spans="1:30">
      <c r="A49" s="101">
        <f t="shared" si="2"/>
        <v>2</v>
      </c>
      <c r="B49" s="101">
        <f t="shared" si="10"/>
        <v>12</v>
      </c>
      <c r="C49" s="101" t="str">
        <f t="shared" si="1"/>
        <v>T12</v>
      </c>
      <c r="D49" s="101" t="str">
        <f>IF(A49&lt;&gt;A48,VLOOKUP(A49,'Date SPV'!$A:$D,4,FALSE),D48)</f>
        <v>Braila Promenada Mall SRL</v>
      </c>
      <c r="E49" s="101" t="str">
        <f>VLOOKUP(A49,'Date SPV'!$A$4:$B$34,2,FALSE)</f>
        <v>RBPM</v>
      </c>
      <c r="H49" s="105" t="s">
        <v>894</v>
      </c>
      <c r="K49" s="101" t="str">
        <f>VLOOKUP(C49,'Preturi si tarife'!$A$4:$B$39,2,FALSE)</f>
        <v>Acciza</v>
      </c>
      <c r="L49" s="102">
        <f>IF(B49=1,'Date masura OD'!$I$5,IF(B49=19,'Date masura OD'!$AK$5,L48))</f>
        <v>45778</v>
      </c>
      <c r="M49" s="102">
        <f>IF(B49=1,'Date masura OD'!$J$5,IF(B49=19,'Date masura OD'!$AL$5,M48))</f>
        <v>45808</v>
      </c>
      <c r="N49" s="104">
        <f>VLOOKUP(E49,verificare!$AR$4:$CC$33,B49+2,FALSE)</f>
        <v>281670</v>
      </c>
      <c r="O49" s="103">
        <f>HLOOKUP(VLOOKUP(E49,'Date SPV'!$B$4:$F$34,5,FALSE),'Preturi si tarife'!$C$2:$J$39,B49+2,FALSE)*10000</f>
        <v>0</v>
      </c>
      <c r="Q49" s="101" t="str">
        <f t="shared" si="3"/>
        <v>One-off</v>
      </c>
      <c r="R49" s="101" t="str">
        <f>VLOOKUP(K49,'Preturi si tarife'!$B$4:$K$39,10,FALSE)</f>
        <v>ICOENG0001</v>
      </c>
      <c r="T49" s="101" t="str">
        <f t="shared" si="4"/>
        <v>INV + 30</v>
      </c>
      <c r="V49" s="101" t="str">
        <f t="shared" si="5"/>
        <v>Active</v>
      </c>
      <c r="X49" s="101" t="str">
        <f t="shared" si="6"/>
        <v>One-off</v>
      </c>
      <c r="AC49" s="101" t="str">
        <f t="shared" si="7"/>
        <v>RON</v>
      </c>
      <c r="AD49" s="101">
        <f t="shared" si="8"/>
        <v>10000</v>
      </c>
    </row>
    <row r="50" spans="1:30">
      <c r="A50" s="101">
        <f t="shared" si="2"/>
        <v>2</v>
      </c>
      <c r="B50" s="101">
        <f t="shared" si="10"/>
        <v>13</v>
      </c>
      <c r="C50" s="101" t="str">
        <f t="shared" si="1"/>
        <v>T13</v>
      </c>
      <c r="D50" s="101" t="str">
        <f>IF(A50&lt;&gt;A49,VLOOKUP(A50,'Date SPV'!$A:$D,4,FALSE),D49)</f>
        <v>Braila Promenada Mall SRL</v>
      </c>
      <c r="E50" s="101" t="str">
        <f>VLOOKUP(A50,'Date SPV'!$A$4:$B$34,2,FALSE)</f>
        <v>RBPM</v>
      </c>
      <c r="H50" s="105" t="s">
        <v>894</v>
      </c>
      <c r="K50" s="101" t="str">
        <f>VLOOKUP(C50,'Preturi si tarife'!$A$4:$B$39,2,FALSE)</f>
        <v>Tarif distributie SDI MT</v>
      </c>
      <c r="L50" s="102">
        <f>IF(B50=1,'Date masura OD'!$I$5,IF(B50=19,'Date masura OD'!$AK$5,L49))</f>
        <v>45778</v>
      </c>
      <c r="M50" s="102">
        <f>IF(B50=1,'Date masura OD'!$J$5,IF(B50=19,'Date masura OD'!$AL$5,M49))</f>
        <v>45808</v>
      </c>
      <c r="N50" s="104">
        <f>VLOOKUP(E50,verificare!$AR$4:$CC$33,B50+2,FALSE)</f>
        <v>278173</v>
      </c>
      <c r="O50" s="103">
        <f>HLOOKUP(VLOOKUP(E50,'Date SPV'!$B$4:$F$34,5,FALSE),'Preturi si tarife'!$C$2:$J$39,B50+2,FALSE)*10000</f>
        <v>149</v>
      </c>
      <c r="Q50" s="101" t="str">
        <f t="shared" si="3"/>
        <v>One-off</v>
      </c>
      <c r="R50" s="101" t="str">
        <f>VLOOKUP(K50,'Preturi si tarife'!$B$4:$K$39,10,FALSE)</f>
        <v>ICOENG0010</v>
      </c>
      <c r="T50" s="101" t="str">
        <f t="shared" si="4"/>
        <v>INV + 30</v>
      </c>
      <c r="V50" s="101" t="str">
        <f t="shared" si="5"/>
        <v>Active</v>
      </c>
      <c r="X50" s="101" t="str">
        <f t="shared" si="6"/>
        <v>One-off</v>
      </c>
      <c r="AC50" s="101" t="str">
        <f t="shared" si="7"/>
        <v>RON</v>
      </c>
      <c r="AD50" s="101">
        <f t="shared" si="8"/>
        <v>10000</v>
      </c>
    </row>
    <row r="51" spans="1:30">
      <c r="A51" s="101">
        <f t="shared" si="2"/>
        <v>2</v>
      </c>
      <c r="B51" s="101">
        <f t="shared" si="10"/>
        <v>14</v>
      </c>
      <c r="C51" s="101" t="str">
        <f t="shared" si="1"/>
        <v>T14</v>
      </c>
      <c r="D51" s="101" t="str">
        <f>IF(A51&lt;&gt;A50,VLOOKUP(A51,'Date SPV'!$A:$D,4,FALSE),D50)</f>
        <v>Braila Promenada Mall SRL</v>
      </c>
      <c r="E51" s="101" t="str">
        <f>VLOOKUP(A51,'Date SPV'!$A$4:$B$34,2,FALSE)</f>
        <v>RBPM</v>
      </c>
      <c r="H51" s="105" t="s">
        <v>894</v>
      </c>
      <c r="K51" s="101" t="str">
        <f>VLOOKUP(C51,'Preturi si tarife'!$A$4:$B$39,2,FALSE)</f>
        <v>Tarif distributie SDI JT</v>
      </c>
      <c r="L51" s="102">
        <f>IF(B51=1,'Date masura OD'!$I$5,IF(B51=19,'Date masura OD'!$AK$5,L50))</f>
        <v>45778</v>
      </c>
      <c r="M51" s="102">
        <f>IF(B51=1,'Date masura OD'!$J$5,IF(B51=19,'Date masura OD'!$AL$5,M50))</f>
        <v>45808</v>
      </c>
      <c r="N51" s="104">
        <f>VLOOKUP(E51,verificare!$AR$4:$CC$33,B51+2,FALSE)</f>
        <v>278173</v>
      </c>
      <c r="O51" s="103">
        <f>HLOOKUP(VLOOKUP(E51,'Date SPV'!$B$4:$F$34,5,FALSE),'Preturi si tarife'!$C$2:$J$39,B51+2,FALSE)*10000</f>
        <v>1192</v>
      </c>
      <c r="Q51" s="101" t="str">
        <f t="shared" si="3"/>
        <v>One-off</v>
      </c>
      <c r="R51" s="101" t="str">
        <f>VLOOKUP(K51,'Preturi si tarife'!$B$4:$K$39,10,FALSE)</f>
        <v>ICOENG0010</v>
      </c>
      <c r="T51" s="101" t="str">
        <f t="shared" si="4"/>
        <v>INV + 30</v>
      </c>
      <c r="V51" s="101" t="str">
        <f t="shared" si="5"/>
        <v>Active</v>
      </c>
      <c r="X51" s="101" t="str">
        <f t="shared" si="6"/>
        <v>One-off</v>
      </c>
      <c r="AC51" s="101" t="str">
        <f t="shared" si="7"/>
        <v>RON</v>
      </c>
      <c r="AD51" s="101">
        <f t="shared" si="8"/>
        <v>10000</v>
      </c>
    </row>
    <row r="52" spans="1:30">
      <c r="A52" s="101">
        <f t="shared" si="2"/>
        <v>2</v>
      </c>
      <c r="B52" s="101">
        <f t="shared" si="10"/>
        <v>15</v>
      </c>
      <c r="C52" s="101" t="str">
        <f t="shared" si="1"/>
        <v>T15</v>
      </c>
      <c r="D52" s="101" t="str">
        <f>IF(A52&lt;&gt;A51,VLOOKUP(A52,'Date SPV'!$A:$D,4,FALSE),D51)</f>
        <v>Braila Promenada Mall SRL</v>
      </c>
      <c r="E52" s="101" t="str">
        <f>VLOOKUP(A52,'Date SPV'!$A$4:$B$34,2,FALSE)</f>
        <v>RBPM</v>
      </c>
      <c r="H52" s="105" t="s">
        <v>894</v>
      </c>
      <c r="K52" s="101" t="str">
        <f>VLOOKUP(C52,'Preturi si tarife'!$A$4:$B$39,2,FALSE)</f>
        <v>Energie activa 2</v>
      </c>
      <c r="L52" s="102">
        <f>IF(B52=1,'Date masura OD'!$I$5,IF(B52=19,'Date masura OD'!$AK$5,L51))</f>
        <v>45778</v>
      </c>
      <c r="M52" s="102">
        <f>IF(B52=1,'Date masura OD'!$J$5,IF(B52=19,'Date masura OD'!$AL$5,M51))</f>
        <v>45808</v>
      </c>
      <c r="N52" s="104">
        <f>VLOOKUP(E52,verificare!$AR$4:$CC$33,B52+2,FALSE)</f>
        <v>187100</v>
      </c>
      <c r="O52" s="103">
        <f>HLOOKUP(VLOOKUP(E52,'Date SPV'!$B$4:$F$34,5,FALSE),'Preturi si tarife'!$C$2:$J$39,B52+2,FALSE)*10000</f>
        <v>9680.0760000000009</v>
      </c>
      <c r="Q52" s="101" t="str">
        <f t="shared" si="3"/>
        <v>One-off</v>
      </c>
      <c r="R52" s="101" t="str">
        <f>VLOOKUP(K52,'Preturi si tarife'!$B$4:$K$39,10,FALSE)</f>
        <v>ICOENG0012</v>
      </c>
      <c r="T52" s="101" t="str">
        <f t="shared" si="4"/>
        <v>INV + 30</v>
      </c>
      <c r="V52" s="101" t="str">
        <f t="shared" si="5"/>
        <v>Active</v>
      </c>
      <c r="X52" s="101" t="str">
        <f t="shared" si="6"/>
        <v>One-off</v>
      </c>
      <c r="AC52" s="101" t="str">
        <f t="shared" si="7"/>
        <v>RON</v>
      </c>
      <c r="AD52" s="101">
        <f t="shared" si="8"/>
        <v>10000</v>
      </c>
    </row>
    <row r="53" spans="1:30">
      <c r="A53" s="101">
        <f t="shared" si="2"/>
        <v>2</v>
      </c>
      <c r="B53" s="101">
        <f t="shared" si="10"/>
        <v>16</v>
      </c>
      <c r="C53" s="101" t="str">
        <f t="shared" si="1"/>
        <v>T16</v>
      </c>
      <c r="D53" s="101" t="str">
        <f>IF(A53&lt;&gt;A52,VLOOKUP(A53,'Date SPV'!$A:$D,4,FALSE),D52)</f>
        <v>Braila Promenada Mall SRL</v>
      </c>
      <c r="E53" s="101" t="str">
        <f>VLOOKUP(A53,'Date SPV'!$A$4:$B$34,2,FALSE)</f>
        <v>RBPM</v>
      </c>
      <c r="H53" s="105" t="s">
        <v>894</v>
      </c>
      <c r="K53" s="101" t="str">
        <f>VLOOKUP(C53,'Preturi si tarife'!$A$4:$B$39,2,FALSE)</f>
        <v>Energie activa 3</v>
      </c>
      <c r="L53" s="102">
        <f>IF(B53=1,'Date masura OD'!$I$5,IF(B53=19,'Date masura OD'!$AK$5,L52))</f>
        <v>45778</v>
      </c>
      <c r="M53" s="102">
        <f>IF(B53=1,'Date masura OD'!$J$5,IF(B53=19,'Date masura OD'!$AL$5,M52))</f>
        <v>45808</v>
      </c>
      <c r="N53" s="104">
        <f>VLOOKUP(E53,verificare!$AR$4:$CC$33,B53+2,FALSE)</f>
        <v>29237</v>
      </c>
      <c r="O53" s="103">
        <f>HLOOKUP(VLOOKUP(E53,'Date SPV'!$B$4:$F$34,5,FALSE),'Preturi si tarife'!$C$2:$J$39,B53+2,FALSE)*10000</f>
        <v>8339.0760000000009</v>
      </c>
      <c r="Q53" s="101" t="str">
        <f t="shared" si="3"/>
        <v>One-off</v>
      </c>
      <c r="R53" s="101" t="str">
        <f>VLOOKUP(K53,'Preturi si tarife'!$B$4:$K$39,10,FALSE)</f>
        <v>ICOENG0012</v>
      </c>
      <c r="T53" s="101" t="str">
        <f t="shared" si="4"/>
        <v>INV + 30</v>
      </c>
      <c r="V53" s="101" t="str">
        <f t="shared" si="5"/>
        <v>Active</v>
      </c>
      <c r="X53" s="101" t="str">
        <f t="shared" si="6"/>
        <v>One-off</v>
      </c>
      <c r="AC53" s="101" t="str">
        <f t="shared" si="7"/>
        <v>RON</v>
      </c>
      <c r="AD53" s="101">
        <f t="shared" si="8"/>
        <v>10000</v>
      </c>
    </row>
    <row r="54" spans="1:30">
      <c r="A54" s="101">
        <f t="shared" si="2"/>
        <v>2</v>
      </c>
      <c r="B54" s="101">
        <f t="shared" si="10"/>
        <v>17</v>
      </c>
      <c r="C54" s="101" t="str">
        <f t="shared" si="1"/>
        <v>T17</v>
      </c>
      <c r="D54" s="101" t="str">
        <f>IF(A54&lt;&gt;A53,VLOOKUP(A54,'Date SPV'!$A:$D,4,FALSE),D53)</f>
        <v>Braila Promenada Mall SRL</v>
      </c>
      <c r="E54" s="101" t="str">
        <f>VLOOKUP(A54,'Date SPV'!$A$4:$B$34,2,FALSE)</f>
        <v>RBPM</v>
      </c>
      <c r="H54" s="105" t="s">
        <v>894</v>
      </c>
      <c r="K54" s="101" t="str">
        <f>VLOOKUP(C54,'Preturi si tarife'!$A$4:$B$39,2,FALSE)</f>
        <v>Tarif distributie SDI MT_</v>
      </c>
      <c r="L54" s="102">
        <f>IF(B54=1,'Date masura OD'!$I$5,IF(B54=19,'Date masura OD'!$AK$5,L53))</f>
        <v>45778</v>
      </c>
      <c r="M54" s="102">
        <f>IF(B54=1,'Date masura OD'!$J$5,IF(B54=19,'Date masura OD'!$AL$5,M53))</f>
        <v>45808</v>
      </c>
      <c r="N54" s="104">
        <f>VLOOKUP(E54,verificare!$AR$4:$CC$33,B54+2,FALSE)</f>
        <v>29237</v>
      </c>
      <c r="O54" s="103">
        <f>HLOOKUP(VLOOKUP(E54,'Date SPV'!$B$4:$F$34,5,FALSE),'Preturi si tarife'!$C$2:$J$39,B54+2,FALSE)*10000</f>
        <v>149</v>
      </c>
      <c r="Q54" s="101" t="str">
        <f t="shared" si="3"/>
        <v>One-off</v>
      </c>
      <c r="R54" s="101" t="str">
        <f>VLOOKUP(K54,'Preturi si tarife'!$B$4:$K$39,10,FALSE)</f>
        <v>ICOENG0010</v>
      </c>
      <c r="T54" s="101" t="str">
        <f t="shared" si="4"/>
        <v>INV + 30</v>
      </c>
      <c r="V54" s="101" t="str">
        <f t="shared" si="5"/>
        <v>Active</v>
      </c>
      <c r="X54" s="101" t="str">
        <f t="shared" si="6"/>
        <v>One-off</v>
      </c>
      <c r="AC54" s="101" t="str">
        <f t="shared" si="7"/>
        <v>RON</v>
      </c>
      <c r="AD54" s="101">
        <f t="shared" si="8"/>
        <v>10000</v>
      </c>
    </row>
    <row r="55" spans="1:30">
      <c r="A55" s="101">
        <f t="shared" si="2"/>
        <v>2</v>
      </c>
      <c r="B55" s="101">
        <f t="shared" si="10"/>
        <v>18</v>
      </c>
      <c r="C55" s="101" t="str">
        <f t="shared" si="1"/>
        <v>T18</v>
      </c>
      <c r="D55" s="101" t="str">
        <f>IF(A55&lt;&gt;A54,VLOOKUP(A55,'Date SPV'!$A:$D,4,FALSE),D54)</f>
        <v>Braila Promenada Mall SRL</v>
      </c>
      <c r="E55" s="101" t="str">
        <f>VLOOKUP(A55,'Date SPV'!$A$4:$B$34,2,FALSE)</f>
        <v>RBPM</v>
      </c>
      <c r="H55" s="105" t="s">
        <v>894</v>
      </c>
      <c r="K55" s="101" t="str">
        <f>VLOOKUP(C55,'Preturi si tarife'!$A$4:$B$39,2,FALSE)</f>
        <v>Tarif distributie SDI JT_</v>
      </c>
      <c r="L55" s="102">
        <f>IF(B55=1,'Date masura OD'!$I$5,IF(B55=19,'Date masura OD'!$AK$5,L54))</f>
        <v>45778</v>
      </c>
      <c r="M55" s="102">
        <f>IF(B55=1,'Date masura OD'!$J$5,IF(B55=19,'Date masura OD'!$AL$5,M54))</f>
        <v>45808</v>
      </c>
      <c r="N55" s="104">
        <f>VLOOKUP(E55,verificare!$AR$4:$CC$33,B55+2,FALSE)</f>
        <v>29237</v>
      </c>
      <c r="O55" s="103">
        <f>HLOOKUP(VLOOKUP(E55,'Date SPV'!$B$4:$F$34,5,FALSE),'Preturi si tarife'!$C$2:$J$39,B55+2,FALSE)*10000</f>
        <v>1192</v>
      </c>
      <c r="Q55" s="101" t="str">
        <f t="shared" si="3"/>
        <v>One-off</v>
      </c>
      <c r="R55" s="101" t="str">
        <f>VLOOKUP(K55,'Preturi si tarife'!$B$4:$K$39,10,FALSE)</f>
        <v>ICOENG0010</v>
      </c>
      <c r="T55" s="101" t="str">
        <f t="shared" si="4"/>
        <v>INV + 30</v>
      </c>
      <c r="V55" s="101" t="str">
        <f t="shared" si="5"/>
        <v>Active</v>
      </c>
      <c r="X55" s="101" t="str">
        <f t="shared" si="6"/>
        <v>One-off</v>
      </c>
      <c r="AC55" s="101" t="str">
        <f t="shared" si="7"/>
        <v>RON</v>
      </c>
      <c r="AD55" s="101">
        <f t="shared" si="8"/>
        <v>10000</v>
      </c>
    </row>
    <row r="56" spans="1:30">
      <c r="A56" s="101">
        <f t="shared" si="2"/>
        <v>2</v>
      </c>
      <c r="B56" s="101">
        <f t="shared" si="10"/>
        <v>19</v>
      </c>
      <c r="C56" s="101" t="str">
        <f t="shared" si="1"/>
        <v>T19</v>
      </c>
      <c r="D56" s="101" t="str">
        <f>IF(A56&lt;&gt;A55,VLOOKUP(A56,'Date SPV'!$A:$D,4,FALSE),D55)</f>
        <v>Braila Promenada Mall SRL</v>
      </c>
      <c r="E56" s="101" t="str">
        <f>VLOOKUP(A56,'Date SPV'!$A$4:$B$34,2,FALSE)</f>
        <v>RBPM</v>
      </c>
      <c r="H56" s="105" t="s">
        <v>894</v>
      </c>
      <c r="K56" s="101" t="str">
        <f>VLOOKUP(C56,'Preturi si tarife'!$A$4:$B$39,2,FALSE)</f>
        <v>Regularizare Energie activa 1</v>
      </c>
      <c r="L56" s="102">
        <f>IF(B56=1,'Date masura OD'!$I$5,IF(B56=19,'Date masura OD'!$AK$5,L55))</f>
        <v>45748</v>
      </c>
      <c r="M56" s="102">
        <f>IF(B56=1,'Date masura OD'!$J$5,IF(B56=19,'Date masura OD'!$AL$5,M55))</f>
        <v>45777</v>
      </c>
      <c r="N56" s="104">
        <f>VLOOKUP(E56,verificare!$AR$4:$CC$33,B56+2,FALSE)</f>
        <v>716</v>
      </c>
      <c r="O56" s="103">
        <f>HLOOKUP(VLOOKUP(E56,'Date SPV'!$B$4:$F$34,5,FALSE),'Preturi si tarife'!$C$2:$J$39,B56+2,FALSE)*10000</f>
        <v>5950</v>
      </c>
      <c r="Q56" s="101" t="str">
        <f t="shared" si="3"/>
        <v>One-off</v>
      </c>
      <c r="R56" s="101" t="str">
        <f>VLOOKUP(K56,'Preturi si tarife'!$B$4:$K$39,10,FALSE)</f>
        <v>ICOENG0001</v>
      </c>
      <c r="T56" s="101" t="str">
        <f t="shared" si="4"/>
        <v>INV + 30</v>
      </c>
      <c r="V56" s="101" t="str">
        <f t="shared" si="5"/>
        <v>Active</v>
      </c>
      <c r="X56" s="101" t="str">
        <f t="shared" si="6"/>
        <v>One-off</v>
      </c>
      <c r="AC56" s="101" t="str">
        <f t="shared" si="7"/>
        <v>RON</v>
      </c>
      <c r="AD56" s="101">
        <f t="shared" si="8"/>
        <v>10000</v>
      </c>
    </row>
    <row r="57" spans="1:30">
      <c r="A57" s="101">
        <f t="shared" si="2"/>
        <v>2</v>
      </c>
      <c r="B57" s="101">
        <f t="shared" si="10"/>
        <v>20</v>
      </c>
      <c r="C57" s="101" t="str">
        <f t="shared" si="1"/>
        <v>T20</v>
      </c>
      <c r="D57" s="101" t="str">
        <f>IF(A57&lt;&gt;A56,VLOOKUP(A57,'Date SPV'!$A:$D,4,FALSE),D56)</f>
        <v>Braila Promenada Mall SRL</v>
      </c>
      <c r="E57" s="101" t="str">
        <f>VLOOKUP(A57,'Date SPV'!$A$4:$B$34,2,FALSE)</f>
        <v>RBPM</v>
      </c>
      <c r="H57" s="105" t="s">
        <v>894</v>
      </c>
      <c r="K57" s="101" t="str">
        <f>VLOOKUP(C57,'Preturi si tarife'!$A$4:$B$39,2,FALSE)</f>
        <v>Regularizare Energie reactiva  1X</v>
      </c>
      <c r="L57" s="102">
        <f>IF(B57=1,'Date masura OD'!$I$5,IF(B57=19,'Date masura OD'!$AK$5,L56))</f>
        <v>45748</v>
      </c>
      <c r="M57" s="102">
        <f>IF(B57=1,'Date masura OD'!$J$5,IF(B57=19,'Date masura OD'!$AL$5,M56))</f>
        <v>45777</v>
      </c>
      <c r="N57" s="104">
        <f>VLOOKUP(E57,verificare!$AR$4:$CC$33,B57+2,FALSE)</f>
        <v>11676</v>
      </c>
      <c r="O57" s="103">
        <f>HLOOKUP(VLOOKUP(E57,'Date SPV'!$B$4:$F$34,5,FALSE),'Preturi si tarife'!$C$2:$J$39,B57+2,FALSE)*10000</f>
        <v>1465</v>
      </c>
      <c r="Q57" s="101" t="str">
        <f t="shared" si="3"/>
        <v>One-off</v>
      </c>
      <c r="R57" s="101" t="str">
        <f>VLOOKUP(K57,'Preturi si tarife'!$B$4:$K$39,10,FALSE)</f>
        <v>ICOENG0001</v>
      </c>
      <c r="T57" s="101" t="str">
        <f t="shared" si="4"/>
        <v>INV + 30</v>
      </c>
      <c r="V57" s="101" t="str">
        <f t="shared" si="5"/>
        <v>Active</v>
      </c>
      <c r="X57" s="101" t="str">
        <f t="shared" si="6"/>
        <v>One-off</v>
      </c>
      <c r="AC57" s="101" t="str">
        <f t="shared" si="7"/>
        <v>RON</v>
      </c>
      <c r="AD57" s="101">
        <f t="shared" si="8"/>
        <v>10000</v>
      </c>
    </row>
    <row r="58" spans="1:30">
      <c r="A58" s="101">
        <f t="shared" si="2"/>
        <v>2</v>
      </c>
      <c r="B58" s="101">
        <f t="shared" si="10"/>
        <v>21</v>
      </c>
      <c r="C58" s="101" t="str">
        <f t="shared" si="1"/>
        <v>T21</v>
      </c>
      <c r="D58" s="101" t="str">
        <f>IF(A58&lt;&gt;A57,VLOOKUP(A58,'Date SPV'!$A:$D,4,FALSE),D57)</f>
        <v>Braila Promenada Mall SRL</v>
      </c>
      <c r="E58" s="101" t="str">
        <f>VLOOKUP(A58,'Date SPV'!$A$4:$B$34,2,FALSE)</f>
        <v>RBPM</v>
      </c>
      <c r="H58" s="105" t="s">
        <v>894</v>
      </c>
      <c r="K58" s="101" t="str">
        <f>VLOOKUP(C58,'Preturi si tarife'!$A$4:$B$39,2,FALSE)</f>
        <v>Regularizare Energie reactiva  3X</v>
      </c>
      <c r="L58" s="102">
        <f>IF(B58=1,'Date masura OD'!$I$5,IF(B58=19,'Date masura OD'!$AK$5,L57))</f>
        <v>45748</v>
      </c>
      <c r="M58" s="102">
        <f>IF(B58=1,'Date masura OD'!$J$5,IF(B58=19,'Date masura OD'!$AL$5,M57))</f>
        <v>45777</v>
      </c>
      <c r="N58" s="104">
        <f>VLOOKUP(E58,verificare!$AR$4:$CC$33,B58+2,FALSE)</f>
        <v>59666</v>
      </c>
      <c r="O58" s="103">
        <f>HLOOKUP(VLOOKUP(E58,'Date SPV'!$B$4:$F$34,5,FALSE),'Preturi si tarife'!$C$2:$J$39,B58+2,FALSE)*10000</f>
        <v>4395</v>
      </c>
      <c r="Q58" s="101" t="str">
        <f t="shared" si="3"/>
        <v>One-off</v>
      </c>
      <c r="R58" s="101" t="str">
        <f>VLOOKUP(K58,'Preturi si tarife'!$B$4:$K$39,10,FALSE)</f>
        <v>ICOENG0001</v>
      </c>
      <c r="T58" s="101" t="str">
        <f t="shared" si="4"/>
        <v>INV + 30</v>
      </c>
      <c r="V58" s="101" t="str">
        <f t="shared" si="5"/>
        <v>Active</v>
      </c>
      <c r="X58" s="101" t="str">
        <f t="shared" si="6"/>
        <v>One-off</v>
      </c>
      <c r="AC58" s="101" t="str">
        <f t="shared" si="7"/>
        <v>RON</v>
      </c>
      <c r="AD58" s="101">
        <f t="shared" si="8"/>
        <v>10000</v>
      </c>
    </row>
    <row r="59" spans="1:30">
      <c r="A59" s="101">
        <f t="shared" si="2"/>
        <v>2</v>
      </c>
      <c r="B59" s="101">
        <f t="shared" si="10"/>
        <v>22</v>
      </c>
      <c r="C59" s="101" t="str">
        <f t="shared" si="1"/>
        <v>T22</v>
      </c>
      <c r="D59" s="101" t="str">
        <f>IF(A59&lt;&gt;A58,VLOOKUP(A59,'Date SPV'!$A:$D,4,FALSE),D58)</f>
        <v>Braila Promenada Mall SRL</v>
      </c>
      <c r="E59" s="101" t="str">
        <f>VLOOKUP(A59,'Date SPV'!$A$4:$B$34,2,FALSE)</f>
        <v>RBPM</v>
      </c>
      <c r="H59" s="105" t="s">
        <v>894</v>
      </c>
      <c r="K59" s="101" t="str">
        <f>VLOOKUP(C59,'Preturi si tarife'!$A$4:$B$39,2,FALSE)</f>
        <v>Regularizare Tarife distributie en. El IT+MT</v>
      </c>
      <c r="L59" s="102">
        <f>IF(B59=1,'Date masura OD'!$I$5,IF(B59=19,'Date masura OD'!$AK$5,L58))</f>
        <v>45748</v>
      </c>
      <c r="M59" s="102">
        <f>IF(B59=1,'Date masura OD'!$J$5,IF(B59=19,'Date masura OD'!$AL$5,M58))</f>
        <v>45777</v>
      </c>
      <c r="N59" s="104">
        <f>VLOOKUP(E59,verificare!$AR$4:$CC$33,B59+2,FALSE)</f>
        <v>716</v>
      </c>
      <c r="O59" s="103">
        <f>HLOOKUP(VLOOKUP(E59,'Date SPV'!$B$4:$F$34,5,FALSE),'Preturi si tarife'!$C$2:$J$39,B59+2,FALSE)*10000</f>
        <v>1148.3</v>
      </c>
      <c r="Q59" s="101" t="str">
        <f t="shared" si="3"/>
        <v>One-off</v>
      </c>
      <c r="R59" s="101" t="str">
        <f>VLOOKUP(K59,'Preturi si tarife'!$B$4:$K$39,10,FALSE)</f>
        <v>ICOENG0001</v>
      </c>
      <c r="T59" s="101" t="str">
        <f t="shared" si="4"/>
        <v>INV + 30</v>
      </c>
      <c r="V59" s="101" t="str">
        <f t="shared" si="5"/>
        <v>Active</v>
      </c>
      <c r="X59" s="101" t="str">
        <f t="shared" si="6"/>
        <v>One-off</v>
      </c>
      <c r="AC59" s="101" t="str">
        <f t="shared" si="7"/>
        <v>RON</v>
      </c>
      <c r="AD59" s="101">
        <f t="shared" si="8"/>
        <v>10000</v>
      </c>
    </row>
    <row r="60" spans="1:30">
      <c r="A60" s="101">
        <f t="shared" si="2"/>
        <v>2</v>
      </c>
      <c r="B60" s="101">
        <f t="shared" si="10"/>
        <v>23</v>
      </c>
      <c r="C60" s="101" t="str">
        <f t="shared" si="1"/>
        <v>T23</v>
      </c>
      <c r="D60" s="101" t="str">
        <f>IF(A60&lt;&gt;A59,VLOOKUP(A60,'Date SPV'!$A:$D,4,FALSE),D59)</f>
        <v>Braila Promenada Mall SRL</v>
      </c>
      <c r="E60" s="101" t="str">
        <f>VLOOKUP(A60,'Date SPV'!$A$4:$B$34,2,FALSE)</f>
        <v>RBPM</v>
      </c>
      <c r="H60" s="105" t="s">
        <v>894</v>
      </c>
      <c r="K60" s="101" t="str">
        <f>VLOOKUP(C60,'Preturi si tarife'!$A$4:$B$39,2,FALSE)</f>
        <v>Regularizare Tarife distributie en. El JT</v>
      </c>
      <c r="L60" s="102">
        <f>IF(B60=1,'Date masura OD'!$I$5,IF(B60=19,'Date masura OD'!$AK$5,L59))</f>
        <v>45748</v>
      </c>
      <c r="M60" s="102">
        <f>IF(B60=1,'Date masura OD'!$J$5,IF(B60=19,'Date masura OD'!$AL$5,M59))</f>
        <v>45777</v>
      </c>
      <c r="N60" s="104">
        <f>VLOOKUP(E60,verificare!$AR$4:$CC$33,B60+2,FALSE)</f>
        <v>0</v>
      </c>
      <c r="O60" s="103">
        <f>HLOOKUP(VLOOKUP(E60,'Date SPV'!$B$4:$F$34,5,FALSE),'Preturi si tarife'!$C$2:$J$39,B60+2,FALSE)*10000</f>
        <v>2361</v>
      </c>
      <c r="Q60" s="101" t="str">
        <f t="shared" si="3"/>
        <v>One-off</v>
      </c>
      <c r="R60" s="101" t="str">
        <f>VLOOKUP(K60,'Preturi si tarife'!$B$4:$K$39,10,FALSE)</f>
        <v>ICOENG0001</v>
      </c>
      <c r="T60" s="101" t="str">
        <f t="shared" si="4"/>
        <v>INV + 30</v>
      </c>
      <c r="V60" s="101" t="str">
        <f t="shared" si="5"/>
        <v>Active</v>
      </c>
      <c r="X60" s="101" t="str">
        <f t="shared" si="6"/>
        <v>One-off</v>
      </c>
      <c r="AC60" s="101" t="str">
        <f t="shared" si="7"/>
        <v>RON</v>
      </c>
      <c r="AD60" s="101">
        <f t="shared" si="8"/>
        <v>10000</v>
      </c>
    </row>
    <row r="61" spans="1:30">
      <c r="A61" s="101">
        <f t="shared" si="2"/>
        <v>2</v>
      </c>
      <c r="B61" s="101">
        <f t="shared" si="10"/>
        <v>24</v>
      </c>
      <c r="C61" s="101" t="str">
        <f t="shared" si="1"/>
        <v>T24</v>
      </c>
      <c r="D61" s="101" t="str">
        <f>IF(A61&lt;&gt;A60,VLOOKUP(A61,'Date SPV'!$A:$D,4,FALSE),D60)</f>
        <v>Braila Promenada Mall SRL</v>
      </c>
      <c r="E61" s="101" t="str">
        <f>VLOOKUP(A61,'Date SPV'!$A$4:$B$34,2,FALSE)</f>
        <v>RBPM</v>
      </c>
      <c r="H61" s="105" t="s">
        <v>894</v>
      </c>
      <c r="K61" s="101" t="str">
        <f>VLOOKUP(C61,'Preturi si tarife'!$A$4:$B$39,2,FALSE)</f>
        <v xml:space="preserve">Regularizare Servicii Sistem </v>
      </c>
      <c r="L61" s="102">
        <f>IF(B61=1,'Date masura OD'!$I$5,IF(B61=19,'Date masura OD'!$AK$5,L60))</f>
        <v>45748</v>
      </c>
      <c r="M61" s="102">
        <f>IF(B61=1,'Date masura OD'!$J$5,IF(B61=19,'Date masura OD'!$AL$5,M60))</f>
        <v>45777</v>
      </c>
      <c r="N61" s="104">
        <f>VLOOKUP(E61,verificare!$AR$4:$CC$33,B61+2,FALSE)</f>
        <v>716</v>
      </c>
      <c r="O61" s="103">
        <f>HLOOKUP(VLOOKUP(E61,'Date SPV'!$B$4:$F$34,5,FALSE),'Preturi si tarife'!$C$2:$J$39,B61+2,FALSE)*10000</f>
        <v>115.1</v>
      </c>
      <c r="Q61" s="101" t="str">
        <f t="shared" si="3"/>
        <v>One-off</v>
      </c>
      <c r="R61" s="101" t="str">
        <f>VLOOKUP(K61,'Preturi si tarife'!$B$4:$K$39,10,FALSE)</f>
        <v>ICOENG0001</v>
      </c>
      <c r="T61" s="101" t="str">
        <f t="shared" si="4"/>
        <v>INV + 30</v>
      </c>
      <c r="V61" s="101" t="str">
        <f t="shared" si="5"/>
        <v>Active</v>
      </c>
      <c r="X61" s="101" t="str">
        <f t="shared" si="6"/>
        <v>One-off</v>
      </c>
      <c r="AC61" s="101" t="str">
        <f t="shared" si="7"/>
        <v>RON</v>
      </c>
      <c r="AD61" s="101">
        <f t="shared" si="8"/>
        <v>10000</v>
      </c>
    </row>
    <row r="62" spans="1:30">
      <c r="A62" s="101">
        <f t="shared" si="2"/>
        <v>2</v>
      </c>
      <c r="B62" s="101">
        <f t="shared" si="10"/>
        <v>25</v>
      </c>
      <c r="C62" s="101" t="str">
        <f t="shared" si="1"/>
        <v>T25</v>
      </c>
      <c r="D62" s="101" t="str">
        <f>IF(A62&lt;&gt;A61,VLOOKUP(A62,'Date SPV'!$A:$D,4,FALSE),D61)</f>
        <v>Braila Promenada Mall SRL</v>
      </c>
      <c r="E62" s="101" t="str">
        <f>VLOOKUP(A62,'Date SPV'!$A$4:$B$34,2,FALSE)</f>
        <v>RBPM</v>
      </c>
      <c r="H62" s="105" t="s">
        <v>894</v>
      </c>
      <c r="K62" s="101" t="str">
        <f>VLOOKUP(C62,'Preturi si tarife'!$A$4:$B$39,2,FALSE)</f>
        <v>Regularizare Tarif de introducere en. el in retea (TL)</v>
      </c>
      <c r="L62" s="102">
        <f>IF(B62=1,'Date masura OD'!$I$5,IF(B62=19,'Date masura OD'!$AK$5,L61))</f>
        <v>45748</v>
      </c>
      <c r="M62" s="102">
        <f>IF(B62=1,'Date masura OD'!$J$5,IF(B62=19,'Date masura OD'!$AL$5,M61))</f>
        <v>45777</v>
      </c>
      <c r="N62" s="104">
        <f>VLOOKUP(E62,verificare!$AR$4:$CC$33,B62+2,FALSE)</f>
        <v>716</v>
      </c>
      <c r="O62" s="103">
        <f>HLOOKUP(VLOOKUP(E62,'Date SPV'!$B$4:$F$34,5,FALSE),'Preturi si tarife'!$C$2:$J$39,B62+2,FALSE)*10000</f>
        <v>330.3</v>
      </c>
      <c r="Q62" s="101" t="str">
        <f t="shared" si="3"/>
        <v>One-off</v>
      </c>
      <c r="R62" s="101" t="str">
        <f>VLOOKUP(K62,'Preturi si tarife'!$B$4:$K$39,10,FALSE)</f>
        <v>ICOENG0001</v>
      </c>
      <c r="T62" s="101" t="str">
        <f t="shared" si="4"/>
        <v>INV + 30</v>
      </c>
      <c r="V62" s="101" t="str">
        <f t="shared" si="5"/>
        <v>Active</v>
      </c>
      <c r="X62" s="101" t="str">
        <f t="shared" si="6"/>
        <v>One-off</v>
      </c>
      <c r="AC62" s="101" t="str">
        <f t="shared" si="7"/>
        <v>RON</v>
      </c>
      <c r="AD62" s="101">
        <f t="shared" si="8"/>
        <v>10000</v>
      </c>
    </row>
    <row r="63" spans="1:30">
      <c r="A63" s="101">
        <f t="shared" si="2"/>
        <v>2</v>
      </c>
      <c r="B63" s="101">
        <f t="shared" si="10"/>
        <v>26</v>
      </c>
      <c r="C63" s="101" t="str">
        <f t="shared" si="1"/>
        <v>T26</v>
      </c>
      <c r="D63" s="101" t="str">
        <f>IF(A63&lt;&gt;A62,VLOOKUP(A63,'Date SPV'!$A:$D,4,FALSE),D62)</f>
        <v>Braila Promenada Mall SRL</v>
      </c>
      <c r="E63" s="101" t="str">
        <f>VLOOKUP(A63,'Date SPV'!$A$4:$B$34,2,FALSE)</f>
        <v>RBPM</v>
      </c>
      <c r="H63" s="105" t="s">
        <v>894</v>
      </c>
      <c r="K63" s="101" t="str">
        <f>VLOOKUP(C63,'Preturi si tarife'!$A$4:$B$39,2,FALSE)</f>
        <v>Regularizare Tarif de introducere en.el in retea (TG)</v>
      </c>
      <c r="L63" s="102">
        <f>IF(B63=1,'Date masura OD'!$I$5,IF(B63=19,'Date masura OD'!$AK$5,L62))</f>
        <v>45748</v>
      </c>
      <c r="M63" s="102">
        <f>IF(B63=1,'Date masura OD'!$J$5,IF(B63=19,'Date masura OD'!$AL$5,M62))</f>
        <v>45777</v>
      </c>
      <c r="N63" s="104">
        <f>VLOOKUP(E63,verificare!$AR$4:$CC$33,B63+2,FALSE)</f>
        <v>716</v>
      </c>
      <c r="O63" s="103">
        <f>HLOOKUP(VLOOKUP(E63,'Date SPV'!$B$4:$F$34,5,FALSE),'Preturi si tarife'!$C$2:$J$39,B63+2,FALSE)*10000</f>
        <v>32.9</v>
      </c>
      <c r="Q63" s="101" t="str">
        <f t="shared" si="3"/>
        <v>One-off</v>
      </c>
      <c r="R63" s="101" t="str">
        <f>VLOOKUP(K63,'Preturi si tarife'!$B$4:$K$39,10,FALSE)</f>
        <v>ICOENG0001</v>
      </c>
      <c r="T63" s="101" t="str">
        <f t="shared" si="4"/>
        <v>INV + 30</v>
      </c>
      <c r="V63" s="101" t="str">
        <f t="shared" si="5"/>
        <v>Active</v>
      </c>
      <c r="X63" s="101" t="str">
        <f t="shared" si="6"/>
        <v>One-off</v>
      </c>
      <c r="AC63" s="101" t="str">
        <f t="shared" si="7"/>
        <v>RON</v>
      </c>
      <c r="AD63" s="101">
        <f t="shared" si="8"/>
        <v>10000</v>
      </c>
    </row>
    <row r="64" spans="1:30">
      <c r="A64" s="101">
        <f t="shared" si="2"/>
        <v>2</v>
      </c>
      <c r="B64" s="101">
        <f t="shared" si="10"/>
        <v>27</v>
      </c>
      <c r="C64" s="101" t="str">
        <f t="shared" si="1"/>
        <v>T27</v>
      </c>
      <c r="D64" s="101" t="str">
        <f>IF(A64&lt;&gt;A63,VLOOKUP(A64,'Date SPV'!$A:$D,4,FALSE),D63)</f>
        <v>Braila Promenada Mall SRL</v>
      </c>
      <c r="E64" s="101" t="str">
        <f>VLOOKUP(A64,'Date SPV'!$A$4:$B$34,2,FALSE)</f>
        <v>RBPM</v>
      </c>
      <c r="H64" s="105" t="s">
        <v>894</v>
      </c>
      <c r="K64" s="101" t="str">
        <f>VLOOKUP(C64,'Preturi si tarife'!$A$4:$B$39,2,FALSE)</f>
        <v>Regularizare Contributie pentru cogenerare</v>
      </c>
      <c r="L64" s="102">
        <f>IF(B64=1,'Date masura OD'!$I$5,IF(B64=19,'Date masura OD'!$AK$5,L63))</f>
        <v>45748</v>
      </c>
      <c r="M64" s="102">
        <f>IF(B64=1,'Date masura OD'!$J$5,IF(B64=19,'Date masura OD'!$AL$5,M63))</f>
        <v>45777</v>
      </c>
      <c r="N64" s="104">
        <f>VLOOKUP(E64,verificare!$AR$4:$CC$33,B64+2,FALSE)</f>
        <v>716</v>
      </c>
      <c r="O64" s="103">
        <f>HLOOKUP(VLOOKUP(E64,'Date SPV'!$B$4:$F$34,5,FALSE),'Preturi si tarife'!$C$2:$J$39,B64+2,FALSE)*10000</f>
        <v>35</v>
      </c>
      <c r="Q64" s="101" t="str">
        <f t="shared" si="3"/>
        <v>One-off</v>
      </c>
      <c r="R64" s="101" t="str">
        <f>VLOOKUP(K64,'Preturi si tarife'!$B$4:$K$39,10,FALSE)</f>
        <v>ICOENG0001</v>
      </c>
      <c r="T64" s="101" t="str">
        <f t="shared" si="4"/>
        <v>INV + 30</v>
      </c>
      <c r="V64" s="101" t="str">
        <f t="shared" si="5"/>
        <v>Active</v>
      </c>
      <c r="X64" s="101" t="str">
        <f t="shared" si="6"/>
        <v>One-off</v>
      </c>
      <c r="AC64" s="101" t="str">
        <f t="shared" si="7"/>
        <v>RON</v>
      </c>
      <c r="AD64" s="101">
        <f t="shared" si="8"/>
        <v>10000</v>
      </c>
    </row>
    <row r="65" spans="1:30">
      <c r="A65" s="101">
        <f t="shared" si="2"/>
        <v>2</v>
      </c>
      <c r="B65" s="101">
        <f t="shared" si="10"/>
        <v>28</v>
      </c>
      <c r="C65" s="101" t="str">
        <f t="shared" si="1"/>
        <v>T28</v>
      </c>
      <c r="D65" s="101" t="str">
        <f>IF(A65&lt;&gt;A64,VLOOKUP(A65,'Date SPV'!$A:$D,4,FALSE),D64)</f>
        <v>Braila Promenada Mall SRL</v>
      </c>
      <c r="E65" s="101" t="str">
        <f>VLOOKUP(A65,'Date SPV'!$A$4:$B$34,2,FALSE)</f>
        <v>RBPM</v>
      </c>
      <c r="H65" s="105" t="s">
        <v>894</v>
      </c>
      <c r="K65" s="101" t="str">
        <f>VLOOKUP(C65,'Preturi si tarife'!$A$4:$B$39,2,FALSE)</f>
        <v xml:space="preserve">Regularizare Certificate verzi </v>
      </c>
      <c r="L65" s="102">
        <f>IF(B65=1,'Date masura OD'!$I$5,IF(B65=19,'Date masura OD'!$AK$5,L64))</f>
        <v>45748</v>
      </c>
      <c r="M65" s="102">
        <f>IF(B65=1,'Date masura OD'!$J$5,IF(B65=19,'Date masura OD'!$AL$5,M64))</f>
        <v>45777</v>
      </c>
      <c r="N65" s="104">
        <f>VLOOKUP(E65,verificare!$AR$4:$CC$33,B65+2,FALSE)</f>
        <v>716</v>
      </c>
      <c r="O65" s="103">
        <f>HLOOKUP(VLOOKUP(E65,'Date SPV'!$B$4:$F$34,5,FALSE),'Preturi si tarife'!$C$2:$J$39,B65+2,FALSE)*10000</f>
        <v>725.41599999999994</v>
      </c>
      <c r="Q65" s="101" t="str">
        <f t="shared" si="3"/>
        <v>One-off</v>
      </c>
      <c r="R65" s="101" t="str">
        <f>VLOOKUP(K65,'Preturi si tarife'!$B$4:$K$39,10,FALSE)</f>
        <v>ICOENG0001</v>
      </c>
      <c r="T65" s="101" t="str">
        <f t="shared" si="4"/>
        <v>INV + 30</v>
      </c>
      <c r="V65" s="101" t="str">
        <f t="shared" si="5"/>
        <v>Active</v>
      </c>
      <c r="X65" s="101" t="str">
        <f t="shared" si="6"/>
        <v>One-off</v>
      </c>
      <c r="AC65" s="101" t="str">
        <f t="shared" si="7"/>
        <v>RON</v>
      </c>
      <c r="AD65" s="101">
        <f t="shared" si="8"/>
        <v>10000</v>
      </c>
    </row>
    <row r="66" spans="1:30">
      <c r="A66" s="101">
        <f t="shared" si="2"/>
        <v>2</v>
      </c>
      <c r="B66" s="101">
        <f t="shared" si="10"/>
        <v>29</v>
      </c>
      <c r="C66" s="101" t="str">
        <f t="shared" si="1"/>
        <v>T29</v>
      </c>
      <c r="D66" s="101" t="str">
        <f>IF(A66&lt;&gt;A65,VLOOKUP(A66,'Date SPV'!$A:$D,4,FALSE),D65)</f>
        <v>Braila Promenada Mall SRL</v>
      </c>
      <c r="E66" s="101" t="str">
        <f>VLOOKUP(A66,'Date SPV'!$A$4:$B$34,2,FALSE)</f>
        <v>RBPM</v>
      </c>
      <c r="H66" s="105" t="s">
        <v>894</v>
      </c>
      <c r="K66" s="101" t="str">
        <f>VLOOKUP(C66,'Preturi si tarife'!$A$4:$B$39,2,FALSE)</f>
        <v>Regularizare Contributie CFD</v>
      </c>
      <c r="L66" s="102">
        <f>IF(B66=1,'Date masura OD'!$I$5,IF(B66=19,'Date masura OD'!$AK$5,L65))</f>
        <v>45748</v>
      </c>
      <c r="M66" s="102">
        <f>IF(B66=1,'Date masura OD'!$J$5,IF(B66=19,'Date masura OD'!$AL$5,M65))</f>
        <v>45777</v>
      </c>
      <c r="N66" s="104">
        <f>VLOOKUP(E66,verificare!$AR$4:$CC$33,B66+2,FALSE)</f>
        <v>716</v>
      </c>
      <c r="O66" s="103">
        <f>HLOOKUP(VLOOKUP(E66,'Date SPV'!$B$4:$F$34,5,FALSE),'Preturi si tarife'!$C$2:$J$39,B66+2,FALSE)*10000</f>
        <v>2.06</v>
      </c>
      <c r="Q66" s="101" t="str">
        <f t="shared" si="3"/>
        <v>One-off</v>
      </c>
      <c r="R66" s="101" t="str">
        <f>VLOOKUP(K66,'Preturi si tarife'!$B$4:$K$39,10,FALSE)</f>
        <v>ICOENG0001</v>
      </c>
      <c r="T66" s="101" t="str">
        <f t="shared" si="4"/>
        <v>INV + 30</v>
      </c>
      <c r="V66" s="101" t="str">
        <f t="shared" si="5"/>
        <v>Active</v>
      </c>
      <c r="X66" s="101" t="str">
        <f t="shared" si="6"/>
        <v>One-off</v>
      </c>
      <c r="AC66" s="101" t="str">
        <f t="shared" si="7"/>
        <v>RON</v>
      </c>
      <c r="AD66" s="101">
        <f t="shared" si="8"/>
        <v>10000</v>
      </c>
    </row>
    <row r="67" spans="1:30">
      <c r="A67" s="101">
        <f t="shared" si="2"/>
        <v>2</v>
      </c>
      <c r="B67" s="101">
        <f t="shared" si="10"/>
        <v>30</v>
      </c>
      <c r="C67" s="101" t="str">
        <f t="shared" ref="C67:C124" si="11">_xlfn.CONCAT("T",B67)</f>
        <v>T30</v>
      </c>
      <c r="D67" s="101" t="str">
        <f>IF(A67&lt;&gt;A66,VLOOKUP(A67,'Date SPV'!$A:$D,4,FALSE),D66)</f>
        <v>Braila Promenada Mall SRL</v>
      </c>
      <c r="E67" s="101" t="str">
        <f>VLOOKUP(A67,'Date SPV'!$A$4:$B$34,2,FALSE)</f>
        <v>RBPM</v>
      </c>
      <c r="H67" s="105" t="s">
        <v>894</v>
      </c>
      <c r="K67" s="101" t="str">
        <f>VLOOKUP(C67,'Preturi si tarife'!$A$4:$B$39,2,FALSE)</f>
        <v>Regularizare Acciza</v>
      </c>
      <c r="L67" s="102">
        <f>IF(B67=1,'Date masura OD'!$I$5,IF(B67=19,'Date masura OD'!$AK$5,L66))</f>
        <v>45748</v>
      </c>
      <c r="M67" s="102">
        <f>IF(B67=1,'Date masura OD'!$J$5,IF(B67=19,'Date masura OD'!$AL$5,M66))</f>
        <v>45777</v>
      </c>
      <c r="N67" s="104">
        <f>VLOOKUP(E67,verificare!$AR$4:$CC$33,B67+2,FALSE)</f>
        <v>716</v>
      </c>
      <c r="O67" s="103">
        <f>HLOOKUP(VLOOKUP(E67,'Date SPV'!$B$4:$F$34,5,FALSE),'Preturi si tarife'!$C$2:$J$39,B67+2,FALSE)*10000</f>
        <v>0</v>
      </c>
      <c r="Q67" s="101" t="str">
        <f t="shared" si="3"/>
        <v>One-off</v>
      </c>
      <c r="R67" s="101" t="str">
        <f>VLOOKUP(K67,'Preturi si tarife'!$B$4:$K$39,10,FALSE)</f>
        <v>ICOENG0001</v>
      </c>
      <c r="T67" s="101" t="str">
        <f t="shared" si="4"/>
        <v>INV + 30</v>
      </c>
      <c r="V67" s="101" t="str">
        <f t="shared" si="5"/>
        <v>Active</v>
      </c>
      <c r="X67" s="101" t="str">
        <f t="shared" si="6"/>
        <v>One-off</v>
      </c>
      <c r="AC67" s="101" t="str">
        <f t="shared" si="7"/>
        <v>RON</v>
      </c>
      <c r="AD67" s="101">
        <f t="shared" si="8"/>
        <v>10000</v>
      </c>
    </row>
    <row r="68" spans="1:30">
      <c r="A68" s="101">
        <f t="shared" ref="A68:A131" si="12">IF(B67=36,A67+1,A67)</f>
        <v>2</v>
      </c>
      <c r="B68" s="101">
        <f t="shared" si="10"/>
        <v>31</v>
      </c>
      <c r="C68" s="101" t="str">
        <f t="shared" si="11"/>
        <v>T31</v>
      </c>
      <c r="D68" s="101" t="str">
        <f>IF(A68&lt;&gt;A67,VLOOKUP(A68,'Date SPV'!$A:$D,4,FALSE),D67)</f>
        <v>Braila Promenada Mall SRL</v>
      </c>
      <c r="E68" s="101" t="str">
        <f>VLOOKUP(A68,'Date SPV'!$A$4:$B$34,2,FALSE)</f>
        <v>RBPM</v>
      </c>
      <c r="H68" s="105" t="s">
        <v>894</v>
      </c>
      <c r="K68" s="101" t="str">
        <f>VLOOKUP(C68,'Preturi si tarife'!$A$4:$B$39,2,FALSE)</f>
        <v>Regularizare Tarif distributie SDI MT Ea1</v>
      </c>
      <c r="L68" s="102">
        <f>IF(B68=1,'Date masura OD'!$I$5,IF(B68=19,'Date masura OD'!$AK$5,L67))</f>
        <v>45748</v>
      </c>
      <c r="M68" s="102">
        <f>IF(B68=1,'Date masura OD'!$J$5,IF(B68=19,'Date masura OD'!$AL$5,M67))</f>
        <v>45777</v>
      </c>
      <c r="N68" s="104">
        <f>VLOOKUP(E68,verificare!$AR$4:$CC$33,B68+2,FALSE)</f>
        <v>0</v>
      </c>
      <c r="O68" s="103">
        <f>HLOOKUP(VLOOKUP(E68,'Date SPV'!$B$4:$F$34,5,FALSE),'Preturi si tarife'!$C$2:$J$39,B68+2,FALSE)*10000</f>
        <v>149</v>
      </c>
      <c r="Q68" s="101" t="str">
        <f t="shared" ref="Q68:Q315" si="13">Q67</f>
        <v>One-off</v>
      </c>
      <c r="R68" s="101" t="str">
        <f>VLOOKUP(K68,'Preturi si tarife'!$B$4:$K$39,10,FALSE)</f>
        <v>ICOENG0010</v>
      </c>
      <c r="T68" s="101" t="str">
        <f t="shared" ref="T68:T315" si="14">T67</f>
        <v>INV + 30</v>
      </c>
      <c r="V68" s="101" t="str">
        <f t="shared" ref="V68:V315" si="15">V67</f>
        <v>Active</v>
      </c>
      <c r="X68" s="101" t="str">
        <f t="shared" ref="X68:X315" si="16">X67</f>
        <v>One-off</v>
      </c>
      <c r="AC68" s="101" t="str">
        <f t="shared" ref="AC68:AD124" si="17">AC67</f>
        <v>RON</v>
      </c>
      <c r="AD68" s="101">
        <f t="shared" si="17"/>
        <v>10000</v>
      </c>
    </row>
    <row r="69" spans="1:30">
      <c r="A69" s="101">
        <f t="shared" si="12"/>
        <v>2</v>
      </c>
      <c r="B69" s="101">
        <f t="shared" si="10"/>
        <v>32</v>
      </c>
      <c r="C69" s="101" t="str">
        <f t="shared" si="11"/>
        <v>T32</v>
      </c>
      <c r="D69" s="101" t="str">
        <f>IF(A69&lt;&gt;A68,VLOOKUP(A69,'Date SPV'!$A:$D,4,FALSE),D68)</f>
        <v>Braila Promenada Mall SRL</v>
      </c>
      <c r="E69" s="101" t="str">
        <f>VLOOKUP(A69,'Date SPV'!$A$4:$B$34,2,FALSE)</f>
        <v>RBPM</v>
      </c>
      <c r="H69" s="105" t="s">
        <v>894</v>
      </c>
      <c r="K69" s="101" t="str">
        <f>VLOOKUP(C69,'Preturi si tarife'!$A$4:$B$39,2,FALSE)</f>
        <v>Regularizare Tarif distributie SDI JT Ea1</v>
      </c>
      <c r="L69" s="102">
        <f>IF(B69=1,'Date masura OD'!$I$5,IF(B69=19,'Date masura OD'!$AK$5,L68))</f>
        <v>45748</v>
      </c>
      <c r="M69" s="102">
        <f>IF(B69=1,'Date masura OD'!$J$5,IF(B69=19,'Date masura OD'!$AL$5,M68))</f>
        <v>45777</v>
      </c>
      <c r="N69" s="104">
        <f>VLOOKUP(E69,verificare!$AR$4:$CC$33,B69+2,FALSE)</f>
        <v>0</v>
      </c>
      <c r="O69" s="103">
        <f>HLOOKUP(VLOOKUP(E69,'Date SPV'!$B$4:$F$34,5,FALSE),'Preturi si tarife'!$C$2:$J$39,B69+2,FALSE)*10000</f>
        <v>1192</v>
      </c>
      <c r="Q69" s="101" t="str">
        <f t="shared" si="13"/>
        <v>One-off</v>
      </c>
      <c r="R69" s="101" t="str">
        <f>VLOOKUP(K69,'Preturi si tarife'!$B$4:$K$39,10,FALSE)</f>
        <v>ICOENG0010</v>
      </c>
      <c r="T69" s="101" t="str">
        <f t="shared" si="14"/>
        <v>INV + 30</v>
      </c>
      <c r="V69" s="101" t="str">
        <f t="shared" si="15"/>
        <v>Active</v>
      </c>
      <c r="X69" s="101" t="str">
        <f t="shared" si="16"/>
        <v>One-off</v>
      </c>
      <c r="AC69" s="101" t="str">
        <f t="shared" si="17"/>
        <v>RON</v>
      </c>
      <c r="AD69" s="101">
        <f t="shared" si="17"/>
        <v>10000</v>
      </c>
    </row>
    <row r="70" spans="1:30">
      <c r="A70" s="101">
        <f t="shared" si="12"/>
        <v>2</v>
      </c>
      <c r="B70" s="101">
        <f t="shared" si="10"/>
        <v>33</v>
      </c>
      <c r="C70" s="101" t="str">
        <f t="shared" si="11"/>
        <v>T33</v>
      </c>
      <c r="D70" s="101" t="str">
        <f>IF(A70&lt;&gt;A69,VLOOKUP(A70,'Date SPV'!$A:$D,4,FALSE),D69)</f>
        <v>Braila Promenada Mall SRL</v>
      </c>
      <c r="E70" s="101" t="str">
        <f>VLOOKUP(A70,'Date SPV'!$A$4:$B$34,2,FALSE)</f>
        <v>RBPM</v>
      </c>
      <c r="H70" s="105" t="s">
        <v>894</v>
      </c>
      <c r="K70" s="101" t="str">
        <f>VLOOKUP(C70,'Preturi si tarife'!$A$4:$B$39,2,FALSE)</f>
        <v>Regularizare Energie activa 2</v>
      </c>
      <c r="L70" s="102">
        <f>IF(B70=1,'Date masura OD'!$I$5,IF(B70=19,'Date masura OD'!$AK$5,L69))</f>
        <v>45748</v>
      </c>
      <c r="M70" s="102">
        <f>IF(B70=1,'Date masura OD'!$J$5,IF(B70=19,'Date masura OD'!$AL$5,M69))</f>
        <v>45777</v>
      </c>
      <c r="N70" s="104">
        <f>VLOOKUP(E70,verificare!$AR$4:$CC$33,B70+2,FALSE)</f>
        <v>0</v>
      </c>
      <c r="O70" s="103">
        <f>HLOOKUP(VLOOKUP(E70,'Date SPV'!$B$4:$F$34,5,FALSE),'Preturi si tarife'!$C$2:$J$39,B70+2,FALSE)*10000</f>
        <v>9680.0760000000009</v>
      </c>
      <c r="Q70" s="101" t="str">
        <f t="shared" si="13"/>
        <v>One-off</v>
      </c>
      <c r="R70" s="101" t="str">
        <f>VLOOKUP(K70,'Preturi si tarife'!$B$4:$K$39,10,FALSE)</f>
        <v>ICOENG0012</v>
      </c>
      <c r="T70" s="101" t="str">
        <f t="shared" si="14"/>
        <v>INV + 30</v>
      </c>
      <c r="V70" s="101" t="str">
        <f t="shared" si="15"/>
        <v>Active</v>
      </c>
      <c r="X70" s="101" t="str">
        <f t="shared" si="16"/>
        <v>One-off</v>
      </c>
      <c r="AC70" s="101" t="str">
        <f t="shared" si="17"/>
        <v>RON</v>
      </c>
      <c r="AD70" s="101">
        <f t="shared" si="17"/>
        <v>10000</v>
      </c>
    </row>
    <row r="71" spans="1:30">
      <c r="A71" s="101">
        <f t="shared" si="12"/>
        <v>2</v>
      </c>
      <c r="B71" s="101">
        <f t="shared" si="10"/>
        <v>34</v>
      </c>
      <c r="C71" s="101" t="str">
        <f t="shared" si="11"/>
        <v>T34</v>
      </c>
      <c r="D71" s="101" t="str">
        <f>IF(A71&lt;&gt;A70,VLOOKUP(A71,'Date SPV'!$A:$D,4,FALSE),D70)</f>
        <v>Braila Promenada Mall SRL</v>
      </c>
      <c r="E71" s="101" t="str">
        <f>VLOOKUP(A71,'Date SPV'!$A$4:$B$34,2,FALSE)</f>
        <v>RBPM</v>
      </c>
      <c r="H71" s="105" t="s">
        <v>894</v>
      </c>
      <c r="K71" s="101" t="str">
        <f>VLOOKUP(C71,'Preturi si tarife'!$A$4:$B$39,2,FALSE)</f>
        <v>Regularizare Energie activa 3</v>
      </c>
      <c r="L71" s="102">
        <f>IF(B71=1,'Date masura OD'!$I$5,IF(B71=19,'Date masura OD'!$AK$5,L70))</f>
        <v>45748</v>
      </c>
      <c r="M71" s="102">
        <f>IF(B71=1,'Date masura OD'!$J$5,IF(B71=19,'Date masura OD'!$AL$5,M70))</f>
        <v>45777</v>
      </c>
      <c r="N71" s="104">
        <f>VLOOKUP(E71,verificare!$AR$4:$CC$33,B71+2,FALSE)</f>
        <v>0</v>
      </c>
      <c r="O71" s="103">
        <f>HLOOKUP(VLOOKUP(E71,'Date SPV'!$B$4:$F$34,5,FALSE),'Preturi si tarife'!$C$2:$J$39,B71+2,FALSE)*10000</f>
        <v>8339.0760000000009</v>
      </c>
      <c r="Q71" s="101" t="str">
        <f t="shared" si="13"/>
        <v>One-off</v>
      </c>
      <c r="R71" s="101" t="str">
        <f>VLOOKUP(K71,'Preturi si tarife'!$B$4:$K$39,10,FALSE)</f>
        <v>ICOENG0012</v>
      </c>
      <c r="T71" s="101" t="str">
        <f t="shared" si="14"/>
        <v>INV + 30</v>
      </c>
      <c r="V71" s="101" t="str">
        <f t="shared" si="15"/>
        <v>Active</v>
      </c>
      <c r="X71" s="101" t="str">
        <f t="shared" si="16"/>
        <v>One-off</v>
      </c>
      <c r="AC71" s="101" t="str">
        <f t="shared" si="17"/>
        <v>RON</v>
      </c>
      <c r="AD71" s="101">
        <f t="shared" si="17"/>
        <v>10000</v>
      </c>
    </row>
    <row r="72" spans="1:30">
      <c r="A72" s="101">
        <f t="shared" si="12"/>
        <v>2</v>
      </c>
      <c r="B72" s="101">
        <f t="shared" si="10"/>
        <v>35</v>
      </c>
      <c r="C72" s="101" t="str">
        <f t="shared" si="11"/>
        <v>T35</v>
      </c>
      <c r="D72" s="101" t="str">
        <f>IF(A72&lt;&gt;A71,VLOOKUP(A72,'Date SPV'!$A:$D,4,FALSE),D71)</f>
        <v>Braila Promenada Mall SRL</v>
      </c>
      <c r="E72" s="101" t="str">
        <f>VLOOKUP(A72,'Date SPV'!$A$4:$B$34,2,FALSE)</f>
        <v>RBPM</v>
      </c>
      <c r="H72" s="105" t="s">
        <v>894</v>
      </c>
      <c r="K72" s="101" t="str">
        <f>VLOOKUP(C72,'Preturi si tarife'!$A$4:$B$39,2,FALSE)</f>
        <v>Regularizare Tarif distributie SDI MT Ea3</v>
      </c>
      <c r="L72" s="102">
        <f>IF(B72=1,'Date masura OD'!$I$5,IF(B72=19,'Date masura OD'!$AK$5,L71))</f>
        <v>45748</v>
      </c>
      <c r="M72" s="102">
        <f>IF(B72=1,'Date masura OD'!$J$5,IF(B72=19,'Date masura OD'!$AL$5,M71))</f>
        <v>45777</v>
      </c>
      <c r="N72" s="104">
        <f>VLOOKUP(E72,verificare!$AR$4:$CC$33,B72+2,FALSE)</f>
        <v>0</v>
      </c>
      <c r="O72" s="103">
        <f>HLOOKUP(VLOOKUP(E72,'Date SPV'!$B$4:$F$34,5,FALSE),'Preturi si tarife'!$C$2:$J$39,B72+2,FALSE)*10000</f>
        <v>149</v>
      </c>
      <c r="Q72" s="101" t="str">
        <f t="shared" si="13"/>
        <v>One-off</v>
      </c>
      <c r="R72" s="101" t="str">
        <f>VLOOKUP(K72,'Preturi si tarife'!$B$4:$K$39,10,FALSE)</f>
        <v>ICOENG0010</v>
      </c>
      <c r="T72" s="101" t="str">
        <f t="shared" si="14"/>
        <v>INV + 30</v>
      </c>
      <c r="V72" s="101" t="str">
        <f t="shared" si="15"/>
        <v>Active</v>
      </c>
      <c r="X72" s="101" t="str">
        <f t="shared" si="16"/>
        <v>One-off</v>
      </c>
      <c r="AC72" s="101" t="str">
        <f t="shared" si="17"/>
        <v>RON</v>
      </c>
      <c r="AD72" s="101">
        <f t="shared" si="17"/>
        <v>10000</v>
      </c>
    </row>
    <row r="73" spans="1:30">
      <c r="A73" s="101">
        <f t="shared" si="12"/>
        <v>2</v>
      </c>
      <c r="B73" s="101">
        <f t="shared" si="10"/>
        <v>36</v>
      </c>
      <c r="C73" s="101" t="str">
        <f t="shared" si="11"/>
        <v>T36</v>
      </c>
      <c r="D73" s="101" t="str">
        <f>IF(A73&lt;&gt;A72,VLOOKUP(A73,'Date SPV'!$A:$D,4,FALSE),D72)</f>
        <v>Braila Promenada Mall SRL</v>
      </c>
      <c r="E73" s="101" t="str">
        <f>VLOOKUP(A73,'Date SPV'!$A$4:$B$34,2,FALSE)</f>
        <v>RBPM</v>
      </c>
      <c r="H73" s="105" t="s">
        <v>894</v>
      </c>
      <c r="K73" s="101" t="str">
        <f>VLOOKUP(C73,'Preturi si tarife'!$A$4:$B$39,2,FALSE)</f>
        <v>Regularizare Tarif distributie SDI JT Ea3</v>
      </c>
      <c r="L73" s="102">
        <f>IF(B73=1,'Date masura OD'!$I$5,IF(B73=19,'Date masura OD'!$AK$5,L72))</f>
        <v>45748</v>
      </c>
      <c r="M73" s="102">
        <f>IF(B73=1,'Date masura OD'!$J$5,IF(B73=19,'Date masura OD'!$AL$5,M72))</f>
        <v>45777</v>
      </c>
      <c r="N73" s="104">
        <f>VLOOKUP(E73,verificare!$AR$4:$CC$33,B73+2,FALSE)</f>
        <v>0</v>
      </c>
      <c r="O73" s="103">
        <f>HLOOKUP(VLOOKUP(E73,'Date SPV'!$B$4:$F$34,5,FALSE),'Preturi si tarife'!$C$2:$J$39,B73+2,FALSE)*10000</f>
        <v>1192</v>
      </c>
      <c r="Q73" s="101" t="str">
        <f t="shared" si="13"/>
        <v>One-off</v>
      </c>
      <c r="R73" s="101" t="str">
        <f>VLOOKUP(K73,'Preturi si tarife'!$B$4:$K$39,10,FALSE)</f>
        <v>ICOENG0010</v>
      </c>
      <c r="T73" s="101" t="str">
        <f t="shared" si="14"/>
        <v>INV + 30</v>
      </c>
      <c r="V73" s="101" t="str">
        <f t="shared" si="15"/>
        <v>Active</v>
      </c>
      <c r="X73" s="101" t="str">
        <f t="shared" si="16"/>
        <v>One-off</v>
      </c>
      <c r="AC73" s="101" t="str">
        <f t="shared" si="17"/>
        <v>RON</v>
      </c>
      <c r="AD73" s="101">
        <f t="shared" si="17"/>
        <v>10000</v>
      </c>
    </row>
    <row r="74" spans="1:30">
      <c r="A74" s="101">
        <f t="shared" si="12"/>
        <v>3</v>
      </c>
      <c r="B74" s="101">
        <f t="shared" si="10"/>
        <v>1</v>
      </c>
      <c r="C74" s="101" t="str">
        <f t="shared" si="11"/>
        <v>T1</v>
      </c>
      <c r="D74" s="101" t="str">
        <f>IF(A74&lt;&gt;A73,VLOOKUP(A74,'Date SPV'!$A:$D,4,FALSE),D73)</f>
        <v>Ploiesti Shopping City SRL</v>
      </c>
      <c r="E74" s="101" t="str">
        <f>VLOOKUP(A74,'Date SPV'!$A$4:$B$34,2,FALSE)</f>
        <v>RPSC</v>
      </c>
      <c r="H74" s="105" t="s">
        <v>894</v>
      </c>
      <c r="K74" s="101" t="str">
        <f>VLOOKUP(C74,'Preturi si tarife'!$A$4:$B$39,2,FALSE)</f>
        <v>Energie activa 1</v>
      </c>
      <c r="L74" s="102">
        <f>IF(B74=1,'Date masura OD'!$I$5,IF(B74=19,'Date masura OD'!$AK$5,L73))</f>
        <v>45778</v>
      </c>
      <c r="M74" s="102">
        <f>IF(B74=1,'Date masura OD'!$J$5,IF(B74=19,'Date masura OD'!$AL$5,M73))</f>
        <v>45808</v>
      </c>
      <c r="N74" s="104">
        <f>VLOOKUP(E74,verificare!$AR$4:$CC$33,B74+2,FALSE)</f>
        <v>620018</v>
      </c>
      <c r="O74" s="103">
        <f>HLOOKUP(VLOOKUP(E74,'Date SPV'!$B$4:$F$34,5,FALSE),'Preturi si tarife'!$C$2:$J$39,B74+2,FALSE)*10000</f>
        <v>5950</v>
      </c>
      <c r="Q74" s="101" t="str">
        <f t="shared" si="13"/>
        <v>One-off</v>
      </c>
      <c r="R74" s="101" t="str">
        <f>VLOOKUP(K74,'Preturi si tarife'!$B$4:$K$39,10,FALSE)</f>
        <v>ICOENG0001</v>
      </c>
      <c r="T74" s="101" t="str">
        <f t="shared" si="14"/>
        <v>INV + 30</v>
      </c>
      <c r="V74" s="101" t="str">
        <f t="shared" si="15"/>
        <v>Active</v>
      </c>
      <c r="X74" s="101" t="str">
        <f t="shared" si="16"/>
        <v>One-off</v>
      </c>
      <c r="AC74" s="101" t="str">
        <f t="shared" si="17"/>
        <v>RON</v>
      </c>
      <c r="AD74" s="101">
        <f t="shared" si="17"/>
        <v>10000</v>
      </c>
    </row>
    <row r="75" spans="1:30">
      <c r="A75" s="101">
        <f t="shared" si="12"/>
        <v>3</v>
      </c>
      <c r="B75" s="101">
        <f t="shared" si="10"/>
        <v>2</v>
      </c>
      <c r="C75" s="101" t="str">
        <f t="shared" si="11"/>
        <v>T2</v>
      </c>
      <c r="D75" s="101" t="str">
        <f>IF(A75&lt;&gt;A74,VLOOKUP(A75,'Date SPV'!$A:$D,4,FALSE),D74)</f>
        <v>Ploiesti Shopping City SRL</v>
      </c>
      <c r="E75" s="101" t="str">
        <f>VLOOKUP(A75,'Date SPV'!$A$4:$B$34,2,FALSE)</f>
        <v>RPSC</v>
      </c>
      <c r="H75" s="105" t="s">
        <v>894</v>
      </c>
      <c r="K75" s="101" t="str">
        <f>VLOOKUP(C75,'Preturi si tarife'!$A$4:$B$39,2,FALSE)</f>
        <v>Energie reactiva  1X</v>
      </c>
      <c r="L75" s="102">
        <f>IF(B75=1,'Date masura OD'!$I$5,IF(B75=19,'Date masura OD'!$AK$5,L74))</f>
        <v>45778</v>
      </c>
      <c r="M75" s="102">
        <f>IF(B75=1,'Date masura OD'!$J$5,IF(B75=19,'Date masura OD'!$AL$5,M74))</f>
        <v>45808</v>
      </c>
      <c r="N75" s="104">
        <f>VLOOKUP(E75,verificare!$AR$4:$CC$33,B75+2,FALSE)</f>
        <v>0</v>
      </c>
      <c r="O75" s="103">
        <f>HLOOKUP(VLOOKUP(E75,'Date SPV'!$B$4:$F$34,5,FALSE),'Preturi si tarife'!$C$2:$J$39,B75+2,FALSE)*10000</f>
        <v>1465</v>
      </c>
      <c r="Q75" s="101" t="str">
        <f t="shared" si="13"/>
        <v>One-off</v>
      </c>
      <c r="R75" s="101" t="str">
        <f>VLOOKUP(K75,'Preturi si tarife'!$B$4:$K$39,10,FALSE)</f>
        <v>ICOENG0001</v>
      </c>
      <c r="T75" s="101" t="str">
        <f t="shared" si="14"/>
        <v>INV + 30</v>
      </c>
      <c r="V75" s="101" t="str">
        <f t="shared" si="15"/>
        <v>Active</v>
      </c>
      <c r="X75" s="101" t="str">
        <f t="shared" si="16"/>
        <v>One-off</v>
      </c>
      <c r="AC75" s="101" t="str">
        <f t="shared" si="17"/>
        <v>RON</v>
      </c>
      <c r="AD75" s="101">
        <f t="shared" si="17"/>
        <v>10000</v>
      </c>
    </row>
    <row r="76" spans="1:30">
      <c r="A76" s="101">
        <f t="shared" si="12"/>
        <v>3</v>
      </c>
      <c r="B76" s="101">
        <f t="shared" si="10"/>
        <v>3</v>
      </c>
      <c r="C76" s="101" t="str">
        <f t="shared" si="11"/>
        <v>T3</v>
      </c>
      <c r="D76" s="101" t="str">
        <f>IF(A76&lt;&gt;A75,VLOOKUP(A76,'Date SPV'!$A:$D,4,FALSE),D75)</f>
        <v>Ploiesti Shopping City SRL</v>
      </c>
      <c r="E76" s="101" t="str">
        <f>VLOOKUP(A76,'Date SPV'!$A$4:$B$34,2,FALSE)</f>
        <v>RPSC</v>
      </c>
      <c r="H76" s="105" t="s">
        <v>894</v>
      </c>
      <c r="K76" s="101" t="str">
        <f>VLOOKUP(C76,'Preturi si tarife'!$A$4:$B$39,2,FALSE)</f>
        <v>Energie reactiva  3X</v>
      </c>
      <c r="L76" s="102">
        <f>IF(B76=1,'Date masura OD'!$I$5,IF(B76=19,'Date masura OD'!$AK$5,L75))</f>
        <v>45778</v>
      </c>
      <c r="M76" s="102">
        <f>IF(B76=1,'Date masura OD'!$J$5,IF(B76=19,'Date masura OD'!$AL$5,M75))</f>
        <v>45808</v>
      </c>
      <c r="N76" s="104">
        <f>VLOOKUP(E76,verificare!$AR$4:$CC$33,B76+2,FALSE)</f>
        <v>0</v>
      </c>
      <c r="O76" s="103">
        <f>HLOOKUP(VLOOKUP(E76,'Date SPV'!$B$4:$F$34,5,FALSE),'Preturi si tarife'!$C$2:$J$39,B76+2,FALSE)*10000</f>
        <v>4395</v>
      </c>
      <c r="Q76" s="101" t="str">
        <f t="shared" si="13"/>
        <v>One-off</v>
      </c>
      <c r="R76" s="101" t="str">
        <f>VLOOKUP(K76,'Preturi si tarife'!$B$4:$K$39,10,FALSE)</f>
        <v>ICOENG0001</v>
      </c>
      <c r="T76" s="101" t="str">
        <f t="shared" si="14"/>
        <v>INV + 30</v>
      </c>
      <c r="V76" s="101" t="str">
        <f t="shared" si="15"/>
        <v>Active</v>
      </c>
      <c r="X76" s="101" t="str">
        <f t="shared" si="16"/>
        <v>One-off</v>
      </c>
      <c r="AC76" s="101" t="str">
        <f t="shared" si="17"/>
        <v>RON</v>
      </c>
      <c r="AD76" s="101">
        <f t="shared" si="17"/>
        <v>10000</v>
      </c>
    </row>
    <row r="77" spans="1:30">
      <c r="A77" s="101">
        <f t="shared" si="12"/>
        <v>3</v>
      </c>
      <c r="B77" s="101">
        <f t="shared" si="10"/>
        <v>4</v>
      </c>
      <c r="C77" s="101" t="str">
        <f t="shared" si="11"/>
        <v>T4</v>
      </c>
      <c r="D77" s="101" t="str">
        <f>IF(A77&lt;&gt;A76,VLOOKUP(A77,'Date SPV'!$A:$D,4,FALSE),D76)</f>
        <v>Ploiesti Shopping City SRL</v>
      </c>
      <c r="E77" s="101" t="str">
        <f>VLOOKUP(A77,'Date SPV'!$A$4:$B$34,2,FALSE)</f>
        <v>RPSC</v>
      </c>
      <c r="H77" s="105" t="s">
        <v>894</v>
      </c>
      <c r="K77" s="101" t="str">
        <f>VLOOKUP(C77,'Preturi si tarife'!$A$4:$B$39,2,FALSE)</f>
        <v>Tarife distributie en. El IT+MT</v>
      </c>
      <c r="L77" s="102">
        <f>IF(B77=1,'Date masura OD'!$I$5,IF(B77=19,'Date masura OD'!$AK$5,L76))</f>
        <v>45778</v>
      </c>
      <c r="M77" s="102">
        <f>IF(B77=1,'Date masura OD'!$J$5,IF(B77=19,'Date masura OD'!$AL$5,M76))</f>
        <v>45808</v>
      </c>
      <c r="N77" s="104">
        <f>VLOOKUP(E77,verificare!$AR$4:$CC$33,B77+2,FALSE)</f>
        <v>620018</v>
      </c>
      <c r="O77" s="103">
        <f>HLOOKUP(VLOOKUP(E77,'Date SPV'!$B$4:$F$34,5,FALSE),'Preturi si tarife'!$C$2:$J$39,B77+2,FALSE)*10000</f>
        <v>1148.3</v>
      </c>
      <c r="Q77" s="101" t="str">
        <f t="shared" si="13"/>
        <v>One-off</v>
      </c>
      <c r="R77" s="101" t="str">
        <f>VLOOKUP(K77,'Preturi si tarife'!$B$4:$K$39,10,FALSE)</f>
        <v>ICOENG0001</v>
      </c>
      <c r="T77" s="101" t="str">
        <f t="shared" si="14"/>
        <v>INV + 30</v>
      </c>
      <c r="V77" s="101" t="str">
        <f t="shared" si="15"/>
        <v>Active</v>
      </c>
      <c r="X77" s="101" t="str">
        <f t="shared" si="16"/>
        <v>One-off</v>
      </c>
      <c r="AC77" s="101" t="str">
        <f t="shared" si="17"/>
        <v>RON</v>
      </c>
      <c r="AD77" s="101">
        <f t="shared" si="17"/>
        <v>10000</v>
      </c>
    </row>
    <row r="78" spans="1:30">
      <c r="A78" s="101">
        <f t="shared" si="12"/>
        <v>3</v>
      </c>
      <c r="B78" s="101">
        <f t="shared" si="10"/>
        <v>5</v>
      </c>
      <c r="C78" s="101" t="str">
        <f t="shared" si="11"/>
        <v>T5</v>
      </c>
      <c r="D78" s="101" t="str">
        <f>IF(A78&lt;&gt;A77,VLOOKUP(A78,'Date SPV'!$A:$D,4,FALSE),D77)</f>
        <v>Ploiesti Shopping City SRL</v>
      </c>
      <c r="E78" s="101" t="str">
        <f>VLOOKUP(A78,'Date SPV'!$A$4:$B$34,2,FALSE)</f>
        <v>RPSC</v>
      </c>
      <c r="H78" s="105" t="s">
        <v>894</v>
      </c>
      <c r="K78" s="101" t="str">
        <f>VLOOKUP(C78,'Preturi si tarife'!$A$4:$B$39,2,FALSE)</f>
        <v>Tarife distributie en. El JT</v>
      </c>
      <c r="L78" s="102">
        <f>IF(B78=1,'Date masura OD'!$I$5,IF(B78=19,'Date masura OD'!$AK$5,L77))</f>
        <v>45778</v>
      </c>
      <c r="M78" s="102">
        <f>IF(B78=1,'Date masura OD'!$J$5,IF(B78=19,'Date masura OD'!$AL$5,M77))</f>
        <v>45808</v>
      </c>
      <c r="N78" s="104">
        <f>VLOOKUP(E78,verificare!$AR$4:$CC$33,B78+2,FALSE)</f>
        <v>0</v>
      </c>
      <c r="O78" s="103">
        <f>HLOOKUP(VLOOKUP(E78,'Date SPV'!$B$4:$F$34,5,FALSE),'Preturi si tarife'!$C$2:$J$39,B78+2,FALSE)*10000</f>
        <v>2361</v>
      </c>
      <c r="Q78" s="101" t="str">
        <f t="shared" si="13"/>
        <v>One-off</v>
      </c>
      <c r="R78" s="101" t="str">
        <f>VLOOKUP(K78,'Preturi si tarife'!$B$4:$K$39,10,FALSE)</f>
        <v>ICOENG0001</v>
      </c>
      <c r="T78" s="101" t="str">
        <f t="shared" si="14"/>
        <v>INV + 30</v>
      </c>
      <c r="V78" s="101" t="str">
        <f t="shared" si="15"/>
        <v>Active</v>
      </c>
      <c r="X78" s="101" t="str">
        <f t="shared" si="16"/>
        <v>One-off</v>
      </c>
      <c r="AC78" s="101" t="str">
        <f t="shared" si="17"/>
        <v>RON</v>
      </c>
      <c r="AD78" s="101">
        <f t="shared" si="17"/>
        <v>10000</v>
      </c>
    </row>
    <row r="79" spans="1:30">
      <c r="A79" s="101">
        <f t="shared" si="12"/>
        <v>3</v>
      </c>
      <c r="B79" s="101">
        <f t="shared" si="10"/>
        <v>6</v>
      </c>
      <c r="C79" s="101" t="str">
        <f t="shared" si="11"/>
        <v>T6</v>
      </c>
      <c r="D79" s="101" t="str">
        <f>IF(A79&lt;&gt;A78,VLOOKUP(A79,'Date SPV'!$A:$D,4,FALSE),D78)</f>
        <v>Ploiesti Shopping City SRL</v>
      </c>
      <c r="E79" s="101" t="str">
        <f>VLOOKUP(A79,'Date SPV'!$A$4:$B$34,2,FALSE)</f>
        <v>RPSC</v>
      </c>
      <c r="H79" s="105" t="s">
        <v>894</v>
      </c>
      <c r="K79" s="101" t="str">
        <f>VLOOKUP(C79,'Preturi si tarife'!$A$4:$B$39,2,FALSE)</f>
        <v xml:space="preserve">Servicii Sistem </v>
      </c>
      <c r="L79" s="102">
        <f>IF(B79=1,'Date masura OD'!$I$5,IF(B79=19,'Date masura OD'!$AK$5,L78))</f>
        <v>45778</v>
      </c>
      <c r="M79" s="102">
        <f>IF(B79=1,'Date masura OD'!$J$5,IF(B79=19,'Date masura OD'!$AL$5,M78))</f>
        <v>45808</v>
      </c>
      <c r="N79" s="104">
        <f>VLOOKUP(E79,verificare!$AR$4:$CC$33,B79+2,FALSE)</f>
        <v>620018</v>
      </c>
      <c r="O79" s="103">
        <f>HLOOKUP(VLOOKUP(E79,'Date SPV'!$B$4:$F$34,5,FALSE),'Preturi si tarife'!$C$2:$J$39,B79+2,FALSE)*10000</f>
        <v>115.1</v>
      </c>
      <c r="Q79" s="101" t="str">
        <f t="shared" si="13"/>
        <v>One-off</v>
      </c>
      <c r="R79" s="101" t="str">
        <f>VLOOKUP(K79,'Preturi si tarife'!$B$4:$K$39,10,FALSE)</f>
        <v>ICOENG0001</v>
      </c>
      <c r="T79" s="101" t="str">
        <f t="shared" si="14"/>
        <v>INV + 30</v>
      </c>
      <c r="V79" s="101" t="str">
        <f t="shared" si="15"/>
        <v>Active</v>
      </c>
      <c r="X79" s="101" t="str">
        <f t="shared" si="16"/>
        <v>One-off</v>
      </c>
      <c r="AC79" s="101" t="str">
        <f t="shared" si="17"/>
        <v>RON</v>
      </c>
      <c r="AD79" s="101">
        <f t="shared" si="17"/>
        <v>10000</v>
      </c>
    </row>
    <row r="80" spans="1:30">
      <c r="A80" s="101">
        <f t="shared" si="12"/>
        <v>3</v>
      </c>
      <c r="B80" s="101">
        <f t="shared" si="10"/>
        <v>7</v>
      </c>
      <c r="C80" s="101" t="str">
        <f t="shared" si="11"/>
        <v>T7</v>
      </c>
      <c r="D80" s="101" t="str">
        <f>IF(A80&lt;&gt;A79,VLOOKUP(A80,'Date SPV'!$A:$D,4,FALSE),D79)</f>
        <v>Ploiesti Shopping City SRL</v>
      </c>
      <c r="E80" s="101" t="str">
        <f>VLOOKUP(A80,'Date SPV'!$A$4:$B$34,2,FALSE)</f>
        <v>RPSC</v>
      </c>
      <c r="H80" s="105" t="s">
        <v>894</v>
      </c>
      <c r="K80" s="101" t="str">
        <f>VLOOKUP(C80,'Preturi si tarife'!$A$4:$B$39,2,FALSE)</f>
        <v>Tarif de introducere en. el in retea (TL)</v>
      </c>
      <c r="L80" s="102">
        <f>IF(B80=1,'Date masura OD'!$I$5,IF(B80=19,'Date masura OD'!$AK$5,L79))</f>
        <v>45778</v>
      </c>
      <c r="M80" s="102">
        <f>IF(B80=1,'Date masura OD'!$J$5,IF(B80=19,'Date masura OD'!$AL$5,M79))</f>
        <v>45808</v>
      </c>
      <c r="N80" s="104">
        <f>VLOOKUP(E80,verificare!$AR$4:$CC$33,B80+2,FALSE)</f>
        <v>620018</v>
      </c>
      <c r="O80" s="103">
        <f>HLOOKUP(VLOOKUP(E80,'Date SPV'!$B$4:$F$34,5,FALSE),'Preturi si tarife'!$C$2:$J$39,B80+2,FALSE)*10000</f>
        <v>330.3</v>
      </c>
      <c r="Q80" s="101" t="str">
        <f t="shared" si="13"/>
        <v>One-off</v>
      </c>
      <c r="R80" s="101" t="str">
        <f>VLOOKUP(K80,'Preturi si tarife'!$B$4:$K$39,10,FALSE)</f>
        <v>ICOENG0001</v>
      </c>
      <c r="T80" s="101" t="str">
        <f t="shared" si="14"/>
        <v>INV + 30</v>
      </c>
      <c r="V80" s="101" t="str">
        <f t="shared" si="15"/>
        <v>Active</v>
      </c>
      <c r="X80" s="101" t="str">
        <f t="shared" si="16"/>
        <v>One-off</v>
      </c>
      <c r="AC80" s="101" t="str">
        <f t="shared" si="17"/>
        <v>RON</v>
      </c>
      <c r="AD80" s="101">
        <f t="shared" si="17"/>
        <v>10000</v>
      </c>
    </row>
    <row r="81" spans="1:30">
      <c r="A81" s="101">
        <f t="shared" si="12"/>
        <v>3</v>
      </c>
      <c r="B81" s="101">
        <f t="shared" si="10"/>
        <v>8</v>
      </c>
      <c r="C81" s="101" t="str">
        <f t="shared" si="11"/>
        <v>T8</v>
      </c>
      <c r="D81" s="101" t="str">
        <f>IF(A81&lt;&gt;A80,VLOOKUP(A81,'Date SPV'!$A:$D,4,FALSE),D80)</f>
        <v>Ploiesti Shopping City SRL</v>
      </c>
      <c r="E81" s="101" t="str">
        <f>VLOOKUP(A81,'Date SPV'!$A$4:$B$34,2,FALSE)</f>
        <v>RPSC</v>
      </c>
      <c r="H81" s="105" t="s">
        <v>894</v>
      </c>
      <c r="K81" s="101" t="str">
        <f>VLOOKUP(C81,'Preturi si tarife'!$A$4:$B$39,2,FALSE)</f>
        <v>Tarif de introducere en.el in retea (TG)</v>
      </c>
      <c r="L81" s="102">
        <f>IF(B81=1,'Date masura OD'!$I$5,IF(B81=19,'Date masura OD'!$AK$5,L80))</f>
        <v>45778</v>
      </c>
      <c r="M81" s="102">
        <f>IF(B81=1,'Date masura OD'!$J$5,IF(B81=19,'Date masura OD'!$AL$5,M80))</f>
        <v>45808</v>
      </c>
      <c r="N81" s="104">
        <f>VLOOKUP(E81,verificare!$AR$4:$CC$33,B81+2,FALSE)</f>
        <v>620018</v>
      </c>
      <c r="O81" s="103">
        <f>HLOOKUP(VLOOKUP(E81,'Date SPV'!$B$4:$F$34,5,FALSE),'Preturi si tarife'!$C$2:$J$39,B81+2,FALSE)*10000</f>
        <v>32.9</v>
      </c>
      <c r="Q81" s="101" t="str">
        <f t="shared" si="13"/>
        <v>One-off</v>
      </c>
      <c r="R81" s="101" t="str">
        <f>VLOOKUP(K81,'Preturi si tarife'!$B$4:$K$39,10,FALSE)</f>
        <v>ICOENG0001</v>
      </c>
      <c r="T81" s="101" t="str">
        <f t="shared" si="14"/>
        <v>INV + 30</v>
      </c>
      <c r="V81" s="101" t="str">
        <f t="shared" si="15"/>
        <v>Active</v>
      </c>
      <c r="X81" s="101" t="str">
        <f t="shared" si="16"/>
        <v>One-off</v>
      </c>
      <c r="AC81" s="101" t="str">
        <f t="shared" si="17"/>
        <v>RON</v>
      </c>
      <c r="AD81" s="101">
        <f t="shared" si="17"/>
        <v>10000</v>
      </c>
    </row>
    <row r="82" spans="1:30">
      <c r="A82" s="101">
        <f t="shared" si="12"/>
        <v>3</v>
      </c>
      <c r="B82" s="101">
        <f t="shared" si="10"/>
        <v>9</v>
      </c>
      <c r="C82" s="101" t="str">
        <f t="shared" si="11"/>
        <v>T9</v>
      </c>
      <c r="D82" s="101" t="str">
        <f>IF(A82&lt;&gt;A81,VLOOKUP(A82,'Date SPV'!$A:$D,4,FALSE),D81)</f>
        <v>Ploiesti Shopping City SRL</v>
      </c>
      <c r="E82" s="101" t="str">
        <f>VLOOKUP(A82,'Date SPV'!$A$4:$B$34,2,FALSE)</f>
        <v>RPSC</v>
      </c>
      <c r="H82" s="105" t="s">
        <v>894</v>
      </c>
      <c r="K82" s="101" t="str">
        <f>VLOOKUP(C82,'Preturi si tarife'!$A$4:$B$39,2,FALSE)</f>
        <v>Contributie pentru cogenerare</v>
      </c>
      <c r="L82" s="102">
        <f>IF(B82=1,'Date masura OD'!$I$5,IF(B82=19,'Date masura OD'!$AK$5,L81))</f>
        <v>45778</v>
      </c>
      <c r="M82" s="102">
        <f>IF(B82=1,'Date masura OD'!$J$5,IF(B82=19,'Date masura OD'!$AL$5,M81))</f>
        <v>45808</v>
      </c>
      <c r="N82" s="104">
        <f>VLOOKUP(E82,verificare!$AR$4:$CC$33,B82+2,FALSE)</f>
        <v>620018</v>
      </c>
      <c r="O82" s="103">
        <f>HLOOKUP(VLOOKUP(E82,'Date SPV'!$B$4:$F$34,5,FALSE),'Preturi si tarife'!$C$2:$J$39,B82+2,FALSE)*10000</f>
        <v>35</v>
      </c>
      <c r="Q82" s="101" t="str">
        <f t="shared" si="13"/>
        <v>One-off</v>
      </c>
      <c r="R82" s="101" t="str">
        <f>VLOOKUP(K82,'Preturi si tarife'!$B$4:$K$39,10,FALSE)</f>
        <v>ICOENG0001</v>
      </c>
      <c r="T82" s="101" t="str">
        <f t="shared" si="14"/>
        <v>INV + 30</v>
      </c>
      <c r="V82" s="101" t="str">
        <f t="shared" si="15"/>
        <v>Active</v>
      </c>
      <c r="X82" s="101" t="str">
        <f t="shared" si="16"/>
        <v>One-off</v>
      </c>
      <c r="AC82" s="101" t="str">
        <f t="shared" si="17"/>
        <v>RON</v>
      </c>
      <c r="AD82" s="101">
        <f t="shared" si="17"/>
        <v>10000</v>
      </c>
    </row>
    <row r="83" spans="1:30">
      <c r="A83" s="101">
        <f t="shared" si="12"/>
        <v>3</v>
      </c>
      <c r="B83" s="101">
        <f t="shared" si="10"/>
        <v>10</v>
      </c>
      <c r="C83" s="101" t="str">
        <f t="shared" si="11"/>
        <v>T10</v>
      </c>
      <c r="D83" s="101" t="str">
        <f>IF(A83&lt;&gt;A82,VLOOKUP(A83,'Date SPV'!$A:$D,4,FALSE),D82)</f>
        <v>Ploiesti Shopping City SRL</v>
      </c>
      <c r="E83" s="101" t="str">
        <f>VLOOKUP(A83,'Date SPV'!$A$4:$B$34,2,FALSE)</f>
        <v>RPSC</v>
      </c>
      <c r="H83" s="105" t="s">
        <v>894</v>
      </c>
      <c r="K83" s="101" t="str">
        <f>VLOOKUP(C83,'Preturi si tarife'!$A$4:$B$39,2,FALSE)</f>
        <v xml:space="preserve">Certificate verzi </v>
      </c>
      <c r="L83" s="102">
        <f>IF(B83=1,'Date masura OD'!$I$5,IF(B83=19,'Date masura OD'!$AK$5,L82))</f>
        <v>45778</v>
      </c>
      <c r="M83" s="102">
        <f>IF(B83=1,'Date masura OD'!$J$5,IF(B83=19,'Date masura OD'!$AL$5,M82))</f>
        <v>45808</v>
      </c>
      <c r="N83" s="104">
        <f>VLOOKUP(E83,verificare!$AR$4:$CC$33,B83+2,FALSE)</f>
        <v>620018</v>
      </c>
      <c r="O83" s="103">
        <f>HLOOKUP(VLOOKUP(E83,'Date SPV'!$B$4:$F$34,5,FALSE),'Preturi si tarife'!$C$2:$J$39,B83+2,FALSE)*10000</f>
        <v>725.41599999999994</v>
      </c>
      <c r="Q83" s="101" t="str">
        <f t="shared" si="13"/>
        <v>One-off</v>
      </c>
      <c r="R83" s="101" t="str">
        <f>VLOOKUP(K83,'Preturi si tarife'!$B$4:$K$39,10,FALSE)</f>
        <v>ICOENG0001</v>
      </c>
      <c r="T83" s="101" t="str">
        <f t="shared" si="14"/>
        <v>INV + 30</v>
      </c>
      <c r="V83" s="101" t="str">
        <f t="shared" si="15"/>
        <v>Active</v>
      </c>
      <c r="X83" s="101" t="str">
        <f t="shared" si="16"/>
        <v>One-off</v>
      </c>
      <c r="AC83" s="101" t="str">
        <f t="shared" si="17"/>
        <v>RON</v>
      </c>
      <c r="AD83" s="101">
        <f t="shared" si="17"/>
        <v>10000</v>
      </c>
    </row>
    <row r="84" spans="1:30">
      <c r="A84" s="101">
        <f t="shared" si="12"/>
        <v>3</v>
      </c>
      <c r="B84" s="101">
        <f t="shared" si="10"/>
        <v>11</v>
      </c>
      <c r="C84" s="101" t="str">
        <f t="shared" si="11"/>
        <v>T11</v>
      </c>
      <c r="D84" s="101" t="str">
        <f>IF(A84&lt;&gt;A83,VLOOKUP(A84,'Date SPV'!$A:$D,4,FALSE),D83)</f>
        <v>Ploiesti Shopping City SRL</v>
      </c>
      <c r="E84" s="101" t="str">
        <f>VLOOKUP(A84,'Date SPV'!$A$4:$B$34,2,FALSE)</f>
        <v>RPSC</v>
      </c>
      <c r="H84" s="105" t="s">
        <v>894</v>
      </c>
      <c r="K84" s="101" t="str">
        <f>VLOOKUP(C84,'Preturi si tarife'!$A$4:$B$39,2,FALSE)</f>
        <v>Contributie CFD</v>
      </c>
      <c r="L84" s="102">
        <f>IF(B84=1,'Date masura OD'!$I$5,IF(B84=19,'Date masura OD'!$AK$5,L83))</f>
        <v>45778</v>
      </c>
      <c r="M84" s="102">
        <f>IF(B84=1,'Date masura OD'!$J$5,IF(B84=19,'Date masura OD'!$AL$5,M83))</f>
        <v>45808</v>
      </c>
      <c r="N84" s="104">
        <f>VLOOKUP(E84,verificare!$AR$4:$CC$33,B84+2,FALSE)</f>
        <v>620018</v>
      </c>
      <c r="O84" s="103">
        <f>HLOOKUP(VLOOKUP(E84,'Date SPV'!$B$4:$F$34,5,FALSE),'Preturi si tarife'!$C$2:$J$39,B84+2,FALSE)*10000</f>
        <v>2.06</v>
      </c>
      <c r="Q84" s="101" t="str">
        <f t="shared" si="13"/>
        <v>One-off</v>
      </c>
      <c r="R84" s="101" t="str">
        <f>VLOOKUP(K84,'Preturi si tarife'!$B$4:$K$39,10,FALSE)</f>
        <v>ICOENG0001</v>
      </c>
      <c r="T84" s="101" t="str">
        <f t="shared" si="14"/>
        <v>INV + 30</v>
      </c>
      <c r="V84" s="101" t="str">
        <f t="shared" si="15"/>
        <v>Active</v>
      </c>
      <c r="X84" s="101" t="str">
        <f t="shared" si="16"/>
        <v>One-off</v>
      </c>
      <c r="AC84" s="101" t="str">
        <f t="shared" si="17"/>
        <v>RON</v>
      </c>
      <c r="AD84" s="101">
        <f t="shared" si="17"/>
        <v>10000</v>
      </c>
    </row>
    <row r="85" spans="1:30">
      <c r="A85" s="101">
        <f t="shared" si="12"/>
        <v>3</v>
      </c>
      <c r="B85" s="101">
        <f t="shared" si="10"/>
        <v>12</v>
      </c>
      <c r="C85" s="101" t="str">
        <f t="shared" si="11"/>
        <v>T12</v>
      </c>
      <c r="D85" s="101" t="str">
        <f>IF(A85&lt;&gt;A84,VLOOKUP(A85,'Date SPV'!$A:$D,4,FALSE),D84)</f>
        <v>Ploiesti Shopping City SRL</v>
      </c>
      <c r="E85" s="101" t="str">
        <f>VLOOKUP(A85,'Date SPV'!$A$4:$B$34,2,FALSE)</f>
        <v>RPSC</v>
      </c>
      <c r="H85" s="105" t="s">
        <v>894</v>
      </c>
      <c r="K85" s="101" t="str">
        <f>VLOOKUP(C85,'Preturi si tarife'!$A$4:$B$39,2,FALSE)</f>
        <v>Acciza</v>
      </c>
      <c r="L85" s="102">
        <f>IF(B85=1,'Date masura OD'!$I$5,IF(B85=19,'Date masura OD'!$AK$5,L84))</f>
        <v>45778</v>
      </c>
      <c r="M85" s="102">
        <f>IF(B85=1,'Date masura OD'!$J$5,IF(B85=19,'Date masura OD'!$AL$5,M84))</f>
        <v>45808</v>
      </c>
      <c r="N85" s="104">
        <f>VLOOKUP(E85,verificare!$AR$4:$CC$33,B85+2,FALSE)</f>
        <v>620018</v>
      </c>
      <c r="O85" s="103">
        <f>HLOOKUP(VLOOKUP(E85,'Date SPV'!$B$4:$F$34,5,FALSE),'Preturi si tarife'!$C$2:$J$39,B85+2,FALSE)*10000</f>
        <v>0</v>
      </c>
      <c r="Q85" s="101" t="str">
        <f t="shared" si="13"/>
        <v>One-off</v>
      </c>
      <c r="R85" s="101" t="str">
        <f>VLOOKUP(K85,'Preturi si tarife'!$B$4:$K$39,10,FALSE)</f>
        <v>ICOENG0001</v>
      </c>
      <c r="T85" s="101" t="str">
        <f t="shared" si="14"/>
        <v>INV + 30</v>
      </c>
      <c r="V85" s="101" t="str">
        <f t="shared" si="15"/>
        <v>Active</v>
      </c>
      <c r="X85" s="101" t="str">
        <f t="shared" si="16"/>
        <v>One-off</v>
      </c>
      <c r="AC85" s="101" t="str">
        <f t="shared" si="17"/>
        <v>RON</v>
      </c>
      <c r="AD85" s="101">
        <f t="shared" si="17"/>
        <v>10000</v>
      </c>
    </row>
    <row r="86" spans="1:30">
      <c r="A86" s="101">
        <f t="shared" si="12"/>
        <v>3</v>
      </c>
      <c r="B86" s="101">
        <f t="shared" si="10"/>
        <v>13</v>
      </c>
      <c r="C86" s="101" t="str">
        <f t="shared" si="11"/>
        <v>T13</v>
      </c>
      <c r="D86" s="101" t="str">
        <f>IF(A86&lt;&gt;A85,VLOOKUP(A86,'Date SPV'!$A:$D,4,FALSE),D85)</f>
        <v>Ploiesti Shopping City SRL</v>
      </c>
      <c r="E86" s="101" t="str">
        <f>VLOOKUP(A86,'Date SPV'!$A$4:$B$34,2,FALSE)</f>
        <v>RPSC</v>
      </c>
      <c r="H86" s="105" t="s">
        <v>894</v>
      </c>
      <c r="K86" s="101" t="str">
        <f>VLOOKUP(C86,'Preturi si tarife'!$A$4:$B$39,2,FALSE)</f>
        <v>Tarif distributie SDI MT</v>
      </c>
      <c r="L86" s="102">
        <f>IF(B86=1,'Date masura OD'!$I$5,IF(B86=19,'Date masura OD'!$AK$5,L85))</f>
        <v>45778</v>
      </c>
      <c r="M86" s="102">
        <f>IF(B86=1,'Date masura OD'!$J$5,IF(B86=19,'Date masura OD'!$AL$5,M85))</f>
        <v>45808</v>
      </c>
      <c r="N86" s="104">
        <f>VLOOKUP(E86,verificare!$AR$4:$CC$33,B86+2,FALSE)</f>
        <v>620018</v>
      </c>
      <c r="O86" s="103">
        <f>HLOOKUP(VLOOKUP(E86,'Date SPV'!$B$4:$F$34,5,FALSE),'Preturi si tarife'!$C$2:$J$39,B86+2,FALSE)*10000</f>
        <v>149</v>
      </c>
      <c r="Q86" s="101" t="str">
        <f t="shared" si="13"/>
        <v>One-off</v>
      </c>
      <c r="R86" s="101" t="str">
        <f>VLOOKUP(K86,'Preturi si tarife'!$B$4:$K$39,10,FALSE)</f>
        <v>ICOENG0010</v>
      </c>
      <c r="T86" s="101" t="str">
        <f t="shared" si="14"/>
        <v>INV + 30</v>
      </c>
      <c r="V86" s="101" t="str">
        <f t="shared" si="15"/>
        <v>Active</v>
      </c>
      <c r="X86" s="101" t="str">
        <f t="shared" si="16"/>
        <v>One-off</v>
      </c>
      <c r="AC86" s="101" t="str">
        <f t="shared" si="17"/>
        <v>RON</v>
      </c>
      <c r="AD86" s="101">
        <f t="shared" si="17"/>
        <v>10000</v>
      </c>
    </row>
    <row r="87" spans="1:30">
      <c r="A87" s="101">
        <f t="shared" si="12"/>
        <v>3</v>
      </c>
      <c r="B87" s="101">
        <f t="shared" si="10"/>
        <v>14</v>
      </c>
      <c r="C87" s="101" t="str">
        <f t="shared" si="11"/>
        <v>T14</v>
      </c>
      <c r="D87" s="101" t="str">
        <f>IF(A87&lt;&gt;A86,VLOOKUP(A87,'Date SPV'!$A:$D,4,FALSE),D86)</f>
        <v>Ploiesti Shopping City SRL</v>
      </c>
      <c r="E87" s="101" t="str">
        <f>VLOOKUP(A87,'Date SPV'!$A$4:$B$34,2,FALSE)</f>
        <v>RPSC</v>
      </c>
      <c r="H87" s="105" t="s">
        <v>894</v>
      </c>
      <c r="K87" s="101" t="str">
        <f>VLOOKUP(C87,'Preturi si tarife'!$A$4:$B$39,2,FALSE)</f>
        <v>Tarif distributie SDI JT</v>
      </c>
      <c r="L87" s="102">
        <f>IF(B87=1,'Date masura OD'!$I$5,IF(B87=19,'Date masura OD'!$AK$5,L86))</f>
        <v>45778</v>
      </c>
      <c r="M87" s="102">
        <f>IF(B87=1,'Date masura OD'!$J$5,IF(B87=19,'Date masura OD'!$AL$5,M86))</f>
        <v>45808</v>
      </c>
      <c r="N87" s="104">
        <f>VLOOKUP(E87,verificare!$AR$4:$CC$33,B87+2,FALSE)</f>
        <v>620018</v>
      </c>
      <c r="O87" s="103">
        <f>HLOOKUP(VLOOKUP(E87,'Date SPV'!$B$4:$F$34,5,FALSE),'Preturi si tarife'!$C$2:$J$39,B87+2,FALSE)*10000</f>
        <v>1192</v>
      </c>
      <c r="Q87" s="101" t="str">
        <f t="shared" si="13"/>
        <v>One-off</v>
      </c>
      <c r="R87" s="101" t="str">
        <f>VLOOKUP(K87,'Preturi si tarife'!$B$4:$K$39,10,FALSE)</f>
        <v>ICOENG0010</v>
      </c>
      <c r="T87" s="101" t="str">
        <f t="shared" si="14"/>
        <v>INV + 30</v>
      </c>
      <c r="V87" s="101" t="str">
        <f t="shared" si="15"/>
        <v>Active</v>
      </c>
      <c r="X87" s="101" t="str">
        <f t="shared" si="16"/>
        <v>One-off</v>
      </c>
      <c r="AC87" s="101" t="str">
        <f t="shared" si="17"/>
        <v>RON</v>
      </c>
      <c r="AD87" s="101">
        <f t="shared" si="17"/>
        <v>10000</v>
      </c>
    </row>
    <row r="88" spans="1:30">
      <c r="A88" s="101">
        <f t="shared" si="12"/>
        <v>3</v>
      </c>
      <c r="B88" s="101">
        <f t="shared" si="10"/>
        <v>15</v>
      </c>
      <c r="C88" s="101" t="str">
        <f t="shared" si="11"/>
        <v>T15</v>
      </c>
      <c r="D88" s="101" t="str">
        <f>IF(A88&lt;&gt;A87,VLOOKUP(A88,'Date SPV'!$A:$D,4,FALSE),D87)</f>
        <v>Ploiesti Shopping City SRL</v>
      </c>
      <c r="E88" s="101" t="str">
        <f>VLOOKUP(A88,'Date SPV'!$A$4:$B$34,2,FALSE)</f>
        <v>RPSC</v>
      </c>
      <c r="H88" s="105" t="s">
        <v>894</v>
      </c>
      <c r="K88" s="101" t="str">
        <f>VLOOKUP(C88,'Preturi si tarife'!$A$4:$B$39,2,FALSE)</f>
        <v>Energie activa 2</v>
      </c>
      <c r="L88" s="102">
        <f>IF(B88=1,'Date masura OD'!$I$5,IF(B88=19,'Date masura OD'!$AK$5,L87))</f>
        <v>45778</v>
      </c>
      <c r="M88" s="102">
        <f>IF(B88=1,'Date masura OD'!$J$5,IF(B88=19,'Date masura OD'!$AL$5,M87))</f>
        <v>45808</v>
      </c>
      <c r="N88" s="104">
        <f>VLOOKUP(E88,verificare!$AR$4:$CC$33,B88+2,FALSE)</f>
        <v>183192.50000000003</v>
      </c>
      <c r="O88" s="103">
        <f>HLOOKUP(VLOOKUP(E88,'Date SPV'!$B$4:$F$34,5,FALSE),'Preturi si tarife'!$C$2:$J$39,B88+2,FALSE)*10000</f>
        <v>9680.0760000000009</v>
      </c>
      <c r="Q88" s="101" t="str">
        <f t="shared" si="13"/>
        <v>One-off</v>
      </c>
      <c r="R88" s="101" t="str">
        <f>VLOOKUP(K88,'Preturi si tarife'!$B$4:$K$39,10,FALSE)</f>
        <v>ICOENG0012</v>
      </c>
      <c r="T88" s="101" t="str">
        <f t="shared" si="14"/>
        <v>INV + 30</v>
      </c>
      <c r="V88" s="101" t="str">
        <f t="shared" si="15"/>
        <v>Active</v>
      </c>
      <c r="X88" s="101" t="str">
        <f t="shared" si="16"/>
        <v>One-off</v>
      </c>
      <c r="AC88" s="101" t="str">
        <f t="shared" si="17"/>
        <v>RON</v>
      </c>
      <c r="AD88" s="101">
        <f t="shared" si="17"/>
        <v>10000</v>
      </c>
    </row>
    <row r="89" spans="1:30">
      <c r="A89" s="101">
        <f t="shared" si="12"/>
        <v>3</v>
      </c>
      <c r="B89" s="101">
        <f t="shared" si="10"/>
        <v>16</v>
      </c>
      <c r="C89" s="101" t="str">
        <f t="shared" si="11"/>
        <v>T16</v>
      </c>
      <c r="D89" s="101" t="str">
        <f>IF(A89&lt;&gt;A88,VLOOKUP(A89,'Date SPV'!$A:$D,4,FALSE),D88)</f>
        <v>Ploiesti Shopping City SRL</v>
      </c>
      <c r="E89" s="101" t="str">
        <f>VLOOKUP(A89,'Date SPV'!$A$4:$B$34,2,FALSE)</f>
        <v>RPSC</v>
      </c>
      <c r="H89" s="105" t="s">
        <v>894</v>
      </c>
      <c r="K89" s="101" t="str">
        <f>VLOOKUP(C89,'Preturi si tarife'!$A$4:$B$39,2,FALSE)</f>
        <v>Energie activa 3</v>
      </c>
      <c r="L89" s="102">
        <f>IF(B89=1,'Date masura OD'!$I$5,IF(B89=19,'Date masura OD'!$AK$5,L88))</f>
        <v>45778</v>
      </c>
      <c r="M89" s="102">
        <f>IF(B89=1,'Date masura OD'!$J$5,IF(B89=19,'Date masura OD'!$AL$5,M88))</f>
        <v>45808</v>
      </c>
      <c r="N89" s="104">
        <f>VLOOKUP(E89,verificare!$AR$4:$CC$33,B89+2,FALSE)</f>
        <v>37318</v>
      </c>
      <c r="O89" s="103">
        <f>HLOOKUP(VLOOKUP(E89,'Date SPV'!$B$4:$F$34,5,FALSE),'Preturi si tarife'!$C$2:$J$39,B89+2,FALSE)*10000</f>
        <v>8339.0760000000009</v>
      </c>
      <c r="Q89" s="101" t="str">
        <f t="shared" si="13"/>
        <v>One-off</v>
      </c>
      <c r="R89" s="101" t="str">
        <f>VLOOKUP(K89,'Preturi si tarife'!$B$4:$K$39,10,FALSE)</f>
        <v>ICOENG0012</v>
      </c>
      <c r="T89" s="101" t="str">
        <f t="shared" si="14"/>
        <v>INV + 30</v>
      </c>
      <c r="V89" s="101" t="str">
        <f t="shared" si="15"/>
        <v>Active</v>
      </c>
      <c r="X89" s="101" t="str">
        <f t="shared" si="16"/>
        <v>One-off</v>
      </c>
      <c r="AC89" s="101" t="str">
        <f t="shared" si="17"/>
        <v>RON</v>
      </c>
      <c r="AD89" s="101">
        <f t="shared" si="17"/>
        <v>10000</v>
      </c>
    </row>
    <row r="90" spans="1:30">
      <c r="A90" s="101">
        <f t="shared" si="12"/>
        <v>3</v>
      </c>
      <c r="B90" s="101">
        <f t="shared" si="10"/>
        <v>17</v>
      </c>
      <c r="C90" s="101" t="str">
        <f t="shared" si="11"/>
        <v>T17</v>
      </c>
      <c r="D90" s="101" t="str">
        <f>IF(A90&lt;&gt;A89,VLOOKUP(A90,'Date SPV'!$A:$D,4,FALSE),D89)</f>
        <v>Ploiesti Shopping City SRL</v>
      </c>
      <c r="E90" s="101" t="str">
        <f>VLOOKUP(A90,'Date SPV'!$A$4:$B$34,2,FALSE)</f>
        <v>RPSC</v>
      </c>
      <c r="H90" s="105" t="s">
        <v>894</v>
      </c>
      <c r="K90" s="101" t="str">
        <f>VLOOKUP(C90,'Preturi si tarife'!$A$4:$B$39,2,FALSE)</f>
        <v>Tarif distributie SDI MT_</v>
      </c>
      <c r="L90" s="102">
        <f>IF(B90=1,'Date masura OD'!$I$5,IF(B90=19,'Date masura OD'!$AK$5,L89))</f>
        <v>45778</v>
      </c>
      <c r="M90" s="102">
        <f>IF(B90=1,'Date masura OD'!$J$5,IF(B90=19,'Date masura OD'!$AL$5,M89))</f>
        <v>45808</v>
      </c>
      <c r="N90" s="104">
        <f>VLOOKUP(E90,verificare!$AR$4:$CC$33,B90+2,FALSE)</f>
        <v>37318</v>
      </c>
      <c r="O90" s="103">
        <f>HLOOKUP(VLOOKUP(E90,'Date SPV'!$B$4:$F$34,5,FALSE),'Preturi si tarife'!$C$2:$J$39,B90+2,FALSE)*10000</f>
        <v>149</v>
      </c>
      <c r="Q90" s="101" t="str">
        <f t="shared" si="13"/>
        <v>One-off</v>
      </c>
      <c r="R90" s="101" t="str">
        <f>VLOOKUP(K90,'Preturi si tarife'!$B$4:$K$39,10,FALSE)</f>
        <v>ICOENG0010</v>
      </c>
      <c r="T90" s="101" t="str">
        <f t="shared" si="14"/>
        <v>INV + 30</v>
      </c>
      <c r="V90" s="101" t="str">
        <f t="shared" si="15"/>
        <v>Active</v>
      </c>
      <c r="X90" s="101" t="str">
        <f t="shared" si="16"/>
        <v>One-off</v>
      </c>
      <c r="AC90" s="101" t="str">
        <f t="shared" si="17"/>
        <v>RON</v>
      </c>
      <c r="AD90" s="101">
        <f t="shared" si="17"/>
        <v>10000</v>
      </c>
    </row>
    <row r="91" spans="1:30">
      <c r="A91" s="101">
        <f t="shared" si="12"/>
        <v>3</v>
      </c>
      <c r="B91" s="101">
        <f t="shared" si="10"/>
        <v>18</v>
      </c>
      <c r="C91" s="101" t="str">
        <f t="shared" si="11"/>
        <v>T18</v>
      </c>
      <c r="D91" s="101" t="str">
        <f>IF(A91&lt;&gt;A90,VLOOKUP(A91,'Date SPV'!$A:$D,4,FALSE),D90)</f>
        <v>Ploiesti Shopping City SRL</v>
      </c>
      <c r="E91" s="101" t="str">
        <f>VLOOKUP(A91,'Date SPV'!$A$4:$B$34,2,FALSE)</f>
        <v>RPSC</v>
      </c>
      <c r="H91" s="105" t="s">
        <v>894</v>
      </c>
      <c r="K91" s="101" t="str">
        <f>VLOOKUP(C91,'Preturi si tarife'!$A$4:$B$39,2,FALSE)</f>
        <v>Tarif distributie SDI JT_</v>
      </c>
      <c r="L91" s="102">
        <f>IF(B91=1,'Date masura OD'!$I$5,IF(B91=19,'Date masura OD'!$AK$5,L90))</f>
        <v>45778</v>
      </c>
      <c r="M91" s="102">
        <f>IF(B91=1,'Date masura OD'!$J$5,IF(B91=19,'Date masura OD'!$AL$5,M90))</f>
        <v>45808</v>
      </c>
      <c r="N91" s="104">
        <f>VLOOKUP(E91,verificare!$AR$4:$CC$33,B91+2,FALSE)</f>
        <v>37318</v>
      </c>
      <c r="O91" s="103">
        <f>HLOOKUP(VLOOKUP(E91,'Date SPV'!$B$4:$F$34,5,FALSE),'Preturi si tarife'!$C$2:$J$39,B91+2,FALSE)*10000</f>
        <v>1192</v>
      </c>
      <c r="Q91" s="101" t="str">
        <f t="shared" si="13"/>
        <v>One-off</v>
      </c>
      <c r="R91" s="101" t="str">
        <f>VLOOKUP(K91,'Preturi si tarife'!$B$4:$K$39,10,FALSE)</f>
        <v>ICOENG0010</v>
      </c>
      <c r="T91" s="101" t="str">
        <f t="shared" si="14"/>
        <v>INV + 30</v>
      </c>
      <c r="V91" s="101" t="str">
        <f t="shared" si="15"/>
        <v>Active</v>
      </c>
      <c r="X91" s="101" t="str">
        <f t="shared" si="16"/>
        <v>One-off</v>
      </c>
      <c r="AC91" s="101" t="str">
        <f t="shared" si="17"/>
        <v>RON</v>
      </c>
      <c r="AD91" s="101">
        <f t="shared" si="17"/>
        <v>10000</v>
      </c>
    </row>
    <row r="92" spans="1:30">
      <c r="A92" s="101">
        <f t="shared" si="12"/>
        <v>3</v>
      </c>
      <c r="B92" s="101">
        <f t="shared" ref="B92:B124" si="18">IF(A92&lt;&gt;A91,1,B91+1)</f>
        <v>19</v>
      </c>
      <c r="C92" s="101" t="str">
        <f t="shared" si="11"/>
        <v>T19</v>
      </c>
      <c r="D92" s="101" t="str">
        <f>IF(A92&lt;&gt;A91,VLOOKUP(A92,'Date SPV'!$A:$D,4,FALSE),D91)</f>
        <v>Ploiesti Shopping City SRL</v>
      </c>
      <c r="E92" s="101" t="str">
        <f>VLOOKUP(A92,'Date SPV'!$A$4:$B$34,2,FALSE)</f>
        <v>RPSC</v>
      </c>
      <c r="H92" s="105" t="s">
        <v>894</v>
      </c>
      <c r="K92" s="101" t="str">
        <f>VLOOKUP(C92,'Preturi si tarife'!$A$4:$B$39,2,FALSE)</f>
        <v>Regularizare Energie activa 1</v>
      </c>
      <c r="L92" s="102">
        <f>IF(B92=1,'Date masura OD'!$I$5,IF(B92=19,'Date masura OD'!$AK$5,L91))</f>
        <v>45748</v>
      </c>
      <c r="M92" s="102">
        <f>IF(B92=1,'Date masura OD'!$J$5,IF(B92=19,'Date masura OD'!$AL$5,M91))</f>
        <v>45777</v>
      </c>
      <c r="N92" s="104">
        <f>VLOOKUP(E92,verificare!$AR$4:$CC$33,B92+2,FALSE)</f>
        <v>1</v>
      </c>
      <c r="O92" s="103">
        <f>HLOOKUP(VLOOKUP(E92,'Date SPV'!$B$4:$F$34,5,FALSE),'Preturi si tarife'!$C$2:$J$39,B92+2,FALSE)*10000</f>
        <v>5950</v>
      </c>
      <c r="Q92" s="101" t="str">
        <f t="shared" si="13"/>
        <v>One-off</v>
      </c>
      <c r="R92" s="101" t="str">
        <f>VLOOKUP(K92,'Preturi si tarife'!$B$4:$K$39,10,FALSE)</f>
        <v>ICOENG0001</v>
      </c>
      <c r="T92" s="101" t="str">
        <f t="shared" si="14"/>
        <v>INV + 30</v>
      </c>
      <c r="V92" s="101" t="str">
        <f t="shared" si="15"/>
        <v>Active</v>
      </c>
      <c r="X92" s="101" t="str">
        <f t="shared" si="16"/>
        <v>One-off</v>
      </c>
      <c r="AC92" s="101" t="str">
        <f t="shared" si="17"/>
        <v>RON</v>
      </c>
      <c r="AD92" s="101">
        <f t="shared" si="17"/>
        <v>10000</v>
      </c>
    </row>
    <row r="93" spans="1:30">
      <c r="A93" s="101">
        <f t="shared" si="12"/>
        <v>3</v>
      </c>
      <c r="B93" s="101">
        <f t="shared" si="18"/>
        <v>20</v>
      </c>
      <c r="C93" s="101" t="str">
        <f t="shared" si="11"/>
        <v>T20</v>
      </c>
      <c r="D93" s="101" t="str">
        <f>IF(A93&lt;&gt;A92,VLOOKUP(A93,'Date SPV'!$A:$D,4,FALSE),D92)</f>
        <v>Ploiesti Shopping City SRL</v>
      </c>
      <c r="E93" s="101" t="str">
        <f>VLOOKUP(A93,'Date SPV'!$A$4:$B$34,2,FALSE)</f>
        <v>RPSC</v>
      </c>
      <c r="H93" s="105" t="s">
        <v>894</v>
      </c>
      <c r="K93" s="101" t="str">
        <f>VLOOKUP(C93,'Preturi si tarife'!$A$4:$B$39,2,FALSE)</f>
        <v>Regularizare Energie reactiva  1X</v>
      </c>
      <c r="L93" s="102">
        <f>IF(B93=1,'Date masura OD'!$I$5,IF(B93=19,'Date masura OD'!$AK$5,L92))</f>
        <v>45748</v>
      </c>
      <c r="M93" s="102">
        <f>IF(B93=1,'Date masura OD'!$J$5,IF(B93=19,'Date masura OD'!$AL$5,M92))</f>
        <v>45777</v>
      </c>
      <c r="N93" s="104">
        <f>VLOOKUP(E93,verificare!$AR$4:$CC$33,B93+2,FALSE)</f>
        <v>0</v>
      </c>
      <c r="O93" s="103">
        <f>HLOOKUP(VLOOKUP(E93,'Date SPV'!$B$4:$F$34,5,FALSE),'Preturi si tarife'!$C$2:$J$39,B93+2,FALSE)*10000</f>
        <v>1465</v>
      </c>
      <c r="Q93" s="101" t="str">
        <f t="shared" si="13"/>
        <v>One-off</v>
      </c>
      <c r="R93" s="101" t="str">
        <f>VLOOKUP(K93,'Preturi si tarife'!$B$4:$K$39,10,FALSE)</f>
        <v>ICOENG0001</v>
      </c>
      <c r="T93" s="101" t="str">
        <f t="shared" si="14"/>
        <v>INV + 30</v>
      </c>
      <c r="V93" s="101" t="str">
        <f t="shared" si="15"/>
        <v>Active</v>
      </c>
      <c r="X93" s="101" t="str">
        <f t="shared" si="16"/>
        <v>One-off</v>
      </c>
      <c r="AC93" s="101" t="str">
        <f t="shared" si="17"/>
        <v>RON</v>
      </c>
      <c r="AD93" s="101">
        <f t="shared" si="17"/>
        <v>10000</v>
      </c>
    </row>
    <row r="94" spans="1:30">
      <c r="A94" s="101">
        <f t="shared" si="12"/>
        <v>3</v>
      </c>
      <c r="B94" s="101">
        <f t="shared" si="18"/>
        <v>21</v>
      </c>
      <c r="C94" s="101" t="str">
        <f t="shared" si="11"/>
        <v>T21</v>
      </c>
      <c r="D94" s="101" t="str">
        <f>IF(A94&lt;&gt;A93,VLOOKUP(A94,'Date SPV'!$A:$D,4,FALSE),D93)</f>
        <v>Ploiesti Shopping City SRL</v>
      </c>
      <c r="E94" s="101" t="str">
        <f>VLOOKUP(A94,'Date SPV'!$A$4:$B$34,2,FALSE)</f>
        <v>RPSC</v>
      </c>
      <c r="H94" s="105" t="s">
        <v>894</v>
      </c>
      <c r="K94" s="101" t="str">
        <f>VLOOKUP(C94,'Preturi si tarife'!$A$4:$B$39,2,FALSE)</f>
        <v>Regularizare Energie reactiva  3X</v>
      </c>
      <c r="L94" s="102">
        <f>IF(B94=1,'Date masura OD'!$I$5,IF(B94=19,'Date masura OD'!$AK$5,L93))</f>
        <v>45748</v>
      </c>
      <c r="M94" s="102">
        <f>IF(B94=1,'Date masura OD'!$J$5,IF(B94=19,'Date masura OD'!$AL$5,M93))</f>
        <v>45777</v>
      </c>
      <c r="N94" s="104">
        <f>VLOOKUP(E94,verificare!$AR$4:$CC$33,B94+2,FALSE)</f>
        <v>0</v>
      </c>
      <c r="O94" s="103">
        <f>HLOOKUP(VLOOKUP(E94,'Date SPV'!$B$4:$F$34,5,FALSE),'Preturi si tarife'!$C$2:$J$39,B94+2,FALSE)*10000</f>
        <v>4395</v>
      </c>
      <c r="Q94" s="101" t="str">
        <f t="shared" si="13"/>
        <v>One-off</v>
      </c>
      <c r="R94" s="101" t="str">
        <f>VLOOKUP(K94,'Preturi si tarife'!$B$4:$K$39,10,FALSE)</f>
        <v>ICOENG0001</v>
      </c>
      <c r="T94" s="101" t="str">
        <f t="shared" si="14"/>
        <v>INV + 30</v>
      </c>
      <c r="V94" s="101" t="str">
        <f t="shared" si="15"/>
        <v>Active</v>
      </c>
      <c r="X94" s="101" t="str">
        <f t="shared" si="16"/>
        <v>One-off</v>
      </c>
      <c r="AC94" s="101" t="str">
        <f t="shared" si="17"/>
        <v>RON</v>
      </c>
      <c r="AD94" s="101">
        <f t="shared" si="17"/>
        <v>10000</v>
      </c>
    </row>
    <row r="95" spans="1:30">
      <c r="A95" s="101">
        <f t="shared" si="12"/>
        <v>3</v>
      </c>
      <c r="B95" s="101">
        <f t="shared" si="18"/>
        <v>22</v>
      </c>
      <c r="C95" s="101" t="str">
        <f t="shared" si="11"/>
        <v>T22</v>
      </c>
      <c r="D95" s="101" t="str">
        <f>IF(A95&lt;&gt;A94,VLOOKUP(A95,'Date SPV'!$A:$D,4,FALSE),D94)</f>
        <v>Ploiesti Shopping City SRL</v>
      </c>
      <c r="E95" s="101" t="str">
        <f>VLOOKUP(A95,'Date SPV'!$A$4:$B$34,2,FALSE)</f>
        <v>RPSC</v>
      </c>
      <c r="H95" s="105" t="s">
        <v>894</v>
      </c>
      <c r="K95" s="101" t="str">
        <f>VLOOKUP(C95,'Preturi si tarife'!$A$4:$B$39,2,FALSE)</f>
        <v>Regularizare Tarife distributie en. El IT+MT</v>
      </c>
      <c r="L95" s="102">
        <f>IF(B95=1,'Date masura OD'!$I$5,IF(B95=19,'Date masura OD'!$AK$5,L94))</f>
        <v>45748</v>
      </c>
      <c r="M95" s="102">
        <f>IF(B95=1,'Date masura OD'!$J$5,IF(B95=19,'Date masura OD'!$AL$5,M94))</f>
        <v>45777</v>
      </c>
      <c r="N95" s="104">
        <f>VLOOKUP(E95,verificare!$AR$4:$CC$33,B95+2,FALSE)</f>
        <v>1</v>
      </c>
      <c r="O95" s="103">
        <f>HLOOKUP(VLOOKUP(E95,'Date SPV'!$B$4:$F$34,5,FALSE),'Preturi si tarife'!$C$2:$J$39,B95+2,FALSE)*10000</f>
        <v>1148.3</v>
      </c>
      <c r="Q95" s="101" t="str">
        <f t="shared" si="13"/>
        <v>One-off</v>
      </c>
      <c r="R95" s="101" t="str">
        <f>VLOOKUP(K95,'Preturi si tarife'!$B$4:$K$39,10,FALSE)</f>
        <v>ICOENG0001</v>
      </c>
      <c r="T95" s="101" t="str">
        <f t="shared" si="14"/>
        <v>INV + 30</v>
      </c>
      <c r="V95" s="101" t="str">
        <f t="shared" si="15"/>
        <v>Active</v>
      </c>
      <c r="X95" s="101" t="str">
        <f t="shared" si="16"/>
        <v>One-off</v>
      </c>
      <c r="AC95" s="101" t="str">
        <f t="shared" si="17"/>
        <v>RON</v>
      </c>
      <c r="AD95" s="101">
        <f t="shared" si="17"/>
        <v>10000</v>
      </c>
    </row>
    <row r="96" spans="1:30">
      <c r="A96" s="101">
        <f t="shared" si="12"/>
        <v>3</v>
      </c>
      <c r="B96" s="101">
        <f t="shared" si="18"/>
        <v>23</v>
      </c>
      <c r="C96" s="101" t="str">
        <f t="shared" si="11"/>
        <v>T23</v>
      </c>
      <c r="D96" s="101" t="str">
        <f>IF(A96&lt;&gt;A95,VLOOKUP(A96,'Date SPV'!$A:$D,4,FALSE),D95)</f>
        <v>Ploiesti Shopping City SRL</v>
      </c>
      <c r="E96" s="101" t="str">
        <f>VLOOKUP(A96,'Date SPV'!$A$4:$B$34,2,FALSE)</f>
        <v>RPSC</v>
      </c>
      <c r="H96" s="105" t="s">
        <v>894</v>
      </c>
      <c r="K96" s="101" t="str">
        <f>VLOOKUP(C96,'Preturi si tarife'!$A$4:$B$39,2,FALSE)</f>
        <v>Regularizare Tarife distributie en. El JT</v>
      </c>
      <c r="L96" s="102">
        <f>IF(B96=1,'Date masura OD'!$I$5,IF(B96=19,'Date masura OD'!$AK$5,L95))</f>
        <v>45748</v>
      </c>
      <c r="M96" s="102">
        <f>IF(B96=1,'Date masura OD'!$J$5,IF(B96=19,'Date masura OD'!$AL$5,M95))</f>
        <v>45777</v>
      </c>
      <c r="N96" s="104">
        <f>VLOOKUP(E96,verificare!$AR$4:$CC$33,B96+2,FALSE)</f>
        <v>0</v>
      </c>
      <c r="O96" s="103">
        <f>HLOOKUP(VLOOKUP(E96,'Date SPV'!$B$4:$F$34,5,FALSE),'Preturi si tarife'!$C$2:$J$39,B96+2,FALSE)*10000</f>
        <v>2361</v>
      </c>
      <c r="Q96" s="101" t="str">
        <f t="shared" si="13"/>
        <v>One-off</v>
      </c>
      <c r="R96" s="101" t="str">
        <f>VLOOKUP(K96,'Preturi si tarife'!$B$4:$K$39,10,FALSE)</f>
        <v>ICOENG0001</v>
      </c>
      <c r="T96" s="101" t="str">
        <f t="shared" si="14"/>
        <v>INV + 30</v>
      </c>
      <c r="V96" s="101" t="str">
        <f t="shared" si="15"/>
        <v>Active</v>
      </c>
      <c r="X96" s="101" t="str">
        <f t="shared" si="16"/>
        <v>One-off</v>
      </c>
      <c r="AC96" s="101" t="str">
        <f t="shared" si="17"/>
        <v>RON</v>
      </c>
      <c r="AD96" s="101">
        <f t="shared" si="17"/>
        <v>10000</v>
      </c>
    </row>
    <row r="97" spans="1:30">
      <c r="A97" s="101">
        <f t="shared" si="12"/>
        <v>3</v>
      </c>
      <c r="B97" s="101">
        <f t="shared" si="18"/>
        <v>24</v>
      </c>
      <c r="C97" s="101" t="str">
        <f t="shared" si="11"/>
        <v>T24</v>
      </c>
      <c r="D97" s="101" t="str">
        <f>IF(A97&lt;&gt;A96,VLOOKUP(A97,'Date SPV'!$A:$D,4,FALSE),D96)</f>
        <v>Ploiesti Shopping City SRL</v>
      </c>
      <c r="E97" s="101" t="str">
        <f>VLOOKUP(A97,'Date SPV'!$A$4:$B$34,2,FALSE)</f>
        <v>RPSC</v>
      </c>
      <c r="H97" s="105" t="s">
        <v>894</v>
      </c>
      <c r="K97" s="101" t="str">
        <f>VLOOKUP(C97,'Preturi si tarife'!$A$4:$B$39,2,FALSE)</f>
        <v xml:space="preserve">Regularizare Servicii Sistem </v>
      </c>
      <c r="L97" s="102">
        <f>IF(B97=1,'Date masura OD'!$I$5,IF(B97=19,'Date masura OD'!$AK$5,L96))</f>
        <v>45748</v>
      </c>
      <c r="M97" s="102">
        <f>IF(B97=1,'Date masura OD'!$J$5,IF(B97=19,'Date masura OD'!$AL$5,M96))</f>
        <v>45777</v>
      </c>
      <c r="N97" s="104">
        <f>VLOOKUP(E97,verificare!$AR$4:$CC$33,B97+2,FALSE)</f>
        <v>1</v>
      </c>
      <c r="O97" s="103">
        <f>HLOOKUP(VLOOKUP(E97,'Date SPV'!$B$4:$F$34,5,FALSE),'Preturi si tarife'!$C$2:$J$39,B97+2,FALSE)*10000</f>
        <v>115.1</v>
      </c>
      <c r="Q97" s="101" t="str">
        <f t="shared" si="13"/>
        <v>One-off</v>
      </c>
      <c r="R97" s="101" t="str">
        <f>VLOOKUP(K97,'Preturi si tarife'!$B$4:$K$39,10,FALSE)</f>
        <v>ICOENG0001</v>
      </c>
      <c r="T97" s="101" t="str">
        <f t="shared" si="14"/>
        <v>INV + 30</v>
      </c>
      <c r="V97" s="101" t="str">
        <f t="shared" si="15"/>
        <v>Active</v>
      </c>
      <c r="X97" s="101" t="str">
        <f t="shared" si="16"/>
        <v>One-off</v>
      </c>
      <c r="AC97" s="101" t="str">
        <f t="shared" si="17"/>
        <v>RON</v>
      </c>
      <c r="AD97" s="101">
        <f t="shared" si="17"/>
        <v>10000</v>
      </c>
    </row>
    <row r="98" spans="1:30">
      <c r="A98" s="101">
        <f t="shared" si="12"/>
        <v>3</v>
      </c>
      <c r="B98" s="101">
        <f t="shared" si="18"/>
        <v>25</v>
      </c>
      <c r="C98" s="101" t="str">
        <f t="shared" si="11"/>
        <v>T25</v>
      </c>
      <c r="D98" s="101" t="str">
        <f>IF(A98&lt;&gt;A97,VLOOKUP(A98,'Date SPV'!$A:$D,4,FALSE),D97)</f>
        <v>Ploiesti Shopping City SRL</v>
      </c>
      <c r="E98" s="101" t="str">
        <f>VLOOKUP(A98,'Date SPV'!$A$4:$B$34,2,FALSE)</f>
        <v>RPSC</v>
      </c>
      <c r="H98" s="105" t="s">
        <v>894</v>
      </c>
      <c r="K98" s="101" t="str">
        <f>VLOOKUP(C98,'Preturi si tarife'!$A$4:$B$39,2,FALSE)</f>
        <v>Regularizare Tarif de introducere en. el in retea (TL)</v>
      </c>
      <c r="L98" s="102">
        <f>IF(B98=1,'Date masura OD'!$I$5,IF(B98=19,'Date masura OD'!$AK$5,L97))</f>
        <v>45748</v>
      </c>
      <c r="M98" s="102">
        <f>IF(B98=1,'Date masura OD'!$J$5,IF(B98=19,'Date masura OD'!$AL$5,M97))</f>
        <v>45777</v>
      </c>
      <c r="N98" s="104">
        <f>VLOOKUP(E98,verificare!$AR$4:$CC$33,B98+2,FALSE)</f>
        <v>1</v>
      </c>
      <c r="O98" s="103">
        <f>HLOOKUP(VLOOKUP(E98,'Date SPV'!$B$4:$F$34,5,FALSE),'Preturi si tarife'!$C$2:$J$39,B98+2,FALSE)*10000</f>
        <v>330.3</v>
      </c>
      <c r="Q98" s="101" t="str">
        <f t="shared" si="13"/>
        <v>One-off</v>
      </c>
      <c r="R98" s="101" t="str">
        <f>VLOOKUP(K98,'Preturi si tarife'!$B$4:$K$39,10,FALSE)</f>
        <v>ICOENG0001</v>
      </c>
      <c r="T98" s="101" t="str">
        <f t="shared" si="14"/>
        <v>INV + 30</v>
      </c>
      <c r="V98" s="101" t="str">
        <f t="shared" si="15"/>
        <v>Active</v>
      </c>
      <c r="X98" s="101" t="str">
        <f t="shared" si="16"/>
        <v>One-off</v>
      </c>
      <c r="AC98" s="101" t="str">
        <f t="shared" si="17"/>
        <v>RON</v>
      </c>
      <c r="AD98" s="101">
        <f t="shared" si="17"/>
        <v>10000</v>
      </c>
    </row>
    <row r="99" spans="1:30">
      <c r="A99" s="101">
        <f t="shared" si="12"/>
        <v>3</v>
      </c>
      <c r="B99" s="101">
        <f t="shared" si="18"/>
        <v>26</v>
      </c>
      <c r="C99" s="101" t="str">
        <f t="shared" si="11"/>
        <v>T26</v>
      </c>
      <c r="D99" s="101" t="str">
        <f>IF(A99&lt;&gt;A98,VLOOKUP(A99,'Date SPV'!$A:$D,4,FALSE),D98)</f>
        <v>Ploiesti Shopping City SRL</v>
      </c>
      <c r="E99" s="101" t="str">
        <f>VLOOKUP(A99,'Date SPV'!$A$4:$B$34,2,FALSE)</f>
        <v>RPSC</v>
      </c>
      <c r="H99" s="105" t="s">
        <v>894</v>
      </c>
      <c r="K99" s="101" t="str">
        <f>VLOOKUP(C99,'Preturi si tarife'!$A$4:$B$39,2,FALSE)</f>
        <v>Regularizare Tarif de introducere en.el in retea (TG)</v>
      </c>
      <c r="L99" s="102">
        <f>IF(B99=1,'Date masura OD'!$I$5,IF(B99=19,'Date masura OD'!$AK$5,L98))</f>
        <v>45748</v>
      </c>
      <c r="M99" s="102">
        <f>IF(B99=1,'Date masura OD'!$J$5,IF(B99=19,'Date masura OD'!$AL$5,M98))</f>
        <v>45777</v>
      </c>
      <c r="N99" s="104">
        <f>VLOOKUP(E99,verificare!$AR$4:$CC$33,B99+2,FALSE)</f>
        <v>1</v>
      </c>
      <c r="O99" s="103">
        <f>HLOOKUP(VLOOKUP(E99,'Date SPV'!$B$4:$F$34,5,FALSE),'Preturi si tarife'!$C$2:$J$39,B99+2,FALSE)*10000</f>
        <v>32.9</v>
      </c>
      <c r="Q99" s="101" t="str">
        <f t="shared" si="13"/>
        <v>One-off</v>
      </c>
      <c r="R99" s="101" t="str">
        <f>VLOOKUP(K99,'Preturi si tarife'!$B$4:$K$39,10,FALSE)</f>
        <v>ICOENG0001</v>
      </c>
      <c r="T99" s="101" t="str">
        <f t="shared" si="14"/>
        <v>INV + 30</v>
      </c>
      <c r="V99" s="101" t="str">
        <f t="shared" si="15"/>
        <v>Active</v>
      </c>
      <c r="X99" s="101" t="str">
        <f t="shared" si="16"/>
        <v>One-off</v>
      </c>
      <c r="AC99" s="101" t="str">
        <f t="shared" si="17"/>
        <v>RON</v>
      </c>
      <c r="AD99" s="101">
        <f t="shared" si="17"/>
        <v>10000</v>
      </c>
    </row>
    <row r="100" spans="1:30">
      <c r="A100" s="101">
        <f t="shared" si="12"/>
        <v>3</v>
      </c>
      <c r="B100" s="101">
        <f t="shared" si="18"/>
        <v>27</v>
      </c>
      <c r="C100" s="101" t="str">
        <f t="shared" si="11"/>
        <v>T27</v>
      </c>
      <c r="D100" s="101" t="str">
        <f>IF(A100&lt;&gt;A99,VLOOKUP(A100,'Date SPV'!$A:$D,4,FALSE),D99)</f>
        <v>Ploiesti Shopping City SRL</v>
      </c>
      <c r="E100" s="101" t="str">
        <f>VLOOKUP(A100,'Date SPV'!$A$4:$B$34,2,FALSE)</f>
        <v>RPSC</v>
      </c>
      <c r="H100" s="105" t="s">
        <v>894</v>
      </c>
      <c r="K100" s="101" t="str">
        <f>VLOOKUP(C100,'Preturi si tarife'!$A$4:$B$39,2,FALSE)</f>
        <v>Regularizare Contributie pentru cogenerare</v>
      </c>
      <c r="L100" s="102">
        <f>IF(B100=1,'Date masura OD'!$I$5,IF(B100=19,'Date masura OD'!$AK$5,L99))</f>
        <v>45748</v>
      </c>
      <c r="M100" s="102">
        <f>IF(B100=1,'Date masura OD'!$J$5,IF(B100=19,'Date masura OD'!$AL$5,M99))</f>
        <v>45777</v>
      </c>
      <c r="N100" s="104">
        <f>VLOOKUP(E100,verificare!$AR$4:$CC$33,B100+2,FALSE)</f>
        <v>1</v>
      </c>
      <c r="O100" s="103">
        <f>HLOOKUP(VLOOKUP(E100,'Date SPV'!$B$4:$F$34,5,FALSE),'Preturi si tarife'!$C$2:$J$39,B100+2,FALSE)*10000</f>
        <v>35</v>
      </c>
      <c r="Q100" s="101" t="str">
        <f t="shared" si="13"/>
        <v>One-off</v>
      </c>
      <c r="R100" s="101" t="str">
        <f>VLOOKUP(K100,'Preturi si tarife'!$B$4:$K$39,10,FALSE)</f>
        <v>ICOENG0001</v>
      </c>
      <c r="T100" s="101" t="str">
        <f t="shared" si="14"/>
        <v>INV + 30</v>
      </c>
      <c r="V100" s="101" t="str">
        <f t="shared" si="15"/>
        <v>Active</v>
      </c>
      <c r="X100" s="101" t="str">
        <f t="shared" si="16"/>
        <v>One-off</v>
      </c>
      <c r="AC100" s="101" t="str">
        <f t="shared" si="17"/>
        <v>RON</v>
      </c>
      <c r="AD100" s="101">
        <f t="shared" si="17"/>
        <v>10000</v>
      </c>
    </row>
    <row r="101" spans="1:30">
      <c r="A101" s="101">
        <f t="shared" si="12"/>
        <v>3</v>
      </c>
      <c r="B101" s="101">
        <f t="shared" si="18"/>
        <v>28</v>
      </c>
      <c r="C101" s="101" t="str">
        <f t="shared" si="11"/>
        <v>T28</v>
      </c>
      <c r="D101" s="101" t="str">
        <f>IF(A101&lt;&gt;A100,VLOOKUP(A101,'Date SPV'!$A:$D,4,FALSE),D100)</f>
        <v>Ploiesti Shopping City SRL</v>
      </c>
      <c r="E101" s="101" t="str">
        <f>VLOOKUP(A101,'Date SPV'!$A$4:$B$34,2,FALSE)</f>
        <v>RPSC</v>
      </c>
      <c r="H101" s="105" t="s">
        <v>894</v>
      </c>
      <c r="K101" s="101" t="str">
        <f>VLOOKUP(C101,'Preturi si tarife'!$A$4:$B$39,2,FALSE)</f>
        <v xml:space="preserve">Regularizare Certificate verzi </v>
      </c>
      <c r="L101" s="102">
        <f>IF(B101=1,'Date masura OD'!$I$5,IF(B101=19,'Date masura OD'!$AK$5,L100))</f>
        <v>45748</v>
      </c>
      <c r="M101" s="102">
        <f>IF(B101=1,'Date masura OD'!$J$5,IF(B101=19,'Date masura OD'!$AL$5,M100))</f>
        <v>45777</v>
      </c>
      <c r="N101" s="104">
        <f>VLOOKUP(E101,verificare!$AR$4:$CC$33,B101+2,FALSE)</f>
        <v>1</v>
      </c>
      <c r="O101" s="103">
        <f>HLOOKUP(VLOOKUP(E101,'Date SPV'!$B$4:$F$34,5,FALSE),'Preturi si tarife'!$C$2:$J$39,B101+2,FALSE)*10000</f>
        <v>725.41599999999994</v>
      </c>
      <c r="Q101" s="101" t="str">
        <f t="shared" si="13"/>
        <v>One-off</v>
      </c>
      <c r="R101" s="101" t="str">
        <f>VLOOKUP(K101,'Preturi si tarife'!$B$4:$K$39,10,FALSE)</f>
        <v>ICOENG0001</v>
      </c>
      <c r="T101" s="101" t="str">
        <f t="shared" si="14"/>
        <v>INV + 30</v>
      </c>
      <c r="V101" s="101" t="str">
        <f t="shared" si="15"/>
        <v>Active</v>
      </c>
      <c r="X101" s="101" t="str">
        <f t="shared" si="16"/>
        <v>One-off</v>
      </c>
      <c r="AC101" s="101" t="str">
        <f t="shared" si="17"/>
        <v>RON</v>
      </c>
      <c r="AD101" s="101">
        <f t="shared" si="17"/>
        <v>10000</v>
      </c>
    </row>
    <row r="102" spans="1:30">
      <c r="A102" s="101">
        <f t="shared" si="12"/>
        <v>3</v>
      </c>
      <c r="B102" s="101">
        <f t="shared" si="18"/>
        <v>29</v>
      </c>
      <c r="C102" s="101" t="str">
        <f t="shared" si="11"/>
        <v>T29</v>
      </c>
      <c r="D102" s="101" t="str">
        <f>IF(A102&lt;&gt;A101,VLOOKUP(A102,'Date SPV'!$A:$D,4,FALSE),D101)</f>
        <v>Ploiesti Shopping City SRL</v>
      </c>
      <c r="E102" s="101" t="str">
        <f>VLOOKUP(A102,'Date SPV'!$A$4:$B$34,2,FALSE)</f>
        <v>RPSC</v>
      </c>
      <c r="H102" s="105" t="s">
        <v>894</v>
      </c>
      <c r="K102" s="101" t="str">
        <f>VLOOKUP(C102,'Preturi si tarife'!$A$4:$B$39,2,FALSE)</f>
        <v>Regularizare Contributie CFD</v>
      </c>
      <c r="L102" s="102">
        <f>IF(B102=1,'Date masura OD'!$I$5,IF(B102=19,'Date masura OD'!$AK$5,L101))</f>
        <v>45748</v>
      </c>
      <c r="M102" s="102">
        <f>IF(B102=1,'Date masura OD'!$J$5,IF(B102=19,'Date masura OD'!$AL$5,M101))</f>
        <v>45777</v>
      </c>
      <c r="N102" s="104">
        <f>VLOOKUP(E102,verificare!$AR$4:$CC$33,B102+2,FALSE)</f>
        <v>1</v>
      </c>
      <c r="O102" s="103">
        <f>HLOOKUP(VLOOKUP(E102,'Date SPV'!$B$4:$F$34,5,FALSE),'Preturi si tarife'!$C$2:$J$39,B102+2,FALSE)*10000</f>
        <v>2.06</v>
      </c>
      <c r="Q102" s="101" t="str">
        <f t="shared" si="13"/>
        <v>One-off</v>
      </c>
      <c r="R102" s="101" t="str">
        <f>VLOOKUP(K102,'Preturi si tarife'!$B$4:$K$39,10,FALSE)</f>
        <v>ICOENG0001</v>
      </c>
      <c r="T102" s="101" t="str">
        <f t="shared" si="14"/>
        <v>INV + 30</v>
      </c>
      <c r="V102" s="101" t="str">
        <f t="shared" si="15"/>
        <v>Active</v>
      </c>
      <c r="X102" s="101" t="str">
        <f t="shared" si="16"/>
        <v>One-off</v>
      </c>
      <c r="AC102" s="101" t="str">
        <f t="shared" si="17"/>
        <v>RON</v>
      </c>
      <c r="AD102" s="101">
        <f t="shared" si="17"/>
        <v>10000</v>
      </c>
    </row>
    <row r="103" spans="1:30">
      <c r="A103" s="101">
        <f t="shared" si="12"/>
        <v>3</v>
      </c>
      <c r="B103" s="101">
        <f t="shared" si="18"/>
        <v>30</v>
      </c>
      <c r="C103" s="101" t="str">
        <f t="shared" si="11"/>
        <v>T30</v>
      </c>
      <c r="D103" s="101" t="str">
        <f>IF(A103&lt;&gt;A102,VLOOKUP(A103,'Date SPV'!$A:$D,4,FALSE),D102)</f>
        <v>Ploiesti Shopping City SRL</v>
      </c>
      <c r="E103" s="101" t="str">
        <f>VLOOKUP(A103,'Date SPV'!$A$4:$B$34,2,FALSE)</f>
        <v>RPSC</v>
      </c>
      <c r="H103" s="105" t="s">
        <v>894</v>
      </c>
      <c r="K103" s="101" t="str">
        <f>VLOOKUP(C103,'Preturi si tarife'!$A$4:$B$39,2,FALSE)</f>
        <v>Regularizare Acciza</v>
      </c>
      <c r="L103" s="102">
        <f>IF(B103=1,'Date masura OD'!$I$5,IF(B103=19,'Date masura OD'!$AK$5,L102))</f>
        <v>45748</v>
      </c>
      <c r="M103" s="102">
        <f>IF(B103=1,'Date masura OD'!$J$5,IF(B103=19,'Date masura OD'!$AL$5,M102))</f>
        <v>45777</v>
      </c>
      <c r="N103" s="104">
        <f>VLOOKUP(E103,verificare!$AR$4:$CC$33,B103+2,FALSE)</f>
        <v>1</v>
      </c>
      <c r="O103" s="103">
        <f>HLOOKUP(VLOOKUP(E103,'Date SPV'!$B$4:$F$34,5,FALSE),'Preturi si tarife'!$C$2:$J$39,B103+2,FALSE)*10000</f>
        <v>0</v>
      </c>
      <c r="Q103" s="101" t="str">
        <f t="shared" si="13"/>
        <v>One-off</v>
      </c>
      <c r="R103" s="101" t="str">
        <f>VLOOKUP(K103,'Preturi si tarife'!$B$4:$K$39,10,FALSE)</f>
        <v>ICOENG0001</v>
      </c>
      <c r="T103" s="101" t="str">
        <f t="shared" si="14"/>
        <v>INV + 30</v>
      </c>
      <c r="V103" s="101" t="str">
        <f t="shared" si="15"/>
        <v>Active</v>
      </c>
      <c r="X103" s="101" t="str">
        <f t="shared" si="16"/>
        <v>One-off</v>
      </c>
      <c r="AC103" s="101" t="str">
        <f t="shared" si="17"/>
        <v>RON</v>
      </c>
      <c r="AD103" s="101">
        <f t="shared" si="17"/>
        <v>10000</v>
      </c>
    </row>
    <row r="104" spans="1:30">
      <c r="A104" s="101">
        <f t="shared" si="12"/>
        <v>3</v>
      </c>
      <c r="B104" s="101">
        <f t="shared" si="18"/>
        <v>31</v>
      </c>
      <c r="C104" s="101" t="str">
        <f t="shared" si="11"/>
        <v>T31</v>
      </c>
      <c r="D104" s="101" t="str">
        <f>IF(A104&lt;&gt;A103,VLOOKUP(A104,'Date SPV'!$A:$D,4,FALSE),D103)</f>
        <v>Ploiesti Shopping City SRL</v>
      </c>
      <c r="E104" s="101" t="str">
        <f>VLOOKUP(A104,'Date SPV'!$A$4:$B$34,2,FALSE)</f>
        <v>RPSC</v>
      </c>
      <c r="H104" s="105" t="s">
        <v>894</v>
      </c>
      <c r="K104" s="101" t="str">
        <f>VLOOKUP(C104,'Preturi si tarife'!$A$4:$B$39,2,FALSE)</f>
        <v>Regularizare Tarif distributie SDI MT Ea1</v>
      </c>
      <c r="L104" s="102">
        <f>IF(B104=1,'Date masura OD'!$I$5,IF(B104=19,'Date masura OD'!$AK$5,L103))</f>
        <v>45748</v>
      </c>
      <c r="M104" s="102">
        <f>IF(B104=1,'Date masura OD'!$J$5,IF(B104=19,'Date masura OD'!$AL$5,M103))</f>
        <v>45777</v>
      </c>
      <c r="N104" s="104">
        <f>VLOOKUP(E104,verificare!$AR$4:$CC$33,B104+2,FALSE)</f>
        <v>1</v>
      </c>
      <c r="O104" s="103">
        <f>HLOOKUP(VLOOKUP(E104,'Date SPV'!$B$4:$F$34,5,FALSE),'Preturi si tarife'!$C$2:$J$39,B104+2,FALSE)*10000</f>
        <v>149</v>
      </c>
      <c r="Q104" s="101" t="str">
        <f t="shared" si="13"/>
        <v>One-off</v>
      </c>
      <c r="R104" s="101" t="str">
        <f>VLOOKUP(K104,'Preturi si tarife'!$B$4:$K$39,10,FALSE)</f>
        <v>ICOENG0010</v>
      </c>
      <c r="T104" s="101" t="str">
        <f t="shared" si="14"/>
        <v>INV + 30</v>
      </c>
      <c r="V104" s="101" t="str">
        <f t="shared" si="15"/>
        <v>Active</v>
      </c>
      <c r="X104" s="101" t="str">
        <f t="shared" si="16"/>
        <v>One-off</v>
      </c>
      <c r="AC104" s="101" t="str">
        <f t="shared" si="17"/>
        <v>RON</v>
      </c>
      <c r="AD104" s="101">
        <f t="shared" si="17"/>
        <v>10000</v>
      </c>
    </row>
    <row r="105" spans="1:30">
      <c r="A105" s="101">
        <f t="shared" si="12"/>
        <v>3</v>
      </c>
      <c r="B105" s="101">
        <f t="shared" si="18"/>
        <v>32</v>
      </c>
      <c r="C105" s="101" t="str">
        <f t="shared" si="11"/>
        <v>T32</v>
      </c>
      <c r="D105" s="101" t="str">
        <f>IF(A105&lt;&gt;A104,VLOOKUP(A105,'Date SPV'!$A:$D,4,FALSE),D104)</f>
        <v>Ploiesti Shopping City SRL</v>
      </c>
      <c r="E105" s="101" t="str">
        <f>VLOOKUP(A105,'Date SPV'!$A$4:$B$34,2,FALSE)</f>
        <v>RPSC</v>
      </c>
      <c r="H105" s="105" t="s">
        <v>894</v>
      </c>
      <c r="K105" s="101" t="str">
        <f>VLOOKUP(C105,'Preturi si tarife'!$A$4:$B$39,2,FALSE)</f>
        <v>Regularizare Tarif distributie SDI JT Ea1</v>
      </c>
      <c r="L105" s="102">
        <f>IF(B105=1,'Date masura OD'!$I$5,IF(B105=19,'Date masura OD'!$AK$5,L104))</f>
        <v>45748</v>
      </c>
      <c r="M105" s="102">
        <f>IF(B105=1,'Date masura OD'!$J$5,IF(B105=19,'Date masura OD'!$AL$5,M104))</f>
        <v>45777</v>
      </c>
      <c r="N105" s="104">
        <f>VLOOKUP(E105,verificare!$AR$4:$CC$33,B105+2,FALSE)</f>
        <v>1</v>
      </c>
      <c r="O105" s="103">
        <f>HLOOKUP(VLOOKUP(E105,'Date SPV'!$B$4:$F$34,5,FALSE),'Preturi si tarife'!$C$2:$J$39,B105+2,FALSE)*10000</f>
        <v>1192</v>
      </c>
      <c r="Q105" s="101" t="str">
        <f t="shared" si="13"/>
        <v>One-off</v>
      </c>
      <c r="R105" s="101" t="str">
        <f>VLOOKUP(K105,'Preturi si tarife'!$B$4:$K$39,10,FALSE)</f>
        <v>ICOENG0010</v>
      </c>
      <c r="T105" s="101" t="str">
        <f t="shared" si="14"/>
        <v>INV + 30</v>
      </c>
      <c r="V105" s="101" t="str">
        <f t="shared" si="15"/>
        <v>Active</v>
      </c>
      <c r="X105" s="101" t="str">
        <f t="shared" si="16"/>
        <v>One-off</v>
      </c>
      <c r="AC105" s="101" t="str">
        <f t="shared" si="17"/>
        <v>RON</v>
      </c>
      <c r="AD105" s="101">
        <f t="shared" si="17"/>
        <v>10000</v>
      </c>
    </row>
    <row r="106" spans="1:30">
      <c r="A106" s="101">
        <f t="shared" si="12"/>
        <v>3</v>
      </c>
      <c r="B106" s="101">
        <f t="shared" si="18"/>
        <v>33</v>
      </c>
      <c r="C106" s="101" t="str">
        <f t="shared" si="11"/>
        <v>T33</v>
      </c>
      <c r="D106" s="101" t="str">
        <f>IF(A106&lt;&gt;A105,VLOOKUP(A106,'Date SPV'!$A:$D,4,FALSE),D105)</f>
        <v>Ploiesti Shopping City SRL</v>
      </c>
      <c r="E106" s="101" t="str">
        <f>VLOOKUP(A106,'Date SPV'!$A$4:$B$34,2,FALSE)</f>
        <v>RPSC</v>
      </c>
      <c r="H106" s="105" t="s">
        <v>894</v>
      </c>
      <c r="K106" s="101" t="str">
        <f>VLOOKUP(C106,'Preturi si tarife'!$A$4:$B$39,2,FALSE)</f>
        <v>Regularizare Energie activa 2</v>
      </c>
      <c r="L106" s="102">
        <f>IF(B106=1,'Date masura OD'!$I$5,IF(B106=19,'Date masura OD'!$AK$5,L105))</f>
        <v>45748</v>
      </c>
      <c r="M106" s="102">
        <f>IF(B106=1,'Date masura OD'!$J$5,IF(B106=19,'Date masura OD'!$AL$5,M105))</f>
        <v>45777</v>
      </c>
      <c r="N106" s="104">
        <f>VLOOKUP(E106,verificare!$AR$4:$CC$33,B106+2,FALSE)</f>
        <v>0</v>
      </c>
      <c r="O106" s="103">
        <f>HLOOKUP(VLOOKUP(E106,'Date SPV'!$B$4:$F$34,5,FALSE),'Preturi si tarife'!$C$2:$J$39,B106+2,FALSE)*10000</f>
        <v>9680.0760000000009</v>
      </c>
      <c r="Q106" s="101" t="str">
        <f t="shared" si="13"/>
        <v>One-off</v>
      </c>
      <c r="R106" s="101" t="str">
        <f>VLOOKUP(K106,'Preturi si tarife'!$B$4:$K$39,10,FALSE)</f>
        <v>ICOENG0012</v>
      </c>
      <c r="T106" s="101" t="str">
        <f t="shared" si="14"/>
        <v>INV + 30</v>
      </c>
      <c r="V106" s="101" t="str">
        <f t="shared" si="15"/>
        <v>Active</v>
      </c>
      <c r="X106" s="101" t="str">
        <f t="shared" si="16"/>
        <v>One-off</v>
      </c>
      <c r="AC106" s="101" t="str">
        <f t="shared" si="17"/>
        <v>RON</v>
      </c>
      <c r="AD106" s="101">
        <f t="shared" si="17"/>
        <v>10000</v>
      </c>
    </row>
    <row r="107" spans="1:30">
      <c r="A107" s="101">
        <f t="shared" si="12"/>
        <v>3</v>
      </c>
      <c r="B107" s="101">
        <f t="shared" si="18"/>
        <v>34</v>
      </c>
      <c r="C107" s="101" t="str">
        <f t="shared" si="11"/>
        <v>T34</v>
      </c>
      <c r="D107" s="101" t="str">
        <f>IF(A107&lt;&gt;A106,VLOOKUP(A107,'Date SPV'!$A:$D,4,FALSE),D106)</f>
        <v>Ploiesti Shopping City SRL</v>
      </c>
      <c r="E107" s="101" t="str">
        <f>VLOOKUP(A107,'Date SPV'!$A$4:$B$34,2,FALSE)</f>
        <v>RPSC</v>
      </c>
      <c r="H107" s="105" t="s">
        <v>894</v>
      </c>
      <c r="K107" s="101" t="str">
        <f>VLOOKUP(C107,'Preturi si tarife'!$A$4:$B$39,2,FALSE)</f>
        <v>Regularizare Energie activa 3</v>
      </c>
      <c r="L107" s="102">
        <f>IF(B107=1,'Date masura OD'!$I$5,IF(B107=19,'Date masura OD'!$AK$5,L106))</f>
        <v>45748</v>
      </c>
      <c r="M107" s="102">
        <f>IF(B107=1,'Date masura OD'!$J$5,IF(B107=19,'Date masura OD'!$AL$5,M106))</f>
        <v>45777</v>
      </c>
      <c r="N107" s="104">
        <f>VLOOKUP(E107,verificare!$AR$4:$CC$33,B107+2,FALSE)</f>
        <v>0</v>
      </c>
      <c r="O107" s="103">
        <f>HLOOKUP(VLOOKUP(E107,'Date SPV'!$B$4:$F$34,5,FALSE),'Preturi si tarife'!$C$2:$J$39,B107+2,FALSE)*10000</f>
        <v>8339.0760000000009</v>
      </c>
      <c r="Q107" s="101" t="str">
        <f t="shared" si="13"/>
        <v>One-off</v>
      </c>
      <c r="R107" s="101" t="str">
        <f>VLOOKUP(K107,'Preturi si tarife'!$B$4:$K$39,10,FALSE)</f>
        <v>ICOENG0012</v>
      </c>
      <c r="T107" s="101" t="str">
        <f t="shared" si="14"/>
        <v>INV + 30</v>
      </c>
      <c r="V107" s="101" t="str">
        <f t="shared" si="15"/>
        <v>Active</v>
      </c>
      <c r="X107" s="101" t="str">
        <f t="shared" si="16"/>
        <v>One-off</v>
      </c>
      <c r="AC107" s="101" t="str">
        <f t="shared" si="17"/>
        <v>RON</v>
      </c>
      <c r="AD107" s="101">
        <f t="shared" si="17"/>
        <v>10000</v>
      </c>
    </row>
    <row r="108" spans="1:30">
      <c r="A108" s="101">
        <f t="shared" si="12"/>
        <v>3</v>
      </c>
      <c r="B108" s="101">
        <f t="shared" si="18"/>
        <v>35</v>
      </c>
      <c r="C108" s="101" t="str">
        <f t="shared" si="11"/>
        <v>T35</v>
      </c>
      <c r="D108" s="101" t="str">
        <f>IF(A108&lt;&gt;A107,VLOOKUP(A108,'Date SPV'!$A:$D,4,FALSE),D107)</f>
        <v>Ploiesti Shopping City SRL</v>
      </c>
      <c r="E108" s="101" t="str">
        <f>VLOOKUP(A108,'Date SPV'!$A$4:$B$34,2,FALSE)</f>
        <v>RPSC</v>
      </c>
      <c r="H108" s="105" t="s">
        <v>894</v>
      </c>
      <c r="K108" s="101" t="str">
        <f>VLOOKUP(C108,'Preturi si tarife'!$A$4:$B$39,2,FALSE)</f>
        <v>Regularizare Tarif distributie SDI MT Ea3</v>
      </c>
      <c r="L108" s="102">
        <f>IF(B108=1,'Date masura OD'!$I$5,IF(B108=19,'Date masura OD'!$AK$5,L107))</f>
        <v>45748</v>
      </c>
      <c r="M108" s="102">
        <f>IF(B108=1,'Date masura OD'!$J$5,IF(B108=19,'Date masura OD'!$AL$5,M107))</f>
        <v>45777</v>
      </c>
      <c r="N108" s="104">
        <f>VLOOKUP(E108,verificare!$AR$4:$CC$33,B108+2,FALSE)</f>
        <v>0</v>
      </c>
      <c r="O108" s="103">
        <f>HLOOKUP(VLOOKUP(E108,'Date SPV'!$B$4:$F$34,5,FALSE),'Preturi si tarife'!$C$2:$J$39,B108+2,FALSE)*10000</f>
        <v>149</v>
      </c>
      <c r="Q108" s="101" t="str">
        <f t="shared" si="13"/>
        <v>One-off</v>
      </c>
      <c r="R108" s="101" t="str">
        <f>VLOOKUP(K108,'Preturi si tarife'!$B$4:$K$39,10,FALSE)</f>
        <v>ICOENG0010</v>
      </c>
      <c r="T108" s="101" t="str">
        <f t="shared" si="14"/>
        <v>INV + 30</v>
      </c>
      <c r="V108" s="101" t="str">
        <f t="shared" si="15"/>
        <v>Active</v>
      </c>
      <c r="X108" s="101" t="str">
        <f t="shared" si="16"/>
        <v>One-off</v>
      </c>
      <c r="AC108" s="101" t="str">
        <f t="shared" si="17"/>
        <v>RON</v>
      </c>
      <c r="AD108" s="101">
        <f t="shared" si="17"/>
        <v>10000</v>
      </c>
    </row>
    <row r="109" spans="1:30">
      <c r="A109" s="101">
        <f t="shared" si="12"/>
        <v>3</v>
      </c>
      <c r="B109" s="101">
        <f t="shared" si="18"/>
        <v>36</v>
      </c>
      <c r="C109" s="101" t="str">
        <f t="shared" si="11"/>
        <v>T36</v>
      </c>
      <c r="D109" s="101" t="str">
        <f>IF(A109&lt;&gt;A108,VLOOKUP(A109,'Date SPV'!$A:$D,4,FALSE),D108)</f>
        <v>Ploiesti Shopping City SRL</v>
      </c>
      <c r="E109" s="101" t="str">
        <f>VLOOKUP(A109,'Date SPV'!$A$4:$B$34,2,FALSE)</f>
        <v>RPSC</v>
      </c>
      <c r="H109" s="105" t="s">
        <v>894</v>
      </c>
      <c r="K109" s="101" t="str">
        <f>VLOOKUP(C109,'Preturi si tarife'!$A$4:$B$39,2,FALSE)</f>
        <v>Regularizare Tarif distributie SDI JT Ea3</v>
      </c>
      <c r="L109" s="102">
        <f>IF(B109=1,'Date masura OD'!$I$5,IF(B109=19,'Date masura OD'!$AK$5,L108))</f>
        <v>45748</v>
      </c>
      <c r="M109" s="102">
        <f>IF(B109=1,'Date masura OD'!$J$5,IF(B109=19,'Date masura OD'!$AL$5,M108))</f>
        <v>45777</v>
      </c>
      <c r="N109" s="104">
        <f>VLOOKUP(E109,verificare!$AR$4:$CC$33,B109+2,FALSE)</f>
        <v>0</v>
      </c>
      <c r="O109" s="103">
        <f>HLOOKUP(VLOOKUP(E109,'Date SPV'!$B$4:$F$34,5,FALSE),'Preturi si tarife'!$C$2:$J$39,B109+2,FALSE)*10000</f>
        <v>1192</v>
      </c>
      <c r="Q109" s="101" t="str">
        <f t="shared" si="13"/>
        <v>One-off</v>
      </c>
      <c r="R109" s="101" t="str">
        <f>VLOOKUP(K109,'Preturi si tarife'!$B$4:$K$39,10,FALSE)</f>
        <v>ICOENG0010</v>
      </c>
      <c r="T109" s="101" t="str">
        <f t="shared" si="14"/>
        <v>INV + 30</v>
      </c>
      <c r="V109" s="101" t="str">
        <f t="shared" si="15"/>
        <v>Active</v>
      </c>
      <c r="X109" s="101" t="str">
        <f t="shared" si="16"/>
        <v>One-off</v>
      </c>
      <c r="AC109" s="101" t="str">
        <f t="shared" si="17"/>
        <v>RON</v>
      </c>
      <c r="AD109" s="101">
        <f t="shared" si="17"/>
        <v>10000</v>
      </c>
    </row>
    <row r="110" spans="1:30">
      <c r="A110" s="101">
        <f t="shared" si="12"/>
        <v>4</v>
      </c>
      <c r="B110" s="101">
        <f t="shared" si="18"/>
        <v>1</v>
      </c>
      <c r="C110" s="101" t="str">
        <f t="shared" si="11"/>
        <v>T1</v>
      </c>
      <c r="D110" s="101" t="str">
        <f>IF(A110&lt;&gt;A109,VLOOKUP(A110,'Date SPV'!$A:$D,4,FALSE),D109)</f>
        <v>Shopping City Piatra Neamt SRL</v>
      </c>
      <c r="E110" s="101" t="str">
        <f>VLOOKUP(A110,'Date SPV'!$A$4:$B$34,2,FALSE)</f>
        <v>RSCP</v>
      </c>
      <c r="H110" s="105" t="s">
        <v>894</v>
      </c>
      <c r="K110" s="101" t="str">
        <f>VLOOKUP(C110,'Preturi si tarife'!$A$4:$B$39,2,FALSE)</f>
        <v>Energie activa 1</v>
      </c>
      <c r="L110" s="102">
        <f>IF(B110=1,'Date masura OD'!$I$5,IF(B110=19,'Date masura OD'!$AK$5,L109))</f>
        <v>45778</v>
      </c>
      <c r="M110" s="102">
        <f>IF(B110=1,'Date masura OD'!$J$5,IF(B110=19,'Date masura OD'!$AL$5,M109))</f>
        <v>45808</v>
      </c>
      <c r="N110" s="104">
        <f>VLOOKUP(E110,verificare!$AR$4:$CC$33,B110+2,FALSE)</f>
        <v>313151</v>
      </c>
      <c r="O110" s="103">
        <f>HLOOKUP(VLOOKUP(E110,'Date SPV'!$B$4:$F$34,5,FALSE),'Preturi si tarife'!$C$2:$J$39,B110+2,FALSE)*10000</f>
        <v>5950</v>
      </c>
      <c r="Q110" s="101" t="str">
        <f t="shared" si="13"/>
        <v>One-off</v>
      </c>
      <c r="R110" s="101" t="str">
        <f>VLOOKUP(K110,'Preturi si tarife'!$B$4:$K$39,10,FALSE)</f>
        <v>ICOENG0001</v>
      </c>
      <c r="T110" s="101" t="str">
        <f t="shared" si="14"/>
        <v>INV + 30</v>
      </c>
      <c r="V110" s="101" t="str">
        <f t="shared" si="15"/>
        <v>Active</v>
      </c>
      <c r="X110" s="101" t="str">
        <f t="shared" si="16"/>
        <v>One-off</v>
      </c>
      <c r="AC110" s="101" t="str">
        <f t="shared" si="17"/>
        <v>RON</v>
      </c>
      <c r="AD110" s="101">
        <f t="shared" si="17"/>
        <v>10000</v>
      </c>
    </row>
    <row r="111" spans="1:30">
      <c r="A111" s="101">
        <f t="shared" si="12"/>
        <v>4</v>
      </c>
      <c r="B111" s="101">
        <f t="shared" si="18"/>
        <v>2</v>
      </c>
      <c r="C111" s="101" t="str">
        <f t="shared" si="11"/>
        <v>T2</v>
      </c>
      <c r="D111" s="101" t="str">
        <f>IF(A111&lt;&gt;A110,VLOOKUP(A111,'Date SPV'!$A:$D,4,FALSE),D110)</f>
        <v>Shopping City Piatra Neamt SRL</v>
      </c>
      <c r="E111" s="101" t="str">
        <f>VLOOKUP(A111,'Date SPV'!$A$4:$B$34,2,FALSE)</f>
        <v>RSCP</v>
      </c>
      <c r="H111" s="105" t="s">
        <v>894</v>
      </c>
      <c r="K111" s="101" t="str">
        <f>VLOOKUP(C111,'Preturi si tarife'!$A$4:$B$39,2,FALSE)</f>
        <v>Energie reactiva  1X</v>
      </c>
      <c r="L111" s="102">
        <f>IF(B111=1,'Date masura OD'!$I$5,IF(B111=19,'Date masura OD'!$AK$5,L110))</f>
        <v>45778</v>
      </c>
      <c r="M111" s="102">
        <f>IF(B111=1,'Date masura OD'!$J$5,IF(B111=19,'Date masura OD'!$AL$5,M110))</f>
        <v>45808</v>
      </c>
      <c r="N111" s="104">
        <f>VLOOKUP(E111,verificare!$AR$4:$CC$33,B111+2,FALSE)</f>
        <v>0</v>
      </c>
      <c r="O111" s="103">
        <f>HLOOKUP(VLOOKUP(E111,'Date SPV'!$B$4:$F$34,5,FALSE),'Preturi si tarife'!$C$2:$J$39,B111+2,FALSE)*10000</f>
        <v>1466</v>
      </c>
      <c r="Q111" s="101" t="str">
        <f t="shared" si="13"/>
        <v>One-off</v>
      </c>
      <c r="R111" s="101" t="str">
        <f>VLOOKUP(K111,'Preturi si tarife'!$B$4:$K$39,10,FALSE)</f>
        <v>ICOENG0001</v>
      </c>
      <c r="T111" s="101" t="str">
        <f t="shared" si="14"/>
        <v>INV + 30</v>
      </c>
      <c r="V111" s="101" t="str">
        <f t="shared" si="15"/>
        <v>Active</v>
      </c>
      <c r="X111" s="101" t="str">
        <f t="shared" si="16"/>
        <v>One-off</v>
      </c>
      <c r="AC111" s="101" t="str">
        <f t="shared" si="17"/>
        <v>RON</v>
      </c>
      <c r="AD111" s="101">
        <f t="shared" si="17"/>
        <v>10000</v>
      </c>
    </row>
    <row r="112" spans="1:30">
      <c r="A112" s="101">
        <f t="shared" si="12"/>
        <v>4</v>
      </c>
      <c r="B112" s="101">
        <f t="shared" si="18"/>
        <v>3</v>
      </c>
      <c r="C112" s="101" t="str">
        <f t="shared" si="11"/>
        <v>T3</v>
      </c>
      <c r="D112" s="101" t="str">
        <f>IF(A112&lt;&gt;A111,VLOOKUP(A112,'Date SPV'!$A:$D,4,FALSE),D111)</f>
        <v>Shopping City Piatra Neamt SRL</v>
      </c>
      <c r="E112" s="101" t="str">
        <f>VLOOKUP(A112,'Date SPV'!$A$4:$B$34,2,FALSE)</f>
        <v>RSCP</v>
      </c>
      <c r="H112" s="105" t="s">
        <v>894</v>
      </c>
      <c r="K112" s="101" t="str">
        <f>VLOOKUP(C112,'Preturi si tarife'!$A$4:$B$39,2,FALSE)</f>
        <v>Energie reactiva  3X</v>
      </c>
      <c r="L112" s="102">
        <f>IF(B112=1,'Date masura OD'!$I$5,IF(B112=19,'Date masura OD'!$AK$5,L111))</f>
        <v>45778</v>
      </c>
      <c r="M112" s="102">
        <f>IF(B112=1,'Date masura OD'!$J$5,IF(B112=19,'Date masura OD'!$AL$5,M111))</f>
        <v>45808</v>
      </c>
      <c r="N112" s="104">
        <f>VLOOKUP(E112,verificare!$AR$4:$CC$33,B112+2,FALSE)</f>
        <v>0</v>
      </c>
      <c r="O112" s="103">
        <f>HLOOKUP(VLOOKUP(E112,'Date SPV'!$B$4:$F$34,5,FALSE),'Preturi si tarife'!$C$2:$J$39,B112+2,FALSE)*10000</f>
        <v>4398</v>
      </c>
      <c r="Q112" s="101" t="str">
        <f t="shared" si="13"/>
        <v>One-off</v>
      </c>
      <c r="R112" s="101" t="str">
        <f>VLOOKUP(K112,'Preturi si tarife'!$B$4:$K$39,10,FALSE)</f>
        <v>ICOENG0001</v>
      </c>
      <c r="T112" s="101" t="str">
        <f t="shared" si="14"/>
        <v>INV + 30</v>
      </c>
      <c r="V112" s="101" t="str">
        <f t="shared" si="15"/>
        <v>Active</v>
      </c>
      <c r="X112" s="101" t="str">
        <f t="shared" si="16"/>
        <v>One-off</v>
      </c>
      <c r="AC112" s="101" t="str">
        <f t="shared" si="17"/>
        <v>RON</v>
      </c>
      <c r="AD112" s="101">
        <f t="shared" si="17"/>
        <v>10000</v>
      </c>
    </row>
    <row r="113" spans="1:30">
      <c r="A113" s="101">
        <f t="shared" si="12"/>
        <v>4</v>
      </c>
      <c r="B113" s="101">
        <f t="shared" si="18"/>
        <v>4</v>
      </c>
      <c r="C113" s="101" t="str">
        <f t="shared" si="11"/>
        <v>T4</v>
      </c>
      <c r="D113" s="101" t="str">
        <f>IF(A113&lt;&gt;A112,VLOOKUP(A113,'Date SPV'!$A:$D,4,FALSE),D112)</f>
        <v>Shopping City Piatra Neamt SRL</v>
      </c>
      <c r="E113" s="101" t="str">
        <f>VLOOKUP(A113,'Date SPV'!$A$4:$B$34,2,FALSE)</f>
        <v>RSCP</v>
      </c>
      <c r="H113" s="105" t="s">
        <v>894</v>
      </c>
      <c r="K113" s="101" t="str">
        <f>VLOOKUP(C113,'Preturi si tarife'!$A$4:$B$39,2,FALSE)</f>
        <v>Tarife distributie en. El IT+MT</v>
      </c>
      <c r="L113" s="102">
        <f>IF(B113=1,'Date masura OD'!$I$5,IF(B113=19,'Date masura OD'!$AK$5,L112))</f>
        <v>45778</v>
      </c>
      <c r="M113" s="102">
        <f>IF(B113=1,'Date masura OD'!$J$5,IF(B113=19,'Date masura OD'!$AL$5,M112))</f>
        <v>45808</v>
      </c>
      <c r="N113" s="104">
        <f>VLOOKUP(E113,verificare!$AR$4:$CC$33,B113+2,FALSE)</f>
        <v>313151</v>
      </c>
      <c r="O113" s="103">
        <f>HLOOKUP(VLOOKUP(E113,'Date SPV'!$B$4:$F$34,5,FALSE),'Preturi si tarife'!$C$2:$J$39,B113+2,FALSE)*10000</f>
        <v>1134.8</v>
      </c>
      <c r="Q113" s="101" t="str">
        <f t="shared" si="13"/>
        <v>One-off</v>
      </c>
      <c r="R113" s="101" t="str">
        <f>VLOOKUP(K113,'Preturi si tarife'!$B$4:$K$39,10,FALSE)</f>
        <v>ICOENG0001</v>
      </c>
      <c r="T113" s="101" t="str">
        <f t="shared" si="14"/>
        <v>INV + 30</v>
      </c>
      <c r="V113" s="101" t="str">
        <f t="shared" si="15"/>
        <v>Active</v>
      </c>
      <c r="X113" s="101" t="str">
        <f t="shared" si="16"/>
        <v>One-off</v>
      </c>
      <c r="AC113" s="101" t="str">
        <f t="shared" si="17"/>
        <v>RON</v>
      </c>
      <c r="AD113" s="101">
        <f t="shared" si="17"/>
        <v>10000</v>
      </c>
    </row>
    <row r="114" spans="1:30">
      <c r="A114" s="101">
        <f t="shared" si="12"/>
        <v>4</v>
      </c>
      <c r="B114" s="101">
        <f t="shared" si="18"/>
        <v>5</v>
      </c>
      <c r="C114" s="101" t="str">
        <f t="shared" si="11"/>
        <v>T5</v>
      </c>
      <c r="D114" s="101" t="str">
        <f>IF(A114&lt;&gt;A113,VLOOKUP(A114,'Date SPV'!$A:$D,4,FALSE),D113)</f>
        <v>Shopping City Piatra Neamt SRL</v>
      </c>
      <c r="E114" s="101" t="str">
        <f>VLOOKUP(A114,'Date SPV'!$A$4:$B$34,2,FALSE)</f>
        <v>RSCP</v>
      </c>
      <c r="H114" s="105" t="s">
        <v>894</v>
      </c>
      <c r="K114" s="101" t="str">
        <f>VLOOKUP(C114,'Preturi si tarife'!$A$4:$B$39,2,FALSE)</f>
        <v>Tarife distributie en. El JT</v>
      </c>
      <c r="L114" s="102">
        <f>IF(B114=1,'Date masura OD'!$I$5,IF(B114=19,'Date masura OD'!$AK$5,L113))</f>
        <v>45778</v>
      </c>
      <c r="M114" s="102">
        <f>IF(B114=1,'Date masura OD'!$J$5,IF(B114=19,'Date masura OD'!$AL$5,M113))</f>
        <v>45808</v>
      </c>
      <c r="N114" s="104">
        <f>VLOOKUP(E114,verificare!$AR$4:$CC$33,B114+2,FALSE)</f>
        <v>0</v>
      </c>
      <c r="O114" s="103">
        <f>HLOOKUP(VLOOKUP(E114,'Date SPV'!$B$4:$F$34,5,FALSE),'Preturi si tarife'!$C$2:$J$39,B114+2,FALSE)*10000</f>
        <v>2397.5</v>
      </c>
      <c r="Q114" s="101" t="str">
        <f t="shared" si="13"/>
        <v>One-off</v>
      </c>
      <c r="R114" s="101" t="str">
        <f>VLOOKUP(K114,'Preturi si tarife'!$B$4:$K$39,10,FALSE)</f>
        <v>ICOENG0001</v>
      </c>
      <c r="T114" s="101" t="str">
        <f t="shared" si="14"/>
        <v>INV + 30</v>
      </c>
      <c r="V114" s="101" t="str">
        <f t="shared" si="15"/>
        <v>Active</v>
      </c>
      <c r="X114" s="101" t="str">
        <f t="shared" si="16"/>
        <v>One-off</v>
      </c>
      <c r="AC114" s="101" t="str">
        <f t="shared" si="17"/>
        <v>RON</v>
      </c>
      <c r="AD114" s="101">
        <f t="shared" si="17"/>
        <v>10000</v>
      </c>
    </row>
    <row r="115" spans="1:30">
      <c r="A115" s="101">
        <f t="shared" si="12"/>
        <v>4</v>
      </c>
      <c r="B115" s="101">
        <f t="shared" si="18"/>
        <v>6</v>
      </c>
      <c r="C115" s="101" t="str">
        <f t="shared" si="11"/>
        <v>T6</v>
      </c>
      <c r="D115" s="101" t="str">
        <f>IF(A115&lt;&gt;A114,VLOOKUP(A115,'Date SPV'!$A:$D,4,FALSE),D114)</f>
        <v>Shopping City Piatra Neamt SRL</v>
      </c>
      <c r="E115" s="101" t="str">
        <f>VLOOKUP(A115,'Date SPV'!$A$4:$B$34,2,FALSE)</f>
        <v>RSCP</v>
      </c>
      <c r="H115" s="105" t="s">
        <v>894</v>
      </c>
      <c r="K115" s="101" t="str">
        <f>VLOOKUP(C115,'Preturi si tarife'!$A$4:$B$39,2,FALSE)</f>
        <v xml:space="preserve">Servicii Sistem </v>
      </c>
      <c r="L115" s="102">
        <f>IF(B115=1,'Date masura OD'!$I$5,IF(B115=19,'Date masura OD'!$AK$5,L114))</f>
        <v>45778</v>
      </c>
      <c r="M115" s="102">
        <f>IF(B115=1,'Date masura OD'!$J$5,IF(B115=19,'Date masura OD'!$AL$5,M114))</f>
        <v>45808</v>
      </c>
      <c r="N115" s="104">
        <f>VLOOKUP(E115,verificare!$AR$4:$CC$33,B115+2,FALSE)</f>
        <v>313151</v>
      </c>
      <c r="O115" s="103">
        <f>HLOOKUP(VLOOKUP(E115,'Date SPV'!$B$4:$F$34,5,FALSE),'Preturi si tarife'!$C$2:$J$39,B115+2,FALSE)*10000</f>
        <v>115.1</v>
      </c>
      <c r="Q115" s="101" t="str">
        <f t="shared" si="13"/>
        <v>One-off</v>
      </c>
      <c r="R115" s="101" t="str">
        <f>VLOOKUP(K115,'Preturi si tarife'!$B$4:$K$39,10,FALSE)</f>
        <v>ICOENG0001</v>
      </c>
      <c r="T115" s="101" t="str">
        <f t="shared" si="14"/>
        <v>INV + 30</v>
      </c>
      <c r="V115" s="101" t="str">
        <f t="shared" si="15"/>
        <v>Active</v>
      </c>
      <c r="X115" s="101" t="str">
        <f t="shared" si="16"/>
        <v>One-off</v>
      </c>
      <c r="AC115" s="101" t="str">
        <f t="shared" si="17"/>
        <v>RON</v>
      </c>
      <c r="AD115" s="101">
        <f t="shared" si="17"/>
        <v>10000</v>
      </c>
    </row>
    <row r="116" spans="1:30">
      <c r="A116" s="101">
        <f t="shared" si="12"/>
        <v>4</v>
      </c>
      <c r="B116" s="101">
        <f t="shared" si="18"/>
        <v>7</v>
      </c>
      <c r="C116" s="101" t="str">
        <f t="shared" si="11"/>
        <v>T7</v>
      </c>
      <c r="D116" s="101" t="str">
        <f>IF(A116&lt;&gt;A115,VLOOKUP(A116,'Date SPV'!$A:$D,4,FALSE),D115)</f>
        <v>Shopping City Piatra Neamt SRL</v>
      </c>
      <c r="E116" s="101" t="str">
        <f>VLOOKUP(A116,'Date SPV'!$A$4:$B$34,2,FALSE)</f>
        <v>RSCP</v>
      </c>
      <c r="H116" s="105" t="s">
        <v>894</v>
      </c>
      <c r="K116" s="101" t="str">
        <f>VLOOKUP(C116,'Preturi si tarife'!$A$4:$B$39,2,FALSE)</f>
        <v>Tarif de introducere en. el in retea (TL)</v>
      </c>
      <c r="L116" s="102">
        <f>IF(B116=1,'Date masura OD'!$I$5,IF(B116=19,'Date masura OD'!$AK$5,L115))</f>
        <v>45778</v>
      </c>
      <c r="M116" s="102">
        <f>IF(B116=1,'Date masura OD'!$J$5,IF(B116=19,'Date masura OD'!$AL$5,M115))</f>
        <v>45808</v>
      </c>
      <c r="N116" s="104">
        <f>VLOOKUP(E116,verificare!$AR$4:$CC$33,B116+2,FALSE)</f>
        <v>313151</v>
      </c>
      <c r="O116" s="103">
        <f>HLOOKUP(VLOOKUP(E116,'Date SPV'!$B$4:$F$34,5,FALSE),'Preturi si tarife'!$C$2:$J$39,B116+2,FALSE)*10000</f>
        <v>330.3</v>
      </c>
      <c r="Q116" s="101" t="str">
        <f t="shared" si="13"/>
        <v>One-off</v>
      </c>
      <c r="R116" s="101" t="str">
        <f>VLOOKUP(K116,'Preturi si tarife'!$B$4:$K$39,10,FALSE)</f>
        <v>ICOENG0001</v>
      </c>
      <c r="T116" s="101" t="str">
        <f t="shared" si="14"/>
        <v>INV + 30</v>
      </c>
      <c r="V116" s="101" t="str">
        <f t="shared" si="15"/>
        <v>Active</v>
      </c>
      <c r="X116" s="101" t="str">
        <f t="shared" si="16"/>
        <v>One-off</v>
      </c>
      <c r="AC116" s="101" t="str">
        <f t="shared" si="17"/>
        <v>RON</v>
      </c>
      <c r="AD116" s="101">
        <f t="shared" si="17"/>
        <v>10000</v>
      </c>
    </row>
    <row r="117" spans="1:30">
      <c r="A117" s="101">
        <f t="shared" si="12"/>
        <v>4</v>
      </c>
      <c r="B117" s="101">
        <f t="shared" si="18"/>
        <v>8</v>
      </c>
      <c r="C117" s="101" t="str">
        <f t="shared" si="11"/>
        <v>T8</v>
      </c>
      <c r="D117" s="101" t="str">
        <f>IF(A117&lt;&gt;A116,VLOOKUP(A117,'Date SPV'!$A:$D,4,FALSE),D116)</f>
        <v>Shopping City Piatra Neamt SRL</v>
      </c>
      <c r="E117" s="101" t="str">
        <f>VLOOKUP(A117,'Date SPV'!$A$4:$B$34,2,FALSE)</f>
        <v>RSCP</v>
      </c>
      <c r="H117" s="105" t="s">
        <v>894</v>
      </c>
      <c r="K117" s="101" t="str">
        <f>VLOOKUP(C117,'Preturi si tarife'!$A$4:$B$39,2,FALSE)</f>
        <v>Tarif de introducere en.el in retea (TG)</v>
      </c>
      <c r="L117" s="102">
        <f>IF(B117=1,'Date masura OD'!$I$5,IF(B117=19,'Date masura OD'!$AK$5,L116))</f>
        <v>45778</v>
      </c>
      <c r="M117" s="102">
        <f>IF(B117=1,'Date masura OD'!$J$5,IF(B117=19,'Date masura OD'!$AL$5,M116))</f>
        <v>45808</v>
      </c>
      <c r="N117" s="104">
        <f>VLOOKUP(E117,verificare!$AR$4:$CC$33,B117+2,FALSE)</f>
        <v>313151</v>
      </c>
      <c r="O117" s="103">
        <f>HLOOKUP(VLOOKUP(E117,'Date SPV'!$B$4:$F$34,5,FALSE),'Preturi si tarife'!$C$2:$J$39,B117+2,FALSE)*10000</f>
        <v>32.9</v>
      </c>
      <c r="Q117" s="101" t="str">
        <f t="shared" si="13"/>
        <v>One-off</v>
      </c>
      <c r="R117" s="101" t="str">
        <f>VLOOKUP(K117,'Preturi si tarife'!$B$4:$K$39,10,FALSE)</f>
        <v>ICOENG0001</v>
      </c>
      <c r="T117" s="101" t="str">
        <f t="shared" si="14"/>
        <v>INV + 30</v>
      </c>
      <c r="V117" s="101" t="str">
        <f t="shared" si="15"/>
        <v>Active</v>
      </c>
      <c r="X117" s="101" t="str">
        <f t="shared" si="16"/>
        <v>One-off</v>
      </c>
      <c r="AC117" s="101" t="str">
        <f t="shared" si="17"/>
        <v>RON</v>
      </c>
      <c r="AD117" s="101">
        <f t="shared" si="17"/>
        <v>10000</v>
      </c>
    </row>
    <row r="118" spans="1:30">
      <c r="A118" s="101">
        <f t="shared" si="12"/>
        <v>4</v>
      </c>
      <c r="B118" s="101">
        <f t="shared" si="18"/>
        <v>9</v>
      </c>
      <c r="C118" s="101" t="str">
        <f t="shared" si="11"/>
        <v>T9</v>
      </c>
      <c r="D118" s="101" t="str">
        <f>IF(A118&lt;&gt;A117,VLOOKUP(A118,'Date SPV'!$A:$D,4,FALSE),D117)</f>
        <v>Shopping City Piatra Neamt SRL</v>
      </c>
      <c r="E118" s="101" t="str">
        <f>VLOOKUP(A118,'Date SPV'!$A$4:$B$34,2,FALSE)</f>
        <v>RSCP</v>
      </c>
      <c r="H118" s="105" t="s">
        <v>894</v>
      </c>
      <c r="K118" s="101" t="str">
        <f>VLOOKUP(C118,'Preturi si tarife'!$A$4:$B$39,2,FALSE)</f>
        <v>Contributie pentru cogenerare</v>
      </c>
      <c r="L118" s="102">
        <f>IF(B118=1,'Date masura OD'!$I$5,IF(B118=19,'Date masura OD'!$AK$5,L117))</f>
        <v>45778</v>
      </c>
      <c r="M118" s="102">
        <f>IF(B118=1,'Date masura OD'!$J$5,IF(B118=19,'Date masura OD'!$AL$5,M117))</f>
        <v>45808</v>
      </c>
      <c r="N118" s="104">
        <f>VLOOKUP(E118,verificare!$AR$4:$CC$33,B118+2,FALSE)</f>
        <v>313151</v>
      </c>
      <c r="O118" s="103">
        <f>HLOOKUP(VLOOKUP(E118,'Date SPV'!$B$4:$F$34,5,FALSE),'Preturi si tarife'!$C$2:$J$39,B118+2,FALSE)*10000</f>
        <v>35</v>
      </c>
      <c r="Q118" s="101" t="str">
        <f t="shared" si="13"/>
        <v>One-off</v>
      </c>
      <c r="R118" s="101" t="str">
        <f>VLOOKUP(K118,'Preturi si tarife'!$B$4:$K$39,10,FALSE)</f>
        <v>ICOENG0001</v>
      </c>
      <c r="T118" s="101" t="str">
        <f t="shared" si="14"/>
        <v>INV + 30</v>
      </c>
      <c r="V118" s="101" t="str">
        <f t="shared" si="15"/>
        <v>Active</v>
      </c>
      <c r="X118" s="101" t="str">
        <f t="shared" si="16"/>
        <v>One-off</v>
      </c>
      <c r="AC118" s="101" t="str">
        <f t="shared" si="17"/>
        <v>RON</v>
      </c>
      <c r="AD118" s="101">
        <f t="shared" si="17"/>
        <v>10000</v>
      </c>
    </row>
    <row r="119" spans="1:30">
      <c r="A119" s="101">
        <f t="shared" si="12"/>
        <v>4</v>
      </c>
      <c r="B119" s="101">
        <f t="shared" si="18"/>
        <v>10</v>
      </c>
      <c r="C119" s="101" t="str">
        <f t="shared" si="11"/>
        <v>T10</v>
      </c>
      <c r="D119" s="101" t="str">
        <f>IF(A119&lt;&gt;A118,VLOOKUP(A119,'Date SPV'!$A:$D,4,FALSE),D118)</f>
        <v>Shopping City Piatra Neamt SRL</v>
      </c>
      <c r="E119" s="101" t="str">
        <f>VLOOKUP(A119,'Date SPV'!$A$4:$B$34,2,FALSE)</f>
        <v>RSCP</v>
      </c>
      <c r="H119" s="105" t="s">
        <v>894</v>
      </c>
      <c r="K119" s="101" t="str">
        <f>VLOOKUP(C119,'Preturi si tarife'!$A$4:$B$39,2,FALSE)</f>
        <v xml:space="preserve">Certificate verzi </v>
      </c>
      <c r="L119" s="102">
        <f>IF(B119=1,'Date masura OD'!$I$5,IF(B119=19,'Date masura OD'!$AK$5,L118))</f>
        <v>45778</v>
      </c>
      <c r="M119" s="102">
        <f>IF(B119=1,'Date masura OD'!$J$5,IF(B119=19,'Date masura OD'!$AL$5,M118))</f>
        <v>45808</v>
      </c>
      <c r="N119" s="104">
        <f>VLOOKUP(E119,verificare!$AR$4:$CC$33,B119+2,FALSE)</f>
        <v>313151</v>
      </c>
      <c r="O119" s="103">
        <f>HLOOKUP(VLOOKUP(E119,'Date SPV'!$B$4:$F$34,5,FALSE),'Preturi si tarife'!$C$2:$J$39,B119+2,FALSE)*10000</f>
        <v>725.41599999999994</v>
      </c>
      <c r="Q119" s="101" t="str">
        <f t="shared" si="13"/>
        <v>One-off</v>
      </c>
      <c r="R119" s="101" t="str">
        <f>VLOOKUP(K119,'Preturi si tarife'!$B$4:$K$39,10,FALSE)</f>
        <v>ICOENG0001</v>
      </c>
      <c r="T119" s="101" t="str">
        <f t="shared" si="14"/>
        <v>INV + 30</v>
      </c>
      <c r="V119" s="101" t="str">
        <f t="shared" si="15"/>
        <v>Active</v>
      </c>
      <c r="X119" s="101" t="str">
        <f t="shared" si="16"/>
        <v>One-off</v>
      </c>
      <c r="AC119" s="101" t="str">
        <f t="shared" si="17"/>
        <v>RON</v>
      </c>
      <c r="AD119" s="101">
        <f t="shared" si="17"/>
        <v>10000</v>
      </c>
    </row>
    <row r="120" spans="1:30">
      <c r="A120" s="101">
        <f t="shared" si="12"/>
        <v>4</v>
      </c>
      <c r="B120" s="101">
        <f t="shared" si="18"/>
        <v>11</v>
      </c>
      <c r="C120" s="101" t="str">
        <f t="shared" si="11"/>
        <v>T11</v>
      </c>
      <c r="D120" s="101" t="str">
        <f>IF(A120&lt;&gt;A119,VLOOKUP(A120,'Date SPV'!$A:$D,4,FALSE),D119)</f>
        <v>Shopping City Piatra Neamt SRL</v>
      </c>
      <c r="E120" s="101" t="str">
        <f>VLOOKUP(A120,'Date SPV'!$A$4:$B$34,2,FALSE)</f>
        <v>RSCP</v>
      </c>
      <c r="H120" s="105" t="s">
        <v>894</v>
      </c>
      <c r="K120" s="101" t="str">
        <f>VLOOKUP(C120,'Preturi si tarife'!$A$4:$B$39,2,FALSE)</f>
        <v>Contributie CFD</v>
      </c>
      <c r="L120" s="102">
        <f>IF(B120=1,'Date masura OD'!$I$5,IF(B120=19,'Date masura OD'!$AK$5,L119))</f>
        <v>45778</v>
      </c>
      <c r="M120" s="102">
        <f>IF(B120=1,'Date masura OD'!$J$5,IF(B120=19,'Date masura OD'!$AL$5,M119))</f>
        <v>45808</v>
      </c>
      <c r="N120" s="104">
        <f>VLOOKUP(E120,verificare!$AR$4:$CC$33,B120+2,FALSE)</f>
        <v>313151</v>
      </c>
      <c r="O120" s="103">
        <f>HLOOKUP(VLOOKUP(E120,'Date SPV'!$B$4:$F$34,5,FALSE),'Preturi si tarife'!$C$2:$J$39,B120+2,FALSE)*10000</f>
        <v>2.06</v>
      </c>
      <c r="Q120" s="101" t="str">
        <f t="shared" si="13"/>
        <v>One-off</v>
      </c>
      <c r="R120" s="101" t="str">
        <f>VLOOKUP(K120,'Preturi si tarife'!$B$4:$K$39,10,FALSE)</f>
        <v>ICOENG0001</v>
      </c>
      <c r="T120" s="101" t="str">
        <f t="shared" si="14"/>
        <v>INV + 30</v>
      </c>
      <c r="V120" s="101" t="str">
        <f t="shared" si="15"/>
        <v>Active</v>
      </c>
      <c r="X120" s="101" t="str">
        <f t="shared" si="16"/>
        <v>One-off</v>
      </c>
      <c r="AC120" s="101" t="str">
        <f t="shared" si="17"/>
        <v>RON</v>
      </c>
      <c r="AD120" s="101">
        <f t="shared" si="17"/>
        <v>10000</v>
      </c>
    </row>
    <row r="121" spans="1:30">
      <c r="A121" s="101">
        <f t="shared" si="12"/>
        <v>4</v>
      </c>
      <c r="B121" s="101">
        <f t="shared" si="18"/>
        <v>12</v>
      </c>
      <c r="C121" s="101" t="str">
        <f t="shared" si="11"/>
        <v>T12</v>
      </c>
      <c r="D121" s="101" t="str">
        <f>IF(A121&lt;&gt;A120,VLOOKUP(A121,'Date SPV'!$A:$D,4,FALSE),D120)</f>
        <v>Shopping City Piatra Neamt SRL</v>
      </c>
      <c r="E121" s="101" t="str">
        <f>VLOOKUP(A121,'Date SPV'!$A$4:$B$34,2,FALSE)</f>
        <v>RSCP</v>
      </c>
      <c r="H121" s="105" t="s">
        <v>894</v>
      </c>
      <c r="K121" s="101" t="str">
        <f>VLOOKUP(C121,'Preturi si tarife'!$A$4:$B$39,2,FALSE)</f>
        <v>Acciza</v>
      </c>
      <c r="L121" s="102">
        <f>IF(B121=1,'Date masura OD'!$I$5,IF(B121=19,'Date masura OD'!$AK$5,L120))</f>
        <v>45778</v>
      </c>
      <c r="M121" s="102">
        <f>IF(B121=1,'Date masura OD'!$J$5,IF(B121=19,'Date masura OD'!$AL$5,M120))</f>
        <v>45808</v>
      </c>
      <c r="N121" s="104">
        <f>VLOOKUP(E121,verificare!$AR$4:$CC$33,B121+2,FALSE)</f>
        <v>313151</v>
      </c>
      <c r="O121" s="103">
        <f>HLOOKUP(VLOOKUP(E121,'Date SPV'!$B$4:$F$34,5,FALSE),'Preturi si tarife'!$C$2:$J$39,B121+2,FALSE)*10000</f>
        <v>0</v>
      </c>
      <c r="Q121" s="101" t="str">
        <f t="shared" si="13"/>
        <v>One-off</v>
      </c>
      <c r="R121" s="101" t="str">
        <f>VLOOKUP(K121,'Preturi si tarife'!$B$4:$K$39,10,FALSE)</f>
        <v>ICOENG0001</v>
      </c>
      <c r="T121" s="101" t="str">
        <f t="shared" si="14"/>
        <v>INV + 30</v>
      </c>
      <c r="V121" s="101" t="str">
        <f t="shared" si="15"/>
        <v>Active</v>
      </c>
      <c r="X121" s="101" t="str">
        <f t="shared" si="16"/>
        <v>One-off</v>
      </c>
      <c r="AC121" s="101" t="str">
        <f t="shared" si="17"/>
        <v>RON</v>
      </c>
      <c r="AD121" s="101">
        <f t="shared" si="17"/>
        <v>10000</v>
      </c>
    </row>
    <row r="122" spans="1:30">
      <c r="A122" s="101">
        <f t="shared" si="12"/>
        <v>4</v>
      </c>
      <c r="B122" s="101">
        <f t="shared" si="18"/>
        <v>13</v>
      </c>
      <c r="C122" s="101" t="str">
        <f t="shared" si="11"/>
        <v>T13</v>
      </c>
      <c r="D122" s="101" t="str">
        <f>IF(A122&lt;&gt;A121,VLOOKUP(A122,'Date SPV'!$A:$D,4,FALSE),D121)</f>
        <v>Shopping City Piatra Neamt SRL</v>
      </c>
      <c r="E122" s="101" t="str">
        <f>VLOOKUP(A122,'Date SPV'!$A$4:$B$34,2,FALSE)</f>
        <v>RSCP</v>
      </c>
      <c r="H122" s="105" t="s">
        <v>894</v>
      </c>
      <c r="K122" s="101" t="str">
        <f>VLOOKUP(C122,'Preturi si tarife'!$A$4:$B$39,2,FALSE)</f>
        <v>Tarif distributie SDI MT</v>
      </c>
      <c r="L122" s="102">
        <f>IF(B122=1,'Date masura OD'!$I$5,IF(B122=19,'Date masura OD'!$AK$5,L121))</f>
        <v>45778</v>
      </c>
      <c r="M122" s="102">
        <f>IF(B122=1,'Date masura OD'!$J$5,IF(B122=19,'Date masura OD'!$AL$5,M121))</f>
        <v>45808</v>
      </c>
      <c r="N122" s="104">
        <f>VLOOKUP(E122,verificare!$AR$4:$CC$33,B122+2,FALSE)</f>
        <v>313151</v>
      </c>
      <c r="O122" s="103">
        <f>HLOOKUP(VLOOKUP(E122,'Date SPV'!$B$4:$F$34,5,FALSE),'Preturi si tarife'!$C$2:$J$39,B122+2,FALSE)*10000</f>
        <v>131</v>
      </c>
      <c r="Q122" s="101" t="str">
        <f t="shared" si="13"/>
        <v>One-off</v>
      </c>
      <c r="R122" s="101" t="str">
        <f>VLOOKUP(K122,'Preturi si tarife'!$B$4:$K$39,10,FALSE)</f>
        <v>ICOENG0010</v>
      </c>
      <c r="T122" s="101" t="str">
        <f t="shared" si="14"/>
        <v>INV + 30</v>
      </c>
      <c r="V122" s="101" t="str">
        <f t="shared" si="15"/>
        <v>Active</v>
      </c>
      <c r="X122" s="101" t="str">
        <f t="shared" si="16"/>
        <v>One-off</v>
      </c>
      <c r="AC122" s="101" t="str">
        <f t="shared" si="17"/>
        <v>RON</v>
      </c>
      <c r="AD122" s="101">
        <f t="shared" si="17"/>
        <v>10000</v>
      </c>
    </row>
    <row r="123" spans="1:30">
      <c r="A123" s="101">
        <f t="shared" si="12"/>
        <v>4</v>
      </c>
      <c r="B123" s="101">
        <f t="shared" si="18"/>
        <v>14</v>
      </c>
      <c r="C123" s="101" t="str">
        <f t="shared" si="11"/>
        <v>T14</v>
      </c>
      <c r="D123" s="101" t="str">
        <f>IF(A123&lt;&gt;A122,VLOOKUP(A123,'Date SPV'!$A:$D,4,FALSE),D122)</f>
        <v>Shopping City Piatra Neamt SRL</v>
      </c>
      <c r="E123" s="101" t="str">
        <f>VLOOKUP(A123,'Date SPV'!$A$4:$B$34,2,FALSE)</f>
        <v>RSCP</v>
      </c>
      <c r="H123" s="105" t="s">
        <v>894</v>
      </c>
      <c r="K123" s="101" t="str">
        <f>VLOOKUP(C123,'Preturi si tarife'!$A$4:$B$39,2,FALSE)</f>
        <v>Tarif distributie SDI JT</v>
      </c>
      <c r="L123" s="102">
        <f>IF(B123=1,'Date masura OD'!$I$5,IF(B123=19,'Date masura OD'!$AK$5,L122))</f>
        <v>45778</v>
      </c>
      <c r="M123" s="102">
        <f>IF(B123=1,'Date masura OD'!$J$5,IF(B123=19,'Date masura OD'!$AL$5,M122))</f>
        <v>45808</v>
      </c>
      <c r="N123" s="104">
        <f>VLOOKUP(E123,verificare!$AR$4:$CC$33,B123+2,FALSE)</f>
        <v>313151</v>
      </c>
      <c r="O123" s="103">
        <f>HLOOKUP(VLOOKUP(E123,'Date SPV'!$B$4:$F$34,5,FALSE),'Preturi si tarife'!$C$2:$J$39,B123+2,FALSE)*10000</f>
        <v>1029</v>
      </c>
      <c r="Q123" s="101" t="str">
        <f t="shared" si="13"/>
        <v>One-off</v>
      </c>
      <c r="R123" s="101" t="str">
        <f>VLOOKUP(K123,'Preturi si tarife'!$B$4:$K$39,10,FALSE)</f>
        <v>ICOENG0010</v>
      </c>
      <c r="T123" s="101" t="str">
        <f t="shared" si="14"/>
        <v>INV + 30</v>
      </c>
      <c r="V123" s="101" t="str">
        <f t="shared" si="15"/>
        <v>Active</v>
      </c>
      <c r="X123" s="101" t="str">
        <f t="shared" si="16"/>
        <v>One-off</v>
      </c>
      <c r="AC123" s="101" t="str">
        <f t="shared" si="17"/>
        <v>RON</v>
      </c>
      <c r="AD123" s="101">
        <f t="shared" si="17"/>
        <v>10000</v>
      </c>
    </row>
    <row r="124" spans="1:30">
      <c r="A124" s="101">
        <f t="shared" si="12"/>
        <v>4</v>
      </c>
      <c r="B124" s="101">
        <f t="shared" si="18"/>
        <v>15</v>
      </c>
      <c r="C124" s="101" t="str">
        <f t="shared" si="11"/>
        <v>T15</v>
      </c>
      <c r="D124" s="101" t="str">
        <f>IF(A124&lt;&gt;A123,VLOOKUP(A124,'Date SPV'!$A:$D,4,FALSE),D123)</f>
        <v>Shopping City Piatra Neamt SRL</v>
      </c>
      <c r="E124" s="101" t="str">
        <f>VLOOKUP(A124,'Date SPV'!$A$4:$B$34,2,FALSE)</f>
        <v>RSCP</v>
      </c>
      <c r="H124" s="105" t="s">
        <v>894</v>
      </c>
      <c r="K124" s="101" t="str">
        <f>VLOOKUP(C124,'Preturi si tarife'!$A$4:$B$39,2,FALSE)</f>
        <v>Energie activa 2</v>
      </c>
      <c r="L124" s="102">
        <f>IF(B124=1,'Date masura OD'!$I$5,IF(B124=19,'Date masura OD'!$AK$5,L123))</f>
        <v>45778</v>
      </c>
      <c r="M124" s="102">
        <f>IF(B124=1,'Date masura OD'!$J$5,IF(B124=19,'Date masura OD'!$AL$5,M123))</f>
        <v>45808</v>
      </c>
      <c r="N124" s="104">
        <f>VLOOKUP(E124,verificare!$AR$4:$CC$33,B124+2,FALSE)</f>
        <v>109278</v>
      </c>
      <c r="O124" s="103">
        <f>HLOOKUP(VLOOKUP(E124,'Date SPV'!$B$4:$F$34,5,FALSE),'Preturi si tarife'!$C$2:$J$39,B124+2,FALSE)*10000</f>
        <v>9485.5759999999991</v>
      </c>
      <c r="Q124" s="101" t="str">
        <f t="shared" si="13"/>
        <v>One-off</v>
      </c>
      <c r="R124" s="101" t="str">
        <f>VLOOKUP(K124,'Preturi si tarife'!$B$4:$K$39,10,FALSE)</f>
        <v>ICOENG0012</v>
      </c>
      <c r="T124" s="101" t="str">
        <f t="shared" si="14"/>
        <v>INV + 30</v>
      </c>
      <c r="V124" s="101" t="str">
        <f t="shared" si="15"/>
        <v>Active</v>
      </c>
      <c r="X124" s="101" t="str">
        <f t="shared" si="16"/>
        <v>One-off</v>
      </c>
      <c r="AC124" s="101" t="str">
        <f t="shared" si="17"/>
        <v>RON</v>
      </c>
      <c r="AD124" s="101">
        <f t="shared" si="17"/>
        <v>10000</v>
      </c>
    </row>
    <row r="125" spans="1:30">
      <c r="A125" s="101">
        <f t="shared" si="12"/>
        <v>4</v>
      </c>
      <c r="B125" s="101">
        <f t="shared" ref="B125:B188" si="19">IF(A125&lt;&gt;A124,1,B124+1)</f>
        <v>16</v>
      </c>
      <c r="C125" s="101" t="str">
        <f t="shared" ref="C125:C188" si="20">_xlfn.CONCAT("T",B125)</f>
        <v>T16</v>
      </c>
      <c r="D125" s="101" t="str">
        <f>IF(A125&lt;&gt;A124,VLOOKUP(A125,'Date SPV'!$A:$D,4,FALSE),D124)</f>
        <v>Shopping City Piatra Neamt SRL</v>
      </c>
      <c r="E125" s="101" t="str">
        <f>VLOOKUP(A125,'Date SPV'!$A$4:$B$34,2,FALSE)</f>
        <v>RSCP</v>
      </c>
      <c r="H125" s="105" t="s">
        <v>894</v>
      </c>
      <c r="K125" s="101" t="str">
        <f>VLOOKUP(C125,'Preturi si tarife'!$A$4:$B$39,2,FALSE)</f>
        <v>Energie activa 3</v>
      </c>
      <c r="L125" s="102">
        <f>IF(B125=1,'Date masura OD'!$I$5,IF(B125=19,'Date masura OD'!$AK$5,L124))</f>
        <v>45778</v>
      </c>
      <c r="M125" s="102">
        <f>IF(B125=1,'Date masura OD'!$J$5,IF(B125=19,'Date masura OD'!$AL$5,M124))</f>
        <v>45808</v>
      </c>
      <c r="N125" s="104">
        <f>VLOOKUP(E125,verificare!$AR$4:$CC$33,B125+2,FALSE)</f>
        <v>16684</v>
      </c>
      <c r="O125" s="103">
        <f>HLOOKUP(VLOOKUP(E125,'Date SPV'!$B$4:$F$34,5,FALSE),'Preturi si tarife'!$C$2:$J$39,B125+2,FALSE)*10000</f>
        <v>8325.5760000000009</v>
      </c>
      <c r="Q125" s="101" t="str">
        <f t="shared" si="13"/>
        <v>One-off</v>
      </c>
      <c r="R125" s="101" t="str">
        <f>VLOOKUP(K125,'Preturi si tarife'!$B$4:$K$39,10,FALSE)</f>
        <v>ICOENG0012</v>
      </c>
      <c r="T125" s="101" t="str">
        <f t="shared" si="14"/>
        <v>INV + 30</v>
      </c>
      <c r="V125" s="101" t="str">
        <f t="shared" si="15"/>
        <v>Active</v>
      </c>
      <c r="X125" s="101" t="str">
        <f t="shared" si="16"/>
        <v>One-off</v>
      </c>
      <c r="AC125" s="101" t="str">
        <f t="shared" ref="AC125:AC188" si="21">AC124</f>
        <v>RON</v>
      </c>
      <c r="AD125" s="101">
        <f t="shared" ref="AD125:AD188" si="22">AD124</f>
        <v>10000</v>
      </c>
    </row>
    <row r="126" spans="1:30">
      <c r="A126" s="101">
        <f t="shared" si="12"/>
        <v>4</v>
      </c>
      <c r="B126" s="101">
        <f t="shared" si="19"/>
        <v>17</v>
      </c>
      <c r="C126" s="101" t="str">
        <f t="shared" si="20"/>
        <v>T17</v>
      </c>
      <c r="D126" s="101" t="str">
        <f>IF(A126&lt;&gt;A125,VLOOKUP(A126,'Date SPV'!$A:$D,4,FALSE),D125)</f>
        <v>Shopping City Piatra Neamt SRL</v>
      </c>
      <c r="E126" s="101" t="str">
        <f>VLOOKUP(A126,'Date SPV'!$A$4:$B$34,2,FALSE)</f>
        <v>RSCP</v>
      </c>
      <c r="H126" s="105" t="s">
        <v>894</v>
      </c>
      <c r="K126" s="101" t="str">
        <f>VLOOKUP(C126,'Preturi si tarife'!$A$4:$B$39,2,FALSE)</f>
        <v>Tarif distributie SDI MT_</v>
      </c>
      <c r="L126" s="102">
        <f>IF(B126=1,'Date masura OD'!$I$5,IF(B126=19,'Date masura OD'!$AK$5,L125))</f>
        <v>45778</v>
      </c>
      <c r="M126" s="102">
        <f>IF(B126=1,'Date masura OD'!$J$5,IF(B126=19,'Date masura OD'!$AL$5,M125))</f>
        <v>45808</v>
      </c>
      <c r="N126" s="104">
        <f>VLOOKUP(E126,verificare!$AR$4:$CC$33,B126+2,FALSE)</f>
        <v>16684</v>
      </c>
      <c r="O126" s="103">
        <f>HLOOKUP(VLOOKUP(E126,'Date SPV'!$B$4:$F$34,5,FALSE),'Preturi si tarife'!$C$2:$J$39,B126+2,FALSE)*10000</f>
        <v>131</v>
      </c>
      <c r="Q126" s="101" t="str">
        <f t="shared" si="13"/>
        <v>One-off</v>
      </c>
      <c r="R126" s="101" t="str">
        <f>VLOOKUP(K126,'Preturi si tarife'!$B$4:$K$39,10,FALSE)</f>
        <v>ICOENG0010</v>
      </c>
      <c r="T126" s="101" t="str">
        <f t="shared" si="14"/>
        <v>INV + 30</v>
      </c>
      <c r="V126" s="101" t="str">
        <f t="shared" si="15"/>
        <v>Active</v>
      </c>
      <c r="X126" s="101" t="str">
        <f t="shared" si="16"/>
        <v>One-off</v>
      </c>
      <c r="AC126" s="101" t="str">
        <f t="shared" si="21"/>
        <v>RON</v>
      </c>
      <c r="AD126" s="101">
        <f t="shared" si="22"/>
        <v>10000</v>
      </c>
    </row>
    <row r="127" spans="1:30">
      <c r="A127" s="101">
        <f t="shared" si="12"/>
        <v>4</v>
      </c>
      <c r="B127" s="101">
        <f t="shared" si="19"/>
        <v>18</v>
      </c>
      <c r="C127" s="101" t="str">
        <f t="shared" si="20"/>
        <v>T18</v>
      </c>
      <c r="D127" s="101" t="str">
        <f>IF(A127&lt;&gt;A126,VLOOKUP(A127,'Date SPV'!$A:$D,4,FALSE),D126)</f>
        <v>Shopping City Piatra Neamt SRL</v>
      </c>
      <c r="E127" s="101" t="str">
        <f>VLOOKUP(A127,'Date SPV'!$A$4:$B$34,2,FALSE)</f>
        <v>RSCP</v>
      </c>
      <c r="H127" s="105" t="s">
        <v>894</v>
      </c>
      <c r="K127" s="101" t="str">
        <f>VLOOKUP(C127,'Preturi si tarife'!$A$4:$B$39,2,FALSE)</f>
        <v>Tarif distributie SDI JT_</v>
      </c>
      <c r="L127" s="102">
        <f>IF(B127=1,'Date masura OD'!$I$5,IF(B127=19,'Date masura OD'!$AK$5,L126))</f>
        <v>45778</v>
      </c>
      <c r="M127" s="102">
        <f>IF(B127=1,'Date masura OD'!$J$5,IF(B127=19,'Date masura OD'!$AL$5,M126))</f>
        <v>45808</v>
      </c>
      <c r="N127" s="104">
        <f>VLOOKUP(E127,verificare!$AR$4:$CC$33,B127+2,FALSE)</f>
        <v>16684</v>
      </c>
      <c r="O127" s="103">
        <f>HLOOKUP(VLOOKUP(E127,'Date SPV'!$B$4:$F$34,5,FALSE),'Preturi si tarife'!$C$2:$J$39,B127+2,FALSE)*10000</f>
        <v>1029</v>
      </c>
      <c r="Q127" s="101" t="str">
        <f t="shared" si="13"/>
        <v>One-off</v>
      </c>
      <c r="R127" s="101" t="str">
        <f>VLOOKUP(K127,'Preturi si tarife'!$B$4:$K$39,10,FALSE)</f>
        <v>ICOENG0010</v>
      </c>
      <c r="T127" s="101" t="str">
        <f t="shared" si="14"/>
        <v>INV + 30</v>
      </c>
      <c r="V127" s="101" t="str">
        <f t="shared" si="15"/>
        <v>Active</v>
      </c>
      <c r="X127" s="101" t="str">
        <f t="shared" si="16"/>
        <v>One-off</v>
      </c>
      <c r="AC127" s="101" t="str">
        <f t="shared" si="21"/>
        <v>RON</v>
      </c>
      <c r="AD127" s="101">
        <f t="shared" si="22"/>
        <v>10000</v>
      </c>
    </row>
    <row r="128" spans="1:30">
      <c r="A128" s="101">
        <f t="shared" si="12"/>
        <v>4</v>
      </c>
      <c r="B128" s="101">
        <f t="shared" si="19"/>
        <v>19</v>
      </c>
      <c r="C128" s="101" t="str">
        <f t="shared" si="20"/>
        <v>T19</v>
      </c>
      <c r="D128" s="101" t="str">
        <f>IF(A128&lt;&gt;A127,VLOOKUP(A128,'Date SPV'!$A:$D,4,FALSE),D127)</f>
        <v>Shopping City Piatra Neamt SRL</v>
      </c>
      <c r="E128" s="101" t="str">
        <f>VLOOKUP(A128,'Date SPV'!$A$4:$B$34,2,FALSE)</f>
        <v>RSCP</v>
      </c>
      <c r="H128" s="105" t="s">
        <v>894</v>
      </c>
      <c r="K128" s="101" t="str">
        <f>VLOOKUP(C128,'Preturi si tarife'!$A$4:$B$39,2,FALSE)</f>
        <v>Regularizare Energie activa 1</v>
      </c>
      <c r="L128" s="102">
        <f>IF(B128=1,'Date masura OD'!$I$5,IF(B128=19,'Date masura OD'!$AK$5,L127))</f>
        <v>45748</v>
      </c>
      <c r="M128" s="102">
        <f>IF(B128=1,'Date masura OD'!$J$5,IF(B128=19,'Date masura OD'!$AL$5,M127))</f>
        <v>45777</v>
      </c>
      <c r="N128" s="104">
        <f>VLOOKUP(E128,verificare!$AR$4:$CC$33,B128+2,FALSE)</f>
        <v>0</v>
      </c>
      <c r="O128" s="103">
        <f>HLOOKUP(VLOOKUP(E128,'Date SPV'!$B$4:$F$34,5,FALSE),'Preturi si tarife'!$C$2:$J$39,B128+2,FALSE)*10000</f>
        <v>5950</v>
      </c>
      <c r="Q128" s="101" t="str">
        <f t="shared" si="13"/>
        <v>One-off</v>
      </c>
      <c r="R128" s="101" t="str">
        <f>VLOOKUP(K128,'Preturi si tarife'!$B$4:$K$39,10,FALSE)</f>
        <v>ICOENG0001</v>
      </c>
      <c r="T128" s="101" t="str">
        <f t="shared" si="14"/>
        <v>INV + 30</v>
      </c>
      <c r="V128" s="101" t="str">
        <f t="shared" si="15"/>
        <v>Active</v>
      </c>
      <c r="X128" s="101" t="str">
        <f t="shared" si="16"/>
        <v>One-off</v>
      </c>
      <c r="AC128" s="101" t="str">
        <f t="shared" si="21"/>
        <v>RON</v>
      </c>
      <c r="AD128" s="101">
        <f t="shared" si="22"/>
        <v>10000</v>
      </c>
    </row>
    <row r="129" spans="1:30">
      <c r="A129" s="101">
        <f t="shared" si="12"/>
        <v>4</v>
      </c>
      <c r="B129" s="101">
        <f t="shared" si="19"/>
        <v>20</v>
      </c>
      <c r="C129" s="101" t="str">
        <f t="shared" si="20"/>
        <v>T20</v>
      </c>
      <c r="D129" s="101" t="str">
        <f>IF(A129&lt;&gt;A128,VLOOKUP(A129,'Date SPV'!$A:$D,4,FALSE),D128)</f>
        <v>Shopping City Piatra Neamt SRL</v>
      </c>
      <c r="E129" s="101" t="str">
        <f>VLOOKUP(A129,'Date SPV'!$A$4:$B$34,2,FALSE)</f>
        <v>RSCP</v>
      </c>
      <c r="H129" s="105" t="s">
        <v>894</v>
      </c>
      <c r="K129" s="101" t="str">
        <f>VLOOKUP(C129,'Preturi si tarife'!$A$4:$B$39,2,FALSE)</f>
        <v>Regularizare Energie reactiva  1X</v>
      </c>
      <c r="L129" s="102">
        <f>IF(B129=1,'Date masura OD'!$I$5,IF(B129=19,'Date masura OD'!$AK$5,L128))</f>
        <v>45748</v>
      </c>
      <c r="M129" s="102">
        <f>IF(B129=1,'Date masura OD'!$J$5,IF(B129=19,'Date masura OD'!$AL$5,M128))</f>
        <v>45777</v>
      </c>
      <c r="N129" s="104">
        <f>VLOOKUP(E129,verificare!$AR$4:$CC$33,B129+2,FALSE)</f>
        <v>382</v>
      </c>
      <c r="O129" s="103">
        <f>HLOOKUP(VLOOKUP(E129,'Date SPV'!$B$4:$F$34,5,FALSE),'Preturi si tarife'!$C$2:$J$39,B129+2,FALSE)*10000</f>
        <v>1466</v>
      </c>
      <c r="Q129" s="101" t="str">
        <f t="shared" si="13"/>
        <v>One-off</v>
      </c>
      <c r="R129" s="101" t="str">
        <f>VLOOKUP(K129,'Preturi si tarife'!$B$4:$K$39,10,FALSE)</f>
        <v>ICOENG0001</v>
      </c>
      <c r="T129" s="101" t="str">
        <f t="shared" si="14"/>
        <v>INV + 30</v>
      </c>
      <c r="V129" s="101" t="str">
        <f t="shared" si="15"/>
        <v>Active</v>
      </c>
      <c r="X129" s="101" t="str">
        <f t="shared" si="16"/>
        <v>One-off</v>
      </c>
      <c r="AC129" s="101" t="str">
        <f t="shared" si="21"/>
        <v>RON</v>
      </c>
      <c r="AD129" s="101">
        <f t="shared" si="22"/>
        <v>10000</v>
      </c>
    </row>
    <row r="130" spans="1:30">
      <c r="A130" s="101">
        <f t="shared" si="12"/>
        <v>4</v>
      </c>
      <c r="B130" s="101">
        <f t="shared" si="19"/>
        <v>21</v>
      </c>
      <c r="C130" s="101" t="str">
        <f t="shared" si="20"/>
        <v>T21</v>
      </c>
      <c r="D130" s="101" t="str">
        <f>IF(A130&lt;&gt;A129,VLOOKUP(A130,'Date SPV'!$A:$D,4,FALSE),D129)</f>
        <v>Shopping City Piatra Neamt SRL</v>
      </c>
      <c r="E130" s="101" t="str">
        <f>VLOOKUP(A130,'Date SPV'!$A$4:$B$34,2,FALSE)</f>
        <v>RSCP</v>
      </c>
      <c r="H130" s="105" t="s">
        <v>894</v>
      </c>
      <c r="K130" s="101" t="str">
        <f>VLOOKUP(C130,'Preturi si tarife'!$A$4:$B$39,2,FALSE)</f>
        <v>Regularizare Energie reactiva  3X</v>
      </c>
      <c r="L130" s="102">
        <f>IF(B130=1,'Date masura OD'!$I$5,IF(B130=19,'Date masura OD'!$AK$5,L129))</f>
        <v>45748</v>
      </c>
      <c r="M130" s="102">
        <f>IF(B130=1,'Date masura OD'!$J$5,IF(B130=19,'Date masura OD'!$AL$5,M129))</f>
        <v>45777</v>
      </c>
      <c r="N130" s="104">
        <f>VLOOKUP(E130,verificare!$AR$4:$CC$33,B130+2,FALSE)</f>
        <v>65</v>
      </c>
      <c r="O130" s="103">
        <f>HLOOKUP(VLOOKUP(E130,'Date SPV'!$B$4:$F$34,5,FALSE),'Preturi si tarife'!$C$2:$J$39,B130+2,FALSE)*10000</f>
        <v>4398</v>
      </c>
      <c r="Q130" s="101" t="str">
        <f t="shared" si="13"/>
        <v>One-off</v>
      </c>
      <c r="R130" s="101" t="str">
        <f>VLOOKUP(K130,'Preturi si tarife'!$B$4:$K$39,10,FALSE)</f>
        <v>ICOENG0001</v>
      </c>
      <c r="T130" s="101" t="str">
        <f t="shared" si="14"/>
        <v>INV + 30</v>
      </c>
      <c r="V130" s="101" t="str">
        <f t="shared" si="15"/>
        <v>Active</v>
      </c>
      <c r="X130" s="101" t="str">
        <f t="shared" si="16"/>
        <v>One-off</v>
      </c>
      <c r="AC130" s="101" t="str">
        <f t="shared" si="21"/>
        <v>RON</v>
      </c>
      <c r="AD130" s="101">
        <f t="shared" si="22"/>
        <v>10000</v>
      </c>
    </row>
    <row r="131" spans="1:30">
      <c r="A131" s="101">
        <f t="shared" si="12"/>
        <v>4</v>
      </c>
      <c r="B131" s="101">
        <f t="shared" si="19"/>
        <v>22</v>
      </c>
      <c r="C131" s="101" t="str">
        <f t="shared" si="20"/>
        <v>T22</v>
      </c>
      <c r="D131" s="101" t="str">
        <f>IF(A131&lt;&gt;A130,VLOOKUP(A131,'Date SPV'!$A:$D,4,FALSE),D130)</f>
        <v>Shopping City Piatra Neamt SRL</v>
      </c>
      <c r="E131" s="101" t="str">
        <f>VLOOKUP(A131,'Date SPV'!$A$4:$B$34,2,FALSE)</f>
        <v>RSCP</v>
      </c>
      <c r="H131" s="105" t="s">
        <v>894</v>
      </c>
      <c r="K131" s="101" t="str">
        <f>VLOOKUP(C131,'Preturi si tarife'!$A$4:$B$39,2,FALSE)</f>
        <v>Regularizare Tarife distributie en. El IT+MT</v>
      </c>
      <c r="L131" s="102">
        <f>IF(B131=1,'Date masura OD'!$I$5,IF(B131=19,'Date masura OD'!$AK$5,L130))</f>
        <v>45748</v>
      </c>
      <c r="M131" s="102">
        <f>IF(B131=1,'Date masura OD'!$J$5,IF(B131=19,'Date masura OD'!$AL$5,M130))</f>
        <v>45777</v>
      </c>
      <c r="N131" s="104">
        <f>VLOOKUP(E131,verificare!$AR$4:$CC$33,B131+2,FALSE)</f>
        <v>0</v>
      </c>
      <c r="O131" s="103">
        <f>HLOOKUP(VLOOKUP(E131,'Date SPV'!$B$4:$F$34,5,FALSE),'Preturi si tarife'!$C$2:$J$39,B131+2,FALSE)*10000</f>
        <v>1134.8</v>
      </c>
      <c r="Q131" s="101" t="str">
        <f t="shared" si="13"/>
        <v>One-off</v>
      </c>
      <c r="R131" s="101" t="str">
        <f>VLOOKUP(K131,'Preturi si tarife'!$B$4:$K$39,10,FALSE)</f>
        <v>ICOENG0001</v>
      </c>
      <c r="T131" s="101" t="str">
        <f t="shared" si="14"/>
        <v>INV + 30</v>
      </c>
      <c r="V131" s="101" t="str">
        <f t="shared" si="15"/>
        <v>Active</v>
      </c>
      <c r="X131" s="101" t="str">
        <f t="shared" si="16"/>
        <v>One-off</v>
      </c>
      <c r="AC131" s="101" t="str">
        <f t="shared" si="21"/>
        <v>RON</v>
      </c>
      <c r="AD131" s="101">
        <f t="shared" si="22"/>
        <v>10000</v>
      </c>
    </row>
    <row r="132" spans="1:30">
      <c r="A132" s="101">
        <f t="shared" ref="A132:A195" si="23">IF(B131=36,A131+1,A131)</f>
        <v>4</v>
      </c>
      <c r="B132" s="101">
        <f t="shared" si="19"/>
        <v>23</v>
      </c>
      <c r="C132" s="101" t="str">
        <f t="shared" si="20"/>
        <v>T23</v>
      </c>
      <c r="D132" s="101" t="str">
        <f>IF(A132&lt;&gt;A131,VLOOKUP(A132,'Date SPV'!$A:$D,4,FALSE),D131)</f>
        <v>Shopping City Piatra Neamt SRL</v>
      </c>
      <c r="E132" s="101" t="str">
        <f>VLOOKUP(A132,'Date SPV'!$A$4:$B$34,2,FALSE)</f>
        <v>RSCP</v>
      </c>
      <c r="H132" s="105" t="s">
        <v>894</v>
      </c>
      <c r="K132" s="101" t="str">
        <f>VLOOKUP(C132,'Preturi si tarife'!$A$4:$B$39,2,FALSE)</f>
        <v>Regularizare Tarife distributie en. El JT</v>
      </c>
      <c r="L132" s="102">
        <f>IF(B132=1,'Date masura OD'!$I$5,IF(B132=19,'Date masura OD'!$AK$5,L131))</f>
        <v>45748</v>
      </c>
      <c r="M132" s="102">
        <f>IF(B132=1,'Date masura OD'!$J$5,IF(B132=19,'Date masura OD'!$AL$5,M131))</f>
        <v>45777</v>
      </c>
      <c r="N132" s="104">
        <f>VLOOKUP(E132,verificare!$AR$4:$CC$33,B132+2,FALSE)</f>
        <v>0</v>
      </c>
      <c r="O132" s="103">
        <f>HLOOKUP(VLOOKUP(E132,'Date SPV'!$B$4:$F$34,5,FALSE),'Preturi si tarife'!$C$2:$J$39,B132+2,FALSE)*10000</f>
        <v>2397.5</v>
      </c>
      <c r="Q132" s="101" t="str">
        <f t="shared" si="13"/>
        <v>One-off</v>
      </c>
      <c r="R132" s="101" t="str">
        <f>VLOOKUP(K132,'Preturi si tarife'!$B$4:$K$39,10,FALSE)</f>
        <v>ICOENG0001</v>
      </c>
      <c r="T132" s="101" t="str">
        <f t="shared" si="14"/>
        <v>INV + 30</v>
      </c>
      <c r="V132" s="101" t="str">
        <f t="shared" si="15"/>
        <v>Active</v>
      </c>
      <c r="X132" s="101" t="str">
        <f t="shared" si="16"/>
        <v>One-off</v>
      </c>
      <c r="AC132" s="101" t="str">
        <f t="shared" si="21"/>
        <v>RON</v>
      </c>
      <c r="AD132" s="101">
        <f t="shared" si="22"/>
        <v>10000</v>
      </c>
    </row>
    <row r="133" spans="1:30">
      <c r="A133" s="101">
        <f t="shared" si="23"/>
        <v>4</v>
      </c>
      <c r="B133" s="101">
        <f t="shared" si="19"/>
        <v>24</v>
      </c>
      <c r="C133" s="101" t="str">
        <f t="shared" si="20"/>
        <v>T24</v>
      </c>
      <c r="D133" s="101" t="str">
        <f>IF(A133&lt;&gt;A132,VLOOKUP(A133,'Date SPV'!$A:$D,4,FALSE),D132)</f>
        <v>Shopping City Piatra Neamt SRL</v>
      </c>
      <c r="E133" s="101" t="str">
        <f>VLOOKUP(A133,'Date SPV'!$A$4:$B$34,2,FALSE)</f>
        <v>RSCP</v>
      </c>
      <c r="H133" s="105" t="s">
        <v>894</v>
      </c>
      <c r="K133" s="101" t="str">
        <f>VLOOKUP(C133,'Preturi si tarife'!$A$4:$B$39,2,FALSE)</f>
        <v xml:space="preserve">Regularizare Servicii Sistem </v>
      </c>
      <c r="L133" s="102">
        <f>IF(B133=1,'Date masura OD'!$I$5,IF(B133=19,'Date masura OD'!$AK$5,L132))</f>
        <v>45748</v>
      </c>
      <c r="M133" s="102">
        <f>IF(B133=1,'Date masura OD'!$J$5,IF(B133=19,'Date masura OD'!$AL$5,M132))</f>
        <v>45777</v>
      </c>
      <c r="N133" s="104">
        <f>VLOOKUP(E133,verificare!$AR$4:$CC$33,B133+2,FALSE)</f>
        <v>0</v>
      </c>
      <c r="O133" s="103">
        <f>HLOOKUP(VLOOKUP(E133,'Date SPV'!$B$4:$F$34,5,FALSE),'Preturi si tarife'!$C$2:$J$39,B133+2,FALSE)*10000</f>
        <v>115.1</v>
      </c>
      <c r="Q133" s="101" t="str">
        <f t="shared" si="13"/>
        <v>One-off</v>
      </c>
      <c r="R133" s="101" t="str">
        <f>VLOOKUP(K133,'Preturi si tarife'!$B$4:$K$39,10,FALSE)</f>
        <v>ICOENG0001</v>
      </c>
      <c r="T133" s="101" t="str">
        <f t="shared" si="14"/>
        <v>INV + 30</v>
      </c>
      <c r="V133" s="101" t="str">
        <f t="shared" si="15"/>
        <v>Active</v>
      </c>
      <c r="X133" s="101" t="str">
        <f t="shared" si="16"/>
        <v>One-off</v>
      </c>
      <c r="AC133" s="101" t="str">
        <f t="shared" si="21"/>
        <v>RON</v>
      </c>
      <c r="AD133" s="101">
        <f t="shared" si="22"/>
        <v>10000</v>
      </c>
    </row>
    <row r="134" spans="1:30">
      <c r="A134" s="101">
        <f t="shared" si="23"/>
        <v>4</v>
      </c>
      <c r="B134" s="101">
        <f t="shared" si="19"/>
        <v>25</v>
      </c>
      <c r="C134" s="101" t="str">
        <f t="shared" si="20"/>
        <v>T25</v>
      </c>
      <c r="D134" s="101" t="str">
        <f>IF(A134&lt;&gt;A133,VLOOKUP(A134,'Date SPV'!$A:$D,4,FALSE),D133)</f>
        <v>Shopping City Piatra Neamt SRL</v>
      </c>
      <c r="E134" s="101" t="str">
        <f>VLOOKUP(A134,'Date SPV'!$A$4:$B$34,2,FALSE)</f>
        <v>RSCP</v>
      </c>
      <c r="H134" s="105" t="s">
        <v>894</v>
      </c>
      <c r="K134" s="101" t="str">
        <f>VLOOKUP(C134,'Preturi si tarife'!$A$4:$B$39,2,FALSE)</f>
        <v>Regularizare Tarif de introducere en. el in retea (TL)</v>
      </c>
      <c r="L134" s="102">
        <f>IF(B134=1,'Date masura OD'!$I$5,IF(B134=19,'Date masura OD'!$AK$5,L133))</f>
        <v>45748</v>
      </c>
      <c r="M134" s="102">
        <f>IF(B134=1,'Date masura OD'!$J$5,IF(B134=19,'Date masura OD'!$AL$5,M133))</f>
        <v>45777</v>
      </c>
      <c r="N134" s="104">
        <f>VLOOKUP(E134,verificare!$AR$4:$CC$33,B134+2,FALSE)</f>
        <v>0</v>
      </c>
      <c r="O134" s="103">
        <f>HLOOKUP(VLOOKUP(E134,'Date SPV'!$B$4:$F$34,5,FALSE),'Preturi si tarife'!$C$2:$J$39,B134+2,FALSE)*10000</f>
        <v>330.3</v>
      </c>
      <c r="Q134" s="101" t="str">
        <f t="shared" si="13"/>
        <v>One-off</v>
      </c>
      <c r="R134" s="101" t="str">
        <f>VLOOKUP(K134,'Preturi si tarife'!$B$4:$K$39,10,FALSE)</f>
        <v>ICOENG0001</v>
      </c>
      <c r="T134" s="101" t="str">
        <f t="shared" si="14"/>
        <v>INV + 30</v>
      </c>
      <c r="V134" s="101" t="str">
        <f t="shared" si="15"/>
        <v>Active</v>
      </c>
      <c r="X134" s="101" t="str">
        <f t="shared" si="16"/>
        <v>One-off</v>
      </c>
      <c r="AC134" s="101" t="str">
        <f t="shared" si="21"/>
        <v>RON</v>
      </c>
      <c r="AD134" s="101">
        <f t="shared" si="22"/>
        <v>10000</v>
      </c>
    </row>
    <row r="135" spans="1:30">
      <c r="A135" s="101">
        <f t="shared" si="23"/>
        <v>4</v>
      </c>
      <c r="B135" s="101">
        <f t="shared" si="19"/>
        <v>26</v>
      </c>
      <c r="C135" s="101" t="str">
        <f t="shared" si="20"/>
        <v>T26</v>
      </c>
      <c r="D135" s="101" t="str">
        <f>IF(A135&lt;&gt;A134,VLOOKUP(A135,'Date SPV'!$A:$D,4,FALSE),D134)</f>
        <v>Shopping City Piatra Neamt SRL</v>
      </c>
      <c r="E135" s="101" t="str">
        <f>VLOOKUP(A135,'Date SPV'!$A$4:$B$34,2,FALSE)</f>
        <v>RSCP</v>
      </c>
      <c r="H135" s="105" t="s">
        <v>894</v>
      </c>
      <c r="K135" s="101" t="str">
        <f>VLOOKUP(C135,'Preturi si tarife'!$A$4:$B$39,2,FALSE)</f>
        <v>Regularizare Tarif de introducere en.el in retea (TG)</v>
      </c>
      <c r="L135" s="102">
        <f>IF(B135=1,'Date masura OD'!$I$5,IF(B135=19,'Date masura OD'!$AK$5,L134))</f>
        <v>45748</v>
      </c>
      <c r="M135" s="102">
        <f>IF(B135=1,'Date masura OD'!$J$5,IF(B135=19,'Date masura OD'!$AL$5,M134))</f>
        <v>45777</v>
      </c>
      <c r="N135" s="104">
        <f>VLOOKUP(E135,verificare!$AR$4:$CC$33,B135+2,FALSE)</f>
        <v>0</v>
      </c>
      <c r="O135" s="103">
        <f>HLOOKUP(VLOOKUP(E135,'Date SPV'!$B$4:$F$34,5,FALSE),'Preturi si tarife'!$C$2:$J$39,B135+2,FALSE)*10000</f>
        <v>32.9</v>
      </c>
      <c r="Q135" s="101" t="str">
        <f t="shared" si="13"/>
        <v>One-off</v>
      </c>
      <c r="R135" s="101" t="str">
        <f>VLOOKUP(K135,'Preturi si tarife'!$B$4:$K$39,10,FALSE)</f>
        <v>ICOENG0001</v>
      </c>
      <c r="T135" s="101" t="str">
        <f t="shared" si="14"/>
        <v>INV + 30</v>
      </c>
      <c r="V135" s="101" t="str">
        <f t="shared" si="15"/>
        <v>Active</v>
      </c>
      <c r="X135" s="101" t="str">
        <f t="shared" si="16"/>
        <v>One-off</v>
      </c>
      <c r="AC135" s="101" t="str">
        <f t="shared" si="21"/>
        <v>RON</v>
      </c>
      <c r="AD135" s="101">
        <f t="shared" si="22"/>
        <v>10000</v>
      </c>
    </row>
    <row r="136" spans="1:30">
      <c r="A136" s="101">
        <f t="shared" si="23"/>
        <v>4</v>
      </c>
      <c r="B136" s="101">
        <f t="shared" si="19"/>
        <v>27</v>
      </c>
      <c r="C136" s="101" t="str">
        <f t="shared" si="20"/>
        <v>T27</v>
      </c>
      <c r="D136" s="101" t="str">
        <f>IF(A136&lt;&gt;A135,VLOOKUP(A136,'Date SPV'!$A:$D,4,FALSE),D135)</f>
        <v>Shopping City Piatra Neamt SRL</v>
      </c>
      <c r="E136" s="101" t="str">
        <f>VLOOKUP(A136,'Date SPV'!$A$4:$B$34,2,FALSE)</f>
        <v>RSCP</v>
      </c>
      <c r="H136" s="105" t="s">
        <v>894</v>
      </c>
      <c r="K136" s="101" t="str">
        <f>VLOOKUP(C136,'Preturi si tarife'!$A$4:$B$39,2,FALSE)</f>
        <v>Regularizare Contributie pentru cogenerare</v>
      </c>
      <c r="L136" s="102">
        <f>IF(B136=1,'Date masura OD'!$I$5,IF(B136=19,'Date masura OD'!$AK$5,L135))</f>
        <v>45748</v>
      </c>
      <c r="M136" s="102">
        <f>IF(B136=1,'Date masura OD'!$J$5,IF(B136=19,'Date masura OD'!$AL$5,M135))</f>
        <v>45777</v>
      </c>
      <c r="N136" s="104">
        <f>VLOOKUP(E136,verificare!$AR$4:$CC$33,B136+2,FALSE)</f>
        <v>0</v>
      </c>
      <c r="O136" s="103">
        <f>HLOOKUP(VLOOKUP(E136,'Date SPV'!$B$4:$F$34,5,FALSE),'Preturi si tarife'!$C$2:$J$39,B136+2,FALSE)*10000</f>
        <v>35</v>
      </c>
      <c r="Q136" s="101" t="str">
        <f t="shared" si="13"/>
        <v>One-off</v>
      </c>
      <c r="R136" s="101" t="str">
        <f>VLOOKUP(K136,'Preturi si tarife'!$B$4:$K$39,10,FALSE)</f>
        <v>ICOENG0001</v>
      </c>
      <c r="T136" s="101" t="str">
        <f t="shared" si="14"/>
        <v>INV + 30</v>
      </c>
      <c r="V136" s="101" t="str">
        <f t="shared" si="15"/>
        <v>Active</v>
      </c>
      <c r="X136" s="101" t="str">
        <f t="shared" si="16"/>
        <v>One-off</v>
      </c>
      <c r="AC136" s="101" t="str">
        <f t="shared" si="21"/>
        <v>RON</v>
      </c>
      <c r="AD136" s="101">
        <f t="shared" si="22"/>
        <v>10000</v>
      </c>
    </row>
    <row r="137" spans="1:30">
      <c r="A137" s="101">
        <f t="shared" si="23"/>
        <v>4</v>
      </c>
      <c r="B137" s="101">
        <f t="shared" si="19"/>
        <v>28</v>
      </c>
      <c r="C137" s="101" t="str">
        <f t="shared" si="20"/>
        <v>T28</v>
      </c>
      <c r="D137" s="101" t="str">
        <f>IF(A137&lt;&gt;A136,VLOOKUP(A137,'Date SPV'!$A:$D,4,FALSE),D136)</f>
        <v>Shopping City Piatra Neamt SRL</v>
      </c>
      <c r="E137" s="101" t="str">
        <f>VLOOKUP(A137,'Date SPV'!$A$4:$B$34,2,FALSE)</f>
        <v>RSCP</v>
      </c>
      <c r="H137" s="105" t="s">
        <v>894</v>
      </c>
      <c r="K137" s="101" t="str">
        <f>VLOOKUP(C137,'Preturi si tarife'!$A$4:$B$39,2,FALSE)</f>
        <v xml:space="preserve">Regularizare Certificate verzi </v>
      </c>
      <c r="L137" s="102">
        <f>IF(B137=1,'Date masura OD'!$I$5,IF(B137=19,'Date masura OD'!$AK$5,L136))</f>
        <v>45748</v>
      </c>
      <c r="M137" s="102">
        <f>IF(B137=1,'Date masura OD'!$J$5,IF(B137=19,'Date masura OD'!$AL$5,M136))</f>
        <v>45777</v>
      </c>
      <c r="N137" s="104">
        <f>VLOOKUP(E137,verificare!$AR$4:$CC$33,B137+2,FALSE)</f>
        <v>0</v>
      </c>
      <c r="O137" s="103">
        <f>HLOOKUP(VLOOKUP(E137,'Date SPV'!$B$4:$F$34,5,FALSE),'Preturi si tarife'!$C$2:$J$39,B137+2,FALSE)*10000</f>
        <v>725.41599999999994</v>
      </c>
      <c r="Q137" s="101" t="str">
        <f t="shared" si="13"/>
        <v>One-off</v>
      </c>
      <c r="R137" s="101" t="str">
        <f>VLOOKUP(K137,'Preturi si tarife'!$B$4:$K$39,10,FALSE)</f>
        <v>ICOENG0001</v>
      </c>
      <c r="T137" s="101" t="str">
        <f t="shared" si="14"/>
        <v>INV + 30</v>
      </c>
      <c r="V137" s="101" t="str">
        <f t="shared" si="15"/>
        <v>Active</v>
      </c>
      <c r="X137" s="101" t="str">
        <f t="shared" si="16"/>
        <v>One-off</v>
      </c>
      <c r="AC137" s="101" t="str">
        <f t="shared" si="21"/>
        <v>RON</v>
      </c>
      <c r="AD137" s="101">
        <f t="shared" si="22"/>
        <v>10000</v>
      </c>
    </row>
    <row r="138" spans="1:30">
      <c r="A138" s="101">
        <f t="shared" si="23"/>
        <v>4</v>
      </c>
      <c r="B138" s="101">
        <f t="shared" si="19"/>
        <v>29</v>
      </c>
      <c r="C138" s="101" t="str">
        <f t="shared" si="20"/>
        <v>T29</v>
      </c>
      <c r="D138" s="101" t="str">
        <f>IF(A138&lt;&gt;A137,VLOOKUP(A138,'Date SPV'!$A:$D,4,FALSE),D137)</f>
        <v>Shopping City Piatra Neamt SRL</v>
      </c>
      <c r="E138" s="101" t="str">
        <f>VLOOKUP(A138,'Date SPV'!$A$4:$B$34,2,FALSE)</f>
        <v>RSCP</v>
      </c>
      <c r="H138" s="105" t="s">
        <v>894</v>
      </c>
      <c r="K138" s="101" t="str">
        <f>VLOOKUP(C138,'Preturi si tarife'!$A$4:$B$39,2,FALSE)</f>
        <v>Regularizare Contributie CFD</v>
      </c>
      <c r="L138" s="102">
        <f>IF(B138=1,'Date masura OD'!$I$5,IF(B138=19,'Date masura OD'!$AK$5,L137))</f>
        <v>45748</v>
      </c>
      <c r="M138" s="102">
        <f>IF(B138=1,'Date masura OD'!$J$5,IF(B138=19,'Date masura OD'!$AL$5,M137))</f>
        <v>45777</v>
      </c>
      <c r="N138" s="104">
        <f>VLOOKUP(E138,verificare!$AR$4:$CC$33,B138+2,FALSE)</f>
        <v>0</v>
      </c>
      <c r="O138" s="103">
        <f>HLOOKUP(VLOOKUP(E138,'Date SPV'!$B$4:$F$34,5,FALSE),'Preturi si tarife'!$C$2:$J$39,B138+2,FALSE)*10000</f>
        <v>2.06</v>
      </c>
      <c r="Q138" s="101" t="str">
        <f t="shared" si="13"/>
        <v>One-off</v>
      </c>
      <c r="R138" s="101" t="str">
        <f>VLOOKUP(K138,'Preturi si tarife'!$B$4:$K$39,10,FALSE)</f>
        <v>ICOENG0001</v>
      </c>
      <c r="T138" s="101" t="str">
        <f t="shared" si="14"/>
        <v>INV + 30</v>
      </c>
      <c r="V138" s="101" t="str">
        <f t="shared" si="15"/>
        <v>Active</v>
      </c>
      <c r="X138" s="101" t="str">
        <f t="shared" si="16"/>
        <v>One-off</v>
      </c>
      <c r="AC138" s="101" t="str">
        <f t="shared" si="21"/>
        <v>RON</v>
      </c>
      <c r="AD138" s="101">
        <f t="shared" si="22"/>
        <v>10000</v>
      </c>
    </row>
    <row r="139" spans="1:30">
      <c r="A139" s="101">
        <f t="shared" si="23"/>
        <v>4</v>
      </c>
      <c r="B139" s="101">
        <f t="shared" si="19"/>
        <v>30</v>
      </c>
      <c r="C139" s="101" t="str">
        <f t="shared" si="20"/>
        <v>T30</v>
      </c>
      <c r="D139" s="101" t="str">
        <f>IF(A139&lt;&gt;A138,VLOOKUP(A139,'Date SPV'!$A:$D,4,FALSE),D138)</f>
        <v>Shopping City Piatra Neamt SRL</v>
      </c>
      <c r="E139" s="101" t="str">
        <f>VLOOKUP(A139,'Date SPV'!$A$4:$B$34,2,FALSE)</f>
        <v>RSCP</v>
      </c>
      <c r="H139" s="105" t="s">
        <v>894</v>
      </c>
      <c r="K139" s="101" t="str">
        <f>VLOOKUP(C139,'Preturi si tarife'!$A$4:$B$39,2,FALSE)</f>
        <v>Regularizare Acciza</v>
      </c>
      <c r="L139" s="102">
        <f>IF(B139=1,'Date masura OD'!$I$5,IF(B139=19,'Date masura OD'!$AK$5,L138))</f>
        <v>45748</v>
      </c>
      <c r="M139" s="102">
        <f>IF(B139=1,'Date masura OD'!$J$5,IF(B139=19,'Date masura OD'!$AL$5,M138))</f>
        <v>45777</v>
      </c>
      <c r="N139" s="104">
        <f>VLOOKUP(E139,verificare!$AR$4:$CC$33,B139+2,FALSE)</f>
        <v>0</v>
      </c>
      <c r="O139" s="103">
        <f>HLOOKUP(VLOOKUP(E139,'Date SPV'!$B$4:$F$34,5,FALSE),'Preturi si tarife'!$C$2:$J$39,B139+2,FALSE)*10000</f>
        <v>0</v>
      </c>
      <c r="Q139" s="101" t="str">
        <f t="shared" si="13"/>
        <v>One-off</v>
      </c>
      <c r="R139" s="101" t="str">
        <f>VLOOKUP(K139,'Preturi si tarife'!$B$4:$K$39,10,FALSE)</f>
        <v>ICOENG0001</v>
      </c>
      <c r="T139" s="101" t="str">
        <f t="shared" si="14"/>
        <v>INV + 30</v>
      </c>
      <c r="V139" s="101" t="str">
        <f t="shared" si="15"/>
        <v>Active</v>
      </c>
      <c r="X139" s="101" t="str">
        <f t="shared" si="16"/>
        <v>One-off</v>
      </c>
      <c r="AC139" s="101" t="str">
        <f t="shared" si="21"/>
        <v>RON</v>
      </c>
      <c r="AD139" s="101">
        <f t="shared" si="22"/>
        <v>10000</v>
      </c>
    </row>
    <row r="140" spans="1:30">
      <c r="A140" s="101">
        <f t="shared" si="23"/>
        <v>4</v>
      </c>
      <c r="B140" s="101">
        <f t="shared" si="19"/>
        <v>31</v>
      </c>
      <c r="C140" s="101" t="str">
        <f t="shared" si="20"/>
        <v>T31</v>
      </c>
      <c r="D140" s="101" t="str">
        <f>IF(A140&lt;&gt;A139,VLOOKUP(A140,'Date SPV'!$A:$D,4,FALSE),D139)</f>
        <v>Shopping City Piatra Neamt SRL</v>
      </c>
      <c r="E140" s="101" t="str">
        <f>VLOOKUP(A140,'Date SPV'!$A$4:$B$34,2,FALSE)</f>
        <v>RSCP</v>
      </c>
      <c r="H140" s="105" t="s">
        <v>894</v>
      </c>
      <c r="K140" s="101" t="str">
        <f>VLOOKUP(C140,'Preturi si tarife'!$A$4:$B$39,2,FALSE)</f>
        <v>Regularizare Tarif distributie SDI MT Ea1</v>
      </c>
      <c r="L140" s="102">
        <f>IF(B140=1,'Date masura OD'!$I$5,IF(B140=19,'Date masura OD'!$AK$5,L139))</f>
        <v>45748</v>
      </c>
      <c r="M140" s="102">
        <f>IF(B140=1,'Date masura OD'!$J$5,IF(B140=19,'Date masura OD'!$AL$5,M139))</f>
        <v>45777</v>
      </c>
      <c r="N140" s="104">
        <f>VLOOKUP(E140,verificare!$AR$4:$CC$33,B140+2,FALSE)</f>
        <v>0</v>
      </c>
      <c r="O140" s="103">
        <f>HLOOKUP(VLOOKUP(E140,'Date SPV'!$B$4:$F$34,5,FALSE),'Preturi si tarife'!$C$2:$J$39,B140+2,FALSE)*10000</f>
        <v>131</v>
      </c>
      <c r="Q140" s="101" t="str">
        <f t="shared" si="13"/>
        <v>One-off</v>
      </c>
      <c r="R140" s="101" t="str">
        <f>VLOOKUP(K140,'Preturi si tarife'!$B$4:$K$39,10,FALSE)</f>
        <v>ICOENG0010</v>
      </c>
      <c r="T140" s="101" t="str">
        <f t="shared" si="14"/>
        <v>INV + 30</v>
      </c>
      <c r="V140" s="101" t="str">
        <f t="shared" si="15"/>
        <v>Active</v>
      </c>
      <c r="X140" s="101" t="str">
        <f t="shared" si="16"/>
        <v>One-off</v>
      </c>
      <c r="AC140" s="101" t="str">
        <f t="shared" si="21"/>
        <v>RON</v>
      </c>
      <c r="AD140" s="101">
        <f t="shared" si="22"/>
        <v>10000</v>
      </c>
    </row>
    <row r="141" spans="1:30">
      <c r="A141" s="101">
        <f t="shared" si="23"/>
        <v>4</v>
      </c>
      <c r="B141" s="101">
        <f t="shared" si="19"/>
        <v>32</v>
      </c>
      <c r="C141" s="101" t="str">
        <f t="shared" si="20"/>
        <v>T32</v>
      </c>
      <c r="D141" s="101" t="str">
        <f>IF(A141&lt;&gt;A140,VLOOKUP(A141,'Date SPV'!$A:$D,4,FALSE),D140)</f>
        <v>Shopping City Piatra Neamt SRL</v>
      </c>
      <c r="E141" s="101" t="str">
        <f>VLOOKUP(A141,'Date SPV'!$A$4:$B$34,2,FALSE)</f>
        <v>RSCP</v>
      </c>
      <c r="H141" s="105" t="s">
        <v>894</v>
      </c>
      <c r="K141" s="101" t="str">
        <f>VLOOKUP(C141,'Preturi si tarife'!$A$4:$B$39,2,FALSE)</f>
        <v>Regularizare Tarif distributie SDI JT Ea1</v>
      </c>
      <c r="L141" s="102">
        <f>IF(B141=1,'Date masura OD'!$I$5,IF(B141=19,'Date masura OD'!$AK$5,L140))</f>
        <v>45748</v>
      </c>
      <c r="M141" s="102">
        <f>IF(B141=1,'Date masura OD'!$J$5,IF(B141=19,'Date masura OD'!$AL$5,M140))</f>
        <v>45777</v>
      </c>
      <c r="N141" s="104">
        <f>VLOOKUP(E141,verificare!$AR$4:$CC$33,B141+2,FALSE)</f>
        <v>0</v>
      </c>
      <c r="O141" s="103">
        <f>HLOOKUP(VLOOKUP(E141,'Date SPV'!$B$4:$F$34,5,FALSE),'Preturi si tarife'!$C$2:$J$39,B141+2,FALSE)*10000</f>
        <v>1029</v>
      </c>
      <c r="Q141" s="101" t="str">
        <f t="shared" si="13"/>
        <v>One-off</v>
      </c>
      <c r="R141" s="101" t="str">
        <f>VLOOKUP(K141,'Preturi si tarife'!$B$4:$K$39,10,FALSE)</f>
        <v>ICOENG0010</v>
      </c>
      <c r="T141" s="101" t="str">
        <f t="shared" si="14"/>
        <v>INV + 30</v>
      </c>
      <c r="V141" s="101" t="str">
        <f t="shared" si="15"/>
        <v>Active</v>
      </c>
      <c r="X141" s="101" t="str">
        <f t="shared" si="16"/>
        <v>One-off</v>
      </c>
      <c r="AC141" s="101" t="str">
        <f t="shared" si="21"/>
        <v>RON</v>
      </c>
      <c r="AD141" s="101">
        <f t="shared" si="22"/>
        <v>10000</v>
      </c>
    </row>
    <row r="142" spans="1:30">
      <c r="A142" s="101">
        <f t="shared" si="23"/>
        <v>4</v>
      </c>
      <c r="B142" s="101">
        <f t="shared" si="19"/>
        <v>33</v>
      </c>
      <c r="C142" s="101" t="str">
        <f t="shared" si="20"/>
        <v>T33</v>
      </c>
      <c r="D142" s="101" t="str">
        <f>IF(A142&lt;&gt;A141,VLOOKUP(A142,'Date SPV'!$A:$D,4,FALSE),D141)</f>
        <v>Shopping City Piatra Neamt SRL</v>
      </c>
      <c r="E142" s="101" t="str">
        <f>VLOOKUP(A142,'Date SPV'!$A$4:$B$34,2,FALSE)</f>
        <v>RSCP</v>
      </c>
      <c r="H142" s="105" t="s">
        <v>894</v>
      </c>
      <c r="K142" s="101" t="str">
        <f>VLOOKUP(C142,'Preturi si tarife'!$A$4:$B$39,2,FALSE)</f>
        <v>Regularizare Energie activa 2</v>
      </c>
      <c r="L142" s="102">
        <f>IF(B142=1,'Date masura OD'!$I$5,IF(B142=19,'Date masura OD'!$AK$5,L141))</f>
        <v>45748</v>
      </c>
      <c r="M142" s="102">
        <f>IF(B142=1,'Date masura OD'!$J$5,IF(B142=19,'Date masura OD'!$AL$5,M141))</f>
        <v>45777</v>
      </c>
      <c r="N142" s="104">
        <f>VLOOKUP(E142,verificare!$AR$4:$CC$33,B142+2,FALSE)</f>
        <v>0</v>
      </c>
      <c r="O142" s="103">
        <f>HLOOKUP(VLOOKUP(E142,'Date SPV'!$B$4:$F$34,5,FALSE),'Preturi si tarife'!$C$2:$J$39,B142+2,FALSE)*10000</f>
        <v>9485.5759999999991</v>
      </c>
      <c r="Q142" s="101" t="str">
        <f t="shared" si="13"/>
        <v>One-off</v>
      </c>
      <c r="R142" s="101" t="str">
        <f>VLOOKUP(K142,'Preturi si tarife'!$B$4:$K$39,10,FALSE)</f>
        <v>ICOENG0012</v>
      </c>
      <c r="T142" s="101" t="str">
        <f t="shared" si="14"/>
        <v>INV + 30</v>
      </c>
      <c r="V142" s="101" t="str">
        <f t="shared" si="15"/>
        <v>Active</v>
      </c>
      <c r="X142" s="101" t="str">
        <f t="shared" si="16"/>
        <v>One-off</v>
      </c>
      <c r="AC142" s="101" t="str">
        <f t="shared" si="21"/>
        <v>RON</v>
      </c>
      <c r="AD142" s="101">
        <f t="shared" si="22"/>
        <v>10000</v>
      </c>
    </row>
    <row r="143" spans="1:30">
      <c r="A143" s="101">
        <f t="shared" si="23"/>
        <v>4</v>
      </c>
      <c r="B143" s="101">
        <f t="shared" si="19"/>
        <v>34</v>
      </c>
      <c r="C143" s="101" t="str">
        <f t="shared" si="20"/>
        <v>T34</v>
      </c>
      <c r="D143" s="101" t="str">
        <f>IF(A143&lt;&gt;A142,VLOOKUP(A143,'Date SPV'!$A:$D,4,FALSE),D142)</f>
        <v>Shopping City Piatra Neamt SRL</v>
      </c>
      <c r="E143" s="101" t="str">
        <f>VLOOKUP(A143,'Date SPV'!$A$4:$B$34,2,FALSE)</f>
        <v>RSCP</v>
      </c>
      <c r="H143" s="105" t="s">
        <v>894</v>
      </c>
      <c r="K143" s="101" t="str">
        <f>VLOOKUP(C143,'Preturi si tarife'!$A$4:$B$39,2,FALSE)</f>
        <v>Regularizare Energie activa 3</v>
      </c>
      <c r="L143" s="102">
        <f>IF(B143=1,'Date masura OD'!$I$5,IF(B143=19,'Date masura OD'!$AK$5,L142))</f>
        <v>45748</v>
      </c>
      <c r="M143" s="102">
        <f>IF(B143=1,'Date masura OD'!$J$5,IF(B143=19,'Date masura OD'!$AL$5,M142))</f>
        <v>45777</v>
      </c>
      <c r="N143" s="104">
        <f>VLOOKUP(E143,verificare!$AR$4:$CC$33,B143+2,FALSE)</f>
        <v>0</v>
      </c>
      <c r="O143" s="103">
        <f>HLOOKUP(VLOOKUP(E143,'Date SPV'!$B$4:$F$34,5,FALSE),'Preturi si tarife'!$C$2:$J$39,B143+2,FALSE)*10000</f>
        <v>8325.5760000000009</v>
      </c>
      <c r="Q143" s="101" t="str">
        <f t="shared" si="13"/>
        <v>One-off</v>
      </c>
      <c r="R143" s="101" t="str">
        <f>VLOOKUP(K143,'Preturi si tarife'!$B$4:$K$39,10,FALSE)</f>
        <v>ICOENG0012</v>
      </c>
      <c r="T143" s="101" t="str">
        <f t="shared" si="14"/>
        <v>INV + 30</v>
      </c>
      <c r="V143" s="101" t="str">
        <f t="shared" si="15"/>
        <v>Active</v>
      </c>
      <c r="X143" s="101" t="str">
        <f t="shared" si="16"/>
        <v>One-off</v>
      </c>
      <c r="AC143" s="101" t="str">
        <f t="shared" si="21"/>
        <v>RON</v>
      </c>
      <c r="AD143" s="101">
        <f t="shared" si="22"/>
        <v>10000</v>
      </c>
    </row>
    <row r="144" spans="1:30">
      <c r="A144" s="101">
        <f t="shared" si="23"/>
        <v>4</v>
      </c>
      <c r="B144" s="101">
        <f t="shared" si="19"/>
        <v>35</v>
      </c>
      <c r="C144" s="101" t="str">
        <f t="shared" si="20"/>
        <v>T35</v>
      </c>
      <c r="D144" s="101" t="str">
        <f>IF(A144&lt;&gt;A143,VLOOKUP(A144,'Date SPV'!$A:$D,4,FALSE),D143)</f>
        <v>Shopping City Piatra Neamt SRL</v>
      </c>
      <c r="E144" s="101" t="str">
        <f>VLOOKUP(A144,'Date SPV'!$A$4:$B$34,2,FALSE)</f>
        <v>RSCP</v>
      </c>
      <c r="H144" s="105" t="s">
        <v>894</v>
      </c>
      <c r="K144" s="101" t="str">
        <f>VLOOKUP(C144,'Preturi si tarife'!$A$4:$B$39,2,FALSE)</f>
        <v>Regularizare Tarif distributie SDI MT Ea3</v>
      </c>
      <c r="L144" s="102">
        <f>IF(B144=1,'Date masura OD'!$I$5,IF(B144=19,'Date masura OD'!$AK$5,L143))</f>
        <v>45748</v>
      </c>
      <c r="M144" s="102">
        <f>IF(B144=1,'Date masura OD'!$J$5,IF(B144=19,'Date masura OD'!$AL$5,M143))</f>
        <v>45777</v>
      </c>
      <c r="N144" s="104">
        <f>VLOOKUP(E144,verificare!$AR$4:$CC$33,B144+2,FALSE)</f>
        <v>0</v>
      </c>
      <c r="O144" s="103">
        <f>HLOOKUP(VLOOKUP(E144,'Date SPV'!$B$4:$F$34,5,FALSE),'Preturi si tarife'!$C$2:$J$39,B144+2,FALSE)*10000</f>
        <v>131</v>
      </c>
      <c r="Q144" s="101" t="str">
        <f t="shared" si="13"/>
        <v>One-off</v>
      </c>
      <c r="R144" s="101" t="str">
        <f>VLOOKUP(K144,'Preturi si tarife'!$B$4:$K$39,10,FALSE)</f>
        <v>ICOENG0010</v>
      </c>
      <c r="T144" s="101" t="str">
        <f t="shared" si="14"/>
        <v>INV + 30</v>
      </c>
      <c r="V144" s="101" t="str">
        <f t="shared" si="15"/>
        <v>Active</v>
      </c>
      <c r="X144" s="101" t="str">
        <f t="shared" si="16"/>
        <v>One-off</v>
      </c>
      <c r="AC144" s="101" t="str">
        <f t="shared" si="21"/>
        <v>RON</v>
      </c>
      <c r="AD144" s="101">
        <f t="shared" si="22"/>
        <v>10000</v>
      </c>
    </row>
    <row r="145" spans="1:30">
      <c r="A145" s="101">
        <f t="shared" si="23"/>
        <v>4</v>
      </c>
      <c r="B145" s="101">
        <f t="shared" si="19"/>
        <v>36</v>
      </c>
      <c r="C145" s="101" t="str">
        <f t="shared" si="20"/>
        <v>T36</v>
      </c>
      <c r="D145" s="101" t="str">
        <f>IF(A145&lt;&gt;A144,VLOOKUP(A145,'Date SPV'!$A:$D,4,FALSE),D144)</f>
        <v>Shopping City Piatra Neamt SRL</v>
      </c>
      <c r="E145" s="101" t="str">
        <f>VLOOKUP(A145,'Date SPV'!$A$4:$B$34,2,FALSE)</f>
        <v>RSCP</v>
      </c>
      <c r="H145" s="105" t="s">
        <v>894</v>
      </c>
      <c r="K145" s="101" t="str">
        <f>VLOOKUP(C145,'Preturi si tarife'!$A$4:$B$39,2,FALSE)</f>
        <v>Regularizare Tarif distributie SDI JT Ea3</v>
      </c>
      <c r="L145" s="102">
        <f>IF(B145=1,'Date masura OD'!$I$5,IF(B145=19,'Date masura OD'!$AK$5,L144))</f>
        <v>45748</v>
      </c>
      <c r="M145" s="102">
        <f>IF(B145=1,'Date masura OD'!$J$5,IF(B145=19,'Date masura OD'!$AL$5,M144))</f>
        <v>45777</v>
      </c>
      <c r="N145" s="104">
        <f>VLOOKUP(E145,verificare!$AR$4:$CC$33,B145+2,FALSE)</f>
        <v>0</v>
      </c>
      <c r="O145" s="103">
        <f>HLOOKUP(VLOOKUP(E145,'Date SPV'!$B$4:$F$34,5,FALSE),'Preturi si tarife'!$C$2:$J$39,B145+2,FALSE)*10000</f>
        <v>1029</v>
      </c>
      <c r="Q145" s="101" t="str">
        <f t="shared" si="13"/>
        <v>One-off</v>
      </c>
      <c r="R145" s="101" t="str">
        <f>VLOOKUP(K145,'Preturi si tarife'!$B$4:$K$39,10,FALSE)</f>
        <v>ICOENG0010</v>
      </c>
      <c r="T145" s="101" t="str">
        <f t="shared" si="14"/>
        <v>INV + 30</v>
      </c>
      <c r="V145" s="101" t="str">
        <f t="shared" si="15"/>
        <v>Active</v>
      </c>
      <c r="X145" s="101" t="str">
        <f t="shared" si="16"/>
        <v>One-off</v>
      </c>
      <c r="AC145" s="101" t="str">
        <f t="shared" si="21"/>
        <v>RON</v>
      </c>
      <c r="AD145" s="101">
        <f t="shared" si="22"/>
        <v>10000</v>
      </c>
    </row>
    <row r="146" spans="1:30">
      <c r="A146" s="101">
        <f t="shared" si="23"/>
        <v>5</v>
      </c>
      <c r="B146" s="101">
        <f t="shared" si="19"/>
        <v>1</v>
      </c>
      <c r="C146" s="101" t="str">
        <f t="shared" si="20"/>
        <v>T1</v>
      </c>
      <c r="D146" s="101" t="str">
        <f>IF(A146&lt;&gt;A145,VLOOKUP(A146,'Date SPV'!$A:$D,4,FALSE),D145)</f>
        <v>Satu Mare Shopping City SRL</v>
      </c>
      <c r="E146" s="101" t="str">
        <f>VLOOKUP(A146,'Date SPV'!$A$4:$B$34,2,FALSE)</f>
        <v>RSMS</v>
      </c>
      <c r="H146" s="105" t="s">
        <v>894</v>
      </c>
      <c r="K146" s="101" t="str">
        <f>VLOOKUP(C146,'Preturi si tarife'!$A$4:$B$39,2,FALSE)</f>
        <v>Energie activa 1</v>
      </c>
      <c r="L146" s="102">
        <f>IF(B146=1,'Date masura OD'!$I$5,IF(B146=19,'Date masura OD'!$AK$5,L145))</f>
        <v>45778</v>
      </c>
      <c r="M146" s="102">
        <f>IF(B146=1,'Date masura OD'!$J$5,IF(B146=19,'Date masura OD'!$AL$5,M145))</f>
        <v>45808</v>
      </c>
      <c r="N146" s="104">
        <f>VLOOKUP(E146,verificare!$AR$4:$CC$33,B146+2,FALSE)</f>
        <v>376703</v>
      </c>
      <c r="O146" s="103">
        <f>HLOOKUP(VLOOKUP(E146,'Date SPV'!$B$4:$F$34,5,FALSE),'Preturi si tarife'!$C$2:$J$39,B146+2,FALSE)*10000</f>
        <v>5950</v>
      </c>
      <c r="Q146" s="101" t="str">
        <f t="shared" si="13"/>
        <v>One-off</v>
      </c>
      <c r="R146" s="101" t="str">
        <f>VLOOKUP(K146,'Preturi si tarife'!$B$4:$K$39,10,FALSE)</f>
        <v>ICOENG0001</v>
      </c>
      <c r="T146" s="101" t="str">
        <f t="shared" si="14"/>
        <v>INV + 30</v>
      </c>
      <c r="V146" s="101" t="str">
        <f t="shared" si="15"/>
        <v>Active</v>
      </c>
      <c r="X146" s="101" t="str">
        <f t="shared" si="16"/>
        <v>One-off</v>
      </c>
      <c r="AC146" s="101" t="str">
        <f t="shared" si="21"/>
        <v>RON</v>
      </c>
      <c r="AD146" s="101">
        <f t="shared" si="22"/>
        <v>10000</v>
      </c>
    </row>
    <row r="147" spans="1:30">
      <c r="A147" s="101">
        <f t="shared" si="23"/>
        <v>5</v>
      </c>
      <c r="B147" s="101">
        <f t="shared" si="19"/>
        <v>2</v>
      </c>
      <c r="C147" s="101" t="str">
        <f t="shared" si="20"/>
        <v>T2</v>
      </c>
      <c r="D147" s="101" t="str">
        <f>IF(A147&lt;&gt;A146,VLOOKUP(A147,'Date SPV'!$A:$D,4,FALSE),D146)</f>
        <v>Satu Mare Shopping City SRL</v>
      </c>
      <c r="E147" s="101" t="str">
        <f>VLOOKUP(A147,'Date SPV'!$A$4:$B$34,2,FALSE)</f>
        <v>RSMS</v>
      </c>
      <c r="H147" s="105" t="s">
        <v>894</v>
      </c>
      <c r="K147" s="101" t="str">
        <f>VLOOKUP(C147,'Preturi si tarife'!$A$4:$B$39,2,FALSE)</f>
        <v>Energie reactiva  1X</v>
      </c>
      <c r="L147" s="102">
        <f>IF(B147=1,'Date masura OD'!$I$5,IF(B147=19,'Date masura OD'!$AK$5,L146))</f>
        <v>45778</v>
      </c>
      <c r="M147" s="102">
        <f>IF(B147=1,'Date masura OD'!$J$5,IF(B147=19,'Date masura OD'!$AL$5,M146))</f>
        <v>45808</v>
      </c>
      <c r="N147" s="104">
        <f>VLOOKUP(E147,verificare!$AR$4:$CC$33,B147+2,FALSE)</f>
        <v>0</v>
      </c>
      <c r="O147" s="103">
        <f>HLOOKUP(VLOOKUP(E147,'Date SPV'!$B$4:$F$34,5,FALSE),'Preturi si tarife'!$C$2:$J$39,B147+2,FALSE)*10000</f>
        <v>1465</v>
      </c>
      <c r="Q147" s="101" t="str">
        <f t="shared" si="13"/>
        <v>One-off</v>
      </c>
      <c r="R147" s="101" t="str">
        <f>VLOOKUP(K147,'Preturi si tarife'!$B$4:$K$39,10,FALSE)</f>
        <v>ICOENG0001</v>
      </c>
      <c r="T147" s="101" t="str">
        <f t="shared" si="14"/>
        <v>INV + 30</v>
      </c>
      <c r="V147" s="101" t="str">
        <f t="shared" si="15"/>
        <v>Active</v>
      </c>
      <c r="X147" s="101" t="str">
        <f t="shared" si="16"/>
        <v>One-off</v>
      </c>
      <c r="AC147" s="101" t="str">
        <f t="shared" si="21"/>
        <v>RON</v>
      </c>
      <c r="AD147" s="101">
        <f t="shared" si="22"/>
        <v>10000</v>
      </c>
    </row>
    <row r="148" spans="1:30">
      <c r="A148" s="101">
        <f t="shared" si="23"/>
        <v>5</v>
      </c>
      <c r="B148" s="101">
        <f t="shared" si="19"/>
        <v>3</v>
      </c>
      <c r="C148" s="101" t="str">
        <f t="shared" si="20"/>
        <v>T3</v>
      </c>
      <c r="D148" s="101" t="str">
        <f>IF(A148&lt;&gt;A147,VLOOKUP(A148,'Date SPV'!$A:$D,4,FALSE),D147)</f>
        <v>Satu Mare Shopping City SRL</v>
      </c>
      <c r="E148" s="101" t="str">
        <f>VLOOKUP(A148,'Date SPV'!$A$4:$B$34,2,FALSE)</f>
        <v>RSMS</v>
      </c>
      <c r="H148" s="105" t="s">
        <v>894</v>
      </c>
      <c r="K148" s="101" t="str">
        <f>VLOOKUP(C148,'Preturi si tarife'!$A$4:$B$39,2,FALSE)</f>
        <v>Energie reactiva  3X</v>
      </c>
      <c r="L148" s="102">
        <f>IF(B148=1,'Date masura OD'!$I$5,IF(B148=19,'Date masura OD'!$AK$5,L147))</f>
        <v>45778</v>
      </c>
      <c r="M148" s="102">
        <f>IF(B148=1,'Date masura OD'!$J$5,IF(B148=19,'Date masura OD'!$AL$5,M147))</f>
        <v>45808</v>
      </c>
      <c r="N148" s="104">
        <f>VLOOKUP(E148,verificare!$AR$4:$CC$33,B148+2,FALSE)</f>
        <v>0</v>
      </c>
      <c r="O148" s="103">
        <f>HLOOKUP(VLOOKUP(E148,'Date SPV'!$B$4:$F$34,5,FALSE),'Preturi si tarife'!$C$2:$J$39,B148+2,FALSE)*10000</f>
        <v>4395</v>
      </c>
      <c r="Q148" s="101" t="str">
        <f t="shared" si="13"/>
        <v>One-off</v>
      </c>
      <c r="R148" s="101" t="str">
        <f>VLOOKUP(K148,'Preturi si tarife'!$B$4:$K$39,10,FALSE)</f>
        <v>ICOENG0001</v>
      </c>
      <c r="T148" s="101" t="str">
        <f t="shared" si="14"/>
        <v>INV + 30</v>
      </c>
      <c r="V148" s="101" t="str">
        <f t="shared" si="15"/>
        <v>Active</v>
      </c>
      <c r="X148" s="101" t="str">
        <f t="shared" si="16"/>
        <v>One-off</v>
      </c>
      <c r="AC148" s="101" t="str">
        <f t="shared" si="21"/>
        <v>RON</v>
      </c>
      <c r="AD148" s="101">
        <f t="shared" si="22"/>
        <v>10000</v>
      </c>
    </row>
    <row r="149" spans="1:30">
      <c r="A149" s="101">
        <f t="shared" si="23"/>
        <v>5</v>
      </c>
      <c r="B149" s="101">
        <f t="shared" si="19"/>
        <v>4</v>
      </c>
      <c r="C149" s="101" t="str">
        <f t="shared" si="20"/>
        <v>T4</v>
      </c>
      <c r="D149" s="101" t="str">
        <f>IF(A149&lt;&gt;A148,VLOOKUP(A149,'Date SPV'!$A:$D,4,FALSE),D148)</f>
        <v>Satu Mare Shopping City SRL</v>
      </c>
      <c r="E149" s="101" t="str">
        <f>VLOOKUP(A149,'Date SPV'!$A$4:$B$34,2,FALSE)</f>
        <v>RSMS</v>
      </c>
      <c r="H149" s="105" t="s">
        <v>894</v>
      </c>
      <c r="K149" s="101" t="str">
        <f>VLOOKUP(C149,'Preturi si tarife'!$A$4:$B$39,2,FALSE)</f>
        <v>Tarife distributie en. El IT+MT</v>
      </c>
      <c r="L149" s="102">
        <f>IF(B149=1,'Date masura OD'!$I$5,IF(B149=19,'Date masura OD'!$AK$5,L148))</f>
        <v>45778</v>
      </c>
      <c r="M149" s="102">
        <f>IF(B149=1,'Date masura OD'!$J$5,IF(B149=19,'Date masura OD'!$AL$5,M148))</f>
        <v>45808</v>
      </c>
      <c r="N149" s="104">
        <f>VLOOKUP(E149,verificare!$AR$4:$CC$33,B149+2,FALSE)</f>
        <v>376703</v>
      </c>
      <c r="O149" s="103">
        <f>HLOOKUP(VLOOKUP(E149,'Date SPV'!$B$4:$F$34,5,FALSE),'Preturi si tarife'!$C$2:$J$39,B149+2,FALSE)*10000</f>
        <v>1148.3</v>
      </c>
      <c r="Q149" s="101" t="str">
        <f t="shared" si="13"/>
        <v>One-off</v>
      </c>
      <c r="R149" s="101" t="str">
        <f>VLOOKUP(K149,'Preturi si tarife'!$B$4:$K$39,10,FALSE)</f>
        <v>ICOENG0001</v>
      </c>
      <c r="T149" s="101" t="str">
        <f t="shared" si="14"/>
        <v>INV + 30</v>
      </c>
      <c r="V149" s="101" t="str">
        <f t="shared" si="15"/>
        <v>Active</v>
      </c>
      <c r="X149" s="101" t="str">
        <f t="shared" si="16"/>
        <v>One-off</v>
      </c>
      <c r="AC149" s="101" t="str">
        <f t="shared" si="21"/>
        <v>RON</v>
      </c>
      <c r="AD149" s="101">
        <f t="shared" si="22"/>
        <v>10000</v>
      </c>
    </row>
    <row r="150" spans="1:30">
      <c r="A150" s="101">
        <f t="shared" si="23"/>
        <v>5</v>
      </c>
      <c r="B150" s="101">
        <f t="shared" si="19"/>
        <v>5</v>
      </c>
      <c r="C150" s="101" t="str">
        <f t="shared" si="20"/>
        <v>T5</v>
      </c>
      <c r="D150" s="101" t="str">
        <f>IF(A150&lt;&gt;A149,VLOOKUP(A150,'Date SPV'!$A:$D,4,FALSE),D149)</f>
        <v>Satu Mare Shopping City SRL</v>
      </c>
      <c r="E150" s="101" t="str">
        <f>VLOOKUP(A150,'Date SPV'!$A$4:$B$34,2,FALSE)</f>
        <v>RSMS</v>
      </c>
      <c r="H150" s="105" t="s">
        <v>894</v>
      </c>
      <c r="K150" s="101" t="str">
        <f>VLOOKUP(C150,'Preturi si tarife'!$A$4:$B$39,2,FALSE)</f>
        <v>Tarife distributie en. El JT</v>
      </c>
      <c r="L150" s="102">
        <f>IF(B150=1,'Date masura OD'!$I$5,IF(B150=19,'Date masura OD'!$AK$5,L149))</f>
        <v>45778</v>
      </c>
      <c r="M150" s="102">
        <f>IF(B150=1,'Date masura OD'!$J$5,IF(B150=19,'Date masura OD'!$AL$5,M149))</f>
        <v>45808</v>
      </c>
      <c r="N150" s="104">
        <f>VLOOKUP(E150,verificare!$AR$4:$CC$33,B150+2,FALSE)</f>
        <v>0</v>
      </c>
      <c r="O150" s="103">
        <f>HLOOKUP(VLOOKUP(E150,'Date SPV'!$B$4:$F$34,5,FALSE),'Preturi si tarife'!$C$2:$J$39,B150+2,FALSE)*10000</f>
        <v>2361</v>
      </c>
      <c r="Q150" s="101" t="str">
        <f t="shared" si="13"/>
        <v>One-off</v>
      </c>
      <c r="R150" s="101" t="str">
        <f>VLOOKUP(K150,'Preturi si tarife'!$B$4:$K$39,10,FALSE)</f>
        <v>ICOENG0001</v>
      </c>
      <c r="T150" s="101" t="str">
        <f t="shared" si="14"/>
        <v>INV + 30</v>
      </c>
      <c r="V150" s="101" t="str">
        <f t="shared" si="15"/>
        <v>Active</v>
      </c>
      <c r="X150" s="101" t="str">
        <f t="shared" si="16"/>
        <v>One-off</v>
      </c>
      <c r="AC150" s="101" t="str">
        <f t="shared" si="21"/>
        <v>RON</v>
      </c>
      <c r="AD150" s="101">
        <f t="shared" si="22"/>
        <v>10000</v>
      </c>
    </row>
    <row r="151" spans="1:30">
      <c r="A151" s="101">
        <f t="shared" si="23"/>
        <v>5</v>
      </c>
      <c r="B151" s="101">
        <f t="shared" si="19"/>
        <v>6</v>
      </c>
      <c r="C151" s="101" t="str">
        <f t="shared" si="20"/>
        <v>T6</v>
      </c>
      <c r="D151" s="101" t="str">
        <f>IF(A151&lt;&gt;A150,VLOOKUP(A151,'Date SPV'!$A:$D,4,FALSE),D150)</f>
        <v>Satu Mare Shopping City SRL</v>
      </c>
      <c r="E151" s="101" t="str">
        <f>VLOOKUP(A151,'Date SPV'!$A$4:$B$34,2,FALSE)</f>
        <v>RSMS</v>
      </c>
      <c r="H151" s="105" t="s">
        <v>894</v>
      </c>
      <c r="K151" s="101" t="str">
        <f>VLOOKUP(C151,'Preturi si tarife'!$A$4:$B$39,2,FALSE)</f>
        <v xml:space="preserve">Servicii Sistem </v>
      </c>
      <c r="L151" s="102">
        <f>IF(B151=1,'Date masura OD'!$I$5,IF(B151=19,'Date masura OD'!$AK$5,L150))</f>
        <v>45778</v>
      </c>
      <c r="M151" s="102">
        <f>IF(B151=1,'Date masura OD'!$J$5,IF(B151=19,'Date masura OD'!$AL$5,M150))</f>
        <v>45808</v>
      </c>
      <c r="N151" s="104">
        <f>VLOOKUP(E151,verificare!$AR$4:$CC$33,B151+2,FALSE)</f>
        <v>376703</v>
      </c>
      <c r="O151" s="103">
        <f>HLOOKUP(VLOOKUP(E151,'Date SPV'!$B$4:$F$34,5,FALSE),'Preturi si tarife'!$C$2:$J$39,B151+2,FALSE)*10000</f>
        <v>115.1</v>
      </c>
      <c r="Q151" s="101" t="str">
        <f t="shared" si="13"/>
        <v>One-off</v>
      </c>
      <c r="R151" s="101" t="str">
        <f>VLOOKUP(K151,'Preturi si tarife'!$B$4:$K$39,10,FALSE)</f>
        <v>ICOENG0001</v>
      </c>
      <c r="T151" s="101" t="str">
        <f t="shared" si="14"/>
        <v>INV + 30</v>
      </c>
      <c r="V151" s="101" t="str">
        <f t="shared" si="15"/>
        <v>Active</v>
      </c>
      <c r="X151" s="101" t="str">
        <f t="shared" si="16"/>
        <v>One-off</v>
      </c>
      <c r="AC151" s="101" t="str">
        <f t="shared" si="21"/>
        <v>RON</v>
      </c>
      <c r="AD151" s="101">
        <f t="shared" si="22"/>
        <v>10000</v>
      </c>
    </row>
    <row r="152" spans="1:30">
      <c r="A152" s="101">
        <f t="shared" si="23"/>
        <v>5</v>
      </c>
      <c r="B152" s="101">
        <f t="shared" si="19"/>
        <v>7</v>
      </c>
      <c r="C152" s="101" t="str">
        <f t="shared" si="20"/>
        <v>T7</v>
      </c>
      <c r="D152" s="101" t="str">
        <f>IF(A152&lt;&gt;A151,VLOOKUP(A152,'Date SPV'!$A:$D,4,FALSE),D151)</f>
        <v>Satu Mare Shopping City SRL</v>
      </c>
      <c r="E152" s="101" t="str">
        <f>VLOOKUP(A152,'Date SPV'!$A$4:$B$34,2,FALSE)</f>
        <v>RSMS</v>
      </c>
      <c r="H152" s="105" t="s">
        <v>894</v>
      </c>
      <c r="K152" s="101" t="str">
        <f>VLOOKUP(C152,'Preturi si tarife'!$A$4:$B$39,2,FALSE)</f>
        <v>Tarif de introducere en. el in retea (TL)</v>
      </c>
      <c r="L152" s="102">
        <f>IF(B152=1,'Date masura OD'!$I$5,IF(B152=19,'Date masura OD'!$AK$5,L151))</f>
        <v>45778</v>
      </c>
      <c r="M152" s="102">
        <f>IF(B152=1,'Date masura OD'!$J$5,IF(B152=19,'Date masura OD'!$AL$5,M151))</f>
        <v>45808</v>
      </c>
      <c r="N152" s="104">
        <f>VLOOKUP(E152,verificare!$AR$4:$CC$33,B152+2,FALSE)</f>
        <v>376703</v>
      </c>
      <c r="O152" s="103">
        <f>HLOOKUP(VLOOKUP(E152,'Date SPV'!$B$4:$F$34,5,FALSE),'Preturi si tarife'!$C$2:$J$39,B152+2,FALSE)*10000</f>
        <v>330.3</v>
      </c>
      <c r="Q152" s="101" t="str">
        <f t="shared" si="13"/>
        <v>One-off</v>
      </c>
      <c r="R152" s="101" t="str">
        <f>VLOOKUP(K152,'Preturi si tarife'!$B$4:$K$39,10,FALSE)</f>
        <v>ICOENG0001</v>
      </c>
      <c r="T152" s="101" t="str">
        <f t="shared" si="14"/>
        <v>INV + 30</v>
      </c>
      <c r="V152" s="101" t="str">
        <f t="shared" si="15"/>
        <v>Active</v>
      </c>
      <c r="X152" s="101" t="str">
        <f t="shared" si="16"/>
        <v>One-off</v>
      </c>
      <c r="AC152" s="101" t="str">
        <f t="shared" si="21"/>
        <v>RON</v>
      </c>
      <c r="AD152" s="101">
        <f t="shared" si="22"/>
        <v>10000</v>
      </c>
    </row>
    <row r="153" spans="1:30">
      <c r="A153" s="101">
        <f t="shared" si="23"/>
        <v>5</v>
      </c>
      <c r="B153" s="101">
        <f t="shared" si="19"/>
        <v>8</v>
      </c>
      <c r="C153" s="101" t="str">
        <f t="shared" si="20"/>
        <v>T8</v>
      </c>
      <c r="D153" s="101" t="str">
        <f>IF(A153&lt;&gt;A152,VLOOKUP(A153,'Date SPV'!$A:$D,4,FALSE),D152)</f>
        <v>Satu Mare Shopping City SRL</v>
      </c>
      <c r="E153" s="101" t="str">
        <f>VLOOKUP(A153,'Date SPV'!$A$4:$B$34,2,FALSE)</f>
        <v>RSMS</v>
      </c>
      <c r="H153" s="105" t="s">
        <v>894</v>
      </c>
      <c r="K153" s="101" t="str">
        <f>VLOOKUP(C153,'Preturi si tarife'!$A$4:$B$39,2,FALSE)</f>
        <v>Tarif de introducere en.el in retea (TG)</v>
      </c>
      <c r="L153" s="102">
        <f>IF(B153=1,'Date masura OD'!$I$5,IF(B153=19,'Date masura OD'!$AK$5,L152))</f>
        <v>45778</v>
      </c>
      <c r="M153" s="102">
        <f>IF(B153=1,'Date masura OD'!$J$5,IF(B153=19,'Date masura OD'!$AL$5,M152))</f>
        <v>45808</v>
      </c>
      <c r="N153" s="104">
        <f>VLOOKUP(E153,verificare!$AR$4:$CC$33,B153+2,FALSE)</f>
        <v>376703</v>
      </c>
      <c r="O153" s="103">
        <f>HLOOKUP(VLOOKUP(E153,'Date SPV'!$B$4:$F$34,5,FALSE),'Preturi si tarife'!$C$2:$J$39,B153+2,FALSE)*10000</f>
        <v>32.9</v>
      </c>
      <c r="Q153" s="101" t="str">
        <f t="shared" si="13"/>
        <v>One-off</v>
      </c>
      <c r="R153" s="101" t="str">
        <f>VLOOKUP(K153,'Preturi si tarife'!$B$4:$K$39,10,FALSE)</f>
        <v>ICOENG0001</v>
      </c>
      <c r="T153" s="101" t="str">
        <f t="shared" si="14"/>
        <v>INV + 30</v>
      </c>
      <c r="V153" s="101" t="str">
        <f t="shared" si="15"/>
        <v>Active</v>
      </c>
      <c r="X153" s="101" t="str">
        <f t="shared" si="16"/>
        <v>One-off</v>
      </c>
      <c r="AC153" s="101" t="str">
        <f t="shared" si="21"/>
        <v>RON</v>
      </c>
      <c r="AD153" s="101">
        <f t="shared" si="22"/>
        <v>10000</v>
      </c>
    </row>
    <row r="154" spans="1:30">
      <c r="A154" s="101">
        <f t="shared" si="23"/>
        <v>5</v>
      </c>
      <c r="B154" s="101">
        <f t="shared" si="19"/>
        <v>9</v>
      </c>
      <c r="C154" s="101" t="str">
        <f t="shared" si="20"/>
        <v>T9</v>
      </c>
      <c r="D154" s="101" t="str">
        <f>IF(A154&lt;&gt;A153,VLOOKUP(A154,'Date SPV'!$A:$D,4,FALSE),D153)</f>
        <v>Satu Mare Shopping City SRL</v>
      </c>
      <c r="E154" s="101" t="str">
        <f>VLOOKUP(A154,'Date SPV'!$A$4:$B$34,2,FALSE)</f>
        <v>RSMS</v>
      </c>
      <c r="H154" s="105" t="s">
        <v>894</v>
      </c>
      <c r="K154" s="101" t="str">
        <f>VLOOKUP(C154,'Preturi si tarife'!$A$4:$B$39,2,FALSE)</f>
        <v>Contributie pentru cogenerare</v>
      </c>
      <c r="L154" s="102">
        <f>IF(B154=1,'Date masura OD'!$I$5,IF(B154=19,'Date masura OD'!$AK$5,L153))</f>
        <v>45778</v>
      </c>
      <c r="M154" s="102">
        <f>IF(B154=1,'Date masura OD'!$J$5,IF(B154=19,'Date masura OD'!$AL$5,M153))</f>
        <v>45808</v>
      </c>
      <c r="N154" s="104">
        <f>VLOOKUP(E154,verificare!$AR$4:$CC$33,B154+2,FALSE)</f>
        <v>376703</v>
      </c>
      <c r="O154" s="103">
        <f>HLOOKUP(VLOOKUP(E154,'Date SPV'!$B$4:$F$34,5,FALSE),'Preturi si tarife'!$C$2:$J$39,B154+2,FALSE)*10000</f>
        <v>35</v>
      </c>
      <c r="Q154" s="101" t="str">
        <f t="shared" si="13"/>
        <v>One-off</v>
      </c>
      <c r="R154" s="101" t="str">
        <f>VLOOKUP(K154,'Preturi si tarife'!$B$4:$K$39,10,FALSE)</f>
        <v>ICOENG0001</v>
      </c>
      <c r="T154" s="101" t="str">
        <f t="shared" si="14"/>
        <v>INV + 30</v>
      </c>
      <c r="V154" s="101" t="str">
        <f t="shared" si="15"/>
        <v>Active</v>
      </c>
      <c r="X154" s="101" t="str">
        <f t="shared" si="16"/>
        <v>One-off</v>
      </c>
      <c r="AC154" s="101" t="str">
        <f t="shared" si="21"/>
        <v>RON</v>
      </c>
      <c r="AD154" s="101">
        <f t="shared" si="22"/>
        <v>10000</v>
      </c>
    </row>
    <row r="155" spans="1:30">
      <c r="A155" s="101">
        <f t="shared" si="23"/>
        <v>5</v>
      </c>
      <c r="B155" s="101">
        <f t="shared" si="19"/>
        <v>10</v>
      </c>
      <c r="C155" s="101" t="str">
        <f t="shared" si="20"/>
        <v>T10</v>
      </c>
      <c r="D155" s="101" t="str">
        <f>IF(A155&lt;&gt;A154,VLOOKUP(A155,'Date SPV'!$A:$D,4,FALSE),D154)</f>
        <v>Satu Mare Shopping City SRL</v>
      </c>
      <c r="E155" s="101" t="str">
        <f>VLOOKUP(A155,'Date SPV'!$A$4:$B$34,2,FALSE)</f>
        <v>RSMS</v>
      </c>
      <c r="H155" s="105" t="s">
        <v>894</v>
      </c>
      <c r="K155" s="101" t="str">
        <f>VLOOKUP(C155,'Preturi si tarife'!$A$4:$B$39,2,FALSE)</f>
        <v xml:space="preserve">Certificate verzi </v>
      </c>
      <c r="L155" s="102">
        <f>IF(B155=1,'Date masura OD'!$I$5,IF(B155=19,'Date masura OD'!$AK$5,L154))</f>
        <v>45778</v>
      </c>
      <c r="M155" s="102">
        <f>IF(B155=1,'Date masura OD'!$J$5,IF(B155=19,'Date masura OD'!$AL$5,M154))</f>
        <v>45808</v>
      </c>
      <c r="N155" s="104">
        <f>VLOOKUP(E155,verificare!$AR$4:$CC$33,B155+2,FALSE)</f>
        <v>376703</v>
      </c>
      <c r="O155" s="103">
        <f>HLOOKUP(VLOOKUP(E155,'Date SPV'!$B$4:$F$34,5,FALSE),'Preturi si tarife'!$C$2:$J$39,B155+2,FALSE)*10000</f>
        <v>725.41599999999994</v>
      </c>
      <c r="Q155" s="101" t="str">
        <f t="shared" si="13"/>
        <v>One-off</v>
      </c>
      <c r="R155" s="101" t="str">
        <f>VLOOKUP(K155,'Preturi si tarife'!$B$4:$K$39,10,FALSE)</f>
        <v>ICOENG0001</v>
      </c>
      <c r="T155" s="101" t="str">
        <f t="shared" si="14"/>
        <v>INV + 30</v>
      </c>
      <c r="V155" s="101" t="str">
        <f t="shared" si="15"/>
        <v>Active</v>
      </c>
      <c r="X155" s="101" t="str">
        <f t="shared" si="16"/>
        <v>One-off</v>
      </c>
      <c r="AC155" s="101" t="str">
        <f t="shared" si="21"/>
        <v>RON</v>
      </c>
      <c r="AD155" s="101">
        <f t="shared" si="22"/>
        <v>10000</v>
      </c>
    </row>
    <row r="156" spans="1:30">
      <c r="A156" s="101">
        <f t="shared" si="23"/>
        <v>5</v>
      </c>
      <c r="B156" s="101">
        <f t="shared" si="19"/>
        <v>11</v>
      </c>
      <c r="C156" s="101" t="str">
        <f t="shared" si="20"/>
        <v>T11</v>
      </c>
      <c r="D156" s="101" t="str">
        <f>IF(A156&lt;&gt;A155,VLOOKUP(A156,'Date SPV'!$A:$D,4,FALSE),D155)</f>
        <v>Satu Mare Shopping City SRL</v>
      </c>
      <c r="E156" s="101" t="str">
        <f>VLOOKUP(A156,'Date SPV'!$A$4:$B$34,2,FALSE)</f>
        <v>RSMS</v>
      </c>
      <c r="H156" s="105" t="s">
        <v>894</v>
      </c>
      <c r="K156" s="101" t="str">
        <f>VLOOKUP(C156,'Preturi si tarife'!$A$4:$B$39,2,FALSE)</f>
        <v>Contributie CFD</v>
      </c>
      <c r="L156" s="102">
        <f>IF(B156=1,'Date masura OD'!$I$5,IF(B156=19,'Date masura OD'!$AK$5,L155))</f>
        <v>45778</v>
      </c>
      <c r="M156" s="102">
        <f>IF(B156=1,'Date masura OD'!$J$5,IF(B156=19,'Date masura OD'!$AL$5,M155))</f>
        <v>45808</v>
      </c>
      <c r="N156" s="104">
        <f>VLOOKUP(E156,verificare!$AR$4:$CC$33,B156+2,FALSE)</f>
        <v>376703</v>
      </c>
      <c r="O156" s="103">
        <f>HLOOKUP(VLOOKUP(E156,'Date SPV'!$B$4:$F$34,5,FALSE),'Preturi si tarife'!$C$2:$J$39,B156+2,FALSE)*10000</f>
        <v>2.06</v>
      </c>
      <c r="Q156" s="101" t="str">
        <f t="shared" si="13"/>
        <v>One-off</v>
      </c>
      <c r="R156" s="101" t="str">
        <f>VLOOKUP(K156,'Preturi si tarife'!$B$4:$K$39,10,FALSE)</f>
        <v>ICOENG0001</v>
      </c>
      <c r="T156" s="101" t="str">
        <f t="shared" si="14"/>
        <v>INV + 30</v>
      </c>
      <c r="V156" s="101" t="str">
        <f t="shared" si="15"/>
        <v>Active</v>
      </c>
      <c r="X156" s="101" t="str">
        <f t="shared" si="16"/>
        <v>One-off</v>
      </c>
      <c r="AC156" s="101" t="str">
        <f t="shared" si="21"/>
        <v>RON</v>
      </c>
      <c r="AD156" s="101">
        <f t="shared" si="22"/>
        <v>10000</v>
      </c>
    </row>
    <row r="157" spans="1:30">
      <c r="A157" s="101">
        <f t="shared" si="23"/>
        <v>5</v>
      </c>
      <c r="B157" s="101">
        <f t="shared" si="19"/>
        <v>12</v>
      </c>
      <c r="C157" s="101" t="str">
        <f t="shared" si="20"/>
        <v>T12</v>
      </c>
      <c r="D157" s="101" t="str">
        <f>IF(A157&lt;&gt;A156,VLOOKUP(A157,'Date SPV'!$A:$D,4,FALSE),D156)</f>
        <v>Satu Mare Shopping City SRL</v>
      </c>
      <c r="E157" s="101" t="str">
        <f>VLOOKUP(A157,'Date SPV'!$A$4:$B$34,2,FALSE)</f>
        <v>RSMS</v>
      </c>
      <c r="H157" s="105" t="s">
        <v>894</v>
      </c>
      <c r="K157" s="101" t="str">
        <f>VLOOKUP(C157,'Preturi si tarife'!$A$4:$B$39,2,FALSE)</f>
        <v>Acciza</v>
      </c>
      <c r="L157" s="102">
        <f>IF(B157=1,'Date masura OD'!$I$5,IF(B157=19,'Date masura OD'!$AK$5,L156))</f>
        <v>45778</v>
      </c>
      <c r="M157" s="102">
        <f>IF(B157=1,'Date masura OD'!$J$5,IF(B157=19,'Date masura OD'!$AL$5,M156))</f>
        <v>45808</v>
      </c>
      <c r="N157" s="104">
        <f>VLOOKUP(E157,verificare!$AR$4:$CC$33,B157+2,FALSE)</f>
        <v>376703</v>
      </c>
      <c r="O157" s="103">
        <f>HLOOKUP(VLOOKUP(E157,'Date SPV'!$B$4:$F$34,5,FALSE),'Preturi si tarife'!$C$2:$J$39,B157+2,FALSE)*10000</f>
        <v>0</v>
      </c>
      <c r="Q157" s="101" t="str">
        <f t="shared" si="13"/>
        <v>One-off</v>
      </c>
      <c r="R157" s="101" t="str">
        <f>VLOOKUP(K157,'Preturi si tarife'!$B$4:$K$39,10,FALSE)</f>
        <v>ICOENG0001</v>
      </c>
      <c r="T157" s="101" t="str">
        <f t="shared" si="14"/>
        <v>INV + 30</v>
      </c>
      <c r="V157" s="101" t="str">
        <f t="shared" si="15"/>
        <v>Active</v>
      </c>
      <c r="X157" s="101" t="str">
        <f t="shared" si="16"/>
        <v>One-off</v>
      </c>
      <c r="AC157" s="101" t="str">
        <f t="shared" si="21"/>
        <v>RON</v>
      </c>
      <c r="AD157" s="101">
        <f t="shared" si="22"/>
        <v>10000</v>
      </c>
    </row>
    <row r="158" spans="1:30">
      <c r="A158" s="101">
        <f t="shared" si="23"/>
        <v>5</v>
      </c>
      <c r="B158" s="101">
        <f t="shared" si="19"/>
        <v>13</v>
      </c>
      <c r="C158" s="101" t="str">
        <f t="shared" si="20"/>
        <v>T13</v>
      </c>
      <c r="D158" s="101" t="str">
        <f>IF(A158&lt;&gt;A157,VLOOKUP(A158,'Date SPV'!$A:$D,4,FALSE),D157)</f>
        <v>Satu Mare Shopping City SRL</v>
      </c>
      <c r="E158" s="101" t="str">
        <f>VLOOKUP(A158,'Date SPV'!$A$4:$B$34,2,FALSE)</f>
        <v>RSMS</v>
      </c>
      <c r="H158" s="105" t="s">
        <v>894</v>
      </c>
      <c r="K158" s="101" t="str">
        <f>VLOOKUP(C158,'Preturi si tarife'!$A$4:$B$39,2,FALSE)</f>
        <v>Tarif distributie SDI MT</v>
      </c>
      <c r="L158" s="102">
        <f>IF(B158=1,'Date masura OD'!$I$5,IF(B158=19,'Date masura OD'!$AK$5,L157))</f>
        <v>45778</v>
      </c>
      <c r="M158" s="102">
        <f>IF(B158=1,'Date masura OD'!$J$5,IF(B158=19,'Date masura OD'!$AL$5,M157))</f>
        <v>45808</v>
      </c>
      <c r="N158" s="104">
        <f>VLOOKUP(E158,verificare!$AR$4:$CC$33,B158+2,FALSE)</f>
        <v>376703</v>
      </c>
      <c r="O158" s="103">
        <f>HLOOKUP(VLOOKUP(E158,'Date SPV'!$B$4:$F$34,5,FALSE),'Preturi si tarife'!$C$2:$J$39,B158+2,FALSE)*10000</f>
        <v>149</v>
      </c>
      <c r="Q158" s="101" t="str">
        <f t="shared" si="13"/>
        <v>One-off</v>
      </c>
      <c r="R158" s="101" t="str">
        <f>VLOOKUP(K158,'Preturi si tarife'!$B$4:$K$39,10,FALSE)</f>
        <v>ICOENG0010</v>
      </c>
      <c r="T158" s="101" t="str">
        <f t="shared" si="14"/>
        <v>INV + 30</v>
      </c>
      <c r="V158" s="101" t="str">
        <f t="shared" si="15"/>
        <v>Active</v>
      </c>
      <c r="X158" s="101" t="str">
        <f t="shared" si="16"/>
        <v>One-off</v>
      </c>
      <c r="AC158" s="101" t="str">
        <f t="shared" si="21"/>
        <v>RON</v>
      </c>
      <c r="AD158" s="101">
        <f t="shared" si="22"/>
        <v>10000</v>
      </c>
    </row>
    <row r="159" spans="1:30">
      <c r="A159" s="101">
        <f t="shared" si="23"/>
        <v>5</v>
      </c>
      <c r="B159" s="101">
        <f t="shared" si="19"/>
        <v>14</v>
      </c>
      <c r="C159" s="101" t="str">
        <f t="shared" si="20"/>
        <v>T14</v>
      </c>
      <c r="D159" s="101" t="str">
        <f>IF(A159&lt;&gt;A158,VLOOKUP(A159,'Date SPV'!$A:$D,4,FALSE),D158)</f>
        <v>Satu Mare Shopping City SRL</v>
      </c>
      <c r="E159" s="101" t="str">
        <f>VLOOKUP(A159,'Date SPV'!$A$4:$B$34,2,FALSE)</f>
        <v>RSMS</v>
      </c>
      <c r="H159" s="105" t="s">
        <v>894</v>
      </c>
      <c r="K159" s="101" t="str">
        <f>VLOOKUP(C159,'Preturi si tarife'!$A$4:$B$39,2,FALSE)</f>
        <v>Tarif distributie SDI JT</v>
      </c>
      <c r="L159" s="102">
        <f>IF(B159=1,'Date masura OD'!$I$5,IF(B159=19,'Date masura OD'!$AK$5,L158))</f>
        <v>45778</v>
      </c>
      <c r="M159" s="102">
        <f>IF(B159=1,'Date masura OD'!$J$5,IF(B159=19,'Date masura OD'!$AL$5,M158))</f>
        <v>45808</v>
      </c>
      <c r="N159" s="104">
        <f>VLOOKUP(E159,verificare!$AR$4:$CC$33,B159+2,FALSE)</f>
        <v>376703</v>
      </c>
      <c r="O159" s="103">
        <f>HLOOKUP(VLOOKUP(E159,'Date SPV'!$B$4:$F$34,5,FALSE),'Preturi si tarife'!$C$2:$J$39,B159+2,FALSE)*10000</f>
        <v>950</v>
      </c>
      <c r="Q159" s="101" t="str">
        <f t="shared" si="13"/>
        <v>One-off</v>
      </c>
      <c r="R159" s="101" t="str">
        <f>VLOOKUP(K159,'Preturi si tarife'!$B$4:$K$39,10,FALSE)</f>
        <v>ICOENG0010</v>
      </c>
      <c r="T159" s="101" t="str">
        <f t="shared" si="14"/>
        <v>INV + 30</v>
      </c>
      <c r="V159" s="101" t="str">
        <f t="shared" si="15"/>
        <v>Active</v>
      </c>
      <c r="X159" s="101" t="str">
        <f t="shared" si="16"/>
        <v>One-off</v>
      </c>
      <c r="AC159" s="101" t="str">
        <f t="shared" si="21"/>
        <v>RON</v>
      </c>
      <c r="AD159" s="101">
        <f t="shared" si="22"/>
        <v>10000</v>
      </c>
    </row>
    <row r="160" spans="1:30">
      <c r="A160" s="101">
        <f t="shared" si="23"/>
        <v>5</v>
      </c>
      <c r="B160" s="101">
        <f t="shared" si="19"/>
        <v>15</v>
      </c>
      <c r="C160" s="101" t="str">
        <f t="shared" si="20"/>
        <v>T15</v>
      </c>
      <c r="D160" s="101" t="str">
        <f>IF(A160&lt;&gt;A159,VLOOKUP(A160,'Date SPV'!$A:$D,4,FALSE),D159)</f>
        <v>Satu Mare Shopping City SRL</v>
      </c>
      <c r="E160" s="101" t="str">
        <f>VLOOKUP(A160,'Date SPV'!$A$4:$B$34,2,FALSE)</f>
        <v>RSMS</v>
      </c>
      <c r="H160" s="105" t="s">
        <v>894</v>
      </c>
      <c r="K160" s="101" t="str">
        <f>VLOOKUP(C160,'Preturi si tarife'!$A$4:$B$39,2,FALSE)</f>
        <v>Energie activa 2</v>
      </c>
      <c r="L160" s="102">
        <f>IF(B160=1,'Date masura OD'!$I$5,IF(B160=19,'Date masura OD'!$AK$5,L159))</f>
        <v>45778</v>
      </c>
      <c r="M160" s="102">
        <f>IF(B160=1,'Date masura OD'!$J$5,IF(B160=19,'Date masura OD'!$AL$5,M159))</f>
        <v>45808</v>
      </c>
      <c r="N160" s="104">
        <f>VLOOKUP(E160,verificare!$AR$4:$CC$33,B160+2,FALSE)</f>
        <v>39479</v>
      </c>
      <c r="O160" s="103">
        <f>HLOOKUP(VLOOKUP(E160,'Date SPV'!$B$4:$F$34,5,FALSE),'Preturi si tarife'!$C$2:$J$39,B160+2,FALSE)*10000</f>
        <v>9438.0760000000009</v>
      </c>
      <c r="Q160" s="101" t="str">
        <f t="shared" si="13"/>
        <v>One-off</v>
      </c>
      <c r="R160" s="101" t="str">
        <f>VLOOKUP(K160,'Preturi si tarife'!$B$4:$K$39,10,FALSE)</f>
        <v>ICOENG0012</v>
      </c>
      <c r="T160" s="101" t="str">
        <f t="shared" si="14"/>
        <v>INV + 30</v>
      </c>
      <c r="V160" s="101" t="str">
        <f t="shared" si="15"/>
        <v>Active</v>
      </c>
      <c r="X160" s="101" t="str">
        <f t="shared" si="16"/>
        <v>One-off</v>
      </c>
      <c r="AC160" s="101" t="str">
        <f t="shared" si="21"/>
        <v>RON</v>
      </c>
      <c r="AD160" s="101">
        <f t="shared" si="22"/>
        <v>10000</v>
      </c>
    </row>
    <row r="161" spans="1:30">
      <c r="A161" s="101">
        <f t="shared" si="23"/>
        <v>5</v>
      </c>
      <c r="B161" s="101">
        <f t="shared" si="19"/>
        <v>16</v>
      </c>
      <c r="C161" s="101" t="str">
        <f t="shared" si="20"/>
        <v>T16</v>
      </c>
      <c r="D161" s="101" t="str">
        <f>IF(A161&lt;&gt;A160,VLOOKUP(A161,'Date SPV'!$A:$D,4,FALSE),D160)</f>
        <v>Satu Mare Shopping City SRL</v>
      </c>
      <c r="E161" s="101" t="str">
        <f>VLOOKUP(A161,'Date SPV'!$A$4:$B$34,2,FALSE)</f>
        <v>RSMS</v>
      </c>
      <c r="H161" s="105" t="s">
        <v>894</v>
      </c>
      <c r="K161" s="101" t="str">
        <f>VLOOKUP(C161,'Preturi si tarife'!$A$4:$B$39,2,FALSE)</f>
        <v>Energie activa 3</v>
      </c>
      <c r="L161" s="102">
        <f>IF(B161=1,'Date masura OD'!$I$5,IF(B161=19,'Date masura OD'!$AK$5,L160))</f>
        <v>45778</v>
      </c>
      <c r="M161" s="102">
        <f>IF(B161=1,'Date masura OD'!$J$5,IF(B161=19,'Date masura OD'!$AL$5,M160))</f>
        <v>45808</v>
      </c>
      <c r="N161" s="104">
        <f>VLOOKUP(E161,verificare!$AR$4:$CC$33,B161+2,FALSE)</f>
        <v>0</v>
      </c>
      <c r="O161" s="103">
        <f>HLOOKUP(VLOOKUP(E161,'Date SPV'!$B$4:$F$34,5,FALSE),'Preturi si tarife'!$C$2:$J$39,B161+2,FALSE)*10000</f>
        <v>8339.0760000000009</v>
      </c>
      <c r="Q161" s="101" t="str">
        <f t="shared" si="13"/>
        <v>One-off</v>
      </c>
      <c r="R161" s="101" t="str">
        <f>VLOOKUP(K161,'Preturi si tarife'!$B$4:$K$39,10,FALSE)</f>
        <v>ICOENG0012</v>
      </c>
      <c r="T161" s="101" t="str">
        <f t="shared" si="14"/>
        <v>INV + 30</v>
      </c>
      <c r="V161" s="101" t="str">
        <f t="shared" si="15"/>
        <v>Active</v>
      </c>
      <c r="X161" s="101" t="str">
        <f t="shared" si="16"/>
        <v>One-off</v>
      </c>
      <c r="AC161" s="101" t="str">
        <f t="shared" si="21"/>
        <v>RON</v>
      </c>
      <c r="AD161" s="101">
        <f t="shared" si="22"/>
        <v>10000</v>
      </c>
    </row>
    <row r="162" spans="1:30">
      <c r="A162" s="101">
        <f t="shared" si="23"/>
        <v>5</v>
      </c>
      <c r="B162" s="101">
        <f t="shared" si="19"/>
        <v>17</v>
      </c>
      <c r="C162" s="101" t="str">
        <f t="shared" si="20"/>
        <v>T17</v>
      </c>
      <c r="D162" s="101" t="str">
        <f>IF(A162&lt;&gt;A161,VLOOKUP(A162,'Date SPV'!$A:$D,4,FALSE),D161)</f>
        <v>Satu Mare Shopping City SRL</v>
      </c>
      <c r="E162" s="101" t="str">
        <f>VLOOKUP(A162,'Date SPV'!$A$4:$B$34,2,FALSE)</f>
        <v>RSMS</v>
      </c>
      <c r="H162" s="105" t="s">
        <v>894</v>
      </c>
      <c r="K162" s="101" t="str">
        <f>VLOOKUP(C162,'Preturi si tarife'!$A$4:$B$39,2,FALSE)</f>
        <v>Tarif distributie SDI MT_</v>
      </c>
      <c r="L162" s="102">
        <f>IF(B162=1,'Date masura OD'!$I$5,IF(B162=19,'Date masura OD'!$AK$5,L161))</f>
        <v>45778</v>
      </c>
      <c r="M162" s="102">
        <f>IF(B162=1,'Date masura OD'!$J$5,IF(B162=19,'Date masura OD'!$AL$5,M161))</f>
        <v>45808</v>
      </c>
      <c r="N162" s="104">
        <f>VLOOKUP(E162,verificare!$AR$4:$CC$33,B162+2,FALSE)</f>
        <v>0</v>
      </c>
      <c r="O162" s="103">
        <f>HLOOKUP(VLOOKUP(E162,'Date SPV'!$B$4:$F$34,5,FALSE),'Preturi si tarife'!$C$2:$J$39,B162+2,FALSE)*10000</f>
        <v>149</v>
      </c>
      <c r="Q162" s="101" t="str">
        <f t="shared" si="13"/>
        <v>One-off</v>
      </c>
      <c r="R162" s="101" t="str">
        <f>VLOOKUP(K162,'Preturi si tarife'!$B$4:$K$39,10,FALSE)</f>
        <v>ICOENG0010</v>
      </c>
      <c r="T162" s="101" t="str">
        <f t="shared" si="14"/>
        <v>INV + 30</v>
      </c>
      <c r="V162" s="101" t="str">
        <f t="shared" si="15"/>
        <v>Active</v>
      </c>
      <c r="X162" s="101" t="str">
        <f t="shared" si="16"/>
        <v>One-off</v>
      </c>
      <c r="AC162" s="101" t="str">
        <f t="shared" si="21"/>
        <v>RON</v>
      </c>
      <c r="AD162" s="101">
        <f t="shared" si="22"/>
        <v>10000</v>
      </c>
    </row>
    <row r="163" spans="1:30">
      <c r="A163" s="101">
        <f t="shared" si="23"/>
        <v>5</v>
      </c>
      <c r="B163" s="101">
        <f t="shared" si="19"/>
        <v>18</v>
      </c>
      <c r="C163" s="101" t="str">
        <f t="shared" si="20"/>
        <v>T18</v>
      </c>
      <c r="D163" s="101" t="str">
        <f>IF(A163&lt;&gt;A162,VLOOKUP(A163,'Date SPV'!$A:$D,4,FALSE),D162)</f>
        <v>Satu Mare Shopping City SRL</v>
      </c>
      <c r="E163" s="101" t="str">
        <f>VLOOKUP(A163,'Date SPV'!$A$4:$B$34,2,FALSE)</f>
        <v>RSMS</v>
      </c>
      <c r="H163" s="105" t="s">
        <v>894</v>
      </c>
      <c r="K163" s="101" t="str">
        <f>VLOOKUP(C163,'Preturi si tarife'!$A$4:$B$39,2,FALSE)</f>
        <v>Tarif distributie SDI JT_</v>
      </c>
      <c r="L163" s="102">
        <f>IF(B163=1,'Date masura OD'!$I$5,IF(B163=19,'Date masura OD'!$AK$5,L162))</f>
        <v>45778</v>
      </c>
      <c r="M163" s="102">
        <f>IF(B163=1,'Date masura OD'!$J$5,IF(B163=19,'Date masura OD'!$AL$5,M162))</f>
        <v>45808</v>
      </c>
      <c r="N163" s="104">
        <f>VLOOKUP(E163,verificare!$AR$4:$CC$33,B163+2,FALSE)</f>
        <v>0</v>
      </c>
      <c r="O163" s="103">
        <f>HLOOKUP(VLOOKUP(E163,'Date SPV'!$B$4:$F$34,5,FALSE),'Preturi si tarife'!$C$2:$J$39,B163+2,FALSE)*10000</f>
        <v>950</v>
      </c>
      <c r="Q163" s="101" t="str">
        <f t="shared" si="13"/>
        <v>One-off</v>
      </c>
      <c r="R163" s="101" t="str">
        <f>VLOOKUP(K163,'Preturi si tarife'!$B$4:$K$39,10,FALSE)</f>
        <v>ICOENG0010</v>
      </c>
      <c r="T163" s="101" t="str">
        <f t="shared" si="14"/>
        <v>INV + 30</v>
      </c>
      <c r="V163" s="101" t="str">
        <f t="shared" si="15"/>
        <v>Active</v>
      </c>
      <c r="X163" s="101" t="str">
        <f t="shared" si="16"/>
        <v>One-off</v>
      </c>
      <c r="AC163" s="101" t="str">
        <f t="shared" si="21"/>
        <v>RON</v>
      </c>
      <c r="AD163" s="101">
        <f t="shared" si="22"/>
        <v>10000</v>
      </c>
    </row>
    <row r="164" spans="1:30">
      <c r="A164" s="101">
        <f t="shared" si="23"/>
        <v>5</v>
      </c>
      <c r="B164" s="101">
        <f t="shared" si="19"/>
        <v>19</v>
      </c>
      <c r="C164" s="101" t="str">
        <f t="shared" si="20"/>
        <v>T19</v>
      </c>
      <c r="D164" s="101" t="str">
        <f>IF(A164&lt;&gt;A163,VLOOKUP(A164,'Date SPV'!$A:$D,4,FALSE),D163)</f>
        <v>Satu Mare Shopping City SRL</v>
      </c>
      <c r="E164" s="101" t="str">
        <f>VLOOKUP(A164,'Date SPV'!$A$4:$B$34,2,FALSE)</f>
        <v>RSMS</v>
      </c>
      <c r="H164" s="105" t="s">
        <v>894</v>
      </c>
      <c r="K164" s="101" t="str">
        <f>VLOOKUP(C164,'Preturi si tarife'!$A$4:$B$39,2,FALSE)</f>
        <v>Regularizare Energie activa 1</v>
      </c>
      <c r="L164" s="102">
        <f>IF(B164=1,'Date masura OD'!$I$5,IF(B164=19,'Date masura OD'!$AK$5,L163))</f>
        <v>45748</v>
      </c>
      <c r="M164" s="102">
        <f>IF(B164=1,'Date masura OD'!$J$5,IF(B164=19,'Date masura OD'!$AL$5,M163))</f>
        <v>45777</v>
      </c>
      <c r="N164" s="104">
        <f>VLOOKUP(E164,verificare!$AR$4:$CC$33,B164+2,FALSE)</f>
        <v>0</v>
      </c>
      <c r="O164" s="103">
        <f>HLOOKUP(VLOOKUP(E164,'Date SPV'!$B$4:$F$34,5,FALSE),'Preturi si tarife'!$C$2:$J$39,B164+2,FALSE)*10000</f>
        <v>5950</v>
      </c>
      <c r="Q164" s="101" t="str">
        <f t="shared" si="13"/>
        <v>One-off</v>
      </c>
      <c r="R164" s="101" t="str">
        <f>VLOOKUP(K164,'Preturi si tarife'!$B$4:$K$39,10,FALSE)</f>
        <v>ICOENG0001</v>
      </c>
      <c r="T164" s="101" t="str">
        <f t="shared" si="14"/>
        <v>INV + 30</v>
      </c>
      <c r="V164" s="101" t="str">
        <f t="shared" si="15"/>
        <v>Active</v>
      </c>
      <c r="X164" s="101" t="str">
        <f t="shared" si="16"/>
        <v>One-off</v>
      </c>
      <c r="AC164" s="101" t="str">
        <f t="shared" si="21"/>
        <v>RON</v>
      </c>
      <c r="AD164" s="101">
        <f t="shared" si="22"/>
        <v>10000</v>
      </c>
    </row>
    <row r="165" spans="1:30">
      <c r="A165" s="101">
        <f t="shared" si="23"/>
        <v>5</v>
      </c>
      <c r="B165" s="101">
        <f t="shared" si="19"/>
        <v>20</v>
      </c>
      <c r="C165" s="101" t="str">
        <f t="shared" si="20"/>
        <v>T20</v>
      </c>
      <c r="D165" s="101" t="str">
        <f>IF(A165&lt;&gt;A164,VLOOKUP(A165,'Date SPV'!$A:$D,4,FALSE),D164)</f>
        <v>Satu Mare Shopping City SRL</v>
      </c>
      <c r="E165" s="101" t="str">
        <f>VLOOKUP(A165,'Date SPV'!$A$4:$B$34,2,FALSE)</f>
        <v>RSMS</v>
      </c>
      <c r="H165" s="105" t="s">
        <v>894</v>
      </c>
      <c r="K165" s="101" t="str">
        <f>VLOOKUP(C165,'Preturi si tarife'!$A$4:$B$39,2,FALSE)</f>
        <v>Regularizare Energie reactiva  1X</v>
      </c>
      <c r="L165" s="102">
        <f>IF(B165=1,'Date masura OD'!$I$5,IF(B165=19,'Date masura OD'!$AK$5,L164))</f>
        <v>45748</v>
      </c>
      <c r="M165" s="102">
        <f>IF(B165=1,'Date masura OD'!$J$5,IF(B165=19,'Date masura OD'!$AL$5,M164))</f>
        <v>45777</v>
      </c>
      <c r="N165" s="104">
        <f>VLOOKUP(E165,verificare!$AR$4:$CC$33,B165+2,FALSE)</f>
        <v>0</v>
      </c>
      <c r="O165" s="103">
        <f>HLOOKUP(VLOOKUP(E165,'Date SPV'!$B$4:$F$34,5,FALSE),'Preturi si tarife'!$C$2:$J$39,B165+2,FALSE)*10000</f>
        <v>1465</v>
      </c>
      <c r="Q165" s="101" t="str">
        <f t="shared" si="13"/>
        <v>One-off</v>
      </c>
      <c r="R165" s="101" t="str">
        <f>VLOOKUP(K165,'Preturi si tarife'!$B$4:$K$39,10,FALSE)</f>
        <v>ICOENG0001</v>
      </c>
      <c r="T165" s="101" t="str">
        <f t="shared" si="14"/>
        <v>INV + 30</v>
      </c>
      <c r="V165" s="101" t="str">
        <f t="shared" si="15"/>
        <v>Active</v>
      </c>
      <c r="X165" s="101" t="str">
        <f t="shared" si="16"/>
        <v>One-off</v>
      </c>
      <c r="AC165" s="101" t="str">
        <f t="shared" si="21"/>
        <v>RON</v>
      </c>
      <c r="AD165" s="101">
        <f t="shared" si="22"/>
        <v>10000</v>
      </c>
    </row>
    <row r="166" spans="1:30">
      <c r="A166" s="101">
        <f t="shared" si="23"/>
        <v>5</v>
      </c>
      <c r="B166" s="101">
        <f t="shared" si="19"/>
        <v>21</v>
      </c>
      <c r="C166" s="101" t="str">
        <f t="shared" si="20"/>
        <v>T21</v>
      </c>
      <c r="D166" s="101" t="str">
        <f>IF(A166&lt;&gt;A165,VLOOKUP(A166,'Date SPV'!$A:$D,4,FALSE),D165)</f>
        <v>Satu Mare Shopping City SRL</v>
      </c>
      <c r="E166" s="101" t="str">
        <f>VLOOKUP(A166,'Date SPV'!$A$4:$B$34,2,FALSE)</f>
        <v>RSMS</v>
      </c>
      <c r="H166" s="105" t="s">
        <v>894</v>
      </c>
      <c r="K166" s="101" t="str">
        <f>VLOOKUP(C166,'Preturi si tarife'!$A$4:$B$39,2,FALSE)</f>
        <v>Regularizare Energie reactiva  3X</v>
      </c>
      <c r="L166" s="102">
        <f>IF(B166=1,'Date masura OD'!$I$5,IF(B166=19,'Date masura OD'!$AK$5,L165))</f>
        <v>45748</v>
      </c>
      <c r="M166" s="102">
        <f>IF(B166=1,'Date masura OD'!$J$5,IF(B166=19,'Date masura OD'!$AL$5,M165))</f>
        <v>45777</v>
      </c>
      <c r="N166" s="104">
        <f>VLOOKUP(E166,verificare!$AR$4:$CC$33,B166+2,FALSE)</f>
        <v>0</v>
      </c>
      <c r="O166" s="103">
        <f>HLOOKUP(VLOOKUP(E166,'Date SPV'!$B$4:$F$34,5,FALSE),'Preturi si tarife'!$C$2:$J$39,B166+2,FALSE)*10000</f>
        <v>4395</v>
      </c>
      <c r="Q166" s="101" t="str">
        <f t="shared" si="13"/>
        <v>One-off</v>
      </c>
      <c r="R166" s="101" t="str">
        <f>VLOOKUP(K166,'Preturi si tarife'!$B$4:$K$39,10,FALSE)</f>
        <v>ICOENG0001</v>
      </c>
      <c r="T166" s="101" t="str">
        <f t="shared" si="14"/>
        <v>INV + 30</v>
      </c>
      <c r="V166" s="101" t="str">
        <f t="shared" si="15"/>
        <v>Active</v>
      </c>
      <c r="X166" s="101" t="str">
        <f t="shared" si="16"/>
        <v>One-off</v>
      </c>
      <c r="AC166" s="101" t="str">
        <f t="shared" si="21"/>
        <v>RON</v>
      </c>
      <c r="AD166" s="101">
        <f t="shared" si="22"/>
        <v>10000</v>
      </c>
    </row>
    <row r="167" spans="1:30">
      <c r="A167" s="101">
        <f t="shared" si="23"/>
        <v>5</v>
      </c>
      <c r="B167" s="101">
        <f t="shared" si="19"/>
        <v>22</v>
      </c>
      <c r="C167" s="101" t="str">
        <f t="shared" si="20"/>
        <v>T22</v>
      </c>
      <c r="D167" s="101" t="str">
        <f>IF(A167&lt;&gt;A166,VLOOKUP(A167,'Date SPV'!$A:$D,4,FALSE),D166)</f>
        <v>Satu Mare Shopping City SRL</v>
      </c>
      <c r="E167" s="101" t="str">
        <f>VLOOKUP(A167,'Date SPV'!$A$4:$B$34,2,FALSE)</f>
        <v>RSMS</v>
      </c>
      <c r="H167" s="105" t="s">
        <v>894</v>
      </c>
      <c r="K167" s="101" t="str">
        <f>VLOOKUP(C167,'Preturi si tarife'!$A$4:$B$39,2,FALSE)</f>
        <v>Regularizare Tarife distributie en. El IT+MT</v>
      </c>
      <c r="L167" s="102">
        <f>IF(B167=1,'Date masura OD'!$I$5,IF(B167=19,'Date masura OD'!$AK$5,L166))</f>
        <v>45748</v>
      </c>
      <c r="M167" s="102">
        <f>IF(B167=1,'Date masura OD'!$J$5,IF(B167=19,'Date masura OD'!$AL$5,M166))</f>
        <v>45777</v>
      </c>
      <c r="N167" s="104">
        <f>VLOOKUP(E167,verificare!$AR$4:$CC$33,B167+2,FALSE)</f>
        <v>0</v>
      </c>
      <c r="O167" s="103">
        <f>HLOOKUP(VLOOKUP(E167,'Date SPV'!$B$4:$F$34,5,FALSE),'Preturi si tarife'!$C$2:$J$39,B167+2,FALSE)*10000</f>
        <v>1148.3</v>
      </c>
      <c r="Q167" s="101" t="str">
        <f t="shared" si="13"/>
        <v>One-off</v>
      </c>
      <c r="R167" s="101" t="str">
        <f>VLOOKUP(K167,'Preturi si tarife'!$B$4:$K$39,10,FALSE)</f>
        <v>ICOENG0001</v>
      </c>
      <c r="T167" s="101" t="str">
        <f t="shared" si="14"/>
        <v>INV + 30</v>
      </c>
      <c r="V167" s="101" t="str">
        <f t="shared" si="15"/>
        <v>Active</v>
      </c>
      <c r="X167" s="101" t="str">
        <f t="shared" si="16"/>
        <v>One-off</v>
      </c>
      <c r="AC167" s="101" t="str">
        <f t="shared" si="21"/>
        <v>RON</v>
      </c>
      <c r="AD167" s="101">
        <f t="shared" si="22"/>
        <v>10000</v>
      </c>
    </row>
    <row r="168" spans="1:30">
      <c r="A168" s="101">
        <f t="shared" si="23"/>
        <v>5</v>
      </c>
      <c r="B168" s="101">
        <f t="shared" si="19"/>
        <v>23</v>
      </c>
      <c r="C168" s="101" t="str">
        <f t="shared" si="20"/>
        <v>T23</v>
      </c>
      <c r="D168" s="101" t="str">
        <f>IF(A168&lt;&gt;A167,VLOOKUP(A168,'Date SPV'!$A:$D,4,FALSE),D167)</f>
        <v>Satu Mare Shopping City SRL</v>
      </c>
      <c r="E168" s="101" t="str">
        <f>VLOOKUP(A168,'Date SPV'!$A$4:$B$34,2,FALSE)</f>
        <v>RSMS</v>
      </c>
      <c r="H168" s="105" t="s">
        <v>894</v>
      </c>
      <c r="K168" s="101" t="str">
        <f>VLOOKUP(C168,'Preturi si tarife'!$A$4:$B$39,2,FALSE)</f>
        <v>Regularizare Tarife distributie en. El JT</v>
      </c>
      <c r="L168" s="102">
        <f>IF(B168=1,'Date masura OD'!$I$5,IF(B168=19,'Date masura OD'!$AK$5,L167))</f>
        <v>45748</v>
      </c>
      <c r="M168" s="102">
        <f>IF(B168=1,'Date masura OD'!$J$5,IF(B168=19,'Date masura OD'!$AL$5,M167))</f>
        <v>45777</v>
      </c>
      <c r="N168" s="104">
        <f>VLOOKUP(E168,verificare!$AR$4:$CC$33,B168+2,FALSE)</f>
        <v>0</v>
      </c>
      <c r="O168" s="103">
        <f>HLOOKUP(VLOOKUP(E168,'Date SPV'!$B$4:$F$34,5,FALSE),'Preturi si tarife'!$C$2:$J$39,B168+2,FALSE)*10000</f>
        <v>2361</v>
      </c>
      <c r="Q168" s="101" t="str">
        <f t="shared" si="13"/>
        <v>One-off</v>
      </c>
      <c r="R168" s="101" t="str">
        <f>VLOOKUP(K168,'Preturi si tarife'!$B$4:$K$39,10,FALSE)</f>
        <v>ICOENG0001</v>
      </c>
      <c r="T168" s="101" t="str">
        <f t="shared" si="14"/>
        <v>INV + 30</v>
      </c>
      <c r="V168" s="101" t="str">
        <f t="shared" si="15"/>
        <v>Active</v>
      </c>
      <c r="X168" s="101" t="str">
        <f t="shared" si="16"/>
        <v>One-off</v>
      </c>
      <c r="AC168" s="101" t="str">
        <f t="shared" si="21"/>
        <v>RON</v>
      </c>
      <c r="AD168" s="101">
        <f t="shared" si="22"/>
        <v>10000</v>
      </c>
    </row>
    <row r="169" spans="1:30">
      <c r="A169" s="101">
        <f t="shared" si="23"/>
        <v>5</v>
      </c>
      <c r="B169" s="101">
        <f t="shared" si="19"/>
        <v>24</v>
      </c>
      <c r="C169" s="101" t="str">
        <f t="shared" si="20"/>
        <v>T24</v>
      </c>
      <c r="D169" s="101" t="str">
        <f>IF(A169&lt;&gt;A168,VLOOKUP(A169,'Date SPV'!$A:$D,4,FALSE),D168)</f>
        <v>Satu Mare Shopping City SRL</v>
      </c>
      <c r="E169" s="101" t="str">
        <f>VLOOKUP(A169,'Date SPV'!$A$4:$B$34,2,FALSE)</f>
        <v>RSMS</v>
      </c>
      <c r="H169" s="105" t="s">
        <v>894</v>
      </c>
      <c r="K169" s="101" t="str">
        <f>VLOOKUP(C169,'Preturi si tarife'!$A$4:$B$39,2,FALSE)</f>
        <v xml:space="preserve">Regularizare Servicii Sistem </v>
      </c>
      <c r="L169" s="102">
        <f>IF(B169=1,'Date masura OD'!$I$5,IF(B169=19,'Date masura OD'!$AK$5,L168))</f>
        <v>45748</v>
      </c>
      <c r="M169" s="102">
        <f>IF(B169=1,'Date masura OD'!$J$5,IF(B169=19,'Date masura OD'!$AL$5,M168))</f>
        <v>45777</v>
      </c>
      <c r="N169" s="104">
        <f>VLOOKUP(E169,verificare!$AR$4:$CC$33,B169+2,FALSE)</f>
        <v>0</v>
      </c>
      <c r="O169" s="103">
        <f>HLOOKUP(VLOOKUP(E169,'Date SPV'!$B$4:$F$34,5,FALSE),'Preturi si tarife'!$C$2:$J$39,B169+2,FALSE)*10000</f>
        <v>115.1</v>
      </c>
      <c r="Q169" s="101" t="str">
        <f t="shared" si="13"/>
        <v>One-off</v>
      </c>
      <c r="R169" s="101" t="str">
        <f>VLOOKUP(K169,'Preturi si tarife'!$B$4:$K$39,10,FALSE)</f>
        <v>ICOENG0001</v>
      </c>
      <c r="T169" s="101" t="str">
        <f t="shared" si="14"/>
        <v>INV + 30</v>
      </c>
      <c r="V169" s="101" t="str">
        <f t="shared" si="15"/>
        <v>Active</v>
      </c>
      <c r="X169" s="101" t="str">
        <f t="shared" si="16"/>
        <v>One-off</v>
      </c>
      <c r="AC169" s="101" t="str">
        <f t="shared" si="21"/>
        <v>RON</v>
      </c>
      <c r="AD169" s="101">
        <f t="shared" si="22"/>
        <v>10000</v>
      </c>
    </row>
    <row r="170" spans="1:30">
      <c r="A170" s="101">
        <f t="shared" si="23"/>
        <v>5</v>
      </c>
      <c r="B170" s="101">
        <f t="shared" si="19"/>
        <v>25</v>
      </c>
      <c r="C170" s="101" t="str">
        <f t="shared" si="20"/>
        <v>T25</v>
      </c>
      <c r="D170" s="101" t="str">
        <f>IF(A170&lt;&gt;A169,VLOOKUP(A170,'Date SPV'!$A:$D,4,FALSE),D169)</f>
        <v>Satu Mare Shopping City SRL</v>
      </c>
      <c r="E170" s="101" t="str">
        <f>VLOOKUP(A170,'Date SPV'!$A$4:$B$34,2,FALSE)</f>
        <v>RSMS</v>
      </c>
      <c r="H170" s="105" t="s">
        <v>894</v>
      </c>
      <c r="K170" s="101" t="str">
        <f>VLOOKUP(C170,'Preturi si tarife'!$A$4:$B$39,2,FALSE)</f>
        <v>Regularizare Tarif de introducere en. el in retea (TL)</v>
      </c>
      <c r="L170" s="102">
        <f>IF(B170=1,'Date masura OD'!$I$5,IF(B170=19,'Date masura OD'!$AK$5,L169))</f>
        <v>45748</v>
      </c>
      <c r="M170" s="102">
        <f>IF(B170=1,'Date masura OD'!$J$5,IF(B170=19,'Date masura OD'!$AL$5,M169))</f>
        <v>45777</v>
      </c>
      <c r="N170" s="104">
        <f>VLOOKUP(E170,verificare!$AR$4:$CC$33,B170+2,FALSE)</f>
        <v>0</v>
      </c>
      <c r="O170" s="103">
        <f>HLOOKUP(VLOOKUP(E170,'Date SPV'!$B$4:$F$34,5,FALSE),'Preturi si tarife'!$C$2:$J$39,B170+2,FALSE)*10000</f>
        <v>330.3</v>
      </c>
      <c r="Q170" s="101" t="str">
        <f t="shared" si="13"/>
        <v>One-off</v>
      </c>
      <c r="R170" s="101" t="str">
        <f>VLOOKUP(K170,'Preturi si tarife'!$B$4:$K$39,10,FALSE)</f>
        <v>ICOENG0001</v>
      </c>
      <c r="T170" s="101" t="str">
        <f t="shared" si="14"/>
        <v>INV + 30</v>
      </c>
      <c r="V170" s="101" t="str">
        <f t="shared" si="15"/>
        <v>Active</v>
      </c>
      <c r="X170" s="101" t="str">
        <f t="shared" si="16"/>
        <v>One-off</v>
      </c>
      <c r="AC170" s="101" t="str">
        <f t="shared" si="21"/>
        <v>RON</v>
      </c>
      <c r="AD170" s="101">
        <f t="shared" si="22"/>
        <v>10000</v>
      </c>
    </row>
    <row r="171" spans="1:30">
      <c r="A171" s="101">
        <f t="shared" si="23"/>
        <v>5</v>
      </c>
      <c r="B171" s="101">
        <f t="shared" si="19"/>
        <v>26</v>
      </c>
      <c r="C171" s="101" t="str">
        <f t="shared" si="20"/>
        <v>T26</v>
      </c>
      <c r="D171" s="101" t="str">
        <f>IF(A171&lt;&gt;A170,VLOOKUP(A171,'Date SPV'!$A:$D,4,FALSE),D170)</f>
        <v>Satu Mare Shopping City SRL</v>
      </c>
      <c r="E171" s="101" t="str">
        <f>VLOOKUP(A171,'Date SPV'!$A$4:$B$34,2,FALSE)</f>
        <v>RSMS</v>
      </c>
      <c r="H171" s="105" t="s">
        <v>894</v>
      </c>
      <c r="K171" s="101" t="str">
        <f>VLOOKUP(C171,'Preturi si tarife'!$A$4:$B$39,2,FALSE)</f>
        <v>Regularizare Tarif de introducere en.el in retea (TG)</v>
      </c>
      <c r="L171" s="102">
        <f>IF(B171=1,'Date masura OD'!$I$5,IF(B171=19,'Date masura OD'!$AK$5,L170))</f>
        <v>45748</v>
      </c>
      <c r="M171" s="102">
        <f>IF(B171=1,'Date masura OD'!$J$5,IF(B171=19,'Date masura OD'!$AL$5,M170))</f>
        <v>45777</v>
      </c>
      <c r="N171" s="104">
        <f>VLOOKUP(E171,verificare!$AR$4:$CC$33,B171+2,FALSE)</f>
        <v>0</v>
      </c>
      <c r="O171" s="103">
        <f>HLOOKUP(VLOOKUP(E171,'Date SPV'!$B$4:$F$34,5,FALSE),'Preturi si tarife'!$C$2:$J$39,B171+2,FALSE)*10000</f>
        <v>32.9</v>
      </c>
      <c r="Q171" s="101" t="str">
        <f t="shared" si="13"/>
        <v>One-off</v>
      </c>
      <c r="R171" s="101" t="str">
        <f>VLOOKUP(K171,'Preturi si tarife'!$B$4:$K$39,10,FALSE)</f>
        <v>ICOENG0001</v>
      </c>
      <c r="T171" s="101" t="str">
        <f t="shared" si="14"/>
        <v>INV + 30</v>
      </c>
      <c r="V171" s="101" t="str">
        <f t="shared" si="15"/>
        <v>Active</v>
      </c>
      <c r="X171" s="101" t="str">
        <f t="shared" si="16"/>
        <v>One-off</v>
      </c>
      <c r="AC171" s="101" t="str">
        <f t="shared" si="21"/>
        <v>RON</v>
      </c>
      <c r="AD171" s="101">
        <f t="shared" si="22"/>
        <v>10000</v>
      </c>
    </row>
    <row r="172" spans="1:30">
      <c r="A172" s="101">
        <f t="shared" si="23"/>
        <v>5</v>
      </c>
      <c r="B172" s="101">
        <f t="shared" si="19"/>
        <v>27</v>
      </c>
      <c r="C172" s="101" t="str">
        <f t="shared" si="20"/>
        <v>T27</v>
      </c>
      <c r="D172" s="101" t="str">
        <f>IF(A172&lt;&gt;A171,VLOOKUP(A172,'Date SPV'!$A:$D,4,FALSE),D171)</f>
        <v>Satu Mare Shopping City SRL</v>
      </c>
      <c r="E172" s="101" t="str">
        <f>VLOOKUP(A172,'Date SPV'!$A$4:$B$34,2,FALSE)</f>
        <v>RSMS</v>
      </c>
      <c r="H172" s="105" t="s">
        <v>894</v>
      </c>
      <c r="K172" s="101" t="str">
        <f>VLOOKUP(C172,'Preturi si tarife'!$A$4:$B$39,2,FALSE)</f>
        <v>Regularizare Contributie pentru cogenerare</v>
      </c>
      <c r="L172" s="102">
        <f>IF(B172=1,'Date masura OD'!$I$5,IF(B172=19,'Date masura OD'!$AK$5,L171))</f>
        <v>45748</v>
      </c>
      <c r="M172" s="102">
        <f>IF(B172=1,'Date masura OD'!$J$5,IF(B172=19,'Date masura OD'!$AL$5,M171))</f>
        <v>45777</v>
      </c>
      <c r="N172" s="104">
        <f>VLOOKUP(E172,verificare!$AR$4:$CC$33,B172+2,FALSE)</f>
        <v>0</v>
      </c>
      <c r="O172" s="103">
        <f>HLOOKUP(VLOOKUP(E172,'Date SPV'!$B$4:$F$34,5,FALSE),'Preturi si tarife'!$C$2:$J$39,B172+2,FALSE)*10000</f>
        <v>35</v>
      </c>
      <c r="Q172" s="101" t="str">
        <f t="shared" si="13"/>
        <v>One-off</v>
      </c>
      <c r="R172" s="101" t="str">
        <f>VLOOKUP(K172,'Preturi si tarife'!$B$4:$K$39,10,FALSE)</f>
        <v>ICOENG0001</v>
      </c>
      <c r="T172" s="101" t="str">
        <f t="shared" si="14"/>
        <v>INV + 30</v>
      </c>
      <c r="V172" s="101" t="str">
        <f t="shared" si="15"/>
        <v>Active</v>
      </c>
      <c r="X172" s="101" t="str">
        <f t="shared" si="16"/>
        <v>One-off</v>
      </c>
      <c r="AC172" s="101" t="str">
        <f t="shared" si="21"/>
        <v>RON</v>
      </c>
      <c r="AD172" s="101">
        <f t="shared" si="22"/>
        <v>10000</v>
      </c>
    </row>
    <row r="173" spans="1:30">
      <c r="A173" s="101">
        <f t="shared" si="23"/>
        <v>5</v>
      </c>
      <c r="B173" s="101">
        <f t="shared" si="19"/>
        <v>28</v>
      </c>
      <c r="C173" s="101" t="str">
        <f t="shared" si="20"/>
        <v>T28</v>
      </c>
      <c r="D173" s="101" t="str">
        <f>IF(A173&lt;&gt;A172,VLOOKUP(A173,'Date SPV'!$A:$D,4,FALSE),D172)</f>
        <v>Satu Mare Shopping City SRL</v>
      </c>
      <c r="E173" s="101" t="str">
        <f>VLOOKUP(A173,'Date SPV'!$A$4:$B$34,2,FALSE)</f>
        <v>RSMS</v>
      </c>
      <c r="H173" s="105" t="s">
        <v>894</v>
      </c>
      <c r="K173" s="101" t="str">
        <f>VLOOKUP(C173,'Preturi si tarife'!$A$4:$B$39,2,FALSE)</f>
        <v xml:space="preserve">Regularizare Certificate verzi </v>
      </c>
      <c r="L173" s="102">
        <f>IF(B173=1,'Date masura OD'!$I$5,IF(B173=19,'Date masura OD'!$AK$5,L172))</f>
        <v>45748</v>
      </c>
      <c r="M173" s="102">
        <f>IF(B173=1,'Date masura OD'!$J$5,IF(B173=19,'Date masura OD'!$AL$5,M172))</f>
        <v>45777</v>
      </c>
      <c r="N173" s="104">
        <f>VLOOKUP(E173,verificare!$AR$4:$CC$33,B173+2,FALSE)</f>
        <v>0</v>
      </c>
      <c r="O173" s="103">
        <f>HLOOKUP(VLOOKUP(E173,'Date SPV'!$B$4:$F$34,5,FALSE),'Preturi si tarife'!$C$2:$J$39,B173+2,FALSE)*10000</f>
        <v>725.41599999999994</v>
      </c>
      <c r="Q173" s="101" t="str">
        <f t="shared" si="13"/>
        <v>One-off</v>
      </c>
      <c r="R173" s="101" t="str">
        <f>VLOOKUP(K173,'Preturi si tarife'!$B$4:$K$39,10,FALSE)</f>
        <v>ICOENG0001</v>
      </c>
      <c r="T173" s="101" t="str">
        <f t="shared" si="14"/>
        <v>INV + 30</v>
      </c>
      <c r="V173" s="101" t="str">
        <f t="shared" si="15"/>
        <v>Active</v>
      </c>
      <c r="X173" s="101" t="str">
        <f t="shared" si="16"/>
        <v>One-off</v>
      </c>
      <c r="AC173" s="101" t="str">
        <f t="shared" si="21"/>
        <v>RON</v>
      </c>
      <c r="AD173" s="101">
        <f t="shared" si="22"/>
        <v>10000</v>
      </c>
    </row>
    <row r="174" spans="1:30">
      <c r="A174" s="101">
        <f t="shared" si="23"/>
        <v>5</v>
      </c>
      <c r="B174" s="101">
        <f t="shared" si="19"/>
        <v>29</v>
      </c>
      <c r="C174" s="101" t="str">
        <f t="shared" si="20"/>
        <v>T29</v>
      </c>
      <c r="D174" s="101" t="str">
        <f>IF(A174&lt;&gt;A173,VLOOKUP(A174,'Date SPV'!$A:$D,4,FALSE),D173)</f>
        <v>Satu Mare Shopping City SRL</v>
      </c>
      <c r="E174" s="101" t="str">
        <f>VLOOKUP(A174,'Date SPV'!$A$4:$B$34,2,FALSE)</f>
        <v>RSMS</v>
      </c>
      <c r="H174" s="105" t="s">
        <v>894</v>
      </c>
      <c r="K174" s="101" t="str">
        <f>VLOOKUP(C174,'Preturi si tarife'!$A$4:$B$39,2,FALSE)</f>
        <v>Regularizare Contributie CFD</v>
      </c>
      <c r="L174" s="102">
        <f>IF(B174=1,'Date masura OD'!$I$5,IF(B174=19,'Date masura OD'!$AK$5,L173))</f>
        <v>45748</v>
      </c>
      <c r="M174" s="102">
        <f>IF(B174=1,'Date masura OD'!$J$5,IF(B174=19,'Date masura OD'!$AL$5,M173))</f>
        <v>45777</v>
      </c>
      <c r="N174" s="104">
        <f>VLOOKUP(E174,verificare!$AR$4:$CC$33,B174+2,FALSE)</f>
        <v>0</v>
      </c>
      <c r="O174" s="103">
        <f>HLOOKUP(VLOOKUP(E174,'Date SPV'!$B$4:$F$34,5,FALSE),'Preturi si tarife'!$C$2:$J$39,B174+2,FALSE)*10000</f>
        <v>2.06</v>
      </c>
      <c r="Q174" s="101" t="str">
        <f t="shared" si="13"/>
        <v>One-off</v>
      </c>
      <c r="R174" s="101" t="str">
        <f>VLOOKUP(K174,'Preturi si tarife'!$B$4:$K$39,10,FALSE)</f>
        <v>ICOENG0001</v>
      </c>
      <c r="T174" s="101" t="str">
        <f t="shared" si="14"/>
        <v>INV + 30</v>
      </c>
      <c r="V174" s="101" t="str">
        <f t="shared" si="15"/>
        <v>Active</v>
      </c>
      <c r="X174" s="101" t="str">
        <f t="shared" si="16"/>
        <v>One-off</v>
      </c>
      <c r="AC174" s="101" t="str">
        <f t="shared" si="21"/>
        <v>RON</v>
      </c>
      <c r="AD174" s="101">
        <f t="shared" si="22"/>
        <v>10000</v>
      </c>
    </row>
    <row r="175" spans="1:30">
      <c r="A175" s="101">
        <f t="shared" si="23"/>
        <v>5</v>
      </c>
      <c r="B175" s="101">
        <f t="shared" si="19"/>
        <v>30</v>
      </c>
      <c r="C175" s="101" t="str">
        <f t="shared" si="20"/>
        <v>T30</v>
      </c>
      <c r="D175" s="101" t="str">
        <f>IF(A175&lt;&gt;A174,VLOOKUP(A175,'Date SPV'!$A:$D,4,FALSE),D174)</f>
        <v>Satu Mare Shopping City SRL</v>
      </c>
      <c r="E175" s="101" t="str">
        <f>VLOOKUP(A175,'Date SPV'!$A$4:$B$34,2,FALSE)</f>
        <v>RSMS</v>
      </c>
      <c r="H175" s="105" t="s">
        <v>894</v>
      </c>
      <c r="K175" s="101" t="str">
        <f>VLOOKUP(C175,'Preturi si tarife'!$A$4:$B$39,2,FALSE)</f>
        <v>Regularizare Acciza</v>
      </c>
      <c r="L175" s="102">
        <f>IF(B175=1,'Date masura OD'!$I$5,IF(B175=19,'Date masura OD'!$AK$5,L174))</f>
        <v>45748</v>
      </c>
      <c r="M175" s="102">
        <f>IF(B175=1,'Date masura OD'!$J$5,IF(B175=19,'Date masura OD'!$AL$5,M174))</f>
        <v>45777</v>
      </c>
      <c r="N175" s="104">
        <f>VLOOKUP(E175,verificare!$AR$4:$CC$33,B175+2,FALSE)</f>
        <v>0</v>
      </c>
      <c r="O175" s="103">
        <f>HLOOKUP(VLOOKUP(E175,'Date SPV'!$B$4:$F$34,5,FALSE),'Preturi si tarife'!$C$2:$J$39,B175+2,FALSE)*10000</f>
        <v>0</v>
      </c>
      <c r="Q175" s="101" t="str">
        <f t="shared" si="13"/>
        <v>One-off</v>
      </c>
      <c r="R175" s="101" t="str">
        <f>VLOOKUP(K175,'Preturi si tarife'!$B$4:$K$39,10,FALSE)</f>
        <v>ICOENG0001</v>
      </c>
      <c r="T175" s="101" t="str">
        <f t="shared" si="14"/>
        <v>INV + 30</v>
      </c>
      <c r="V175" s="101" t="str">
        <f t="shared" si="15"/>
        <v>Active</v>
      </c>
      <c r="X175" s="101" t="str">
        <f t="shared" si="16"/>
        <v>One-off</v>
      </c>
      <c r="AC175" s="101" t="str">
        <f t="shared" si="21"/>
        <v>RON</v>
      </c>
      <c r="AD175" s="101">
        <f t="shared" si="22"/>
        <v>10000</v>
      </c>
    </row>
    <row r="176" spans="1:30">
      <c r="A176" s="101">
        <f t="shared" si="23"/>
        <v>5</v>
      </c>
      <c r="B176" s="101">
        <f t="shared" si="19"/>
        <v>31</v>
      </c>
      <c r="C176" s="101" t="str">
        <f t="shared" si="20"/>
        <v>T31</v>
      </c>
      <c r="D176" s="101" t="str">
        <f>IF(A176&lt;&gt;A175,VLOOKUP(A176,'Date SPV'!$A:$D,4,FALSE),D175)</f>
        <v>Satu Mare Shopping City SRL</v>
      </c>
      <c r="E176" s="101" t="str">
        <f>VLOOKUP(A176,'Date SPV'!$A$4:$B$34,2,FALSE)</f>
        <v>RSMS</v>
      </c>
      <c r="H176" s="105" t="s">
        <v>894</v>
      </c>
      <c r="K176" s="101" t="str">
        <f>VLOOKUP(C176,'Preturi si tarife'!$A$4:$B$39,2,FALSE)</f>
        <v>Regularizare Tarif distributie SDI MT Ea1</v>
      </c>
      <c r="L176" s="102">
        <f>IF(B176=1,'Date masura OD'!$I$5,IF(B176=19,'Date masura OD'!$AK$5,L175))</f>
        <v>45748</v>
      </c>
      <c r="M176" s="102">
        <f>IF(B176=1,'Date masura OD'!$J$5,IF(B176=19,'Date masura OD'!$AL$5,M175))</f>
        <v>45777</v>
      </c>
      <c r="N176" s="104">
        <f>VLOOKUP(E176,verificare!$AR$4:$CC$33,B176+2,FALSE)</f>
        <v>0</v>
      </c>
      <c r="O176" s="103">
        <f>HLOOKUP(VLOOKUP(E176,'Date SPV'!$B$4:$F$34,5,FALSE),'Preturi si tarife'!$C$2:$J$39,B176+2,FALSE)*10000</f>
        <v>149</v>
      </c>
      <c r="Q176" s="101" t="str">
        <f t="shared" si="13"/>
        <v>One-off</v>
      </c>
      <c r="R176" s="101" t="str">
        <f>VLOOKUP(K176,'Preturi si tarife'!$B$4:$K$39,10,FALSE)</f>
        <v>ICOENG0010</v>
      </c>
      <c r="T176" s="101" t="str">
        <f t="shared" si="14"/>
        <v>INV + 30</v>
      </c>
      <c r="V176" s="101" t="str">
        <f t="shared" si="15"/>
        <v>Active</v>
      </c>
      <c r="X176" s="101" t="str">
        <f t="shared" si="16"/>
        <v>One-off</v>
      </c>
      <c r="AC176" s="101" t="str">
        <f t="shared" si="21"/>
        <v>RON</v>
      </c>
      <c r="AD176" s="101">
        <f t="shared" si="22"/>
        <v>10000</v>
      </c>
    </row>
    <row r="177" spans="1:30">
      <c r="A177" s="101">
        <f t="shared" si="23"/>
        <v>5</v>
      </c>
      <c r="B177" s="101">
        <f t="shared" si="19"/>
        <v>32</v>
      </c>
      <c r="C177" s="101" t="str">
        <f t="shared" si="20"/>
        <v>T32</v>
      </c>
      <c r="D177" s="101" t="str">
        <f>IF(A177&lt;&gt;A176,VLOOKUP(A177,'Date SPV'!$A:$D,4,FALSE),D176)</f>
        <v>Satu Mare Shopping City SRL</v>
      </c>
      <c r="E177" s="101" t="str">
        <f>VLOOKUP(A177,'Date SPV'!$A$4:$B$34,2,FALSE)</f>
        <v>RSMS</v>
      </c>
      <c r="H177" s="105" t="s">
        <v>894</v>
      </c>
      <c r="K177" s="101" t="str">
        <f>VLOOKUP(C177,'Preturi si tarife'!$A$4:$B$39,2,FALSE)</f>
        <v>Regularizare Tarif distributie SDI JT Ea1</v>
      </c>
      <c r="L177" s="102">
        <f>IF(B177=1,'Date masura OD'!$I$5,IF(B177=19,'Date masura OD'!$AK$5,L176))</f>
        <v>45748</v>
      </c>
      <c r="M177" s="102">
        <f>IF(B177=1,'Date masura OD'!$J$5,IF(B177=19,'Date masura OD'!$AL$5,M176))</f>
        <v>45777</v>
      </c>
      <c r="N177" s="104">
        <f>VLOOKUP(E177,verificare!$AR$4:$CC$33,B177+2,FALSE)</f>
        <v>0</v>
      </c>
      <c r="O177" s="103">
        <f>HLOOKUP(VLOOKUP(E177,'Date SPV'!$B$4:$F$34,5,FALSE),'Preturi si tarife'!$C$2:$J$39,B177+2,FALSE)*10000</f>
        <v>950</v>
      </c>
      <c r="Q177" s="101" t="str">
        <f t="shared" si="13"/>
        <v>One-off</v>
      </c>
      <c r="R177" s="101" t="str">
        <f>VLOOKUP(K177,'Preturi si tarife'!$B$4:$K$39,10,FALSE)</f>
        <v>ICOENG0010</v>
      </c>
      <c r="T177" s="101" t="str">
        <f t="shared" si="14"/>
        <v>INV + 30</v>
      </c>
      <c r="V177" s="101" t="str">
        <f t="shared" si="15"/>
        <v>Active</v>
      </c>
      <c r="X177" s="101" t="str">
        <f t="shared" si="16"/>
        <v>One-off</v>
      </c>
      <c r="AC177" s="101" t="str">
        <f t="shared" si="21"/>
        <v>RON</v>
      </c>
      <c r="AD177" s="101">
        <f t="shared" si="22"/>
        <v>10000</v>
      </c>
    </row>
    <row r="178" spans="1:30">
      <c r="A178" s="101">
        <f t="shared" si="23"/>
        <v>5</v>
      </c>
      <c r="B178" s="101">
        <f t="shared" si="19"/>
        <v>33</v>
      </c>
      <c r="C178" s="101" t="str">
        <f t="shared" si="20"/>
        <v>T33</v>
      </c>
      <c r="D178" s="101" t="str">
        <f>IF(A178&lt;&gt;A177,VLOOKUP(A178,'Date SPV'!$A:$D,4,FALSE),D177)</f>
        <v>Satu Mare Shopping City SRL</v>
      </c>
      <c r="E178" s="101" t="str">
        <f>VLOOKUP(A178,'Date SPV'!$A$4:$B$34,2,FALSE)</f>
        <v>RSMS</v>
      </c>
      <c r="H178" s="105" t="s">
        <v>894</v>
      </c>
      <c r="K178" s="101" t="str">
        <f>VLOOKUP(C178,'Preturi si tarife'!$A$4:$B$39,2,FALSE)</f>
        <v>Regularizare Energie activa 2</v>
      </c>
      <c r="L178" s="102">
        <f>IF(B178=1,'Date masura OD'!$I$5,IF(B178=19,'Date masura OD'!$AK$5,L177))</f>
        <v>45748</v>
      </c>
      <c r="M178" s="102">
        <f>IF(B178=1,'Date masura OD'!$J$5,IF(B178=19,'Date masura OD'!$AL$5,M177))</f>
        <v>45777</v>
      </c>
      <c r="N178" s="104">
        <f>VLOOKUP(E178,verificare!$AR$4:$CC$33,B178+2,FALSE)</f>
        <v>0</v>
      </c>
      <c r="O178" s="103">
        <f>HLOOKUP(VLOOKUP(E178,'Date SPV'!$B$4:$F$34,5,FALSE),'Preturi si tarife'!$C$2:$J$39,B178+2,FALSE)*10000</f>
        <v>9438.0760000000009</v>
      </c>
      <c r="Q178" s="101" t="str">
        <f t="shared" si="13"/>
        <v>One-off</v>
      </c>
      <c r="R178" s="101" t="str">
        <f>VLOOKUP(K178,'Preturi si tarife'!$B$4:$K$39,10,FALSE)</f>
        <v>ICOENG0012</v>
      </c>
      <c r="T178" s="101" t="str">
        <f t="shared" si="14"/>
        <v>INV + 30</v>
      </c>
      <c r="V178" s="101" t="str">
        <f t="shared" si="15"/>
        <v>Active</v>
      </c>
      <c r="X178" s="101" t="str">
        <f t="shared" si="16"/>
        <v>One-off</v>
      </c>
      <c r="AC178" s="101" t="str">
        <f t="shared" si="21"/>
        <v>RON</v>
      </c>
      <c r="AD178" s="101">
        <f t="shared" si="22"/>
        <v>10000</v>
      </c>
    </row>
    <row r="179" spans="1:30">
      <c r="A179" s="101">
        <f t="shared" si="23"/>
        <v>5</v>
      </c>
      <c r="B179" s="101">
        <f t="shared" si="19"/>
        <v>34</v>
      </c>
      <c r="C179" s="101" t="str">
        <f t="shared" si="20"/>
        <v>T34</v>
      </c>
      <c r="D179" s="101" t="str">
        <f>IF(A179&lt;&gt;A178,VLOOKUP(A179,'Date SPV'!$A:$D,4,FALSE),D178)</f>
        <v>Satu Mare Shopping City SRL</v>
      </c>
      <c r="E179" s="101" t="str">
        <f>VLOOKUP(A179,'Date SPV'!$A$4:$B$34,2,FALSE)</f>
        <v>RSMS</v>
      </c>
      <c r="H179" s="105" t="s">
        <v>894</v>
      </c>
      <c r="K179" s="101" t="str">
        <f>VLOOKUP(C179,'Preturi si tarife'!$A$4:$B$39,2,FALSE)</f>
        <v>Regularizare Energie activa 3</v>
      </c>
      <c r="L179" s="102">
        <f>IF(B179=1,'Date masura OD'!$I$5,IF(B179=19,'Date masura OD'!$AK$5,L178))</f>
        <v>45748</v>
      </c>
      <c r="M179" s="102">
        <f>IF(B179=1,'Date masura OD'!$J$5,IF(B179=19,'Date masura OD'!$AL$5,M178))</f>
        <v>45777</v>
      </c>
      <c r="N179" s="104">
        <f>VLOOKUP(E179,verificare!$AR$4:$CC$33,B179+2,FALSE)</f>
        <v>0</v>
      </c>
      <c r="O179" s="103">
        <f>HLOOKUP(VLOOKUP(E179,'Date SPV'!$B$4:$F$34,5,FALSE),'Preturi si tarife'!$C$2:$J$39,B179+2,FALSE)*10000</f>
        <v>8339.0760000000009</v>
      </c>
      <c r="Q179" s="101" t="str">
        <f t="shared" si="13"/>
        <v>One-off</v>
      </c>
      <c r="R179" s="101" t="str">
        <f>VLOOKUP(K179,'Preturi si tarife'!$B$4:$K$39,10,FALSE)</f>
        <v>ICOENG0012</v>
      </c>
      <c r="T179" s="101" t="str">
        <f t="shared" si="14"/>
        <v>INV + 30</v>
      </c>
      <c r="V179" s="101" t="str">
        <f t="shared" si="15"/>
        <v>Active</v>
      </c>
      <c r="X179" s="101" t="str">
        <f t="shared" si="16"/>
        <v>One-off</v>
      </c>
      <c r="AC179" s="101" t="str">
        <f t="shared" si="21"/>
        <v>RON</v>
      </c>
      <c r="AD179" s="101">
        <f t="shared" si="22"/>
        <v>10000</v>
      </c>
    </row>
    <row r="180" spans="1:30">
      <c r="A180" s="101">
        <f t="shared" si="23"/>
        <v>5</v>
      </c>
      <c r="B180" s="101">
        <f t="shared" si="19"/>
        <v>35</v>
      </c>
      <c r="C180" s="101" t="str">
        <f t="shared" si="20"/>
        <v>T35</v>
      </c>
      <c r="D180" s="101" t="str">
        <f>IF(A180&lt;&gt;A179,VLOOKUP(A180,'Date SPV'!$A:$D,4,FALSE),D179)</f>
        <v>Satu Mare Shopping City SRL</v>
      </c>
      <c r="E180" s="101" t="str">
        <f>VLOOKUP(A180,'Date SPV'!$A$4:$B$34,2,FALSE)</f>
        <v>RSMS</v>
      </c>
      <c r="H180" s="105" t="s">
        <v>894</v>
      </c>
      <c r="K180" s="101" t="str">
        <f>VLOOKUP(C180,'Preturi si tarife'!$A$4:$B$39,2,FALSE)</f>
        <v>Regularizare Tarif distributie SDI MT Ea3</v>
      </c>
      <c r="L180" s="102">
        <f>IF(B180=1,'Date masura OD'!$I$5,IF(B180=19,'Date masura OD'!$AK$5,L179))</f>
        <v>45748</v>
      </c>
      <c r="M180" s="102">
        <f>IF(B180=1,'Date masura OD'!$J$5,IF(B180=19,'Date masura OD'!$AL$5,M179))</f>
        <v>45777</v>
      </c>
      <c r="N180" s="104">
        <f>VLOOKUP(E180,verificare!$AR$4:$CC$33,B180+2,FALSE)</f>
        <v>0</v>
      </c>
      <c r="O180" s="103">
        <f>HLOOKUP(VLOOKUP(E180,'Date SPV'!$B$4:$F$34,5,FALSE),'Preturi si tarife'!$C$2:$J$39,B180+2,FALSE)*10000</f>
        <v>149</v>
      </c>
      <c r="Q180" s="101" t="str">
        <f t="shared" si="13"/>
        <v>One-off</v>
      </c>
      <c r="R180" s="101" t="str">
        <f>VLOOKUP(K180,'Preturi si tarife'!$B$4:$K$39,10,FALSE)</f>
        <v>ICOENG0010</v>
      </c>
      <c r="T180" s="101" t="str">
        <f t="shared" si="14"/>
        <v>INV + 30</v>
      </c>
      <c r="V180" s="101" t="str">
        <f t="shared" si="15"/>
        <v>Active</v>
      </c>
      <c r="X180" s="101" t="str">
        <f t="shared" si="16"/>
        <v>One-off</v>
      </c>
      <c r="AC180" s="101" t="str">
        <f t="shared" si="21"/>
        <v>RON</v>
      </c>
      <c r="AD180" s="101">
        <f t="shared" si="22"/>
        <v>10000</v>
      </c>
    </row>
    <row r="181" spans="1:30">
      <c r="A181" s="101">
        <f t="shared" si="23"/>
        <v>5</v>
      </c>
      <c r="B181" s="101">
        <f t="shared" si="19"/>
        <v>36</v>
      </c>
      <c r="C181" s="101" t="str">
        <f t="shared" si="20"/>
        <v>T36</v>
      </c>
      <c r="D181" s="101" t="str">
        <f>IF(A181&lt;&gt;A180,VLOOKUP(A181,'Date SPV'!$A:$D,4,FALSE),D180)</f>
        <v>Satu Mare Shopping City SRL</v>
      </c>
      <c r="E181" s="101" t="str">
        <f>VLOOKUP(A181,'Date SPV'!$A$4:$B$34,2,FALSE)</f>
        <v>RSMS</v>
      </c>
      <c r="H181" s="105" t="s">
        <v>894</v>
      </c>
      <c r="K181" s="101" t="str">
        <f>VLOOKUP(C181,'Preturi si tarife'!$A$4:$B$39,2,FALSE)</f>
        <v>Regularizare Tarif distributie SDI JT Ea3</v>
      </c>
      <c r="L181" s="102">
        <f>IF(B181=1,'Date masura OD'!$I$5,IF(B181=19,'Date masura OD'!$AK$5,L180))</f>
        <v>45748</v>
      </c>
      <c r="M181" s="102">
        <f>IF(B181=1,'Date masura OD'!$J$5,IF(B181=19,'Date masura OD'!$AL$5,M180))</f>
        <v>45777</v>
      </c>
      <c r="N181" s="104">
        <f>VLOOKUP(E181,verificare!$AR$4:$CC$33,B181+2,FALSE)</f>
        <v>0</v>
      </c>
      <c r="O181" s="103">
        <f>HLOOKUP(VLOOKUP(E181,'Date SPV'!$B$4:$F$34,5,FALSE),'Preturi si tarife'!$C$2:$J$39,B181+2,FALSE)*10000</f>
        <v>950</v>
      </c>
      <c r="Q181" s="101" t="str">
        <f t="shared" si="13"/>
        <v>One-off</v>
      </c>
      <c r="R181" s="101" t="str">
        <f>VLOOKUP(K181,'Preturi si tarife'!$B$4:$K$39,10,FALSE)</f>
        <v>ICOENG0010</v>
      </c>
      <c r="T181" s="101" t="str">
        <f t="shared" si="14"/>
        <v>INV + 30</v>
      </c>
      <c r="V181" s="101" t="str">
        <f t="shared" si="15"/>
        <v>Active</v>
      </c>
      <c r="X181" s="101" t="str">
        <f t="shared" si="16"/>
        <v>One-off</v>
      </c>
      <c r="AC181" s="101" t="str">
        <f t="shared" si="21"/>
        <v>RON</v>
      </c>
      <c r="AD181" s="101">
        <f t="shared" si="22"/>
        <v>10000</v>
      </c>
    </row>
    <row r="182" spans="1:30">
      <c r="A182" s="101">
        <f t="shared" si="23"/>
        <v>6</v>
      </c>
      <c r="B182" s="101">
        <f t="shared" si="19"/>
        <v>1</v>
      </c>
      <c r="C182" s="101" t="str">
        <f t="shared" si="20"/>
        <v>T1</v>
      </c>
      <c r="D182" s="101" t="str">
        <f>IF(A182&lt;&gt;A181,VLOOKUP(A182,'Date SPV'!$A:$D,4,FALSE),D181)</f>
        <v>Deva Shopping City SRL</v>
      </c>
      <c r="E182" s="101" t="str">
        <f>VLOOKUP(A182,'Date SPV'!$A$4:$B$34,2,FALSE)</f>
        <v>RDSC</v>
      </c>
      <c r="H182" s="105" t="s">
        <v>894</v>
      </c>
      <c r="K182" s="101" t="str">
        <f>VLOOKUP(C182,'Preturi si tarife'!$A$4:$B$39,2,FALSE)</f>
        <v>Energie activa 1</v>
      </c>
      <c r="L182" s="102">
        <f>IF(B182=1,'Date masura OD'!$I$5,IF(B182=19,'Date masura OD'!$AK$5,L181))</f>
        <v>45778</v>
      </c>
      <c r="M182" s="102">
        <f>IF(B182=1,'Date masura OD'!$J$5,IF(B182=19,'Date masura OD'!$AL$5,M181))</f>
        <v>45808</v>
      </c>
      <c r="N182" s="104">
        <f>VLOOKUP(E182,verificare!$AR$4:$CC$33,B182+2,FALSE)</f>
        <v>440919</v>
      </c>
      <c r="O182" s="103">
        <f>HLOOKUP(VLOOKUP(E182,'Date SPV'!$B$4:$F$34,5,FALSE),'Preturi si tarife'!$C$2:$J$39,B182+2,FALSE)*10000</f>
        <v>5950</v>
      </c>
      <c r="Q182" s="101" t="str">
        <f t="shared" si="13"/>
        <v>One-off</v>
      </c>
      <c r="R182" s="101" t="str">
        <f>VLOOKUP(K182,'Preturi si tarife'!$B$4:$K$39,10,FALSE)</f>
        <v>ICOENG0001</v>
      </c>
      <c r="T182" s="101" t="str">
        <f t="shared" si="14"/>
        <v>INV + 30</v>
      </c>
      <c r="V182" s="101" t="str">
        <f t="shared" si="15"/>
        <v>Active</v>
      </c>
      <c r="X182" s="101" t="str">
        <f t="shared" si="16"/>
        <v>One-off</v>
      </c>
      <c r="AC182" s="101" t="str">
        <f t="shared" si="21"/>
        <v>RON</v>
      </c>
      <c r="AD182" s="101">
        <f t="shared" si="22"/>
        <v>10000</v>
      </c>
    </row>
    <row r="183" spans="1:30">
      <c r="A183" s="101">
        <f t="shared" si="23"/>
        <v>6</v>
      </c>
      <c r="B183" s="101">
        <f t="shared" si="19"/>
        <v>2</v>
      </c>
      <c r="C183" s="101" t="str">
        <f t="shared" si="20"/>
        <v>T2</v>
      </c>
      <c r="D183" s="101" t="str">
        <f>IF(A183&lt;&gt;A182,VLOOKUP(A183,'Date SPV'!$A:$D,4,FALSE),D182)</f>
        <v>Deva Shopping City SRL</v>
      </c>
      <c r="E183" s="101" t="str">
        <f>VLOOKUP(A183,'Date SPV'!$A$4:$B$34,2,FALSE)</f>
        <v>RDSC</v>
      </c>
      <c r="H183" s="105" t="s">
        <v>894</v>
      </c>
      <c r="K183" s="101" t="str">
        <f>VLOOKUP(C183,'Preturi si tarife'!$A$4:$B$39,2,FALSE)</f>
        <v>Energie reactiva  1X</v>
      </c>
      <c r="L183" s="102">
        <f>IF(B183=1,'Date masura OD'!$I$5,IF(B183=19,'Date masura OD'!$AK$5,L182))</f>
        <v>45778</v>
      </c>
      <c r="M183" s="102">
        <f>IF(B183=1,'Date masura OD'!$J$5,IF(B183=19,'Date masura OD'!$AL$5,M182))</f>
        <v>45808</v>
      </c>
      <c r="N183" s="104">
        <f>VLOOKUP(E183,verificare!$AR$4:$CC$33,B183+2,FALSE)</f>
        <v>0</v>
      </c>
      <c r="O183" s="103">
        <f>HLOOKUP(VLOOKUP(E183,'Date SPV'!$B$4:$F$34,5,FALSE),'Preturi si tarife'!$C$2:$J$39,B183+2,FALSE)*10000</f>
        <v>1466</v>
      </c>
      <c r="Q183" s="101" t="str">
        <f t="shared" si="13"/>
        <v>One-off</v>
      </c>
      <c r="R183" s="101" t="str">
        <f>VLOOKUP(K183,'Preturi si tarife'!$B$4:$K$39,10,FALSE)</f>
        <v>ICOENG0001</v>
      </c>
      <c r="T183" s="101" t="str">
        <f t="shared" si="14"/>
        <v>INV + 30</v>
      </c>
      <c r="V183" s="101" t="str">
        <f t="shared" si="15"/>
        <v>Active</v>
      </c>
      <c r="X183" s="101" t="str">
        <f t="shared" si="16"/>
        <v>One-off</v>
      </c>
      <c r="AC183" s="101" t="str">
        <f t="shared" si="21"/>
        <v>RON</v>
      </c>
      <c r="AD183" s="101">
        <f t="shared" si="22"/>
        <v>10000</v>
      </c>
    </row>
    <row r="184" spans="1:30">
      <c r="A184" s="101">
        <f t="shared" si="23"/>
        <v>6</v>
      </c>
      <c r="B184" s="101">
        <f t="shared" si="19"/>
        <v>3</v>
      </c>
      <c r="C184" s="101" t="str">
        <f t="shared" si="20"/>
        <v>T3</v>
      </c>
      <c r="D184" s="101" t="str">
        <f>IF(A184&lt;&gt;A183,VLOOKUP(A184,'Date SPV'!$A:$D,4,FALSE),D183)</f>
        <v>Deva Shopping City SRL</v>
      </c>
      <c r="E184" s="101" t="str">
        <f>VLOOKUP(A184,'Date SPV'!$A$4:$B$34,2,FALSE)</f>
        <v>RDSC</v>
      </c>
      <c r="H184" s="105" t="s">
        <v>894</v>
      </c>
      <c r="K184" s="101" t="str">
        <f>VLOOKUP(C184,'Preturi si tarife'!$A$4:$B$39,2,FALSE)</f>
        <v>Energie reactiva  3X</v>
      </c>
      <c r="L184" s="102">
        <f>IF(B184=1,'Date masura OD'!$I$5,IF(B184=19,'Date masura OD'!$AK$5,L183))</f>
        <v>45778</v>
      </c>
      <c r="M184" s="102">
        <f>IF(B184=1,'Date masura OD'!$J$5,IF(B184=19,'Date masura OD'!$AL$5,M183))</f>
        <v>45808</v>
      </c>
      <c r="N184" s="104">
        <f>VLOOKUP(E184,verificare!$AR$4:$CC$33,B184+2,FALSE)</f>
        <v>0</v>
      </c>
      <c r="O184" s="103">
        <f>HLOOKUP(VLOOKUP(E184,'Date SPV'!$B$4:$F$34,5,FALSE),'Preturi si tarife'!$C$2:$J$39,B184+2,FALSE)*10000</f>
        <v>4398</v>
      </c>
      <c r="Q184" s="101" t="str">
        <f t="shared" si="13"/>
        <v>One-off</v>
      </c>
      <c r="R184" s="101" t="str">
        <f>VLOOKUP(K184,'Preturi si tarife'!$B$4:$K$39,10,FALSE)</f>
        <v>ICOENG0001</v>
      </c>
      <c r="T184" s="101" t="str">
        <f t="shared" si="14"/>
        <v>INV + 30</v>
      </c>
      <c r="V184" s="101" t="str">
        <f t="shared" si="15"/>
        <v>Active</v>
      </c>
      <c r="X184" s="101" t="str">
        <f t="shared" si="16"/>
        <v>One-off</v>
      </c>
      <c r="AC184" s="101" t="str">
        <f t="shared" si="21"/>
        <v>RON</v>
      </c>
      <c r="AD184" s="101">
        <f t="shared" si="22"/>
        <v>10000</v>
      </c>
    </row>
    <row r="185" spans="1:30">
      <c r="A185" s="101">
        <f t="shared" si="23"/>
        <v>6</v>
      </c>
      <c r="B185" s="101">
        <f t="shared" si="19"/>
        <v>4</v>
      </c>
      <c r="C185" s="101" t="str">
        <f t="shared" si="20"/>
        <v>T4</v>
      </c>
      <c r="D185" s="101" t="str">
        <f>IF(A185&lt;&gt;A184,VLOOKUP(A185,'Date SPV'!$A:$D,4,FALSE),D184)</f>
        <v>Deva Shopping City SRL</v>
      </c>
      <c r="E185" s="101" t="str">
        <f>VLOOKUP(A185,'Date SPV'!$A$4:$B$34,2,FALSE)</f>
        <v>RDSC</v>
      </c>
      <c r="H185" s="105" t="s">
        <v>894</v>
      </c>
      <c r="K185" s="101" t="str">
        <f>VLOOKUP(C185,'Preturi si tarife'!$A$4:$B$39,2,FALSE)</f>
        <v>Tarife distributie en. El IT+MT</v>
      </c>
      <c r="L185" s="102">
        <f>IF(B185=1,'Date masura OD'!$I$5,IF(B185=19,'Date masura OD'!$AK$5,L184))</f>
        <v>45778</v>
      </c>
      <c r="M185" s="102">
        <f>IF(B185=1,'Date masura OD'!$J$5,IF(B185=19,'Date masura OD'!$AL$5,M184))</f>
        <v>45808</v>
      </c>
      <c r="N185" s="104">
        <f>VLOOKUP(E185,verificare!$AR$4:$CC$33,B185+2,FALSE)</f>
        <v>440919</v>
      </c>
      <c r="O185" s="103">
        <f>HLOOKUP(VLOOKUP(E185,'Date SPV'!$B$4:$F$34,5,FALSE),'Preturi si tarife'!$C$2:$J$39,B185+2,FALSE)*10000</f>
        <v>861.80000000000007</v>
      </c>
      <c r="Q185" s="101" t="str">
        <f t="shared" si="13"/>
        <v>One-off</v>
      </c>
      <c r="R185" s="101" t="str">
        <f>VLOOKUP(K185,'Preturi si tarife'!$B$4:$K$39,10,FALSE)</f>
        <v>ICOENG0001</v>
      </c>
      <c r="T185" s="101" t="str">
        <f t="shared" si="14"/>
        <v>INV + 30</v>
      </c>
      <c r="V185" s="101" t="str">
        <f t="shared" si="15"/>
        <v>Active</v>
      </c>
      <c r="X185" s="101" t="str">
        <f t="shared" si="16"/>
        <v>One-off</v>
      </c>
      <c r="AC185" s="101" t="str">
        <f t="shared" si="21"/>
        <v>RON</v>
      </c>
      <c r="AD185" s="101">
        <f t="shared" si="22"/>
        <v>10000</v>
      </c>
    </row>
    <row r="186" spans="1:30">
      <c r="A186" s="101">
        <f t="shared" si="23"/>
        <v>6</v>
      </c>
      <c r="B186" s="101">
        <f t="shared" si="19"/>
        <v>5</v>
      </c>
      <c r="C186" s="101" t="str">
        <f t="shared" si="20"/>
        <v>T5</v>
      </c>
      <c r="D186" s="101" t="str">
        <f>IF(A186&lt;&gt;A185,VLOOKUP(A186,'Date SPV'!$A:$D,4,FALSE),D185)</f>
        <v>Deva Shopping City SRL</v>
      </c>
      <c r="E186" s="101" t="str">
        <f>VLOOKUP(A186,'Date SPV'!$A$4:$B$34,2,FALSE)</f>
        <v>RDSC</v>
      </c>
      <c r="H186" s="105" t="s">
        <v>894</v>
      </c>
      <c r="K186" s="101" t="str">
        <f>VLOOKUP(C186,'Preturi si tarife'!$A$4:$B$39,2,FALSE)</f>
        <v>Tarife distributie en. El JT</v>
      </c>
      <c r="L186" s="102">
        <f>IF(B186=1,'Date masura OD'!$I$5,IF(B186=19,'Date masura OD'!$AK$5,L185))</f>
        <v>45778</v>
      </c>
      <c r="M186" s="102">
        <f>IF(B186=1,'Date masura OD'!$J$5,IF(B186=19,'Date masura OD'!$AL$5,M185))</f>
        <v>45808</v>
      </c>
      <c r="N186" s="104">
        <f>VLOOKUP(E186,verificare!$AR$4:$CC$33,B186+2,FALSE)</f>
        <v>0</v>
      </c>
      <c r="O186" s="103">
        <f>HLOOKUP(VLOOKUP(E186,'Date SPV'!$B$4:$F$34,5,FALSE),'Preturi si tarife'!$C$2:$J$39,B186+2,FALSE)*10000</f>
        <v>2079</v>
      </c>
      <c r="Q186" s="101" t="str">
        <f t="shared" si="13"/>
        <v>One-off</v>
      </c>
      <c r="R186" s="101" t="str">
        <f>VLOOKUP(K186,'Preturi si tarife'!$B$4:$K$39,10,FALSE)</f>
        <v>ICOENG0001</v>
      </c>
      <c r="T186" s="101" t="str">
        <f t="shared" si="14"/>
        <v>INV + 30</v>
      </c>
      <c r="V186" s="101" t="str">
        <f t="shared" si="15"/>
        <v>Active</v>
      </c>
      <c r="X186" s="101" t="str">
        <f t="shared" si="16"/>
        <v>One-off</v>
      </c>
      <c r="AC186" s="101" t="str">
        <f t="shared" si="21"/>
        <v>RON</v>
      </c>
      <c r="AD186" s="101">
        <f t="shared" si="22"/>
        <v>10000</v>
      </c>
    </row>
    <row r="187" spans="1:30">
      <c r="A187" s="101">
        <f t="shared" si="23"/>
        <v>6</v>
      </c>
      <c r="B187" s="101">
        <f t="shared" si="19"/>
        <v>6</v>
      </c>
      <c r="C187" s="101" t="str">
        <f t="shared" si="20"/>
        <v>T6</v>
      </c>
      <c r="D187" s="101" t="str">
        <f>IF(A187&lt;&gt;A186,VLOOKUP(A187,'Date SPV'!$A:$D,4,FALSE),D186)</f>
        <v>Deva Shopping City SRL</v>
      </c>
      <c r="E187" s="101" t="str">
        <f>VLOOKUP(A187,'Date SPV'!$A$4:$B$34,2,FALSE)</f>
        <v>RDSC</v>
      </c>
      <c r="H187" s="105" t="s">
        <v>894</v>
      </c>
      <c r="K187" s="101" t="str">
        <f>VLOOKUP(C187,'Preturi si tarife'!$A$4:$B$39,2,FALSE)</f>
        <v xml:space="preserve">Servicii Sistem </v>
      </c>
      <c r="L187" s="102">
        <f>IF(B187=1,'Date masura OD'!$I$5,IF(B187=19,'Date masura OD'!$AK$5,L186))</f>
        <v>45778</v>
      </c>
      <c r="M187" s="102">
        <f>IF(B187=1,'Date masura OD'!$J$5,IF(B187=19,'Date masura OD'!$AL$5,M186))</f>
        <v>45808</v>
      </c>
      <c r="N187" s="104">
        <f>VLOOKUP(E187,verificare!$AR$4:$CC$33,B187+2,FALSE)</f>
        <v>440919</v>
      </c>
      <c r="O187" s="103">
        <f>HLOOKUP(VLOOKUP(E187,'Date SPV'!$B$4:$F$34,5,FALSE),'Preturi si tarife'!$C$2:$J$39,B187+2,FALSE)*10000</f>
        <v>115.1</v>
      </c>
      <c r="Q187" s="101" t="str">
        <f t="shared" si="13"/>
        <v>One-off</v>
      </c>
      <c r="R187" s="101" t="str">
        <f>VLOOKUP(K187,'Preturi si tarife'!$B$4:$K$39,10,FALSE)</f>
        <v>ICOENG0001</v>
      </c>
      <c r="T187" s="101" t="str">
        <f t="shared" si="14"/>
        <v>INV + 30</v>
      </c>
      <c r="V187" s="101" t="str">
        <f t="shared" si="15"/>
        <v>Active</v>
      </c>
      <c r="X187" s="101" t="str">
        <f t="shared" si="16"/>
        <v>One-off</v>
      </c>
      <c r="AC187" s="101" t="str">
        <f t="shared" si="21"/>
        <v>RON</v>
      </c>
      <c r="AD187" s="101">
        <f t="shared" si="22"/>
        <v>10000</v>
      </c>
    </row>
    <row r="188" spans="1:30">
      <c r="A188" s="101">
        <f t="shared" si="23"/>
        <v>6</v>
      </c>
      <c r="B188" s="101">
        <f t="shared" si="19"/>
        <v>7</v>
      </c>
      <c r="C188" s="101" t="str">
        <f t="shared" si="20"/>
        <v>T7</v>
      </c>
      <c r="D188" s="101" t="str">
        <f>IF(A188&lt;&gt;A187,VLOOKUP(A188,'Date SPV'!$A:$D,4,FALSE),D187)</f>
        <v>Deva Shopping City SRL</v>
      </c>
      <c r="E188" s="101" t="str">
        <f>VLOOKUP(A188,'Date SPV'!$A$4:$B$34,2,FALSE)</f>
        <v>RDSC</v>
      </c>
      <c r="H188" s="105" t="s">
        <v>894</v>
      </c>
      <c r="K188" s="101" t="str">
        <f>VLOOKUP(C188,'Preturi si tarife'!$A$4:$B$39,2,FALSE)</f>
        <v>Tarif de introducere en. el in retea (TL)</v>
      </c>
      <c r="L188" s="102">
        <f>IF(B188=1,'Date masura OD'!$I$5,IF(B188=19,'Date masura OD'!$AK$5,L187))</f>
        <v>45778</v>
      </c>
      <c r="M188" s="102">
        <f>IF(B188=1,'Date masura OD'!$J$5,IF(B188=19,'Date masura OD'!$AL$5,M187))</f>
        <v>45808</v>
      </c>
      <c r="N188" s="104">
        <f>VLOOKUP(E188,verificare!$AR$4:$CC$33,B188+2,FALSE)</f>
        <v>440919</v>
      </c>
      <c r="O188" s="103">
        <f>HLOOKUP(VLOOKUP(E188,'Date SPV'!$B$4:$F$34,5,FALSE),'Preturi si tarife'!$C$2:$J$39,B188+2,FALSE)*10000</f>
        <v>330.3</v>
      </c>
      <c r="Q188" s="101" t="str">
        <f t="shared" si="13"/>
        <v>One-off</v>
      </c>
      <c r="R188" s="101" t="str">
        <f>VLOOKUP(K188,'Preturi si tarife'!$B$4:$K$39,10,FALSE)</f>
        <v>ICOENG0001</v>
      </c>
      <c r="T188" s="101" t="str">
        <f t="shared" si="14"/>
        <v>INV + 30</v>
      </c>
      <c r="V188" s="101" t="str">
        <f t="shared" si="15"/>
        <v>Active</v>
      </c>
      <c r="X188" s="101" t="str">
        <f t="shared" si="16"/>
        <v>One-off</v>
      </c>
      <c r="AC188" s="101" t="str">
        <f t="shared" si="21"/>
        <v>RON</v>
      </c>
      <c r="AD188" s="101">
        <f t="shared" si="22"/>
        <v>10000</v>
      </c>
    </row>
    <row r="189" spans="1:30">
      <c r="A189" s="101">
        <f t="shared" si="23"/>
        <v>6</v>
      </c>
      <c r="B189" s="101">
        <f t="shared" ref="B189:B252" si="24">IF(A189&lt;&gt;A188,1,B188+1)</f>
        <v>8</v>
      </c>
      <c r="C189" s="101" t="str">
        <f t="shared" ref="C189:C252" si="25">_xlfn.CONCAT("T",B189)</f>
        <v>T8</v>
      </c>
      <c r="D189" s="101" t="str">
        <f>IF(A189&lt;&gt;A188,VLOOKUP(A189,'Date SPV'!$A:$D,4,FALSE),D188)</f>
        <v>Deva Shopping City SRL</v>
      </c>
      <c r="E189" s="101" t="str">
        <f>VLOOKUP(A189,'Date SPV'!$A$4:$B$34,2,FALSE)</f>
        <v>RDSC</v>
      </c>
      <c r="H189" s="105" t="s">
        <v>894</v>
      </c>
      <c r="K189" s="101" t="str">
        <f>VLOOKUP(C189,'Preturi si tarife'!$A$4:$B$39,2,FALSE)</f>
        <v>Tarif de introducere en.el in retea (TG)</v>
      </c>
      <c r="L189" s="102">
        <f>IF(B189=1,'Date masura OD'!$I$5,IF(B189=19,'Date masura OD'!$AK$5,L188))</f>
        <v>45778</v>
      </c>
      <c r="M189" s="102">
        <f>IF(B189=1,'Date masura OD'!$J$5,IF(B189=19,'Date masura OD'!$AL$5,M188))</f>
        <v>45808</v>
      </c>
      <c r="N189" s="104">
        <f>VLOOKUP(E189,verificare!$AR$4:$CC$33,B189+2,FALSE)</f>
        <v>440919</v>
      </c>
      <c r="O189" s="103">
        <f>HLOOKUP(VLOOKUP(E189,'Date SPV'!$B$4:$F$34,5,FALSE),'Preturi si tarife'!$C$2:$J$39,B189+2,FALSE)*10000</f>
        <v>32.9</v>
      </c>
      <c r="Q189" s="101" t="str">
        <f t="shared" si="13"/>
        <v>One-off</v>
      </c>
      <c r="R189" s="101" t="str">
        <f>VLOOKUP(K189,'Preturi si tarife'!$B$4:$K$39,10,FALSE)</f>
        <v>ICOENG0001</v>
      </c>
      <c r="T189" s="101" t="str">
        <f t="shared" si="14"/>
        <v>INV + 30</v>
      </c>
      <c r="V189" s="101" t="str">
        <f t="shared" si="15"/>
        <v>Active</v>
      </c>
      <c r="X189" s="101" t="str">
        <f t="shared" si="16"/>
        <v>One-off</v>
      </c>
      <c r="AC189" s="101" t="str">
        <f t="shared" ref="AC189:AC252" si="26">AC188</f>
        <v>RON</v>
      </c>
      <c r="AD189" s="101">
        <f t="shared" ref="AD189:AD252" si="27">AD188</f>
        <v>10000</v>
      </c>
    </row>
    <row r="190" spans="1:30">
      <c r="A190" s="101">
        <f t="shared" si="23"/>
        <v>6</v>
      </c>
      <c r="B190" s="101">
        <f t="shared" si="24"/>
        <v>9</v>
      </c>
      <c r="C190" s="101" t="str">
        <f t="shared" si="25"/>
        <v>T9</v>
      </c>
      <c r="D190" s="101" t="str">
        <f>IF(A190&lt;&gt;A189,VLOOKUP(A190,'Date SPV'!$A:$D,4,FALSE),D189)</f>
        <v>Deva Shopping City SRL</v>
      </c>
      <c r="E190" s="101" t="str">
        <f>VLOOKUP(A190,'Date SPV'!$A$4:$B$34,2,FALSE)</f>
        <v>RDSC</v>
      </c>
      <c r="H190" s="105" t="s">
        <v>894</v>
      </c>
      <c r="K190" s="101" t="str">
        <f>VLOOKUP(C190,'Preturi si tarife'!$A$4:$B$39,2,FALSE)</f>
        <v>Contributie pentru cogenerare</v>
      </c>
      <c r="L190" s="102">
        <f>IF(B190=1,'Date masura OD'!$I$5,IF(B190=19,'Date masura OD'!$AK$5,L189))</f>
        <v>45778</v>
      </c>
      <c r="M190" s="102">
        <f>IF(B190=1,'Date masura OD'!$J$5,IF(B190=19,'Date masura OD'!$AL$5,M189))</f>
        <v>45808</v>
      </c>
      <c r="N190" s="104">
        <f>VLOOKUP(E190,verificare!$AR$4:$CC$33,B190+2,FALSE)</f>
        <v>440919</v>
      </c>
      <c r="O190" s="103">
        <f>HLOOKUP(VLOOKUP(E190,'Date SPV'!$B$4:$F$34,5,FALSE),'Preturi si tarife'!$C$2:$J$39,B190+2,FALSE)*10000</f>
        <v>35</v>
      </c>
      <c r="Q190" s="101" t="str">
        <f t="shared" si="13"/>
        <v>One-off</v>
      </c>
      <c r="R190" s="101" t="str">
        <f>VLOOKUP(K190,'Preturi si tarife'!$B$4:$K$39,10,FALSE)</f>
        <v>ICOENG0001</v>
      </c>
      <c r="T190" s="101" t="str">
        <f t="shared" si="14"/>
        <v>INV + 30</v>
      </c>
      <c r="V190" s="101" t="str">
        <f t="shared" si="15"/>
        <v>Active</v>
      </c>
      <c r="X190" s="101" t="str">
        <f t="shared" si="16"/>
        <v>One-off</v>
      </c>
      <c r="AC190" s="101" t="str">
        <f t="shared" si="26"/>
        <v>RON</v>
      </c>
      <c r="AD190" s="101">
        <f t="shared" si="27"/>
        <v>10000</v>
      </c>
    </row>
    <row r="191" spans="1:30">
      <c r="A191" s="101">
        <f t="shared" si="23"/>
        <v>6</v>
      </c>
      <c r="B191" s="101">
        <f t="shared" si="24"/>
        <v>10</v>
      </c>
      <c r="C191" s="101" t="str">
        <f t="shared" si="25"/>
        <v>T10</v>
      </c>
      <c r="D191" s="101" t="str">
        <f>IF(A191&lt;&gt;A190,VLOOKUP(A191,'Date SPV'!$A:$D,4,FALSE),D190)</f>
        <v>Deva Shopping City SRL</v>
      </c>
      <c r="E191" s="101" t="str">
        <f>VLOOKUP(A191,'Date SPV'!$A$4:$B$34,2,FALSE)</f>
        <v>RDSC</v>
      </c>
      <c r="H191" s="105" t="s">
        <v>894</v>
      </c>
      <c r="K191" s="101" t="str">
        <f>VLOOKUP(C191,'Preturi si tarife'!$A$4:$B$39,2,FALSE)</f>
        <v xml:space="preserve">Certificate verzi </v>
      </c>
      <c r="L191" s="102">
        <f>IF(B191=1,'Date masura OD'!$I$5,IF(B191=19,'Date masura OD'!$AK$5,L190))</f>
        <v>45778</v>
      </c>
      <c r="M191" s="102">
        <f>IF(B191=1,'Date masura OD'!$J$5,IF(B191=19,'Date masura OD'!$AL$5,M190))</f>
        <v>45808</v>
      </c>
      <c r="N191" s="104">
        <f>VLOOKUP(E191,verificare!$AR$4:$CC$33,B191+2,FALSE)</f>
        <v>440919</v>
      </c>
      <c r="O191" s="103">
        <f>HLOOKUP(VLOOKUP(E191,'Date SPV'!$B$4:$F$34,5,FALSE),'Preturi si tarife'!$C$2:$J$39,B191+2,FALSE)*10000</f>
        <v>725.41599999999994</v>
      </c>
      <c r="Q191" s="101" t="str">
        <f t="shared" si="13"/>
        <v>One-off</v>
      </c>
      <c r="R191" s="101" t="str">
        <f>VLOOKUP(K191,'Preturi si tarife'!$B$4:$K$39,10,FALSE)</f>
        <v>ICOENG0001</v>
      </c>
      <c r="T191" s="101" t="str">
        <f t="shared" si="14"/>
        <v>INV + 30</v>
      </c>
      <c r="V191" s="101" t="str">
        <f t="shared" si="15"/>
        <v>Active</v>
      </c>
      <c r="X191" s="101" t="str">
        <f t="shared" si="16"/>
        <v>One-off</v>
      </c>
      <c r="AC191" s="101" t="str">
        <f t="shared" si="26"/>
        <v>RON</v>
      </c>
      <c r="AD191" s="101">
        <f t="shared" si="27"/>
        <v>10000</v>
      </c>
    </row>
    <row r="192" spans="1:30">
      <c r="A192" s="101">
        <f t="shared" si="23"/>
        <v>6</v>
      </c>
      <c r="B192" s="101">
        <f t="shared" si="24"/>
        <v>11</v>
      </c>
      <c r="C192" s="101" t="str">
        <f t="shared" si="25"/>
        <v>T11</v>
      </c>
      <c r="D192" s="101" t="str">
        <f>IF(A192&lt;&gt;A191,VLOOKUP(A192,'Date SPV'!$A:$D,4,FALSE),D191)</f>
        <v>Deva Shopping City SRL</v>
      </c>
      <c r="E192" s="101" t="str">
        <f>VLOOKUP(A192,'Date SPV'!$A$4:$B$34,2,FALSE)</f>
        <v>RDSC</v>
      </c>
      <c r="H192" s="105" t="s">
        <v>894</v>
      </c>
      <c r="K192" s="101" t="str">
        <f>VLOOKUP(C192,'Preturi si tarife'!$A$4:$B$39,2,FALSE)</f>
        <v>Contributie CFD</v>
      </c>
      <c r="L192" s="102">
        <f>IF(B192=1,'Date masura OD'!$I$5,IF(B192=19,'Date masura OD'!$AK$5,L191))</f>
        <v>45778</v>
      </c>
      <c r="M192" s="102">
        <f>IF(B192=1,'Date masura OD'!$J$5,IF(B192=19,'Date masura OD'!$AL$5,M191))</f>
        <v>45808</v>
      </c>
      <c r="N192" s="104">
        <f>VLOOKUP(E192,verificare!$AR$4:$CC$33,B192+2,FALSE)</f>
        <v>440919</v>
      </c>
      <c r="O192" s="103">
        <f>HLOOKUP(VLOOKUP(E192,'Date SPV'!$B$4:$F$34,5,FALSE),'Preturi si tarife'!$C$2:$J$39,B192+2,FALSE)*10000</f>
        <v>2.06</v>
      </c>
      <c r="Q192" s="101" t="str">
        <f t="shared" si="13"/>
        <v>One-off</v>
      </c>
      <c r="R192" s="101" t="str">
        <f>VLOOKUP(K192,'Preturi si tarife'!$B$4:$K$39,10,FALSE)</f>
        <v>ICOENG0001</v>
      </c>
      <c r="T192" s="101" t="str">
        <f t="shared" si="14"/>
        <v>INV + 30</v>
      </c>
      <c r="V192" s="101" t="str">
        <f t="shared" si="15"/>
        <v>Active</v>
      </c>
      <c r="X192" s="101" t="str">
        <f t="shared" si="16"/>
        <v>One-off</v>
      </c>
      <c r="AC192" s="101" t="str">
        <f t="shared" si="26"/>
        <v>RON</v>
      </c>
      <c r="AD192" s="101">
        <f t="shared" si="27"/>
        <v>10000</v>
      </c>
    </row>
    <row r="193" spans="1:30">
      <c r="A193" s="101">
        <f t="shared" si="23"/>
        <v>6</v>
      </c>
      <c r="B193" s="101">
        <f t="shared" si="24"/>
        <v>12</v>
      </c>
      <c r="C193" s="101" t="str">
        <f t="shared" si="25"/>
        <v>T12</v>
      </c>
      <c r="D193" s="101" t="str">
        <f>IF(A193&lt;&gt;A192,VLOOKUP(A193,'Date SPV'!$A:$D,4,FALSE),D192)</f>
        <v>Deva Shopping City SRL</v>
      </c>
      <c r="E193" s="101" t="str">
        <f>VLOOKUP(A193,'Date SPV'!$A$4:$B$34,2,FALSE)</f>
        <v>RDSC</v>
      </c>
      <c r="H193" s="105" t="s">
        <v>894</v>
      </c>
      <c r="K193" s="101" t="str">
        <f>VLOOKUP(C193,'Preturi si tarife'!$A$4:$B$39,2,FALSE)</f>
        <v>Acciza</v>
      </c>
      <c r="L193" s="102">
        <f>IF(B193=1,'Date masura OD'!$I$5,IF(B193=19,'Date masura OD'!$AK$5,L192))</f>
        <v>45778</v>
      </c>
      <c r="M193" s="102">
        <f>IF(B193=1,'Date masura OD'!$J$5,IF(B193=19,'Date masura OD'!$AL$5,M192))</f>
        <v>45808</v>
      </c>
      <c r="N193" s="104">
        <f>VLOOKUP(E193,verificare!$AR$4:$CC$33,B193+2,FALSE)</f>
        <v>440919</v>
      </c>
      <c r="O193" s="103">
        <f>HLOOKUP(VLOOKUP(E193,'Date SPV'!$B$4:$F$34,5,FALSE),'Preturi si tarife'!$C$2:$J$39,B193+2,FALSE)*10000</f>
        <v>0</v>
      </c>
      <c r="Q193" s="101" t="str">
        <f t="shared" si="13"/>
        <v>One-off</v>
      </c>
      <c r="R193" s="101" t="str">
        <f>VLOOKUP(K193,'Preturi si tarife'!$B$4:$K$39,10,FALSE)</f>
        <v>ICOENG0001</v>
      </c>
      <c r="T193" s="101" t="str">
        <f t="shared" si="14"/>
        <v>INV + 30</v>
      </c>
      <c r="V193" s="101" t="str">
        <f t="shared" si="15"/>
        <v>Active</v>
      </c>
      <c r="X193" s="101" t="str">
        <f t="shared" si="16"/>
        <v>One-off</v>
      </c>
      <c r="AC193" s="101" t="str">
        <f t="shared" si="26"/>
        <v>RON</v>
      </c>
      <c r="AD193" s="101">
        <f t="shared" si="27"/>
        <v>10000</v>
      </c>
    </row>
    <row r="194" spans="1:30">
      <c r="A194" s="101">
        <f t="shared" si="23"/>
        <v>6</v>
      </c>
      <c r="B194" s="101">
        <f t="shared" si="24"/>
        <v>13</v>
      </c>
      <c r="C194" s="101" t="str">
        <f t="shared" si="25"/>
        <v>T13</v>
      </c>
      <c r="D194" s="101" t="str">
        <f>IF(A194&lt;&gt;A193,VLOOKUP(A194,'Date SPV'!$A:$D,4,FALSE),D193)</f>
        <v>Deva Shopping City SRL</v>
      </c>
      <c r="E194" s="101" t="str">
        <f>VLOOKUP(A194,'Date SPV'!$A$4:$B$34,2,FALSE)</f>
        <v>RDSC</v>
      </c>
      <c r="H194" s="105" t="s">
        <v>894</v>
      </c>
      <c r="K194" s="101" t="str">
        <f>VLOOKUP(C194,'Preturi si tarife'!$A$4:$B$39,2,FALSE)</f>
        <v>Tarif distributie SDI MT</v>
      </c>
      <c r="L194" s="102">
        <f>IF(B194=1,'Date masura OD'!$I$5,IF(B194=19,'Date masura OD'!$AK$5,L193))</f>
        <v>45778</v>
      </c>
      <c r="M194" s="102">
        <f>IF(B194=1,'Date masura OD'!$J$5,IF(B194=19,'Date masura OD'!$AL$5,M193))</f>
        <v>45808</v>
      </c>
      <c r="N194" s="104">
        <f>VLOOKUP(E194,verificare!$AR$4:$CC$33,B194+2,FALSE)</f>
        <v>440919</v>
      </c>
      <c r="O194" s="103">
        <f>HLOOKUP(VLOOKUP(E194,'Date SPV'!$B$4:$F$34,5,FALSE),'Preturi si tarife'!$C$2:$J$39,B194+2,FALSE)*10000</f>
        <v>115.99999999999999</v>
      </c>
      <c r="Q194" s="101" t="str">
        <f t="shared" si="13"/>
        <v>One-off</v>
      </c>
      <c r="R194" s="101" t="str">
        <f>VLOOKUP(K194,'Preturi si tarife'!$B$4:$K$39,10,FALSE)</f>
        <v>ICOENG0010</v>
      </c>
      <c r="T194" s="101" t="str">
        <f t="shared" si="14"/>
        <v>INV + 30</v>
      </c>
      <c r="V194" s="101" t="str">
        <f t="shared" si="15"/>
        <v>Active</v>
      </c>
      <c r="X194" s="101" t="str">
        <f t="shared" si="16"/>
        <v>One-off</v>
      </c>
      <c r="AC194" s="101" t="str">
        <f t="shared" si="26"/>
        <v>RON</v>
      </c>
      <c r="AD194" s="101">
        <f t="shared" si="27"/>
        <v>10000</v>
      </c>
    </row>
    <row r="195" spans="1:30">
      <c r="A195" s="101">
        <f t="shared" si="23"/>
        <v>6</v>
      </c>
      <c r="B195" s="101">
        <f t="shared" si="24"/>
        <v>14</v>
      </c>
      <c r="C195" s="101" t="str">
        <f t="shared" si="25"/>
        <v>T14</v>
      </c>
      <c r="D195" s="101" t="str">
        <f>IF(A195&lt;&gt;A194,VLOOKUP(A195,'Date SPV'!$A:$D,4,FALSE),D194)</f>
        <v>Deva Shopping City SRL</v>
      </c>
      <c r="E195" s="101" t="str">
        <f>VLOOKUP(A195,'Date SPV'!$A$4:$B$34,2,FALSE)</f>
        <v>RDSC</v>
      </c>
      <c r="H195" s="105" t="s">
        <v>894</v>
      </c>
      <c r="K195" s="101" t="str">
        <f>VLOOKUP(C195,'Preturi si tarife'!$A$4:$B$39,2,FALSE)</f>
        <v>Tarif distributie SDI JT</v>
      </c>
      <c r="L195" s="102">
        <f>IF(B195=1,'Date masura OD'!$I$5,IF(B195=19,'Date masura OD'!$AK$5,L194))</f>
        <v>45778</v>
      </c>
      <c r="M195" s="102">
        <f>IF(B195=1,'Date masura OD'!$J$5,IF(B195=19,'Date masura OD'!$AL$5,M194))</f>
        <v>45808</v>
      </c>
      <c r="N195" s="104">
        <f>VLOOKUP(E195,verificare!$AR$4:$CC$33,B195+2,FALSE)</f>
        <v>440919</v>
      </c>
      <c r="O195" s="103">
        <f>HLOOKUP(VLOOKUP(E195,'Date SPV'!$B$4:$F$34,5,FALSE),'Preturi si tarife'!$C$2:$J$39,B195+2,FALSE)*10000</f>
        <v>832</v>
      </c>
      <c r="Q195" s="101" t="str">
        <f t="shared" si="13"/>
        <v>One-off</v>
      </c>
      <c r="R195" s="101" t="str">
        <f>VLOOKUP(K195,'Preturi si tarife'!$B$4:$K$39,10,FALSE)</f>
        <v>ICOENG0010</v>
      </c>
      <c r="T195" s="101" t="str">
        <f t="shared" si="14"/>
        <v>INV + 30</v>
      </c>
      <c r="V195" s="101" t="str">
        <f t="shared" si="15"/>
        <v>Active</v>
      </c>
      <c r="X195" s="101" t="str">
        <f t="shared" si="16"/>
        <v>One-off</v>
      </c>
      <c r="AC195" s="101" t="str">
        <f t="shared" si="26"/>
        <v>RON</v>
      </c>
      <c r="AD195" s="101">
        <f t="shared" si="27"/>
        <v>10000</v>
      </c>
    </row>
    <row r="196" spans="1:30">
      <c r="A196" s="101">
        <f t="shared" ref="A196:A259" si="28">IF(B195=36,A195+1,A195)</f>
        <v>6</v>
      </c>
      <c r="B196" s="101">
        <f t="shared" si="24"/>
        <v>15</v>
      </c>
      <c r="C196" s="101" t="str">
        <f t="shared" si="25"/>
        <v>T15</v>
      </c>
      <c r="D196" s="101" t="str">
        <f>IF(A196&lt;&gt;A195,VLOOKUP(A196,'Date SPV'!$A:$D,4,FALSE),D195)</f>
        <v>Deva Shopping City SRL</v>
      </c>
      <c r="E196" s="101" t="str">
        <f>VLOOKUP(A196,'Date SPV'!$A$4:$B$34,2,FALSE)</f>
        <v>RDSC</v>
      </c>
      <c r="H196" s="105" t="s">
        <v>894</v>
      </c>
      <c r="K196" s="101" t="str">
        <f>VLOOKUP(C196,'Preturi si tarife'!$A$4:$B$39,2,FALSE)</f>
        <v>Energie activa 2</v>
      </c>
      <c r="L196" s="102">
        <f>IF(B196=1,'Date masura OD'!$I$5,IF(B196=19,'Date masura OD'!$AK$5,L195))</f>
        <v>45778</v>
      </c>
      <c r="M196" s="102">
        <f>IF(B196=1,'Date masura OD'!$J$5,IF(B196=19,'Date masura OD'!$AL$5,M195))</f>
        <v>45808</v>
      </c>
      <c r="N196" s="104">
        <f>VLOOKUP(E196,verificare!$AR$4:$CC$33,B196+2,FALSE)</f>
        <v>210825</v>
      </c>
      <c r="O196" s="103">
        <f>HLOOKUP(VLOOKUP(E196,'Date SPV'!$B$4:$F$34,5,FALSE),'Preturi si tarife'!$C$2:$J$39,B196+2,FALSE)*10000</f>
        <v>9000.5760000000009</v>
      </c>
      <c r="Q196" s="101" t="str">
        <f t="shared" si="13"/>
        <v>One-off</v>
      </c>
      <c r="R196" s="101" t="str">
        <f>VLOOKUP(K196,'Preturi si tarife'!$B$4:$K$39,10,FALSE)</f>
        <v>ICOENG0012</v>
      </c>
      <c r="T196" s="101" t="str">
        <f t="shared" si="14"/>
        <v>INV + 30</v>
      </c>
      <c r="V196" s="101" t="str">
        <f t="shared" si="15"/>
        <v>Active</v>
      </c>
      <c r="X196" s="101" t="str">
        <f t="shared" si="16"/>
        <v>One-off</v>
      </c>
      <c r="AC196" s="101" t="str">
        <f t="shared" si="26"/>
        <v>RON</v>
      </c>
      <c r="AD196" s="101">
        <f t="shared" si="27"/>
        <v>10000</v>
      </c>
    </row>
    <row r="197" spans="1:30">
      <c r="A197" s="101">
        <f t="shared" si="28"/>
        <v>6</v>
      </c>
      <c r="B197" s="101">
        <f t="shared" si="24"/>
        <v>16</v>
      </c>
      <c r="C197" s="101" t="str">
        <f t="shared" si="25"/>
        <v>T16</v>
      </c>
      <c r="D197" s="101" t="str">
        <f>IF(A197&lt;&gt;A196,VLOOKUP(A197,'Date SPV'!$A:$D,4,FALSE),D196)</f>
        <v>Deva Shopping City SRL</v>
      </c>
      <c r="E197" s="101" t="str">
        <f>VLOOKUP(A197,'Date SPV'!$A$4:$B$34,2,FALSE)</f>
        <v>RDSC</v>
      </c>
      <c r="H197" s="105" t="s">
        <v>894</v>
      </c>
      <c r="K197" s="101" t="str">
        <f>VLOOKUP(C197,'Preturi si tarife'!$A$4:$B$39,2,FALSE)</f>
        <v>Energie activa 3</v>
      </c>
      <c r="L197" s="102">
        <f>IF(B197=1,'Date masura OD'!$I$5,IF(B197=19,'Date masura OD'!$AK$5,L196))</f>
        <v>45778</v>
      </c>
      <c r="M197" s="102">
        <f>IF(B197=1,'Date masura OD'!$J$5,IF(B197=19,'Date masura OD'!$AL$5,M196))</f>
        <v>45808</v>
      </c>
      <c r="N197" s="104">
        <f>VLOOKUP(E197,verificare!$AR$4:$CC$33,B197+2,FALSE)</f>
        <v>56743</v>
      </c>
      <c r="O197" s="103">
        <f>HLOOKUP(VLOOKUP(E197,'Date SPV'!$B$4:$F$34,5,FALSE),'Preturi si tarife'!$C$2:$J$39,B197+2,FALSE)*10000</f>
        <v>8052.576</v>
      </c>
      <c r="Q197" s="101" t="str">
        <f t="shared" si="13"/>
        <v>One-off</v>
      </c>
      <c r="R197" s="101" t="str">
        <f>VLOOKUP(K197,'Preturi si tarife'!$B$4:$K$39,10,FALSE)</f>
        <v>ICOENG0012</v>
      </c>
      <c r="T197" s="101" t="str">
        <f t="shared" si="14"/>
        <v>INV + 30</v>
      </c>
      <c r="V197" s="101" t="str">
        <f t="shared" si="15"/>
        <v>Active</v>
      </c>
      <c r="X197" s="101" t="str">
        <f t="shared" si="16"/>
        <v>One-off</v>
      </c>
      <c r="AC197" s="101" t="str">
        <f t="shared" si="26"/>
        <v>RON</v>
      </c>
      <c r="AD197" s="101">
        <f t="shared" si="27"/>
        <v>10000</v>
      </c>
    </row>
    <row r="198" spans="1:30">
      <c r="A198" s="101">
        <f t="shared" si="28"/>
        <v>6</v>
      </c>
      <c r="B198" s="101">
        <f t="shared" si="24"/>
        <v>17</v>
      </c>
      <c r="C198" s="101" t="str">
        <f t="shared" si="25"/>
        <v>T17</v>
      </c>
      <c r="D198" s="101" t="str">
        <f>IF(A198&lt;&gt;A197,VLOOKUP(A198,'Date SPV'!$A:$D,4,FALSE),D197)</f>
        <v>Deva Shopping City SRL</v>
      </c>
      <c r="E198" s="101" t="str">
        <f>VLOOKUP(A198,'Date SPV'!$A$4:$B$34,2,FALSE)</f>
        <v>RDSC</v>
      </c>
      <c r="H198" s="105" t="s">
        <v>894</v>
      </c>
      <c r="K198" s="101" t="str">
        <f>VLOOKUP(C198,'Preturi si tarife'!$A$4:$B$39,2,FALSE)</f>
        <v>Tarif distributie SDI MT_</v>
      </c>
      <c r="L198" s="102">
        <f>IF(B198=1,'Date masura OD'!$I$5,IF(B198=19,'Date masura OD'!$AK$5,L197))</f>
        <v>45778</v>
      </c>
      <c r="M198" s="102">
        <f>IF(B198=1,'Date masura OD'!$J$5,IF(B198=19,'Date masura OD'!$AL$5,M197))</f>
        <v>45808</v>
      </c>
      <c r="N198" s="104">
        <f>VLOOKUP(E198,verificare!$AR$4:$CC$33,B198+2,FALSE)</f>
        <v>56743</v>
      </c>
      <c r="O198" s="103">
        <f>HLOOKUP(VLOOKUP(E198,'Date SPV'!$B$4:$F$34,5,FALSE),'Preturi si tarife'!$C$2:$J$39,B198+2,FALSE)*10000</f>
        <v>115.99999999999999</v>
      </c>
      <c r="Q198" s="101" t="str">
        <f t="shared" si="13"/>
        <v>One-off</v>
      </c>
      <c r="R198" s="101" t="str">
        <f>VLOOKUP(K198,'Preturi si tarife'!$B$4:$K$39,10,FALSE)</f>
        <v>ICOENG0010</v>
      </c>
      <c r="T198" s="101" t="str">
        <f t="shared" si="14"/>
        <v>INV + 30</v>
      </c>
      <c r="V198" s="101" t="str">
        <f t="shared" si="15"/>
        <v>Active</v>
      </c>
      <c r="X198" s="101" t="str">
        <f t="shared" si="16"/>
        <v>One-off</v>
      </c>
      <c r="AC198" s="101" t="str">
        <f t="shared" si="26"/>
        <v>RON</v>
      </c>
      <c r="AD198" s="101">
        <f t="shared" si="27"/>
        <v>10000</v>
      </c>
    </row>
    <row r="199" spans="1:30">
      <c r="A199" s="101">
        <f t="shared" si="28"/>
        <v>6</v>
      </c>
      <c r="B199" s="101">
        <f t="shared" si="24"/>
        <v>18</v>
      </c>
      <c r="C199" s="101" t="str">
        <f t="shared" si="25"/>
        <v>T18</v>
      </c>
      <c r="D199" s="101" t="str">
        <f>IF(A199&lt;&gt;A198,VLOOKUP(A199,'Date SPV'!$A:$D,4,FALSE),D198)</f>
        <v>Deva Shopping City SRL</v>
      </c>
      <c r="E199" s="101" t="str">
        <f>VLOOKUP(A199,'Date SPV'!$A$4:$B$34,2,FALSE)</f>
        <v>RDSC</v>
      </c>
      <c r="H199" s="105" t="s">
        <v>894</v>
      </c>
      <c r="K199" s="101" t="str">
        <f>VLOOKUP(C199,'Preturi si tarife'!$A$4:$B$39,2,FALSE)</f>
        <v>Tarif distributie SDI JT_</v>
      </c>
      <c r="L199" s="102">
        <f>IF(B199=1,'Date masura OD'!$I$5,IF(B199=19,'Date masura OD'!$AK$5,L198))</f>
        <v>45778</v>
      </c>
      <c r="M199" s="102">
        <f>IF(B199=1,'Date masura OD'!$J$5,IF(B199=19,'Date masura OD'!$AL$5,M198))</f>
        <v>45808</v>
      </c>
      <c r="N199" s="104">
        <f>VLOOKUP(E199,verificare!$AR$4:$CC$33,B199+2,FALSE)</f>
        <v>56743</v>
      </c>
      <c r="O199" s="103">
        <f>HLOOKUP(VLOOKUP(E199,'Date SPV'!$B$4:$F$34,5,FALSE),'Preturi si tarife'!$C$2:$J$39,B199+2,FALSE)*10000</f>
        <v>832</v>
      </c>
      <c r="Q199" s="101" t="str">
        <f t="shared" si="13"/>
        <v>One-off</v>
      </c>
      <c r="R199" s="101" t="str">
        <f>VLOOKUP(K199,'Preturi si tarife'!$B$4:$K$39,10,FALSE)</f>
        <v>ICOENG0010</v>
      </c>
      <c r="T199" s="101" t="str">
        <f t="shared" si="14"/>
        <v>INV + 30</v>
      </c>
      <c r="V199" s="101" t="str">
        <f t="shared" si="15"/>
        <v>Active</v>
      </c>
      <c r="X199" s="101" t="str">
        <f t="shared" si="16"/>
        <v>One-off</v>
      </c>
      <c r="AC199" s="101" t="str">
        <f t="shared" si="26"/>
        <v>RON</v>
      </c>
      <c r="AD199" s="101">
        <f t="shared" si="27"/>
        <v>10000</v>
      </c>
    </row>
    <row r="200" spans="1:30">
      <c r="A200" s="101">
        <f t="shared" si="28"/>
        <v>6</v>
      </c>
      <c r="B200" s="101">
        <f t="shared" si="24"/>
        <v>19</v>
      </c>
      <c r="C200" s="101" t="str">
        <f t="shared" si="25"/>
        <v>T19</v>
      </c>
      <c r="D200" s="101" t="str">
        <f>IF(A200&lt;&gt;A199,VLOOKUP(A200,'Date SPV'!$A:$D,4,FALSE),D199)</f>
        <v>Deva Shopping City SRL</v>
      </c>
      <c r="E200" s="101" t="str">
        <f>VLOOKUP(A200,'Date SPV'!$A$4:$B$34,2,FALSE)</f>
        <v>RDSC</v>
      </c>
      <c r="H200" s="105" t="s">
        <v>894</v>
      </c>
      <c r="K200" s="101" t="str">
        <f>VLOOKUP(C200,'Preturi si tarife'!$A$4:$B$39,2,FALSE)</f>
        <v>Regularizare Energie activa 1</v>
      </c>
      <c r="L200" s="102">
        <f>IF(B200=1,'Date masura OD'!$I$5,IF(B200=19,'Date masura OD'!$AK$5,L199))</f>
        <v>45748</v>
      </c>
      <c r="M200" s="102">
        <f>IF(B200=1,'Date masura OD'!$J$5,IF(B200=19,'Date masura OD'!$AL$5,M199))</f>
        <v>45777</v>
      </c>
      <c r="N200" s="104">
        <f>VLOOKUP(E200,verificare!$AR$4:$CC$33,B200+2,FALSE)</f>
        <v>0</v>
      </c>
      <c r="O200" s="103">
        <f>HLOOKUP(VLOOKUP(E200,'Date SPV'!$B$4:$F$34,5,FALSE),'Preturi si tarife'!$C$2:$J$39,B200+2,FALSE)*10000</f>
        <v>5950</v>
      </c>
      <c r="Q200" s="101" t="str">
        <f t="shared" si="13"/>
        <v>One-off</v>
      </c>
      <c r="R200" s="101" t="str">
        <f>VLOOKUP(K200,'Preturi si tarife'!$B$4:$K$39,10,FALSE)</f>
        <v>ICOENG0001</v>
      </c>
      <c r="T200" s="101" t="str">
        <f t="shared" si="14"/>
        <v>INV + 30</v>
      </c>
      <c r="V200" s="101" t="str">
        <f t="shared" si="15"/>
        <v>Active</v>
      </c>
      <c r="X200" s="101" t="str">
        <f t="shared" si="16"/>
        <v>One-off</v>
      </c>
      <c r="AC200" s="101" t="str">
        <f t="shared" si="26"/>
        <v>RON</v>
      </c>
      <c r="AD200" s="101">
        <f t="shared" si="27"/>
        <v>10000</v>
      </c>
    </row>
    <row r="201" spans="1:30">
      <c r="A201" s="101">
        <f t="shared" si="28"/>
        <v>6</v>
      </c>
      <c r="B201" s="101">
        <f t="shared" si="24"/>
        <v>20</v>
      </c>
      <c r="C201" s="101" t="str">
        <f t="shared" si="25"/>
        <v>T20</v>
      </c>
      <c r="D201" s="101" t="str">
        <f>IF(A201&lt;&gt;A200,VLOOKUP(A201,'Date SPV'!$A:$D,4,FALSE),D200)</f>
        <v>Deva Shopping City SRL</v>
      </c>
      <c r="E201" s="101" t="str">
        <f>VLOOKUP(A201,'Date SPV'!$A$4:$B$34,2,FALSE)</f>
        <v>RDSC</v>
      </c>
      <c r="H201" s="105" t="s">
        <v>894</v>
      </c>
      <c r="K201" s="101" t="str">
        <f>VLOOKUP(C201,'Preturi si tarife'!$A$4:$B$39,2,FALSE)</f>
        <v>Regularizare Energie reactiva  1X</v>
      </c>
      <c r="L201" s="102">
        <f>IF(B201=1,'Date masura OD'!$I$5,IF(B201=19,'Date masura OD'!$AK$5,L200))</f>
        <v>45748</v>
      </c>
      <c r="M201" s="102">
        <f>IF(B201=1,'Date masura OD'!$J$5,IF(B201=19,'Date masura OD'!$AL$5,M200))</f>
        <v>45777</v>
      </c>
      <c r="N201" s="104">
        <f>VLOOKUP(E201,verificare!$AR$4:$CC$33,B201+2,FALSE)</f>
        <v>4452</v>
      </c>
      <c r="O201" s="103">
        <f>HLOOKUP(VLOOKUP(E201,'Date SPV'!$B$4:$F$34,5,FALSE),'Preturi si tarife'!$C$2:$J$39,B201+2,FALSE)*10000</f>
        <v>1466</v>
      </c>
      <c r="Q201" s="101" t="str">
        <f t="shared" si="13"/>
        <v>One-off</v>
      </c>
      <c r="R201" s="101" t="str">
        <f>VLOOKUP(K201,'Preturi si tarife'!$B$4:$K$39,10,FALSE)</f>
        <v>ICOENG0001</v>
      </c>
      <c r="T201" s="101" t="str">
        <f t="shared" si="14"/>
        <v>INV + 30</v>
      </c>
      <c r="V201" s="101" t="str">
        <f t="shared" si="15"/>
        <v>Active</v>
      </c>
      <c r="X201" s="101" t="str">
        <f t="shared" si="16"/>
        <v>One-off</v>
      </c>
      <c r="AC201" s="101" t="str">
        <f t="shared" si="26"/>
        <v>RON</v>
      </c>
      <c r="AD201" s="101">
        <f t="shared" si="27"/>
        <v>10000</v>
      </c>
    </row>
    <row r="202" spans="1:30">
      <c r="A202" s="101">
        <f t="shared" si="28"/>
        <v>6</v>
      </c>
      <c r="B202" s="101">
        <f t="shared" si="24"/>
        <v>21</v>
      </c>
      <c r="C202" s="101" t="str">
        <f t="shared" si="25"/>
        <v>T21</v>
      </c>
      <c r="D202" s="101" t="str">
        <f>IF(A202&lt;&gt;A201,VLOOKUP(A202,'Date SPV'!$A:$D,4,FALSE),D201)</f>
        <v>Deva Shopping City SRL</v>
      </c>
      <c r="E202" s="101" t="str">
        <f>VLOOKUP(A202,'Date SPV'!$A$4:$B$34,2,FALSE)</f>
        <v>RDSC</v>
      </c>
      <c r="H202" s="105" t="s">
        <v>894</v>
      </c>
      <c r="K202" s="101" t="str">
        <f>VLOOKUP(C202,'Preturi si tarife'!$A$4:$B$39,2,FALSE)</f>
        <v>Regularizare Energie reactiva  3X</v>
      </c>
      <c r="L202" s="102">
        <f>IF(B202=1,'Date masura OD'!$I$5,IF(B202=19,'Date masura OD'!$AK$5,L201))</f>
        <v>45748</v>
      </c>
      <c r="M202" s="102">
        <f>IF(B202=1,'Date masura OD'!$J$5,IF(B202=19,'Date masura OD'!$AL$5,M201))</f>
        <v>45777</v>
      </c>
      <c r="N202" s="104">
        <f>VLOOKUP(E202,verificare!$AR$4:$CC$33,B202+2,FALSE)</f>
        <v>2366</v>
      </c>
      <c r="O202" s="103">
        <f>HLOOKUP(VLOOKUP(E202,'Date SPV'!$B$4:$F$34,5,FALSE),'Preturi si tarife'!$C$2:$J$39,B202+2,FALSE)*10000</f>
        <v>4398</v>
      </c>
      <c r="Q202" s="101" t="str">
        <f t="shared" si="13"/>
        <v>One-off</v>
      </c>
      <c r="R202" s="101" t="str">
        <f>VLOOKUP(K202,'Preturi si tarife'!$B$4:$K$39,10,FALSE)</f>
        <v>ICOENG0001</v>
      </c>
      <c r="T202" s="101" t="str">
        <f t="shared" si="14"/>
        <v>INV + 30</v>
      </c>
      <c r="V202" s="101" t="str">
        <f t="shared" si="15"/>
        <v>Active</v>
      </c>
      <c r="X202" s="101" t="str">
        <f t="shared" si="16"/>
        <v>One-off</v>
      </c>
      <c r="AC202" s="101" t="str">
        <f t="shared" si="26"/>
        <v>RON</v>
      </c>
      <c r="AD202" s="101">
        <f t="shared" si="27"/>
        <v>10000</v>
      </c>
    </row>
    <row r="203" spans="1:30">
      <c r="A203" s="101">
        <f t="shared" si="28"/>
        <v>6</v>
      </c>
      <c r="B203" s="101">
        <f t="shared" si="24"/>
        <v>22</v>
      </c>
      <c r="C203" s="101" t="str">
        <f t="shared" si="25"/>
        <v>T22</v>
      </c>
      <c r="D203" s="101" t="str">
        <f>IF(A203&lt;&gt;A202,VLOOKUP(A203,'Date SPV'!$A:$D,4,FALSE),D202)</f>
        <v>Deva Shopping City SRL</v>
      </c>
      <c r="E203" s="101" t="str">
        <f>VLOOKUP(A203,'Date SPV'!$A$4:$B$34,2,FALSE)</f>
        <v>RDSC</v>
      </c>
      <c r="H203" s="105" t="s">
        <v>894</v>
      </c>
      <c r="K203" s="101" t="str">
        <f>VLOOKUP(C203,'Preturi si tarife'!$A$4:$B$39,2,FALSE)</f>
        <v>Regularizare Tarife distributie en. El IT+MT</v>
      </c>
      <c r="L203" s="102">
        <f>IF(B203=1,'Date masura OD'!$I$5,IF(B203=19,'Date masura OD'!$AK$5,L202))</f>
        <v>45748</v>
      </c>
      <c r="M203" s="102">
        <f>IF(B203=1,'Date masura OD'!$J$5,IF(B203=19,'Date masura OD'!$AL$5,M202))</f>
        <v>45777</v>
      </c>
      <c r="N203" s="104">
        <f>VLOOKUP(E203,verificare!$AR$4:$CC$33,B203+2,FALSE)</f>
        <v>0</v>
      </c>
      <c r="O203" s="103">
        <f>HLOOKUP(VLOOKUP(E203,'Date SPV'!$B$4:$F$34,5,FALSE),'Preturi si tarife'!$C$2:$J$39,B203+2,FALSE)*10000</f>
        <v>861.80000000000007</v>
      </c>
      <c r="Q203" s="101" t="str">
        <f t="shared" si="13"/>
        <v>One-off</v>
      </c>
      <c r="R203" s="101" t="str">
        <f>VLOOKUP(K203,'Preturi si tarife'!$B$4:$K$39,10,FALSE)</f>
        <v>ICOENG0001</v>
      </c>
      <c r="T203" s="101" t="str">
        <f t="shared" si="14"/>
        <v>INV + 30</v>
      </c>
      <c r="V203" s="101" t="str">
        <f t="shared" si="15"/>
        <v>Active</v>
      </c>
      <c r="X203" s="101" t="str">
        <f t="shared" si="16"/>
        <v>One-off</v>
      </c>
      <c r="AC203" s="101" t="str">
        <f t="shared" si="26"/>
        <v>RON</v>
      </c>
      <c r="AD203" s="101">
        <f t="shared" si="27"/>
        <v>10000</v>
      </c>
    </row>
    <row r="204" spans="1:30">
      <c r="A204" s="101">
        <f t="shared" si="28"/>
        <v>6</v>
      </c>
      <c r="B204" s="101">
        <f t="shared" si="24"/>
        <v>23</v>
      </c>
      <c r="C204" s="101" t="str">
        <f t="shared" si="25"/>
        <v>T23</v>
      </c>
      <c r="D204" s="101" t="str">
        <f>IF(A204&lt;&gt;A203,VLOOKUP(A204,'Date SPV'!$A:$D,4,FALSE),D203)</f>
        <v>Deva Shopping City SRL</v>
      </c>
      <c r="E204" s="101" t="str">
        <f>VLOOKUP(A204,'Date SPV'!$A$4:$B$34,2,FALSE)</f>
        <v>RDSC</v>
      </c>
      <c r="H204" s="105" t="s">
        <v>894</v>
      </c>
      <c r="K204" s="101" t="str">
        <f>VLOOKUP(C204,'Preturi si tarife'!$A$4:$B$39,2,FALSE)</f>
        <v>Regularizare Tarife distributie en. El JT</v>
      </c>
      <c r="L204" s="102">
        <f>IF(B204=1,'Date masura OD'!$I$5,IF(B204=19,'Date masura OD'!$AK$5,L203))</f>
        <v>45748</v>
      </c>
      <c r="M204" s="102">
        <f>IF(B204=1,'Date masura OD'!$J$5,IF(B204=19,'Date masura OD'!$AL$5,M203))</f>
        <v>45777</v>
      </c>
      <c r="N204" s="104">
        <f>VLOOKUP(E204,verificare!$AR$4:$CC$33,B204+2,FALSE)</f>
        <v>0</v>
      </c>
      <c r="O204" s="103">
        <f>HLOOKUP(VLOOKUP(E204,'Date SPV'!$B$4:$F$34,5,FALSE),'Preturi si tarife'!$C$2:$J$39,B204+2,FALSE)*10000</f>
        <v>2079</v>
      </c>
      <c r="Q204" s="101" t="str">
        <f t="shared" si="13"/>
        <v>One-off</v>
      </c>
      <c r="R204" s="101" t="str">
        <f>VLOOKUP(K204,'Preturi si tarife'!$B$4:$K$39,10,FALSE)</f>
        <v>ICOENG0001</v>
      </c>
      <c r="T204" s="101" t="str">
        <f t="shared" si="14"/>
        <v>INV + 30</v>
      </c>
      <c r="V204" s="101" t="str">
        <f t="shared" si="15"/>
        <v>Active</v>
      </c>
      <c r="X204" s="101" t="str">
        <f t="shared" si="16"/>
        <v>One-off</v>
      </c>
      <c r="AC204" s="101" t="str">
        <f t="shared" si="26"/>
        <v>RON</v>
      </c>
      <c r="AD204" s="101">
        <f t="shared" si="27"/>
        <v>10000</v>
      </c>
    </row>
    <row r="205" spans="1:30">
      <c r="A205" s="101">
        <f t="shared" si="28"/>
        <v>6</v>
      </c>
      <c r="B205" s="101">
        <f t="shared" si="24"/>
        <v>24</v>
      </c>
      <c r="C205" s="101" t="str">
        <f t="shared" si="25"/>
        <v>T24</v>
      </c>
      <c r="D205" s="101" t="str">
        <f>IF(A205&lt;&gt;A204,VLOOKUP(A205,'Date SPV'!$A:$D,4,FALSE),D204)</f>
        <v>Deva Shopping City SRL</v>
      </c>
      <c r="E205" s="101" t="str">
        <f>VLOOKUP(A205,'Date SPV'!$A$4:$B$34,2,FALSE)</f>
        <v>RDSC</v>
      </c>
      <c r="H205" s="105" t="s">
        <v>894</v>
      </c>
      <c r="K205" s="101" t="str">
        <f>VLOOKUP(C205,'Preturi si tarife'!$A$4:$B$39,2,FALSE)</f>
        <v xml:space="preserve">Regularizare Servicii Sistem </v>
      </c>
      <c r="L205" s="102">
        <f>IF(B205=1,'Date masura OD'!$I$5,IF(B205=19,'Date masura OD'!$AK$5,L204))</f>
        <v>45748</v>
      </c>
      <c r="M205" s="102">
        <f>IF(B205=1,'Date masura OD'!$J$5,IF(B205=19,'Date masura OD'!$AL$5,M204))</f>
        <v>45777</v>
      </c>
      <c r="N205" s="104">
        <f>VLOOKUP(E205,verificare!$AR$4:$CC$33,B205+2,FALSE)</f>
        <v>0</v>
      </c>
      <c r="O205" s="103">
        <f>HLOOKUP(VLOOKUP(E205,'Date SPV'!$B$4:$F$34,5,FALSE),'Preturi si tarife'!$C$2:$J$39,B205+2,FALSE)*10000</f>
        <v>115.1</v>
      </c>
      <c r="Q205" s="101" t="str">
        <f t="shared" si="13"/>
        <v>One-off</v>
      </c>
      <c r="R205" s="101" t="str">
        <f>VLOOKUP(K205,'Preturi si tarife'!$B$4:$K$39,10,FALSE)</f>
        <v>ICOENG0001</v>
      </c>
      <c r="T205" s="101" t="str">
        <f t="shared" si="14"/>
        <v>INV + 30</v>
      </c>
      <c r="V205" s="101" t="str">
        <f t="shared" si="15"/>
        <v>Active</v>
      </c>
      <c r="X205" s="101" t="str">
        <f t="shared" si="16"/>
        <v>One-off</v>
      </c>
      <c r="AC205" s="101" t="str">
        <f t="shared" si="26"/>
        <v>RON</v>
      </c>
      <c r="AD205" s="101">
        <f t="shared" si="27"/>
        <v>10000</v>
      </c>
    </row>
    <row r="206" spans="1:30">
      <c r="A206" s="101">
        <f t="shared" si="28"/>
        <v>6</v>
      </c>
      <c r="B206" s="101">
        <f t="shared" si="24"/>
        <v>25</v>
      </c>
      <c r="C206" s="101" t="str">
        <f t="shared" si="25"/>
        <v>T25</v>
      </c>
      <c r="D206" s="101" t="str">
        <f>IF(A206&lt;&gt;A205,VLOOKUP(A206,'Date SPV'!$A:$D,4,FALSE),D205)</f>
        <v>Deva Shopping City SRL</v>
      </c>
      <c r="E206" s="101" t="str">
        <f>VLOOKUP(A206,'Date SPV'!$A$4:$B$34,2,FALSE)</f>
        <v>RDSC</v>
      </c>
      <c r="H206" s="105" t="s">
        <v>894</v>
      </c>
      <c r="K206" s="101" t="str">
        <f>VLOOKUP(C206,'Preturi si tarife'!$A$4:$B$39,2,FALSE)</f>
        <v>Regularizare Tarif de introducere en. el in retea (TL)</v>
      </c>
      <c r="L206" s="102">
        <f>IF(B206=1,'Date masura OD'!$I$5,IF(B206=19,'Date masura OD'!$AK$5,L205))</f>
        <v>45748</v>
      </c>
      <c r="M206" s="102">
        <f>IF(B206=1,'Date masura OD'!$J$5,IF(B206=19,'Date masura OD'!$AL$5,M205))</f>
        <v>45777</v>
      </c>
      <c r="N206" s="104">
        <f>VLOOKUP(E206,verificare!$AR$4:$CC$33,B206+2,FALSE)</f>
        <v>0</v>
      </c>
      <c r="O206" s="103">
        <f>HLOOKUP(VLOOKUP(E206,'Date SPV'!$B$4:$F$34,5,FALSE),'Preturi si tarife'!$C$2:$J$39,B206+2,FALSE)*10000</f>
        <v>330.3</v>
      </c>
      <c r="Q206" s="101" t="str">
        <f t="shared" si="13"/>
        <v>One-off</v>
      </c>
      <c r="R206" s="101" t="str">
        <f>VLOOKUP(K206,'Preturi si tarife'!$B$4:$K$39,10,FALSE)</f>
        <v>ICOENG0001</v>
      </c>
      <c r="T206" s="101" t="str">
        <f t="shared" si="14"/>
        <v>INV + 30</v>
      </c>
      <c r="V206" s="101" t="str">
        <f t="shared" si="15"/>
        <v>Active</v>
      </c>
      <c r="X206" s="101" t="str">
        <f t="shared" si="16"/>
        <v>One-off</v>
      </c>
      <c r="AC206" s="101" t="str">
        <f t="shared" si="26"/>
        <v>RON</v>
      </c>
      <c r="AD206" s="101">
        <f t="shared" si="27"/>
        <v>10000</v>
      </c>
    </row>
    <row r="207" spans="1:30">
      <c r="A207" s="101">
        <f t="shared" si="28"/>
        <v>6</v>
      </c>
      <c r="B207" s="101">
        <f t="shared" si="24"/>
        <v>26</v>
      </c>
      <c r="C207" s="101" t="str">
        <f t="shared" si="25"/>
        <v>T26</v>
      </c>
      <c r="D207" s="101" t="str">
        <f>IF(A207&lt;&gt;A206,VLOOKUP(A207,'Date SPV'!$A:$D,4,FALSE),D206)</f>
        <v>Deva Shopping City SRL</v>
      </c>
      <c r="E207" s="101" t="str">
        <f>VLOOKUP(A207,'Date SPV'!$A$4:$B$34,2,FALSE)</f>
        <v>RDSC</v>
      </c>
      <c r="H207" s="105" t="s">
        <v>894</v>
      </c>
      <c r="K207" s="101" t="str">
        <f>VLOOKUP(C207,'Preturi si tarife'!$A$4:$B$39,2,FALSE)</f>
        <v>Regularizare Tarif de introducere en.el in retea (TG)</v>
      </c>
      <c r="L207" s="102">
        <f>IF(B207=1,'Date masura OD'!$I$5,IF(B207=19,'Date masura OD'!$AK$5,L206))</f>
        <v>45748</v>
      </c>
      <c r="M207" s="102">
        <f>IF(B207=1,'Date masura OD'!$J$5,IF(B207=19,'Date masura OD'!$AL$5,M206))</f>
        <v>45777</v>
      </c>
      <c r="N207" s="104">
        <f>VLOOKUP(E207,verificare!$AR$4:$CC$33,B207+2,FALSE)</f>
        <v>0</v>
      </c>
      <c r="O207" s="103">
        <f>HLOOKUP(VLOOKUP(E207,'Date SPV'!$B$4:$F$34,5,FALSE),'Preturi si tarife'!$C$2:$J$39,B207+2,FALSE)*10000</f>
        <v>32.9</v>
      </c>
      <c r="Q207" s="101" t="str">
        <f t="shared" si="13"/>
        <v>One-off</v>
      </c>
      <c r="R207" s="101" t="str">
        <f>VLOOKUP(K207,'Preturi si tarife'!$B$4:$K$39,10,FALSE)</f>
        <v>ICOENG0001</v>
      </c>
      <c r="T207" s="101" t="str">
        <f t="shared" si="14"/>
        <v>INV + 30</v>
      </c>
      <c r="V207" s="101" t="str">
        <f t="shared" si="15"/>
        <v>Active</v>
      </c>
      <c r="X207" s="101" t="str">
        <f t="shared" si="16"/>
        <v>One-off</v>
      </c>
      <c r="AC207" s="101" t="str">
        <f t="shared" si="26"/>
        <v>RON</v>
      </c>
      <c r="AD207" s="101">
        <f t="shared" si="27"/>
        <v>10000</v>
      </c>
    </row>
    <row r="208" spans="1:30">
      <c r="A208" s="101">
        <f t="shared" si="28"/>
        <v>6</v>
      </c>
      <c r="B208" s="101">
        <f t="shared" si="24"/>
        <v>27</v>
      </c>
      <c r="C208" s="101" t="str">
        <f t="shared" si="25"/>
        <v>T27</v>
      </c>
      <c r="D208" s="101" t="str">
        <f>IF(A208&lt;&gt;A207,VLOOKUP(A208,'Date SPV'!$A:$D,4,FALSE),D207)</f>
        <v>Deva Shopping City SRL</v>
      </c>
      <c r="E208" s="101" t="str">
        <f>VLOOKUP(A208,'Date SPV'!$A$4:$B$34,2,FALSE)</f>
        <v>RDSC</v>
      </c>
      <c r="H208" s="105" t="s">
        <v>894</v>
      </c>
      <c r="K208" s="101" t="str">
        <f>VLOOKUP(C208,'Preturi si tarife'!$A$4:$B$39,2,FALSE)</f>
        <v>Regularizare Contributie pentru cogenerare</v>
      </c>
      <c r="L208" s="102">
        <f>IF(B208=1,'Date masura OD'!$I$5,IF(B208=19,'Date masura OD'!$AK$5,L207))</f>
        <v>45748</v>
      </c>
      <c r="M208" s="102">
        <f>IF(B208=1,'Date masura OD'!$J$5,IF(B208=19,'Date masura OD'!$AL$5,M207))</f>
        <v>45777</v>
      </c>
      <c r="N208" s="104">
        <f>VLOOKUP(E208,verificare!$AR$4:$CC$33,B208+2,FALSE)</f>
        <v>0</v>
      </c>
      <c r="O208" s="103">
        <f>HLOOKUP(VLOOKUP(E208,'Date SPV'!$B$4:$F$34,5,FALSE),'Preturi si tarife'!$C$2:$J$39,B208+2,FALSE)*10000</f>
        <v>35</v>
      </c>
      <c r="Q208" s="101" t="str">
        <f t="shared" si="13"/>
        <v>One-off</v>
      </c>
      <c r="R208" s="101" t="str">
        <f>VLOOKUP(K208,'Preturi si tarife'!$B$4:$K$39,10,FALSE)</f>
        <v>ICOENG0001</v>
      </c>
      <c r="T208" s="101" t="str">
        <f t="shared" si="14"/>
        <v>INV + 30</v>
      </c>
      <c r="V208" s="101" t="str">
        <f t="shared" si="15"/>
        <v>Active</v>
      </c>
      <c r="X208" s="101" t="str">
        <f t="shared" si="16"/>
        <v>One-off</v>
      </c>
      <c r="AC208" s="101" t="str">
        <f t="shared" si="26"/>
        <v>RON</v>
      </c>
      <c r="AD208" s="101">
        <f t="shared" si="27"/>
        <v>10000</v>
      </c>
    </row>
    <row r="209" spans="1:30">
      <c r="A209" s="101">
        <f t="shared" si="28"/>
        <v>6</v>
      </c>
      <c r="B209" s="101">
        <f t="shared" si="24"/>
        <v>28</v>
      </c>
      <c r="C209" s="101" t="str">
        <f t="shared" si="25"/>
        <v>T28</v>
      </c>
      <c r="D209" s="101" t="str">
        <f>IF(A209&lt;&gt;A208,VLOOKUP(A209,'Date SPV'!$A:$D,4,FALSE),D208)</f>
        <v>Deva Shopping City SRL</v>
      </c>
      <c r="E209" s="101" t="str">
        <f>VLOOKUP(A209,'Date SPV'!$A$4:$B$34,2,FALSE)</f>
        <v>RDSC</v>
      </c>
      <c r="H209" s="105" t="s">
        <v>894</v>
      </c>
      <c r="K209" s="101" t="str">
        <f>VLOOKUP(C209,'Preturi si tarife'!$A$4:$B$39,2,FALSE)</f>
        <v xml:space="preserve">Regularizare Certificate verzi </v>
      </c>
      <c r="L209" s="102">
        <f>IF(B209=1,'Date masura OD'!$I$5,IF(B209=19,'Date masura OD'!$AK$5,L208))</f>
        <v>45748</v>
      </c>
      <c r="M209" s="102">
        <f>IF(B209=1,'Date masura OD'!$J$5,IF(B209=19,'Date masura OD'!$AL$5,M208))</f>
        <v>45777</v>
      </c>
      <c r="N209" s="104">
        <f>VLOOKUP(E209,verificare!$AR$4:$CC$33,B209+2,FALSE)</f>
        <v>0</v>
      </c>
      <c r="O209" s="103">
        <f>HLOOKUP(VLOOKUP(E209,'Date SPV'!$B$4:$F$34,5,FALSE),'Preturi si tarife'!$C$2:$J$39,B209+2,FALSE)*10000</f>
        <v>725.41599999999994</v>
      </c>
      <c r="Q209" s="101" t="str">
        <f t="shared" si="13"/>
        <v>One-off</v>
      </c>
      <c r="R209" s="101" t="str">
        <f>VLOOKUP(K209,'Preturi si tarife'!$B$4:$K$39,10,FALSE)</f>
        <v>ICOENG0001</v>
      </c>
      <c r="T209" s="101" t="str">
        <f t="shared" si="14"/>
        <v>INV + 30</v>
      </c>
      <c r="V209" s="101" t="str">
        <f t="shared" si="15"/>
        <v>Active</v>
      </c>
      <c r="X209" s="101" t="str">
        <f t="shared" si="16"/>
        <v>One-off</v>
      </c>
      <c r="AC209" s="101" t="str">
        <f t="shared" si="26"/>
        <v>RON</v>
      </c>
      <c r="AD209" s="101">
        <f t="shared" si="27"/>
        <v>10000</v>
      </c>
    </row>
    <row r="210" spans="1:30">
      <c r="A210" s="101">
        <f t="shared" si="28"/>
        <v>6</v>
      </c>
      <c r="B210" s="101">
        <f t="shared" si="24"/>
        <v>29</v>
      </c>
      <c r="C210" s="101" t="str">
        <f t="shared" si="25"/>
        <v>T29</v>
      </c>
      <c r="D210" s="101" t="str">
        <f>IF(A210&lt;&gt;A209,VLOOKUP(A210,'Date SPV'!$A:$D,4,FALSE),D209)</f>
        <v>Deva Shopping City SRL</v>
      </c>
      <c r="E210" s="101" t="str">
        <f>VLOOKUP(A210,'Date SPV'!$A$4:$B$34,2,FALSE)</f>
        <v>RDSC</v>
      </c>
      <c r="H210" s="105" t="s">
        <v>894</v>
      </c>
      <c r="K210" s="101" t="str">
        <f>VLOOKUP(C210,'Preturi si tarife'!$A$4:$B$39,2,FALSE)</f>
        <v>Regularizare Contributie CFD</v>
      </c>
      <c r="L210" s="102">
        <f>IF(B210=1,'Date masura OD'!$I$5,IF(B210=19,'Date masura OD'!$AK$5,L209))</f>
        <v>45748</v>
      </c>
      <c r="M210" s="102">
        <f>IF(B210=1,'Date masura OD'!$J$5,IF(B210=19,'Date masura OD'!$AL$5,M209))</f>
        <v>45777</v>
      </c>
      <c r="N210" s="104">
        <f>VLOOKUP(E210,verificare!$AR$4:$CC$33,B210+2,FALSE)</f>
        <v>0</v>
      </c>
      <c r="O210" s="103">
        <f>HLOOKUP(VLOOKUP(E210,'Date SPV'!$B$4:$F$34,5,FALSE),'Preturi si tarife'!$C$2:$J$39,B210+2,FALSE)*10000</f>
        <v>2.06</v>
      </c>
      <c r="Q210" s="101" t="str">
        <f t="shared" si="13"/>
        <v>One-off</v>
      </c>
      <c r="R210" s="101" t="str">
        <f>VLOOKUP(K210,'Preturi si tarife'!$B$4:$K$39,10,FALSE)</f>
        <v>ICOENG0001</v>
      </c>
      <c r="T210" s="101" t="str">
        <f t="shared" si="14"/>
        <v>INV + 30</v>
      </c>
      <c r="V210" s="101" t="str">
        <f t="shared" si="15"/>
        <v>Active</v>
      </c>
      <c r="X210" s="101" t="str">
        <f t="shared" si="16"/>
        <v>One-off</v>
      </c>
      <c r="AC210" s="101" t="str">
        <f t="shared" si="26"/>
        <v>RON</v>
      </c>
      <c r="AD210" s="101">
        <f t="shared" si="27"/>
        <v>10000</v>
      </c>
    </row>
    <row r="211" spans="1:30">
      <c r="A211" s="101">
        <f t="shared" si="28"/>
        <v>6</v>
      </c>
      <c r="B211" s="101">
        <f t="shared" si="24"/>
        <v>30</v>
      </c>
      <c r="C211" s="101" t="str">
        <f t="shared" si="25"/>
        <v>T30</v>
      </c>
      <c r="D211" s="101" t="str">
        <f>IF(A211&lt;&gt;A210,VLOOKUP(A211,'Date SPV'!$A:$D,4,FALSE),D210)</f>
        <v>Deva Shopping City SRL</v>
      </c>
      <c r="E211" s="101" t="str">
        <f>VLOOKUP(A211,'Date SPV'!$A$4:$B$34,2,FALSE)</f>
        <v>RDSC</v>
      </c>
      <c r="H211" s="105" t="s">
        <v>894</v>
      </c>
      <c r="K211" s="101" t="str">
        <f>VLOOKUP(C211,'Preturi si tarife'!$A$4:$B$39,2,FALSE)</f>
        <v>Regularizare Acciza</v>
      </c>
      <c r="L211" s="102">
        <f>IF(B211=1,'Date masura OD'!$I$5,IF(B211=19,'Date masura OD'!$AK$5,L210))</f>
        <v>45748</v>
      </c>
      <c r="M211" s="102">
        <f>IF(B211=1,'Date masura OD'!$J$5,IF(B211=19,'Date masura OD'!$AL$5,M210))</f>
        <v>45777</v>
      </c>
      <c r="N211" s="104">
        <f>VLOOKUP(E211,verificare!$AR$4:$CC$33,B211+2,FALSE)</f>
        <v>0</v>
      </c>
      <c r="O211" s="103">
        <f>HLOOKUP(VLOOKUP(E211,'Date SPV'!$B$4:$F$34,5,FALSE),'Preturi si tarife'!$C$2:$J$39,B211+2,FALSE)*10000</f>
        <v>0</v>
      </c>
      <c r="Q211" s="101" t="str">
        <f t="shared" si="13"/>
        <v>One-off</v>
      </c>
      <c r="R211" s="101" t="str">
        <f>VLOOKUP(K211,'Preturi si tarife'!$B$4:$K$39,10,FALSE)</f>
        <v>ICOENG0001</v>
      </c>
      <c r="T211" s="101" t="str">
        <f t="shared" si="14"/>
        <v>INV + 30</v>
      </c>
      <c r="V211" s="101" t="str">
        <f t="shared" si="15"/>
        <v>Active</v>
      </c>
      <c r="X211" s="101" t="str">
        <f t="shared" si="16"/>
        <v>One-off</v>
      </c>
      <c r="AC211" s="101" t="str">
        <f t="shared" si="26"/>
        <v>RON</v>
      </c>
      <c r="AD211" s="101">
        <f t="shared" si="27"/>
        <v>10000</v>
      </c>
    </row>
    <row r="212" spans="1:30">
      <c r="A212" s="101">
        <f t="shared" si="28"/>
        <v>6</v>
      </c>
      <c r="B212" s="101">
        <f t="shared" si="24"/>
        <v>31</v>
      </c>
      <c r="C212" s="101" t="str">
        <f t="shared" si="25"/>
        <v>T31</v>
      </c>
      <c r="D212" s="101" t="str">
        <f>IF(A212&lt;&gt;A211,VLOOKUP(A212,'Date SPV'!$A:$D,4,FALSE),D211)</f>
        <v>Deva Shopping City SRL</v>
      </c>
      <c r="E212" s="101" t="str">
        <f>VLOOKUP(A212,'Date SPV'!$A$4:$B$34,2,FALSE)</f>
        <v>RDSC</v>
      </c>
      <c r="H212" s="105" t="s">
        <v>894</v>
      </c>
      <c r="K212" s="101" t="str">
        <f>VLOOKUP(C212,'Preturi si tarife'!$A$4:$B$39,2,FALSE)</f>
        <v>Regularizare Tarif distributie SDI MT Ea1</v>
      </c>
      <c r="L212" s="102">
        <f>IF(B212=1,'Date masura OD'!$I$5,IF(B212=19,'Date masura OD'!$AK$5,L211))</f>
        <v>45748</v>
      </c>
      <c r="M212" s="102">
        <f>IF(B212=1,'Date masura OD'!$J$5,IF(B212=19,'Date masura OD'!$AL$5,M211))</f>
        <v>45777</v>
      </c>
      <c r="N212" s="104">
        <f>VLOOKUP(E212,verificare!$AR$4:$CC$33,B212+2,FALSE)</f>
        <v>0</v>
      </c>
      <c r="O212" s="103">
        <f>HLOOKUP(VLOOKUP(E212,'Date SPV'!$B$4:$F$34,5,FALSE),'Preturi si tarife'!$C$2:$J$39,B212+2,FALSE)*10000</f>
        <v>115.99999999999999</v>
      </c>
      <c r="Q212" s="101" t="str">
        <f t="shared" si="13"/>
        <v>One-off</v>
      </c>
      <c r="R212" s="101" t="str">
        <f>VLOOKUP(K212,'Preturi si tarife'!$B$4:$K$39,10,FALSE)</f>
        <v>ICOENG0010</v>
      </c>
      <c r="T212" s="101" t="str">
        <f t="shared" si="14"/>
        <v>INV + 30</v>
      </c>
      <c r="V212" s="101" t="str">
        <f t="shared" si="15"/>
        <v>Active</v>
      </c>
      <c r="X212" s="101" t="str">
        <f t="shared" si="16"/>
        <v>One-off</v>
      </c>
      <c r="AC212" s="101" t="str">
        <f t="shared" si="26"/>
        <v>RON</v>
      </c>
      <c r="AD212" s="101">
        <f t="shared" si="27"/>
        <v>10000</v>
      </c>
    </row>
    <row r="213" spans="1:30">
      <c r="A213" s="101">
        <f t="shared" si="28"/>
        <v>6</v>
      </c>
      <c r="B213" s="101">
        <f t="shared" si="24"/>
        <v>32</v>
      </c>
      <c r="C213" s="101" t="str">
        <f t="shared" si="25"/>
        <v>T32</v>
      </c>
      <c r="D213" s="101" t="str">
        <f>IF(A213&lt;&gt;A212,VLOOKUP(A213,'Date SPV'!$A:$D,4,FALSE),D212)</f>
        <v>Deva Shopping City SRL</v>
      </c>
      <c r="E213" s="101" t="str">
        <f>VLOOKUP(A213,'Date SPV'!$A$4:$B$34,2,FALSE)</f>
        <v>RDSC</v>
      </c>
      <c r="H213" s="105" t="s">
        <v>894</v>
      </c>
      <c r="K213" s="101" t="str">
        <f>VLOOKUP(C213,'Preturi si tarife'!$A$4:$B$39,2,FALSE)</f>
        <v>Regularizare Tarif distributie SDI JT Ea1</v>
      </c>
      <c r="L213" s="102">
        <f>IF(B213=1,'Date masura OD'!$I$5,IF(B213=19,'Date masura OD'!$AK$5,L212))</f>
        <v>45748</v>
      </c>
      <c r="M213" s="102">
        <f>IF(B213=1,'Date masura OD'!$J$5,IF(B213=19,'Date masura OD'!$AL$5,M212))</f>
        <v>45777</v>
      </c>
      <c r="N213" s="104">
        <f>VLOOKUP(E213,verificare!$AR$4:$CC$33,B213+2,FALSE)</f>
        <v>0</v>
      </c>
      <c r="O213" s="103">
        <f>HLOOKUP(VLOOKUP(E213,'Date SPV'!$B$4:$F$34,5,FALSE),'Preturi si tarife'!$C$2:$J$39,B213+2,FALSE)*10000</f>
        <v>832</v>
      </c>
      <c r="Q213" s="101" t="str">
        <f t="shared" si="13"/>
        <v>One-off</v>
      </c>
      <c r="R213" s="101" t="str">
        <f>VLOOKUP(K213,'Preturi si tarife'!$B$4:$K$39,10,FALSE)</f>
        <v>ICOENG0010</v>
      </c>
      <c r="T213" s="101" t="str">
        <f t="shared" si="14"/>
        <v>INV + 30</v>
      </c>
      <c r="V213" s="101" t="str">
        <f t="shared" si="15"/>
        <v>Active</v>
      </c>
      <c r="X213" s="101" t="str">
        <f t="shared" si="16"/>
        <v>One-off</v>
      </c>
      <c r="AC213" s="101" t="str">
        <f t="shared" si="26"/>
        <v>RON</v>
      </c>
      <c r="AD213" s="101">
        <f t="shared" si="27"/>
        <v>10000</v>
      </c>
    </row>
    <row r="214" spans="1:30">
      <c r="A214" s="101">
        <f t="shared" si="28"/>
        <v>6</v>
      </c>
      <c r="B214" s="101">
        <f t="shared" si="24"/>
        <v>33</v>
      </c>
      <c r="C214" s="101" t="str">
        <f t="shared" si="25"/>
        <v>T33</v>
      </c>
      <c r="D214" s="101" t="str">
        <f>IF(A214&lt;&gt;A213,VLOOKUP(A214,'Date SPV'!$A:$D,4,FALSE),D213)</f>
        <v>Deva Shopping City SRL</v>
      </c>
      <c r="E214" s="101" t="str">
        <f>VLOOKUP(A214,'Date SPV'!$A$4:$B$34,2,FALSE)</f>
        <v>RDSC</v>
      </c>
      <c r="H214" s="105" t="s">
        <v>894</v>
      </c>
      <c r="K214" s="101" t="str">
        <f>VLOOKUP(C214,'Preturi si tarife'!$A$4:$B$39,2,FALSE)</f>
        <v>Regularizare Energie activa 2</v>
      </c>
      <c r="L214" s="102">
        <f>IF(B214=1,'Date masura OD'!$I$5,IF(B214=19,'Date masura OD'!$AK$5,L213))</f>
        <v>45748</v>
      </c>
      <c r="M214" s="102">
        <f>IF(B214=1,'Date masura OD'!$J$5,IF(B214=19,'Date masura OD'!$AL$5,M213))</f>
        <v>45777</v>
      </c>
      <c r="N214" s="104">
        <f>VLOOKUP(E214,verificare!$AR$4:$CC$33,B214+2,FALSE)</f>
        <v>0</v>
      </c>
      <c r="O214" s="103">
        <f>HLOOKUP(VLOOKUP(E214,'Date SPV'!$B$4:$F$34,5,FALSE),'Preturi si tarife'!$C$2:$J$39,B214+2,FALSE)*10000</f>
        <v>9000.5760000000009</v>
      </c>
      <c r="Q214" s="101" t="str">
        <f t="shared" si="13"/>
        <v>One-off</v>
      </c>
      <c r="R214" s="101" t="str">
        <f>VLOOKUP(K214,'Preturi si tarife'!$B$4:$K$39,10,FALSE)</f>
        <v>ICOENG0012</v>
      </c>
      <c r="T214" s="101" t="str">
        <f t="shared" si="14"/>
        <v>INV + 30</v>
      </c>
      <c r="V214" s="101" t="str">
        <f t="shared" si="15"/>
        <v>Active</v>
      </c>
      <c r="X214" s="101" t="str">
        <f t="shared" si="16"/>
        <v>One-off</v>
      </c>
      <c r="AC214" s="101" t="str">
        <f t="shared" si="26"/>
        <v>RON</v>
      </c>
      <c r="AD214" s="101">
        <f t="shared" si="27"/>
        <v>10000</v>
      </c>
    </row>
    <row r="215" spans="1:30">
      <c r="A215" s="101">
        <f t="shared" si="28"/>
        <v>6</v>
      </c>
      <c r="B215" s="101">
        <f t="shared" si="24"/>
        <v>34</v>
      </c>
      <c r="C215" s="101" t="str">
        <f t="shared" si="25"/>
        <v>T34</v>
      </c>
      <c r="D215" s="101" t="str">
        <f>IF(A215&lt;&gt;A214,VLOOKUP(A215,'Date SPV'!$A:$D,4,FALSE),D214)</f>
        <v>Deva Shopping City SRL</v>
      </c>
      <c r="E215" s="101" t="str">
        <f>VLOOKUP(A215,'Date SPV'!$A$4:$B$34,2,FALSE)</f>
        <v>RDSC</v>
      </c>
      <c r="H215" s="105" t="s">
        <v>894</v>
      </c>
      <c r="K215" s="101" t="str">
        <f>VLOOKUP(C215,'Preturi si tarife'!$A$4:$B$39,2,FALSE)</f>
        <v>Regularizare Energie activa 3</v>
      </c>
      <c r="L215" s="102">
        <f>IF(B215=1,'Date masura OD'!$I$5,IF(B215=19,'Date masura OD'!$AK$5,L214))</f>
        <v>45748</v>
      </c>
      <c r="M215" s="102">
        <f>IF(B215=1,'Date masura OD'!$J$5,IF(B215=19,'Date masura OD'!$AL$5,M214))</f>
        <v>45777</v>
      </c>
      <c r="N215" s="104">
        <f>VLOOKUP(E215,verificare!$AR$4:$CC$33,B215+2,FALSE)</f>
        <v>0</v>
      </c>
      <c r="O215" s="103">
        <f>HLOOKUP(VLOOKUP(E215,'Date SPV'!$B$4:$F$34,5,FALSE),'Preturi si tarife'!$C$2:$J$39,B215+2,FALSE)*10000</f>
        <v>8052.576</v>
      </c>
      <c r="Q215" s="101" t="str">
        <f t="shared" si="13"/>
        <v>One-off</v>
      </c>
      <c r="R215" s="101" t="str">
        <f>VLOOKUP(K215,'Preturi si tarife'!$B$4:$K$39,10,FALSE)</f>
        <v>ICOENG0012</v>
      </c>
      <c r="T215" s="101" t="str">
        <f t="shared" si="14"/>
        <v>INV + 30</v>
      </c>
      <c r="V215" s="101" t="str">
        <f t="shared" si="15"/>
        <v>Active</v>
      </c>
      <c r="X215" s="101" t="str">
        <f t="shared" si="16"/>
        <v>One-off</v>
      </c>
      <c r="AC215" s="101" t="str">
        <f t="shared" si="26"/>
        <v>RON</v>
      </c>
      <c r="AD215" s="101">
        <f t="shared" si="27"/>
        <v>10000</v>
      </c>
    </row>
    <row r="216" spans="1:30">
      <c r="A216" s="101">
        <f t="shared" si="28"/>
        <v>6</v>
      </c>
      <c r="B216" s="101">
        <f t="shared" si="24"/>
        <v>35</v>
      </c>
      <c r="C216" s="101" t="str">
        <f t="shared" si="25"/>
        <v>T35</v>
      </c>
      <c r="D216" s="101" t="str">
        <f>IF(A216&lt;&gt;A215,VLOOKUP(A216,'Date SPV'!$A:$D,4,FALSE),D215)</f>
        <v>Deva Shopping City SRL</v>
      </c>
      <c r="E216" s="101" t="str">
        <f>VLOOKUP(A216,'Date SPV'!$A$4:$B$34,2,FALSE)</f>
        <v>RDSC</v>
      </c>
      <c r="H216" s="105" t="s">
        <v>894</v>
      </c>
      <c r="K216" s="101" t="str">
        <f>VLOOKUP(C216,'Preturi si tarife'!$A$4:$B$39,2,FALSE)</f>
        <v>Regularizare Tarif distributie SDI MT Ea3</v>
      </c>
      <c r="L216" s="102">
        <f>IF(B216=1,'Date masura OD'!$I$5,IF(B216=19,'Date masura OD'!$AK$5,L215))</f>
        <v>45748</v>
      </c>
      <c r="M216" s="102">
        <f>IF(B216=1,'Date masura OD'!$J$5,IF(B216=19,'Date masura OD'!$AL$5,M215))</f>
        <v>45777</v>
      </c>
      <c r="N216" s="104">
        <f>VLOOKUP(E216,verificare!$AR$4:$CC$33,B216+2,FALSE)</f>
        <v>0</v>
      </c>
      <c r="O216" s="103">
        <f>HLOOKUP(VLOOKUP(E216,'Date SPV'!$B$4:$F$34,5,FALSE),'Preturi si tarife'!$C$2:$J$39,B216+2,FALSE)*10000</f>
        <v>115.99999999999999</v>
      </c>
      <c r="Q216" s="101" t="str">
        <f t="shared" si="13"/>
        <v>One-off</v>
      </c>
      <c r="R216" s="101" t="str">
        <f>VLOOKUP(K216,'Preturi si tarife'!$B$4:$K$39,10,FALSE)</f>
        <v>ICOENG0010</v>
      </c>
      <c r="T216" s="101" t="str">
        <f t="shared" si="14"/>
        <v>INV + 30</v>
      </c>
      <c r="V216" s="101" t="str">
        <f t="shared" si="15"/>
        <v>Active</v>
      </c>
      <c r="X216" s="101" t="str">
        <f t="shared" si="16"/>
        <v>One-off</v>
      </c>
      <c r="AC216" s="101" t="str">
        <f t="shared" si="26"/>
        <v>RON</v>
      </c>
      <c r="AD216" s="101">
        <f t="shared" si="27"/>
        <v>10000</v>
      </c>
    </row>
    <row r="217" spans="1:30">
      <c r="A217" s="101">
        <f t="shared" si="28"/>
        <v>6</v>
      </c>
      <c r="B217" s="101">
        <f t="shared" si="24"/>
        <v>36</v>
      </c>
      <c r="C217" s="101" t="str">
        <f t="shared" si="25"/>
        <v>T36</v>
      </c>
      <c r="D217" s="101" t="str">
        <f>IF(A217&lt;&gt;A216,VLOOKUP(A217,'Date SPV'!$A:$D,4,FALSE),D216)</f>
        <v>Deva Shopping City SRL</v>
      </c>
      <c r="E217" s="101" t="str">
        <f>VLOOKUP(A217,'Date SPV'!$A$4:$B$34,2,FALSE)</f>
        <v>RDSC</v>
      </c>
      <c r="H217" s="105" t="s">
        <v>894</v>
      </c>
      <c r="K217" s="101" t="str">
        <f>VLOOKUP(C217,'Preturi si tarife'!$A$4:$B$39,2,FALSE)</f>
        <v>Regularizare Tarif distributie SDI JT Ea3</v>
      </c>
      <c r="L217" s="102">
        <f>IF(B217=1,'Date masura OD'!$I$5,IF(B217=19,'Date masura OD'!$AK$5,L216))</f>
        <v>45748</v>
      </c>
      <c r="M217" s="102">
        <f>IF(B217=1,'Date masura OD'!$J$5,IF(B217=19,'Date masura OD'!$AL$5,M216))</f>
        <v>45777</v>
      </c>
      <c r="N217" s="104">
        <f>VLOOKUP(E217,verificare!$AR$4:$CC$33,B217+2,FALSE)</f>
        <v>0</v>
      </c>
      <c r="O217" s="103">
        <f>HLOOKUP(VLOOKUP(E217,'Date SPV'!$B$4:$F$34,5,FALSE),'Preturi si tarife'!$C$2:$J$39,B217+2,FALSE)*10000</f>
        <v>832</v>
      </c>
      <c r="Q217" s="101" t="str">
        <f t="shared" si="13"/>
        <v>One-off</v>
      </c>
      <c r="R217" s="101" t="str">
        <f>VLOOKUP(K217,'Preturi si tarife'!$B$4:$K$39,10,FALSE)</f>
        <v>ICOENG0010</v>
      </c>
      <c r="T217" s="101" t="str">
        <f t="shared" si="14"/>
        <v>INV + 30</v>
      </c>
      <c r="V217" s="101" t="str">
        <f t="shared" si="15"/>
        <v>Active</v>
      </c>
      <c r="X217" s="101" t="str">
        <f t="shared" si="16"/>
        <v>One-off</v>
      </c>
      <c r="AC217" s="101" t="str">
        <f t="shared" si="26"/>
        <v>RON</v>
      </c>
      <c r="AD217" s="101">
        <f t="shared" si="27"/>
        <v>10000</v>
      </c>
    </row>
    <row r="218" spans="1:30">
      <c r="A218" s="101">
        <f t="shared" si="28"/>
        <v>7</v>
      </c>
      <c r="B218" s="101">
        <f t="shared" si="24"/>
        <v>1</v>
      </c>
      <c r="C218" s="101" t="str">
        <f t="shared" si="25"/>
        <v>T1</v>
      </c>
      <c r="D218" s="101" t="str">
        <f>IF(A218&lt;&gt;A217,VLOOKUP(A218,'Date SPV'!$A:$D,4,FALSE),D217)</f>
        <v>Galati Shopping City SRL</v>
      </c>
      <c r="E218" s="101" t="str">
        <f>VLOOKUP(A218,'Date SPV'!$A$4:$B$34,2,FALSE)</f>
        <v>RGSC</v>
      </c>
      <c r="H218" s="105" t="s">
        <v>894</v>
      </c>
      <c r="K218" s="101" t="str">
        <f>VLOOKUP(C218,'Preturi si tarife'!$A$4:$B$39,2,FALSE)</f>
        <v>Energie activa 1</v>
      </c>
      <c r="L218" s="102">
        <f>IF(B218=1,'Date masura OD'!$I$5,IF(B218=19,'Date masura OD'!$AK$5,L217))</f>
        <v>45778</v>
      </c>
      <c r="M218" s="102">
        <f>IF(B218=1,'Date masura OD'!$J$5,IF(B218=19,'Date masura OD'!$AL$5,M217))</f>
        <v>45808</v>
      </c>
      <c r="N218" s="104">
        <f>VLOOKUP(E218,verificare!$AR$4:$CC$33,B218+2,FALSE)</f>
        <v>696493</v>
      </c>
      <c r="O218" s="103">
        <f>HLOOKUP(VLOOKUP(E218,'Date SPV'!$B$4:$F$34,5,FALSE),'Preturi si tarife'!$C$2:$J$39,B218+2,FALSE)*10000</f>
        <v>5950</v>
      </c>
      <c r="Q218" s="101" t="str">
        <f t="shared" si="13"/>
        <v>One-off</v>
      </c>
      <c r="R218" s="101" t="str">
        <f>VLOOKUP(K218,'Preturi si tarife'!$B$4:$K$39,10,FALSE)</f>
        <v>ICOENG0001</v>
      </c>
      <c r="T218" s="101" t="str">
        <f t="shared" si="14"/>
        <v>INV + 30</v>
      </c>
      <c r="V218" s="101" t="str">
        <f t="shared" si="15"/>
        <v>Active</v>
      </c>
      <c r="X218" s="101" t="str">
        <f t="shared" si="16"/>
        <v>One-off</v>
      </c>
      <c r="AC218" s="101" t="str">
        <f t="shared" si="26"/>
        <v>RON</v>
      </c>
      <c r="AD218" s="101">
        <f t="shared" si="27"/>
        <v>10000</v>
      </c>
    </row>
    <row r="219" spans="1:30">
      <c r="A219" s="101">
        <f t="shared" si="28"/>
        <v>7</v>
      </c>
      <c r="B219" s="101">
        <f t="shared" si="24"/>
        <v>2</v>
      </c>
      <c r="C219" s="101" t="str">
        <f t="shared" si="25"/>
        <v>T2</v>
      </c>
      <c r="D219" s="101" t="str">
        <f>IF(A219&lt;&gt;A218,VLOOKUP(A219,'Date SPV'!$A:$D,4,FALSE),D218)</f>
        <v>Galati Shopping City SRL</v>
      </c>
      <c r="E219" s="101" t="str">
        <f>VLOOKUP(A219,'Date SPV'!$A$4:$B$34,2,FALSE)</f>
        <v>RGSC</v>
      </c>
      <c r="H219" s="105" t="s">
        <v>894</v>
      </c>
      <c r="K219" s="101" t="str">
        <f>VLOOKUP(C219,'Preturi si tarife'!$A$4:$B$39,2,FALSE)</f>
        <v>Energie reactiva  1X</v>
      </c>
      <c r="L219" s="102">
        <f>IF(B219=1,'Date masura OD'!$I$5,IF(B219=19,'Date masura OD'!$AK$5,L218))</f>
        <v>45778</v>
      </c>
      <c r="M219" s="102">
        <f>IF(B219=1,'Date masura OD'!$J$5,IF(B219=19,'Date masura OD'!$AL$5,M218))</f>
        <v>45808</v>
      </c>
      <c r="N219" s="104">
        <f>VLOOKUP(E219,verificare!$AR$4:$CC$33,B219+2,FALSE)</f>
        <v>0</v>
      </c>
      <c r="O219" s="103">
        <f>HLOOKUP(VLOOKUP(E219,'Date SPV'!$B$4:$F$34,5,FALSE),'Preturi si tarife'!$C$2:$J$39,B219+2,FALSE)*10000</f>
        <v>1465</v>
      </c>
      <c r="Q219" s="101" t="str">
        <f t="shared" si="13"/>
        <v>One-off</v>
      </c>
      <c r="R219" s="101" t="str">
        <f>VLOOKUP(K219,'Preturi si tarife'!$B$4:$K$39,10,FALSE)</f>
        <v>ICOENG0001</v>
      </c>
      <c r="T219" s="101" t="str">
        <f t="shared" si="14"/>
        <v>INV + 30</v>
      </c>
      <c r="V219" s="101" t="str">
        <f t="shared" si="15"/>
        <v>Active</v>
      </c>
      <c r="X219" s="101" t="str">
        <f t="shared" si="16"/>
        <v>One-off</v>
      </c>
      <c r="AC219" s="101" t="str">
        <f t="shared" si="26"/>
        <v>RON</v>
      </c>
      <c r="AD219" s="101">
        <f t="shared" si="27"/>
        <v>10000</v>
      </c>
    </row>
    <row r="220" spans="1:30">
      <c r="A220" s="101">
        <f t="shared" si="28"/>
        <v>7</v>
      </c>
      <c r="B220" s="101">
        <f t="shared" si="24"/>
        <v>3</v>
      </c>
      <c r="C220" s="101" t="str">
        <f t="shared" si="25"/>
        <v>T3</v>
      </c>
      <c r="D220" s="101" t="str">
        <f>IF(A220&lt;&gt;A219,VLOOKUP(A220,'Date SPV'!$A:$D,4,FALSE),D219)</f>
        <v>Galati Shopping City SRL</v>
      </c>
      <c r="E220" s="101" t="str">
        <f>VLOOKUP(A220,'Date SPV'!$A$4:$B$34,2,FALSE)</f>
        <v>RGSC</v>
      </c>
      <c r="H220" s="105" t="s">
        <v>894</v>
      </c>
      <c r="K220" s="101" t="str">
        <f>VLOOKUP(C220,'Preturi si tarife'!$A$4:$B$39,2,FALSE)</f>
        <v>Energie reactiva  3X</v>
      </c>
      <c r="L220" s="102">
        <f>IF(B220=1,'Date masura OD'!$I$5,IF(B220=19,'Date masura OD'!$AK$5,L219))</f>
        <v>45778</v>
      </c>
      <c r="M220" s="102">
        <f>IF(B220=1,'Date masura OD'!$J$5,IF(B220=19,'Date masura OD'!$AL$5,M219))</f>
        <v>45808</v>
      </c>
      <c r="N220" s="104">
        <f>VLOOKUP(E220,verificare!$AR$4:$CC$33,B220+2,FALSE)</f>
        <v>0</v>
      </c>
      <c r="O220" s="103">
        <f>HLOOKUP(VLOOKUP(E220,'Date SPV'!$B$4:$F$34,5,FALSE),'Preturi si tarife'!$C$2:$J$39,B220+2,FALSE)*10000</f>
        <v>4395</v>
      </c>
      <c r="Q220" s="101" t="str">
        <f t="shared" si="13"/>
        <v>One-off</v>
      </c>
      <c r="R220" s="101" t="str">
        <f>VLOOKUP(K220,'Preturi si tarife'!$B$4:$K$39,10,FALSE)</f>
        <v>ICOENG0001</v>
      </c>
      <c r="T220" s="101" t="str">
        <f t="shared" si="14"/>
        <v>INV + 30</v>
      </c>
      <c r="V220" s="101" t="str">
        <f t="shared" si="15"/>
        <v>Active</v>
      </c>
      <c r="X220" s="101" t="str">
        <f t="shared" si="16"/>
        <v>One-off</v>
      </c>
      <c r="AC220" s="101" t="str">
        <f t="shared" si="26"/>
        <v>RON</v>
      </c>
      <c r="AD220" s="101">
        <f t="shared" si="27"/>
        <v>10000</v>
      </c>
    </row>
    <row r="221" spans="1:30">
      <c r="A221" s="101">
        <f t="shared" si="28"/>
        <v>7</v>
      </c>
      <c r="B221" s="101">
        <f t="shared" si="24"/>
        <v>4</v>
      </c>
      <c r="C221" s="101" t="str">
        <f t="shared" si="25"/>
        <v>T4</v>
      </c>
      <c r="D221" s="101" t="str">
        <f>IF(A221&lt;&gt;A220,VLOOKUP(A221,'Date SPV'!$A:$D,4,FALSE),D220)</f>
        <v>Galati Shopping City SRL</v>
      </c>
      <c r="E221" s="101" t="str">
        <f>VLOOKUP(A221,'Date SPV'!$A$4:$B$34,2,FALSE)</f>
        <v>RGSC</v>
      </c>
      <c r="H221" s="105" t="s">
        <v>894</v>
      </c>
      <c r="K221" s="101" t="str">
        <f>VLOOKUP(C221,'Preturi si tarife'!$A$4:$B$39,2,FALSE)</f>
        <v>Tarife distributie en. El IT+MT</v>
      </c>
      <c r="L221" s="102">
        <f>IF(B221=1,'Date masura OD'!$I$5,IF(B221=19,'Date masura OD'!$AK$5,L220))</f>
        <v>45778</v>
      </c>
      <c r="M221" s="102">
        <f>IF(B221=1,'Date masura OD'!$J$5,IF(B221=19,'Date masura OD'!$AL$5,M220))</f>
        <v>45808</v>
      </c>
      <c r="N221" s="104">
        <f>VLOOKUP(E221,verificare!$AR$4:$CC$33,B221+2,FALSE)</f>
        <v>696493</v>
      </c>
      <c r="O221" s="103">
        <f>HLOOKUP(VLOOKUP(E221,'Date SPV'!$B$4:$F$34,5,FALSE),'Preturi si tarife'!$C$2:$J$39,B221+2,FALSE)*10000</f>
        <v>1148.3</v>
      </c>
      <c r="Q221" s="101" t="str">
        <f t="shared" si="13"/>
        <v>One-off</v>
      </c>
      <c r="R221" s="101" t="str">
        <f>VLOOKUP(K221,'Preturi si tarife'!$B$4:$K$39,10,FALSE)</f>
        <v>ICOENG0001</v>
      </c>
      <c r="T221" s="101" t="str">
        <f t="shared" si="14"/>
        <v>INV + 30</v>
      </c>
      <c r="V221" s="101" t="str">
        <f t="shared" si="15"/>
        <v>Active</v>
      </c>
      <c r="X221" s="101" t="str">
        <f t="shared" si="16"/>
        <v>One-off</v>
      </c>
      <c r="AC221" s="101" t="str">
        <f t="shared" si="26"/>
        <v>RON</v>
      </c>
      <c r="AD221" s="101">
        <f t="shared" si="27"/>
        <v>10000</v>
      </c>
    </row>
    <row r="222" spans="1:30">
      <c r="A222" s="101">
        <f t="shared" si="28"/>
        <v>7</v>
      </c>
      <c r="B222" s="101">
        <f t="shared" si="24"/>
        <v>5</v>
      </c>
      <c r="C222" s="101" t="str">
        <f t="shared" si="25"/>
        <v>T5</v>
      </c>
      <c r="D222" s="101" t="str">
        <f>IF(A222&lt;&gt;A221,VLOOKUP(A222,'Date SPV'!$A:$D,4,FALSE),D221)</f>
        <v>Galati Shopping City SRL</v>
      </c>
      <c r="E222" s="101" t="str">
        <f>VLOOKUP(A222,'Date SPV'!$A$4:$B$34,2,FALSE)</f>
        <v>RGSC</v>
      </c>
      <c r="H222" s="105" t="s">
        <v>894</v>
      </c>
      <c r="K222" s="101" t="str">
        <f>VLOOKUP(C222,'Preturi si tarife'!$A$4:$B$39,2,FALSE)</f>
        <v>Tarife distributie en. El JT</v>
      </c>
      <c r="L222" s="102">
        <f>IF(B222=1,'Date masura OD'!$I$5,IF(B222=19,'Date masura OD'!$AK$5,L221))</f>
        <v>45778</v>
      </c>
      <c r="M222" s="102">
        <f>IF(B222=1,'Date masura OD'!$J$5,IF(B222=19,'Date masura OD'!$AL$5,M221))</f>
        <v>45808</v>
      </c>
      <c r="N222" s="104">
        <f>VLOOKUP(E222,verificare!$AR$4:$CC$33,B222+2,FALSE)</f>
        <v>0</v>
      </c>
      <c r="O222" s="103">
        <f>HLOOKUP(VLOOKUP(E222,'Date SPV'!$B$4:$F$34,5,FALSE),'Preturi si tarife'!$C$2:$J$39,B222+2,FALSE)*10000</f>
        <v>2361</v>
      </c>
      <c r="Q222" s="101" t="str">
        <f t="shared" si="13"/>
        <v>One-off</v>
      </c>
      <c r="R222" s="101" t="str">
        <f>VLOOKUP(K222,'Preturi si tarife'!$B$4:$K$39,10,FALSE)</f>
        <v>ICOENG0001</v>
      </c>
      <c r="T222" s="101" t="str">
        <f t="shared" si="14"/>
        <v>INV + 30</v>
      </c>
      <c r="V222" s="101" t="str">
        <f t="shared" si="15"/>
        <v>Active</v>
      </c>
      <c r="X222" s="101" t="str">
        <f t="shared" si="16"/>
        <v>One-off</v>
      </c>
      <c r="AC222" s="101" t="str">
        <f t="shared" si="26"/>
        <v>RON</v>
      </c>
      <c r="AD222" s="101">
        <f t="shared" si="27"/>
        <v>10000</v>
      </c>
    </row>
    <row r="223" spans="1:30">
      <c r="A223" s="101">
        <f t="shared" si="28"/>
        <v>7</v>
      </c>
      <c r="B223" s="101">
        <f t="shared" si="24"/>
        <v>6</v>
      </c>
      <c r="C223" s="101" t="str">
        <f t="shared" si="25"/>
        <v>T6</v>
      </c>
      <c r="D223" s="101" t="str">
        <f>IF(A223&lt;&gt;A222,VLOOKUP(A223,'Date SPV'!$A:$D,4,FALSE),D222)</f>
        <v>Galati Shopping City SRL</v>
      </c>
      <c r="E223" s="101" t="str">
        <f>VLOOKUP(A223,'Date SPV'!$A$4:$B$34,2,FALSE)</f>
        <v>RGSC</v>
      </c>
      <c r="H223" s="105" t="s">
        <v>894</v>
      </c>
      <c r="K223" s="101" t="str">
        <f>VLOOKUP(C223,'Preturi si tarife'!$A$4:$B$39,2,FALSE)</f>
        <v xml:space="preserve">Servicii Sistem </v>
      </c>
      <c r="L223" s="102">
        <f>IF(B223=1,'Date masura OD'!$I$5,IF(B223=19,'Date masura OD'!$AK$5,L222))</f>
        <v>45778</v>
      </c>
      <c r="M223" s="102">
        <f>IF(B223=1,'Date masura OD'!$J$5,IF(B223=19,'Date masura OD'!$AL$5,M222))</f>
        <v>45808</v>
      </c>
      <c r="N223" s="104">
        <f>VLOOKUP(E223,verificare!$AR$4:$CC$33,B223+2,FALSE)</f>
        <v>696493</v>
      </c>
      <c r="O223" s="103">
        <f>HLOOKUP(VLOOKUP(E223,'Date SPV'!$B$4:$F$34,5,FALSE),'Preturi si tarife'!$C$2:$J$39,B223+2,FALSE)*10000</f>
        <v>115.1</v>
      </c>
      <c r="Q223" s="101" t="str">
        <f t="shared" si="13"/>
        <v>One-off</v>
      </c>
      <c r="R223" s="101" t="str">
        <f>VLOOKUP(K223,'Preturi si tarife'!$B$4:$K$39,10,FALSE)</f>
        <v>ICOENG0001</v>
      </c>
      <c r="T223" s="101" t="str">
        <f t="shared" si="14"/>
        <v>INV + 30</v>
      </c>
      <c r="V223" s="101" t="str">
        <f t="shared" si="15"/>
        <v>Active</v>
      </c>
      <c r="X223" s="101" t="str">
        <f t="shared" si="16"/>
        <v>One-off</v>
      </c>
      <c r="AC223" s="101" t="str">
        <f t="shared" si="26"/>
        <v>RON</v>
      </c>
      <c r="AD223" s="101">
        <f t="shared" si="27"/>
        <v>10000</v>
      </c>
    </row>
    <row r="224" spans="1:30">
      <c r="A224" s="101">
        <f t="shared" si="28"/>
        <v>7</v>
      </c>
      <c r="B224" s="101">
        <f t="shared" si="24"/>
        <v>7</v>
      </c>
      <c r="C224" s="101" t="str">
        <f t="shared" si="25"/>
        <v>T7</v>
      </c>
      <c r="D224" s="101" t="str">
        <f>IF(A224&lt;&gt;A223,VLOOKUP(A224,'Date SPV'!$A:$D,4,FALSE),D223)</f>
        <v>Galati Shopping City SRL</v>
      </c>
      <c r="E224" s="101" t="str">
        <f>VLOOKUP(A224,'Date SPV'!$A$4:$B$34,2,FALSE)</f>
        <v>RGSC</v>
      </c>
      <c r="H224" s="105" t="s">
        <v>894</v>
      </c>
      <c r="K224" s="101" t="str">
        <f>VLOOKUP(C224,'Preturi si tarife'!$A$4:$B$39,2,FALSE)</f>
        <v>Tarif de introducere en. el in retea (TL)</v>
      </c>
      <c r="L224" s="102">
        <f>IF(B224=1,'Date masura OD'!$I$5,IF(B224=19,'Date masura OD'!$AK$5,L223))</f>
        <v>45778</v>
      </c>
      <c r="M224" s="102">
        <f>IF(B224=1,'Date masura OD'!$J$5,IF(B224=19,'Date masura OD'!$AL$5,M223))</f>
        <v>45808</v>
      </c>
      <c r="N224" s="104">
        <f>VLOOKUP(E224,verificare!$AR$4:$CC$33,B224+2,FALSE)</f>
        <v>696493</v>
      </c>
      <c r="O224" s="103">
        <f>HLOOKUP(VLOOKUP(E224,'Date SPV'!$B$4:$F$34,5,FALSE),'Preturi si tarife'!$C$2:$J$39,B224+2,FALSE)*10000</f>
        <v>330.3</v>
      </c>
      <c r="Q224" s="101" t="str">
        <f t="shared" si="13"/>
        <v>One-off</v>
      </c>
      <c r="R224" s="101" t="str">
        <f>VLOOKUP(K224,'Preturi si tarife'!$B$4:$K$39,10,FALSE)</f>
        <v>ICOENG0001</v>
      </c>
      <c r="T224" s="101" t="str">
        <f t="shared" si="14"/>
        <v>INV + 30</v>
      </c>
      <c r="V224" s="101" t="str">
        <f t="shared" si="15"/>
        <v>Active</v>
      </c>
      <c r="X224" s="101" t="str">
        <f t="shared" si="16"/>
        <v>One-off</v>
      </c>
      <c r="AC224" s="101" t="str">
        <f t="shared" si="26"/>
        <v>RON</v>
      </c>
      <c r="AD224" s="101">
        <f t="shared" si="27"/>
        <v>10000</v>
      </c>
    </row>
    <row r="225" spans="1:30">
      <c r="A225" s="101">
        <f t="shared" si="28"/>
        <v>7</v>
      </c>
      <c r="B225" s="101">
        <f t="shared" si="24"/>
        <v>8</v>
      </c>
      <c r="C225" s="101" t="str">
        <f t="shared" si="25"/>
        <v>T8</v>
      </c>
      <c r="D225" s="101" t="str">
        <f>IF(A225&lt;&gt;A224,VLOOKUP(A225,'Date SPV'!$A:$D,4,FALSE),D224)</f>
        <v>Galati Shopping City SRL</v>
      </c>
      <c r="E225" s="101" t="str">
        <f>VLOOKUP(A225,'Date SPV'!$A$4:$B$34,2,FALSE)</f>
        <v>RGSC</v>
      </c>
      <c r="H225" s="105" t="s">
        <v>894</v>
      </c>
      <c r="K225" s="101" t="str">
        <f>VLOOKUP(C225,'Preturi si tarife'!$A$4:$B$39,2,FALSE)</f>
        <v>Tarif de introducere en.el in retea (TG)</v>
      </c>
      <c r="L225" s="102">
        <f>IF(B225=1,'Date masura OD'!$I$5,IF(B225=19,'Date masura OD'!$AK$5,L224))</f>
        <v>45778</v>
      </c>
      <c r="M225" s="102">
        <f>IF(B225=1,'Date masura OD'!$J$5,IF(B225=19,'Date masura OD'!$AL$5,M224))</f>
        <v>45808</v>
      </c>
      <c r="N225" s="104">
        <f>VLOOKUP(E225,verificare!$AR$4:$CC$33,B225+2,FALSE)</f>
        <v>696493</v>
      </c>
      <c r="O225" s="103">
        <f>HLOOKUP(VLOOKUP(E225,'Date SPV'!$B$4:$F$34,5,FALSE),'Preturi si tarife'!$C$2:$J$39,B225+2,FALSE)*10000</f>
        <v>32.9</v>
      </c>
      <c r="Q225" s="101" t="str">
        <f t="shared" si="13"/>
        <v>One-off</v>
      </c>
      <c r="R225" s="101" t="str">
        <f>VLOOKUP(K225,'Preturi si tarife'!$B$4:$K$39,10,FALSE)</f>
        <v>ICOENG0001</v>
      </c>
      <c r="T225" s="101" t="str">
        <f t="shared" si="14"/>
        <v>INV + 30</v>
      </c>
      <c r="V225" s="101" t="str">
        <f t="shared" si="15"/>
        <v>Active</v>
      </c>
      <c r="X225" s="101" t="str">
        <f t="shared" si="16"/>
        <v>One-off</v>
      </c>
      <c r="AC225" s="101" t="str">
        <f t="shared" si="26"/>
        <v>RON</v>
      </c>
      <c r="AD225" s="101">
        <f t="shared" si="27"/>
        <v>10000</v>
      </c>
    </row>
    <row r="226" spans="1:30">
      <c r="A226" s="101">
        <f t="shared" si="28"/>
        <v>7</v>
      </c>
      <c r="B226" s="101">
        <f t="shared" si="24"/>
        <v>9</v>
      </c>
      <c r="C226" s="101" t="str">
        <f t="shared" si="25"/>
        <v>T9</v>
      </c>
      <c r="D226" s="101" t="str">
        <f>IF(A226&lt;&gt;A225,VLOOKUP(A226,'Date SPV'!$A:$D,4,FALSE),D225)</f>
        <v>Galati Shopping City SRL</v>
      </c>
      <c r="E226" s="101" t="str">
        <f>VLOOKUP(A226,'Date SPV'!$A$4:$B$34,2,FALSE)</f>
        <v>RGSC</v>
      </c>
      <c r="H226" s="105" t="s">
        <v>894</v>
      </c>
      <c r="K226" s="101" t="str">
        <f>VLOOKUP(C226,'Preturi si tarife'!$A$4:$B$39,2,FALSE)</f>
        <v>Contributie pentru cogenerare</v>
      </c>
      <c r="L226" s="102">
        <f>IF(B226=1,'Date masura OD'!$I$5,IF(B226=19,'Date masura OD'!$AK$5,L225))</f>
        <v>45778</v>
      </c>
      <c r="M226" s="102">
        <f>IF(B226=1,'Date masura OD'!$J$5,IF(B226=19,'Date masura OD'!$AL$5,M225))</f>
        <v>45808</v>
      </c>
      <c r="N226" s="104">
        <f>VLOOKUP(E226,verificare!$AR$4:$CC$33,B226+2,FALSE)</f>
        <v>696493</v>
      </c>
      <c r="O226" s="103">
        <f>HLOOKUP(VLOOKUP(E226,'Date SPV'!$B$4:$F$34,5,FALSE),'Preturi si tarife'!$C$2:$J$39,B226+2,FALSE)*10000</f>
        <v>35</v>
      </c>
      <c r="Q226" s="101" t="str">
        <f t="shared" si="13"/>
        <v>One-off</v>
      </c>
      <c r="R226" s="101" t="str">
        <f>VLOOKUP(K226,'Preturi si tarife'!$B$4:$K$39,10,FALSE)</f>
        <v>ICOENG0001</v>
      </c>
      <c r="T226" s="101" t="str">
        <f t="shared" si="14"/>
        <v>INV + 30</v>
      </c>
      <c r="V226" s="101" t="str">
        <f t="shared" si="15"/>
        <v>Active</v>
      </c>
      <c r="X226" s="101" t="str">
        <f t="shared" si="16"/>
        <v>One-off</v>
      </c>
      <c r="AC226" s="101" t="str">
        <f t="shared" si="26"/>
        <v>RON</v>
      </c>
      <c r="AD226" s="101">
        <f t="shared" si="27"/>
        <v>10000</v>
      </c>
    </row>
    <row r="227" spans="1:30">
      <c r="A227" s="101">
        <f t="shared" si="28"/>
        <v>7</v>
      </c>
      <c r="B227" s="101">
        <f t="shared" si="24"/>
        <v>10</v>
      </c>
      <c r="C227" s="101" t="str">
        <f t="shared" si="25"/>
        <v>T10</v>
      </c>
      <c r="D227" s="101" t="str">
        <f>IF(A227&lt;&gt;A226,VLOOKUP(A227,'Date SPV'!$A:$D,4,FALSE),D226)</f>
        <v>Galati Shopping City SRL</v>
      </c>
      <c r="E227" s="101" t="str">
        <f>VLOOKUP(A227,'Date SPV'!$A$4:$B$34,2,FALSE)</f>
        <v>RGSC</v>
      </c>
      <c r="H227" s="105" t="s">
        <v>894</v>
      </c>
      <c r="K227" s="101" t="str">
        <f>VLOOKUP(C227,'Preturi si tarife'!$A$4:$B$39,2,FALSE)</f>
        <v xml:space="preserve">Certificate verzi </v>
      </c>
      <c r="L227" s="102">
        <f>IF(B227=1,'Date masura OD'!$I$5,IF(B227=19,'Date masura OD'!$AK$5,L226))</f>
        <v>45778</v>
      </c>
      <c r="M227" s="102">
        <f>IF(B227=1,'Date masura OD'!$J$5,IF(B227=19,'Date masura OD'!$AL$5,M226))</f>
        <v>45808</v>
      </c>
      <c r="N227" s="104">
        <f>VLOOKUP(E227,verificare!$AR$4:$CC$33,B227+2,FALSE)</f>
        <v>696493</v>
      </c>
      <c r="O227" s="103">
        <f>HLOOKUP(VLOOKUP(E227,'Date SPV'!$B$4:$F$34,5,FALSE),'Preturi si tarife'!$C$2:$J$39,B227+2,FALSE)*10000</f>
        <v>725.41599999999994</v>
      </c>
      <c r="Q227" s="101" t="str">
        <f t="shared" si="13"/>
        <v>One-off</v>
      </c>
      <c r="R227" s="101" t="str">
        <f>VLOOKUP(K227,'Preturi si tarife'!$B$4:$K$39,10,FALSE)</f>
        <v>ICOENG0001</v>
      </c>
      <c r="T227" s="101" t="str">
        <f t="shared" si="14"/>
        <v>INV + 30</v>
      </c>
      <c r="V227" s="101" t="str">
        <f t="shared" si="15"/>
        <v>Active</v>
      </c>
      <c r="X227" s="101" t="str">
        <f t="shared" si="16"/>
        <v>One-off</v>
      </c>
      <c r="AC227" s="101" t="str">
        <f t="shared" si="26"/>
        <v>RON</v>
      </c>
      <c r="AD227" s="101">
        <f t="shared" si="27"/>
        <v>10000</v>
      </c>
    </row>
    <row r="228" spans="1:30">
      <c r="A228" s="101">
        <f t="shared" si="28"/>
        <v>7</v>
      </c>
      <c r="B228" s="101">
        <f t="shared" si="24"/>
        <v>11</v>
      </c>
      <c r="C228" s="101" t="str">
        <f t="shared" si="25"/>
        <v>T11</v>
      </c>
      <c r="D228" s="101" t="str">
        <f>IF(A228&lt;&gt;A227,VLOOKUP(A228,'Date SPV'!$A:$D,4,FALSE),D227)</f>
        <v>Galati Shopping City SRL</v>
      </c>
      <c r="E228" s="101" t="str">
        <f>VLOOKUP(A228,'Date SPV'!$A$4:$B$34,2,FALSE)</f>
        <v>RGSC</v>
      </c>
      <c r="H228" s="105" t="s">
        <v>894</v>
      </c>
      <c r="K228" s="101" t="str">
        <f>VLOOKUP(C228,'Preturi si tarife'!$A$4:$B$39,2,FALSE)</f>
        <v>Contributie CFD</v>
      </c>
      <c r="L228" s="102">
        <f>IF(B228=1,'Date masura OD'!$I$5,IF(B228=19,'Date masura OD'!$AK$5,L227))</f>
        <v>45778</v>
      </c>
      <c r="M228" s="102">
        <f>IF(B228=1,'Date masura OD'!$J$5,IF(B228=19,'Date masura OD'!$AL$5,M227))</f>
        <v>45808</v>
      </c>
      <c r="N228" s="104">
        <f>VLOOKUP(E228,verificare!$AR$4:$CC$33,B228+2,FALSE)</f>
        <v>696493</v>
      </c>
      <c r="O228" s="103">
        <f>HLOOKUP(VLOOKUP(E228,'Date SPV'!$B$4:$F$34,5,FALSE),'Preturi si tarife'!$C$2:$J$39,B228+2,FALSE)*10000</f>
        <v>2.06</v>
      </c>
      <c r="Q228" s="101" t="str">
        <f t="shared" si="13"/>
        <v>One-off</v>
      </c>
      <c r="R228" s="101" t="str">
        <f>VLOOKUP(K228,'Preturi si tarife'!$B$4:$K$39,10,FALSE)</f>
        <v>ICOENG0001</v>
      </c>
      <c r="T228" s="101" t="str">
        <f t="shared" si="14"/>
        <v>INV + 30</v>
      </c>
      <c r="V228" s="101" t="str">
        <f t="shared" si="15"/>
        <v>Active</v>
      </c>
      <c r="X228" s="101" t="str">
        <f t="shared" si="16"/>
        <v>One-off</v>
      </c>
      <c r="AC228" s="101" t="str">
        <f t="shared" si="26"/>
        <v>RON</v>
      </c>
      <c r="AD228" s="101">
        <f t="shared" si="27"/>
        <v>10000</v>
      </c>
    </row>
    <row r="229" spans="1:30">
      <c r="A229" s="101">
        <f t="shared" si="28"/>
        <v>7</v>
      </c>
      <c r="B229" s="101">
        <f t="shared" si="24"/>
        <v>12</v>
      </c>
      <c r="C229" s="101" t="str">
        <f t="shared" si="25"/>
        <v>T12</v>
      </c>
      <c r="D229" s="101" t="str">
        <f>IF(A229&lt;&gt;A228,VLOOKUP(A229,'Date SPV'!$A:$D,4,FALSE),D228)</f>
        <v>Galati Shopping City SRL</v>
      </c>
      <c r="E229" s="101" t="str">
        <f>VLOOKUP(A229,'Date SPV'!$A$4:$B$34,2,FALSE)</f>
        <v>RGSC</v>
      </c>
      <c r="H229" s="105" t="s">
        <v>894</v>
      </c>
      <c r="K229" s="101" t="str">
        <f>VLOOKUP(C229,'Preturi si tarife'!$A$4:$B$39,2,FALSE)</f>
        <v>Acciza</v>
      </c>
      <c r="L229" s="102">
        <f>IF(B229=1,'Date masura OD'!$I$5,IF(B229=19,'Date masura OD'!$AK$5,L228))</f>
        <v>45778</v>
      </c>
      <c r="M229" s="102">
        <f>IF(B229=1,'Date masura OD'!$J$5,IF(B229=19,'Date masura OD'!$AL$5,M228))</f>
        <v>45808</v>
      </c>
      <c r="N229" s="104">
        <f>VLOOKUP(E229,verificare!$AR$4:$CC$33,B229+2,FALSE)</f>
        <v>696493</v>
      </c>
      <c r="O229" s="103">
        <f>HLOOKUP(VLOOKUP(E229,'Date SPV'!$B$4:$F$34,5,FALSE),'Preturi si tarife'!$C$2:$J$39,B229+2,FALSE)*10000</f>
        <v>0</v>
      </c>
      <c r="Q229" s="101" t="str">
        <f t="shared" si="13"/>
        <v>One-off</v>
      </c>
      <c r="R229" s="101" t="str">
        <f>VLOOKUP(K229,'Preturi si tarife'!$B$4:$K$39,10,FALSE)</f>
        <v>ICOENG0001</v>
      </c>
      <c r="T229" s="101" t="str">
        <f t="shared" si="14"/>
        <v>INV + 30</v>
      </c>
      <c r="V229" s="101" t="str">
        <f t="shared" si="15"/>
        <v>Active</v>
      </c>
      <c r="X229" s="101" t="str">
        <f t="shared" si="16"/>
        <v>One-off</v>
      </c>
      <c r="AC229" s="101" t="str">
        <f t="shared" si="26"/>
        <v>RON</v>
      </c>
      <c r="AD229" s="101">
        <f t="shared" si="27"/>
        <v>10000</v>
      </c>
    </row>
    <row r="230" spans="1:30">
      <c r="A230" s="101">
        <f t="shared" si="28"/>
        <v>7</v>
      </c>
      <c r="B230" s="101">
        <f t="shared" si="24"/>
        <v>13</v>
      </c>
      <c r="C230" s="101" t="str">
        <f t="shared" si="25"/>
        <v>T13</v>
      </c>
      <c r="D230" s="101" t="str">
        <f>IF(A230&lt;&gt;A229,VLOOKUP(A230,'Date SPV'!$A:$D,4,FALSE),D229)</f>
        <v>Galati Shopping City SRL</v>
      </c>
      <c r="E230" s="101" t="str">
        <f>VLOOKUP(A230,'Date SPV'!$A$4:$B$34,2,FALSE)</f>
        <v>RGSC</v>
      </c>
      <c r="H230" s="105" t="s">
        <v>894</v>
      </c>
      <c r="K230" s="101" t="str">
        <f>VLOOKUP(C230,'Preturi si tarife'!$A$4:$B$39,2,FALSE)</f>
        <v>Tarif distributie SDI MT</v>
      </c>
      <c r="L230" s="102">
        <f>IF(B230=1,'Date masura OD'!$I$5,IF(B230=19,'Date masura OD'!$AK$5,L229))</f>
        <v>45778</v>
      </c>
      <c r="M230" s="102">
        <f>IF(B230=1,'Date masura OD'!$J$5,IF(B230=19,'Date masura OD'!$AL$5,M229))</f>
        <v>45808</v>
      </c>
      <c r="N230" s="104">
        <f>VLOOKUP(E230,verificare!$AR$4:$CC$33,B230+2,FALSE)</f>
        <v>696493</v>
      </c>
      <c r="O230" s="103">
        <f>HLOOKUP(VLOOKUP(E230,'Date SPV'!$B$4:$F$34,5,FALSE),'Preturi si tarife'!$C$2:$J$39,B230+2,FALSE)*10000</f>
        <v>149</v>
      </c>
      <c r="Q230" s="101" t="str">
        <f t="shared" si="13"/>
        <v>One-off</v>
      </c>
      <c r="R230" s="101" t="str">
        <f>VLOOKUP(K230,'Preturi si tarife'!$B$4:$K$39,10,FALSE)</f>
        <v>ICOENG0010</v>
      </c>
      <c r="T230" s="101" t="str">
        <f t="shared" si="14"/>
        <v>INV + 30</v>
      </c>
      <c r="V230" s="101" t="str">
        <f t="shared" si="15"/>
        <v>Active</v>
      </c>
      <c r="X230" s="101" t="str">
        <f t="shared" si="16"/>
        <v>One-off</v>
      </c>
      <c r="AC230" s="101" t="str">
        <f t="shared" si="26"/>
        <v>RON</v>
      </c>
      <c r="AD230" s="101">
        <f t="shared" si="27"/>
        <v>10000</v>
      </c>
    </row>
    <row r="231" spans="1:30">
      <c r="A231" s="101">
        <f t="shared" si="28"/>
        <v>7</v>
      </c>
      <c r="B231" s="101">
        <f t="shared" si="24"/>
        <v>14</v>
      </c>
      <c r="C231" s="101" t="str">
        <f t="shared" si="25"/>
        <v>T14</v>
      </c>
      <c r="D231" s="101" t="str">
        <f>IF(A231&lt;&gt;A230,VLOOKUP(A231,'Date SPV'!$A:$D,4,FALSE),D230)</f>
        <v>Galati Shopping City SRL</v>
      </c>
      <c r="E231" s="101" t="str">
        <f>VLOOKUP(A231,'Date SPV'!$A$4:$B$34,2,FALSE)</f>
        <v>RGSC</v>
      </c>
      <c r="H231" s="105" t="s">
        <v>894</v>
      </c>
      <c r="K231" s="101" t="str">
        <f>VLOOKUP(C231,'Preturi si tarife'!$A$4:$B$39,2,FALSE)</f>
        <v>Tarif distributie SDI JT</v>
      </c>
      <c r="L231" s="102">
        <f>IF(B231=1,'Date masura OD'!$I$5,IF(B231=19,'Date masura OD'!$AK$5,L230))</f>
        <v>45778</v>
      </c>
      <c r="M231" s="102">
        <f>IF(B231=1,'Date masura OD'!$J$5,IF(B231=19,'Date masura OD'!$AL$5,M230))</f>
        <v>45808</v>
      </c>
      <c r="N231" s="104">
        <f>VLOOKUP(E231,verificare!$AR$4:$CC$33,B231+2,FALSE)</f>
        <v>696493</v>
      </c>
      <c r="O231" s="103">
        <f>HLOOKUP(VLOOKUP(E231,'Date SPV'!$B$4:$F$34,5,FALSE),'Preturi si tarife'!$C$2:$J$39,B231+2,FALSE)*10000</f>
        <v>1192</v>
      </c>
      <c r="Q231" s="101" t="str">
        <f t="shared" si="13"/>
        <v>One-off</v>
      </c>
      <c r="R231" s="101" t="str">
        <f>VLOOKUP(K231,'Preturi si tarife'!$B$4:$K$39,10,FALSE)</f>
        <v>ICOENG0010</v>
      </c>
      <c r="T231" s="101" t="str">
        <f t="shared" si="14"/>
        <v>INV + 30</v>
      </c>
      <c r="V231" s="101" t="str">
        <f t="shared" si="15"/>
        <v>Active</v>
      </c>
      <c r="X231" s="101" t="str">
        <f t="shared" si="16"/>
        <v>One-off</v>
      </c>
      <c r="AC231" s="101" t="str">
        <f t="shared" si="26"/>
        <v>RON</v>
      </c>
      <c r="AD231" s="101">
        <f t="shared" si="27"/>
        <v>10000</v>
      </c>
    </row>
    <row r="232" spans="1:30">
      <c r="A232" s="101">
        <f t="shared" si="28"/>
        <v>7</v>
      </c>
      <c r="B232" s="101">
        <f t="shared" si="24"/>
        <v>15</v>
      </c>
      <c r="C232" s="101" t="str">
        <f t="shared" si="25"/>
        <v>T15</v>
      </c>
      <c r="D232" s="101" t="str">
        <f>IF(A232&lt;&gt;A231,VLOOKUP(A232,'Date SPV'!$A:$D,4,FALSE),D231)</f>
        <v>Galati Shopping City SRL</v>
      </c>
      <c r="E232" s="101" t="str">
        <f>VLOOKUP(A232,'Date SPV'!$A$4:$B$34,2,FALSE)</f>
        <v>RGSC</v>
      </c>
      <c r="H232" s="105" t="s">
        <v>894</v>
      </c>
      <c r="K232" s="101" t="str">
        <f>VLOOKUP(C232,'Preturi si tarife'!$A$4:$B$39,2,FALSE)</f>
        <v>Energie activa 2</v>
      </c>
      <c r="L232" s="102">
        <f>IF(B232=1,'Date masura OD'!$I$5,IF(B232=19,'Date masura OD'!$AK$5,L231))</f>
        <v>45778</v>
      </c>
      <c r="M232" s="102">
        <f>IF(B232=1,'Date masura OD'!$J$5,IF(B232=19,'Date masura OD'!$AL$5,M231))</f>
        <v>45808</v>
      </c>
      <c r="N232" s="104">
        <f>VLOOKUP(E232,verificare!$AR$4:$CC$33,B232+2,FALSE)</f>
        <v>263626</v>
      </c>
      <c r="O232" s="103">
        <f>HLOOKUP(VLOOKUP(E232,'Date SPV'!$B$4:$F$34,5,FALSE),'Preturi si tarife'!$C$2:$J$39,B232+2,FALSE)*10000</f>
        <v>9680.0760000000009</v>
      </c>
      <c r="Q232" s="101" t="str">
        <f t="shared" si="13"/>
        <v>One-off</v>
      </c>
      <c r="R232" s="101" t="str">
        <f>VLOOKUP(K232,'Preturi si tarife'!$B$4:$K$39,10,FALSE)</f>
        <v>ICOENG0012</v>
      </c>
      <c r="T232" s="101" t="str">
        <f t="shared" si="14"/>
        <v>INV + 30</v>
      </c>
      <c r="V232" s="101" t="str">
        <f t="shared" si="15"/>
        <v>Active</v>
      </c>
      <c r="X232" s="101" t="str">
        <f t="shared" si="16"/>
        <v>One-off</v>
      </c>
      <c r="AC232" s="101" t="str">
        <f t="shared" si="26"/>
        <v>RON</v>
      </c>
      <c r="AD232" s="101">
        <f t="shared" si="27"/>
        <v>10000</v>
      </c>
    </row>
    <row r="233" spans="1:30">
      <c r="A233" s="101">
        <f t="shared" si="28"/>
        <v>7</v>
      </c>
      <c r="B233" s="101">
        <f t="shared" si="24"/>
        <v>16</v>
      </c>
      <c r="C233" s="101" t="str">
        <f t="shared" si="25"/>
        <v>T16</v>
      </c>
      <c r="D233" s="101" t="str">
        <f>IF(A233&lt;&gt;A232,VLOOKUP(A233,'Date SPV'!$A:$D,4,FALSE),D232)</f>
        <v>Galati Shopping City SRL</v>
      </c>
      <c r="E233" s="101" t="str">
        <f>VLOOKUP(A233,'Date SPV'!$A$4:$B$34,2,FALSE)</f>
        <v>RGSC</v>
      </c>
      <c r="H233" s="105" t="s">
        <v>894</v>
      </c>
      <c r="K233" s="101" t="str">
        <f>VLOOKUP(C233,'Preturi si tarife'!$A$4:$B$39,2,FALSE)</f>
        <v>Energie activa 3</v>
      </c>
      <c r="L233" s="102">
        <f>IF(B233=1,'Date masura OD'!$I$5,IF(B233=19,'Date masura OD'!$AK$5,L232))</f>
        <v>45778</v>
      </c>
      <c r="M233" s="102">
        <f>IF(B233=1,'Date masura OD'!$J$5,IF(B233=19,'Date masura OD'!$AL$5,M232))</f>
        <v>45808</v>
      </c>
      <c r="N233" s="104">
        <f>VLOOKUP(E233,verificare!$AR$4:$CC$33,B233+2,FALSE)</f>
        <v>18011</v>
      </c>
      <c r="O233" s="103">
        <f>HLOOKUP(VLOOKUP(E233,'Date SPV'!$B$4:$F$34,5,FALSE),'Preturi si tarife'!$C$2:$J$39,B233+2,FALSE)*10000</f>
        <v>8339.0760000000009</v>
      </c>
      <c r="Q233" s="101" t="str">
        <f t="shared" si="13"/>
        <v>One-off</v>
      </c>
      <c r="R233" s="101" t="str">
        <f>VLOOKUP(K233,'Preturi si tarife'!$B$4:$K$39,10,FALSE)</f>
        <v>ICOENG0012</v>
      </c>
      <c r="T233" s="101" t="str">
        <f t="shared" si="14"/>
        <v>INV + 30</v>
      </c>
      <c r="V233" s="101" t="str">
        <f t="shared" si="15"/>
        <v>Active</v>
      </c>
      <c r="X233" s="101" t="str">
        <f t="shared" si="16"/>
        <v>One-off</v>
      </c>
      <c r="AC233" s="101" t="str">
        <f t="shared" si="26"/>
        <v>RON</v>
      </c>
      <c r="AD233" s="101">
        <f t="shared" si="27"/>
        <v>10000</v>
      </c>
    </row>
    <row r="234" spans="1:30">
      <c r="A234" s="101">
        <f t="shared" si="28"/>
        <v>7</v>
      </c>
      <c r="B234" s="101">
        <f t="shared" si="24"/>
        <v>17</v>
      </c>
      <c r="C234" s="101" t="str">
        <f t="shared" si="25"/>
        <v>T17</v>
      </c>
      <c r="D234" s="101" t="str">
        <f>IF(A234&lt;&gt;A233,VLOOKUP(A234,'Date SPV'!$A:$D,4,FALSE),D233)</f>
        <v>Galati Shopping City SRL</v>
      </c>
      <c r="E234" s="101" t="str">
        <f>VLOOKUP(A234,'Date SPV'!$A$4:$B$34,2,FALSE)</f>
        <v>RGSC</v>
      </c>
      <c r="H234" s="105" t="s">
        <v>894</v>
      </c>
      <c r="K234" s="101" t="str">
        <f>VLOOKUP(C234,'Preturi si tarife'!$A$4:$B$39,2,FALSE)</f>
        <v>Tarif distributie SDI MT_</v>
      </c>
      <c r="L234" s="102">
        <f>IF(B234=1,'Date masura OD'!$I$5,IF(B234=19,'Date masura OD'!$AK$5,L233))</f>
        <v>45778</v>
      </c>
      <c r="M234" s="102">
        <f>IF(B234=1,'Date masura OD'!$J$5,IF(B234=19,'Date masura OD'!$AL$5,M233))</f>
        <v>45808</v>
      </c>
      <c r="N234" s="104">
        <f>VLOOKUP(E234,verificare!$AR$4:$CC$33,B234+2,FALSE)</f>
        <v>18011</v>
      </c>
      <c r="O234" s="103">
        <f>HLOOKUP(VLOOKUP(E234,'Date SPV'!$B$4:$F$34,5,FALSE),'Preturi si tarife'!$C$2:$J$39,B234+2,FALSE)*10000</f>
        <v>149</v>
      </c>
      <c r="Q234" s="101" t="str">
        <f t="shared" si="13"/>
        <v>One-off</v>
      </c>
      <c r="R234" s="101" t="str">
        <f>VLOOKUP(K234,'Preturi si tarife'!$B$4:$K$39,10,FALSE)</f>
        <v>ICOENG0010</v>
      </c>
      <c r="T234" s="101" t="str">
        <f t="shared" si="14"/>
        <v>INV + 30</v>
      </c>
      <c r="V234" s="101" t="str">
        <f t="shared" si="15"/>
        <v>Active</v>
      </c>
      <c r="X234" s="101" t="str">
        <f t="shared" si="16"/>
        <v>One-off</v>
      </c>
      <c r="AC234" s="101" t="str">
        <f t="shared" si="26"/>
        <v>RON</v>
      </c>
      <c r="AD234" s="101">
        <f t="shared" si="27"/>
        <v>10000</v>
      </c>
    </row>
    <row r="235" spans="1:30">
      <c r="A235" s="101">
        <f t="shared" si="28"/>
        <v>7</v>
      </c>
      <c r="B235" s="101">
        <f t="shared" si="24"/>
        <v>18</v>
      </c>
      <c r="C235" s="101" t="str">
        <f t="shared" si="25"/>
        <v>T18</v>
      </c>
      <c r="D235" s="101" t="str">
        <f>IF(A235&lt;&gt;A234,VLOOKUP(A235,'Date SPV'!$A:$D,4,FALSE),D234)</f>
        <v>Galati Shopping City SRL</v>
      </c>
      <c r="E235" s="101" t="str">
        <f>VLOOKUP(A235,'Date SPV'!$A$4:$B$34,2,FALSE)</f>
        <v>RGSC</v>
      </c>
      <c r="H235" s="105" t="s">
        <v>894</v>
      </c>
      <c r="K235" s="101" t="str">
        <f>VLOOKUP(C235,'Preturi si tarife'!$A$4:$B$39,2,FALSE)</f>
        <v>Tarif distributie SDI JT_</v>
      </c>
      <c r="L235" s="102">
        <f>IF(B235=1,'Date masura OD'!$I$5,IF(B235=19,'Date masura OD'!$AK$5,L234))</f>
        <v>45778</v>
      </c>
      <c r="M235" s="102">
        <f>IF(B235=1,'Date masura OD'!$J$5,IF(B235=19,'Date masura OD'!$AL$5,M234))</f>
        <v>45808</v>
      </c>
      <c r="N235" s="104">
        <f>VLOOKUP(E235,verificare!$AR$4:$CC$33,B235+2,FALSE)</f>
        <v>18011</v>
      </c>
      <c r="O235" s="103">
        <f>HLOOKUP(VLOOKUP(E235,'Date SPV'!$B$4:$F$34,5,FALSE),'Preturi si tarife'!$C$2:$J$39,B235+2,FALSE)*10000</f>
        <v>1192</v>
      </c>
      <c r="Q235" s="101" t="str">
        <f t="shared" si="13"/>
        <v>One-off</v>
      </c>
      <c r="R235" s="101" t="str">
        <f>VLOOKUP(K235,'Preturi si tarife'!$B$4:$K$39,10,FALSE)</f>
        <v>ICOENG0010</v>
      </c>
      <c r="T235" s="101" t="str">
        <f t="shared" si="14"/>
        <v>INV + 30</v>
      </c>
      <c r="V235" s="101" t="str">
        <f t="shared" si="15"/>
        <v>Active</v>
      </c>
      <c r="X235" s="101" t="str">
        <f t="shared" si="16"/>
        <v>One-off</v>
      </c>
      <c r="AC235" s="101" t="str">
        <f t="shared" si="26"/>
        <v>RON</v>
      </c>
      <c r="AD235" s="101">
        <f t="shared" si="27"/>
        <v>10000</v>
      </c>
    </row>
    <row r="236" spans="1:30">
      <c r="A236" s="101">
        <f t="shared" si="28"/>
        <v>7</v>
      </c>
      <c r="B236" s="101">
        <f t="shared" si="24"/>
        <v>19</v>
      </c>
      <c r="C236" s="101" t="str">
        <f t="shared" si="25"/>
        <v>T19</v>
      </c>
      <c r="D236" s="101" t="str">
        <f>IF(A236&lt;&gt;A235,VLOOKUP(A236,'Date SPV'!$A:$D,4,FALSE),D235)</f>
        <v>Galati Shopping City SRL</v>
      </c>
      <c r="E236" s="101" t="str">
        <f>VLOOKUP(A236,'Date SPV'!$A$4:$B$34,2,FALSE)</f>
        <v>RGSC</v>
      </c>
      <c r="H236" s="105" t="s">
        <v>894</v>
      </c>
      <c r="K236" s="101" t="str">
        <f>VLOOKUP(C236,'Preturi si tarife'!$A$4:$B$39,2,FALSE)</f>
        <v>Regularizare Energie activa 1</v>
      </c>
      <c r="L236" s="102">
        <f>IF(B236=1,'Date masura OD'!$I$5,IF(B236=19,'Date masura OD'!$AK$5,L235))</f>
        <v>45748</v>
      </c>
      <c r="M236" s="102">
        <f>IF(B236=1,'Date masura OD'!$J$5,IF(B236=19,'Date masura OD'!$AL$5,M235))</f>
        <v>45777</v>
      </c>
      <c r="N236" s="104">
        <f>VLOOKUP(E236,verificare!$AR$4:$CC$33,B236+2,FALSE)</f>
        <v>0</v>
      </c>
      <c r="O236" s="103">
        <f>HLOOKUP(VLOOKUP(E236,'Date SPV'!$B$4:$F$34,5,FALSE),'Preturi si tarife'!$C$2:$J$39,B236+2,FALSE)*10000</f>
        <v>5950</v>
      </c>
      <c r="Q236" s="101" t="str">
        <f t="shared" si="13"/>
        <v>One-off</v>
      </c>
      <c r="R236" s="101" t="str">
        <f>VLOOKUP(K236,'Preturi si tarife'!$B$4:$K$39,10,FALSE)</f>
        <v>ICOENG0001</v>
      </c>
      <c r="T236" s="101" t="str">
        <f t="shared" si="14"/>
        <v>INV + 30</v>
      </c>
      <c r="V236" s="101" t="str">
        <f t="shared" si="15"/>
        <v>Active</v>
      </c>
      <c r="X236" s="101" t="str">
        <f t="shared" si="16"/>
        <v>One-off</v>
      </c>
      <c r="AC236" s="101" t="str">
        <f t="shared" si="26"/>
        <v>RON</v>
      </c>
      <c r="AD236" s="101">
        <f t="shared" si="27"/>
        <v>10000</v>
      </c>
    </row>
    <row r="237" spans="1:30">
      <c r="A237" s="101">
        <f t="shared" si="28"/>
        <v>7</v>
      </c>
      <c r="B237" s="101">
        <f t="shared" si="24"/>
        <v>20</v>
      </c>
      <c r="C237" s="101" t="str">
        <f t="shared" si="25"/>
        <v>T20</v>
      </c>
      <c r="D237" s="101" t="str">
        <f>IF(A237&lt;&gt;A236,VLOOKUP(A237,'Date SPV'!$A:$D,4,FALSE),D236)</f>
        <v>Galati Shopping City SRL</v>
      </c>
      <c r="E237" s="101" t="str">
        <f>VLOOKUP(A237,'Date SPV'!$A$4:$B$34,2,FALSE)</f>
        <v>RGSC</v>
      </c>
      <c r="H237" s="105" t="s">
        <v>894</v>
      </c>
      <c r="K237" s="101" t="str">
        <f>VLOOKUP(C237,'Preturi si tarife'!$A$4:$B$39,2,FALSE)</f>
        <v>Regularizare Energie reactiva  1X</v>
      </c>
      <c r="L237" s="102">
        <f>IF(B237=1,'Date masura OD'!$I$5,IF(B237=19,'Date masura OD'!$AK$5,L236))</f>
        <v>45748</v>
      </c>
      <c r="M237" s="102">
        <f>IF(B237=1,'Date masura OD'!$J$5,IF(B237=19,'Date masura OD'!$AL$5,M236))</f>
        <v>45777</v>
      </c>
      <c r="N237" s="104">
        <f>VLOOKUP(E237,verificare!$AR$4:$CC$33,B237+2,FALSE)</f>
        <v>6914</v>
      </c>
      <c r="O237" s="103">
        <f>HLOOKUP(VLOOKUP(E237,'Date SPV'!$B$4:$F$34,5,FALSE),'Preturi si tarife'!$C$2:$J$39,B237+2,FALSE)*10000</f>
        <v>1465</v>
      </c>
      <c r="Q237" s="101" t="str">
        <f t="shared" si="13"/>
        <v>One-off</v>
      </c>
      <c r="R237" s="101" t="str">
        <f>VLOOKUP(K237,'Preturi si tarife'!$B$4:$K$39,10,FALSE)</f>
        <v>ICOENG0001</v>
      </c>
      <c r="T237" s="101" t="str">
        <f t="shared" si="14"/>
        <v>INV + 30</v>
      </c>
      <c r="V237" s="101" t="str">
        <f t="shared" si="15"/>
        <v>Active</v>
      </c>
      <c r="X237" s="101" t="str">
        <f t="shared" si="16"/>
        <v>One-off</v>
      </c>
      <c r="AC237" s="101" t="str">
        <f t="shared" si="26"/>
        <v>RON</v>
      </c>
      <c r="AD237" s="101">
        <f t="shared" si="27"/>
        <v>10000</v>
      </c>
    </row>
    <row r="238" spans="1:30">
      <c r="A238" s="101">
        <f t="shared" si="28"/>
        <v>7</v>
      </c>
      <c r="B238" s="101">
        <f t="shared" si="24"/>
        <v>21</v>
      </c>
      <c r="C238" s="101" t="str">
        <f t="shared" si="25"/>
        <v>T21</v>
      </c>
      <c r="D238" s="101" t="str">
        <f>IF(A238&lt;&gt;A237,VLOOKUP(A238,'Date SPV'!$A:$D,4,FALSE),D237)</f>
        <v>Galati Shopping City SRL</v>
      </c>
      <c r="E238" s="101" t="str">
        <f>VLOOKUP(A238,'Date SPV'!$A$4:$B$34,2,FALSE)</f>
        <v>RGSC</v>
      </c>
      <c r="H238" s="105" t="s">
        <v>894</v>
      </c>
      <c r="K238" s="101" t="str">
        <f>VLOOKUP(C238,'Preturi si tarife'!$A$4:$B$39,2,FALSE)</f>
        <v>Regularizare Energie reactiva  3X</v>
      </c>
      <c r="L238" s="102">
        <f>IF(B238=1,'Date masura OD'!$I$5,IF(B238=19,'Date masura OD'!$AK$5,L237))</f>
        <v>45748</v>
      </c>
      <c r="M238" s="102">
        <f>IF(B238=1,'Date masura OD'!$J$5,IF(B238=19,'Date masura OD'!$AL$5,M237))</f>
        <v>45777</v>
      </c>
      <c r="N238" s="104">
        <f>VLOOKUP(E238,verificare!$AR$4:$CC$33,B238+2,FALSE)</f>
        <v>4365</v>
      </c>
      <c r="O238" s="103">
        <f>HLOOKUP(VLOOKUP(E238,'Date SPV'!$B$4:$F$34,5,FALSE),'Preturi si tarife'!$C$2:$J$39,B238+2,FALSE)*10000</f>
        <v>4395</v>
      </c>
      <c r="Q238" s="101" t="str">
        <f t="shared" si="13"/>
        <v>One-off</v>
      </c>
      <c r="R238" s="101" t="str">
        <f>VLOOKUP(K238,'Preturi si tarife'!$B$4:$K$39,10,FALSE)</f>
        <v>ICOENG0001</v>
      </c>
      <c r="T238" s="101" t="str">
        <f t="shared" si="14"/>
        <v>INV + 30</v>
      </c>
      <c r="V238" s="101" t="str">
        <f t="shared" si="15"/>
        <v>Active</v>
      </c>
      <c r="X238" s="101" t="str">
        <f t="shared" si="16"/>
        <v>One-off</v>
      </c>
      <c r="AC238" s="101" t="str">
        <f t="shared" si="26"/>
        <v>RON</v>
      </c>
      <c r="AD238" s="101">
        <f t="shared" si="27"/>
        <v>10000</v>
      </c>
    </row>
    <row r="239" spans="1:30">
      <c r="A239" s="101">
        <f t="shared" si="28"/>
        <v>7</v>
      </c>
      <c r="B239" s="101">
        <f t="shared" si="24"/>
        <v>22</v>
      </c>
      <c r="C239" s="101" t="str">
        <f t="shared" si="25"/>
        <v>T22</v>
      </c>
      <c r="D239" s="101" t="str">
        <f>IF(A239&lt;&gt;A238,VLOOKUP(A239,'Date SPV'!$A:$D,4,FALSE),D238)</f>
        <v>Galati Shopping City SRL</v>
      </c>
      <c r="E239" s="101" t="str">
        <f>VLOOKUP(A239,'Date SPV'!$A$4:$B$34,2,FALSE)</f>
        <v>RGSC</v>
      </c>
      <c r="H239" s="105" t="s">
        <v>894</v>
      </c>
      <c r="K239" s="101" t="str">
        <f>VLOOKUP(C239,'Preturi si tarife'!$A$4:$B$39,2,FALSE)</f>
        <v>Regularizare Tarife distributie en. El IT+MT</v>
      </c>
      <c r="L239" s="102">
        <f>IF(B239=1,'Date masura OD'!$I$5,IF(B239=19,'Date masura OD'!$AK$5,L238))</f>
        <v>45748</v>
      </c>
      <c r="M239" s="102">
        <f>IF(B239=1,'Date masura OD'!$J$5,IF(B239=19,'Date masura OD'!$AL$5,M238))</f>
        <v>45777</v>
      </c>
      <c r="N239" s="104">
        <f>VLOOKUP(E239,verificare!$AR$4:$CC$33,B239+2,FALSE)</f>
        <v>0</v>
      </c>
      <c r="O239" s="103">
        <f>HLOOKUP(VLOOKUP(E239,'Date SPV'!$B$4:$F$34,5,FALSE),'Preturi si tarife'!$C$2:$J$39,B239+2,FALSE)*10000</f>
        <v>1148.3</v>
      </c>
      <c r="Q239" s="101" t="str">
        <f t="shared" si="13"/>
        <v>One-off</v>
      </c>
      <c r="R239" s="101" t="str">
        <f>VLOOKUP(K239,'Preturi si tarife'!$B$4:$K$39,10,FALSE)</f>
        <v>ICOENG0001</v>
      </c>
      <c r="T239" s="101" t="str">
        <f t="shared" si="14"/>
        <v>INV + 30</v>
      </c>
      <c r="V239" s="101" t="str">
        <f t="shared" si="15"/>
        <v>Active</v>
      </c>
      <c r="X239" s="101" t="str">
        <f t="shared" si="16"/>
        <v>One-off</v>
      </c>
      <c r="AC239" s="101" t="str">
        <f t="shared" si="26"/>
        <v>RON</v>
      </c>
      <c r="AD239" s="101">
        <f t="shared" si="27"/>
        <v>10000</v>
      </c>
    </row>
    <row r="240" spans="1:30">
      <c r="A240" s="101">
        <f t="shared" si="28"/>
        <v>7</v>
      </c>
      <c r="B240" s="101">
        <f t="shared" si="24"/>
        <v>23</v>
      </c>
      <c r="C240" s="101" t="str">
        <f t="shared" si="25"/>
        <v>T23</v>
      </c>
      <c r="D240" s="101" t="str">
        <f>IF(A240&lt;&gt;A239,VLOOKUP(A240,'Date SPV'!$A:$D,4,FALSE),D239)</f>
        <v>Galati Shopping City SRL</v>
      </c>
      <c r="E240" s="101" t="str">
        <f>VLOOKUP(A240,'Date SPV'!$A$4:$B$34,2,FALSE)</f>
        <v>RGSC</v>
      </c>
      <c r="H240" s="105" t="s">
        <v>894</v>
      </c>
      <c r="K240" s="101" t="str">
        <f>VLOOKUP(C240,'Preturi si tarife'!$A$4:$B$39,2,FALSE)</f>
        <v>Regularizare Tarife distributie en. El JT</v>
      </c>
      <c r="L240" s="102">
        <f>IF(B240=1,'Date masura OD'!$I$5,IF(B240=19,'Date masura OD'!$AK$5,L239))</f>
        <v>45748</v>
      </c>
      <c r="M240" s="102">
        <f>IF(B240=1,'Date masura OD'!$J$5,IF(B240=19,'Date masura OD'!$AL$5,M239))</f>
        <v>45777</v>
      </c>
      <c r="N240" s="104">
        <f>VLOOKUP(E240,verificare!$AR$4:$CC$33,B240+2,FALSE)</f>
        <v>0</v>
      </c>
      <c r="O240" s="103">
        <f>HLOOKUP(VLOOKUP(E240,'Date SPV'!$B$4:$F$34,5,FALSE),'Preturi si tarife'!$C$2:$J$39,B240+2,FALSE)*10000</f>
        <v>2361</v>
      </c>
      <c r="Q240" s="101" t="str">
        <f t="shared" si="13"/>
        <v>One-off</v>
      </c>
      <c r="R240" s="101" t="str">
        <f>VLOOKUP(K240,'Preturi si tarife'!$B$4:$K$39,10,FALSE)</f>
        <v>ICOENG0001</v>
      </c>
      <c r="T240" s="101" t="str">
        <f t="shared" si="14"/>
        <v>INV + 30</v>
      </c>
      <c r="V240" s="101" t="str">
        <f t="shared" si="15"/>
        <v>Active</v>
      </c>
      <c r="X240" s="101" t="str">
        <f t="shared" si="16"/>
        <v>One-off</v>
      </c>
      <c r="AC240" s="101" t="str">
        <f t="shared" si="26"/>
        <v>RON</v>
      </c>
      <c r="AD240" s="101">
        <f t="shared" si="27"/>
        <v>10000</v>
      </c>
    </row>
    <row r="241" spans="1:30">
      <c r="A241" s="101">
        <f t="shared" si="28"/>
        <v>7</v>
      </c>
      <c r="B241" s="101">
        <f t="shared" si="24"/>
        <v>24</v>
      </c>
      <c r="C241" s="101" t="str">
        <f t="shared" si="25"/>
        <v>T24</v>
      </c>
      <c r="D241" s="101" t="str">
        <f>IF(A241&lt;&gt;A240,VLOOKUP(A241,'Date SPV'!$A:$D,4,FALSE),D240)</f>
        <v>Galati Shopping City SRL</v>
      </c>
      <c r="E241" s="101" t="str">
        <f>VLOOKUP(A241,'Date SPV'!$A$4:$B$34,2,FALSE)</f>
        <v>RGSC</v>
      </c>
      <c r="H241" s="105" t="s">
        <v>894</v>
      </c>
      <c r="K241" s="101" t="str">
        <f>VLOOKUP(C241,'Preturi si tarife'!$A$4:$B$39,2,FALSE)</f>
        <v xml:space="preserve">Regularizare Servicii Sistem </v>
      </c>
      <c r="L241" s="102">
        <f>IF(B241=1,'Date masura OD'!$I$5,IF(B241=19,'Date masura OD'!$AK$5,L240))</f>
        <v>45748</v>
      </c>
      <c r="M241" s="102">
        <f>IF(B241=1,'Date masura OD'!$J$5,IF(B241=19,'Date masura OD'!$AL$5,M240))</f>
        <v>45777</v>
      </c>
      <c r="N241" s="104">
        <f>VLOOKUP(E241,verificare!$AR$4:$CC$33,B241+2,FALSE)</f>
        <v>0</v>
      </c>
      <c r="O241" s="103">
        <f>HLOOKUP(VLOOKUP(E241,'Date SPV'!$B$4:$F$34,5,FALSE),'Preturi si tarife'!$C$2:$J$39,B241+2,FALSE)*10000</f>
        <v>115.1</v>
      </c>
      <c r="Q241" s="101" t="str">
        <f t="shared" si="13"/>
        <v>One-off</v>
      </c>
      <c r="R241" s="101" t="str">
        <f>VLOOKUP(K241,'Preturi si tarife'!$B$4:$K$39,10,FALSE)</f>
        <v>ICOENG0001</v>
      </c>
      <c r="T241" s="101" t="str">
        <f t="shared" si="14"/>
        <v>INV + 30</v>
      </c>
      <c r="V241" s="101" t="str">
        <f t="shared" si="15"/>
        <v>Active</v>
      </c>
      <c r="X241" s="101" t="str">
        <f t="shared" si="16"/>
        <v>One-off</v>
      </c>
      <c r="AC241" s="101" t="str">
        <f t="shared" si="26"/>
        <v>RON</v>
      </c>
      <c r="AD241" s="101">
        <f t="shared" si="27"/>
        <v>10000</v>
      </c>
    </row>
    <row r="242" spans="1:30">
      <c r="A242" s="101">
        <f t="shared" si="28"/>
        <v>7</v>
      </c>
      <c r="B242" s="101">
        <f t="shared" si="24"/>
        <v>25</v>
      </c>
      <c r="C242" s="101" t="str">
        <f t="shared" si="25"/>
        <v>T25</v>
      </c>
      <c r="D242" s="101" t="str">
        <f>IF(A242&lt;&gt;A241,VLOOKUP(A242,'Date SPV'!$A:$D,4,FALSE),D241)</f>
        <v>Galati Shopping City SRL</v>
      </c>
      <c r="E242" s="101" t="str">
        <f>VLOOKUP(A242,'Date SPV'!$A$4:$B$34,2,FALSE)</f>
        <v>RGSC</v>
      </c>
      <c r="H242" s="105" t="s">
        <v>894</v>
      </c>
      <c r="K242" s="101" t="str">
        <f>VLOOKUP(C242,'Preturi si tarife'!$A$4:$B$39,2,FALSE)</f>
        <v>Regularizare Tarif de introducere en. el in retea (TL)</v>
      </c>
      <c r="L242" s="102">
        <f>IF(B242=1,'Date masura OD'!$I$5,IF(B242=19,'Date masura OD'!$AK$5,L241))</f>
        <v>45748</v>
      </c>
      <c r="M242" s="102">
        <f>IF(B242=1,'Date masura OD'!$J$5,IF(B242=19,'Date masura OD'!$AL$5,M241))</f>
        <v>45777</v>
      </c>
      <c r="N242" s="104">
        <f>VLOOKUP(E242,verificare!$AR$4:$CC$33,B242+2,FALSE)</f>
        <v>0</v>
      </c>
      <c r="O242" s="103">
        <f>HLOOKUP(VLOOKUP(E242,'Date SPV'!$B$4:$F$34,5,FALSE),'Preturi si tarife'!$C$2:$J$39,B242+2,FALSE)*10000</f>
        <v>330.3</v>
      </c>
      <c r="Q242" s="101" t="str">
        <f t="shared" si="13"/>
        <v>One-off</v>
      </c>
      <c r="R242" s="101" t="str">
        <f>VLOOKUP(K242,'Preturi si tarife'!$B$4:$K$39,10,FALSE)</f>
        <v>ICOENG0001</v>
      </c>
      <c r="T242" s="101" t="str">
        <f t="shared" si="14"/>
        <v>INV + 30</v>
      </c>
      <c r="V242" s="101" t="str">
        <f t="shared" si="15"/>
        <v>Active</v>
      </c>
      <c r="X242" s="101" t="str">
        <f t="shared" si="16"/>
        <v>One-off</v>
      </c>
      <c r="AC242" s="101" t="str">
        <f t="shared" si="26"/>
        <v>RON</v>
      </c>
      <c r="AD242" s="101">
        <f t="shared" si="27"/>
        <v>10000</v>
      </c>
    </row>
    <row r="243" spans="1:30">
      <c r="A243" s="101">
        <f t="shared" si="28"/>
        <v>7</v>
      </c>
      <c r="B243" s="101">
        <f t="shared" si="24"/>
        <v>26</v>
      </c>
      <c r="C243" s="101" t="str">
        <f t="shared" si="25"/>
        <v>T26</v>
      </c>
      <c r="D243" s="101" t="str">
        <f>IF(A243&lt;&gt;A242,VLOOKUP(A243,'Date SPV'!$A:$D,4,FALSE),D242)</f>
        <v>Galati Shopping City SRL</v>
      </c>
      <c r="E243" s="101" t="str">
        <f>VLOOKUP(A243,'Date SPV'!$A$4:$B$34,2,FALSE)</f>
        <v>RGSC</v>
      </c>
      <c r="H243" s="105" t="s">
        <v>894</v>
      </c>
      <c r="K243" s="101" t="str">
        <f>VLOOKUP(C243,'Preturi si tarife'!$A$4:$B$39,2,FALSE)</f>
        <v>Regularizare Tarif de introducere en.el in retea (TG)</v>
      </c>
      <c r="L243" s="102">
        <f>IF(B243=1,'Date masura OD'!$I$5,IF(B243=19,'Date masura OD'!$AK$5,L242))</f>
        <v>45748</v>
      </c>
      <c r="M243" s="102">
        <f>IF(B243=1,'Date masura OD'!$J$5,IF(B243=19,'Date masura OD'!$AL$5,M242))</f>
        <v>45777</v>
      </c>
      <c r="N243" s="104">
        <f>VLOOKUP(E243,verificare!$AR$4:$CC$33,B243+2,FALSE)</f>
        <v>0</v>
      </c>
      <c r="O243" s="103">
        <f>HLOOKUP(VLOOKUP(E243,'Date SPV'!$B$4:$F$34,5,FALSE),'Preturi si tarife'!$C$2:$J$39,B243+2,FALSE)*10000</f>
        <v>32.9</v>
      </c>
      <c r="Q243" s="101" t="str">
        <f t="shared" si="13"/>
        <v>One-off</v>
      </c>
      <c r="R243" s="101" t="str">
        <f>VLOOKUP(K243,'Preturi si tarife'!$B$4:$K$39,10,FALSE)</f>
        <v>ICOENG0001</v>
      </c>
      <c r="T243" s="101" t="str">
        <f t="shared" si="14"/>
        <v>INV + 30</v>
      </c>
      <c r="V243" s="101" t="str">
        <f t="shared" si="15"/>
        <v>Active</v>
      </c>
      <c r="X243" s="101" t="str">
        <f t="shared" si="16"/>
        <v>One-off</v>
      </c>
      <c r="AC243" s="101" t="str">
        <f t="shared" si="26"/>
        <v>RON</v>
      </c>
      <c r="AD243" s="101">
        <f t="shared" si="27"/>
        <v>10000</v>
      </c>
    </row>
    <row r="244" spans="1:30">
      <c r="A244" s="101">
        <f t="shared" si="28"/>
        <v>7</v>
      </c>
      <c r="B244" s="101">
        <f t="shared" si="24"/>
        <v>27</v>
      </c>
      <c r="C244" s="101" t="str">
        <f t="shared" si="25"/>
        <v>T27</v>
      </c>
      <c r="D244" s="101" t="str">
        <f>IF(A244&lt;&gt;A243,VLOOKUP(A244,'Date SPV'!$A:$D,4,FALSE),D243)</f>
        <v>Galati Shopping City SRL</v>
      </c>
      <c r="E244" s="101" t="str">
        <f>VLOOKUP(A244,'Date SPV'!$A$4:$B$34,2,FALSE)</f>
        <v>RGSC</v>
      </c>
      <c r="H244" s="105" t="s">
        <v>894</v>
      </c>
      <c r="K244" s="101" t="str">
        <f>VLOOKUP(C244,'Preturi si tarife'!$A$4:$B$39,2,FALSE)</f>
        <v>Regularizare Contributie pentru cogenerare</v>
      </c>
      <c r="L244" s="102">
        <f>IF(B244=1,'Date masura OD'!$I$5,IF(B244=19,'Date masura OD'!$AK$5,L243))</f>
        <v>45748</v>
      </c>
      <c r="M244" s="102">
        <f>IF(B244=1,'Date masura OD'!$J$5,IF(B244=19,'Date masura OD'!$AL$5,M243))</f>
        <v>45777</v>
      </c>
      <c r="N244" s="104">
        <f>VLOOKUP(E244,verificare!$AR$4:$CC$33,B244+2,FALSE)</f>
        <v>0</v>
      </c>
      <c r="O244" s="103">
        <f>HLOOKUP(VLOOKUP(E244,'Date SPV'!$B$4:$F$34,5,FALSE),'Preturi si tarife'!$C$2:$J$39,B244+2,FALSE)*10000</f>
        <v>35</v>
      </c>
      <c r="Q244" s="101" t="str">
        <f t="shared" si="13"/>
        <v>One-off</v>
      </c>
      <c r="R244" s="101" t="str">
        <f>VLOOKUP(K244,'Preturi si tarife'!$B$4:$K$39,10,FALSE)</f>
        <v>ICOENG0001</v>
      </c>
      <c r="T244" s="101" t="str">
        <f t="shared" si="14"/>
        <v>INV + 30</v>
      </c>
      <c r="V244" s="101" t="str">
        <f t="shared" si="15"/>
        <v>Active</v>
      </c>
      <c r="X244" s="101" t="str">
        <f t="shared" si="16"/>
        <v>One-off</v>
      </c>
      <c r="AC244" s="101" t="str">
        <f t="shared" si="26"/>
        <v>RON</v>
      </c>
      <c r="AD244" s="101">
        <f t="shared" si="27"/>
        <v>10000</v>
      </c>
    </row>
    <row r="245" spans="1:30">
      <c r="A245" s="101">
        <f t="shared" si="28"/>
        <v>7</v>
      </c>
      <c r="B245" s="101">
        <f t="shared" si="24"/>
        <v>28</v>
      </c>
      <c r="C245" s="101" t="str">
        <f t="shared" si="25"/>
        <v>T28</v>
      </c>
      <c r="D245" s="101" t="str">
        <f>IF(A245&lt;&gt;A244,VLOOKUP(A245,'Date SPV'!$A:$D,4,FALSE),D244)</f>
        <v>Galati Shopping City SRL</v>
      </c>
      <c r="E245" s="101" t="str">
        <f>VLOOKUP(A245,'Date SPV'!$A$4:$B$34,2,FALSE)</f>
        <v>RGSC</v>
      </c>
      <c r="H245" s="105" t="s">
        <v>894</v>
      </c>
      <c r="K245" s="101" t="str">
        <f>VLOOKUP(C245,'Preturi si tarife'!$A$4:$B$39,2,FALSE)</f>
        <v xml:space="preserve">Regularizare Certificate verzi </v>
      </c>
      <c r="L245" s="102">
        <f>IF(B245=1,'Date masura OD'!$I$5,IF(B245=19,'Date masura OD'!$AK$5,L244))</f>
        <v>45748</v>
      </c>
      <c r="M245" s="102">
        <f>IF(B245=1,'Date masura OD'!$J$5,IF(B245=19,'Date masura OD'!$AL$5,M244))</f>
        <v>45777</v>
      </c>
      <c r="N245" s="104">
        <f>VLOOKUP(E245,verificare!$AR$4:$CC$33,B245+2,FALSE)</f>
        <v>0</v>
      </c>
      <c r="O245" s="103">
        <f>HLOOKUP(VLOOKUP(E245,'Date SPV'!$B$4:$F$34,5,FALSE),'Preturi si tarife'!$C$2:$J$39,B245+2,FALSE)*10000</f>
        <v>725.41599999999994</v>
      </c>
      <c r="Q245" s="101" t="str">
        <f t="shared" si="13"/>
        <v>One-off</v>
      </c>
      <c r="R245" s="101" t="str">
        <f>VLOOKUP(K245,'Preturi si tarife'!$B$4:$K$39,10,FALSE)</f>
        <v>ICOENG0001</v>
      </c>
      <c r="T245" s="101" t="str">
        <f t="shared" si="14"/>
        <v>INV + 30</v>
      </c>
      <c r="V245" s="101" t="str">
        <f t="shared" si="15"/>
        <v>Active</v>
      </c>
      <c r="X245" s="101" t="str">
        <f t="shared" si="16"/>
        <v>One-off</v>
      </c>
      <c r="AC245" s="101" t="str">
        <f t="shared" si="26"/>
        <v>RON</v>
      </c>
      <c r="AD245" s="101">
        <f t="shared" si="27"/>
        <v>10000</v>
      </c>
    </row>
    <row r="246" spans="1:30">
      <c r="A246" s="101">
        <f t="shared" si="28"/>
        <v>7</v>
      </c>
      <c r="B246" s="101">
        <f t="shared" si="24"/>
        <v>29</v>
      </c>
      <c r="C246" s="101" t="str">
        <f t="shared" si="25"/>
        <v>T29</v>
      </c>
      <c r="D246" s="101" t="str">
        <f>IF(A246&lt;&gt;A245,VLOOKUP(A246,'Date SPV'!$A:$D,4,FALSE),D245)</f>
        <v>Galati Shopping City SRL</v>
      </c>
      <c r="E246" s="101" t="str">
        <f>VLOOKUP(A246,'Date SPV'!$A$4:$B$34,2,FALSE)</f>
        <v>RGSC</v>
      </c>
      <c r="H246" s="105" t="s">
        <v>894</v>
      </c>
      <c r="K246" s="101" t="str">
        <f>VLOOKUP(C246,'Preturi si tarife'!$A$4:$B$39,2,FALSE)</f>
        <v>Regularizare Contributie CFD</v>
      </c>
      <c r="L246" s="102">
        <f>IF(B246=1,'Date masura OD'!$I$5,IF(B246=19,'Date masura OD'!$AK$5,L245))</f>
        <v>45748</v>
      </c>
      <c r="M246" s="102">
        <f>IF(B246=1,'Date masura OD'!$J$5,IF(B246=19,'Date masura OD'!$AL$5,M245))</f>
        <v>45777</v>
      </c>
      <c r="N246" s="104">
        <f>VLOOKUP(E246,verificare!$AR$4:$CC$33,B246+2,FALSE)</f>
        <v>0</v>
      </c>
      <c r="O246" s="103">
        <f>HLOOKUP(VLOOKUP(E246,'Date SPV'!$B$4:$F$34,5,FALSE),'Preturi si tarife'!$C$2:$J$39,B246+2,FALSE)*10000</f>
        <v>2.06</v>
      </c>
      <c r="Q246" s="101" t="str">
        <f t="shared" si="13"/>
        <v>One-off</v>
      </c>
      <c r="R246" s="101" t="str">
        <f>VLOOKUP(K246,'Preturi si tarife'!$B$4:$K$39,10,FALSE)</f>
        <v>ICOENG0001</v>
      </c>
      <c r="T246" s="101" t="str">
        <f t="shared" si="14"/>
        <v>INV + 30</v>
      </c>
      <c r="V246" s="101" t="str">
        <f t="shared" si="15"/>
        <v>Active</v>
      </c>
      <c r="X246" s="101" t="str">
        <f t="shared" si="16"/>
        <v>One-off</v>
      </c>
      <c r="AC246" s="101" t="str">
        <f t="shared" si="26"/>
        <v>RON</v>
      </c>
      <c r="AD246" s="101">
        <f t="shared" si="27"/>
        <v>10000</v>
      </c>
    </row>
    <row r="247" spans="1:30">
      <c r="A247" s="101">
        <f t="shared" si="28"/>
        <v>7</v>
      </c>
      <c r="B247" s="101">
        <f t="shared" si="24"/>
        <v>30</v>
      </c>
      <c r="C247" s="101" t="str">
        <f t="shared" si="25"/>
        <v>T30</v>
      </c>
      <c r="D247" s="101" t="str">
        <f>IF(A247&lt;&gt;A246,VLOOKUP(A247,'Date SPV'!$A:$D,4,FALSE),D246)</f>
        <v>Galati Shopping City SRL</v>
      </c>
      <c r="E247" s="101" t="str">
        <f>VLOOKUP(A247,'Date SPV'!$A$4:$B$34,2,FALSE)</f>
        <v>RGSC</v>
      </c>
      <c r="H247" s="105" t="s">
        <v>894</v>
      </c>
      <c r="K247" s="101" t="str">
        <f>VLOOKUP(C247,'Preturi si tarife'!$A$4:$B$39,2,FALSE)</f>
        <v>Regularizare Acciza</v>
      </c>
      <c r="L247" s="102">
        <f>IF(B247=1,'Date masura OD'!$I$5,IF(B247=19,'Date masura OD'!$AK$5,L246))</f>
        <v>45748</v>
      </c>
      <c r="M247" s="102">
        <f>IF(B247=1,'Date masura OD'!$J$5,IF(B247=19,'Date masura OD'!$AL$5,M246))</f>
        <v>45777</v>
      </c>
      <c r="N247" s="104">
        <f>VLOOKUP(E247,verificare!$AR$4:$CC$33,B247+2,FALSE)</f>
        <v>0</v>
      </c>
      <c r="O247" s="103">
        <f>HLOOKUP(VLOOKUP(E247,'Date SPV'!$B$4:$F$34,5,FALSE),'Preturi si tarife'!$C$2:$J$39,B247+2,FALSE)*10000</f>
        <v>0</v>
      </c>
      <c r="Q247" s="101" t="str">
        <f t="shared" si="13"/>
        <v>One-off</v>
      </c>
      <c r="R247" s="101" t="str">
        <f>VLOOKUP(K247,'Preturi si tarife'!$B$4:$K$39,10,FALSE)</f>
        <v>ICOENG0001</v>
      </c>
      <c r="T247" s="101" t="str">
        <f t="shared" si="14"/>
        <v>INV + 30</v>
      </c>
      <c r="V247" s="101" t="str">
        <f t="shared" si="15"/>
        <v>Active</v>
      </c>
      <c r="X247" s="101" t="str">
        <f t="shared" si="16"/>
        <v>One-off</v>
      </c>
      <c r="AC247" s="101" t="str">
        <f t="shared" si="26"/>
        <v>RON</v>
      </c>
      <c r="AD247" s="101">
        <f t="shared" si="27"/>
        <v>10000</v>
      </c>
    </row>
    <row r="248" spans="1:30">
      <c r="A248" s="101">
        <f t="shared" si="28"/>
        <v>7</v>
      </c>
      <c r="B248" s="101">
        <f t="shared" si="24"/>
        <v>31</v>
      </c>
      <c r="C248" s="101" t="str">
        <f t="shared" si="25"/>
        <v>T31</v>
      </c>
      <c r="D248" s="101" t="str">
        <f>IF(A248&lt;&gt;A247,VLOOKUP(A248,'Date SPV'!$A:$D,4,FALSE),D247)</f>
        <v>Galati Shopping City SRL</v>
      </c>
      <c r="E248" s="101" t="str">
        <f>VLOOKUP(A248,'Date SPV'!$A$4:$B$34,2,FALSE)</f>
        <v>RGSC</v>
      </c>
      <c r="H248" s="105" t="s">
        <v>894</v>
      </c>
      <c r="K248" s="101" t="str">
        <f>VLOOKUP(C248,'Preturi si tarife'!$A$4:$B$39,2,FALSE)</f>
        <v>Regularizare Tarif distributie SDI MT Ea1</v>
      </c>
      <c r="L248" s="102">
        <f>IF(B248=1,'Date masura OD'!$I$5,IF(B248=19,'Date masura OD'!$AK$5,L247))</f>
        <v>45748</v>
      </c>
      <c r="M248" s="102">
        <f>IF(B248=1,'Date masura OD'!$J$5,IF(B248=19,'Date masura OD'!$AL$5,M247))</f>
        <v>45777</v>
      </c>
      <c r="N248" s="104">
        <f>VLOOKUP(E248,verificare!$AR$4:$CC$33,B248+2,FALSE)</f>
        <v>0</v>
      </c>
      <c r="O248" s="103">
        <f>HLOOKUP(VLOOKUP(E248,'Date SPV'!$B$4:$F$34,5,FALSE),'Preturi si tarife'!$C$2:$J$39,B248+2,FALSE)*10000</f>
        <v>149</v>
      </c>
      <c r="Q248" s="101" t="str">
        <f t="shared" si="13"/>
        <v>One-off</v>
      </c>
      <c r="R248" s="101" t="str">
        <f>VLOOKUP(K248,'Preturi si tarife'!$B$4:$K$39,10,FALSE)</f>
        <v>ICOENG0010</v>
      </c>
      <c r="T248" s="101" t="str">
        <f t="shared" si="14"/>
        <v>INV + 30</v>
      </c>
      <c r="V248" s="101" t="str">
        <f t="shared" si="15"/>
        <v>Active</v>
      </c>
      <c r="X248" s="101" t="str">
        <f t="shared" si="16"/>
        <v>One-off</v>
      </c>
      <c r="AC248" s="101" t="str">
        <f t="shared" si="26"/>
        <v>RON</v>
      </c>
      <c r="AD248" s="101">
        <f t="shared" si="27"/>
        <v>10000</v>
      </c>
    </row>
    <row r="249" spans="1:30">
      <c r="A249" s="101">
        <f t="shared" si="28"/>
        <v>7</v>
      </c>
      <c r="B249" s="101">
        <f t="shared" si="24"/>
        <v>32</v>
      </c>
      <c r="C249" s="101" t="str">
        <f t="shared" si="25"/>
        <v>T32</v>
      </c>
      <c r="D249" s="101" t="str">
        <f>IF(A249&lt;&gt;A248,VLOOKUP(A249,'Date SPV'!$A:$D,4,FALSE),D248)</f>
        <v>Galati Shopping City SRL</v>
      </c>
      <c r="E249" s="101" t="str">
        <f>VLOOKUP(A249,'Date SPV'!$A$4:$B$34,2,FALSE)</f>
        <v>RGSC</v>
      </c>
      <c r="H249" s="105" t="s">
        <v>894</v>
      </c>
      <c r="K249" s="101" t="str">
        <f>VLOOKUP(C249,'Preturi si tarife'!$A$4:$B$39,2,FALSE)</f>
        <v>Regularizare Tarif distributie SDI JT Ea1</v>
      </c>
      <c r="L249" s="102">
        <f>IF(B249=1,'Date masura OD'!$I$5,IF(B249=19,'Date masura OD'!$AK$5,L248))</f>
        <v>45748</v>
      </c>
      <c r="M249" s="102">
        <f>IF(B249=1,'Date masura OD'!$J$5,IF(B249=19,'Date masura OD'!$AL$5,M248))</f>
        <v>45777</v>
      </c>
      <c r="N249" s="104">
        <f>VLOOKUP(E249,verificare!$AR$4:$CC$33,B249+2,FALSE)</f>
        <v>0</v>
      </c>
      <c r="O249" s="103">
        <f>HLOOKUP(VLOOKUP(E249,'Date SPV'!$B$4:$F$34,5,FALSE),'Preturi si tarife'!$C$2:$J$39,B249+2,FALSE)*10000</f>
        <v>1192</v>
      </c>
      <c r="Q249" s="101" t="str">
        <f t="shared" si="13"/>
        <v>One-off</v>
      </c>
      <c r="R249" s="101" t="str">
        <f>VLOOKUP(K249,'Preturi si tarife'!$B$4:$K$39,10,FALSE)</f>
        <v>ICOENG0010</v>
      </c>
      <c r="T249" s="101" t="str">
        <f t="shared" si="14"/>
        <v>INV + 30</v>
      </c>
      <c r="V249" s="101" t="str">
        <f t="shared" si="15"/>
        <v>Active</v>
      </c>
      <c r="X249" s="101" t="str">
        <f t="shared" si="16"/>
        <v>One-off</v>
      </c>
      <c r="AC249" s="101" t="str">
        <f t="shared" si="26"/>
        <v>RON</v>
      </c>
      <c r="AD249" s="101">
        <f t="shared" si="27"/>
        <v>10000</v>
      </c>
    </row>
    <row r="250" spans="1:30">
      <c r="A250" s="101">
        <f t="shared" si="28"/>
        <v>7</v>
      </c>
      <c r="B250" s="101">
        <f t="shared" si="24"/>
        <v>33</v>
      </c>
      <c r="C250" s="101" t="str">
        <f t="shared" si="25"/>
        <v>T33</v>
      </c>
      <c r="D250" s="101" t="str">
        <f>IF(A250&lt;&gt;A249,VLOOKUP(A250,'Date SPV'!$A:$D,4,FALSE),D249)</f>
        <v>Galati Shopping City SRL</v>
      </c>
      <c r="E250" s="101" t="str">
        <f>VLOOKUP(A250,'Date SPV'!$A$4:$B$34,2,FALSE)</f>
        <v>RGSC</v>
      </c>
      <c r="H250" s="105" t="s">
        <v>894</v>
      </c>
      <c r="K250" s="101" t="str">
        <f>VLOOKUP(C250,'Preturi si tarife'!$A$4:$B$39,2,FALSE)</f>
        <v>Regularizare Energie activa 2</v>
      </c>
      <c r="L250" s="102">
        <f>IF(B250=1,'Date masura OD'!$I$5,IF(B250=19,'Date masura OD'!$AK$5,L249))</f>
        <v>45748</v>
      </c>
      <c r="M250" s="102">
        <f>IF(B250=1,'Date masura OD'!$J$5,IF(B250=19,'Date masura OD'!$AL$5,M249))</f>
        <v>45777</v>
      </c>
      <c r="N250" s="104">
        <f>VLOOKUP(E250,verificare!$AR$4:$CC$33,B250+2,FALSE)</f>
        <v>0</v>
      </c>
      <c r="O250" s="103">
        <f>HLOOKUP(VLOOKUP(E250,'Date SPV'!$B$4:$F$34,5,FALSE),'Preturi si tarife'!$C$2:$J$39,B250+2,FALSE)*10000</f>
        <v>9680.0760000000009</v>
      </c>
      <c r="Q250" s="101" t="str">
        <f t="shared" si="13"/>
        <v>One-off</v>
      </c>
      <c r="R250" s="101" t="str">
        <f>VLOOKUP(K250,'Preturi si tarife'!$B$4:$K$39,10,FALSE)</f>
        <v>ICOENG0012</v>
      </c>
      <c r="T250" s="101" t="str">
        <f t="shared" si="14"/>
        <v>INV + 30</v>
      </c>
      <c r="V250" s="101" t="str">
        <f t="shared" si="15"/>
        <v>Active</v>
      </c>
      <c r="X250" s="101" t="str">
        <f t="shared" si="16"/>
        <v>One-off</v>
      </c>
      <c r="AC250" s="101" t="str">
        <f t="shared" si="26"/>
        <v>RON</v>
      </c>
      <c r="AD250" s="101">
        <f t="shared" si="27"/>
        <v>10000</v>
      </c>
    </row>
    <row r="251" spans="1:30">
      <c r="A251" s="101">
        <f t="shared" si="28"/>
        <v>7</v>
      </c>
      <c r="B251" s="101">
        <f t="shared" si="24"/>
        <v>34</v>
      </c>
      <c r="C251" s="101" t="str">
        <f t="shared" si="25"/>
        <v>T34</v>
      </c>
      <c r="D251" s="101" t="str">
        <f>IF(A251&lt;&gt;A250,VLOOKUP(A251,'Date SPV'!$A:$D,4,FALSE),D250)</f>
        <v>Galati Shopping City SRL</v>
      </c>
      <c r="E251" s="101" t="str">
        <f>VLOOKUP(A251,'Date SPV'!$A$4:$B$34,2,FALSE)</f>
        <v>RGSC</v>
      </c>
      <c r="H251" s="105" t="s">
        <v>894</v>
      </c>
      <c r="K251" s="101" t="str">
        <f>VLOOKUP(C251,'Preturi si tarife'!$A$4:$B$39,2,FALSE)</f>
        <v>Regularizare Energie activa 3</v>
      </c>
      <c r="L251" s="102">
        <f>IF(B251=1,'Date masura OD'!$I$5,IF(B251=19,'Date masura OD'!$AK$5,L250))</f>
        <v>45748</v>
      </c>
      <c r="M251" s="102">
        <f>IF(B251=1,'Date masura OD'!$J$5,IF(B251=19,'Date masura OD'!$AL$5,M250))</f>
        <v>45777</v>
      </c>
      <c r="N251" s="104">
        <f>VLOOKUP(E251,verificare!$AR$4:$CC$33,B251+2,FALSE)</f>
        <v>0</v>
      </c>
      <c r="O251" s="103">
        <f>HLOOKUP(VLOOKUP(E251,'Date SPV'!$B$4:$F$34,5,FALSE),'Preturi si tarife'!$C$2:$J$39,B251+2,FALSE)*10000</f>
        <v>8339.0760000000009</v>
      </c>
      <c r="Q251" s="101" t="str">
        <f t="shared" si="13"/>
        <v>One-off</v>
      </c>
      <c r="R251" s="101" t="str">
        <f>VLOOKUP(K251,'Preturi si tarife'!$B$4:$K$39,10,FALSE)</f>
        <v>ICOENG0012</v>
      </c>
      <c r="T251" s="101" t="str">
        <f t="shared" si="14"/>
        <v>INV + 30</v>
      </c>
      <c r="V251" s="101" t="str">
        <f t="shared" si="15"/>
        <v>Active</v>
      </c>
      <c r="X251" s="101" t="str">
        <f t="shared" si="16"/>
        <v>One-off</v>
      </c>
      <c r="AC251" s="101" t="str">
        <f t="shared" si="26"/>
        <v>RON</v>
      </c>
      <c r="AD251" s="101">
        <f t="shared" si="27"/>
        <v>10000</v>
      </c>
    </row>
    <row r="252" spans="1:30">
      <c r="A252" s="101">
        <f t="shared" si="28"/>
        <v>7</v>
      </c>
      <c r="B252" s="101">
        <f t="shared" si="24"/>
        <v>35</v>
      </c>
      <c r="C252" s="101" t="str">
        <f t="shared" si="25"/>
        <v>T35</v>
      </c>
      <c r="D252" s="101" t="str">
        <f>IF(A252&lt;&gt;A251,VLOOKUP(A252,'Date SPV'!$A:$D,4,FALSE),D251)</f>
        <v>Galati Shopping City SRL</v>
      </c>
      <c r="E252" s="101" t="str">
        <f>VLOOKUP(A252,'Date SPV'!$A$4:$B$34,2,FALSE)</f>
        <v>RGSC</v>
      </c>
      <c r="H252" s="105" t="s">
        <v>894</v>
      </c>
      <c r="K252" s="101" t="str">
        <f>VLOOKUP(C252,'Preturi si tarife'!$A$4:$B$39,2,FALSE)</f>
        <v>Regularizare Tarif distributie SDI MT Ea3</v>
      </c>
      <c r="L252" s="102">
        <f>IF(B252=1,'Date masura OD'!$I$5,IF(B252=19,'Date masura OD'!$AK$5,L251))</f>
        <v>45748</v>
      </c>
      <c r="M252" s="102">
        <f>IF(B252=1,'Date masura OD'!$J$5,IF(B252=19,'Date masura OD'!$AL$5,M251))</f>
        <v>45777</v>
      </c>
      <c r="N252" s="104">
        <f>VLOOKUP(E252,verificare!$AR$4:$CC$33,B252+2,FALSE)</f>
        <v>0</v>
      </c>
      <c r="O252" s="103">
        <f>HLOOKUP(VLOOKUP(E252,'Date SPV'!$B$4:$F$34,5,FALSE),'Preturi si tarife'!$C$2:$J$39,B252+2,FALSE)*10000</f>
        <v>149</v>
      </c>
      <c r="Q252" s="101" t="str">
        <f t="shared" si="13"/>
        <v>One-off</v>
      </c>
      <c r="R252" s="101" t="str">
        <f>VLOOKUP(K252,'Preturi si tarife'!$B$4:$K$39,10,FALSE)</f>
        <v>ICOENG0010</v>
      </c>
      <c r="T252" s="101" t="str">
        <f t="shared" si="14"/>
        <v>INV + 30</v>
      </c>
      <c r="V252" s="101" t="str">
        <f t="shared" si="15"/>
        <v>Active</v>
      </c>
      <c r="X252" s="101" t="str">
        <f t="shared" si="16"/>
        <v>One-off</v>
      </c>
      <c r="AC252" s="101" t="str">
        <f t="shared" si="26"/>
        <v>RON</v>
      </c>
      <c r="AD252" s="101">
        <f t="shared" si="27"/>
        <v>10000</v>
      </c>
    </row>
    <row r="253" spans="1:30">
      <c r="A253" s="101">
        <f t="shared" si="28"/>
        <v>7</v>
      </c>
      <c r="B253" s="101">
        <f t="shared" ref="B253:B316" si="29">IF(A253&lt;&gt;A252,1,B252+1)</f>
        <v>36</v>
      </c>
      <c r="C253" s="101" t="str">
        <f t="shared" ref="C253:C316" si="30">_xlfn.CONCAT("T",B253)</f>
        <v>T36</v>
      </c>
      <c r="D253" s="101" t="str">
        <f>IF(A253&lt;&gt;A252,VLOOKUP(A253,'Date SPV'!$A:$D,4,FALSE),D252)</f>
        <v>Galati Shopping City SRL</v>
      </c>
      <c r="E253" s="101" t="str">
        <f>VLOOKUP(A253,'Date SPV'!$A$4:$B$34,2,FALSE)</f>
        <v>RGSC</v>
      </c>
      <c r="H253" s="105" t="s">
        <v>894</v>
      </c>
      <c r="K253" s="101" t="str">
        <f>VLOOKUP(C253,'Preturi si tarife'!$A$4:$B$39,2,FALSE)</f>
        <v>Regularizare Tarif distributie SDI JT Ea3</v>
      </c>
      <c r="L253" s="102">
        <f>IF(B253=1,'Date masura OD'!$I$5,IF(B253=19,'Date masura OD'!$AK$5,L252))</f>
        <v>45748</v>
      </c>
      <c r="M253" s="102">
        <f>IF(B253=1,'Date masura OD'!$J$5,IF(B253=19,'Date masura OD'!$AL$5,M252))</f>
        <v>45777</v>
      </c>
      <c r="N253" s="104">
        <f>VLOOKUP(E253,verificare!$AR$4:$CC$33,B253+2,FALSE)</f>
        <v>0</v>
      </c>
      <c r="O253" s="103">
        <f>HLOOKUP(VLOOKUP(E253,'Date SPV'!$B$4:$F$34,5,FALSE),'Preturi si tarife'!$C$2:$J$39,B253+2,FALSE)*10000</f>
        <v>1192</v>
      </c>
      <c r="Q253" s="101" t="str">
        <f t="shared" si="13"/>
        <v>One-off</v>
      </c>
      <c r="R253" s="101" t="str">
        <f>VLOOKUP(K253,'Preturi si tarife'!$B$4:$K$39,10,FALSE)</f>
        <v>ICOENG0010</v>
      </c>
      <c r="T253" s="101" t="str">
        <f t="shared" si="14"/>
        <v>INV + 30</v>
      </c>
      <c r="V253" s="101" t="str">
        <f t="shared" si="15"/>
        <v>Active</v>
      </c>
      <c r="X253" s="101" t="str">
        <f t="shared" si="16"/>
        <v>One-off</v>
      </c>
      <c r="AC253" s="101" t="str">
        <f t="shared" ref="AC253:AC316" si="31">AC252</f>
        <v>RON</v>
      </c>
      <c r="AD253" s="101">
        <f t="shared" ref="AD253:AD316" si="32">AD252</f>
        <v>10000</v>
      </c>
    </row>
    <row r="254" spans="1:30">
      <c r="A254" s="101">
        <f t="shared" si="28"/>
        <v>8</v>
      </c>
      <c r="B254" s="101">
        <f t="shared" si="29"/>
        <v>1</v>
      </c>
      <c r="C254" s="101" t="str">
        <f t="shared" si="30"/>
        <v>T1</v>
      </c>
      <c r="D254" s="101" t="str">
        <f>IF(A254&lt;&gt;A253,VLOOKUP(A254,'Date SPV'!$A:$D,4,FALSE),D253)</f>
        <v>Shopping City Timisoara SRL</v>
      </c>
      <c r="E254" s="101" t="str">
        <f>VLOOKUP(A254,'Date SPV'!$A$4:$B$34,2,FALSE)</f>
        <v>RTIM</v>
      </c>
      <c r="H254" s="105" t="s">
        <v>894</v>
      </c>
      <c r="K254" s="101" t="str">
        <f>VLOOKUP(C254,'Preturi si tarife'!$A$4:$B$39,2,FALSE)</f>
        <v>Energie activa 1</v>
      </c>
      <c r="L254" s="102">
        <f>IF(B254=1,'Date masura OD'!$I$5,IF(B254=19,'Date masura OD'!$AK$5,L253))</f>
        <v>45778</v>
      </c>
      <c r="M254" s="102">
        <f>IF(B254=1,'Date masura OD'!$J$5,IF(B254=19,'Date masura OD'!$AL$5,M253))</f>
        <v>45808</v>
      </c>
      <c r="N254" s="104">
        <f>VLOOKUP(E254,verificare!$AR$4:$CC$33,B254+2,FALSE)</f>
        <v>1077353</v>
      </c>
      <c r="O254" s="103">
        <f>HLOOKUP(VLOOKUP(E254,'Date SPV'!$B$4:$F$34,5,FALSE),'Preturi si tarife'!$C$2:$J$39,B254+2,FALSE)*10000</f>
        <v>5950</v>
      </c>
      <c r="Q254" s="101" t="str">
        <f t="shared" si="13"/>
        <v>One-off</v>
      </c>
      <c r="R254" s="101" t="str">
        <f>VLOOKUP(K254,'Preturi si tarife'!$B$4:$K$39,10,FALSE)</f>
        <v>ICOENG0001</v>
      </c>
      <c r="T254" s="101" t="str">
        <f t="shared" si="14"/>
        <v>INV + 30</v>
      </c>
      <c r="V254" s="101" t="str">
        <f t="shared" si="15"/>
        <v>Active</v>
      </c>
      <c r="X254" s="101" t="str">
        <f t="shared" si="16"/>
        <v>One-off</v>
      </c>
      <c r="AC254" s="101" t="str">
        <f t="shared" si="31"/>
        <v>RON</v>
      </c>
      <c r="AD254" s="101">
        <f t="shared" si="32"/>
        <v>10000</v>
      </c>
    </row>
    <row r="255" spans="1:30">
      <c r="A255" s="101">
        <f t="shared" si="28"/>
        <v>8</v>
      </c>
      <c r="B255" s="101">
        <f t="shared" si="29"/>
        <v>2</v>
      </c>
      <c r="C255" s="101" t="str">
        <f t="shared" si="30"/>
        <v>T2</v>
      </c>
      <c r="D255" s="101" t="str">
        <f>IF(A255&lt;&gt;A254,VLOOKUP(A255,'Date SPV'!$A:$D,4,FALSE),D254)</f>
        <v>Shopping City Timisoara SRL</v>
      </c>
      <c r="E255" s="101" t="str">
        <f>VLOOKUP(A255,'Date SPV'!$A$4:$B$34,2,FALSE)</f>
        <v>RTIM</v>
      </c>
      <c r="H255" s="105" t="s">
        <v>894</v>
      </c>
      <c r="K255" s="101" t="str">
        <f>VLOOKUP(C255,'Preturi si tarife'!$A$4:$B$39,2,FALSE)</f>
        <v>Energie reactiva  1X</v>
      </c>
      <c r="L255" s="102">
        <f>IF(B255=1,'Date masura OD'!$I$5,IF(B255=19,'Date masura OD'!$AK$5,L254))</f>
        <v>45778</v>
      </c>
      <c r="M255" s="102">
        <f>IF(B255=1,'Date masura OD'!$J$5,IF(B255=19,'Date masura OD'!$AL$5,M254))</f>
        <v>45808</v>
      </c>
      <c r="N255" s="104">
        <f>VLOOKUP(E255,verificare!$AR$4:$CC$33,B255+2,FALSE)</f>
        <v>0</v>
      </c>
      <c r="O255" s="103">
        <f>HLOOKUP(VLOOKUP(E255,'Date SPV'!$B$4:$F$34,5,FALSE),'Preturi si tarife'!$C$2:$J$39,B255+2,FALSE)*10000</f>
        <v>1466</v>
      </c>
      <c r="Q255" s="101" t="str">
        <f t="shared" si="13"/>
        <v>One-off</v>
      </c>
      <c r="R255" s="101" t="str">
        <f>VLOOKUP(K255,'Preturi si tarife'!$B$4:$K$39,10,FALSE)</f>
        <v>ICOENG0001</v>
      </c>
      <c r="T255" s="101" t="str">
        <f t="shared" si="14"/>
        <v>INV + 30</v>
      </c>
      <c r="V255" s="101" t="str">
        <f t="shared" si="15"/>
        <v>Active</v>
      </c>
      <c r="X255" s="101" t="str">
        <f t="shared" si="16"/>
        <v>One-off</v>
      </c>
      <c r="AC255" s="101" t="str">
        <f t="shared" si="31"/>
        <v>RON</v>
      </c>
      <c r="AD255" s="101">
        <f t="shared" si="32"/>
        <v>10000</v>
      </c>
    </row>
    <row r="256" spans="1:30">
      <c r="A256" s="101">
        <f t="shared" si="28"/>
        <v>8</v>
      </c>
      <c r="B256" s="101">
        <f t="shared" si="29"/>
        <v>3</v>
      </c>
      <c r="C256" s="101" t="str">
        <f t="shared" si="30"/>
        <v>T3</v>
      </c>
      <c r="D256" s="101" t="str">
        <f>IF(A256&lt;&gt;A255,VLOOKUP(A256,'Date SPV'!$A:$D,4,FALSE),D255)</f>
        <v>Shopping City Timisoara SRL</v>
      </c>
      <c r="E256" s="101" t="str">
        <f>VLOOKUP(A256,'Date SPV'!$A$4:$B$34,2,FALSE)</f>
        <v>RTIM</v>
      </c>
      <c r="H256" s="105" t="s">
        <v>894</v>
      </c>
      <c r="K256" s="101" t="str">
        <f>VLOOKUP(C256,'Preturi si tarife'!$A$4:$B$39,2,FALSE)</f>
        <v>Energie reactiva  3X</v>
      </c>
      <c r="L256" s="102">
        <f>IF(B256=1,'Date masura OD'!$I$5,IF(B256=19,'Date masura OD'!$AK$5,L255))</f>
        <v>45778</v>
      </c>
      <c r="M256" s="102">
        <f>IF(B256=1,'Date masura OD'!$J$5,IF(B256=19,'Date masura OD'!$AL$5,M255))</f>
        <v>45808</v>
      </c>
      <c r="N256" s="104">
        <f>VLOOKUP(E256,verificare!$AR$4:$CC$33,B256+2,FALSE)</f>
        <v>0</v>
      </c>
      <c r="O256" s="103">
        <f>HLOOKUP(VLOOKUP(E256,'Date SPV'!$B$4:$F$34,5,FALSE),'Preturi si tarife'!$C$2:$J$39,B256+2,FALSE)*10000</f>
        <v>4398</v>
      </c>
      <c r="Q256" s="101" t="str">
        <f t="shared" si="13"/>
        <v>One-off</v>
      </c>
      <c r="R256" s="101" t="str">
        <f>VLOOKUP(K256,'Preturi si tarife'!$B$4:$K$39,10,FALSE)</f>
        <v>ICOENG0001</v>
      </c>
      <c r="T256" s="101" t="str">
        <f t="shared" si="14"/>
        <v>INV + 30</v>
      </c>
      <c r="V256" s="101" t="str">
        <f t="shared" si="15"/>
        <v>Active</v>
      </c>
      <c r="X256" s="101" t="str">
        <f t="shared" si="16"/>
        <v>One-off</v>
      </c>
      <c r="AC256" s="101" t="str">
        <f t="shared" si="31"/>
        <v>RON</v>
      </c>
      <c r="AD256" s="101">
        <f t="shared" si="32"/>
        <v>10000</v>
      </c>
    </row>
    <row r="257" spans="1:30">
      <c r="A257" s="101">
        <f t="shared" si="28"/>
        <v>8</v>
      </c>
      <c r="B257" s="101">
        <f t="shared" si="29"/>
        <v>4</v>
      </c>
      <c r="C257" s="101" t="str">
        <f t="shared" si="30"/>
        <v>T4</v>
      </c>
      <c r="D257" s="101" t="str">
        <f>IF(A257&lt;&gt;A256,VLOOKUP(A257,'Date SPV'!$A:$D,4,FALSE),D256)</f>
        <v>Shopping City Timisoara SRL</v>
      </c>
      <c r="E257" s="101" t="str">
        <f>VLOOKUP(A257,'Date SPV'!$A$4:$B$34,2,FALSE)</f>
        <v>RTIM</v>
      </c>
      <c r="H257" s="105" t="s">
        <v>894</v>
      </c>
      <c r="K257" s="101" t="str">
        <f>VLOOKUP(C257,'Preturi si tarife'!$A$4:$B$39,2,FALSE)</f>
        <v>Tarife distributie en. El IT+MT</v>
      </c>
      <c r="L257" s="102">
        <f>IF(B257=1,'Date masura OD'!$I$5,IF(B257=19,'Date masura OD'!$AK$5,L256))</f>
        <v>45778</v>
      </c>
      <c r="M257" s="102">
        <f>IF(B257=1,'Date masura OD'!$J$5,IF(B257=19,'Date masura OD'!$AL$5,M256))</f>
        <v>45808</v>
      </c>
      <c r="N257" s="104">
        <f>VLOOKUP(E257,verificare!$AR$4:$CC$33,B257+2,FALSE)</f>
        <v>1077353</v>
      </c>
      <c r="O257" s="103">
        <f>HLOOKUP(VLOOKUP(E257,'Date SPV'!$B$4:$F$34,5,FALSE),'Preturi si tarife'!$C$2:$J$39,B257+2,FALSE)*10000</f>
        <v>861.80000000000007</v>
      </c>
      <c r="Q257" s="101" t="str">
        <f t="shared" si="13"/>
        <v>One-off</v>
      </c>
      <c r="R257" s="101" t="str">
        <f>VLOOKUP(K257,'Preturi si tarife'!$B$4:$K$39,10,FALSE)</f>
        <v>ICOENG0001</v>
      </c>
      <c r="T257" s="101" t="str">
        <f t="shared" si="14"/>
        <v>INV + 30</v>
      </c>
      <c r="V257" s="101" t="str">
        <f t="shared" si="15"/>
        <v>Active</v>
      </c>
      <c r="X257" s="101" t="str">
        <f t="shared" si="16"/>
        <v>One-off</v>
      </c>
      <c r="AC257" s="101" t="str">
        <f t="shared" si="31"/>
        <v>RON</v>
      </c>
      <c r="AD257" s="101">
        <f t="shared" si="32"/>
        <v>10000</v>
      </c>
    </row>
    <row r="258" spans="1:30">
      <c r="A258" s="101">
        <f t="shared" si="28"/>
        <v>8</v>
      </c>
      <c r="B258" s="101">
        <f t="shared" si="29"/>
        <v>5</v>
      </c>
      <c r="C258" s="101" t="str">
        <f t="shared" si="30"/>
        <v>T5</v>
      </c>
      <c r="D258" s="101" t="str">
        <f>IF(A258&lt;&gt;A257,VLOOKUP(A258,'Date SPV'!$A:$D,4,FALSE),D257)</f>
        <v>Shopping City Timisoara SRL</v>
      </c>
      <c r="E258" s="101" t="str">
        <f>VLOOKUP(A258,'Date SPV'!$A$4:$B$34,2,FALSE)</f>
        <v>RTIM</v>
      </c>
      <c r="H258" s="105" t="s">
        <v>894</v>
      </c>
      <c r="K258" s="101" t="str">
        <f>VLOOKUP(C258,'Preturi si tarife'!$A$4:$B$39,2,FALSE)</f>
        <v>Tarife distributie en. El JT</v>
      </c>
      <c r="L258" s="102">
        <f>IF(B258=1,'Date masura OD'!$I$5,IF(B258=19,'Date masura OD'!$AK$5,L257))</f>
        <v>45778</v>
      </c>
      <c r="M258" s="102">
        <f>IF(B258=1,'Date masura OD'!$J$5,IF(B258=19,'Date masura OD'!$AL$5,M257))</f>
        <v>45808</v>
      </c>
      <c r="N258" s="104">
        <f>VLOOKUP(E258,verificare!$AR$4:$CC$33,B258+2,FALSE)</f>
        <v>0</v>
      </c>
      <c r="O258" s="103">
        <f>HLOOKUP(VLOOKUP(E258,'Date SPV'!$B$4:$F$34,5,FALSE),'Preturi si tarife'!$C$2:$J$39,B258+2,FALSE)*10000</f>
        <v>2079</v>
      </c>
      <c r="Q258" s="101" t="str">
        <f t="shared" si="13"/>
        <v>One-off</v>
      </c>
      <c r="R258" s="101" t="str">
        <f>VLOOKUP(K258,'Preturi si tarife'!$B$4:$K$39,10,FALSE)</f>
        <v>ICOENG0001</v>
      </c>
      <c r="T258" s="101" t="str">
        <f t="shared" si="14"/>
        <v>INV + 30</v>
      </c>
      <c r="V258" s="101" t="str">
        <f t="shared" si="15"/>
        <v>Active</v>
      </c>
      <c r="X258" s="101" t="str">
        <f t="shared" si="16"/>
        <v>One-off</v>
      </c>
      <c r="AC258" s="101" t="str">
        <f t="shared" si="31"/>
        <v>RON</v>
      </c>
      <c r="AD258" s="101">
        <f t="shared" si="32"/>
        <v>10000</v>
      </c>
    </row>
    <row r="259" spans="1:30">
      <c r="A259" s="101">
        <f t="shared" si="28"/>
        <v>8</v>
      </c>
      <c r="B259" s="101">
        <f t="shared" si="29"/>
        <v>6</v>
      </c>
      <c r="C259" s="101" t="str">
        <f t="shared" si="30"/>
        <v>T6</v>
      </c>
      <c r="D259" s="101" t="str">
        <f>IF(A259&lt;&gt;A258,VLOOKUP(A259,'Date SPV'!$A:$D,4,FALSE),D258)</f>
        <v>Shopping City Timisoara SRL</v>
      </c>
      <c r="E259" s="101" t="str">
        <f>VLOOKUP(A259,'Date SPV'!$A$4:$B$34,2,FALSE)</f>
        <v>RTIM</v>
      </c>
      <c r="H259" s="105" t="s">
        <v>894</v>
      </c>
      <c r="K259" s="101" t="str">
        <f>VLOOKUP(C259,'Preturi si tarife'!$A$4:$B$39,2,FALSE)</f>
        <v xml:space="preserve">Servicii Sistem </v>
      </c>
      <c r="L259" s="102">
        <f>IF(B259=1,'Date masura OD'!$I$5,IF(B259=19,'Date masura OD'!$AK$5,L258))</f>
        <v>45778</v>
      </c>
      <c r="M259" s="102">
        <f>IF(B259=1,'Date masura OD'!$J$5,IF(B259=19,'Date masura OD'!$AL$5,M258))</f>
        <v>45808</v>
      </c>
      <c r="N259" s="104">
        <f>VLOOKUP(E259,verificare!$AR$4:$CC$33,B259+2,FALSE)</f>
        <v>1077353</v>
      </c>
      <c r="O259" s="103">
        <f>HLOOKUP(VLOOKUP(E259,'Date SPV'!$B$4:$F$34,5,FALSE),'Preturi si tarife'!$C$2:$J$39,B259+2,FALSE)*10000</f>
        <v>115.1</v>
      </c>
      <c r="Q259" s="101" t="str">
        <f t="shared" si="13"/>
        <v>One-off</v>
      </c>
      <c r="R259" s="101" t="str">
        <f>VLOOKUP(K259,'Preturi si tarife'!$B$4:$K$39,10,FALSE)</f>
        <v>ICOENG0001</v>
      </c>
      <c r="T259" s="101" t="str">
        <f t="shared" si="14"/>
        <v>INV + 30</v>
      </c>
      <c r="V259" s="101" t="str">
        <f t="shared" si="15"/>
        <v>Active</v>
      </c>
      <c r="X259" s="101" t="str">
        <f t="shared" si="16"/>
        <v>One-off</v>
      </c>
      <c r="AC259" s="101" t="str">
        <f t="shared" si="31"/>
        <v>RON</v>
      </c>
      <c r="AD259" s="101">
        <f t="shared" si="32"/>
        <v>10000</v>
      </c>
    </row>
    <row r="260" spans="1:30">
      <c r="A260" s="101">
        <f t="shared" ref="A260:A323" si="33">IF(B259=36,A259+1,A259)</f>
        <v>8</v>
      </c>
      <c r="B260" s="101">
        <f t="shared" si="29"/>
        <v>7</v>
      </c>
      <c r="C260" s="101" t="str">
        <f t="shared" si="30"/>
        <v>T7</v>
      </c>
      <c r="D260" s="101" t="str">
        <f>IF(A260&lt;&gt;A259,VLOOKUP(A260,'Date SPV'!$A:$D,4,FALSE),D259)</f>
        <v>Shopping City Timisoara SRL</v>
      </c>
      <c r="E260" s="101" t="str">
        <f>VLOOKUP(A260,'Date SPV'!$A$4:$B$34,2,FALSE)</f>
        <v>RTIM</v>
      </c>
      <c r="H260" s="105" t="s">
        <v>894</v>
      </c>
      <c r="K260" s="101" t="str">
        <f>VLOOKUP(C260,'Preturi si tarife'!$A$4:$B$39,2,FALSE)</f>
        <v>Tarif de introducere en. el in retea (TL)</v>
      </c>
      <c r="L260" s="102">
        <f>IF(B260=1,'Date masura OD'!$I$5,IF(B260=19,'Date masura OD'!$AK$5,L259))</f>
        <v>45778</v>
      </c>
      <c r="M260" s="102">
        <f>IF(B260=1,'Date masura OD'!$J$5,IF(B260=19,'Date masura OD'!$AL$5,M259))</f>
        <v>45808</v>
      </c>
      <c r="N260" s="104">
        <f>VLOOKUP(E260,verificare!$AR$4:$CC$33,B260+2,FALSE)</f>
        <v>1077353</v>
      </c>
      <c r="O260" s="103">
        <f>HLOOKUP(VLOOKUP(E260,'Date SPV'!$B$4:$F$34,5,FALSE),'Preturi si tarife'!$C$2:$J$39,B260+2,FALSE)*10000</f>
        <v>330.3</v>
      </c>
      <c r="Q260" s="101" t="str">
        <f t="shared" si="13"/>
        <v>One-off</v>
      </c>
      <c r="R260" s="101" t="str">
        <f>VLOOKUP(K260,'Preturi si tarife'!$B$4:$K$39,10,FALSE)</f>
        <v>ICOENG0001</v>
      </c>
      <c r="T260" s="101" t="str">
        <f t="shared" si="14"/>
        <v>INV + 30</v>
      </c>
      <c r="V260" s="101" t="str">
        <f t="shared" si="15"/>
        <v>Active</v>
      </c>
      <c r="X260" s="101" t="str">
        <f t="shared" si="16"/>
        <v>One-off</v>
      </c>
      <c r="AC260" s="101" t="str">
        <f t="shared" si="31"/>
        <v>RON</v>
      </c>
      <c r="AD260" s="101">
        <f t="shared" si="32"/>
        <v>10000</v>
      </c>
    </row>
    <row r="261" spans="1:30">
      <c r="A261" s="101">
        <f t="shared" si="33"/>
        <v>8</v>
      </c>
      <c r="B261" s="101">
        <f t="shared" si="29"/>
        <v>8</v>
      </c>
      <c r="C261" s="101" t="str">
        <f t="shared" si="30"/>
        <v>T8</v>
      </c>
      <c r="D261" s="101" t="str">
        <f>IF(A261&lt;&gt;A260,VLOOKUP(A261,'Date SPV'!$A:$D,4,FALSE),D260)</f>
        <v>Shopping City Timisoara SRL</v>
      </c>
      <c r="E261" s="101" t="str">
        <f>VLOOKUP(A261,'Date SPV'!$A$4:$B$34,2,FALSE)</f>
        <v>RTIM</v>
      </c>
      <c r="H261" s="105" t="s">
        <v>894</v>
      </c>
      <c r="K261" s="101" t="str">
        <f>VLOOKUP(C261,'Preturi si tarife'!$A$4:$B$39,2,FALSE)</f>
        <v>Tarif de introducere en.el in retea (TG)</v>
      </c>
      <c r="L261" s="102">
        <f>IF(B261=1,'Date masura OD'!$I$5,IF(B261=19,'Date masura OD'!$AK$5,L260))</f>
        <v>45778</v>
      </c>
      <c r="M261" s="102">
        <f>IF(B261=1,'Date masura OD'!$J$5,IF(B261=19,'Date masura OD'!$AL$5,M260))</f>
        <v>45808</v>
      </c>
      <c r="N261" s="104">
        <f>VLOOKUP(E261,verificare!$AR$4:$CC$33,B261+2,FALSE)</f>
        <v>1077353</v>
      </c>
      <c r="O261" s="103">
        <f>HLOOKUP(VLOOKUP(E261,'Date SPV'!$B$4:$F$34,5,FALSE),'Preturi si tarife'!$C$2:$J$39,B261+2,FALSE)*10000</f>
        <v>32.9</v>
      </c>
      <c r="Q261" s="101" t="str">
        <f t="shared" si="13"/>
        <v>One-off</v>
      </c>
      <c r="R261" s="101" t="str">
        <f>VLOOKUP(K261,'Preturi si tarife'!$B$4:$K$39,10,FALSE)</f>
        <v>ICOENG0001</v>
      </c>
      <c r="T261" s="101" t="str">
        <f t="shared" si="14"/>
        <v>INV + 30</v>
      </c>
      <c r="V261" s="101" t="str">
        <f t="shared" si="15"/>
        <v>Active</v>
      </c>
      <c r="X261" s="101" t="str">
        <f t="shared" si="16"/>
        <v>One-off</v>
      </c>
      <c r="AC261" s="101" t="str">
        <f t="shared" si="31"/>
        <v>RON</v>
      </c>
      <c r="AD261" s="101">
        <f t="shared" si="32"/>
        <v>10000</v>
      </c>
    </row>
    <row r="262" spans="1:30">
      <c r="A262" s="101">
        <f t="shared" si="33"/>
        <v>8</v>
      </c>
      <c r="B262" s="101">
        <f t="shared" si="29"/>
        <v>9</v>
      </c>
      <c r="C262" s="101" t="str">
        <f t="shared" si="30"/>
        <v>T9</v>
      </c>
      <c r="D262" s="101" t="str">
        <f>IF(A262&lt;&gt;A261,VLOOKUP(A262,'Date SPV'!$A:$D,4,FALSE),D261)</f>
        <v>Shopping City Timisoara SRL</v>
      </c>
      <c r="E262" s="101" t="str">
        <f>VLOOKUP(A262,'Date SPV'!$A$4:$B$34,2,FALSE)</f>
        <v>RTIM</v>
      </c>
      <c r="H262" s="105" t="s">
        <v>894</v>
      </c>
      <c r="K262" s="101" t="str">
        <f>VLOOKUP(C262,'Preturi si tarife'!$A$4:$B$39,2,FALSE)</f>
        <v>Contributie pentru cogenerare</v>
      </c>
      <c r="L262" s="102">
        <f>IF(B262=1,'Date masura OD'!$I$5,IF(B262=19,'Date masura OD'!$AK$5,L261))</f>
        <v>45778</v>
      </c>
      <c r="M262" s="102">
        <f>IF(B262=1,'Date masura OD'!$J$5,IF(B262=19,'Date masura OD'!$AL$5,M261))</f>
        <v>45808</v>
      </c>
      <c r="N262" s="104">
        <f>VLOOKUP(E262,verificare!$AR$4:$CC$33,B262+2,FALSE)</f>
        <v>1077353</v>
      </c>
      <c r="O262" s="103">
        <f>HLOOKUP(VLOOKUP(E262,'Date SPV'!$B$4:$F$34,5,FALSE),'Preturi si tarife'!$C$2:$J$39,B262+2,FALSE)*10000</f>
        <v>35</v>
      </c>
      <c r="Q262" s="101" t="str">
        <f t="shared" si="13"/>
        <v>One-off</v>
      </c>
      <c r="R262" s="101" t="str">
        <f>VLOOKUP(K262,'Preturi si tarife'!$B$4:$K$39,10,FALSE)</f>
        <v>ICOENG0001</v>
      </c>
      <c r="T262" s="101" t="str">
        <f t="shared" si="14"/>
        <v>INV + 30</v>
      </c>
      <c r="V262" s="101" t="str">
        <f t="shared" si="15"/>
        <v>Active</v>
      </c>
      <c r="X262" s="101" t="str">
        <f t="shared" si="16"/>
        <v>One-off</v>
      </c>
      <c r="AC262" s="101" t="str">
        <f t="shared" si="31"/>
        <v>RON</v>
      </c>
      <c r="AD262" s="101">
        <f t="shared" si="32"/>
        <v>10000</v>
      </c>
    </row>
    <row r="263" spans="1:30">
      <c r="A263" s="101">
        <f t="shared" si="33"/>
        <v>8</v>
      </c>
      <c r="B263" s="101">
        <f t="shared" si="29"/>
        <v>10</v>
      </c>
      <c r="C263" s="101" t="str">
        <f t="shared" si="30"/>
        <v>T10</v>
      </c>
      <c r="D263" s="101" t="str">
        <f>IF(A263&lt;&gt;A262,VLOOKUP(A263,'Date SPV'!$A:$D,4,FALSE),D262)</f>
        <v>Shopping City Timisoara SRL</v>
      </c>
      <c r="E263" s="101" t="str">
        <f>VLOOKUP(A263,'Date SPV'!$A$4:$B$34,2,FALSE)</f>
        <v>RTIM</v>
      </c>
      <c r="H263" s="105" t="s">
        <v>894</v>
      </c>
      <c r="K263" s="101" t="str">
        <f>VLOOKUP(C263,'Preturi si tarife'!$A$4:$B$39,2,FALSE)</f>
        <v xml:space="preserve">Certificate verzi </v>
      </c>
      <c r="L263" s="102">
        <f>IF(B263=1,'Date masura OD'!$I$5,IF(B263=19,'Date masura OD'!$AK$5,L262))</f>
        <v>45778</v>
      </c>
      <c r="M263" s="102">
        <f>IF(B263=1,'Date masura OD'!$J$5,IF(B263=19,'Date masura OD'!$AL$5,M262))</f>
        <v>45808</v>
      </c>
      <c r="N263" s="104">
        <f>VLOOKUP(E263,verificare!$AR$4:$CC$33,B263+2,FALSE)</f>
        <v>1077353</v>
      </c>
      <c r="O263" s="103">
        <f>HLOOKUP(VLOOKUP(E263,'Date SPV'!$B$4:$F$34,5,FALSE),'Preturi si tarife'!$C$2:$J$39,B263+2,FALSE)*10000</f>
        <v>725.41599999999994</v>
      </c>
      <c r="Q263" s="101" t="str">
        <f t="shared" si="13"/>
        <v>One-off</v>
      </c>
      <c r="R263" s="101" t="str">
        <f>VLOOKUP(K263,'Preturi si tarife'!$B$4:$K$39,10,FALSE)</f>
        <v>ICOENG0001</v>
      </c>
      <c r="T263" s="101" t="str">
        <f t="shared" si="14"/>
        <v>INV + 30</v>
      </c>
      <c r="V263" s="101" t="str">
        <f t="shared" si="15"/>
        <v>Active</v>
      </c>
      <c r="X263" s="101" t="str">
        <f t="shared" si="16"/>
        <v>One-off</v>
      </c>
      <c r="AC263" s="101" t="str">
        <f t="shared" si="31"/>
        <v>RON</v>
      </c>
      <c r="AD263" s="101">
        <f t="shared" si="32"/>
        <v>10000</v>
      </c>
    </row>
    <row r="264" spans="1:30">
      <c r="A264" s="101">
        <f t="shared" si="33"/>
        <v>8</v>
      </c>
      <c r="B264" s="101">
        <f t="shared" si="29"/>
        <v>11</v>
      </c>
      <c r="C264" s="101" t="str">
        <f t="shared" si="30"/>
        <v>T11</v>
      </c>
      <c r="D264" s="101" t="str">
        <f>IF(A264&lt;&gt;A263,VLOOKUP(A264,'Date SPV'!$A:$D,4,FALSE),D263)</f>
        <v>Shopping City Timisoara SRL</v>
      </c>
      <c r="E264" s="101" t="str">
        <f>VLOOKUP(A264,'Date SPV'!$A$4:$B$34,2,FALSE)</f>
        <v>RTIM</v>
      </c>
      <c r="H264" s="105" t="s">
        <v>894</v>
      </c>
      <c r="K264" s="101" t="str">
        <f>VLOOKUP(C264,'Preturi si tarife'!$A$4:$B$39,2,FALSE)</f>
        <v>Contributie CFD</v>
      </c>
      <c r="L264" s="102">
        <f>IF(B264=1,'Date masura OD'!$I$5,IF(B264=19,'Date masura OD'!$AK$5,L263))</f>
        <v>45778</v>
      </c>
      <c r="M264" s="102">
        <f>IF(B264=1,'Date masura OD'!$J$5,IF(B264=19,'Date masura OD'!$AL$5,M263))</f>
        <v>45808</v>
      </c>
      <c r="N264" s="104">
        <f>VLOOKUP(E264,verificare!$AR$4:$CC$33,B264+2,FALSE)</f>
        <v>1077353</v>
      </c>
      <c r="O264" s="103">
        <f>HLOOKUP(VLOOKUP(E264,'Date SPV'!$B$4:$F$34,5,FALSE),'Preturi si tarife'!$C$2:$J$39,B264+2,FALSE)*10000</f>
        <v>2.06</v>
      </c>
      <c r="Q264" s="101" t="str">
        <f t="shared" si="13"/>
        <v>One-off</v>
      </c>
      <c r="R264" s="101" t="str">
        <f>VLOOKUP(K264,'Preturi si tarife'!$B$4:$K$39,10,FALSE)</f>
        <v>ICOENG0001</v>
      </c>
      <c r="T264" s="101" t="str">
        <f t="shared" si="14"/>
        <v>INV + 30</v>
      </c>
      <c r="V264" s="101" t="str">
        <f t="shared" si="15"/>
        <v>Active</v>
      </c>
      <c r="X264" s="101" t="str">
        <f t="shared" si="16"/>
        <v>One-off</v>
      </c>
      <c r="AC264" s="101" t="str">
        <f t="shared" si="31"/>
        <v>RON</v>
      </c>
      <c r="AD264" s="101">
        <f t="shared" si="32"/>
        <v>10000</v>
      </c>
    </row>
    <row r="265" spans="1:30">
      <c r="A265" s="101">
        <f t="shared" si="33"/>
        <v>8</v>
      </c>
      <c r="B265" s="101">
        <f t="shared" si="29"/>
        <v>12</v>
      </c>
      <c r="C265" s="101" t="str">
        <f t="shared" si="30"/>
        <v>T12</v>
      </c>
      <c r="D265" s="101" t="str">
        <f>IF(A265&lt;&gt;A264,VLOOKUP(A265,'Date SPV'!$A:$D,4,FALSE),D264)</f>
        <v>Shopping City Timisoara SRL</v>
      </c>
      <c r="E265" s="101" t="str">
        <f>VLOOKUP(A265,'Date SPV'!$A$4:$B$34,2,FALSE)</f>
        <v>RTIM</v>
      </c>
      <c r="H265" s="105" t="s">
        <v>894</v>
      </c>
      <c r="K265" s="101" t="str">
        <f>VLOOKUP(C265,'Preturi si tarife'!$A$4:$B$39,2,FALSE)</f>
        <v>Acciza</v>
      </c>
      <c r="L265" s="102">
        <f>IF(B265=1,'Date masura OD'!$I$5,IF(B265=19,'Date masura OD'!$AK$5,L264))</f>
        <v>45778</v>
      </c>
      <c r="M265" s="102">
        <f>IF(B265=1,'Date masura OD'!$J$5,IF(B265=19,'Date masura OD'!$AL$5,M264))</f>
        <v>45808</v>
      </c>
      <c r="N265" s="104">
        <f>VLOOKUP(E265,verificare!$AR$4:$CC$33,B265+2,FALSE)</f>
        <v>1077353</v>
      </c>
      <c r="O265" s="103">
        <f>HLOOKUP(VLOOKUP(E265,'Date SPV'!$B$4:$F$34,5,FALSE),'Preturi si tarife'!$C$2:$J$39,B265+2,FALSE)*10000</f>
        <v>0</v>
      </c>
      <c r="Q265" s="101" t="str">
        <f t="shared" si="13"/>
        <v>One-off</v>
      </c>
      <c r="R265" s="101" t="str">
        <f>VLOOKUP(K265,'Preturi si tarife'!$B$4:$K$39,10,FALSE)</f>
        <v>ICOENG0001</v>
      </c>
      <c r="T265" s="101" t="str">
        <f t="shared" si="14"/>
        <v>INV + 30</v>
      </c>
      <c r="V265" s="101" t="str">
        <f t="shared" si="15"/>
        <v>Active</v>
      </c>
      <c r="X265" s="101" t="str">
        <f t="shared" si="16"/>
        <v>One-off</v>
      </c>
      <c r="AC265" s="101" t="str">
        <f t="shared" si="31"/>
        <v>RON</v>
      </c>
      <c r="AD265" s="101">
        <f t="shared" si="32"/>
        <v>10000</v>
      </c>
    </row>
    <row r="266" spans="1:30">
      <c r="A266" s="101">
        <f t="shared" si="33"/>
        <v>8</v>
      </c>
      <c r="B266" s="101">
        <f t="shared" si="29"/>
        <v>13</v>
      </c>
      <c r="C266" s="101" t="str">
        <f t="shared" si="30"/>
        <v>T13</v>
      </c>
      <c r="D266" s="101" t="str">
        <f>IF(A266&lt;&gt;A265,VLOOKUP(A266,'Date SPV'!$A:$D,4,FALSE),D265)</f>
        <v>Shopping City Timisoara SRL</v>
      </c>
      <c r="E266" s="101" t="str">
        <f>VLOOKUP(A266,'Date SPV'!$A$4:$B$34,2,FALSE)</f>
        <v>RTIM</v>
      </c>
      <c r="H266" s="105" t="s">
        <v>894</v>
      </c>
      <c r="K266" s="101" t="str">
        <f>VLOOKUP(C266,'Preturi si tarife'!$A$4:$B$39,2,FALSE)</f>
        <v>Tarif distributie SDI MT</v>
      </c>
      <c r="L266" s="102">
        <f>IF(B266=1,'Date masura OD'!$I$5,IF(B266=19,'Date masura OD'!$AK$5,L265))</f>
        <v>45778</v>
      </c>
      <c r="M266" s="102">
        <f>IF(B266=1,'Date masura OD'!$J$5,IF(B266=19,'Date masura OD'!$AL$5,M265))</f>
        <v>45808</v>
      </c>
      <c r="N266" s="104">
        <f>VLOOKUP(E266,verificare!$AR$4:$CC$33,B266+2,FALSE)</f>
        <v>1077353</v>
      </c>
      <c r="O266" s="103">
        <f>HLOOKUP(VLOOKUP(E266,'Date SPV'!$B$4:$F$34,5,FALSE),'Preturi si tarife'!$C$2:$J$39,B266+2,FALSE)*10000</f>
        <v>115.99999999999999</v>
      </c>
      <c r="Q266" s="101" t="str">
        <f t="shared" si="13"/>
        <v>One-off</v>
      </c>
      <c r="R266" s="101" t="str">
        <f>VLOOKUP(K266,'Preturi si tarife'!$B$4:$K$39,10,FALSE)</f>
        <v>ICOENG0010</v>
      </c>
      <c r="T266" s="101" t="str">
        <f t="shared" si="14"/>
        <v>INV + 30</v>
      </c>
      <c r="V266" s="101" t="str">
        <f t="shared" si="15"/>
        <v>Active</v>
      </c>
      <c r="X266" s="101" t="str">
        <f t="shared" si="16"/>
        <v>One-off</v>
      </c>
      <c r="AC266" s="101" t="str">
        <f t="shared" si="31"/>
        <v>RON</v>
      </c>
      <c r="AD266" s="101">
        <f t="shared" si="32"/>
        <v>10000</v>
      </c>
    </row>
    <row r="267" spans="1:30">
      <c r="A267" s="101">
        <f t="shared" si="33"/>
        <v>8</v>
      </c>
      <c r="B267" s="101">
        <f t="shared" si="29"/>
        <v>14</v>
      </c>
      <c r="C267" s="101" t="str">
        <f t="shared" si="30"/>
        <v>T14</v>
      </c>
      <c r="D267" s="101" t="str">
        <f>IF(A267&lt;&gt;A266,VLOOKUP(A267,'Date SPV'!$A:$D,4,FALSE),D266)</f>
        <v>Shopping City Timisoara SRL</v>
      </c>
      <c r="E267" s="101" t="str">
        <f>VLOOKUP(A267,'Date SPV'!$A$4:$B$34,2,FALSE)</f>
        <v>RTIM</v>
      </c>
      <c r="H267" s="105" t="s">
        <v>894</v>
      </c>
      <c r="K267" s="101" t="str">
        <f>VLOOKUP(C267,'Preturi si tarife'!$A$4:$B$39,2,FALSE)</f>
        <v>Tarif distributie SDI JT</v>
      </c>
      <c r="L267" s="102">
        <f>IF(B267=1,'Date masura OD'!$I$5,IF(B267=19,'Date masura OD'!$AK$5,L266))</f>
        <v>45778</v>
      </c>
      <c r="M267" s="102">
        <f>IF(B267=1,'Date masura OD'!$J$5,IF(B267=19,'Date masura OD'!$AL$5,M266))</f>
        <v>45808</v>
      </c>
      <c r="N267" s="104">
        <f>VLOOKUP(E267,verificare!$AR$4:$CC$33,B267+2,FALSE)</f>
        <v>1077353</v>
      </c>
      <c r="O267" s="103">
        <f>HLOOKUP(VLOOKUP(E267,'Date SPV'!$B$4:$F$34,5,FALSE),'Preturi si tarife'!$C$2:$J$39,B267+2,FALSE)*10000</f>
        <v>832</v>
      </c>
      <c r="Q267" s="101" t="str">
        <f t="shared" si="13"/>
        <v>One-off</v>
      </c>
      <c r="R267" s="101" t="str">
        <f>VLOOKUP(K267,'Preturi si tarife'!$B$4:$K$39,10,FALSE)</f>
        <v>ICOENG0010</v>
      </c>
      <c r="T267" s="101" t="str">
        <f t="shared" si="14"/>
        <v>INV + 30</v>
      </c>
      <c r="V267" s="101" t="str">
        <f t="shared" si="15"/>
        <v>Active</v>
      </c>
      <c r="X267" s="101" t="str">
        <f t="shared" si="16"/>
        <v>One-off</v>
      </c>
      <c r="AC267" s="101" t="str">
        <f t="shared" si="31"/>
        <v>RON</v>
      </c>
      <c r="AD267" s="101">
        <f t="shared" si="32"/>
        <v>10000</v>
      </c>
    </row>
    <row r="268" spans="1:30">
      <c r="A268" s="101">
        <f t="shared" si="33"/>
        <v>8</v>
      </c>
      <c r="B268" s="101">
        <f t="shared" si="29"/>
        <v>15</v>
      </c>
      <c r="C268" s="101" t="str">
        <f t="shared" si="30"/>
        <v>T15</v>
      </c>
      <c r="D268" s="101" t="str">
        <f>IF(A268&lt;&gt;A267,VLOOKUP(A268,'Date SPV'!$A:$D,4,FALSE),D267)</f>
        <v>Shopping City Timisoara SRL</v>
      </c>
      <c r="E268" s="101" t="str">
        <f>VLOOKUP(A268,'Date SPV'!$A$4:$B$34,2,FALSE)</f>
        <v>RTIM</v>
      </c>
      <c r="H268" s="105" t="s">
        <v>894</v>
      </c>
      <c r="K268" s="101" t="str">
        <f>VLOOKUP(C268,'Preturi si tarife'!$A$4:$B$39,2,FALSE)</f>
        <v>Energie activa 2</v>
      </c>
      <c r="L268" s="102">
        <f>IF(B268=1,'Date masura OD'!$I$5,IF(B268=19,'Date masura OD'!$AK$5,L267))</f>
        <v>45778</v>
      </c>
      <c r="M268" s="102">
        <f>IF(B268=1,'Date masura OD'!$J$5,IF(B268=19,'Date masura OD'!$AL$5,M267))</f>
        <v>45808</v>
      </c>
      <c r="N268" s="104">
        <f>VLOOKUP(E268,verificare!$AR$4:$CC$33,B268+2,FALSE)</f>
        <v>147904</v>
      </c>
      <c r="O268" s="103">
        <f>HLOOKUP(VLOOKUP(E268,'Date SPV'!$B$4:$F$34,5,FALSE),'Preturi si tarife'!$C$2:$J$39,B268+2,FALSE)*10000</f>
        <v>9000.5760000000009</v>
      </c>
      <c r="Q268" s="101" t="str">
        <f t="shared" si="13"/>
        <v>One-off</v>
      </c>
      <c r="R268" s="101" t="str">
        <f>VLOOKUP(K268,'Preturi si tarife'!$B$4:$K$39,10,FALSE)</f>
        <v>ICOENG0012</v>
      </c>
      <c r="T268" s="101" t="str">
        <f t="shared" si="14"/>
        <v>INV + 30</v>
      </c>
      <c r="V268" s="101" t="str">
        <f t="shared" si="15"/>
        <v>Active</v>
      </c>
      <c r="X268" s="101" t="str">
        <f t="shared" si="16"/>
        <v>One-off</v>
      </c>
      <c r="AC268" s="101" t="str">
        <f t="shared" si="31"/>
        <v>RON</v>
      </c>
      <c r="AD268" s="101">
        <f t="shared" si="32"/>
        <v>10000</v>
      </c>
    </row>
    <row r="269" spans="1:30">
      <c r="A269" s="101">
        <f t="shared" si="33"/>
        <v>8</v>
      </c>
      <c r="B269" s="101">
        <f t="shared" si="29"/>
        <v>16</v>
      </c>
      <c r="C269" s="101" t="str">
        <f t="shared" si="30"/>
        <v>T16</v>
      </c>
      <c r="D269" s="101" t="str">
        <f>IF(A269&lt;&gt;A268,VLOOKUP(A269,'Date SPV'!$A:$D,4,FALSE),D268)</f>
        <v>Shopping City Timisoara SRL</v>
      </c>
      <c r="E269" s="101" t="str">
        <f>VLOOKUP(A269,'Date SPV'!$A$4:$B$34,2,FALSE)</f>
        <v>RTIM</v>
      </c>
      <c r="H269" s="105" t="s">
        <v>894</v>
      </c>
      <c r="K269" s="101" t="str">
        <f>VLOOKUP(C269,'Preturi si tarife'!$A$4:$B$39,2,FALSE)</f>
        <v>Energie activa 3</v>
      </c>
      <c r="L269" s="102">
        <f>IF(B269=1,'Date masura OD'!$I$5,IF(B269=19,'Date masura OD'!$AK$5,L268))</f>
        <v>45778</v>
      </c>
      <c r="M269" s="102">
        <f>IF(B269=1,'Date masura OD'!$J$5,IF(B269=19,'Date masura OD'!$AL$5,M268))</f>
        <v>45808</v>
      </c>
      <c r="N269" s="104">
        <f>VLOOKUP(E269,verificare!$AR$4:$CC$33,B269+2,FALSE)</f>
        <v>11982</v>
      </c>
      <c r="O269" s="103">
        <f>HLOOKUP(VLOOKUP(E269,'Date SPV'!$B$4:$F$34,5,FALSE),'Preturi si tarife'!$C$2:$J$39,B269+2,FALSE)*10000</f>
        <v>8052.576</v>
      </c>
      <c r="Q269" s="101" t="str">
        <f t="shared" si="13"/>
        <v>One-off</v>
      </c>
      <c r="R269" s="101" t="str">
        <f>VLOOKUP(K269,'Preturi si tarife'!$B$4:$K$39,10,FALSE)</f>
        <v>ICOENG0012</v>
      </c>
      <c r="T269" s="101" t="str">
        <f t="shared" si="14"/>
        <v>INV + 30</v>
      </c>
      <c r="V269" s="101" t="str">
        <f t="shared" si="15"/>
        <v>Active</v>
      </c>
      <c r="X269" s="101" t="str">
        <f t="shared" si="16"/>
        <v>One-off</v>
      </c>
      <c r="AC269" s="101" t="str">
        <f t="shared" si="31"/>
        <v>RON</v>
      </c>
      <c r="AD269" s="101">
        <f t="shared" si="32"/>
        <v>10000</v>
      </c>
    </row>
    <row r="270" spans="1:30">
      <c r="A270" s="101">
        <f t="shared" si="33"/>
        <v>8</v>
      </c>
      <c r="B270" s="101">
        <f t="shared" si="29"/>
        <v>17</v>
      </c>
      <c r="C270" s="101" t="str">
        <f t="shared" si="30"/>
        <v>T17</v>
      </c>
      <c r="D270" s="101" t="str">
        <f>IF(A270&lt;&gt;A269,VLOOKUP(A270,'Date SPV'!$A:$D,4,FALSE),D269)</f>
        <v>Shopping City Timisoara SRL</v>
      </c>
      <c r="E270" s="101" t="str">
        <f>VLOOKUP(A270,'Date SPV'!$A$4:$B$34,2,FALSE)</f>
        <v>RTIM</v>
      </c>
      <c r="H270" s="105" t="s">
        <v>894</v>
      </c>
      <c r="K270" s="101" t="str">
        <f>VLOOKUP(C270,'Preturi si tarife'!$A$4:$B$39,2,FALSE)</f>
        <v>Tarif distributie SDI MT_</v>
      </c>
      <c r="L270" s="102">
        <f>IF(B270=1,'Date masura OD'!$I$5,IF(B270=19,'Date masura OD'!$AK$5,L269))</f>
        <v>45778</v>
      </c>
      <c r="M270" s="102">
        <f>IF(B270=1,'Date masura OD'!$J$5,IF(B270=19,'Date masura OD'!$AL$5,M269))</f>
        <v>45808</v>
      </c>
      <c r="N270" s="104">
        <f>VLOOKUP(E270,verificare!$AR$4:$CC$33,B270+2,FALSE)</f>
        <v>11982</v>
      </c>
      <c r="O270" s="103">
        <f>HLOOKUP(VLOOKUP(E270,'Date SPV'!$B$4:$F$34,5,FALSE),'Preturi si tarife'!$C$2:$J$39,B270+2,FALSE)*10000</f>
        <v>115.99999999999999</v>
      </c>
      <c r="Q270" s="101" t="str">
        <f t="shared" si="13"/>
        <v>One-off</v>
      </c>
      <c r="R270" s="101" t="str">
        <f>VLOOKUP(K270,'Preturi si tarife'!$B$4:$K$39,10,FALSE)</f>
        <v>ICOENG0010</v>
      </c>
      <c r="T270" s="101" t="str">
        <f t="shared" si="14"/>
        <v>INV + 30</v>
      </c>
      <c r="V270" s="101" t="str">
        <f t="shared" si="15"/>
        <v>Active</v>
      </c>
      <c r="X270" s="101" t="str">
        <f t="shared" si="16"/>
        <v>One-off</v>
      </c>
      <c r="AC270" s="101" t="str">
        <f t="shared" si="31"/>
        <v>RON</v>
      </c>
      <c r="AD270" s="101">
        <f t="shared" si="32"/>
        <v>10000</v>
      </c>
    </row>
    <row r="271" spans="1:30">
      <c r="A271" s="101">
        <f t="shared" si="33"/>
        <v>8</v>
      </c>
      <c r="B271" s="101">
        <f t="shared" si="29"/>
        <v>18</v>
      </c>
      <c r="C271" s="101" t="str">
        <f t="shared" si="30"/>
        <v>T18</v>
      </c>
      <c r="D271" s="101" t="str">
        <f>IF(A271&lt;&gt;A270,VLOOKUP(A271,'Date SPV'!$A:$D,4,FALSE),D270)</f>
        <v>Shopping City Timisoara SRL</v>
      </c>
      <c r="E271" s="101" t="str">
        <f>VLOOKUP(A271,'Date SPV'!$A$4:$B$34,2,FALSE)</f>
        <v>RTIM</v>
      </c>
      <c r="H271" s="105" t="s">
        <v>894</v>
      </c>
      <c r="K271" s="101" t="str">
        <f>VLOOKUP(C271,'Preturi si tarife'!$A$4:$B$39,2,FALSE)</f>
        <v>Tarif distributie SDI JT_</v>
      </c>
      <c r="L271" s="102">
        <f>IF(B271=1,'Date masura OD'!$I$5,IF(B271=19,'Date masura OD'!$AK$5,L270))</f>
        <v>45778</v>
      </c>
      <c r="M271" s="102">
        <f>IF(B271=1,'Date masura OD'!$J$5,IF(B271=19,'Date masura OD'!$AL$5,M270))</f>
        <v>45808</v>
      </c>
      <c r="N271" s="104">
        <f>VLOOKUP(E271,verificare!$AR$4:$CC$33,B271+2,FALSE)</f>
        <v>11982</v>
      </c>
      <c r="O271" s="103">
        <f>HLOOKUP(VLOOKUP(E271,'Date SPV'!$B$4:$F$34,5,FALSE),'Preturi si tarife'!$C$2:$J$39,B271+2,FALSE)*10000</f>
        <v>832</v>
      </c>
      <c r="Q271" s="101" t="str">
        <f t="shared" si="13"/>
        <v>One-off</v>
      </c>
      <c r="R271" s="101" t="str">
        <f>VLOOKUP(K271,'Preturi si tarife'!$B$4:$K$39,10,FALSE)</f>
        <v>ICOENG0010</v>
      </c>
      <c r="T271" s="101" t="str">
        <f t="shared" si="14"/>
        <v>INV + 30</v>
      </c>
      <c r="V271" s="101" t="str">
        <f t="shared" si="15"/>
        <v>Active</v>
      </c>
      <c r="X271" s="101" t="str">
        <f t="shared" si="16"/>
        <v>One-off</v>
      </c>
      <c r="AC271" s="101" t="str">
        <f t="shared" si="31"/>
        <v>RON</v>
      </c>
      <c r="AD271" s="101">
        <f t="shared" si="32"/>
        <v>10000</v>
      </c>
    </row>
    <row r="272" spans="1:30">
      <c r="A272" s="101">
        <f t="shared" si="33"/>
        <v>8</v>
      </c>
      <c r="B272" s="101">
        <f t="shared" si="29"/>
        <v>19</v>
      </c>
      <c r="C272" s="101" t="str">
        <f t="shared" si="30"/>
        <v>T19</v>
      </c>
      <c r="D272" s="101" t="str">
        <f>IF(A272&lt;&gt;A271,VLOOKUP(A272,'Date SPV'!$A:$D,4,FALSE),D271)</f>
        <v>Shopping City Timisoara SRL</v>
      </c>
      <c r="E272" s="101" t="str">
        <f>VLOOKUP(A272,'Date SPV'!$A$4:$B$34,2,FALSE)</f>
        <v>RTIM</v>
      </c>
      <c r="H272" s="105" t="s">
        <v>894</v>
      </c>
      <c r="K272" s="101" t="str">
        <f>VLOOKUP(C272,'Preturi si tarife'!$A$4:$B$39,2,FALSE)</f>
        <v>Regularizare Energie activa 1</v>
      </c>
      <c r="L272" s="102">
        <f>IF(B272=1,'Date masura OD'!$I$5,IF(B272=19,'Date masura OD'!$AK$5,L271))</f>
        <v>45748</v>
      </c>
      <c r="M272" s="102">
        <f>IF(B272=1,'Date masura OD'!$J$5,IF(B272=19,'Date masura OD'!$AL$5,M271))</f>
        <v>45777</v>
      </c>
      <c r="N272" s="104">
        <f>VLOOKUP(E272,verificare!$AR$4:$CC$33,B272+2,FALSE)</f>
        <v>0</v>
      </c>
      <c r="O272" s="103">
        <f>HLOOKUP(VLOOKUP(E272,'Date SPV'!$B$4:$F$34,5,FALSE),'Preturi si tarife'!$C$2:$J$39,B272+2,FALSE)*10000</f>
        <v>5950</v>
      </c>
      <c r="Q272" s="101" t="str">
        <f t="shared" si="13"/>
        <v>One-off</v>
      </c>
      <c r="R272" s="101" t="str">
        <f>VLOOKUP(K272,'Preturi si tarife'!$B$4:$K$39,10,FALSE)</f>
        <v>ICOENG0001</v>
      </c>
      <c r="T272" s="101" t="str">
        <f t="shared" si="14"/>
        <v>INV + 30</v>
      </c>
      <c r="V272" s="101" t="str">
        <f t="shared" si="15"/>
        <v>Active</v>
      </c>
      <c r="X272" s="101" t="str">
        <f t="shared" si="16"/>
        <v>One-off</v>
      </c>
      <c r="AC272" s="101" t="str">
        <f t="shared" si="31"/>
        <v>RON</v>
      </c>
      <c r="AD272" s="101">
        <f t="shared" si="32"/>
        <v>10000</v>
      </c>
    </row>
    <row r="273" spans="1:30">
      <c r="A273" s="101">
        <f t="shared" si="33"/>
        <v>8</v>
      </c>
      <c r="B273" s="101">
        <f t="shared" si="29"/>
        <v>20</v>
      </c>
      <c r="C273" s="101" t="str">
        <f t="shared" si="30"/>
        <v>T20</v>
      </c>
      <c r="D273" s="101" t="str">
        <f>IF(A273&lt;&gt;A272,VLOOKUP(A273,'Date SPV'!$A:$D,4,FALSE),D272)</f>
        <v>Shopping City Timisoara SRL</v>
      </c>
      <c r="E273" s="101" t="str">
        <f>VLOOKUP(A273,'Date SPV'!$A$4:$B$34,2,FALSE)</f>
        <v>RTIM</v>
      </c>
      <c r="H273" s="105" t="s">
        <v>894</v>
      </c>
      <c r="K273" s="101" t="str">
        <f>VLOOKUP(C273,'Preturi si tarife'!$A$4:$B$39,2,FALSE)</f>
        <v>Regularizare Energie reactiva  1X</v>
      </c>
      <c r="L273" s="102">
        <f>IF(B273=1,'Date masura OD'!$I$5,IF(B273=19,'Date masura OD'!$AK$5,L272))</f>
        <v>45748</v>
      </c>
      <c r="M273" s="102">
        <f>IF(B273=1,'Date masura OD'!$J$5,IF(B273=19,'Date masura OD'!$AL$5,M272))</f>
        <v>45777</v>
      </c>
      <c r="N273" s="104">
        <f>VLOOKUP(E273,verificare!$AR$4:$CC$33,B273+2,FALSE)</f>
        <v>348</v>
      </c>
      <c r="O273" s="103">
        <f>HLOOKUP(VLOOKUP(E273,'Date SPV'!$B$4:$F$34,5,FALSE),'Preturi si tarife'!$C$2:$J$39,B273+2,FALSE)*10000</f>
        <v>1466</v>
      </c>
      <c r="Q273" s="101" t="str">
        <f t="shared" si="13"/>
        <v>One-off</v>
      </c>
      <c r="R273" s="101" t="str">
        <f>VLOOKUP(K273,'Preturi si tarife'!$B$4:$K$39,10,FALSE)</f>
        <v>ICOENG0001</v>
      </c>
      <c r="T273" s="101" t="str">
        <f t="shared" si="14"/>
        <v>INV + 30</v>
      </c>
      <c r="V273" s="101" t="str">
        <f t="shared" si="15"/>
        <v>Active</v>
      </c>
      <c r="X273" s="101" t="str">
        <f t="shared" si="16"/>
        <v>One-off</v>
      </c>
      <c r="AC273" s="101" t="str">
        <f t="shared" si="31"/>
        <v>RON</v>
      </c>
      <c r="AD273" s="101">
        <f t="shared" si="32"/>
        <v>10000</v>
      </c>
    </row>
    <row r="274" spans="1:30">
      <c r="A274" s="101">
        <f t="shared" si="33"/>
        <v>8</v>
      </c>
      <c r="B274" s="101">
        <f t="shared" si="29"/>
        <v>21</v>
      </c>
      <c r="C274" s="101" t="str">
        <f t="shared" si="30"/>
        <v>T21</v>
      </c>
      <c r="D274" s="101" t="str">
        <f>IF(A274&lt;&gt;A273,VLOOKUP(A274,'Date SPV'!$A:$D,4,FALSE),D273)</f>
        <v>Shopping City Timisoara SRL</v>
      </c>
      <c r="E274" s="101" t="str">
        <f>VLOOKUP(A274,'Date SPV'!$A$4:$B$34,2,FALSE)</f>
        <v>RTIM</v>
      </c>
      <c r="H274" s="105" t="s">
        <v>894</v>
      </c>
      <c r="K274" s="101" t="str">
        <f>VLOOKUP(C274,'Preturi si tarife'!$A$4:$B$39,2,FALSE)</f>
        <v>Regularizare Energie reactiva  3X</v>
      </c>
      <c r="L274" s="102">
        <f>IF(B274=1,'Date masura OD'!$I$5,IF(B274=19,'Date masura OD'!$AK$5,L273))</f>
        <v>45748</v>
      </c>
      <c r="M274" s="102">
        <f>IF(B274=1,'Date masura OD'!$J$5,IF(B274=19,'Date masura OD'!$AL$5,M273))</f>
        <v>45777</v>
      </c>
      <c r="N274" s="104">
        <f>VLOOKUP(E274,verificare!$AR$4:$CC$33,B274+2,FALSE)</f>
        <v>125</v>
      </c>
      <c r="O274" s="103">
        <f>HLOOKUP(VLOOKUP(E274,'Date SPV'!$B$4:$F$34,5,FALSE),'Preturi si tarife'!$C$2:$J$39,B274+2,FALSE)*10000</f>
        <v>4398</v>
      </c>
      <c r="Q274" s="101" t="str">
        <f t="shared" si="13"/>
        <v>One-off</v>
      </c>
      <c r="R274" s="101" t="str">
        <f>VLOOKUP(K274,'Preturi si tarife'!$B$4:$K$39,10,FALSE)</f>
        <v>ICOENG0001</v>
      </c>
      <c r="T274" s="101" t="str">
        <f t="shared" si="14"/>
        <v>INV + 30</v>
      </c>
      <c r="V274" s="101" t="str">
        <f t="shared" si="15"/>
        <v>Active</v>
      </c>
      <c r="X274" s="101" t="str">
        <f t="shared" si="16"/>
        <v>One-off</v>
      </c>
      <c r="AC274" s="101" t="str">
        <f t="shared" si="31"/>
        <v>RON</v>
      </c>
      <c r="AD274" s="101">
        <f t="shared" si="32"/>
        <v>10000</v>
      </c>
    </row>
    <row r="275" spans="1:30">
      <c r="A275" s="101">
        <f t="shared" si="33"/>
        <v>8</v>
      </c>
      <c r="B275" s="101">
        <f t="shared" si="29"/>
        <v>22</v>
      </c>
      <c r="C275" s="101" t="str">
        <f t="shared" si="30"/>
        <v>T22</v>
      </c>
      <c r="D275" s="101" t="str">
        <f>IF(A275&lt;&gt;A274,VLOOKUP(A275,'Date SPV'!$A:$D,4,FALSE),D274)</f>
        <v>Shopping City Timisoara SRL</v>
      </c>
      <c r="E275" s="101" t="str">
        <f>VLOOKUP(A275,'Date SPV'!$A$4:$B$34,2,FALSE)</f>
        <v>RTIM</v>
      </c>
      <c r="H275" s="105" t="s">
        <v>894</v>
      </c>
      <c r="K275" s="101" t="str">
        <f>VLOOKUP(C275,'Preturi si tarife'!$A$4:$B$39,2,FALSE)</f>
        <v>Regularizare Tarife distributie en. El IT+MT</v>
      </c>
      <c r="L275" s="102">
        <f>IF(B275=1,'Date masura OD'!$I$5,IF(B275=19,'Date masura OD'!$AK$5,L274))</f>
        <v>45748</v>
      </c>
      <c r="M275" s="102">
        <f>IF(B275=1,'Date masura OD'!$J$5,IF(B275=19,'Date masura OD'!$AL$5,M274))</f>
        <v>45777</v>
      </c>
      <c r="N275" s="104">
        <f>VLOOKUP(E275,verificare!$AR$4:$CC$33,B275+2,FALSE)</f>
        <v>0</v>
      </c>
      <c r="O275" s="103">
        <f>HLOOKUP(VLOOKUP(E275,'Date SPV'!$B$4:$F$34,5,FALSE),'Preturi si tarife'!$C$2:$J$39,B275+2,FALSE)*10000</f>
        <v>861.80000000000007</v>
      </c>
      <c r="Q275" s="101" t="str">
        <f t="shared" si="13"/>
        <v>One-off</v>
      </c>
      <c r="R275" s="101" t="str">
        <f>VLOOKUP(K275,'Preturi si tarife'!$B$4:$K$39,10,FALSE)</f>
        <v>ICOENG0001</v>
      </c>
      <c r="T275" s="101" t="str">
        <f t="shared" si="14"/>
        <v>INV + 30</v>
      </c>
      <c r="V275" s="101" t="str">
        <f t="shared" si="15"/>
        <v>Active</v>
      </c>
      <c r="X275" s="101" t="str">
        <f t="shared" si="16"/>
        <v>One-off</v>
      </c>
      <c r="AC275" s="101" t="str">
        <f t="shared" si="31"/>
        <v>RON</v>
      </c>
      <c r="AD275" s="101">
        <f t="shared" si="32"/>
        <v>10000</v>
      </c>
    </row>
    <row r="276" spans="1:30">
      <c r="A276" s="101">
        <f t="shared" si="33"/>
        <v>8</v>
      </c>
      <c r="B276" s="101">
        <f t="shared" si="29"/>
        <v>23</v>
      </c>
      <c r="C276" s="101" t="str">
        <f t="shared" si="30"/>
        <v>T23</v>
      </c>
      <c r="D276" s="101" t="str">
        <f>IF(A276&lt;&gt;A275,VLOOKUP(A276,'Date SPV'!$A:$D,4,FALSE),D275)</f>
        <v>Shopping City Timisoara SRL</v>
      </c>
      <c r="E276" s="101" t="str">
        <f>VLOOKUP(A276,'Date SPV'!$A$4:$B$34,2,FALSE)</f>
        <v>RTIM</v>
      </c>
      <c r="H276" s="105" t="s">
        <v>894</v>
      </c>
      <c r="K276" s="101" t="str">
        <f>VLOOKUP(C276,'Preturi si tarife'!$A$4:$B$39,2,FALSE)</f>
        <v>Regularizare Tarife distributie en. El JT</v>
      </c>
      <c r="L276" s="102">
        <f>IF(B276=1,'Date masura OD'!$I$5,IF(B276=19,'Date masura OD'!$AK$5,L275))</f>
        <v>45748</v>
      </c>
      <c r="M276" s="102">
        <f>IF(B276=1,'Date masura OD'!$J$5,IF(B276=19,'Date masura OD'!$AL$5,M275))</f>
        <v>45777</v>
      </c>
      <c r="N276" s="104">
        <f>VLOOKUP(E276,verificare!$AR$4:$CC$33,B276+2,FALSE)</f>
        <v>0</v>
      </c>
      <c r="O276" s="103">
        <f>HLOOKUP(VLOOKUP(E276,'Date SPV'!$B$4:$F$34,5,FALSE),'Preturi si tarife'!$C$2:$J$39,B276+2,FALSE)*10000</f>
        <v>2079</v>
      </c>
      <c r="Q276" s="101" t="str">
        <f t="shared" si="13"/>
        <v>One-off</v>
      </c>
      <c r="R276" s="101" t="str">
        <f>VLOOKUP(K276,'Preturi si tarife'!$B$4:$K$39,10,FALSE)</f>
        <v>ICOENG0001</v>
      </c>
      <c r="T276" s="101" t="str">
        <f t="shared" si="14"/>
        <v>INV + 30</v>
      </c>
      <c r="V276" s="101" t="str">
        <f t="shared" si="15"/>
        <v>Active</v>
      </c>
      <c r="X276" s="101" t="str">
        <f t="shared" si="16"/>
        <v>One-off</v>
      </c>
      <c r="AC276" s="101" t="str">
        <f t="shared" si="31"/>
        <v>RON</v>
      </c>
      <c r="AD276" s="101">
        <f t="shared" si="32"/>
        <v>10000</v>
      </c>
    </row>
    <row r="277" spans="1:30">
      <c r="A277" s="101">
        <f t="shared" si="33"/>
        <v>8</v>
      </c>
      <c r="B277" s="101">
        <f t="shared" si="29"/>
        <v>24</v>
      </c>
      <c r="C277" s="101" t="str">
        <f t="shared" si="30"/>
        <v>T24</v>
      </c>
      <c r="D277" s="101" t="str">
        <f>IF(A277&lt;&gt;A276,VLOOKUP(A277,'Date SPV'!$A:$D,4,FALSE),D276)</f>
        <v>Shopping City Timisoara SRL</v>
      </c>
      <c r="E277" s="101" t="str">
        <f>VLOOKUP(A277,'Date SPV'!$A$4:$B$34,2,FALSE)</f>
        <v>RTIM</v>
      </c>
      <c r="H277" s="105" t="s">
        <v>894</v>
      </c>
      <c r="K277" s="101" t="str">
        <f>VLOOKUP(C277,'Preturi si tarife'!$A$4:$B$39,2,FALSE)</f>
        <v xml:space="preserve">Regularizare Servicii Sistem </v>
      </c>
      <c r="L277" s="102">
        <f>IF(B277=1,'Date masura OD'!$I$5,IF(B277=19,'Date masura OD'!$AK$5,L276))</f>
        <v>45748</v>
      </c>
      <c r="M277" s="102">
        <f>IF(B277=1,'Date masura OD'!$J$5,IF(B277=19,'Date masura OD'!$AL$5,M276))</f>
        <v>45777</v>
      </c>
      <c r="N277" s="104">
        <f>VLOOKUP(E277,verificare!$AR$4:$CC$33,B277+2,FALSE)</f>
        <v>0</v>
      </c>
      <c r="O277" s="103">
        <f>HLOOKUP(VLOOKUP(E277,'Date SPV'!$B$4:$F$34,5,FALSE),'Preturi si tarife'!$C$2:$J$39,B277+2,FALSE)*10000</f>
        <v>115.1</v>
      </c>
      <c r="Q277" s="101" t="str">
        <f t="shared" si="13"/>
        <v>One-off</v>
      </c>
      <c r="R277" s="101" t="str">
        <f>VLOOKUP(K277,'Preturi si tarife'!$B$4:$K$39,10,FALSE)</f>
        <v>ICOENG0001</v>
      </c>
      <c r="T277" s="101" t="str">
        <f t="shared" si="14"/>
        <v>INV + 30</v>
      </c>
      <c r="V277" s="101" t="str">
        <f t="shared" si="15"/>
        <v>Active</v>
      </c>
      <c r="X277" s="101" t="str">
        <f t="shared" si="16"/>
        <v>One-off</v>
      </c>
      <c r="AC277" s="101" t="str">
        <f t="shared" si="31"/>
        <v>RON</v>
      </c>
      <c r="AD277" s="101">
        <f t="shared" si="32"/>
        <v>10000</v>
      </c>
    </row>
    <row r="278" spans="1:30">
      <c r="A278" s="101">
        <f t="shared" si="33"/>
        <v>8</v>
      </c>
      <c r="B278" s="101">
        <f t="shared" si="29"/>
        <v>25</v>
      </c>
      <c r="C278" s="101" t="str">
        <f t="shared" si="30"/>
        <v>T25</v>
      </c>
      <c r="D278" s="101" t="str">
        <f>IF(A278&lt;&gt;A277,VLOOKUP(A278,'Date SPV'!$A:$D,4,FALSE),D277)</f>
        <v>Shopping City Timisoara SRL</v>
      </c>
      <c r="E278" s="101" t="str">
        <f>VLOOKUP(A278,'Date SPV'!$A$4:$B$34,2,FALSE)</f>
        <v>RTIM</v>
      </c>
      <c r="H278" s="105" t="s">
        <v>894</v>
      </c>
      <c r="K278" s="101" t="str">
        <f>VLOOKUP(C278,'Preturi si tarife'!$A$4:$B$39,2,FALSE)</f>
        <v>Regularizare Tarif de introducere en. el in retea (TL)</v>
      </c>
      <c r="L278" s="102">
        <f>IF(B278=1,'Date masura OD'!$I$5,IF(B278=19,'Date masura OD'!$AK$5,L277))</f>
        <v>45748</v>
      </c>
      <c r="M278" s="102">
        <f>IF(B278=1,'Date masura OD'!$J$5,IF(B278=19,'Date masura OD'!$AL$5,M277))</f>
        <v>45777</v>
      </c>
      <c r="N278" s="104">
        <f>VLOOKUP(E278,verificare!$AR$4:$CC$33,B278+2,FALSE)</f>
        <v>0</v>
      </c>
      <c r="O278" s="103">
        <f>HLOOKUP(VLOOKUP(E278,'Date SPV'!$B$4:$F$34,5,FALSE),'Preturi si tarife'!$C$2:$J$39,B278+2,FALSE)*10000</f>
        <v>330.3</v>
      </c>
      <c r="Q278" s="101" t="str">
        <f t="shared" si="13"/>
        <v>One-off</v>
      </c>
      <c r="R278" s="101" t="str">
        <f>VLOOKUP(K278,'Preturi si tarife'!$B$4:$K$39,10,FALSE)</f>
        <v>ICOENG0001</v>
      </c>
      <c r="T278" s="101" t="str">
        <f t="shared" si="14"/>
        <v>INV + 30</v>
      </c>
      <c r="V278" s="101" t="str">
        <f t="shared" si="15"/>
        <v>Active</v>
      </c>
      <c r="X278" s="101" t="str">
        <f t="shared" si="16"/>
        <v>One-off</v>
      </c>
      <c r="AC278" s="101" t="str">
        <f t="shared" si="31"/>
        <v>RON</v>
      </c>
      <c r="AD278" s="101">
        <f t="shared" si="32"/>
        <v>10000</v>
      </c>
    </row>
    <row r="279" spans="1:30">
      <c r="A279" s="101">
        <f t="shared" si="33"/>
        <v>8</v>
      </c>
      <c r="B279" s="101">
        <f t="shared" si="29"/>
        <v>26</v>
      </c>
      <c r="C279" s="101" t="str">
        <f t="shared" si="30"/>
        <v>T26</v>
      </c>
      <c r="D279" s="101" t="str">
        <f>IF(A279&lt;&gt;A278,VLOOKUP(A279,'Date SPV'!$A:$D,4,FALSE),D278)</f>
        <v>Shopping City Timisoara SRL</v>
      </c>
      <c r="E279" s="101" t="str">
        <f>VLOOKUP(A279,'Date SPV'!$A$4:$B$34,2,FALSE)</f>
        <v>RTIM</v>
      </c>
      <c r="H279" s="105" t="s">
        <v>894</v>
      </c>
      <c r="K279" s="101" t="str">
        <f>VLOOKUP(C279,'Preturi si tarife'!$A$4:$B$39,2,FALSE)</f>
        <v>Regularizare Tarif de introducere en.el in retea (TG)</v>
      </c>
      <c r="L279" s="102">
        <f>IF(B279=1,'Date masura OD'!$I$5,IF(B279=19,'Date masura OD'!$AK$5,L278))</f>
        <v>45748</v>
      </c>
      <c r="M279" s="102">
        <f>IF(B279=1,'Date masura OD'!$J$5,IF(B279=19,'Date masura OD'!$AL$5,M278))</f>
        <v>45777</v>
      </c>
      <c r="N279" s="104">
        <f>VLOOKUP(E279,verificare!$AR$4:$CC$33,B279+2,FALSE)</f>
        <v>0</v>
      </c>
      <c r="O279" s="103">
        <f>HLOOKUP(VLOOKUP(E279,'Date SPV'!$B$4:$F$34,5,FALSE),'Preturi si tarife'!$C$2:$J$39,B279+2,FALSE)*10000</f>
        <v>32.9</v>
      </c>
      <c r="Q279" s="101" t="str">
        <f t="shared" si="13"/>
        <v>One-off</v>
      </c>
      <c r="R279" s="101" t="str">
        <f>VLOOKUP(K279,'Preturi si tarife'!$B$4:$K$39,10,FALSE)</f>
        <v>ICOENG0001</v>
      </c>
      <c r="T279" s="101" t="str">
        <f t="shared" si="14"/>
        <v>INV + 30</v>
      </c>
      <c r="V279" s="101" t="str">
        <f t="shared" si="15"/>
        <v>Active</v>
      </c>
      <c r="X279" s="101" t="str">
        <f t="shared" si="16"/>
        <v>One-off</v>
      </c>
      <c r="AC279" s="101" t="str">
        <f t="shared" si="31"/>
        <v>RON</v>
      </c>
      <c r="AD279" s="101">
        <f t="shared" si="32"/>
        <v>10000</v>
      </c>
    </row>
    <row r="280" spans="1:30">
      <c r="A280" s="101">
        <f t="shared" si="33"/>
        <v>8</v>
      </c>
      <c r="B280" s="101">
        <f t="shared" si="29"/>
        <v>27</v>
      </c>
      <c r="C280" s="101" t="str">
        <f t="shared" si="30"/>
        <v>T27</v>
      </c>
      <c r="D280" s="101" t="str">
        <f>IF(A280&lt;&gt;A279,VLOOKUP(A280,'Date SPV'!$A:$D,4,FALSE),D279)</f>
        <v>Shopping City Timisoara SRL</v>
      </c>
      <c r="E280" s="101" t="str">
        <f>VLOOKUP(A280,'Date SPV'!$A$4:$B$34,2,FALSE)</f>
        <v>RTIM</v>
      </c>
      <c r="H280" s="105" t="s">
        <v>894</v>
      </c>
      <c r="K280" s="101" t="str">
        <f>VLOOKUP(C280,'Preturi si tarife'!$A$4:$B$39,2,FALSE)</f>
        <v>Regularizare Contributie pentru cogenerare</v>
      </c>
      <c r="L280" s="102">
        <f>IF(B280=1,'Date masura OD'!$I$5,IF(B280=19,'Date masura OD'!$AK$5,L279))</f>
        <v>45748</v>
      </c>
      <c r="M280" s="102">
        <f>IF(B280=1,'Date masura OD'!$J$5,IF(B280=19,'Date masura OD'!$AL$5,M279))</f>
        <v>45777</v>
      </c>
      <c r="N280" s="104">
        <f>VLOOKUP(E280,verificare!$AR$4:$CC$33,B280+2,FALSE)</f>
        <v>0</v>
      </c>
      <c r="O280" s="103">
        <f>HLOOKUP(VLOOKUP(E280,'Date SPV'!$B$4:$F$34,5,FALSE),'Preturi si tarife'!$C$2:$J$39,B280+2,FALSE)*10000</f>
        <v>35</v>
      </c>
      <c r="Q280" s="101" t="str">
        <f t="shared" si="13"/>
        <v>One-off</v>
      </c>
      <c r="R280" s="101" t="str">
        <f>VLOOKUP(K280,'Preturi si tarife'!$B$4:$K$39,10,FALSE)</f>
        <v>ICOENG0001</v>
      </c>
      <c r="T280" s="101" t="str">
        <f t="shared" si="14"/>
        <v>INV + 30</v>
      </c>
      <c r="V280" s="101" t="str">
        <f t="shared" si="15"/>
        <v>Active</v>
      </c>
      <c r="X280" s="101" t="str">
        <f t="shared" si="16"/>
        <v>One-off</v>
      </c>
      <c r="AC280" s="101" t="str">
        <f t="shared" si="31"/>
        <v>RON</v>
      </c>
      <c r="AD280" s="101">
        <f t="shared" si="32"/>
        <v>10000</v>
      </c>
    </row>
    <row r="281" spans="1:30">
      <c r="A281" s="101">
        <f t="shared" si="33"/>
        <v>8</v>
      </c>
      <c r="B281" s="101">
        <f t="shared" si="29"/>
        <v>28</v>
      </c>
      <c r="C281" s="101" t="str">
        <f t="shared" si="30"/>
        <v>T28</v>
      </c>
      <c r="D281" s="101" t="str">
        <f>IF(A281&lt;&gt;A280,VLOOKUP(A281,'Date SPV'!$A:$D,4,FALSE),D280)</f>
        <v>Shopping City Timisoara SRL</v>
      </c>
      <c r="E281" s="101" t="str">
        <f>VLOOKUP(A281,'Date SPV'!$A$4:$B$34,2,FALSE)</f>
        <v>RTIM</v>
      </c>
      <c r="H281" s="105" t="s">
        <v>894</v>
      </c>
      <c r="K281" s="101" t="str">
        <f>VLOOKUP(C281,'Preturi si tarife'!$A$4:$B$39,2,FALSE)</f>
        <v xml:space="preserve">Regularizare Certificate verzi </v>
      </c>
      <c r="L281" s="102">
        <f>IF(B281=1,'Date masura OD'!$I$5,IF(B281=19,'Date masura OD'!$AK$5,L280))</f>
        <v>45748</v>
      </c>
      <c r="M281" s="102">
        <f>IF(B281=1,'Date masura OD'!$J$5,IF(B281=19,'Date masura OD'!$AL$5,M280))</f>
        <v>45777</v>
      </c>
      <c r="N281" s="104">
        <f>VLOOKUP(E281,verificare!$AR$4:$CC$33,B281+2,FALSE)</f>
        <v>0</v>
      </c>
      <c r="O281" s="103">
        <f>HLOOKUP(VLOOKUP(E281,'Date SPV'!$B$4:$F$34,5,FALSE),'Preturi si tarife'!$C$2:$J$39,B281+2,FALSE)*10000</f>
        <v>725.41599999999994</v>
      </c>
      <c r="Q281" s="101" t="str">
        <f t="shared" si="13"/>
        <v>One-off</v>
      </c>
      <c r="R281" s="101" t="str">
        <f>VLOOKUP(K281,'Preturi si tarife'!$B$4:$K$39,10,FALSE)</f>
        <v>ICOENG0001</v>
      </c>
      <c r="T281" s="101" t="str">
        <f t="shared" si="14"/>
        <v>INV + 30</v>
      </c>
      <c r="V281" s="101" t="str">
        <f t="shared" si="15"/>
        <v>Active</v>
      </c>
      <c r="X281" s="101" t="str">
        <f t="shared" si="16"/>
        <v>One-off</v>
      </c>
      <c r="AC281" s="101" t="str">
        <f t="shared" si="31"/>
        <v>RON</v>
      </c>
      <c r="AD281" s="101">
        <f t="shared" si="32"/>
        <v>10000</v>
      </c>
    </row>
    <row r="282" spans="1:30">
      <c r="A282" s="101">
        <f t="shared" si="33"/>
        <v>8</v>
      </c>
      <c r="B282" s="101">
        <f t="shared" si="29"/>
        <v>29</v>
      </c>
      <c r="C282" s="101" t="str">
        <f t="shared" si="30"/>
        <v>T29</v>
      </c>
      <c r="D282" s="101" t="str">
        <f>IF(A282&lt;&gt;A281,VLOOKUP(A282,'Date SPV'!$A:$D,4,FALSE),D281)</f>
        <v>Shopping City Timisoara SRL</v>
      </c>
      <c r="E282" s="101" t="str">
        <f>VLOOKUP(A282,'Date SPV'!$A$4:$B$34,2,FALSE)</f>
        <v>RTIM</v>
      </c>
      <c r="H282" s="105" t="s">
        <v>894</v>
      </c>
      <c r="K282" s="101" t="str">
        <f>VLOOKUP(C282,'Preturi si tarife'!$A$4:$B$39,2,FALSE)</f>
        <v>Regularizare Contributie CFD</v>
      </c>
      <c r="L282" s="102">
        <f>IF(B282=1,'Date masura OD'!$I$5,IF(B282=19,'Date masura OD'!$AK$5,L281))</f>
        <v>45748</v>
      </c>
      <c r="M282" s="102">
        <f>IF(B282=1,'Date masura OD'!$J$5,IF(B282=19,'Date masura OD'!$AL$5,M281))</f>
        <v>45777</v>
      </c>
      <c r="N282" s="104">
        <f>VLOOKUP(E282,verificare!$AR$4:$CC$33,B282+2,FALSE)</f>
        <v>0</v>
      </c>
      <c r="O282" s="103">
        <f>HLOOKUP(VLOOKUP(E282,'Date SPV'!$B$4:$F$34,5,FALSE),'Preturi si tarife'!$C$2:$J$39,B282+2,FALSE)*10000</f>
        <v>2.06</v>
      </c>
      <c r="Q282" s="101" t="str">
        <f t="shared" si="13"/>
        <v>One-off</v>
      </c>
      <c r="R282" s="101" t="str">
        <f>VLOOKUP(K282,'Preturi si tarife'!$B$4:$K$39,10,FALSE)</f>
        <v>ICOENG0001</v>
      </c>
      <c r="T282" s="101" t="str">
        <f t="shared" si="14"/>
        <v>INV + 30</v>
      </c>
      <c r="V282" s="101" t="str">
        <f t="shared" si="15"/>
        <v>Active</v>
      </c>
      <c r="X282" s="101" t="str">
        <f t="shared" si="16"/>
        <v>One-off</v>
      </c>
      <c r="AC282" s="101" t="str">
        <f t="shared" si="31"/>
        <v>RON</v>
      </c>
      <c r="AD282" s="101">
        <f t="shared" si="32"/>
        <v>10000</v>
      </c>
    </row>
    <row r="283" spans="1:30">
      <c r="A283" s="101">
        <f t="shared" si="33"/>
        <v>8</v>
      </c>
      <c r="B283" s="101">
        <f t="shared" si="29"/>
        <v>30</v>
      </c>
      <c r="C283" s="101" t="str">
        <f t="shared" si="30"/>
        <v>T30</v>
      </c>
      <c r="D283" s="101" t="str">
        <f>IF(A283&lt;&gt;A282,VLOOKUP(A283,'Date SPV'!$A:$D,4,FALSE),D282)</f>
        <v>Shopping City Timisoara SRL</v>
      </c>
      <c r="E283" s="101" t="str">
        <f>VLOOKUP(A283,'Date SPV'!$A$4:$B$34,2,FALSE)</f>
        <v>RTIM</v>
      </c>
      <c r="H283" s="105" t="s">
        <v>894</v>
      </c>
      <c r="K283" s="101" t="str">
        <f>VLOOKUP(C283,'Preturi si tarife'!$A$4:$B$39,2,FALSE)</f>
        <v>Regularizare Acciza</v>
      </c>
      <c r="L283" s="102">
        <f>IF(B283=1,'Date masura OD'!$I$5,IF(B283=19,'Date masura OD'!$AK$5,L282))</f>
        <v>45748</v>
      </c>
      <c r="M283" s="102">
        <f>IF(B283=1,'Date masura OD'!$J$5,IF(B283=19,'Date masura OD'!$AL$5,M282))</f>
        <v>45777</v>
      </c>
      <c r="N283" s="104">
        <f>VLOOKUP(E283,verificare!$AR$4:$CC$33,B283+2,FALSE)</f>
        <v>0</v>
      </c>
      <c r="O283" s="103">
        <f>HLOOKUP(VLOOKUP(E283,'Date SPV'!$B$4:$F$34,5,FALSE),'Preturi si tarife'!$C$2:$J$39,B283+2,FALSE)*10000</f>
        <v>0</v>
      </c>
      <c r="Q283" s="101" t="str">
        <f t="shared" si="13"/>
        <v>One-off</v>
      </c>
      <c r="R283" s="101" t="str">
        <f>VLOOKUP(K283,'Preturi si tarife'!$B$4:$K$39,10,FALSE)</f>
        <v>ICOENG0001</v>
      </c>
      <c r="T283" s="101" t="str">
        <f t="shared" si="14"/>
        <v>INV + 30</v>
      </c>
      <c r="V283" s="101" t="str">
        <f t="shared" si="15"/>
        <v>Active</v>
      </c>
      <c r="X283" s="101" t="str">
        <f t="shared" si="16"/>
        <v>One-off</v>
      </c>
      <c r="AC283" s="101" t="str">
        <f t="shared" si="31"/>
        <v>RON</v>
      </c>
      <c r="AD283" s="101">
        <f t="shared" si="32"/>
        <v>10000</v>
      </c>
    </row>
    <row r="284" spans="1:30">
      <c r="A284" s="101">
        <f t="shared" si="33"/>
        <v>8</v>
      </c>
      <c r="B284" s="101">
        <f t="shared" si="29"/>
        <v>31</v>
      </c>
      <c r="C284" s="101" t="str">
        <f t="shared" si="30"/>
        <v>T31</v>
      </c>
      <c r="D284" s="101" t="str">
        <f>IF(A284&lt;&gt;A283,VLOOKUP(A284,'Date SPV'!$A:$D,4,FALSE),D283)</f>
        <v>Shopping City Timisoara SRL</v>
      </c>
      <c r="E284" s="101" t="str">
        <f>VLOOKUP(A284,'Date SPV'!$A$4:$B$34,2,FALSE)</f>
        <v>RTIM</v>
      </c>
      <c r="H284" s="105" t="s">
        <v>894</v>
      </c>
      <c r="K284" s="101" t="str">
        <f>VLOOKUP(C284,'Preturi si tarife'!$A$4:$B$39,2,FALSE)</f>
        <v>Regularizare Tarif distributie SDI MT Ea1</v>
      </c>
      <c r="L284" s="102">
        <f>IF(B284=1,'Date masura OD'!$I$5,IF(B284=19,'Date masura OD'!$AK$5,L283))</f>
        <v>45748</v>
      </c>
      <c r="M284" s="102">
        <f>IF(B284=1,'Date masura OD'!$J$5,IF(B284=19,'Date masura OD'!$AL$5,M283))</f>
        <v>45777</v>
      </c>
      <c r="N284" s="104">
        <f>VLOOKUP(E284,verificare!$AR$4:$CC$33,B284+2,FALSE)</f>
        <v>0</v>
      </c>
      <c r="O284" s="103">
        <f>HLOOKUP(VLOOKUP(E284,'Date SPV'!$B$4:$F$34,5,FALSE),'Preturi si tarife'!$C$2:$J$39,B284+2,FALSE)*10000</f>
        <v>115.99999999999999</v>
      </c>
      <c r="Q284" s="101" t="str">
        <f t="shared" si="13"/>
        <v>One-off</v>
      </c>
      <c r="R284" s="101" t="str">
        <f>VLOOKUP(K284,'Preturi si tarife'!$B$4:$K$39,10,FALSE)</f>
        <v>ICOENG0010</v>
      </c>
      <c r="T284" s="101" t="str">
        <f t="shared" si="14"/>
        <v>INV + 30</v>
      </c>
      <c r="V284" s="101" t="str">
        <f t="shared" si="15"/>
        <v>Active</v>
      </c>
      <c r="X284" s="101" t="str">
        <f t="shared" si="16"/>
        <v>One-off</v>
      </c>
      <c r="AC284" s="101" t="str">
        <f t="shared" si="31"/>
        <v>RON</v>
      </c>
      <c r="AD284" s="101">
        <f t="shared" si="32"/>
        <v>10000</v>
      </c>
    </row>
    <row r="285" spans="1:30">
      <c r="A285" s="101">
        <f t="shared" si="33"/>
        <v>8</v>
      </c>
      <c r="B285" s="101">
        <f t="shared" si="29"/>
        <v>32</v>
      </c>
      <c r="C285" s="101" t="str">
        <f t="shared" si="30"/>
        <v>T32</v>
      </c>
      <c r="D285" s="101" t="str">
        <f>IF(A285&lt;&gt;A284,VLOOKUP(A285,'Date SPV'!$A:$D,4,FALSE),D284)</f>
        <v>Shopping City Timisoara SRL</v>
      </c>
      <c r="E285" s="101" t="str">
        <f>VLOOKUP(A285,'Date SPV'!$A$4:$B$34,2,FALSE)</f>
        <v>RTIM</v>
      </c>
      <c r="H285" s="105" t="s">
        <v>894</v>
      </c>
      <c r="K285" s="101" t="str">
        <f>VLOOKUP(C285,'Preturi si tarife'!$A$4:$B$39,2,FALSE)</f>
        <v>Regularizare Tarif distributie SDI JT Ea1</v>
      </c>
      <c r="L285" s="102">
        <f>IF(B285=1,'Date masura OD'!$I$5,IF(B285=19,'Date masura OD'!$AK$5,L284))</f>
        <v>45748</v>
      </c>
      <c r="M285" s="102">
        <f>IF(B285=1,'Date masura OD'!$J$5,IF(B285=19,'Date masura OD'!$AL$5,M284))</f>
        <v>45777</v>
      </c>
      <c r="N285" s="104">
        <f>VLOOKUP(E285,verificare!$AR$4:$CC$33,B285+2,FALSE)</f>
        <v>0</v>
      </c>
      <c r="O285" s="103">
        <f>HLOOKUP(VLOOKUP(E285,'Date SPV'!$B$4:$F$34,5,FALSE),'Preturi si tarife'!$C$2:$J$39,B285+2,FALSE)*10000</f>
        <v>832</v>
      </c>
      <c r="Q285" s="101" t="str">
        <f t="shared" si="13"/>
        <v>One-off</v>
      </c>
      <c r="R285" s="101" t="str">
        <f>VLOOKUP(K285,'Preturi si tarife'!$B$4:$K$39,10,FALSE)</f>
        <v>ICOENG0010</v>
      </c>
      <c r="T285" s="101" t="str">
        <f t="shared" si="14"/>
        <v>INV + 30</v>
      </c>
      <c r="V285" s="101" t="str">
        <f t="shared" si="15"/>
        <v>Active</v>
      </c>
      <c r="X285" s="101" t="str">
        <f t="shared" si="16"/>
        <v>One-off</v>
      </c>
      <c r="AC285" s="101" t="str">
        <f t="shared" si="31"/>
        <v>RON</v>
      </c>
      <c r="AD285" s="101">
        <f t="shared" si="32"/>
        <v>10000</v>
      </c>
    </row>
    <row r="286" spans="1:30">
      <c r="A286" s="101">
        <f t="shared" si="33"/>
        <v>8</v>
      </c>
      <c r="B286" s="101">
        <f t="shared" si="29"/>
        <v>33</v>
      </c>
      <c r="C286" s="101" t="str">
        <f t="shared" si="30"/>
        <v>T33</v>
      </c>
      <c r="D286" s="101" t="str">
        <f>IF(A286&lt;&gt;A285,VLOOKUP(A286,'Date SPV'!$A:$D,4,FALSE),D285)</f>
        <v>Shopping City Timisoara SRL</v>
      </c>
      <c r="E286" s="101" t="str">
        <f>VLOOKUP(A286,'Date SPV'!$A$4:$B$34,2,FALSE)</f>
        <v>RTIM</v>
      </c>
      <c r="H286" s="105" t="s">
        <v>894</v>
      </c>
      <c r="K286" s="101" t="str">
        <f>VLOOKUP(C286,'Preturi si tarife'!$A$4:$B$39,2,FALSE)</f>
        <v>Regularizare Energie activa 2</v>
      </c>
      <c r="L286" s="102">
        <f>IF(B286=1,'Date masura OD'!$I$5,IF(B286=19,'Date masura OD'!$AK$5,L285))</f>
        <v>45748</v>
      </c>
      <c r="M286" s="102">
        <f>IF(B286=1,'Date masura OD'!$J$5,IF(B286=19,'Date masura OD'!$AL$5,M285))</f>
        <v>45777</v>
      </c>
      <c r="N286" s="104">
        <f>VLOOKUP(E286,verificare!$AR$4:$CC$33,B286+2,FALSE)</f>
        <v>0</v>
      </c>
      <c r="O286" s="103">
        <f>HLOOKUP(VLOOKUP(E286,'Date SPV'!$B$4:$F$34,5,FALSE),'Preturi si tarife'!$C$2:$J$39,B286+2,FALSE)*10000</f>
        <v>9000.5760000000009</v>
      </c>
      <c r="Q286" s="101" t="str">
        <f t="shared" si="13"/>
        <v>One-off</v>
      </c>
      <c r="R286" s="101" t="str">
        <f>VLOOKUP(K286,'Preturi si tarife'!$B$4:$K$39,10,FALSE)</f>
        <v>ICOENG0012</v>
      </c>
      <c r="T286" s="101" t="str">
        <f t="shared" si="14"/>
        <v>INV + 30</v>
      </c>
      <c r="V286" s="101" t="str">
        <f t="shared" si="15"/>
        <v>Active</v>
      </c>
      <c r="X286" s="101" t="str">
        <f t="shared" si="16"/>
        <v>One-off</v>
      </c>
      <c r="AC286" s="101" t="str">
        <f t="shared" si="31"/>
        <v>RON</v>
      </c>
      <c r="AD286" s="101">
        <f t="shared" si="32"/>
        <v>10000</v>
      </c>
    </row>
    <row r="287" spans="1:30">
      <c r="A287" s="101">
        <f t="shared" si="33"/>
        <v>8</v>
      </c>
      <c r="B287" s="101">
        <f t="shared" si="29"/>
        <v>34</v>
      </c>
      <c r="C287" s="101" t="str">
        <f t="shared" si="30"/>
        <v>T34</v>
      </c>
      <c r="D287" s="101" t="str">
        <f>IF(A287&lt;&gt;A286,VLOOKUP(A287,'Date SPV'!$A:$D,4,FALSE),D286)</f>
        <v>Shopping City Timisoara SRL</v>
      </c>
      <c r="E287" s="101" t="str">
        <f>VLOOKUP(A287,'Date SPV'!$A$4:$B$34,2,FALSE)</f>
        <v>RTIM</v>
      </c>
      <c r="H287" s="105" t="s">
        <v>894</v>
      </c>
      <c r="K287" s="101" t="str">
        <f>VLOOKUP(C287,'Preturi si tarife'!$A$4:$B$39,2,FALSE)</f>
        <v>Regularizare Energie activa 3</v>
      </c>
      <c r="L287" s="102">
        <f>IF(B287=1,'Date masura OD'!$I$5,IF(B287=19,'Date masura OD'!$AK$5,L286))</f>
        <v>45748</v>
      </c>
      <c r="M287" s="102">
        <f>IF(B287=1,'Date masura OD'!$J$5,IF(B287=19,'Date masura OD'!$AL$5,M286))</f>
        <v>45777</v>
      </c>
      <c r="N287" s="104">
        <f>VLOOKUP(E287,verificare!$AR$4:$CC$33,B287+2,FALSE)</f>
        <v>0</v>
      </c>
      <c r="O287" s="103">
        <f>HLOOKUP(VLOOKUP(E287,'Date SPV'!$B$4:$F$34,5,FALSE),'Preturi si tarife'!$C$2:$J$39,B287+2,FALSE)*10000</f>
        <v>8052.576</v>
      </c>
      <c r="Q287" s="101" t="str">
        <f t="shared" si="13"/>
        <v>One-off</v>
      </c>
      <c r="R287" s="101" t="str">
        <f>VLOOKUP(K287,'Preturi si tarife'!$B$4:$K$39,10,FALSE)</f>
        <v>ICOENG0012</v>
      </c>
      <c r="T287" s="101" t="str">
        <f t="shared" si="14"/>
        <v>INV + 30</v>
      </c>
      <c r="V287" s="101" t="str">
        <f t="shared" si="15"/>
        <v>Active</v>
      </c>
      <c r="X287" s="101" t="str">
        <f t="shared" si="16"/>
        <v>One-off</v>
      </c>
      <c r="AC287" s="101" t="str">
        <f t="shared" si="31"/>
        <v>RON</v>
      </c>
      <c r="AD287" s="101">
        <f t="shared" si="32"/>
        <v>10000</v>
      </c>
    </row>
    <row r="288" spans="1:30">
      <c r="A288" s="101">
        <f t="shared" si="33"/>
        <v>8</v>
      </c>
      <c r="B288" s="101">
        <f t="shared" si="29"/>
        <v>35</v>
      </c>
      <c r="C288" s="101" t="str">
        <f t="shared" si="30"/>
        <v>T35</v>
      </c>
      <c r="D288" s="101" t="str">
        <f>IF(A288&lt;&gt;A287,VLOOKUP(A288,'Date SPV'!$A:$D,4,FALSE),D287)</f>
        <v>Shopping City Timisoara SRL</v>
      </c>
      <c r="E288" s="101" t="str">
        <f>VLOOKUP(A288,'Date SPV'!$A$4:$B$34,2,FALSE)</f>
        <v>RTIM</v>
      </c>
      <c r="H288" s="105" t="s">
        <v>894</v>
      </c>
      <c r="K288" s="101" t="str">
        <f>VLOOKUP(C288,'Preturi si tarife'!$A$4:$B$39,2,FALSE)</f>
        <v>Regularizare Tarif distributie SDI MT Ea3</v>
      </c>
      <c r="L288" s="102">
        <f>IF(B288=1,'Date masura OD'!$I$5,IF(B288=19,'Date masura OD'!$AK$5,L287))</f>
        <v>45748</v>
      </c>
      <c r="M288" s="102">
        <f>IF(B288=1,'Date masura OD'!$J$5,IF(B288=19,'Date masura OD'!$AL$5,M287))</f>
        <v>45777</v>
      </c>
      <c r="N288" s="104">
        <f>VLOOKUP(E288,verificare!$AR$4:$CC$33,B288+2,FALSE)</f>
        <v>0</v>
      </c>
      <c r="O288" s="103">
        <f>HLOOKUP(VLOOKUP(E288,'Date SPV'!$B$4:$F$34,5,FALSE),'Preturi si tarife'!$C$2:$J$39,B288+2,FALSE)*10000</f>
        <v>115.99999999999999</v>
      </c>
      <c r="Q288" s="101" t="str">
        <f t="shared" si="13"/>
        <v>One-off</v>
      </c>
      <c r="R288" s="101" t="str">
        <f>VLOOKUP(K288,'Preturi si tarife'!$B$4:$K$39,10,FALSE)</f>
        <v>ICOENG0010</v>
      </c>
      <c r="T288" s="101" t="str">
        <f t="shared" si="14"/>
        <v>INV + 30</v>
      </c>
      <c r="V288" s="101" t="str">
        <f t="shared" si="15"/>
        <v>Active</v>
      </c>
      <c r="X288" s="101" t="str">
        <f t="shared" si="16"/>
        <v>One-off</v>
      </c>
      <c r="AC288" s="101" t="str">
        <f t="shared" si="31"/>
        <v>RON</v>
      </c>
      <c r="AD288" s="101">
        <f t="shared" si="32"/>
        <v>10000</v>
      </c>
    </row>
    <row r="289" spans="1:30">
      <c r="A289" s="101">
        <f t="shared" si="33"/>
        <v>8</v>
      </c>
      <c r="B289" s="101">
        <f t="shared" si="29"/>
        <v>36</v>
      </c>
      <c r="C289" s="101" t="str">
        <f t="shared" si="30"/>
        <v>T36</v>
      </c>
      <c r="D289" s="101" t="str">
        <f>IF(A289&lt;&gt;A288,VLOOKUP(A289,'Date SPV'!$A:$D,4,FALSE),D288)</f>
        <v>Shopping City Timisoara SRL</v>
      </c>
      <c r="E289" s="101" t="str">
        <f>VLOOKUP(A289,'Date SPV'!$A$4:$B$34,2,FALSE)</f>
        <v>RTIM</v>
      </c>
      <c r="H289" s="105" t="s">
        <v>894</v>
      </c>
      <c r="K289" s="101" t="str">
        <f>VLOOKUP(C289,'Preturi si tarife'!$A$4:$B$39,2,FALSE)</f>
        <v>Regularizare Tarif distributie SDI JT Ea3</v>
      </c>
      <c r="L289" s="102">
        <f>IF(B289=1,'Date masura OD'!$I$5,IF(B289=19,'Date masura OD'!$AK$5,L288))</f>
        <v>45748</v>
      </c>
      <c r="M289" s="102">
        <f>IF(B289=1,'Date masura OD'!$J$5,IF(B289=19,'Date masura OD'!$AL$5,M288))</f>
        <v>45777</v>
      </c>
      <c r="N289" s="104">
        <f>VLOOKUP(E289,verificare!$AR$4:$CC$33,B289+2,FALSE)</f>
        <v>0</v>
      </c>
      <c r="O289" s="103">
        <f>HLOOKUP(VLOOKUP(E289,'Date SPV'!$B$4:$F$34,5,FALSE),'Preturi si tarife'!$C$2:$J$39,B289+2,FALSE)*10000</f>
        <v>832</v>
      </c>
      <c r="Q289" s="101" t="str">
        <f t="shared" si="13"/>
        <v>One-off</v>
      </c>
      <c r="R289" s="101" t="str">
        <f>VLOOKUP(K289,'Preturi si tarife'!$B$4:$K$39,10,FALSE)</f>
        <v>ICOENG0010</v>
      </c>
      <c r="T289" s="101" t="str">
        <f t="shared" si="14"/>
        <v>INV + 30</v>
      </c>
      <c r="V289" s="101" t="str">
        <f t="shared" si="15"/>
        <v>Active</v>
      </c>
      <c r="X289" s="101" t="str">
        <f t="shared" si="16"/>
        <v>One-off</v>
      </c>
      <c r="AC289" s="101" t="str">
        <f t="shared" si="31"/>
        <v>RON</v>
      </c>
      <c r="AD289" s="101">
        <f t="shared" si="32"/>
        <v>10000</v>
      </c>
    </row>
    <row r="290" spans="1:30">
      <c r="A290" s="101">
        <f t="shared" si="33"/>
        <v>9</v>
      </c>
      <c r="B290" s="101">
        <f t="shared" si="29"/>
        <v>1</v>
      </c>
      <c r="C290" s="101" t="str">
        <f t="shared" si="30"/>
        <v>T1</v>
      </c>
      <c r="D290" s="101" t="str">
        <f>IF(A290&lt;&gt;A289,VLOOKUP(A290,'Date SPV'!$A:$D,4,FALSE),D289)</f>
        <v>Targu Jiu Development SRL</v>
      </c>
      <c r="E290" s="101" t="str">
        <f>VLOOKUP(A290,'Date SPV'!$A$4:$B$34,2,FALSE)</f>
        <v>RTJD</v>
      </c>
      <c r="H290" s="105" t="s">
        <v>894</v>
      </c>
      <c r="K290" s="101" t="str">
        <f>VLOOKUP(C290,'Preturi si tarife'!$A$4:$B$39,2,FALSE)</f>
        <v>Energie activa 1</v>
      </c>
      <c r="L290" s="102">
        <f>IF(B290=1,'Date masura OD'!$I$5,IF(B290=19,'Date masura OD'!$AK$5,L289))</f>
        <v>45778</v>
      </c>
      <c r="M290" s="102">
        <f>IF(B290=1,'Date masura OD'!$J$5,IF(B290=19,'Date masura OD'!$AL$5,M289))</f>
        <v>45808</v>
      </c>
      <c r="N290" s="104">
        <f>VLOOKUP(E290,verificare!$AR$4:$CC$33,B290+2,FALSE)</f>
        <v>281445</v>
      </c>
      <c r="O290" s="103">
        <f>HLOOKUP(VLOOKUP(E290,'Date SPV'!$B$4:$F$34,5,FALSE),'Preturi si tarife'!$C$2:$J$39,B290+2,FALSE)*10000</f>
        <v>5950</v>
      </c>
      <c r="Q290" s="101" t="str">
        <f t="shared" si="13"/>
        <v>One-off</v>
      </c>
      <c r="R290" s="101" t="str">
        <f>VLOOKUP(K290,'Preturi si tarife'!$B$4:$K$39,10,FALSE)</f>
        <v>ICOENG0001</v>
      </c>
      <c r="T290" s="101" t="str">
        <f t="shared" si="14"/>
        <v>INV + 30</v>
      </c>
      <c r="V290" s="101" t="str">
        <f t="shared" si="15"/>
        <v>Active</v>
      </c>
      <c r="X290" s="101" t="str">
        <f t="shared" si="16"/>
        <v>One-off</v>
      </c>
      <c r="AC290" s="101" t="str">
        <f t="shared" si="31"/>
        <v>RON</v>
      </c>
      <c r="AD290" s="101">
        <f t="shared" si="32"/>
        <v>10000</v>
      </c>
    </row>
    <row r="291" spans="1:30">
      <c r="A291" s="101">
        <f t="shared" si="33"/>
        <v>9</v>
      </c>
      <c r="B291" s="101">
        <f t="shared" si="29"/>
        <v>2</v>
      </c>
      <c r="C291" s="101" t="str">
        <f t="shared" si="30"/>
        <v>T2</v>
      </c>
      <c r="D291" s="101" t="str">
        <f>IF(A291&lt;&gt;A290,VLOOKUP(A291,'Date SPV'!$A:$D,4,FALSE),D290)</f>
        <v>Targu Jiu Development SRL</v>
      </c>
      <c r="E291" s="101" t="str">
        <f>VLOOKUP(A291,'Date SPV'!$A$4:$B$34,2,FALSE)</f>
        <v>RTJD</v>
      </c>
      <c r="H291" s="105" t="s">
        <v>894</v>
      </c>
      <c r="K291" s="101" t="str">
        <f>VLOOKUP(C291,'Preturi si tarife'!$A$4:$B$39,2,FALSE)</f>
        <v>Energie reactiva  1X</v>
      </c>
      <c r="L291" s="102">
        <f>IF(B291=1,'Date masura OD'!$I$5,IF(B291=19,'Date masura OD'!$AK$5,L290))</f>
        <v>45778</v>
      </c>
      <c r="M291" s="102">
        <f>IF(B291=1,'Date masura OD'!$J$5,IF(B291=19,'Date masura OD'!$AL$5,M290))</f>
        <v>45808</v>
      </c>
      <c r="N291" s="104">
        <f>VLOOKUP(E291,verificare!$AR$4:$CC$33,B291+2,FALSE)</f>
        <v>0</v>
      </c>
      <c r="O291" s="103">
        <f>HLOOKUP(VLOOKUP(E291,'Date SPV'!$B$4:$F$34,5,FALSE),'Preturi si tarife'!$C$2:$J$39,B291+2,FALSE)*10000</f>
        <v>1465</v>
      </c>
      <c r="Q291" s="101" t="str">
        <f t="shared" si="13"/>
        <v>One-off</v>
      </c>
      <c r="R291" s="101" t="str">
        <f>VLOOKUP(K291,'Preturi si tarife'!$B$4:$K$39,10,FALSE)</f>
        <v>ICOENG0001</v>
      </c>
      <c r="T291" s="101" t="str">
        <f t="shared" si="14"/>
        <v>INV + 30</v>
      </c>
      <c r="V291" s="101" t="str">
        <f t="shared" si="15"/>
        <v>Active</v>
      </c>
      <c r="X291" s="101" t="str">
        <f t="shared" si="16"/>
        <v>One-off</v>
      </c>
      <c r="AC291" s="101" t="str">
        <f t="shared" si="31"/>
        <v>RON</v>
      </c>
      <c r="AD291" s="101">
        <f t="shared" si="32"/>
        <v>10000</v>
      </c>
    </row>
    <row r="292" spans="1:30">
      <c r="A292" s="101">
        <f t="shared" si="33"/>
        <v>9</v>
      </c>
      <c r="B292" s="101">
        <f t="shared" si="29"/>
        <v>3</v>
      </c>
      <c r="C292" s="101" t="str">
        <f t="shared" si="30"/>
        <v>T3</v>
      </c>
      <c r="D292" s="101" t="str">
        <f>IF(A292&lt;&gt;A291,VLOOKUP(A292,'Date SPV'!$A:$D,4,FALSE),D291)</f>
        <v>Targu Jiu Development SRL</v>
      </c>
      <c r="E292" s="101" t="str">
        <f>VLOOKUP(A292,'Date SPV'!$A$4:$B$34,2,FALSE)</f>
        <v>RTJD</v>
      </c>
      <c r="H292" s="105" t="s">
        <v>894</v>
      </c>
      <c r="K292" s="101" t="str">
        <f>VLOOKUP(C292,'Preturi si tarife'!$A$4:$B$39,2,FALSE)</f>
        <v>Energie reactiva  3X</v>
      </c>
      <c r="L292" s="102">
        <f>IF(B292=1,'Date masura OD'!$I$5,IF(B292=19,'Date masura OD'!$AK$5,L291))</f>
        <v>45778</v>
      </c>
      <c r="M292" s="102">
        <f>IF(B292=1,'Date masura OD'!$J$5,IF(B292=19,'Date masura OD'!$AL$5,M291))</f>
        <v>45808</v>
      </c>
      <c r="N292" s="104">
        <f>VLOOKUP(E292,verificare!$AR$4:$CC$33,B292+2,FALSE)</f>
        <v>0</v>
      </c>
      <c r="O292" s="103">
        <f>HLOOKUP(VLOOKUP(E292,'Date SPV'!$B$4:$F$34,5,FALSE),'Preturi si tarife'!$C$2:$J$39,B292+2,FALSE)*10000</f>
        <v>4395</v>
      </c>
      <c r="Q292" s="101" t="str">
        <f t="shared" si="13"/>
        <v>One-off</v>
      </c>
      <c r="R292" s="101" t="str">
        <f>VLOOKUP(K292,'Preturi si tarife'!$B$4:$K$39,10,FALSE)</f>
        <v>ICOENG0001</v>
      </c>
      <c r="T292" s="101" t="str">
        <f t="shared" si="14"/>
        <v>INV + 30</v>
      </c>
      <c r="V292" s="101" t="str">
        <f t="shared" si="15"/>
        <v>Active</v>
      </c>
      <c r="X292" s="101" t="str">
        <f t="shared" si="16"/>
        <v>One-off</v>
      </c>
      <c r="AC292" s="101" t="str">
        <f t="shared" si="31"/>
        <v>RON</v>
      </c>
      <c r="AD292" s="101">
        <f t="shared" si="32"/>
        <v>10000</v>
      </c>
    </row>
    <row r="293" spans="1:30">
      <c r="A293" s="101">
        <f t="shared" si="33"/>
        <v>9</v>
      </c>
      <c r="B293" s="101">
        <f t="shared" si="29"/>
        <v>4</v>
      </c>
      <c r="C293" s="101" t="str">
        <f t="shared" si="30"/>
        <v>T4</v>
      </c>
      <c r="D293" s="101" t="str">
        <f>IF(A293&lt;&gt;A292,VLOOKUP(A293,'Date SPV'!$A:$D,4,FALSE),D292)</f>
        <v>Targu Jiu Development SRL</v>
      </c>
      <c r="E293" s="101" t="str">
        <f>VLOOKUP(A293,'Date SPV'!$A$4:$B$34,2,FALSE)</f>
        <v>RTJD</v>
      </c>
      <c r="H293" s="105" t="s">
        <v>894</v>
      </c>
      <c r="K293" s="101" t="str">
        <f>VLOOKUP(C293,'Preturi si tarife'!$A$4:$B$39,2,FALSE)</f>
        <v>Tarife distributie en. El IT+MT</v>
      </c>
      <c r="L293" s="102">
        <f>IF(B293=1,'Date masura OD'!$I$5,IF(B293=19,'Date masura OD'!$AK$5,L292))</f>
        <v>45778</v>
      </c>
      <c r="M293" s="102">
        <f>IF(B293=1,'Date masura OD'!$J$5,IF(B293=19,'Date masura OD'!$AL$5,M292))</f>
        <v>45808</v>
      </c>
      <c r="N293" s="104">
        <f>VLOOKUP(E293,verificare!$AR$4:$CC$33,B293+2,FALSE)</f>
        <v>281445</v>
      </c>
      <c r="O293" s="103">
        <f>HLOOKUP(VLOOKUP(E293,'Date SPV'!$B$4:$F$34,5,FALSE),'Preturi si tarife'!$C$2:$J$39,B293+2,FALSE)*10000</f>
        <v>1361.3999999999999</v>
      </c>
      <c r="Q293" s="101" t="str">
        <f t="shared" si="13"/>
        <v>One-off</v>
      </c>
      <c r="R293" s="101" t="str">
        <f>VLOOKUP(K293,'Preturi si tarife'!$B$4:$K$39,10,FALSE)</f>
        <v>ICOENG0001</v>
      </c>
      <c r="T293" s="101" t="str">
        <f t="shared" si="14"/>
        <v>INV + 30</v>
      </c>
      <c r="V293" s="101" t="str">
        <f t="shared" si="15"/>
        <v>Active</v>
      </c>
      <c r="X293" s="101" t="str">
        <f t="shared" si="16"/>
        <v>One-off</v>
      </c>
      <c r="AC293" s="101" t="str">
        <f t="shared" si="31"/>
        <v>RON</v>
      </c>
      <c r="AD293" s="101">
        <f t="shared" si="32"/>
        <v>10000</v>
      </c>
    </row>
    <row r="294" spans="1:30">
      <c r="A294" s="101">
        <f t="shared" si="33"/>
        <v>9</v>
      </c>
      <c r="B294" s="101">
        <f t="shared" si="29"/>
        <v>5</v>
      </c>
      <c r="C294" s="101" t="str">
        <f t="shared" si="30"/>
        <v>T5</v>
      </c>
      <c r="D294" s="101" t="str">
        <f>IF(A294&lt;&gt;A293,VLOOKUP(A294,'Date SPV'!$A:$D,4,FALSE),D293)</f>
        <v>Targu Jiu Development SRL</v>
      </c>
      <c r="E294" s="101" t="str">
        <f>VLOOKUP(A294,'Date SPV'!$A$4:$B$34,2,FALSE)</f>
        <v>RTJD</v>
      </c>
      <c r="H294" s="105" t="s">
        <v>894</v>
      </c>
      <c r="K294" s="101" t="str">
        <f>VLOOKUP(C294,'Preturi si tarife'!$A$4:$B$39,2,FALSE)</f>
        <v>Tarife distributie en. El JT</v>
      </c>
      <c r="L294" s="102">
        <f>IF(B294=1,'Date masura OD'!$I$5,IF(B294=19,'Date masura OD'!$AK$5,L293))</f>
        <v>45778</v>
      </c>
      <c r="M294" s="102">
        <f>IF(B294=1,'Date masura OD'!$J$5,IF(B294=19,'Date masura OD'!$AL$5,M293))</f>
        <v>45808</v>
      </c>
      <c r="N294" s="104">
        <f>VLOOKUP(E294,verificare!$AR$4:$CC$33,B294+2,FALSE)</f>
        <v>100</v>
      </c>
      <c r="O294" s="103">
        <f>HLOOKUP(VLOOKUP(E294,'Date SPV'!$B$4:$F$34,5,FALSE),'Preturi si tarife'!$C$2:$J$39,B294+2,FALSE)*10000</f>
        <v>2273.8999999999996</v>
      </c>
      <c r="Q294" s="101" t="str">
        <f t="shared" si="13"/>
        <v>One-off</v>
      </c>
      <c r="R294" s="101" t="str">
        <f>VLOOKUP(K294,'Preturi si tarife'!$B$4:$K$39,10,FALSE)</f>
        <v>ICOENG0001</v>
      </c>
      <c r="T294" s="101" t="str">
        <f t="shared" si="14"/>
        <v>INV + 30</v>
      </c>
      <c r="V294" s="101" t="str">
        <f t="shared" si="15"/>
        <v>Active</v>
      </c>
      <c r="X294" s="101" t="str">
        <f t="shared" si="16"/>
        <v>One-off</v>
      </c>
      <c r="AC294" s="101" t="str">
        <f t="shared" si="31"/>
        <v>RON</v>
      </c>
      <c r="AD294" s="101">
        <f t="shared" si="32"/>
        <v>10000</v>
      </c>
    </row>
    <row r="295" spans="1:30">
      <c r="A295" s="101">
        <f t="shared" si="33"/>
        <v>9</v>
      </c>
      <c r="B295" s="101">
        <f t="shared" si="29"/>
        <v>6</v>
      </c>
      <c r="C295" s="101" t="str">
        <f t="shared" si="30"/>
        <v>T6</v>
      </c>
      <c r="D295" s="101" t="str">
        <f>IF(A295&lt;&gt;A294,VLOOKUP(A295,'Date SPV'!$A:$D,4,FALSE),D294)</f>
        <v>Targu Jiu Development SRL</v>
      </c>
      <c r="E295" s="101" t="str">
        <f>VLOOKUP(A295,'Date SPV'!$A$4:$B$34,2,FALSE)</f>
        <v>RTJD</v>
      </c>
      <c r="H295" s="105" t="s">
        <v>894</v>
      </c>
      <c r="K295" s="101" t="str">
        <f>VLOOKUP(C295,'Preturi si tarife'!$A$4:$B$39,2,FALSE)</f>
        <v xml:space="preserve">Servicii Sistem </v>
      </c>
      <c r="L295" s="102">
        <f>IF(B295=1,'Date masura OD'!$I$5,IF(B295=19,'Date masura OD'!$AK$5,L294))</f>
        <v>45778</v>
      </c>
      <c r="M295" s="102">
        <f>IF(B295=1,'Date masura OD'!$J$5,IF(B295=19,'Date masura OD'!$AL$5,M294))</f>
        <v>45808</v>
      </c>
      <c r="N295" s="104">
        <f>VLOOKUP(E295,verificare!$AR$4:$CC$33,B295+2,FALSE)</f>
        <v>281445</v>
      </c>
      <c r="O295" s="103">
        <f>HLOOKUP(VLOOKUP(E295,'Date SPV'!$B$4:$F$34,5,FALSE),'Preturi si tarife'!$C$2:$J$39,B295+2,FALSE)*10000</f>
        <v>115.1</v>
      </c>
      <c r="Q295" s="101" t="str">
        <f t="shared" si="13"/>
        <v>One-off</v>
      </c>
      <c r="R295" s="101" t="str">
        <f>VLOOKUP(K295,'Preturi si tarife'!$B$4:$K$39,10,FALSE)</f>
        <v>ICOENG0001</v>
      </c>
      <c r="T295" s="101" t="str">
        <f t="shared" si="14"/>
        <v>INV + 30</v>
      </c>
      <c r="V295" s="101" t="str">
        <f t="shared" si="15"/>
        <v>Active</v>
      </c>
      <c r="X295" s="101" t="str">
        <f t="shared" si="16"/>
        <v>One-off</v>
      </c>
      <c r="AC295" s="101" t="str">
        <f t="shared" si="31"/>
        <v>RON</v>
      </c>
      <c r="AD295" s="101">
        <f t="shared" si="32"/>
        <v>10000</v>
      </c>
    </row>
    <row r="296" spans="1:30">
      <c r="A296" s="101">
        <f t="shared" si="33"/>
        <v>9</v>
      </c>
      <c r="B296" s="101">
        <f t="shared" si="29"/>
        <v>7</v>
      </c>
      <c r="C296" s="101" t="str">
        <f t="shared" si="30"/>
        <v>T7</v>
      </c>
      <c r="D296" s="101" t="str">
        <f>IF(A296&lt;&gt;A295,VLOOKUP(A296,'Date SPV'!$A:$D,4,FALSE),D295)</f>
        <v>Targu Jiu Development SRL</v>
      </c>
      <c r="E296" s="101" t="str">
        <f>VLOOKUP(A296,'Date SPV'!$A$4:$B$34,2,FALSE)</f>
        <v>RTJD</v>
      </c>
      <c r="H296" s="105" t="s">
        <v>894</v>
      </c>
      <c r="K296" s="101" t="str">
        <f>VLOOKUP(C296,'Preturi si tarife'!$A$4:$B$39,2,FALSE)</f>
        <v>Tarif de introducere en. el in retea (TL)</v>
      </c>
      <c r="L296" s="102">
        <f>IF(B296=1,'Date masura OD'!$I$5,IF(B296=19,'Date masura OD'!$AK$5,L295))</f>
        <v>45778</v>
      </c>
      <c r="M296" s="102">
        <f>IF(B296=1,'Date masura OD'!$J$5,IF(B296=19,'Date masura OD'!$AL$5,M295))</f>
        <v>45808</v>
      </c>
      <c r="N296" s="104">
        <f>VLOOKUP(E296,verificare!$AR$4:$CC$33,B296+2,FALSE)</f>
        <v>281445</v>
      </c>
      <c r="O296" s="103">
        <f>HLOOKUP(VLOOKUP(E296,'Date SPV'!$B$4:$F$34,5,FALSE),'Preturi si tarife'!$C$2:$J$39,B296+2,FALSE)*10000</f>
        <v>330.3</v>
      </c>
      <c r="Q296" s="101" t="str">
        <f t="shared" si="13"/>
        <v>One-off</v>
      </c>
      <c r="R296" s="101" t="str">
        <f>VLOOKUP(K296,'Preturi si tarife'!$B$4:$K$39,10,FALSE)</f>
        <v>ICOENG0001</v>
      </c>
      <c r="T296" s="101" t="str">
        <f t="shared" si="14"/>
        <v>INV + 30</v>
      </c>
      <c r="V296" s="101" t="str">
        <f t="shared" si="15"/>
        <v>Active</v>
      </c>
      <c r="X296" s="101" t="str">
        <f t="shared" si="16"/>
        <v>One-off</v>
      </c>
      <c r="AC296" s="101" t="str">
        <f t="shared" si="31"/>
        <v>RON</v>
      </c>
      <c r="AD296" s="101">
        <f t="shared" si="32"/>
        <v>10000</v>
      </c>
    </row>
    <row r="297" spans="1:30">
      <c r="A297" s="101">
        <f t="shared" si="33"/>
        <v>9</v>
      </c>
      <c r="B297" s="101">
        <f t="shared" si="29"/>
        <v>8</v>
      </c>
      <c r="C297" s="101" t="str">
        <f t="shared" si="30"/>
        <v>T8</v>
      </c>
      <c r="D297" s="101" t="str">
        <f>IF(A297&lt;&gt;A296,VLOOKUP(A297,'Date SPV'!$A:$D,4,FALSE),D296)</f>
        <v>Targu Jiu Development SRL</v>
      </c>
      <c r="E297" s="101" t="str">
        <f>VLOOKUP(A297,'Date SPV'!$A$4:$B$34,2,FALSE)</f>
        <v>RTJD</v>
      </c>
      <c r="H297" s="105" t="s">
        <v>894</v>
      </c>
      <c r="K297" s="101" t="str">
        <f>VLOOKUP(C297,'Preturi si tarife'!$A$4:$B$39,2,FALSE)</f>
        <v>Tarif de introducere en.el in retea (TG)</v>
      </c>
      <c r="L297" s="102">
        <f>IF(B297=1,'Date masura OD'!$I$5,IF(B297=19,'Date masura OD'!$AK$5,L296))</f>
        <v>45778</v>
      </c>
      <c r="M297" s="102">
        <f>IF(B297=1,'Date masura OD'!$J$5,IF(B297=19,'Date masura OD'!$AL$5,M296))</f>
        <v>45808</v>
      </c>
      <c r="N297" s="104">
        <f>VLOOKUP(E297,verificare!$AR$4:$CC$33,B297+2,FALSE)</f>
        <v>281445</v>
      </c>
      <c r="O297" s="103">
        <f>HLOOKUP(VLOOKUP(E297,'Date SPV'!$B$4:$F$34,5,FALSE),'Preturi si tarife'!$C$2:$J$39,B297+2,FALSE)*10000</f>
        <v>32.9</v>
      </c>
      <c r="Q297" s="101" t="str">
        <f t="shared" si="13"/>
        <v>One-off</v>
      </c>
      <c r="R297" s="101" t="str">
        <f>VLOOKUP(K297,'Preturi si tarife'!$B$4:$K$39,10,FALSE)</f>
        <v>ICOENG0001</v>
      </c>
      <c r="T297" s="101" t="str">
        <f t="shared" si="14"/>
        <v>INV + 30</v>
      </c>
      <c r="V297" s="101" t="str">
        <f t="shared" si="15"/>
        <v>Active</v>
      </c>
      <c r="X297" s="101" t="str">
        <f t="shared" si="16"/>
        <v>One-off</v>
      </c>
      <c r="AC297" s="101" t="str">
        <f t="shared" si="31"/>
        <v>RON</v>
      </c>
      <c r="AD297" s="101">
        <f t="shared" si="32"/>
        <v>10000</v>
      </c>
    </row>
    <row r="298" spans="1:30">
      <c r="A298" s="101">
        <f t="shared" si="33"/>
        <v>9</v>
      </c>
      <c r="B298" s="101">
        <f t="shared" si="29"/>
        <v>9</v>
      </c>
      <c r="C298" s="101" t="str">
        <f t="shared" si="30"/>
        <v>T9</v>
      </c>
      <c r="D298" s="101" t="str">
        <f>IF(A298&lt;&gt;A297,VLOOKUP(A298,'Date SPV'!$A:$D,4,FALSE),D297)</f>
        <v>Targu Jiu Development SRL</v>
      </c>
      <c r="E298" s="101" t="str">
        <f>VLOOKUP(A298,'Date SPV'!$A$4:$B$34,2,FALSE)</f>
        <v>RTJD</v>
      </c>
      <c r="H298" s="105" t="s">
        <v>894</v>
      </c>
      <c r="K298" s="101" t="str">
        <f>VLOOKUP(C298,'Preturi si tarife'!$A$4:$B$39,2,FALSE)</f>
        <v>Contributie pentru cogenerare</v>
      </c>
      <c r="L298" s="102">
        <f>IF(B298=1,'Date masura OD'!$I$5,IF(B298=19,'Date masura OD'!$AK$5,L297))</f>
        <v>45778</v>
      </c>
      <c r="M298" s="102">
        <f>IF(B298=1,'Date masura OD'!$J$5,IF(B298=19,'Date masura OD'!$AL$5,M297))</f>
        <v>45808</v>
      </c>
      <c r="N298" s="104">
        <f>VLOOKUP(E298,verificare!$AR$4:$CC$33,B298+2,FALSE)</f>
        <v>281445</v>
      </c>
      <c r="O298" s="103">
        <f>HLOOKUP(VLOOKUP(E298,'Date SPV'!$B$4:$F$34,5,FALSE),'Preturi si tarife'!$C$2:$J$39,B298+2,FALSE)*10000</f>
        <v>35</v>
      </c>
      <c r="Q298" s="101" t="str">
        <f t="shared" si="13"/>
        <v>One-off</v>
      </c>
      <c r="R298" s="101" t="str">
        <f>VLOOKUP(K298,'Preturi si tarife'!$B$4:$K$39,10,FALSE)</f>
        <v>ICOENG0001</v>
      </c>
      <c r="T298" s="101" t="str">
        <f t="shared" si="14"/>
        <v>INV + 30</v>
      </c>
      <c r="V298" s="101" t="str">
        <f t="shared" si="15"/>
        <v>Active</v>
      </c>
      <c r="X298" s="101" t="str">
        <f t="shared" si="16"/>
        <v>One-off</v>
      </c>
      <c r="AC298" s="101" t="str">
        <f t="shared" si="31"/>
        <v>RON</v>
      </c>
      <c r="AD298" s="101">
        <f t="shared" si="32"/>
        <v>10000</v>
      </c>
    </row>
    <row r="299" spans="1:30">
      <c r="A299" s="101">
        <f t="shared" si="33"/>
        <v>9</v>
      </c>
      <c r="B299" s="101">
        <f t="shared" si="29"/>
        <v>10</v>
      </c>
      <c r="C299" s="101" t="str">
        <f t="shared" si="30"/>
        <v>T10</v>
      </c>
      <c r="D299" s="101" t="str">
        <f>IF(A299&lt;&gt;A298,VLOOKUP(A299,'Date SPV'!$A:$D,4,FALSE),D298)</f>
        <v>Targu Jiu Development SRL</v>
      </c>
      <c r="E299" s="101" t="str">
        <f>VLOOKUP(A299,'Date SPV'!$A$4:$B$34,2,FALSE)</f>
        <v>RTJD</v>
      </c>
      <c r="H299" s="105" t="s">
        <v>894</v>
      </c>
      <c r="K299" s="101" t="str">
        <f>VLOOKUP(C299,'Preturi si tarife'!$A$4:$B$39,2,FALSE)</f>
        <v xml:space="preserve">Certificate verzi </v>
      </c>
      <c r="L299" s="102">
        <f>IF(B299=1,'Date masura OD'!$I$5,IF(B299=19,'Date masura OD'!$AK$5,L298))</f>
        <v>45778</v>
      </c>
      <c r="M299" s="102">
        <f>IF(B299=1,'Date masura OD'!$J$5,IF(B299=19,'Date masura OD'!$AL$5,M298))</f>
        <v>45808</v>
      </c>
      <c r="N299" s="104">
        <f>VLOOKUP(E299,verificare!$AR$4:$CC$33,B299+2,FALSE)</f>
        <v>281445</v>
      </c>
      <c r="O299" s="103">
        <f>HLOOKUP(VLOOKUP(E299,'Date SPV'!$B$4:$F$34,5,FALSE),'Preturi si tarife'!$C$2:$J$39,B299+2,FALSE)*10000</f>
        <v>725.41599999999994</v>
      </c>
      <c r="Q299" s="101" t="str">
        <f t="shared" si="13"/>
        <v>One-off</v>
      </c>
      <c r="R299" s="101" t="str">
        <f>VLOOKUP(K299,'Preturi si tarife'!$B$4:$K$39,10,FALSE)</f>
        <v>ICOENG0001</v>
      </c>
      <c r="T299" s="101" t="str">
        <f t="shared" si="14"/>
        <v>INV + 30</v>
      </c>
      <c r="V299" s="101" t="str">
        <f t="shared" si="15"/>
        <v>Active</v>
      </c>
      <c r="X299" s="101" t="str">
        <f t="shared" si="16"/>
        <v>One-off</v>
      </c>
      <c r="AC299" s="101" t="str">
        <f t="shared" si="31"/>
        <v>RON</v>
      </c>
      <c r="AD299" s="101">
        <f t="shared" si="32"/>
        <v>10000</v>
      </c>
    </row>
    <row r="300" spans="1:30">
      <c r="A300" s="101">
        <f t="shared" si="33"/>
        <v>9</v>
      </c>
      <c r="B300" s="101">
        <f t="shared" si="29"/>
        <v>11</v>
      </c>
      <c r="C300" s="101" t="str">
        <f t="shared" si="30"/>
        <v>T11</v>
      </c>
      <c r="D300" s="101" t="str">
        <f>IF(A300&lt;&gt;A299,VLOOKUP(A300,'Date SPV'!$A:$D,4,FALSE),D299)</f>
        <v>Targu Jiu Development SRL</v>
      </c>
      <c r="E300" s="101" t="str">
        <f>VLOOKUP(A300,'Date SPV'!$A$4:$B$34,2,FALSE)</f>
        <v>RTJD</v>
      </c>
      <c r="H300" s="105" t="s">
        <v>894</v>
      </c>
      <c r="K300" s="101" t="str">
        <f>VLOOKUP(C300,'Preturi si tarife'!$A$4:$B$39,2,FALSE)</f>
        <v>Contributie CFD</v>
      </c>
      <c r="L300" s="102">
        <f>IF(B300=1,'Date masura OD'!$I$5,IF(B300=19,'Date masura OD'!$AK$5,L299))</f>
        <v>45778</v>
      </c>
      <c r="M300" s="102">
        <f>IF(B300=1,'Date masura OD'!$J$5,IF(B300=19,'Date masura OD'!$AL$5,M299))</f>
        <v>45808</v>
      </c>
      <c r="N300" s="104">
        <f>VLOOKUP(E300,verificare!$AR$4:$CC$33,B300+2,FALSE)</f>
        <v>281445</v>
      </c>
      <c r="O300" s="103">
        <f>HLOOKUP(VLOOKUP(E300,'Date SPV'!$B$4:$F$34,5,FALSE),'Preturi si tarife'!$C$2:$J$39,B300+2,FALSE)*10000</f>
        <v>2.06</v>
      </c>
      <c r="Q300" s="101" t="str">
        <f t="shared" si="13"/>
        <v>One-off</v>
      </c>
      <c r="R300" s="101" t="str">
        <f>VLOOKUP(K300,'Preturi si tarife'!$B$4:$K$39,10,FALSE)</f>
        <v>ICOENG0001</v>
      </c>
      <c r="T300" s="101" t="str">
        <f t="shared" si="14"/>
        <v>INV + 30</v>
      </c>
      <c r="V300" s="101" t="str">
        <f t="shared" si="15"/>
        <v>Active</v>
      </c>
      <c r="X300" s="101" t="str">
        <f t="shared" si="16"/>
        <v>One-off</v>
      </c>
      <c r="AC300" s="101" t="str">
        <f t="shared" si="31"/>
        <v>RON</v>
      </c>
      <c r="AD300" s="101">
        <f t="shared" si="32"/>
        <v>10000</v>
      </c>
    </row>
    <row r="301" spans="1:30">
      <c r="A301" s="101">
        <f t="shared" si="33"/>
        <v>9</v>
      </c>
      <c r="B301" s="101">
        <f t="shared" si="29"/>
        <v>12</v>
      </c>
      <c r="C301" s="101" t="str">
        <f t="shared" si="30"/>
        <v>T12</v>
      </c>
      <c r="D301" s="101" t="str">
        <f>IF(A301&lt;&gt;A300,VLOOKUP(A301,'Date SPV'!$A:$D,4,FALSE),D300)</f>
        <v>Targu Jiu Development SRL</v>
      </c>
      <c r="E301" s="101" t="str">
        <f>VLOOKUP(A301,'Date SPV'!$A$4:$B$34,2,FALSE)</f>
        <v>RTJD</v>
      </c>
      <c r="H301" s="105" t="s">
        <v>894</v>
      </c>
      <c r="K301" s="101" t="str">
        <f>VLOOKUP(C301,'Preturi si tarife'!$A$4:$B$39,2,FALSE)</f>
        <v>Acciza</v>
      </c>
      <c r="L301" s="102">
        <f>IF(B301=1,'Date masura OD'!$I$5,IF(B301=19,'Date masura OD'!$AK$5,L300))</f>
        <v>45778</v>
      </c>
      <c r="M301" s="102">
        <f>IF(B301=1,'Date masura OD'!$J$5,IF(B301=19,'Date masura OD'!$AL$5,M300))</f>
        <v>45808</v>
      </c>
      <c r="N301" s="104">
        <f>VLOOKUP(E301,verificare!$AR$4:$CC$33,B301+2,FALSE)</f>
        <v>281445</v>
      </c>
      <c r="O301" s="103">
        <f>HLOOKUP(VLOOKUP(E301,'Date SPV'!$B$4:$F$34,5,FALSE),'Preturi si tarife'!$C$2:$J$39,B301+2,FALSE)*10000</f>
        <v>0</v>
      </c>
      <c r="Q301" s="101" t="str">
        <f t="shared" si="13"/>
        <v>One-off</v>
      </c>
      <c r="R301" s="101" t="str">
        <f>VLOOKUP(K301,'Preturi si tarife'!$B$4:$K$39,10,FALSE)</f>
        <v>ICOENG0001</v>
      </c>
      <c r="T301" s="101" t="str">
        <f t="shared" si="14"/>
        <v>INV + 30</v>
      </c>
      <c r="V301" s="101" t="str">
        <f t="shared" si="15"/>
        <v>Active</v>
      </c>
      <c r="X301" s="101" t="str">
        <f t="shared" si="16"/>
        <v>One-off</v>
      </c>
      <c r="AC301" s="101" t="str">
        <f t="shared" si="31"/>
        <v>RON</v>
      </c>
      <c r="AD301" s="101">
        <f t="shared" si="32"/>
        <v>10000</v>
      </c>
    </row>
    <row r="302" spans="1:30">
      <c r="A302" s="101">
        <f t="shared" si="33"/>
        <v>9</v>
      </c>
      <c r="B302" s="101">
        <f t="shared" si="29"/>
        <v>13</v>
      </c>
      <c r="C302" s="101" t="str">
        <f t="shared" si="30"/>
        <v>T13</v>
      </c>
      <c r="D302" s="101" t="str">
        <f>IF(A302&lt;&gt;A301,VLOOKUP(A302,'Date SPV'!$A:$D,4,FALSE),D301)</f>
        <v>Targu Jiu Development SRL</v>
      </c>
      <c r="E302" s="101" t="str">
        <f>VLOOKUP(A302,'Date SPV'!$A$4:$B$34,2,FALSE)</f>
        <v>RTJD</v>
      </c>
      <c r="H302" s="105" t="s">
        <v>894</v>
      </c>
      <c r="K302" s="101" t="str">
        <f>VLOOKUP(C302,'Preturi si tarife'!$A$4:$B$39,2,FALSE)</f>
        <v>Tarif distributie SDI MT</v>
      </c>
      <c r="L302" s="102">
        <f>IF(B302=1,'Date masura OD'!$I$5,IF(B302=19,'Date masura OD'!$AK$5,L301))</f>
        <v>45778</v>
      </c>
      <c r="M302" s="102">
        <f>IF(B302=1,'Date masura OD'!$J$5,IF(B302=19,'Date masura OD'!$AL$5,M301))</f>
        <v>45808</v>
      </c>
      <c r="N302" s="104">
        <f>VLOOKUP(E302,verificare!$AR$4:$CC$33,B302+2,FALSE)</f>
        <v>281345</v>
      </c>
      <c r="O302" s="103">
        <f>HLOOKUP(VLOOKUP(E302,'Date SPV'!$B$4:$F$34,5,FALSE),'Preturi si tarife'!$C$2:$J$39,B302+2,FALSE)*10000</f>
        <v>170</v>
      </c>
      <c r="Q302" s="101" t="str">
        <f t="shared" si="13"/>
        <v>One-off</v>
      </c>
      <c r="R302" s="101" t="str">
        <f>VLOOKUP(K302,'Preturi si tarife'!$B$4:$K$39,10,FALSE)</f>
        <v>ICOENG0010</v>
      </c>
      <c r="T302" s="101" t="str">
        <f t="shared" si="14"/>
        <v>INV + 30</v>
      </c>
      <c r="V302" s="101" t="str">
        <f t="shared" si="15"/>
        <v>Active</v>
      </c>
      <c r="X302" s="101" t="str">
        <f t="shared" si="16"/>
        <v>One-off</v>
      </c>
      <c r="AC302" s="101" t="str">
        <f t="shared" si="31"/>
        <v>RON</v>
      </c>
      <c r="AD302" s="101">
        <f t="shared" si="32"/>
        <v>10000</v>
      </c>
    </row>
    <row r="303" spans="1:30">
      <c r="A303" s="101">
        <f t="shared" si="33"/>
        <v>9</v>
      </c>
      <c r="B303" s="101">
        <f t="shared" si="29"/>
        <v>14</v>
      </c>
      <c r="C303" s="101" t="str">
        <f t="shared" si="30"/>
        <v>T14</v>
      </c>
      <c r="D303" s="101" t="str">
        <f>IF(A303&lt;&gt;A302,VLOOKUP(A303,'Date SPV'!$A:$D,4,FALSE),D302)</f>
        <v>Targu Jiu Development SRL</v>
      </c>
      <c r="E303" s="101" t="str">
        <f>VLOOKUP(A303,'Date SPV'!$A$4:$B$34,2,FALSE)</f>
        <v>RTJD</v>
      </c>
      <c r="H303" s="105" t="s">
        <v>894</v>
      </c>
      <c r="K303" s="101" t="str">
        <f>VLOOKUP(C303,'Preturi si tarife'!$A$4:$B$39,2,FALSE)</f>
        <v>Tarif distributie SDI JT</v>
      </c>
      <c r="L303" s="102">
        <f>IF(B303=1,'Date masura OD'!$I$5,IF(B303=19,'Date masura OD'!$AK$5,L302))</f>
        <v>45778</v>
      </c>
      <c r="M303" s="102">
        <f>IF(B303=1,'Date masura OD'!$J$5,IF(B303=19,'Date masura OD'!$AL$5,M302))</f>
        <v>45808</v>
      </c>
      <c r="N303" s="104">
        <f>VLOOKUP(E303,verificare!$AR$4:$CC$33,B303+2,FALSE)</f>
        <v>281345</v>
      </c>
      <c r="O303" s="103">
        <f>HLOOKUP(VLOOKUP(E303,'Date SPV'!$B$4:$F$34,5,FALSE),'Preturi si tarife'!$C$2:$J$39,B303+2,FALSE)*10000</f>
        <v>1029</v>
      </c>
      <c r="Q303" s="101" t="str">
        <f t="shared" si="13"/>
        <v>One-off</v>
      </c>
      <c r="R303" s="101" t="str">
        <f>VLOOKUP(K303,'Preturi si tarife'!$B$4:$K$39,10,FALSE)</f>
        <v>ICOENG0010</v>
      </c>
      <c r="T303" s="101" t="str">
        <f t="shared" si="14"/>
        <v>INV + 30</v>
      </c>
      <c r="V303" s="101" t="str">
        <f t="shared" si="15"/>
        <v>Active</v>
      </c>
      <c r="X303" s="101" t="str">
        <f t="shared" si="16"/>
        <v>One-off</v>
      </c>
      <c r="AC303" s="101" t="str">
        <f t="shared" si="31"/>
        <v>RON</v>
      </c>
      <c r="AD303" s="101">
        <f t="shared" si="32"/>
        <v>10000</v>
      </c>
    </row>
    <row r="304" spans="1:30">
      <c r="A304" s="101">
        <f t="shared" si="33"/>
        <v>9</v>
      </c>
      <c r="B304" s="101">
        <f t="shared" si="29"/>
        <v>15</v>
      </c>
      <c r="C304" s="101" t="str">
        <f t="shared" si="30"/>
        <v>T15</v>
      </c>
      <c r="D304" s="101" t="str">
        <f>IF(A304&lt;&gt;A303,VLOOKUP(A304,'Date SPV'!$A:$D,4,FALSE),D303)</f>
        <v>Targu Jiu Development SRL</v>
      </c>
      <c r="E304" s="101" t="str">
        <f>VLOOKUP(A304,'Date SPV'!$A$4:$B$34,2,FALSE)</f>
        <v>RTJD</v>
      </c>
      <c r="H304" s="105" t="s">
        <v>894</v>
      </c>
      <c r="K304" s="101" t="str">
        <f>VLOOKUP(C304,'Preturi si tarife'!$A$4:$B$39,2,FALSE)</f>
        <v>Energie activa 2</v>
      </c>
      <c r="L304" s="102">
        <f>IF(B304=1,'Date masura OD'!$I$5,IF(B304=19,'Date masura OD'!$AK$5,L303))</f>
        <v>45778</v>
      </c>
      <c r="M304" s="102">
        <f>IF(B304=1,'Date masura OD'!$J$5,IF(B304=19,'Date masura OD'!$AL$5,M303))</f>
        <v>45808</v>
      </c>
      <c r="N304" s="104">
        <f>VLOOKUP(E304,verificare!$AR$4:$CC$33,B304+2,FALSE)</f>
        <v>111950</v>
      </c>
      <c r="O304" s="103">
        <f>HLOOKUP(VLOOKUP(E304,'Date SPV'!$B$4:$F$34,5,FALSE),'Preturi si tarife'!$C$2:$J$39,B304+2,FALSE)*10000</f>
        <v>9751.1759999999995</v>
      </c>
      <c r="Q304" s="101" t="str">
        <f t="shared" si="13"/>
        <v>One-off</v>
      </c>
      <c r="R304" s="101" t="str">
        <f>VLOOKUP(K304,'Preturi si tarife'!$B$4:$K$39,10,FALSE)</f>
        <v>ICOENG0012</v>
      </c>
      <c r="T304" s="101" t="str">
        <f t="shared" si="14"/>
        <v>INV + 30</v>
      </c>
      <c r="V304" s="101" t="str">
        <f t="shared" si="15"/>
        <v>Active</v>
      </c>
      <c r="X304" s="101" t="str">
        <f t="shared" si="16"/>
        <v>One-off</v>
      </c>
      <c r="AC304" s="101" t="str">
        <f t="shared" si="31"/>
        <v>RON</v>
      </c>
      <c r="AD304" s="101">
        <f t="shared" si="32"/>
        <v>10000</v>
      </c>
    </row>
    <row r="305" spans="1:30">
      <c r="A305" s="101">
        <f t="shared" si="33"/>
        <v>9</v>
      </c>
      <c r="B305" s="101">
        <f t="shared" si="29"/>
        <v>16</v>
      </c>
      <c r="C305" s="101" t="str">
        <f t="shared" si="30"/>
        <v>T16</v>
      </c>
      <c r="D305" s="101" t="str">
        <f>IF(A305&lt;&gt;A304,VLOOKUP(A305,'Date SPV'!$A:$D,4,FALSE),D304)</f>
        <v>Targu Jiu Development SRL</v>
      </c>
      <c r="E305" s="101" t="str">
        <f>VLOOKUP(A305,'Date SPV'!$A$4:$B$34,2,FALSE)</f>
        <v>RTJD</v>
      </c>
      <c r="H305" s="105" t="s">
        <v>894</v>
      </c>
      <c r="K305" s="101" t="str">
        <f>VLOOKUP(C305,'Preturi si tarife'!$A$4:$B$39,2,FALSE)</f>
        <v>Energie activa 3</v>
      </c>
      <c r="L305" s="102">
        <f>IF(B305=1,'Date masura OD'!$I$5,IF(B305=19,'Date masura OD'!$AK$5,L304))</f>
        <v>45778</v>
      </c>
      <c r="M305" s="102">
        <f>IF(B305=1,'Date masura OD'!$J$5,IF(B305=19,'Date masura OD'!$AL$5,M304))</f>
        <v>45808</v>
      </c>
      <c r="N305" s="104">
        <f>VLOOKUP(E305,verificare!$AR$4:$CC$33,B305+2,FALSE)</f>
        <v>8083</v>
      </c>
      <c r="O305" s="103">
        <f>HLOOKUP(VLOOKUP(E305,'Date SPV'!$B$4:$F$34,5,FALSE),'Preturi si tarife'!$C$2:$J$39,B305+2,FALSE)*10000</f>
        <v>8552.1759999999995</v>
      </c>
      <c r="Q305" s="101" t="str">
        <f t="shared" si="13"/>
        <v>One-off</v>
      </c>
      <c r="R305" s="101" t="str">
        <f>VLOOKUP(K305,'Preturi si tarife'!$B$4:$K$39,10,FALSE)</f>
        <v>ICOENG0012</v>
      </c>
      <c r="T305" s="101" t="str">
        <f t="shared" si="14"/>
        <v>INV + 30</v>
      </c>
      <c r="V305" s="101" t="str">
        <f t="shared" si="15"/>
        <v>Active</v>
      </c>
      <c r="X305" s="101" t="str">
        <f t="shared" si="16"/>
        <v>One-off</v>
      </c>
      <c r="AC305" s="101" t="str">
        <f t="shared" si="31"/>
        <v>RON</v>
      </c>
      <c r="AD305" s="101">
        <f t="shared" si="32"/>
        <v>10000</v>
      </c>
    </row>
    <row r="306" spans="1:30">
      <c r="A306" s="101">
        <f t="shared" si="33"/>
        <v>9</v>
      </c>
      <c r="B306" s="101">
        <f t="shared" si="29"/>
        <v>17</v>
      </c>
      <c r="C306" s="101" t="str">
        <f t="shared" si="30"/>
        <v>T17</v>
      </c>
      <c r="D306" s="101" t="str">
        <f>IF(A306&lt;&gt;A305,VLOOKUP(A306,'Date SPV'!$A:$D,4,FALSE),D305)</f>
        <v>Targu Jiu Development SRL</v>
      </c>
      <c r="E306" s="101" t="str">
        <f>VLOOKUP(A306,'Date SPV'!$A$4:$B$34,2,FALSE)</f>
        <v>RTJD</v>
      </c>
      <c r="H306" s="105" t="s">
        <v>894</v>
      </c>
      <c r="K306" s="101" t="str">
        <f>VLOOKUP(C306,'Preturi si tarife'!$A$4:$B$39,2,FALSE)</f>
        <v>Tarif distributie SDI MT_</v>
      </c>
      <c r="L306" s="102">
        <f>IF(B306=1,'Date masura OD'!$I$5,IF(B306=19,'Date masura OD'!$AK$5,L305))</f>
        <v>45778</v>
      </c>
      <c r="M306" s="102">
        <f>IF(B306=1,'Date masura OD'!$J$5,IF(B306=19,'Date masura OD'!$AL$5,M305))</f>
        <v>45808</v>
      </c>
      <c r="N306" s="104">
        <f>VLOOKUP(E306,verificare!$AR$4:$CC$33,B306+2,FALSE)</f>
        <v>8083</v>
      </c>
      <c r="O306" s="103">
        <f>HLOOKUP(VLOOKUP(E306,'Date SPV'!$B$4:$F$34,5,FALSE),'Preturi si tarife'!$C$2:$J$39,B306+2,FALSE)*10000</f>
        <v>170</v>
      </c>
      <c r="Q306" s="101" t="str">
        <f t="shared" si="13"/>
        <v>One-off</v>
      </c>
      <c r="R306" s="101" t="str">
        <f>VLOOKUP(K306,'Preturi si tarife'!$B$4:$K$39,10,FALSE)</f>
        <v>ICOENG0010</v>
      </c>
      <c r="T306" s="101" t="str">
        <f t="shared" si="14"/>
        <v>INV + 30</v>
      </c>
      <c r="V306" s="101" t="str">
        <f t="shared" si="15"/>
        <v>Active</v>
      </c>
      <c r="X306" s="101" t="str">
        <f t="shared" si="16"/>
        <v>One-off</v>
      </c>
      <c r="AC306" s="101" t="str">
        <f t="shared" si="31"/>
        <v>RON</v>
      </c>
      <c r="AD306" s="101">
        <f t="shared" si="32"/>
        <v>10000</v>
      </c>
    </row>
    <row r="307" spans="1:30">
      <c r="A307" s="101">
        <f t="shared" si="33"/>
        <v>9</v>
      </c>
      <c r="B307" s="101">
        <f t="shared" si="29"/>
        <v>18</v>
      </c>
      <c r="C307" s="101" t="str">
        <f t="shared" si="30"/>
        <v>T18</v>
      </c>
      <c r="D307" s="101" t="str">
        <f>IF(A307&lt;&gt;A306,VLOOKUP(A307,'Date SPV'!$A:$D,4,FALSE),D306)</f>
        <v>Targu Jiu Development SRL</v>
      </c>
      <c r="E307" s="101" t="str">
        <f>VLOOKUP(A307,'Date SPV'!$A$4:$B$34,2,FALSE)</f>
        <v>RTJD</v>
      </c>
      <c r="H307" s="105" t="s">
        <v>894</v>
      </c>
      <c r="K307" s="101" t="str">
        <f>VLOOKUP(C307,'Preturi si tarife'!$A$4:$B$39,2,FALSE)</f>
        <v>Tarif distributie SDI JT_</v>
      </c>
      <c r="L307" s="102">
        <f>IF(B307=1,'Date masura OD'!$I$5,IF(B307=19,'Date masura OD'!$AK$5,L306))</f>
        <v>45778</v>
      </c>
      <c r="M307" s="102">
        <f>IF(B307=1,'Date masura OD'!$J$5,IF(B307=19,'Date masura OD'!$AL$5,M306))</f>
        <v>45808</v>
      </c>
      <c r="N307" s="104">
        <f>VLOOKUP(E307,verificare!$AR$4:$CC$33,B307+2,FALSE)</f>
        <v>8083</v>
      </c>
      <c r="O307" s="103">
        <f>HLOOKUP(VLOOKUP(E307,'Date SPV'!$B$4:$F$34,5,FALSE),'Preturi si tarife'!$C$2:$J$39,B307+2,FALSE)*10000</f>
        <v>1029</v>
      </c>
      <c r="Q307" s="101" t="str">
        <f t="shared" si="13"/>
        <v>One-off</v>
      </c>
      <c r="R307" s="101" t="str">
        <f>VLOOKUP(K307,'Preturi si tarife'!$B$4:$K$39,10,FALSE)</f>
        <v>ICOENG0010</v>
      </c>
      <c r="T307" s="101" t="str">
        <f t="shared" si="14"/>
        <v>INV + 30</v>
      </c>
      <c r="V307" s="101" t="str">
        <f t="shared" si="15"/>
        <v>Active</v>
      </c>
      <c r="X307" s="101" t="str">
        <f t="shared" si="16"/>
        <v>One-off</v>
      </c>
      <c r="AC307" s="101" t="str">
        <f t="shared" si="31"/>
        <v>RON</v>
      </c>
      <c r="AD307" s="101">
        <f t="shared" si="32"/>
        <v>10000</v>
      </c>
    </row>
    <row r="308" spans="1:30">
      <c r="A308" s="101">
        <f t="shared" si="33"/>
        <v>9</v>
      </c>
      <c r="B308" s="101">
        <f t="shared" si="29"/>
        <v>19</v>
      </c>
      <c r="C308" s="101" t="str">
        <f t="shared" si="30"/>
        <v>T19</v>
      </c>
      <c r="D308" s="101" t="str">
        <f>IF(A308&lt;&gt;A307,VLOOKUP(A308,'Date SPV'!$A:$D,4,FALSE),D307)</f>
        <v>Targu Jiu Development SRL</v>
      </c>
      <c r="E308" s="101" t="str">
        <f>VLOOKUP(A308,'Date SPV'!$A$4:$B$34,2,FALSE)</f>
        <v>RTJD</v>
      </c>
      <c r="H308" s="105" t="s">
        <v>894</v>
      </c>
      <c r="K308" s="101" t="str">
        <f>VLOOKUP(C308,'Preturi si tarife'!$A$4:$B$39,2,FALSE)</f>
        <v>Regularizare Energie activa 1</v>
      </c>
      <c r="L308" s="102">
        <f>IF(B308=1,'Date masura OD'!$I$5,IF(B308=19,'Date masura OD'!$AK$5,L307))</f>
        <v>45748</v>
      </c>
      <c r="M308" s="102">
        <f>IF(B308=1,'Date masura OD'!$J$5,IF(B308=19,'Date masura OD'!$AL$5,M307))</f>
        <v>45777</v>
      </c>
      <c r="N308" s="104">
        <f>VLOOKUP(E308,verificare!$AR$4:$CC$33,B308+2,FALSE)</f>
        <v>79</v>
      </c>
      <c r="O308" s="103">
        <f>HLOOKUP(VLOOKUP(E308,'Date SPV'!$B$4:$F$34,5,FALSE),'Preturi si tarife'!$C$2:$J$39,B308+2,FALSE)*10000</f>
        <v>5950</v>
      </c>
      <c r="Q308" s="101" t="str">
        <f t="shared" si="13"/>
        <v>One-off</v>
      </c>
      <c r="R308" s="101" t="str">
        <f>VLOOKUP(K308,'Preturi si tarife'!$B$4:$K$39,10,FALSE)</f>
        <v>ICOENG0001</v>
      </c>
      <c r="T308" s="101" t="str">
        <f t="shared" si="14"/>
        <v>INV + 30</v>
      </c>
      <c r="V308" s="101" t="str">
        <f t="shared" si="15"/>
        <v>Active</v>
      </c>
      <c r="X308" s="101" t="str">
        <f t="shared" si="16"/>
        <v>One-off</v>
      </c>
      <c r="AC308" s="101" t="str">
        <f t="shared" si="31"/>
        <v>RON</v>
      </c>
      <c r="AD308" s="101">
        <f t="shared" si="32"/>
        <v>10000</v>
      </c>
    </row>
    <row r="309" spans="1:30">
      <c r="A309" s="101">
        <f t="shared" si="33"/>
        <v>9</v>
      </c>
      <c r="B309" s="101">
        <f t="shared" si="29"/>
        <v>20</v>
      </c>
      <c r="C309" s="101" t="str">
        <f t="shared" si="30"/>
        <v>T20</v>
      </c>
      <c r="D309" s="101" t="str">
        <f>IF(A309&lt;&gt;A308,VLOOKUP(A309,'Date SPV'!$A:$D,4,FALSE),D308)</f>
        <v>Targu Jiu Development SRL</v>
      </c>
      <c r="E309" s="101" t="str">
        <f>VLOOKUP(A309,'Date SPV'!$A$4:$B$34,2,FALSE)</f>
        <v>RTJD</v>
      </c>
      <c r="H309" s="105" t="s">
        <v>894</v>
      </c>
      <c r="K309" s="101" t="str">
        <f>VLOOKUP(C309,'Preturi si tarife'!$A$4:$B$39,2,FALSE)</f>
        <v>Regularizare Energie reactiva  1X</v>
      </c>
      <c r="L309" s="102">
        <f>IF(B309=1,'Date masura OD'!$I$5,IF(B309=19,'Date masura OD'!$AK$5,L308))</f>
        <v>45748</v>
      </c>
      <c r="M309" s="102">
        <f>IF(B309=1,'Date masura OD'!$J$5,IF(B309=19,'Date masura OD'!$AL$5,M308))</f>
        <v>45777</v>
      </c>
      <c r="N309" s="104">
        <f>VLOOKUP(E309,verificare!$AR$4:$CC$33,B309+2,FALSE)</f>
        <v>0</v>
      </c>
      <c r="O309" s="103">
        <f>HLOOKUP(VLOOKUP(E309,'Date SPV'!$B$4:$F$34,5,FALSE),'Preturi si tarife'!$C$2:$J$39,B309+2,FALSE)*10000</f>
        <v>1465</v>
      </c>
      <c r="Q309" s="101" t="str">
        <f t="shared" si="13"/>
        <v>One-off</v>
      </c>
      <c r="R309" s="101" t="str">
        <f>VLOOKUP(K309,'Preturi si tarife'!$B$4:$K$39,10,FALSE)</f>
        <v>ICOENG0001</v>
      </c>
      <c r="T309" s="101" t="str">
        <f t="shared" si="14"/>
        <v>INV + 30</v>
      </c>
      <c r="V309" s="101" t="str">
        <f t="shared" si="15"/>
        <v>Active</v>
      </c>
      <c r="X309" s="101" t="str">
        <f t="shared" si="16"/>
        <v>One-off</v>
      </c>
      <c r="AC309" s="101" t="str">
        <f t="shared" si="31"/>
        <v>RON</v>
      </c>
      <c r="AD309" s="101">
        <f t="shared" si="32"/>
        <v>10000</v>
      </c>
    </row>
    <row r="310" spans="1:30">
      <c r="A310" s="101">
        <f t="shared" si="33"/>
        <v>9</v>
      </c>
      <c r="B310" s="101">
        <f t="shared" si="29"/>
        <v>21</v>
      </c>
      <c r="C310" s="101" t="str">
        <f t="shared" si="30"/>
        <v>T21</v>
      </c>
      <c r="D310" s="101" t="str">
        <f>IF(A310&lt;&gt;A309,VLOOKUP(A310,'Date SPV'!$A:$D,4,FALSE),D309)</f>
        <v>Targu Jiu Development SRL</v>
      </c>
      <c r="E310" s="101" t="str">
        <f>VLOOKUP(A310,'Date SPV'!$A$4:$B$34,2,FALSE)</f>
        <v>RTJD</v>
      </c>
      <c r="H310" s="105" t="s">
        <v>894</v>
      </c>
      <c r="K310" s="101" t="str">
        <f>VLOOKUP(C310,'Preturi si tarife'!$A$4:$B$39,2,FALSE)</f>
        <v>Regularizare Energie reactiva  3X</v>
      </c>
      <c r="L310" s="102">
        <f>IF(B310=1,'Date masura OD'!$I$5,IF(B310=19,'Date masura OD'!$AK$5,L309))</f>
        <v>45748</v>
      </c>
      <c r="M310" s="102">
        <f>IF(B310=1,'Date masura OD'!$J$5,IF(B310=19,'Date masura OD'!$AL$5,M309))</f>
        <v>45777</v>
      </c>
      <c r="N310" s="104">
        <f>VLOOKUP(E310,verificare!$AR$4:$CC$33,B310+2,FALSE)</f>
        <v>0</v>
      </c>
      <c r="O310" s="103">
        <f>HLOOKUP(VLOOKUP(E310,'Date SPV'!$B$4:$F$34,5,FALSE),'Preturi si tarife'!$C$2:$J$39,B310+2,FALSE)*10000</f>
        <v>4395</v>
      </c>
      <c r="Q310" s="101" t="str">
        <f t="shared" si="13"/>
        <v>One-off</v>
      </c>
      <c r="R310" s="101" t="str">
        <f>VLOOKUP(K310,'Preturi si tarife'!$B$4:$K$39,10,FALSE)</f>
        <v>ICOENG0001</v>
      </c>
      <c r="T310" s="101" t="str">
        <f t="shared" si="14"/>
        <v>INV + 30</v>
      </c>
      <c r="V310" s="101" t="str">
        <f t="shared" si="15"/>
        <v>Active</v>
      </c>
      <c r="X310" s="101" t="str">
        <f t="shared" si="16"/>
        <v>One-off</v>
      </c>
      <c r="AC310" s="101" t="str">
        <f t="shared" si="31"/>
        <v>RON</v>
      </c>
      <c r="AD310" s="101">
        <f t="shared" si="32"/>
        <v>10000</v>
      </c>
    </row>
    <row r="311" spans="1:30">
      <c r="A311" s="101">
        <f t="shared" si="33"/>
        <v>9</v>
      </c>
      <c r="B311" s="101">
        <f t="shared" si="29"/>
        <v>22</v>
      </c>
      <c r="C311" s="101" t="str">
        <f t="shared" si="30"/>
        <v>T22</v>
      </c>
      <c r="D311" s="101" t="str">
        <f>IF(A311&lt;&gt;A310,VLOOKUP(A311,'Date SPV'!$A:$D,4,FALSE),D310)</f>
        <v>Targu Jiu Development SRL</v>
      </c>
      <c r="E311" s="101" t="str">
        <f>VLOOKUP(A311,'Date SPV'!$A$4:$B$34,2,FALSE)</f>
        <v>RTJD</v>
      </c>
      <c r="H311" s="105" t="s">
        <v>894</v>
      </c>
      <c r="K311" s="101" t="str">
        <f>VLOOKUP(C311,'Preturi si tarife'!$A$4:$B$39,2,FALSE)</f>
        <v>Regularizare Tarife distributie en. El IT+MT</v>
      </c>
      <c r="L311" s="102">
        <f>IF(B311=1,'Date masura OD'!$I$5,IF(B311=19,'Date masura OD'!$AK$5,L310))</f>
        <v>45748</v>
      </c>
      <c r="M311" s="102">
        <f>IF(B311=1,'Date masura OD'!$J$5,IF(B311=19,'Date masura OD'!$AL$5,M310))</f>
        <v>45777</v>
      </c>
      <c r="N311" s="104">
        <f>VLOOKUP(E311,verificare!$AR$4:$CC$33,B311+2,FALSE)</f>
        <v>79</v>
      </c>
      <c r="O311" s="103">
        <f>HLOOKUP(VLOOKUP(E311,'Date SPV'!$B$4:$F$34,5,FALSE),'Preturi si tarife'!$C$2:$J$39,B311+2,FALSE)*10000</f>
        <v>1361.3999999999999</v>
      </c>
      <c r="Q311" s="101" t="str">
        <f t="shared" si="13"/>
        <v>One-off</v>
      </c>
      <c r="R311" s="101" t="str">
        <f>VLOOKUP(K311,'Preturi si tarife'!$B$4:$K$39,10,FALSE)</f>
        <v>ICOENG0001</v>
      </c>
      <c r="T311" s="101" t="str">
        <f t="shared" si="14"/>
        <v>INV + 30</v>
      </c>
      <c r="V311" s="101" t="str">
        <f t="shared" si="15"/>
        <v>Active</v>
      </c>
      <c r="X311" s="101" t="str">
        <f t="shared" si="16"/>
        <v>One-off</v>
      </c>
      <c r="AC311" s="101" t="str">
        <f t="shared" si="31"/>
        <v>RON</v>
      </c>
      <c r="AD311" s="101">
        <f t="shared" si="32"/>
        <v>10000</v>
      </c>
    </row>
    <row r="312" spans="1:30">
      <c r="A312" s="101">
        <f t="shared" si="33"/>
        <v>9</v>
      </c>
      <c r="B312" s="101">
        <f t="shared" si="29"/>
        <v>23</v>
      </c>
      <c r="C312" s="101" t="str">
        <f t="shared" si="30"/>
        <v>T23</v>
      </c>
      <c r="D312" s="101" t="str">
        <f>IF(A312&lt;&gt;A311,VLOOKUP(A312,'Date SPV'!$A:$D,4,FALSE),D311)</f>
        <v>Targu Jiu Development SRL</v>
      </c>
      <c r="E312" s="101" t="str">
        <f>VLOOKUP(A312,'Date SPV'!$A$4:$B$34,2,FALSE)</f>
        <v>RTJD</v>
      </c>
      <c r="H312" s="105" t="s">
        <v>894</v>
      </c>
      <c r="K312" s="101" t="str">
        <f>VLOOKUP(C312,'Preturi si tarife'!$A$4:$B$39,2,FALSE)</f>
        <v>Regularizare Tarife distributie en. El JT</v>
      </c>
      <c r="L312" s="102">
        <f>IF(B312=1,'Date masura OD'!$I$5,IF(B312=19,'Date masura OD'!$AK$5,L311))</f>
        <v>45748</v>
      </c>
      <c r="M312" s="102">
        <f>IF(B312=1,'Date masura OD'!$J$5,IF(B312=19,'Date masura OD'!$AL$5,M311))</f>
        <v>45777</v>
      </c>
      <c r="N312" s="104">
        <f>VLOOKUP(E312,verificare!$AR$4:$CC$33,B312+2,FALSE)</f>
        <v>79</v>
      </c>
      <c r="O312" s="103">
        <f>HLOOKUP(VLOOKUP(E312,'Date SPV'!$B$4:$F$34,5,FALSE),'Preturi si tarife'!$C$2:$J$39,B312+2,FALSE)*10000</f>
        <v>2273.8999999999996</v>
      </c>
      <c r="Q312" s="101" t="str">
        <f t="shared" si="13"/>
        <v>One-off</v>
      </c>
      <c r="R312" s="101" t="str">
        <f>VLOOKUP(K312,'Preturi si tarife'!$B$4:$K$39,10,FALSE)</f>
        <v>ICOENG0001</v>
      </c>
      <c r="T312" s="101" t="str">
        <f t="shared" si="14"/>
        <v>INV + 30</v>
      </c>
      <c r="V312" s="101" t="str">
        <f t="shared" si="15"/>
        <v>Active</v>
      </c>
      <c r="X312" s="101" t="str">
        <f t="shared" si="16"/>
        <v>One-off</v>
      </c>
      <c r="AC312" s="101" t="str">
        <f t="shared" si="31"/>
        <v>RON</v>
      </c>
      <c r="AD312" s="101">
        <f t="shared" si="32"/>
        <v>10000</v>
      </c>
    </row>
    <row r="313" spans="1:30">
      <c r="A313" s="101">
        <f t="shared" si="33"/>
        <v>9</v>
      </c>
      <c r="B313" s="101">
        <f t="shared" si="29"/>
        <v>24</v>
      </c>
      <c r="C313" s="101" t="str">
        <f t="shared" si="30"/>
        <v>T24</v>
      </c>
      <c r="D313" s="101" t="str">
        <f>IF(A313&lt;&gt;A312,VLOOKUP(A313,'Date SPV'!$A:$D,4,FALSE),D312)</f>
        <v>Targu Jiu Development SRL</v>
      </c>
      <c r="E313" s="101" t="str">
        <f>VLOOKUP(A313,'Date SPV'!$A$4:$B$34,2,FALSE)</f>
        <v>RTJD</v>
      </c>
      <c r="H313" s="105" t="s">
        <v>894</v>
      </c>
      <c r="K313" s="101" t="str">
        <f>VLOOKUP(C313,'Preturi si tarife'!$A$4:$B$39,2,FALSE)</f>
        <v xml:space="preserve">Regularizare Servicii Sistem </v>
      </c>
      <c r="L313" s="102">
        <f>IF(B313=1,'Date masura OD'!$I$5,IF(B313=19,'Date masura OD'!$AK$5,L312))</f>
        <v>45748</v>
      </c>
      <c r="M313" s="102">
        <f>IF(B313=1,'Date masura OD'!$J$5,IF(B313=19,'Date masura OD'!$AL$5,M312))</f>
        <v>45777</v>
      </c>
      <c r="N313" s="104">
        <f>VLOOKUP(E313,verificare!$AR$4:$CC$33,B313+2,FALSE)</f>
        <v>79</v>
      </c>
      <c r="O313" s="103">
        <f>HLOOKUP(VLOOKUP(E313,'Date SPV'!$B$4:$F$34,5,FALSE),'Preturi si tarife'!$C$2:$J$39,B313+2,FALSE)*10000</f>
        <v>115.1</v>
      </c>
      <c r="Q313" s="101" t="str">
        <f t="shared" si="13"/>
        <v>One-off</v>
      </c>
      <c r="R313" s="101" t="str">
        <f>VLOOKUP(K313,'Preturi si tarife'!$B$4:$K$39,10,FALSE)</f>
        <v>ICOENG0001</v>
      </c>
      <c r="T313" s="101" t="str">
        <f t="shared" si="14"/>
        <v>INV + 30</v>
      </c>
      <c r="V313" s="101" t="str">
        <f t="shared" si="15"/>
        <v>Active</v>
      </c>
      <c r="X313" s="101" t="str">
        <f t="shared" si="16"/>
        <v>One-off</v>
      </c>
      <c r="AC313" s="101" t="str">
        <f t="shared" si="31"/>
        <v>RON</v>
      </c>
      <c r="AD313" s="101">
        <f t="shared" si="32"/>
        <v>10000</v>
      </c>
    </row>
    <row r="314" spans="1:30">
      <c r="A314" s="101">
        <f t="shared" si="33"/>
        <v>9</v>
      </c>
      <c r="B314" s="101">
        <f t="shared" si="29"/>
        <v>25</v>
      </c>
      <c r="C314" s="101" t="str">
        <f t="shared" si="30"/>
        <v>T25</v>
      </c>
      <c r="D314" s="101" t="str">
        <f>IF(A314&lt;&gt;A313,VLOOKUP(A314,'Date SPV'!$A:$D,4,FALSE),D313)</f>
        <v>Targu Jiu Development SRL</v>
      </c>
      <c r="E314" s="101" t="str">
        <f>VLOOKUP(A314,'Date SPV'!$A$4:$B$34,2,FALSE)</f>
        <v>RTJD</v>
      </c>
      <c r="H314" s="105" t="s">
        <v>894</v>
      </c>
      <c r="K314" s="101" t="str">
        <f>VLOOKUP(C314,'Preturi si tarife'!$A$4:$B$39,2,FALSE)</f>
        <v>Regularizare Tarif de introducere en. el in retea (TL)</v>
      </c>
      <c r="L314" s="102">
        <f>IF(B314=1,'Date masura OD'!$I$5,IF(B314=19,'Date masura OD'!$AK$5,L313))</f>
        <v>45748</v>
      </c>
      <c r="M314" s="102">
        <f>IF(B314=1,'Date masura OD'!$J$5,IF(B314=19,'Date masura OD'!$AL$5,M313))</f>
        <v>45777</v>
      </c>
      <c r="N314" s="104">
        <f>VLOOKUP(E314,verificare!$AR$4:$CC$33,B314+2,FALSE)</f>
        <v>79</v>
      </c>
      <c r="O314" s="103">
        <f>HLOOKUP(VLOOKUP(E314,'Date SPV'!$B$4:$F$34,5,FALSE),'Preturi si tarife'!$C$2:$J$39,B314+2,FALSE)*10000</f>
        <v>330.3</v>
      </c>
      <c r="Q314" s="101" t="str">
        <f t="shared" si="13"/>
        <v>One-off</v>
      </c>
      <c r="R314" s="101" t="str">
        <f>VLOOKUP(K314,'Preturi si tarife'!$B$4:$K$39,10,FALSE)</f>
        <v>ICOENG0001</v>
      </c>
      <c r="T314" s="101" t="str">
        <f t="shared" si="14"/>
        <v>INV + 30</v>
      </c>
      <c r="V314" s="101" t="str">
        <f t="shared" si="15"/>
        <v>Active</v>
      </c>
      <c r="X314" s="101" t="str">
        <f t="shared" si="16"/>
        <v>One-off</v>
      </c>
      <c r="AC314" s="101" t="str">
        <f t="shared" si="31"/>
        <v>RON</v>
      </c>
      <c r="AD314" s="101">
        <f t="shared" si="32"/>
        <v>10000</v>
      </c>
    </row>
    <row r="315" spans="1:30">
      <c r="A315" s="101">
        <f t="shared" si="33"/>
        <v>9</v>
      </c>
      <c r="B315" s="101">
        <f t="shared" si="29"/>
        <v>26</v>
      </c>
      <c r="C315" s="101" t="str">
        <f t="shared" si="30"/>
        <v>T26</v>
      </c>
      <c r="D315" s="101" t="str">
        <f>IF(A315&lt;&gt;A314,VLOOKUP(A315,'Date SPV'!$A:$D,4,FALSE),D314)</f>
        <v>Targu Jiu Development SRL</v>
      </c>
      <c r="E315" s="101" t="str">
        <f>VLOOKUP(A315,'Date SPV'!$A$4:$B$34,2,FALSE)</f>
        <v>RTJD</v>
      </c>
      <c r="H315" s="105" t="s">
        <v>894</v>
      </c>
      <c r="K315" s="101" t="str">
        <f>VLOOKUP(C315,'Preturi si tarife'!$A$4:$B$39,2,FALSE)</f>
        <v>Regularizare Tarif de introducere en.el in retea (TG)</v>
      </c>
      <c r="L315" s="102">
        <f>IF(B315=1,'Date masura OD'!$I$5,IF(B315=19,'Date masura OD'!$AK$5,L314))</f>
        <v>45748</v>
      </c>
      <c r="M315" s="102">
        <f>IF(B315=1,'Date masura OD'!$J$5,IF(B315=19,'Date masura OD'!$AL$5,M314))</f>
        <v>45777</v>
      </c>
      <c r="N315" s="104">
        <f>VLOOKUP(E315,verificare!$AR$4:$CC$33,B315+2,FALSE)</f>
        <v>79</v>
      </c>
      <c r="O315" s="103">
        <f>HLOOKUP(VLOOKUP(E315,'Date SPV'!$B$4:$F$34,5,FALSE),'Preturi si tarife'!$C$2:$J$39,B315+2,FALSE)*10000</f>
        <v>32.9</v>
      </c>
      <c r="Q315" s="101" t="str">
        <f t="shared" si="13"/>
        <v>One-off</v>
      </c>
      <c r="R315" s="101" t="str">
        <f>VLOOKUP(K315,'Preturi si tarife'!$B$4:$K$39,10,FALSE)</f>
        <v>ICOENG0001</v>
      </c>
      <c r="T315" s="101" t="str">
        <f t="shared" si="14"/>
        <v>INV + 30</v>
      </c>
      <c r="V315" s="101" t="str">
        <f t="shared" si="15"/>
        <v>Active</v>
      </c>
      <c r="X315" s="101" t="str">
        <f t="shared" si="16"/>
        <v>One-off</v>
      </c>
      <c r="AC315" s="101" t="str">
        <f t="shared" si="31"/>
        <v>RON</v>
      </c>
      <c r="AD315" s="101">
        <f t="shared" si="32"/>
        <v>10000</v>
      </c>
    </row>
    <row r="316" spans="1:30">
      <c r="A316" s="101">
        <f t="shared" si="33"/>
        <v>9</v>
      </c>
      <c r="B316" s="101">
        <f t="shared" si="29"/>
        <v>27</v>
      </c>
      <c r="C316" s="101" t="str">
        <f t="shared" si="30"/>
        <v>T27</v>
      </c>
      <c r="D316" s="101" t="str">
        <f>IF(A316&lt;&gt;A315,VLOOKUP(A316,'Date SPV'!$A:$D,4,FALSE),D315)</f>
        <v>Targu Jiu Development SRL</v>
      </c>
      <c r="E316" s="101" t="str">
        <f>VLOOKUP(A316,'Date SPV'!$A$4:$B$34,2,FALSE)</f>
        <v>RTJD</v>
      </c>
      <c r="H316" s="105" t="s">
        <v>894</v>
      </c>
      <c r="K316" s="101" t="str">
        <f>VLOOKUP(C316,'Preturi si tarife'!$A$4:$B$39,2,FALSE)</f>
        <v>Regularizare Contributie pentru cogenerare</v>
      </c>
      <c r="L316" s="102">
        <f>IF(B316=1,'Date masura OD'!$I$5,IF(B316=19,'Date masura OD'!$AK$5,L315))</f>
        <v>45748</v>
      </c>
      <c r="M316" s="102">
        <f>IF(B316=1,'Date masura OD'!$J$5,IF(B316=19,'Date masura OD'!$AL$5,M315))</f>
        <v>45777</v>
      </c>
      <c r="N316" s="104">
        <f>VLOOKUP(E316,verificare!$AR$4:$CC$33,B316+2,FALSE)</f>
        <v>79</v>
      </c>
      <c r="O316" s="103">
        <f>HLOOKUP(VLOOKUP(E316,'Date SPV'!$B$4:$F$34,5,FALSE),'Preturi si tarife'!$C$2:$J$39,B316+2,FALSE)*10000</f>
        <v>35</v>
      </c>
      <c r="Q316" s="101" t="str">
        <f t="shared" ref="Q316:Q379" si="34">Q315</f>
        <v>One-off</v>
      </c>
      <c r="R316" s="101" t="str">
        <f>VLOOKUP(K316,'Preturi si tarife'!$B$4:$K$39,10,FALSE)</f>
        <v>ICOENG0001</v>
      </c>
      <c r="T316" s="101" t="str">
        <f t="shared" ref="T316:T379" si="35">T315</f>
        <v>INV + 30</v>
      </c>
      <c r="V316" s="101" t="str">
        <f t="shared" ref="V316:V379" si="36">V315</f>
        <v>Active</v>
      </c>
      <c r="X316" s="101" t="str">
        <f t="shared" ref="X316:X379" si="37">X315</f>
        <v>One-off</v>
      </c>
      <c r="AC316" s="101" t="str">
        <f t="shared" si="31"/>
        <v>RON</v>
      </c>
      <c r="AD316" s="101">
        <f t="shared" si="32"/>
        <v>10000</v>
      </c>
    </row>
    <row r="317" spans="1:30">
      <c r="A317" s="101">
        <f t="shared" si="33"/>
        <v>9</v>
      </c>
      <c r="B317" s="101">
        <f t="shared" ref="B317:B380" si="38">IF(A317&lt;&gt;A316,1,B316+1)</f>
        <v>28</v>
      </c>
      <c r="C317" s="101" t="str">
        <f t="shared" ref="C317:C380" si="39">_xlfn.CONCAT("T",B317)</f>
        <v>T28</v>
      </c>
      <c r="D317" s="101" t="str">
        <f>IF(A317&lt;&gt;A316,VLOOKUP(A317,'Date SPV'!$A:$D,4,FALSE),D316)</f>
        <v>Targu Jiu Development SRL</v>
      </c>
      <c r="E317" s="101" t="str">
        <f>VLOOKUP(A317,'Date SPV'!$A$4:$B$34,2,FALSE)</f>
        <v>RTJD</v>
      </c>
      <c r="H317" s="105" t="s">
        <v>894</v>
      </c>
      <c r="K317" s="101" t="str">
        <f>VLOOKUP(C317,'Preturi si tarife'!$A$4:$B$39,2,FALSE)</f>
        <v xml:space="preserve">Regularizare Certificate verzi </v>
      </c>
      <c r="L317" s="102">
        <f>IF(B317=1,'Date masura OD'!$I$5,IF(B317=19,'Date masura OD'!$AK$5,L316))</f>
        <v>45748</v>
      </c>
      <c r="M317" s="102">
        <f>IF(B317=1,'Date masura OD'!$J$5,IF(B317=19,'Date masura OD'!$AL$5,M316))</f>
        <v>45777</v>
      </c>
      <c r="N317" s="104">
        <f>VLOOKUP(E317,verificare!$AR$4:$CC$33,B317+2,FALSE)</f>
        <v>79</v>
      </c>
      <c r="O317" s="103">
        <f>HLOOKUP(VLOOKUP(E317,'Date SPV'!$B$4:$F$34,5,FALSE),'Preturi si tarife'!$C$2:$J$39,B317+2,FALSE)*10000</f>
        <v>725.41599999999994</v>
      </c>
      <c r="Q317" s="101" t="str">
        <f t="shared" si="34"/>
        <v>One-off</v>
      </c>
      <c r="R317" s="101" t="str">
        <f>VLOOKUP(K317,'Preturi si tarife'!$B$4:$K$39,10,FALSE)</f>
        <v>ICOENG0001</v>
      </c>
      <c r="T317" s="101" t="str">
        <f t="shared" si="35"/>
        <v>INV + 30</v>
      </c>
      <c r="V317" s="101" t="str">
        <f t="shared" si="36"/>
        <v>Active</v>
      </c>
      <c r="X317" s="101" t="str">
        <f t="shared" si="37"/>
        <v>One-off</v>
      </c>
      <c r="AC317" s="101" t="str">
        <f t="shared" ref="AC317:AC380" si="40">AC316</f>
        <v>RON</v>
      </c>
      <c r="AD317" s="101">
        <f t="shared" ref="AD317:AD380" si="41">AD316</f>
        <v>10000</v>
      </c>
    </row>
    <row r="318" spans="1:30">
      <c r="A318" s="101">
        <f t="shared" si="33"/>
        <v>9</v>
      </c>
      <c r="B318" s="101">
        <f t="shared" si="38"/>
        <v>29</v>
      </c>
      <c r="C318" s="101" t="str">
        <f t="shared" si="39"/>
        <v>T29</v>
      </c>
      <c r="D318" s="101" t="str">
        <f>IF(A318&lt;&gt;A317,VLOOKUP(A318,'Date SPV'!$A:$D,4,FALSE),D317)</f>
        <v>Targu Jiu Development SRL</v>
      </c>
      <c r="E318" s="101" t="str">
        <f>VLOOKUP(A318,'Date SPV'!$A$4:$B$34,2,FALSE)</f>
        <v>RTJD</v>
      </c>
      <c r="H318" s="105" t="s">
        <v>894</v>
      </c>
      <c r="K318" s="101" t="str">
        <f>VLOOKUP(C318,'Preturi si tarife'!$A$4:$B$39,2,FALSE)</f>
        <v>Regularizare Contributie CFD</v>
      </c>
      <c r="L318" s="102">
        <f>IF(B318=1,'Date masura OD'!$I$5,IF(B318=19,'Date masura OD'!$AK$5,L317))</f>
        <v>45748</v>
      </c>
      <c r="M318" s="102">
        <f>IF(B318=1,'Date masura OD'!$J$5,IF(B318=19,'Date masura OD'!$AL$5,M317))</f>
        <v>45777</v>
      </c>
      <c r="N318" s="104">
        <f>VLOOKUP(E318,verificare!$AR$4:$CC$33,B318+2,FALSE)</f>
        <v>79</v>
      </c>
      <c r="O318" s="103">
        <f>HLOOKUP(VLOOKUP(E318,'Date SPV'!$B$4:$F$34,5,FALSE),'Preturi si tarife'!$C$2:$J$39,B318+2,FALSE)*10000</f>
        <v>2.06</v>
      </c>
      <c r="Q318" s="101" t="str">
        <f t="shared" si="34"/>
        <v>One-off</v>
      </c>
      <c r="R318" s="101" t="str">
        <f>VLOOKUP(K318,'Preturi si tarife'!$B$4:$K$39,10,FALSE)</f>
        <v>ICOENG0001</v>
      </c>
      <c r="T318" s="101" t="str">
        <f t="shared" si="35"/>
        <v>INV + 30</v>
      </c>
      <c r="V318" s="101" t="str">
        <f t="shared" si="36"/>
        <v>Active</v>
      </c>
      <c r="X318" s="101" t="str">
        <f t="shared" si="37"/>
        <v>One-off</v>
      </c>
      <c r="AC318" s="101" t="str">
        <f t="shared" si="40"/>
        <v>RON</v>
      </c>
      <c r="AD318" s="101">
        <f t="shared" si="41"/>
        <v>10000</v>
      </c>
    </row>
    <row r="319" spans="1:30">
      <c r="A319" s="101">
        <f t="shared" si="33"/>
        <v>9</v>
      </c>
      <c r="B319" s="101">
        <f t="shared" si="38"/>
        <v>30</v>
      </c>
      <c r="C319" s="101" t="str">
        <f t="shared" si="39"/>
        <v>T30</v>
      </c>
      <c r="D319" s="101" t="str">
        <f>IF(A319&lt;&gt;A318,VLOOKUP(A319,'Date SPV'!$A:$D,4,FALSE),D318)</f>
        <v>Targu Jiu Development SRL</v>
      </c>
      <c r="E319" s="101" t="str">
        <f>VLOOKUP(A319,'Date SPV'!$A$4:$B$34,2,FALSE)</f>
        <v>RTJD</v>
      </c>
      <c r="H319" s="105" t="s">
        <v>894</v>
      </c>
      <c r="K319" s="101" t="str">
        <f>VLOOKUP(C319,'Preturi si tarife'!$A$4:$B$39,2,FALSE)</f>
        <v>Regularizare Acciza</v>
      </c>
      <c r="L319" s="102">
        <f>IF(B319=1,'Date masura OD'!$I$5,IF(B319=19,'Date masura OD'!$AK$5,L318))</f>
        <v>45748</v>
      </c>
      <c r="M319" s="102">
        <f>IF(B319=1,'Date masura OD'!$J$5,IF(B319=19,'Date masura OD'!$AL$5,M318))</f>
        <v>45777</v>
      </c>
      <c r="N319" s="104">
        <f>VLOOKUP(E319,verificare!$AR$4:$CC$33,B319+2,FALSE)</f>
        <v>79</v>
      </c>
      <c r="O319" s="103">
        <f>HLOOKUP(VLOOKUP(E319,'Date SPV'!$B$4:$F$34,5,FALSE),'Preturi si tarife'!$C$2:$J$39,B319+2,FALSE)*10000</f>
        <v>0</v>
      </c>
      <c r="Q319" s="101" t="str">
        <f t="shared" si="34"/>
        <v>One-off</v>
      </c>
      <c r="R319" s="101" t="str">
        <f>VLOOKUP(K319,'Preturi si tarife'!$B$4:$K$39,10,FALSE)</f>
        <v>ICOENG0001</v>
      </c>
      <c r="T319" s="101" t="str">
        <f t="shared" si="35"/>
        <v>INV + 30</v>
      </c>
      <c r="V319" s="101" t="str">
        <f t="shared" si="36"/>
        <v>Active</v>
      </c>
      <c r="X319" s="101" t="str">
        <f t="shared" si="37"/>
        <v>One-off</v>
      </c>
      <c r="AC319" s="101" t="str">
        <f t="shared" si="40"/>
        <v>RON</v>
      </c>
      <c r="AD319" s="101">
        <f t="shared" si="41"/>
        <v>10000</v>
      </c>
    </row>
    <row r="320" spans="1:30">
      <c r="A320" s="101">
        <f t="shared" si="33"/>
        <v>9</v>
      </c>
      <c r="B320" s="101">
        <f t="shared" si="38"/>
        <v>31</v>
      </c>
      <c r="C320" s="101" t="str">
        <f t="shared" si="39"/>
        <v>T31</v>
      </c>
      <c r="D320" s="101" t="str">
        <f>IF(A320&lt;&gt;A319,VLOOKUP(A320,'Date SPV'!$A:$D,4,FALSE),D319)</f>
        <v>Targu Jiu Development SRL</v>
      </c>
      <c r="E320" s="101" t="str">
        <f>VLOOKUP(A320,'Date SPV'!$A$4:$B$34,2,FALSE)</f>
        <v>RTJD</v>
      </c>
      <c r="H320" s="105" t="s">
        <v>894</v>
      </c>
      <c r="K320" s="101" t="str">
        <f>VLOOKUP(C320,'Preturi si tarife'!$A$4:$B$39,2,FALSE)</f>
        <v>Regularizare Tarif distributie SDI MT Ea1</v>
      </c>
      <c r="L320" s="102">
        <f>IF(B320=1,'Date masura OD'!$I$5,IF(B320=19,'Date masura OD'!$AK$5,L319))</f>
        <v>45748</v>
      </c>
      <c r="M320" s="102">
        <f>IF(B320=1,'Date masura OD'!$J$5,IF(B320=19,'Date masura OD'!$AL$5,M319))</f>
        <v>45777</v>
      </c>
      <c r="N320" s="104">
        <f>VLOOKUP(E320,verificare!$AR$4:$CC$33,B320+2,FALSE)</f>
        <v>0</v>
      </c>
      <c r="O320" s="103">
        <f>HLOOKUP(VLOOKUP(E320,'Date SPV'!$B$4:$F$34,5,FALSE),'Preturi si tarife'!$C$2:$J$39,B320+2,FALSE)*10000</f>
        <v>170</v>
      </c>
      <c r="Q320" s="101" t="str">
        <f t="shared" si="34"/>
        <v>One-off</v>
      </c>
      <c r="R320" s="101" t="str">
        <f>VLOOKUP(K320,'Preturi si tarife'!$B$4:$K$39,10,FALSE)</f>
        <v>ICOENG0010</v>
      </c>
      <c r="T320" s="101" t="str">
        <f t="shared" si="35"/>
        <v>INV + 30</v>
      </c>
      <c r="V320" s="101" t="str">
        <f t="shared" si="36"/>
        <v>Active</v>
      </c>
      <c r="X320" s="101" t="str">
        <f t="shared" si="37"/>
        <v>One-off</v>
      </c>
      <c r="AC320" s="101" t="str">
        <f t="shared" si="40"/>
        <v>RON</v>
      </c>
      <c r="AD320" s="101">
        <f t="shared" si="41"/>
        <v>10000</v>
      </c>
    </row>
    <row r="321" spans="1:30">
      <c r="A321" s="101">
        <f t="shared" si="33"/>
        <v>9</v>
      </c>
      <c r="B321" s="101">
        <f t="shared" si="38"/>
        <v>32</v>
      </c>
      <c r="C321" s="101" t="str">
        <f t="shared" si="39"/>
        <v>T32</v>
      </c>
      <c r="D321" s="101" t="str">
        <f>IF(A321&lt;&gt;A320,VLOOKUP(A321,'Date SPV'!$A:$D,4,FALSE),D320)</f>
        <v>Targu Jiu Development SRL</v>
      </c>
      <c r="E321" s="101" t="str">
        <f>VLOOKUP(A321,'Date SPV'!$A$4:$B$34,2,FALSE)</f>
        <v>RTJD</v>
      </c>
      <c r="H321" s="105" t="s">
        <v>894</v>
      </c>
      <c r="K321" s="101" t="str">
        <f>VLOOKUP(C321,'Preturi si tarife'!$A$4:$B$39,2,FALSE)</f>
        <v>Regularizare Tarif distributie SDI JT Ea1</v>
      </c>
      <c r="L321" s="102">
        <f>IF(B321=1,'Date masura OD'!$I$5,IF(B321=19,'Date masura OD'!$AK$5,L320))</f>
        <v>45748</v>
      </c>
      <c r="M321" s="102">
        <f>IF(B321=1,'Date masura OD'!$J$5,IF(B321=19,'Date masura OD'!$AL$5,M320))</f>
        <v>45777</v>
      </c>
      <c r="N321" s="104">
        <f>VLOOKUP(E321,verificare!$AR$4:$CC$33,B321+2,FALSE)</f>
        <v>0</v>
      </c>
      <c r="O321" s="103">
        <f>HLOOKUP(VLOOKUP(E321,'Date SPV'!$B$4:$F$34,5,FALSE),'Preturi si tarife'!$C$2:$J$39,B321+2,FALSE)*10000</f>
        <v>1029</v>
      </c>
      <c r="Q321" s="101" t="str">
        <f t="shared" si="34"/>
        <v>One-off</v>
      </c>
      <c r="R321" s="101" t="str">
        <f>VLOOKUP(K321,'Preturi si tarife'!$B$4:$K$39,10,FALSE)</f>
        <v>ICOENG0010</v>
      </c>
      <c r="T321" s="101" t="str">
        <f t="shared" si="35"/>
        <v>INV + 30</v>
      </c>
      <c r="V321" s="101" t="str">
        <f t="shared" si="36"/>
        <v>Active</v>
      </c>
      <c r="X321" s="101" t="str">
        <f t="shared" si="37"/>
        <v>One-off</v>
      </c>
      <c r="AC321" s="101" t="str">
        <f t="shared" si="40"/>
        <v>RON</v>
      </c>
      <c r="AD321" s="101">
        <f t="shared" si="41"/>
        <v>10000</v>
      </c>
    </row>
    <row r="322" spans="1:30">
      <c r="A322" s="101">
        <f t="shared" si="33"/>
        <v>9</v>
      </c>
      <c r="B322" s="101">
        <f t="shared" si="38"/>
        <v>33</v>
      </c>
      <c r="C322" s="101" t="str">
        <f t="shared" si="39"/>
        <v>T33</v>
      </c>
      <c r="D322" s="101" t="str">
        <f>IF(A322&lt;&gt;A321,VLOOKUP(A322,'Date SPV'!$A:$D,4,FALSE),D321)</f>
        <v>Targu Jiu Development SRL</v>
      </c>
      <c r="E322" s="101" t="str">
        <f>VLOOKUP(A322,'Date SPV'!$A$4:$B$34,2,FALSE)</f>
        <v>RTJD</v>
      </c>
      <c r="H322" s="105" t="s">
        <v>894</v>
      </c>
      <c r="K322" s="101" t="str">
        <f>VLOOKUP(C322,'Preturi si tarife'!$A$4:$B$39,2,FALSE)</f>
        <v>Regularizare Energie activa 2</v>
      </c>
      <c r="L322" s="102">
        <f>IF(B322=1,'Date masura OD'!$I$5,IF(B322=19,'Date masura OD'!$AK$5,L321))</f>
        <v>45748</v>
      </c>
      <c r="M322" s="102">
        <f>IF(B322=1,'Date masura OD'!$J$5,IF(B322=19,'Date masura OD'!$AL$5,M321))</f>
        <v>45777</v>
      </c>
      <c r="N322" s="104">
        <f>VLOOKUP(E322,verificare!$AR$4:$CC$33,B322+2,FALSE)</f>
        <v>0</v>
      </c>
      <c r="O322" s="103">
        <f>HLOOKUP(VLOOKUP(E322,'Date SPV'!$B$4:$F$34,5,FALSE),'Preturi si tarife'!$C$2:$J$39,B322+2,FALSE)*10000</f>
        <v>9751.1759999999995</v>
      </c>
      <c r="Q322" s="101" t="str">
        <f t="shared" si="34"/>
        <v>One-off</v>
      </c>
      <c r="R322" s="101" t="str">
        <f>VLOOKUP(K322,'Preturi si tarife'!$B$4:$K$39,10,FALSE)</f>
        <v>ICOENG0012</v>
      </c>
      <c r="T322" s="101" t="str">
        <f t="shared" si="35"/>
        <v>INV + 30</v>
      </c>
      <c r="V322" s="101" t="str">
        <f t="shared" si="36"/>
        <v>Active</v>
      </c>
      <c r="X322" s="101" t="str">
        <f t="shared" si="37"/>
        <v>One-off</v>
      </c>
      <c r="AC322" s="101" t="str">
        <f t="shared" si="40"/>
        <v>RON</v>
      </c>
      <c r="AD322" s="101">
        <f t="shared" si="41"/>
        <v>10000</v>
      </c>
    </row>
    <row r="323" spans="1:30">
      <c r="A323" s="101">
        <f t="shared" si="33"/>
        <v>9</v>
      </c>
      <c r="B323" s="101">
        <f t="shared" si="38"/>
        <v>34</v>
      </c>
      <c r="C323" s="101" t="str">
        <f t="shared" si="39"/>
        <v>T34</v>
      </c>
      <c r="D323" s="101" t="str">
        <f>IF(A323&lt;&gt;A322,VLOOKUP(A323,'Date SPV'!$A:$D,4,FALSE),D322)</f>
        <v>Targu Jiu Development SRL</v>
      </c>
      <c r="E323" s="101" t="str">
        <f>VLOOKUP(A323,'Date SPV'!$A$4:$B$34,2,FALSE)</f>
        <v>RTJD</v>
      </c>
      <c r="H323" s="105" t="s">
        <v>894</v>
      </c>
      <c r="K323" s="101" t="str">
        <f>VLOOKUP(C323,'Preturi si tarife'!$A$4:$B$39,2,FALSE)</f>
        <v>Regularizare Energie activa 3</v>
      </c>
      <c r="L323" s="102">
        <f>IF(B323=1,'Date masura OD'!$I$5,IF(B323=19,'Date masura OD'!$AK$5,L322))</f>
        <v>45748</v>
      </c>
      <c r="M323" s="102">
        <f>IF(B323=1,'Date masura OD'!$J$5,IF(B323=19,'Date masura OD'!$AL$5,M322))</f>
        <v>45777</v>
      </c>
      <c r="N323" s="104">
        <f>VLOOKUP(E323,verificare!$AR$4:$CC$33,B323+2,FALSE)</f>
        <v>0</v>
      </c>
      <c r="O323" s="103">
        <f>HLOOKUP(VLOOKUP(E323,'Date SPV'!$B$4:$F$34,5,FALSE),'Preturi si tarife'!$C$2:$J$39,B323+2,FALSE)*10000</f>
        <v>8552.1759999999995</v>
      </c>
      <c r="Q323" s="101" t="str">
        <f t="shared" si="34"/>
        <v>One-off</v>
      </c>
      <c r="R323" s="101" t="str">
        <f>VLOOKUP(K323,'Preturi si tarife'!$B$4:$K$39,10,FALSE)</f>
        <v>ICOENG0012</v>
      </c>
      <c r="T323" s="101" t="str">
        <f t="shared" si="35"/>
        <v>INV + 30</v>
      </c>
      <c r="V323" s="101" t="str">
        <f t="shared" si="36"/>
        <v>Active</v>
      </c>
      <c r="X323" s="101" t="str">
        <f t="shared" si="37"/>
        <v>One-off</v>
      </c>
      <c r="AC323" s="101" t="str">
        <f t="shared" si="40"/>
        <v>RON</v>
      </c>
      <c r="AD323" s="101">
        <f t="shared" si="41"/>
        <v>10000</v>
      </c>
    </row>
    <row r="324" spans="1:30">
      <c r="A324" s="101">
        <f t="shared" ref="A324:A387" si="42">IF(B323=36,A323+1,A323)</f>
        <v>9</v>
      </c>
      <c r="B324" s="101">
        <f t="shared" si="38"/>
        <v>35</v>
      </c>
      <c r="C324" s="101" t="str">
        <f t="shared" si="39"/>
        <v>T35</v>
      </c>
      <c r="D324" s="101" t="str">
        <f>IF(A324&lt;&gt;A323,VLOOKUP(A324,'Date SPV'!$A:$D,4,FALSE),D323)</f>
        <v>Targu Jiu Development SRL</v>
      </c>
      <c r="E324" s="101" t="str">
        <f>VLOOKUP(A324,'Date SPV'!$A$4:$B$34,2,FALSE)</f>
        <v>RTJD</v>
      </c>
      <c r="H324" s="105" t="s">
        <v>894</v>
      </c>
      <c r="K324" s="101" t="str">
        <f>VLOOKUP(C324,'Preturi si tarife'!$A$4:$B$39,2,FALSE)</f>
        <v>Regularizare Tarif distributie SDI MT Ea3</v>
      </c>
      <c r="L324" s="102">
        <f>IF(B324=1,'Date masura OD'!$I$5,IF(B324=19,'Date masura OD'!$AK$5,L323))</f>
        <v>45748</v>
      </c>
      <c r="M324" s="102">
        <f>IF(B324=1,'Date masura OD'!$J$5,IF(B324=19,'Date masura OD'!$AL$5,M323))</f>
        <v>45777</v>
      </c>
      <c r="N324" s="104">
        <f>VLOOKUP(E324,verificare!$AR$4:$CC$33,B324+2,FALSE)</f>
        <v>0</v>
      </c>
      <c r="O324" s="103">
        <f>HLOOKUP(VLOOKUP(E324,'Date SPV'!$B$4:$F$34,5,FALSE),'Preturi si tarife'!$C$2:$J$39,B324+2,FALSE)*10000</f>
        <v>170</v>
      </c>
      <c r="Q324" s="101" t="str">
        <f t="shared" si="34"/>
        <v>One-off</v>
      </c>
      <c r="R324" s="101" t="str">
        <f>VLOOKUP(K324,'Preturi si tarife'!$B$4:$K$39,10,FALSE)</f>
        <v>ICOENG0010</v>
      </c>
      <c r="T324" s="101" t="str">
        <f t="shared" si="35"/>
        <v>INV + 30</v>
      </c>
      <c r="V324" s="101" t="str">
        <f t="shared" si="36"/>
        <v>Active</v>
      </c>
      <c r="X324" s="101" t="str">
        <f t="shared" si="37"/>
        <v>One-off</v>
      </c>
      <c r="AC324" s="101" t="str">
        <f t="shared" si="40"/>
        <v>RON</v>
      </c>
      <c r="AD324" s="101">
        <f t="shared" si="41"/>
        <v>10000</v>
      </c>
    </row>
    <row r="325" spans="1:30">
      <c r="A325" s="101">
        <f t="shared" si="42"/>
        <v>9</v>
      </c>
      <c r="B325" s="101">
        <f t="shared" si="38"/>
        <v>36</v>
      </c>
      <c r="C325" s="101" t="str">
        <f t="shared" si="39"/>
        <v>T36</v>
      </c>
      <c r="D325" s="101" t="str">
        <f>IF(A325&lt;&gt;A324,VLOOKUP(A325,'Date SPV'!$A:$D,4,FALSE),D324)</f>
        <v>Targu Jiu Development SRL</v>
      </c>
      <c r="E325" s="101" t="str">
        <f>VLOOKUP(A325,'Date SPV'!$A$4:$B$34,2,FALSE)</f>
        <v>RTJD</v>
      </c>
      <c r="H325" s="105" t="s">
        <v>894</v>
      </c>
      <c r="K325" s="101" t="str">
        <f>VLOOKUP(C325,'Preturi si tarife'!$A$4:$B$39,2,FALSE)</f>
        <v>Regularizare Tarif distributie SDI JT Ea3</v>
      </c>
      <c r="L325" s="102">
        <f>IF(B325=1,'Date masura OD'!$I$5,IF(B325=19,'Date masura OD'!$AK$5,L324))</f>
        <v>45748</v>
      </c>
      <c r="M325" s="102">
        <f>IF(B325=1,'Date masura OD'!$J$5,IF(B325=19,'Date masura OD'!$AL$5,M324))</f>
        <v>45777</v>
      </c>
      <c r="N325" s="104">
        <f>VLOOKUP(E325,verificare!$AR$4:$CC$33,B325+2,FALSE)</f>
        <v>0</v>
      </c>
      <c r="O325" s="103">
        <f>HLOOKUP(VLOOKUP(E325,'Date SPV'!$B$4:$F$34,5,FALSE),'Preturi si tarife'!$C$2:$J$39,B325+2,FALSE)*10000</f>
        <v>1029</v>
      </c>
      <c r="Q325" s="101" t="str">
        <f t="shared" si="34"/>
        <v>One-off</v>
      </c>
      <c r="R325" s="101" t="str">
        <f>VLOOKUP(K325,'Preturi si tarife'!$B$4:$K$39,10,FALSE)</f>
        <v>ICOENG0010</v>
      </c>
      <c r="T325" s="101" t="str">
        <f t="shared" si="35"/>
        <v>INV + 30</v>
      </c>
      <c r="V325" s="101" t="str">
        <f t="shared" si="36"/>
        <v>Active</v>
      </c>
      <c r="X325" s="101" t="str">
        <f t="shared" si="37"/>
        <v>One-off</v>
      </c>
      <c r="AC325" s="101" t="str">
        <f t="shared" si="40"/>
        <v>RON</v>
      </c>
      <c r="AD325" s="101">
        <f t="shared" si="41"/>
        <v>10000</v>
      </c>
    </row>
    <row r="326" spans="1:30">
      <c r="A326" s="101">
        <f t="shared" si="42"/>
        <v>10</v>
      </c>
      <c r="B326" s="101">
        <f t="shared" si="38"/>
        <v>1</v>
      </c>
      <c r="C326" s="101" t="str">
        <f t="shared" si="39"/>
        <v>T1</v>
      </c>
      <c r="D326" s="101" t="str">
        <f>IF(A326&lt;&gt;A325,VLOOKUP(A326,'Date SPV'!$A:$D,4,FALSE),D325)</f>
        <v>Vulcan Value Centre SRL</v>
      </c>
      <c r="E326" s="101" t="str">
        <f>VLOOKUP(A326,'Date SPV'!$A$4:$B$34,2,FALSE)</f>
        <v>RVUL</v>
      </c>
      <c r="H326" s="105" t="s">
        <v>894</v>
      </c>
      <c r="K326" s="101" t="str">
        <f>VLOOKUP(C326,'Preturi si tarife'!$A$4:$B$39,2,FALSE)</f>
        <v>Energie activa 1</v>
      </c>
      <c r="L326" s="102">
        <f>IF(B326=1,'Date masura OD'!$I$5,IF(B326=19,'Date masura OD'!$AK$5,L325))</f>
        <v>45778</v>
      </c>
      <c r="M326" s="102">
        <f>IF(B326=1,'Date masura OD'!$J$5,IF(B326=19,'Date masura OD'!$AL$5,M325))</f>
        <v>45808</v>
      </c>
      <c r="N326" s="104">
        <f>VLOOKUP(E326,verificare!$AR$4:$CC$33,B326+2,FALSE)</f>
        <v>189120</v>
      </c>
      <c r="O326" s="103">
        <f>HLOOKUP(VLOOKUP(E326,'Date SPV'!$B$4:$F$34,5,FALSE),'Preturi si tarife'!$C$2:$J$39,B326+2,FALSE)*10000</f>
        <v>5950</v>
      </c>
      <c r="Q326" s="101" t="str">
        <f t="shared" si="34"/>
        <v>One-off</v>
      </c>
      <c r="R326" s="101" t="str">
        <f>VLOOKUP(K326,'Preturi si tarife'!$B$4:$K$39,10,FALSE)</f>
        <v>ICOENG0001</v>
      </c>
      <c r="T326" s="101" t="str">
        <f t="shared" si="35"/>
        <v>INV + 30</v>
      </c>
      <c r="V326" s="101" t="str">
        <f t="shared" si="36"/>
        <v>Active</v>
      </c>
      <c r="X326" s="101" t="str">
        <f t="shared" si="37"/>
        <v>One-off</v>
      </c>
      <c r="AC326" s="101" t="str">
        <f t="shared" si="40"/>
        <v>RON</v>
      </c>
      <c r="AD326" s="101">
        <f t="shared" si="41"/>
        <v>10000</v>
      </c>
    </row>
    <row r="327" spans="1:30">
      <c r="A327" s="101">
        <f t="shared" si="42"/>
        <v>10</v>
      </c>
      <c r="B327" s="101">
        <f t="shared" si="38"/>
        <v>2</v>
      </c>
      <c r="C327" s="101" t="str">
        <f t="shared" si="39"/>
        <v>T2</v>
      </c>
      <c r="D327" s="101" t="str">
        <f>IF(A327&lt;&gt;A326,VLOOKUP(A327,'Date SPV'!$A:$D,4,FALSE),D326)</f>
        <v>Vulcan Value Centre SRL</v>
      </c>
      <c r="E327" s="101" t="str">
        <f>VLOOKUP(A327,'Date SPV'!$A$4:$B$34,2,FALSE)</f>
        <v>RVUL</v>
      </c>
      <c r="H327" s="105" t="s">
        <v>894</v>
      </c>
      <c r="K327" s="101" t="str">
        <f>VLOOKUP(C327,'Preturi si tarife'!$A$4:$B$39,2,FALSE)</f>
        <v>Energie reactiva  1X</v>
      </c>
      <c r="L327" s="102">
        <f>IF(B327=1,'Date masura OD'!$I$5,IF(B327=19,'Date masura OD'!$AK$5,L326))</f>
        <v>45778</v>
      </c>
      <c r="M327" s="102">
        <f>IF(B327=1,'Date masura OD'!$J$5,IF(B327=19,'Date masura OD'!$AL$5,M326))</f>
        <v>45808</v>
      </c>
      <c r="N327" s="104">
        <f>VLOOKUP(E327,verificare!$AR$4:$CC$33,B327+2,FALSE)</f>
        <v>0</v>
      </c>
      <c r="O327" s="103">
        <f>HLOOKUP(VLOOKUP(E327,'Date SPV'!$B$4:$F$34,5,FALSE),'Preturi si tarife'!$C$2:$J$39,B327+2,FALSE)*10000</f>
        <v>1466</v>
      </c>
      <c r="Q327" s="101" t="str">
        <f t="shared" si="34"/>
        <v>One-off</v>
      </c>
      <c r="R327" s="101" t="str">
        <f>VLOOKUP(K327,'Preturi si tarife'!$B$4:$K$39,10,FALSE)</f>
        <v>ICOENG0001</v>
      </c>
      <c r="T327" s="101" t="str">
        <f t="shared" si="35"/>
        <v>INV + 30</v>
      </c>
      <c r="V327" s="101" t="str">
        <f t="shared" si="36"/>
        <v>Active</v>
      </c>
      <c r="X327" s="101" t="str">
        <f t="shared" si="37"/>
        <v>One-off</v>
      </c>
      <c r="AC327" s="101" t="str">
        <f t="shared" si="40"/>
        <v>RON</v>
      </c>
      <c r="AD327" s="101">
        <f t="shared" si="41"/>
        <v>10000</v>
      </c>
    </row>
    <row r="328" spans="1:30">
      <c r="A328" s="101">
        <f t="shared" si="42"/>
        <v>10</v>
      </c>
      <c r="B328" s="101">
        <f t="shared" si="38"/>
        <v>3</v>
      </c>
      <c r="C328" s="101" t="str">
        <f t="shared" si="39"/>
        <v>T3</v>
      </c>
      <c r="D328" s="101" t="str">
        <f>IF(A328&lt;&gt;A327,VLOOKUP(A328,'Date SPV'!$A:$D,4,FALSE),D327)</f>
        <v>Vulcan Value Centre SRL</v>
      </c>
      <c r="E328" s="101" t="str">
        <f>VLOOKUP(A328,'Date SPV'!$A$4:$B$34,2,FALSE)</f>
        <v>RVUL</v>
      </c>
      <c r="H328" s="105" t="s">
        <v>894</v>
      </c>
      <c r="K328" s="101" t="str">
        <f>VLOOKUP(C328,'Preturi si tarife'!$A$4:$B$39,2,FALSE)</f>
        <v>Energie reactiva  3X</v>
      </c>
      <c r="L328" s="102">
        <f>IF(B328=1,'Date masura OD'!$I$5,IF(B328=19,'Date masura OD'!$AK$5,L327))</f>
        <v>45778</v>
      </c>
      <c r="M328" s="102">
        <f>IF(B328=1,'Date masura OD'!$J$5,IF(B328=19,'Date masura OD'!$AL$5,M327))</f>
        <v>45808</v>
      </c>
      <c r="N328" s="104">
        <f>VLOOKUP(E328,verificare!$AR$4:$CC$33,B328+2,FALSE)</f>
        <v>0</v>
      </c>
      <c r="O328" s="103">
        <f>HLOOKUP(VLOOKUP(E328,'Date SPV'!$B$4:$F$34,5,FALSE),'Preturi si tarife'!$C$2:$J$39,B328+2,FALSE)*10000</f>
        <v>4398</v>
      </c>
      <c r="Q328" s="101" t="str">
        <f t="shared" si="34"/>
        <v>One-off</v>
      </c>
      <c r="R328" s="101" t="str">
        <f>VLOOKUP(K328,'Preturi si tarife'!$B$4:$K$39,10,FALSE)</f>
        <v>ICOENG0001</v>
      </c>
      <c r="T328" s="101" t="str">
        <f t="shared" si="35"/>
        <v>INV + 30</v>
      </c>
      <c r="V328" s="101" t="str">
        <f t="shared" si="36"/>
        <v>Active</v>
      </c>
      <c r="X328" s="101" t="str">
        <f t="shared" si="37"/>
        <v>One-off</v>
      </c>
      <c r="AC328" s="101" t="str">
        <f t="shared" si="40"/>
        <v>RON</v>
      </c>
      <c r="AD328" s="101">
        <f t="shared" si="41"/>
        <v>10000</v>
      </c>
    </row>
    <row r="329" spans="1:30">
      <c r="A329" s="101">
        <f t="shared" si="42"/>
        <v>10</v>
      </c>
      <c r="B329" s="101">
        <f t="shared" si="38"/>
        <v>4</v>
      </c>
      <c r="C329" s="101" t="str">
        <f t="shared" si="39"/>
        <v>T4</v>
      </c>
      <c r="D329" s="101" t="str">
        <f>IF(A329&lt;&gt;A328,VLOOKUP(A329,'Date SPV'!$A:$D,4,FALSE),D328)</f>
        <v>Vulcan Value Centre SRL</v>
      </c>
      <c r="E329" s="101" t="str">
        <f>VLOOKUP(A329,'Date SPV'!$A$4:$B$34,2,FALSE)</f>
        <v>RVUL</v>
      </c>
      <c r="H329" s="105" t="s">
        <v>894</v>
      </c>
      <c r="K329" s="101" t="str">
        <f>VLOOKUP(C329,'Preturi si tarife'!$A$4:$B$39,2,FALSE)</f>
        <v>Tarife distributie en. El IT+MT</v>
      </c>
      <c r="L329" s="102">
        <f>IF(B329=1,'Date masura OD'!$I$5,IF(B329=19,'Date masura OD'!$AK$5,L328))</f>
        <v>45778</v>
      </c>
      <c r="M329" s="102">
        <f>IF(B329=1,'Date masura OD'!$J$5,IF(B329=19,'Date masura OD'!$AL$5,M328))</f>
        <v>45808</v>
      </c>
      <c r="N329" s="104">
        <f>VLOOKUP(E329,verificare!$AR$4:$CC$33,B329+2,FALSE)</f>
        <v>189120</v>
      </c>
      <c r="O329" s="103">
        <f>HLOOKUP(VLOOKUP(E329,'Date SPV'!$B$4:$F$34,5,FALSE),'Preturi si tarife'!$C$2:$J$39,B329+2,FALSE)*10000</f>
        <v>861.80000000000007</v>
      </c>
      <c r="Q329" s="101" t="str">
        <f t="shared" si="34"/>
        <v>One-off</v>
      </c>
      <c r="R329" s="101" t="str">
        <f>VLOOKUP(K329,'Preturi si tarife'!$B$4:$K$39,10,FALSE)</f>
        <v>ICOENG0001</v>
      </c>
      <c r="T329" s="101" t="str">
        <f t="shared" si="35"/>
        <v>INV + 30</v>
      </c>
      <c r="V329" s="101" t="str">
        <f t="shared" si="36"/>
        <v>Active</v>
      </c>
      <c r="X329" s="101" t="str">
        <f t="shared" si="37"/>
        <v>One-off</v>
      </c>
      <c r="AC329" s="101" t="str">
        <f t="shared" si="40"/>
        <v>RON</v>
      </c>
      <c r="AD329" s="101">
        <f t="shared" si="41"/>
        <v>10000</v>
      </c>
    </row>
    <row r="330" spans="1:30">
      <c r="A330" s="101">
        <f t="shared" si="42"/>
        <v>10</v>
      </c>
      <c r="B330" s="101">
        <f t="shared" si="38"/>
        <v>5</v>
      </c>
      <c r="C330" s="101" t="str">
        <f t="shared" si="39"/>
        <v>T5</v>
      </c>
      <c r="D330" s="101" t="str">
        <f>IF(A330&lt;&gt;A329,VLOOKUP(A330,'Date SPV'!$A:$D,4,FALSE),D329)</f>
        <v>Vulcan Value Centre SRL</v>
      </c>
      <c r="E330" s="101" t="str">
        <f>VLOOKUP(A330,'Date SPV'!$A$4:$B$34,2,FALSE)</f>
        <v>RVUL</v>
      </c>
      <c r="H330" s="105" t="s">
        <v>894</v>
      </c>
      <c r="K330" s="101" t="str">
        <f>VLOOKUP(C330,'Preturi si tarife'!$A$4:$B$39,2,FALSE)</f>
        <v>Tarife distributie en. El JT</v>
      </c>
      <c r="L330" s="102">
        <f>IF(B330=1,'Date masura OD'!$I$5,IF(B330=19,'Date masura OD'!$AK$5,L329))</f>
        <v>45778</v>
      </c>
      <c r="M330" s="102">
        <f>IF(B330=1,'Date masura OD'!$J$5,IF(B330=19,'Date masura OD'!$AL$5,M329))</f>
        <v>45808</v>
      </c>
      <c r="N330" s="104">
        <f>VLOOKUP(E330,verificare!$AR$4:$CC$33,B330+2,FALSE)</f>
        <v>0</v>
      </c>
      <c r="O330" s="103">
        <f>HLOOKUP(VLOOKUP(E330,'Date SPV'!$B$4:$F$34,5,FALSE),'Preturi si tarife'!$C$2:$J$39,B330+2,FALSE)*10000</f>
        <v>2079</v>
      </c>
      <c r="Q330" s="101" t="str">
        <f t="shared" si="34"/>
        <v>One-off</v>
      </c>
      <c r="R330" s="101" t="str">
        <f>VLOOKUP(K330,'Preturi si tarife'!$B$4:$K$39,10,FALSE)</f>
        <v>ICOENG0001</v>
      </c>
      <c r="T330" s="101" t="str">
        <f t="shared" si="35"/>
        <v>INV + 30</v>
      </c>
      <c r="V330" s="101" t="str">
        <f t="shared" si="36"/>
        <v>Active</v>
      </c>
      <c r="X330" s="101" t="str">
        <f t="shared" si="37"/>
        <v>One-off</v>
      </c>
      <c r="AC330" s="101" t="str">
        <f t="shared" si="40"/>
        <v>RON</v>
      </c>
      <c r="AD330" s="101">
        <f t="shared" si="41"/>
        <v>10000</v>
      </c>
    </row>
    <row r="331" spans="1:30">
      <c r="A331" s="101">
        <f t="shared" si="42"/>
        <v>10</v>
      </c>
      <c r="B331" s="101">
        <f t="shared" si="38"/>
        <v>6</v>
      </c>
      <c r="C331" s="101" t="str">
        <f t="shared" si="39"/>
        <v>T6</v>
      </c>
      <c r="D331" s="101" t="str">
        <f>IF(A331&lt;&gt;A330,VLOOKUP(A331,'Date SPV'!$A:$D,4,FALSE),D330)</f>
        <v>Vulcan Value Centre SRL</v>
      </c>
      <c r="E331" s="101" t="str">
        <f>VLOOKUP(A331,'Date SPV'!$A$4:$B$34,2,FALSE)</f>
        <v>RVUL</v>
      </c>
      <c r="H331" s="105" t="s">
        <v>894</v>
      </c>
      <c r="K331" s="101" t="str">
        <f>VLOOKUP(C331,'Preturi si tarife'!$A$4:$B$39,2,FALSE)</f>
        <v xml:space="preserve">Servicii Sistem </v>
      </c>
      <c r="L331" s="102">
        <f>IF(B331=1,'Date masura OD'!$I$5,IF(B331=19,'Date masura OD'!$AK$5,L330))</f>
        <v>45778</v>
      </c>
      <c r="M331" s="102">
        <f>IF(B331=1,'Date masura OD'!$J$5,IF(B331=19,'Date masura OD'!$AL$5,M330))</f>
        <v>45808</v>
      </c>
      <c r="N331" s="104">
        <f>VLOOKUP(E331,verificare!$AR$4:$CC$33,B331+2,FALSE)</f>
        <v>189120</v>
      </c>
      <c r="O331" s="103">
        <f>HLOOKUP(VLOOKUP(E331,'Date SPV'!$B$4:$F$34,5,FALSE),'Preturi si tarife'!$C$2:$J$39,B331+2,FALSE)*10000</f>
        <v>115.1</v>
      </c>
      <c r="Q331" s="101" t="str">
        <f t="shared" si="34"/>
        <v>One-off</v>
      </c>
      <c r="R331" s="101" t="str">
        <f>VLOOKUP(K331,'Preturi si tarife'!$B$4:$K$39,10,FALSE)</f>
        <v>ICOENG0001</v>
      </c>
      <c r="T331" s="101" t="str">
        <f t="shared" si="35"/>
        <v>INV + 30</v>
      </c>
      <c r="V331" s="101" t="str">
        <f t="shared" si="36"/>
        <v>Active</v>
      </c>
      <c r="X331" s="101" t="str">
        <f t="shared" si="37"/>
        <v>One-off</v>
      </c>
      <c r="AC331" s="101" t="str">
        <f t="shared" si="40"/>
        <v>RON</v>
      </c>
      <c r="AD331" s="101">
        <f t="shared" si="41"/>
        <v>10000</v>
      </c>
    </row>
    <row r="332" spans="1:30">
      <c r="A332" s="101">
        <f t="shared" si="42"/>
        <v>10</v>
      </c>
      <c r="B332" s="101">
        <f t="shared" si="38"/>
        <v>7</v>
      </c>
      <c r="C332" s="101" t="str">
        <f t="shared" si="39"/>
        <v>T7</v>
      </c>
      <c r="D332" s="101" t="str">
        <f>IF(A332&lt;&gt;A331,VLOOKUP(A332,'Date SPV'!$A:$D,4,FALSE),D331)</f>
        <v>Vulcan Value Centre SRL</v>
      </c>
      <c r="E332" s="101" t="str">
        <f>VLOOKUP(A332,'Date SPV'!$A$4:$B$34,2,FALSE)</f>
        <v>RVUL</v>
      </c>
      <c r="H332" s="105" t="s">
        <v>894</v>
      </c>
      <c r="K332" s="101" t="str">
        <f>VLOOKUP(C332,'Preturi si tarife'!$A$4:$B$39,2,FALSE)</f>
        <v>Tarif de introducere en. el in retea (TL)</v>
      </c>
      <c r="L332" s="102">
        <f>IF(B332=1,'Date masura OD'!$I$5,IF(B332=19,'Date masura OD'!$AK$5,L331))</f>
        <v>45778</v>
      </c>
      <c r="M332" s="102">
        <f>IF(B332=1,'Date masura OD'!$J$5,IF(B332=19,'Date masura OD'!$AL$5,M331))</f>
        <v>45808</v>
      </c>
      <c r="N332" s="104">
        <f>VLOOKUP(E332,verificare!$AR$4:$CC$33,B332+2,FALSE)</f>
        <v>189120</v>
      </c>
      <c r="O332" s="103">
        <f>HLOOKUP(VLOOKUP(E332,'Date SPV'!$B$4:$F$34,5,FALSE),'Preturi si tarife'!$C$2:$J$39,B332+2,FALSE)*10000</f>
        <v>330.3</v>
      </c>
      <c r="Q332" s="101" t="str">
        <f t="shared" si="34"/>
        <v>One-off</v>
      </c>
      <c r="R332" s="101" t="str">
        <f>VLOOKUP(K332,'Preturi si tarife'!$B$4:$K$39,10,FALSE)</f>
        <v>ICOENG0001</v>
      </c>
      <c r="T332" s="101" t="str">
        <f t="shared" si="35"/>
        <v>INV + 30</v>
      </c>
      <c r="V332" s="101" t="str">
        <f t="shared" si="36"/>
        <v>Active</v>
      </c>
      <c r="X332" s="101" t="str">
        <f t="shared" si="37"/>
        <v>One-off</v>
      </c>
      <c r="AC332" s="101" t="str">
        <f t="shared" si="40"/>
        <v>RON</v>
      </c>
      <c r="AD332" s="101">
        <f t="shared" si="41"/>
        <v>10000</v>
      </c>
    </row>
    <row r="333" spans="1:30">
      <c r="A333" s="101">
        <f t="shared" si="42"/>
        <v>10</v>
      </c>
      <c r="B333" s="101">
        <f t="shared" si="38"/>
        <v>8</v>
      </c>
      <c r="C333" s="101" t="str">
        <f t="shared" si="39"/>
        <v>T8</v>
      </c>
      <c r="D333" s="101" t="str">
        <f>IF(A333&lt;&gt;A332,VLOOKUP(A333,'Date SPV'!$A:$D,4,FALSE),D332)</f>
        <v>Vulcan Value Centre SRL</v>
      </c>
      <c r="E333" s="101" t="str">
        <f>VLOOKUP(A333,'Date SPV'!$A$4:$B$34,2,FALSE)</f>
        <v>RVUL</v>
      </c>
      <c r="H333" s="105" t="s">
        <v>894</v>
      </c>
      <c r="K333" s="101" t="str">
        <f>VLOOKUP(C333,'Preturi si tarife'!$A$4:$B$39,2,FALSE)</f>
        <v>Tarif de introducere en.el in retea (TG)</v>
      </c>
      <c r="L333" s="102">
        <f>IF(B333=1,'Date masura OD'!$I$5,IF(B333=19,'Date masura OD'!$AK$5,L332))</f>
        <v>45778</v>
      </c>
      <c r="M333" s="102">
        <f>IF(B333=1,'Date masura OD'!$J$5,IF(B333=19,'Date masura OD'!$AL$5,M332))</f>
        <v>45808</v>
      </c>
      <c r="N333" s="104">
        <f>VLOOKUP(E333,verificare!$AR$4:$CC$33,B333+2,FALSE)</f>
        <v>189120</v>
      </c>
      <c r="O333" s="103">
        <f>HLOOKUP(VLOOKUP(E333,'Date SPV'!$B$4:$F$34,5,FALSE),'Preturi si tarife'!$C$2:$J$39,B333+2,FALSE)*10000</f>
        <v>32.9</v>
      </c>
      <c r="Q333" s="101" t="str">
        <f t="shared" si="34"/>
        <v>One-off</v>
      </c>
      <c r="R333" s="101" t="str">
        <f>VLOOKUP(K333,'Preturi si tarife'!$B$4:$K$39,10,FALSE)</f>
        <v>ICOENG0001</v>
      </c>
      <c r="T333" s="101" t="str">
        <f t="shared" si="35"/>
        <v>INV + 30</v>
      </c>
      <c r="V333" s="101" t="str">
        <f t="shared" si="36"/>
        <v>Active</v>
      </c>
      <c r="X333" s="101" t="str">
        <f t="shared" si="37"/>
        <v>One-off</v>
      </c>
      <c r="AC333" s="101" t="str">
        <f t="shared" si="40"/>
        <v>RON</v>
      </c>
      <c r="AD333" s="101">
        <f t="shared" si="41"/>
        <v>10000</v>
      </c>
    </row>
    <row r="334" spans="1:30">
      <c r="A334" s="101">
        <f t="shared" si="42"/>
        <v>10</v>
      </c>
      <c r="B334" s="101">
        <f t="shared" si="38"/>
        <v>9</v>
      </c>
      <c r="C334" s="101" t="str">
        <f t="shared" si="39"/>
        <v>T9</v>
      </c>
      <c r="D334" s="101" t="str">
        <f>IF(A334&lt;&gt;A333,VLOOKUP(A334,'Date SPV'!$A:$D,4,FALSE),D333)</f>
        <v>Vulcan Value Centre SRL</v>
      </c>
      <c r="E334" s="101" t="str">
        <f>VLOOKUP(A334,'Date SPV'!$A$4:$B$34,2,FALSE)</f>
        <v>RVUL</v>
      </c>
      <c r="H334" s="105" t="s">
        <v>894</v>
      </c>
      <c r="K334" s="101" t="str">
        <f>VLOOKUP(C334,'Preturi si tarife'!$A$4:$B$39,2,FALSE)</f>
        <v>Contributie pentru cogenerare</v>
      </c>
      <c r="L334" s="102">
        <f>IF(B334=1,'Date masura OD'!$I$5,IF(B334=19,'Date masura OD'!$AK$5,L333))</f>
        <v>45778</v>
      </c>
      <c r="M334" s="102">
        <f>IF(B334=1,'Date masura OD'!$J$5,IF(B334=19,'Date masura OD'!$AL$5,M333))</f>
        <v>45808</v>
      </c>
      <c r="N334" s="104">
        <f>VLOOKUP(E334,verificare!$AR$4:$CC$33,B334+2,FALSE)</f>
        <v>189120</v>
      </c>
      <c r="O334" s="103">
        <f>HLOOKUP(VLOOKUP(E334,'Date SPV'!$B$4:$F$34,5,FALSE),'Preturi si tarife'!$C$2:$J$39,B334+2,FALSE)*10000</f>
        <v>35</v>
      </c>
      <c r="Q334" s="101" t="str">
        <f t="shared" si="34"/>
        <v>One-off</v>
      </c>
      <c r="R334" s="101" t="str">
        <f>VLOOKUP(K334,'Preturi si tarife'!$B$4:$K$39,10,FALSE)</f>
        <v>ICOENG0001</v>
      </c>
      <c r="T334" s="101" t="str">
        <f t="shared" si="35"/>
        <v>INV + 30</v>
      </c>
      <c r="V334" s="101" t="str">
        <f t="shared" si="36"/>
        <v>Active</v>
      </c>
      <c r="X334" s="101" t="str">
        <f t="shared" si="37"/>
        <v>One-off</v>
      </c>
      <c r="AC334" s="101" t="str">
        <f t="shared" si="40"/>
        <v>RON</v>
      </c>
      <c r="AD334" s="101">
        <f t="shared" si="41"/>
        <v>10000</v>
      </c>
    </row>
    <row r="335" spans="1:30">
      <c r="A335" s="101">
        <f t="shared" si="42"/>
        <v>10</v>
      </c>
      <c r="B335" s="101">
        <f t="shared" si="38"/>
        <v>10</v>
      </c>
      <c r="C335" s="101" t="str">
        <f t="shared" si="39"/>
        <v>T10</v>
      </c>
      <c r="D335" s="101" t="str">
        <f>IF(A335&lt;&gt;A334,VLOOKUP(A335,'Date SPV'!$A:$D,4,FALSE),D334)</f>
        <v>Vulcan Value Centre SRL</v>
      </c>
      <c r="E335" s="101" t="str">
        <f>VLOOKUP(A335,'Date SPV'!$A$4:$B$34,2,FALSE)</f>
        <v>RVUL</v>
      </c>
      <c r="H335" s="105" t="s">
        <v>894</v>
      </c>
      <c r="K335" s="101" t="str">
        <f>VLOOKUP(C335,'Preturi si tarife'!$A$4:$B$39,2,FALSE)</f>
        <v xml:space="preserve">Certificate verzi </v>
      </c>
      <c r="L335" s="102">
        <f>IF(B335=1,'Date masura OD'!$I$5,IF(B335=19,'Date masura OD'!$AK$5,L334))</f>
        <v>45778</v>
      </c>
      <c r="M335" s="102">
        <f>IF(B335=1,'Date masura OD'!$J$5,IF(B335=19,'Date masura OD'!$AL$5,M334))</f>
        <v>45808</v>
      </c>
      <c r="N335" s="104">
        <f>VLOOKUP(E335,verificare!$AR$4:$CC$33,B335+2,FALSE)</f>
        <v>189120</v>
      </c>
      <c r="O335" s="103">
        <f>HLOOKUP(VLOOKUP(E335,'Date SPV'!$B$4:$F$34,5,FALSE),'Preturi si tarife'!$C$2:$J$39,B335+2,FALSE)*10000</f>
        <v>725.41599999999994</v>
      </c>
      <c r="Q335" s="101" t="str">
        <f t="shared" si="34"/>
        <v>One-off</v>
      </c>
      <c r="R335" s="101" t="str">
        <f>VLOOKUP(K335,'Preturi si tarife'!$B$4:$K$39,10,FALSE)</f>
        <v>ICOENG0001</v>
      </c>
      <c r="T335" s="101" t="str">
        <f t="shared" si="35"/>
        <v>INV + 30</v>
      </c>
      <c r="V335" s="101" t="str">
        <f t="shared" si="36"/>
        <v>Active</v>
      </c>
      <c r="X335" s="101" t="str">
        <f t="shared" si="37"/>
        <v>One-off</v>
      </c>
      <c r="AC335" s="101" t="str">
        <f t="shared" si="40"/>
        <v>RON</v>
      </c>
      <c r="AD335" s="101">
        <f t="shared" si="41"/>
        <v>10000</v>
      </c>
    </row>
    <row r="336" spans="1:30">
      <c r="A336" s="101">
        <f t="shared" si="42"/>
        <v>10</v>
      </c>
      <c r="B336" s="101">
        <f t="shared" si="38"/>
        <v>11</v>
      </c>
      <c r="C336" s="101" t="str">
        <f t="shared" si="39"/>
        <v>T11</v>
      </c>
      <c r="D336" s="101" t="str">
        <f>IF(A336&lt;&gt;A335,VLOOKUP(A336,'Date SPV'!$A:$D,4,FALSE),D335)</f>
        <v>Vulcan Value Centre SRL</v>
      </c>
      <c r="E336" s="101" t="str">
        <f>VLOOKUP(A336,'Date SPV'!$A$4:$B$34,2,FALSE)</f>
        <v>RVUL</v>
      </c>
      <c r="H336" s="105" t="s">
        <v>894</v>
      </c>
      <c r="K336" s="101" t="str">
        <f>VLOOKUP(C336,'Preturi si tarife'!$A$4:$B$39,2,FALSE)</f>
        <v>Contributie CFD</v>
      </c>
      <c r="L336" s="102">
        <f>IF(B336=1,'Date masura OD'!$I$5,IF(B336=19,'Date masura OD'!$AK$5,L335))</f>
        <v>45778</v>
      </c>
      <c r="M336" s="102">
        <f>IF(B336=1,'Date masura OD'!$J$5,IF(B336=19,'Date masura OD'!$AL$5,M335))</f>
        <v>45808</v>
      </c>
      <c r="N336" s="104">
        <f>VLOOKUP(E336,verificare!$AR$4:$CC$33,B336+2,FALSE)</f>
        <v>189120</v>
      </c>
      <c r="O336" s="103">
        <f>HLOOKUP(VLOOKUP(E336,'Date SPV'!$B$4:$F$34,5,FALSE),'Preturi si tarife'!$C$2:$J$39,B336+2,FALSE)*10000</f>
        <v>2.06</v>
      </c>
      <c r="Q336" s="101" t="str">
        <f t="shared" si="34"/>
        <v>One-off</v>
      </c>
      <c r="R336" s="101" t="str">
        <f>VLOOKUP(K336,'Preturi si tarife'!$B$4:$K$39,10,FALSE)</f>
        <v>ICOENG0001</v>
      </c>
      <c r="T336" s="101" t="str">
        <f t="shared" si="35"/>
        <v>INV + 30</v>
      </c>
      <c r="V336" s="101" t="str">
        <f t="shared" si="36"/>
        <v>Active</v>
      </c>
      <c r="X336" s="101" t="str">
        <f t="shared" si="37"/>
        <v>One-off</v>
      </c>
      <c r="AC336" s="101" t="str">
        <f t="shared" si="40"/>
        <v>RON</v>
      </c>
      <c r="AD336" s="101">
        <f t="shared" si="41"/>
        <v>10000</v>
      </c>
    </row>
    <row r="337" spans="1:30">
      <c r="A337" s="101">
        <f t="shared" si="42"/>
        <v>10</v>
      </c>
      <c r="B337" s="101">
        <f t="shared" si="38"/>
        <v>12</v>
      </c>
      <c r="C337" s="101" t="str">
        <f t="shared" si="39"/>
        <v>T12</v>
      </c>
      <c r="D337" s="101" t="str">
        <f>IF(A337&lt;&gt;A336,VLOOKUP(A337,'Date SPV'!$A:$D,4,FALSE),D336)</f>
        <v>Vulcan Value Centre SRL</v>
      </c>
      <c r="E337" s="101" t="str">
        <f>VLOOKUP(A337,'Date SPV'!$A$4:$B$34,2,FALSE)</f>
        <v>RVUL</v>
      </c>
      <c r="H337" s="105" t="s">
        <v>894</v>
      </c>
      <c r="K337" s="101" t="str">
        <f>VLOOKUP(C337,'Preturi si tarife'!$A$4:$B$39,2,FALSE)</f>
        <v>Acciza</v>
      </c>
      <c r="L337" s="102">
        <f>IF(B337=1,'Date masura OD'!$I$5,IF(B337=19,'Date masura OD'!$AK$5,L336))</f>
        <v>45778</v>
      </c>
      <c r="M337" s="102">
        <f>IF(B337=1,'Date masura OD'!$J$5,IF(B337=19,'Date masura OD'!$AL$5,M336))</f>
        <v>45808</v>
      </c>
      <c r="N337" s="104">
        <f>VLOOKUP(E337,verificare!$AR$4:$CC$33,B337+2,FALSE)</f>
        <v>189120</v>
      </c>
      <c r="O337" s="103">
        <f>HLOOKUP(VLOOKUP(E337,'Date SPV'!$B$4:$F$34,5,FALSE),'Preturi si tarife'!$C$2:$J$39,B337+2,FALSE)*10000</f>
        <v>0</v>
      </c>
      <c r="Q337" s="101" t="str">
        <f t="shared" si="34"/>
        <v>One-off</v>
      </c>
      <c r="R337" s="101" t="str">
        <f>VLOOKUP(K337,'Preturi si tarife'!$B$4:$K$39,10,FALSE)</f>
        <v>ICOENG0001</v>
      </c>
      <c r="T337" s="101" t="str">
        <f t="shared" si="35"/>
        <v>INV + 30</v>
      </c>
      <c r="V337" s="101" t="str">
        <f t="shared" si="36"/>
        <v>Active</v>
      </c>
      <c r="X337" s="101" t="str">
        <f t="shared" si="37"/>
        <v>One-off</v>
      </c>
      <c r="AC337" s="101" t="str">
        <f t="shared" si="40"/>
        <v>RON</v>
      </c>
      <c r="AD337" s="101">
        <f t="shared" si="41"/>
        <v>10000</v>
      </c>
    </row>
    <row r="338" spans="1:30">
      <c r="A338" s="101">
        <f t="shared" si="42"/>
        <v>10</v>
      </c>
      <c r="B338" s="101">
        <f t="shared" si="38"/>
        <v>13</v>
      </c>
      <c r="C338" s="101" t="str">
        <f t="shared" si="39"/>
        <v>T13</v>
      </c>
      <c r="D338" s="101" t="str">
        <f>IF(A338&lt;&gt;A337,VLOOKUP(A338,'Date SPV'!$A:$D,4,FALSE),D337)</f>
        <v>Vulcan Value Centre SRL</v>
      </c>
      <c r="E338" s="101" t="str">
        <f>VLOOKUP(A338,'Date SPV'!$A$4:$B$34,2,FALSE)</f>
        <v>RVUL</v>
      </c>
      <c r="H338" s="105" t="s">
        <v>894</v>
      </c>
      <c r="K338" s="101" t="str">
        <f>VLOOKUP(C338,'Preturi si tarife'!$A$4:$B$39,2,FALSE)</f>
        <v>Tarif distributie SDI MT</v>
      </c>
      <c r="L338" s="102">
        <f>IF(B338=1,'Date masura OD'!$I$5,IF(B338=19,'Date masura OD'!$AK$5,L337))</f>
        <v>45778</v>
      </c>
      <c r="M338" s="102">
        <f>IF(B338=1,'Date masura OD'!$J$5,IF(B338=19,'Date masura OD'!$AL$5,M337))</f>
        <v>45808</v>
      </c>
      <c r="N338" s="104">
        <f>VLOOKUP(E338,verificare!$AR$4:$CC$33,B338+2,FALSE)</f>
        <v>189120</v>
      </c>
      <c r="O338" s="103">
        <f>HLOOKUP(VLOOKUP(E338,'Date SPV'!$B$4:$F$34,5,FALSE),'Preturi si tarife'!$C$2:$J$39,B338+2,FALSE)*10000</f>
        <v>113.00000000000001</v>
      </c>
      <c r="Q338" s="101" t="str">
        <f t="shared" si="34"/>
        <v>One-off</v>
      </c>
      <c r="R338" s="101" t="str">
        <f>VLOOKUP(K338,'Preturi si tarife'!$B$4:$K$39,10,FALSE)</f>
        <v>ICOENG0010</v>
      </c>
      <c r="T338" s="101" t="str">
        <f t="shared" si="35"/>
        <v>INV + 30</v>
      </c>
      <c r="V338" s="101" t="str">
        <f t="shared" si="36"/>
        <v>Active</v>
      </c>
      <c r="X338" s="101" t="str">
        <f t="shared" si="37"/>
        <v>One-off</v>
      </c>
      <c r="AC338" s="101" t="str">
        <f t="shared" si="40"/>
        <v>RON</v>
      </c>
      <c r="AD338" s="101">
        <f t="shared" si="41"/>
        <v>10000</v>
      </c>
    </row>
    <row r="339" spans="1:30">
      <c r="A339" s="101">
        <f t="shared" si="42"/>
        <v>10</v>
      </c>
      <c r="B339" s="101">
        <f t="shared" si="38"/>
        <v>14</v>
      </c>
      <c r="C339" s="101" t="str">
        <f t="shared" si="39"/>
        <v>T14</v>
      </c>
      <c r="D339" s="101" t="str">
        <f>IF(A339&lt;&gt;A338,VLOOKUP(A339,'Date SPV'!$A:$D,4,FALSE),D338)</f>
        <v>Vulcan Value Centre SRL</v>
      </c>
      <c r="E339" s="101" t="str">
        <f>VLOOKUP(A339,'Date SPV'!$A$4:$B$34,2,FALSE)</f>
        <v>RVUL</v>
      </c>
      <c r="H339" s="105" t="s">
        <v>894</v>
      </c>
      <c r="K339" s="101" t="str">
        <f>VLOOKUP(C339,'Preturi si tarife'!$A$4:$B$39,2,FALSE)</f>
        <v>Tarif distributie SDI JT</v>
      </c>
      <c r="L339" s="102">
        <f>IF(B339=1,'Date masura OD'!$I$5,IF(B339=19,'Date masura OD'!$AK$5,L338))</f>
        <v>45778</v>
      </c>
      <c r="M339" s="102">
        <f>IF(B339=1,'Date masura OD'!$J$5,IF(B339=19,'Date masura OD'!$AL$5,M338))</f>
        <v>45808</v>
      </c>
      <c r="N339" s="104">
        <f>VLOOKUP(E339,verificare!$AR$4:$CC$33,B339+2,FALSE)</f>
        <v>189120</v>
      </c>
      <c r="O339" s="103">
        <f>HLOOKUP(VLOOKUP(E339,'Date SPV'!$B$4:$F$34,5,FALSE),'Preturi si tarife'!$C$2:$J$39,B339+2,FALSE)*10000</f>
        <v>840.99999999999989</v>
      </c>
      <c r="Q339" s="101" t="str">
        <f t="shared" si="34"/>
        <v>One-off</v>
      </c>
      <c r="R339" s="101" t="str">
        <f>VLOOKUP(K339,'Preturi si tarife'!$B$4:$K$39,10,FALSE)</f>
        <v>ICOENG0010</v>
      </c>
      <c r="T339" s="101" t="str">
        <f t="shared" si="35"/>
        <v>INV + 30</v>
      </c>
      <c r="V339" s="101" t="str">
        <f t="shared" si="36"/>
        <v>Active</v>
      </c>
      <c r="X339" s="101" t="str">
        <f t="shared" si="37"/>
        <v>One-off</v>
      </c>
      <c r="AC339" s="101" t="str">
        <f t="shared" si="40"/>
        <v>RON</v>
      </c>
      <c r="AD339" s="101">
        <f t="shared" si="41"/>
        <v>10000</v>
      </c>
    </row>
    <row r="340" spans="1:30">
      <c r="A340" s="101">
        <f t="shared" si="42"/>
        <v>10</v>
      </c>
      <c r="B340" s="101">
        <f t="shared" si="38"/>
        <v>15</v>
      </c>
      <c r="C340" s="101" t="str">
        <f t="shared" si="39"/>
        <v>T15</v>
      </c>
      <c r="D340" s="101" t="str">
        <f>IF(A340&lt;&gt;A339,VLOOKUP(A340,'Date SPV'!$A:$D,4,FALSE),D339)</f>
        <v>Vulcan Value Centre SRL</v>
      </c>
      <c r="E340" s="101" t="str">
        <f>VLOOKUP(A340,'Date SPV'!$A$4:$B$34,2,FALSE)</f>
        <v>RVUL</v>
      </c>
      <c r="H340" s="105" t="s">
        <v>894</v>
      </c>
      <c r="K340" s="101" t="str">
        <f>VLOOKUP(C340,'Preturi si tarife'!$A$4:$B$39,2,FALSE)</f>
        <v>Energie activa 2</v>
      </c>
      <c r="L340" s="102">
        <f>IF(B340=1,'Date masura OD'!$I$5,IF(B340=19,'Date masura OD'!$AK$5,L339))</f>
        <v>45778</v>
      </c>
      <c r="M340" s="102">
        <f>IF(B340=1,'Date masura OD'!$J$5,IF(B340=19,'Date masura OD'!$AL$5,M339))</f>
        <v>45808</v>
      </c>
      <c r="N340" s="104">
        <f>VLOOKUP(E340,verificare!$AR$4:$CC$33,B340+2,FALSE)</f>
        <v>138160</v>
      </c>
      <c r="O340" s="103">
        <f>HLOOKUP(VLOOKUP(E340,'Date SPV'!$B$4:$F$34,5,FALSE),'Preturi si tarife'!$C$2:$J$39,B340+2,FALSE)*10000</f>
        <v>9006.5760000000009</v>
      </c>
      <c r="Q340" s="101" t="str">
        <f t="shared" si="34"/>
        <v>One-off</v>
      </c>
      <c r="R340" s="101" t="str">
        <f>VLOOKUP(K340,'Preturi si tarife'!$B$4:$K$39,10,FALSE)</f>
        <v>ICOENG0012</v>
      </c>
      <c r="T340" s="101" t="str">
        <f t="shared" si="35"/>
        <v>INV + 30</v>
      </c>
      <c r="V340" s="101" t="str">
        <f t="shared" si="36"/>
        <v>Active</v>
      </c>
      <c r="X340" s="101" t="str">
        <f t="shared" si="37"/>
        <v>One-off</v>
      </c>
      <c r="AC340" s="101" t="str">
        <f t="shared" si="40"/>
        <v>RON</v>
      </c>
      <c r="AD340" s="101">
        <f t="shared" si="41"/>
        <v>10000</v>
      </c>
    </row>
    <row r="341" spans="1:30">
      <c r="A341" s="101">
        <f t="shared" si="42"/>
        <v>10</v>
      </c>
      <c r="B341" s="101">
        <f t="shared" si="38"/>
        <v>16</v>
      </c>
      <c r="C341" s="101" t="str">
        <f t="shared" si="39"/>
        <v>T16</v>
      </c>
      <c r="D341" s="101" t="str">
        <f>IF(A341&lt;&gt;A340,VLOOKUP(A341,'Date SPV'!$A:$D,4,FALSE),D340)</f>
        <v>Vulcan Value Centre SRL</v>
      </c>
      <c r="E341" s="101" t="str">
        <f>VLOOKUP(A341,'Date SPV'!$A$4:$B$34,2,FALSE)</f>
        <v>RVUL</v>
      </c>
      <c r="H341" s="105" t="s">
        <v>894</v>
      </c>
      <c r="K341" s="101" t="str">
        <f>VLOOKUP(C341,'Preturi si tarife'!$A$4:$B$39,2,FALSE)</f>
        <v>Energie activa 3</v>
      </c>
      <c r="L341" s="102">
        <f>IF(B341=1,'Date masura OD'!$I$5,IF(B341=19,'Date masura OD'!$AK$5,L340))</f>
        <v>45778</v>
      </c>
      <c r="M341" s="102">
        <f>IF(B341=1,'Date masura OD'!$J$5,IF(B341=19,'Date masura OD'!$AL$5,M340))</f>
        <v>45808</v>
      </c>
      <c r="N341" s="104">
        <f>VLOOKUP(E341,verificare!$AR$4:$CC$33,B341+2,FALSE)</f>
        <v>3742</v>
      </c>
      <c r="O341" s="103">
        <f>HLOOKUP(VLOOKUP(E341,'Date SPV'!$B$4:$F$34,5,FALSE),'Preturi si tarife'!$C$2:$J$39,B341+2,FALSE)*10000</f>
        <v>8052.576</v>
      </c>
      <c r="Q341" s="101" t="str">
        <f t="shared" si="34"/>
        <v>One-off</v>
      </c>
      <c r="R341" s="101" t="str">
        <f>VLOOKUP(K341,'Preturi si tarife'!$B$4:$K$39,10,FALSE)</f>
        <v>ICOENG0012</v>
      </c>
      <c r="T341" s="101" t="str">
        <f t="shared" si="35"/>
        <v>INV + 30</v>
      </c>
      <c r="V341" s="101" t="str">
        <f t="shared" si="36"/>
        <v>Active</v>
      </c>
      <c r="X341" s="101" t="str">
        <f t="shared" si="37"/>
        <v>One-off</v>
      </c>
      <c r="AC341" s="101" t="str">
        <f t="shared" si="40"/>
        <v>RON</v>
      </c>
      <c r="AD341" s="101">
        <f t="shared" si="41"/>
        <v>10000</v>
      </c>
    </row>
    <row r="342" spans="1:30">
      <c r="A342" s="101">
        <f t="shared" si="42"/>
        <v>10</v>
      </c>
      <c r="B342" s="101">
        <f t="shared" si="38"/>
        <v>17</v>
      </c>
      <c r="C342" s="101" t="str">
        <f t="shared" si="39"/>
        <v>T17</v>
      </c>
      <c r="D342" s="101" t="str">
        <f>IF(A342&lt;&gt;A341,VLOOKUP(A342,'Date SPV'!$A:$D,4,FALSE),D341)</f>
        <v>Vulcan Value Centre SRL</v>
      </c>
      <c r="E342" s="101" t="str">
        <f>VLOOKUP(A342,'Date SPV'!$A$4:$B$34,2,FALSE)</f>
        <v>RVUL</v>
      </c>
      <c r="H342" s="105" t="s">
        <v>894</v>
      </c>
      <c r="K342" s="101" t="str">
        <f>VLOOKUP(C342,'Preturi si tarife'!$A$4:$B$39,2,FALSE)</f>
        <v>Tarif distributie SDI MT_</v>
      </c>
      <c r="L342" s="102">
        <f>IF(B342=1,'Date masura OD'!$I$5,IF(B342=19,'Date masura OD'!$AK$5,L341))</f>
        <v>45778</v>
      </c>
      <c r="M342" s="102">
        <f>IF(B342=1,'Date masura OD'!$J$5,IF(B342=19,'Date masura OD'!$AL$5,M341))</f>
        <v>45808</v>
      </c>
      <c r="N342" s="104">
        <f>VLOOKUP(E342,verificare!$AR$4:$CC$33,B342+2,FALSE)</f>
        <v>3742</v>
      </c>
      <c r="O342" s="103">
        <f>HLOOKUP(VLOOKUP(E342,'Date SPV'!$B$4:$F$34,5,FALSE),'Preturi si tarife'!$C$2:$J$39,B342+2,FALSE)*10000</f>
        <v>113.00000000000001</v>
      </c>
      <c r="Q342" s="101" t="str">
        <f t="shared" si="34"/>
        <v>One-off</v>
      </c>
      <c r="R342" s="101" t="str">
        <f>VLOOKUP(K342,'Preturi si tarife'!$B$4:$K$39,10,FALSE)</f>
        <v>ICOENG0010</v>
      </c>
      <c r="T342" s="101" t="str">
        <f t="shared" si="35"/>
        <v>INV + 30</v>
      </c>
      <c r="V342" s="101" t="str">
        <f t="shared" si="36"/>
        <v>Active</v>
      </c>
      <c r="X342" s="101" t="str">
        <f t="shared" si="37"/>
        <v>One-off</v>
      </c>
      <c r="AC342" s="101" t="str">
        <f t="shared" si="40"/>
        <v>RON</v>
      </c>
      <c r="AD342" s="101">
        <f t="shared" si="41"/>
        <v>10000</v>
      </c>
    </row>
    <row r="343" spans="1:30">
      <c r="A343" s="101">
        <f t="shared" si="42"/>
        <v>10</v>
      </c>
      <c r="B343" s="101">
        <f t="shared" si="38"/>
        <v>18</v>
      </c>
      <c r="C343" s="101" t="str">
        <f t="shared" si="39"/>
        <v>T18</v>
      </c>
      <c r="D343" s="101" t="str">
        <f>IF(A343&lt;&gt;A342,VLOOKUP(A343,'Date SPV'!$A:$D,4,FALSE),D342)</f>
        <v>Vulcan Value Centre SRL</v>
      </c>
      <c r="E343" s="101" t="str">
        <f>VLOOKUP(A343,'Date SPV'!$A$4:$B$34,2,FALSE)</f>
        <v>RVUL</v>
      </c>
      <c r="H343" s="105" t="s">
        <v>894</v>
      </c>
      <c r="K343" s="101" t="str">
        <f>VLOOKUP(C343,'Preturi si tarife'!$A$4:$B$39,2,FALSE)</f>
        <v>Tarif distributie SDI JT_</v>
      </c>
      <c r="L343" s="102">
        <f>IF(B343=1,'Date masura OD'!$I$5,IF(B343=19,'Date masura OD'!$AK$5,L342))</f>
        <v>45778</v>
      </c>
      <c r="M343" s="102">
        <f>IF(B343=1,'Date masura OD'!$J$5,IF(B343=19,'Date masura OD'!$AL$5,M342))</f>
        <v>45808</v>
      </c>
      <c r="N343" s="104">
        <f>VLOOKUP(E343,verificare!$AR$4:$CC$33,B343+2,FALSE)</f>
        <v>3742</v>
      </c>
      <c r="O343" s="103">
        <f>HLOOKUP(VLOOKUP(E343,'Date SPV'!$B$4:$F$34,5,FALSE),'Preturi si tarife'!$C$2:$J$39,B343+2,FALSE)*10000</f>
        <v>840.99999999999989</v>
      </c>
      <c r="Q343" s="101" t="str">
        <f t="shared" si="34"/>
        <v>One-off</v>
      </c>
      <c r="R343" s="101" t="str">
        <f>VLOOKUP(K343,'Preturi si tarife'!$B$4:$K$39,10,FALSE)</f>
        <v>ICOENG0010</v>
      </c>
      <c r="T343" s="101" t="str">
        <f t="shared" si="35"/>
        <v>INV + 30</v>
      </c>
      <c r="V343" s="101" t="str">
        <f t="shared" si="36"/>
        <v>Active</v>
      </c>
      <c r="X343" s="101" t="str">
        <f t="shared" si="37"/>
        <v>One-off</v>
      </c>
      <c r="AC343" s="101" t="str">
        <f t="shared" si="40"/>
        <v>RON</v>
      </c>
      <c r="AD343" s="101">
        <f t="shared" si="41"/>
        <v>10000</v>
      </c>
    </row>
    <row r="344" spans="1:30">
      <c r="A344" s="101">
        <f t="shared" si="42"/>
        <v>10</v>
      </c>
      <c r="B344" s="101">
        <f t="shared" si="38"/>
        <v>19</v>
      </c>
      <c r="C344" s="101" t="str">
        <f t="shared" si="39"/>
        <v>T19</v>
      </c>
      <c r="D344" s="101" t="str">
        <f>IF(A344&lt;&gt;A343,VLOOKUP(A344,'Date SPV'!$A:$D,4,FALSE),D343)</f>
        <v>Vulcan Value Centre SRL</v>
      </c>
      <c r="E344" s="101" t="str">
        <f>VLOOKUP(A344,'Date SPV'!$A$4:$B$34,2,FALSE)</f>
        <v>RVUL</v>
      </c>
      <c r="H344" s="105" t="s">
        <v>894</v>
      </c>
      <c r="K344" s="101" t="str">
        <f>VLOOKUP(C344,'Preturi si tarife'!$A$4:$B$39,2,FALSE)</f>
        <v>Regularizare Energie activa 1</v>
      </c>
      <c r="L344" s="102">
        <f>IF(B344=1,'Date masura OD'!$I$5,IF(B344=19,'Date masura OD'!$AK$5,L343))</f>
        <v>45748</v>
      </c>
      <c r="M344" s="102">
        <f>IF(B344=1,'Date masura OD'!$J$5,IF(B344=19,'Date masura OD'!$AL$5,M343))</f>
        <v>45777</v>
      </c>
      <c r="N344" s="104">
        <f>VLOOKUP(E344,verificare!$AR$4:$CC$33,B344+2,FALSE)</f>
        <v>0</v>
      </c>
      <c r="O344" s="103">
        <f>HLOOKUP(VLOOKUP(E344,'Date SPV'!$B$4:$F$34,5,FALSE),'Preturi si tarife'!$C$2:$J$39,B344+2,FALSE)*10000</f>
        <v>5950</v>
      </c>
      <c r="Q344" s="101" t="str">
        <f t="shared" si="34"/>
        <v>One-off</v>
      </c>
      <c r="R344" s="101" t="str">
        <f>VLOOKUP(K344,'Preturi si tarife'!$B$4:$K$39,10,FALSE)</f>
        <v>ICOENG0001</v>
      </c>
      <c r="T344" s="101" t="str">
        <f t="shared" si="35"/>
        <v>INV + 30</v>
      </c>
      <c r="V344" s="101" t="str">
        <f t="shared" si="36"/>
        <v>Active</v>
      </c>
      <c r="X344" s="101" t="str">
        <f t="shared" si="37"/>
        <v>One-off</v>
      </c>
      <c r="AC344" s="101" t="str">
        <f t="shared" si="40"/>
        <v>RON</v>
      </c>
      <c r="AD344" s="101">
        <f t="shared" si="41"/>
        <v>10000</v>
      </c>
    </row>
    <row r="345" spans="1:30">
      <c r="A345" s="101">
        <f t="shared" si="42"/>
        <v>10</v>
      </c>
      <c r="B345" s="101">
        <f t="shared" si="38"/>
        <v>20</v>
      </c>
      <c r="C345" s="101" t="str">
        <f t="shared" si="39"/>
        <v>T20</v>
      </c>
      <c r="D345" s="101" t="str">
        <f>IF(A345&lt;&gt;A344,VLOOKUP(A345,'Date SPV'!$A:$D,4,FALSE),D344)</f>
        <v>Vulcan Value Centre SRL</v>
      </c>
      <c r="E345" s="101" t="str">
        <f>VLOOKUP(A345,'Date SPV'!$A$4:$B$34,2,FALSE)</f>
        <v>RVUL</v>
      </c>
      <c r="H345" s="105" t="s">
        <v>894</v>
      </c>
      <c r="K345" s="101" t="str">
        <f>VLOOKUP(C345,'Preturi si tarife'!$A$4:$B$39,2,FALSE)</f>
        <v>Regularizare Energie reactiva  1X</v>
      </c>
      <c r="L345" s="102">
        <f>IF(B345=1,'Date masura OD'!$I$5,IF(B345=19,'Date masura OD'!$AK$5,L344))</f>
        <v>45748</v>
      </c>
      <c r="M345" s="102">
        <f>IF(B345=1,'Date masura OD'!$J$5,IF(B345=19,'Date masura OD'!$AL$5,M344))</f>
        <v>45777</v>
      </c>
      <c r="N345" s="104">
        <f>VLOOKUP(E345,verificare!$AR$4:$CC$33,B345+2,FALSE)</f>
        <v>0</v>
      </c>
      <c r="O345" s="103">
        <f>HLOOKUP(VLOOKUP(E345,'Date SPV'!$B$4:$F$34,5,FALSE),'Preturi si tarife'!$C$2:$J$39,B345+2,FALSE)*10000</f>
        <v>1466</v>
      </c>
      <c r="Q345" s="101" t="str">
        <f t="shared" si="34"/>
        <v>One-off</v>
      </c>
      <c r="R345" s="101" t="str">
        <f>VLOOKUP(K345,'Preturi si tarife'!$B$4:$K$39,10,FALSE)</f>
        <v>ICOENG0001</v>
      </c>
      <c r="T345" s="101" t="str">
        <f t="shared" si="35"/>
        <v>INV + 30</v>
      </c>
      <c r="V345" s="101" t="str">
        <f t="shared" si="36"/>
        <v>Active</v>
      </c>
      <c r="X345" s="101" t="str">
        <f t="shared" si="37"/>
        <v>One-off</v>
      </c>
      <c r="AC345" s="101" t="str">
        <f t="shared" si="40"/>
        <v>RON</v>
      </c>
      <c r="AD345" s="101">
        <f t="shared" si="41"/>
        <v>10000</v>
      </c>
    </row>
    <row r="346" spans="1:30">
      <c r="A346" s="101">
        <f t="shared" si="42"/>
        <v>10</v>
      </c>
      <c r="B346" s="101">
        <f t="shared" si="38"/>
        <v>21</v>
      </c>
      <c r="C346" s="101" t="str">
        <f t="shared" si="39"/>
        <v>T21</v>
      </c>
      <c r="D346" s="101" t="str">
        <f>IF(A346&lt;&gt;A345,VLOOKUP(A346,'Date SPV'!$A:$D,4,FALSE),D345)</f>
        <v>Vulcan Value Centre SRL</v>
      </c>
      <c r="E346" s="101" t="str">
        <f>VLOOKUP(A346,'Date SPV'!$A$4:$B$34,2,FALSE)</f>
        <v>RVUL</v>
      </c>
      <c r="H346" s="105" t="s">
        <v>894</v>
      </c>
      <c r="K346" s="101" t="str">
        <f>VLOOKUP(C346,'Preturi si tarife'!$A$4:$B$39,2,FALSE)</f>
        <v>Regularizare Energie reactiva  3X</v>
      </c>
      <c r="L346" s="102">
        <f>IF(B346=1,'Date masura OD'!$I$5,IF(B346=19,'Date masura OD'!$AK$5,L345))</f>
        <v>45748</v>
      </c>
      <c r="M346" s="102">
        <f>IF(B346=1,'Date masura OD'!$J$5,IF(B346=19,'Date masura OD'!$AL$5,M345))</f>
        <v>45777</v>
      </c>
      <c r="N346" s="104">
        <f>VLOOKUP(E346,verificare!$AR$4:$CC$33,B346+2,FALSE)</f>
        <v>0</v>
      </c>
      <c r="O346" s="103">
        <f>HLOOKUP(VLOOKUP(E346,'Date SPV'!$B$4:$F$34,5,FALSE),'Preturi si tarife'!$C$2:$J$39,B346+2,FALSE)*10000</f>
        <v>4398</v>
      </c>
      <c r="Q346" s="101" t="str">
        <f t="shared" si="34"/>
        <v>One-off</v>
      </c>
      <c r="R346" s="101" t="str">
        <f>VLOOKUP(K346,'Preturi si tarife'!$B$4:$K$39,10,FALSE)</f>
        <v>ICOENG0001</v>
      </c>
      <c r="T346" s="101" t="str">
        <f t="shared" si="35"/>
        <v>INV + 30</v>
      </c>
      <c r="V346" s="101" t="str">
        <f t="shared" si="36"/>
        <v>Active</v>
      </c>
      <c r="X346" s="101" t="str">
        <f t="shared" si="37"/>
        <v>One-off</v>
      </c>
      <c r="AC346" s="101" t="str">
        <f t="shared" si="40"/>
        <v>RON</v>
      </c>
      <c r="AD346" s="101">
        <f t="shared" si="41"/>
        <v>10000</v>
      </c>
    </row>
    <row r="347" spans="1:30">
      <c r="A347" s="101">
        <f t="shared" si="42"/>
        <v>10</v>
      </c>
      <c r="B347" s="101">
        <f t="shared" si="38"/>
        <v>22</v>
      </c>
      <c r="C347" s="101" t="str">
        <f t="shared" si="39"/>
        <v>T22</v>
      </c>
      <c r="D347" s="101" t="str">
        <f>IF(A347&lt;&gt;A346,VLOOKUP(A347,'Date SPV'!$A:$D,4,FALSE),D346)</f>
        <v>Vulcan Value Centre SRL</v>
      </c>
      <c r="E347" s="101" t="str">
        <f>VLOOKUP(A347,'Date SPV'!$A$4:$B$34,2,FALSE)</f>
        <v>RVUL</v>
      </c>
      <c r="H347" s="105" t="s">
        <v>894</v>
      </c>
      <c r="K347" s="101" t="str">
        <f>VLOOKUP(C347,'Preturi si tarife'!$A$4:$B$39,2,FALSE)</f>
        <v>Regularizare Tarife distributie en. El IT+MT</v>
      </c>
      <c r="L347" s="102">
        <f>IF(B347=1,'Date masura OD'!$I$5,IF(B347=19,'Date masura OD'!$AK$5,L346))</f>
        <v>45748</v>
      </c>
      <c r="M347" s="102">
        <f>IF(B347=1,'Date masura OD'!$J$5,IF(B347=19,'Date masura OD'!$AL$5,M346))</f>
        <v>45777</v>
      </c>
      <c r="N347" s="104">
        <f>VLOOKUP(E347,verificare!$AR$4:$CC$33,B347+2,FALSE)</f>
        <v>0</v>
      </c>
      <c r="O347" s="103">
        <f>HLOOKUP(VLOOKUP(E347,'Date SPV'!$B$4:$F$34,5,FALSE),'Preturi si tarife'!$C$2:$J$39,B347+2,FALSE)*10000</f>
        <v>861.80000000000007</v>
      </c>
      <c r="Q347" s="101" t="str">
        <f t="shared" si="34"/>
        <v>One-off</v>
      </c>
      <c r="R347" s="101" t="str">
        <f>VLOOKUP(K347,'Preturi si tarife'!$B$4:$K$39,10,FALSE)</f>
        <v>ICOENG0001</v>
      </c>
      <c r="T347" s="101" t="str">
        <f t="shared" si="35"/>
        <v>INV + 30</v>
      </c>
      <c r="V347" s="101" t="str">
        <f t="shared" si="36"/>
        <v>Active</v>
      </c>
      <c r="X347" s="101" t="str">
        <f t="shared" si="37"/>
        <v>One-off</v>
      </c>
      <c r="AC347" s="101" t="str">
        <f t="shared" si="40"/>
        <v>RON</v>
      </c>
      <c r="AD347" s="101">
        <f t="shared" si="41"/>
        <v>10000</v>
      </c>
    </row>
    <row r="348" spans="1:30">
      <c r="A348" s="101">
        <f t="shared" si="42"/>
        <v>10</v>
      </c>
      <c r="B348" s="101">
        <f t="shared" si="38"/>
        <v>23</v>
      </c>
      <c r="C348" s="101" t="str">
        <f t="shared" si="39"/>
        <v>T23</v>
      </c>
      <c r="D348" s="101" t="str">
        <f>IF(A348&lt;&gt;A347,VLOOKUP(A348,'Date SPV'!$A:$D,4,FALSE),D347)</f>
        <v>Vulcan Value Centre SRL</v>
      </c>
      <c r="E348" s="101" t="str">
        <f>VLOOKUP(A348,'Date SPV'!$A$4:$B$34,2,FALSE)</f>
        <v>RVUL</v>
      </c>
      <c r="H348" s="105" t="s">
        <v>894</v>
      </c>
      <c r="K348" s="101" t="str">
        <f>VLOOKUP(C348,'Preturi si tarife'!$A$4:$B$39,2,FALSE)</f>
        <v>Regularizare Tarife distributie en. El JT</v>
      </c>
      <c r="L348" s="102">
        <f>IF(B348=1,'Date masura OD'!$I$5,IF(B348=19,'Date masura OD'!$AK$5,L347))</f>
        <v>45748</v>
      </c>
      <c r="M348" s="102">
        <f>IF(B348=1,'Date masura OD'!$J$5,IF(B348=19,'Date masura OD'!$AL$5,M347))</f>
        <v>45777</v>
      </c>
      <c r="N348" s="104">
        <f>VLOOKUP(E348,verificare!$AR$4:$CC$33,B348+2,FALSE)</f>
        <v>0</v>
      </c>
      <c r="O348" s="103">
        <f>HLOOKUP(VLOOKUP(E348,'Date SPV'!$B$4:$F$34,5,FALSE),'Preturi si tarife'!$C$2:$J$39,B348+2,FALSE)*10000</f>
        <v>2079</v>
      </c>
      <c r="Q348" s="101" t="str">
        <f t="shared" si="34"/>
        <v>One-off</v>
      </c>
      <c r="R348" s="101" t="str">
        <f>VLOOKUP(K348,'Preturi si tarife'!$B$4:$K$39,10,FALSE)</f>
        <v>ICOENG0001</v>
      </c>
      <c r="T348" s="101" t="str">
        <f t="shared" si="35"/>
        <v>INV + 30</v>
      </c>
      <c r="V348" s="101" t="str">
        <f t="shared" si="36"/>
        <v>Active</v>
      </c>
      <c r="X348" s="101" t="str">
        <f t="shared" si="37"/>
        <v>One-off</v>
      </c>
      <c r="AC348" s="101" t="str">
        <f t="shared" si="40"/>
        <v>RON</v>
      </c>
      <c r="AD348" s="101">
        <f t="shared" si="41"/>
        <v>10000</v>
      </c>
    </row>
    <row r="349" spans="1:30">
      <c r="A349" s="101">
        <f t="shared" si="42"/>
        <v>10</v>
      </c>
      <c r="B349" s="101">
        <f t="shared" si="38"/>
        <v>24</v>
      </c>
      <c r="C349" s="101" t="str">
        <f t="shared" si="39"/>
        <v>T24</v>
      </c>
      <c r="D349" s="101" t="str">
        <f>IF(A349&lt;&gt;A348,VLOOKUP(A349,'Date SPV'!$A:$D,4,FALSE),D348)</f>
        <v>Vulcan Value Centre SRL</v>
      </c>
      <c r="E349" s="101" t="str">
        <f>VLOOKUP(A349,'Date SPV'!$A$4:$B$34,2,FALSE)</f>
        <v>RVUL</v>
      </c>
      <c r="H349" s="105" t="s">
        <v>894</v>
      </c>
      <c r="K349" s="101" t="str">
        <f>VLOOKUP(C349,'Preturi si tarife'!$A$4:$B$39,2,FALSE)</f>
        <v xml:space="preserve">Regularizare Servicii Sistem </v>
      </c>
      <c r="L349" s="102">
        <f>IF(B349=1,'Date masura OD'!$I$5,IF(B349=19,'Date masura OD'!$AK$5,L348))</f>
        <v>45748</v>
      </c>
      <c r="M349" s="102">
        <f>IF(B349=1,'Date masura OD'!$J$5,IF(B349=19,'Date masura OD'!$AL$5,M348))</f>
        <v>45777</v>
      </c>
      <c r="N349" s="104">
        <f>VLOOKUP(E349,verificare!$AR$4:$CC$33,B349+2,FALSE)</f>
        <v>0</v>
      </c>
      <c r="O349" s="103">
        <f>HLOOKUP(VLOOKUP(E349,'Date SPV'!$B$4:$F$34,5,FALSE),'Preturi si tarife'!$C$2:$J$39,B349+2,FALSE)*10000</f>
        <v>115.1</v>
      </c>
      <c r="Q349" s="101" t="str">
        <f t="shared" si="34"/>
        <v>One-off</v>
      </c>
      <c r="R349" s="101" t="str">
        <f>VLOOKUP(K349,'Preturi si tarife'!$B$4:$K$39,10,FALSE)</f>
        <v>ICOENG0001</v>
      </c>
      <c r="T349" s="101" t="str">
        <f t="shared" si="35"/>
        <v>INV + 30</v>
      </c>
      <c r="V349" s="101" t="str">
        <f t="shared" si="36"/>
        <v>Active</v>
      </c>
      <c r="X349" s="101" t="str">
        <f t="shared" si="37"/>
        <v>One-off</v>
      </c>
      <c r="AC349" s="101" t="str">
        <f t="shared" si="40"/>
        <v>RON</v>
      </c>
      <c r="AD349" s="101">
        <f t="shared" si="41"/>
        <v>10000</v>
      </c>
    </row>
    <row r="350" spans="1:30">
      <c r="A350" s="101">
        <f t="shared" si="42"/>
        <v>10</v>
      </c>
      <c r="B350" s="101">
        <f t="shared" si="38"/>
        <v>25</v>
      </c>
      <c r="C350" s="101" t="str">
        <f t="shared" si="39"/>
        <v>T25</v>
      </c>
      <c r="D350" s="101" t="str">
        <f>IF(A350&lt;&gt;A349,VLOOKUP(A350,'Date SPV'!$A:$D,4,FALSE),D349)</f>
        <v>Vulcan Value Centre SRL</v>
      </c>
      <c r="E350" s="101" t="str">
        <f>VLOOKUP(A350,'Date SPV'!$A$4:$B$34,2,FALSE)</f>
        <v>RVUL</v>
      </c>
      <c r="H350" s="105" t="s">
        <v>894</v>
      </c>
      <c r="K350" s="101" t="str">
        <f>VLOOKUP(C350,'Preturi si tarife'!$A$4:$B$39,2,FALSE)</f>
        <v>Regularizare Tarif de introducere en. el in retea (TL)</v>
      </c>
      <c r="L350" s="102">
        <f>IF(B350=1,'Date masura OD'!$I$5,IF(B350=19,'Date masura OD'!$AK$5,L349))</f>
        <v>45748</v>
      </c>
      <c r="M350" s="102">
        <f>IF(B350=1,'Date masura OD'!$J$5,IF(B350=19,'Date masura OD'!$AL$5,M349))</f>
        <v>45777</v>
      </c>
      <c r="N350" s="104">
        <f>VLOOKUP(E350,verificare!$AR$4:$CC$33,B350+2,FALSE)</f>
        <v>0</v>
      </c>
      <c r="O350" s="103">
        <f>HLOOKUP(VLOOKUP(E350,'Date SPV'!$B$4:$F$34,5,FALSE),'Preturi si tarife'!$C$2:$J$39,B350+2,FALSE)*10000</f>
        <v>330.3</v>
      </c>
      <c r="Q350" s="101" t="str">
        <f t="shared" si="34"/>
        <v>One-off</v>
      </c>
      <c r="R350" s="101" t="str">
        <f>VLOOKUP(K350,'Preturi si tarife'!$B$4:$K$39,10,FALSE)</f>
        <v>ICOENG0001</v>
      </c>
      <c r="T350" s="101" t="str">
        <f t="shared" si="35"/>
        <v>INV + 30</v>
      </c>
      <c r="V350" s="101" t="str">
        <f t="shared" si="36"/>
        <v>Active</v>
      </c>
      <c r="X350" s="101" t="str">
        <f t="shared" si="37"/>
        <v>One-off</v>
      </c>
      <c r="AC350" s="101" t="str">
        <f t="shared" si="40"/>
        <v>RON</v>
      </c>
      <c r="AD350" s="101">
        <f t="shared" si="41"/>
        <v>10000</v>
      </c>
    </row>
    <row r="351" spans="1:30">
      <c r="A351" s="101">
        <f t="shared" si="42"/>
        <v>10</v>
      </c>
      <c r="B351" s="101">
        <f t="shared" si="38"/>
        <v>26</v>
      </c>
      <c r="C351" s="101" t="str">
        <f t="shared" si="39"/>
        <v>T26</v>
      </c>
      <c r="D351" s="101" t="str">
        <f>IF(A351&lt;&gt;A350,VLOOKUP(A351,'Date SPV'!$A:$D,4,FALSE),D350)</f>
        <v>Vulcan Value Centre SRL</v>
      </c>
      <c r="E351" s="101" t="str">
        <f>VLOOKUP(A351,'Date SPV'!$A$4:$B$34,2,FALSE)</f>
        <v>RVUL</v>
      </c>
      <c r="H351" s="105" t="s">
        <v>894</v>
      </c>
      <c r="K351" s="101" t="str">
        <f>VLOOKUP(C351,'Preturi si tarife'!$A$4:$B$39,2,FALSE)</f>
        <v>Regularizare Tarif de introducere en.el in retea (TG)</v>
      </c>
      <c r="L351" s="102">
        <f>IF(B351=1,'Date masura OD'!$I$5,IF(B351=19,'Date masura OD'!$AK$5,L350))</f>
        <v>45748</v>
      </c>
      <c r="M351" s="102">
        <f>IF(B351=1,'Date masura OD'!$J$5,IF(B351=19,'Date masura OD'!$AL$5,M350))</f>
        <v>45777</v>
      </c>
      <c r="N351" s="104">
        <f>VLOOKUP(E351,verificare!$AR$4:$CC$33,B351+2,FALSE)</f>
        <v>0</v>
      </c>
      <c r="O351" s="103">
        <f>HLOOKUP(VLOOKUP(E351,'Date SPV'!$B$4:$F$34,5,FALSE),'Preturi si tarife'!$C$2:$J$39,B351+2,FALSE)*10000</f>
        <v>32.9</v>
      </c>
      <c r="Q351" s="101" t="str">
        <f t="shared" si="34"/>
        <v>One-off</v>
      </c>
      <c r="R351" s="101" t="str">
        <f>VLOOKUP(K351,'Preturi si tarife'!$B$4:$K$39,10,FALSE)</f>
        <v>ICOENG0001</v>
      </c>
      <c r="T351" s="101" t="str">
        <f t="shared" si="35"/>
        <v>INV + 30</v>
      </c>
      <c r="V351" s="101" t="str">
        <f t="shared" si="36"/>
        <v>Active</v>
      </c>
      <c r="X351" s="101" t="str">
        <f t="shared" si="37"/>
        <v>One-off</v>
      </c>
      <c r="AC351" s="101" t="str">
        <f t="shared" si="40"/>
        <v>RON</v>
      </c>
      <c r="AD351" s="101">
        <f t="shared" si="41"/>
        <v>10000</v>
      </c>
    </row>
    <row r="352" spans="1:30">
      <c r="A352" s="101">
        <f t="shared" si="42"/>
        <v>10</v>
      </c>
      <c r="B352" s="101">
        <f t="shared" si="38"/>
        <v>27</v>
      </c>
      <c r="C352" s="101" t="str">
        <f t="shared" si="39"/>
        <v>T27</v>
      </c>
      <c r="D352" s="101" t="str">
        <f>IF(A352&lt;&gt;A351,VLOOKUP(A352,'Date SPV'!$A:$D,4,FALSE),D351)</f>
        <v>Vulcan Value Centre SRL</v>
      </c>
      <c r="E352" s="101" t="str">
        <f>VLOOKUP(A352,'Date SPV'!$A$4:$B$34,2,FALSE)</f>
        <v>RVUL</v>
      </c>
      <c r="H352" s="105" t="s">
        <v>894</v>
      </c>
      <c r="K352" s="101" t="str">
        <f>VLOOKUP(C352,'Preturi si tarife'!$A$4:$B$39,2,FALSE)</f>
        <v>Regularizare Contributie pentru cogenerare</v>
      </c>
      <c r="L352" s="102">
        <f>IF(B352=1,'Date masura OD'!$I$5,IF(B352=19,'Date masura OD'!$AK$5,L351))</f>
        <v>45748</v>
      </c>
      <c r="M352" s="102">
        <f>IF(B352=1,'Date masura OD'!$J$5,IF(B352=19,'Date masura OD'!$AL$5,M351))</f>
        <v>45777</v>
      </c>
      <c r="N352" s="104">
        <f>VLOOKUP(E352,verificare!$AR$4:$CC$33,B352+2,FALSE)</f>
        <v>0</v>
      </c>
      <c r="O352" s="103">
        <f>HLOOKUP(VLOOKUP(E352,'Date SPV'!$B$4:$F$34,5,FALSE),'Preturi si tarife'!$C$2:$J$39,B352+2,FALSE)*10000</f>
        <v>35</v>
      </c>
      <c r="Q352" s="101" t="str">
        <f t="shared" si="34"/>
        <v>One-off</v>
      </c>
      <c r="R352" s="101" t="str">
        <f>VLOOKUP(K352,'Preturi si tarife'!$B$4:$K$39,10,FALSE)</f>
        <v>ICOENG0001</v>
      </c>
      <c r="T352" s="101" t="str">
        <f t="shared" si="35"/>
        <v>INV + 30</v>
      </c>
      <c r="V352" s="101" t="str">
        <f t="shared" si="36"/>
        <v>Active</v>
      </c>
      <c r="X352" s="101" t="str">
        <f t="shared" si="37"/>
        <v>One-off</v>
      </c>
      <c r="AC352" s="101" t="str">
        <f t="shared" si="40"/>
        <v>RON</v>
      </c>
      <c r="AD352" s="101">
        <f t="shared" si="41"/>
        <v>10000</v>
      </c>
    </row>
    <row r="353" spans="1:30">
      <c r="A353" s="101">
        <f t="shared" si="42"/>
        <v>10</v>
      </c>
      <c r="B353" s="101">
        <f t="shared" si="38"/>
        <v>28</v>
      </c>
      <c r="C353" s="101" t="str">
        <f t="shared" si="39"/>
        <v>T28</v>
      </c>
      <c r="D353" s="101" t="str">
        <f>IF(A353&lt;&gt;A352,VLOOKUP(A353,'Date SPV'!$A:$D,4,FALSE),D352)</f>
        <v>Vulcan Value Centre SRL</v>
      </c>
      <c r="E353" s="101" t="str">
        <f>VLOOKUP(A353,'Date SPV'!$A$4:$B$34,2,FALSE)</f>
        <v>RVUL</v>
      </c>
      <c r="H353" s="105" t="s">
        <v>894</v>
      </c>
      <c r="K353" s="101" t="str">
        <f>VLOOKUP(C353,'Preturi si tarife'!$A$4:$B$39,2,FALSE)</f>
        <v xml:space="preserve">Regularizare Certificate verzi </v>
      </c>
      <c r="L353" s="102">
        <f>IF(B353=1,'Date masura OD'!$I$5,IF(B353=19,'Date masura OD'!$AK$5,L352))</f>
        <v>45748</v>
      </c>
      <c r="M353" s="102">
        <f>IF(B353=1,'Date masura OD'!$J$5,IF(B353=19,'Date masura OD'!$AL$5,M352))</f>
        <v>45777</v>
      </c>
      <c r="N353" s="104">
        <f>VLOOKUP(E353,verificare!$AR$4:$CC$33,B353+2,FALSE)</f>
        <v>0</v>
      </c>
      <c r="O353" s="103">
        <f>HLOOKUP(VLOOKUP(E353,'Date SPV'!$B$4:$F$34,5,FALSE),'Preturi si tarife'!$C$2:$J$39,B353+2,FALSE)*10000</f>
        <v>725.41599999999994</v>
      </c>
      <c r="Q353" s="101" t="str">
        <f t="shared" si="34"/>
        <v>One-off</v>
      </c>
      <c r="R353" s="101" t="str">
        <f>VLOOKUP(K353,'Preturi si tarife'!$B$4:$K$39,10,FALSE)</f>
        <v>ICOENG0001</v>
      </c>
      <c r="T353" s="101" t="str">
        <f t="shared" si="35"/>
        <v>INV + 30</v>
      </c>
      <c r="V353" s="101" t="str">
        <f t="shared" si="36"/>
        <v>Active</v>
      </c>
      <c r="X353" s="101" t="str">
        <f t="shared" si="37"/>
        <v>One-off</v>
      </c>
      <c r="AC353" s="101" t="str">
        <f t="shared" si="40"/>
        <v>RON</v>
      </c>
      <c r="AD353" s="101">
        <f t="shared" si="41"/>
        <v>10000</v>
      </c>
    </row>
    <row r="354" spans="1:30">
      <c r="A354" s="101">
        <f t="shared" si="42"/>
        <v>10</v>
      </c>
      <c r="B354" s="101">
        <f t="shared" si="38"/>
        <v>29</v>
      </c>
      <c r="C354" s="101" t="str">
        <f t="shared" si="39"/>
        <v>T29</v>
      </c>
      <c r="D354" s="101" t="str">
        <f>IF(A354&lt;&gt;A353,VLOOKUP(A354,'Date SPV'!$A:$D,4,FALSE),D353)</f>
        <v>Vulcan Value Centre SRL</v>
      </c>
      <c r="E354" s="101" t="str">
        <f>VLOOKUP(A354,'Date SPV'!$A$4:$B$34,2,FALSE)</f>
        <v>RVUL</v>
      </c>
      <c r="H354" s="105" t="s">
        <v>894</v>
      </c>
      <c r="K354" s="101" t="str">
        <f>VLOOKUP(C354,'Preturi si tarife'!$A$4:$B$39,2,FALSE)</f>
        <v>Regularizare Contributie CFD</v>
      </c>
      <c r="L354" s="102">
        <f>IF(B354=1,'Date masura OD'!$I$5,IF(B354=19,'Date masura OD'!$AK$5,L353))</f>
        <v>45748</v>
      </c>
      <c r="M354" s="102">
        <f>IF(B354=1,'Date masura OD'!$J$5,IF(B354=19,'Date masura OD'!$AL$5,M353))</f>
        <v>45777</v>
      </c>
      <c r="N354" s="104">
        <f>VLOOKUP(E354,verificare!$AR$4:$CC$33,B354+2,FALSE)</f>
        <v>0</v>
      </c>
      <c r="O354" s="103">
        <f>HLOOKUP(VLOOKUP(E354,'Date SPV'!$B$4:$F$34,5,FALSE),'Preturi si tarife'!$C$2:$J$39,B354+2,FALSE)*10000</f>
        <v>2.06</v>
      </c>
      <c r="Q354" s="101" t="str">
        <f t="shared" si="34"/>
        <v>One-off</v>
      </c>
      <c r="R354" s="101" t="str">
        <f>VLOOKUP(K354,'Preturi si tarife'!$B$4:$K$39,10,FALSE)</f>
        <v>ICOENG0001</v>
      </c>
      <c r="T354" s="101" t="str">
        <f t="shared" si="35"/>
        <v>INV + 30</v>
      </c>
      <c r="V354" s="101" t="str">
        <f t="shared" si="36"/>
        <v>Active</v>
      </c>
      <c r="X354" s="101" t="str">
        <f t="shared" si="37"/>
        <v>One-off</v>
      </c>
      <c r="AC354" s="101" t="str">
        <f t="shared" si="40"/>
        <v>RON</v>
      </c>
      <c r="AD354" s="101">
        <f t="shared" si="41"/>
        <v>10000</v>
      </c>
    </row>
    <row r="355" spans="1:30">
      <c r="A355" s="101">
        <f t="shared" si="42"/>
        <v>10</v>
      </c>
      <c r="B355" s="101">
        <f t="shared" si="38"/>
        <v>30</v>
      </c>
      <c r="C355" s="101" t="str">
        <f t="shared" si="39"/>
        <v>T30</v>
      </c>
      <c r="D355" s="101" t="str">
        <f>IF(A355&lt;&gt;A354,VLOOKUP(A355,'Date SPV'!$A:$D,4,FALSE),D354)</f>
        <v>Vulcan Value Centre SRL</v>
      </c>
      <c r="E355" s="101" t="str">
        <f>VLOOKUP(A355,'Date SPV'!$A$4:$B$34,2,FALSE)</f>
        <v>RVUL</v>
      </c>
      <c r="H355" s="105" t="s">
        <v>894</v>
      </c>
      <c r="K355" s="101" t="str">
        <f>VLOOKUP(C355,'Preturi si tarife'!$A$4:$B$39,2,FALSE)</f>
        <v>Regularizare Acciza</v>
      </c>
      <c r="L355" s="102">
        <f>IF(B355=1,'Date masura OD'!$I$5,IF(B355=19,'Date masura OD'!$AK$5,L354))</f>
        <v>45748</v>
      </c>
      <c r="M355" s="102">
        <f>IF(B355=1,'Date masura OD'!$J$5,IF(B355=19,'Date masura OD'!$AL$5,M354))</f>
        <v>45777</v>
      </c>
      <c r="N355" s="104">
        <f>VLOOKUP(E355,verificare!$AR$4:$CC$33,B355+2,FALSE)</f>
        <v>0</v>
      </c>
      <c r="O355" s="103">
        <f>HLOOKUP(VLOOKUP(E355,'Date SPV'!$B$4:$F$34,5,FALSE),'Preturi si tarife'!$C$2:$J$39,B355+2,FALSE)*10000</f>
        <v>0</v>
      </c>
      <c r="Q355" s="101" t="str">
        <f t="shared" si="34"/>
        <v>One-off</v>
      </c>
      <c r="R355" s="101" t="str">
        <f>VLOOKUP(K355,'Preturi si tarife'!$B$4:$K$39,10,FALSE)</f>
        <v>ICOENG0001</v>
      </c>
      <c r="T355" s="101" t="str">
        <f t="shared" si="35"/>
        <v>INV + 30</v>
      </c>
      <c r="V355" s="101" t="str">
        <f t="shared" si="36"/>
        <v>Active</v>
      </c>
      <c r="X355" s="101" t="str">
        <f t="shared" si="37"/>
        <v>One-off</v>
      </c>
      <c r="AC355" s="101" t="str">
        <f t="shared" si="40"/>
        <v>RON</v>
      </c>
      <c r="AD355" s="101">
        <f t="shared" si="41"/>
        <v>10000</v>
      </c>
    </row>
    <row r="356" spans="1:30">
      <c r="A356" s="101">
        <f t="shared" si="42"/>
        <v>10</v>
      </c>
      <c r="B356" s="101">
        <f t="shared" si="38"/>
        <v>31</v>
      </c>
      <c r="C356" s="101" t="str">
        <f t="shared" si="39"/>
        <v>T31</v>
      </c>
      <c r="D356" s="101" t="str">
        <f>IF(A356&lt;&gt;A355,VLOOKUP(A356,'Date SPV'!$A:$D,4,FALSE),D355)</f>
        <v>Vulcan Value Centre SRL</v>
      </c>
      <c r="E356" s="101" t="str">
        <f>VLOOKUP(A356,'Date SPV'!$A$4:$B$34,2,FALSE)</f>
        <v>RVUL</v>
      </c>
      <c r="H356" s="105" t="s">
        <v>894</v>
      </c>
      <c r="K356" s="101" t="str">
        <f>VLOOKUP(C356,'Preturi si tarife'!$A$4:$B$39,2,FALSE)</f>
        <v>Regularizare Tarif distributie SDI MT Ea1</v>
      </c>
      <c r="L356" s="102">
        <f>IF(B356=1,'Date masura OD'!$I$5,IF(B356=19,'Date masura OD'!$AK$5,L355))</f>
        <v>45748</v>
      </c>
      <c r="M356" s="102">
        <f>IF(B356=1,'Date masura OD'!$J$5,IF(B356=19,'Date masura OD'!$AL$5,M355))</f>
        <v>45777</v>
      </c>
      <c r="N356" s="104">
        <f>VLOOKUP(E356,verificare!$AR$4:$CC$33,B356+2,FALSE)</f>
        <v>0</v>
      </c>
      <c r="O356" s="103">
        <f>HLOOKUP(VLOOKUP(E356,'Date SPV'!$B$4:$F$34,5,FALSE),'Preturi si tarife'!$C$2:$J$39,B356+2,FALSE)*10000</f>
        <v>113.00000000000001</v>
      </c>
      <c r="Q356" s="101" t="str">
        <f t="shared" si="34"/>
        <v>One-off</v>
      </c>
      <c r="R356" s="101" t="str">
        <f>VLOOKUP(K356,'Preturi si tarife'!$B$4:$K$39,10,FALSE)</f>
        <v>ICOENG0010</v>
      </c>
      <c r="T356" s="101" t="str">
        <f t="shared" si="35"/>
        <v>INV + 30</v>
      </c>
      <c r="V356" s="101" t="str">
        <f t="shared" si="36"/>
        <v>Active</v>
      </c>
      <c r="X356" s="101" t="str">
        <f t="shared" si="37"/>
        <v>One-off</v>
      </c>
      <c r="AC356" s="101" t="str">
        <f t="shared" si="40"/>
        <v>RON</v>
      </c>
      <c r="AD356" s="101">
        <f t="shared" si="41"/>
        <v>10000</v>
      </c>
    </row>
    <row r="357" spans="1:30">
      <c r="A357" s="101">
        <f t="shared" si="42"/>
        <v>10</v>
      </c>
      <c r="B357" s="101">
        <f t="shared" si="38"/>
        <v>32</v>
      </c>
      <c r="C357" s="101" t="str">
        <f t="shared" si="39"/>
        <v>T32</v>
      </c>
      <c r="D357" s="101" t="str">
        <f>IF(A357&lt;&gt;A356,VLOOKUP(A357,'Date SPV'!$A:$D,4,FALSE),D356)</f>
        <v>Vulcan Value Centre SRL</v>
      </c>
      <c r="E357" s="101" t="str">
        <f>VLOOKUP(A357,'Date SPV'!$A$4:$B$34,2,FALSE)</f>
        <v>RVUL</v>
      </c>
      <c r="H357" s="105" t="s">
        <v>894</v>
      </c>
      <c r="K357" s="101" t="str">
        <f>VLOOKUP(C357,'Preturi si tarife'!$A$4:$B$39,2,FALSE)</f>
        <v>Regularizare Tarif distributie SDI JT Ea1</v>
      </c>
      <c r="L357" s="102">
        <f>IF(B357=1,'Date masura OD'!$I$5,IF(B357=19,'Date masura OD'!$AK$5,L356))</f>
        <v>45748</v>
      </c>
      <c r="M357" s="102">
        <f>IF(B357=1,'Date masura OD'!$J$5,IF(B357=19,'Date masura OD'!$AL$5,M356))</f>
        <v>45777</v>
      </c>
      <c r="N357" s="104">
        <f>VLOOKUP(E357,verificare!$AR$4:$CC$33,B357+2,FALSE)</f>
        <v>0</v>
      </c>
      <c r="O357" s="103">
        <f>HLOOKUP(VLOOKUP(E357,'Date SPV'!$B$4:$F$34,5,FALSE),'Preturi si tarife'!$C$2:$J$39,B357+2,FALSE)*10000</f>
        <v>840.99999999999989</v>
      </c>
      <c r="Q357" s="101" t="str">
        <f t="shared" si="34"/>
        <v>One-off</v>
      </c>
      <c r="R357" s="101" t="str">
        <f>VLOOKUP(K357,'Preturi si tarife'!$B$4:$K$39,10,FALSE)</f>
        <v>ICOENG0010</v>
      </c>
      <c r="T357" s="101" t="str">
        <f t="shared" si="35"/>
        <v>INV + 30</v>
      </c>
      <c r="V357" s="101" t="str">
        <f t="shared" si="36"/>
        <v>Active</v>
      </c>
      <c r="X357" s="101" t="str">
        <f t="shared" si="37"/>
        <v>One-off</v>
      </c>
      <c r="AC357" s="101" t="str">
        <f t="shared" si="40"/>
        <v>RON</v>
      </c>
      <c r="AD357" s="101">
        <f t="shared" si="41"/>
        <v>10000</v>
      </c>
    </row>
    <row r="358" spans="1:30">
      <c r="A358" s="101">
        <f t="shared" si="42"/>
        <v>10</v>
      </c>
      <c r="B358" s="101">
        <f t="shared" si="38"/>
        <v>33</v>
      </c>
      <c r="C358" s="101" t="str">
        <f t="shared" si="39"/>
        <v>T33</v>
      </c>
      <c r="D358" s="101" t="str">
        <f>IF(A358&lt;&gt;A357,VLOOKUP(A358,'Date SPV'!$A:$D,4,FALSE),D357)</f>
        <v>Vulcan Value Centre SRL</v>
      </c>
      <c r="E358" s="101" t="str">
        <f>VLOOKUP(A358,'Date SPV'!$A$4:$B$34,2,FALSE)</f>
        <v>RVUL</v>
      </c>
      <c r="H358" s="105" t="s">
        <v>894</v>
      </c>
      <c r="K358" s="101" t="str">
        <f>VLOOKUP(C358,'Preturi si tarife'!$A$4:$B$39,2,FALSE)</f>
        <v>Regularizare Energie activa 2</v>
      </c>
      <c r="L358" s="102">
        <f>IF(B358=1,'Date masura OD'!$I$5,IF(B358=19,'Date masura OD'!$AK$5,L357))</f>
        <v>45748</v>
      </c>
      <c r="M358" s="102">
        <f>IF(B358=1,'Date masura OD'!$J$5,IF(B358=19,'Date masura OD'!$AL$5,M357))</f>
        <v>45777</v>
      </c>
      <c r="N358" s="104">
        <f>VLOOKUP(E358,verificare!$AR$4:$CC$33,B358+2,FALSE)</f>
        <v>0</v>
      </c>
      <c r="O358" s="103">
        <f>HLOOKUP(VLOOKUP(E358,'Date SPV'!$B$4:$F$34,5,FALSE),'Preturi si tarife'!$C$2:$J$39,B358+2,FALSE)*10000</f>
        <v>9006.5760000000009</v>
      </c>
      <c r="Q358" s="101" t="str">
        <f t="shared" si="34"/>
        <v>One-off</v>
      </c>
      <c r="R358" s="101" t="str">
        <f>VLOOKUP(K358,'Preturi si tarife'!$B$4:$K$39,10,FALSE)</f>
        <v>ICOENG0012</v>
      </c>
      <c r="T358" s="101" t="str">
        <f t="shared" si="35"/>
        <v>INV + 30</v>
      </c>
      <c r="V358" s="101" t="str">
        <f t="shared" si="36"/>
        <v>Active</v>
      </c>
      <c r="X358" s="101" t="str">
        <f t="shared" si="37"/>
        <v>One-off</v>
      </c>
      <c r="AC358" s="101" t="str">
        <f t="shared" si="40"/>
        <v>RON</v>
      </c>
      <c r="AD358" s="101">
        <f t="shared" si="41"/>
        <v>10000</v>
      </c>
    </row>
    <row r="359" spans="1:30">
      <c r="A359" s="101">
        <f t="shared" si="42"/>
        <v>10</v>
      </c>
      <c r="B359" s="101">
        <f t="shared" si="38"/>
        <v>34</v>
      </c>
      <c r="C359" s="101" t="str">
        <f t="shared" si="39"/>
        <v>T34</v>
      </c>
      <c r="D359" s="101" t="str">
        <f>IF(A359&lt;&gt;A358,VLOOKUP(A359,'Date SPV'!$A:$D,4,FALSE),D358)</f>
        <v>Vulcan Value Centre SRL</v>
      </c>
      <c r="E359" s="101" t="str">
        <f>VLOOKUP(A359,'Date SPV'!$A$4:$B$34,2,FALSE)</f>
        <v>RVUL</v>
      </c>
      <c r="H359" s="105" t="s">
        <v>894</v>
      </c>
      <c r="K359" s="101" t="str">
        <f>VLOOKUP(C359,'Preturi si tarife'!$A$4:$B$39,2,FALSE)</f>
        <v>Regularizare Energie activa 3</v>
      </c>
      <c r="L359" s="102">
        <f>IF(B359=1,'Date masura OD'!$I$5,IF(B359=19,'Date masura OD'!$AK$5,L358))</f>
        <v>45748</v>
      </c>
      <c r="M359" s="102">
        <f>IF(B359=1,'Date masura OD'!$J$5,IF(B359=19,'Date masura OD'!$AL$5,M358))</f>
        <v>45777</v>
      </c>
      <c r="N359" s="104">
        <f>VLOOKUP(E359,verificare!$AR$4:$CC$33,B359+2,FALSE)</f>
        <v>0</v>
      </c>
      <c r="O359" s="103">
        <f>HLOOKUP(VLOOKUP(E359,'Date SPV'!$B$4:$F$34,5,FALSE),'Preturi si tarife'!$C$2:$J$39,B359+2,FALSE)*10000</f>
        <v>8052.576</v>
      </c>
      <c r="Q359" s="101" t="str">
        <f t="shared" si="34"/>
        <v>One-off</v>
      </c>
      <c r="R359" s="101" t="str">
        <f>VLOOKUP(K359,'Preturi si tarife'!$B$4:$K$39,10,FALSE)</f>
        <v>ICOENG0012</v>
      </c>
      <c r="T359" s="101" t="str">
        <f t="shared" si="35"/>
        <v>INV + 30</v>
      </c>
      <c r="V359" s="101" t="str">
        <f t="shared" si="36"/>
        <v>Active</v>
      </c>
      <c r="X359" s="101" t="str">
        <f t="shared" si="37"/>
        <v>One-off</v>
      </c>
      <c r="AC359" s="101" t="str">
        <f t="shared" si="40"/>
        <v>RON</v>
      </c>
      <c r="AD359" s="101">
        <f t="shared" si="41"/>
        <v>10000</v>
      </c>
    </row>
    <row r="360" spans="1:30">
      <c r="A360" s="101">
        <f t="shared" si="42"/>
        <v>10</v>
      </c>
      <c r="B360" s="101">
        <f t="shared" si="38"/>
        <v>35</v>
      </c>
      <c r="C360" s="101" t="str">
        <f t="shared" si="39"/>
        <v>T35</v>
      </c>
      <c r="D360" s="101" t="str">
        <f>IF(A360&lt;&gt;A359,VLOOKUP(A360,'Date SPV'!$A:$D,4,FALSE),D359)</f>
        <v>Vulcan Value Centre SRL</v>
      </c>
      <c r="E360" s="101" t="str">
        <f>VLOOKUP(A360,'Date SPV'!$A$4:$B$34,2,FALSE)</f>
        <v>RVUL</v>
      </c>
      <c r="H360" s="105" t="s">
        <v>894</v>
      </c>
      <c r="K360" s="101" t="str">
        <f>VLOOKUP(C360,'Preturi si tarife'!$A$4:$B$39,2,FALSE)</f>
        <v>Regularizare Tarif distributie SDI MT Ea3</v>
      </c>
      <c r="L360" s="102">
        <f>IF(B360=1,'Date masura OD'!$I$5,IF(B360=19,'Date masura OD'!$AK$5,L359))</f>
        <v>45748</v>
      </c>
      <c r="M360" s="102">
        <f>IF(B360=1,'Date masura OD'!$J$5,IF(B360=19,'Date masura OD'!$AL$5,M359))</f>
        <v>45777</v>
      </c>
      <c r="N360" s="104">
        <f>VLOOKUP(E360,verificare!$AR$4:$CC$33,B360+2,FALSE)</f>
        <v>0</v>
      </c>
      <c r="O360" s="103">
        <f>HLOOKUP(VLOOKUP(E360,'Date SPV'!$B$4:$F$34,5,FALSE),'Preturi si tarife'!$C$2:$J$39,B360+2,FALSE)*10000</f>
        <v>113.00000000000001</v>
      </c>
      <c r="Q360" s="101" t="str">
        <f t="shared" si="34"/>
        <v>One-off</v>
      </c>
      <c r="R360" s="101" t="str">
        <f>VLOOKUP(K360,'Preturi si tarife'!$B$4:$K$39,10,FALSE)</f>
        <v>ICOENG0010</v>
      </c>
      <c r="T360" s="101" t="str">
        <f t="shared" si="35"/>
        <v>INV + 30</v>
      </c>
      <c r="V360" s="101" t="str">
        <f t="shared" si="36"/>
        <v>Active</v>
      </c>
      <c r="X360" s="101" t="str">
        <f t="shared" si="37"/>
        <v>One-off</v>
      </c>
      <c r="AC360" s="101" t="str">
        <f t="shared" si="40"/>
        <v>RON</v>
      </c>
      <c r="AD360" s="101">
        <f t="shared" si="41"/>
        <v>10000</v>
      </c>
    </row>
    <row r="361" spans="1:30">
      <c r="A361" s="101">
        <f t="shared" si="42"/>
        <v>10</v>
      </c>
      <c r="B361" s="101">
        <f t="shared" si="38"/>
        <v>36</v>
      </c>
      <c r="C361" s="101" t="str">
        <f t="shared" si="39"/>
        <v>T36</v>
      </c>
      <c r="D361" s="101" t="str">
        <f>IF(A361&lt;&gt;A360,VLOOKUP(A361,'Date SPV'!$A:$D,4,FALSE),D360)</f>
        <v>Vulcan Value Centre SRL</v>
      </c>
      <c r="E361" s="101" t="str">
        <f>VLOOKUP(A361,'Date SPV'!$A$4:$B$34,2,FALSE)</f>
        <v>RVUL</v>
      </c>
      <c r="H361" s="105" t="s">
        <v>894</v>
      </c>
      <c r="K361" s="101" t="str">
        <f>VLOOKUP(C361,'Preturi si tarife'!$A$4:$B$39,2,FALSE)</f>
        <v>Regularizare Tarif distributie SDI JT Ea3</v>
      </c>
      <c r="L361" s="102">
        <f>IF(B361=1,'Date masura OD'!$I$5,IF(B361=19,'Date masura OD'!$AK$5,L360))</f>
        <v>45748</v>
      </c>
      <c r="M361" s="102">
        <f>IF(B361=1,'Date masura OD'!$J$5,IF(B361=19,'Date masura OD'!$AL$5,M360))</f>
        <v>45777</v>
      </c>
      <c r="N361" s="104">
        <f>VLOOKUP(E361,verificare!$AR$4:$CC$33,B361+2,FALSE)</f>
        <v>0</v>
      </c>
      <c r="O361" s="103">
        <f>HLOOKUP(VLOOKUP(E361,'Date SPV'!$B$4:$F$34,5,FALSE),'Preturi si tarife'!$C$2:$J$39,B361+2,FALSE)*10000</f>
        <v>840.99999999999989</v>
      </c>
      <c r="Q361" s="101" t="str">
        <f t="shared" si="34"/>
        <v>One-off</v>
      </c>
      <c r="R361" s="101" t="str">
        <f>VLOOKUP(K361,'Preturi si tarife'!$B$4:$K$39,10,FALSE)</f>
        <v>ICOENG0010</v>
      </c>
      <c r="T361" s="101" t="str">
        <f t="shared" si="35"/>
        <v>INV + 30</v>
      </c>
      <c r="V361" s="101" t="str">
        <f t="shared" si="36"/>
        <v>Active</v>
      </c>
      <c r="X361" s="101" t="str">
        <f t="shared" si="37"/>
        <v>One-off</v>
      </c>
      <c r="AC361" s="101" t="str">
        <f t="shared" si="40"/>
        <v>RON</v>
      </c>
      <c r="AD361" s="101">
        <f t="shared" si="41"/>
        <v>10000</v>
      </c>
    </row>
    <row r="362" spans="1:30">
      <c r="A362" s="101">
        <f t="shared" si="42"/>
        <v>11</v>
      </c>
      <c r="B362" s="101">
        <f t="shared" si="38"/>
        <v>1</v>
      </c>
      <c r="C362" s="101" t="str">
        <f t="shared" si="39"/>
        <v>T1</v>
      </c>
      <c r="D362" s="101" t="str">
        <f>IF(A362&lt;&gt;A361,VLOOKUP(A362,'Date SPV'!$A:$D,4,FALSE),D361)</f>
        <v>Festival Shopping Center SRL</v>
      </c>
      <c r="E362" s="101" t="str">
        <f>VLOOKUP(A362,'Date SPV'!$A$4:$B$34,2,FALSE)</f>
        <v>RFSC</v>
      </c>
      <c r="H362" s="105" t="s">
        <v>894</v>
      </c>
      <c r="K362" s="101" t="str">
        <f>VLOOKUP(C362,'Preturi si tarife'!$A$4:$B$39,2,FALSE)</f>
        <v>Energie activa 1</v>
      </c>
      <c r="L362" s="102">
        <f>IF(B362=1,'Date masura OD'!$I$5,IF(B362=19,'Date masura OD'!$AK$5,L361))</f>
        <v>45778</v>
      </c>
      <c r="M362" s="102">
        <f>IF(B362=1,'Date masura OD'!$J$5,IF(B362=19,'Date masura OD'!$AL$5,M361))</f>
        <v>45808</v>
      </c>
      <c r="N362" s="104">
        <f>VLOOKUP(E362,verificare!$AR$4:$CC$33,B362+2,FALSE)</f>
        <v>870503</v>
      </c>
      <c r="O362" s="103">
        <f>HLOOKUP(VLOOKUP(E362,'Date SPV'!$B$4:$F$34,5,FALSE),'Preturi si tarife'!$C$2:$J$39,B362+2,FALSE)*10000</f>
        <v>5950</v>
      </c>
      <c r="Q362" s="101" t="str">
        <f t="shared" si="34"/>
        <v>One-off</v>
      </c>
      <c r="R362" s="101" t="str">
        <f>VLOOKUP(K362,'Preturi si tarife'!$B$4:$K$39,10,FALSE)</f>
        <v>ICOENG0001</v>
      </c>
      <c r="T362" s="101" t="str">
        <f t="shared" si="35"/>
        <v>INV + 30</v>
      </c>
      <c r="V362" s="101" t="str">
        <f t="shared" si="36"/>
        <v>Active</v>
      </c>
      <c r="X362" s="101" t="str">
        <f t="shared" si="37"/>
        <v>One-off</v>
      </c>
      <c r="AC362" s="101" t="str">
        <f t="shared" si="40"/>
        <v>RON</v>
      </c>
      <c r="AD362" s="101">
        <f t="shared" si="41"/>
        <v>10000</v>
      </c>
    </row>
    <row r="363" spans="1:30">
      <c r="A363" s="101">
        <f t="shared" si="42"/>
        <v>11</v>
      </c>
      <c r="B363" s="101">
        <f t="shared" si="38"/>
        <v>2</v>
      </c>
      <c r="C363" s="101" t="str">
        <f t="shared" si="39"/>
        <v>T2</v>
      </c>
      <c r="D363" s="101" t="str">
        <f>IF(A363&lt;&gt;A362,VLOOKUP(A363,'Date SPV'!$A:$D,4,FALSE),D362)</f>
        <v>Festival Shopping Center SRL</v>
      </c>
      <c r="E363" s="101" t="str">
        <f>VLOOKUP(A363,'Date SPV'!$A$4:$B$34,2,FALSE)</f>
        <v>RFSC</v>
      </c>
      <c r="H363" s="105" t="s">
        <v>894</v>
      </c>
      <c r="K363" s="101" t="str">
        <f>VLOOKUP(C363,'Preturi si tarife'!$A$4:$B$39,2,FALSE)</f>
        <v>Energie reactiva  1X</v>
      </c>
      <c r="L363" s="102">
        <f>IF(B363=1,'Date masura OD'!$I$5,IF(B363=19,'Date masura OD'!$AK$5,L362))</f>
        <v>45778</v>
      </c>
      <c r="M363" s="102">
        <f>IF(B363=1,'Date masura OD'!$J$5,IF(B363=19,'Date masura OD'!$AL$5,M362))</f>
        <v>45808</v>
      </c>
      <c r="N363" s="104">
        <f>VLOOKUP(E363,verificare!$AR$4:$CC$33,B363+2,FALSE)</f>
        <v>0</v>
      </c>
      <c r="O363" s="103">
        <f>HLOOKUP(VLOOKUP(E363,'Date SPV'!$B$4:$F$34,5,FALSE),'Preturi si tarife'!$C$2:$J$39,B363+2,FALSE)*10000</f>
        <v>1465</v>
      </c>
      <c r="Q363" s="101" t="str">
        <f t="shared" si="34"/>
        <v>One-off</v>
      </c>
      <c r="R363" s="101" t="str">
        <f>VLOOKUP(K363,'Preturi si tarife'!$B$4:$K$39,10,FALSE)</f>
        <v>ICOENG0001</v>
      </c>
      <c r="T363" s="101" t="str">
        <f t="shared" si="35"/>
        <v>INV + 30</v>
      </c>
      <c r="V363" s="101" t="str">
        <f t="shared" si="36"/>
        <v>Active</v>
      </c>
      <c r="X363" s="101" t="str">
        <f t="shared" si="37"/>
        <v>One-off</v>
      </c>
      <c r="AC363" s="101" t="str">
        <f t="shared" si="40"/>
        <v>RON</v>
      </c>
      <c r="AD363" s="101">
        <f t="shared" si="41"/>
        <v>10000</v>
      </c>
    </row>
    <row r="364" spans="1:30">
      <c r="A364" s="101">
        <f t="shared" si="42"/>
        <v>11</v>
      </c>
      <c r="B364" s="101">
        <f t="shared" si="38"/>
        <v>3</v>
      </c>
      <c r="C364" s="101" t="str">
        <f t="shared" si="39"/>
        <v>T3</v>
      </c>
      <c r="D364" s="101" t="str">
        <f>IF(A364&lt;&gt;A363,VLOOKUP(A364,'Date SPV'!$A:$D,4,FALSE),D363)</f>
        <v>Festival Shopping Center SRL</v>
      </c>
      <c r="E364" s="101" t="str">
        <f>VLOOKUP(A364,'Date SPV'!$A$4:$B$34,2,FALSE)</f>
        <v>RFSC</v>
      </c>
      <c r="H364" s="105" t="s">
        <v>894</v>
      </c>
      <c r="K364" s="101" t="str">
        <f>VLOOKUP(C364,'Preturi si tarife'!$A$4:$B$39,2,FALSE)</f>
        <v>Energie reactiva  3X</v>
      </c>
      <c r="L364" s="102">
        <f>IF(B364=1,'Date masura OD'!$I$5,IF(B364=19,'Date masura OD'!$AK$5,L363))</f>
        <v>45778</v>
      </c>
      <c r="M364" s="102">
        <f>IF(B364=1,'Date masura OD'!$J$5,IF(B364=19,'Date masura OD'!$AL$5,M363))</f>
        <v>45808</v>
      </c>
      <c r="N364" s="104">
        <f>VLOOKUP(E364,verificare!$AR$4:$CC$33,B364+2,FALSE)</f>
        <v>0</v>
      </c>
      <c r="O364" s="103">
        <f>HLOOKUP(VLOOKUP(E364,'Date SPV'!$B$4:$F$34,5,FALSE),'Preturi si tarife'!$C$2:$J$39,B364+2,FALSE)*10000</f>
        <v>4395</v>
      </c>
      <c r="Q364" s="101" t="str">
        <f t="shared" si="34"/>
        <v>One-off</v>
      </c>
      <c r="R364" s="101" t="str">
        <f>VLOOKUP(K364,'Preturi si tarife'!$B$4:$K$39,10,FALSE)</f>
        <v>ICOENG0001</v>
      </c>
      <c r="T364" s="101" t="str">
        <f t="shared" si="35"/>
        <v>INV + 30</v>
      </c>
      <c r="V364" s="101" t="str">
        <f t="shared" si="36"/>
        <v>Active</v>
      </c>
      <c r="X364" s="101" t="str">
        <f t="shared" si="37"/>
        <v>One-off</v>
      </c>
      <c r="AC364" s="101" t="str">
        <f t="shared" si="40"/>
        <v>RON</v>
      </c>
      <c r="AD364" s="101">
        <f t="shared" si="41"/>
        <v>10000</v>
      </c>
    </row>
    <row r="365" spans="1:30">
      <c r="A365" s="101">
        <f t="shared" si="42"/>
        <v>11</v>
      </c>
      <c r="B365" s="101">
        <f t="shared" si="38"/>
        <v>4</v>
      </c>
      <c r="C365" s="101" t="str">
        <f t="shared" si="39"/>
        <v>T4</v>
      </c>
      <c r="D365" s="101" t="str">
        <f>IF(A365&lt;&gt;A364,VLOOKUP(A365,'Date SPV'!$A:$D,4,FALSE),D364)</f>
        <v>Festival Shopping Center SRL</v>
      </c>
      <c r="E365" s="101" t="str">
        <f>VLOOKUP(A365,'Date SPV'!$A$4:$B$34,2,FALSE)</f>
        <v>RFSC</v>
      </c>
      <c r="H365" s="105" t="s">
        <v>894</v>
      </c>
      <c r="K365" s="101" t="str">
        <f>VLOOKUP(C365,'Preturi si tarife'!$A$4:$B$39,2,FALSE)</f>
        <v>Tarife distributie en. El IT+MT</v>
      </c>
      <c r="L365" s="102">
        <f>IF(B365=1,'Date masura OD'!$I$5,IF(B365=19,'Date masura OD'!$AK$5,L364))</f>
        <v>45778</v>
      </c>
      <c r="M365" s="102">
        <f>IF(B365=1,'Date masura OD'!$J$5,IF(B365=19,'Date masura OD'!$AL$5,M364))</f>
        <v>45808</v>
      </c>
      <c r="N365" s="104">
        <f>VLOOKUP(E365,verificare!$AR$4:$CC$33,B365+2,FALSE)</f>
        <v>870503</v>
      </c>
      <c r="O365" s="103">
        <f>HLOOKUP(VLOOKUP(E365,'Date SPV'!$B$4:$F$34,5,FALSE),'Preturi si tarife'!$C$2:$J$39,B365+2,FALSE)*10000</f>
        <v>1148.3</v>
      </c>
      <c r="Q365" s="101" t="str">
        <f t="shared" si="34"/>
        <v>One-off</v>
      </c>
      <c r="R365" s="101" t="str">
        <f>VLOOKUP(K365,'Preturi si tarife'!$B$4:$K$39,10,FALSE)</f>
        <v>ICOENG0001</v>
      </c>
      <c r="T365" s="101" t="str">
        <f t="shared" si="35"/>
        <v>INV + 30</v>
      </c>
      <c r="V365" s="101" t="str">
        <f t="shared" si="36"/>
        <v>Active</v>
      </c>
      <c r="X365" s="101" t="str">
        <f t="shared" si="37"/>
        <v>One-off</v>
      </c>
      <c r="AC365" s="101" t="str">
        <f t="shared" si="40"/>
        <v>RON</v>
      </c>
      <c r="AD365" s="101">
        <f t="shared" si="41"/>
        <v>10000</v>
      </c>
    </row>
    <row r="366" spans="1:30">
      <c r="A366" s="101">
        <f t="shared" si="42"/>
        <v>11</v>
      </c>
      <c r="B366" s="101">
        <f t="shared" si="38"/>
        <v>5</v>
      </c>
      <c r="C366" s="101" t="str">
        <f t="shared" si="39"/>
        <v>T5</v>
      </c>
      <c r="D366" s="101" t="str">
        <f>IF(A366&lt;&gt;A365,VLOOKUP(A366,'Date SPV'!$A:$D,4,FALSE),D365)</f>
        <v>Festival Shopping Center SRL</v>
      </c>
      <c r="E366" s="101" t="str">
        <f>VLOOKUP(A366,'Date SPV'!$A$4:$B$34,2,FALSE)</f>
        <v>RFSC</v>
      </c>
      <c r="H366" s="105" t="s">
        <v>894</v>
      </c>
      <c r="K366" s="101" t="str">
        <f>VLOOKUP(C366,'Preturi si tarife'!$A$4:$B$39,2,FALSE)</f>
        <v>Tarife distributie en. El JT</v>
      </c>
      <c r="L366" s="102">
        <f>IF(B366=1,'Date masura OD'!$I$5,IF(B366=19,'Date masura OD'!$AK$5,L365))</f>
        <v>45778</v>
      </c>
      <c r="M366" s="102">
        <f>IF(B366=1,'Date masura OD'!$J$5,IF(B366=19,'Date masura OD'!$AL$5,M365))</f>
        <v>45808</v>
      </c>
      <c r="N366" s="104">
        <f>VLOOKUP(E366,verificare!$AR$4:$CC$33,B366+2,FALSE)</f>
        <v>0</v>
      </c>
      <c r="O366" s="103">
        <f>HLOOKUP(VLOOKUP(E366,'Date SPV'!$B$4:$F$34,5,FALSE),'Preturi si tarife'!$C$2:$J$39,B366+2,FALSE)*10000</f>
        <v>2361</v>
      </c>
      <c r="Q366" s="101" t="str">
        <f t="shared" si="34"/>
        <v>One-off</v>
      </c>
      <c r="R366" s="101" t="str">
        <f>VLOOKUP(K366,'Preturi si tarife'!$B$4:$K$39,10,FALSE)</f>
        <v>ICOENG0001</v>
      </c>
      <c r="T366" s="101" t="str">
        <f t="shared" si="35"/>
        <v>INV + 30</v>
      </c>
      <c r="V366" s="101" t="str">
        <f t="shared" si="36"/>
        <v>Active</v>
      </c>
      <c r="X366" s="101" t="str">
        <f t="shared" si="37"/>
        <v>One-off</v>
      </c>
      <c r="AC366" s="101" t="str">
        <f t="shared" si="40"/>
        <v>RON</v>
      </c>
      <c r="AD366" s="101">
        <f t="shared" si="41"/>
        <v>10000</v>
      </c>
    </row>
    <row r="367" spans="1:30">
      <c r="A367" s="101">
        <f t="shared" si="42"/>
        <v>11</v>
      </c>
      <c r="B367" s="101">
        <f t="shared" si="38"/>
        <v>6</v>
      </c>
      <c r="C367" s="101" t="str">
        <f t="shared" si="39"/>
        <v>T6</v>
      </c>
      <c r="D367" s="101" t="str">
        <f>IF(A367&lt;&gt;A366,VLOOKUP(A367,'Date SPV'!$A:$D,4,FALSE),D366)</f>
        <v>Festival Shopping Center SRL</v>
      </c>
      <c r="E367" s="101" t="str">
        <f>VLOOKUP(A367,'Date SPV'!$A$4:$B$34,2,FALSE)</f>
        <v>RFSC</v>
      </c>
      <c r="H367" s="105" t="s">
        <v>894</v>
      </c>
      <c r="K367" s="101" t="str">
        <f>VLOOKUP(C367,'Preturi si tarife'!$A$4:$B$39,2,FALSE)</f>
        <v xml:space="preserve">Servicii Sistem </v>
      </c>
      <c r="L367" s="102">
        <f>IF(B367=1,'Date masura OD'!$I$5,IF(B367=19,'Date masura OD'!$AK$5,L366))</f>
        <v>45778</v>
      </c>
      <c r="M367" s="102">
        <f>IF(B367=1,'Date masura OD'!$J$5,IF(B367=19,'Date masura OD'!$AL$5,M366))</f>
        <v>45808</v>
      </c>
      <c r="N367" s="104">
        <f>VLOOKUP(E367,verificare!$AR$4:$CC$33,B367+2,FALSE)</f>
        <v>870503</v>
      </c>
      <c r="O367" s="103">
        <f>HLOOKUP(VLOOKUP(E367,'Date SPV'!$B$4:$F$34,5,FALSE),'Preturi si tarife'!$C$2:$J$39,B367+2,FALSE)*10000</f>
        <v>115.1</v>
      </c>
      <c r="Q367" s="101" t="str">
        <f t="shared" si="34"/>
        <v>One-off</v>
      </c>
      <c r="R367" s="101" t="str">
        <f>VLOOKUP(K367,'Preturi si tarife'!$B$4:$K$39,10,FALSE)</f>
        <v>ICOENG0001</v>
      </c>
      <c r="T367" s="101" t="str">
        <f t="shared" si="35"/>
        <v>INV + 30</v>
      </c>
      <c r="V367" s="101" t="str">
        <f t="shared" si="36"/>
        <v>Active</v>
      </c>
      <c r="X367" s="101" t="str">
        <f t="shared" si="37"/>
        <v>One-off</v>
      </c>
      <c r="AC367" s="101" t="str">
        <f t="shared" si="40"/>
        <v>RON</v>
      </c>
      <c r="AD367" s="101">
        <f t="shared" si="41"/>
        <v>10000</v>
      </c>
    </row>
    <row r="368" spans="1:30">
      <c r="A368" s="101">
        <f t="shared" si="42"/>
        <v>11</v>
      </c>
      <c r="B368" s="101">
        <f t="shared" si="38"/>
        <v>7</v>
      </c>
      <c r="C368" s="101" t="str">
        <f t="shared" si="39"/>
        <v>T7</v>
      </c>
      <c r="D368" s="101" t="str">
        <f>IF(A368&lt;&gt;A367,VLOOKUP(A368,'Date SPV'!$A:$D,4,FALSE),D367)</f>
        <v>Festival Shopping Center SRL</v>
      </c>
      <c r="E368" s="101" t="str">
        <f>VLOOKUP(A368,'Date SPV'!$A$4:$B$34,2,FALSE)</f>
        <v>RFSC</v>
      </c>
      <c r="H368" s="105" t="s">
        <v>894</v>
      </c>
      <c r="K368" s="101" t="str">
        <f>VLOOKUP(C368,'Preturi si tarife'!$A$4:$B$39,2,FALSE)</f>
        <v>Tarif de introducere en. el in retea (TL)</v>
      </c>
      <c r="L368" s="102">
        <f>IF(B368=1,'Date masura OD'!$I$5,IF(B368=19,'Date masura OD'!$AK$5,L367))</f>
        <v>45778</v>
      </c>
      <c r="M368" s="102">
        <f>IF(B368=1,'Date masura OD'!$J$5,IF(B368=19,'Date masura OD'!$AL$5,M367))</f>
        <v>45808</v>
      </c>
      <c r="N368" s="104">
        <f>VLOOKUP(E368,verificare!$AR$4:$CC$33,B368+2,FALSE)</f>
        <v>870503</v>
      </c>
      <c r="O368" s="103">
        <f>HLOOKUP(VLOOKUP(E368,'Date SPV'!$B$4:$F$34,5,FALSE),'Preturi si tarife'!$C$2:$J$39,B368+2,FALSE)*10000</f>
        <v>330.3</v>
      </c>
      <c r="Q368" s="101" t="str">
        <f t="shared" si="34"/>
        <v>One-off</v>
      </c>
      <c r="R368" s="101" t="str">
        <f>VLOOKUP(K368,'Preturi si tarife'!$B$4:$K$39,10,FALSE)</f>
        <v>ICOENG0001</v>
      </c>
      <c r="T368" s="101" t="str">
        <f t="shared" si="35"/>
        <v>INV + 30</v>
      </c>
      <c r="V368" s="101" t="str">
        <f t="shared" si="36"/>
        <v>Active</v>
      </c>
      <c r="X368" s="101" t="str">
        <f t="shared" si="37"/>
        <v>One-off</v>
      </c>
      <c r="AC368" s="101" t="str">
        <f t="shared" si="40"/>
        <v>RON</v>
      </c>
      <c r="AD368" s="101">
        <f t="shared" si="41"/>
        <v>10000</v>
      </c>
    </row>
    <row r="369" spans="1:30">
      <c r="A369" s="101">
        <f t="shared" si="42"/>
        <v>11</v>
      </c>
      <c r="B369" s="101">
        <f t="shared" si="38"/>
        <v>8</v>
      </c>
      <c r="C369" s="101" t="str">
        <f t="shared" si="39"/>
        <v>T8</v>
      </c>
      <c r="D369" s="101" t="str">
        <f>IF(A369&lt;&gt;A368,VLOOKUP(A369,'Date SPV'!$A:$D,4,FALSE),D368)</f>
        <v>Festival Shopping Center SRL</v>
      </c>
      <c r="E369" s="101" t="str">
        <f>VLOOKUP(A369,'Date SPV'!$A$4:$B$34,2,FALSE)</f>
        <v>RFSC</v>
      </c>
      <c r="H369" s="105" t="s">
        <v>894</v>
      </c>
      <c r="K369" s="101" t="str">
        <f>VLOOKUP(C369,'Preturi si tarife'!$A$4:$B$39,2,FALSE)</f>
        <v>Tarif de introducere en.el in retea (TG)</v>
      </c>
      <c r="L369" s="102">
        <f>IF(B369=1,'Date masura OD'!$I$5,IF(B369=19,'Date masura OD'!$AK$5,L368))</f>
        <v>45778</v>
      </c>
      <c r="M369" s="102">
        <f>IF(B369=1,'Date masura OD'!$J$5,IF(B369=19,'Date masura OD'!$AL$5,M368))</f>
        <v>45808</v>
      </c>
      <c r="N369" s="104">
        <f>VLOOKUP(E369,verificare!$AR$4:$CC$33,B369+2,FALSE)</f>
        <v>870503</v>
      </c>
      <c r="O369" s="103">
        <f>HLOOKUP(VLOOKUP(E369,'Date SPV'!$B$4:$F$34,5,FALSE),'Preturi si tarife'!$C$2:$J$39,B369+2,FALSE)*10000</f>
        <v>32.9</v>
      </c>
      <c r="Q369" s="101" t="str">
        <f t="shared" si="34"/>
        <v>One-off</v>
      </c>
      <c r="R369" s="101" t="str">
        <f>VLOOKUP(K369,'Preturi si tarife'!$B$4:$K$39,10,FALSE)</f>
        <v>ICOENG0001</v>
      </c>
      <c r="T369" s="101" t="str">
        <f t="shared" si="35"/>
        <v>INV + 30</v>
      </c>
      <c r="V369" s="101" t="str">
        <f t="shared" si="36"/>
        <v>Active</v>
      </c>
      <c r="X369" s="101" t="str">
        <f t="shared" si="37"/>
        <v>One-off</v>
      </c>
      <c r="AC369" s="101" t="str">
        <f t="shared" si="40"/>
        <v>RON</v>
      </c>
      <c r="AD369" s="101">
        <f t="shared" si="41"/>
        <v>10000</v>
      </c>
    </row>
    <row r="370" spans="1:30">
      <c r="A370" s="101">
        <f t="shared" si="42"/>
        <v>11</v>
      </c>
      <c r="B370" s="101">
        <f t="shared" si="38"/>
        <v>9</v>
      </c>
      <c r="C370" s="101" t="str">
        <f t="shared" si="39"/>
        <v>T9</v>
      </c>
      <c r="D370" s="101" t="str">
        <f>IF(A370&lt;&gt;A369,VLOOKUP(A370,'Date SPV'!$A:$D,4,FALSE),D369)</f>
        <v>Festival Shopping Center SRL</v>
      </c>
      <c r="E370" s="101" t="str">
        <f>VLOOKUP(A370,'Date SPV'!$A$4:$B$34,2,FALSE)</f>
        <v>RFSC</v>
      </c>
      <c r="H370" s="105" t="s">
        <v>894</v>
      </c>
      <c r="K370" s="101" t="str">
        <f>VLOOKUP(C370,'Preturi si tarife'!$A$4:$B$39,2,FALSE)</f>
        <v>Contributie pentru cogenerare</v>
      </c>
      <c r="L370" s="102">
        <f>IF(B370=1,'Date masura OD'!$I$5,IF(B370=19,'Date masura OD'!$AK$5,L369))</f>
        <v>45778</v>
      </c>
      <c r="M370" s="102">
        <f>IF(B370=1,'Date masura OD'!$J$5,IF(B370=19,'Date masura OD'!$AL$5,M369))</f>
        <v>45808</v>
      </c>
      <c r="N370" s="104">
        <f>VLOOKUP(E370,verificare!$AR$4:$CC$33,B370+2,FALSE)</f>
        <v>870503</v>
      </c>
      <c r="O370" s="103">
        <f>HLOOKUP(VLOOKUP(E370,'Date SPV'!$B$4:$F$34,5,FALSE),'Preturi si tarife'!$C$2:$J$39,B370+2,FALSE)*10000</f>
        <v>35</v>
      </c>
      <c r="Q370" s="101" t="str">
        <f t="shared" si="34"/>
        <v>One-off</v>
      </c>
      <c r="R370" s="101" t="str">
        <f>VLOOKUP(K370,'Preturi si tarife'!$B$4:$K$39,10,FALSE)</f>
        <v>ICOENG0001</v>
      </c>
      <c r="T370" s="101" t="str">
        <f t="shared" si="35"/>
        <v>INV + 30</v>
      </c>
      <c r="V370" s="101" t="str">
        <f t="shared" si="36"/>
        <v>Active</v>
      </c>
      <c r="X370" s="101" t="str">
        <f t="shared" si="37"/>
        <v>One-off</v>
      </c>
      <c r="AC370" s="101" t="str">
        <f t="shared" si="40"/>
        <v>RON</v>
      </c>
      <c r="AD370" s="101">
        <f t="shared" si="41"/>
        <v>10000</v>
      </c>
    </row>
    <row r="371" spans="1:30">
      <c r="A371" s="101">
        <f t="shared" si="42"/>
        <v>11</v>
      </c>
      <c r="B371" s="101">
        <f t="shared" si="38"/>
        <v>10</v>
      </c>
      <c r="C371" s="101" t="str">
        <f t="shared" si="39"/>
        <v>T10</v>
      </c>
      <c r="D371" s="101" t="str">
        <f>IF(A371&lt;&gt;A370,VLOOKUP(A371,'Date SPV'!$A:$D,4,FALSE),D370)</f>
        <v>Festival Shopping Center SRL</v>
      </c>
      <c r="E371" s="101" t="str">
        <f>VLOOKUP(A371,'Date SPV'!$A$4:$B$34,2,FALSE)</f>
        <v>RFSC</v>
      </c>
      <c r="H371" s="105" t="s">
        <v>894</v>
      </c>
      <c r="K371" s="101" t="str">
        <f>VLOOKUP(C371,'Preturi si tarife'!$A$4:$B$39,2,FALSE)</f>
        <v xml:space="preserve">Certificate verzi </v>
      </c>
      <c r="L371" s="102">
        <f>IF(B371=1,'Date masura OD'!$I$5,IF(B371=19,'Date masura OD'!$AK$5,L370))</f>
        <v>45778</v>
      </c>
      <c r="M371" s="102">
        <f>IF(B371=1,'Date masura OD'!$J$5,IF(B371=19,'Date masura OD'!$AL$5,M370))</f>
        <v>45808</v>
      </c>
      <c r="N371" s="104">
        <f>VLOOKUP(E371,verificare!$AR$4:$CC$33,B371+2,FALSE)</f>
        <v>870503</v>
      </c>
      <c r="O371" s="103">
        <f>HLOOKUP(VLOOKUP(E371,'Date SPV'!$B$4:$F$34,5,FALSE),'Preturi si tarife'!$C$2:$J$39,B371+2,FALSE)*10000</f>
        <v>725.41599999999994</v>
      </c>
      <c r="Q371" s="101" t="str">
        <f t="shared" si="34"/>
        <v>One-off</v>
      </c>
      <c r="R371" s="101" t="str">
        <f>VLOOKUP(K371,'Preturi si tarife'!$B$4:$K$39,10,FALSE)</f>
        <v>ICOENG0001</v>
      </c>
      <c r="T371" s="101" t="str">
        <f t="shared" si="35"/>
        <v>INV + 30</v>
      </c>
      <c r="V371" s="101" t="str">
        <f t="shared" si="36"/>
        <v>Active</v>
      </c>
      <c r="X371" s="101" t="str">
        <f t="shared" si="37"/>
        <v>One-off</v>
      </c>
      <c r="AC371" s="101" t="str">
        <f t="shared" si="40"/>
        <v>RON</v>
      </c>
      <c r="AD371" s="101">
        <f t="shared" si="41"/>
        <v>10000</v>
      </c>
    </row>
    <row r="372" spans="1:30">
      <c r="A372" s="101">
        <f t="shared" si="42"/>
        <v>11</v>
      </c>
      <c r="B372" s="101">
        <f t="shared" si="38"/>
        <v>11</v>
      </c>
      <c r="C372" s="101" t="str">
        <f t="shared" si="39"/>
        <v>T11</v>
      </c>
      <c r="D372" s="101" t="str">
        <f>IF(A372&lt;&gt;A371,VLOOKUP(A372,'Date SPV'!$A:$D,4,FALSE),D371)</f>
        <v>Festival Shopping Center SRL</v>
      </c>
      <c r="E372" s="101" t="str">
        <f>VLOOKUP(A372,'Date SPV'!$A$4:$B$34,2,FALSE)</f>
        <v>RFSC</v>
      </c>
      <c r="H372" s="105" t="s">
        <v>894</v>
      </c>
      <c r="K372" s="101" t="str">
        <f>VLOOKUP(C372,'Preturi si tarife'!$A$4:$B$39,2,FALSE)</f>
        <v>Contributie CFD</v>
      </c>
      <c r="L372" s="102">
        <f>IF(B372=1,'Date masura OD'!$I$5,IF(B372=19,'Date masura OD'!$AK$5,L371))</f>
        <v>45778</v>
      </c>
      <c r="M372" s="102">
        <f>IF(B372=1,'Date masura OD'!$J$5,IF(B372=19,'Date masura OD'!$AL$5,M371))</f>
        <v>45808</v>
      </c>
      <c r="N372" s="104">
        <f>VLOOKUP(E372,verificare!$AR$4:$CC$33,B372+2,FALSE)</f>
        <v>870503</v>
      </c>
      <c r="O372" s="103">
        <f>HLOOKUP(VLOOKUP(E372,'Date SPV'!$B$4:$F$34,5,FALSE),'Preturi si tarife'!$C$2:$J$39,B372+2,FALSE)*10000</f>
        <v>2.06</v>
      </c>
      <c r="Q372" s="101" t="str">
        <f t="shared" si="34"/>
        <v>One-off</v>
      </c>
      <c r="R372" s="101" t="str">
        <f>VLOOKUP(K372,'Preturi si tarife'!$B$4:$K$39,10,FALSE)</f>
        <v>ICOENG0001</v>
      </c>
      <c r="T372" s="101" t="str">
        <f t="shared" si="35"/>
        <v>INV + 30</v>
      </c>
      <c r="V372" s="101" t="str">
        <f t="shared" si="36"/>
        <v>Active</v>
      </c>
      <c r="X372" s="101" t="str">
        <f t="shared" si="37"/>
        <v>One-off</v>
      </c>
      <c r="AC372" s="101" t="str">
        <f t="shared" si="40"/>
        <v>RON</v>
      </c>
      <c r="AD372" s="101">
        <f t="shared" si="41"/>
        <v>10000</v>
      </c>
    </row>
    <row r="373" spans="1:30">
      <c r="A373" s="101">
        <f t="shared" si="42"/>
        <v>11</v>
      </c>
      <c r="B373" s="101">
        <f t="shared" si="38"/>
        <v>12</v>
      </c>
      <c r="C373" s="101" t="str">
        <f t="shared" si="39"/>
        <v>T12</v>
      </c>
      <c r="D373" s="101" t="str">
        <f>IF(A373&lt;&gt;A372,VLOOKUP(A373,'Date SPV'!$A:$D,4,FALSE),D372)</f>
        <v>Festival Shopping Center SRL</v>
      </c>
      <c r="E373" s="101" t="str">
        <f>VLOOKUP(A373,'Date SPV'!$A$4:$B$34,2,FALSE)</f>
        <v>RFSC</v>
      </c>
      <c r="H373" s="105" t="s">
        <v>894</v>
      </c>
      <c r="K373" s="101" t="str">
        <f>VLOOKUP(C373,'Preturi si tarife'!$A$4:$B$39,2,FALSE)</f>
        <v>Acciza</v>
      </c>
      <c r="L373" s="102">
        <f>IF(B373=1,'Date masura OD'!$I$5,IF(B373=19,'Date masura OD'!$AK$5,L372))</f>
        <v>45778</v>
      </c>
      <c r="M373" s="102">
        <f>IF(B373=1,'Date masura OD'!$J$5,IF(B373=19,'Date masura OD'!$AL$5,M372))</f>
        <v>45808</v>
      </c>
      <c r="N373" s="104">
        <f>VLOOKUP(E373,verificare!$AR$4:$CC$33,B373+2,FALSE)</f>
        <v>870503</v>
      </c>
      <c r="O373" s="103">
        <f>HLOOKUP(VLOOKUP(E373,'Date SPV'!$B$4:$F$34,5,FALSE),'Preturi si tarife'!$C$2:$J$39,B373+2,FALSE)*10000</f>
        <v>0</v>
      </c>
      <c r="Q373" s="101" t="str">
        <f t="shared" si="34"/>
        <v>One-off</v>
      </c>
      <c r="R373" s="101" t="str">
        <f>VLOOKUP(K373,'Preturi si tarife'!$B$4:$K$39,10,FALSE)</f>
        <v>ICOENG0001</v>
      </c>
      <c r="T373" s="101" t="str">
        <f t="shared" si="35"/>
        <v>INV + 30</v>
      </c>
      <c r="V373" s="101" t="str">
        <f t="shared" si="36"/>
        <v>Active</v>
      </c>
      <c r="X373" s="101" t="str">
        <f t="shared" si="37"/>
        <v>One-off</v>
      </c>
      <c r="AC373" s="101" t="str">
        <f t="shared" si="40"/>
        <v>RON</v>
      </c>
      <c r="AD373" s="101">
        <f t="shared" si="41"/>
        <v>10000</v>
      </c>
    </row>
    <row r="374" spans="1:30">
      <c r="A374" s="101">
        <f t="shared" si="42"/>
        <v>11</v>
      </c>
      <c r="B374" s="101">
        <f t="shared" si="38"/>
        <v>13</v>
      </c>
      <c r="C374" s="101" t="str">
        <f t="shared" si="39"/>
        <v>T13</v>
      </c>
      <c r="D374" s="101" t="str">
        <f>IF(A374&lt;&gt;A373,VLOOKUP(A374,'Date SPV'!$A:$D,4,FALSE),D373)</f>
        <v>Festival Shopping Center SRL</v>
      </c>
      <c r="E374" s="101" t="str">
        <f>VLOOKUP(A374,'Date SPV'!$A$4:$B$34,2,FALSE)</f>
        <v>RFSC</v>
      </c>
      <c r="H374" s="105" t="s">
        <v>894</v>
      </c>
      <c r="K374" s="101" t="str">
        <f>VLOOKUP(C374,'Preturi si tarife'!$A$4:$B$39,2,FALSE)</f>
        <v>Tarif distributie SDI MT</v>
      </c>
      <c r="L374" s="102">
        <f>IF(B374=1,'Date masura OD'!$I$5,IF(B374=19,'Date masura OD'!$AK$5,L373))</f>
        <v>45778</v>
      </c>
      <c r="M374" s="102">
        <f>IF(B374=1,'Date masura OD'!$J$5,IF(B374=19,'Date masura OD'!$AL$5,M373))</f>
        <v>45808</v>
      </c>
      <c r="N374" s="104">
        <f>VLOOKUP(E374,verificare!$AR$4:$CC$33,B374+2,FALSE)</f>
        <v>870503</v>
      </c>
      <c r="O374" s="103">
        <f>HLOOKUP(VLOOKUP(E374,'Date SPV'!$B$4:$F$34,5,FALSE),'Preturi si tarife'!$C$2:$J$39,B374+2,FALSE)*10000</f>
        <v>126</v>
      </c>
      <c r="Q374" s="101" t="str">
        <f t="shared" si="34"/>
        <v>One-off</v>
      </c>
      <c r="R374" s="101" t="str">
        <f>VLOOKUP(K374,'Preturi si tarife'!$B$4:$K$39,10,FALSE)</f>
        <v>ICOENG0010</v>
      </c>
      <c r="T374" s="101" t="str">
        <f t="shared" si="35"/>
        <v>INV + 30</v>
      </c>
      <c r="V374" s="101" t="str">
        <f t="shared" si="36"/>
        <v>Active</v>
      </c>
      <c r="X374" s="101" t="str">
        <f t="shared" si="37"/>
        <v>One-off</v>
      </c>
      <c r="AC374" s="101" t="str">
        <f t="shared" si="40"/>
        <v>RON</v>
      </c>
      <c r="AD374" s="101">
        <f t="shared" si="41"/>
        <v>10000</v>
      </c>
    </row>
    <row r="375" spans="1:30">
      <c r="A375" s="101">
        <f t="shared" si="42"/>
        <v>11</v>
      </c>
      <c r="B375" s="101">
        <f t="shared" si="38"/>
        <v>14</v>
      </c>
      <c r="C375" s="101" t="str">
        <f t="shared" si="39"/>
        <v>T14</v>
      </c>
      <c r="D375" s="101" t="str">
        <f>IF(A375&lt;&gt;A374,VLOOKUP(A375,'Date SPV'!$A:$D,4,FALSE),D374)</f>
        <v>Festival Shopping Center SRL</v>
      </c>
      <c r="E375" s="101" t="str">
        <f>VLOOKUP(A375,'Date SPV'!$A$4:$B$34,2,FALSE)</f>
        <v>RFSC</v>
      </c>
      <c r="H375" s="105" t="s">
        <v>894</v>
      </c>
      <c r="K375" s="101" t="str">
        <f>VLOOKUP(C375,'Preturi si tarife'!$A$4:$B$39,2,FALSE)</f>
        <v>Tarif distributie SDI JT</v>
      </c>
      <c r="L375" s="102">
        <f>IF(B375=1,'Date masura OD'!$I$5,IF(B375=19,'Date masura OD'!$AK$5,L374))</f>
        <v>45778</v>
      </c>
      <c r="M375" s="102">
        <f>IF(B375=1,'Date masura OD'!$J$5,IF(B375=19,'Date masura OD'!$AL$5,M374))</f>
        <v>45808</v>
      </c>
      <c r="N375" s="104">
        <f>VLOOKUP(E375,verificare!$AR$4:$CC$33,B375+2,FALSE)</f>
        <v>571669</v>
      </c>
      <c r="O375" s="103">
        <f>HLOOKUP(VLOOKUP(E375,'Date SPV'!$B$4:$F$34,5,FALSE),'Preturi si tarife'!$C$2:$J$39,B375+2,FALSE)*10000</f>
        <v>927</v>
      </c>
      <c r="Q375" s="101" t="str">
        <f t="shared" si="34"/>
        <v>One-off</v>
      </c>
      <c r="R375" s="101" t="str">
        <f>VLOOKUP(K375,'Preturi si tarife'!$B$4:$K$39,10,FALSE)</f>
        <v>ICOENG0010</v>
      </c>
      <c r="T375" s="101" t="str">
        <f t="shared" si="35"/>
        <v>INV + 30</v>
      </c>
      <c r="V375" s="101" t="str">
        <f t="shared" si="36"/>
        <v>Active</v>
      </c>
      <c r="X375" s="101" t="str">
        <f t="shared" si="37"/>
        <v>One-off</v>
      </c>
      <c r="AC375" s="101" t="str">
        <f t="shared" si="40"/>
        <v>RON</v>
      </c>
      <c r="AD375" s="101">
        <f t="shared" si="41"/>
        <v>10000</v>
      </c>
    </row>
    <row r="376" spans="1:30">
      <c r="A376" s="101">
        <f t="shared" si="42"/>
        <v>11</v>
      </c>
      <c r="B376" s="101">
        <f t="shared" si="38"/>
        <v>15</v>
      </c>
      <c r="C376" s="101" t="str">
        <f t="shared" si="39"/>
        <v>T15</v>
      </c>
      <c r="D376" s="101" t="str">
        <f>IF(A376&lt;&gt;A375,VLOOKUP(A376,'Date SPV'!$A:$D,4,FALSE),D375)</f>
        <v>Festival Shopping Center SRL</v>
      </c>
      <c r="E376" s="101" t="str">
        <f>VLOOKUP(A376,'Date SPV'!$A$4:$B$34,2,FALSE)</f>
        <v>RFSC</v>
      </c>
      <c r="H376" s="105" t="s">
        <v>894</v>
      </c>
      <c r="K376" s="101" t="str">
        <f>VLOOKUP(C376,'Preturi si tarife'!$A$4:$B$39,2,FALSE)</f>
        <v>Energie activa 2</v>
      </c>
      <c r="L376" s="102">
        <f>IF(B376=1,'Date masura OD'!$I$5,IF(B376=19,'Date masura OD'!$AK$5,L375))</f>
        <v>45778</v>
      </c>
      <c r="M376" s="102">
        <f>IF(B376=1,'Date masura OD'!$J$5,IF(B376=19,'Date masura OD'!$AL$5,M375))</f>
        <v>45808</v>
      </c>
      <c r="N376" s="104">
        <f>VLOOKUP(E376,verificare!$AR$4:$CC$33,B376+2,FALSE)</f>
        <v>44103</v>
      </c>
      <c r="O376" s="103">
        <f>HLOOKUP(VLOOKUP(E376,'Date SPV'!$B$4:$F$34,5,FALSE),'Preturi si tarife'!$C$2:$J$39,B376+2,FALSE)*10000</f>
        <v>9392.0760000000009</v>
      </c>
      <c r="Q376" s="101" t="str">
        <f t="shared" si="34"/>
        <v>One-off</v>
      </c>
      <c r="R376" s="101" t="str">
        <f>VLOOKUP(K376,'Preturi si tarife'!$B$4:$K$39,10,FALSE)</f>
        <v>ICOENG0012</v>
      </c>
      <c r="T376" s="101" t="str">
        <f t="shared" si="35"/>
        <v>INV + 30</v>
      </c>
      <c r="V376" s="101" t="str">
        <f t="shared" si="36"/>
        <v>Active</v>
      </c>
      <c r="X376" s="101" t="str">
        <f t="shared" si="37"/>
        <v>One-off</v>
      </c>
      <c r="AC376" s="101" t="str">
        <f t="shared" si="40"/>
        <v>RON</v>
      </c>
      <c r="AD376" s="101">
        <f t="shared" si="41"/>
        <v>10000</v>
      </c>
    </row>
    <row r="377" spans="1:30">
      <c r="A377" s="101">
        <f t="shared" si="42"/>
        <v>11</v>
      </c>
      <c r="B377" s="101">
        <f t="shared" si="38"/>
        <v>16</v>
      </c>
      <c r="C377" s="101" t="str">
        <f t="shared" si="39"/>
        <v>T16</v>
      </c>
      <c r="D377" s="101" t="str">
        <f>IF(A377&lt;&gt;A376,VLOOKUP(A377,'Date SPV'!$A:$D,4,FALSE),D376)</f>
        <v>Festival Shopping Center SRL</v>
      </c>
      <c r="E377" s="101" t="str">
        <f>VLOOKUP(A377,'Date SPV'!$A$4:$B$34,2,FALSE)</f>
        <v>RFSC</v>
      </c>
      <c r="H377" s="105" t="s">
        <v>894</v>
      </c>
      <c r="K377" s="101" t="str">
        <f>VLOOKUP(C377,'Preturi si tarife'!$A$4:$B$39,2,FALSE)</f>
        <v>Energie activa 3</v>
      </c>
      <c r="L377" s="102">
        <f>IF(B377=1,'Date masura OD'!$I$5,IF(B377=19,'Date masura OD'!$AK$5,L376))</f>
        <v>45778</v>
      </c>
      <c r="M377" s="102">
        <f>IF(B377=1,'Date masura OD'!$J$5,IF(B377=19,'Date masura OD'!$AL$5,M376))</f>
        <v>45808</v>
      </c>
      <c r="N377" s="104">
        <f>VLOOKUP(E377,verificare!$AR$4:$CC$33,B377+2,FALSE)</f>
        <v>0</v>
      </c>
      <c r="O377" s="103">
        <f>HLOOKUP(VLOOKUP(E377,'Date SPV'!$B$4:$F$34,5,FALSE),'Preturi si tarife'!$C$2:$J$39,B377+2,FALSE)*10000</f>
        <v>8339.0760000000009</v>
      </c>
      <c r="Q377" s="101" t="str">
        <f t="shared" si="34"/>
        <v>One-off</v>
      </c>
      <c r="R377" s="101" t="str">
        <f>VLOOKUP(K377,'Preturi si tarife'!$B$4:$K$39,10,FALSE)</f>
        <v>ICOENG0012</v>
      </c>
      <c r="T377" s="101" t="str">
        <f t="shared" si="35"/>
        <v>INV + 30</v>
      </c>
      <c r="V377" s="101" t="str">
        <f t="shared" si="36"/>
        <v>Active</v>
      </c>
      <c r="X377" s="101" t="str">
        <f t="shared" si="37"/>
        <v>One-off</v>
      </c>
      <c r="AC377" s="101" t="str">
        <f t="shared" si="40"/>
        <v>RON</v>
      </c>
      <c r="AD377" s="101">
        <f t="shared" si="41"/>
        <v>10000</v>
      </c>
    </row>
    <row r="378" spans="1:30">
      <c r="A378" s="101">
        <f t="shared" si="42"/>
        <v>11</v>
      </c>
      <c r="B378" s="101">
        <f t="shared" si="38"/>
        <v>17</v>
      </c>
      <c r="C378" s="101" t="str">
        <f t="shared" si="39"/>
        <v>T17</v>
      </c>
      <c r="D378" s="101" t="str">
        <f>IF(A378&lt;&gt;A377,VLOOKUP(A378,'Date SPV'!$A:$D,4,FALSE),D377)</f>
        <v>Festival Shopping Center SRL</v>
      </c>
      <c r="E378" s="101" t="str">
        <f>VLOOKUP(A378,'Date SPV'!$A$4:$B$34,2,FALSE)</f>
        <v>RFSC</v>
      </c>
      <c r="H378" s="105" t="s">
        <v>894</v>
      </c>
      <c r="K378" s="101" t="str">
        <f>VLOOKUP(C378,'Preturi si tarife'!$A$4:$B$39,2,FALSE)</f>
        <v>Tarif distributie SDI MT_</v>
      </c>
      <c r="L378" s="102">
        <f>IF(B378=1,'Date masura OD'!$I$5,IF(B378=19,'Date masura OD'!$AK$5,L377))</f>
        <v>45778</v>
      </c>
      <c r="M378" s="102">
        <f>IF(B378=1,'Date masura OD'!$J$5,IF(B378=19,'Date masura OD'!$AL$5,M377))</f>
        <v>45808</v>
      </c>
      <c r="N378" s="104">
        <f>VLOOKUP(E378,verificare!$AR$4:$CC$33,B378+2,FALSE)</f>
        <v>0</v>
      </c>
      <c r="O378" s="103">
        <f>HLOOKUP(VLOOKUP(E378,'Date SPV'!$B$4:$F$34,5,FALSE),'Preturi si tarife'!$C$2:$J$39,B378+2,FALSE)*10000</f>
        <v>126</v>
      </c>
      <c r="Q378" s="101" t="str">
        <f t="shared" si="34"/>
        <v>One-off</v>
      </c>
      <c r="R378" s="101" t="str">
        <f>VLOOKUP(K378,'Preturi si tarife'!$B$4:$K$39,10,FALSE)</f>
        <v>ICOENG0010</v>
      </c>
      <c r="T378" s="101" t="str">
        <f t="shared" si="35"/>
        <v>INV + 30</v>
      </c>
      <c r="V378" s="101" t="str">
        <f t="shared" si="36"/>
        <v>Active</v>
      </c>
      <c r="X378" s="101" t="str">
        <f t="shared" si="37"/>
        <v>One-off</v>
      </c>
      <c r="AC378" s="101" t="str">
        <f t="shared" si="40"/>
        <v>RON</v>
      </c>
      <c r="AD378" s="101">
        <f t="shared" si="41"/>
        <v>10000</v>
      </c>
    </row>
    <row r="379" spans="1:30">
      <c r="A379" s="101">
        <f t="shared" si="42"/>
        <v>11</v>
      </c>
      <c r="B379" s="101">
        <f t="shared" si="38"/>
        <v>18</v>
      </c>
      <c r="C379" s="101" t="str">
        <f t="shared" si="39"/>
        <v>T18</v>
      </c>
      <c r="D379" s="101" t="str">
        <f>IF(A379&lt;&gt;A378,VLOOKUP(A379,'Date SPV'!$A:$D,4,FALSE),D378)</f>
        <v>Festival Shopping Center SRL</v>
      </c>
      <c r="E379" s="101" t="str">
        <f>VLOOKUP(A379,'Date SPV'!$A$4:$B$34,2,FALSE)</f>
        <v>RFSC</v>
      </c>
      <c r="H379" s="105" t="s">
        <v>894</v>
      </c>
      <c r="K379" s="101" t="str">
        <f>VLOOKUP(C379,'Preturi si tarife'!$A$4:$B$39,2,FALSE)</f>
        <v>Tarif distributie SDI JT_</v>
      </c>
      <c r="L379" s="102">
        <f>IF(B379=1,'Date masura OD'!$I$5,IF(B379=19,'Date masura OD'!$AK$5,L378))</f>
        <v>45778</v>
      </c>
      <c r="M379" s="102">
        <f>IF(B379=1,'Date masura OD'!$J$5,IF(B379=19,'Date masura OD'!$AL$5,M378))</f>
        <v>45808</v>
      </c>
      <c r="N379" s="104">
        <f>VLOOKUP(E379,verificare!$AR$4:$CC$33,B379+2,FALSE)</f>
        <v>0</v>
      </c>
      <c r="O379" s="103">
        <f>HLOOKUP(VLOOKUP(E379,'Date SPV'!$B$4:$F$34,5,FALSE),'Preturi si tarife'!$C$2:$J$39,B379+2,FALSE)*10000</f>
        <v>927</v>
      </c>
      <c r="Q379" s="101" t="str">
        <f t="shared" si="34"/>
        <v>One-off</v>
      </c>
      <c r="R379" s="101" t="str">
        <f>VLOOKUP(K379,'Preturi si tarife'!$B$4:$K$39,10,FALSE)</f>
        <v>ICOENG0010</v>
      </c>
      <c r="T379" s="101" t="str">
        <f t="shared" si="35"/>
        <v>INV + 30</v>
      </c>
      <c r="V379" s="101" t="str">
        <f t="shared" si="36"/>
        <v>Active</v>
      </c>
      <c r="X379" s="101" t="str">
        <f t="shared" si="37"/>
        <v>One-off</v>
      </c>
      <c r="AC379" s="101" t="str">
        <f t="shared" si="40"/>
        <v>RON</v>
      </c>
      <c r="AD379" s="101">
        <f t="shared" si="41"/>
        <v>10000</v>
      </c>
    </row>
    <row r="380" spans="1:30">
      <c r="A380" s="101">
        <f t="shared" si="42"/>
        <v>11</v>
      </c>
      <c r="B380" s="101">
        <f t="shared" si="38"/>
        <v>19</v>
      </c>
      <c r="C380" s="101" t="str">
        <f t="shared" si="39"/>
        <v>T19</v>
      </c>
      <c r="D380" s="101" t="str">
        <f>IF(A380&lt;&gt;A379,VLOOKUP(A380,'Date SPV'!$A:$D,4,FALSE),D379)</f>
        <v>Festival Shopping Center SRL</v>
      </c>
      <c r="E380" s="101" t="str">
        <f>VLOOKUP(A380,'Date SPV'!$A$4:$B$34,2,FALSE)</f>
        <v>RFSC</v>
      </c>
      <c r="H380" s="105" t="s">
        <v>894</v>
      </c>
      <c r="K380" s="101" t="str">
        <f>VLOOKUP(C380,'Preturi si tarife'!$A$4:$B$39,2,FALSE)</f>
        <v>Regularizare Energie activa 1</v>
      </c>
      <c r="L380" s="102">
        <f>IF(B380=1,'Date masura OD'!$I$5,IF(B380=19,'Date masura OD'!$AK$5,L379))</f>
        <v>45748</v>
      </c>
      <c r="M380" s="102">
        <f>IF(B380=1,'Date masura OD'!$J$5,IF(B380=19,'Date masura OD'!$AL$5,M379))</f>
        <v>45777</v>
      </c>
      <c r="N380" s="104">
        <f>VLOOKUP(E380,verificare!$AR$4:$CC$33,B380+2,FALSE)</f>
        <v>0</v>
      </c>
      <c r="O380" s="103">
        <f>HLOOKUP(VLOOKUP(E380,'Date SPV'!$B$4:$F$34,5,FALSE),'Preturi si tarife'!$C$2:$J$39,B380+2,FALSE)*10000</f>
        <v>5950</v>
      </c>
      <c r="Q380" s="101" t="str">
        <f t="shared" ref="Q380:Q443" si="43">Q379</f>
        <v>One-off</v>
      </c>
      <c r="R380" s="101" t="str">
        <f>VLOOKUP(K380,'Preturi si tarife'!$B$4:$K$39,10,FALSE)</f>
        <v>ICOENG0001</v>
      </c>
      <c r="T380" s="101" t="str">
        <f t="shared" ref="T380:T443" si="44">T379</f>
        <v>INV + 30</v>
      </c>
      <c r="V380" s="101" t="str">
        <f t="shared" ref="V380:V443" si="45">V379</f>
        <v>Active</v>
      </c>
      <c r="X380" s="101" t="str">
        <f t="shared" ref="X380:X443" si="46">X379</f>
        <v>One-off</v>
      </c>
      <c r="AC380" s="101" t="str">
        <f t="shared" si="40"/>
        <v>RON</v>
      </c>
      <c r="AD380" s="101">
        <f t="shared" si="41"/>
        <v>10000</v>
      </c>
    </row>
    <row r="381" spans="1:30">
      <c r="A381" s="101">
        <f t="shared" si="42"/>
        <v>11</v>
      </c>
      <c r="B381" s="101">
        <f t="shared" ref="B381:B444" si="47">IF(A381&lt;&gt;A380,1,B380+1)</f>
        <v>20</v>
      </c>
      <c r="C381" s="101" t="str">
        <f t="shared" ref="C381:C444" si="48">_xlfn.CONCAT("T",B381)</f>
        <v>T20</v>
      </c>
      <c r="D381" s="101" t="str">
        <f>IF(A381&lt;&gt;A380,VLOOKUP(A381,'Date SPV'!$A:$D,4,FALSE),D380)</f>
        <v>Festival Shopping Center SRL</v>
      </c>
      <c r="E381" s="101" t="str">
        <f>VLOOKUP(A381,'Date SPV'!$A$4:$B$34,2,FALSE)</f>
        <v>RFSC</v>
      </c>
      <c r="H381" s="105" t="s">
        <v>894</v>
      </c>
      <c r="K381" s="101" t="str">
        <f>VLOOKUP(C381,'Preturi si tarife'!$A$4:$B$39,2,FALSE)</f>
        <v>Regularizare Energie reactiva  1X</v>
      </c>
      <c r="L381" s="102">
        <f>IF(B381=1,'Date masura OD'!$I$5,IF(B381=19,'Date masura OD'!$AK$5,L380))</f>
        <v>45748</v>
      </c>
      <c r="M381" s="102">
        <f>IF(B381=1,'Date masura OD'!$J$5,IF(B381=19,'Date masura OD'!$AL$5,M380))</f>
        <v>45777</v>
      </c>
      <c r="N381" s="104">
        <f>VLOOKUP(E381,verificare!$AR$4:$CC$33,B381+2,FALSE)</f>
        <v>0</v>
      </c>
      <c r="O381" s="103">
        <f>HLOOKUP(VLOOKUP(E381,'Date SPV'!$B$4:$F$34,5,FALSE),'Preturi si tarife'!$C$2:$J$39,B381+2,FALSE)*10000</f>
        <v>1465</v>
      </c>
      <c r="Q381" s="101" t="str">
        <f t="shared" si="43"/>
        <v>One-off</v>
      </c>
      <c r="R381" s="101" t="str">
        <f>VLOOKUP(K381,'Preturi si tarife'!$B$4:$K$39,10,FALSE)</f>
        <v>ICOENG0001</v>
      </c>
      <c r="T381" s="101" t="str">
        <f t="shared" si="44"/>
        <v>INV + 30</v>
      </c>
      <c r="V381" s="101" t="str">
        <f t="shared" si="45"/>
        <v>Active</v>
      </c>
      <c r="X381" s="101" t="str">
        <f t="shared" si="46"/>
        <v>One-off</v>
      </c>
      <c r="AC381" s="101" t="str">
        <f t="shared" ref="AC381:AC444" si="49">AC380</f>
        <v>RON</v>
      </c>
      <c r="AD381" s="101">
        <f t="shared" ref="AD381:AD444" si="50">AD380</f>
        <v>10000</v>
      </c>
    </row>
    <row r="382" spans="1:30">
      <c r="A382" s="101">
        <f t="shared" si="42"/>
        <v>11</v>
      </c>
      <c r="B382" s="101">
        <f t="shared" si="47"/>
        <v>21</v>
      </c>
      <c r="C382" s="101" t="str">
        <f t="shared" si="48"/>
        <v>T21</v>
      </c>
      <c r="D382" s="101" t="str">
        <f>IF(A382&lt;&gt;A381,VLOOKUP(A382,'Date SPV'!$A:$D,4,FALSE),D381)</f>
        <v>Festival Shopping Center SRL</v>
      </c>
      <c r="E382" s="101" t="str">
        <f>VLOOKUP(A382,'Date SPV'!$A$4:$B$34,2,FALSE)</f>
        <v>RFSC</v>
      </c>
      <c r="H382" s="105" t="s">
        <v>894</v>
      </c>
      <c r="K382" s="101" t="str">
        <f>VLOOKUP(C382,'Preturi si tarife'!$A$4:$B$39,2,FALSE)</f>
        <v>Regularizare Energie reactiva  3X</v>
      </c>
      <c r="L382" s="102">
        <f>IF(B382=1,'Date masura OD'!$I$5,IF(B382=19,'Date masura OD'!$AK$5,L381))</f>
        <v>45748</v>
      </c>
      <c r="M382" s="102">
        <f>IF(B382=1,'Date masura OD'!$J$5,IF(B382=19,'Date masura OD'!$AL$5,M381))</f>
        <v>45777</v>
      </c>
      <c r="N382" s="104">
        <f>VLOOKUP(E382,verificare!$AR$4:$CC$33,B382+2,FALSE)</f>
        <v>0</v>
      </c>
      <c r="O382" s="103">
        <f>HLOOKUP(VLOOKUP(E382,'Date SPV'!$B$4:$F$34,5,FALSE),'Preturi si tarife'!$C$2:$J$39,B382+2,FALSE)*10000</f>
        <v>4395</v>
      </c>
      <c r="Q382" s="101" t="str">
        <f t="shared" si="43"/>
        <v>One-off</v>
      </c>
      <c r="R382" s="101" t="str">
        <f>VLOOKUP(K382,'Preturi si tarife'!$B$4:$K$39,10,FALSE)</f>
        <v>ICOENG0001</v>
      </c>
      <c r="T382" s="101" t="str">
        <f t="shared" si="44"/>
        <v>INV + 30</v>
      </c>
      <c r="V382" s="101" t="str">
        <f t="shared" si="45"/>
        <v>Active</v>
      </c>
      <c r="X382" s="101" t="str">
        <f t="shared" si="46"/>
        <v>One-off</v>
      </c>
      <c r="AC382" s="101" t="str">
        <f t="shared" si="49"/>
        <v>RON</v>
      </c>
      <c r="AD382" s="101">
        <f t="shared" si="50"/>
        <v>10000</v>
      </c>
    </row>
    <row r="383" spans="1:30">
      <c r="A383" s="101">
        <f t="shared" si="42"/>
        <v>11</v>
      </c>
      <c r="B383" s="101">
        <f t="shared" si="47"/>
        <v>22</v>
      </c>
      <c r="C383" s="101" t="str">
        <f t="shared" si="48"/>
        <v>T22</v>
      </c>
      <c r="D383" s="101" t="str">
        <f>IF(A383&lt;&gt;A382,VLOOKUP(A383,'Date SPV'!$A:$D,4,FALSE),D382)</f>
        <v>Festival Shopping Center SRL</v>
      </c>
      <c r="E383" s="101" t="str">
        <f>VLOOKUP(A383,'Date SPV'!$A$4:$B$34,2,FALSE)</f>
        <v>RFSC</v>
      </c>
      <c r="H383" s="105" t="s">
        <v>894</v>
      </c>
      <c r="K383" s="101" t="str">
        <f>VLOOKUP(C383,'Preturi si tarife'!$A$4:$B$39,2,FALSE)</f>
        <v>Regularizare Tarife distributie en. El IT+MT</v>
      </c>
      <c r="L383" s="102">
        <f>IF(B383=1,'Date masura OD'!$I$5,IF(B383=19,'Date masura OD'!$AK$5,L382))</f>
        <v>45748</v>
      </c>
      <c r="M383" s="102">
        <f>IF(B383=1,'Date masura OD'!$J$5,IF(B383=19,'Date masura OD'!$AL$5,M382))</f>
        <v>45777</v>
      </c>
      <c r="N383" s="104">
        <f>VLOOKUP(E383,verificare!$AR$4:$CC$33,B383+2,FALSE)</f>
        <v>0</v>
      </c>
      <c r="O383" s="103">
        <f>HLOOKUP(VLOOKUP(E383,'Date SPV'!$B$4:$F$34,5,FALSE),'Preturi si tarife'!$C$2:$J$39,B383+2,FALSE)*10000</f>
        <v>1148.3</v>
      </c>
      <c r="Q383" s="101" t="str">
        <f t="shared" si="43"/>
        <v>One-off</v>
      </c>
      <c r="R383" s="101" t="str">
        <f>VLOOKUP(K383,'Preturi si tarife'!$B$4:$K$39,10,FALSE)</f>
        <v>ICOENG0001</v>
      </c>
      <c r="T383" s="101" t="str">
        <f t="shared" si="44"/>
        <v>INV + 30</v>
      </c>
      <c r="V383" s="101" t="str">
        <f t="shared" si="45"/>
        <v>Active</v>
      </c>
      <c r="X383" s="101" t="str">
        <f t="shared" si="46"/>
        <v>One-off</v>
      </c>
      <c r="AC383" s="101" t="str">
        <f t="shared" si="49"/>
        <v>RON</v>
      </c>
      <c r="AD383" s="101">
        <f t="shared" si="50"/>
        <v>10000</v>
      </c>
    </row>
    <row r="384" spans="1:30">
      <c r="A384" s="101">
        <f t="shared" si="42"/>
        <v>11</v>
      </c>
      <c r="B384" s="101">
        <f t="shared" si="47"/>
        <v>23</v>
      </c>
      <c r="C384" s="101" t="str">
        <f t="shared" si="48"/>
        <v>T23</v>
      </c>
      <c r="D384" s="101" t="str">
        <f>IF(A384&lt;&gt;A383,VLOOKUP(A384,'Date SPV'!$A:$D,4,FALSE),D383)</f>
        <v>Festival Shopping Center SRL</v>
      </c>
      <c r="E384" s="101" t="str">
        <f>VLOOKUP(A384,'Date SPV'!$A$4:$B$34,2,FALSE)</f>
        <v>RFSC</v>
      </c>
      <c r="H384" s="105" t="s">
        <v>894</v>
      </c>
      <c r="K384" s="101" t="str">
        <f>VLOOKUP(C384,'Preturi si tarife'!$A$4:$B$39,2,FALSE)</f>
        <v>Regularizare Tarife distributie en. El JT</v>
      </c>
      <c r="L384" s="102">
        <f>IF(B384=1,'Date masura OD'!$I$5,IF(B384=19,'Date masura OD'!$AK$5,L383))</f>
        <v>45748</v>
      </c>
      <c r="M384" s="102">
        <f>IF(B384=1,'Date masura OD'!$J$5,IF(B384=19,'Date masura OD'!$AL$5,M383))</f>
        <v>45777</v>
      </c>
      <c r="N384" s="104">
        <f>VLOOKUP(E384,verificare!$AR$4:$CC$33,B384+2,FALSE)</f>
        <v>0</v>
      </c>
      <c r="O384" s="103">
        <f>HLOOKUP(VLOOKUP(E384,'Date SPV'!$B$4:$F$34,5,FALSE),'Preturi si tarife'!$C$2:$J$39,B384+2,FALSE)*10000</f>
        <v>2361</v>
      </c>
      <c r="Q384" s="101" t="str">
        <f t="shared" si="43"/>
        <v>One-off</v>
      </c>
      <c r="R384" s="101" t="str">
        <f>VLOOKUP(K384,'Preturi si tarife'!$B$4:$K$39,10,FALSE)</f>
        <v>ICOENG0001</v>
      </c>
      <c r="T384" s="101" t="str">
        <f t="shared" si="44"/>
        <v>INV + 30</v>
      </c>
      <c r="V384" s="101" t="str">
        <f t="shared" si="45"/>
        <v>Active</v>
      </c>
      <c r="X384" s="101" t="str">
        <f t="shared" si="46"/>
        <v>One-off</v>
      </c>
      <c r="AC384" s="101" t="str">
        <f t="shared" si="49"/>
        <v>RON</v>
      </c>
      <c r="AD384" s="101">
        <f t="shared" si="50"/>
        <v>10000</v>
      </c>
    </row>
    <row r="385" spans="1:30">
      <c r="A385" s="101">
        <f t="shared" si="42"/>
        <v>11</v>
      </c>
      <c r="B385" s="101">
        <f t="shared" si="47"/>
        <v>24</v>
      </c>
      <c r="C385" s="101" t="str">
        <f t="shared" si="48"/>
        <v>T24</v>
      </c>
      <c r="D385" s="101" t="str">
        <f>IF(A385&lt;&gt;A384,VLOOKUP(A385,'Date SPV'!$A:$D,4,FALSE),D384)</f>
        <v>Festival Shopping Center SRL</v>
      </c>
      <c r="E385" s="101" t="str">
        <f>VLOOKUP(A385,'Date SPV'!$A$4:$B$34,2,FALSE)</f>
        <v>RFSC</v>
      </c>
      <c r="H385" s="105" t="s">
        <v>894</v>
      </c>
      <c r="K385" s="101" t="str">
        <f>VLOOKUP(C385,'Preturi si tarife'!$A$4:$B$39,2,FALSE)</f>
        <v xml:space="preserve">Regularizare Servicii Sistem </v>
      </c>
      <c r="L385" s="102">
        <f>IF(B385=1,'Date masura OD'!$I$5,IF(B385=19,'Date masura OD'!$AK$5,L384))</f>
        <v>45748</v>
      </c>
      <c r="M385" s="102">
        <f>IF(B385=1,'Date masura OD'!$J$5,IF(B385=19,'Date masura OD'!$AL$5,M384))</f>
        <v>45777</v>
      </c>
      <c r="N385" s="104">
        <f>VLOOKUP(E385,verificare!$AR$4:$CC$33,B385+2,FALSE)</f>
        <v>0</v>
      </c>
      <c r="O385" s="103">
        <f>HLOOKUP(VLOOKUP(E385,'Date SPV'!$B$4:$F$34,5,FALSE),'Preturi si tarife'!$C$2:$J$39,B385+2,FALSE)*10000</f>
        <v>115.1</v>
      </c>
      <c r="Q385" s="101" t="str">
        <f t="shared" si="43"/>
        <v>One-off</v>
      </c>
      <c r="R385" s="101" t="str">
        <f>VLOOKUP(K385,'Preturi si tarife'!$B$4:$K$39,10,FALSE)</f>
        <v>ICOENG0001</v>
      </c>
      <c r="T385" s="101" t="str">
        <f t="shared" si="44"/>
        <v>INV + 30</v>
      </c>
      <c r="V385" s="101" t="str">
        <f t="shared" si="45"/>
        <v>Active</v>
      </c>
      <c r="X385" s="101" t="str">
        <f t="shared" si="46"/>
        <v>One-off</v>
      </c>
      <c r="AC385" s="101" t="str">
        <f t="shared" si="49"/>
        <v>RON</v>
      </c>
      <c r="AD385" s="101">
        <f t="shared" si="50"/>
        <v>10000</v>
      </c>
    </row>
    <row r="386" spans="1:30">
      <c r="A386" s="101">
        <f t="shared" si="42"/>
        <v>11</v>
      </c>
      <c r="B386" s="101">
        <f t="shared" si="47"/>
        <v>25</v>
      </c>
      <c r="C386" s="101" t="str">
        <f t="shared" si="48"/>
        <v>T25</v>
      </c>
      <c r="D386" s="101" t="str">
        <f>IF(A386&lt;&gt;A385,VLOOKUP(A386,'Date SPV'!$A:$D,4,FALSE),D385)</f>
        <v>Festival Shopping Center SRL</v>
      </c>
      <c r="E386" s="101" t="str">
        <f>VLOOKUP(A386,'Date SPV'!$A$4:$B$34,2,FALSE)</f>
        <v>RFSC</v>
      </c>
      <c r="H386" s="105" t="s">
        <v>894</v>
      </c>
      <c r="K386" s="101" t="str">
        <f>VLOOKUP(C386,'Preturi si tarife'!$A$4:$B$39,2,FALSE)</f>
        <v>Regularizare Tarif de introducere en. el in retea (TL)</v>
      </c>
      <c r="L386" s="102">
        <f>IF(B386=1,'Date masura OD'!$I$5,IF(B386=19,'Date masura OD'!$AK$5,L385))</f>
        <v>45748</v>
      </c>
      <c r="M386" s="102">
        <f>IF(B386=1,'Date masura OD'!$J$5,IF(B386=19,'Date masura OD'!$AL$5,M385))</f>
        <v>45777</v>
      </c>
      <c r="N386" s="104">
        <f>VLOOKUP(E386,verificare!$AR$4:$CC$33,B386+2,FALSE)</f>
        <v>0</v>
      </c>
      <c r="O386" s="103">
        <f>HLOOKUP(VLOOKUP(E386,'Date SPV'!$B$4:$F$34,5,FALSE),'Preturi si tarife'!$C$2:$J$39,B386+2,FALSE)*10000</f>
        <v>330.3</v>
      </c>
      <c r="Q386" s="101" t="str">
        <f t="shared" si="43"/>
        <v>One-off</v>
      </c>
      <c r="R386" s="101" t="str">
        <f>VLOOKUP(K386,'Preturi si tarife'!$B$4:$K$39,10,FALSE)</f>
        <v>ICOENG0001</v>
      </c>
      <c r="T386" s="101" t="str">
        <f t="shared" si="44"/>
        <v>INV + 30</v>
      </c>
      <c r="V386" s="101" t="str">
        <f t="shared" si="45"/>
        <v>Active</v>
      </c>
      <c r="X386" s="101" t="str">
        <f t="shared" si="46"/>
        <v>One-off</v>
      </c>
      <c r="AC386" s="101" t="str">
        <f t="shared" si="49"/>
        <v>RON</v>
      </c>
      <c r="AD386" s="101">
        <f t="shared" si="50"/>
        <v>10000</v>
      </c>
    </row>
    <row r="387" spans="1:30">
      <c r="A387" s="101">
        <f t="shared" si="42"/>
        <v>11</v>
      </c>
      <c r="B387" s="101">
        <f t="shared" si="47"/>
        <v>26</v>
      </c>
      <c r="C387" s="101" t="str">
        <f t="shared" si="48"/>
        <v>T26</v>
      </c>
      <c r="D387" s="101" t="str">
        <f>IF(A387&lt;&gt;A386,VLOOKUP(A387,'Date SPV'!$A:$D,4,FALSE),D386)</f>
        <v>Festival Shopping Center SRL</v>
      </c>
      <c r="E387" s="101" t="str">
        <f>VLOOKUP(A387,'Date SPV'!$A$4:$B$34,2,FALSE)</f>
        <v>RFSC</v>
      </c>
      <c r="H387" s="105" t="s">
        <v>894</v>
      </c>
      <c r="K387" s="101" t="str">
        <f>VLOOKUP(C387,'Preturi si tarife'!$A$4:$B$39,2,FALSE)</f>
        <v>Regularizare Tarif de introducere en.el in retea (TG)</v>
      </c>
      <c r="L387" s="102">
        <f>IF(B387=1,'Date masura OD'!$I$5,IF(B387=19,'Date masura OD'!$AK$5,L386))</f>
        <v>45748</v>
      </c>
      <c r="M387" s="102">
        <f>IF(B387=1,'Date masura OD'!$J$5,IF(B387=19,'Date masura OD'!$AL$5,M386))</f>
        <v>45777</v>
      </c>
      <c r="N387" s="104">
        <f>VLOOKUP(E387,verificare!$AR$4:$CC$33,B387+2,FALSE)</f>
        <v>0</v>
      </c>
      <c r="O387" s="103">
        <f>HLOOKUP(VLOOKUP(E387,'Date SPV'!$B$4:$F$34,5,FALSE),'Preturi si tarife'!$C$2:$J$39,B387+2,FALSE)*10000</f>
        <v>32.9</v>
      </c>
      <c r="Q387" s="101" t="str">
        <f t="shared" si="43"/>
        <v>One-off</v>
      </c>
      <c r="R387" s="101" t="str">
        <f>VLOOKUP(K387,'Preturi si tarife'!$B$4:$K$39,10,FALSE)</f>
        <v>ICOENG0001</v>
      </c>
      <c r="T387" s="101" t="str">
        <f t="shared" si="44"/>
        <v>INV + 30</v>
      </c>
      <c r="V387" s="101" t="str">
        <f t="shared" si="45"/>
        <v>Active</v>
      </c>
      <c r="X387" s="101" t="str">
        <f t="shared" si="46"/>
        <v>One-off</v>
      </c>
      <c r="AC387" s="101" t="str">
        <f t="shared" si="49"/>
        <v>RON</v>
      </c>
      <c r="AD387" s="101">
        <f t="shared" si="50"/>
        <v>10000</v>
      </c>
    </row>
    <row r="388" spans="1:30">
      <c r="A388" s="101">
        <f t="shared" ref="A388:A451" si="51">IF(B387=36,A387+1,A387)</f>
        <v>11</v>
      </c>
      <c r="B388" s="101">
        <f t="shared" si="47"/>
        <v>27</v>
      </c>
      <c r="C388" s="101" t="str">
        <f t="shared" si="48"/>
        <v>T27</v>
      </c>
      <c r="D388" s="101" t="str">
        <f>IF(A388&lt;&gt;A387,VLOOKUP(A388,'Date SPV'!$A:$D,4,FALSE),D387)</f>
        <v>Festival Shopping Center SRL</v>
      </c>
      <c r="E388" s="101" t="str">
        <f>VLOOKUP(A388,'Date SPV'!$A$4:$B$34,2,FALSE)</f>
        <v>RFSC</v>
      </c>
      <c r="H388" s="105" t="s">
        <v>894</v>
      </c>
      <c r="K388" s="101" t="str">
        <f>VLOOKUP(C388,'Preturi si tarife'!$A$4:$B$39,2,FALSE)</f>
        <v>Regularizare Contributie pentru cogenerare</v>
      </c>
      <c r="L388" s="102">
        <f>IF(B388=1,'Date masura OD'!$I$5,IF(B388=19,'Date masura OD'!$AK$5,L387))</f>
        <v>45748</v>
      </c>
      <c r="M388" s="102">
        <f>IF(B388=1,'Date masura OD'!$J$5,IF(B388=19,'Date masura OD'!$AL$5,M387))</f>
        <v>45777</v>
      </c>
      <c r="N388" s="104">
        <f>VLOOKUP(E388,verificare!$AR$4:$CC$33,B388+2,FALSE)</f>
        <v>0</v>
      </c>
      <c r="O388" s="103">
        <f>HLOOKUP(VLOOKUP(E388,'Date SPV'!$B$4:$F$34,5,FALSE),'Preturi si tarife'!$C$2:$J$39,B388+2,FALSE)*10000</f>
        <v>35</v>
      </c>
      <c r="Q388" s="101" t="str">
        <f t="shared" si="43"/>
        <v>One-off</v>
      </c>
      <c r="R388" s="101" t="str">
        <f>VLOOKUP(K388,'Preturi si tarife'!$B$4:$K$39,10,FALSE)</f>
        <v>ICOENG0001</v>
      </c>
      <c r="T388" s="101" t="str">
        <f t="shared" si="44"/>
        <v>INV + 30</v>
      </c>
      <c r="V388" s="101" t="str">
        <f t="shared" si="45"/>
        <v>Active</v>
      </c>
      <c r="X388" s="101" t="str">
        <f t="shared" si="46"/>
        <v>One-off</v>
      </c>
      <c r="AC388" s="101" t="str">
        <f t="shared" si="49"/>
        <v>RON</v>
      </c>
      <c r="AD388" s="101">
        <f t="shared" si="50"/>
        <v>10000</v>
      </c>
    </row>
    <row r="389" spans="1:30">
      <c r="A389" s="101">
        <f t="shared" si="51"/>
        <v>11</v>
      </c>
      <c r="B389" s="101">
        <f t="shared" si="47"/>
        <v>28</v>
      </c>
      <c r="C389" s="101" t="str">
        <f t="shared" si="48"/>
        <v>T28</v>
      </c>
      <c r="D389" s="101" t="str">
        <f>IF(A389&lt;&gt;A388,VLOOKUP(A389,'Date SPV'!$A:$D,4,FALSE),D388)</f>
        <v>Festival Shopping Center SRL</v>
      </c>
      <c r="E389" s="101" t="str">
        <f>VLOOKUP(A389,'Date SPV'!$A$4:$B$34,2,FALSE)</f>
        <v>RFSC</v>
      </c>
      <c r="H389" s="105" t="s">
        <v>894</v>
      </c>
      <c r="K389" s="101" t="str">
        <f>VLOOKUP(C389,'Preturi si tarife'!$A$4:$B$39,2,FALSE)</f>
        <v xml:space="preserve">Regularizare Certificate verzi </v>
      </c>
      <c r="L389" s="102">
        <f>IF(B389=1,'Date masura OD'!$I$5,IF(B389=19,'Date masura OD'!$AK$5,L388))</f>
        <v>45748</v>
      </c>
      <c r="M389" s="102">
        <f>IF(B389=1,'Date masura OD'!$J$5,IF(B389=19,'Date masura OD'!$AL$5,M388))</f>
        <v>45777</v>
      </c>
      <c r="N389" s="104">
        <f>VLOOKUP(E389,verificare!$AR$4:$CC$33,B389+2,FALSE)</f>
        <v>0</v>
      </c>
      <c r="O389" s="103">
        <f>HLOOKUP(VLOOKUP(E389,'Date SPV'!$B$4:$F$34,5,FALSE),'Preturi si tarife'!$C$2:$J$39,B389+2,FALSE)*10000</f>
        <v>725.41599999999994</v>
      </c>
      <c r="Q389" s="101" t="str">
        <f t="shared" si="43"/>
        <v>One-off</v>
      </c>
      <c r="R389" s="101" t="str">
        <f>VLOOKUP(K389,'Preturi si tarife'!$B$4:$K$39,10,FALSE)</f>
        <v>ICOENG0001</v>
      </c>
      <c r="T389" s="101" t="str">
        <f t="shared" si="44"/>
        <v>INV + 30</v>
      </c>
      <c r="V389" s="101" t="str">
        <f t="shared" si="45"/>
        <v>Active</v>
      </c>
      <c r="X389" s="101" t="str">
        <f t="shared" si="46"/>
        <v>One-off</v>
      </c>
      <c r="AC389" s="101" t="str">
        <f t="shared" si="49"/>
        <v>RON</v>
      </c>
      <c r="AD389" s="101">
        <f t="shared" si="50"/>
        <v>10000</v>
      </c>
    </row>
    <row r="390" spans="1:30">
      <c r="A390" s="101">
        <f t="shared" si="51"/>
        <v>11</v>
      </c>
      <c r="B390" s="101">
        <f t="shared" si="47"/>
        <v>29</v>
      </c>
      <c r="C390" s="101" t="str">
        <f t="shared" si="48"/>
        <v>T29</v>
      </c>
      <c r="D390" s="101" t="str">
        <f>IF(A390&lt;&gt;A389,VLOOKUP(A390,'Date SPV'!$A:$D,4,FALSE),D389)</f>
        <v>Festival Shopping Center SRL</v>
      </c>
      <c r="E390" s="101" t="str">
        <f>VLOOKUP(A390,'Date SPV'!$A$4:$B$34,2,FALSE)</f>
        <v>RFSC</v>
      </c>
      <c r="H390" s="105" t="s">
        <v>894</v>
      </c>
      <c r="K390" s="101" t="str">
        <f>VLOOKUP(C390,'Preturi si tarife'!$A$4:$B$39,2,FALSE)</f>
        <v>Regularizare Contributie CFD</v>
      </c>
      <c r="L390" s="102">
        <f>IF(B390=1,'Date masura OD'!$I$5,IF(B390=19,'Date masura OD'!$AK$5,L389))</f>
        <v>45748</v>
      </c>
      <c r="M390" s="102">
        <f>IF(B390=1,'Date masura OD'!$J$5,IF(B390=19,'Date masura OD'!$AL$5,M389))</f>
        <v>45777</v>
      </c>
      <c r="N390" s="104">
        <f>VLOOKUP(E390,verificare!$AR$4:$CC$33,B390+2,FALSE)</f>
        <v>0</v>
      </c>
      <c r="O390" s="103">
        <f>HLOOKUP(VLOOKUP(E390,'Date SPV'!$B$4:$F$34,5,FALSE),'Preturi si tarife'!$C$2:$J$39,B390+2,FALSE)*10000</f>
        <v>2.06</v>
      </c>
      <c r="Q390" s="101" t="str">
        <f t="shared" si="43"/>
        <v>One-off</v>
      </c>
      <c r="R390" s="101" t="str">
        <f>VLOOKUP(K390,'Preturi si tarife'!$B$4:$K$39,10,FALSE)</f>
        <v>ICOENG0001</v>
      </c>
      <c r="T390" s="101" t="str">
        <f t="shared" si="44"/>
        <v>INV + 30</v>
      </c>
      <c r="V390" s="101" t="str">
        <f t="shared" si="45"/>
        <v>Active</v>
      </c>
      <c r="X390" s="101" t="str">
        <f t="shared" si="46"/>
        <v>One-off</v>
      </c>
      <c r="AC390" s="101" t="str">
        <f t="shared" si="49"/>
        <v>RON</v>
      </c>
      <c r="AD390" s="101">
        <f t="shared" si="50"/>
        <v>10000</v>
      </c>
    </row>
    <row r="391" spans="1:30">
      <c r="A391" s="101">
        <f t="shared" si="51"/>
        <v>11</v>
      </c>
      <c r="B391" s="101">
        <f t="shared" si="47"/>
        <v>30</v>
      </c>
      <c r="C391" s="101" t="str">
        <f t="shared" si="48"/>
        <v>T30</v>
      </c>
      <c r="D391" s="101" t="str">
        <f>IF(A391&lt;&gt;A390,VLOOKUP(A391,'Date SPV'!$A:$D,4,FALSE),D390)</f>
        <v>Festival Shopping Center SRL</v>
      </c>
      <c r="E391" s="101" t="str">
        <f>VLOOKUP(A391,'Date SPV'!$A$4:$B$34,2,FALSE)</f>
        <v>RFSC</v>
      </c>
      <c r="H391" s="105" t="s">
        <v>894</v>
      </c>
      <c r="K391" s="101" t="str">
        <f>VLOOKUP(C391,'Preturi si tarife'!$A$4:$B$39,2,FALSE)</f>
        <v>Regularizare Acciza</v>
      </c>
      <c r="L391" s="102">
        <f>IF(B391=1,'Date masura OD'!$I$5,IF(B391=19,'Date masura OD'!$AK$5,L390))</f>
        <v>45748</v>
      </c>
      <c r="M391" s="102">
        <f>IF(B391=1,'Date masura OD'!$J$5,IF(B391=19,'Date masura OD'!$AL$5,M390))</f>
        <v>45777</v>
      </c>
      <c r="N391" s="104">
        <f>VLOOKUP(E391,verificare!$AR$4:$CC$33,B391+2,FALSE)</f>
        <v>0</v>
      </c>
      <c r="O391" s="103">
        <f>HLOOKUP(VLOOKUP(E391,'Date SPV'!$B$4:$F$34,5,FALSE),'Preturi si tarife'!$C$2:$J$39,B391+2,FALSE)*10000</f>
        <v>0</v>
      </c>
      <c r="Q391" s="101" t="str">
        <f t="shared" si="43"/>
        <v>One-off</v>
      </c>
      <c r="R391" s="101" t="str">
        <f>VLOOKUP(K391,'Preturi si tarife'!$B$4:$K$39,10,FALSE)</f>
        <v>ICOENG0001</v>
      </c>
      <c r="T391" s="101" t="str">
        <f t="shared" si="44"/>
        <v>INV + 30</v>
      </c>
      <c r="V391" s="101" t="str">
        <f t="shared" si="45"/>
        <v>Active</v>
      </c>
      <c r="X391" s="101" t="str">
        <f t="shared" si="46"/>
        <v>One-off</v>
      </c>
      <c r="AC391" s="101" t="str">
        <f t="shared" si="49"/>
        <v>RON</v>
      </c>
      <c r="AD391" s="101">
        <f t="shared" si="50"/>
        <v>10000</v>
      </c>
    </row>
    <row r="392" spans="1:30">
      <c r="A392" s="101">
        <f t="shared" si="51"/>
        <v>11</v>
      </c>
      <c r="B392" s="101">
        <f t="shared" si="47"/>
        <v>31</v>
      </c>
      <c r="C392" s="101" t="str">
        <f t="shared" si="48"/>
        <v>T31</v>
      </c>
      <c r="D392" s="101" t="str">
        <f>IF(A392&lt;&gt;A391,VLOOKUP(A392,'Date SPV'!$A:$D,4,FALSE),D391)</f>
        <v>Festival Shopping Center SRL</v>
      </c>
      <c r="E392" s="101" t="str">
        <f>VLOOKUP(A392,'Date SPV'!$A$4:$B$34,2,FALSE)</f>
        <v>RFSC</v>
      </c>
      <c r="H392" s="105" t="s">
        <v>894</v>
      </c>
      <c r="K392" s="101" t="str">
        <f>VLOOKUP(C392,'Preturi si tarife'!$A$4:$B$39,2,FALSE)</f>
        <v>Regularizare Tarif distributie SDI MT Ea1</v>
      </c>
      <c r="L392" s="102">
        <f>IF(B392=1,'Date masura OD'!$I$5,IF(B392=19,'Date masura OD'!$AK$5,L391))</f>
        <v>45748</v>
      </c>
      <c r="M392" s="102">
        <f>IF(B392=1,'Date masura OD'!$J$5,IF(B392=19,'Date masura OD'!$AL$5,M391))</f>
        <v>45777</v>
      </c>
      <c r="N392" s="104">
        <f>VLOOKUP(E392,verificare!$AR$4:$CC$33,B392+2,FALSE)</f>
        <v>0</v>
      </c>
      <c r="O392" s="103">
        <f>HLOOKUP(VLOOKUP(E392,'Date SPV'!$B$4:$F$34,5,FALSE),'Preturi si tarife'!$C$2:$J$39,B392+2,FALSE)*10000</f>
        <v>126</v>
      </c>
      <c r="Q392" s="101" t="str">
        <f t="shared" si="43"/>
        <v>One-off</v>
      </c>
      <c r="R392" s="101" t="str">
        <f>VLOOKUP(K392,'Preturi si tarife'!$B$4:$K$39,10,FALSE)</f>
        <v>ICOENG0010</v>
      </c>
      <c r="T392" s="101" t="str">
        <f t="shared" si="44"/>
        <v>INV + 30</v>
      </c>
      <c r="V392" s="101" t="str">
        <f t="shared" si="45"/>
        <v>Active</v>
      </c>
      <c r="X392" s="101" t="str">
        <f t="shared" si="46"/>
        <v>One-off</v>
      </c>
      <c r="AC392" s="101" t="str">
        <f t="shared" si="49"/>
        <v>RON</v>
      </c>
      <c r="AD392" s="101">
        <f t="shared" si="50"/>
        <v>10000</v>
      </c>
    </row>
    <row r="393" spans="1:30">
      <c r="A393" s="101">
        <f t="shared" si="51"/>
        <v>11</v>
      </c>
      <c r="B393" s="101">
        <f t="shared" si="47"/>
        <v>32</v>
      </c>
      <c r="C393" s="101" t="str">
        <f t="shared" si="48"/>
        <v>T32</v>
      </c>
      <c r="D393" s="101" t="str">
        <f>IF(A393&lt;&gt;A392,VLOOKUP(A393,'Date SPV'!$A:$D,4,FALSE),D392)</f>
        <v>Festival Shopping Center SRL</v>
      </c>
      <c r="E393" s="101" t="str">
        <f>VLOOKUP(A393,'Date SPV'!$A$4:$B$34,2,FALSE)</f>
        <v>RFSC</v>
      </c>
      <c r="H393" s="105" t="s">
        <v>894</v>
      </c>
      <c r="K393" s="101" t="str">
        <f>VLOOKUP(C393,'Preturi si tarife'!$A$4:$B$39,2,FALSE)</f>
        <v>Regularizare Tarif distributie SDI JT Ea1</v>
      </c>
      <c r="L393" s="102">
        <f>IF(B393=1,'Date masura OD'!$I$5,IF(B393=19,'Date masura OD'!$AK$5,L392))</f>
        <v>45748</v>
      </c>
      <c r="M393" s="102">
        <f>IF(B393=1,'Date masura OD'!$J$5,IF(B393=19,'Date masura OD'!$AL$5,M392))</f>
        <v>45777</v>
      </c>
      <c r="N393" s="104">
        <f>VLOOKUP(E393,verificare!$AR$4:$CC$33,B393+2,FALSE)</f>
        <v>0</v>
      </c>
      <c r="O393" s="103">
        <f>HLOOKUP(VLOOKUP(E393,'Date SPV'!$B$4:$F$34,5,FALSE),'Preturi si tarife'!$C$2:$J$39,B393+2,FALSE)*10000</f>
        <v>927</v>
      </c>
      <c r="Q393" s="101" t="str">
        <f t="shared" si="43"/>
        <v>One-off</v>
      </c>
      <c r="R393" s="101" t="str">
        <f>VLOOKUP(K393,'Preturi si tarife'!$B$4:$K$39,10,FALSE)</f>
        <v>ICOENG0010</v>
      </c>
      <c r="T393" s="101" t="str">
        <f t="shared" si="44"/>
        <v>INV + 30</v>
      </c>
      <c r="V393" s="101" t="str">
        <f t="shared" si="45"/>
        <v>Active</v>
      </c>
      <c r="X393" s="101" t="str">
        <f t="shared" si="46"/>
        <v>One-off</v>
      </c>
      <c r="AC393" s="101" t="str">
        <f t="shared" si="49"/>
        <v>RON</v>
      </c>
      <c r="AD393" s="101">
        <f t="shared" si="50"/>
        <v>10000</v>
      </c>
    </row>
    <row r="394" spans="1:30">
      <c r="A394" s="101">
        <f t="shared" si="51"/>
        <v>11</v>
      </c>
      <c r="B394" s="101">
        <f t="shared" si="47"/>
        <v>33</v>
      </c>
      <c r="C394" s="101" t="str">
        <f t="shared" si="48"/>
        <v>T33</v>
      </c>
      <c r="D394" s="101" t="str">
        <f>IF(A394&lt;&gt;A393,VLOOKUP(A394,'Date SPV'!$A:$D,4,FALSE),D393)</f>
        <v>Festival Shopping Center SRL</v>
      </c>
      <c r="E394" s="101" t="str">
        <f>VLOOKUP(A394,'Date SPV'!$A$4:$B$34,2,FALSE)</f>
        <v>RFSC</v>
      </c>
      <c r="H394" s="105" t="s">
        <v>894</v>
      </c>
      <c r="K394" s="101" t="str">
        <f>VLOOKUP(C394,'Preturi si tarife'!$A$4:$B$39,2,FALSE)</f>
        <v>Regularizare Energie activa 2</v>
      </c>
      <c r="L394" s="102">
        <f>IF(B394=1,'Date masura OD'!$I$5,IF(B394=19,'Date masura OD'!$AK$5,L393))</f>
        <v>45748</v>
      </c>
      <c r="M394" s="102">
        <f>IF(B394=1,'Date masura OD'!$J$5,IF(B394=19,'Date masura OD'!$AL$5,M393))</f>
        <v>45777</v>
      </c>
      <c r="N394" s="104">
        <f>VLOOKUP(E394,verificare!$AR$4:$CC$33,B394+2,FALSE)</f>
        <v>0</v>
      </c>
      <c r="O394" s="103">
        <f>HLOOKUP(VLOOKUP(E394,'Date SPV'!$B$4:$F$34,5,FALSE),'Preturi si tarife'!$C$2:$J$39,B394+2,FALSE)*10000</f>
        <v>9392.0760000000009</v>
      </c>
      <c r="Q394" s="101" t="str">
        <f t="shared" si="43"/>
        <v>One-off</v>
      </c>
      <c r="R394" s="101" t="str">
        <f>VLOOKUP(K394,'Preturi si tarife'!$B$4:$K$39,10,FALSE)</f>
        <v>ICOENG0012</v>
      </c>
      <c r="T394" s="101" t="str">
        <f t="shared" si="44"/>
        <v>INV + 30</v>
      </c>
      <c r="V394" s="101" t="str">
        <f t="shared" si="45"/>
        <v>Active</v>
      </c>
      <c r="X394" s="101" t="str">
        <f t="shared" si="46"/>
        <v>One-off</v>
      </c>
      <c r="AC394" s="101" t="str">
        <f t="shared" si="49"/>
        <v>RON</v>
      </c>
      <c r="AD394" s="101">
        <f t="shared" si="50"/>
        <v>10000</v>
      </c>
    </row>
    <row r="395" spans="1:30">
      <c r="A395" s="101">
        <f t="shared" si="51"/>
        <v>11</v>
      </c>
      <c r="B395" s="101">
        <f t="shared" si="47"/>
        <v>34</v>
      </c>
      <c r="C395" s="101" t="str">
        <f t="shared" si="48"/>
        <v>T34</v>
      </c>
      <c r="D395" s="101" t="str">
        <f>IF(A395&lt;&gt;A394,VLOOKUP(A395,'Date SPV'!$A:$D,4,FALSE),D394)</f>
        <v>Festival Shopping Center SRL</v>
      </c>
      <c r="E395" s="101" t="str">
        <f>VLOOKUP(A395,'Date SPV'!$A$4:$B$34,2,FALSE)</f>
        <v>RFSC</v>
      </c>
      <c r="H395" s="105" t="s">
        <v>894</v>
      </c>
      <c r="K395" s="101" t="str">
        <f>VLOOKUP(C395,'Preturi si tarife'!$A$4:$B$39,2,FALSE)</f>
        <v>Regularizare Energie activa 3</v>
      </c>
      <c r="L395" s="102">
        <f>IF(B395=1,'Date masura OD'!$I$5,IF(B395=19,'Date masura OD'!$AK$5,L394))</f>
        <v>45748</v>
      </c>
      <c r="M395" s="102">
        <f>IF(B395=1,'Date masura OD'!$J$5,IF(B395=19,'Date masura OD'!$AL$5,M394))</f>
        <v>45777</v>
      </c>
      <c r="N395" s="104">
        <f>VLOOKUP(E395,verificare!$AR$4:$CC$33,B395+2,FALSE)</f>
        <v>0</v>
      </c>
      <c r="O395" s="103">
        <f>HLOOKUP(VLOOKUP(E395,'Date SPV'!$B$4:$F$34,5,FALSE),'Preturi si tarife'!$C$2:$J$39,B395+2,FALSE)*10000</f>
        <v>8339.0760000000009</v>
      </c>
      <c r="Q395" s="101" t="str">
        <f t="shared" si="43"/>
        <v>One-off</v>
      </c>
      <c r="R395" s="101" t="str">
        <f>VLOOKUP(K395,'Preturi si tarife'!$B$4:$K$39,10,FALSE)</f>
        <v>ICOENG0012</v>
      </c>
      <c r="T395" s="101" t="str">
        <f t="shared" si="44"/>
        <v>INV + 30</v>
      </c>
      <c r="V395" s="101" t="str">
        <f t="shared" si="45"/>
        <v>Active</v>
      </c>
      <c r="X395" s="101" t="str">
        <f t="shared" si="46"/>
        <v>One-off</v>
      </c>
      <c r="AC395" s="101" t="str">
        <f t="shared" si="49"/>
        <v>RON</v>
      </c>
      <c r="AD395" s="101">
        <f t="shared" si="50"/>
        <v>10000</v>
      </c>
    </row>
    <row r="396" spans="1:30">
      <c r="A396" s="101">
        <f t="shared" si="51"/>
        <v>11</v>
      </c>
      <c r="B396" s="101">
        <f t="shared" si="47"/>
        <v>35</v>
      </c>
      <c r="C396" s="101" t="str">
        <f t="shared" si="48"/>
        <v>T35</v>
      </c>
      <c r="D396" s="101" t="str">
        <f>IF(A396&lt;&gt;A395,VLOOKUP(A396,'Date SPV'!$A:$D,4,FALSE),D395)</f>
        <v>Festival Shopping Center SRL</v>
      </c>
      <c r="E396" s="101" t="str">
        <f>VLOOKUP(A396,'Date SPV'!$A$4:$B$34,2,FALSE)</f>
        <v>RFSC</v>
      </c>
      <c r="H396" s="105" t="s">
        <v>894</v>
      </c>
      <c r="K396" s="101" t="str">
        <f>VLOOKUP(C396,'Preturi si tarife'!$A$4:$B$39,2,FALSE)</f>
        <v>Regularizare Tarif distributie SDI MT Ea3</v>
      </c>
      <c r="L396" s="102">
        <f>IF(B396=1,'Date masura OD'!$I$5,IF(B396=19,'Date masura OD'!$AK$5,L395))</f>
        <v>45748</v>
      </c>
      <c r="M396" s="102">
        <f>IF(B396=1,'Date masura OD'!$J$5,IF(B396=19,'Date masura OD'!$AL$5,M395))</f>
        <v>45777</v>
      </c>
      <c r="N396" s="104">
        <f>VLOOKUP(E396,verificare!$AR$4:$CC$33,B396+2,FALSE)</f>
        <v>0</v>
      </c>
      <c r="O396" s="103">
        <f>HLOOKUP(VLOOKUP(E396,'Date SPV'!$B$4:$F$34,5,FALSE),'Preturi si tarife'!$C$2:$J$39,B396+2,FALSE)*10000</f>
        <v>126</v>
      </c>
      <c r="Q396" s="101" t="str">
        <f t="shared" si="43"/>
        <v>One-off</v>
      </c>
      <c r="R396" s="101" t="str">
        <f>VLOOKUP(K396,'Preturi si tarife'!$B$4:$K$39,10,FALSE)</f>
        <v>ICOENG0010</v>
      </c>
      <c r="T396" s="101" t="str">
        <f t="shared" si="44"/>
        <v>INV + 30</v>
      </c>
      <c r="V396" s="101" t="str">
        <f t="shared" si="45"/>
        <v>Active</v>
      </c>
      <c r="X396" s="101" t="str">
        <f t="shared" si="46"/>
        <v>One-off</v>
      </c>
      <c r="AC396" s="101" t="str">
        <f t="shared" si="49"/>
        <v>RON</v>
      </c>
      <c r="AD396" s="101">
        <f t="shared" si="50"/>
        <v>10000</v>
      </c>
    </row>
    <row r="397" spans="1:30">
      <c r="A397" s="101">
        <f t="shared" si="51"/>
        <v>11</v>
      </c>
      <c r="B397" s="101">
        <f t="shared" si="47"/>
        <v>36</v>
      </c>
      <c r="C397" s="101" t="str">
        <f t="shared" si="48"/>
        <v>T36</v>
      </c>
      <c r="D397" s="101" t="str">
        <f>IF(A397&lt;&gt;A396,VLOOKUP(A397,'Date SPV'!$A:$D,4,FALSE),D396)</f>
        <v>Festival Shopping Center SRL</v>
      </c>
      <c r="E397" s="101" t="str">
        <f>VLOOKUP(A397,'Date SPV'!$A$4:$B$34,2,FALSE)</f>
        <v>RFSC</v>
      </c>
      <c r="H397" s="105" t="s">
        <v>894</v>
      </c>
      <c r="K397" s="101" t="str">
        <f>VLOOKUP(C397,'Preturi si tarife'!$A$4:$B$39,2,FALSE)</f>
        <v>Regularizare Tarif distributie SDI JT Ea3</v>
      </c>
      <c r="L397" s="102">
        <f>IF(B397=1,'Date masura OD'!$I$5,IF(B397=19,'Date masura OD'!$AK$5,L396))</f>
        <v>45748</v>
      </c>
      <c r="M397" s="102">
        <f>IF(B397=1,'Date masura OD'!$J$5,IF(B397=19,'Date masura OD'!$AL$5,M396))</f>
        <v>45777</v>
      </c>
      <c r="N397" s="104">
        <f>VLOOKUP(E397,verificare!$AR$4:$CC$33,B397+2,FALSE)</f>
        <v>0</v>
      </c>
      <c r="O397" s="103">
        <f>HLOOKUP(VLOOKUP(E397,'Date SPV'!$B$4:$F$34,5,FALSE),'Preturi si tarife'!$C$2:$J$39,B397+2,FALSE)*10000</f>
        <v>927</v>
      </c>
      <c r="Q397" s="101" t="str">
        <f t="shared" si="43"/>
        <v>One-off</v>
      </c>
      <c r="R397" s="101" t="str">
        <f>VLOOKUP(K397,'Preturi si tarife'!$B$4:$K$39,10,FALSE)</f>
        <v>ICOENG0010</v>
      </c>
      <c r="T397" s="101" t="str">
        <f t="shared" si="44"/>
        <v>INV + 30</v>
      </c>
      <c r="V397" s="101" t="str">
        <f t="shared" si="45"/>
        <v>Active</v>
      </c>
      <c r="X397" s="101" t="str">
        <f t="shared" si="46"/>
        <v>One-off</v>
      </c>
      <c r="AC397" s="101" t="str">
        <f t="shared" si="49"/>
        <v>RON</v>
      </c>
      <c r="AD397" s="101">
        <f t="shared" si="50"/>
        <v>10000</v>
      </c>
    </row>
    <row r="398" spans="1:30">
      <c r="A398" s="101">
        <f t="shared" si="51"/>
        <v>12</v>
      </c>
      <c r="B398" s="101">
        <f t="shared" si="47"/>
        <v>1</v>
      </c>
      <c r="C398" s="101" t="str">
        <f t="shared" si="48"/>
        <v>T1</v>
      </c>
      <c r="D398" s="101" t="str">
        <f>IF(A398&lt;&gt;A397,VLOOKUP(A398,'Date SPV'!$A:$D,4,FALSE),D397)</f>
        <v>Promenada Mall Bucuresti SRL</v>
      </c>
      <c r="E398" s="101" t="str">
        <f>VLOOKUP(A398,'Date SPV'!$A$4:$B$34,2,FALSE)</f>
        <v>RPMB</v>
      </c>
      <c r="H398" s="105" t="s">
        <v>894</v>
      </c>
      <c r="K398" s="101" t="str">
        <f>VLOOKUP(C398,'Preturi si tarife'!$A$4:$B$39,2,FALSE)</f>
        <v>Energie activa 1</v>
      </c>
      <c r="L398" s="102">
        <f>IF(B398=1,'Date masura OD'!$I$5,IF(B398=19,'Date masura OD'!$AK$5,L397))</f>
        <v>45778</v>
      </c>
      <c r="M398" s="102">
        <f>IF(B398=1,'Date masura OD'!$J$5,IF(B398=19,'Date masura OD'!$AL$5,M397))</f>
        <v>45808</v>
      </c>
      <c r="N398" s="104">
        <f>VLOOKUP(E398,verificare!$AR$4:$CC$33,B398+2,FALSE)</f>
        <v>1390723</v>
      </c>
      <c r="O398" s="103">
        <f>HLOOKUP(VLOOKUP(E398,'Date SPV'!$B$4:$F$34,5,FALSE),'Preturi si tarife'!$C$2:$J$39,B398+2,FALSE)*10000</f>
        <v>5950</v>
      </c>
      <c r="Q398" s="101" t="str">
        <f t="shared" si="43"/>
        <v>One-off</v>
      </c>
      <c r="R398" s="101" t="str">
        <f>VLOOKUP(K398,'Preturi si tarife'!$B$4:$K$39,10,FALSE)</f>
        <v>ICOENG0001</v>
      </c>
      <c r="T398" s="101" t="str">
        <f t="shared" si="44"/>
        <v>INV + 30</v>
      </c>
      <c r="V398" s="101" t="str">
        <f t="shared" si="45"/>
        <v>Active</v>
      </c>
      <c r="X398" s="101" t="str">
        <f t="shared" si="46"/>
        <v>One-off</v>
      </c>
      <c r="AC398" s="101" t="str">
        <f t="shared" si="49"/>
        <v>RON</v>
      </c>
      <c r="AD398" s="101">
        <f t="shared" si="50"/>
        <v>10000</v>
      </c>
    </row>
    <row r="399" spans="1:30">
      <c r="A399" s="101">
        <f t="shared" si="51"/>
        <v>12</v>
      </c>
      <c r="B399" s="101">
        <f t="shared" si="47"/>
        <v>2</v>
      </c>
      <c r="C399" s="101" t="str">
        <f t="shared" si="48"/>
        <v>T2</v>
      </c>
      <c r="D399" s="101" t="str">
        <f>IF(A399&lt;&gt;A398,VLOOKUP(A399,'Date SPV'!$A:$D,4,FALSE),D398)</f>
        <v>Promenada Mall Bucuresti SRL</v>
      </c>
      <c r="E399" s="101" t="str">
        <f>VLOOKUP(A399,'Date SPV'!$A$4:$B$34,2,FALSE)</f>
        <v>RPMB</v>
      </c>
      <c r="H399" s="105" t="s">
        <v>894</v>
      </c>
      <c r="K399" s="101" t="str">
        <f>VLOOKUP(C399,'Preturi si tarife'!$A$4:$B$39,2,FALSE)</f>
        <v>Energie reactiva  1X</v>
      </c>
      <c r="L399" s="102">
        <f>IF(B399=1,'Date masura OD'!$I$5,IF(B399=19,'Date masura OD'!$AK$5,L398))</f>
        <v>45778</v>
      </c>
      <c r="M399" s="102">
        <f>IF(B399=1,'Date masura OD'!$J$5,IF(B399=19,'Date masura OD'!$AL$5,M398))</f>
        <v>45808</v>
      </c>
      <c r="N399" s="104">
        <f>VLOOKUP(E399,verificare!$AR$4:$CC$33,B399+2,FALSE)</f>
        <v>0</v>
      </c>
      <c r="O399" s="103">
        <f>HLOOKUP(VLOOKUP(E399,'Date SPV'!$B$4:$F$34,5,FALSE),'Preturi si tarife'!$C$2:$J$39,B399+2,FALSE)*10000</f>
        <v>1466</v>
      </c>
      <c r="Q399" s="101" t="str">
        <f t="shared" si="43"/>
        <v>One-off</v>
      </c>
      <c r="R399" s="101" t="str">
        <f>VLOOKUP(K399,'Preturi si tarife'!$B$4:$K$39,10,FALSE)</f>
        <v>ICOENG0001</v>
      </c>
      <c r="T399" s="101" t="str">
        <f t="shared" si="44"/>
        <v>INV + 30</v>
      </c>
      <c r="V399" s="101" t="str">
        <f t="shared" si="45"/>
        <v>Active</v>
      </c>
      <c r="X399" s="101" t="str">
        <f t="shared" si="46"/>
        <v>One-off</v>
      </c>
      <c r="AC399" s="101" t="str">
        <f t="shared" si="49"/>
        <v>RON</v>
      </c>
      <c r="AD399" s="101">
        <f t="shared" si="50"/>
        <v>10000</v>
      </c>
    </row>
    <row r="400" spans="1:30">
      <c r="A400" s="101">
        <f t="shared" si="51"/>
        <v>12</v>
      </c>
      <c r="B400" s="101">
        <f t="shared" si="47"/>
        <v>3</v>
      </c>
      <c r="C400" s="101" t="str">
        <f t="shared" si="48"/>
        <v>T3</v>
      </c>
      <c r="D400" s="101" t="str">
        <f>IF(A400&lt;&gt;A399,VLOOKUP(A400,'Date SPV'!$A:$D,4,FALSE),D399)</f>
        <v>Promenada Mall Bucuresti SRL</v>
      </c>
      <c r="E400" s="101" t="str">
        <f>VLOOKUP(A400,'Date SPV'!$A$4:$B$34,2,FALSE)</f>
        <v>RPMB</v>
      </c>
      <c r="H400" s="105" t="s">
        <v>894</v>
      </c>
      <c r="K400" s="101" t="str">
        <f>VLOOKUP(C400,'Preturi si tarife'!$A$4:$B$39,2,FALSE)</f>
        <v>Energie reactiva  3X</v>
      </c>
      <c r="L400" s="102">
        <f>IF(B400=1,'Date masura OD'!$I$5,IF(B400=19,'Date masura OD'!$AK$5,L399))</f>
        <v>45778</v>
      </c>
      <c r="M400" s="102">
        <f>IF(B400=1,'Date masura OD'!$J$5,IF(B400=19,'Date masura OD'!$AL$5,M399))</f>
        <v>45808</v>
      </c>
      <c r="N400" s="104">
        <f>VLOOKUP(E400,verificare!$AR$4:$CC$33,B400+2,FALSE)</f>
        <v>0</v>
      </c>
      <c r="O400" s="103">
        <f>HLOOKUP(VLOOKUP(E400,'Date SPV'!$B$4:$F$34,5,FALSE),'Preturi si tarife'!$C$2:$J$39,B400+2,FALSE)*10000</f>
        <v>4398</v>
      </c>
      <c r="Q400" s="101" t="str">
        <f t="shared" si="43"/>
        <v>One-off</v>
      </c>
      <c r="R400" s="101" t="str">
        <f>VLOOKUP(K400,'Preturi si tarife'!$B$4:$K$39,10,FALSE)</f>
        <v>ICOENG0001</v>
      </c>
      <c r="T400" s="101" t="str">
        <f t="shared" si="44"/>
        <v>INV + 30</v>
      </c>
      <c r="V400" s="101" t="str">
        <f t="shared" si="45"/>
        <v>Active</v>
      </c>
      <c r="X400" s="101" t="str">
        <f t="shared" si="46"/>
        <v>One-off</v>
      </c>
      <c r="AC400" s="101" t="str">
        <f t="shared" si="49"/>
        <v>RON</v>
      </c>
      <c r="AD400" s="101">
        <f t="shared" si="50"/>
        <v>10000</v>
      </c>
    </row>
    <row r="401" spans="1:30">
      <c r="A401" s="101">
        <f t="shared" si="51"/>
        <v>12</v>
      </c>
      <c r="B401" s="101">
        <f t="shared" si="47"/>
        <v>4</v>
      </c>
      <c r="C401" s="101" t="str">
        <f t="shared" si="48"/>
        <v>T4</v>
      </c>
      <c r="D401" s="101" t="str">
        <f>IF(A401&lt;&gt;A400,VLOOKUP(A401,'Date SPV'!$A:$D,4,FALSE),D400)</f>
        <v>Promenada Mall Bucuresti SRL</v>
      </c>
      <c r="E401" s="101" t="str">
        <f>VLOOKUP(A401,'Date SPV'!$A$4:$B$34,2,FALSE)</f>
        <v>RPMB</v>
      </c>
      <c r="H401" s="105" t="s">
        <v>894</v>
      </c>
      <c r="K401" s="101" t="str">
        <f>VLOOKUP(C401,'Preturi si tarife'!$A$4:$B$39,2,FALSE)</f>
        <v>Tarife distributie en. El IT+MT</v>
      </c>
      <c r="L401" s="102">
        <f>IF(B401=1,'Date masura OD'!$I$5,IF(B401=19,'Date masura OD'!$AK$5,L400))</f>
        <v>45778</v>
      </c>
      <c r="M401" s="102">
        <f>IF(B401=1,'Date masura OD'!$J$5,IF(B401=19,'Date masura OD'!$AL$5,M400))</f>
        <v>45808</v>
      </c>
      <c r="N401" s="104">
        <f>VLOOKUP(E401,verificare!$AR$4:$CC$33,B401+2,FALSE)</f>
        <v>1390723</v>
      </c>
      <c r="O401" s="103">
        <f>HLOOKUP(VLOOKUP(E401,'Date SPV'!$B$4:$F$34,5,FALSE),'Preturi si tarife'!$C$2:$J$39,B401+2,FALSE)*10000</f>
        <v>861.80000000000007</v>
      </c>
      <c r="Q401" s="101" t="str">
        <f t="shared" si="43"/>
        <v>One-off</v>
      </c>
      <c r="R401" s="101" t="str">
        <f>VLOOKUP(K401,'Preturi si tarife'!$B$4:$K$39,10,FALSE)</f>
        <v>ICOENG0001</v>
      </c>
      <c r="T401" s="101" t="str">
        <f t="shared" si="44"/>
        <v>INV + 30</v>
      </c>
      <c r="V401" s="101" t="str">
        <f t="shared" si="45"/>
        <v>Active</v>
      </c>
      <c r="X401" s="101" t="str">
        <f t="shared" si="46"/>
        <v>One-off</v>
      </c>
      <c r="AC401" s="101" t="str">
        <f t="shared" si="49"/>
        <v>RON</v>
      </c>
      <c r="AD401" s="101">
        <f t="shared" si="50"/>
        <v>10000</v>
      </c>
    </row>
    <row r="402" spans="1:30">
      <c r="A402" s="101">
        <f t="shared" si="51"/>
        <v>12</v>
      </c>
      <c r="B402" s="101">
        <f t="shared" si="47"/>
        <v>5</v>
      </c>
      <c r="C402" s="101" t="str">
        <f t="shared" si="48"/>
        <v>T5</v>
      </c>
      <c r="D402" s="101" t="str">
        <f>IF(A402&lt;&gt;A401,VLOOKUP(A402,'Date SPV'!$A:$D,4,FALSE),D401)</f>
        <v>Promenada Mall Bucuresti SRL</v>
      </c>
      <c r="E402" s="101" t="str">
        <f>VLOOKUP(A402,'Date SPV'!$A$4:$B$34,2,FALSE)</f>
        <v>RPMB</v>
      </c>
      <c r="H402" s="105" t="s">
        <v>894</v>
      </c>
      <c r="K402" s="101" t="str">
        <f>VLOOKUP(C402,'Preturi si tarife'!$A$4:$B$39,2,FALSE)</f>
        <v>Tarife distributie en. El JT</v>
      </c>
      <c r="L402" s="102">
        <f>IF(B402=1,'Date masura OD'!$I$5,IF(B402=19,'Date masura OD'!$AK$5,L401))</f>
        <v>45778</v>
      </c>
      <c r="M402" s="102">
        <f>IF(B402=1,'Date masura OD'!$J$5,IF(B402=19,'Date masura OD'!$AL$5,M401))</f>
        <v>45808</v>
      </c>
      <c r="N402" s="104">
        <f>VLOOKUP(E402,verificare!$AR$4:$CC$33,B402+2,FALSE)</f>
        <v>4154</v>
      </c>
      <c r="O402" s="103">
        <f>HLOOKUP(VLOOKUP(E402,'Date SPV'!$B$4:$F$34,5,FALSE),'Preturi si tarife'!$C$2:$J$39,B402+2,FALSE)*10000</f>
        <v>2079</v>
      </c>
      <c r="Q402" s="101" t="str">
        <f t="shared" si="43"/>
        <v>One-off</v>
      </c>
      <c r="R402" s="101" t="str">
        <f>VLOOKUP(K402,'Preturi si tarife'!$B$4:$K$39,10,FALSE)</f>
        <v>ICOENG0001</v>
      </c>
      <c r="T402" s="101" t="str">
        <f t="shared" si="44"/>
        <v>INV + 30</v>
      </c>
      <c r="V402" s="101" t="str">
        <f t="shared" si="45"/>
        <v>Active</v>
      </c>
      <c r="X402" s="101" t="str">
        <f t="shared" si="46"/>
        <v>One-off</v>
      </c>
      <c r="AC402" s="101" t="str">
        <f t="shared" si="49"/>
        <v>RON</v>
      </c>
      <c r="AD402" s="101">
        <f t="shared" si="50"/>
        <v>10000</v>
      </c>
    </row>
    <row r="403" spans="1:30">
      <c r="A403" s="101">
        <f t="shared" si="51"/>
        <v>12</v>
      </c>
      <c r="B403" s="101">
        <f t="shared" si="47"/>
        <v>6</v>
      </c>
      <c r="C403" s="101" t="str">
        <f t="shared" si="48"/>
        <v>T6</v>
      </c>
      <c r="D403" s="101" t="str">
        <f>IF(A403&lt;&gt;A402,VLOOKUP(A403,'Date SPV'!$A:$D,4,FALSE),D402)</f>
        <v>Promenada Mall Bucuresti SRL</v>
      </c>
      <c r="E403" s="101" t="str">
        <f>VLOOKUP(A403,'Date SPV'!$A$4:$B$34,2,FALSE)</f>
        <v>RPMB</v>
      </c>
      <c r="H403" s="105" t="s">
        <v>894</v>
      </c>
      <c r="K403" s="101" t="str">
        <f>VLOOKUP(C403,'Preturi si tarife'!$A$4:$B$39,2,FALSE)</f>
        <v xml:space="preserve">Servicii Sistem </v>
      </c>
      <c r="L403" s="102">
        <f>IF(B403=1,'Date masura OD'!$I$5,IF(B403=19,'Date masura OD'!$AK$5,L402))</f>
        <v>45778</v>
      </c>
      <c r="M403" s="102">
        <f>IF(B403=1,'Date masura OD'!$J$5,IF(B403=19,'Date masura OD'!$AL$5,M402))</f>
        <v>45808</v>
      </c>
      <c r="N403" s="104">
        <f>VLOOKUP(E403,verificare!$AR$4:$CC$33,B403+2,FALSE)</f>
        <v>1390723</v>
      </c>
      <c r="O403" s="103">
        <f>HLOOKUP(VLOOKUP(E403,'Date SPV'!$B$4:$F$34,5,FALSE),'Preturi si tarife'!$C$2:$J$39,B403+2,FALSE)*10000</f>
        <v>115.1</v>
      </c>
      <c r="Q403" s="101" t="str">
        <f t="shared" si="43"/>
        <v>One-off</v>
      </c>
      <c r="R403" s="101" t="str">
        <f>VLOOKUP(K403,'Preturi si tarife'!$B$4:$K$39,10,FALSE)</f>
        <v>ICOENG0001</v>
      </c>
      <c r="T403" s="101" t="str">
        <f t="shared" si="44"/>
        <v>INV + 30</v>
      </c>
      <c r="V403" s="101" t="str">
        <f t="shared" si="45"/>
        <v>Active</v>
      </c>
      <c r="X403" s="101" t="str">
        <f t="shared" si="46"/>
        <v>One-off</v>
      </c>
      <c r="AC403" s="101" t="str">
        <f t="shared" si="49"/>
        <v>RON</v>
      </c>
      <c r="AD403" s="101">
        <f t="shared" si="50"/>
        <v>10000</v>
      </c>
    </row>
    <row r="404" spans="1:30">
      <c r="A404" s="101">
        <f t="shared" si="51"/>
        <v>12</v>
      </c>
      <c r="B404" s="101">
        <f t="shared" si="47"/>
        <v>7</v>
      </c>
      <c r="C404" s="101" t="str">
        <f t="shared" si="48"/>
        <v>T7</v>
      </c>
      <c r="D404" s="101" t="str">
        <f>IF(A404&lt;&gt;A403,VLOOKUP(A404,'Date SPV'!$A:$D,4,FALSE),D403)</f>
        <v>Promenada Mall Bucuresti SRL</v>
      </c>
      <c r="E404" s="101" t="str">
        <f>VLOOKUP(A404,'Date SPV'!$A$4:$B$34,2,FALSE)</f>
        <v>RPMB</v>
      </c>
      <c r="H404" s="105" t="s">
        <v>894</v>
      </c>
      <c r="K404" s="101" t="str">
        <f>VLOOKUP(C404,'Preturi si tarife'!$A$4:$B$39,2,FALSE)</f>
        <v>Tarif de introducere en. el in retea (TL)</v>
      </c>
      <c r="L404" s="102">
        <f>IF(B404=1,'Date masura OD'!$I$5,IF(B404=19,'Date masura OD'!$AK$5,L403))</f>
        <v>45778</v>
      </c>
      <c r="M404" s="102">
        <f>IF(B404=1,'Date masura OD'!$J$5,IF(B404=19,'Date masura OD'!$AL$5,M403))</f>
        <v>45808</v>
      </c>
      <c r="N404" s="104">
        <f>VLOOKUP(E404,verificare!$AR$4:$CC$33,B404+2,FALSE)</f>
        <v>1390723</v>
      </c>
      <c r="O404" s="103">
        <f>HLOOKUP(VLOOKUP(E404,'Date SPV'!$B$4:$F$34,5,FALSE),'Preturi si tarife'!$C$2:$J$39,B404+2,FALSE)*10000</f>
        <v>330.3</v>
      </c>
      <c r="Q404" s="101" t="str">
        <f t="shared" si="43"/>
        <v>One-off</v>
      </c>
      <c r="R404" s="101" t="str">
        <f>VLOOKUP(K404,'Preturi si tarife'!$B$4:$K$39,10,FALSE)</f>
        <v>ICOENG0001</v>
      </c>
      <c r="T404" s="101" t="str">
        <f t="shared" si="44"/>
        <v>INV + 30</v>
      </c>
      <c r="V404" s="101" t="str">
        <f t="shared" si="45"/>
        <v>Active</v>
      </c>
      <c r="X404" s="101" t="str">
        <f t="shared" si="46"/>
        <v>One-off</v>
      </c>
      <c r="AC404" s="101" t="str">
        <f t="shared" si="49"/>
        <v>RON</v>
      </c>
      <c r="AD404" s="101">
        <f t="shared" si="50"/>
        <v>10000</v>
      </c>
    </row>
    <row r="405" spans="1:30">
      <c r="A405" s="101">
        <f t="shared" si="51"/>
        <v>12</v>
      </c>
      <c r="B405" s="101">
        <f t="shared" si="47"/>
        <v>8</v>
      </c>
      <c r="C405" s="101" t="str">
        <f t="shared" si="48"/>
        <v>T8</v>
      </c>
      <c r="D405" s="101" t="str">
        <f>IF(A405&lt;&gt;A404,VLOOKUP(A405,'Date SPV'!$A:$D,4,FALSE),D404)</f>
        <v>Promenada Mall Bucuresti SRL</v>
      </c>
      <c r="E405" s="101" t="str">
        <f>VLOOKUP(A405,'Date SPV'!$A$4:$B$34,2,FALSE)</f>
        <v>RPMB</v>
      </c>
      <c r="H405" s="105" t="s">
        <v>894</v>
      </c>
      <c r="K405" s="101" t="str">
        <f>VLOOKUP(C405,'Preturi si tarife'!$A$4:$B$39,2,FALSE)</f>
        <v>Tarif de introducere en.el in retea (TG)</v>
      </c>
      <c r="L405" s="102">
        <f>IF(B405=1,'Date masura OD'!$I$5,IF(B405=19,'Date masura OD'!$AK$5,L404))</f>
        <v>45778</v>
      </c>
      <c r="M405" s="102">
        <f>IF(B405=1,'Date masura OD'!$J$5,IF(B405=19,'Date masura OD'!$AL$5,M404))</f>
        <v>45808</v>
      </c>
      <c r="N405" s="104">
        <f>VLOOKUP(E405,verificare!$AR$4:$CC$33,B405+2,FALSE)</f>
        <v>1390723</v>
      </c>
      <c r="O405" s="103">
        <f>HLOOKUP(VLOOKUP(E405,'Date SPV'!$B$4:$F$34,5,FALSE),'Preturi si tarife'!$C$2:$J$39,B405+2,FALSE)*10000</f>
        <v>32.9</v>
      </c>
      <c r="Q405" s="101" t="str">
        <f t="shared" si="43"/>
        <v>One-off</v>
      </c>
      <c r="R405" s="101" t="str">
        <f>VLOOKUP(K405,'Preturi si tarife'!$B$4:$K$39,10,FALSE)</f>
        <v>ICOENG0001</v>
      </c>
      <c r="T405" s="101" t="str">
        <f t="shared" si="44"/>
        <v>INV + 30</v>
      </c>
      <c r="V405" s="101" t="str">
        <f t="shared" si="45"/>
        <v>Active</v>
      </c>
      <c r="X405" s="101" t="str">
        <f t="shared" si="46"/>
        <v>One-off</v>
      </c>
      <c r="AC405" s="101" t="str">
        <f t="shared" si="49"/>
        <v>RON</v>
      </c>
      <c r="AD405" s="101">
        <f t="shared" si="50"/>
        <v>10000</v>
      </c>
    </row>
    <row r="406" spans="1:30">
      <c r="A406" s="101">
        <f t="shared" si="51"/>
        <v>12</v>
      </c>
      <c r="B406" s="101">
        <f t="shared" si="47"/>
        <v>9</v>
      </c>
      <c r="C406" s="101" t="str">
        <f t="shared" si="48"/>
        <v>T9</v>
      </c>
      <c r="D406" s="101" t="str">
        <f>IF(A406&lt;&gt;A405,VLOOKUP(A406,'Date SPV'!$A:$D,4,FALSE),D405)</f>
        <v>Promenada Mall Bucuresti SRL</v>
      </c>
      <c r="E406" s="101" t="str">
        <f>VLOOKUP(A406,'Date SPV'!$A$4:$B$34,2,FALSE)</f>
        <v>RPMB</v>
      </c>
      <c r="H406" s="105" t="s">
        <v>894</v>
      </c>
      <c r="K406" s="101" t="str">
        <f>VLOOKUP(C406,'Preturi si tarife'!$A$4:$B$39,2,FALSE)</f>
        <v>Contributie pentru cogenerare</v>
      </c>
      <c r="L406" s="102">
        <f>IF(B406=1,'Date masura OD'!$I$5,IF(B406=19,'Date masura OD'!$AK$5,L405))</f>
        <v>45778</v>
      </c>
      <c r="M406" s="102">
        <f>IF(B406=1,'Date masura OD'!$J$5,IF(B406=19,'Date masura OD'!$AL$5,M405))</f>
        <v>45808</v>
      </c>
      <c r="N406" s="104">
        <f>VLOOKUP(E406,verificare!$AR$4:$CC$33,B406+2,FALSE)</f>
        <v>1390723</v>
      </c>
      <c r="O406" s="103">
        <f>HLOOKUP(VLOOKUP(E406,'Date SPV'!$B$4:$F$34,5,FALSE),'Preturi si tarife'!$C$2:$J$39,B406+2,FALSE)*10000</f>
        <v>35</v>
      </c>
      <c r="Q406" s="101" t="str">
        <f t="shared" si="43"/>
        <v>One-off</v>
      </c>
      <c r="R406" s="101" t="str">
        <f>VLOOKUP(K406,'Preturi si tarife'!$B$4:$K$39,10,FALSE)</f>
        <v>ICOENG0001</v>
      </c>
      <c r="T406" s="101" t="str">
        <f t="shared" si="44"/>
        <v>INV + 30</v>
      </c>
      <c r="V406" s="101" t="str">
        <f t="shared" si="45"/>
        <v>Active</v>
      </c>
      <c r="X406" s="101" t="str">
        <f t="shared" si="46"/>
        <v>One-off</v>
      </c>
      <c r="AC406" s="101" t="str">
        <f t="shared" si="49"/>
        <v>RON</v>
      </c>
      <c r="AD406" s="101">
        <f t="shared" si="50"/>
        <v>10000</v>
      </c>
    </row>
    <row r="407" spans="1:30">
      <c r="A407" s="101">
        <f t="shared" si="51"/>
        <v>12</v>
      </c>
      <c r="B407" s="101">
        <f t="shared" si="47"/>
        <v>10</v>
      </c>
      <c r="C407" s="101" t="str">
        <f t="shared" si="48"/>
        <v>T10</v>
      </c>
      <c r="D407" s="101" t="str">
        <f>IF(A407&lt;&gt;A406,VLOOKUP(A407,'Date SPV'!$A:$D,4,FALSE),D406)</f>
        <v>Promenada Mall Bucuresti SRL</v>
      </c>
      <c r="E407" s="101" t="str">
        <f>VLOOKUP(A407,'Date SPV'!$A$4:$B$34,2,FALSE)</f>
        <v>RPMB</v>
      </c>
      <c r="H407" s="105" t="s">
        <v>894</v>
      </c>
      <c r="K407" s="101" t="str">
        <f>VLOOKUP(C407,'Preturi si tarife'!$A$4:$B$39,2,FALSE)</f>
        <v xml:space="preserve">Certificate verzi </v>
      </c>
      <c r="L407" s="102">
        <f>IF(B407=1,'Date masura OD'!$I$5,IF(B407=19,'Date masura OD'!$AK$5,L406))</f>
        <v>45778</v>
      </c>
      <c r="M407" s="102">
        <f>IF(B407=1,'Date masura OD'!$J$5,IF(B407=19,'Date masura OD'!$AL$5,M406))</f>
        <v>45808</v>
      </c>
      <c r="N407" s="104">
        <f>VLOOKUP(E407,verificare!$AR$4:$CC$33,B407+2,FALSE)</f>
        <v>1390723</v>
      </c>
      <c r="O407" s="103">
        <f>HLOOKUP(VLOOKUP(E407,'Date SPV'!$B$4:$F$34,5,FALSE),'Preturi si tarife'!$C$2:$J$39,B407+2,FALSE)*10000</f>
        <v>725.41599999999994</v>
      </c>
      <c r="Q407" s="101" t="str">
        <f t="shared" si="43"/>
        <v>One-off</v>
      </c>
      <c r="R407" s="101" t="str">
        <f>VLOOKUP(K407,'Preturi si tarife'!$B$4:$K$39,10,FALSE)</f>
        <v>ICOENG0001</v>
      </c>
      <c r="T407" s="101" t="str">
        <f t="shared" si="44"/>
        <v>INV + 30</v>
      </c>
      <c r="V407" s="101" t="str">
        <f t="shared" si="45"/>
        <v>Active</v>
      </c>
      <c r="X407" s="101" t="str">
        <f t="shared" si="46"/>
        <v>One-off</v>
      </c>
      <c r="AC407" s="101" t="str">
        <f t="shared" si="49"/>
        <v>RON</v>
      </c>
      <c r="AD407" s="101">
        <f t="shared" si="50"/>
        <v>10000</v>
      </c>
    </row>
    <row r="408" spans="1:30">
      <c r="A408" s="101">
        <f t="shared" si="51"/>
        <v>12</v>
      </c>
      <c r="B408" s="101">
        <f t="shared" si="47"/>
        <v>11</v>
      </c>
      <c r="C408" s="101" t="str">
        <f t="shared" si="48"/>
        <v>T11</v>
      </c>
      <c r="D408" s="101" t="str">
        <f>IF(A408&lt;&gt;A407,VLOOKUP(A408,'Date SPV'!$A:$D,4,FALSE),D407)</f>
        <v>Promenada Mall Bucuresti SRL</v>
      </c>
      <c r="E408" s="101" t="str">
        <f>VLOOKUP(A408,'Date SPV'!$A$4:$B$34,2,FALSE)</f>
        <v>RPMB</v>
      </c>
      <c r="H408" s="105" t="s">
        <v>894</v>
      </c>
      <c r="K408" s="101" t="str">
        <f>VLOOKUP(C408,'Preturi si tarife'!$A$4:$B$39,2,FALSE)</f>
        <v>Contributie CFD</v>
      </c>
      <c r="L408" s="102">
        <f>IF(B408=1,'Date masura OD'!$I$5,IF(B408=19,'Date masura OD'!$AK$5,L407))</f>
        <v>45778</v>
      </c>
      <c r="M408" s="102">
        <f>IF(B408=1,'Date masura OD'!$J$5,IF(B408=19,'Date masura OD'!$AL$5,M407))</f>
        <v>45808</v>
      </c>
      <c r="N408" s="104">
        <f>VLOOKUP(E408,verificare!$AR$4:$CC$33,B408+2,FALSE)</f>
        <v>1390723</v>
      </c>
      <c r="O408" s="103">
        <f>HLOOKUP(VLOOKUP(E408,'Date SPV'!$B$4:$F$34,5,FALSE),'Preturi si tarife'!$C$2:$J$39,B408+2,FALSE)*10000</f>
        <v>2.06</v>
      </c>
      <c r="Q408" s="101" t="str">
        <f t="shared" si="43"/>
        <v>One-off</v>
      </c>
      <c r="R408" s="101" t="str">
        <f>VLOOKUP(K408,'Preturi si tarife'!$B$4:$K$39,10,FALSE)</f>
        <v>ICOENG0001</v>
      </c>
      <c r="T408" s="101" t="str">
        <f t="shared" si="44"/>
        <v>INV + 30</v>
      </c>
      <c r="V408" s="101" t="str">
        <f t="shared" si="45"/>
        <v>Active</v>
      </c>
      <c r="X408" s="101" t="str">
        <f t="shared" si="46"/>
        <v>One-off</v>
      </c>
      <c r="AC408" s="101" t="str">
        <f t="shared" si="49"/>
        <v>RON</v>
      </c>
      <c r="AD408" s="101">
        <f t="shared" si="50"/>
        <v>10000</v>
      </c>
    </row>
    <row r="409" spans="1:30">
      <c r="A409" s="101">
        <f t="shared" si="51"/>
        <v>12</v>
      </c>
      <c r="B409" s="101">
        <f t="shared" si="47"/>
        <v>12</v>
      </c>
      <c r="C409" s="101" t="str">
        <f t="shared" si="48"/>
        <v>T12</v>
      </c>
      <c r="D409" s="101" t="str">
        <f>IF(A409&lt;&gt;A408,VLOOKUP(A409,'Date SPV'!$A:$D,4,FALSE),D408)</f>
        <v>Promenada Mall Bucuresti SRL</v>
      </c>
      <c r="E409" s="101" t="str">
        <f>VLOOKUP(A409,'Date SPV'!$A$4:$B$34,2,FALSE)</f>
        <v>RPMB</v>
      </c>
      <c r="H409" s="105" t="s">
        <v>894</v>
      </c>
      <c r="K409" s="101" t="str">
        <f>VLOOKUP(C409,'Preturi si tarife'!$A$4:$B$39,2,FALSE)</f>
        <v>Acciza</v>
      </c>
      <c r="L409" s="102">
        <f>IF(B409=1,'Date masura OD'!$I$5,IF(B409=19,'Date masura OD'!$AK$5,L408))</f>
        <v>45778</v>
      </c>
      <c r="M409" s="102">
        <f>IF(B409=1,'Date masura OD'!$J$5,IF(B409=19,'Date masura OD'!$AL$5,M408))</f>
        <v>45808</v>
      </c>
      <c r="N409" s="104">
        <f>VLOOKUP(E409,verificare!$AR$4:$CC$33,B409+2,FALSE)</f>
        <v>1390723</v>
      </c>
      <c r="O409" s="103">
        <f>HLOOKUP(VLOOKUP(E409,'Date SPV'!$B$4:$F$34,5,FALSE),'Preturi si tarife'!$C$2:$J$39,B409+2,FALSE)*10000</f>
        <v>0</v>
      </c>
      <c r="Q409" s="101" t="str">
        <f t="shared" si="43"/>
        <v>One-off</v>
      </c>
      <c r="R409" s="101" t="str">
        <f>VLOOKUP(K409,'Preturi si tarife'!$B$4:$K$39,10,FALSE)</f>
        <v>ICOENG0001</v>
      </c>
      <c r="T409" s="101" t="str">
        <f t="shared" si="44"/>
        <v>INV + 30</v>
      </c>
      <c r="V409" s="101" t="str">
        <f t="shared" si="45"/>
        <v>Active</v>
      </c>
      <c r="X409" s="101" t="str">
        <f t="shared" si="46"/>
        <v>One-off</v>
      </c>
      <c r="AC409" s="101" t="str">
        <f t="shared" si="49"/>
        <v>RON</v>
      </c>
      <c r="AD409" s="101">
        <f t="shared" si="50"/>
        <v>10000</v>
      </c>
    </row>
    <row r="410" spans="1:30">
      <c r="A410" s="101">
        <f t="shared" si="51"/>
        <v>12</v>
      </c>
      <c r="B410" s="101">
        <f t="shared" si="47"/>
        <v>13</v>
      </c>
      <c r="C410" s="101" t="str">
        <f t="shared" si="48"/>
        <v>T13</v>
      </c>
      <c r="D410" s="101" t="str">
        <f>IF(A410&lt;&gt;A409,VLOOKUP(A410,'Date SPV'!$A:$D,4,FALSE),D409)</f>
        <v>Promenada Mall Bucuresti SRL</v>
      </c>
      <c r="E410" s="101" t="str">
        <f>VLOOKUP(A410,'Date SPV'!$A$4:$B$34,2,FALSE)</f>
        <v>RPMB</v>
      </c>
      <c r="H410" s="105" t="s">
        <v>894</v>
      </c>
      <c r="K410" s="101" t="str">
        <f>VLOOKUP(C410,'Preturi si tarife'!$A$4:$B$39,2,FALSE)</f>
        <v>Tarif distributie SDI MT</v>
      </c>
      <c r="L410" s="102">
        <f>IF(B410=1,'Date masura OD'!$I$5,IF(B410=19,'Date masura OD'!$AK$5,L409))</f>
        <v>45778</v>
      </c>
      <c r="M410" s="102">
        <f>IF(B410=1,'Date masura OD'!$J$5,IF(B410=19,'Date masura OD'!$AL$5,M409))</f>
        <v>45808</v>
      </c>
      <c r="N410" s="104">
        <f>VLOOKUP(E410,verificare!$AR$4:$CC$33,B410+2,FALSE)</f>
        <v>1323209</v>
      </c>
      <c r="O410" s="103">
        <f>HLOOKUP(VLOOKUP(E410,'Date SPV'!$B$4:$F$34,5,FALSE),'Preturi si tarife'!$C$2:$J$39,B410+2,FALSE)*10000</f>
        <v>113.00000000000001</v>
      </c>
      <c r="Q410" s="101" t="str">
        <f t="shared" si="43"/>
        <v>One-off</v>
      </c>
      <c r="R410" s="101" t="str">
        <f>VLOOKUP(K410,'Preturi si tarife'!$B$4:$K$39,10,FALSE)</f>
        <v>ICOENG0010</v>
      </c>
      <c r="T410" s="101" t="str">
        <f t="shared" si="44"/>
        <v>INV + 30</v>
      </c>
      <c r="V410" s="101" t="str">
        <f t="shared" si="45"/>
        <v>Active</v>
      </c>
      <c r="X410" s="101" t="str">
        <f t="shared" si="46"/>
        <v>One-off</v>
      </c>
      <c r="AC410" s="101" t="str">
        <f t="shared" si="49"/>
        <v>RON</v>
      </c>
      <c r="AD410" s="101">
        <f t="shared" si="50"/>
        <v>10000</v>
      </c>
    </row>
    <row r="411" spans="1:30">
      <c r="A411" s="101">
        <f t="shared" si="51"/>
        <v>12</v>
      </c>
      <c r="B411" s="101">
        <f t="shared" si="47"/>
        <v>14</v>
      </c>
      <c r="C411" s="101" t="str">
        <f t="shared" si="48"/>
        <v>T14</v>
      </c>
      <c r="D411" s="101" t="str">
        <f>IF(A411&lt;&gt;A410,VLOOKUP(A411,'Date SPV'!$A:$D,4,FALSE),D410)</f>
        <v>Promenada Mall Bucuresti SRL</v>
      </c>
      <c r="E411" s="101" t="str">
        <f>VLOOKUP(A411,'Date SPV'!$A$4:$B$34,2,FALSE)</f>
        <v>RPMB</v>
      </c>
      <c r="H411" s="105" t="s">
        <v>894</v>
      </c>
      <c r="K411" s="101" t="str">
        <f>VLOOKUP(C411,'Preturi si tarife'!$A$4:$B$39,2,FALSE)</f>
        <v>Tarif distributie SDI JT</v>
      </c>
      <c r="L411" s="102">
        <f>IF(B411=1,'Date masura OD'!$I$5,IF(B411=19,'Date masura OD'!$AK$5,L410))</f>
        <v>45778</v>
      </c>
      <c r="M411" s="102">
        <f>IF(B411=1,'Date masura OD'!$J$5,IF(B411=19,'Date masura OD'!$AL$5,M410))</f>
        <v>45808</v>
      </c>
      <c r="N411" s="104">
        <f>VLOOKUP(E411,verificare!$AR$4:$CC$33,B411+2,FALSE)</f>
        <v>1323209</v>
      </c>
      <c r="O411" s="103">
        <f>HLOOKUP(VLOOKUP(E411,'Date SPV'!$B$4:$F$34,5,FALSE),'Preturi si tarife'!$C$2:$J$39,B411+2,FALSE)*10000</f>
        <v>840.99999999999989</v>
      </c>
      <c r="Q411" s="101" t="str">
        <f t="shared" si="43"/>
        <v>One-off</v>
      </c>
      <c r="R411" s="101" t="str">
        <f>VLOOKUP(K411,'Preturi si tarife'!$B$4:$K$39,10,FALSE)</f>
        <v>ICOENG0010</v>
      </c>
      <c r="T411" s="101" t="str">
        <f t="shared" si="44"/>
        <v>INV + 30</v>
      </c>
      <c r="V411" s="101" t="str">
        <f t="shared" si="45"/>
        <v>Active</v>
      </c>
      <c r="X411" s="101" t="str">
        <f t="shared" si="46"/>
        <v>One-off</v>
      </c>
      <c r="AC411" s="101" t="str">
        <f t="shared" si="49"/>
        <v>RON</v>
      </c>
      <c r="AD411" s="101">
        <f t="shared" si="50"/>
        <v>10000</v>
      </c>
    </row>
    <row r="412" spans="1:30">
      <c r="A412" s="101">
        <f t="shared" si="51"/>
        <v>12</v>
      </c>
      <c r="B412" s="101">
        <f t="shared" si="47"/>
        <v>15</v>
      </c>
      <c r="C412" s="101" t="str">
        <f t="shared" si="48"/>
        <v>T15</v>
      </c>
      <c r="D412" s="101" t="str">
        <f>IF(A412&lt;&gt;A411,VLOOKUP(A412,'Date SPV'!$A:$D,4,FALSE),D411)</f>
        <v>Promenada Mall Bucuresti SRL</v>
      </c>
      <c r="E412" s="101" t="str">
        <f>VLOOKUP(A412,'Date SPV'!$A$4:$B$34,2,FALSE)</f>
        <v>RPMB</v>
      </c>
      <c r="H412" s="105" t="s">
        <v>894</v>
      </c>
      <c r="K412" s="101" t="str">
        <f>VLOOKUP(C412,'Preturi si tarife'!$A$4:$B$39,2,FALSE)</f>
        <v>Energie activa 2</v>
      </c>
      <c r="L412" s="102">
        <f>IF(B412=1,'Date masura OD'!$I$5,IF(B412=19,'Date masura OD'!$AK$5,L411))</f>
        <v>45778</v>
      </c>
      <c r="M412" s="102">
        <f>IF(B412=1,'Date masura OD'!$J$5,IF(B412=19,'Date masura OD'!$AL$5,M411))</f>
        <v>45808</v>
      </c>
      <c r="N412" s="104">
        <f>VLOOKUP(E412,verificare!$AR$4:$CC$33,B412+2,FALSE)</f>
        <v>64628</v>
      </c>
      <c r="O412" s="103">
        <f>HLOOKUP(VLOOKUP(E412,'Date SPV'!$B$4:$F$34,5,FALSE),'Preturi si tarife'!$C$2:$J$39,B412+2,FALSE)*10000</f>
        <v>9006.5760000000009</v>
      </c>
      <c r="Q412" s="101" t="str">
        <f t="shared" si="43"/>
        <v>One-off</v>
      </c>
      <c r="R412" s="101" t="str">
        <f>VLOOKUP(K412,'Preturi si tarife'!$B$4:$K$39,10,FALSE)</f>
        <v>ICOENG0012</v>
      </c>
      <c r="T412" s="101" t="str">
        <f t="shared" si="44"/>
        <v>INV + 30</v>
      </c>
      <c r="V412" s="101" t="str">
        <f t="shared" si="45"/>
        <v>Active</v>
      </c>
      <c r="X412" s="101" t="str">
        <f t="shared" si="46"/>
        <v>One-off</v>
      </c>
      <c r="AC412" s="101" t="str">
        <f t="shared" si="49"/>
        <v>RON</v>
      </c>
      <c r="AD412" s="101">
        <f t="shared" si="50"/>
        <v>10000</v>
      </c>
    </row>
    <row r="413" spans="1:30">
      <c r="A413" s="101">
        <f t="shared" si="51"/>
        <v>12</v>
      </c>
      <c r="B413" s="101">
        <f t="shared" si="47"/>
        <v>16</v>
      </c>
      <c r="C413" s="101" t="str">
        <f t="shared" si="48"/>
        <v>T16</v>
      </c>
      <c r="D413" s="101" t="str">
        <f>IF(A413&lt;&gt;A412,VLOOKUP(A413,'Date SPV'!$A:$D,4,FALSE),D412)</f>
        <v>Promenada Mall Bucuresti SRL</v>
      </c>
      <c r="E413" s="101" t="str">
        <f>VLOOKUP(A413,'Date SPV'!$A$4:$B$34,2,FALSE)</f>
        <v>RPMB</v>
      </c>
      <c r="H413" s="105" t="s">
        <v>894</v>
      </c>
      <c r="K413" s="101" t="str">
        <f>VLOOKUP(C413,'Preturi si tarife'!$A$4:$B$39,2,FALSE)</f>
        <v>Energie activa 3</v>
      </c>
      <c r="L413" s="102">
        <f>IF(B413=1,'Date masura OD'!$I$5,IF(B413=19,'Date masura OD'!$AK$5,L412))</f>
        <v>45778</v>
      </c>
      <c r="M413" s="102">
        <f>IF(B413=1,'Date masura OD'!$J$5,IF(B413=19,'Date masura OD'!$AL$5,M412))</f>
        <v>45808</v>
      </c>
      <c r="N413" s="104">
        <f>VLOOKUP(E413,verificare!$AR$4:$CC$33,B413+2,FALSE)</f>
        <v>0</v>
      </c>
      <c r="O413" s="103">
        <f>HLOOKUP(VLOOKUP(E413,'Date SPV'!$B$4:$F$34,5,FALSE),'Preturi si tarife'!$C$2:$J$39,B413+2,FALSE)*10000</f>
        <v>8052.576</v>
      </c>
      <c r="Q413" s="101" t="str">
        <f t="shared" si="43"/>
        <v>One-off</v>
      </c>
      <c r="R413" s="101" t="str">
        <f>VLOOKUP(K413,'Preturi si tarife'!$B$4:$K$39,10,FALSE)</f>
        <v>ICOENG0012</v>
      </c>
      <c r="T413" s="101" t="str">
        <f t="shared" si="44"/>
        <v>INV + 30</v>
      </c>
      <c r="V413" s="101" t="str">
        <f t="shared" si="45"/>
        <v>Active</v>
      </c>
      <c r="X413" s="101" t="str">
        <f t="shared" si="46"/>
        <v>One-off</v>
      </c>
      <c r="AC413" s="101" t="str">
        <f t="shared" si="49"/>
        <v>RON</v>
      </c>
      <c r="AD413" s="101">
        <f t="shared" si="50"/>
        <v>10000</v>
      </c>
    </row>
    <row r="414" spans="1:30">
      <c r="A414" s="101">
        <f t="shared" si="51"/>
        <v>12</v>
      </c>
      <c r="B414" s="101">
        <f t="shared" si="47"/>
        <v>17</v>
      </c>
      <c r="C414" s="101" t="str">
        <f t="shared" si="48"/>
        <v>T17</v>
      </c>
      <c r="D414" s="101" t="str">
        <f>IF(A414&lt;&gt;A413,VLOOKUP(A414,'Date SPV'!$A:$D,4,FALSE),D413)</f>
        <v>Promenada Mall Bucuresti SRL</v>
      </c>
      <c r="E414" s="101" t="str">
        <f>VLOOKUP(A414,'Date SPV'!$A$4:$B$34,2,FALSE)</f>
        <v>RPMB</v>
      </c>
      <c r="H414" s="105" t="s">
        <v>894</v>
      </c>
      <c r="K414" s="101" t="str">
        <f>VLOOKUP(C414,'Preturi si tarife'!$A$4:$B$39,2,FALSE)</f>
        <v>Tarif distributie SDI MT_</v>
      </c>
      <c r="L414" s="102">
        <f>IF(B414=1,'Date masura OD'!$I$5,IF(B414=19,'Date masura OD'!$AK$5,L413))</f>
        <v>45778</v>
      </c>
      <c r="M414" s="102">
        <f>IF(B414=1,'Date masura OD'!$J$5,IF(B414=19,'Date masura OD'!$AL$5,M413))</f>
        <v>45808</v>
      </c>
      <c r="N414" s="104">
        <f>VLOOKUP(E414,verificare!$AR$4:$CC$33,B414+2,FALSE)</f>
        <v>0</v>
      </c>
      <c r="O414" s="103">
        <f>HLOOKUP(VLOOKUP(E414,'Date SPV'!$B$4:$F$34,5,FALSE),'Preturi si tarife'!$C$2:$J$39,B414+2,FALSE)*10000</f>
        <v>113.00000000000001</v>
      </c>
      <c r="Q414" s="101" t="str">
        <f t="shared" si="43"/>
        <v>One-off</v>
      </c>
      <c r="R414" s="101" t="str">
        <f>VLOOKUP(K414,'Preturi si tarife'!$B$4:$K$39,10,FALSE)</f>
        <v>ICOENG0010</v>
      </c>
      <c r="T414" s="101" t="str">
        <f t="shared" si="44"/>
        <v>INV + 30</v>
      </c>
      <c r="V414" s="101" t="str">
        <f t="shared" si="45"/>
        <v>Active</v>
      </c>
      <c r="X414" s="101" t="str">
        <f t="shared" si="46"/>
        <v>One-off</v>
      </c>
      <c r="AC414" s="101" t="str">
        <f t="shared" si="49"/>
        <v>RON</v>
      </c>
      <c r="AD414" s="101">
        <f t="shared" si="50"/>
        <v>10000</v>
      </c>
    </row>
    <row r="415" spans="1:30">
      <c r="A415" s="101">
        <f t="shared" si="51"/>
        <v>12</v>
      </c>
      <c r="B415" s="101">
        <f t="shared" si="47"/>
        <v>18</v>
      </c>
      <c r="C415" s="101" t="str">
        <f t="shared" si="48"/>
        <v>T18</v>
      </c>
      <c r="D415" s="101" t="str">
        <f>IF(A415&lt;&gt;A414,VLOOKUP(A415,'Date SPV'!$A:$D,4,FALSE),D414)</f>
        <v>Promenada Mall Bucuresti SRL</v>
      </c>
      <c r="E415" s="101" t="str">
        <f>VLOOKUP(A415,'Date SPV'!$A$4:$B$34,2,FALSE)</f>
        <v>RPMB</v>
      </c>
      <c r="H415" s="105" t="s">
        <v>894</v>
      </c>
      <c r="K415" s="101" t="str">
        <f>VLOOKUP(C415,'Preturi si tarife'!$A$4:$B$39,2,FALSE)</f>
        <v>Tarif distributie SDI JT_</v>
      </c>
      <c r="L415" s="102">
        <f>IF(B415=1,'Date masura OD'!$I$5,IF(B415=19,'Date masura OD'!$AK$5,L414))</f>
        <v>45778</v>
      </c>
      <c r="M415" s="102">
        <f>IF(B415=1,'Date masura OD'!$J$5,IF(B415=19,'Date masura OD'!$AL$5,M414))</f>
        <v>45808</v>
      </c>
      <c r="N415" s="104">
        <f>VLOOKUP(E415,verificare!$AR$4:$CC$33,B415+2,FALSE)</f>
        <v>0</v>
      </c>
      <c r="O415" s="103">
        <f>HLOOKUP(VLOOKUP(E415,'Date SPV'!$B$4:$F$34,5,FALSE),'Preturi si tarife'!$C$2:$J$39,B415+2,FALSE)*10000</f>
        <v>840.99999999999989</v>
      </c>
      <c r="Q415" s="101" t="str">
        <f t="shared" si="43"/>
        <v>One-off</v>
      </c>
      <c r="R415" s="101" t="str">
        <f>VLOOKUP(K415,'Preturi si tarife'!$B$4:$K$39,10,FALSE)</f>
        <v>ICOENG0010</v>
      </c>
      <c r="T415" s="101" t="str">
        <f t="shared" si="44"/>
        <v>INV + 30</v>
      </c>
      <c r="V415" s="101" t="str">
        <f t="shared" si="45"/>
        <v>Active</v>
      </c>
      <c r="X415" s="101" t="str">
        <f t="shared" si="46"/>
        <v>One-off</v>
      </c>
      <c r="AC415" s="101" t="str">
        <f t="shared" si="49"/>
        <v>RON</v>
      </c>
      <c r="AD415" s="101">
        <f t="shared" si="50"/>
        <v>10000</v>
      </c>
    </row>
    <row r="416" spans="1:30">
      <c r="A416" s="101">
        <f t="shared" si="51"/>
        <v>12</v>
      </c>
      <c r="B416" s="101">
        <f t="shared" si="47"/>
        <v>19</v>
      </c>
      <c r="C416" s="101" t="str">
        <f t="shared" si="48"/>
        <v>T19</v>
      </c>
      <c r="D416" s="101" t="str">
        <f>IF(A416&lt;&gt;A415,VLOOKUP(A416,'Date SPV'!$A:$D,4,FALSE),D415)</f>
        <v>Promenada Mall Bucuresti SRL</v>
      </c>
      <c r="E416" s="101" t="str">
        <f>VLOOKUP(A416,'Date SPV'!$A$4:$B$34,2,FALSE)</f>
        <v>RPMB</v>
      </c>
      <c r="H416" s="105" t="s">
        <v>894</v>
      </c>
      <c r="K416" s="101" t="str">
        <f>VLOOKUP(C416,'Preturi si tarife'!$A$4:$B$39,2,FALSE)</f>
        <v>Regularizare Energie activa 1</v>
      </c>
      <c r="L416" s="102">
        <f>IF(B416=1,'Date masura OD'!$I$5,IF(B416=19,'Date masura OD'!$AK$5,L415))</f>
        <v>45748</v>
      </c>
      <c r="M416" s="102">
        <f>IF(B416=1,'Date masura OD'!$J$5,IF(B416=19,'Date masura OD'!$AL$5,M415))</f>
        <v>45777</v>
      </c>
      <c r="N416" s="104">
        <f>VLOOKUP(E416,verificare!$AR$4:$CC$33,B416+2,FALSE)</f>
        <v>0</v>
      </c>
      <c r="O416" s="103">
        <f>HLOOKUP(VLOOKUP(E416,'Date SPV'!$B$4:$F$34,5,FALSE),'Preturi si tarife'!$C$2:$J$39,B416+2,FALSE)*10000</f>
        <v>5950</v>
      </c>
      <c r="Q416" s="101" t="str">
        <f t="shared" si="43"/>
        <v>One-off</v>
      </c>
      <c r="R416" s="101" t="str">
        <f>VLOOKUP(K416,'Preturi si tarife'!$B$4:$K$39,10,FALSE)</f>
        <v>ICOENG0001</v>
      </c>
      <c r="T416" s="101" t="str">
        <f t="shared" si="44"/>
        <v>INV + 30</v>
      </c>
      <c r="V416" s="101" t="str">
        <f t="shared" si="45"/>
        <v>Active</v>
      </c>
      <c r="X416" s="101" t="str">
        <f t="shared" si="46"/>
        <v>One-off</v>
      </c>
      <c r="AC416" s="101" t="str">
        <f t="shared" si="49"/>
        <v>RON</v>
      </c>
      <c r="AD416" s="101">
        <f t="shared" si="50"/>
        <v>10000</v>
      </c>
    </row>
    <row r="417" spans="1:30">
      <c r="A417" s="101">
        <f t="shared" si="51"/>
        <v>12</v>
      </c>
      <c r="B417" s="101">
        <f t="shared" si="47"/>
        <v>20</v>
      </c>
      <c r="C417" s="101" t="str">
        <f t="shared" si="48"/>
        <v>T20</v>
      </c>
      <c r="D417" s="101" t="str">
        <f>IF(A417&lt;&gt;A416,VLOOKUP(A417,'Date SPV'!$A:$D,4,FALSE),D416)</f>
        <v>Promenada Mall Bucuresti SRL</v>
      </c>
      <c r="E417" s="101" t="str">
        <f>VLOOKUP(A417,'Date SPV'!$A$4:$B$34,2,FALSE)</f>
        <v>RPMB</v>
      </c>
      <c r="H417" s="105" t="s">
        <v>894</v>
      </c>
      <c r="K417" s="101" t="str">
        <f>VLOOKUP(C417,'Preturi si tarife'!$A$4:$B$39,2,FALSE)</f>
        <v>Regularizare Energie reactiva  1X</v>
      </c>
      <c r="L417" s="102">
        <f>IF(B417=1,'Date masura OD'!$I$5,IF(B417=19,'Date masura OD'!$AK$5,L416))</f>
        <v>45748</v>
      </c>
      <c r="M417" s="102">
        <f>IF(B417=1,'Date masura OD'!$J$5,IF(B417=19,'Date masura OD'!$AL$5,M416))</f>
        <v>45777</v>
      </c>
      <c r="N417" s="104">
        <f>VLOOKUP(E417,verificare!$AR$4:$CC$33,B417+2,FALSE)</f>
        <v>0</v>
      </c>
      <c r="O417" s="103">
        <f>HLOOKUP(VLOOKUP(E417,'Date SPV'!$B$4:$F$34,5,FALSE),'Preturi si tarife'!$C$2:$J$39,B417+2,FALSE)*10000</f>
        <v>1466</v>
      </c>
      <c r="Q417" s="101" t="str">
        <f t="shared" si="43"/>
        <v>One-off</v>
      </c>
      <c r="R417" s="101" t="str">
        <f>VLOOKUP(K417,'Preturi si tarife'!$B$4:$K$39,10,FALSE)</f>
        <v>ICOENG0001</v>
      </c>
      <c r="T417" s="101" t="str">
        <f t="shared" si="44"/>
        <v>INV + 30</v>
      </c>
      <c r="V417" s="101" t="str">
        <f t="shared" si="45"/>
        <v>Active</v>
      </c>
      <c r="X417" s="101" t="str">
        <f t="shared" si="46"/>
        <v>One-off</v>
      </c>
      <c r="AC417" s="101" t="str">
        <f t="shared" si="49"/>
        <v>RON</v>
      </c>
      <c r="AD417" s="101">
        <f t="shared" si="50"/>
        <v>10000</v>
      </c>
    </row>
    <row r="418" spans="1:30">
      <c r="A418" s="101">
        <f t="shared" si="51"/>
        <v>12</v>
      </c>
      <c r="B418" s="101">
        <f t="shared" si="47"/>
        <v>21</v>
      </c>
      <c r="C418" s="101" t="str">
        <f t="shared" si="48"/>
        <v>T21</v>
      </c>
      <c r="D418" s="101" t="str">
        <f>IF(A418&lt;&gt;A417,VLOOKUP(A418,'Date SPV'!$A:$D,4,FALSE),D417)</f>
        <v>Promenada Mall Bucuresti SRL</v>
      </c>
      <c r="E418" s="101" t="str">
        <f>VLOOKUP(A418,'Date SPV'!$A$4:$B$34,2,FALSE)</f>
        <v>RPMB</v>
      </c>
      <c r="H418" s="105" t="s">
        <v>894</v>
      </c>
      <c r="K418" s="101" t="str">
        <f>VLOOKUP(C418,'Preturi si tarife'!$A$4:$B$39,2,FALSE)</f>
        <v>Regularizare Energie reactiva  3X</v>
      </c>
      <c r="L418" s="102">
        <f>IF(B418=1,'Date masura OD'!$I$5,IF(B418=19,'Date masura OD'!$AK$5,L417))</f>
        <v>45748</v>
      </c>
      <c r="M418" s="102">
        <f>IF(B418=1,'Date masura OD'!$J$5,IF(B418=19,'Date masura OD'!$AL$5,M417))</f>
        <v>45777</v>
      </c>
      <c r="N418" s="104">
        <f>VLOOKUP(E418,verificare!$AR$4:$CC$33,B418+2,FALSE)</f>
        <v>0</v>
      </c>
      <c r="O418" s="103">
        <f>HLOOKUP(VLOOKUP(E418,'Date SPV'!$B$4:$F$34,5,FALSE),'Preturi si tarife'!$C$2:$J$39,B418+2,FALSE)*10000</f>
        <v>4398</v>
      </c>
      <c r="Q418" s="101" t="str">
        <f t="shared" si="43"/>
        <v>One-off</v>
      </c>
      <c r="R418" s="101" t="str">
        <f>VLOOKUP(K418,'Preturi si tarife'!$B$4:$K$39,10,FALSE)</f>
        <v>ICOENG0001</v>
      </c>
      <c r="T418" s="101" t="str">
        <f t="shared" si="44"/>
        <v>INV + 30</v>
      </c>
      <c r="V418" s="101" t="str">
        <f t="shared" si="45"/>
        <v>Active</v>
      </c>
      <c r="X418" s="101" t="str">
        <f t="shared" si="46"/>
        <v>One-off</v>
      </c>
      <c r="AC418" s="101" t="str">
        <f t="shared" si="49"/>
        <v>RON</v>
      </c>
      <c r="AD418" s="101">
        <f t="shared" si="50"/>
        <v>10000</v>
      </c>
    </row>
    <row r="419" spans="1:30">
      <c r="A419" s="101">
        <f t="shared" si="51"/>
        <v>12</v>
      </c>
      <c r="B419" s="101">
        <f t="shared" si="47"/>
        <v>22</v>
      </c>
      <c r="C419" s="101" t="str">
        <f t="shared" si="48"/>
        <v>T22</v>
      </c>
      <c r="D419" s="101" t="str">
        <f>IF(A419&lt;&gt;A418,VLOOKUP(A419,'Date SPV'!$A:$D,4,FALSE),D418)</f>
        <v>Promenada Mall Bucuresti SRL</v>
      </c>
      <c r="E419" s="101" t="str">
        <f>VLOOKUP(A419,'Date SPV'!$A$4:$B$34,2,FALSE)</f>
        <v>RPMB</v>
      </c>
      <c r="H419" s="105" t="s">
        <v>894</v>
      </c>
      <c r="K419" s="101" t="str">
        <f>VLOOKUP(C419,'Preturi si tarife'!$A$4:$B$39,2,FALSE)</f>
        <v>Regularizare Tarife distributie en. El IT+MT</v>
      </c>
      <c r="L419" s="102">
        <f>IF(B419=1,'Date masura OD'!$I$5,IF(B419=19,'Date masura OD'!$AK$5,L418))</f>
        <v>45748</v>
      </c>
      <c r="M419" s="102">
        <f>IF(B419=1,'Date masura OD'!$J$5,IF(B419=19,'Date masura OD'!$AL$5,M418))</f>
        <v>45777</v>
      </c>
      <c r="N419" s="104">
        <f>VLOOKUP(E419,verificare!$AR$4:$CC$33,B419+2,FALSE)</f>
        <v>0</v>
      </c>
      <c r="O419" s="103">
        <f>HLOOKUP(VLOOKUP(E419,'Date SPV'!$B$4:$F$34,5,FALSE),'Preturi si tarife'!$C$2:$J$39,B419+2,FALSE)*10000</f>
        <v>861.80000000000007</v>
      </c>
      <c r="Q419" s="101" t="str">
        <f t="shared" si="43"/>
        <v>One-off</v>
      </c>
      <c r="R419" s="101" t="str">
        <f>VLOOKUP(K419,'Preturi si tarife'!$B$4:$K$39,10,FALSE)</f>
        <v>ICOENG0001</v>
      </c>
      <c r="T419" s="101" t="str">
        <f t="shared" si="44"/>
        <v>INV + 30</v>
      </c>
      <c r="V419" s="101" t="str">
        <f t="shared" si="45"/>
        <v>Active</v>
      </c>
      <c r="X419" s="101" t="str">
        <f t="shared" si="46"/>
        <v>One-off</v>
      </c>
      <c r="AC419" s="101" t="str">
        <f t="shared" si="49"/>
        <v>RON</v>
      </c>
      <c r="AD419" s="101">
        <f t="shared" si="50"/>
        <v>10000</v>
      </c>
    </row>
    <row r="420" spans="1:30">
      <c r="A420" s="101">
        <f t="shared" si="51"/>
        <v>12</v>
      </c>
      <c r="B420" s="101">
        <f t="shared" si="47"/>
        <v>23</v>
      </c>
      <c r="C420" s="101" t="str">
        <f t="shared" si="48"/>
        <v>T23</v>
      </c>
      <c r="D420" s="101" t="str">
        <f>IF(A420&lt;&gt;A419,VLOOKUP(A420,'Date SPV'!$A:$D,4,FALSE),D419)</f>
        <v>Promenada Mall Bucuresti SRL</v>
      </c>
      <c r="E420" s="101" t="str">
        <f>VLOOKUP(A420,'Date SPV'!$A$4:$B$34,2,FALSE)</f>
        <v>RPMB</v>
      </c>
      <c r="H420" s="105" t="s">
        <v>894</v>
      </c>
      <c r="K420" s="101" t="str">
        <f>VLOOKUP(C420,'Preturi si tarife'!$A$4:$B$39,2,FALSE)</f>
        <v>Regularizare Tarife distributie en. El JT</v>
      </c>
      <c r="L420" s="102">
        <f>IF(B420=1,'Date masura OD'!$I$5,IF(B420=19,'Date masura OD'!$AK$5,L419))</f>
        <v>45748</v>
      </c>
      <c r="M420" s="102">
        <f>IF(B420=1,'Date masura OD'!$J$5,IF(B420=19,'Date masura OD'!$AL$5,M419))</f>
        <v>45777</v>
      </c>
      <c r="N420" s="104">
        <f>VLOOKUP(E420,verificare!$AR$4:$CC$33,B420+2,FALSE)</f>
        <v>0</v>
      </c>
      <c r="O420" s="103">
        <f>HLOOKUP(VLOOKUP(E420,'Date SPV'!$B$4:$F$34,5,FALSE),'Preturi si tarife'!$C$2:$J$39,B420+2,FALSE)*10000</f>
        <v>2079</v>
      </c>
      <c r="Q420" s="101" t="str">
        <f t="shared" si="43"/>
        <v>One-off</v>
      </c>
      <c r="R420" s="101" t="str">
        <f>VLOOKUP(K420,'Preturi si tarife'!$B$4:$K$39,10,FALSE)</f>
        <v>ICOENG0001</v>
      </c>
      <c r="T420" s="101" t="str">
        <f t="shared" si="44"/>
        <v>INV + 30</v>
      </c>
      <c r="V420" s="101" t="str">
        <f t="shared" si="45"/>
        <v>Active</v>
      </c>
      <c r="X420" s="101" t="str">
        <f t="shared" si="46"/>
        <v>One-off</v>
      </c>
      <c r="AC420" s="101" t="str">
        <f t="shared" si="49"/>
        <v>RON</v>
      </c>
      <c r="AD420" s="101">
        <f t="shared" si="50"/>
        <v>10000</v>
      </c>
    </row>
    <row r="421" spans="1:30">
      <c r="A421" s="101">
        <f t="shared" si="51"/>
        <v>12</v>
      </c>
      <c r="B421" s="101">
        <f t="shared" si="47"/>
        <v>24</v>
      </c>
      <c r="C421" s="101" t="str">
        <f t="shared" si="48"/>
        <v>T24</v>
      </c>
      <c r="D421" s="101" t="str">
        <f>IF(A421&lt;&gt;A420,VLOOKUP(A421,'Date SPV'!$A:$D,4,FALSE),D420)</f>
        <v>Promenada Mall Bucuresti SRL</v>
      </c>
      <c r="E421" s="101" t="str">
        <f>VLOOKUP(A421,'Date SPV'!$A$4:$B$34,2,FALSE)</f>
        <v>RPMB</v>
      </c>
      <c r="H421" s="105" t="s">
        <v>894</v>
      </c>
      <c r="K421" s="101" t="str">
        <f>VLOOKUP(C421,'Preturi si tarife'!$A$4:$B$39,2,FALSE)</f>
        <v xml:space="preserve">Regularizare Servicii Sistem </v>
      </c>
      <c r="L421" s="102">
        <f>IF(B421=1,'Date masura OD'!$I$5,IF(B421=19,'Date masura OD'!$AK$5,L420))</f>
        <v>45748</v>
      </c>
      <c r="M421" s="102">
        <f>IF(B421=1,'Date masura OD'!$J$5,IF(B421=19,'Date masura OD'!$AL$5,M420))</f>
        <v>45777</v>
      </c>
      <c r="N421" s="104">
        <f>VLOOKUP(E421,verificare!$AR$4:$CC$33,B421+2,FALSE)</f>
        <v>0</v>
      </c>
      <c r="O421" s="103">
        <f>HLOOKUP(VLOOKUP(E421,'Date SPV'!$B$4:$F$34,5,FALSE),'Preturi si tarife'!$C$2:$J$39,B421+2,FALSE)*10000</f>
        <v>115.1</v>
      </c>
      <c r="Q421" s="101" t="str">
        <f t="shared" si="43"/>
        <v>One-off</v>
      </c>
      <c r="R421" s="101" t="str">
        <f>VLOOKUP(K421,'Preturi si tarife'!$B$4:$K$39,10,FALSE)</f>
        <v>ICOENG0001</v>
      </c>
      <c r="T421" s="101" t="str">
        <f t="shared" si="44"/>
        <v>INV + 30</v>
      </c>
      <c r="V421" s="101" t="str">
        <f t="shared" si="45"/>
        <v>Active</v>
      </c>
      <c r="X421" s="101" t="str">
        <f t="shared" si="46"/>
        <v>One-off</v>
      </c>
      <c r="AC421" s="101" t="str">
        <f t="shared" si="49"/>
        <v>RON</v>
      </c>
      <c r="AD421" s="101">
        <f t="shared" si="50"/>
        <v>10000</v>
      </c>
    </row>
    <row r="422" spans="1:30">
      <c r="A422" s="101">
        <f t="shared" si="51"/>
        <v>12</v>
      </c>
      <c r="B422" s="101">
        <f t="shared" si="47"/>
        <v>25</v>
      </c>
      <c r="C422" s="101" t="str">
        <f t="shared" si="48"/>
        <v>T25</v>
      </c>
      <c r="D422" s="101" t="str">
        <f>IF(A422&lt;&gt;A421,VLOOKUP(A422,'Date SPV'!$A:$D,4,FALSE),D421)</f>
        <v>Promenada Mall Bucuresti SRL</v>
      </c>
      <c r="E422" s="101" t="str">
        <f>VLOOKUP(A422,'Date SPV'!$A$4:$B$34,2,FALSE)</f>
        <v>RPMB</v>
      </c>
      <c r="H422" s="105" t="s">
        <v>894</v>
      </c>
      <c r="K422" s="101" t="str">
        <f>VLOOKUP(C422,'Preturi si tarife'!$A$4:$B$39,2,FALSE)</f>
        <v>Regularizare Tarif de introducere en. el in retea (TL)</v>
      </c>
      <c r="L422" s="102">
        <f>IF(B422=1,'Date masura OD'!$I$5,IF(B422=19,'Date masura OD'!$AK$5,L421))</f>
        <v>45748</v>
      </c>
      <c r="M422" s="102">
        <f>IF(B422=1,'Date masura OD'!$J$5,IF(B422=19,'Date masura OD'!$AL$5,M421))</f>
        <v>45777</v>
      </c>
      <c r="N422" s="104">
        <f>VLOOKUP(E422,verificare!$AR$4:$CC$33,B422+2,FALSE)</f>
        <v>0</v>
      </c>
      <c r="O422" s="103">
        <f>HLOOKUP(VLOOKUP(E422,'Date SPV'!$B$4:$F$34,5,FALSE),'Preturi si tarife'!$C$2:$J$39,B422+2,FALSE)*10000</f>
        <v>330.3</v>
      </c>
      <c r="Q422" s="101" t="str">
        <f t="shared" si="43"/>
        <v>One-off</v>
      </c>
      <c r="R422" s="101" t="str">
        <f>VLOOKUP(K422,'Preturi si tarife'!$B$4:$K$39,10,FALSE)</f>
        <v>ICOENG0001</v>
      </c>
      <c r="T422" s="101" t="str">
        <f t="shared" si="44"/>
        <v>INV + 30</v>
      </c>
      <c r="V422" s="101" t="str">
        <f t="shared" si="45"/>
        <v>Active</v>
      </c>
      <c r="X422" s="101" t="str">
        <f t="shared" si="46"/>
        <v>One-off</v>
      </c>
      <c r="AC422" s="101" t="str">
        <f t="shared" si="49"/>
        <v>RON</v>
      </c>
      <c r="AD422" s="101">
        <f t="shared" si="50"/>
        <v>10000</v>
      </c>
    </row>
    <row r="423" spans="1:30">
      <c r="A423" s="101">
        <f t="shared" si="51"/>
        <v>12</v>
      </c>
      <c r="B423" s="101">
        <f t="shared" si="47"/>
        <v>26</v>
      </c>
      <c r="C423" s="101" t="str">
        <f t="shared" si="48"/>
        <v>T26</v>
      </c>
      <c r="D423" s="101" t="str">
        <f>IF(A423&lt;&gt;A422,VLOOKUP(A423,'Date SPV'!$A:$D,4,FALSE),D422)</f>
        <v>Promenada Mall Bucuresti SRL</v>
      </c>
      <c r="E423" s="101" t="str">
        <f>VLOOKUP(A423,'Date SPV'!$A$4:$B$34,2,FALSE)</f>
        <v>RPMB</v>
      </c>
      <c r="H423" s="105" t="s">
        <v>894</v>
      </c>
      <c r="K423" s="101" t="str">
        <f>VLOOKUP(C423,'Preturi si tarife'!$A$4:$B$39,2,FALSE)</f>
        <v>Regularizare Tarif de introducere en.el in retea (TG)</v>
      </c>
      <c r="L423" s="102">
        <f>IF(B423=1,'Date masura OD'!$I$5,IF(B423=19,'Date masura OD'!$AK$5,L422))</f>
        <v>45748</v>
      </c>
      <c r="M423" s="102">
        <f>IF(B423=1,'Date masura OD'!$J$5,IF(B423=19,'Date masura OD'!$AL$5,M422))</f>
        <v>45777</v>
      </c>
      <c r="N423" s="104">
        <f>VLOOKUP(E423,verificare!$AR$4:$CC$33,B423+2,FALSE)</f>
        <v>0</v>
      </c>
      <c r="O423" s="103">
        <f>HLOOKUP(VLOOKUP(E423,'Date SPV'!$B$4:$F$34,5,FALSE),'Preturi si tarife'!$C$2:$J$39,B423+2,FALSE)*10000</f>
        <v>32.9</v>
      </c>
      <c r="Q423" s="101" t="str">
        <f t="shared" si="43"/>
        <v>One-off</v>
      </c>
      <c r="R423" s="101" t="str">
        <f>VLOOKUP(K423,'Preturi si tarife'!$B$4:$K$39,10,FALSE)</f>
        <v>ICOENG0001</v>
      </c>
      <c r="T423" s="101" t="str">
        <f t="shared" si="44"/>
        <v>INV + 30</v>
      </c>
      <c r="V423" s="101" t="str">
        <f t="shared" si="45"/>
        <v>Active</v>
      </c>
      <c r="X423" s="101" t="str">
        <f t="shared" si="46"/>
        <v>One-off</v>
      </c>
      <c r="AC423" s="101" t="str">
        <f t="shared" si="49"/>
        <v>RON</v>
      </c>
      <c r="AD423" s="101">
        <f t="shared" si="50"/>
        <v>10000</v>
      </c>
    </row>
    <row r="424" spans="1:30">
      <c r="A424" s="101">
        <f t="shared" si="51"/>
        <v>12</v>
      </c>
      <c r="B424" s="101">
        <f t="shared" si="47"/>
        <v>27</v>
      </c>
      <c r="C424" s="101" t="str">
        <f t="shared" si="48"/>
        <v>T27</v>
      </c>
      <c r="D424" s="101" t="str">
        <f>IF(A424&lt;&gt;A423,VLOOKUP(A424,'Date SPV'!$A:$D,4,FALSE),D423)</f>
        <v>Promenada Mall Bucuresti SRL</v>
      </c>
      <c r="E424" s="101" t="str">
        <f>VLOOKUP(A424,'Date SPV'!$A$4:$B$34,2,FALSE)</f>
        <v>RPMB</v>
      </c>
      <c r="H424" s="105" t="s">
        <v>894</v>
      </c>
      <c r="K424" s="101" t="str">
        <f>VLOOKUP(C424,'Preturi si tarife'!$A$4:$B$39,2,FALSE)</f>
        <v>Regularizare Contributie pentru cogenerare</v>
      </c>
      <c r="L424" s="102">
        <f>IF(B424=1,'Date masura OD'!$I$5,IF(B424=19,'Date masura OD'!$AK$5,L423))</f>
        <v>45748</v>
      </c>
      <c r="M424" s="102">
        <f>IF(B424=1,'Date masura OD'!$J$5,IF(B424=19,'Date masura OD'!$AL$5,M423))</f>
        <v>45777</v>
      </c>
      <c r="N424" s="104">
        <f>VLOOKUP(E424,verificare!$AR$4:$CC$33,B424+2,FALSE)</f>
        <v>0</v>
      </c>
      <c r="O424" s="103">
        <f>HLOOKUP(VLOOKUP(E424,'Date SPV'!$B$4:$F$34,5,FALSE),'Preturi si tarife'!$C$2:$J$39,B424+2,FALSE)*10000</f>
        <v>35</v>
      </c>
      <c r="Q424" s="101" t="str">
        <f t="shared" si="43"/>
        <v>One-off</v>
      </c>
      <c r="R424" s="101" t="str">
        <f>VLOOKUP(K424,'Preturi si tarife'!$B$4:$K$39,10,FALSE)</f>
        <v>ICOENG0001</v>
      </c>
      <c r="T424" s="101" t="str">
        <f t="shared" si="44"/>
        <v>INV + 30</v>
      </c>
      <c r="V424" s="101" t="str">
        <f t="shared" si="45"/>
        <v>Active</v>
      </c>
      <c r="X424" s="101" t="str">
        <f t="shared" si="46"/>
        <v>One-off</v>
      </c>
      <c r="AC424" s="101" t="str">
        <f t="shared" si="49"/>
        <v>RON</v>
      </c>
      <c r="AD424" s="101">
        <f t="shared" si="50"/>
        <v>10000</v>
      </c>
    </row>
    <row r="425" spans="1:30">
      <c r="A425" s="101">
        <f t="shared" si="51"/>
        <v>12</v>
      </c>
      <c r="B425" s="101">
        <f t="shared" si="47"/>
        <v>28</v>
      </c>
      <c r="C425" s="101" t="str">
        <f t="shared" si="48"/>
        <v>T28</v>
      </c>
      <c r="D425" s="101" t="str">
        <f>IF(A425&lt;&gt;A424,VLOOKUP(A425,'Date SPV'!$A:$D,4,FALSE),D424)</f>
        <v>Promenada Mall Bucuresti SRL</v>
      </c>
      <c r="E425" s="101" t="str">
        <f>VLOOKUP(A425,'Date SPV'!$A$4:$B$34,2,FALSE)</f>
        <v>RPMB</v>
      </c>
      <c r="H425" s="105" t="s">
        <v>894</v>
      </c>
      <c r="K425" s="101" t="str">
        <f>VLOOKUP(C425,'Preturi si tarife'!$A$4:$B$39,2,FALSE)</f>
        <v xml:space="preserve">Regularizare Certificate verzi </v>
      </c>
      <c r="L425" s="102">
        <f>IF(B425=1,'Date masura OD'!$I$5,IF(B425=19,'Date masura OD'!$AK$5,L424))</f>
        <v>45748</v>
      </c>
      <c r="M425" s="102">
        <f>IF(B425=1,'Date masura OD'!$J$5,IF(B425=19,'Date masura OD'!$AL$5,M424))</f>
        <v>45777</v>
      </c>
      <c r="N425" s="104">
        <f>VLOOKUP(E425,verificare!$AR$4:$CC$33,B425+2,FALSE)</f>
        <v>0</v>
      </c>
      <c r="O425" s="103">
        <f>HLOOKUP(VLOOKUP(E425,'Date SPV'!$B$4:$F$34,5,FALSE),'Preturi si tarife'!$C$2:$J$39,B425+2,FALSE)*10000</f>
        <v>725.41599999999994</v>
      </c>
      <c r="Q425" s="101" t="str">
        <f t="shared" si="43"/>
        <v>One-off</v>
      </c>
      <c r="R425" s="101" t="str">
        <f>VLOOKUP(K425,'Preturi si tarife'!$B$4:$K$39,10,FALSE)</f>
        <v>ICOENG0001</v>
      </c>
      <c r="T425" s="101" t="str">
        <f t="shared" si="44"/>
        <v>INV + 30</v>
      </c>
      <c r="V425" s="101" t="str">
        <f t="shared" si="45"/>
        <v>Active</v>
      </c>
      <c r="X425" s="101" t="str">
        <f t="shared" si="46"/>
        <v>One-off</v>
      </c>
      <c r="AC425" s="101" t="str">
        <f t="shared" si="49"/>
        <v>RON</v>
      </c>
      <c r="AD425" s="101">
        <f t="shared" si="50"/>
        <v>10000</v>
      </c>
    </row>
    <row r="426" spans="1:30">
      <c r="A426" s="101">
        <f t="shared" si="51"/>
        <v>12</v>
      </c>
      <c r="B426" s="101">
        <f t="shared" si="47"/>
        <v>29</v>
      </c>
      <c r="C426" s="101" t="str">
        <f t="shared" si="48"/>
        <v>T29</v>
      </c>
      <c r="D426" s="101" t="str">
        <f>IF(A426&lt;&gt;A425,VLOOKUP(A426,'Date SPV'!$A:$D,4,FALSE),D425)</f>
        <v>Promenada Mall Bucuresti SRL</v>
      </c>
      <c r="E426" s="101" t="str">
        <f>VLOOKUP(A426,'Date SPV'!$A$4:$B$34,2,FALSE)</f>
        <v>RPMB</v>
      </c>
      <c r="H426" s="105" t="s">
        <v>894</v>
      </c>
      <c r="K426" s="101" t="str">
        <f>VLOOKUP(C426,'Preturi si tarife'!$A$4:$B$39,2,FALSE)</f>
        <v>Regularizare Contributie CFD</v>
      </c>
      <c r="L426" s="102">
        <f>IF(B426=1,'Date masura OD'!$I$5,IF(B426=19,'Date masura OD'!$AK$5,L425))</f>
        <v>45748</v>
      </c>
      <c r="M426" s="102">
        <f>IF(B426=1,'Date masura OD'!$J$5,IF(B426=19,'Date masura OD'!$AL$5,M425))</f>
        <v>45777</v>
      </c>
      <c r="N426" s="104">
        <f>VLOOKUP(E426,verificare!$AR$4:$CC$33,B426+2,FALSE)</f>
        <v>0</v>
      </c>
      <c r="O426" s="103">
        <f>HLOOKUP(VLOOKUP(E426,'Date SPV'!$B$4:$F$34,5,FALSE),'Preturi si tarife'!$C$2:$J$39,B426+2,FALSE)*10000</f>
        <v>2.06</v>
      </c>
      <c r="Q426" s="101" t="str">
        <f t="shared" si="43"/>
        <v>One-off</v>
      </c>
      <c r="R426" s="101" t="str">
        <f>VLOOKUP(K426,'Preturi si tarife'!$B$4:$K$39,10,FALSE)</f>
        <v>ICOENG0001</v>
      </c>
      <c r="T426" s="101" t="str">
        <f t="shared" si="44"/>
        <v>INV + 30</v>
      </c>
      <c r="V426" s="101" t="str">
        <f t="shared" si="45"/>
        <v>Active</v>
      </c>
      <c r="X426" s="101" t="str">
        <f t="shared" si="46"/>
        <v>One-off</v>
      </c>
      <c r="AC426" s="101" t="str">
        <f t="shared" si="49"/>
        <v>RON</v>
      </c>
      <c r="AD426" s="101">
        <f t="shared" si="50"/>
        <v>10000</v>
      </c>
    </row>
    <row r="427" spans="1:30">
      <c r="A427" s="101">
        <f t="shared" si="51"/>
        <v>12</v>
      </c>
      <c r="B427" s="101">
        <f t="shared" si="47"/>
        <v>30</v>
      </c>
      <c r="C427" s="101" t="str">
        <f t="shared" si="48"/>
        <v>T30</v>
      </c>
      <c r="D427" s="101" t="str">
        <f>IF(A427&lt;&gt;A426,VLOOKUP(A427,'Date SPV'!$A:$D,4,FALSE),D426)</f>
        <v>Promenada Mall Bucuresti SRL</v>
      </c>
      <c r="E427" s="101" t="str">
        <f>VLOOKUP(A427,'Date SPV'!$A$4:$B$34,2,FALSE)</f>
        <v>RPMB</v>
      </c>
      <c r="H427" s="105" t="s">
        <v>894</v>
      </c>
      <c r="K427" s="101" t="str">
        <f>VLOOKUP(C427,'Preturi si tarife'!$A$4:$B$39,2,FALSE)</f>
        <v>Regularizare Acciza</v>
      </c>
      <c r="L427" s="102">
        <f>IF(B427=1,'Date masura OD'!$I$5,IF(B427=19,'Date masura OD'!$AK$5,L426))</f>
        <v>45748</v>
      </c>
      <c r="M427" s="102">
        <f>IF(B427=1,'Date masura OD'!$J$5,IF(B427=19,'Date masura OD'!$AL$5,M426))</f>
        <v>45777</v>
      </c>
      <c r="N427" s="104">
        <f>VLOOKUP(E427,verificare!$AR$4:$CC$33,B427+2,FALSE)</f>
        <v>0</v>
      </c>
      <c r="O427" s="103">
        <f>HLOOKUP(VLOOKUP(E427,'Date SPV'!$B$4:$F$34,5,FALSE),'Preturi si tarife'!$C$2:$J$39,B427+2,FALSE)*10000</f>
        <v>0</v>
      </c>
      <c r="Q427" s="101" t="str">
        <f t="shared" si="43"/>
        <v>One-off</v>
      </c>
      <c r="R427" s="101" t="str">
        <f>VLOOKUP(K427,'Preturi si tarife'!$B$4:$K$39,10,FALSE)</f>
        <v>ICOENG0001</v>
      </c>
      <c r="T427" s="101" t="str">
        <f t="shared" si="44"/>
        <v>INV + 30</v>
      </c>
      <c r="V427" s="101" t="str">
        <f t="shared" si="45"/>
        <v>Active</v>
      </c>
      <c r="X427" s="101" t="str">
        <f t="shared" si="46"/>
        <v>One-off</v>
      </c>
      <c r="AC427" s="101" t="str">
        <f t="shared" si="49"/>
        <v>RON</v>
      </c>
      <c r="AD427" s="101">
        <f t="shared" si="50"/>
        <v>10000</v>
      </c>
    </row>
    <row r="428" spans="1:30">
      <c r="A428" s="101">
        <f t="shared" si="51"/>
        <v>12</v>
      </c>
      <c r="B428" s="101">
        <f t="shared" si="47"/>
        <v>31</v>
      </c>
      <c r="C428" s="101" t="str">
        <f t="shared" si="48"/>
        <v>T31</v>
      </c>
      <c r="D428" s="101" t="str">
        <f>IF(A428&lt;&gt;A427,VLOOKUP(A428,'Date SPV'!$A:$D,4,FALSE),D427)</f>
        <v>Promenada Mall Bucuresti SRL</v>
      </c>
      <c r="E428" s="101" t="str">
        <f>VLOOKUP(A428,'Date SPV'!$A$4:$B$34,2,FALSE)</f>
        <v>RPMB</v>
      </c>
      <c r="H428" s="105" t="s">
        <v>894</v>
      </c>
      <c r="K428" s="101" t="str">
        <f>VLOOKUP(C428,'Preturi si tarife'!$A$4:$B$39,2,FALSE)</f>
        <v>Regularizare Tarif distributie SDI MT Ea1</v>
      </c>
      <c r="L428" s="102">
        <f>IF(B428=1,'Date masura OD'!$I$5,IF(B428=19,'Date masura OD'!$AK$5,L427))</f>
        <v>45748</v>
      </c>
      <c r="M428" s="102">
        <f>IF(B428=1,'Date masura OD'!$J$5,IF(B428=19,'Date masura OD'!$AL$5,M427))</f>
        <v>45777</v>
      </c>
      <c r="N428" s="104">
        <f>VLOOKUP(E428,verificare!$AR$4:$CC$33,B428+2,FALSE)</f>
        <v>0</v>
      </c>
      <c r="O428" s="103">
        <f>HLOOKUP(VLOOKUP(E428,'Date SPV'!$B$4:$F$34,5,FALSE),'Preturi si tarife'!$C$2:$J$39,B428+2,FALSE)*10000</f>
        <v>113.00000000000001</v>
      </c>
      <c r="Q428" s="101" t="str">
        <f t="shared" si="43"/>
        <v>One-off</v>
      </c>
      <c r="R428" s="101" t="str">
        <f>VLOOKUP(K428,'Preturi si tarife'!$B$4:$K$39,10,FALSE)</f>
        <v>ICOENG0010</v>
      </c>
      <c r="T428" s="101" t="str">
        <f t="shared" si="44"/>
        <v>INV + 30</v>
      </c>
      <c r="V428" s="101" t="str">
        <f t="shared" si="45"/>
        <v>Active</v>
      </c>
      <c r="X428" s="101" t="str">
        <f t="shared" si="46"/>
        <v>One-off</v>
      </c>
      <c r="AC428" s="101" t="str">
        <f t="shared" si="49"/>
        <v>RON</v>
      </c>
      <c r="AD428" s="101">
        <f t="shared" si="50"/>
        <v>10000</v>
      </c>
    </row>
    <row r="429" spans="1:30">
      <c r="A429" s="101">
        <f t="shared" si="51"/>
        <v>12</v>
      </c>
      <c r="B429" s="101">
        <f t="shared" si="47"/>
        <v>32</v>
      </c>
      <c r="C429" s="101" t="str">
        <f t="shared" si="48"/>
        <v>T32</v>
      </c>
      <c r="D429" s="101" t="str">
        <f>IF(A429&lt;&gt;A428,VLOOKUP(A429,'Date SPV'!$A:$D,4,FALSE),D428)</f>
        <v>Promenada Mall Bucuresti SRL</v>
      </c>
      <c r="E429" s="101" t="str">
        <f>VLOOKUP(A429,'Date SPV'!$A$4:$B$34,2,FALSE)</f>
        <v>RPMB</v>
      </c>
      <c r="H429" s="105" t="s">
        <v>894</v>
      </c>
      <c r="K429" s="101" t="str">
        <f>VLOOKUP(C429,'Preturi si tarife'!$A$4:$B$39,2,FALSE)</f>
        <v>Regularizare Tarif distributie SDI JT Ea1</v>
      </c>
      <c r="L429" s="102">
        <f>IF(B429=1,'Date masura OD'!$I$5,IF(B429=19,'Date masura OD'!$AK$5,L428))</f>
        <v>45748</v>
      </c>
      <c r="M429" s="102">
        <f>IF(B429=1,'Date masura OD'!$J$5,IF(B429=19,'Date masura OD'!$AL$5,M428))</f>
        <v>45777</v>
      </c>
      <c r="N429" s="104">
        <f>VLOOKUP(E429,verificare!$AR$4:$CC$33,B429+2,FALSE)</f>
        <v>0</v>
      </c>
      <c r="O429" s="103">
        <f>HLOOKUP(VLOOKUP(E429,'Date SPV'!$B$4:$F$34,5,FALSE),'Preturi si tarife'!$C$2:$J$39,B429+2,FALSE)*10000</f>
        <v>840.99999999999989</v>
      </c>
      <c r="Q429" s="101" t="str">
        <f t="shared" si="43"/>
        <v>One-off</v>
      </c>
      <c r="R429" s="101" t="str">
        <f>VLOOKUP(K429,'Preturi si tarife'!$B$4:$K$39,10,FALSE)</f>
        <v>ICOENG0010</v>
      </c>
      <c r="T429" s="101" t="str">
        <f t="shared" si="44"/>
        <v>INV + 30</v>
      </c>
      <c r="V429" s="101" t="str">
        <f t="shared" si="45"/>
        <v>Active</v>
      </c>
      <c r="X429" s="101" t="str">
        <f t="shared" si="46"/>
        <v>One-off</v>
      </c>
      <c r="AC429" s="101" t="str">
        <f t="shared" si="49"/>
        <v>RON</v>
      </c>
      <c r="AD429" s="101">
        <f t="shared" si="50"/>
        <v>10000</v>
      </c>
    </row>
    <row r="430" spans="1:30">
      <c r="A430" s="101">
        <f t="shared" si="51"/>
        <v>12</v>
      </c>
      <c r="B430" s="101">
        <f t="shared" si="47"/>
        <v>33</v>
      </c>
      <c r="C430" s="101" t="str">
        <f t="shared" si="48"/>
        <v>T33</v>
      </c>
      <c r="D430" s="101" t="str">
        <f>IF(A430&lt;&gt;A429,VLOOKUP(A430,'Date SPV'!$A:$D,4,FALSE),D429)</f>
        <v>Promenada Mall Bucuresti SRL</v>
      </c>
      <c r="E430" s="101" t="str">
        <f>VLOOKUP(A430,'Date SPV'!$A$4:$B$34,2,FALSE)</f>
        <v>RPMB</v>
      </c>
      <c r="H430" s="105" t="s">
        <v>894</v>
      </c>
      <c r="K430" s="101" t="str">
        <f>VLOOKUP(C430,'Preturi si tarife'!$A$4:$B$39,2,FALSE)</f>
        <v>Regularizare Energie activa 2</v>
      </c>
      <c r="L430" s="102">
        <f>IF(B430=1,'Date masura OD'!$I$5,IF(B430=19,'Date masura OD'!$AK$5,L429))</f>
        <v>45748</v>
      </c>
      <c r="M430" s="102">
        <f>IF(B430=1,'Date masura OD'!$J$5,IF(B430=19,'Date masura OD'!$AL$5,M429))</f>
        <v>45777</v>
      </c>
      <c r="N430" s="104">
        <f>VLOOKUP(E430,verificare!$AR$4:$CC$33,B430+2,FALSE)</f>
        <v>0</v>
      </c>
      <c r="O430" s="103">
        <f>HLOOKUP(VLOOKUP(E430,'Date SPV'!$B$4:$F$34,5,FALSE),'Preturi si tarife'!$C$2:$J$39,B430+2,FALSE)*10000</f>
        <v>9006.5760000000009</v>
      </c>
      <c r="Q430" s="101" t="str">
        <f t="shared" si="43"/>
        <v>One-off</v>
      </c>
      <c r="R430" s="101" t="str">
        <f>VLOOKUP(K430,'Preturi si tarife'!$B$4:$K$39,10,FALSE)</f>
        <v>ICOENG0012</v>
      </c>
      <c r="T430" s="101" t="str">
        <f t="shared" si="44"/>
        <v>INV + 30</v>
      </c>
      <c r="V430" s="101" t="str">
        <f t="shared" si="45"/>
        <v>Active</v>
      </c>
      <c r="X430" s="101" t="str">
        <f t="shared" si="46"/>
        <v>One-off</v>
      </c>
      <c r="AC430" s="101" t="str">
        <f t="shared" si="49"/>
        <v>RON</v>
      </c>
      <c r="AD430" s="101">
        <f t="shared" si="50"/>
        <v>10000</v>
      </c>
    </row>
    <row r="431" spans="1:30">
      <c r="A431" s="101">
        <f t="shared" si="51"/>
        <v>12</v>
      </c>
      <c r="B431" s="101">
        <f t="shared" si="47"/>
        <v>34</v>
      </c>
      <c r="C431" s="101" t="str">
        <f t="shared" si="48"/>
        <v>T34</v>
      </c>
      <c r="D431" s="101" t="str">
        <f>IF(A431&lt;&gt;A430,VLOOKUP(A431,'Date SPV'!$A:$D,4,FALSE),D430)</f>
        <v>Promenada Mall Bucuresti SRL</v>
      </c>
      <c r="E431" s="101" t="str">
        <f>VLOOKUP(A431,'Date SPV'!$A$4:$B$34,2,FALSE)</f>
        <v>RPMB</v>
      </c>
      <c r="H431" s="105" t="s">
        <v>894</v>
      </c>
      <c r="K431" s="101" t="str">
        <f>VLOOKUP(C431,'Preturi si tarife'!$A$4:$B$39,2,FALSE)</f>
        <v>Regularizare Energie activa 3</v>
      </c>
      <c r="L431" s="102">
        <f>IF(B431=1,'Date masura OD'!$I$5,IF(B431=19,'Date masura OD'!$AK$5,L430))</f>
        <v>45748</v>
      </c>
      <c r="M431" s="102">
        <f>IF(B431=1,'Date masura OD'!$J$5,IF(B431=19,'Date masura OD'!$AL$5,M430))</f>
        <v>45777</v>
      </c>
      <c r="N431" s="104">
        <f>VLOOKUP(E431,verificare!$AR$4:$CC$33,B431+2,FALSE)</f>
        <v>0</v>
      </c>
      <c r="O431" s="103">
        <f>HLOOKUP(VLOOKUP(E431,'Date SPV'!$B$4:$F$34,5,FALSE),'Preturi si tarife'!$C$2:$J$39,B431+2,FALSE)*10000</f>
        <v>8052.576</v>
      </c>
      <c r="Q431" s="101" t="str">
        <f t="shared" si="43"/>
        <v>One-off</v>
      </c>
      <c r="R431" s="101" t="str">
        <f>VLOOKUP(K431,'Preturi si tarife'!$B$4:$K$39,10,FALSE)</f>
        <v>ICOENG0012</v>
      </c>
      <c r="T431" s="101" t="str">
        <f t="shared" si="44"/>
        <v>INV + 30</v>
      </c>
      <c r="V431" s="101" t="str">
        <f t="shared" si="45"/>
        <v>Active</v>
      </c>
      <c r="X431" s="101" t="str">
        <f t="shared" si="46"/>
        <v>One-off</v>
      </c>
      <c r="AC431" s="101" t="str">
        <f t="shared" si="49"/>
        <v>RON</v>
      </c>
      <c r="AD431" s="101">
        <f t="shared" si="50"/>
        <v>10000</v>
      </c>
    </row>
    <row r="432" spans="1:30">
      <c r="A432" s="101">
        <f t="shared" si="51"/>
        <v>12</v>
      </c>
      <c r="B432" s="101">
        <f t="shared" si="47"/>
        <v>35</v>
      </c>
      <c r="C432" s="101" t="str">
        <f t="shared" si="48"/>
        <v>T35</v>
      </c>
      <c r="D432" s="101" t="str">
        <f>IF(A432&lt;&gt;A431,VLOOKUP(A432,'Date SPV'!$A:$D,4,FALSE),D431)</f>
        <v>Promenada Mall Bucuresti SRL</v>
      </c>
      <c r="E432" s="101" t="str">
        <f>VLOOKUP(A432,'Date SPV'!$A$4:$B$34,2,FALSE)</f>
        <v>RPMB</v>
      </c>
      <c r="H432" s="105" t="s">
        <v>894</v>
      </c>
      <c r="K432" s="101" t="str">
        <f>VLOOKUP(C432,'Preturi si tarife'!$A$4:$B$39,2,FALSE)</f>
        <v>Regularizare Tarif distributie SDI MT Ea3</v>
      </c>
      <c r="L432" s="102">
        <f>IF(B432=1,'Date masura OD'!$I$5,IF(B432=19,'Date masura OD'!$AK$5,L431))</f>
        <v>45748</v>
      </c>
      <c r="M432" s="102">
        <f>IF(B432=1,'Date masura OD'!$J$5,IF(B432=19,'Date masura OD'!$AL$5,M431))</f>
        <v>45777</v>
      </c>
      <c r="N432" s="104">
        <f>VLOOKUP(E432,verificare!$AR$4:$CC$33,B432+2,FALSE)</f>
        <v>0</v>
      </c>
      <c r="O432" s="103">
        <f>HLOOKUP(VLOOKUP(E432,'Date SPV'!$B$4:$F$34,5,FALSE),'Preturi si tarife'!$C$2:$J$39,B432+2,FALSE)*10000</f>
        <v>113.00000000000001</v>
      </c>
      <c r="Q432" s="101" t="str">
        <f t="shared" si="43"/>
        <v>One-off</v>
      </c>
      <c r="R432" s="101" t="str">
        <f>VLOOKUP(K432,'Preturi si tarife'!$B$4:$K$39,10,FALSE)</f>
        <v>ICOENG0010</v>
      </c>
      <c r="T432" s="101" t="str">
        <f t="shared" si="44"/>
        <v>INV + 30</v>
      </c>
      <c r="V432" s="101" t="str">
        <f t="shared" si="45"/>
        <v>Active</v>
      </c>
      <c r="X432" s="101" t="str">
        <f t="shared" si="46"/>
        <v>One-off</v>
      </c>
      <c r="AC432" s="101" t="str">
        <f t="shared" si="49"/>
        <v>RON</v>
      </c>
      <c r="AD432" s="101">
        <f t="shared" si="50"/>
        <v>10000</v>
      </c>
    </row>
    <row r="433" spans="1:30">
      <c r="A433" s="101">
        <f t="shared" si="51"/>
        <v>12</v>
      </c>
      <c r="B433" s="101">
        <f t="shared" si="47"/>
        <v>36</v>
      </c>
      <c r="C433" s="101" t="str">
        <f t="shared" si="48"/>
        <v>T36</v>
      </c>
      <c r="D433" s="101" t="str">
        <f>IF(A433&lt;&gt;A432,VLOOKUP(A433,'Date SPV'!$A:$D,4,FALSE),D432)</f>
        <v>Promenada Mall Bucuresti SRL</v>
      </c>
      <c r="E433" s="101" t="str">
        <f>VLOOKUP(A433,'Date SPV'!$A$4:$B$34,2,FALSE)</f>
        <v>RPMB</v>
      </c>
      <c r="H433" s="105" t="s">
        <v>894</v>
      </c>
      <c r="K433" s="101" t="str">
        <f>VLOOKUP(C433,'Preturi si tarife'!$A$4:$B$39,2,FALSE)</f>
        <v>Regularizare Tarif distributie SDI JT Ea3</v>
      </c>
      <c r="L433" s="102">
        <f>IF(B433=1,'Date masura OD'!$I$5,IF(B433=19,'Date masura OD'!$AK$5,L432))</f>
        <v>45748</v>
      </c>
      <c r="M433" s="102">
        <f>IF(B433=1,'Date masura OD'!$J$5,IF(B433=19,'Date masura OD'!$AL$5,M432))</f>
        <v>45777</v>
      </c>
      <c r="N433" s="104">
        <f>VLOOKUP(E433,verificare!$AR$4:$CC$33,B433+2,FALSE)</f>
        <v>0</v>
      </c>
      <c r="O433" s="103">
        <f>HLOOKUP(VLOOKUP(E433,'Date SPV'!$B$4:$F$34,5,FALSE),'Preturi si tarife'!$C$2:$J$39,B433+2,FALSE)*10000</f>
        <v>840.99999999999989</v>
      </c>
      <c r="Q433" s="101" t="str">
        <f t="shared" si="43"/>
        <v>One-off</v>
      </c>
      <c r="R433" s="101" t="str">
        <f>VLOOKUP(K433,'Preturi si tarife'!$B$4:$K$39,10,FALSE)</f>
        <v>ICOENG0010</v>
      </c>
      <c r="T433" s="101" t="str">
        <f t="shared" si="44"/>
        <v>INV + 30</v>
      </c>
      <c r="V433" s="101" t="str">
        <f t="shared" si="45"/>
        <v>Active</v>
      </c>
      <c r="X433" s="101" t="str">
        <f t="shared" si="46"/>
        <v>One-off</v>
      </c>
      <c r="AC433" s="101" t="str">
        <f t="shared" si="49"/>
        <v>RON</v>
      </c>
      <c r="AD433" s="101">
        <f t="shared" si="50"/>
        <v>10000</v>
      </c>
    </row>
    <row r="434" spans="1:30">
      <c r="A434" s="101">
        <f t="shared" si="51"/>
        <v>13</v>
      </c>
      <c r="B434" s="101">
        <f t="shared" si="47"/>
        <v>1</v>
      </c>
      <c r="C434" s="101" t="str">
        <f t="shared" si="48"/>
        <v>T1</v>
      </c>
      <c r="D434" s="101" t="str">
        <f>IF(A434&lt;&gt;A433,VLOOKUP(A434,'Date SPV'!$A:$D,4,FALSE),D433)</f>
        <v>Targu Mures Shopping City SRL</v>
      </c>
      <c r="E434" s="101" t="str">
        <f>VLOOKUP(A434,'Date SPV'!$A$4:$B$34,2,FALSE)</f>
        <v>RTGU</v>
      </c>
      <c r="H434" s="105" t="s">
        <v>894</v>
      </c>
      <c r="K434" s="101" t="str">
        <f>VLOOKUP(C434,'Preturi si tarife'!$A$4:$B$39,2,FALSE)</f>
        <v>Energie activa 1</v>
      </c>
      <c r="L434" s="102">
        <f>IF(B434=1,'Date masura OD'!$I$5,IF(B434=19,'Date masura OD'!$AK$5,L433))</f>
        <v>45778</v>
      </c>
      <c r="M434" s="102">
        <f>IF(B434=1,'Date masura OD'!$J$5,IF(B434=19,'Date masura OD'!$AL$5,M433))</f>
        <v>45808</v>
      </c>
      <c r="N434" s="104">
        <f>VLOOKUP(E434,verificare!$AR$4:$CC$33,B434+2,FALSE)</f>
        <v>670016</v>
      </c>
      <c r="O434" s="103">
        <f>HLOOKUP(VLOOKUP(E434,'Date SPV'!$B$4:$F$34,5,FALSE),'Preturi si tarife'!$C$2:$J$39,B434+2,FALSE)*10000</f>
        <v>5950</v>
      </c>
      <c r="Q434" s="101" t="str">
        <f t="shared" si="43"/>
        <v>One-off</v>
      </c>
      <c r="R434" s="101" t="str">
        <f>VLOOKUP(K434,'Preturi si tarife'!$B$4:$K$39,10,FALSE)</f>
        <v>ICOENG0001</v>
      </c>
      <c r="T434" s="101" t="str">
        <f t="shared" si="44"/>
        <v>INV + 30</v>
      </c>
      <c r="V434" s="101" t="str">
        <f t="shared" si="45"/>
        <v>Active</v>
      </c>
      <c r="X434" s="101" t="str">
        <f t="shared" si="46"/>
        <v>One-off</v>
      </c>
      <c r="AC434" s="101" t="str">
        <f t="shared" si="49"/>
        <v>RON</v>
      </c>
      <c r="AD434" s="101">
        <f t="shared" si="50"/>
        <v>10000</v>
      </c>
    </row>
    <row r="435" spans="1:30">
      <c r="A435" s="101">
        <f t="shared" si="51"/>
        <v>13</v>
      </c>
      <c r="B435" s="101">
        <f t="shared" si="47"/>
        <v>2</v>
      </c>
      <c r="C435" s="101" t="str">
        <f t="shared" si="48"/>
        <v>T2</v>
      </c>
      <c r="D435" s="101" t="str">
        <f>IF(A435&lt;&gt;A434,VLOOKUP(A435,'Date SPV'!$A:$D,4,FALSE),D434)</f>
        <v>Targu Mures Shopping City SRL</v>
      </c>
      <c r="E435" s="101" t="str">
        <f>VLOOKUP(A435,'Date SPV'!$A$4:$B$34,2,FALSE)</f>
        <v>RTGU</v>
      </c>
      <c r="H435" s="105" t="s">
        <v>894</v>
      </c>
      <c r="K435" s="101" t="str">
        <f>VLOOKUP(C435,'Preturi si tarife'!$A$4:$B$39,2,FALSE)</f>
        <v>Energie reactiva  1X</v>
      </c>
      <c r="L435" s="102">
        <f>IF(B435=1,'Date masura OD'!$I$5,IF(B435=19,'Date masura OD'!$AK$5,L434))</f>
        <v>45778</v>
      </c>
      <c r="M435" s="102">
        <f>IF(B435=1,'Date masura OD'!$J$5,IF(B435=19,'Date masura OD'!$AL$5,M434))</f>
        <v>45808</v>
      </c>
      <c r="N435" s="104">
        <f>VLOOKUP(E435,verificare!$AR$4:$CC$33,B435+2,FALSE)</f>
        <v>0</v>
      </c>
      <c r="O435" s="103">
        <f>HLOOKUP(VLOOKUP(E435,'Date SPV'!$B$4:$F$34,5,FALSE),'Preturi si tarife'!$C$2:$J$39,B435+2,FALSE)*10000</f>
        <v>1465</v>
      </c>
      <c r="Q435" s="101" t="str">
        <f t="shared" si="43"/>
        <v>One-off</v>
      </c>
      <c r="R435" s="101" t="str">
        <f>VLOOKUP(K435,'Preturi si tarife'!$B$4:$K$39,10,FALSE)</f>
        <v>ICOENG0001</v>
      </c>
      <c r="T435" s="101" t="str">
        <f t="shared" si="44"/>
        <v>INV + 30</v>
      </c>
      <c r="V435" s="101" t="str">
        <f t="shared" si="45"/>
        <v>Active</v>
      </c>
      <c r="X435" s="101" t="str">
        <f t="shared" si="46"/>
        <v>One-off</v>
      </c>
      <c r="AC435" s="101" t="str">
        <f t="shared" si="49"/>
        <v>RON</v>
      </c>
      <c r="AD435" s="101">
        <f t="shared" si="50"/>
        <v>10000</v>
      </c>
    </row>
    <row r="436" spans="1:30">
      <c r="A436" s="101">
        <f t="shared" si="51"/>
        <v>13</v>
      </c>
      <c r="B436" s="101">
        <f t="shared" si="47"/>
        <v>3</v>
      </c>
      <c r="C436" s="101" t="str">
        <f t="shared" si="48"/>
        <v>T3</v>
      </c>
      <c r="D436" s="101" t="str">
        <f>IF(A436&lt;&gt;A435,VLOOKUP(A436,'Date SPV'!$A:$D,4,FALSE),D435)</f>
        <v>Targu Mures Shopping City SRL</v>
      </c>
      <c r="E436" s="101" t="str">
        <f>VLOOKUP(A436,'Date SPV'!$A$4:$B$34,2,FALSE)</f>
        <v>RTGU</v>
      </c>
      <c r="H436" s="105" t="s">
        <v>894</v>
      </c>
      <c r="K436" s="101" t="str">
        <f>VLOOKUP(C436,'Preturi si tarife'!$A$4:$B$39,2,FALSE)</f>
        <v>Energie reactiva  3X</v>
      </c>
      <c r="L436" s="102">
        <f>IF(B436=1,'Date masura OD'!$I$5,IF(B436=19,'Date masura OD'!$AK$5,L435))</f>
        <v>45778</v>
      </c>
      <c r="M436" s="102">
        <f>IF(B436=1,'Date masura OD'!$J$5,IF(B436=19,'Date masura OD'!$AL$5,M435))</f>
        <v>45808</v>
      </c>
      <c r="N436" s="104">
        <f>VLOOKUP(E436,verificare!$AR$4:$CC$33,B436+2,FALSE)</f>
        <v>0</v>
      </c>
      <c r="O436" s="103">
        <f>HLOOKUP(VLOOKUP(E436,'Date SPV'!$B$4:$F$34,5,FALSE),'Preturi si tarife'!$C$2:$J$39,B436+2,FALSE)*10000</f>
        <v>4395</v>
      </c>
      <c r="Q436" s="101" t="str">
        <f t="shared" si="43"/>
        <v>One-off</v>
      </c>
      <c r="R436" s="101" t="str">
        <f>VLOOKUP(K436,'Preturi si tarife'!$B$4:$K$39,10,FALSE)</f>
        <v>ICOENG0001</v>
      </c>
      <c r="T436" s="101" t="str">
        <f t="shared" si="44"/>
        <v>INV + 30</v>
      </c>
      <c r="V436" s="101" t="str">
        <f t="shared" si="45"/>
        <v>Active</v>
      </c>
      <c r="X436" s="101" t="str">
        <f t="shared" si="46"/>
        <v>One-off</v>
      </c>
      <c r="AC436" s="101" t="str">
        <f t="shared" si="49"/>
        <v>RON</v>
      </c>
      <c r="AD436" s="101">
        <f t="shared" si="50"/>
        <v>10000</v>
      </c>
    </row>
    <row r="437" spans="1:30">
      <c r="A437" s="101">
        <f t="shared" si="51"/>
        <v>13</v>
      </c>
      <c r="B437" s="101">
        <f t="shared" si="47"/>
        <v>4</v>
      </c>
      <c r="C437" s="101" t="str">
        <f t="shared" si="48"/>
        <v>T4</v>
      </c>
      <c r="D437" s="101" t="str">
        <f>IF(A437&lt;&gt;A436,VLOOKUP(A437,'Date SPV'!$A:$D,4,FALSE),D436)</f>
        <v>Targu Mures Shopping City SRL</v>
      </c>
      <c r="E437" s="101" t="str">
        <f>VLOOKUP(A437,'Date SPV'!$A$4:$B$34,2,FALSE)</f>
        <v>RTGU</v>
      </c>
      <c r="H437" s="105" t="s">
        <v>894</v>
      </c>
      <c r="K437" s="101" t="str">
        <f>VLOOKUP(C437,'Preturi si tarife'!$A$4:$B$39,2,FALSE)</f>
        <v>Tarife distributie en. El IT+MT</v>
      </c>
      <c r="L437" s="102">
        <f>IF(B437=1,'Date masura OD'!$I$5,IF(B437=19,'Date masura OD'!$AK$5,L436))</f>
        <v>45778</v>
      </c>
      <c r="M437" s="102">
        <f>IF(B437=1,'Date masura OD'!$J$5,IF(B437=19,'Date masura OD'!$AL$5,M436))</f>
        <v>45808</v>
      </c>
      <c r="N437" s="104">
        <f>VLOOKUP(E437,verificare!$AR$4:$CC$33,B437+2,FALSE)</f>
        <v>670016</v>
      </c>
      <c r="O437" s="103">
        <f>HLOOKUP(VLOOKUP(E437,'Date SPV'!$B$4:$F$34,5,FALSE),'Preturi si tarife'!$C$2:$J$39,B437+2,FALSE)*10000</f>
        <v>1148.3</v>
      </c>
      <c r="Q437" s="101" t="str">
        <f t="shared" si="43"/>
        <v>One-off</v>
      </c>
      <c r="R437" s="101" t="str">
        <f>VLOOKUP(K437,'Preturi si tarife'!$B$4:$K$39,10,FALSE)</f>
        <v>ICOENG0001</v>
      </c>
      <c r="T437" s="101" t="str">
        <f t="shared" si="44"/>
        <v>INV + 30</v>
      </c>
      <c r="V437" s="101" t="str">
        <f t="shared" si="45"/>
        <v>Active</v>
      </c>
      <c r="X437" s="101" t="str">
        <f t="shared" si="46"/>
        <v>One-off</v>
      </c>
      <c r="AC437" s="101" t="str">
        <f t="shared" si="49"/>
        <v>RON</v>
      </c>
      <c r="AD437" s="101">
        <f t="shared" si="50"/>
        <v>10000</v>
      </c>
    </row>
    <row r="438" spans="1:30">
      <c r="A438" s="101">
        <f t="shared" si="51"/>
        <v>13</v>
      </c>
      <c r="B438" s="101">
        <f t="shared" si="47"/>
        <v>5</v>
      </c>
      <c r="C438" s="101" t="str">
        <f t="shared" si="48"/>
        <v>T5</v>
      </c>
      <c r="D438" s="101" t="str">
        <f>IF(A438&lt;&gt;A437,VLOOKUP(A438,'Date SPV'!$A:$D,4,FALSE),D437)</f>
        <v>Targu Mures Shopping City SRL</v>
      </c>
      <c r="E438" s="101" t="str">
        <f>VLOOKUP(A438,'Date SPV'!$A$4:$B$34,2,FALSE)</f>
        <v>RTGU</v>
      </c>
      <c r="H438" s="105" t="s">
        <v>894</v>
      </c>
      <c r="K438" s="101" t="str">
        <f>VLOOKUP(C438,'Preturi si tarife'!$A$4:$B$39,2,FALSE)</f>
        <v>Tarife distributie en. El JT</v>
      </c>
      <c r="L438" s="102">
        <f>IF(B438=1,'Date masura OD'!$I$5,IF(B438=19,'Date masura OD'!$AK$5,L437))</f>
        <v>45778</v>
      </c>
      <c r="M438" s="102">
        <f>IF(B438=1,'Date masura OD'!$J$5,IF(B438=19,'Date masura OD'!$AL$5,M437))</f>
        <v>45808</v>
      </c>
      <c r="N438" s="104">
        <f>VLOOKUP(E438,verificare!$AR$4:$CC$33,B438+2,FALSE)</f>
        <v>0</v>
      </c>
      <c r="O438" s="103">
        <f>HLOOKUP(VLOOKUP(E438,'Date SPV'!$B$4:$F$34,5,FALSE),'Preturi si tarife'!$C$2:$J$39,B438+2,FALSE)*10000</f>
        <v>2361</v>
      </c>
      <c r="Q438" s="101" t="str">
        <f t="shared" si="43"/>
        <v>One-off</v>
      </c>
      <c r="R438" s="101" t="str">
        <f>VLOOKUP(K438,'Preturi si tarife'!$B$4:$K$39,10,FALSE)</f>
        <v>ICOENG0001</v>
      </c>
      <c r="T438" s="101" t="str">
        <f t="shared" si="44"/>
        <v>INV + 30</v>
      </c>
      <c r="V438" s="101" t="str">
        <f t="shared" si="45"/>
        <v>Active</v>
      </c>
      <c r="X438" s="101" t="str">
        <f t="shared" si="46"/>
        <v>One-off</v>
      </c>
      <c r="AC438" s="101" t="str">
        <f t="shared" si="49"/>
        <v>RON</v>
      </c>
      <c r="AD438" s="101">
        <f t="shared" si="50"/>
        <v>10000</v>
      </c>
    </row>
    <row r="439" spans="1:30">
      <c r="A439" s="101">
        <f t="shared" si="51"/>
        <v>13</v>
      </c>
      <c r="B439" s="101">
        <f t="shared" si="47"/>
        <v>6</v>
      </c>
      <c r="C439" s="101" t="str">
        <f t="shared" si="48"/>
        <v>T6</v>
      </c>
      <c r="D439" s="101" t="str">
        <f>IF(A439&lt;&gt;A438,VLOOKUP(A439,'Date SPV'!$A:$D,4,FALSE),D438)</f>
        <v>Targu Mures Shopping City SRL</v>
      </c>
      <c r="E439" s="101" t="str">
        <f>VLOOKUP(A439,'Date SPV'!$A$4:$B$34,2,FALSE)</f>
        <v>RTGU</v>
      </c>
      <c r="H439" s="105" t="s">
        <v>894</v>
      </c>
      <c r="K439" s="101" t="str">
        <f>VLOOKUP(C439,'Preturi si tarife'!$A$4:$B$39,2,FALSE)</f>
        <v xml:space="preserve">Servicii Sistem </v>
      </c>
      <c r="L439" s="102">
        <f>IF(B439=1,'Date masura OD'!$I$5,IF(B439=19,'Date masura OD'!$AK$5,L438))</f>
        <v>45778</v>
      </c>
      <c r="M439" s="102">
        <f>IF(B439=1,'Date masura OD'!$J$5,IF(B439=19,'Date masura OD'!$AL$5,M438))</f>
        <v>45808</v>
      </c>
      <c r="N439" s="104">
        <f>VLOOKUP(E439,verificare!$AR$4:$CC$33,B439+2,FALSE)</f>
        <v>670016</v>
      </c>
      <c r="O439" s="103">
        <f>HLOOKUP(VLOOKUP(E439,'Date SPV'!$B$4:$F$34,5,FALSE),'Preturi si tarife'!$C$2:$J$39,B439+2,FALSE)*10000</f>
        <v>115.1</v>
      </c>
      <c r="Q439" s="101" t="str">
        <f t="shared" si="43"/>
        <v>One-off</v>
      </c>
      <c r="R439" s="101" t="str">
        <f>VLOOKUP(K439,'Preturi si tarife'!$B$4:$K$39,10,FALSE)</f>
        <v>ICOENG0001</v>
      </c>
      <c r="T439" s="101" t="str">
        <f t="shared" si="44"/>
        <v>INV + 30</v>
      </c>
      <c r="V439" s="101" t="str">
        <f t="shared" si="45"/>
        <v>Active</v>
      </c>
      <c r="X439" s="101" t="str">
        <f t="shared" si="46"/>
        <v>One-off</v>
      </c>
      <c r="AC439" s="101" t="str">
        <f t="shared" si="49"/>
        <v>RON</v>
      </c>
      <c r="AD439" s="101">
        <f t="shared" si="50"/>
        <v>10000</v>
      </c>
    </row>
    <row r="440" spans="1:30">
      <c r="A440" s="101">
        <f t="shared" si="51"/>
        <v>13</v>
      </c>
      <c r="B440" s="101">
        <f t="shared" si="47"/>
        <v>7</v>
      </c>
      <c r="C440" s="101" t="str">
        <f t="shared" si="48"/>
        <v>T7</v>
      </c>
      <c r="D440" s="101" t="str">
        <f>IF(A440&lt;&gt;A439,VLOOKUP(A440,'Date SPV'!$A:$D,4,FALSE),D439)</f>
        <v>Targu Mures Shopping City SRL</v>
      </c>
      <c r="E440" s="101" t="str">
        <f>VLOOKUP(A440,'Date SPV'!$A$4:$B$34,2,FALSE)</f>
        <v>RTGU</v>
      </c>
      <c r="H440" s="105" t="s">
        <v>894</v>
      </c>
      <c r="K440" s="101" t="str">
        <f>VLOOKUP(C440,'Preturi si tarife'!$A$4:$B$39,2,FALSE)</f>
        <v>Tarif de introducere en. el in retea (TL)</v>
      </c>
      <c r="L440" s="102">
        <f>IF(B440=1,'Date masura OD'!$I$5,IF(B440=19,'Date masura OD'!$AK$5,L439))</f>
        <v>45778</v>
      </c>
      <c r="M440" s="102">
        <f>IF(B440=1,'Date masura OD'!$J$5,IF(B440=19,'Date masura OD'!$AL$5,M439))</f>
        <v>45808</v>
      </c>
      <c r="N440" s="104">
        <f>VLOOKUP(E440,verificare!$AR$4:$CC$33,B440+2,FALSE)</f>
        <v>670016</v>
      </c>
      <c r="O440" s="103">
        <f>HLOOKUP(VLOOKUP(E440,'Date SPV'!$B$4:$F$34,5,FALSE),'Preturi si tarife'!$C$2:$J$39,B440+2,FALSE)*10000</f>
        <v>330.3</v>
      </c>
      <c r="Q440" s="101" t="str">
        <f t="shared" si="43"/>
        <v>One-off</v>
      </c>
      <c r="R440" s="101" t="str">
        <f>VLOOKUP(K440,'Preturi si tarife'!$B$4:$K$39,10,FALSE)</f>
        <v>ICOENG0001</v>
      </c>
      <c r="T440" s="101" t="str">
        <f t="shared" si="44"/>
        <v>INV + 30</v>
      </c>
      <c r="V440" s="101" t="str">
        <f t="shared" si="45"/>
        <v>Active</v>
      </c>
      <c r="X440" s="101" t="str">
        <f t="shared" si="46"/>
        <v>One-off</v>
      </c>
      <c r="AC440" s="101" t="str">
        <f t="shared" si="49"/>
        <v>RON</v>
      </c>
      <c r="AD440" s="101">
        <f t="shared" si="50"/>
        <v>10000</v>
      </c>
    </row>
    <row r="441" spans="1:30">
      <c r="A441" s="101">
        <f t="shared" si="51"/>
        <v>13</v>
      </c>
      <c r="B441" s="101">
        <f t="shared" si="47"/>
        <v>8</v>
      </c>
      <c r="C441" s="101" t="str">
        <f t="shared" si="48"/>
        <v>T8</v>
      </c>
      <c r="D441" s="101" t="str">
        <f>IF(A441&lt;&gt;A440,VLOOKUP(A441,'Date SPV'!$A:$D,4,FALSE),D440)</f>
        <v>Targu Mures Shopping City SRL</v>
      </c>
      <c r="E441" s="101" t="str">
        <f>VLOOKUP(A441,'Date SPV'!$A$4:$B$34,2,FALSE)</f>
        <v>RTGU</v>
      </c>
      <c r="H441" s="105" t="s">
        <v>894</v>
      </c>
      <c r="K441" s="101" t="str">
        <f>VLOOKUP(C441,'Preturi si tarife'!$A$4:$B$39,2,FALSE)</f>
        <v>Tarif de introducere en.el in retea (TG)</v>
      </c>
      <c r="L441" s="102">
        <f>IF(B441=1,'Date masura OD'!$I$5,IF(B441=19,'Date masura OD'!$AK$5,L440))</f>
        <v>45778</v>
      </c>
      <c r="M441" s="102">
        <f>IF(B441=1,'Date masura OD'!$J$5,IF(B441=19,'Date masura OD'!$AL$5,M440))</f>
        <v>45808</v>
      </c>
      <c r="N441" s="104">
        <f>VLOOKUP(E441,verificare!$AR$4:$CC$33,B441+2,FALSE)</f>
        <v>670016</v>
      </c>
      <c r="O441" s="103">
        <f>HLOOKUP(VLOOKUP(E441,'Date SPV'!$B$4:$F$34,5,FALSE),'Preturi si tarife'!$C$2:$J$39,B441+2,FALSE)*10000</f>
        <v>32.9</v>
      </c>
      <c r="Q441" s="101" t="str">
        <f t="shared" si="43"/>
        <v>One-off</v>
      </c>
      <c r="R441" s="101" t="str">
        <f>VLOOKUP(K441,'Preturi si tarife'!$B$4:$K$39,10,FALSE)</f>
        <v>ICOENG0001</v>
      </c>
      <c r="T441" s="101" t="str">
        <f t="shared" si="44"/>
        <v>INV + 30</v>
      </c>
      <c r="V441" s="101" t="str">
        <f t="shared" si="45"/>
        <v>Active</v>
      </c>
      <c r="X441" s="101" t="str">
        <f t="shared" si="46"/>
        <v>One-off</v>
      </c>
      <c r="AC441" s="101" t="str">
        <f t="shared" si="49"/>
        <v>RON</v>
      </c>
      <c r="AD441" s="101">
        <f t="shared" si="50"/>
        <v>10000</v>
      </c>
    </row>
    <row r="442" spans="1:30">
      <c r="A442" s="101">
        <f t="shared" si="51"/>
        <v>13</v>
      </c>
      <c r="B442" s="101">
        <f t="shared" si="47"/>
        <v>9</v>
      </c>
      <c r="C442" s="101" t="str">
        <f t="shared" si="48"/>
        <v>T9</v>
      </c>
      <c r="D442" s="101" t="str">
        <f>IF(A442&lt;&gt;A441,VLOOKUP(A442,'Date SPV'!$A:$D,4,FALSE),D441)</f>
        <v>Targu Mures Shopping City SRL</v>
      </c>
      <c r="E442" s="101" t="str">
        <f>VLOOKUP(A442,'Date SPV'!$A$4:$B$34,2,FALSE)</f>
        <v>RTGU</v>
      </c>
      <c r="H442" s="105" t="s">
        <v>894</v>
      </c>
      <c r="K442" s="101" t="str">
        <f>VLOOKUP(C442,'Preturi si tarife'!$A$4:$B$39,2,FALSE)</f>
        <v>Contributie pentru cogenerare</v>
      </c>
      <c r="L442" s="102">
        <f>IF(B442=1,'Date masura OD'!$I$5,IF(B442=19,'Date masura OD'!$AK$5,L441))</f>
        <v>45778</v>
      </c>
      <c r="M442" s="102">
        <f>IF(B442=1,'Date masura OD'!$J$5,IF(B442=19,'Date masura OD'!$AL$5,M441))</f>
        <v>45808</v>
      </c>
      <c r="N442" s="104">
        <f>VLOOKUP(E442,verificare!$AR$4:$CC$33,B442+2,FALSE)</f>
        <v>670016</v>
      </c>
      <c r="O442" s="103">
        <f>HLOOKUP(VLOOKUP(E442,'Date SPV'!$B$4:$F$34,5,FALSE),'Preturi si tarife'!$C$2:$J$39,B442+2,FALSE)*10000</f>
        <v>35</v>
      </c>
      <c r="Q442" s="101" t="str">
        <f t="shared" si="43"/>
        <v>One-off</v>
      </c>
      <c r="R442" s="101" t="str">
        <f>VLOOKUP(K442,'Preturi si tarife'!$B$4:$K$39,10,FALSE)</f>
        <v>ICOENG0001</v>
      </c>
      <c r="T442" s="101" t="str">
        <f t="shared" si="44"/>
        <v>INV + 30</v>
      </c>
      <c r="V442" s="101" t="str">
        <f t="shared" si="45"/>
        <v>Active</v>
      </c>
      <c r="X442" s="101" t="str">
        <f t="shared" si="46"/>
        <v>One-off</v>
      </c>
      <c r="AC442" s="101" t="str">
        <f t="shared" si="49"/>
        <v>RON</v>
      </c>
      <c r="AD442" s="101">
        <f t="shared" si="50"/>
        <v>10000</v>
      </c>
    </row>
    <row r="443" spans="1:30">
      <c r="A443" s="101">
        <f t="shared" si="51"/>
        <v>13</v>
      </c>
      <c r="B443" s="101">
        <f t="shared" si="47"/>
        <v>10</v>
      </c>
      <c r="C443" s="101" t="str">
        <f t="shared" si="48"/>
        <v>T10</v>
      </c>
      <c r="D443" s="101" t="str">
        <f>IF(A443&lt;&gt;A442,VLOOKUP(A443,'Date SPV'!$A:$D,4,FALSE),D442)</f>
        <v>Targu Mures Shopping City SRL</v>
      </c>
      <c r="E443" s="101" t="str">
        <f>VLOOKUP(A443,'Date SPV'!$A$4:$B$34,2,FALSE)</f>
        <v>RTGU</v>
      </c>
      <c r="H443" s="105" t="s">
        <v>894</v>
      </c>
      <c r="K443" s="101" t="str">
        <f>VLOOKUP(C443,'Preturi si tarife'!$A$4:$B$39,2,FALSE)</f>
        <v xml:space="preserve">Certificate verzi </v>
      </c>
      <c r="L443" s="102">
        <f>IF(B443=1,'Date masura OD'!$I$5,IF(B443=19,'Date masura OD'!$AK$5,L442))</f>
        <v>45778</v>
      </c>
      <c r="M443" s="102">
        <f>IF(B443=1,'Date masura OD'!$J$5,IF(B443=19,'Date masura OD'!$AL$5,M442))</f>
        <v>45808</v>
      </c>
      <c r="N443" s="104">
        <f>VLOOKUP(E443,verificare!$AR$4:$CC$33,B443+2,FALSE)</f>
        <v>670016</v>
      </c>
      <c r="O443" s="103">
        <f>HLOOKUP(VLOOKUP(E443,'Date SPV'!$B$4:$F$34,5,FALSE),'Preturi si tarife'!$C$2:$J$39,B443+2,FALSE)*10000</f>
        <v>725.41599999999994</v>
      </c>
      <c r="Q443" s="101" t="str">
        <f t="shared" si="43"/>
        <v>One-off</v>
      </c>
      <c r="R443" s="101" t="str">
        <f>VLOOKUP(K443,'Preturi si tarife'!$B$4:$K$39,10,FALSE)</f>
        <v>ICOENG0001</v>
      </c>
      <c r="T443" s="101" t="str">
        <f t="shared" si="44"/>
        <v>INV + 30</v>
      </c>
      <c r="V443" s="101" t="str">
        <f t="shared" si="45"/>
        <v>Active</v>
      </c>
      <c r="X443" s="101" t="str">
        <f t="shared" si="46"/>
        <v>One-off</v>
      </c>
      <c r="AC443" s="101" t="str">
        <f t="shared" si="49"/>
        <v>RON</v>
      </c>
      <c r="AD443" s="101">
        <f t="shared" si="50"/>
        <v>10000</v>
      </c>
    </row>
    <row r="444" spans="1:30">
      <c r="A444" s="101">
        <f t="shared" si="51"/>
        <v>13</v>
      </c>
      <c r="B444" s="101">
        <f t="shared" si="47"/>
        <v>11</v>
      </c>
      <c r="C444" s="101" t="str">
        <f t="shared" si="48"/>
        <v>T11</v>
      </c>
      <c r="D444" s="101" t="str">
        <f>IF(A444&lt;&gt;A443,VLOOKUP(A444,'Date SPV'!$A:$D,4,FALSE),D443)</f>
        <v>Targu Mures Shopping City SRL</v>
      </c>
      <c r="E444" s="101" t="str">
        <f>VLOOKUP(A444,'Date SPV'!$A$4:$B$34,2,FALSE)</f>
        <v>RTGU</v>
      </c>
      <c r="H444" s="105" t="s">
        <v>894</v>
      </c>
      <c r="K444" s="101" t="str">
        <f>VLOOKUP(C444,'Preturi si tarife'!$A$4:$B$39,2,FALSE)</f>
        <v>Contributie CFD</v>
      </c>
      <c r="L444" s="102">
        <f>IF(B444=1,'Date masura OD'!$I$5,IF(B444=19,'Date masura OD'!$AK$5,L443))</f>
        <v>45778</v>
      </c>
      <c r="M444" s="102">
        <f>IF(B444=1,'Date masura OD'!$J$5,IF(B444=19,'Date masura OD'!$AL$5,M443))</f>
        <v>45808</v>
      </c>
      <c r="N444" s="104">
        <f>VLOOKUP(E444,verificare!$AR$4:$CC$33,B444+2,FALSE)</f>
        <v>670016</v>
      </c>
      <c r="O444" s="103">
        <f>HLOOKUP(VLOOKUP(E444,'Date SPV'!$B$4:$F$34,5,FALSE),'Preturi si tarife'!$C$2:$J$39,B444+2,FALSE)*10000</f>
        <v>2.06</v>
      </c>
      <c r="Q444" s="101" t="str">
        <f t="shared" ref="Q444:Q507" si="52">Q443</f>
        <v>One-off</v>
      </c>
      <c r="R444" s="101" t="str">
        <f>VLOOKUP(K444,'Preturi si tarife'!$B$4:$K$39,10,FALSE)</f>
        <v>ICOENG0001</v>
      </c>
      <c r="T444" s="101" t="str">
        <f t="shared" ref="T444:T507" si="53">T443</f>
        <v>INV + 30</v>
      </c>
      <c r="V444" s="101" t="str">
        <f t="shared" ref="V444:V507" si="54">V443</f>
        <v>Active</v>
      </c>
      <c r="X444" s="101" t="str">
        <f t="shared" ref="X444:X507" si="55">X443</f>
        <v>One-off</v>
      </c>
      <c r="AC444" s="101" t="str">
        <f t="shared" si="49"/>
        <v>RON</v>
      </c>
      <c r="AD444" s="101">
        <f t="shared" si="50"/>
        <v>10000</v>
      </c>
    </row>
    <row r="445" spans="1:30">
      <c r="A445" s="101">
        <f t="shared" si="51"/>
        <v>13</v>
      </c>
      <c r="B445" s="101">
        <f t="shared" ref="B445:B508" si="56">IF(A445&lt;&gt;A444,1,B444+1)</f>
        <v>12</v>
      </c>
      <c r="C445" s="101" t="str">
        <f t="shared" ref="C445:C508" si="57">_xlfn.CONCAT("T",B445)</f>
        <v>T12</v>
      </c>
      <c r="D445" s="101" t="str">
        <f>IF(A445&lt;&gt;A444,VLOOKUP(A445,'Date SPV'!$A:$D,4,FALSE),D444)</f>
        <v>Targu Mures Shopping City SRL</v>
      </c>
      <c r="E445" s="101" t="str">
        <f>VLOOKUP(A445,'Date SPV'!$A$4:$B$34,2,FALSE)</f>
        <v>RTGU</v>
      </c>
      <c r="H445" s="105" t="s">
        <v>894</v>
      </c>
      <c r="K445" s="101" t="str">
        <f>VLOOKUP(C445,'Preturi si tarife'!$A$4:$B$39,2,FALSE)</f>
        <v>Acciza</v>
      </c>
      <c r="L445" s="102">
        <f>IF(B445=1,'Date masura OD'!$I$5,IF(B445=19,'Date masura OD'!$AK$5,L444))</f>
        <v>45778</v>
      </c>
      <c r="M445" s="102">
        <f>IF(B445=1,'Date masura OD'!$J$5,IF(B445=19,'Date masura OD'!$AL$5,M444))</f>
        <v>45808</v>
      </c>
      <c r="N445" s="104">
        <f>VLOOKUP(E445,verificare!$AR$4:$CC$33,B445+2,FALSE)</f>
        <v>670016</v>
      </c>
      <c r="O445" s="103">
        <f>HLOOKUP(VLOOKUP(E445,'Date SPV'!$B$4:$F$34,5,FALSE),'Preturi si tarife'!$C$2:$J$39,B445+2,FALSE)*10000</f>
        <v>0</v>
      </c>
      <c r="Q445" s="101" t="str">
        <f t="shared" si="52"/>
        <v>One-off</v>
      </c>
      <c r="R445" s="101" t="str">
        <f>VLOOKUP(K445,'Preturi si tarife'!$B$4:$K$39,10,FALSE)</f>
        <v>ICOENG0001</v>
      </c>
      <c r="T445" s="101" t="str">
        <f t="shared" si="53"/>
        <v>INV + 30</v>
      </c>
      <c r="V445" s="101" t="str">
        <f t="shared" si="54"/>
        <v>Active</v>
      </c>
      <c r="X445" s="101" t="str">
        <f t="shared" si="55"/>
        <v>One-off</v>
      </c>
      <c r="AC445" s="101" t="str">
        <f t="shared" ref="AC445:AC508" si="58">AC444</f>
        <v>RON</v>
      </c>
      <c r="AD445" s="101">
        <f t="shared" ref="AD445:AD508" si="59">AD444</f>
        <v>10000</v>
      </c>
    </row>
    <row r="446" spans="1:30">
      <c r="A446" s="101">
        <f t="shared" si="51"/>
        <v>13</v>
      </c>
      <c r="B446" s="101">
        <f t="shared" si="56"/>
        <v>13</v>
      </c>
      <c r="C446" s="101" t="str">
        <f t="shared" si="57"/>
        <v>T13</v>
      </c>
      <c r="D446" s="101" t="str">
        <f>IF(A446&lt;&gt;A445,VLOOKUP(A446,'Date SPV'!$A:$D,4,FALSE),D445)</f>
        <v>Targu Mures Shopping City SRL</v>
      </c>
      <c r="E446" s="101" t="str">
        <f>VLOOKUP(A446,'Date SPV'!$A$4:$B$34,2,FALSE)</f>
        <v>RTGU</v>
      </c>
      <c r="H446" s="105" t="s">
        <v>894</v>
      </c>
      <c r="K446" s="101" t="str">
        <f>VLOOKUP(C446,'Preturi si tarife'!$A$4:$B$39,2,FALSE)</f>
        <v>Tarif distributie SDI MT</v>
      </c>
      <c r="L446" s="102">
        <f>IF(B446=1,'Date masura OD'!$I$5,IF(B446=19,'Date masura OD'!$AK$5,L445))</f>
        <v>45778</v>
      </c>
      <c r="M446" s="102">
        <f>IF(B446=1,'Date masura OD'!$J$5,IF(B446=19,'Date masura OD'!$AL$5,M445))</f>
        <v>45808</v>
      </c>
      <c r="N446" s="104">
        <f>VLOOKUP(E446,verificare!$AR$4:$CC$33,B446+2,FALSE)</f>
        <v>670016</v>
      </c>
      <c r="O446" s="103">
        <f>HLOOKUP(VLOOKUP(E446,'Date SPV'!$B$4:$F$34,5,FALSE),'Preturi si tarife'!$C$2:$J$39,B446+2,FALSE)*10000</f>
        <v>126</v>
      </c>
      <c r="Q446" s="101" t="str">
        <f t="shared" si="52"/>
        <v>One-off</v>
      </c>
      <c r="R446" s="101" t="str">
        <f>VLOOKUP(K446,'Preturi si tarife'!$B$4:$K$39,10,FALSE)</f>
        <v>ICOENG0010</v>
      </c>
      <c r="T446" s="101" t="str">
        <f t="shared" si="53"/>
        <v>INV + 30</v>
      </c>
      <c r="V446" s="101" t="str">
        <f t="shared" si="54"/>
        <v>Active</v>
      </c>
      <c r="X446" s="101" t="str">
        <f t="shared" si="55"/>
        <v>One-off</v>
      </c>
      <c r="AC446" s="101" t="str">
        <f t="shared" si="58"/>
        <v>RON</v>
      </c>
      <c r="AD446" s="101">
        <f t="shared" si="59"/>
        <v>10000</v>
      </c>
    </row>
    <row r="447" spans="1:30">
      <c r="A447" s="101">
        <f t="shared" si="51"/>
        <v>13</v>
      </c>
      <c r="B447" s="101">
        <f t="shared" si="56"/>
        <v>14</v>
      </c>
      <c r="C447" s="101" t="str">
        <f t="shared" si="57"/>
        <v>T14</v>
      </c>
      <c r="D447" s="101" t="str">
        <f>IF(A447&lt;&gt;A446,VLOOKUP(A447,'Date SPV'!$A:$D,4,FALSE),D446)</f>
        <v>Targu Mures Shopping City SRL</v>
      </c>
      <c r="E447" s="101" t="str">
        <f>VLOOKUP(A447,'Date SPV'!$A$4:$B$34,2,FALSE)</f>
        <v>RTGU</v>
      </c>
      <c r="H447" s="105" t="s">
        <v>894</v>
      </c>
      <c r="K447" s="101" t="str">
        <f>VLOOKUP(C447,'Preturi si tarife'!$A$4:$B$39,2,FALSE)</f>
        <v>Tarif distributie SDI JT</v>
      </c>
      <c r="L447" s="102">
        <f>IF(B447=1,'Date masura OD'!$I$5,IF(B447=19,'Date masura OD'!$AK$5,L446))</f>
        <v>45778</v>
      </c>
      <c r="M447" s="102">
        <f>IF(B447=1,'Date masura OD'!$J$5,IF(B447=19,'Date masura OD'!$AL$5,M446))</f>
        <v>45808</v>
      </c>
      <c r="N447" s="104">
        <f>VLOOKUP(E447,verificare!$AR$4:$CC$33,B447+2,FALSE)</f>
        <v>670016</v>
      </c>
      <c r="O447" s="103">
        <f>HLOOKUP(VLOOKUP(E447,'Date SPV'!$B$4:$F$34,5,FALSE),'Preturi si tarife'!$C$2:$J$39,B447+2,FALSE)*10000</f>
        <v>927</v>
      </c>
      <c r="Q447" s="101" t="str">
        <f t="shared" si="52"/>
        <v>One-off</v>
      </c>
      <c r="R447" s="101" t="str">
        <f>VLOOKUP(K447,'Preturi si tarife'!$B$4:$K$39,10,FALSE)</f>
        <v>ICOENG0010</v>
      </c>
      <c r="T447" s="101" t="str">
        <f t="shared" si="53"/>
        <v>INV + 30</v>
      </c>
      <c r="V447" s="101" t="str">
        <f t="shared" si="54"/>
        <v>Active</v>
      </c>
      <c r="X447" s="101" t="str">
        <f t="shared" si="55"/>
        <v>One-off</v>
      </c>
      <c r="AC447" s="101" t="str">
        <f t="shared" si="58"/>
        <v>RON</v>
      </c>
      <c r="AD447" s="101">
        <f t="shared" si="59"/>
        <v>10000</v>
      </c>
    </row>
    <row r="448" spans="1:30">
      <c r="A448" s="101">
        <f t="shared" si="51"/>
        <v>13</v>
      </c>
      <c r="B448" s="101">
        <f t="shared" si="56"/>
        <v>15</v>
      </c>
      <c r="C448" s="101" t="str">
        <f t="shared" si="57"/>
        <v>T15</v>
      </c>
      <c r="D448" s="101" t="str">
        <f>IF(A448&lt;&gt;A447,VLOOKUP(A448,'Date SPV'!$A:$D,4,FALSE),D447)</f>
        <v>Targu Mures Shopping City SRL</v>
      </c>
      <c r="E448" s="101" t="str">
        <f>VLOOKUP(A448,'Date SPV'!$A$4:$B$34,2,FALSE)</f>
        <v>RTGU</v>
      </c>
      <c r="H448" s="105" t="s">
        <v>894</v>
      </c>
      <c r="K448" s="101" t="str">
        <f>VLOOKUP(C448,'Preturi si tarife'!$A$4:$B$39,2,FALSE)</f>
        <v>Energie activa 2</v>
      </c>
      <c r="L448" s="102">
        <f>IF(B448=1,'Date masura OD'!$I$5,IF(B448=19,'Date masura OD'!$AK$5,L447))</f>
        <v>45778</v>
      </c>
      <c r="M448" s="102">
        <f>IF(B448=1,'Date masura OD'!$J$5,IF(B448=19,'Date masura OD'!$AL$5,M447))</f>
        <v>45808</v>
      </c>
      <c r="N448" s="104">
        <f>VLOOKUP(E448,verificare!$AR$4:$CC$33,B448+2,FALSE)</f>
        <v>42472</v>
      </c>
      <c r="O448" s="103">
        <f>HLOOKUP(VLOOKUP(E448,'Date SPV'!$B$4:$F$34,5,FALSE),'Preturi si tarife'!$C$2:$J$39,B448+2,FALSE)*10000</f>
        <v>9392.0760000000009</v>
      </c>
      <c r="Q448" s="101" t="str">
        <f t="shared" si="52"/>
        <v>One-off</v>
      </c>
      <c r="R448" s="101" t="str">
        <f>VLOOKUP(K448,'Preturi si tarife'!$B$4:$K$39,10,FALSE)</f>
        <v>ICOENG0012</v>
      </c>
      <c r="T448" s="101" t="str">
        <f t="shared" si="53"/>
        <v>INV + 30</v>
      </c>
      <c r="V448" s="101" t="str">
        <f t="shared" si="54"/>
        <v>Active</v>
      </c>
      <c r="X448" s="101" t="str">
        <f t="shared" si="55"/>
        <v>One-off</v>
      </c>
      <c r="AC448" s="101" t="str">
        <f t="shared" si="58"/>
        <v>RON</v>
      </c>
      <c r="AD448" s="101">
        <f t="shared" si="59"/>
        <v>10000</v>
      </c>
    </row>
    <row r="449" spans="1:30">
      <c r="A449" s="101">
        <f t="shared" si="51"/>
        <v>13</v>
      </c>
      <c r="B449" s="101">
        <f t="shared" si="56"/>
        <v>16</v>
      </c>
      <c r="C449" s="101" t="str">
        <f t="shared" si="57"/>
        <v>T16</v>
      </c>
      <c r="D449" s="101" t="str">
        <f>IF(A449&lt;&gt;A448,VLOOKUP(A449,'Date SPV'!$A:$D,4,FALSE),D448)</f>
        <v>Targu Mures Shopping City SRL</v>
      </c>
      <c r="E449" s="101" t="str">
        <f>VLOOKUP(A449,'Date SPV'!$A$4:$B$34,2,FALSE)</f>
        <v>RTGU</v>
      </c>
      <c r="H449" s="105" t="s">
        <v>894</v>
      </c>
      <c r="K449" s="101" t="str">
        <f>VLOOKUP(C449,'Preturi si tarife'!$A$4:$B$39,2,FALSE)</f>
        <v>Energie activa 3</v>
      </c>
      <c r="L449" s="102">
        <f>IF(B449=1,'Date masura OD'!$I$5,IF(B449=19,'Date masura OD'!$AK$5,L448))</f>
        <v>45778</v>
      </c>
      <c r="M449" s="102">
        <f>IF(B449=1,'Date masura OD'!$J$5,IF(B449=19,'Date masura OD'!$AL$5,M448))</f>
        <v>45808</v>
      </c>
      <c r="N449" s="104">
        <f>VLOOKUP(E449,verificare!$AR$4:$CC$33,B449+2,FALSE)</f>
        <v>0</v>
      </c>
      <c r="O449" s="103">
        <f>HLOOKUP(VLOOKUP(E449,'Date SPV'!$B$4:$F$34,5,FALSE),'Preturi si tarife'!$C$2:$J$39,B449+2,FALSE)*10000</f>
        <v>8339.0760000000009</v>
      </c>
      <c r="Q449" s="101" t="str">
        <f t="shared" si="52"/>
        <v>One-off</v>
      </c>
      <c r="R449" s="101" t="str">
        <f>VLOOKUP(K449,'Preturi si tarife'!$B$4:$K$39,10,FALSE)</f>
        <v>ICOENG0012</v>
      </c>
      <c r="T449" s="101" t="str">
        <f t="shared" si="53"/>
        <v>INV + 30</v>
      </c>
      <c r="V449" s="101" t="str">
        <f t="shared" si="54"/>
        <v>Active</v>
      </c>
      <c r="X449" s="101" t="str">
        <f t="shared" si="55"/>
        <v>One-off</v>
      </c>
      <c r="AC449" s="101" t="str">
        <f t="shared" si="58"/>
        <v>RON</v>
      </c>
      <c r="AD449" s="101">
        <f t="shared" si="59"/>
        <v>10000</v>
      </c>
    </row>
    <row r="450" spans="1:30">
      <c r="A450" s="101">
        <f t="shared" si="51"/>
        <v>13</v>
      </c>
      <c r="B450" s="101">
        <f t="shared" si="56"/>
        <v>17</v>
      </c>
      <c r="C450" s="101" t="str">
        <f t="shared" si="57"/>
        <v>T17</v>
      </c>
      <c r="D450" s="101" t="str">
        <f>IF(A450&lt;&gt;A449,VLOOKUP(A450,'Date SPV'!$A:$D,4,FALSE),D449)</f>
        <v>Targu Mures Shopping City SRL</v>
      </c>
      <c r="E450" s="101" t="str">
        <f>VLOOKUP(A450,'Date SPV'!$A$4:$B$34,2,FALSE)</f>
        <v>RTGU</v>
      </c>
      <c r="H450" s="105" t="s">
        <v>894</v>
      </c>
      <c r="K450" s="101" t="str">
        <f>VLOOKUP(C450,'Preturi si tarife'!$A$4:$B$39,2,FALSE)</f>
        <v>Tarif distributie SDI MT_</v>
      </c>
      <c r="L450" s="102">
        <f>IF(B450=1,'Date masura OD'!$I$5,IF(B450=19,'Date masura OD'!$AK$5,L449))</f>
        <v>45778</v>
      </c>
      <c r="M450" s="102">
        <f>IF(B450=1,'Date masura OD'!$J$5,IF(B450=19,'Date masura OD'!$AL$5,M449))</f>
        <v>45808</v>
      </c>
      <c r="N450" s="104">
        <f>VLOOKUP(E450,verificare!$AR$4:$CC$33,B450+2,FALSE)</f>
        <v>0</v>
      </c>
      <c r="O450" s="103">
        <f>HLOOKUP(VLOOKUP(E450,'Date SPV'!$B$4:$F$34,5,FALSE),'Preturi si tarife'!$C$2:$J$39,B450+2,FALSE)*10000</f>
        <v>126</v>
      </c>
      <c r="Q450" s="101" t="str">
        <f t="shared" si="52"/>
        <v>One-off</v>
      </c>
      <c r="R450" s="101" t="str">
        <f>VLOOKUP(K450,'Preturi si tarife'!$B$4:$K$39,10,FALSE)</f>
        <v>ICOENG0010</v>
      </c>
      <c r="T450" s="101" t="str">
        <f t="shared" si="53"/>
        <v>INV + 30</v>
      </c>
      <c r="V450" s="101" t="str">
        <f t="shared" si="54"/>
        <v>Active</v>
      </c>
      <c r="X450" s="101" t="str">
        <f t="shared" si="55"/>
        <v>One-off</v>
      </c>
      <c r="AC450" s="101" t="str">
        <f t="shared" si="58"/>
        <v>RON</v>
      </c>
      <c r="AD450" s="101">
        <f t="shared" si="59"/>
        <v>10000</v>
      </c>
    </row>
    <row r="451" spans="1:30">
      <c r="A451" s="101">
        <f t="shared" si="51"/>
        <v>13</v>
      </c>
      <c r="B451" s="101">
        <f t="shared" si="56"/>
        <v>18</v>
      </c>
      <c r="C451" s="101" t="str">
        <f t="shared" si="57"/>
        <v>T18</v>
      </c>
      <c r="D451" s="101" t="str">
        <f>IF(A451&lt;&gt;A450,VLOOKUP(A451,'Date SPV'!$A:$D,4,FALSE),D450)</f>
        <v>Targu Mures Shopping City SRL</v>
      </c>
      <c r="E451" s="101" t="str">
        <f>VLOOKUP(A451,'Date SPV'!$A$4:$B$34,2,FALSE)</f>
        <v>RTGU</v>
      </c>
      <c r="H451" s="105" t="s">
        <v>894</v>
      </c>
      <c r="K451" s="101" t="str">
        <f>VLOOKUP(C451,'Preturi si tarife'!$A$4:$B$39,2,FALSE)</f>
        <v>Tarif distributie SDI JT_</v>
      </c>
      <c r="L451" s="102">
        <f>IF(B451=1,'Date masura OD'!$I$5,IF(B451=19,'Date masura OD'!$AK$5,L450))</f>
        <v>45778</v>
      </c>
      <c r="M451" s="102">
        <f>IF(B451=1,'Date masura OD'!$J$5,IF(B451=19,'Date masura OD'!$AL$5,M450))</f>
        <v>45808</v>
      </c>
      <c r="N451" s="104">
        <f>VLOOKUP(E451,verificare!$AR$4:$CC$33,B451+2,FALSE)</f>
        <v>0</v>
      </c>
      <c r="O451" s="103">
        <f>HLOOKUP(VLOOKUP(E451,'Date SPV'!$B$4:$F$34,5,FALSE),'Preturi si tarife'!$C$2:$J$39,B451+2,FALSE)*10000</f>
        <v>927</v>
      </c>
      <c r="Q451" s="101" t="str">
        <f t="shared" si="52"/>
        <v>One-off</v>
      </c>
      <c r="R451" s="101" t="str">
        <f>VLOOKUP(K451,'Preturi si tarife'!$B$4:$K$39,10,FALSE)</f>
        <v>ICOENG0010</v>
      </c>
      <c r="T451" s="101" t="str">
        <f t="shared" si="53"/>
        <v>INV + 30</v>
      </c>
      <c r="V451" s="101" t="str">
        <f t="shared" si="54"/>
        <v>Active</v>
      </c>
      <c r="X451" s="101" t="str">
        <f t="shared" si="55"/>
        <v>One-off</v>
      </c>
      <c r="AC451" s="101" t="str">
        <f t="shared" si="58"/>
        <v>RON</v>
      </c>
      <c r="AD451" s="101">
        <f t="shared" si="59"/>
        <v>10000</v>
      </c>
    </row>
    <row r="452" spans="1:30">
      <c r="A452" s="101">
        <f t="shared" ref="A452:A515" si="60">IF(B451=36,A451+1,A451)</f>
        <v>13</v>
      </c>
      <c r="B452" s="101">
        <f t="shared" si="56"/>
        <v>19</v>
      </c>
      <c r="C452" s="101" t="str">
        <f t="shared" si="57"/>
        <v>T19</v>
      </c>
      <c r="D452" s="101" t="str">
        <f>IF(A452&lt;&gt;A451,VLOOKUP(A452,'Date SPV'!$A:$D,4,FALSE),D451)</f>
        <v>Targu Mures Shopping City SRL</v>
      </c>
      <c r="E452" s="101" t="str">
        <f>VLOOKUP(A452,'Date SPV'!$A$4:$B$34,2,FALSE)</f>
        <v>RTGU</v>
      </c>
      <c r="H452" s="105" t="s">
        <v>894</v>
      </c>
      <c r="K452" s="101" t="str">
        <f>VLOOKUP(C452,'Preturi si tarife'!$A$4:$B$39,2,FALSE)</f>
        <v>Regularizare Energie activa 1</v>
      </c>
      <c r="L452" s="102">
        <f>IF(B452=1,'Date masura OD'!$I$5,IF(B452=19,'Date masura OD'!$AK$5,L451))</f>
        <v>45748</v>
      </c>
      <c r="M452" s="102">
        <f>IF(B452=1,'Date masura OD'!$J$5,IF(B452=19,'Date masura OD'!$AL$5,M451))</f>
        <v>45777</v>
      </c>
      <c r="N452" s="104">
        <f>VLOOKUP(E452,verificare!$AR$4:$CC$33,B452+2,FALSE)</f>
        <v>0</v>
      </c>
      <c r="O452" s="103">
        <f>HLOOKUP(VLOOKUP(E452,'Date SPV'!$B$4:$F$34,5,FALSE),'Preturi si tarife'!$C$2:$J$39,B452+2,FALSE)*10000</f>
        <v>5950</v>
      </c>
      <c r="Q452" s="101" t="str">
        <f t="shared" si="52"/>
        <v>One-off</v>
      </c>
      <c r="R452" s="101" t="str">
        <f>VLOOKUP(K452,'Preturi si tarife'!$B$4:$K$39,10,FALSE)</f>
        <v>ICOENG0001</v>
      </c>
      <c r="T452" s="101" t="str">
        <f t="shared" si="53"/>
        <v>INV + 30</v>
      </c>
      <c r="V452" s="101" t="str">
        <f t="shared" si="54"/>
        <v>Active</v>
      </c>
      <c r="X452" s="101" t="str">
        <f t="shared" si="55"/>
        <v>One-off</v>
      </c>
      <c r="AC452" s="101" t="str">
        <f t="shared" si="58"/>
        <v>RON</v>
      </c>
      <c r="AD452" s="101">
        <f t="shared" si="59"/>
        <v>10000</v>
      </c>
    </row>
    <row r="453" spans="1:30">
      <c r="A453" s="101">
        <f t="shared" si="60"/>
        <v>13</v>
      </c>
      <c r="B453" s="101">
        <f t="shared" si="56"/>
        <v>20</v>
      </c>
      <c r="C453" s="101" t="str">
        <f t="shared" si="57"/>
        <v>T20</v>
      </c>
      <c r="D453" s="101" t="str">
        <f>IF(A453&lt;&gt;A452,VLOOKUP(A453,'Date SPV'!$A:$D,4,FALSE),D452)</f>
        <v>Targu Mures Shopping City SRL</v>
      </c>
      <c r="E453" s="101" t="str">
        <f>VLOOKUP(A453,'Date SPV'!$A$4:$B$34,2,FALSE)</f>
        <v>RTGU</v>
      </c>
      <c r="H453" s="105" t="s">
        <v>894</v>
      </c>
      <c r="K453" s="101" t="str">
        <f>VLOOKUP(C453,'Preturi si tarife'!$A$4:$B$39,2,FALSE)</f>
        <v>Regularizare Energie reactiva  1X</v>
      </c>
      <c r="L453" s="102">
        <f>IF(B453=1,'Date masura OD'!$I$5,IF(B453=19,'Date masura OD'!$AK$5,L452))</f>
        <v>45748</v>
      </c>
      <c r="M453" s="102">
        <f>IF(B453=1,'Date masura OD'!$J$5,IF(B453=19,'Date masura OD'!$AL$5,M452))</f>
        <v>45777</v>
      </c>
      <c r="N453" s="104">
        <f>VLOOKUP(E453,verificare!$AR$4:$CC$33,B453+2,FALSE)</f>
        <v>0</v>
      </c>
      <c r="O453" s="103">
        <f>HLOOKUP(VLOOKUP(E453,'Date SPV'!$B$4:$F$34,5,FALSE),'Preturi si tarife'!$C$2:$J$39,B453+2,FALSE)*10000</f>
        <v>1465</v>
      </c>
      <c r="Q453" s="101" t="str">
        <f t="shared" si="52"/>
        <v>One-off</v>
      </c>
      <c r="R453" s="101" t="str">
        <f>VLOOKUP(K453,'Preturi si tarife'!$B$4:$K$39,10,FALSE)</f>
        <v>ICOENG0001</v>
      </c>
      <c r="T453" s="101" t="str">
        <f t="shared" si="53"/>
        <v>INV + 30</v>
      </c>
      <c r="V453" s="101" t="str">
        <f t="shared" si="54"/>
        <v>Active</v>
      </c>
      <c r="X453" s="101" t="str">
        <f t="shared" si="55"/>
        <v>One-off</v>
      </c>
      <c r="AC453" s="101" t="str">
        <f t="shared" si="58"/>
        <v>RON</v>
      </c>
      <c r="AD453" s="101">
        <f t="shared" si="59"/>
        <v>10000</v>
      </c>
    </row>
    <row r="454" spans="1:30">
      <c r="A454" s="101">
        <f t="shared" si="60"/>
        <v>13</v>
      </c>
      <c r="B454" s="101">
        <f t="shared" si="56"/>
        <v>21</v>
      </c>
      <c r="C454" s="101" t="str">
        <f t="shared" si="57"/>
        <v>T21</v>
      </c>
      <c r="D454" s="101" t="str">
        <f>IF(A454&lt;&gt;A453,VLOOKUP(A454,'Date SPV'!$A:$D,4,FALSE),D453)</f>
        <v>Targu Mures Shopping City SRL</v>
      </c>
      <c r="E454" s="101" t="str">
        <f>VLOOKUP(A454,'Date SPV'!$A$4:$B$34,2,FALSE)</f>
        <v>RTGU</v>
      </c>
      <c r="H454" s="105" t="s">
        <v>894</v>
      </c>
      <c r="K454" s="101" t="str">
        <f>VLOOKUP(C454,'Preturi si tarife'!$A$4:$B$39,2,FALSE)</f>
        <v>Regularizare Energie reactiva  3X</v>
      </c>
      <c r="L454" s="102">
        <f>IF(B454=1,'Date masura OD'!$I$5,IF(B454=19,'Date masura OD'!$AK$5,L453))</f>
        <v>45748</v>
      </c>
      <c r="M454" s="102">
        <f>IF(B454=1,'Date masura OD'!$J$5,IF(B454=19,'Date masura OD'!$AL$5,M453))</f>
        <v>45777</v>
      </c>
      <c r="N454" s="104">
        <f>VLOOKUP(E454,verificare!$AR$4:$CC$33,B454+2,FALSE)</f>
        <v>0</v>
      </c>
      <c r="O454" s="103">
        <f>HLOOKUP(VLOOKUP(E454,'Date SPV'!$B$4:$F$34,5,FALSE),'Preturi si tarife'!$C$2:$J$39,B454+2,FALSE)*10000</f>
        <v>4395</v>
      </c>
      <c r="Q454" s="101" t="str">
        <f t="shared" si="52"/>
        <v>One-off</v>
      </c>
      <c r="R454" s="101" t="str">
        <f>VLOOKUP(K454,'Preturi si tarife'!$B$4:$K$39,10,FALSE)</f>
        <v>ICOENG0001</v>
      </c>
      <c r="T454" s="101" t="str">
        <f t="shared" si="53"/>
        <v>INV + 30</v>
      </c>
      <c r="V454" s="101" t="str">
        <f t="shared" si="54"/>
        <v>Active</v>
      </c>
      <c r="X454" s="101" t="str">
        <f t="shared" si="55"/>
        <v>One-off</v>
      </c>
      <c r="AC454" s="101" t="str">
        <f t="shared" si="58"/>
        <v>RON</v>
      </c>
      <c r="AD454" s="101">
        <f t="shared" si="59"/>
        <v>10000</v>
      </c>
    </row>
    <row r="455" spans="1:30">
      <c r="A455" s="101">
        <f t="shared" si="60"/>
        <v>13</v>
      </c>
      <c r="B455" s="101">
        <f t="shared" si="56"/>
        <v>22</v>
      </c>
      <c r="C455" s="101" t="str">
        <f t="shared" si="57"/>
        <v>T22</v>
      </c>
      <c r="D455" s="101" t="str">
        <f>IF(A455&lt;&gt;A454,VLOOKUP(A455,'Date SPV'!$A:$D,4,FALSE),D454)</f>
        <v>Targu Mures Shopping City SRL</v>
      </c>
      <c r="E455" s="101" t="str">
        <f>VLOOKUP(A455,'Date SPV'!$A$4:$B$34,2,FALSE)</f>
        <v>RTGU</v>
      </c>
      <c r="H455" s="105" t="s">
        <v>894</v>
      </c>
      <c r="K455" s="101" t="str">
        <f>VLOOKUP(C455,'Preturi si tarife'!$A$4:$B$39,2,FALSE)</f>
        <v>Regularizare Tarife distributie en. El IT+MT</v>
      </c>
      <c r="L455" s="102">
        <f>IF(B455=1,'Date masura OD'!$I$5,IF(B455=19,'Date masura OD'!$AK$5,L454))</f>
        <v>45748</v>
      </c>
      <c r="M455" s="102">
        <f>IF(B455=1,'Date masura OD'!$J$5,IF(B455=19,'Date masura OD'!$AL$5,M454))</f>
        <v>45777</v>
      </c>
      <c r="N455" s="104">
        <f>VLOOKUP(E455,verificare!$AR$4:$CC$33,B455+2,FALSE)</f>
        <v>0</v>
      </c>
      <c r="O455" s="103">
        <f>HLOOKUP(VLOOKUP(E455,'Date SPV'!$B$4:$F$34,5,FALSE),'Preturi si tarife'!$C$2:$J$39,B455+2,FALSE)*10000</f>
        <v>1148.3</v>
      </c>
      <c r="Q455" s="101" t="str">
        <f t="shared" si="52"/>
        <v>One-off</v>
      </c>
      <c r="R455" s="101" t="str">
        <f>VLOOKUP(K455,'Preturi si tarife'!$B$4:$K$39,10,FALSE)</f>
        <v>ICOENG0001</v>
      </c>
      <c r="T455" s="101" t="str">
        <f t="shared" si="53"/>
        <v>INV + 30</v>
      </c>
      <c r="V455" s="101" t="str">
        <f t="shared" si="54"/>
        <v>Active</v>
      </c>
      <c r="X455" s="101" t="str">
        <f t="shared" si="55"/>
        <v>One-off</v>
      </c>
      <c r="AC455" s="101" t="str">
        <f t="shared" si="58"/>
        <v>RON</v>
      </c>
      <c r="AD455" s="101">
        <f t="shared" si="59"/>
        <v>10000</v>
      </c>
    </row>
    <row r="456" spans="1:30">
      <c r="A456" s="101">
        <f t="shared" si="60"/>
        <v>13</v>
      </c>
      <c r="B456" s="101">
        <f t="shared" si="56"/>
        <v>23</v>
      </c>
      <c r="C456" s="101" t="str">
        <f t="shared" si="57"/>
        <v>T23</v>
      </c>
      <c r="D456" s="101" t="str">
        <f>IF(A456&lt;&gt;A455,VLOOKUP(A456,'Date SPV'!$A:$D,4,FALSE),D455)</f>
        <v>Targu Mures Shopping City SRL</v>
      </c>
      <c r="E456" s="101" t="str">
        <f>VLOOKUP(A456,'Date SPV'!$A$4:$B$34,2,FALSE)</f>
        <v>RTGU</v>
      </c>
      <c r="H456" s="105" t="s">
        <v>894</v>
      </c>
      <c r="K456" s="101" t="str">
        <f>VLOOKUP(C456,'Preturi si tarife'!$A$4:$B$39,2,FALSE)</f>
        <v>Regularizare Tarife distributie en. El JT</v>
      </c>
      <c r="L456" s="102">
        <f>IF(B456=1,'Date masura OD'!$I$5,IF(B456=19,'Date masura OD'!$AK$5,L455))</f>
        <v>45748</v>
      </c>
      <c r="M456" s="102">
        <f>IF(B456=1,'Date masura OD'!$J$5,IF(B456=19,'Date masura OD'!$AL$5,M455))</f>
        <v>45777</v>
      </c>
      <c r="N456" s="104">
        <f>VLOOKUP(E456,verificare!$AR$4:$CC$33,B456+2,FALSE)</f>
        <v>0</v>
      </c>
      <c r="O456" s="103">
        <f>HLOOKUP(VLOOKUP(E456,'Date SPV'!$B$4:$F$34,5,FALSE),'Preturi si tarife'!$C$2:$J$39,B456+2,FALSE)*10000</f>
        <v>2361</v>
      </c>
      <c r="Q456" s="101" t="str">
        <f t="shared" si="52"/>
        <v>One-off</v>
      </c>
      <c r="R456" s="101" t="str">
        <f>VLOOKUP(K456,'Preturi si tarife'!$B$4:$K$39,10,FALSE)</f>
        <v>ICOENG0001</v>
      </c>
      <c r="T456" s="101" t="str">
        <f t="shared" si="53"/>
        <v>INV + 30</v>
      </c>
      <c r="V456" s="101" t="str">
        <f t="shared" si="54"/>
        <v>Active</v>
      </c>
      <c r="X456" s="101" t="str">
        <f t="shared" si="55"/>
        <v>One-off</v>
      </c>
      <c r="AC456" s="101" t="str">
        <f t="shared" si="58"/>
        <v>RON</v>
      </c>
      <c r="AD456" s="101">
        <f t="shared" si="59"/>
        <v>10000</v>
      </c>
    </row>
    <row r="457" spans="1:30">
      <c r="A457" s="101">
        <f t="shared" si="60"/>
        <v>13</v>
      </c>
      <c r="B457" s="101">
        <f t="shared" si="56"/>
        <v>24</v>
      </c>
      <c r="C457" s="101" t="str">
        <f t="shared" si="57"/>
        <v>T24</v>
      </c>
      <c r="D457" s="101" t="str">
        <f>IF(A457&lt;&gt;A456,VLOOKUP(A457,'Date SPV'!$A:$D,4,FALSE),D456)</f>
        <v>Targu Mures Shopping City SRL</v>
      </c>
      <c r="E457" s="101" t="str">
        <f>VLOOKUP(A457,'Date SPV'!$A$4:$B$34,2,FALSE)</f>
        <v>RTGU</v>
      </c>
      <c r="H457" s="105" t="s">
        <v>894</v>
      </c>
      <c r="K457" s="101" t="str">
        <f>VLOOKUP(C457,'Preturi si tarife'!$A$4:$B$39,2,FALSE)</f>
        <v xml:space="preserve">Regularizare Servicii Sistem </v>
      </c>
      <c r="L457" s="102">
        <f>IF(B457=1,'Date masura OD'!$I$5,IF(B457=19,'Date masura OD'!$AK$5,L456))</f>
        <v>45748</v>
      </c>
      <c r="M457" s="102">
        <f>IF(B457=1,'Date masura OD'!$J$5,IF(B457=19,'Date masura OD'!$AL$5,M456))</f>
        <v>45777</v>
      </c>
      <c r="N457" s="104">
        <f>VLOOKUP(E457,verificare!$AR$4:$CC$33,B457+2,FALSE)</f>
        <v>0</v>
      </c>
      <c r="O457" s="103">
        <f>HLOOKUP(VLOOKUP(E457,'Date SPV'!$B$4:$F$34,5,FALSE),'Preturi si tarife'!$C$2:$J$39,B457+2,FALSE)*10000</f>
        <v>115.1</v>
      </c>
      <c r="Q457" s="101" t="str">
        <f t="shared" si="52"/>
        <v>One-off</v>
      </c>
      <c r="R457" s="101" t="str">
        <f>VLOOKUP(K457,'Preturi si tarife'!$B$4:$K$39,10,FALSE)</f>
        <v>ICOENG0001</v>
      </c>
      <c r="T457" s="101" t="str">
        <f t="shared" si="53"/>
        <v>INV + 30</v>
      </c>
      <c r="V457" s="101" t="str">
        <f t="shared" si="54"/>
        <v>Active</v>
      </c>
      <c r="X457" s="101" t="str">
        <f t="shared" si="55"/>
        <v>One-off</v>
      </c>
      <c r="AC457" s="101" t="str">
        <f t="shared" si="58"/>
        <v>RON</v>
      </c>
      <c r="AD457" s="101">
        <f t="shared" si="59"/>
        <v>10000</v>
      </c>
    </row>
    <row r="458" spans="1:30">
      <c r="A458" s="101">
        <f t="shared" si="60"/>
        <v>13</v>
      </c>
      <c r="B458" s="101">
        <f t="shared" si="56"/>
        <v>25</v>
      </c>
      <c r="C458" s="101" t="str">
        <f t="shared" si="57"/>
        <v>T25</v>
      </c>
      <c r="D458" s="101" t="str">
        <f>IF(A458&lt;&gt;A457,VLOOKUP(A458,'Date SPV'!$A:$D,4,FALSE),D457)</f>
        <v>Targu Mures Shopping City SRL</v>
      </c>
      <c r="E458" s="101" t="str">
        <f>VLOOKUP(A458,'Date SPV'!$A$4:$B$34,2,FALSE)</f>
        <v>RTGU</v>
      </c>
      <c r="H458" s="105" t="s">
        <v>894</v>
      </c>
      <c r="K458" s="101" t="str">
        <f>VLOOKUP(C458,'Preturi si tarife'!$A$4:$B$39,2,FALSE)</f>
        <v>Regularizare Tarif de introducere en. el in retea (TL)</v>
      </c>
      <c r="L458" s="102">
        <f>IF(B458=1,'Date masura OD'!$I$5,IF(B458=19,'Date masura OD'!$AK$5,L457))</f>
        <v>45748</v>
      </c>
      <c r="M458" s="102">
        <f>IF(B458=1,'Date masura OD'!$J$5,IF(B458=19,'Date masura OD'!$AL$5,M457))</f>
        <v>45777</v>
      </c>
      <c r="N458" s="104">
        <f>VLOOKUP(E458,verificare!$AR$4:$CC$33,B458+2,FALSE)</f>
        <v>0</v>
      </c>
      <c r="O458" s="103">
        <f>HLOOKUP(VLOOKUP(E458,'Date SPV'!$B$4:$F$34,5,FALSE),'Preturi si tarife'!$C$2:$J$39,B458+2,FALSE)*10000</f>
        <v>330.3</v>
      </c>
      <c r="Q458" s="101" t="str">
        <f t="shared" si="52"/>
        <v>One-off</v>
      </c>
      <c r="R458" s="101" t="str">
        <f>VLOOKUP(K458,'Preturi si tarife'!$B$4:$K$39,10,FALSE)</f>
        <v>ICOENG0001</v>
      </c>
      <c r="T458" s="101" t="str">
        <f t="shared" si="53"/>
        <v>INV + 30</v>
      </c>
      <c r="V458" s="101" t="str">
        <f t="shared" si="54"/>
        <v>Active</v>
      </c>
      <c r="X458" s="101" t="str">
        <f t="shared" si="55"/>
        <v>One-off</v>
      </c>
      <c r="AC458" s="101" t="str">
        <f t="shared" si="58"/>
        <v>RON</v>
      </c>
      <c r="AD458" s="101">
        <f t="shared" si="59"/>
        <v>10000</v>
      </c>
    </row>
    <row r="459" spans="1:30">
      <c r="A459" s="101">
        <f t="shared" si="60"/>
        <v>13</v>
      </c>
      <c r="B459" s="101">
        <f t="shared" si="56"/>
        <v>26</v>
      </c>
      <c r="C459" s="101" t="str">
        <f t="shared" si="57"/>
        <v>T26</v>
      </c>
      <c r="D459" s="101" t="str">
        <f>IF(A459&lt;&gt;A458,VLOOKUP(A459,'Date SPV'!$A:$D,4,FALSE),D458)</f>
        <v>Targu Mures Shopping City SRL</v>
      </c>
      <c r="E459" s="101" t="str">
        <f>VLOOKUP(A459,'Date SPV'!$A$4:$B$34,2,FALSE)</f>
        <v>RTGU</v>
      </c>
      <c r="H459" s="105" t="s">
        <v>894</v>
      </c>
      <c r="K459" s="101" t="str">
        <f>VLOOKUP(C459,'Preturi si tarife'!$A$4:$B$39,2,FALSE)</f>
        <v>Regularizare Tarif de introducere en.el in retea (TG)</v>
      </c>
      <c r="L459" s="102">
        <f>IF(B459=1,'Date masura OD'!$I$5,IF(B459=19,'Date masura OD'!$AK$5,L458))</f>
        <v>45748</v>
      </c>
      <c r="M459" s="102">
        <f>IF(B459=1,'Date masura OD'!$J$5,IF(B459=19,'Date masura OD'!$AL$5,M458))</f>
        <v>45777</v>
      </c>
      <c r="N459" s="104">
        <f>VLOOKUP(E459,verificare!$AR$4:$CC$33,B459+2,FALSE)</f>
        <v>0</v>
      </c>
      <c r="O459" s="103">
        <f>HLOOKUP(VLOOKUP(E459,'Date SPV'!$B$4:$F$34,5,FALSE),'Preturi si tarife'!$C$2:$J$39,B459+2,FALSE)*10000</f>
        <v>32.9</v>
      </c>
      <c r="Q459" s="101" t="str">
        <f t="shared" si="52"/>
        <v>One-off</v>
      </c>
      <c r="R459" s="101" t="str">
        <f>VLOOKUP(K459,'Preturi si tarife'!$B$4:$K$39,10,FALSE)</f>
        <v>ICOENG0001</v>
      </c>
      <c r="T459" s="101" t="str">
        <f t="shared" si="53"/>
        <v>INV + 30</v>
      </c>
      <c r="V459" s="101" t="str">
        <f t="shared" si="54"/>
        <v>Active</v>
      </c>
      <c r="X459" s="101" t="str">
        <f t="shared" si="55"/>
        <v>One-off</v>
      </c>
      <c r="AC459" s="101" t="str">
        <f t="shared" si="58"/>
        <v>RON</v>
      </c>
      <c r="AD459" s="101">
        <f t="shared" si="59"/>
        <v>10000</v>
      </c>
    </row>
    <row r="460" spans="1:30">
      <c r="A460" s="101">
        <f t="shared" si="60"/>
        <v>13</v>
      </c>
      <c r="B460" s="101">
        <f t="shared" si="56"/>
        <v>27</v>
      </c>
      <c r="C460" s="101" t="str">
        <f t="shared" si="57"/>
        <v>T27</v>
      </c>
      <c r="D460" s="101" t="str">
        <f>IF(A460&lt;&gt;A459,VLOOKUP(A460,'Date SPV'!$A:$D,4,FALSE),D459)</f>
        <v>Targu Mures Shopping City SRL</v>
      </c>
      <c r="E460" s="101" t="str">
        <f>VLOOKUP(A460,'Date SPV'!$A$4:$B$34,2,FALSE)</f>
        <v>RTGU</v>
      </c>
      <c r="H460" s="105" t="s">
        <v>894</v>
      </c>
      <c r="K460" s="101" t="str">
        <f>VLOOKUP(C460,'Preturi si tarife'!$A$4:$B$39,2,FALSE)</f>
        <v>Regularizare Contributie pentru cogenerare</v>
      </c>
      <c r="L460" s="102">
        <f>IF(B460=1,'Date masura OD'!$I$5,IF(B460=19,'Date masura OD'!$AK$5,L459))</f>
        <v>45748</v>
      </c>
      <c r="M460" s="102">
        <f>IF(B460=1,'Date masura OD'!$J$5,IF(B460=19,'Date masura OD'!$AL$5,M459))</f>
        <v>45777</v>
      </c>
      <c r="N460" s="104">
        <f>VLOOKUP(E460,verificare!$AR$4:$CC$33,B460+2,FALSE)</f>
        <v>0</v>
      </c>
      <c r="O460" s="103">
        <f>HLOOKUP(VLOOKUP(E460,'Date SPV'!$B$4:$F$34,5,FALSE),'Preturi si tarife'!$C$2:$J$39,B460+2,FALSE)*10000</f>
        <v>35</v>
      </c>
      <c r="Q460" s="101" t="str">
        <f t="shared" si="52"/>
        <v>One-off</v>
      </c>
      <c r="R460" s="101" t="str">
        <f>VLOOKUP(K460,'Preturi si tarife'!$B$4:$K$39,10,FALSE)</f>
        <v>ICOENG0001</v>
      </c>
      <c r="T460" s="101" t="str">
        <f t="shared" si="53"/>
        <v>INV + 30</v>
      </c>
      <c r="V460" s="101" t="str">
        <f t="shared" si="54"/>
        <v>Active</v>
      </c>
      <c r="X460" s="101" t="str">
        <f t="shared" si="55"/>
        <v>One-off</v>
      </c>
      <c r="AC460" s="101" t="str">
        <f t="shared" si="58"/>
        <v>RON</v>
      </c>
      <c r="AD460" s="101">
        <f t="shared" si="59"/>
        <v>10000</v>
      </c>
    </row>
    <row r="461" spans="1:30">
      <c r="A461" s="101">
        <f t="shared" si="60"/>
        <v>13</v>
      </c>
      <c r="B461" s="101">
        <f t="shared" si="56"/>
        <v>28</v>
      </c>
      <c r="C461" s="101" t="str">
        <f t="shared" si="57"/>
        <v>T28</v>
      </c>
      <c r="D461" s="101" t="str">
        <f>IF(A461&lt;&gt;A460,VLOOKUP(A461,'Date SPV'!$A:$D,4,FALSE),D460)</f>
        <v>Targu Mures Shopping City SRL</v>
      </c>
      <c r="E461" s="101" t="str">
        <f>VLOOKUP(A461,'Date SPV'!$A$4:$B$34,2,FALSE)</f>
        <v>RTGU</v>
      </c>
      <c r="H461" s="105" t="s">
        <v>894</v>
      </c>
      <c r="K461" s="101" t="str">
        <f>VLOOKUP(C461,'Preturi si tarife'!$A$4:$B$39,2,FALSE)</f>
        <v xml:space="preserve">Regularizare Certificate verzi </v>
      </c>
      <c r="L461" s="102">
        <f>IF(B461=1,'Date masura OD'!$I$5,IF(B461=19,'Date masura OD'!$AK$5,L460))</f>
        <v>45748</v>
      </c>
      <c r="M461" s="102">
        <f>IF(B461=1,'Date masura OD'!$J$5,IF(B461=19,'Date masura OD'!$AL$5,M460))</f>
        <v>45777</v>
      </c>
      <c r="N461" s="104">
        <f>VLOOKUP(E461,verificare!$AR$4:$CC$33,B461+2,FALSE)</f>
        <v>0</v>
      </c>
      <c r="O461" s="103">
        <f>HLOOKUP(VLOOKUP(E461,'Date SPV'!$B$4:$F$34,5,FALSE),'Preturi si tarife'!$C$2:$J$39,B461+2,FALSE)*10000</f>
        <v>725.41599999999994</v>
      </c>
      <c r="Q461" s="101" t="str">
        <f t="shared" si="52"/>
        <v>One-off</v>
      </c>
      <c r="R461" s="101" t="str">
        <f>VLOOKUP(K461,'Preturi si tarife'!$B$4:$K$39,10,FALSE)</f>
        <v>ICOENG0001</v>
      </c>
      <c r="T461" s="101" t="str">
        <f t="shared" si="53"/>
        <v>INV + 30</v>
      </c>
      <c r="V461" s="101" t="str">
        <f t="shared" si="54"/>
        <v>Active</v>
      </c>
      <c r="X461" s="101" t="str">
        <f t="shared" si="55"/>
        <v>One-off</v>
      </c>
      <c r="AC461" s="101" t="str">
        <f t="shared" si="58"/>
        <v>RON</v>
      </c>
      <c r="AD461" s="101">
        <f t="shared" si="59"/>
        <v>10000</v>
      </c>
    </row>
    <row r="462" spans="1:30">
      <c r="A462" s="101">
        <f t="shared" si="60"/>
        <v>13</v>
      </c>
      <c r="B462" s="101">
        <f t="shared" si="56"/>
        <v>29</v>
      </c>
      <c r="C462" s="101" t="str">
        <f t="shared" si="57"/>
        <v>T29</v>
      </c>
      <c r="D462" s="101" t="str">
        <f>IF(A462&lt;&gt;A461,VLOOKUP(A462,'Date SPV'!$A:$D,4,FALSE),D461)</f>
        <v>Targu Mures Shopping City SRL</v>
      </c>
      <c r="E462" s="101" t="str">
        <f>VLOOKUP(A462,'Date SPV'!$A$4:$B$34,2,FALSE)</f>
        <v>RTGU</v>
      </c>
      <c r="H462" s="105" t="s">
        <v>894</v>
      </c>
      <c r="K462" s="101" t="str">
        <f>VLOOKUP(C462,'Preturi si tarife'!$A$4:$B$39,2,FALSE)</f>
        <v>Regularizare Contributie CFD</v>
      </c>
      <c r="L462" s="102">
        <f>IF(B462=1,'Date masura OD'!$I$5,IF(B462=19,'Date masura OD'!$AK$5,L461))</f>
        <v>45748</v>
      </c>
      <c r="M462" s="102">
        <f>IF(B462=1,'Date masura OD'!$J$5,IF(B462=19,'Date masura OD'!$AL$5,M461))</f>
        <v>45777</v>
      </c>
      <c r="N462" s="104">
        <f>VLOOKUP(E462,verificare!$AR$4:$CC$33,B462+2,FALSE)</f>
        <v>0</v>
      </c>
      <c r="O462" s="103">
        <f>HLOOKUP(VLOOKUP(E462,'Date SPV'!$B$4:$F$34,5,FALSE),'Preturi si tarife'!$C$2:$J$39,B462+2,FALSE)*10000</f>
        <v>2.06</v>
      </c>
      <c r="Q462" s="101" t="str">
        <f t="shared" si="52"/>
        <v>One-off</v>
      </c>
      <c r="R462" s="101" t="str">
        <f>VLOOKUP(K462,'Preturi si tarife'!$B$4:$K$39,10,FALSE)</f>
        <v>ICOENG0001</v>
      </c>
      <c r="T462" s="101" t="str">
        <f t="shared" si="53"/>
        <v>INV + 30</v>
      </c>
      <c r="V462" s="101" t="str">
        <f t="shared" si="54"/>
        <v>Active</v>
      </c>
      <c r="X462" s="101" t="str">
        <f t="shared" si="55"/>
        <v>One-off</v>
      </c>
      <c r="AC462" s="101" t="str">
        <f t="shared" si="58"/>
        <v>RON</v>
      </c>
      <c r="AD462" s="101">
        <f t="shared" si="59"/>
        <v>10000</v>
      </c>
    </row>
    <row r="463" spans="1:30">
      <c r="A463" s="101">
        <f t="shared" si="60"/>
        <v>13</v>
      </c>
      <c r="B463" s="101">
        <f t="shared" si="56"/>
        <v>30</v>
      </c>
      <c r="C463" s="101" t="str">
        <f t="shared" si="57"/>
        <v>T30</v>
      </c>
      <c r="D463" s="101" t="str">
        <f>IF(A463&lt;&gt;A462,VLOOKUP(A463,'Date SPV'!$A:$D,4,FALSE),D462)</f>
        <v>Targu Mures Shopping City SRL</v>
      </c>
      <c r="E463" s="101" t="str">
        <f>VLOOKUP(A463,'Date SPV'!$A$4:$B$34,2,FALSE)</f>
        <v>RTGU</v>
      </c>
      <c r="H463" s="105" t="s">
        <v>894</v>
      </c>
      <c r="K463" s="101" t="str">
        <f>VLOOKUP(C463,'Preturi si tarife'!$A$4:$B$39,2,FALSE)</f>
        <v>Regularizare Acciza</v>
      </c>
      <c r="L463" s="102">
        <f>IF(B463=1,'Date masura OD'!$I$5,IF(B463=19,'Date masura OD'!$AK$5,L462))</f>
        <v>45748</v>
      </c>
      <c r="M463" s="102">
        <f>IF(B463=1,'Date masura OD'!$J$5,IF(B463=19,'Date masura OD'!$AL$5,M462))</f>
        <v>45777</v>
      </c>
      <c r="N463" s="104">
        <f>VLOOKUP(E463,verificare!$AR$4:$CC$33,B463+2,FALSE)</f>
        <v>0</v>
      </c>
      <c r="O463" s="103">
        <f>HLOOKUP(VLOOKUP(E463,'Date SPV'!$B$4:$F$34,5,FALSE),'Preturi si tarife'!$C$2:$J$39,B463+2,FALSE)*10000</f>
        <v>0</v>
      </c>
      <c r="Q463" s="101" t="str">
        <f t="shared" si="52"/>
        <v>One-off</v>
      </c>
      <c r="R463" s="101" t="str">
        <f>VLOOKUP(K463,'Preturi si tarife'!$B$4:$K$39,10,FALSE)</f>
        <v>ICOENG0001</v>
      </c>
      <c r="T463" s="101" t="str">
        <f t="shared" si="53"/>
        <v>INV + 30</v>
      </c>
      <c r="V463" s="101" t="str">
        <f t="shared" si="54"/>
        <v>Active</v>
      </c>
      <c r="X463" s="101" t="str">
        <f t="shared" si="55"/>
        <v>One-off</v>
      </c>
      <c r="AC463" s="101" t="str">
        <f t="shared" si="58"/>
        <v>RON</v>
      </c>
      <c r="AD463" s="101">
        <f t="shared" si="59"/>
        <v>10000</v>
      </c>
    </row>
    <row r="464" spans="1:30">
      <c r="A464" s="101">
        <f t="shared" si="60"/>
        <v>13</v>
      </c>
      <c r="B464" s="101">
        <f t="shared" si="56"/>
        <v>31</v>
      </c>
      <c r="C464" s="101" t="str">
        <f t="shared" si="57"/>
        <v>T31</v>
      </c>
      <c r="D464" s="101" t="str">
        <f>IF(A464&lt;&gt;A463,VLOOKUP(A464,'Date SPV'!$A:$D,4,FALSE),D463)</f>
        <v>Targu Mures Shopping City SRL</v>
      </c>
      <c r="E464" s="101" t="str">
        <f>VLOOKUP(A464,'Date SPV'!$A$4:$B$34,2,FALSE)</f>
        <v>RTGU</v>
      </c>
      <c r="H464" s="105" t="s">
        <v>894</v>
      </c>
      <c r="K464" s="101" t="str">
        <f>VLOOKUP(C464,'Preturi si tarife'!$A$4:$B$39,2,FALSE)</f>
        <v>Regularizare Tarif distributie SDI MT Ea1</v>
      </c>
      <c r="L464" s="102">
        <f>IF(B464=1,'Date masura OD'!$I$5,IF(B464=19,'Date masura OD'!$AK$5,L463))</f>
        <v>45748</v>
      </c>
      <c r="M464" s="102">
        <f>IF(B464=1,'Date masura OD'!$J$5,IF(B464=19,'Date masura OD'!$AL$5,M463))</f>
        <v>45777</v>
      </c>
      <c r="N464" s="104">
        <f>VLOOKUP(E464,verificare!$AR$4:$CC$33,B464+2,FALSE)</f>
        <v>0</v>
      </c>
      <c r="O464" s="103">
        <f>HLOOKUP(VLOOKUP(E464,'Date SPV'!$B$4:$F$34,5,FALSE),'Preturi si tarife'!$C$2:$J$39,B464+2,FALSE)*10000</f>
        <v>126</v>
      </c>
      <c r="Q464" s="101" t="str">
        <f t="shared" si="52"/>
        <v>One-off</v>
      </c>
      <c r="R464" s="101" t="str">
        <f>VLOOKUP(K464,'Preturi si tarife'!$B$4:$K$39,10,FALSE)</f>
        <v>ICOENG0010</v>
      </c>
      <c r="T464" s="101" t="str">
        <f t="shared" si="53"/>
        <v>INV + 30</v>
      </c>
      <c r="V464" s="101" t="str">
        <f t="shared" si="54"/>
        <v>Active</v>
      </c>
      <c r="X464" s="101" t="str">
        <f t="shared" si="55"/>
        <v>One-off</v>
      </c>
      <c r="AC464" s="101" t="str">
        <f t="shared" si="58"/>
        <v>RON</v>
      </c>
      <c r="AD464" s="101">
        <f t="shared" si="59"/>
        <v>10000</v>
      </c>
    </row>
    <row r="465" spans="1:30">
      <c r="A465" s="101">
        <f t="shared" si="60"/>
        <v>13</v>
      </c>
      <c r="B465" s="101">
        <f t="shared" si="56"/>
        <v>32</v>
      </c>
      <c r="C465" s="101" t="str">
        <f t="shared" si="57"/>
        <v>T32</v>
      </c>
      <c r="D465" s="101" t="str">
        <f>IF(A465&lt;&gt;A464,VLOOKUP(A465,'Date SPV'!$A:$D,4,FALSE),D464)</f>
        <v>Targu Mures Shopping City SRL</v>
      </c>
      <c r="E465" s="101" t="str">
        <f>VLOOKUP(A465,'Date SPV'!$A$4:$B$34,2,FALSE)</f>
        <v>RTGU</v>
      </c>
      <c r="H465" s="105" t="s">
        <v>894</v>
      </c>
      <c r="K465" s="101" t="str">
        <f>VLOOKUP(C465,'Preturi si tarife'!$A$4:$B$39,2,FALSE)</f>
        <v>Regularizare Tarif distributie SDI JT Ea1</v>
      </c>
      <c r="L465" s="102">
        <f>IF(B465=1,'Date masura OD'!$I$5,IF(B465=19,'Date masura OD'!$AK$5,L464))</f>
        <v>45748</v>
      </c>
      <c r="M465" s="102">
        <f>IF(B465=1,'Date masura OD'!$J$5,IF(B465=19,'Date masura OD'!$AL$5,M464))</f>
        <v>45777</v>
      </c>
      <c r="N465" s="104">
        <f>VLOOKUP(E465,verificare!$AR$4:$CC$33,B465+2,FALSE)</f>
        <v>0</v>
      </c>
      <c r="O465" s="103">
        <f>HLOOKUP(VLOOKUP(E465,'Date SPV'!$B$4:$F$34,5,FALSE),'Preturi si tarife'!$C$2:$J$39,B465+2,FALSE)*10000</f>
        <v>927</v>
      </c>
      <c r="Q465" s="101" t="str">
        <f t="shared" si="52"/>
        <v>One-off</v>
      </c>
      <c r="R465" s="101" t="str">
        <f>VLOOKUP(K465,'Preturi si tarife'!$B$4:$K$39,10,FALSE)</f>
        <v>ICOENG0010</v>
      </c>
      <c r="T465" s="101" t="str">
        <f t="shared" si="53"/>
        <v>INV + 30</v>
      </c>
      <c r="V465" s="101" t="str">
        <f t="shared" si="54"/>
        <v>Active</v>
      </c>
      <c r="X465" s="101" t="str">
        <f t="shared" si="55"/>
        <v>One-off</v>
      </c>
      <c r="AC465" s="101" t="str">
        <f t="shared" si="58"/>
        <v>RON</v>
      </c>
      <c r="AD465" s="101">
        <f t="shared" si="59"/>
        <v>10000</v>
      </c>
    </row>
    <row r="466" spans="1:30">
      <c r="A466" s="101">
        <f t="shared" si="60"/>
        <v>13</v>
      </c>
      <c r="B466" s="101">
        <f t="shared" si="56"/>
        <v>33</v>
      </c>
      <c r="C466" s="101" t="str">
        <f t="shared" si="57"/>
        <v>T33</v>
      </c>
      <c r="D466" s="101" t="str">
        <f>IF(A466&lt;&gt;A465,VLOOKUP(A466,'Date SPV'!$A:$D,4,FALSE),D465)</f>
        <v>Targu Mures Shopping City SRL</v>
      </c>
      <c r="E466" s="101" t="str">
        <f>VLOOKUP(A466,'Date SPV'!$A$4:$B$34,2,FALSE)</f>
        <v>RTGU</v>
      </c>
      <c r="H466" s="105" t="s">
        <v>894</v>
      </c>
      <c r="K466" s="101" t="str">
        <f>VLOOKUP(C466,'Preturi si tarife'!$A$4:$B$39,2,FALSE)</f>
        <v>Regularizare Energie activa 2</v>
      </c>
      <c r="L466" s="102">
        <f>IF(B466=1,'Date masura OD'!$I$5,IF(B466=19,'Date masura OD'!$AK$5,L465))</f>
        <v>45748</v>
      </c>
      <c r="M466" s="102">
        <f>IF(B466=1,'Date masura OD'!$J$5,IF(B466=19,'Date masura OD'!$AL$5,M465))</f>
        <v>45777</v>
      </c>
      <c r="N466" s="104">
        <f>VLOOKUP(E466,verificare!$AR$4:$CC$33,B466+2,FALSE)</f>
        <v>0</v>
      </c>
      <c r="O466" s="103">
        <f>HLOOKUP(VLOOKUP(E466,'Date SPV'!$B$4:$F$34,5,FALSE),'Preturi si tarife'!$C$2:$J$39,B466+2,FALSE)*10000</f>
        <v>9392.0760000000009</v>
      </c>
      <c r="Q466" s="101" t="str">
        <f t="shared" si="52"/>
        <v>One-off</v>
      </c>
      <c r="R466" s="101" t="str">
        <f>VLOOKUP(K466,'Preturi si tarife'!$B$4:$K$39,10,FALSE)</f>
        <v>ICOENG0012</v>
      </c>
      <c r="T466" s="101" t="str">
        <f t="shared" si="53"/>
        <v>INV + 30</v>
      </c>
      <c r="V466" s="101" t="str">
        <f t="shared" si="54"/>
        <v>Active</v>
      </c>
      <c r="X466" s="101" t="str">
        <f t="shared" si="55"/>
        <v>One-off</v>
      </c>
      <c r="AC466" s="101" t="str">
        <f t="shared" si="58"/>
        <v>RON</v>
      </c>
      <c r="AD466" s="101">
        <f t="shared" si="59"/>
        <v>10000</v>
      </c>
    </row>
    <row r="467" spans="1:30">
      <c r="A467" s="101">
        <f t="shared" si="60"/>
        <v>13</v>
      </c>
      <c r="B467" s="101">
        <f t="shared" si="56"/>
        <v>34</v>
      </c>
      <c r="C467" s="101" t="str">
        <f t="shared" si="57"/>
        <v>T34</v>
      </c>
      <c r="D467" s="101" t="str">
        <f>IF(A467&lt;&gt;A466,VLOOKUP(A467,'Date SPV'!$A:$D,4,FALSE),D466)</f>
        <v>Targu Mures Shopping City SRL</v>
      </c>
      <c r="E467" s="101" t="str">
        <f>VLOOKUP(A467,'Date SPV'!$A$4:$B$34,2,FALSE)</f>
        <v>RTGU</v>
      </c>
      <c r="H467" s="105" t="s">
        <v>894</v>
      </c>
      <c r="K467" s="101" t="str">
        <f>VLOOKUP(C467,'Preturi si tarife'!$A$4:$B$39,2,FALSE)</f>
        <v>Regularizare Energie activa 3</v>
      </c>
      <c r="L467" s="102">
        <f>IF(B467=1,'Date masura OD'!$I$5,IF(B467=19,'Date masura OD'!$AK$5,L466))</f>
        <v>45748</v>
      </c>
      <c r="M467" s="102">
        <f>IF(B467=1,'Date masura OD'!$J$5,IF(B467=19,'Date masura OD'!$AL$5,M466))</f>
        <v>45777</v>
      </c>
      <c r="N467" s="104">
        <f>VLOOKUP(E467,verificare!$AR$4:$CC$33,B467+2,FALSE)</f>
        <v>0</v>
      </c>
      <c r="O467" s="103">
        <f>HLOOKUP(VLOOKUP(E467,'Date SPV'!$B$4:$F$34,5,FALSE),'Preturi si tarife'!$C$2:$J$39,B467+2,FALSE)*10000</f>
        <v>8339.0760000000009</v>
      </c>
      <c r="Q467" s="101" t="str">
        <f t="shared" si="52"/>
        <v>One-off</v>
      </c>
      <c r="R467" s="101" t="str">
        <f>VLOOKUP(K467,'Preturi si tarife'!$B$4:$K$39,10,FALSE)</f>
        <v>ICOENG0012</v>
      </c>
      <c r="T467" s="101" t="str">
        <f t="shared" si="53"/>
        <v>INV + 30</v>
      </c>
      <c r="V467" s="101" t="str">
        <f t="shared" si="54"/>
        <v>Active</v>
      </c>
      <c r="X467" s="101" t="str">
        <f t="shared" si="55"/>
        <v>One-off</v>
      </c>
      <c r="AC467" s="101" t="str">
        <f t="shared" si="58"/>
        <v>RON</v>
      </c>
      <c r="AD467" s="101">
        <f t="shared" si="59"/>
        <v>10000</v>
      </c>
    </row>
    <row r="468" spans="1:30">
      <c r="A468" s="101">
        <f t="shared" si="60"/>
        <v>13</v>
      </c>
      <c r="B468" s="101">
        <f t="shared" si="56"/>
        <v>35</v>
      </c>
      <c r="C468" s="101" t="str">
        <f t="shared" si="57"/>
        <v>T35</v>
      </c>
      <c r="D468" s="101" t="str">
        <f>IF(A468&lt;&gt;A467,VLOOKUP(A468,'Date SPV'!$A:$D,4,FALSE),D467)</f>
        <v>Targu Mures Shopping City SRL</v>
      </c>
      <c r="E468" s="101" t="str">
        <f>VLOOKUP(A468,'Date SPV'!$A$4:$B$34,2,FALSE)</f>
        <v>RTGU</v>
      </c>
      <c r="H468" s="105" t="s">
        <v>894</v>
      </c>
      <c r="K468" s="101" t="str">
        <f>VLOOKUP(C468,'Preturi si tarife'!$A$4:$B$39,2,FALSE)</f>
        <v>Regularizare Tarif distributie SDI MT Ea3</v>
      </c>
      <c r="L468" s="102">
        <f>IF(B468=1,'Date masura OD'!$I$5,IF(B468=19,'Date masura OD'!$AK$5,L467))</f>
        <v>45748</v>
      </c>
      <c r="M468" s="102">
        <f>IF(B468=1,'Date masura OD'!$J$5,IF(B468=19,'Date masura OD'!$AL$5,M467))</f>
        <v>45777</v>
      </c>
      <c r="N468" s="104">
        <f>VLOOKUP(E468,verificare!$AR$4:$CC$33,B468+2,FALSE)</f>
        <v>0</v>
      </c>
      <c r="O468" s="103">
        <f>HLOOKUP(VLOOKUP(E468,'Date SPV'!$B$4:$F$34,5,FALSE),'Preturi si tarife'!$C$2:$J$39,B468+2,FALSE)*10000</f>
        <v>126</v>
      </c>
      <c r="Q468" s="101" t="str">
        <f t="shared" si="52"/>
        <v>One-off</v>
      </c>
      <c r="R468" s="101" t="str">
        <f>VLOOKUP(K468,'Preturi si tarife'!$B$4:$K$39,10,FALSE)</f>
        <v>ICOENG0010</v>
      </c>
      <c r="T468" s="101" t="str">
        <f t="shared" si="53"/>
        <v>INV + 30</v>
      </c>
      <c r="V468" s="101" t="str">
        <f t="shared" si="54"/>
        <v>Active</v>
      </c>
      <c r="X468" s="101" t="str">
        <f t="shared" si="55"/>
        <v>One-off</v>
      </c>
      <c r="AC468" s="101" t="str">
        <f t="shared" si="58"/>
        <v>RON</v>
      </c>
      <c r="AD468" s="101">
        <f t="shared" si="59"/>
        <v>10000</v>
      </c>
    </row>
    <row r="469" spans="1:30">
      <c r="A469" s="101">
        <f t="shared" si="60"/>
        <v>13</v>
      </c>
      <c r="B469" s="101">
        <f t="shared" si="56"/>
        <v>36</v>
      </c>
      <c r="C469" s="101" t="str">
        <f t="shared" si="57"/>
        <v>T36</v>
      </c>
      <c r="D469" s="101" t="str">
        <f>IF(A469&lt;&gt;A468,VLOOKUP(A469,'Date SPV'!$A:$D,4,FALSE),D468)</f>
        <v>Targu Mures Shopping City SRL</v>
      </c>
      <c r="E469" s="101" t="str">
        <f>VLOOKUP(A469,'Date SPV'!$A$4:$B$34,2,FALSE)</f>
        <v>RTGU</v>
      </c>
      <c r="H469" s="105" t="s">
        <v>894</v>
      </c>
      <c r="K469" s="101" t="str">
        <f>VLOOKUP(C469,'Preturi si tarife'!$A$4:$B$39,2,FALSE)</f>
        <v>Regularizare Tarif distributie SDI JT Ea3</v>
      </c>
      <c r="L469" s="102">
        <f>IF(B469=1,'Date masura OD'!$I$5,IF(B469=19,'Date masura OD'!$AK$5,L468))</f>
        <v>45748</v>
      </c>
      <c r="M469" s="102">
        <f>IF(B469=1,'Date masura OD'!$J$5,IF(B469=19,'Date masura OD'!$AL$5,M468))</f>
        <v>45777</v>
      </c>
      <c r="N469" s="104">
        <f>VLOOKUP(E469,verificare!$AR$4:$CC$33,B469+2,FALSE)</f>
        <v>0</v>
      </c>
      <c r="O469" s="103">
        <f>HLOOKUP(VLOOKUP(E469,'Date SPV'!$B$4:$F$34,5,FALSE),'Preturi si tarife'!$C$2:$J$39,B469+2,FALSE)*10000</f>
        <v>927</v>
      </c>
      <c r="Q469" s="101" t="str">
        <f t="shared" si="52"/>
        <v>One-off</v>
      </c>
      <c r="R469" s="101" t="str">
        <f>VLOOKUP(K469,'Preturi si tarife'!$B$4:$K$39,10,FALSE)</f>
        <v>ICOENG0010</v>
      </c>
      <c r="T469" s="101" t="str">
        <f t="shared" si="53"/>
        <v>INV + 30</v>
      </c>
      <c r="V469" s="101" t="str">
        <f t="shared" si="54"/>
        <v>Active</v>
      </c>
      <c r="X469" s="101" t="str">
        <f t="shared" si="55"/>
        <v>One-off</v>
      </c>
      <c r="AC469" s="101" t="str">
        <f t="shared" si="58"/>
        <v>RON</v>
      </c>
      <c r="AD469" s="101">
        <f t="shared" si="59"/>
        <v>10000</v>
      </c>
    </row>
    <row r="470" spans="1:30">
      <c r="A470" s="101">
        <f t="shared" si="60"/>
        <v>14</v>
      </c>
      <c r="B470" s="101">
        <f t="shared" si="56"/>
        <v>1</v>
      </c>
      <c r="C470" s="101" t="str">
        <f t="shared" si="57"/>
        <v>T1</v>
      </c>
      <c r="D470" s="101" t="str">
        <f>IF(A470&lt;&gt;A469,VLOOKUP(A470,'Date SPV'!$A:$D,4,FALSE),D469)</f>
        <v>Constanta Shopping City SRL</v>
      </c>
      <c r="E470" s="101" t="str">
        <f>VLOOKUP(A470,'Date SPV'!$A$4:$B$34,2,FALSE)</f>
        <v>RCSC</v>
      </c>
      <c r="H470" s="105" t="s">
        <v>894</v>
      </c>
      <c r="K470" s="101" t="str">
        <f>VLOOKUP(C470,'Preturi si tarife'!$A$4:$B$39,2,FALSE)</f>
        <v>Energie activa 1</v>
      </c>
      <c r="L470" s="102">
        <f>IF(B470=1,'Date masura OD'!$I$5,IF(B470=19,'Date masura OD'!$AK$5,L469))</f>
        <v>45778</v>
      </c>
      <c r="M470" s="102">
        <f>IF(B470=1,'Date masura OD'!$J$5,IF(B470=19,'Date masura OD'!$AL$5,M469))</f>
        <v>45808</v>
      </c>
      <c r="N470" s="104">
        <f>VLOOKUP(E470,verificare!$AR$4:$CC$33,B470+2,FALSE)</f>
        <v>1447555</v>
      </c>
      <c r="O470" s="103">
        <f>HLOOKUP(VLOOKUP(E470,'Date SPV'!$B$4:$F$34,5,FALSE),'Preturi si tarife'!$C$2:$J$39,B470+2,FALSE)*10000</f>
        <v>5950</v>
      </c>
      <c r="Q470" s="101" t="str">
        <f t="shared" si="52"/>
        <v>One-off</v>
      </c>
      <c r="R470" s="101" t="str">
        <f>VLOOKUP(K470,'Preturi si tarife'!$B$4:$K$39,10,FALSE)</f>
        <v>ICOENG0001</v>
      </c>
      <c r="T470" s="101" t="str">
        <f t="shared" si="53"/>
        <v>INV + 30</v>
      </c>
      <c r="V470" s="101" t="str">
        <f t="shared" si="54"/>
        <v>Active</v>
      </c>
      <c r="X470" s="101" t="str">
        <f t="shared" si="55"/>
        <v>One-off</v>
      </c>
      <c r="AC470" s="101" t="str">
        <f t="shared" si="58"/>
        <v>RON</v>
      </c>
      <c r="AD470" s="101">
        <f t="shared" si="59"/>
        <v>10000</v>
      </c>
    </row>
    <row r="471" spans="1:30">
      <c r="A471" s="101">
        <f t="shared" si="60"/>
        <v>14</v>
      </c>
      <c r="B471" s="101">
        <f t="shared" si="56"/>
        <v>2</v>
      </c>
      <c r="C471" s="101" t="str">
        <f t="shared" si="57"/>
        <v>T2</v>
      </c>
      <c r="D471" s="101" t="str">
        <f>IF(A471&lt;&gt;A470,VLOOKUP(A471,'Date SPV'!$A:$D,4,FALSE),D470)</f>
        <v>Constanta Shopping City SRL</v>
      </c>
      <c r="E471" s="101" t="str">
        <f>VLOOKUP(A471,'Date SPV'!$A$4:$B$34,2,FALSE)</f>
        <v>RCSC</v>
      </c>
      <c r="H471" s="105" t="s">
        <v>894</v>
      </c>
      <c r="K471" s="101" t="str">
        <f>VLOOKUP(C471,'Preturi si tarife'!$A$4:$B$39,2,FALSE)</f>
        <v>Energie reactiva  1X</v>
      </c>
      <c r="L471" s="102">
        <f>IF(B471=1,'Date masura OD'!$I$5,IF(B471=19,'Date masura OD'!$AK$5,L470))</f>
        <v>45778</v>
      </c>
      <c r="M471" s="102">
        <f>IF(B471=1,'Date masura OD'!$J$5,IF(B471=19,'Date masura OD'!$AL$5,M470))</f>
        <v>45808</v>
      </c>
      <c r="N471" s="104">
        <f>VLOOKUP(E471,verificare!$AR$4:$CC$33,B471+2,FALSE)</f>
        <v>0</v>
      </c>
      <c r="O471" s="103">
        <f>HLOOKUP(VLOOKUP(E471,'Date SPV'!$B$4:$F$34,5,FALSE),'Preturi si tarife'!$C$2:$J$39,B471+2,FALSE)*10000</f>
        <v>1466</v>
      </c>
      <c r="Q471" s="101" t="str">
        <f t="shared" si="52"/>
        <v>One-off</v>
      </c>
      <c r="R471" s="101" t="str">
        <f>VLOOKUP(K471,'Preturi si tarife'!$B$4:$K$39,10,FALSE)</f>
        <v>ICOENG0001</v>
      </c>
      <c r="T471" s="101" t="str">
        <f t="shared" si="53"/>
        <v>INV + 30</v>
      </c>
      <c r="V471" s="101" t="str">
        <f t="shared" si="54"/>
        <v>Active</v>
      </c>
      <c r="X471" s="101" t="str">
        <f t="shared" si="55"/>
        <v>One-off</v>
      </c>
      <c r="AC471" s="101" t="str">
        <f t="shared" si="58"/>
        <v>RON</v>
      </c>
      <c r="AD471" s="101">
        <f t="shared" si="59"/>
        <v>10000</v>
      </c>
    </row>
    <row r="472" spans="1:30">
      <c r="A472" s="101">
        <f t="shared" si="60"/>
        <v>14</v>
      </c>
      <c r="B472" s="101">
        <f t="shared" si="56"/>
        <v>3</v>
      </c>
      <c r="C472" s="101" t="str">
        <f t="shared" si="57"/>
        <v>T3</v>
      </c>
      <c r="D472" s="101" t="str">
        <f>IF(A472&lt;&gt;A471,VLOOKUP(A472,'Date SPV'!$A:$D,4,FALSE),D471)</f>
        <v>Constanta Shopping City SRL</v>
      </c>
      <c r="E472" s="101" t="str">
        <f>VLOOKUP(A472,'Date SPV'!$A$4:$B$34,2,FALSE)</f>
        <v>RCSC</v>
      </c>
      <c r="H472" s="105" t="s">
        <v>894</v>
      </c>
      <c r="K472" s="101" t="str">
        <f>VLOOKUP(C472,'Preturi si tarife'!$A$4:$B$39,2,FALSE)</f>
        <v>Energie reactiva  3X</v>
      </c>
      <c r="L472" s="102">
        <f>IF(B472=1,'Date masura OD'!$I$5,IF(B472=19,'Date masura OD'!$AK$5,L471))</f>
        <v>45778</v>
      </c>
      <c r="M472" s="102">
        <f>IF(B472=1,'Date masura OD'!$J$5,IF(B472=19,'Date masura OD'!$AL$5,M471))</f>
        <v>45808</v>
      </c>
      <c r="N472" s="104">
        <f>VLOOKUP(E472,verificare!$AR$4:$CC$33,B472+2,FALSE)</f>
        <v>0</v>
      </c>
      <c r="O472" s="103">
        <f>HLOOKUP(VLOOKUP(E472,'Date SPV'!$B$4:$F$34,5,FALSE),'Preturi si tarife'!$C$2:$J$39,B472+2,FALSE)*10000</f>
        <v>4398</v>
      </c>
      <c r="Q472" s="101" t="str">
        <f t="shared" si="52"/>
        <v>One-off</v>
      </c>
      <c r="R472" s="101" t="str">
        <f>VLOOKUP(K472,'Preturi si tarife'!$B$4:$K$39,10,FALSE)</f>
        <v>ICOENG0001</v>
      </c>
      <c r="T472" s="101" t="str">
        <f t="shared" si="53"/>
        <v>INV + 30</v>
      </c>
      <c r="V472" s="101" t="str">
        <f t="shared" si="54"/>
        <v>Active</v>
      </c>
      <c r="X472" s="101" t="str">
        <f t="shared" si="55"/>
        <v>One-off</v>
      </c>
      <c r="AC472" s="101" t="str">
        <f t="shared" si="58"/>
        <v>RON</v>
      </c>
      <c r="AD472" s="101">
        <f t="shared" si="59"/>
        <v>10000</v>
      </c>
    </row>
    <row r="473" spans="1:30">
      <c r="A473" s="101">
        <f t="shared" si="60"/>
        <v>14</v>
      </c>
      <c r="B473" s="101">
        <f t="shared" si="56"/>
        <v>4</v>
      </c>
      <c r="C473" s="101" t="str">
        <f t="shared" si="57"/>
        <v>T4</v>
      </c>
      <c r="D473" s="101" t="str">
        <f>IF(A473&lt;&gt;A472,VLOOKUP(A473,'Date SPV'!$A:$D,4,FALSE),D472)</f>
        <v>Constanta Shopping City SRL</v>
      </c>
      <c r="E473" s="101" t="str">
        <f>VLOOKUP(A473,'Date SPV'!$A$4:$B$34,2,FALSE)</f>
        <v>RCSC</v>
      </c>
      <c r="H473" s="105" t="s">
        <v>894</v>
      </c>
      <c r="K473" s="101" t="str">
        <f>VLOOKUP(C473,'Preturi si tarife'!$A$4:$B$39,2,FALSE)</f>
        <v>Tarife distributie en. El IT+MT</v>
      </c>
      <c r="L473" s="102">
        <f>IF(B473=1,'Date masura OD'!$I$5,IF(B473=19,'Date masura OD'!$AK$5,L472))</f>
        <v>45778</v>
      </c>
      <c r="M473" s="102">
        <f>IF(B473=1,'Date masura OD'!$J$5,IF(B473=19,'Date masura OD'!$AL$5,M472))</f>
        <v>45808</v>
      </c>
      <c r="N473" s="104">
        <f>VLOOKUP(E473,verificare!$AR$4:$CC$33,B473+2,FALSE)</f>
        <v>1447555</v>
      </c>
      <c r="O473" s="103">
        <f>HLOOKUP(VLOOKUP(E473,'Date SPV'!$B$4:$F$34,5,FALSE),'Preturi si tarife'!$C$2:$J$39,B473+2,FALSE)*10000</f>
        <v>861.80000000000007</v>
      </c>
      <c r="Q473" s="101" t="str">
        <f t="shared" si="52"/>
        <v>One-off</v>
      </c>
      <c r="R473" s="101" t="str">
        <f>VLOOKUP(K473,'Preturi si tarife'!$B$4:$K$39,10,FALSE)</f>
        <v>ICOENG0001</v>
      </c>
      <c r="T473" s="101" t="str">
        <f t="shared" si="53"/>
        <v>INV + 30</v>
      </c>
      <c r="V473" s="101" t="str">
        <f t="shared" si="54"/>
        <v>Active</v>
      </c>
      <c r="X473" s="101" t="str">
        <f t="shared" si="55"/>
        <v>One-off</v>
      </c>
      <c r="AC473" s="101" t="str">
        <f t="shared" si="58"/>
        <v>RON</v>
      </c>
      <c r="AD473" s="101">
        <f t="shared" si="59"/>
        <v>10000</v>
      </c>
    </row>
    <row r="474" spans="1:30">
      <c r="A474" s="101">
        <f t="shared" si="60"/>
        <v>14</v>
      </c>
      <c r="B474" s="101">
        <f t="shared" si="56"/>
        <v>5</v>
      </c>
      <c r="C474" s="101" t="str">
        <f t="shared" si="57"/>
        <v>T5</v>
      </c>
      <c r="D474" s="101" t="str">
        <f>IF(A474&lt;&gt;A473,VLOOKUP(A474,'Date SPV'!$A:$D,4,FALSE),D473)</f>
        <v>Constanta Shopping City SRL</v>
      </c>
      <c r="E474" s="101" t="str">
        <f>VLOOKUP(A474,'Date SPV'!$A$4:$B$34,2,FALSE)</f>
        <v>RCSC</v>
      </c>
      <c r="H474" s="105" t="s">
        <v>894</v>
      </c>
      <c r="K474" s="101" t="str">
        <f>VLOOKUP(C474,'Preturi si tarife'!$A$4:$B$39,2,FALSE)</f>
        <v>Tarife distributie en. El JT</v>
      </c>
      <c r="L474" s="102">
        <f>IF(B474=1,'Date masura OD'!$I$5,IF(B474=19,'Date masura OD'!$AK$5,L473))</f>
        <v>45778</v>
      </c>
      <c r="M474" s="102">
        <f>IF(B474=1,'Date masura OD'!$J$5,IF(B474=19,'Date masura OD'!$AL$5,M473))</f>
        <v>45808</v>
      </c>
      <c r="N474" s="104">
        <f>VLOOKUP(E474,verificare!$AR$4:$CC$33,B474+2,FALSE)</f>
        <v>0</v>
      </c>
      <c r="O474" s="103">
        <f>HLOOKUP(VLOOKUP(E474,'Date SPV'!$B$4:$F$34,5,FALSE),'Preturi si tarife'!$C$2:$J$39,B474+2,FALSE)*10000</f>
        <v>2079</v>
      </c>
      <c r="Q474" s="101" t="str">
        <f t="shared" si="52"/>
        <v>One-off</v>
      </c>
      <c r="R474" s="101" t="str">
        <f>VLOOKUP(K474,'Preturi si tarife'!$B$4:$K$39,10,FALSE)</f>
        <v>ICOENG0001</v>
      </c>
      <c r="T474" s="101" t="str">
        <f t="shared" si="53"/>
        <v>INV + 30</v>
      </c>
      <c r="V474" s="101" t="str">
        <f t="shared" si="54"/>
        <v>Active</v>
      </c>
      <c r="X474" s="101" t="str">
        <f t="shared" si="55"/>
        <v>One-off</v>
      </c>
      <c r="AC474" s="101" t="str">
        <f t="shared" si="58"/>
        <v>RON</v>
      </c>
      <c r="AD474" s="101">
        <f t="shared" si="59"/>
        <v>10000</v>
      </c>
    </row>
    <row r="475" spans="1:30">
      <c r="A475" s="101">
        <f t="shared" si="60"/>
        <v>14</v>
      </c>
      <c r="B475" s="101">
        <f t="shared" si="56"/>
        <v>6</v>
      </c>
      <c r="C475" s="101" t="str">
        <f t="shared" si="57"/>
        <v>T6</v>
      </c>
      <c r="D475" s="101" t="str">
        <f>IF(A475&lt;&gt;A474,VLOOKUP(A475,'Date SPV'!$A:$D,4,FALSE),D474)</f>
        <v>Constanta Shopping City SRL</v>
      </c>
      <c r="E475" s="101" t="str">
        <f>VLOOKUP(A475,'Date SPV'!$A$4:$B$34,2,FALSE)</f>
        <v>RCSC</v>
      </c>
      <c r="H475" s="105" t="s">
        <v>894</v>
      </c>
      <c r="K475" s="101" t="str">
        <f>VLOOKUP(C475,'Preturi si tarife'!$A$4:$B$39,2,FALSE)</f>
        <v xml:space="preserve">Servicii Sistem </v>
      </c>
      <c r="L475" s="102">
        <f>IF(B475=1,'Date masura OD'!$I$5,IF(B475=19,'Date masura OD'!$AK$5,L474))</f>
        <v>45778</v>
      </c>
      <c r="M475" s="102">
        <f>IF(B475=1,'Date masura OD'!$J$5,IF(B475=19,'Date masura OD'!$AL$5,M474))</f>
        <v>45808</v>
      </c>
      <c r="N475" s="104">
        <f>VLOOKUP(E475,verificare!$AR$4:$CC$33,B475+2,FALSE)</f>
        <v>1447555</v>
      </c>
      <c r="O475" s="103">
        <f>HLOOKUP(VLOOKUP(E475,'Date SPV'!$B$4:$F$34,5,FALSE),'Preturi si tarife'!$C$2:$J$39,B475+2,FALSE)*10000</f>
        <v>115.1</v>
      </c>
      <c r="Q475" s="101" t="str">
        <f t="shared" si="52"/>
        <v>One-off</v>
      </c>
      <c r="R475" s="101" t="str">
        <f>VLOOKUP(K475,'Preturi si tarife'!$B$4:$K$39,10,FALSE)</f>
        <v>ICOENG0001</v>
      </c>
      <c r="T475" s="101" t="str">
        <f t="shared" si="53"/>
        <v>INV + 30</v>
      </c>
      <c r="V475" s="101" t="str">
        <f t="shared" si="54"/>
        <v>Active</v>
      </c>
      <c r="X475" s="101" t="str">
        <f t="shared" si="55"/>
        <v>One-off</v>
      </c>
      <c r="AC475" s="101" t="str">
        <f t="shared" si="58"/>
        <v>RON</v>
      </c>
      <c r="AD475" s="101">
        <f t="shared" si="59"/>
        <v>10000</v>
      </c>
    </row>
    <row r="476" spans="1:30">
      <c r="A476" s="101">
        <f t="shared" si="60"/>
        <v>14</v>
      </c>
      <c r="B476" s="101">
        <f t="shared" si="56"/>
        <v>7</v>
      </c>
      <c r="C476" s="101" t="str">
        <f t="shared" si="57"/>
        <v>T7</v>
      </c>
      <c r="D476" s="101" t="str">
        <f>IF(A476&lt;&gt;A475,VLOOKUP(A476,'Date SPV'!$A:$D,4,FALSE),D475)</f>
        <v>Constanta Shopping City SRL</v>
      </c>
      <c r="E476" s="101" t="str">
        <f>VLOOKUP(A476,'Date SPV'!$A$4:$B$34,2,FALSE)</f>
        <v>RCSC</v>
      </c>
      <c r="H476" s="105" t="s">
        <v>894</v>
      </c>
      <c r="K476" s="101" t="str">
        <f>VLOOKUP(C476,'Preturi si tarife'!$A$4:$B$39,2,FALSE)</f>
        <v>Tarif de introducere en. el in retea (TL)</v>
      </c>
      <c r="L476" s="102">
        <f>IF(B476=1,'Date masura OD'!$I$5,IF(B476=19,'Date masura OD'!$AK$5,L475))</f>
        <v>45778</v>
      </c>
      <c r="M476" s="102">
        <f>IF(B476=1,'Date masura OD'!$J$5,IF(B476=19,'Date masura OD'!$AL$5,M475))</f>
        <v>45808</v>
      </c>
      <c r="N476" s="104">
        <f>VLOOKUP(E476,verificare!$AR$4:$CC$33,B476+2,FALSE)</f>
        <v>1447555</v>
      </c>
      <c r="O476" s="103">
        <f>HLOOKUP(VLOOKUP(E476,'Date SPV'!$B$4:$F$34,5,FALSE),'Preturi si tarife'!$C$2:$J$39,B476+2,FALSE)*10000</f>
        <v>330.3</v>
      </c>
      <c r="Q476" s="101" t="str">
        <f t="shared" si="52"/>
        <v>One-off</v>
      </c>
      <c r="R476" s="101" t="str">
        <f>VLOOKUP(K476,'Preturi si tarife'!$B$4:$K$39,10,FALSE)</f>
        <v>ICOENG0001</v>
      </c>
      <c r="T476" s="101" t="str">
        <f t="shared" si="53"/>
        <v>INV + 30</v>
      </c>
      <c r="V476" s="101" t="str">
        <f t="shared" si="54"/>
        <v>Active</v>
      </c>
      <c r="X476" s="101" t="str">
        <f t="shared" si="55"/>
        <v>One-off</v>
      </c>
      <c r="AC476" s="101" t="str">
        <f t="shared" si="58"/>
        <v>RON</v>
      </c>
      <c r="AD476" s="101">
        <f t="shared" si="59"/>
        <v>10000</v>
      </c>
    </row>
    <row r="477" spans="1:30">
      <c r="A477" s="101">
        <f t="shared" si="60"/>
        <v>14</v>
      </c>
      <c r="B477" s="101">
        <f t="shared" si="56"/>
        <v>8</v>
      </c>
      <c r="C477" s="101" t="str">
        <f t="shared" si="57"/>
        <v>T8</v>
      </c>
      <c r="D477" s="101" t="str">
        <f>IF(A477&lt;&gt;A476,VLOOKUP(A477,'Date SPV'!$A:$D,4,FALSE),D476)</f>
        <v>Constanta Shopping City SRL</v>
      </c>
      <c r="E477" s="101" t="str">
        <f>VLOOKUP(A477,'Date SPV'!$A$4:$B$34,2,FALSE)</f>
        <v>RCSC</v>
      </c>
      <c r="H477" s="105" t="s">
        <v>894</v>
      </c>
      <c r="K477" s="101" t="str">
        <f>VLOOKUP(C477,'Preturi si tarife'!$A$4:$B$39,2,FALSE)</f>
        <v>Tarif de introducere en.el in retea (TG)</v>
      </c>
      <c r="L477" s="102">
        <f>IF(B477=1,'Date masura OD'!$I$5,IF(B477=19,'Date masura OD'!$AK$5,L476))</f>
        <v>45778</v>
      </c>
      <c r="M477" s="102">
        <f>IF(B477=1,'Date masura OD'!$J$5,IF(B477=19,'Date masura OD'!$AL$5,M476))</f>
        <v>45808</v>
      </c>
      <c r="N477" s="104">
        <f>VLOOKUP(E477,verificare!$AR$4:$CC$33,B477+2,FALSE)</f>
        <v>1447555</v>
      </c>
      <c r="O477" s="103">
        <f>HLOOKUP(VLOOKUP(E477,'Date SPV'!$B$4:$F$34,5,FALSE),'Preturi si tarife'!$C$2:$J$39,B477+2,FALSE)*10000</f>
        <v>32.9</v>
      </c>
      <c r="Q477" s="101" t="str">
        <f t="shared" si="52"/>
        <v>One-off</v>
      </c>
      <c r="R477" s="101" t="str">
        <f>VLOOKUP(K477,'Preturi si tarife'!$B$4:$K$39,10,FALSE)</f>
        <v>ICOENG0001</v>
      </c>
      <c r="T477" s="101" t="str">
        <f t="shared" si="53"/>
        <v>INV + 30</v>
      </c>
      <c r="V477" s="101" t="str">
        <f t="shared" si="54"/>
        <v>Active</v>
      </c>
      <c r="X477" s="101" t="str">
        <f t="shared" si="55"/>
        <v>One-off</v>
      </c>
      <c r="AC477" s="101" t="str">
        <f t="shared" si="58"/>
        <v>RON</v>
      </c>
      <c r="AD477" s="101">
        <f t="shared" si="59"/>
        <v>10000</v>
      </c>
    </row>
    <row r="478" spans="1:30">
      <c r="A478" s="101">
        <f t="shared" si="60"/>
        <v>14</v>
      </c>
      <c r="B478" s="101">
        <f t="shared" si="56"/>
        <v>9</v>
      </c>
      <c r="C478" s="101" t="str">
        <f t="shared" si="57"/>
        <v>T9</v>
      </c>
      <c r="D478" s="101" t="str">
        <f>IF(A478&lt;&gt;A477,VLOOKUP(A478,'Date SPV'!$A:$D,4,FALSE),D477)</f>
        <v>Constanta Shopping City SRL</v>
      </c>
      <c r="E478" s="101" t="str">
        <f>VLOOKUP(A478,'Date SPV'!$A$4:$B$34,2,FALSE)</f>
        <v>RCSC</v>
      </c>
      <c r="H478" s="105" t="s">
        <v>894</v>
      </c>
      <c r="K478" s="101" t="str">
        <f>VLOOKUP(C478,'Preturi si tarife'!$A$4:$B$39,2,FALSE)</f>
        <v>Contributie pentru cogenerare</v>
      </c>
      <c r="L478" s="102">
        <f>IF(B478=1,'Date masura OD'!$I$5,IF(B478=19,'Date masura OD'!$AK$5,L477))</f>
        <v>45778</v>
      </c>
      <c r="M478" s="102">
        <f>IF(B478=1,'Date masura OD'!$J$5,IF(B478=19,'Date masura OD'!$AL$5,M477))</f>
        <v>45808</v>
      </c>
      <c r="N478" s="104">
        <f>VLOOKUP(E478,verificare!$AR$4:$CC$33,B478+2,FALSE)</f>
        <v>1447555</v>
      </c>
      <c r="O478" s="103">
        <f>HLOOKUP(VLOOKUP(E478,'Date SPV'!$B$4:$F$34,5,FALSE),'Preturi si tarife'!$C$2:$J$39,B478+2,FALSE)*10000</f>
        <v>35</v>
      </c>
      <c r="Q478" s="101" t="str">
        <f t="shared" si="52"/>
        <v>One-off</v>
      </c>
      <c r="R478" s="101" t="str">
        <f>VLOOKUP(K478,'Preturi si tarife'!$B$4:$K$39,10,FALSE)</f>
        <v>ICOENG0001</v>
      </c>
      <c r="T478" s="101" t="str">
        <f t="shared" si="53"/>
        <v>INV + 30</v>
      </c>
      <c r="V478" s="101" t="str">
        <f t="shared" si="54"/>
        <v>Active</v>
      </c>
      <c r="X478" s="101" t="str">
        <f t="shared" si="55"/>
        <v>One-off</v>
      </c>
      <c r="AC478" s="101" t="str">
        <f t="shared" si="58"/>
        <v>RON</v>
      </c>
      <c r="AD478" s="101">
        <f t="shared" si="59"/>
        <v>10000</v>
      </c>
    </row>
    <row r="479" spans="1:30">
      <c r="A479" s="101">
        <f t="shared" si="60"/>
        <v>14</v>
      </c>
      <c r="B479" s="101">
        <f t="shared" si="56"/>
        <v>10</v>
      </c>
      <c r="C479" s="101" t="str">
        <f t="shared" si="57"/>
        <v>T10</v>
      </c>
      <c r="D479" s="101" t="str">
        <f>IF(A479&lt;&gt;A478,VLOOKUP(A479,'Date SPV'!$A:$D,4,FALSE),D478)</f>
        <v>Constanta Shopping City SRL</v>
      </c>
      <c r="E479" s="101" t="str">
        <f>VLOOKUP(A479,'Date SPV'!$A$4:$B$34,2,FALSE)</f>
        <v>RCSC</v>
      </c>
      <c r="H479" s="105" t="s">
        <v>894</v>
      </c>
      <c r="K479" s="101" t="str">
        <f>VLOOKUP(C479,'Preturi si tarife'!$A$4:$B$39,2,FALSE)</f>
        <v xml:space="preserve">Certificate verzi </v>
      </c>
      <c r="L479" s="102">
        <f>IF(B479=1,'Date masura OD'!$I$5,IF(B479=19,'Date masura OD'!$AK$5,L478))</f>
        <v>45778</v>
      </c>
      <c r="M479" s="102">
        <f>IF(B479=1,'Date masura OD'!$J$5,IF(B479=19,'Date masura OD'!$AL$5,M478))</f>
        <v>45808</v>
      </c>
      <c r="N479" s="104">
        <f>VLOOKUP(E479,verificare!$AR$4:$CC$33,B479+2,FALSE)</f>
        <v>1447555</v>
      </c>
      <c r="O479" s="103">
        <f>HLOOKUP(VLOOKUP(E479,'Date SPV'!$B$4:$F$34,5,FALSE),'Preturi si tarife'!$C$2:$J$39,B479+2,FALSE)*10000</f>
        <v>725.41599999999994</v>
      </c>
      <c r="Q479" s="101" t="str">
        <f t="shared" si="52"/>
        <v>One-off</v>
      </c>
      <c r="R479" s="101" t="str">
        <f>VLOOKUP(K479,'Preturi si tarife'!$B$4:$K$39,10,FALSE)</f>
        <v>ICOENG0001</v>
      </c>
      <c r="T479" s="101" t="str">
        <f t="shared" si="53"/>
        <v>INV + 30</v>
      </c>
      <c r="V479" s="101" t="str">
        <f t="shared" si="54"/>
        <v>Active</v>
      </c>
      <c r="X479" s="101" t="str">
        <f t="shared" si="55"/>
        <v>One-off</v>
      </c>
      <c r="AC479" s="101" t="str">
        <f t="shared" si="58"/>
        <v>RON</v>
      </c>
      <c r="AD479" s="101">
        <f t="shared" si="59"/>
        <v>10000</v>
      </c>
    </row>
    <row r="480" spans="1:30">
      <c r="A480" s="101">
        <f t="shared" si="60"/>
        <v>14</v>
      </c>
      <c r="B480" s="101">
        <f t="shared" si="56"/>
        <v>11</v>
      </c>
      <c r="C480" s="101" t="str">
        <f t="shared" si="57"/>
        <v>T11</v>
      </c>
      <c r="D480" s="101" t="str">
        <f>IF(A480&lt;&gt;A479,VLOOKUP(A480,'Date SPV'!$A:$D,4,FALSE),D479)</f>
        <v>Constanta Shopping City SRL</v>
      </c>
      <c r="E480" s="101" t="str">
        <f>VLOOKUP(A480,'Date SPV'!$A$4:$B$34,2,FALSE)</f>
        <v>RCSC</v>
      </c>
      <c r="H480" s="105" t="s">
        <v>894</v>
      </c>
      <c r="K480" s="101" t="str">
        <f>VLOOKUP(C480,'Preturi si tarife'!$A$4:$B$39,2,FALSE)</f>
        <v>Contributie CFD</v>
      </c>
      <c r="L480" s="102">
        <f>IF(B480=1,'Date masura OD'!$I$5,IF(B480=19,'Date masura OD'!$AK$5,L479))</f>
        <v>45778</v>
      </c>
      <c r="M480" s="102">
        <f>IF(B480=1,'Date masura OD'!$J$5,IF(B480=19,'Date masura OD'!$AL$5,M479))</f>
        <v>45808</v>
      </c>
      <c r="N480" s="104">
        <f>VLOOKUP(E480,verificare!$AR$4:$CC$33,B480+2,FALSE)</f>
        <v>1447555</v>
      </c>
      <c r="O480" s="103">
        <f>HLOOKUP(VLOOKUP(E480,'Date SPV'!$B$4:$F$34,5,FALSE),'Preturi si tarife'!$C$2:$J$39,B480+2,FALSE)*10000</f>
        <v>2.06</v>
      </c>
      <c r="Q480" s="101" t="str">
        <f t="shared" si="52"/>
        <v>One-off</v>
      </c>
      <c r="R480" s="101" t="str">
        <f>VLOOKUP(K480,'Preturi si tarife'!$B$4:$K$39,10,FALSE)</f>
        <v>ICOENG0001</v>
      </c>
      <c r="T480" s="101" t="str">
        <f t="shared" si="53"/>
        <v>INV + 30</v>
      </c>
      <c r="V480" s="101" t="str">
        <f t="shared" si="54"/>
        <v>Active</v>
      </c>
      <c r="X480" s="101" t="str">
        <f t="shared" si="55"/>
        <v>One-off</v>
      </c>
      <c r="AC480" s="101" t="str">
        <f t="shared" si="58"/>
        <v>RON</v>
      </c>
      <c r="AD480" s="101">
        <f t="shared" si="59"/>
        <v>10000</v>
      </c>
    </row>
    <row r="481" spans="1:30">
      <c r="A481" s="101">
        <f t="shared" si="60"/>
        <v>14</v>
      </c>
      <c r="B481" s="101">
        <f t="shared" si="56"/>
        <v>12</v>
      </c>
      <c r="C481" s="101" t="str">
        <f t="shared" si="57"/>
        <v>T12</v>
      </c>
      <c r="D481" s="101" t="str">
        <f>IF(A481&lt;&gt;A480,VLOOKUP(A481,'Date SPV'!$A:$D,4,FALSE),D480)</f>
        <v>Constanta Shopping City SRL</v>
      </c>
      <c r="E481" s="101" t="str">
        <f>VLOOKUP(A481,'Date SPV'!$A$4:$B$34,2,FALSE)</f>
        <v>RCSC</v>
      </c>
      <c r="H481" s="105" t="s">
        <v>894</v>
      </c>
      <c r="K481" s="101" t="str">
        <f>VLOOKUP(C481,'Preturi si tarife'!$A$4:$B$39,2,FALSE)</f>
        <v>Acciza</v>
      </c>
      <c r="L481" s="102">
        <f>IF(B481=1,'Date masura OD'!$I$5,IF(B481=19,'Date masura OD'!$AK$5,L480))</f>
        <v>45778</v>
      </c>
      <c r="M481" s="102">
        <f>IF(B481=1,'Date masura OD'!$J$5,IF(B481=19,'Date masura OD'!$AL$5,M480))</f>
        <v>45808</v>
      </c>
      <c r="N481" s="104">
        <f>VLOOKUP(E481,verificare!$AR$4:$CC$33,B481+2,FALSE)</f>
        <v>1447555</v>
      </c>
      <c r="O481" s="103">
        <f>HLOOKUP(VLOOKUP(E481,'Date SPV'!$B$4:$F$34,5,FALSE),'Preturi si tarife'!$C$2:$J$39,B481+2,FALSE)*10000</f>
        <v>0</v>
      </c>
      <c r="Q481" s="101" t="str">
        <f t="shared" si="52"/>
        <v>One-off</v>
      </c>
      <c r="R481" s="101" t="str">
        <f>VLOOKUP(K481,'Preturi si tarife'!$B$4:$K$39,10,FALSE)</f>
        <v>ICOENG0001</v>
      </c>
      <c r="T481" s="101" t="str">
        <f t="shared" si="53"/>
        <v>INV + 30</v>
      </c>
      <c r="V481" s="101" t="str">
        <f t="shared" si="54"/>
        <v>Active</v>
      </c>
      <c r="X481" s="101" t="str">
        <f t="shared" si="55"/>
        <v>One-off</v>
      </c>
      <c r="AC481" s="101" t="str">
        <f t="shared" si="58"/>
        <v>RON</v>
      </c>
      <c r="AD481" s="101">
        <f t="shared" si="59"/>
        <v>10000</v>
      </c>
    </row>
    <row r="482" spans="1:30">
      <c r="A482" s="101">
        <f t="shared" si="60"/>
        <v>14</v>
      </c>
      <c r="B482" s="101">
        <f t="shared" si="56"/>
        <v>13</v>
      </c>
      <c r="C482" s="101" t="str">
        <f t="shared" si="57"/>
        <v>T13</v>
      </c>
      <c r="D482" s="101" t="str">
        <f>IF(A482&lt;&gt;A481,VLOOKUP(A482,'Date SPV'!$A:$D,4,FALSE),D481)</f>
        <v>Constanta Shopping City SRL</v>
      </c>
      <c r="E482" s="101" t="str">
        <f>VLOOKUP(A482,'Date SPV'!$A$4:$B$34,2,FALSE)</f>
        <v>RCSC</v>
      </c>
      <c r="H482" s="105" t="s">
        <v>894</v>
      </c>
      <c r="K482" s="101" t="str">
        <f>VLOOKUP(C482,'Preturi si tarife'!$A$4:$B$39,2,FALSE)</f>
        <v>Tarif distributie SDI MT</v>
      </c>
      <c r="L482" s="102">
        <f>IF(B482=1,'Date masura OD'!$I$5,IF(B482=19,'Date masura OD'!$AK$5,L481))</f>
        <v>45778</v>
      </c>
      <c r="M482" s="102">
        <f>IF(B482=1,'Date masura OD'!$J$5,IF(B482=19,'Date masura OD'!$AL$5,M481))</f>
        <v>45808</v>
      </c>
      <c r="N482" s="104">
        <f>VLOOKUP(E482,verificare!$AR$4:$CC$33,B482+2,FALSE)</f>
        <v>1447555</v>
      </c>
      <c r="O482" s="103">
        <f>HLOOKUP(VLOOKUP(E482,'Date SPV'!$B$4:$F$34,5,FALSE),'Preturi si tarife'!$C$2:$J$39,B482+2,FALSE)*10000</f>
        <v>138.00000000000003</v>
      </c>
      <c r="Q482" s="101" t="str">
        <f t="shared" si="52"/>
        <v>One-off</v>
      </c>
      <c r="R482" s="101" t="str">
        <f>VLOOKUP(K482,'Preturi si tarife'!$B$4:$K$39,10,FALSE)</f>
        <v>ICOENG0010</v>
      </c>
      <c r="T482" s="101" t="str">
        <f t="shared" si="53"/>
        <v>INV + 30</v>
      </c>
      <c r="V482" s="101" t="str">
        <f t="shared" si="54"/>
        <v>Active</v>
      </c>
      <c r="X482" s="101" t="str">
        <f t="shared" si="55"/>
        <v>One-off</v>
      </c>
      <c r="AC482" s="101" t="str">
        <f t="shared" si="58"/>
        <v>RON</v>
      </c>
      <c r="AD482" s="101">
        <f t="shared" si="59"/>
        <v>10000</v>
      </c>
    </row>
    <row r="483" spans="1:30">
      <c r="A483" s="101">
        <f t="shared" si="60"/>
        <v>14</v>
      </c>
      <c r="B483" s="101">
        <f t="shared" si="56"/>
        <v>14</v>
      </c>
      <c r="C483" s="101" t="str">
        <f t="shared" si="57"/>
        <v>T14</v>
      </c>
      <c r="D483" s="101" t="str">
        <f>IF(A483&lt;&gt;A482,VLOOKUP(A483,'Date SPV'!$A:$D,4,FALSE),D482)</f>
        <v>Constanta Shopping City SRL</v>
      </c>
      <c r="E483" s="101" t="str">
        <f>VLOOKUP(A483,'Date SPV'!$A$4:$B$34,2,FALSE)</f>
        <v>RCSC</v>
      </c>
      <c r="H483" s="105" t="s">
        <v>894</v>
      </c>
      <c r="K483" s="101" t="str">
        <f>VLOOKUP(C483,'Preturi si tarife'!$A$4:$B$39,2,FALSE)</f>
        <v>Tarif distributie SDI JT</v>
      </c>
      <c r="L483" s="102">
        <f>IF(B483=1,'Date masura OD'!$I$5,IF(B483=19,'Date masura OD'!$AK$5,L482))</f>
        <v>45778</v>
      </c>
      <c r="M483" s="102">
        <f>IF(B483=1,'Date masura OD'!$J$5,IF(B483=19,'Date masura OD'!$AL$5,M482))</f>
        <v>45808</v>
      </c>
      <c r="N483" s="104">
        <f>VLOOKUP(E483,verificare!$AR$4:$CC$33,B483+2,FALSE)</f>
        <v>1447555</v>
      </c>
      <c r="O483" s="103">
        <f>HLOOKUP(VLOOKUP(E483,'Date SPV'!$B$4:$F$34,5,FALSE),'Preturi si tarife'!$C$2:$J$39,B483+2,FALSE)*10000</f>
        <v>987</v>
      </c>
      <c r="Q483" s="101" t="str">
        <f t="shared" si="52"/>
        <v>One-off</v>
      </c>
      <c r="R483" s="101" t="str">
        <f>VLOOKUP(K483,'Preturi si tarife'!$B$4:$K$39,10,FALSE)</f>
        <v>ICOENG0010</v>
      </c>
      <c r="T483" s="101" t="str">
        <f t="shared" si="53"/>
        <v>INV + 30</v>
      </c>
      <c r="V483" s="101" t="str">
        <f t="shared" si="54"/>
        <v>Active</v>
      </c>
      <c r="X483" s="101" t="str">
        <f t="shared" si="55"/>
        <v>One-off</v>
      </c>
      <c r="AC483" s="101" t="str">
        <f t="shared" si="58"/>
        <v>RON</v>
      </c>
      <c r="AD483" s="101">
        <f t="shared" si="59"/>
        <v>10000</v>
      </c>
    </row>
    <row r="484" spans="1:30">
      <c r="A484" s="101">
        <f t="shared" si="60"/>
        <v>14</v>
      </c>
      <c r="B484" s="101">
        <f t="shared" si="56"/>
        <v>15</v>
      </c>
      <c r="C484" s="101" t="str">
        <f t="shared" si="57"/>
        <v>T15</v>
      </c>
      <c r="D484" s="101" t="str">
        <f>IF(A484&lt;&gt;A483,VLOOKUP(A484,'Date SPV'!$A:$D,4,FALSE),D483)</f>
        <v>Constanta Shopping City SRL</v>
      </c>
      <c r="E484" s="101" t="str">
        <f>VLOOKUP(A484,'Date SPV'!$A$4:$B$34,2,FALSE)</f>
        <v>RCSC</v>
      </c>
      <c r="H484" s="105" t="s">
        <v>894</v>
      </c>
      <c r="K484" s="101" t="str">
        <f>VLOOKUP(C484,'Preturi si tarife'!$A$4:$B$39,2,FALSE)</f>
        <v>Energie activa 2</v>
      </c>
      <c r="L484" s="102">
        <f>IF(B484=1,'Date masura OD'!$I$5,IF(B484=19,'Date masura OD'!$AK$5,L483))</f>
        <v>45778</v>
      </c>
      <c r="M484" s="102">
        <f>IF(B484=1,'Date masura OD'!$J$5,IF(B484=19,'Date masura OD'!$AL$5,M483))</f>
        <v>45808</v>
      </c>
      <c r="N484" s="104">
        <f>VLOOKUP(E484,verificare!$AR$4:$CC$33,B484+2,FALSE)</f>
        <v>69144</v>
      </c>
      <c r="O484" s="103">
        <f>HLOOKUP(VLOOKUP(E484,'Date SPV'!$B$4:$F$34,5,FALSE),'Preturi si tarife'!$C$2:$J$39,B484+2,FALSE)*10000</f>
        <v>9177.5760000000009</v>
      </c>
      <c r="Q484" s="101" t="str">
        <f t="shared" si="52"/>
        <v>One-off</v>
      </c>
      <c r="R484" s="101" t="str">
        <f>VLOOKUP(K484,'Preturi si tarife'!$B$4:$K$39,10,FALSE)</f>
        <v>ICOENG0012</v>
      </c>
      <c r="T484" s="101" t="str">
        <f t="shared" si="53"/>
        <v>INV + 30</v>
      </c>
      <c r="V484" s="101" t="str">
        <f t="shared" si="54"/>
        <v>Active</v>
      </c>
      <c r="X484" s="101" t="str">
        <f t="shared" si="55"/>
        <v>One-off</v>
      </c>
      <c r="AC484" s="101" t="str">
        <f t="shared" si="58"/>
        <v>RON</v>
      </c>
      <c r="AD484" s="101">
        <f t="shared" si="59"/>
        <v>10000</v>
      </c>
    </row>
    <row r="485" spans="1:30">
      <c r="A485" s="101">
        <f t="shared" si="60"/>
        <v>14</v>
      </c>
      <c r="B485" s="101">
        <f t="shared" si="56"/>
        <v>16</v>
      </c>
      <c r="C485" s="101" t="str">
        <f t="shared" si="57"/>
        <v>T16</v>
      </c>
      <c r="D485" s="101" t="str">
        <f>IF(A485&lt;&gt;A484,VLOOKUP(A485,'Date SPV'!$A:$D,4,FALSE),D484)</f>
        <v>Constanta Shopping City SRL</v>
      </c>
      <c r="E485" s="101" t="str">
        <f>VLOOKUP(A485,'Date SPV'!$A$4:$B$34,2,FALSE)</f>
        <v>RCSC</v>
      </c>
      <c r="H485" s="105" t="s">
        <v>894</v>
      </c>
      <c r="K485" s="101" t="str">
        <f>VLOOKUP(C485,'Preturi si tarife'!$A$4:$B$39,2,FALSE)</f>
        <v>Energie activa 3</v>
      </c>
      <c r="L485" s="102">
        <f>IF(B485=1,'Date masura OD'!$I$5,IF(B485=19,'Date masura OD'!$AK$5,L484))</f>
        <v>45778</v>
      </c>
      <c r="M485" s="102">
        <f>IF(B485=1,'Date masura OD'!$J$5,IF(B485=19,'Date masura OD'!$AL$5,M484))</f>
        <v>45808</v>
      </c>
      <c r="N485" s="104">
        <f>VLOOKUP(E485,verificare!$AR$4:$CC$33,B485+2,FALSE)</f>
        <v>0</v>
      </c>
      <c r="O485" s="103">
        <f>HLOOKUP(VLOOKUP(E485,'Date SPV'!$B$4:$F$34,5,FALSE),'Preturi si tarife'!$C$2:$J$39,B485+2,FALSE)*10000</f>
        <v>8052.576</v>
      </c>
      <c r="Q485" s="101" t="str">
        <f t="shared" si="52"/>
        <v>One-off</v>
      </c>
      <c r="R485" s="101" t="str">
        <f>VLOOKUP(K485,'Preturi si tarife'!$B$4:$K$39,10,FALSE)</f>
        <v>ICOENG0012</v>
      </c>
      <c r="T485" s="101" t="str">
        <f t="shared" si="53"/>
        <v>INV + 30</v>
      </c>
      <c r="V485" s="101" t="str">
        <f t="shared" si="54"/>
        <v>Active</v>
      </c>
      <c r="X485" s="101" t="str">
        <f t="shared" si="55"/>
        <v>One-off</v>
      </c>
      <c r="AC485" s="101" t="str">
        <f t="shared" si="58"/>
        <v>RON</v>
      </c>
      <c r="AD485" s="101">
        <f t="shared" si="59"/>
        <v>10000</v>
      </c>
    </row>
    <row r="486" spans="1:30">
      <c r="A486" s="101">
        <f t="shared" si="60"/>
        <v>14</v>
      </c>
      <c r="B486" s="101">
        <f t="shared" si="56"/>
        <v>17</v>
      </c>
      <c r="C486" s="101" t="str">
        <f t="shared" si="57"/>
        <v>T17</v>
      </c>
      <c r="D486" s="101" t="str">
        <f>IF(A486&lt;&gt;A485,VLOOKUP(A486,'Date SPV'!$A:$D,4,FALSE),D485)</f>
        <v>Constanta Shopping City SRL</v>
      </c>
      <c r="E486" s="101" t="str">
        <f>VLOOKUP(A486,'Date SPV'!$A$4:$B$34,2,FALSE)</f>
        <v>RCSC</v>
      </c>
      <c r="H486" s="105" t="s">
        <v>894</v>
      </c>
      <c r="K486" s="101" t="str">
        <f>VLOOKUP(C486,'Preturi si tarife'!$A$4:$B$39,2,FALSE)</f>
        <v>Tarif distributie SDI MT_</v>
      </c>
      <c r="L486" s="102">
        <f>IF(B486=1,'Date masura OD'!$I$5,IF(B486=19,'Date masura OD'!$AK$5,L485))</f>
        <v>45778</v>
      </c>
      <c r="M486" s="102">
        <f>IF(B486=1,'Date masura OD'!$J$5,IF(B486=19,'Date masura OD'!$AL$5,M485))</f>
        <v>45808</v>
      </c>
      <c r="N486" s="104">
        <f>VLOOKUP(E486,verificare!$AR$4:$CC$33,B486+2,FALSE)</f>
        <v>0</v>
      </c>
      <c r="O486" s="103">
        <f>HLOOKUP(VLOOKUP(E486,'Date SPV'!$B$4:$F$34,5,FALSE),'Preturi si tarife'!$C$2:$J$39,B486+2,FALSE)*10000</f>
        <v>138.00000000000003</v>
      </c>
      <c r="Q486" s="101" t="str">
        <f t="shared" si="52"/>
        <v>One-off</v>
      </c>
      <c r="R486" s="101" t="str">
        <f>VLOOKUP(K486,'Preturi si tarife'!$B$4:$K$39,10,FALSE)</f>
        <v>ICOENG0010</v>
      </c>
      <c r="T486" s="101" t="str">
        <f t="shared" si="53"/>
        <v>INV + 30</v>
      </c>
      <c r="V486" s="101" t="str">
        <f t="shared" si="54"/>
        <v>Active</v>
      </c>
      <c r="X486" s="101" t="str">
        <f t="shared" si="55"/>
        <v>One-off</v>
      </c>
      <c r="AC486" s="101" t="str">
        <f t="shared" si="58"/>
        <v>RON</v>
      </c>
      <c r="AD486" s="101">
        <f t="shared" si="59"/>
        <v>10000</v>
      </c>
    </row>
    <row r="487" spans="1:30">
      <c r="A487" s="101">
        <f t="shared" si="60"/>
        <v>14</v>
      </c>
      <c r="B487" s="101">
        <f t="shared" si="56"/>
        <v>18</v>
      </c>
      <c r="C487" s="101" t="str">
        <f t="shared" si="57"/>
        <v>T18</v>
      </c>
      <c r="D487" s="101" t="str">
        <f>IF(A487&lt;&gt;A486,VLOOKUP(A487,'Date SPV'!$A:$D,4,FALSE),D486)</f>
        <v>Constanta Shopping City SRL</v>
      </c>
      <c r="E487" s="101" t="str">
        <f>VLOOKUP(A487,'Date SPV'!$A$4:$B$34,2,FALSE)</f>
        <v>RCSC</v>
      </c>
      <c r="H487" s="105" t="s">
        <v>894</v>
      </c>
      <c r="K487" s="101" t="str">
        <f>VLOOKUP(C487,'Preturi si tarife'!$A$4:$B$39,2,FALSE)</f>
        <v>Tarif distributie SDI JT_</v>
      </c>
      <c r="L487" s="102">
        <f>IF(B487=1,'Date masura OD'!$I$5,IF(B487=19,'Date masura OD'!$AK$5,L486))</f>
        <v>45778</v>
      </c>
      <c r="M487" s="102">
        <f>IF(B487=1,'Date masura OD'!$J$5,IF(B487=19,'Date masura OD'!$AL$5,M486))</f>
        <v>45808</v>
      </c>
      <c r="N487" s="104">
        <f>VLOOKUP(E487,verificare!$AR$4:$CC$33,B487+2,FALSE)</f>
        <v>0</v>
      </c>
      <c r="O487" s="103">
        <f>HLOOKUP(VLOOKUP(E487,'Date SPV'!$B$4:$F$34,5,FALSE),'Preturi si tarife'!$C$2:$J$39,B487+2,FALSE)*10000</f>
        <v>987</v>
      </c>
      <c r="Q487" s="101" t="str">
        <f t="shared" si="52"/>
        <v>One-off</v>
      </c>
      <c r="R487" s="101" t="str">
        <f>VLOOKUP(K487,'Preturi si tarife'!$B$4:$K$39,10,FALSE)</f>
        <v>ICOENG0010</v>
      </c>
      <c r="T487" s="101" t="str">
        <f t="shared" si="53"/>
        <v>INV + 30</v>
      </c>
      <c r="V487" s="101" t="str">
        <f t="shared" si="54"/>
        <v>Active</v>
      </c>
      <c r="X487" s="101" t="str">
        <f t="shared" si="55"/>
        <v>One-off</v>
      </c>
      <c r="AC487" s="101" t="str">
        <f t="shared" si="58"/>
        <v>RON</v>
      </c>
      <c r="AD487" s="101">
        <f t="shared" si="59"/>
        <v>10000</v>
      </c>
    </row>
    <row r="488" spans="1:30">
      <c r="A488" s="101">
        <f t="shared" si="60"/>
        <v>14</v>
      </c>
      <c r="B488" s="101">
        <f t="shared" si="56"/>
        <v>19</v>
      </c>
      <c r="C488" s="101" t="str">
        <f t="shared" si="57"/>
        <v>T19</v>
      </c>
      <c r="D488" s="101" t="str">
        <f>IF(A488&lt;&gt;A487,VLOOKUP(A488,'Date SPV'!$A:$D,4,FALSE),D487)</f>
        <v>Constanta Shopping City SRL</v>
      </c>
      <c r="E488" s="101" t="str">
        <f>VLOOKUP(A488,'Date SPV'!$A$4:$B$34,2,FALSE)</f>
        <v>RCSC</v>
      </c>
      <c r="H488" s="105" t="s">
        <v>894</v>
      </c>
      <c r="K488" s="101" t="str">
        <f>VLOOKUP(C488,'Preturi si tarife'!$A$4:$B$39,2,FALSE)</f>
        <v>Regularizare Energie activa 1</v>
      </c>
      <c r="L488" s="102">
        <f>IF(B488=1,'Date masura OD'!$I$5,IF(B488=19,'Date masura OD'!$AK$5,L487))</f>
        <v>45748</v>
      </c>
      <c r="M488" s="102">
        <f>IF(B488=1,'Date masura OD'!$J$5,IF(B488=19,'Date masura OD'!$AL$5,M487))</f>
        <v>45777</v>
      </c>
      <c r="N488" s="104">
        <f>VLOOKUP(E488,verificare!$AR$4:$CC$33,B488+2,FALSE)</f>
        <v>0</v>
      </c>
      <c r="O488" s="103">
        <f>HLOOKUP(VLOOKUP(E488,'Date SPV'!$B$4:$F$34,5,FALSE),'Preturi si tarife'!$C$2:$J$39,B488+2,FALSE)*10000</f>
        <v>5950</v>
      </c>
      <c r="Q488" s="101" t="str">
        <f t="shared" si="52"/>
        <v>One-off</v>
      </c>
      <c r="R488" s="101" t="str">
        <f>VLOOKUP(K488,'Preturi si tarife'!$B$4:$K$39,10,FALSE)</f>
        <v>ICOENG0001</v>
      </c>
      <c r="T488" s="101" t="str">
        <f t="shared" si="53"/>
        <v>INV + 30</v>
      </c>
      <c r="V488" s="101" t="str">
        <f t="shared" si="54"/>
        <v>Active</v>
      </c>
      <c r="X488" s="101" t="str">
        <f t="shared" si="55"/>
        <v>One-off</v>
      </c>
      <c r="AC488" s="101" t="str">
        <f t="shared" si="58"/>
        <v>RON</v>
      </c>
      <c r="AD488" s="101">
        <f t="shared" si="59"/>
        <v>10000</v>
      </c>
    </row>
    <row r="489" spans="1:30">
      <c r="A489" s="101">
        <f t="shared" si="60"/>
        <v>14</v>
      </c>
      <c r="B489" s="101">
        <f t="shared" si="56"/>
        <v>20</v>
      </c>
      <c r="C489" s="101" t="str">
        <f t="shared" si="57"/>
        <v>T20</v>
      </c>
      <c r="D489" s="101" t="str">
        <f>IF(A489&lt;&gt;A488,VLOOKUP(A489,'Date SPV'!$A:$D,4,FALSE),D488)</f>
        <v>Constanta Shopping City SRL</v>
      </c>
      <c r="E489" s="101" t="str">
        <f>VLOOKUP(A489,'Date SPV'!$A$4:$B$34,2,FALSE)</f>
        <v>RCSC</v>
      </c>
      <c r="H489" s="105" t="s">
        <v>894</v>
      </c>
      <c r="K489" s="101" t="str">
        <f>VLOOKUP(C489,'Preturi si tarife'!$A$4:$B$39,2,FALSE)</f>
        <v>Regularizare Energie reactiva  1X</v>
      </c>
      <c r="L489" s="102">
        <f>IF(B489=1,'Date masura OD'!$I$5,IF(B489=19,'Date masura OD'!$AK$5,L488))</f>
        <v>45748</v>
      </c>
      <c r="M489" s="102">
        <f>IF(B489=1,'Date masura OD'!$J$5,IF(B489=19,'Date masura OD'!$AL$5,M488))</f>
        <v>45777</v>
      </c>
      <c r="N489" s="104">
        <f>VLOOKUP(E489,verificare!$AR$4:$CC$33,B489+2,FALSE)</f>
        <v>29</v>
      </c>
      <c r="O489" s="103">
        <f>HLOOKUP(VLOOKUP(E489,'Date SPV'!$B$4:$F$34,5,FALSE),'Preturi si tarife'!$C$2:$J$39,B489+2,FALSE)*10000</f>
        <v>1466</v>
      </c>
      <c r="Q489" s="101" t="str">
        <f t="shared" si="52"/>
        <v>One-off</v>
      </c>
      <c r="R489" s="101" t="str">
        <f>VLOOKUP(K489,'Preturi si tarife'!$B$4:$K$39,10,FALSE)</f>
        <v>ICOENG0001</v>
      </c>
      <c r="T489" s="101" t="str">
        <f t="shared" si="53"/>
        <v>INV + 30</v>
      </c>
      <c r="V489" s="101" t="str">
        <f t="shared" si="54"/>
        <v>Active</v>
      </c>
      <c r="X489" s="101" t="str">
        <f t="shared" si="55"/>
        <v>One-off</v>
      </c>
      <c r="AC489" s="101" t="str">
        <f t="shared" si="58"/>
        <v>RON</v>
      </c>
      <c r="AD489" s="101">
        <f t="shared" si="59"/>
        <v>10000</v>
      </c>
    </row>
    <row r="490" spans="1:30">
      <c r="A490" s="101">
        <f t="shared" si="60"/>
        <v>14</v>
      </c>
      <c r="B490" s="101">
        <f t="shared" si="56"/>
        <v>21</v>
      </c>
      <c r="C490" s="101" t="str">
        <f t="shared" si="57"/>
        <v>T21</v>
      </c>
      <c r="D490" s="101" t="str">
        <f>IF(A490&lt;&gt;A489,VLOOKUP(A490,'Date SPV'!$A:$D,4,FALSE),D489)</f>
        <v>Constanta Shopping City SRL</v>
      </c>
      <c r="E490" s="101" t="str">
        <f>VLOOKUP(A490,'Date SPV'!$A$4:$B$34,2,FALSE)</f>
        <v>RCSC</v>
      </c>
      <c r="H490" s="105" t="s">
        <v>894</v>
      </c>
      <c r="K490" s="101" t="str">
        <f>VLOOKUP(C490,'Preturi si tarife'!$A$4:$B$39,2,FALSE)</f>
        <v>Regularizare Energie reactiva  3X</v>
      </c>
      <c r="L490" s="102">
        <f>IF(B490=1,'Date masura OD'!$I$5,IF(B490=19,'Date masura OD'!$AK$5,L489))</f>
        <v>45748</v>
      </c>
      <c r="M490" s="102">
        <f>IF(B490=1,'Date masura OD'!$J$5,IF(B490=19,'Date masura OD'!$AL$5,M489))</f>
        <v>45777</v>
      </c>
      <c r="N490" s="104">
        <f>VLOOKUP(E490,verificare!$AR$4:$CC$33,B490+2,FALSE)</f>
        <v>0</v>
      </c>
      <c r="O490" s="103">
        <f>HLOOKUP(VLOOKUP(E490,'Date SPV'!$B$4:$F$34,5,FALSE),'Preturi si tarife'!$C$2:$J$39,B490+2,FALSE)*10000</f>
        <v>4398</v>
      </c>
      <c r="Q490" s="101" t="str">
        <f t="shared" si="52"/>
        <v>One-off</v>
      </c>
      <c r="R490" s="101" t="str">
        <f>VLOOKUP(K490,'Preturi si tarife'!$B$4:$K$39,10,FALSE)</f>
        <v>ICOENG0001</v>
      </c>
      <c r="T490" s="101" t="str">
        <f t="shared" si="53"/>
        <v>INV + 30</v>
      </c>
      <c r="V490" s="101" t="str">
        <f t="shared" si="54"/>
        <v>Active</v>
      </c>
      <c r="X490" s="101" t="str">
        <f t="shared" si="55"/>
        <v>One-off</v>
      </c>
      <c r="AC490" s="101" t="str">
        <f t="shared" si="58"/>
        <v>RON</v>
      </c>
      <c r="AD490" s="101">
        <f t="shared" si="59"/>
        <v>10000</v>
      </c>
    </row>
    <row r="491" spans="1:30">
      <c r="A491" s="101">
        <f t="shared" si="60"/>
        <v>14</v>
      </c>
      <c r="B491" s="101">
        <f t="shared" si="56"/>
        <v>22</v>
      </c>
      <c r="C491" s="101" t="str">
        <f t="shared" si="57"/>
        <v>T22</v>
      </c>
      <c r="D491" s="101" t="str">
        <f>IF(A491&lt;&gt;A490,VLOOKUP(A491,'Date SPV'!$A:$D,4,FALSE),D490)</f>
        <v>Constanta Shopping City SRL</v>
      </c>
      <c r="E491" s="101" t="str">
        <f>VLOOKUP(A491,'Date SPV'!$A$4:$B$34,2,FALSE)</f>
        <v>RCSC</v>
      </c>
      <c r="H491" s="105" t="s">
        <v>894</v>
      </c>
      <c r="K491" s="101" t="str">
        <f>VLOOKUP(C491,'Preturi si tarife'!$A$4:$B$39,2,FALSE)</f>
        <v>Regularizare Tarife distributie en. El IT+MT</v>
      </c>
      <c r="L491" s="102">
        <f>IF(B491=1,'Date masura OD'!$I$5,IF(B491=19,'Date masura OD'!$AK$5,L490))</f>
        <v>45748</v>
      </c>
      <c r="M491" s="102">
        <f>IF(B491=1,'Date masura OD'!$J$5,IF(B491=19,'Date masura OD'!$AL$5,M490))</f>
        <v>45777</v>
      </c>
      <c r="N491" s="104">
        <f>VLOOKUP(E491,verificare!$AR$4:$CC$33,B491+2,FALSE)</f>
        <v>0</v>
      </c>
      <c r="O491" s="103">
        <f>HLOOKUP(VLOOKUP(E491,'Date SPV'!$B$4:$F$34,5,FALSE),'Preturi si tarife'!$C$2:$J$39,B491+2,FALSE)*10000</f>
        <v>861.80000000000007</v>
      </c>
      <c r="Q491" s="101" t="str">
        <f t="shared" si="52"/>
        <v>One-off</v>
      </c>
      <c r="R491" s="101" t="str">
        <f>VLOOKUP(K491,'Preturi si tarife'!$B$4:$K$39,10,FALSE)</f>
        <v>ICOENG0001</v>
      </c>
      <c r="T491" s="101" t="str">
        <f t="shared" si="53"/>
        <v>INV + 30</v>
      </c>
      <c r="V491" s="101" t="str">
        <f t="shared" si="54"/>
        <v>Active</v>
      </c>
      <c r="X491" s="101" t="str">
        <f t="shared" si="55"/>
        <v>One-off</v>
      </c>
      <c r="AC491" s="101" t="str">
        <f t="shared" si="58"/>
        <v>RON</v>
      </c>
      <c r="AD491" s="101">
        <f t="shared" si="59"/>
        <v>10000</v>
      </c>
    </row>
    <row r="492" spans="1:30">
      <c r="A492" s="101">
        <f t="shared" si="60"/>
        <v>14</v>
      </c>
      <c r="B492" s="101">
        <f t="shared" si="56"/>
        <v>23</v>
      </c>
      <c r="C492" s="101" t="str">
        <f t="shared" si="57"/>
        <v>T23</v>
      </c>
      <c r="D492" s="101" t="str">
        <f>IF(A492&lt;&gt;A491,VLOOKUP(A492,'Date SPV'!$A:$D,4,FALSE),D491)</f>
        <v>Constanta Shopping City SRL</v>
      </c>
      <c r="E492" s="101" t="str">
        <f>VLOOKUP(A492,'Date SPV'!$A$4:$B$34,2,FALSE)</f>
        <v>RCSC</v>
      </c>
      <c r="H492" s="105" t="s">
        <v>894</v>
      </c>
      <c r="K492" s="101" t="str">
        <f>VLOOKUP(C492,'Preturi si tarife'!$A$4:$B$39,2,FALSE)</f>
        <v>Regularizare Tarife distributie en. El JT</v>
      </c>
      <c r="L492" s="102">
        <f>IF(B492=1,'Date masura OD'!$I$5,IF(B492=19,'Date masura OD'!$AK$5,L491))</f>
        <v>45748</v>
      </c>
      <c r="M492" s="102">
        <f>IF(B492=1,'Date masura OD'!$J$5,IF(B492=19,'Date masura OD'!$AL$5,M491))</f>
        <v>45777</v>
      </c>
      <c r="N492" s="104">
        <f>VLOOKUP(E492,verificare!$AR$4:$CC$33,B492+2,FALSE)</f>
        <v>0</v>
      </c>
      <c r="O492" s="103">
        <f>HLOOKUP(VLOOKUP(E492,'Date SPV'!$B$4:$F$34,5,FALSE),'Preturi si tarife'!$C$2:$J$39,B492+2,FALSE)*10000</f>
        <v>2079</v>
      </c>
      <c r="Q492" s="101" t="str">
        <f t="shared" si="52"/>
        <v>One-off</v>
      </c>
      <c r="R492" s="101" t="str">
        <f>VLOOKUP(K492,'Preturi si tarife'!$B$4:$K$39,10,FALSE)</f>
        <v>ICOENG0001</v>
      </c>
      <c r="T492" s="101" t="str">
        <f t="shared" si="53"/>
        <v>INV + 30</v>
      </c>
      <c r="V492" s="101" t="str">
        <f t="shared" si="54"/>
        <v>Active</v>
      </c>
      <c r="X492" s="101" t="str">
        <f t="shared" si="55"/>
        <v>One-off</v>
      </c>
      <c r="AC492" s="101" t="str">
        <f t="shared" si="58"/>
        <v>RON</v>
      </c>
      <c r="AD492" s="101">
        <f t="shared" si="59"/>
        <v>10000</v>
      </c>
    </row>
    <row r="493" spans="1:30">
      <c r="A493" s="101">
        <f t="shared" si="60"/>
        <v>14</v>
      </c>
      <c r="B493" s="101">
        <f t="shared" si="56"/>
        <v>24</v>
      </c>
      <c r="C493" s="101" t="str">
        <f t="shared" si="57"/>
        <v>T24</v>
      </c>
      <c r="D493" s="101" t="str">
        <f>IF(A493&lt;&gt;A492,VLOOKUP(A493,'Date SPV'!$A:$D,4,FALSE),D492)</f>
        <v>Constanta Shopping City SRL</v>
      </c>
      <c r="E493" s="101" t="str">
        <f>VLOOKUP(A493,'Date SPV'!$A$4:$B$34,2,FALSE)</f>
        <v>RCSC</v>
      </c>
      <c r="H493" s="105" t="s">
        <v>894</v>
      </c>
      <c r="K493" s="101" t="str">
        <f>VLOOKUP(C493,'Preturi si tarife'!$A$4:$B$39,2,FALSE)</f>
        <v xml:space="preserve">Regularizare Servicii Sistem </v>
      </c>
      <c r="L493" s="102">
        <f>IF(B493=1,'Date masura OD'!$I$5,IF(B493=19,'Date masura OD'!$AK$5,L492))</f>
        <v>45748</v>
      </c>
      <c r="M493" s="102">
        <f>IF(B493=1,'Date masura OD'!$J$5,IF(B493=19,'Date masura OD'!$AL$5,M492))</f>
        <v>45777</v>
      </c>
      <c r="N493" s="104">
        <f>VLOOKUP(E493,verificare!$AR$4:$CC$33,B493+2,FALSE)</f>
        <v>0</v>
      </c>
      <c r="O493" s="103">
        <f>HLOOKUP(VLOOKUP(E493,'Date SPV'!$B$4:$F$34,5,FALSE),'Preturi si tarife'!$C$2:$J$39,B493+2,FALSE)*10000</f>
        <v>115.1</v>
      </c>
      <c r="Q493" s="101" t="str">
        <f t="shared" si="52"/>
        <v>One-off</v>
      </c>
      <c r="R493" s="101" t="str">
        <f>VLOOKUP(K493,'Preturi si tarife'!$B$4:$K$39,10,FALSE)</f>
        <v>ICOENG0001</v>
      </c>
      <c r="T493" s="101" t="str">
        <f t="shared" si="53"/>
        <v>INV + 30</v>
      </c>
      <c r="V493" s="101" t="str">
        <f t="shared" si="54"/>
        <v>Active</v>
      </c>
      <c r="X493" s="101" t="str">
        <f t="shared" si="55"/>
        <v>One-off</v>
      </c>
      <c r="AC493" s="101" t="str">
        <f t="shared" si="58"/>
        <v>RON</v>
      </c>
      <c r="AD493" s="101">
        <f t="shared" si="59"/>
        <v>10000</v>
      </c>
    </row>
    <row r="494" spans="1:30">
      <c r="A494" s="101">
        <f t="shared" si="60"/>
        <v>14</v>
      </c>
      <c r="B494" s="101">
        <f t="shared" si="56"/>
        <v>25</v>
      </c>
      <c r="C494" s="101" t="str">
        <f t="shared" si="57"/>
        <v>T25</v>
      </c>
      <c r="D494" s="101" t="str">
        <f>IF(A494&lt;&gt;A493,VLOOKUP(A494,'Date SPV'!$A:$D,4,FALSE),D493)</f>
        <v>Constanta Shopping City SRL</v>
      </c>
      <c r="E494" s="101" t="str">
        <f>VLOOKUP(A494,'Date SPV'!$A$4:$B$34,2,FALSE)</f>
        <v>RCSC</v>
      </c>
      <c r="H494" s="105" t="s">
        <v>894</v>
      </c>
      <c r="K494" s="101" t="str">
        <f>VLOOKUP(C494,'Preturi si tarife'!$A$4:$B$39,2,FALSE)</f>
        <v>Regularizare Tarif de introducere en. el in retea (TL)</v>
      </c>
      <c r="L494" s="102">
        <f>IF(B494=1,'Date masura OD'!$I$5,IF(B494=19,'Date masura OD'!$AK$5,L493))</f>
        <v>45748</v>
      </c>
      <c r="M494" s="102">
        <f>IF(B494=1,'Date masura OD'!$J$5,IF(B494=19,'Date masura OD'!$AL$5,M493))</f>
        <v>45777</v>
      </c>
      <c r="N494" s="104">
        <f>VLOOKUP(E494,verificare!$AR$4:$CC$33,B494+2,FALSE)</f>
        <v>0</v>
      </c>
      <c r="O494" s="103">
        <f>HLOOKUP(VLOOKUP(E494,'Date SPV'!$B$4:$F$34,5,FALSE),'Preturi si tarife'!$C$2:$J$39,B494+2,FALSE)*10000</f>
        <v>330.3</v>
      </c>
      <c r="Q494" s="101" t="str">
        <f t="shared" si="52"/>
        <v>One-off</v>
      </c>
      <c r="R494" s="101" t="str">
        <f>VLOOKUP(K494,'Preturi si tarife'!$B$4:$K$39,10,FALSE)</f>
        <v>ICOENG0001</v>
      </c>
      <c r="T494" s="101" t="str">
        <f t="shared" si="53"/>
        <v>INV + 30</v>
      </c>
      <c r="V494" s="101" t="str">
        <f t="shared" si="54"/>
        <v>Active</v>
      </c>
      <c r="X494" s="101" t="str">
        <f t="shared" si="55"/>
        <v>One-off</v>
      </c>
      <c r="AC494" s="101" t="str">
        <f t="shared" si="58"/>
        <v>RON</v>
      </c>
      <c r="AD494" s="101">
        <f t="shared" si="59"/>
        <v>10000</v>
      </c>
    </row>
    <row r="495" spans="1:30">
      <c r="A495" s="101">
        <f t="shared" si="60"/>
        <v>14</v>
      </c>
      <c r="B495" s="101">
        <f t="shared" si="56"/>
        <v>26</v>
      </c>
      <c r="C495" s="101" t="str">
        <f t="shared" si="57"/>
        <v>T26</v>
      </c>
      <c r="D495" s="101" t="str">
        <f>IF(A495&lt;&gt;A494,VLOOKUP(A495,'Date SPV'!$A:$D,4,FALSE),D494)</f>
        <v>Constanta Shopping City SRL</v>
      </c>
      <c r="E495" s="101" t="str">
        <f>VLOOKUP(A495,'Date SPV'!$A$4:$B$34,2,FALSE)</f>
        <v>RCSC</v>
      </c>
      <c r="H495" s="105" t="s">
        <v>894</v>
      </c>
      <c r="K495" s="101" t="str">
        <f>VLOOKUP(C495,'Preturi si tarife'!$A$4:$B$39,2,FALSE)</f>
        <v>Regularizare Tarif de introducere en.el in retea (TG)</v>
      </c>
      <c r="L495" s="102">
        <f>IF(B495=1,'Date masura OD'!$I$5,IF(B495=19,'Date masura OD'!$AK$5,L494))</f>
        <v>45748</v>
      </c>
      <c r="M495" s="102">
        <f>IF(B495=1,'Date masura OD'!$J$5,IF(B495=19,'Date masura OD'!$AL$5,M494))</f>
        <v>45777</v>
      </c>
      <c r="N495" s="104">
        <f>VLOOKUP(E495,verificare!$AR$4:$CC$33,B495+2,FALSE)</f>
        <v>0</v>
      </c>
      <c r="O495" s="103">
        <f>HLOOKUP(VLOOKUP(E495,'Date SPV'!$B$4:$F$34,5,FALSE),'Preturi si tarife'!$C$2:$J$39,B495+2,FALSE)*10000</f>
        <v>32.9</v>
      </c>
      <c r="Q495" s="101" t="str">
        <f t="shared" si="52"/>
        <v>One-off</v>
      </c>
      <c r="R495" s="101" t="str">
        <f>VLOOKUP(K495,'Preturi si tarife'!$B$4:$K$39,10,FALSE)</f>
        <v>ICOENG0001</v>
      </c>
      <c r="T495" s="101" t="str">
        <f t="shared" si="53"/>
        <v>INV + 30</v>
      </c>
      <c r="V495" s="101" t="str">
        <f t="shared" si="54"/>
        <v>Active</v>
      </c>
      <c r="X495" s="101" t="str">
        <f t="shared" si="55"/>
        <v>One-off</v>
      </c>
      <c r="AC495" s="101" t="str">
        <f t="shared" si="58"/>
        <v>RON</v>
      </c>
      <c r="AD495" s="101">
        <f t="shared" si="59"/>
        <v>10000</v>
      </c>
    </row>
    <row r="496" spans="1:30">
      <c r="A496" s="101">
        <f t="shared" si="60"/>
        <v>14</v>
      </c>
      <c r="B496" s="101">
        <f t="shared" si="56"/>
        <v>27</v>
      </c>
      <c r="C496" s="101" t="str">
        <f t="shared" si="57"/>
        <v>T27</v>
      </c>
      <c r="D496" s="101" t="str">
        <f>IF(A496&lt;&gt;A495,VLOOKUP(A496,'Date SPV'!$A:$D,4,FALSE),D495)</f>
        <v>Constanta Shopping City SRL</v>
      </c>
      <c r="E496" s="101" t="str">
        <f>VLOOKUP(A496,'Date SPV'!$A$4:$B$34,2,FALSE)</f>
        <v>RCSC</v>
      </c>
      <c r="H496" s="105" t="s">
        <v>894</v>
      </c>
      <c r="K496" s="101" t="str">
        <f>VLOOKUP(C496,'Preturi si tarife'!$A$4:$B$39,2,FALSE)</f>
        <v>Regularizare Contributie pentru cogenerare</v>
      </c>
      <c r="L496" s="102">
        <f>IF(B496=1,'Date masura OD'!$I$5,IF(B496=19,'Date masura OD'!$AK$5,L495))</f>
        <v>45748</v>
      </c>
      <c r="M496" s="102">
        <f>IF(B496=1,'Date masura OD'!$J$5,IF(B496=19,'Date masura OD'!$AL$5,M495))</f>
        <v>45777</v>
      </c>
      <c r="N496" s="104">
        <f>VLOOKUP(E496,verificare!$AR$4:$CC$33,B496+2,FALSE)</f>
        <v>0</v>
      </c>
      <c r="O496" s="103">
        <f>HLOOKUP(VLOOKUP(E496,'Date SPV'!$B$4:$F$34,5,FALSE),'Preturi si tarife'!$C$2:$J$39,B496+2,FALSE)*10000</f>
        <v>35</v>
      </c>
      <c r="Q496" s="101" t="str">
        <f t="shared" si="52"/>
        <v>One-off</v>
      </c>
      <c r="R496" s="101" t="str">
        <f>VLOOKUP(K496,'Preturi si tarife'!$B$4:$K$39,10,FALSE)</f>
        <v>ICOENG0001</v>
      </c>
      <c r="T496" s="101" t="str">
        <f t="shared" si="53"/>
        <v>INV + 30</v>
      </c>
      <c r="V496" s="101" t="str">
        <f t="shared" si="54"/>
        <v>Active</v>
      </c>
      <c r="X496" s="101" t="str">
        <f t="shared" si="55"/>
        <v>One-off</v>
      </c>
      <c r="AC496" s="101" t="str">
        <f t="shared" si="58"/>
        <v>RON</v>
      </c>
      <c r="AD496" s="101">
        <f t="shared" si="59"/>
        <v>10000</v>
      </c>
    </row>
    <row r="497" spans="1:30">
      <c r="A497" s="101">
        <f t="shared" si="60"/>
        <v>14</v>
      </c>
      <c r="B497" s="101">
        <f t="shared" si="56"/>
        <v>28</v>
      </c>
      <c r="C497" s="101" t="str">
        <f t="shared" si="57"/>
        <v>T28</v>
      </c>
      <c r="D497" s="101" t="str">
        <f>IF(A497&lt;&gt;A496,VLOOKUP(A497,'Date SPV'!$A:$D,4,FALSE),D496)</f>
        <v>Constanta Shopping City SRL</v>
      </c>
      <c r="E497" s="101" t="str">
        <f>VLOOKUP(A497,'Date SPV'!$A$4:$B$34,2,FALSE)</f>
        <v>RCSC</v>
      </c>
      <c r="H497" s="105" t="s">
        <v>894</v>
      </c>
      <c r="K497" s="101" t="str">
        <f>VLOOKUP(C497,'Preturi si tarife'!$A$4:$B$39,2,FALSE)</f>
        <v xml:space="preserve">Regularizare Certificate verzi </v>
      </c>
      <c r="L497" s="102">
        <f>IF(B497=1,'Date masura OD'!$I$5,IF(B497=19,'Date masura OD'!$AK$5,L496))</f>
        <v>45748</v>
      </c>
      <c r="M497" s="102">
        <f>IF(B497=1,'Date masura OD'!$J$5,IF(B497=19,'Date masura OD'!$AL$5,M496))</f>
        <v>45777</v>
      </c>
      <c r="N497" s="104">
        <f>VLOOKUP(E497,verificare!$AR$4:$CC$33,B497+2,FALSE)</f>
        <v>0</v>
      </c>
      <c r="O497" s="103">
        <f>HLOOKUP(VLOOKUP(E497,'Date SPV'!$B$4:$F$34,5,FALSE),'Preturi si tarife'!$C$2:$J$39,B497+2,FALSE)*10000</f>
        <v>725.41599999999994</v>
      </c>
      <c r="Q497" s="101" t="str">
        <f t="shared" si="52"/>
        <v>One-off</v>
      </c>
      <c r="R497" s="101" t="str">
        <f>VLOOKUP(K497,'Preturi si tarife'!$B$4:$K$39,10,FALSE)</f>
        <v>ICOENG0001</v>
      </c>
      <c r="T497" s="101" t="str">
        <f t="shared" si="53"/>
        <v>INV + 30</v>
      </c>
      <c r="V497" s="101" t="str">
        <f t="shared" si="54"/>
        <v>Active</v>
      </c>
      <c r="X497" s="101" t="str">
        <f t="shared" si="55"/>
        <v>One-off</v>
      </c>
      <c r="AC497" s="101" t="str">
        <f t="shared" si="58"/>
        <v>RON</v>
      </c>
      <c r="AD497" s="101">
        <f t="shared" si="59"/>
        <v>10000</v>
      </c>
    </row>
    <row r="498" spans="1:30">
      <c r="A498" s="101">
        <f t="shared" si="60"/>
        <v>14</v>
      </c>
      <c r="B498" s="101">
        <f t="shared" si="56"/>
        <v>29</v>
      </c>
      <c r="C498" s="101" t="str">
        <f t="shared" si="57"/>
        <v>T29</v>
      </c>
      <c r="D498" s="101" t="str">
        <f>IF(A498&lt;&gt;A497,VLOOKUP(A498,'Date SPV'!$A:$D,4,FALSE),D497)</f>
        <v>Constanta Shopping City SRL</v>
      </c>
      <c r="E498" s="101" t="str">
        <f>VLOOKUP(A498,'Date SPV'!$A$4:$B$34,2,FALSE)</f>
        <v>RCSC</v>
      </c>
      <c r="H498" s="105" t="s">
        <v>894</v>
      </c>
      <c r="K498" s="101" t="str">
        <f>VLOOKUP(C498,'Preturi si tarife'!$A$4:$B$39,2,FALSE)</f>
        <v>Regularizare Contributie CFD</v>
      </c>
      <c r="L498" s="102">
        <f>IF(B498=1,'Date masura OD'!$I$5,IF(B498=19,'Date masura OD'!$AK$5,L497))</f>
        <v>45748</v>
      </c>
      <c r="M498" s="102">
        <f>IF(B498=1,'Date masura OD'!$J$5,IF(B498=19,'Date masura OD'!$AL$5,M497))</f>
        <v>45777</v>
      </c>
      <c r="N498" s="104">
        <f>VLOOKUP(E498,verificare!$AR$4:$CC$33,B498+2,FALSE)</f>
        <v>0</v>
      </c>
      <c r="O498" s="103">
        <f>HLOOKUP(VLOOKUP(E498,'Date SPV'!$B$4:$F$34,5,FALSE),'Preturi si tarife'!$C$2:$J$39,B498+2,FALSE)*10000</f>
        <v>2.06</v>
      </c>
      <c r="Q498" s="101" t="str">
        <f t="shared" si="52"/>
        <v>One-off</v>
      </c>
      <c r="R498" s="101" t="str">
        <f>VLOOKUP(K498,'Preturi si tarife'!$B$4:$K$39,10,FALSE)</f>
        <v>ICOENG0001</v>
      </c>
      <c r="T498" s="101" t="str">
        <f t="shared" si="53"/>
        <v>INV + 30</v>
      </c>
      <c r="V498" s="101" t="str">
        <f t="shared" si="54"/>
        <v>Active</v>
      </c>
      <c r="X498" s="101" t="str">
        <f t="shared" si="55"/>
        <v>One-off</v>
      </c>
      <c r="AC498" s="101" t="str">
        <f t="shared" si="58"/>
        <v>RON</v>
      </c>
      <c r="AD498" s="101">
        <f t="shared" si="59"/>
        <v>10000</v>
      </c>
    </row>
    <row r="499" spans="1:30">
      <c r="A499" s="101">
        <f t="shared" si="60"/>
        <v>14</v>
      </c>
      <c r="B499" s="101">
        <f t="shared" si="56"/>
        <v>30</v>
      </c>
      <c r="C499" s="101" t="str">
        <f t="shared" si="57"/>
        <v>T30</v>
      </c>
      <c r="D499" s="101" t="str">
        <f>IF(A499&lt;&gt;A498,VLOOKUP(A499,'Date SPV'!$A:$D,4,FALSE),D498)</f>
        <v>Constanta Shopping City SRL</v>
      </c>
      <c r="E499" s="101" t="str">
        <f>VLOOKUP(A499,'Date SPV'!$A$4:$B$34,2,FALSE)</f>
        <v>RCSC</v>
      </c>
      <c r="H499" s="105" t="s">
        <v>894</v>
      </c>
      <c r="K499" s="101" t="str">
        <f>VLOOKUP(C499,'Preturi si tarife'!$A$4:$B$39,2,FALSE)</f>
        <v>Regularizare Acciza</v>
      </c>
      <c r="L499" s="102">
        <f>IF(B499=1,'Date masura OD'!$I$5,IF(B499=19,'Date masura OD'!$AK$5,L498))</f>
        <v>45748</v>
      </c>
      <c r="M499" s="102">
        <f>IF(B499=1,'Date masura OD'!$J$5,IF(B499=19,'Date masura OD'!$AL$5,M498))</f>
        <v>45777</v>
      </c>
      <c r="N499" s="104">
        <f>VLOOKUP(E499,verificare!$AR$4:$CC$33,B499+2,FALSE)</f>
        <v>0</v>
      </c>
      <c r="O499" s="103">
        <f>HLOOKUP(VLOOKUP(E499,'Date SPV'!$B$4:$F$34,5,FALSE),'Preturi si tarife'!$C$2:$J$39,B499+2,FALSE)*10000</f>
        <v>0</v>
      </c>
      <c r="Q499" s="101" t="str">
        <f t="shared" si="52"/>
        <v>One-off</v>
      </c>
      <c r="R499" s="101" t="str">
        <f>VLOOKUP(K499,'Preturi si tarife'!$B$4:$K$39,10,FALSE)</f>
        <v>ICOENG0001</v>
      </c>
      <c r="T499" s="101" t="str">
        <f t="shared" si="53"/>
        <v>INV + 30</v>
      </c>
      <c r="V499" s="101" t="str">
        <f t="shared" si="54"/>
        <v>Active</v>
      </c>
      <c r="X499" s="101" t="str">
        <f t="shared" si="55"/>
        <v>One-off</v>
      </c>
      <c r="AC499" s="101" t="str">
        <f t="shared" si="58"/>
        <v>RON</v>
      </c>
      <c r="AD499" s="101">
        <f t="shared" si="59"/>
        <v>10000</v>
      </c>
    </row>
    <row r="500" spans="1:30">
      <c r="A500" s="101">
        <f t="shared" si="60"/>
        <v>14</v>
      </c>
      <c r="B500" s="101">
        <f t="shared" si="56"/>
        <v>31</v>
      </c>
      <c r="C500" s="101" t="str">
        <f t="shared" si="57"/>
        <v>T31</v>
      </c>
      <c r="D500" s="101" t="str">
        <f>IF(A500&lt;&gt;A499,VLOOKUP(A500,'Date SPV'!$A:$D,4,FALSE),D499)</f>
        <v>Constanta Shopping City SRL</v>
      </c>
      <c r="E500" s="101" t="str">
        <f>VLOOKUP(A500,'Date SPV'!$A$4:$B$34,2,FALSE)</f>
        <v>RCSC</v>
      </c>
      <c r="H500" s="105" t="s">
        <v>894</v>
      </c>
      <c r="K500" s="101" t="str">
        <f>VLOOKUP(C500,'Preturi si tarife'!$A$4:$B$39,2,FALSE)</f>
        <v>Regularizare Tarif distributie SDI MT Ea1</v>
      </c>
      <c r="L500" s="102">
        <f>IF(B500=1,'Date masura OD'!$I$5,IF(B500=19,'Date masura OD'!$AK$5,L499))</f>
        <v>45748</v>
      </c>
      <c r="M500" s="102">
        <f>IF(B500=1,'Date masura OD'!$J$5,IF(B500=19,'Date masura OD'!$AL$5,M499))</f>
        <v>45777</v>
      </c>
      <c r="N500" s="104">
        <f>VLOOKUP(E500,verificare!$AR$4:$CC$33,B500+2,FALSE)</f>
        <v>0</v>
      </c>
      <c r="O500" s="103">
        <f>HLOOKUP(VLOOKUP(E500,'Date SPV'!$B$4:$F$34,5,FALSE),'Preturi si tarife'!$C$2:$J$39,B500+2,FALSE)*10000</f>
        <v>138.00000000000003</v>
      </c>
      <c r="Q500" s="101" t="str">
        <f t="shared" si="52"/>
        <v>One-off</v>
      </c>
      <c r="R500" s="101" t="str">
        <f>VLOOKUP(K500,'Preturi si tarife'!$B$4:$K$39,10,FALSE)</f>
        <v>ICOENG0010</v>
      </c>
      <c r="T500" s="101" t="str">
        <f t="shared" si="53"/>
        <v>INV + 30</v>
      </c>
      <c r="V500" s="101" t="str">
        <f t="shared" si="54"/>
        <v>Active</v>
      </c>
      <c r="X500" s="101" t="str">
        <f t="shared" si="55"/>
        <v>One-off</v>
      </c>
      <c r="AC500" s="101" t="str">
        <f t="shared" si="58"/>
        <v>RON</v>
      </c>
      <c r="AD500" s="101">
        <f t="shared" si="59"/>
        <v>10000</v>
      </c>
    </row>
    <row r="501" spans="1:30">
      <c r="A501" s="101">
        <f t="shared" si="60"/>
        <v>14</v>
      </c>
      <c r="B501" s="101">
        <f t="shared" si="56"/>
        <v>32</v>
      </c>
      <c r="C501" s="101" t="str">
        <f t="shared" si="57"/>
        <v>T32</v>
      </c>
      <c r="D501" s="101" t="str">
        <f>IF(A501&lt;&gt;A500,VLOOKUP(A501,'Date SPV'!$A:$D,4,FALSE),D500)</f>
        <v>Constanta Shopping City SRL</v>
      </c>
      <c r="E501" s="101" t="str">
        <f>VLOOKUP(A501,'Date SPV'!$A$4:$B$34,2,FALSE)</f>
        <v>RCSC</v>
      </c>
      <c r="H501" s="105" t="s">
        <v>894</v>
      </c>
      <c r="K501" s="101" t="str">
        <f>VLOOKUP(C501,'Preturi si tarife'!$A$4:$B$39,2,FALSE)</f>
        <v>Regularizare Tarif distributie SDI JT Ea1</v>
      </c>
      <c r="L501" s="102">
        <f>IF(B501=1,'Date masura OD'!$I$5,IF(B501=19,'Date masura OD'!$AK$5,L500))</f>
        <v>45748</v>
      </c>
      <c r="M501" s="102">
        <f>IF(B501=1,'Date masura OD'!$J$5,IF(B501=19,'Date masura OD'!$AL$5,M500))</f>
        <v>45777</v>
      </c>
      <c r="N501" s="104">
        <f>VLOOKUP(E501,verificare!$AR$4:$CC$33,B501+2,FALSE)</f>
        <v>0</v>
      </c>
      <c r="O501" s="103">
        <f>HLOOKUP(VLOOKUP(E501,'Date SPV'!$B$4:$F$34,5,FALSE),'Preturi si tarife'!$C$2:$J$39,B501+2,FALSE)*10000</f>
        <v>987</v>
      </c>
      <c r="Q501" s="101" t="str">
        <f t="shared" si="52"/>
        <v>One-off</v>
      </c>
      <c r="R501" s="101" t="str">
        <f>VLOOKUP(K501,'Preturi si tarife'!$B$4:$K$39,10,FALSE)</f>
        <v>ICOENG0010</v>
      </c>
      <c r="T501" s="101" t="str">
        <f t="shared" si="53"/>
        <v>INV + 30</v>
      </c>
      <c r="V501" s="101" t="str">
        <f t="shared" si="54"/>
        <v>Active</v>
      </c>
      <c r="X501" s="101" t="str">
        <f t="shared" si="55"/>
        <v>One-off</v>
      </c>
      <c r="AC501" s="101" t="str">
        <f t="shared" si="58"/>
        <v>RON</v>
      </c>
      <c r="AD501" s="101">
        <f t="shared" si="59"/>
        <v>10000</v>
      </c>
    </row>
    <row r="502" spans="1:30">
      <c r="A502" s="101">
        <f t="shared" si="60"/>
        <v>14</v>
      </c>
      <c r="B502" s="101">
        <f t="shared" si="56"/>
        <v>33</v>
      </c>
      <c r="C502" s="101" t="str">
        <f t="shared" si="57"/>
        <v>T33</v>
      </c>
      <c r="D502" s="101" t="str">
        <f>IF(A502&lt;&gt;A501,VLOOKUP(A502,'Date SPV'!$A:$D,4,FALSE),D501)</f>
        <v>Constanta Shopping City SRL</v>
      </c>
      <c r="E502" s="101" t="str">
        <f>VLOOKUP(A502,'Date SPV'!$A$4:$B$34,2,FALSE)</f>
        <v>RCSC</v>
      </c>
      <c r="H502" s="105" t="s">
        <v>894</v>
      </c>
      <c r="K502" s="101" t="str">
        <f>VLOOKUP(C502,'Preturi si tarife'!$A$4:$B$39,2,FALSE)</f>
        <v>Regularizare Energie activa 2</v>
      </c>
      <c r="L502" s="102">
        <f>IF(B502=1,'Date masura OD'!$I$5,IF(B502=19,'Date masura OD'!$AK$5,L501))</f>
        <v>45748</v>
      </c>
      <c r="M502" s="102">
        <f>IF(B502=1,'Date masura OD'!$J$5,IF(B502=19,'Date masura OD'!$AL$5,M501))</f>
        <v>45777</v>
      </c>
      <c r="N502" s="104">
        <f>VLOOKUP(E502,verificare!$AR$4:$CC$33,B502+2,FALSE)</f>
        <v>0</v>
      </c>
      <c r="O502" s="103">
        <f>HLOOKUP(VLOOKUP(E502,'Date SPV'!$B$4:$F$34,5,FALSE),'Preturi si tarife'!$C$2:$J$39,B502+2,FALSE)*10000</f>
        <v>9177.5760000000009</v>
      </c>
      <c r="Q502" s="101" t="str">
        <f t="shared" si="52"/>
        <v>One-off</v>
      </c>
      <c r="R502" s="101" t="str">
        <f>VLOOKUP(K502,'Preturi si tarife'!$B$4:$K$39,10,FALSE)</f>
        <v>ICOENG0012</v>
      </c>
      <c r="T502" s="101" t="str">
        <f t="shared" si="53"/>
        <v>INV + 30</v>
      </c>
      <c r="V502" s="101" t="str">
        <f t="shared" si="54"/>
        <v>Active</v>
      </c>
      <c r="X502" s="101" t="str">
        <f t="shared" si="55"/>
        <v>One-off</v>
      </c>
      <c r="AC502" s="101" t="str">
        <f t="shared" si="58"/>
        <v>RON</v>
      </c>
      <c r="AD502" s="101">
        <f t="shared" si="59"/>
        <v>10000</v>
      </c>
    </row>
    <row r="503" spans="1:30">
      <c r="A503" s="101">
        <f t="shared" si="60"/>
        <v>14</v>
      </c>
      <c r="B503" s="101">
        <f t="shared" si="56"/>
        <v>34</v>
      </c>
      <c r="C503" s="101" t="str">
        <f t="shared" si="57"/>
        <v>T34</v>
      </c>
      <c r="D503" s="101" t="str">
        <f>IF(A503&lt;&gt;A502,VLOOKUP(A503,'Date SPV'!$A:$D,4,FALSE),D502)</f>
        <v>Constanta Shopping City SRL</v>
      </c>
      <c r="E503" s="101" t="str">
        <f>VLOOKUP(A503,'Date SPV'!$A$4:$B$34,2,FALSE)</f>
        <v>RCSC</v>
      </c>
      <c r="H503" s="105" t="s">
        <v>894</v>
      </c>
      <c r="K503" s="101" t="str">
        <f>VLOOKUP(C503,'Preturi si tarife'!$A$4:$B$39,2,FALSE)</f>
        <v>Regularizare Energie activa 3</v>
      </c>
      <c r="L503" s="102">
        <f>IF(B503=1,'Date masura OD'!$I$5,IF(B503=19,'Date masura OD'!$AK$5,L502))</f>
        <v>45748</v>
      </c>
      <c r="M503" s="102">
        <f>IF(B503=1,'Date masura OD'!$J$5,IF(B503=19,'Date masura OD'!$AL$5,M502))</f>
        <v>45777</v>
      </c>
      <c r="N503" s="104">
        <f>VLOOKUP(E503,verificare!$AR$4:$CC$33,B503+2,FALSE)</f>
        <v>0</v>
      </c>
      <c r="O503" s="103">
        <f>HLOOKUP(VLOOKUP(E503,'Date SPV'!$B$4:$F$34,5,FALSE),'Preturi si tarife'!$C$2:$J$39,B503+2,FALSE)*10000</f>
        <v>8052.576</v>
      </c>
      <c r="Q503" s="101" t="str">
        <f t="shared" si="52"/>
        <v>One-off</v>
      </c>
      <c r="R503" s="101" t="str">
        <f>VLOOKUP(K503,'Preturi si tarife'!$B$4:$K$39,10,FALSE)</f>
        <v>ICOENG0012</v>
      </c>
      <c r="T503" s="101" t="str">
        <f t="shared" si="53"/>
        <v>INV + 30</v>
      </c>
      <c r="V503" s="101" t="str">
        <f t="shared" si="54"/>
        <v>Active</v>
      </c>
      <c r="X503" s="101" t="str">
        <f t="shared" si="55"/>
        <v>One-off</v>
      </c>
      <c r="AC503" s="101" t="str">
        <f t="shared" si="58"/>
        <v>RON</v>
      </c>
      <c r="AD503" s="101">
        <f t="shared" si="59"/>
        <v>10000</v>
      </c>
    </row>
    <row r="504" spans="1:30">
      <c r="A504" s="101">
        <f t="shared" si="60"/>
        <v>14</v>
      </c>
      <c r="B504" s="101">
        <f t="shared" si="56"/>
        <v>35</v>
      </c>
      <c r="C504" s="101" t="str">
        <f t="shared" si="57"/>
        <v>T35</v>
      </c>
      <c r="D504" s="101" t="str">
        <f>IF(A504&lt;&gt;A503,VLOOKUP(A504,'Date SPV'!$A:$D,4,FALSE),D503)</f>
        <v>Constanta Shopping City SRL</v>
      </c>
      <c r="E504" s="101" t="str">
        <f>VLOOKUP(A504,'Date SPV'!$A$4:$B$34,2,FALSE)</f>
        <v>RCSC</v>
      </c>
      <c r="H504" s="105" t="s">
        <v>894</v>
      </c>
      <c r="K504" s="101" t="str">
        <f>VLOOKUP(C504,'Preturi si tarife'!$A$4:$B$39,2,FALSE)</f>
        <v>Regularizare Tarif distributie SDI MT Ea3</v>
      </c>
      <c r="L504" s="102">
        <f>IF(B504=1,'Date masura OD'!$I$5,IF(B504=19,'Date masura OD'!$AK$5,L503))</f>
        <v>45748</v>
      </c>
      <c r="M504" s="102">
        <f>IF(B504=1,'Date masura OD'!$J$5,IF(B504=19,'Date masura OD'!$AL$5,M503))</f>
        <v>45777</v>
      </c>
      <c r="N504" s="104">
        <f>VLOOKUP(E504,verificare!$AR$4:$CC$33,B504+2,FALSE)</f>
        <v>0</v>
      </c>
      <c r="O504" s="103">
        <f>HLOOKUP(VLOOKUP(E504,'Date SPV'!$B$4:$F$34,5,FALSE),'Preturi si tarife'!$C$2:$J$39,B504+2,FALSE)*10000</f>
        <v>138.00000000000003</v>
      </c>
      <c r="Q504" s="101" t="str">
        <f t="shared" si="52"/>
        <v>One-off</v>
      </c>
      <c r="R504" s="101" t="str">
        <f>VLOOKUP(K504,'Preturi si tarife'!$B$4:$K$39,10,FALSE)</f>
        <v>ICOENG0010</v>
      </c>
      <c r="T504" s="101" t="str">
        <f t="shared" si="53"/>
        <v>INV + 30</v>
      </c>
      <c r="V504" s="101" t="str">
        <f t="shared" si="54"/>
        <v>Active</v>
      </c>
      <c r="X504" s="101" t="str">
        <f t="shared" si="55"/>
        <v>One-off</v>
      </c>
      <c r="AC504" s="101" t="str">
        <f t="shared" si="58"/>
        <v>RON</v>
      </c>
      <c r="AD504" s="101">
        <f t="shared" si="59"/>
        <v>10000</v>
      </c>
    </row>
    <row r="505" spans="1:30">
      <c r="A505" s="101">
        <f t="shared" si="60"/>
        <v>14</v>
      </c>
      <c r="B505" s="101">
        <f t="shared" si="56"/>
        <v>36</v>
      </c>
      <c r="C505" s="101" t="str">
        <f t="shared" si="57"/>
        <v>T36</v>
      </c>
      <c r="D505" s="101" t="str">
        <f>IF(A505&lt;&gt;A504,VLOOKUP(A505,'Date SPV'!$A:$D,4,FALSE),D504)</f>
        <v>Constanta Shopping City SRL</v>
      </c>
      <c r="E505" s="101" t="str">
        <f>VLOOKUP(A505,'Date SPV'!$A$4:$B$34,2,FALSE)</f>
        <v>RCSC</v>
      </c>
      <c r="H505" s="105" t="s">
        <v>894</v>
      </c>
      <c r="K505" s="101" t="str">
        <f>VLOOKUP(C505,'Preturi si tarife'!$A$4:$B$39,2,FALSE)</f>
        <v>Regularizare Tarif distributie SDI JT Ea3</v>
      </c>
      <c r="L505" s="102">
        <f>IF(B505=1,'Date masura OD'!$I$5,IF(B505=19,'Date masura OD'!$AK$5,L504))</f>
        <v>45748</v>
      </c>
      <c r="M505" s="102">
        <f>IF(B505=1,'Date masura OD'!$J$5,IF(B505=19,'Date masura OD'!$AL$5,M504))</f>
        <v>45777</v>
      </c>
      <c r="N505" s="104">
        <f>VLOOKUP(E505,verificare!$AR$4:$CC$33,B505+2,FALSE)</f>
        <v>0</v>
      </c>
      <c r="O505" s="103">
        <f>HLOOKUP(VLOOKUP(E505,'Date SPV'!$B$4:$F$34,5,FALSE),'Preturi si tarife'!$C$2:$J$39,B505+2,FALSE)*10000</f>
        <v>987</v>
      </c>
      <c r="Q505" s="101" t="str">
        <f t="shared" si="52"/>
        <v>One-off</v>
      </c>
      <c r="R505" s="101" t="str">
        <f>VLOOKUP(K505,'Preturi si tarife'!$B$4:$K$39,10,FALSE)</f>
        <v>ICOENG0010</v>
      </c>
      <c r="T505" s="101" t="str">
        <f t="shared" si="53"/>
        <v>INV + 30</v>
      </c>
      <c r="V505" s="101" t="str">
        <f t="shared" si="54"/>
        <v>Active</v>
      </c>
      <c r="X505" s="101" t="str">
        <f t="shared" si="55"/>
        <v>One-off</v>
      </c>
      <c r="AC505" s="101" t="str">
        <f t="shared" si="58"/>
        <v>RON</v>
      </c>
      <c r="AD505" s="101">
        <f t="shared" si="59"/>
        <v>10000</v>
      </c>
    </row>
    <row r="506" spans="1:30">
      <c r="A506" s="101">
        <f t="shared" si="60"/>
        <v>15</v>
      </c>
      <c r="B506" s="101">
        <f t="shared" si="56"/>
        <v>1</v>
      </c>
      <c r="C506" s="101" t="str">
        <f t="shared" si="57"/>
        <v>T1</v>
      </c>
      <c r="D506" s="101" t="str">
        <f>IF(A506&lt;&gt;A505,VLOOKUP(A506,'Date SPV'!$A:$D,4,FALSE),D505)</f>
        <v>Aurora Mall Buzau SRL</v>
      </c>
      <c r="E506" s="101" t="str">
        <f>VLOOKUP(A506,'Date SPV'!$A$4:$B$34,2,FALSE)</f>
        <v>RAMB</v>
      </c>
      <c r="H506" s="105" t="s">
        <v>894</v>
      </c>
      <c r="K506" s="101" t="str">
        <f>VLOOKUP(C506,'Preturi si tarife'!$A$4:$B$39,2,FALSE)</f>
        <v>Energie activa 1</v>
      </c>
      <c r="L506" s="102">
        <f>IF(B506=1,'Date masura OD'!$I$5,IF(B506=19,'Date masura OD'!$AK$5,L505))</f>
        <v>45778</v>
      </c>
      <c r="M506" s="102">
        <f>IF(B506=1,'Date masura OD'!$J$5,IF(B506=19,'Date masura OD'!$AL$5,M505))</f>
        <v>45808</v>
      </c>
      <c r="N506" s="104">
        <f>VLOOKUP(E506,verificare!$AR$4:$CC$33,B506+2,FALSE)</f>
        <v>326783</v>
      </c>
      <c r="O506" s="103">
        <f>HLOOKUP(VLOOKUP(E506,'Date SPV'!$B$4:$F$34,5,FALSE),'Preturi si tarife'!$C$2:$J$39,B506+2,FALSE)*10000</f>
        <v>5950</v>
      </c>
      <c r="Q506" s="101" t="str">
        <f t="shared" si="52"/>
        <v>One-off</v>
      </c>
      <c r="R506" s="101" t="str">
        <f>VLOOKUP(K506,'Preturi si tarife'!$B$4:$K$39,10,FALSE)</f>
        <v>ICOENG0001</v>
      </c>
      <c r="T506" s="101" t="str">
        <f t="shared" si="53"/>
        <v>INV + 30</v>
      </c>
      <c r="V506" s="101" t="str">
        <f t="shared" si="54"/>
        <v>Active</v>
      </c>
      <c r="X506" s="101" t="str">
        <f t="shared" si="55"/>
        <v>One-off</v>
      </c>
      <c r="AC506" s="101" t="str">
        <f t="shared" si="58"/>
        <v>RON</v>
      </c>
      <c r="AD506" s="101">
        <f t="shared" si="59"/>
        <v>10000</v>
      </c>
    </row>
    <row r="507" spans="1:30">
      <c r="A507" s="101">
        <f t="shared" si="60"/>
        <v>15</v>
      </c>
      <c r="B507" s="101">
        <f t="shared" si="56"/>
        <v>2</v>
      </c>
      <c r="C507" s="101" t="str">
        <f t="shared" si="57"/>
        <v>T2</v>
      </c>
      <c r="D507" s="101" t="str">
        <f>IF(A507&lt;&gt;A506,VLOOKUP(A507,'Date SPV'!$A:$D,4,FALSE),D506)</f>
        <v>Aurora Mall Buzau SRL</v>
      </c>
      <c r="E507" s="101" t="str">
        <f>VLOOKUP(A507,'Date SPV'!$A$4:$B$34,2,FALSE)</f>
        <v>RAMB</v>
      </c>
      <c r="H507" s="105" t="s">
        <v>894</v>
      </c>
      <c r="K507" s="101" t="str">
        <f>VLOOKUP(C507,'Preturi si tarife'!$A$4:$B$39,2,FALSE)</f>
        <v>Energie reactiva  1X</v>
      </c>
      <c r="L507" s="102">
        <f>IF(B507=1,'Date masura OD'!$I$5,IF(B507=19,'Date masura OD'!$AK$5,L506))</f>
        <v>45778</v>
      </c>
      <c r="M507" s="102">
        <f>IF(B507=1,'Date masura OD'!$J$5,IF(B507=19,'Date masura OD'!$AL$5,M506))</f>
        <v>45808</v>
      </c>
      <c r="N507" s="104">
        <f>VLOOKUP(E507,verificare!$AR$4:$CC$33,B507+2,FALSE)</f>
        <v>0</v>
      </c>
      <c r="O507" s="103">
        <f>HLOOKUP(VLOOKUP(E507,'Date SPV'!$B$4:$F$34,5,FALSE),'Preturi si tarife'!$C$2:$J$39,B507+2,FALSE)*10000</f>
        <v>1465</v>
      </c>
      <c r="Q507" s="101" t="str">
        <f t="shared" si="52"/>
        <v>One-off</v>
      </c>
      <c r="R507" s="101" t="str">
        <f>VLOOKUP(K507,'Preturi si tarife'!$B$4:$K$39,10,FALSE)</f>
        <v>ICOENG0001</v>
      </c>
      <c r="T507" s="101" t="str">
        <f t="shared" si="53"/>
        <v>INV + 30</v>
      </c>
      <c r="V507" s="101" t="str">
        <f t="shared" si="54"/>
        <v>Active</v>
      </c>
      <c r="X507" s="101" t="str">
        <f t="shared" si="55"/>
        <v>One-off</v>
      </c>
      <c r="AC507" s="101" t="str">
        <f t="shared" si="58"/>
        <v>RON</v>
      </c>
      <c r="AD507" s="101">
        <f t="shared" si="59"/>
        <v>10000</v>
      </c>
    </row>
    <row r="508" spans="1:30">
      <c r="A508" s="101">
        <f t="shared" si="60"/>
        <v>15</v>
      </c>
      <c r="B508" s="101">
        <f t="shared" si="56"/>
        <v>3</v>
      </c>
      <c r="C508" s="101" t="str">
        <f t="shared" si="57"/>
        <v>T3</v>
      </c>
      <c r="D508" s="101" t="str">
        <f>IF(A508&lt;&gt;A507,VLOOKUP(A508,'Date SPV'!$A:$D,4,FALSE),D507)</f>
        <v>Aurora Mall Buzau SRL</v>
      </c>
      <c r="E508" s="101" t="str">
        <f>VLOOKUP(A508,'Date SPV'!$A$4:$B$34,2,FALSE)</f>
        <v>RAMB</v>
      </c>
      <c r="H508" s="105" t="s">
        <v>894</v>
      </c>
      <c r="K508" s="101" t="str">
        <f>VLOOKUP(C508,'Preturi si tarife'!$A$4:$B$39,2,FALSE)</f>
        <v>Energie reactiva  3X</v>
      </c>
      <c r="L508" s="102">
        <f>IF(B508=1,'Date masura OD'!$I$5,IF(B508=19,'Date masura OD'!$AK$5,L507))</f>
        <v>45778</v>
      </c>
      <c r="M508" s="102">
        <f>IF(B508=1,'Date masura OD'!$J$5,IF(B508=19,'Date masura OD'!$AL$5,M507))</f>
        <v>45808</v>
      </c>
      <c r="N508" s="104">
        <f>VLOOKUP(E508,verificare!$AR$4:$CC$33,B508+2,FALSE)</f>
        <v>0</v>
      </c>
      <c r="O508" s="103">
        <f>HLOOKUP(VLOOKUP(E508,'Date SPV'!$B$4:$F$34,5,FALSE),'Preturi si tarife'!$C$2:$J$39,B508+2,FALSE)*10000</f>
        <v>4395</v>
      </c>
      <c r="Q508" s="101" t="str">
        <f t="shared" ref="Q508:Q571" si="61">Q507</f>
        <v>One-off</v>
      </c>
      <c r="R508" s="101" t="str">
        <f>VLOOKUP(K508,'Preturi si tarife'!$B$4:$K$39,10,FALSE)</f>
        <v>ICOENG0001</v>
      </c>
      <c r="T508" s="101" t="str">
        <f t="shared" ref="T508:T571" si="62">T507</f>
        <v>INV + 30</v>
      </c>
      <c r="V508" s="101" t="str">
        <f t="shared" ref="V508:V571" si="63">V507</f>
        <v>Active</v>
      </c>
      <c r="X508" s="101" t="str">
        <f t="shared" ref="X508:X571" si="64">X507</f>
        <v>One-off</v>
      </c>
      <c r="AC508" s="101" t="str">
        <f t="shared" si="58"/>
        <v>RON</v>
      </c>
      <c r="AD508" s="101">
        <f t="shared" si="59"/>
        <v>10000</v>
      </c>
    </row>
    <row r="509" spans="1:30">
      <c r="A509" s="101">
        <f t="shared" si="60"/>
        <v>15</v>
      </c>
      <c r="B509" s="101">
        <f t="shared" ref="B509:B572" si="65">IF(A509&lt;&gt;A508,1,B508+1)</f>
        <v>4</v>
      </c>
      <c r="C509" s="101" t="str">
        <f t="shared" ref="C509:C572" si="66">_xlfn.CONCAT("T",B509)</f>
        <v>T4</v>
      </c>
      <c r="D509" s="101" t="str">
        <f>IF(A509&lt;&gt;A508,VLOOKUP(A509,'Date SPV'!$A:$D,4,FALSE),D508)</f>
        <v>Aurora Mall Buzau SRL</v>
      </c>
      <c r="E509" s="101" t="str">
        <f>VLOOKUP(A509,'Date SPV'!$A$4:$B$34,2,FALSE)</f>
        <v>RAMB</v>
      </c>
      <c r="H509" s="105" t="s">
        <v>894</v>
      </c>
      <c r="K509" s="101" t="str">
        <f>VLOOKUP(C509,'Preturi si tarife'!$A$4:$B$39,2,FALSE)</f>
        <v>Tarife distributie en. El IT+MT</v>
      </c>
      <c r="L509" s="102">
        <f>IF(B509=1,'Date masura OD'!$I$5,IF(B509=19,'Date masura OD'!$AK$5,L508))</f>
        <v>45778</v>
      </c>
      <c r="M509" s="102">
        <f>IF(B509=1,'Date masura OD'!$J$5,IF(B509=19,'Date masura OD'!$AL$5,M508))</f>
        <v>45808</v>
      </c>
      <c r="N509" s="104">
        <f>VLOOKUP(E509,verificare!$AR$4:$CC$33,B509+2,FALSE)</f>
        <v>326783</v>
      </c>
      <c r="O509" s="103">
        <f>HLOOKUP(VLOOKUP(E509,'Date SPV'!$B$4:$F$34,5,FALSE),'Preturi si tarife'!$C$2:$J$39,B509+2,FALSE)*10000</f>
        <v>1148.3</v>
      </c>
      <c r="Q509" s="101" t="str">
        <f t="shared" si="61"/>
        <v>One-off</v>
      </c>
      <c r="R509" s="101" t="str">
        <f>VLOOKUP(K509,'Preturi si tarife'!$B$4:$K$39,10,FALSE)</f>
        <v>ICOENG0001</v>
      </c>
      <c r="T509" s="101" t="str">
        <f t="shared" si="62"/>
        <v>INV + 30</v>
      </c>
      <c r="V509" s="101" t="str">
        <f t="shared" si="63"/>
        <v>Active</v>
      </c>
      <c r="X509" s="101" t="str">
        <f t="shared" si="64"/>
        <v>One-off</v>
      </c>
      <c r="AC509" s="101" t="str">
        <f t="shared" ref="AC509:AC572" si="67">AC508</f>
        <v>RON</v>
      </c>
      <c r="AD509" s="101">
        <f t="shared" ref="AD509:AD572" si="68">AD508</f>
        <v>10000</v>
      </c>
    </row>
    <row r="510" spans="1:30">
      <c r="A510" s="101">
        <f t="shared" si="60"/>
        <v>15</v>
      </c>
      <c r="B510" s="101">
        <f t="shared" si="65"/>
        <v>5</v>
      </c>
      <c r="C510" s="101" t="str">
        <f t="shared" si="66"/>
        <v>T5</v>
      </c>
      <c r="D510" s="101" t="str">
        <f>IF(A510&lt;&gt;A509,VLOOKUP(A510,'Date SPV'!$A:$D,4,FALSE),D509)</f>
        <v>Aurora Mall Buzau SRL</v>
      </c>
      <c r="E510" s="101" t="str">
        <f>VLOOKUP(A510,'Date SPV'!$A$4:$B$34,2,FALSE)</f>
        <v>RAMB</v>
      </c>
      <c r="H510" s="105" t="s">
        <v>894</v>
      </c>
      <c r="K510" s="101" t="str">
        <f>VLOOKUP(C510,'Preturi si tarife'!$A$4:$B$39,2,FALSE)</f>
        <v>Tarife distributie en. El JT</v>
      </c>
      <c r="L510" s="102">
        <f>IF(B510=1,'Date masura OD'!$I$5,IF(B510=19,'Date masura OD'!$AK$5,L509))</f>
        <v>45778</v>
      </c>
      <c r="M510" s="102">
        <f>IF(B510=1,'Date masura OD'!$J$5,IF(B510=19,'Date masura OD'!$AL$5,M509))</f>
        <v>45808</v>
      </c>
      <c r="N510" s="104">
        <f>VLOOKUP(E510,verificare!$AR$4:$CC$33,B510+2,FALSE)</f>
        <v>0</v>
      </c>
      <c r="O510" s="103">
        <f>HLOOKUP(VLOOKUP(E510,'Date SPV'!$B$4:$F$34,5,FALSE),'Preturi si tarife'!$C$2:$J$39,B510+2,FALSE)*10000</f>
        <v>2361</v>
      </c>
      <c r="Q510" s="101" t="str">
        <f t="shared" si="61"/>
        <v>One-off</v>
      </c>
      <c r="R510" s="101" t="str">
        <f>VLOOKUP(K510,'Preturi si tarife'!$B$4:$K$39,10,FALSE)</f>
        <v>ICOENG0001</v>
      </c>
      <c r="T510" s="101" t="str">
        <f t="shared" si="62"/>
        <v>INV + 30</v>
      </c>
      <c r="V510" s="101" t="str">
        <f t="shared" si="63"/>
        <v>Active</v>
      </c>
      <c r="X510" s="101" t="str">
        <f t="shared" si="64"/>
        <v>One-off</v>
      </c>
      <c r="AC510" s="101" t="str">
        <f t="shared" si="67"/>
        <v>RON</v>
      </c>
      <c r="AD510" s="101">
        <f t="shared" si="68"/>
        <v>10000</v>
      </c>
    </row>
    <row r="511" spans="1:30">
      <c r="A511" s="101">
        <f t="shared" si="60"/>
        <v>15</v>
      </c>
      <c r="B511" s="101">
        <f t="shared" si="65"/>
        <v>6</v>
      </c>
      <c r="C511" s="101" t="str">
        <f t="shared" si="66"/>
        <v>T6</v>
      </c>
      <c r="D511" s="101" t="str">
        <f>IF(A511&lt;&gt;A510,VLOOKUP(A511,'Date SPV'!$A:$D,4,FALSE),D510)</f>
        <v>Aurora Mall Buzau SRL</v>
      </c>
      <c r="E511" s="101" t="str">
        <f>VLOOKUP(A511,'Date SPV'!$A$4:$B$34,2,FALSE)</f>
        <v>RAMB</v>
      </c>
      <c r="H511" s="105" t="s">
        <v>894</v>
      </c>
      <c r="K511" s="101" t="str">
        <f>VLOOKUP(C511,'Preturi si tarife'!$A$4:$B$39,2,FALSE)</f>
        <v xml:space="preserve">Servicii Sistem </v>
      </c>
      <c r="L511" s="102">
        <f>IF(B511=1,'Date masura OD'!$I$5,IF(B511=19,'Date masura OD'!$AK$5,L510))</f>
        <v>45778</v>
      </c>
      <c r="M511" s="102">
        <f>IF(B511=1,'Date masura OD'!$J$5,IF(B511=19,'Date masura OD'!$AL$5,M510))</f>
        <v>45808</v>
      </c>
      <c r="N511" s="104">
        <f>VLOOKUP(E511,verificare!$AR$4:$CC$33,B511+2,FALSE)</f>
        <v>326783</v>
      </c>
      <c r="O511" s="103">
        <f>HLOOKUP(VLOOKUP(E511,'Date SPV'!$B$4:$F$34,5,FALSE),'Preturi si tarife'!$C$2:$J$39,B511+2,FALSE)*10000</f>
        <v>115.1</v>
      </c>
      <c r="Q511" s="101" t="str">
        <f t="shared" si="61"/>
        <v>One-off</v>
      </c>
      <c r="R511" s="101" t="str">
        <f>VLOOKUP(K511,'Preturi si tarife'!$B$4:$K$39,10,FALSE)</f>
        <v>ICOENG0001</v>
      </c>
      <c r="T511" s="101" t="str">
        <f t="shared" si="62"/>
        <v>INV + 30</v>
      </c>
      <c r="V511" s="101" t="str">
        <f t="shared" si="63"/>
        <v>Active</v>
      </c>
      <c r="X511" s="101" t="str">
        <f t="shared" si="64"/>
        <v>One-off</v>
      </c>
      <c r="AC511" s="101" t="str">
        <f t="shared" si="67"/>
        <v>RON</v>
      </c>
      <c r="AD511" s="101">
        <f t="shared" si="68"/>
        <v>10000</v>
      </c>
    </row>
    <row r="512" spans="1:30">
      <c r="A512" s="101">
        <f t="shared" si="60"/>
        <v>15</v>
      </c>
      <c r="B512" s="101">
        <f t="shared" si="65"/>
        <v>7</v>
      </c>
      <c r="C512" s="101" t="str">
        <f t="shared" si="66"/>
        <v>T7</v>
      </c>
      <c r="D512" s="101" t="str">
        <f>IF(A512&lt;&gt;A511,VLOOKUP(A512,'Date SPV'!$A:$D,4,FALSE),D511)</f>
        <v>Aurora Mall Buzau SRL</v>
      </c>
      <c r="E512" s="101" t="str">
        <f>VLOOKUP(A512,'Date SPV'!$A$4:$B$34,2,FALSE)</f>
        <v>RAMB</v>
      </c>
      <c r="H512" s="105" t="s">
        <v>894</v>
      </c>
      <c r="K512" s="101" t="str">
        <f>VLOOKUP(C512,'Preturi si tarife'!$A$4:$B$39,2,FALSE)</f>
        <v>Tarif de introducere en. el in retea (TL)</v>
      </c>
      <c r="L512" s="102">
        <f>IF(B512=1,'Date masura OD'!$I$5,IF(B512=19,'Date masura OD'!$AK$5,L511))</f>
        <v>45778</v>
      </c>
      <c r="M512" s="102">
        <f>IF(B512=1,'Date masura OD'!$J$5,IF(B512=19,'Date masura OD'!$AL$5,M511))</f>
        <v>45808</v>
      </c>
      <c r="N512" s="104">
        <f>VLOOKUP(E512,verificare!$AR$4:$CC$33,B512+2,FALSE)</f>
        <v>326783</v>
      </c>
      <c r="O512" s="103">
        <f>HLOOKUP(VLOOKUP(E512,'Date SPV'!$B$4:$F$34,5,FALSE),'Preturi si tarife'!$C$2:$J$39,B512+2,FALSE)*10000</f>
        <v>330.3</v>
      </c>
      <c r="Q512" s="101" t="str">
        <f t="shared" si="61"/>
        <v>One-off</v>
      </c>
      <c r="R512" s="101" t="str">
        <f>VLOOKUP(K512,'Preturi si tarife'!$B$4:$K$39,10,FALSE)</f>
        <v>ICOENG0001</v>
      </c>
      <c r="T512" s="101" t="str">
        <f t="shared" si="62"/>
        <v>INV + 30</v>
      </c>
      <c r="V512" s="101" t="str">
        <f t="shared" si="63"/>
        <v>Active</v>
      </c>
      <c r="X512" s="101" t="str">
        <f t="shared" si="64"/>
        <v>One-off</v>
      </c>
      <c r="AC512" s="101" t="str">
        <f t="shared" si="67"/>
        <v>RON</v>
      </c>
      <c r="AD512" s="101">
        <f t="shared" si="68"/>
        <v>10000</v>
      </c>
    </row>
    <row r="513" spans="1:30">
      <c r="A513" s="101">
        <f t="shared" si="60"/>
        <v>15</v>
      </c>
      <c r="B513" s="101">
        <f t="shared" si="65"/>
        <v>8</v>
      </c>
      <c r="C513" s="101" t="str">
        <f t="shared" si="66"/>
        <v>T8</v>
      </c>
      <c r="D513" s="101" t="str">
        <f>IF(A513&lt;&gt;A512,VLOOKUP(A513,'Date SPV'!$A:$D,4,FALSE),D512)</f>
        <v>Aurora Mall Buzau SRL</v>
      </c>
      <c r="E513" s="101" t="str">
        <f>VLOOKUP(A513,'Date SPV'!$A$4:$B$34,2,FALSE)</f>
        <v>RAMB</v>
      </c>
      <c r="H513" s="105" t="s">
        <v>894</v>
      </c>
      <c r="K513" s="101" t="str">
        <f>VLOOKUP(C513,'Preturi si tarife'!$A$4:$B$39,2,FALSE)</f>
        <v>Tarif de introducere en.el in retea (TG)</v>
      </c>
      <c r="L513" s="102">
        <f>IF(B513=1,'Date masura OD'!$I$5,IF(B513=19,'Date masura OD'!$AK$5,L512))</f>
        <v>45778</v>
      </c>
      <c r="M513" s="102">
        <f>IF(B513=1,'Date masura OD'!$J$5,IF(B513=19,'Date masura OD'!$AL$5,M512))</f>
        <v>45808</v>
      </c>
      <c r="N513" s="104">
        <f>VLOOKUP(E513,verificare!$AR$4:$CC$33,B513+2,FALSE)</f>
        <v>326783</v>
      </c>
      <c r="O513" s="103">
        <f>HLOOKUP(VLOOKUP(E513,'Date SPV'!$B$4:$F$34,5,FALSE),'Preturi si tarife'!$C$2:$J$39,B513+2,FALSE)*10000</f>
        <v>32.9</v>
      </c>
      <c r="Q513" s="101" t="str">
        <f t="shared" si="61"/>
        <v>One-off</v>
      </c>
      <c r="R513" s="101" t="str">
        <f>VLOOKUP(K513,'Preturi si tarife'!$B$4:$K$39,10,FALSE)</f>
        <v>ICOENG0001</v>
      </c>
      <c r="T513" s="101" t="str">
        <f t="shared" si="62"/>
        <v>INV + 30</v>
      </c>
      <c r="V513" s="101" t="str">
        <f t="shared" si="63"/>
        <v>Active</v>
      </c>
      <c r="X513" s="101" t="str">
        <f t="shared" si="64"/>
        <v>One-off</v>
      </c>
      <c r="AC513" s="101" t="str">
        <f t="shared" si="67"/>
        <v>RON</v>
      </c>
      <c r="AD513" s="101">
        <f t="shared" si="68"/>
        <v>10000</v>
      </c>
    </row>
    <row r="514" spans="1:30">
      <c r="A514" s="101">
        <f t="shared" si="60"/>
        <v>15</v>
      </c>
      <c r="B514" s="101">
        <f t="shared" si="65"/>
        <v>9</v>
      </c>
      <c r="C514" s="101" t="str">
        <f t="shared" si="66"/>
        <v>T9</v>
      </c>
      <c r="D514" s="101" t="str">
        <f>IF(A514&lt;&gt;A513,VLOOKUP(A514,'Date SPV'!$A:$D,4,FALSE),D513)</f>
        <v>Aurora Mall Buzau SRL</v>
      </c>
      <c r="E514" s="101" t="str">
        <f>VLOOKUP(A514,'Date SPV'!$A$4:$B$34,2,FALSE)</f>
        <v>RAMB</v>
      </c>
      <c r="H514" s="105" t="s">
        <v>894</v>
      </c>
      <c r="K514" s="101" t="str">
        <f>VLOOKUP(C514,'Preturi si tarife'!$A$4:$B$39,2,FALSE)</f>
        <v>Contributie pentru cogenerare</v>
      </c>
      <c r="L514" s="102">
        <f>IF(B514=1,'Date masura OD'!$I$5,IF(B514=19,'Date masura OD'!$AK$5,L513))</f>
        <v>45778</v>
      </c>
      <c r="M514" s="102">
        <f>IF(B514=1,'Date masura OD'!$J$5,IF(B514=19,'Date masura OD'!$AL$5,M513))</f>
        <v>45808</v>
      </c>
      <c r="N514" s="104">
        <f>VLOOKUP(E514,verificare!$AR$4:$CC$33,B514+2,FALSE)</f>
        <v>326783</v>
      </c>
      <c r="O514" s="103">
        <f>HLOOKUP(VLOOKUP(E514,'Date SPV'!$B$4:$F$34,5,FALSE),'Preturi si tarife'!$C$2:$J$39,B514+2,FALSE)*10000</f>
        <v>35</v>
      </c>
      <c r="Q514" s="101" t="str">
        <f t="shared" si="61"/>
        <v>One-off</v>
      </c>
      <c r="R514" s="101" t="str">
        <f>VLOOKUP(K514,'Preturi si tarife'!$B$4:$K$39,10,FALSE)</f>
        <v>ICOENG0001</v>
      </c>
      <c r="T514" s="101" t="str">
        <f t="shared" si="62"/>
        <v>INV + 30</v>
      </c>
      <c r="V514" s="101" t="str">
        <f t="shared" si="63"/>
        <v>Active</v>
      </c>
      <c r="X514" s="101" t="str">
        <f t="shared" si="64"/>
        <v>One-off</v>
      </c>
      <c r="AC514" s="101" t="str">
        <f t="shared" si="67"/>
        <v>RON</v>
      </c>
      <c r="AD514" s="101">
        <f t="shared" si="68"/>
        <v>10000</v>
      </c>
    </row>
    <row r="515" spans="1:30">
      <c r="A515" s="101">
        <f t="shared" si="60"/>
        <v>15</v>
      </c>
      <c r="B515" s="101">
        <f t="shared" si="65"/>
        <v>10</v>
      </c>
      <c r="C515" s="101" t="str">
        <f t="shared" si="66"/>
        <v>T10</v>
      </c>
      <c r="D515" s="101" t="str">
        <f>IF(A515&lt;&gt;A514,VLOOKUP(A515,'Date SPV'!$A:$D,4,FALSE),D514)</f>
        <v>Aurora Mall Buzau SRL</v>
      </c>
      <c r="E515" s="101" t="str">
        <f>VLOOKUP(A515,'Date SPV'!$A$4:$B$34,2,FALSE)</f>
        <v>RAMB</v>
      </c>
      <c r="H515" s="105" t="s">
        <v>894</v>
      </c>
      <c r="K515" s="101" t="str">
        <f>VLOOKUP(C515,'Preturi si tarife'!$A$4:$B$39,2,FALSE)</f>
        <v xml:space="preserve">Certificate verzi </v>
      </c>
      <c r="L515" s="102">
        <f>IF(B515=1,'Date masura OD'!$I$5,IF(B515=19,'Date masura OD'!$AK$5,L514))</f>
        <v>45778</v>
      </c>
      <c r="M515" s="102">
        <f>IF(B515=1,'Date masura OD'!$J$5,IF(B515=19,'Date masura OD'!$AL$5,M514))</f>
        <v>45808</v>
      </c>
      <c r="N515" s="104">
        <f>VLOOKUP(E515,verificare!$AR$4:$CC$33,B515+2,FALSE)</f>
        <v>326783</v>
      </c>
      <c r="O515" s="103">
        <f>HLOOKUP(VLOOKUP(E515,'Date SPV'!$B$4:$F$34,5,FALSE),'Preturi si tarife'!$C$2:$J$39,B515+2,FALSE)*10000</f>
        <v>725.41599999999994</v>
      </c>
      <c r="Q515" s="101" t="str">
        <f t="shared" si="61"/>
        <v>One-off</v>
      </c>
      <c r="R515" s="101" t="str">
        <f>VLOOKUP(K515,'Preturi si tarife'!$B$4:$K$39,10,FALSE)</f>
        <v>ICOENG0001</v>
      </c>
      <c r="T515" s="101" t="str">
        <f t="shared" si="62"/>
        <v>INV + 30</v>
      </c>
      <c r="V515" s="101" t="str">
        <f t="shared" si="63"/>
        <v>Active</v>
      </c>
      <c r="X515" s="101" t="str">
        <f t="shared" si="64"/>
        <v>One-off</v>
      </c>
      <c r="AC515" s="101" t="str">
        <f t="shared" si="67"/>
        <v>RON</v>
      </c>
      <c r="AD515" s="101">
        <f t="shared" si="68"/>
        <v>10000</v>
      </c>
    </row>
    <row r="516" spans="1:30">
      <c r="A516" s="101">
        <f t="shared" ref="A516:A579" si="69">IF(B515=36,A515+1,A515)</f>
        <v>15</v>
      </c>
      <c r="B516" s="101">
        <f t="shared" si="65"/>
        <v>11</v>
      </c>
      <c r="C516" s="101" t="str">
        <f t="shared" si="66"/>
        <v>T11</v>
      </c>
      <c r="D516" s="101" t="str">
        <f>IF(A516&lt;&gt;A515,VLOOKUP(A516,'Date SPV'!$A:$D,4,FALSE),D515)</f>
        <v>Aurora Mall Buzau SRL</v>
      </c>
      <c r="E516" s="101" t="str">
        <f>VLOOKUP(A516,'Date SPV'!$A$4:$B$34,2,FALSE)</f>
        <v>RAMB</v>
      </c>
      <c r="H516" s="105" t="s">
        <v>894</v>
      </c>
      <c r="K516" s="101" t="str">
        <f>VLOOKUP(C516,'Preturi si tarife'!$A$4:$B$39,2,FALSE)</f>
        <v>Contributie CFD</v>
      </c>
      <c r="L516" s="102">
        <f>IF(B516=1,'Date masura OD'!$I$5,IF(B516=19,'Date masura OD'!$AK$5,L515))</f>
        <v>45778</v>
      </c>
      <c r="M516" s="102">
        <f>IF(B516=1,'Date masura OD'!$J$5,IF(B516=19,'Date masura OD'!$AL$5,M515))</f>
        <v>45808</v>
      </c>
      <c r="N516" s="104">
        <f>VLOOKUP(E516,verificare!$AR$4:$CC$33,B516+2,FALSE)</f>
        <v>326783</v>
      </c>
      <c r="O516" s="103">
        <f>HLOOKUP(VLOOKUP(E516,'Date SPV'!$B$4:$F$34,5,FALSE),'Preturi si tarife'!$C$2:$J$39,B516+2,FALSE)*10000</f>
        <v>2.06</v>
      </c>
      <c r="Q516" s="101" t="str">
        <f t="shared" si="61"/>
        <v>One-off</v>
      </c>
      <c r="R516" s="101" t="str">
        <f>VLOOKUP(K516,'Preturi si tarife'!$B$4:$K$39,10,FALSE)</f>
        <v>ICOENG0001</v>
      </c>
      <c r="T516" s="101" t="str">
        <f t="shared" si="62"/>
        <v>INV + 30</v>
      </c>
      <c r="V516" s="101" t="str">
        <f t="shared" si="63"/>
        <v>Active</v>
      </c>
      <c r="X516" s="101" t="str">
        <f t="shared" si="64"/>
        <v>One-off</v>
      </c>
      <c r="AC516" s="101" t="str">
        <f t="shared" si="67"/>
        <v>RON</v>
      </c>
      <c r="AD516" s="101">
        <f t="shared" si="68"/>
        <v>10000</v>
      </c>
    </row>
    <row r="517" spans="1:30">
      <c r="A517" s="101">
        <f t="shared" si="69"/>
        <v>15</v>
      </c>
      <c r="B517" s="101">
        <f t="shared" si="65"/>
        <v>12</v>
      </c>
      <c r="C517" s="101" t="str">
        <f t="shared" si="66"/>
        <v>T12</v>
      </c>
      <c r="D517" s="101" t="str">
        <f>IF(A517&lt;&gt;A516,VLOOKUP(A517,'Date SPV'!$A:$D,4,FALSE),D516)</f>
        <v>Aurora Mall Buzau SRL</v>
      </c>
      <c r="E517" s="101" t="str">
        <f>VLOOKUP(A517,'Date SPV'!$A$4:$B$34,2,FALSE)</f>
        <v>RAMB</v>
      </c>
      <c r="H517" s="105" t="s">
        <v>894</v>
      </c>
      <c r="K517" s="101" t="str">
        <f>VLOOKUP(C517,'Preturi si tarife'!$A$4:$B$39,2,FALSE)</f>
        <v>Acciza</v>
      </c>
      <c r="L517" s="102">
        <f>IF(B517=1,'Date masura OD'!$I$5,IF(B517=19,'Date masura OD'!$AK$5,L516))</f>
        <v>45778</v>
      </c>
      <c r="M517" s="102">
        <f>IF(B517=1,'Date masura OD'!$J$5,IF(B517=19,'Date masura OD'!$AL$5,M516))</f>
        <v>45808</v>
      </c>
      <c r="N517" s="104">
        <f>VLOOKUP(E517,verificare!$AR$4:$CC$33,B517+2,FALSE)</f>
        <v>326783</v>
      </c>
      <c r="O517" s="103">
        <f>HLOOKUP(VLOOKUP(E517,'Date SPV'!$B$4:$F$34,5,FALSE),'Preturi si tarife'!$C$2:$J$39,B517+2,FALSE)*10000</f>
        <v>0</v>
      </c>
      <c r="Q517" s="101" t="str">
        <f t="shared" si="61"/>
        <v>One-off</v>
      </c>
      <c r="R517" s="101" t="str">
        <f>VLOOKUP(K517,'Preturi si tarife'!$B$4:$K$39,10,FALSE)</f>
        <v>ICOENG0001</v>
      </c>
      <c r="T517" s="101" t="str">
        <f t="shared" si="62"/>
        <v>INV + 30</v>
      </c>
      <c r="V517" s="101" t="str">
        <f t="shared" si="63"/>
        <v>Active</v>
      </c>
      <c r="X517" s="101" t="str">
        <f t="shared" si="64"/>
        <v>One-off</v>
      </c>
      <c r="AC517" s="101" t="str">
        <f t="shared" si="67"/>
        <v>RON</v>
      </c>
      <c r="AD517" s="101">
        <f t="shared" si="68"/>
        <v>10000</v>
      </c>
    </row>
    <row r="518" spans="1:30">
      <c r="A518" s="101">
        <f t="shared" si="69"/>
        <v>15</v>
      </c>
      <c r="B518" s="101">
        <f t="shared" si="65"/>
        <v>13</v>
      </c>
      <c r="C518" s="101" t="str">
        <f t="shared" si="66"/>
        <v>T13</v>
      </c>
      <c r="D518" s="101" t="str">
        <f>IF(A518&lt;&gt;A517,VLOOKUP(A518,'Date SPV'!$A:$D,4,FALSE),D517)</f>
        <v>Aurora Mall Buzau SRL</v>
      </c>
      <c r="E518" s="101" t="str">
        <f>VLOOKUP(A518,'Date SPV'!$A$4:$B$34,2,FALSE)</f>
        <v>RAMB</v>
      </c>
      <c r="H518" s="105" t="s">
        <v>894</v>
      </c>
      <c r="K518" s="101" t="str">
        <f>VLOOKUP(C518,'Preturi si tarife'!$A$4:$B$39,2,FALSE)</f>
        <v>Tarif distributie SDI MT</v>
      </c>
      <c r="L518" s="102">
        <f>IF(B518=1,'Date masura OD'!$I$5,IF(B518=19,'Date masura OD'!$AK$5,L517))</f>
        <v>45778</v>
      </c>
      <c r="M518" s="102">
        <f>IF(B518=1,'Date masura OD'!$J$5,IF(B518=19,'Date masura OD'!$AL$5,M517))</f>
        <v>45808</v>
      </c>
      <c r="N518" s="104">
        <f>VLOOKUP(E518,verificare!$AR$4:$CC$33,B518+2,FALSE)</f>
        <v>326783</v>
      </c>
      <c r="O518" s="103">
        <f>HLOOKUP(VLOOKUP(E518,'Date SPV'!$B$4:$F$34,5,FALSE),'Preturi si tarife'!$C$2:$J$39,B518+2,FALSE)*10000</f>
        <v>149</v>
      </c>
      <c r="Q518" s="101" t="str">
        <f t="shared" si="61"/>
        <v>One-off</v>
      </c>
      <c r="R518" s="101" t="str">
        <f>VLOOKUP(K518,'Preturi si tarife'!$B$4:$K$39,10,FALSE)</f>
        <v>ICOENG0010</v>
      </c>
      <c r="T518" s="101" t="str">
        <f t="shared" si="62"/>
        <v>INV + 30</v>
      </c>
      <c r="V518" s="101" t="str">
        <f t="shared" si="63"/>
        <v>Active</v>
      </c>
      <c r="X518" s="101" t="str">
        <f t="shared" si="64"/>
        <v>One-off</v>
      </c>
      <c r="AC518" s="101" t="str">
        <f t="shared" si="67"/>
        <v>RON</v>
      </c>
      <c r="AD518" s="101">
        <f t="shared" si="68"/>
        <v>10000</v>
      </c>
    </row>
    <row r="519" spans="1:30">
      <c r="A519" s="101">
        <f t="shared" si="69"/>
        <v>15</v>
      </c>
      <c r="B519" s="101">
        <f t="shared" si="65"/>
        <v>14</v>
      </c>
      <c r="C519" s="101" t="str">
        <f t="shared" si="66"/>
        <v>T14</v>
      </c>
      <c r="D519" s="101" t="str">
        <f>IF(A519&lt;&gt;A518,VLOOKUP(A519,'Date SPV'!$A:$D,4,FALSE),D518)</f>
        <v>Aurora Mall Buzau SRL</v>
      </c>
      <c r="E519" s="101" t="str">
        <f>VLOOKUP(A519,'Date SPV'!$A$4:$B$34,2,FALSE)</f>
        <v>RAMB</v>
      </c>
      <c r="H519" s="105" t="s">
        <v>894</v>
      </c>
      <c r="K519" s="101" t="str">
        <f>VLOOKUP(C519,'Preturi si tarife'!$A$4:$B$39,2,FALSE)</f>
        <v>Tarif distributie SDI JT</v>
      </c>
      <c r="L519" s="102">
        <f>IF(B519=1,'Date masura OD'!$I$5,IF(B519=19,'Date masura OD'!$AK$5,L518))</f>
        <v>45778</v>
      </c>
      <c r="M519" s="102">
        <f>IF(B519=1,'Date masura OD'!$J$5,IF(B519=19,'Date masura OD'!$AL$5,M518))</f>
        <v>45808</v>
      </c>
      <c r="N519" s="104">
        <f>VLOOKUP(E519,verificare!$AR$4:$CC$33,B519+2,FALSE)</f>
        <v>326783</v>
      </c>
      <c r="O519" s="103">
        <f>HLOOKUP(VLOOKUP(E519,'Date SPV'!$B$4:$F$34,5,FALSE),'Preturi si tarife'!$C$2:$J$39,B519+2,FALSE)*10000</f>
        <v>1192</v>
      </c>
      <c r="Q519" s="101" t="str">
        <f t="shared" si="61"/>
        <v>One-off</v>
      </c>
      <c r="R519" s="101" t="str">
        <f>VLOOKUP(K519,'Preturi si tarife'!$B$4:$K$39,10,FALSE)</f>
        <v>ICOENG0010</v>
      </c>
      <c r="T519" s="101" t="str">
        <f t="shared" si="62"/>
        <v>INV + 30</v>
      </c>
      <c r="V519" s="101" t="str">
        <f t="shared" si="63"/>
        <v>Active</v>
      </c>
      <c r="X519" s="101" t="str">
        <f t="shared" si="64"/>
        <v>One-off</v>
      </c>
      <c r="AC519" s="101" t="str">
        <f t="shared" si="67"/>
        <v>RON</v>
      </c>
      <c r="AD519" s="101">
        <f t="shared" si="68"/>
        <v>10000</v>
      </c>
    </row>
    <row r="520" spans="1:30">
      <c r="A520" s="101">
        <f t="shared" si="69"/>
        <v>15</v>
      </c>
      <c r="B520" s="101">
        <f t="shared" si="65"/>
        <v>15</v>
      </c>
      <c r="C520" s="101" t="str">
        <f t="shared" si="66"/>
        <v>T15</v>
      </c>
      <c r="D520" s="101" t="str">
        <f>IF(A520&lt;&gt;A519,VLOOKUP(A520,'Date SPV'!$A:$D,4,FALSE),D519)</f>
        <v>Aurora Mall Buzau SRL</v>
      </c>
      <c r="E520" s="101" t="str">
        <f>VLOOKUP(A520,'Date SPV'!$A$4:$B$34,2,FALSE)</f>
        <v>RAMB</v>
      </c>
      <c r="H520" s="105" t="s">
        <v>894</v>
      </c>
      <c r="K520" s="101" t="str">
        <f>VLOOKUP(C520,'Preturi si tarife'!$A$4:$B$39,2,FALSE)</f>
        <v>Energie activa 2</v>
      </c>
      <c r="L520" s="102">
        <f>IF(B520=1,'Date masura OD'!$I$5,IF(B520=19,'Date masura OD'!$AK$5,L519))</f>
        <v>45778</v>
      </c>
      <c r="M520" s="102">
        <f>IF(B520=1,'Date masura OD'!$J$5,IF(B520=19,'Date masura OD'!$AL$5,M519))</f>
        <v>45808</v>
      </c>
      <c r="N520" s="104">
        <f>VLOOKUP(E520,verificare!$AR$4:$CC$33,B520+2,FALSE)</f>
        <v>128816</v>
      </c>
      <c r="O520" s="103">
        <f>HLOOKUP(VLOOKUP(E520,'Date SPV'!$B$4:$F$34,5,FALSE),'Preturi si tarife'!$C$2:$J$39,B520+2,FALSE)*10000</f>
        <v>9680.0760000000009</v>
      </c>
      <c r="Q520" s="101" t="str">
        <f t="shared" si="61"/>
        <v>One-off</v>
      </c>
      <c r="R520" s="101" t="str">
        <f>VLOOKUP(K520,'Preturi si tarife'!$B$4:$K$39,10,FALSE)</f>
        <v>ICOENG0012</v>
      </c>
      <c r="T520" s="101" t="str">
        <f t="shared" si="62"/>
        <v>INV + 30</v>
      </c>
      <c r="V520" s="101" t="str">
        <f t="shared" si="63"/>
        <v>Active</v>
      </c>
      <c r="X520" s="101" t="str">
        <f t="shared" si="64"/>
        <v>One-off</v>
      </c>
      <c r="AC520" s="101" t="str">
        <f t="shared" si="67"/>
        <v>RON</v>
      </c>
      <c r="AD520" s="101">
        <f t="shared" si="68"/>
        <v>10000</v>
      </c>
    </row>
    <row r="521" spans="1:30">
      <c r="A521" s="101">
        <f t="shared" si="69"/>
        <v>15</v>
      </c>
      <c r="B521" s="101">
        <f t="shared" si="65"/>
        <v>16</v>
      </c>
      <c r="C521" s="101" t="str">
        <f t="shared" si="66"/>
        <v>T16</v>
      </c>
      <c r="D521" s="101" t="str">
        <f>IF(A521&lt;&gt;A520,VLOOKUP(A521,'Date SPV'!$A:$D,4,FALSE),D520)</f>
        <v>Aurora Mall Buzau SRL</v>
      </c>
      <c r="E521" s="101" t="str">
        <f>VLOOKUP(A521,'Date SPV'!$A$4:$B$34,2,FALSE)</f>
        <v>RAMB</v>
      </c>
      <c r="H521" s="105" t="s">
        <v>894</v>
      </c>
      <c r="K521" s="101" t="str">
        <f>VLOOKUP(C521,'Preturi si tarife'!$A$4:$B$39,2,FALSE)</f>
        <v>Energie activa 3</v>
      </c>
      <c r="L521" s="102">
        <f>IF(B521=1,'Date masura OD'!$I$5,IF(B521=19,'Date masura OD'!$AK$5,L520))</f>
        <v>45778</v>
      </c>
      <c r="M521" s="102">
        <f>IF(B521=1,'Date masura OD'!$J$5,IF(B521=19,'Date masura OD'!$AL$5,M520))</f>
        <v>45808</v>
      </c>
      <c r="N521" s="104">
        <f>VLOOKUP(E521,verificare!$AR$4:$CC$33,B521+2,FALSE)</f>
        <v>13285</v>
      </c>
      <c r="O521" s="103">
        <f>HLOOKUP(VLOOKUP(E521,'Date SPV'!$B$4:$F$34,5,FALSE),'Preturi si tarife'!$C$2:$J$39,B521+2,FALSE)*10000</f>
        <v>8339.0760000000009</v>
      </c>
      <c r="Q521" s="101" t="str">
        <f t="shared" si="61"/>
        <v>One-off</v>
      </c>
      <c r="R521" s="101" t="str">
        <f>VLOOKUP(K521,'Preturi si tarife'!$B$4:$K$39,10,FALSE)</f>
        <v>ICOENG0012</v>
      </c>
      <c r="T521" s="101" t="str">
        <f t="shared" si="62"/>
        <v>INV + 30</v>
      </c>
      <c r="V521" s="101" t="str">
        <f t="shared" si="63"/>
        <v>Active</v>
      </c>
      <c r="X521" s="101" t="str">
        <f t="shared" si="64"/>
        <v>One-off</v>
      </c>
      <c r="AC521" s="101" t="str">
        <f t="shared" si="67"/>
        <v>RON</v>
      </c>
      <c r="AD521" s="101">
        <f t="shared" si="68"/>
        <v>10000</v>
      </c>
    </row>
    <row r="522" spans="1:30">
      <c r="A522" s="101">
        <f t="shared" si="69"/>
        <v>15</v>
      </c>
      <c r="B522" s="101">
        <f t="shared" si="65"/>
        <v>17</v>
      </c>
      <c r="C522" s="101" t="str">
        <f t="shared" si="66"/>
        <v>T17</v>
      </c>
      <c r="D522" s="101" t="str">
        <f>IF(A522&lt;&gt;A521,VLOOKUP(A522,'Date SPV'!$A:$D,4,FALSE),D521)</f>
        <v>Aurora Mall Buzau SRL</v>
      </c>
      <c r="E522" s="101" t="str">
        <f>VLOOKUP(A522,'Date SPV'!$A$4:$B$34,2,FALSE)</f>
        <v>RAMB</v>
      </c>
      <c r="H522" s="105" t="s">
        <v>894</v>
      </c>
      <c r="K522" s="101" t="str">
        <f>VLOOKUP(C522,'Preturi si tarife'!$A$4:$B$39,2,FALSE)</f>
        <v>Tarif distributie SDI MT_</v>
      </c>
      <c r="L522" s="102">
        <f>IF(B522=1,'Date masura OD'!$I$5,IF(B522=19,'Date masura OD'!$AK$5,L521))</f>
        <v>45778</v>
      </c>
      <c r="M522" s="102">
        <f>IF(B522=1,'Date masura OD'!$J$5,IF(B522=19,'Date masura OD'!$AL$5,M521))</f>
        <v>45808</v>
      </c>
      <c r="N522" s="104">
        <f>VLOOKUP(E522,verificare!$AR$4:$CC$33,B522+2,FALSE)</f>
        <v>13285</v>
      </c>
      <c r="O522" s="103">
        <f>HLOOKUP(VLOOKUP(E522,'Date SPV'!$B$4:$F$34,5,FALSE),'Preturi si tarife'!$C$2:$J$39,B522+2,FALSE)*10000</f>
        <v>149</v>
      </c>
      <c r="Q522" s="101" t="str">
        <f t="shared" si="61"/>
        <v>One-off</v>
      </c>
      <c r="R522" s="101" t="str">
        <f>VLOOKUP(K522,'Preturi si tarife'!$B$4:$K$39,10,FALSE)</f>
        <v>ICOENG0010</v>
      </c>
      <c r="T522" s="101" t="str">
        <f t="shared" si="62"/>
        <v>INV + 30</v>
      </c>
      <c r="V522" s="101" t="str">
        <f t="shared" si="63"/>
        <v>Active</v>
      </c>
      <c r="X522" s="101" t="str">
        <f t="shared" si="64"/>
        <v>One-off</v>
      </c>
      <c r="AC522" s="101" t="str">
        <f t="shared" si="67"/>
        <v>RON</v>
      </c>
      <c r="AD522" s="101">
        <f t="shared" si="68"/>
        <v>10000</v>
      </c>
    </row>
    <row r="523" spans="1:30">
      <c r="A523" s="101">
        <f t="shared" si="69"/>
        <v>15</v>
      </c>
      <c r="B523" s="101">
        <f t="shared" si="65"/>
        <v>18</v>
      </c>
      <c r="C523" s="101" t="str">
        <f t="shared" si="66"/>
        <v>T18</v>
      </c>
      <c r="D523" s="101" t="str">
        <f>IF(A523&lt;&gt;A522,VLOOKUP(A523,'Date SPV'!$A:$D,4,FALSE),D522)</f>
        <v>Aurora Mall Buzau SRL</v>
      </c>
      <c r="E523" s="101" t="str">
        <f>VLOOKUP(A523,'Date SPV'!$A$4:$B$34,2,FALSE)</f>
        <v>RAMB</v>
      </c>
      <c r="H523" s="105" t="s">
        <v>894</v>
      </c>
      <c r="K523" s="101" t="str">
        <f>VLOOKUP(C523,'Preturi si tarife'!$A$4:$B$39,2,FALSE)</f>
        <v>Tarif distributie SDI JT_</v>
      </c>
      <c r="L523" s="102">
        <f>IF(B523=1,'Date masura OD'!$I$5,IF(B523=19,'Date masura OD'!$AK$5,L522))</f>
        <v>45778</v>
      </c>
      <c r="M523" s="102">
        <f>IF(B523=1,'Date masura OD'!$J$5,IF(B523=19,'Date masura OD'!$AL$5,M522))</f>
        <v>45808</v>
      </c>
      <c r="N523" s="104">
        <f>VLOOKUP(E523,verificare!$AR$4:$CC$33,B523+2,FALSE)</f>
        <v>13285</v>
      </c>
      <c r="O523" s="103">
        <f>HLOOKUP(VLOOKUP(E523,'Date SPV'!$B$4:$F$34,5,FALSE),'Preturi si tarife'!$C$2:$J$39,B523+2,FALSE)*10000</f>
        <v>1192</v>
      </c>
      <c r="Q523" s="101" t="str">
        <f t="shared" si="61"/>
        <v>One-off</v>
      </c>
      <c r="R523" s="101" t="str">
        <f>VLOOKUP(K523,'Preturi si tarife'!$B$4:$K$39,10,FALSE)</f>
        <v>ICOENG0010</v>
      </c>
      <c r="T523" s="101" t="str">
        <f t="shared" si="62"/>
        <v>INV + 30</v>
      </c>
      <c r="V523" s="101" t="str">
        <f t="shared" si="63"/>
        <v>Active</v>
      </c>
      <c r="X523" s="101" t="str">
        <f t="shared" si="64"/>
        <v>One-off</v>
      </c>
      <c r="AC523" s="101" t="str">
        <f t="shared" si="67"/>
        <v>RON</v>
      </c>
      <c r="AD523" s="101">
        <f t="shared" si="68"/>
        <v>10000</v>
      </c>
    </row>
    <row r="524" spans="1:30">
      <c r="A524" s="101">
        <f t="shared" si="69"/>
        <v>15</v>
      </c>
      <c r="B524" s="101">
        <f t="shared" si="65"/>
        <v>19</v>
      </c>
      <c r="C524" s="101" t="str">
        <f t="shared" si="66"/>
        <v>T19</v>
      </c>
      <c r="D524" s="101" t="str">
        <f>IF(A524&lt;&gt;A523,VLOOKUP(A524,'Date SPV'!$A:$D,4,FALSE),D523)</f>
        <v>Aurora Mall Buzau SRL</v>
      </c>
      <c r="E524" s="101" t="str">
        <f>VLOOKUP(A524,'Date SPV'!$A$4:$B$34,2,FALSE)</f>
        <v>RAMB</v>
      </c>
      <c r="H524" s="105" t="s">
        <v>894</v>
      </c>
      <c r="K524" s="101" t="str">
        <f>VLOOKUP(C524,'Preturi si tarife'!$A$4:$B$39,2,FALSE)</f>
        <v>Regularizare Energie activa 1</v>
      </c>
      <c r="L524" s="102">
        <f>IF(B524=1,'Date masura OD'!$I$5,IF(B524=19,'Date masura OD'!$AK$5,L523))</f>
        <v>45748</v>
      </c>
      <c r="M524" s="102">
        <f>IF(B524=1,'Date masura OD'!$J$5,IF(B524=19,'Date masura OD'!$AL$5,M523))</f>
        <v>45777</v>
      </c>
      <c r="N524" s="104">
        <f>VLOOKUP(E524,verificare!$AR$4:$CC$33,B524+2,FALSE)</f>
        <v>0</v>
      </c>
      <c r="O524" s="103">
        <f>HLOOKUP(VLOOKUP(E524,'Date SPV'!$B$4:$F$34,5,FALSE),'Preturi si tarife'!$C$2:$J$39,B524+2,FALSE)*10000</f>
        <v>5950</v>
      </c>
      <c r="Q524" s="101" t="str">
        <f t="shared" si="61"/>
        <v>One-off</v>
      </c>
      <c r="R524" s="101" t="str">
        <f>VLOOKUP(K524,'Preturi si tarife'!$B$4:$K$39,10,FALSE)</f>
        <v>ICOENG0001</v>
      </c>
      <c r="T524" s="101" t="str">
        <f t="shared" si="62"/>
        <v>INV + 30</v>
      </c>
      <c r="V524" s="101" t="str">
        <f t="shared" si="63"/>
        <v>Active</v>
      </c>
      <c r="X524" s="101" t="str">
        <f t="shared" si="64"/>
        <v>One-off</v>
      </c>
      <c r="AC524" s="101" t="str">
        <f t="shared" si="67"/>
        <v>RON</v>
      </c>
      <c r="AD524" s="101">
        <f t="shared" si="68"/>
        <v>10000</v>
      </c>
    </row>
    <row r="525" spans="1:30">
      <c r="A525" s="101">
        <f t="shared" si="69"/>
        <v>15</v>
      </c>
      <c r="B525" s="101">
        <f t="shared" si="65"/>
        <v>20</v>
      </c>
      <c r="C525" s="101" t="str">
        <f t="shared" si="66"/>
        <v>T20</v>
      </c>
      <c r="D525" s="101" t="str">
        <f>IF(A525&lt;&gt;A524,VLOOKUP(A525,'Date SPV'!$A:$D,4,FALSE),D524)</f>
        <v>Aurora Mall Buzau SRL</v>
      </c>
      <c r="E525" s="101" t="str">
        <f>VLOOKUP(A525,'Date SPV'!$A$4:$B$34,2,FALSE)</f>
        <v>RAMB</v>
      </c>
      <c r="H525" s="105" t="s">
        <v>894</v>
      </c>
      <c r="K525" s="101" t="str">
        <f>VLOOKUP(C525,'Preturi si tarife'!$A$4:$B$39,2,FALSE)</f>
        <v>Regularizare Energie reactiva  1X</v>
      </c>
      <c r="L525" s="102">
        <f>IF(B525=1,'Date masura OD'!$I$5,IF(B525=19,'Date masura OD'!$AK$5,L524))</f>
        <v>45748</v>
      </c>
      <c r="M525" s="102">
        <f>IF(B525=1,'Date masura OD'!$J$5,IF(B525=19,'Date masura OD'!$AL$5,M524))</f>
        <v>45777</v>
      </c>
      <c r="N525" s="104">
        <f>VLOOKUP(E525,verificare!$AR$4:$CC$33,B525+2,FALSE)</f>
        <v>334</v>
      </c>
      <c r="O525" s="103">
        <f>HLOOKUP(VLOOKUP(E525,'Date SPV'!$B$4:$F$34,5,FALSE),'Preturi si tarife'!$C$2:$J$39,B525+2,FALSE)*10000</f>
        <v>1465</v>
      </c>
      <c r="Q525" s="101" t="str">
        <f t="shared" si="61"/>
        <v>One-off</v>
      </c>
      <c r="R525" s="101" t="str">
        <f>VLOOKUP(K525,'Preturi si tarife'!$B$4:$K$39,10,FALSE)</f>
        <v>ICOENG0001</v>
      </c>
      <c r="T525" s="101" t="str">
        <f t="shared" si="62"/>
        <v>INV + 30</v>
      </c>
      <c r="V525" s="101" t="str">
        <f t="shared" si="63"/>
        <v>Active</v>
      </c>
      <c r="X525" s="101" t="str">
        <f t="shared" si="64"/>
        <v>One-off</v>
      </c>
      <c r="AC525" s="101" t="str">
        <f t="shared" si="67"/>
        <v>RON</v>
      </c>
      <c r="AD525" s="101">
        <f t="shared" si="68"/>
        <v>10000</v>
      </c>
    </row>
    <row r="526" spans="1:30">
      <c r="A526" s="101">
        <f t="shared" si="69"/>
        <v>15</v>
      </c>
      <c r="B526" s="101">
        <f t="shared" si="65"/>
        <v>21</v>
      </c>
      <c r="C526" s="101" t="str">
        <f t="shared" si="66"/>
        <v>T21</v>
      </c>
      <c r="D526" s="101" t="str">
        <f>IF(A526&lt;&gt;A525,VLOOKUP(A526,'Date SPV'!$A:$D,4,FALSE),D525)</f>
        <v>Aurora Mall Buzau SRL</v>
      </c>
      <c r="E526" s="101" t="str">
        <f>VLOOKUP(A526,'Date SPV'!$A$4:$B$34,2,FALSE)</f>
        <v>RAMB</v>
      </c>
      <c r="H526" s="105" t="s">
        <v>894</v>
      </c>
      <c r="K526" s="101" t="str">
        <f>VLOOKUP(C526,'Preturi si tarife'!$A$4:$B$39,2,FALSE)</f>
        <v>Regularizare Energie reactiva  3X</v>
      </c>
      <c r="L526" s="102">
        <f>IF(B526=1,'Date masura OD'!$I$5,IF(B526=19,'Date masura OD'!$AK$5,L525))</f>
        <v>45748</v>
      </c>
      <c r="M526" s="102">
        <f>IF(B526=1,'Date masura OD'!$J$5,IF(B526=19,'Date masura OD'!$AL$5,M525))</f>
        <v>45777</v>
      </c>
      <c r="N526" s="104">
        <f>VLOOKUP(E526,verificare!$AR$4:$CC$33,B526+2,FALSE)</f>
        <v>0</v>
      </c>
      <c r="O526" s="103">
        <f>HLOOKUP(VLOOKUP(E526,'Date SPV'!$B$4:$F$34,5,FALSE),'Preturi si tarife'!$C$2:$J$39,B526+2,FALSE)*10000</f>
        <v>4395</v>
      </c>
      <c r="Q526" s="101" t="str">
        <f t="shared" si="61"/>
        <v>One-off</v>
      </c>
      <c r="R526" s="101" t="str">
        <f>VLOOKUP(K526,'Preturi si tarife'!$B$4:$K$39,10,FALSE)</f>
        <v>ICOENG0001</v>
      </c>
      <c r="T526" s="101" t="str">
        <f t="shared" si="62"/>
        <v>INV + 30</v>
      </c>
      <c r="V526" s="101" t="str">
        <f t="shared" si="63"/>
        <v>Active</v>
      </c>
      <c r="X526" s="101" t="str">
        <f t="shared" si="64"/>
        <v>One-off</v>
      </c>
      <c r="AC526" s="101" t="str">
        <f t="shared" si="67"/>
        <v>RON</v>
      </c>
      <c r="AD526" s="101">
        <f t="shared" si="68"/>
        <v>10000</v>
      </c>
    </row>
    <row r="527" spans="1:30">
      <c r="A527" s="101">
        <f t="shared" si="69"/>
        <v>15</v>
      </c>
      <c r="B527" s="101">
        <f t="shared" si="65"/>
        <v>22</v>
      </c>
      <c r="C527" s="101" t="str">
        <f t="shared" si="66"/>
        <v>T22</v>
      </c>
      <c r="D527" s="101" t="str">
        <f>IF(A527&lt;&gt;A526,VLOOKUP(A527,'Date SPV'!$A:$D,4,FALSE),D526)</f>
        <v>Aurora Mall Buzau SRL</v>
      </c>
      <c r="E527" s="101" t="str">
        <f>VLOOKUP(A527,'Date SPV'!$A$4:$B$34,2,FALSE)</f>
        <v>RAMB</v>
      </c>
      <c r="H527" s="105" t="s">
        <v>894</v>
      </c>
      <c r="K527" s="101" t="str">
        <f>VLOOKUP(C527,'Preturi si tarife'!$A$4:$B$39,2,FALSE)</f>
        <v>Regularizare Tarife distributie en. El IT+MT</v>
      </c>
      <c r="L527" s="102">
        <f>IF(B527=1,'Date masura OD'!$I$5,IF(B527=19,'Date masura OD'!$AK$5,L526))</f>
        <v>45748</v>
      </c>
      <c r="M527" s="102">
        <f>IF(B527=1,'Date masura OD'!$J$5,IF(B527=19,'Date masura OD'!$AL$5,M526))</f>
        <v>45777</v>
      </c>
      <c r="N527" s="104">
        <f>VLOOKUP(E527,verificare!$AR$4:$CC$33,B527+2,FALSE)</f>
        <v>0</v>
      </c>
      <c r="O527" s="103">
        <f>HLOOKUP(VLOOKUP(E527,'Date SPV'!$B$4:$F$34,5,FALSE),'Preturi si tarife'!$C$2:$J$39,B527+2,FALSE)*10000</f>
        <v>1148.3</v>
      </c>
      <c r="Q527" s="101" t="str">
        <f t="shared" si="61"/>
        <v>One-off</v>
      </c>
      <c r="R527" s="101" t="str">
        <f>VLOOKUP(K527,'Preturi si tarife'!$B$4:$K$39,10,FALSE)</f>
        <v>ICOENG0001</v>
      </c>
      <c r="T527" s="101" t="str">
        <f t="shared" si="62"/>
        <v>INV + 30</v>
      </c>
      <c r="V527" s="101" t="str">
        <f t="shared" si="63"/>
        <v>Active</v>
      </c>
      <c r="X527" s="101" t="str">
        <f t="shared" si="64"/>
        <v>One-off</v>
      </c>
      <c r="AC527" s="101" t="str">
        <f t="shared" si="67"/>
        <v>RON</v>
      </c>
      <c r="AD527" s="101">
        <f t="shared" si="68"/>
        <v>10000</v>
      </c>
    </row>
    <row r="528" spans="1:30">
      <c r="A528" s="101">
        <f t="shared" si="69"/>
        <v>15</v>
      </c>
      <c r="B528" s="101">
        <f t="shared" si="65"/>
        <v>23</v>
      </c>
      <c r="C528" s="101" t="str">
        <f t="shared" si="66"/>
        <v>T23</v>
      </c>
      <c r="D528" s="101" t="str">
        <f>IF(A528&lt;&gt;A527,VLOOKUP(A528,'Date SPV'!$A:$D,4,FALSE),D527)</f>
        <v>Aurora Mall Buzau SRL</v>
      </c>
      <c r="E528" s="101" t="str">
        <f>VLOOKUP(A528,'Date SPV'!$A$4:$B$34,2,FALSE)</f>
        <v>RAMB</v>
      </c>
      <c r="H528" s="105" t="s">
        <v>894</v>
      </c>
      <c r="K528" s="101" t="str">
        <f>VLOOKUP(C528,'Preturi si tarife'!$A$4:$B$39,2,FALSE)</f>
        <v>Regularizare Tarife distributie en. El JT</v>
      </c>
      <c r="L528" s="102">
        <f>IF(B528=1,'Date masura OD'!$I$5,IF(B528=19,'Date masura OD'!$AK$5,L527))</f>
        <v>45748</v>
      </c>
      <c r="M528" s="102">
        <f>IF(B528=1,'Date masura OD'!$J$5,IF(B528=19,'Date masura OD'!$AL$5,M527))</f>
        <v>45777</v>
      </c>
      <c r="N528" s="104">
        <f>VLOOKUP(E528,verificare!$AR$4:$CC$33,B528+2,FALSE)</f>
        <v>0</v>
      </c>
      <c r="O528" s="103">
        <f>HLOOKUP(VLOOKUP(E528,'Date SPV'!$B$4:$F$34,5,FALSE),'Preturi si tarife'!$C$2:$J$39,B528+2,FALSE)*10000</f>
        <v>2361</v>
      </c>
      <c r="Q528" s="101" t="str">
        <f t="shared" si="61"/>
        <v>One-off</v>
      </c>
      <c r="R528" s="101" t="str">
        <f>VLOOKUP(K528,'Preturi si tarife'!$B$4:$K$39,10,FALSE)</f>
        <v>ICOENG0001</v>
      </c>
      <c r="T528" s="101" t="str">
        <f t="shared" si="62"/>
        <v>INV + 30</v>
      </c>
      <c r="V528" s="101" t="str">
        <f t="shared" si="63"/>
        <v>Active</v>
      </c>
      <c r="X528" s="101" t="str">
        <f t="shared" si="64"/>
        <v>One-off</v>
      </c>
      <c r="AC528" s="101" t="str">
        <f t="shared" si="67"/>
        <v>RON</v>
      </c>
      <c r="AD528" s="101">
        <f t="shared" si="68"/>
        <v>10000</v>
      </c>
    </row>
    <row r="529" spans="1:30">
      <c r="A529" s="101">
        <f t="shared" si="69"/>
        <v>15</v>
      </c>
      <c r="B529" s="101">
        <f t="shared" si="65"/>
        <v>24</v>
      </c>
      <c r="C529" s="101" t="str">
        <f t="shared" si="66"/>
        <v>T24</v>
      </c>
      <c r="D529" s="101" t="str">
        <f>IF(A529&lt;&gt;A528,VLOOKUP(A529,'Date SPV'!$A:$D,4,FALSE),D528)</f>
        <v>Aurora Mall Buzau SRL</v>
      </c>
      <c r="E529" s="101" t="str">
        <f>VLOOKUP(A529,'Date SPV'!$A$4:$B$34,2,FALSE)</f>
        <v>RAMB</v>
      </c>
      <c r="H529" s="105" t="s">
        <v>894</v>
      </c>
      <c r="K529" s="101" t="str">
        <f>VLOOKUP(C529,'Preturi si tarife'!$A$4:$B$39,2,FALSE)</f>
        <v xml:space="preserve">Regularizare Servicii Sistem </v>
      </c>
      <c r="L529" s="102">
        <f>IF(B529=1,'Date masura OD'!$I$5,IF(B529=19,'Date masura OD'!$AK$5,L528))</f>
        <v>45748</v>
      </c>
      <c r="M529" s="102">
        <f>IF(B529=1,'Date masura OD'!$J$5,IF(B529=19,'Date masura OD'!$AL$5,M528))</f>
        <v>45777</v>
      </c>
      <c r="N529" s="104">
        <f>VLOOKUP(E529,verificare!$AR$4:$CC$33,B529+2,FALSE)</f>
        <v>0</v>
      </c>
      <c r="O529" s="103">
        <f>HLOOKUP(VLOOKUP(E529,'Date SPV'!$B$4:$F$34,5,FALSE),'Preturi si tarife'!$C$2:$J$39,B529+2,FALSE)*10000</f>
        <v>115.1</v>
      </c>
      <c r="Q529" s="101" t="str">
        <f t="shared" si="61"/>
        <v>One-off</v>
      </c>
      <c r="R529" s="101" t="str">
        <f>VLOOKUP(K529,'Preturi si tarife'!$B$4:$K$39,10,FALSE)</f>
        <v>ICOENG0001</v>
      </c>
      <c r="T529" s="101" t="str">
        <f t="shared" si="62"/>
        <v>INV + 30</v>
      </c>
      <c r="V529" s="101" t="str">
        <f t="shared" si="63"/>
        <v>Active</v>
      </c>
      <c r="X529" s="101" t="str">
        <f t="shared" si="64"/>
        <v>One-off</v>
      </c>
      <c r="AC529" s="101" t="str">
        <f t="shared" si="67"/>
        <v>RON</v>
      </c>
      <c r="AD529" s="101">
        <f t="shared" si="68"/>
        <v>10000</v>
      </c>
    </row>
    <row r="530" spans="1:30">
      <c r="A530" s="101">
        <f t="shared" si="69"/>
        <v>15</v>
      </c>
      <c r="B530" s="101">
        <f t="shared" si="65"/>
        <v>25</v>
      </c>
      <c r="C530" s="101" t="str">
        <f t="shared" si="66"/>
        <v>T25</v>
      </c>
      <c r="D530" s="101" t="str">
        <f>IF(A530&lt;&gt;A529,VLOOKUP(A530,'Date SPV'!$A:$D,4,FALSE),D529)</f>
        <v>Aurora Mall Buzau SRL</v>
      </c>
      <c r="E530" s="101" t="str">
        <f>VLOOKUP(A530,'Date SPV'!$A$4:$B$34,2,FALSE)</f>
        <v>RAMB</v>
      </c>
      <c r="H530" s="105" t="s">
        <v>894</v>
      </c>
      <c r="K530" s="101" t="str">
        <f>VLOOKUP(C530,'Preturi si tarife'!$A$4:$B$39,2,FALSE)</f>
        <v>Regularizare Tarif de introducere en. el in retea (TL)</v>
      </c>
      <c r="L530" s="102">
        <f>IF(B530=1,'Date masura OD'!$I$5,IF(B530=19,'Date masura OD'!$AK$5,L529))</f>
        <v>45748</v>
      </c>
      <c r="M530" s="102">
        <f>IF(B530=1,'Date masura OD'!$J$5,IF(B530=19,'Date masura OD'!$AL$5,M529))</f>
        <v>45777</v>
      </c>
      <c r="N530" s="104">
        <f>VLOOKUP(E530,verificare!$AR$4:$CC$33,B530+2,FALSE)</f>
        <v>0</v>
      </c>
      <c r="O530" s="103">
        <f>HLOOKUP(VLOOKUP(E530,'Date SPV'!$B$4:$F$34,5,FALSE),'Preturi si tarife'!$C$2:$J$39,B530+2,FALSE)*10000</f>
        <v>330.3</v>
      </c>
      <c r="Q530" s="101" t="str">
        <f t="shared" si="61"/>
        <v>One-off</v>
      </c>
      <c r="R530" s="101" t="str">
        <f>VLOOKUP(K530,'Preturi si tarife'!$B$4:$K$39,10,FALSE)</f>
        <v>ICOENG0001</v>
      </c>
      <c r="T530" s="101" t="str">
        <f t="shared" si="62"/>
        <v>INV + 30</v>
      </c>
      <c r="V530" s="101" t="str">
        <f t="shared" si="63"/>
        <v>Active</v>
      </c>
      <c r="X530" s="101" t="str">
        <f t="shared" si="64"/>
        <v>One-off</v>
      </c>
      <c r="AC530" s="101" t="str">
        <f t="shared" si="67"/>
        <v>RON</v>
      </c>
      <c r="AD530" s="101">
        <f t="shared" si="68"/>
        <v>10000</v>
      </c>
    </row>
    <row r="531" spans="1:30">
      <c r="A531" s="101">
        <f t="shared" si="69"/>
        <v>15</v>
      </c>
      <c r="B531" s="101">
        <f t="shared" si="65"/>
        <v>26</v>
      </c>
      <c r="C531" s="101" t="str">
        <f t="shared" si="66"/>
        <v>T26</v>
      </c>
      <c r="D531" s="101" t="str">
        <f>IF(A531&lt;&gt;A530,VLOOKUP(A531,'Date SPV'!$A:$D,4,FALSE),D530)</f>
        <v>Aurora Mall Buzau SRL</v>
      </c>
      <c r="E531" s="101" t="str">
        <f>VLOOKUP(A531,'Date SPV'!$A$4:$B$34,2,FALSE)</f>
        <v>RAMB</v>
      </c>
      <c r="H531" s="105" t="s">
        <v>894</v>
      </c>
      <c r="K531" s="101" t="str">
        <f>VLOOKUP(C531,'Preturi si tarife'!$A$4:$B$39,2,FALSE)</f>
        <v>Regularizare Tarif de introducere en.el in retea (TG)</v>
      </c>
      <c r="L531" s="102">
        <f>IF(B531=1,'Date masura OD'!$I$5,IF(B531=19,'Date masura OD'!$AK$5,L530))</f>
        <v>45748</v>
      </c>
      <c r="M531" s="102">
        <f>IF(B531=1,'Date masura OD'!$J$5,IF(B531=19,'Date masura OD'!$AL$5,M530))</f>
        <v>45777</v>
      </c>
      <c r="N531" s="104">
        <f>VLOOKUP(E531,verificare!$AR$4:$CC$33,B531+2,FALSE)</f>
        <v>0</v>
      </c>
      <c r="O531" s="103">
        <f>HLOOKUP(VLOOKUP(E531,'Date SPV'!$B$4:$F$34,5,FALSE),'Preturi si tarife'!$C$2:$J$39,B531+2,FALSE)*10000</f>
        <v>32.9</v>
      </c>
      <c r="Q531" s="101" t="str">
        <f t="shared" si="61"/>
        <v>One-off</v>
      </c>
      <c r="R531" s="101" t="str">
        <f>VLOOKUP(K531,'Preturi si tarife'!$B$4:$K$39,10,FALSE)</f>
        <v>ICOENG0001</v>
      </c>
      <c r="T531" s="101" t="str">
        <f t="shared" si="62"/>
        <v>INV + 30</v>
      </c>
      <c r="V531" s="101" t="str">
        <f t="shared" si="63"/>
        <v>Active</v>
      </c>
      <c r="X531" s="101" t="str">
        <f t="shared" si="64"/>
        <v>One-off</v>
      </c>
      <c r="AC531" s="101" t="str">
        <f t="shared" si="67"/>
        <v>RON</v>
      </c>
      <c r="AD531" s="101">
        <f t="shared" si="68"/>
        <v>10000</v>
      </c>
    </row>
    <row r="532" spans="1:30">
      <c r="A532" s="101">
        <f t="shared" si="69"/>
        <v>15</v>
      </c>
      <c r="B532" s="101">
        <f t="shared" si="65"/>
        <v>27</v>
      </c>
      <c r="C532" s="101" t="str">
        <f t="shared" si="66"/>
        <v>T27</v>
      </c>
      <c r="D532" s="101" t="str">
        <f>IF(A532&lt;&gt;A531,VLOOKUP(A532,'Date SPV'!$A:$D,4,FALSE),D531)</f>
        <v>Aurora Mall Buzau SRL</v>
      </c>
      <c r="E532" s="101" t="str">
        <f>VLOOKUP(A532,'Date SPV'!$A$4:$B$34,2,FALSE)</f>
        <v>RAMB</v>
      </c>
      <c r="H532" s="105" t="s">
        <v>894</v>
      </c>
      <c r="K532" s="101" t="str">
        <f>VLOOKUP(C532,'Preturi si tarife'!$A$4:$B$39,2,FALSE)</f>
        <v>Regularizare Contributie pentru cogenerare</v>
      </c>
      <c r="L532" s="102">
        <f>IF(B532=1,'Date masura OD'!$I$5,IF(B532=19,'Date masura OD'!$AK$5,L531))</f>
        <v>45748</v>
      </c>
      <c r="M532" s="102">
        <f>IF(B532=1,'Date masura OD'!$J$5,IF(B532=19,'Date masura OD'!$AL$5,M531))</f>
        <v>45777</v>
      </c>
      <c r="N532" s="104">
        <f>VLOOKUP(E532,verificare!$AR$4:$CC$33,B532+2,FALSE)</f>
        <v>0</v>
      </c>
      <c r="O532" s="103">
        <f>HLOOKUP(VLOOKUP(E532,'Date SPV'!$B$4:$F$34,5,FALSE),'Preturi si tarife'!$C$2:$J$39,B532+2,FALSE)*10000</f>
        <v>35</v>
      </c>
      <c r="Q532" s="101" t="str">
        <f t="shared" si="61"/>
        <v>One-off</v>
      </c>
      <c r="R532" s="101" t="str">
        <f>VLOOKUP(K532,'Preturi si tarife'!$B$4:$K$39,10,FALSE)</f>
        <v>ICOENG0001</v>
      </c>
      <c r="T532" s="101" t="str">
        <f t="shared" si="62"/>
        <v>INV + 30</v>
      </c>
      <c r="V532" s="101" t="str">
        <f t="shared" si="63"/>
        <v>Active</v>
      </c>
      <c r="X532" s="101" t="str">
        <f t="shared" si="64"/>
        <v>One-off</v>
      </c>
      <c r="AC532" s="101" t="str">
        <f t="shared" si="67"/>
        <v>RON</v>
      </c>
      <c r="AD532" s="101">
        <f t="shared" si="68"/>
        <v>10000</v>
      </c>
    </row>
    <row r="533" spans="1:30">
      <c r="A533" s="101">
        <f t="shared" si="69"/>
        <v>15</v>
      </c>
      <c r="B533" s="101">
        <f t="shared" si="65"/>
        <v>28</v>
      </c>
      <c r="C533" s="101" t="str">
        <f t="shared" si="66"/>
        <v>T28</v>
      </c>
      <c r="D533" s="101" t="str">
        <f>IF(A533&lt;&gt;A532,VLOOKUP(A533,'Date SPV'!$A:$D,4,FALSE),D532)</f>
        <v>Aurora Mall Buzau SRL</v>
      </c>
      <c r="E533" s="101" t="str">
        <f>VLOOKUP(A533,'Date SPV'!$A$4:$B$34,2,FALSE)</f>
        <v>RAMB</v>
      </c>
      <c r="H533" s="105" t="s">
        <v>894</v>
      </c>
      <c r="K533" s="101" t="str">
        <f>VLOOKUP(C533,'Preturi si tarife'!$A$4:$B$39,2,FALSE)</f>
        <v xml:space="preserve">Regularizare Certificate verzi </v>
      </c>
      <c r="L533" s="102">
        <f>IF(B533=1,'Date masura OD'!$I$5,IF(B533=19,'Date masura OD'!$AK$5,L532))</f>
        <v>45748</v>
      </c>
      <c r="M533" s="102">
        <f>IF(B533=1,'Date masura OD'!$J$5,IF(B533=19,'Date masura OD'!$AL$5,M532))</f>
        <v>45777</v>
      </c>
      <c r="N533" s="104">
        <f>VLOOKUP(E533,verificare!$AR$4:$CC$33,B533+2,FALSE)</f>
        <v>0</v>
      </c>
      <c r="O533" s="103">
        <f>HLOOKUP(VLOOKUP(E533,'Date SPV'!$B$4:$F$34,5,FALSE),'Preturi si tarife'!$C$2:$J$39,B533+2,FALSE)*10000</f>
        <v>725.41599999999994</v>
      </c>
      <c r="Q533" s="101" t="str">
        <f t="shared" si="61"/>
        <v>One-off</v>
      </c>
      <c r="R533" s="101" t="str">
        <f>VLOOKUP(K533,'Preturi si tarife'!$B$4:$K$39,10,FALSE)</f>
        <v>ICOENG0001</v>
      </c>
      <c r="T533" s="101" t="str">
        <f t="shared" si="62"/>
        <v>INV + 30</v>
      </c>
      <c r="V533" s="101" t="str">
        <f t="shared" si="63"/>
        <v>Active</v>
      </c>
      <c r="X533" s="101" t="str">
        <f t="shared" si="64"/>
        <v>One-off</v>
      </c>
      <c r="AC533" s="101" t="str">
        <f t="shared" si="67"/>
        <v>RON</v>
      </c>
      <c r="AD533" s="101">
        <f t="shared" si="68"/>
        <v>10000</v>
      </c>
    </row>
    <row r="534" spans="1:30">
      <c r="A534" s="101">
        <f t="shared" si="69"/>
        <v>15</v>
      </c>
      <c r="B534" s="101">
        <f t="shared" si="65"/>
        <v>29</v>
      </c>
      <c r="C534" s="101" t="str">
        <f t="shared" si="66"/>
        <v>T29</v>
      </c>
      <c r="D534" s="101" t="str">
        <f>IF(A534&lt;&gt;A533,VLOOKUP(A534,'Date SPV'!$A:$D,4,FALSE),D533)</f>
        <v>Aurora Mall Buzau SRL</v>
      </c>
      <c r="E534" s="101" t="str">
        <f>VLOOKUP(A534,'Date SPV'!$A$4:$B$34,2,FALSE)</f>
        <v>RAMB</v>
      </c>
      <c r="H534" s="105" t="s">
        <v>894</v>
      </c>
      <c r="K534" s="101" t="str">
        <f>VLOOKUP(C534,'Preturi si tarife'!$A$4:$B$39,2,FALSE)</f>
        <v>Regularizare Contributie CFD</v>
      </c>
      <c r="L534" s="102">
        <f>IF(B534=1,'Date masura OD'!$I$5,IF(B534=19,'Date masura OD'!$AK$5,L533))</f>
        <v>45748</v>
      </c>
      <c r="M534" s="102">
        <f>IF(B534=1,'Date masura OD'!$J$5,IF(B534=19,'Date masura OD'!$AL$5,M533))</f>
        <v>45777</v>
      </c>
      <c r="N534" s="104">
        <f>VLOOKUP(E534,verificare!$AR$4:$CC$33,B534+2,FALSE)</f>
        <v>0</v>
      </c>
      <c r="O534" s="103">
        <f>HLOOKUP(VLOOKUP(E534,'Date SPV'!$B$4:$F$34,5,FALSE),'Preturi si tarife'!$C$2:$J$39,B534+2,FALSE)*10000</f>
        <v>2.06</v>
      </c>
      <c r="Q534" s="101" t="str">
        <f t="shared" si="61"/>
        <v>One-off</v>
      </c>
      <c r="R534" s="101" t="str">
        <f>VLOOKUP(K534,'Preturi si tarife'!$B$4:$K$39,10,FALSE)</f>
        <v>ICOENG0001</v>
      </c>
      <c r="T534" s="101" t="str">
        <f t="shared" si="62"/>
        <v>INV + 30</v>
      </c>
      <c r="V534" s="101" t="str">
        <f t="shared" si="63"/>
        <v>Active</v>
      </c>
      <c r="X534" s="101" t="str">
        <f t="shared" si="64"/>
        <v>One-off</v>
      </c>
      <c r="AC534" s="101" t="str">
        <f t="shared" si="67"/>
        <v>RON</v>
      </c>
      <c r="AD534" s="101">
        <f t="shared" si="68"/>
        <v>10000</v>
      </c>
    </row>
    <row r="535" spans="1:30">
      <c r="A535" s="101">
        <f t="shared" si="69"/>
        <v>15</v>
      </c>
      <c r="B535" s="101">
        <f t="shared" si="65"/>
        <v>30</v>
      </c>
      <c r="C535" s="101" t="str">
        <f t="shared" si="66"/>
        <v>T30</v>
      </c>
      <c r="D535" s="101" t="str">
        <f>IF(A535&lt;&gt;A534,VLOOKUP(A535,'Date SPV'!$A:$D,4,FALSE),D534)</f>
        <v>Aurora Mall Buzau SRL</v>
      </c>
      <c r="E535" s="101" t="str">
        <f>VLOOKUP(A535,'Date SPV'!$A$4:$B$34,2,FALSE)</f>
        <v>RAMB</v>
      </c>
      <c r="H535" s="105" t="s">
        <v>894</v>
      </c>
      <c r="K535" s="101" t="str">
        <f>VLOOKUP(C535,'Preturi si tarife'!$A$4:$B$39,2,FALSE)</f>
        <v>Regularizare Acciza</v>
      </c>
      <c r="L535" s="102">
        <f>IF(B535=1,'Date masura OD'!$I$5,IF(B535=19,'Date masura OD'!$AK$5,L534))</f>
        <v>45748</v>
      </c>
      <c r="M535" s="102">
        <f>IF(B535=1,'Date masura OD'!$J$5,IF(B535=19,'Date masura OD'!$AL$5,M534))</f>
        <v>45777</v>
      </c>
      <c r="N535" s="104">
        <f>VLOOKUP(E535,verificare!$AR$4:$CC$33,B535+2,FALSE)</f>
        <v>0</v>
      </c>
      <c r="O535" s="103">
        <f>HLOOKUP(VLOOKUP(E535,'Date SPV'!$B$4:$F$34,5,FALSE),'Preturi si tarife'!$C$2:$J$39,B535+2,FALSE)*10000</f>
        <v>0</v>
      </c>
      <c r="Q535" s="101" t="str">
        <f t="shared" si="61"/>
        <v>One-off</v>
      </c>
      <c r="R535" s="101" t="str">
        <f>VLOOKUP(K535,'Preturi si tarife'!$B$4:$K$39,10,FALSE)</f>
        <v>ICOENG0001</v>
      </c>
      <c r="T535" s="101" t="str">
        <f t="shared" si="62"/>
        <v>INV + 30</v>
      </c>
      <c r="V535" s="101" t="str">
        <f t="shared" si="63"/>
        <v>Active</v>
      </c>
      <c r="X535" s="101" t="str">
        <f t="shared" si="64"/>
        <v>One-off</v>
      </c>
      <c r="AC535" s="101" t="str">
        <f t="shared" si="67"/>
        <v>RON</v>
      </c>
      <c r="AD535" s="101">
        <f t="shared" si="68"/>
        <v>10000</v>
      </c>
    </row>
    <row r="536" spans="1:30">
      <c r="A536" s="101">
        <f t="shared" si="69"/>
        <v>15</v>
      </c>
      <c r="B536" s="101">
        <f t="shared" si="65"/>
        <v>31</v>
      </c>
      <c r="C536" s="101" t="str">
        <f t="shared" si="66"/>
        <v>T31</v>
      </c>
      <c r="D536" s="101" t="str">
        <f>IF(A536&lt;&gt;A535,VLOOKUP(A536,'Date SPV'!$A:$D,4,FALSE),D535)</f>
        <v>Aurora Mall Buzau SRL</v>
      </c>
      <c r="E536" s="101" t="str">
        <f>VLOOKUP(A536,'Date SPV'!$A$4:$B$34,2,FALSE)</f>
        <v>RAMB</v>
      </c>
      <c r="H536" s="105" t="s">
        <v>894</v>
      </c>
      <c r="K536" s="101" t="str">
        <f>VLOOKUP(C536,'Preturi si tarife'!$A$4:$B$39,2,FALSE)</f>
        <v>Regularizare Tarif distributie SDI MT Ea1</v>
      </c>
      <c r="L536" s="102">
        <f>IF(B536=1,'Date masura OD'!$I$5,IF(B536=19,'Date masura OD'!$AK$5,L535))</f>
        <v>45748</v>
      </c>
      <c r="M536" s="102">
        <f>IF(B536=1,'Date masura OD'!$J$5,IF(B536=19,'Date masura OD'!$AL$5,M535))</f>
        <v>45777</v>
      </c>
      <c r="N536" s="104">
        <f>VLOOKUP(E536,verificare!$AR$4:$CC$33,B536+2,FALSE)</f>
        <v>0</v>
      </c>
      <c r="O536" s="103">
        <f>HLOOKUP(VLOOKUP(E536,'Date SPV'!$B$4:$F$34,5,FALSE),'Preturi si tarife'!$C$2:$J$39,B536+2,FALSE)*10000</f>
        <v>149</v>
      </c>
      <c r="Q536" s="101" t="str">
        <f t="shared" si="61"/>
        <v>One-off</v>
      </c>
      <c r="R536" s="101" t="str">
        <f>VLOOKUP(K536,'Preturi si tarife'!$B$4:$K$39,10,FALSE)</f>
        <v>ICOENG0010</v>
      </c>
      <c r="T536" s="101" t="str">
        <f t="shared" si="62"/>
        <v>INV + 30</v>
      </c>
      <c r="V536" s="101" t="str">
        <f t="shared" si="63"/>
        <v>Active</v>
      </c>
      <c r="X536" s="101" t="str">
        <f t="shared" si="64"/>
        <v>One-off</v>
      </c>
      <c r="AC536" s="101" t="str">
        <f t="shared" si="67"/>
        <v>RON</v>
      </c>
      <c r="AD536" s="101">
        <f t="shared" si="68"/>
        <v>10000</v>
      </c>
    </row>
    <row r="537" spans="1:30">
      <c r="A537" s="101">
        <f t="shared" si="69"/>
        <v>15</v>
      </c>
      <c r="B537" s="101">
        <f t="shared" si="65"/>
        <v>32</v>
      </c>
      <c r="C537" s="101" t="str">
        <f t="shared" si="66"/>
        <v>T32</v>
      </c>
      <c r="D537" s="101" t="str">
        <f>IF(A537&lt;&gt;A536,VLOOKUP(A537,'Date SPV'!$A:$D,4,FALSE),D536)</f>
        <v>Aurora Mall Buzau SRL</v>
      </c>
      <c r="E537" s="101" t="str">
        <f>VLOOKUP(A537,'Date SPV'!$A$4:$B$34,2,FALSE)</f>
        <v>RAMB</v>
      </c>
      <c r="H537" s="105" t="s">
        <v>894</v>
      </c>
      <c r="K537" s="101" t="str">
        <f>VLOOKUP(C537,'Preturi si tarife'!$A$4:$B$39,2,FALSE)</f>
        <v>Regularizare Tarif distributie SDI JT Ea1</v>
      </c>
      <c r="L537" s="102">
        <f>IF(B537=1,'Date masura OD'!$I$5,IF(B537=19,'Date masura OD'!$AK$5,L536))</f>
        <v>45748</v>
      </c>
      <c r="M537" s="102">
        <f>IF(B537=1,'Date masura OD'!$J$5,IF(B537=19,'Date masura OD'!$AL$5,M536))</f>
        <v>45777</v>
      </c>
      <c r="N537" s="104">
        <f>VLOOKUP(E537,verificare!$AR$4:$CC$33,B537+2,FALSE)</f>
        <v>0</v>
      </c>
      <c r="O537" s="103">
        <f>HLOOKUP(VLOOKUP(E537,'Date SPV'!$B$4:$F$34,5,FALSE),'Preturi si tarife'!$C$2:$J$39,B537+2,FALSE)*10000</f>
        <v>1192</v>
      </c>
      <c r="Q537" s="101" t="str">
        <f t="shared" si="61"/>
        <v>One-off</v>
      </c>
      <c r="R537" s="101" t="str">
        <f>VLOOKUP(K537,'Preturi si tarife'!$B$4:$K$39,10,FALSE)</f>
        <v>ICOENG0010</v>
      </c>
      <c r="T537" s="101" t="str">
        <f t="shared" si="62"/>
        <v>INV + 30</v>
      </c>
      <c r="V537" s="101" t="str">
        <f t="shared" si="63"/>
        <v>Active</v>
      </c>
      <c r="X537" s="101" t="str">
        <f t="shared" si="64"/>
        <v>One-off</v>
      </c>
      <c r="AC537" s="101" t="str">
        <f t="shared" si="67"/>
        <v>RON</v>
      </c>
      <c r="AD537" s="101">
        <f t="shared" si="68"/>
        <v>10000</v>
      </c>
    </row>
    <row r="538" spans="1:30">
      <c r="A538" s="101">
        <f t="shared" si="69"/>
        <v>15</v>
      </c>
      <c r="B538" s="101">
        <f t="shared" si="65"/>
        <v>33</v>
      </c>
      <c r="C538" s="101" t="str">
        <f t="shared" si="66"/>
        <v>T33</v>
      </c>
      <c r="D538" s="101" t="str">
        <f>IF(A538&lt;&gt;A537,VLOOKUP(A538,'Date SPV'!$A:$D,4,FALSE),D537)</f>
        <v>Aurora Mall Buzau SRL</v>
      </c>
      <c r="E538" s="101" t="str">
        <f>VLOOKUP(A538,'Date SPV'!$A$4:$B$34,2,FALSE)</f>
        <v>RAMB</v>
      </c>
      <c r="H538" s="105" t="s">
        <v>894</v>
      </c>
      <c r="K538" s="101" t="str">
        <f>VLOOKUP(C538,'Preturi si tarife'!$A$4:$B$39,2,FALSE)</f>
        <v>Regularizare Energie activa 2</v>
      </c>
      <c r="L538" s="102">
        <f>IF(B538=1,'Date masura OD'!$I$5,IF(B538=19,'Date masura OD'!$AK$5,L537))</f>
        <v>45748</v>
      </c>
      <c r="M538" s="102">
        <f>IF(B538=1,'Date masura OD'!$J$5,IF(B538=19,'Date masura OD'!$AL$5,M537))</f>
        <v>45777</v>
      </c>
      <c r="N538" s="104">
        <f>VLOOKUP(E538,verificare!$AR$4:$CC$33,B538+2,FALSE)</f>
        <v>0</v>
      </c>
      <c r="O538" s="103">
        <f>HLOOKUP(VLOOKUP(E538,'Date SPV'!$B$4:$F$34,5,FALSE),'Preturi si tarife'!$C$2:$J$39,B538+2,FALSE)*10000</f>
        <v>9680.0760000000009</v>
      </c>
      <c r="Q538" s="101" t="str">
        <f t="shared" si="61"/>
        <v>One-off</v>
      </c>
      <c r="R538" s="101" t="str">
        <f>VLOOKUP(K538,'Preturi si tarife'!$B$4:$K$39,10,FALSE)</f>
        <v>ICOENG0012</v>
      </c>
      <c r="T538" s="101" t="str">
        <f t="shared" si="62"/>
        <v>INV + 30</v>
      </c>
      <c r="V538" s="101" t="str">
        <f t="shared" si="63"/>
        <v>Active</v>
      </c>
      <c r="X538" s="101" t="str">
        <f t="shared" si="64"/>
        <v>One-off</v>
      </c>
      <c r="AC538" s="101" t="str">
        <f t="shared" si="67"/>
        <v>RON</v>
      </c>
      <c r="AD538" s="101">
        <f t="shared" si="68"/>
        <v>10000</v>
      </c>
    </row>
    <row r="539" spans="1:30">
      <c r="A539" s="101">
        <f t="shared" si="69"/>
        <v>15</v>
      </c>
      <c r="B539" s="101">
        <f t="shared" si="65"/>
        <v>34</v>
      </c>
      <c r="C539" s="101" t="str">
        <f t="shared" si="66"/>
        <v>T34</v>
      </c>
      <c r="D539" s="101" t="str">
        <f>IF(A539&lt;&gt;A538,VLOOKUP(A539,'Date SPV'!$A:$D,4,FALSE),D538)</f>
        <v>Aurora Mall Buzau SRL</v>
      </c>
      <c r="E539" s="101" t="str">
        <f>VLOOKUP(A539,'Date SPV'!$A$4:$B$34,2,FALSE)</f>
        <v>RAMB</v>
      </c>
      <c r="H539" s="105" t="s">
        <v>894</v>
      </c>
      <c r="K539" s="101" t="str">
        <f>VLOOKUP(C539,'Preturi si tarife'!$A$4:$B$39,2,FALSE)</f>
        <v>Regularizare Energie activa 3</v>
      </c>
      <c r="L539" s="102">
        <f>IF(B539=1,'Date masura OD'!$I$5,IF(B539=19,'Date masura OD'!$AK$5,L538))</f>
        <v>45748</v>
      </c>
      <c r="M539" s="102">
        <f>IF(B539=1,'Date masura OD'!$J$5,IF(B539=19,'Date masura OD'!$AL$5,M538))</f>
        <v>45777</v>
      </c>
      <c r="N539" s="104">
        <f>VLOOKUP(E539,verificare!$AR$4:$CC$33,B539+2,FALSE)</f>
        <v>0</v>
      </c>
      <c r="O539" s="103">
        <f>HLOOKUP(VLOOKUP(E539,'Date SPV'!$B$4:$F$34,5,FALSE),'Preturi si tarife'!$C$2:$J$39,B539+2,FALSE)*10000</f>
        <v>8339.0760000000009</v>
      </c>
      <c r="Q539" s="101" t="str">
        <f t="shared" si="61"/>
        <v>One-off</v>
      </c>
      <c r="R539" s="101" t="str">
        <f>VLOOKUP(K539,'Preturi si tarife'!$B$4:$K$39,10,FALSE)</f>
        <v>ICOENG0012</v>
      </c>
      <c r="T539" s="101" t="str">
        <f t="shared" si="62"/>
        <v>INV + 30</v>
      </c>
      <c r="V539" s="101" t="str">
        <f t="shared" si="63"/>
        <v>Active</v>
      </c>
      <c r="X539" s="101" t="str">
        <f t="shared" si="64"/>
        <v>One-off</v>
      </c>
      <c r="AC539" s="101" t="str">
        <f t="shared" si="67"/>
        <v>RON</v>
      </c>
      <c r="AD539" s="101">
        <f t="shared" si="68"/>
        <v>10000</v>
      </c>
    </row>
    <row r="540" spans="1:30">
      <c r="A540" s="101">
        <f t="shared" si="69"/>
        <v>15</v>
      </c>
      <c r="B540" s="101">
        <f t="shared" si="65"/>
        <v>35</v>
      </c>
      <c r="C540" s="101" t="str">
        <f t="shared" si="66"/>
        <v>T35</v>
      </c>
      <c r="D540" s="101" t="str">
        <f>IF(A540&lt;&gt;A539,VLOOKUP(A540,'Date SPV'!$A:$D,4,FALSE),D539)</f>
        <v>Aurora Mall Buzau SRL</v>
      </c>
      <c r="E540" s="101" t="str">
        <f>VLOOKUP(A540,'Date SPV'!$A$4:$B$34,2,FALSE)</f>
        <v>RAMB</v>
      </c>
      <c r="H540" s="105" t="s">
        <v>894</v>
      </c>
      <c r="K540" s="101" t="str">
        <f>VLOOKUP(C540,'Preturi si tarife'!$A$4:$B$39,2,FALSE)</f>
        <v>Regularizare Tarif distributie SDI MT Ea3</v>
      </c>
      <c r="L540" s="102">
        <f>IF(B540=1,'Date masura OD'!$I$5,IF(B540=19,'Date masura OD'!$AK$5,L539))</f>
        <v>45748</v>
      </c>
      <c r="M540" s="102">
        <f>IF(B540=1,'Date masura OD'!$J$5,IF(B540=19,'Date masura OD'!$AL$5,M539))</f>
        <v>45777</v>
      </c>
      <c r="N540" s="104">
        <f>VLOOKUP(E540,verificare!$AR$4:$CC$33,B540+2,FALSE)</f>
        <v>0</v>
      </c>
      <c r="O540" s="103">
        <f>HLOOKUP(VLOOKUP(E540,'Date SPV'!$B$4:$F$34,5,FALSE),'Preturi si tarife'!$C$2:$J$39,B540+2,FALSE)*10000</f>
        <v>149</v>
      </c>
      <c r="Q540" s="101" t="str">
        <f t="shared" si="61"/>
        <v>One-off</v>
      </c>
      <c r="R540" s="101" t="str">
        <f>VLOOKUP(K540,'Preturi si tarife'!$B$4:$K$39,10,FALSE)</f>
        <v>ICOENG0010</v>
      </c>
      <c r="T540" s="101" t="str">
        <f t="shared" si="62"/>
        <v>INV + 30</v>
      </c>
      <c r="V540" s="101" t="str">
        <f t="shared" si="63"/>
        <v>Active</v>
      </c>
      <c r="X540" s="101" t="str">
        <f t="shared" si="64"/>
        <v>One-off</v>
      </c>
      <c r="AC540" s="101" t="str">
        <f t="shared" si="67"/>
        <v>RON</v>
      </c>
      <c r="AD540" s="101">
        <f t="shared" si="68"/>
        <v>10000</v>
      </c>
    </row>
    <row r="541" spans="1:30">
      <c r="A541" s="101">
        <f t="shared" si="69"/>
        <v>15</v>
      </c>
      <c r="B541" s="101">
        <f t="shared" si="65"/>
        <v>36</v>
      </c>
      <c r="C541" s="101" t="str">
        <f t="shared" si="66"/>
        <v>T36</v>
      </c>
      <c r="D541" s="101" t="str">
        <f>IF(A541&lt;&gt;A540,VLOOKUP(A541,'Date SPV'!$A:$D,4,FALSE),D540)</f>
        <v>Aurora Mall Buzau SRL</v>
      </c>
      <c r="E541" s="101" t="str">
        <f>VLOOKUP(A541,'Date SPV'!$A$4:$B$34,2,FALSE)</f>
        <v>RAMB</v>
      </c>
      <c r="H541" s="105" t="s">
        <v>894</v>
      </c>
      <c r="K541" s="101" t="str">
        <f>VLOOKUP(C541,'Preturi si tarife'!$A$4:$B$39,2,FALSE)</f>
        <v>Regularizare Tarif distributie SDI JT Ea3</v>
      </c>
      <c r="L541" s="102">
        <f>IF(B541=1,'Date masura OD'!$I$5,IF(B541=19,'Date masura OD'!$AK$5,L540))</f>
        <v>45748</v>
      </c>
      <c r="M541" s="102">
        <f>IF(B541=1,'Date masura OD'!$J$5,IF(B541=19,'Date masura OD'!$AL$5,M540))</f>
        <v>45777</v>
      </c>
      <c r="N541" s="104">
        <f>VLOOKUP(E541,verificare!$AR$4:$CC$33,B541+2,FALSE)</f>
        <v>0</v>
      </c>
      <c r="O541" s="103">
        <f>HLOOKUP(VLOOKUP(E541,'Date SPV'!$B$4:$F$34,5,FALSE),'Preturi si tarife'!$C$2:$J$39,B541+2,FALSE)*10000</f>
        <v>1192</v>
      </c>
      <c r="Q541" s="101" t="str">
        <f t="shared" si="61"/>
        <v>One-off</v>
      </c>
      <c r="R541" s="101" t="str">
        <f>VLOOKUP(K541,'Preturi si tarife'!$B$4:$K$39,10,FALSE)</f>
        <v>ICOENG0010</v>
      </c>
      <c r="T541" s="101" t="str">
        <f t="shared" si="62"/>
        <v>INV + 30</v>
      </c>
      <c r="V541" s="101" t="str">
        <f t="shared" si="63"/>
        <v>Active</v>
      </c>
      <c r="X541" s="101" t="str">
        <f t="shared" si="64"/>
        <v>One-off</v>
      </c>
      <c r="AC541" s="101" t="str">
        <f t="shared" si="67"/>
        <v>RON</v>
      </c>
      <c r="AD541" s="101">
        <f t="shared" si="68"/>
        <v>10000</v>
      </c>
    </row>
    <row r="542" spans="1:30">
      <c r="A542" s="101">
        <f t="shared" si="69"/>
        <v>16</v>
      </c>
      <c r="B542" s="101">
        <f t="shared" si="65"/>
        <v>1</v>
      </c>
      <c r="C542" s="101" t="str">
        <f t="shared" si="66"/>
        <v>T1</v>
      </c>
      <c r="D542" s="101" t="str">
        <f>IF(A542&lt;&gt;A541,VLOOKUP(A542,'Date SPV'!$A:$D,4,FALSE),D541)</f>
        <v>General Building Management SRL</v>
      </c>
      <c r="E542" s="101" t="str">
        <f>VLOOKUP(A542,'Date SPV'!$A$4:$B$34,2,FALSE)</f>
        <v>RGBM</v>
      </c>
      <c r="H542" s="105" t="s">
        <v>894</v>
      </c>
      <c r="K542" s="101" t="str">
        <f>VLOOKUP(C542,'Preturi si tarife'!$A$4:$B$39,2,FALSE)</f>
        <v>Energie activa 1</v>
      </c>
      <c r="L542" s="102">
        <f>IF(B542=1,'Date masura OD'!$I$5,IF(B542=19,'Date masura OD'!$AK$5,L541))</f>
        <v>45778</v>
      </c>
      <c r="M542" s="102">
        <f>IF(B542=1,'Date masura OD'!$J$5,IF(B542=19,'Date masura OD'!$AL$5,M541))</f>
        <v>45808</v>
      </c>
      <c r="N542" s="104">
        <f>VLOOKUP(E542,verificare!$AR$4:$CC$33,B542+2,FALSE)</f>
        <v>840199</v>
      </c>
      <c r="O542" s="103">
        <f>HLOOKUP(VLOOKUP(E542,'Date SPV'!$B$4:$F$34,5,FALSE),'Preturi si tarife'!$C$2:$J$39,B542+2,FALSE)*10000</f>
        <v>5950</v>
      </c>
      <c r="Q542" s="101" t="str">
        <f t="shared" si="61"/>
        <v>One-off</v>
      </c>
      <c r="R542" s="101" t="str">
        <f>VLOOKUP(K542,'Preturi si tarife'!$B$4:$K$39,10,FALSE)</f>
        <v>ICOENG0001</v>
      </c>
      <c r="T542" s="101" t="str">
        <f t="shared" si="62"/>
        <v>INV + 30</v>
      </c>
      <c r="V542" s="101" t="str">
        <f t="shared" si="63"/>
        <v>Active</v>
      </c>
      <c r="X542" s="101" t="str">
        <f t="shared" si="64"/>
        <v>One-off</v>
      </c>
      <c r="AC542" s="101" t="str">
        <f t="shared" si="67"/>
        <v>RON</v>
      </c>
      <c r="AD542" s="101">
        <f t="shared" si="68"/>
        <v>10000</v>
      </c>
    </row>
    <row r="543" spans="1:30">
      <c r="A543" s="101">
        <f t="shared" si="69"/>
        <v>16</v>
      </c>
      <c r="B543" s="101">
        <f t="shared" si="65"/>
        <v>2</v>
      </c>
      <c r="C543" s="101" t="str">
        <f t="shared" si="66"/>
        <v>T2</v>
      </c>
      <c r="D543" s="101" t="str">
        <f>IF(A543&lt;&gt;A542,VLOOKUP(A543,'Date SPV'!$A:$D,4,FALSE),D542)</f>
        <v>General Building Management SRL</v>
      </c>
      <c r="E543" s="101" t="str">
        <f>VLOOKUP(A543,'Date SPV'!$A$4:$B$34,2,FALSE)</f>
        <v>RGBM</v>
      </c>
      <c r="H543" s="105" t="s">
        <v>894</v>
      </c>
      <c r="K543" s="101" t="str">
        <f>VLOOKUP(C543,'Preturi si tarife'!$A$4:$B$39,2,FALSE)</f>
        <v>Energie reactiva  1X</v>
      </c>
      <c r="L543" s="102">
        <f>IF(B543=1,'Date masura OD'!$I$5,IF(B543=19,'Date masura OD'!$AK$5,L542))</f>
        <v>45778</v>
      </c>
      <c r="M543" s="102">
        <f>IF(B543=1,'Date masura OD'!$J$5,IF(B543=19,'Date masura OD'!$AL$5,M542))</f>
        <v>45808</v>
      </c>
      <c r="N543" s="104">
        <f>VLOOKUP(E543,verificare!$AR$4:$CC$33,B543+2,FALSE)</f>
        <v>0</v>
      </c>
      <c r="O543" s="103">
        <f>HLOOKUP(VLOOKUP(E543,'Date SPV'!$B$4:$F$34,5,FALSE),'Preturi si tarife'!$C$2:$J$39,B543+2,FALSE)*10000</f>
        <v>1465</v>
      </c>
      <c r="Q543" s="101" t="str">
        <f t="shared" si="61"/>
        <v>One-off</v>
      </c>
      <c r="R543" s="101" t="str">
        <f>VLOOKUP(K543,'Preturi si tarife'!$B$4:$K$39,10,FALSE)</f>
        <v>ICOENG0001</v>
      </c>
      <c r="T543" s="101" t="str">
        <f t="shared" si="62"/>
        <v>INV + 30</v>
      </c>
      <c r="V543" s="101" t="str">
        <f t="shared" si="63"/>
        <v>Active</v>
      </c>
      <c r="X543" s="101" t="str">
        <f t="shared" si="64"/>
        <v>One-off</v>
      </c>
      <c r="AC543" s="101" t="str">
        <f t="shared" si="67"/>
        <v>RON</v>
      </c>
      <c r="AD543" s="101">
        <f t="shared" si="68"/>
        <v>10000</v>
      </c>
    </row>
    <row r="544" spans="1:30">
      <c r="A544" s="101">
        <f t="shared" si="69"/>
        <v>16</v>
      </c>
      <c r="B544" s="101">
        <f t="shared" si="65"/>
        <v>3</v>
      </c>
      <c r="C544" s="101" t="str">
        <f t="shared" si="66"/>
        <v>T3</v>
      </c>
      <c r="D544" s="101" t="str">
        <f>IF(A544&lt;&gt;A543,VLOOKUP(A544,'Date SPV'!$A:$D,4,FALSE),D543)</f>
        <v>General Building Management SRL</v>
      </c>
      <c r="E544" s="101" t="str">
        <f>VLOOKUP(A544,'Date SPV'!$A$4:$B$34,2,FALSE)</f>
        <v>RGBM</v>
      </c>
      <c r="H544" s="105" t="s">
        <v>894</v>
      </c>
      <c r="K544" s="101" t="str">
        <f>VLOOKUP(C544,'Preturi si tarife'!$A$4:$B$39,2,FALSE)</f>
        <v>Energie reactiva  3X</v>
      </c>
      <c r="L544" s="102">
        <f>IF(B544=1,'Date masura OD'!$I$5,IF(B544=19,'Date masura OD'!$AK$5,L543))</f>
        <v>45778</v>
      </c>
      <c r="M544" s="102">
        <f>IF(B544=1,'Date masura OD'!$J$5,IF(B544=19,'Date masura OD'!$AL$5,M543))</f>
        <v>45808</v>
      </c>
      <c r="N544" s="104">
        <f>VLOOKUP(E544,verificare!$AR$4:$CC$33,B544+2,FALSE)</f>
        <v>0</v>
      </c>
      <c r="O544" s="103">
        <f>HLOOKUP(VLOOKUP(E544,'Date SPV'!$B$4:$F$34,5,FALSE),'Preturi si tarife'!$C$2:$J$39,B544+2,FALSE)*10000</f>
        <v>4395</v>
      </c>
      <c r="Q544" s="101" t="str">
        <f t="shared" si="61"/>
        <v>One-off</v>
      </c>
      <c r="R544" s="101" t="str">
        <f>VLOOKUP(K544,'Preturi si tarife'!$B$4:$K$39,10,FALSE)</f>
        <v>ICOENG0001</v>
      </c>
      <c r="T544" s="101" t="str">
        <f t="shared" si="62"/>
        <v>INV + 30</v>
      </c>
      <c r="V544" s="101" t="str">
        <f t="shared" si="63"/>
        <v>Active</v>
      </c>
      <c r="X544" s="101" t="str">
        <f t="shared" si="64"/>
        <v>One-off</v>
      </c>
      <c r="AC544" s="101" t="str">
        <f t="shared" si="67"/>
        <v>RON</v>
      </c>
      <c r="AD544" s="101">
        <f t="shared" si="68"/>
        <v>10000</v>
      </c>
    </row>
    <row r="545" spans="1:30">
      <c r="A545" s="101">
        <f t="shared" si="69"/>
        <v>16</v>
      </c>
      <c r="B545" s="101">
        <f t="shared" si="65"/>
        <v>4</v>
      </c>
      <c r="C545" s="101" t="str">
        <f t="shared" si="66"/>
        <v>T4</v>
      </c>
      <c r="D545" s="101" t="str">
        <f>IF(A545&lt;&gt;A544,VLOOKUP(A545,'Date SPV'!$A:$D,4,FALSE),D544)</f>
        <v>General Building Management SRL</v>
      </c>
      <c r="E545" s="101" t="str">
        <f>VLOOKUP(A545,'Date SPV'!$A$4:$B$34,2,FALSE)</f>
        <v>RGBM</v>
      </c>
      <c r="H545" s="105" t="s">
        <v>894</v>
      </c>
      <c r="K545" s="101" t="str">
        <f>VLOOKUP(C545,'Preturi si tarife'!$A$4:$B$39,2,FALSE)</f>
        <v>Tarife distributie en. El IT+MT</v>
      </c>
      <c r="L545" s="102">
        <f>IF(B545=1,'Date masura OD'!$I$5,IF(B545=19,'Date masura OD'!$AK$5,L544))</f>
        <v>45778</v>
      </c>
      <c r="M545" s="102">
        <f>IF(B545=1,'Date masura OD'!$J$5,IF(B545=19,'Date masura OD'!$AL$5,M544))</f>
        <v>45808</v>
      </c>
      <c r="N545" s="104">
        <f>VLOOKUP(E545,verificare!$AR$4:$CC$33,B545+2,FALSE)</f>
        <v>840199</v>
      </c>
      <c r="O545" s="103">
        <f>HLOOKUP(VLOOKUP(E545,'Date SPV'!$B$4:$F$34,5,FALSE),'Preturi si tarife'!$C$2:$J$39,B545+2,FALSE)*10000</f>
        <v>1361.3999999999999</v>
      </c>
      <c r="Q545" s="101" t="str">
        <f t="shared" si="61"/>
        <v>One-off</v>
      </c>
      <c r="R545" s="101" t="str">
        <f>VLOOKUP(K545,'Preturi si tarife'!$B$4:$K$39,10,FALSE)</f>
        <v>ICOENG0001</v>
      </c>
      <c r="T545" s="101" t="str">
        <f t="shared" si="62"/>
        <v>INV + 30</v>
      </c>
      <c r="V545" s="101" t="str">
        <f t="shared" si="63"/>
        <v>Active</v>
      </c>
      <c r="X545" s="101" t="str">
        <f t="shared" si="64"/>
        <v>One-off</v>
      </c>
      <c r="AC545" s="101" t="str">
        <f t="shared" si="67"/>
        <v>RON</v>
      </c>
      <c r="AD545" s="101">
        <f t="shared" si="68"/>
        <v>10000</v>
      </c>
    </row>
    <row r="546" spans="1:30">
      <c r="A546" s="101">
        <f t="shared" si="69"/>
        <v>16</v>
      </c>
      <c r="B546" s="101">
        <f t="shared" si="65"/>
        <v>5</v>
      </c>
      <c r="C546" s="101" t="str">
        <f t="shared" si="66"/>
        <v>T5</v>
      </c>
      <c r="D546" s="101" t="str">
        <f>IF(A546&lt;&gt;A545,VLOOKUP(A546,'Date SPV'!$A:$D,4,FALSE),D545)</f>
        <v>General Building Management SRL</v>
      </c>
      <c r="E546" s="101" t="str">
        <f>VLOOKUP(A546,'Date SPV'!$A$4:$B$34,2,FALSE)</f>
        <v>RGBM</v>
      </c>
      <c r="H546" s="105" t="s">
        <v>894</v>
      </c>
      <c r="K546" s="101" t="str">
        <f>VLOOKUP(C546,'Preturi si tarife'!$A$4:$B$39,2,FALSE)</f>
        <v>Tarife distributie en. El JT</v>
      </c>
      <c r="L546" s="102">
        <f>IF(B546=1,'Date masura OD'!$I$5,IF(B546=19,'Date masura OD'!$AK$5,L545))</f>
        <v>45778</v>
      </c>
      <c r="M546" s="102">
        <f>IF(B546=1,'Date masura OD'!$J$5,IF(B546=19,'Date masura OD'!$AL$5,M545))</f>
        <v>45808</v>
      </c>
      <c r="N546" s="104">
        <f>VLOOKUP(E546,verificare!$AR$4:$CC$33,B546+2,FALSE)</f>
        <v>0</v>
      </c>
      <c r="O546" s="103">
        <f>HLOOKUP(VLOOKUP(E546,'Date SPV'!$B$4:$F$34,5,FALSE),'Preturi si tarife'!$C$2:$J$39,B546+2,FALSE)*10000</f>
        <v>2273.8999999999996</v>
      </c>
      <c r="Q546" s="101" t="str">
        <f t="shared" si="61"/>
        <v>One-off</v>
      </c>
      <c r="R546" s="101" t="str">
        <f>VLOOKUP(K546,'Preturi si tarife'!$B$4:$K$39,10,FALSE)</f>
        <v>ICOENG0001</v>
      </c>
      <c r="T546" s="101" t="str">
        <f t="shared" si="62"/>
        <v>INV + 30</v>
      </c>
      <c r="V546" s="101" t="str">
        <f t="shared" si="63"/>
        <v>Active</v>
      </c>
      <c r="X546" s="101" t="str">
        <f t="shared" si="64"/>
        <v>One-off</v>
      </c>
      <c r="AC546" s="101" t="str">
        <f t="shared" si="67"/>
        <v>RON</v>
      </c>
      <c r="AD546" s="101">
        <f t="shared" si="68"/>
        <v>10000</v>
      </c>
    </row>
    <row r="547" spans="1:30">
      <c r="A547" s="101">
        <f t="shared" si="69"/>
        <v>16</v>
      </c>
      <c r="B547" s="101">
        <f t="shared" si="65"/>
        <v>6</v>
      </c>
      <c r="C547" s="101" t="str">
        <f t="shared" si="66"/>
        <v>T6</v>
      </c>
      <c r="D547" s="101" t="str">
        <f>IF(A547&lt;&gt;A546,VLOOKUP(A547,'Date SPV'!$A:$D,4,FALSE),D546)</f>
        <v>General Building Management SRL</v>
      </c>
      <c r="E547" s="101" t="str">
        <f>VLOOKUP(A547,'Date SPV'!$A$4:$B$34,2,FALSE)</f>
        <v>RGBM</v>
      </c>
      <c r="H547" s="105" t="s">
        <v>894</v>
      </c>
      <c r="K547" s="101" t="str">
        <f>VLOOKUP(C547,'Preturi si tarife'!$A$4:$B$39,2,FALSE)</f>
        <v xml:space="preserve">Servicii Sistem </v>
      </c>
      <c r="L547" s="102">
        <f>IF(B547=1,'Date masura OD'!$I$5,IF(B547=19,'Date masura OD'!$AK$5,L546))</f>
        <v>45778</v>
      </c>
      <c r="M547" s="102">
        <f>IF(B547=1,'Date masura OD'!$J$5,IF(B547=19,'Date masura OD'!$AL$5,M546))</f>
        <v>45808</v>
      </c>
      <c r="N547" s="104">
        <f>VLOOKUP(E547,verificare!$AR$4:$CC$33,B547+2,FALSE)</f>
        <v>840199</v>
      </c>
      <c r="O547" s="103">
        <f>HLOOKUP(VLOOKUP(E547,'Date SPV'!$B$4:$F$34,5,FALSE),'Preturi si tarife'!$C$2:$J$39,B547+2,FALSE)*10000</f>
        <v>115.1</v>
      </c>
      <c r="Q547" s="101" t="str">
        <f t="shared" si="61"/>
        <v>One-off</v>
      </c>
      <c r="R547" s="101" t="str">
        <f>VLOOKUP(K547,'Preturi si tarife'!$B$4:$K$39,10,FALSE)</f>
        <v>ICOENG0001</v>
      </c>
      <c r="T547" s="101" t="str">
        <f t="shared" si="62"/>
        <v>INV + 30</v>
      </c>
      <c r="V547" s="101" t="str">
        <f t="shared" si="63"/>
        <v>Active</v>
      </c>
      <c r="X547" s="101" t="str">
        <f t="shared" si="64"/>
        <v>One-off</v>
      </c>
      <c r="AC547" s="101" t="str">
        <f t="shared" si="67"/>
        <v>RON</v>
      </c>
      <c r="AD547" s="101">
        <f t="shared" si="68"/>
        <v>10000</v>
      </c>
    </row>
    <row r="548" spans="1:30">
      <c r="A548" s="101">
        <f t="shared" si="69"/>
        <v>16</v>
      </c>
      <c r="B548" s="101">
        <f t="shared" si="65"/>
        <v>7</v>
      </c>
      <c r="C548" s="101" t="str">
        <f t="shared" si="66"/>
        <v>T7</v>
      </c>
      <c r="D548" s="101" t="str">
        <f>IF(A548&lt;&gt;A547,VLOOKUP(A548,'Date SPV'!$A:$D,4,FALSE),D547)</f>
        <v>General Building Management SRL</v>
      </c>
      <c r="E548" s="101" t="str">
        <f>VLOOKUP(A548,'Date SPV'!$A$4:$B$34,2,FALSE)</f>
        <v>RGBM</v>
      </c>
      <c r="H548" s="105" t="s">
        <v>894</v>
      </c>
      <c r="K548" s="101" t="str">
        <f>VLOOKUP(C548,'Preturi si tarife'!$A$4:$B$39,2,FALSE)</f>
        <v>Tarif de introducere en. el in retea (TL)</v>
      </c>
      <c r="L548" s="102">
        <f>IF(B548=1,'Date masura OD'!$I$5,IF(B548=19,'Date masura OD'!$AK$5,L547))</f>
        <v>45778</v>
      </c>
      <c r="M548" s="102">
        <f>IF(B548=1,'Date masura OD'!$J$5,IF(B548=19,'Date masura OD'!$AL$5,M547))</f>
        <v>45808</v>
      </c>
      <c r="N548" s="104">
        <f>VLOOKUP(E548,verificare!$AR$4:$CC$33,B548+2,FALSE)</f>
        <v>840199</v>
      </c>
      <c r="O548" s="103">
        <f>HLOOKUP(VLOOKUP(E548,'Date SPV'!$B$4:$F$34,5,FALSE),'Preturi si tarife'!$C$2:$J$39,B548+2,FALSE)*10000</f>
        <v>330.3</v>
      </c>
      <c r="Q548" s="101" t="str">
        <f t="shared" si="61"/>
        <v>One-off</v>
      </c>
      <c r="R548" s="101" t="str">
        <f>VLOOKUP(K548,'Preturi si tarife'!$B$4:$K$39,10,FALSE)</f>
        <v>ICOENG0001</v>
      </c>
      <c r="T548" s="101" t="str">
        <f t="shared" si="62"/>
        <v>INV + 30</v>
      </c>
      <c r="V548" s="101" t="str">
        <f t="shared" si="63"/>
        <v>Active</v>
      </c>
      <c r="X548" s="101" t="str">
        <f t="shared" si="64"/>
        <v>One-off</v>
      </c>
      <c r="AC548" s="101" t="str">
        <f t="shared" si="67"/>
        <v>RON</v>
      </c>
      <c r="AD548" s="101">
        <f t="shared" si="68"/>
        <v>10000</v>
      </c>
    </row>
    <row r="549" spans="1:30">
      <c r="A549" s="101">
        <f t="shared" si="69"/>
        <v>16</v>
      </c>
      <c r="B549" s="101">
        <f t="shared" si="65"/>
        <v>8</v>
      </c>
      <c r="C549" s="101" t="str">
        <f t="shared" si="66"/>
        <v>T8</v>
      </c>
      <c r="D549" s="101" t="str">
        <f>IF(A549&lt;&gt;A548,VLOOKUP(A549,'Date SPV'!$A:$D,4,FALSE),D548)</f>
        <v>General Building Management SRL</v>
      </c>
      <c r="E549" s="101" t="str">
        <f>VLOOKUP(A549,'Date SPV'!$A$4:$B$34,2,FALSE)</f>
        <v>RGBM</v>
      </c>
      <c r="H549" s="105" t="s">
        <v>894</v>
      </c>
      <c r="K549" s="101" t="str">
        <f>VLOOKUP(C549,'Preturi si tarife'!$A$4:$B$39,2,FALSE)</f>
        <v>Tarif de introducere en.el in retea (TG)</v>
      </c>
      <c r="L549" s="102">
        <f>IF(B549=1,'Date masura OD'!$I$5,IF(B549=19,'Date masura OD'!$AK$5,L548))</f>
        <v>45778</v>
      </c>
      <c r="M549" s="102">
        <f>IF(B549=1,'Date masura OD'!$J$5,IF(B549=19,'Date masura OD'!$AL$5,M548))</f>
        <v>45808</v>
      </c>
      <c r="N549" s="104">
        <f>VLOOKUP(E549,verificare!$AR$4:$CC$33,B549+2,FALSE)</f>
        <v>840199</v>
      </c>
      <c r="O549" s="103">
        <f>HLOOKUP(VLOOKUP(E549,'Date SPV'!$B$4:$F$34,5,FALSE),'Preturi si tarife'!$C$2:$J$39,B549+2,FALSE)*10000</f>
        <v>32.9</v>
      </c>
      <c r="Q549" s="101" t="str">
        <f t="shared" si="61"/>
        <v>One-off</v>
      </c>
      <c r="R549" s="101" t="str">
        <f>VLOOKUP(K549,'Preturi si tarife'!$B$4:$K$39,10,FALSE)</f>
        <v>ICOENG0001</v>
      </c>
      <c r="T549" s="101" t="str">
        <f t="shared" si="62"/>
        <v>INV + 30</v>
      </c>
      <c r="V549" s="101" t="str">
        <f t="shared" si="63"/>
        <v>Active</v>
      </c>
      <c r="X549" s="101" t="str">
        <f t="shared" si="64"/>
        <v>One-off</v>
      </c>
      <c r="AC549" s="101" t="str">
        <f t="shared" si="67"/>
        <v>RON</v>
      </c>
      <c r="AD549" s="101">
        <f t="shared" si="68"/>
        <v>10000</v>
      </c>
    </row>
    <row r="550" spans="1:30">
      <c r="A550" s="101">
        <f t="shared" si="69"/>
        <v>16</v>
      </c>
      <c r="B550" s="101">
        <f t="shared" si="65"/>
        <v>9</v>
      </c>
      <c r="C550" s="101" t="str">
        <f t="shared" si="66"/>
        <v>T9</v>
      </c>
      <c r="D550" s="101" t="str">
        <f>IF(A550&lt;&gt;A549,VLOOKUP(A550,'Date SPV'!$A:$D,4,FALSE),D549)</f>
        <v>General Building Management SRL</v>
      </c>
      <c r="E550" s="101" t="str">
        <f>VLOOKUP(A550,'Date SPV'!$A$4:$B$34,2,FALSE)</f>
        <v>RGBM</v>
      </c>
      <c r="H550" s="105" t="s">
        <v>894</v>
      </c>
      <c r="K550" s="101" t="str">
        <f>VLOOKUP(C550,'Preturi si tarife'!$A$4:$B$39,2,FALSE)</f>
        <v>Contributie pentru cogenerare</v>
      </c>
      <c r="L550" s="102">
        <f>IF(B550=1,'Date masura OD'!$I$5,IF(B550=19,'Date masura OD'!$AK$5,L549))</f>
        <v>45778</v>
      </c>
      <c r="M550" s="102">
        <f>IF(B550=1,'Date masura OD'!$J$5,IF(B550=19,'Date masura OD'!$AL$5,M549))</f>
        <v>45808</v>
      </c>
      <c r="N550" s="104">
        <f>VLOOKUP(E550,verificare!$AR$4:$CC$33,B550+2,FALSE)</f>
        <v>840199</v>
      </c>
      <c r="O550" s="103">
        <f>HLOOKUP(VLOOKUP(E550,'Date SPV'!$B$4:$F$34,5,FALSE),'Preturi si tarife'!$C$2:$J$39,B550+2,FALSE)*10000</f>
        <v>35</v>
      </c>
      <c r="Q550" s="101" t="str">
        <f t="shared" si="61"/>
        <v>One-off</v>
      </c>
      <c r="R550" s="101" t="str">
        <f>VLOOKUP(K550,'Preturi si tarife'!$B$4:$K$39,10,FALSE)</f>
        <v>ICOENG0001</v>
      </c>
      <c r="T550" s="101" t="str">
        <f t="shared" si="62"/>
        <v>INV + 30</v>
      </c>
      <c r="V550" s="101" t="str">
        <f t="shared" si="63"/>
        <v>Active</v>
      </c>
      <c r="X550" s="101" t="str">
        <f t="shared" si="64"/>
        <v>One-off</v>
      </c>
      <c r="AC550" s="101" t="str">
        <f t="shared" si="67"/>
        <v>RON</v>
      </c>
      <c r="AD550" s="101">
        <f t="shared" si="68"/>
        <v>10000</v>
      </c>
    </row>
    <row r="551" spans="1:30">
      <c r="A551" s="101">
        <f t="shared" si="69"/>
        <v>16</v>
      </c>
      <c r="B551" s="101">
        <f t="shared" si="65"/>
        <v>10</v>
      </c>
      <c r="C551" s="101" t="str">
        <f t="shared" si="66"/>
        <v>T10</v>
      </c>
      <c r="D551" s="101" t="str">
        <f>IF(A551&lt;&gt;A550,VLOOKUP(A551,'Date SPV'!$A:$D,4,FALSE),D550)</f>
        <v>General Building Management SRL</v>
      </c>
      <c r="E551" s="101" t="str">
        <f>VLOOKUP(A551,'Date SPV'!$A$4:$B$34,2,FALSE)</f>
        <v>RGBM</v>
      </c>
      <c r="H551" s="105" t="s">
        <v>894</v>
      </c>
      <c r="K551" s="101" t="str">
        <f>VLOOKUP(C551,'Preturi si tarife'!$A$4:$B$39,2,FALSE)</f>
        <v xml:space="preserve">Certificate verzi </v>
      </c>
      <c r="L551" s="102">
        <f>IF(B551=1,'Date masura OD'!$I$5,IF(B551=19,'Date masura OD'!$AK$5,L550))</f>
        <v>45778</v>
      </c>
      <c r="M551" s="102">
        <f>IF(B551=1,'Date masura OD'!$J$5,IF(B551=19,'Date masura OD'!$AL$5,M550))</f>
        <v>45808</v>
      </c>
      <c r="N551" s="104">
        <f>VLOOKUP(E551,verificare!$AR$4:$CC$33,B551+2,FALSE)</f>
        <v>840199</v>
      </c>
      <c r="O551" s="103">
        <f>HLOOKUP(VLOOKUP(E551,'Date SPV'!$B$4:$F$34,5,FALSE),'Preturi si tarife'!$C$2:$J$39,B551+2,FALSE)*10000</f>
        <v>725.41599999999994</v>
      </c>
      <c r="Q551" s="101" t="str">
        <f t="shared" si="61"/>
        <v>One-off</v>
      </c>
      <c r="R551" s="101" t="str">
        <f>VLOOKUP(K551,'Preturi si tarife'!$B$4:$K$39,10,FALSE)</f>
        <v>ICOENG0001</v>
      </c>
      <c r="T551" s="101" t="str">
        <f t="shared" si="62"/>
        <v>INV + 30</v>
      </c>
      <c r="V551" s="101" t="str">
        <f t="shared" si="63"/>
        <v>Active</v>
      </c>
      <c r="X551" s="101" t="str">
        <f t="shared" si="64"/>
        <v>One-off</v>
      </c>
      <c r="AC551" s="101" t="str">
        <f t="shared" si="67"/>
        <v>RON</v>
      </c>
      <c r="AD551" s="101">
        <f t="shared" si="68"/>
        <v>10000</v>
      </c>
    </row>
    <row r="552" spans="1:30">
      <c r="A552" s="101">
        <f t="shared" si="69"/>
        <v>16</v>
      </c>
      <c r="B552" s="101">
        <f t="shared" si="65"/>
        <v>11</v>
      </c>
      <c r="C552" s="101" t="str">
        <f t="shared" si="66"/>
        <v>T11</v>
      </c>
      <c r="D552" s="101" t="str">
        <f>IF(A552&lt;&gt;A551,VLOOKUP(A552,'Date SPV'!$A:$D,4,FALSE),D551)</f>
        <v>General Building Management SRL</v>
      </c>
      <c r="E552" s="101" t="str">
        <f>VLOOKUP(A552,'Date SPV'!$A$4:$B$34,2,FALSE)</f>
        <v>RGBM</v>
      </c>
      <c r="H552" s="105" t="s">
        <v>894</v>
      </c>
      <c r="K552" s="101" t="str">
        <f>VLOOKUP(C552,'Preturi si tarife'!$A$4:$B$39,2,FALSE)</f>
        <v>Contributie CFD</v>
      </c>
      <c r="L552" s="102">
        <f>IF(B552=1,'Date masura OD'!$I$5,IF(B552=19,'Date masura OD'!$AK$5,L551))</f>
        <v>45778</v>
      </c>
      <c r="M552" s="102">
        <f>IF(B552=1,'Date masura OD'!$J$5,IF(B552=19,'Date masura OD'!$AL$5,M551))</f>
        <v>45808</v>
      </c>
      <c r="N552" s="104">
        <f>VLOOKUP(E552,verificare!$AR$4:$CC$33,B552+2,FALSE)</f>
        <v>840199</v>
      </c>
      <c r="O552" s="103">
        <f>HLOOKUP(VLOOKUP(E552,'Date SPV'!$B$4:$F$34,5,FALSE),'Preturi si tarife'!$C$2:$J$39,B552+2,FALSE)*10000</f>
        <v>2.06</v>
      </c>
      <c r="Q552" s="101" t="str">
        <f t="shared" si="61"/>
        <v>One-off</v>
      </c>
      <c r="R552" s="101" t="str">
        <f>VLOOKUP(K552,'Preturi si tarife'!$B$4:$K$39,10,FALSE)</f>
        <v>ICOENG0001</v>
      </c>
      <c r="T552" s="101" t="str">
        <f t="shared" si="62"/>
        <v>INV + 30</v>
      </c>
      <c r="V552" s="101" t="str">
        <f t="shared" si="63"/>
        <v>Active</v>
      </c>
      <c r="X552" s="101" t="str">
        <f t="shared" si="64"/>
        <v>One-off</v>
      </c>
      <c r="AC552" s="101" t="str">
        <f t="shared" si="67"/>
        <v>RON</v>
      </c>
      <c r="AD552" s="101">
        <f t="shared" si="68"/>
        <v>10000</v>
      </c>
    </row>
    <row r="553" spans="1:30">
      <c r="A553" s="101">
        <f t="shared" si="69"/>
        <v>16</v>
      </c>
      <c r="B553" s="101">
        <f t="shared" si="65"/>
        <v>12</v>
      </c>
      <c r="C553" s="101" t="str">
        <f t="shared" si="66"/>
        <v>T12</v>
      </c>
      <c r="D553" s="101" t="str">
        <f>IF(A553&lt;&gt;A552,VLOOKUP(A553,'Date SPV'!$A:$D,4,FALSE),D552)</f>
        <v>General Building Management SRL</v>
      </c>
      <c r="E553" s="101" t="str">
        <f>VLOOKUP(A553,'Date SPV'!$A$4:$B$34,2,FALSE)</f>
        <v>RGBM</v>
      </c>
      <c r="H553" s="105" t="s">
        <v>894</v>
      </c>
      <c r="K553" s="101" t="str">
        <f>VLOOKUP(C553,'Preturi si tarife'!$A$4:$B$39,2,FALSE)</f>
        <v>Acciza</v>
      </c>
      <c r="L553" s="102">
        <f>IF(B553=1,'Date masura OD'!$I$5,IF(B553=19,'Date masura OD'!$AK$5,L552))</f>
        <v>45778</v>
      </c>
      <c r="M553" s="102">
        <f>IF(B553=1,'Date masura OD'!$J$5,IF(B553=19,'Date masura OD'!$AL$5,M552))</f>
        <v>45808</v>
      </c>
      <c r="N553" s="104">
        <f>VLOOKUP(E553,verificare!$AR$4:$CC$33,B553+2,FALSE)</f>
        <v>840199</v>
      </c>
      <c r="O553" s="103">
        <f>HLOOKUP(VLOOKUP(E553,'Date SPV'!$B$4:$F$34,5,FALSE),'Preturi si tarife'!$C$2:$J$39,B553+2,FALSE)*10000</f>
        <v>0</v>
      </c>
      <c r="Q553" s="101" t="str">
        <f t="shared" si="61"/>
        <v>One-off</v>
      </c>
      <c r="R553" s="101" t="str">
        <f>VLOOKUP(K553,'Preturi si tarife'!$B$4:$K$39,10,FALSE)</f>
        <v>ICOENG0001</v>
      </c>
      <c r="T553" s="101" t="str">
        <f t="shared" si="62"/>
        <v>INV + 30</v>
      </c>
      <c r="V553" s="101" t="str">
        <f t="shared" si="63"/>
        <v>Active</v>
      </c>
      <c r="X553" s="101" t="str">
        <f t="shared" si="64"/>
        <v>One-off</v>
      </c>
      <c r="AC553" s="101" t="str">
        <f t="shared" si="67"/>
        <v>RON</v>
      </c>
      <c r="AD553" s="101">
        <f t="shared" si="68"/>
        <v>10000</v>
      </c>
    </row>
    <row r="554" spans="1:30">
      <c r="A554" s="101">
        <f t="shared" si="69"/>
        <v>16</v>
      </c>
      <c r="B554" s="101">
        <f t="shared" si="65"/>
        <v>13</v>
      </c>
      <c r="C554" s="101" t="str">
        <f t="shared" si="66"/>
        <v>T13</v>
      </c>
      <c r="D554" s="101" t="str">
        <f>IF(A554&lt;&gt;A553,VLOOKUP(A554,'Date SPV'!$A:$D,4,FALSE),D553)</f>
        <v>General Building Management SRL</v>
      </c>
      <c r="E554" s="101" t="str">
        <f>VLOOKUP(A554,'Date SPV'!$A$4:$B$34,2,FALSE)</f>
        <v>RGBM</v>
      </c>
      <c r="H554" s="105" t="s">
        <v>894</v>
      </c>
      <c r="K554" s="101" t="str">
        <f>VLOOKUP(C554,'Preturi si tarife'!$A$4:$B$39,2,FALSE)</f>
        <v>Tarif distributie SDI MT</v>
      </c>
      <c r="L554" s="102">
        <f>IF(B554=1,'Date masura OD'!$I$5,IF(B554=19,'Date masura OD'!$AK$5,L553))</f>
        <v>45778</v>
      </c>
      <c r="M554" s="102">
        <f>IF(B554=1,'Date masura OD'!$J$5,IF(B554=19,'Date masura OD'!$AL$5,M553))</f>
        <v>45808</v>
      </c>
      <c r="N554" s="104">
        <f>VLOOKUP(E554,verificare!$AR$4:$CC$33,B554+2,FALSE)</f>
        <v>840199</v>
      </c>
      <c r="O554" s="103">
        <f>HLOOKUP(VLOOKUP(E554,'Date SPV'!$B$4:$F$34,5,FALSE),'Preturi si tarife'!$C$2:$J$39,B554+2,FALSE)*10000</f>
        <v>170</v>
      </c>
      <c r="Q554" s="101" t="str">
        <f t="shared" si="61"/>
        <v>One-off</v>
      </c>
      <c r="R554" s="101" t="str">
        <f>VLOOKUP(K554,'Preturi si tarife'!$B$4:$K$39,10,FALSE)</f>
        <v>ICOENG0010</v>
      </c>
      <c r="T554" s="101" t="str">
        <f t="shared" si="62"/>
        <v>INV + 30</v>
      </c>
      <c r="V554" s="101" t="str">
        <f t="shared" si="63"/>
        <v>Active</v>
      </c>
      <c r="X554" s="101" t="str">
        <f t="shared" si="64"/>
        <v>One-off</v>
      </c>
      <c r="AC554" s="101" t="str">
        <f t="shared" si="67"/>
        <v>RON</v>
      </c>
      <c r="AD554" s="101">
        <f t="shared" si="68"/>
        <v>10000</v>
      </c>
    </row>
    <row r="555" spans="1:30">
      <c r="A555" s="101">
        <f t="shared" si="69"/>
        <v>16</v>
      </c>
      <c r="B555" s="101">
        <f t="shared" si="65"/>
        <v>14</v>
      </c>
      <c r="C555" s="101" t="str">
        <f t="shared" si="66"/>
        <v>T14</v>
      </c>
      <c r="D555" s="101" t="str">
        <f>IF(A555&lt;&gt;A554,VLOOKUP(A555,'Date SPV'!$A:$D,4,FALSE),D554)</f>
        <v>General Building Management SRL</v>
      </c>
      <c r="E555" s="101" t="str">
        <f>VLOOKUP(A555,'Date SPV'!$A$4:$B$34,2,FALSE)</f>
        <v>RGBM</v>
      </c>
      <c r="H555" s="105" t="s">
        <v>894</v>
      </c>
      <c r="K555" s="101" t="str">
        <f>VLOOKUP(C555,'Preturi si tarife'!$A$4:$B$39,2,FALSE)</f>
        <v>Tarif distributie SDI JT</v>
      </c>
      <c r="L555" s="102">
        <f>IF(B555=1,'Date masura OD'!$I$5,IF(B555=19,'Date masura OD'!$AK$5,L554))</f>
        <v>45778</v>
      </c>
      <c r="M555" s="102">
        <f>IF(B555=1,'Date masura OD'!$J$5,IF(B555=19,'Date masura OD'!$AL$5,M554))</f>
        <v>45808</v>
      </c>
      <c r="N555" s="104">
        <f>VLOOKUP(E555,verificare!$AR$4:$CC$33,B555+2,FALSE)</f>
        <v>840199</v>
      </c>
      <c r="O555" s="103">
        <f>HLOOKUP(VLOOKUP(E555,'Date SPV'!$B$4:$F$34,5,FALSE),'Preturi si tarife'!$C$2:$J$39,B555+2,FALSE)*10000</f>
        <v>1029</v>
      </c>
      <c r="Q555" s="101" t="str">
        <f t="shared" si="61"/>
        <v>One-off</v>
      </c>
      <c r="R555" s="101" t="str">
        <f>VLOOKUP(K555,'Preturi si tarife'!$B$4:$K$39,10,FALSE)</f>
        <v>ICOENG0010</v>
      </c>
      <c r="T555" s="101" t="str">
        <f t="shared" si="62"/>
        <v>INV + 30</v>
      </c>
      <c r="V555" s="101" t="str">
        <f t="shared" si="63"/>
        <v>Active</v>
      </c>
      <c r="X555" s="101" t="str">
        <f t="shared" si="64"/>
        <v>One-off</v>
      </c>
      <c r="AC555" s="101" t="str">
        <f t="shared" si="67"/>
        <v>RON</v>
      </c>
      <c r="AD555" s="101">
        <f t="shared" si="68"/>
        <v>10000</v>
      </c>
    </row>
    <row r="556" spans="1:30">
      <c r="A556" s="101">
        <f t="shared" si="69"/>
        <v>16</v>
      </c>
      <c r="B556" s="101">
        <f t="shared" si="65"/>
        <v>15</v>
      </c>
      <c r="C556" s="101" t="str">
        <f t="shared" si="66"/>
        <v>T15</v>
      </c>
      <c r="D556" s="101" t="str">
        <f>IF(A556&lt;&gt;A555,VLOOKUP(A556,'Date SPV'!$A:$D,4,FALSE),D555)</f>
        <v>General Building Management SRL</v>
      </c>
      <c r="E556" s="101" t="str">
        <f>VLOOKUP(A556,'Date SPV'!$A$4:$B$34,2,FALSE)</f>
        <v>RGBM</v>
      </c>
      <c r="H556" s="105" t="s">
        <v>894</v>
      </c>
      <c r="K556" s="101" t="str">
        <f>VLOOKUP(C556,'Preturi si tarife'!$A$4:$B$39,2,FALSE)</f>
        <v>Energie activa 2</v>
      </c>
      <c r="L556" s="102">
        <f>IF(B556=1,'Date masura OD'!$I$5,IF(B556=19,'Date masura OD'!$AK$5,L555))</f>
        <v>45778</v>
      </c>
      <c r="M556" s="102">
        <f>IF(B556=1,'Date masura OD'!$J$5,IF(B556=19,'Date masura OD'!$AL$5,M555))</f>
        <v>45808</v>
      </c>
      <c r="N556" s="104">
        <f>VLOOKUP(E556,verificare!$AR$4:$CC$33,B556+2,FALSE)</f>
        <v>349352</v>
      </c>
      <c r="O556" s="103">
        <f>HLOOKUP(VLOOKUP(E556,'Date SPV'!$B$4:$F$34,5,FALSE),'Preturi si tarife'!$C$2:$J$39,B556+2,FALSE)*10000</f>
        <v>9751.1759999999995</v>
      </c>
      <c r="Q556" s="101" t="str">
        <f t="shared" si="61"/>
        <v>One-off</v>
      </c>
      <c r="R556" s="101" t="str">
        <f>VLOOKUP(K556,'Preturi si tarife'!$B$4:$K$39,10,FALSE)</f>
        <v>ICOENG0012</v>
      </c>
      <c r="T556" s="101" t="str">
        <f t="shared" si="62"/>
        <v>INV + 30</v>
      </c>
      <c r="V556" s="101" t="str">
        <f t="shared" si="63"/>
        <v>Active</v>
      </c>
      <c r="X556" s="101" t="str">
        <f t="shared" si="64"/>
        <v>One-off</v>
      </c>
      <c r="AC556" s="101" t="str">
        <f t="shared" si="67"/>
        <v>RON</v>
      </c>
      <c r="AD556" s="101">
        <f t="shared" si="68"/>
        <v>10000</v>
      </c>
    </row>
    <row r="557" spans="1:30">
      <c r="A557" s="101">
        <f t="shared" si="69"/>
        <v>16</v>
      </c>
      <c r="B557" s="101">
        <f t="shared" si="65"/>
        <v>16</v>
      </c>
      <c r="C557" s="101" t="str">
        <f t="shared" si="66"/>
        <v>T16</v>
      </c>
      <c r="D557" s="101" t="str">
        <f>IF(A557&lt;&gt;A556,VLOOKUP(A557,'Date SPV'!$A:$D,4,FALSE),D556)</f>
        <v>General Building Management SRL</v>
      </c>
      <c r="E557" s="101" t="str">
        <f>VLOOKUP(A557,'Date SPV'!$A$4:$B$34,2,FALSE)</f>
        <v>RGBM</v>
      </c>
      <c r="H557" s="105" t="s">
        <v>894</v>
      </c>
      <c r="K557" s="101" t="str">
        <f>VLOOKUP(C557,'Preturi si tarife'!$A$4:$B$39,2,FALSE)</f>
        <v>Energie activa 3</v>
      </c>
      <c r="L557" s="102">
        <f>IF(B557=1,'Date masura OD'!$I$5,IF(B557=19,'Date masura OD'!$AK$5,L556))</f>
        <v>45778</v>
      </c>
      <c r="M557" s="102">
        <f>IF(B557=1,'Date masura OD'!$J$5,IF(B557=19,'Date masura OD'!$AL$5,M556))</f>
        <v>45808</v>
      </c>
      <c r="N557" s="104">
        <f>VLOOKUP(E557,verificare!$AR$4:$CC$33,B557+2,FALSE)</f>
        <v>126303</v>
      </c>
      <c r="O557" s="103">
        <f>HLOOKUP(VLOOKUP(E557,'Date SPV'!$B$4:$F$34,5,FALSE),'Preturi si tarife'!$C$2:$J$39,B557+2,FALSE)*10000</f>
        <v>8552.1759999999995</v>
      </c>
      <c r="Q557" s="101" t="str">
        <f t="shared" si="61"/>
        <v>One-off</v>
      </c>
      <c r="R557" s="101" t="str">
        <f>VLOOKUP(K557,'Preturi si tarife'!$B$4:$K$39,10,FALSE)</f>
        <v>ICOENG0012</v>
      </c>
      <c r="T557" s="101" t="str">
        <f t="shared" si="62"/>
        <v>INV + 30</v>
      </c>
      <c r="V557" s="101" t="str">
        <f t="shared" si="63"/>
        <v>Active</v>
      </c>
      <c r="X557" s="101" t="str">
        <f t="shared" si="64"/>
        <v>One-off</v>
      </c>
      <c r="AC557" s="101" t="str">
        <f t="shared" si="67"/>
        <v>RON</v>
      </c>
      <c r="AD557" s="101">
        <f t="shared" si="68"/>
        <v>10000</v>
      </c>
    </row>
    <row r="558" spans="1:30">
      <c r="A558" s="101">
        <f t="shared" si="69"/>
        <v>16</v>
      </c>
      <c r="B558" s="101">
        <f t="shared" si="65"/>
        <v>17</v>
      </c>
      <c r="C558" s="101" t="str">
        <f t="shared" si="66"/>
        <v>T17</v>
      </c>
      <c r="D558" s="101" t="str">
        <f>IF(A558&lt;&gt;A557,VLOOKUP(A558,'Date SPV'!$A:$D,4,FALSE),D557)</f>
        <v>General Building Management SRL</v>
      </c>
      <c r="E558" s="101" t="str">
        <f>VLOOKUP(A558,'Date SPV'!$A$4:$B$34,2,FALSE)</f>
        <v>RGBM</v>
      </c>
      <c r="H558" s="105" t="s">
        <v>894</v>
      </c>
      <c r="K558" s="101" t="str">
        <f>VLOOKUP(C558,'Preturi si tarife'!$A$4:$B$39,2,FALSE)</f>
        <v>Tarif distributie SDI MT_</v>
      </c>
      <c r="L558" s="102">
        <f>IF(B558=1,'Date masura OD'!$I$5,IF(B558=19,'Date masura OD'!$AK$5,L557))</f>
        <v>45778</v>
      </c>
      <c r="M558" s="102">
        <f>IF(B558=1,'Date masura OD'!$J$5,IF(B558=19,'Date masura OD'!$AL$5,M557))</f>
        <v>45808</v>
      </c>
      <c r="N558" s="104">
        <f>VLOOKUP(E558,verificare!$AR$4:$CC$33,B558+2,FALSE)</f>
        <v>126303</v>
      </c>
      <c r="O558" s="103">
        <f>HLOOKUP(VLOOKUP(E558,'Date SPV'!$B$4:$F$34,5,FALSE),'Preturi si tarife'!$C$2:$J$39,B558+2,FALSE)*10000</f>
        <v>170</v>
      </c>
      <c r="Q558" s="101" t="str">
        <f t="shared" si="61"/>
        <v>One-off</v>
      </c>
      <c r="R558" s="101" t="str">
        <f>VLOOKUP(K558,'Preturi si tarife'!$B$4:$K$39,10,FALSE)</f>
        <v>ICOENG0010</v>
      </c>
      <c r="T558" s="101" t="str">
        <f t="shared" si="62"/>
        <v>INV + 30</v>
      </c>
      <c r="V558" s="101" t="str">
        <f t="shared" si="63"/>
        <v>Active</v>
      </c>
      <c r="X558" s="101" t="str">
        <f t="shared" si="64"/>
        <v>One-off</v>
      </c>
      <c r="AC558" s="101" t="str">
        <f t="shared" si="67"/>
        <v>RON</v>
      </c>
      <c r="AD558" s="101">
        <f t="shared" si="68"/>
        <v>10000</v>
      </c>
    </row>
    <row r="559" spans="1:30">
      <c r="A559" s="101">
        <f t="shared" si="69"/>
        <v>16</v>
      </c>
      <c r="B559" s="101">
        <f t="shared" si="65"/>
        <v>18</v>
      </c>
      <c r="C559" s="101" t="str">
        <f t="shared" si="66"/>
        <v>T18</v>
      </c>
      <c r="D559" s="101" t="str">
        <f>IF(A559&lt;&gt;A558,VLOOKUP(A559,'Date SPV'!$A:$D,4,FALSE),D558)</f>
        <v>General Building Management SRL</v>
      </c>
      <c r="E559" s="101" t="str">
        <f>VLOOKUP(A559,'Date SPV'!$A$4:$B$34,2,FALSE)</f>
        <v>RGBM</v>
      </c>
      <c r="H559" s="105" t="s">
        <v>894</v>
      </c>
      <c r="K559" s="101" t="str">
        <f>VLOOKUP(C559,'Preturi si tarife'!$A$4:$B$39,2,FALSE)</f>
        <v>Tarif distributie SDI JT_</v>
      </c>
      <c r="L559" s="102">
        <f>IF(B559=1,'Date masura OD'!$I$5,IF(B559=19,'Date masura OD'!$AK$5,L558))</f>
        <v>45778</v>
      </c>
      <c r="M559" s="102">
        <f>IF(B559=1,'Date masura OD'!$J$5,IF(B559=19,'Date masura OD'!$AL$5,M558))</f>
        <v>45808</v>
      </c>
      <c r="N559" s="104">
        <f>VLOOKUP(E559,verificare!$AR$4:$CC$33,B559+2,FALSE)</f>
        <v>126303</v>
      </c>
      <c r="O559" s="103">
        <f>HLOOKUP(VLOOKUP(E559,'Date SPV'!$B$4:$F$34,5,FALSE),'Preturi si tarife'!$C$2:$J$39,B559+2,FALSE)*10000</f>
        <v>1029</v>
      </c>
      <c r="Q559" s="101" t="str">
        <f t="shared" si="61"/>
        <v>One-off</v>
      </c>
      <c r="R559" s="101" t="str">
        <f>VLOOKUP(K559,'Preturi si tarife'!$B$4:$K$39,10,FALSE)</f>
        <v>ICOENG0010</v>
      </c>
      <c r="T559" s="101" t="str">
        <f t="shared" si="62"/>
        <v>INV + 30</v>
      </c>
      <c r="V559" s="101" t="str">
        <f t="shared" si="63"/>
        <v>Active</v>
      </c>
      <c r="X559" s="101" t="str">
        <f t="shared" si="64"/>
        <v>One-off</v>
      </c>
      <c r="AC559" s="101" t="str">
        <f t="shared" si="67"/>
        <v>RON</v>
      </c>
      <c r="AD559" s="101">
        <f t="shared" si="68"/>
        <v>10000</v>
      </c>
    </row>
    <row r="560" spans="1:30">
      <c r="A560" s="101">
        <f t="shared" si="69"/>
        <v>16</v>
      </c>
      <c r="B560" s="101">
        <f t="shared" si="65"/>
        <v>19</v>
      </c>
      <c r="C560" s="101" t="str">
        <f t="shared" si="66"/>
        <v>T19</v>
      </c>
      <c r="D560" s="101" t="str">
        <f>IF(A560&lt;&gt;A559,VLOOKUP(A560,'Date SPV'!$A:$D,4,FALSE),D559)</f>
        <v>General Building Management SRL</v>
      </c>
      <c r="E560" s="101" t="str">
        <f>VLOOKUP(A560,'Date SPV'!$A$4:$B$34,2,FALSE)</f>
        <v>RGBM</v>
      </c>
      <c r="H560" s="105" t="s">
        <v>894</v>
      </c>
      <c r="K560" s="101" t="str">
        <f>VLOOKUP(C560,'Preturi si tarife'!$A$4:$B$39,2,FALSE)</f>
        <v>Regularizare Energie activa 1</v>
      </c>
      <c r="L560" s="102">
        <f>IF(B560=1,'Date masura OD'!$I$5,IF(B560=19,'Date masura OD'!$AK$5,L559))</f>
        <v>45748</v>
      </c>
      <c r="M560" s="102">
        <f>IF(B560=1,'Date masura OD'!$J$5,IF(B560=19,'Date masura OD'!$AL$5,M559))</f>
        <v>45777</v>
      </c>
      <c r="N560" s="104">
        <f>VLOOKUP(E560,verificare!$AR$4:$CC$33,B560+2,FALSE)</f>
        <v>0</v>
      </c>
      <c r="O560" s="103">
        <f>HLOOKUP(VLOOKUP(E560,'Date SPV'!$B$4:$F$34,5,FALSE),'Preturi si tarife'!$C$2:$J$39,B560+2,FALSE)*10000</f>
        <v>5950</v>
      </c>
      <c r="Q560" s="101" t="str">
        <f t="shared" si="61"/>
        <v>One-off</v>
      </c>
      <c r="R560" s="101" t="str">
        <f>VLOOKUP(K560,'Preturi si tarife'!$B$4:$K$39,10,FALSE)</f>
        <v>ICOENG0001</v>
      </c>
      <c r="T560" s="101" t="str">
        <f t="shared" si="62"/>
        <v>INV + 30</v>
      </c>
      <c r="V560" s="101" t="str">
        <f t="shared" si="63"/>
        <v>Active</v>
      </c>
      <c r="X560" s="101" t="str">
        <f t="shared" si="64"/>
        <v>One-off</v>
      </c>
      <c r="AC560" s="101" t="str">
        <f t="shared" si="67"/>
        <v>RON</v>
      </c>
      <c r="AD560" s="101">
        <f t="shared" si="68"/>
        <v>10000</v>
      </c>
    </row>
    <row r="561" spans="1:30">
      <c r="A561" s="101">
        <f t="shared" si="69"/>
        <v>16</v>
      </c>
      <c r="B561" s="101">
        <f t="shared" si="65"/>
        <v>20</v>
      </c>
      <c r="C561" s="101" t="str">
        <f t="shared" si="66"/>
        <v>T20</v>
      </c>
      <c r="D561" s="101" t="str">
        <f>IF(A561&lt;&gt;A560,VLOOKUP(A561,'Date SPV'!$A:$D,4,FALSE),D560)</f>
        <v>General Building Management SRL</v>
      </c>
      <c r="E561" s="101" t="str">
        <f>VLOOKUP(A561,'Date SPV'!$A$4:$B$34,2,FALSE)</f>
        <v>RGBM</v>
      </c>
      <c r="H561" s="105" t="s">
        <v>894</v>
      </c>
      <c r="K561" s="101" t="str">
        <f>VLOOKUP(C561,'Preturi si tarife'!$A$4:$B$39,2,FALSE)</f>
        <v>Regularizare Energie reactiva  1X</v>
      </c>
      <c r="L561" s="102">
        <f>IF(B561=1,'Date masura OD'!$I$5,IF(B561=19,'Date masura OD'!$AK$5,L560))</f>
        <v>45748</v>
      </c>
      <c r="M561" s="102">
        <f>IF(B561=1,'Date masura OD'!$J$5,IF(B561=19,'Date masura OD'!$AL$5,M560))</f>
        <v>45777</v>
      </c>
      <c r="N561" s="104">
        <f>VLOOKUP(E561,verificare!$AR$4:$CC$33,B561+2,FALSE)</f>
        <v>2819</v>
      </c>
      <c r="O561" s="103">
        <f>HLOOKUP(VLOOKUP(E561,'Date SPV'!$B$4:$F$34,5,FALSE),'Preturi si tarife'!$C$2:$J$39,B561+2,FALSE)*10000</f>
        <v>1465</v>
      </c>
      <c r="Q561" s="101" t="str">
        <f t="shared" si="61"/>
        <v>One-off</v>
      </c>
      <c r="R561" s="101" t="str">
        <f>VLOOKUP(K561,'Preturi si tarife'!$B$4:$K$39,10,FALSE)</f>
        <v>ICOENG0001</v>
      </c>
      <c r="T561" s="101" t="str">
        <f t="shared" si="62"/>
        <v>INV + 30</v>
      </c>
      <c r="V561" s="101" t="str">
        <f t="shared" si="63"/>
        <v>Active</v>
      </c>
      <c r="X561" s="101" t="str">
        <f t="shared" si="64"/>
        <v>One-off</v>
      </c>
      <c r="AC561" s="101" t="str">
        <f t="shared" si="67"/>
        <v>RON</v>
      </c>
      <c r="AD561" s="101">
        <f t="shared" si="68"/>
        <v>10000</v>
      </c>
    </row>
    <row r="562" spans="1:30">
      <c r="A562" s="101">
        <f t="shared" si="69"/>
        <v>16</v>
      </c>
      <c r="B562" s="101">
        <f t="shared" si="65"/>
        <v>21</v>
      </c>
      <c r="C562" s="101" t="str">
        <f t="shared" si="66"/>
        <v>T21</v>
      </c>
      <c r="D562" s="101" t="str">
        <f>IF(A562&lt;&gt;A561,VLOOKUP(A562,'Date SPV'!$A:$D,4,FALSE),D561)</f>
        <v>General Building Management SRL</v>
      </c>
      <c r="E562" s="101" t="str">
        <f>VLOOKUP(A562,'Date SPV'!$A$4:$B$34,2,FALSE)</f>
        <v>RGBM</v>
      </c>
      <c r="H562" s="105" t="s">
        <v>894</v>
      </c>
      <c r="K562" s="101" t="str">
        <f>VLOOKUP(C562,'Preturi si tarife'!$A$4:$B$39,2,FALSE)</f>
        <v>Regularizare Energie reactiva  3X</v>
      </c>
      <c r="L562" s="102">
        <f>IF(B562=1,'Date masura OD'!$I$5,IF(B562=19,'Date masura OD'!$AK$5,L561))</f>
        <v>45748</v>
      </c>
      <c r="M562" s="102">
        <f>IF(B562=1,'Date masura OD'!$J$5,IF(B562=19,'Date masura OD'!$AL$5,M561))</f>
        <v>45777</v>
      </c>
      <c r="N562" s="104">
        <f>VLOOKUP(E562,verificare!$AR$4:$CC$33,B562+2,FALSE)</f>
        <v>5957</v>
      </c>
      <c r="O562" s="103">
        <f>HLOOKUP(VLOOKUP(E562,'Date SPV'!$B$4:$F$34,5,FALSE),'Preturi si tarife'!$C$2:$J$39,B562+2,FALSE)*10000</f>
        <v>4395</v>
      </c>
      <c r="Q562" s="101" t="str">
        <f t="shared" si="61"/>
        <v>One-off</v>
      </c>
      <c r="R562" s="101" t="str">
        <f>VLOOKUP(K562,'Preturi si tarife'!$B$4:$K$39,10,FALSE)</f>
        <v>ICOENG0001</v>
      </c>
      <c r="T562" s="101" t="str">
        <f t="shared" si="62"/>
        <v>INV + 30</v>
      </c>
      <c r="V562" s="101" t="str">
        <f t="shared" si="63"/>
        <v>Active</v>
      </c>
      <c r="X562" s="101" t="str">
        <f t="shared" si="64"/>
        <v>One-off</v>
      </c>
      <c r="AC562" s="101" t="str">
        <f t="shared" si="67"/>
        <v>RON</v>
      </c>
      <c r="AD562" s="101">
        <f t="shared" si="68"/>
        <v>10000</v>
      </c>
    </row>
    <row r="563" spans="1:30">
      <c r="A563" s="101">
        <f t="shared" si="69"/>
        <v>16</v>
      </c>
      <c r="B563" s="101">
        <f t="shared" si="65"/>
        <v>22</v>
      </c>
      <c r="C563" s="101" t="str">
        <f t="shared" si="66"/>
        <v>T22</v>
      </c>
      <c r="D563" s="101" t="str">
        <f>IF(A563&lt;&gt;A562,VLOOKUP(A563,'Date SPV'!$A:$D,4,FALSE),D562)</f>
        <v>General Building Management SRL</v>
      </c>
      <c r="E563" s="101" t="str">
        <f>VLOOKUP(A563,'Date SPV'!$A$4:$B$34,2,FALSE)</f>
        <v>RGBM</v>
      </c>
      <c r="H563" s="105" t="s">
        <v>894</v>
      </c>
      <c r="K563" s="101" t="str">
        <f>VLOOKUP(C563,'Preturi si tarife'!$A$4:$B$39,2,FALSE)</f>
        <v>Regularizare Tarife distributie en. El IT+MT</v>
      </c>
      <c r="L563" s="102">
        <f>IF(B563=1,'Date masura OD'!$I$5,IF(B563=19,'Date masura OD'!$AK$5,L562))</f>
        <v>45748</v>
      </c>
      <c r="M563" s="102">
        <f>IF(B563=1,'Date masura OD'!$J$5,IF(B563=19,'Date masura OD'!$AL$5,M562))</f>
        <v>45777</v>
      </c>
      <c r="N563" s="104">
        <f>VLOOKUP(E563,verificare!$AR$4:$CC$33,B563+2,FALSE)</f>
        <v>0</v>
      </c>
      <c r="O563" s="103">
        <f>HLOOKUP(VLOOKUP(E563,'Date SPV'!$B$4:$F$34,5,FALSE),'Preturi si tarife'!$C$2:$J$39,B563+2,FALSE)*10000</f>
        <v>1361.3999999999999</v>
      </c>
      <c r="Q563" s="101" t="str">
        <f t="shared" si="61"/>
        <v>One-off</v>
      </c>
      <c r="R563" s="101" t="str">
        <f>VLOOKUP(K563,'Preturi si tarife'!$B$4:$K$39,10,FALSE)</f>
        <v>ICOENG0001</v>
      </c>
      <c r="T563" s="101" t="str">
        <f t="shared" si="62"/>
        <v>INV + 30</v>
      </c>
      <c r="V563" s="101" t="str">
        <f t="shared" si="63"/>
        <v>Active</v>
      </c>
      <c r="X563" s="101" t="str">
        <f t="shared" si="64"/>
        <v>One-off</v>
      </c>
      <c r="AC563" s="101" t="str">
        <f t="shared" si="67"/>
        <v>RON</v>
      </c>
      <c r="AD563" s="101">
        <f t="shared" si="68"/>
        <v>10000</v>
      </c>
    </row>
    <row r="564" spans="1:30">
      <c r="A564" s="101">
        <f t="shared" si="69"/>
        <v>16</v>
      </c>
      <c r="B564" s="101">
        <f t="shared" si="65"/>
        <v>23</v>
      </c>
      <c r="C564" s="101" t="str">
        <f t="shared" si="66"/>
        <v>T23</v>
      </c>
      <c r="D564" s="101" t="str">
        <f>IF(A564&lt;&gt;A563,VLOOKUP(A564,'Date SPV'!$A:$D,4,FALSE),D563)</f>
        <v>General Building Management SRL</v>
      </c>
      <c r="E564" s="101" t="str">
        <f>VLOOKUP(A564,'Date SPV'!$A$4:$B$34,2,FALSE)</f>
        <v>RGBM</v>
      </c>
      <c r="H564" s="105" t="s">
        <v>894</v>
      </c>
      <c r="K564" s="101" t="str">
        <f>VLOOKUP(C564,'Preturi si tarife'!$A$4:$B$39,2,FALSE)</f>
        <v>Regularizare Tarife distributie en. El JT</v>
      </c>
      <c r="L564" s="102">
        <f>IF(B564=1,'Date masura OD'!$I$5,IF(B564=19,'Date masura OD'!$AK$5,L563))</f>
        <v>45748</v>
      </c>
      <c r="M564" s="102">
        <f>IF(B564=1,'Date masura OD'!$J$5,IF(B564=19,'Date masura OD'!$AL$5,M563))</f>
        <v>45777</v>
      </c>
      <c r="N564" s="104">
        <f>VLOOKUP(E564,verificare!$AR$4:$CC$33,B564+2,FALSE)</f>
        <v>0</v>
      </c>
      <c r="O564" s="103">
        <f>HLOOKUP(VLOOKUP(E564,'Date SPV'!$B$4:$F$34,5,FALSE),'Preturi si tarife'!$C$2:$J$39,B564+2,FALSE)*10000</f>
        <v>2273.8999999999996</v>
      </c>
      <c r="Q564" s="101" t="str">
        <f t="shared" si="61"/>
        <v>One-off</v>
      </c>
      <c r="R564" s="101" t="str">
        <f>VLOOKUP(K564,'Preturi si tarife'!$B$4:$K$39,10,FALSE)</f>
        <v>ICOENG0001</v>
      </c>
      <c r="T564" s="101" t="str">
        <f t="shared" si="62"/>
        <v>INV + 30</v>
      </c>
      <c r="V564" s="101" t="str">
        <f t="shared" si="63"/>
        <v>Active</v>
      </c>
      <c r="X564" s="101" t="str">
        <f t="shared" si="64"/>
        <v>One-off</v>
      </c>
      <c r="AC564" s="101" t="str">
        <f t="shared" si="67"/>
        <v>RON</v>
      </c>
      <c r="AD564" s="101">
        <f t="shared" si="68"/>
        <v>10000</v>
      </c>
    </row>
    <row r="565" spans="1:30">
      <c r="A565" s="101">
        <f t="shared" si="69"/>
        <v>16</v>
      </c>
      <c r="B565" s="101">
        <f t="shared" si="65"/>
        <v>24</v>
      </c>
      <c r="C565" s="101" t="str">
        <f t="shared" si="66"/>
        <v>T24</v>
      </c>
      <c r="D565" s="101" t="str">
        <f>IF(A565&lt;&gt;A564,VLOOKUP(A565,'Date SPV'!$A:$D,4,FALSE),D564)</f>
        <v>General Building Management SRL</v>
      </c>
      <c r="E565" s="101" t="str">
        <f>VLOOKUP(A565,'Date SPV'!$A$4:$B$34,2,FALSE)</f>
        <v>RGBM</v>
      </c>
      <c r="H565" s="105" t="s">
        <v>894</v>
      </c>
      <c r="K565" s="101" t="str">
        <f>VLOOKUP(C565,'Preturi si tarife'!$A$4:$B$39,2,FALSE)</f>
        <v xml:space="preserve">Regularizare Servicii Sistem </v>
      </c>
      <c r="L565" s="102">
        <f>IF(B565=1,'Date masura OD'!$I$5,IF(B565=19,'Date masura OD'!$AK$5,L564))</f>
        <v>45748</v>
      </c>
      <c r="M565" s="102">
        <f>IF(B565=1,'Date masura OD'!$J$5,IF(B565=19,'Date masura OD'!$AL$5,M564))</f>
        <v>45777</v>
      </c>
      <c r="N565" s="104">
        <f>VLOOKUP(E565,verificare!$AR$4:$CC$33,B565+2,FALSE)</f>
        <v>0</v>
      </c>
      <c r="O565" s="103">
        <f>HLOOKUP(VLOOKUP(E565,'Date SPV'!$B$4:$F$34,5,FALSE),'Preturi si tarife'!$C$2:$J$39,B565+2,FALSE)*10000</f>
        <v>115.1</v>
      </c>
      <c r="Q565" s="101" t="str">
        <f t="shared" si="61"/>
        <v>One-off</v>
      </c>
      <c r="R565" s="101" t="str">
        <f>VLOOKUP(K565,'Preturi si tarife'!$B$4:$K$39,10,FALSE)</f>
        <v>ICOENG0001</v>
      </c>
      <c r="T565" s="101" t="str">
        <f t="shared" si="62"/>
        <v>INV + 30</v>
      </c>
      <c r="V565" s="101" t="str">
        <f t="shared" si="63"/>
        <v>Active</v>
      </c>
      <c r="X565" s="101" t="str">
        <f t="shared" si="64"/>
        <v>One-off</v>
      </c>
      <c r="AC565" s="101" t="str">
        <f t="shared" si="67"/>
        <v>RON</v>
      </c>
      <c r="AD565" s="101">
        <f t="shared" si="68"/>
        <v>10000</v>
      </c>
    </row>
    <row r="566" spans="1:30">
      <c r="A566" s="101">
        <f t="shared" si="69"/>
        <v>16</v>
      </c>
      <c r="B566" s="101">
        <f t="shared" si="65"/>
        <v>25</v>
      </c>
      <c r="C566" s="101" t="str">
        <f t="shared" si="66"/>
        <v>T25</v>
      </c>
      <c r="D566" s="101" t="str">
        <f>IF(A566&lt;&gt;A565,VLOOKUP(A566,'Date SPV'!$A:$D,4,FALSE),D565)</f>
        <v>General Building Management SRL</v>
      </c>
      <c r="E566" s="101" t="str">
        <f>VLOOKUP(A566,'Date SPV'!$A$4:$B$34,2,FALSE)</f>
        <v>RGBM</v>
      </c>
      <c r="H566" s="105" t="s">
        <v>894</v>
      </c>
      <c r="K566" s="101" t="str">
        <f>VLOOKUP(C566,'Preturi si tarife'!$A$4:$B$39,2,FALSE)</f>
        <v>Regularizare Tarif de introducere en. el in retea (TL)</v>
      </c>
      <c r="L566" s="102">
        <f>IF(B566=1,'Date masura OD'!$I$5,IF(B566=19,'Date masura OD'!$AK$5,L565))</f>
        <v>45748</v>
      </c>
      <c r="M566" s="102">
        <f>IF(B566=1,'Date masura OD'!$J$5,IF(B566=19,'Date masura OD'!$AL$5,M565))</f>
        <v>45777</v>
      </c>
      <c r="N566" s="104">
        <f>VLOOKUP(E566,verificare!$AR$4:$CC$33,B566+2,FALSE)</f>
        <v>0</v>
      </c>
      <c r="O566" s="103">
        <f>HLOOKUP(VLOOKUP(E566,'Date SPV'!$B$4:$F$34,5,FALSE),'Preturi si tarife'!$C$2:$J$39,B566+2,FALSE)*10000</f>
        <v>330.3</v>
      </c>
      <c r="Q566" s="101" t="str">
        <f t="shared" si="61"/>
        <v>One-off</v>
      </c>
      <c r="R566" s="101" t="str">
        <f>VLOOKUP(K566,'Preturi si tarife'!$B$4:$K$39,10,FALSE)</f>
        <v>ICOENG0001</v>
      </c>
      <c r="T566" s="101" t="str">
        <f t="shared" si="62"/>
        <v>INV + 30</v>
      </c>
      <c r="V566" s="101" t="str">
        <f t="shared" si="63"/>
        <v>Active</v>
      </c>
      <c r="X566" s="101" t="str">
        <f t="shared" si="64"/>
        <v>One-off</v>
      </c>
      <c r="AC566" s="101" t="str">
        <f t="shared" si="67"/>
        <v>RON</v>
      </c>
      <c r="AD566" s="101">
        <f t="shared" si="68"/>
        <v>10000</v>
      </c>
    </row>
    <row r="567" spans="1:30">
      <c r="A567" s="101">
        <f t="shared" si="69"/>
        <v>16</v>
      </c>
      <c r="B567" s="101">
        <f t="shared" si="65"/>
        <v>26</v>
      </c>
      <c r="C567" s="101" t="str">
        <f t="shared" si="66"/>
        <v>T26</v>
      </c>
      <c r="D567" s="101" t="str">
        <f>IF(A567&lt;&gt;A566,VLOOKUP(A567,'Date SPV'!$A:$D,4,FALSE),D566)</f>
        <v>General Building Management SRL</v>
      </c>
      <c r="E567" s="101" t="str">
        <f>VLOOKUP(A567,'Date SPV'!$A$4:$B$34,2,FALSE)</f>
        <v>RGBM</v>
      </c>
      <c r="H567" s="105" t="s">
        <v>894</v>
      </c>
      <c r="K567" s="101" t="str">
        <f>VLOOKUP(C567,'Preturi si tarife'!$A$4:$B$39,2,FALSE)</f>
        <v>Regularizare Tarif de introducere en.el in retea (TG)</v>
      </c>
      <c r="L567" s="102">
        <f>IF(B567=1,'Date masura OD'!$I$5,IF(B567=19,'Date masura OD'!$AK$5,L566))</f>
        <v>45748</v>
      </c>
      <c r="M567" s="102">
        <f>IF(B567=1,'Date masura OD'!$J$5,IF(B567=19,'Date masura OD'!$AL$5,M566))</f>
        <v>45777</v>
      </c>
      <c r="N567" s="104">
        <f>VLOOKUP(E567,verificare!$AR$4:$CC$33,B567+2,FALSE)</f>
        <v>0</v>
      </c>
      <c r="O567" s="103">
        <f>HLOOKUP(VLOOKUP(E567,'Date SPV'!$B$4:$F$34,5,FALSE),'Preturi si tarife'!$C$2:$J$39,B567+2,FALSE)*10000</f>
        <v>32.9</v>
      </c>
      <c r="Q567" s="101" t="str">
        <f t="shared" si="61"/>
        <v>One-off</v>
      </c>
      <c r="R567" s="101" t="str">
        <f>VLOOKUP(K567,'Preturi si tarife'!$B$4:$K$39,10,FALSE)</f>
        <v>ICOENG0001</v>
      </c>
      <c r="T567" s="101" t="str">
        <f t="shared" si="62"/>
        <v>INV + 30</v>
      </c>
      <c r="V567" s="101" t="str">
        <f t="shared" si="63"/>
        <v>Active</v>
      </c>
      <c r="X567" s="101" t="str">
        <f t="shared" si="64"/>
        <v>One-off</v>
      </c>
      <c r="AC567" s="101" t="str">
        <f t="shared" si="67"/>
        <v>RON</v>
      </c>
      <c r="AD567" s="101">
        <f t="shared" si="68"/>
        <v>10000</v>
      </c>
    </row>
    <row r="568" spans="1:30">
      <c r="A568" s="101">
        <f t="shared" si="69"/>
        <v>16</v>
      </c>
      <c r="B568" s="101">
        <f t="shared" si="65"/>
        <v>27</v>
      </c>
      <c r="C568" s="101" t="str">
        <f t="shared" si="66"/>
        <v>T27</v>
      </c>
      <c r="D568" s="101" t="str">
        <f>IF(A568&lt;&gt;A567,VLOOKUP(A568,'Date SPV'!$A:$D,4,FALSE),D567)</f>
        <v>General Building Management SRL</v>
      </c>
      <c r="E568" s="101" t="str">
        <f>VLOOKUP(A568,'Date SPV'!$A$4:$B$34,2,FALSE)</f>
        <v>RGBM</v>
      </c>
      <c r="H568" s="105" t="s">
        <v>894</v>
      </c>
      <c r="K568" s="101" t="str">
        <f>VLOOKUP(C568,'Preturi si tarife'!$A$4:$B$39,2,FALSE)</f>
        <v>Regularizare Contributie pentru cogenerare</v>
      </c>
      <c r="L568" s="102">
        <f>IF(B568=1,'Date masura OD'!$I$5,IF(B568=19,'Date masura OD'!$AK$5,L567))</f>
        <v>45748</v>
      </c>
      <c r="M568" s="102">
        <f>IF(B568=1,'Date masura OD'!$J$5,IF(B568=19,'Date masura OD'!$AL$5,M567))</f>
        <v>45777</v>
      </c>
      <c r="N568" s="104">
        <f>VLOOKUP(E568,verificare!$AR$4:$CC$33,B568+2,FALSE)</f>
        <v>0</v>
      </c>
      <c r="O568" s="103">
        <f>HLOOKUP(VLOOKUP(E568,'Date SPV'!$B$4:$F$34,5,FALSE),'Preturi si tarife'!$C$2:$J$39,B568+2,FALSE)*10000</f>
        <v>35</v>
      </c>
      <c r="Q568" s="101" t="str">
        <f t="shared" si="61"/>
        <v>One-off</v>
      </c>
      <c r="R568" s="101" t="str">
        <f>VLOOKUP(K568,'Preturi si tarife'!$B$4:$K$39,10,FALSE)</f>
        <v>ICOENG0001</v>
      </c>
      <c r="T568" s="101" t="str">
        <f t="shared" si="62"/>
        <v>INV + 30</v>
      </c>
      <c r="V568" s="101" t="str">
        <f t="shared" si="63"/>
        <v>Active</v>
      </c>
      <c r="X568" s="101" t="str">
        <f t="shared" si="64"/>
        <v>One-off</v>
      </c>
      <c r="AC568" s="101" t="str">
        <f t="shared" si="67"/>
        <v>RON</v>
      </c>
      <c r="AD568" s="101">
        <f t="shared" si="68"/>
        <v>10000</v>
      </c>
    </row>
    <row r="569" spans="1:30">
      <c r="A569" s="101">
        <f t="shared" si="69"/>
        <v>16</v>
      </c>
      <c r="B569" s="101">
        <f t="shared" si="65"/>
        <v>28</v>
      </c>
      <c r="C569" s="101" t="str">
        <f t="shared" si="66"/>
        <v>T28</v>
      </c>
      <c r="D569" s="101" t="str">
        <f>IF(A569&lt;&gt;A568,VLOOKUP(A569,'Date SPV'!$A:$D,4,FALSE),D568)</f>
        <v>General Building Management SRL</v>
      </c>
      <c r="E569" s="101" t="str">
        <f>VLOOKUP(A569,'Date SPV'!$A$4:$B$34,2,FALSE)</f>
        <v>RGBM</v>
      </c>
      <c r="H569" s="105" t="s">
        <v>894</v>
      </c>
      <c r="K569" s="101" t="str">
        <f>VLOOKUP(C569,'Preturi si tarife'!$A$4:$B$39,2,FALSE)</f>
        <v xml:space="preserve">Regularizare Certificate verzi </v>
      </c>
      <c r="L569" s="102">
        <f>IF(B569=1,'Date masura OD'!$I$5,IF(B569=19,'Date masura OD'!$AK$5,L568))</f>
        <v>45748</v>
      </c>
      <c r="M569" s="102">
        <f>IF(B569=1,'Date masura OD'!$J$5,IF(B569=19,'Date masura OD'!$AL$5,M568))</f>
        <v>45777</v>
      </c>
      <c r="N569" s="104">
        <f>VLOOKUP(E569,verificare!$AR$4:$CC$33,B569+2,FALSE)</f>
        <v>0</v>
      </c>
      <c r="O569" s="103">
        <f>HLOOKUP(VLOOKUP(E569,'Date SPV'!$B$4:$F$34,5,FALSE),'Preturi si tarife'!$C$2:$J$39,B569+2,FALSE)*10000</f>
        <v>725.41599999999994</v>
      </c>
      <c r="Q569" s="101" t="str">
        <f t="shared" si="61"/>
        <v>One-off</v>
      </c>
      <c r="R569" s="101" t="str">
        <f>VLOOKUP(K569,'Preturi si tarife'!$B$4:$K$39,10,FALSE)</f>
        <v>ICOENG0001</v>
      </c>
      <c r="T569" s="101" t="str">
        <f t="shared" si="62"/>
        <v>INV + 30</v>
      </c>
      <c r="V569" s="101" t="str">
        <f t="shared" si="63"/>
        <v>Active</v>
      </c>
      <c r="X569" s="101" t="str">
        <f t="shared" si="64"/>
        <v>One-off</v>
      </c>
      <c r="AC569" s="101" t="str">
        <f t="shared" si="67"/>
        <v>RON</v>
      </c>
      <c r="AD569" s="101">
        <f t="shared" si="68"/>
        <v>10000</v>
      </c>
    </row>
    <row r="570" spans="1:30">
      <c r="A570" s="101">
        <f t="shared" si="69"/>
        <v>16</v>
      </c>
      <c r="B570" s="101">
        <f t="shared" si="65"/>
        <v>29</v>
      </c>
      <c r="C570" s="101" t="str">
        <f t="shared" si="66"/>
        <v>T29</v>
      </c>
      <c r="D570" s="101" t="str">
        <f>IF(A570&lt;&gt;A569,VLOOKUP(A570,'Date SPV'!$A:$D,4,FALSE),D569)</f>
        <v>General Building Management SRL</v>
      </c>
      <c r="E570" s="101" t="str">
        <f>VLOOKUP(A570,'Date SPV'!$A$4:$B$34,2,FALSE)</f>
        <v>RGBM</v>
      </c>
      <c r="H570" s="105" t="s">
        <v>894</v>
      </c>
      <c r="K570" s="101" t="str">
        <f>VLOOKUP(C570,'Preturi si tarife'!$A$4:$B$39,2,FALSE)</f>
        <v>Regularizare Contributie CFD</v>
      </c>
      <c r="L570" s="102">
        <f>IF(B570=1,'Date masura OD'!$I$5,IF(B570=19,'Date masura OD'!$AK$5,L569))</f>
        <v>45748</v>
      </c>
      <c r="M570" s="102">
        <f>IF(B570=1,'Date masura OD'!$J$5,IF(B570=19,'Date masura OD'!$AL$5,M569))</f>
        <v>45777</v>
      </c>
      <c r="N570" s="104">
        <f>VLOOKUP(E570,verificare!$AR$4:$CC$33,B570+2,FALSE)</f>
        <v>0</v>
      </c>
      <c r="O570" s="103">
        <f>HLOOKUP(VLOOKUP(E570,'Date SPV'!$B$4:$F$34,5,FALSE),'Preturi si tarife'!$C$2:$J$39,B570+2,FALSE)*10000</f>
        <v>2.06</v>
      </c>
      <c r="Q570" s="101" t="str">
        <f t="shared" si="61"/>
        <v>One-off</v>
      </c>
      <c r="R570" s="101" t="str">
        <f>VLOOKUP(K570,'Preturi si tarife'!$B$4:$K$39,10,FALSE)</f>
        <v>ICOENG0001</v>
      </c>
      <c r="T570" s="101" t="str">
        <f t="shared" si="62"/>
        <v>INV + 30</v>
      </c>
      <c r="V570" s="101" t="str">
        <f t="shared" si="63"/>
        <v>Active</v>
      </c>
      <c r="X570" s="101" t="str">
        <f t="shared" si="64"/>
        <v>One-off</v>
      </c>
      <c r="AC570" s="101" t="str">
        <f t="shared" si="67"/>
        <v>RON</v>
      </c>
      <c r="AD570" s="101">
        <f t="shared" si="68"/>
        <v>10000</v>
      </c>
    </row>
    <row r="571" spans="1:30">
      <c r="A571" s="101">
        <f t="shared" si="69"/>
        <v>16</v>
      </c>
      <c r="B571" s="101">
        <f t="shared" si="65"/>
        <v>30</v>
      </c>
      <c r="C571" s="101" t="str">
        <f t="shared" si="66"/>
        <v>T30</v>
      </c>
      <c r="D571" s="101" t="str">
        <f>IF(A571&lt;&gt;A570,VLOOKUP(A571,'Date SPV'!$A:$D,4,FALSE),D570)</f>
        <v>General Building Management SRL</v>
      </c>
      <c r="E571" s="101" t="str">
        <f>VLOOKUP(A571,'Date SPV'!$A$4:$B$34,2,FALSE)</f>
        <v>RGBM</v>
      </c>
      <c r="H571" s="105" t="s">
        <v>894</v>
      </c>
      <c r="K571" s="101" t="str">
        <f>VLOOKUP(C571,'Preturi si tarife'!$A$4:$B$39,2,FALSE)</f>
        <v>Regularizare Acciza</v>
      </c>
      <c r="L571" s="102">
        <f>IF(B571=1,'Date masura OD'!$I$5,IF(B571=19,'Date masura OD'!$AK$5,L570))</f>
        <v>45748</v>
      </c>
      <c r="M571" s="102">
        <f>IF(B571=1,'Date masura OD'!$J$5,IF(B571=19,'Date masura OD'!$AL$5,M570))</f>
        <v>45777</v>
      </c>
      <c r="N571" s="104">
        <f>VLOOKUP(E571,verificare!$AR$4:$CC$33,B571+2,FALSE)</f>
        <v>0</v>
      </c>
      <c r="O571" s="103">
        <f>HLOOKUP(VLOOKUP(E571,'Date SPV'!$B$4:$F$34,5,FALSE),'Preturi si tarife'!$C$2:$J$39,B571+2,FALSE)*10000</f>
        <v>0</v>
      </c>
      <c r="Q571" s="101" t="str">
        <f t="shared" si="61"/>
        <v>One-off</v>
      </c>
      <c r="R571" s="101" t="str">
        <f>VLOOKUP(K571,'Preturi si tarife'!$B$4:$K$39,10,FALSE)</f>
        <v>ICOENG0001</v>
      </c>
      <c r="T571" s="101" t="str">
        <f t="shared" si="62"/>
        <v>INV + 30</v>
      </c>
      <c r="V571" s="101" t="str">
        <f t="shared" si="63"/>
        <v>Active</v>
      </c>
      <c r="X571" s="101" t="str">
        <f t="shared" si="64"/>
        <v>One-off</v>
      </c>
      <c r="AC571" s="101" t="str">
        <f t="shared" si="67"/>
        <v>RON</v>
      </c>
      <c r="AD571" s="101">
        <f t="shared" si="68"/>
        <v>10000</v>
      </c>
    </row>
    <row r="572" spans="1:30">
      <c r="A572" s="101">
        <f t="shared" si="69"/>
        <v>16</v>
      </c>
      <c r="B572" s="101">
        <f t="shared" si="65"/>
        <v>31</v>
      </c>
      <c r="C572" s="101" t="str">
        <f t="shared" si="66"/>
        <v>T31</v>
      </c>
      <c r="D572" s="101" t="str">
        <f>IF(A572&lt;&gt;A571,VLOOKUP(A572,'Date SPV'!$A:$D,4,FALSE),D571)</f>
        <v>General Building Management SRL</v>
      </c>
      <c r="E572" s="101" t="str">
        <f>VLOOKUP(A572,'Date SPV'!$A$4:$B$34,2,FALSE)</f>
        <v>RGBM</v>
      </c>
      <c r="H572" s="105" t="s">
        <v>894</v>
      </c>
      <c r="K572" s="101" t="str">
        <f>VLOOKUP(C572,'Preturi si tarife'!$A$4:$B$39,2,FALSE)</f>
        <v>Regularizare Tarif distributie SDI MT Ea1</v>
      </c>
      <c r="L572" s="102">
        <f>IF(B572=1,'Date masura OD'!$I$5,IF(B572=19,'Date masura OD'!$AK$5,L571))</f>
        <v>45748</v>
      </c>
      <c r="M572" s="102">
        <f>IF(B572=1,'Date masura OD'!$J$5,IF(B572=19,'Date masura OD'!$AL$5,M571))</f>
        <v>45777</v>
      </c>
      <c r="N572" s="104">
        <f>VLOOKUP(E572,verificare!$AR$4:$CC$33,B572+2,FALSE)</f>
        <v>0</v>
      </c>
      <c r="O572" s="103">
        <f>HLOOKUP(VLOOKUP(E572,'Date SPV'!$B$4:$F$34,5,FALSE),'Preturi si tarife'!$C$2:$J$39,B572+2,FALSE)*10000</f>
        <v>170</v>
      </c>
      <c r="Q572" s="101" t="str">
        <f t="shared" ref="Q572:Q635" si="70">Q571</f>
        <v>One-off</v>
      </c>
      <c r="R572" s="101" t="str">
        <f>VLOOKUP(K572,'Preturi si tarife'!$B$4:$K$39,10,FALSE)</f>
        <v>ICOENG0010</v>
      </c>
      <c r="T572" s="101" t="str">
        <f t="shared" ref="T572:T635" si="71">T571</f>
        <v>INV + 30</v>
      </c>
      <c r="V572" s="101" t="str">
        <f t="shared" ref="V572:V635" si="72">V571</f>
        <v>Active</v>
      </c>
      <c r="X572" s="101" t="str">
        <f t="shared" ref="X572:X635" si="73">X571</f>
        <v>One-off</v>
      </c>
      <c r="AC572" s="101" t="str">
        <f t="shared" si="67"/>
        <v>RON</v>
      </c>
      <c r="AD572" s="101">
        <f t="shared" si="68"/>
        <v>10000</v>
      </c>
    </row>
    <row r="573" spans="1:30">
      <c r="A573" s="101">
        <f t="shared" si="69"/>
        <v>16</v>
      </c>
      <c r="B573" s="101">
        <f t="shared" ref="B573:B636" si="74">IF(A573&lt;&gt;A572,1,B572+1)</f>
        <v>32</v>
      </c>
      <c r="C573" s="101" t="str">
        <f t="shared" ref="C573:C636" si="75">_xlfn.CONCAT("T",B573)</f>
        <v>T32</v>
      </c>
      <c r="D573" s="101" t="str">
        <f>IF(A573&lt;&gt;A572,VLOOKUP(A573,'Date SPV'!$A:$D,4,FALSE),D572)</f>
        <v>General Building Management SRL</v>
      </c>
      <c r="E573" s="101" t="str">
        <f>VLOOKUP(A573,'Date SPV'!$A$4:$B$34,2,FALSE)</f>
        <v>RGBM</v>
      </c>
      <c r="H573" s="105" t="s">
        <v>894</v>
      </c>
      <c r="K573" s="101" t="str">
        <f>VLOOKUP(C573,'Preturi si tarife'!$A$4:$B$39,2,FALSE)</f>
        <v>Regularizare Tarif distributie SDI JT Ea1</v>
      </c>
      <c r="L573" s="102">
        <f>IF(B573=1,'Date masura OD'!$I$5,IF(B573=19,'Date masura OD'!$AK$5,L572))</f>
        <v>45748</v>
      </c>
      <c r="M573" s="102">
        <f>IF(B573=1,'Date masura OD'!$J$5,IF(B573=19,'Date masura OD'!$AL$5,M572))</f>
        <v>45777</v>
      </c>
      <c r="N573" s="104">
        <f>VLOOKUP(E573,verificare!$AR$4:$CC$33,B573+2,FALSE)</f>
        <v>0</v>
      </c>
      <c r="O573" s="103">
        <f>HLOOKUP(VLOOKUP(E573,'Date SPV'!$B$4:$F$34,5,FALSE),'Preturi si tarife'!$C$2:$J$39,B573+2,FALSE)*10000</f>
        <v>1029</v>
      </c>
      <c r="Q573" s="101" t="str">
        <f t="shared" si="70"/>
        <v>One-off</v>
      </c>
      <c r="R573" s="101" t="str">
        <f>VLOOKUP(K573,'Preturi si tarife'!$B$4:$K$39,10,FALSE)</f>
        <v>ICOENG0010</v>
      </c>
      <c r="T573" s="101" t="str">
        <f t="shared" si="71"/>
        <v>INV + 30</v>
      </c>
      <c r="V573" s="101" t="str">
        <f t="shared" si="72"/>
        <v>Active</v>
      </c>
      <c r="X573" s="101" t="str">
        <f t="shared" si="73"/>
        <v>One-off</v>
      </c>
      <c r="AC573" s="101" t="str">
        <f t="shared" ref="AC573:AC636" si="76">AC572</f>
        <v>RON</v>
      </c>
      <c r="AD573" s="101">
        <f t="shared" ref="AD573:AD636" si="77">AD572</f>
        <v>10000</v>
      </c>
    </row>
    <row r="574" spans="1:30">
      <c r="A574" s="101">
        <f t="shared" si="69"/>
        <v>16</v>
      </c>
      <c r="B574" s="101">
        <f t="shared" si="74"/>
        <v>33</v>
      </c>
      <c r="C574" s="101" t="str">
        <f t="shared" si="75"/>
        <v>T33</v>
      </c>
      <c r="D574" s="101" t="str">
        <f>IF(A574&lt;&gt;A573,VLOOKUP(A574,'Date SPV'!$A:$D,4,FALSE),D573)</f>
        <v>General Building Management SRL</v>
      </c>
      <c r="E574" s="101" t="str">
        <f>VLOOKUP(A574,'Date SPV'!$A$4:$B$34,2,FALSE)</f>
        <v>RGBM</v>
      </c>
      <c r="H574" s="105" t="s">
        <v>894</v>
      </c>
      <c r="K574" s="101" t="str">
        <f>VLOOKUP(C574,'Preturi si tarife'!$A$4:$B$39,2,FALSE)</f>
        <v>Regularizare Energie activa 2</v>
      </c>
      <c r="L574" s="102">
        <f>IF(B574=1,'Date masura OD'!$I$5,IF(B574=19,'Date masura OD'!$AK$5,L573))</f>
        <v>45748</v>
      </c>
      <c r="M574" s="102">
        <f>IF(B574=1,'Date masura OD'!$J$5,IF(B574=19,'Date masura OD'!$AL$5,M573))</f>
        <v>45777</v>
      </c>
      <c r="N574" s="104">
        <f>VLOOKUP(E574,verificare!$AR$4:$CC$33,B574+2,FALSE)</f>
        <v>0</v>
      </c>
      <c r="O574" s="103">
        <f>HLOOKUP(VLOOKUP(E574,'Date SPV'!$B$4:$F$34,5,FALSE),'Preturi si tarife'!$C$2:$J$39,B574+2,FALSE)*10000</f>
        <v>9751.1759999999995</v>
      </c>
      <c r="Q574" s="101" t="str">
        <f t="shared" si="70"/>
        <v>One-off</v>
      </c>
      <c r="R574" s="101" t="str">
        <f>VLOOKUP(K574,'Preturi si tarife'!$B$4:$K$39,10,FALSE)</f>
        <v>ICOENG0012</v>
      </c>
      <c r="T574" s="101" t="str">
        <f t="shared" si="71"/>
        <v>INV + 30</v>
      </c>
      <c r="V574" s="101" t="str">
        <f t="shared" si="72"/>
        <v>Active</v>
      </c>
      <c r="X574" s="101" t="str">
        <f t="shared" si="73"/>
        <v>One-off</v>
      </c>
      <c r="AC574" s="101" t="str">
        <f t="shared" si="76"/>
        <v>RON</v>
      </c>
      <c r="AD574" s="101">
        <f t="shared" si="77"/>
        <v>10000</v>
      </c>
    </row>
    <row r="575" spans="1:30">
      <c r="A575" s="101">
        <f t="shared" si="69"/>
        <v>16</v>
      </c>
      <c r="B575" s="101">
        <f t="shared" si="74"/>
        <v>34</v>
      </c>
      <c r="C575" s="101" t="str">
        <f t="shared" si="75"/>
        <v>T34</v>
      </c>
      <c r="D575" s="101" t="str">
        <f>IF(A575&lt;&gt;A574,VLOOKUP(A575,'Date SPV'!$A:$D,4,FALSE),D574)</f>
        <v>General Building Management SRL</v>
      </c>
      <c r="E575" s="101" t="str">
        <f>VLOOKUP(A575,'Date SPV'!$A$4:$B$34,2,FALSE)</f>
        <v>RGBM</v>
      </c>
      <c r="H575" s="105" t="s">
        <v>894</v>
      </c>
      <c r="K575" s="101" t="str">
        <f>VLOOKUP(C575,'Preturi si tarife'!$A$4:$B$39,2,FALSE)</f>
        <v>Regularizare Energie activa 3</v>
      </c>
      <c r="L575" s="102">
        <f>IF(B575=1,'Date masura OD'!$I$5,IF(B575=19,'Date masura OD'!$AK$5,L574))</f>
        <v>45748</v>
      </c>
      <c r="M575" s="102">
        <f>IF(B575=1,'Date masura OD'!$J$5,IF(B575=19,'Date masura OD'!$AL$5,M574))</f>
        <v>45777</v>
      </c>
      <c r="N575" s="104">
        <f>VLOOKUP(E575,verificare!$AR$4:$CC$33,B575+2,FALSE)</f>
        <v>0</v>
      </c>
      <c r="O575" s="103">
        <f>HLOOKUP(VLOOKUP(E575,'Date SPV'!$B$4:$F$34,5,FALSE),'Preturi si tarife'!$C$2:$J$39,B575+2,FALSE)*10000</f>
        <v>8552.1759999999995</v>
      </c>
      <c r="Q575" s="101" t="str">
        <f t="shared" si="70"/>
        <v>One-off</v>
      </c>
      <c r="R575" s="101" t="str">
        <f>VLOOKUP(K575,'Preturi si tarife'!$B$4:$K$39,10,FALSE)</f>
        <v>ICOENG0012</v>
      </c>
      <c r="T575" s="101" t="str">
        <f t="shared" si="71"/>
        <v>INV + 30</v>
      </c>
      <c r="V575" s="101" t="str">
        <f t="shared" si="72"/>
        <v>Active</v>
      </c>
      <c r="X575" s="101" t="str">
        <f t="shared" si="73"/>
        <v>One-off</v>
      </c>
      <c r="AC575" s="101" t="str">
        <f t="shared" si="76"/>
        <v>RON</v>
      </c>
      <c r="AD575" s="101">
        <f t="shared" si="77"/>
        <v>10000</v>
      </c>
    </row>
    <row r="576" spans="1:30">
      <c r="A576" s="101">
        <f t="shared" si="69"/>
        <v>16</v>
      </c>
      <c r="B576" s="101">
        <f t="shared" si="74"/>
        <v>35</v>
      </c>
      <c r="C576" s="101" t="str">
        <f t="shared" si="75"/>
        <v>T35</v>
      </c>
      <c r="D576" s="101" t="str">
        <f>IF(A576&lt;&gt;A575,VLOOKUP(A576,'Date SPV'!$A:$D,4,FALSE),D575)</f>
        <v>General Building Management SRL</v>
      </c>
      <c r="E576" s="101" t="str">
        <f>VLOOKUP(A576,'Date SPV'!$A$4:$B$34,2,FALSE)</f>
        <v>RGBM</v>
      </c>
      <c r="H576" s="105" t="s">
        <v>894</v>
      </c>
      <c r="K576" s="101" t="str">
        <f>VLOOKUP(C576,'Preturi si tarife'!$A$4:$B$39,2,FALSE)</f>
        <v>Regularizare Tarif distributie SDI MT Ea3</v>
      </c>
      <c r="L576" s="102">
        <f>IF(B576=1,'Date masura OD'!$I$5,IF(B576=19,'Date masura OD'!$AK$5,L575))</f>
        <v>45748</v>
      </c>
      <c r="M576" s="102">
        <f>IF(B576=1,'Date masura OD'!$J$5,IF(B576=19,'Date masura OD'!$AL$5,M575))</f>
        <v>45777</v>
      </c>
      <c r="N576" s="104">
        <f>VLOOKUP(E576,verificare!$AR$4:$CC$33,B576+2,FALSE)</f>
        <v>0</v>
      </c>
      <c r="O576" s="103">
        <f>HLOOKUP(VLOOKUP(E576,'Date SPV'!$B$4:$F$34,5,FALSE),'Preturi si tarife'!$C$2:$J$39,B576+2,FALSE)*10000</f>
        <v>170</v>
      </c>
      <c r="Q576" s="101" t="str">
        <f t="shared" si="70"/>
        <v>One-off</v>
      </c>
      <c r="R576" s="101" t="str">
        <f>VLOOKUP(K576,'Preturi si tarife'!$B$4:$K$39,10,FALSE)</f>
        <v>ICOENG0010</v>
      </c>
      <c r="T576" s="101" t="str">
        <f t="shared" si="71"/>
        <v>INV + 30</v>
      </c>
      <c r="V576" s="101" t="str">
        <f t="shared" si="72"/>
        <v>Active</v>
      </c>
      <c r="X576" s="101" t="str">
        <f t="shared" si="73"/>
        <v>One-off</v>
      </c>
      <c r="AC576" s="101" t="str">
        <f t="shared" si="76"/>
        <v>RON</v>
      </c>
      <c r="AD576" s="101">
        <f t="shared" si="77"/>
        <v>10000</v>
      </c>
    </row>
    <row r="577" spans="1:30">
      <c r="A577" s="101">
        <f t="shared" si="69"/>
        <v>16</v>
      </c>
      <c r="B577" s="101">
        <f t="shared" si="74"/>
        <v>36</v>
      </c>
      <c r="C577" s="101" t="str">
        <f t="shared" si="75"/>
        <v>T36</v>
      </c>
      <c r="D577" s="101" t="str">
        <f>IF(A577&lt;&gt;A576,VLOOKUP(A577,'Date SPV'!$A:$D,4,FALSE),D576)</f>
        <v>General Building Management SRL</v>
      </c>
      <c r="E577" s="101" t="str">
        <f>VLOOKUP(A577,'Date SPV'!$A$4:$B$34,2,FALSE)</f>
        <v>RGBM</v>
      </c>
      <c r="H577" s="105" t="s">
        <v>894</v>
      </c>
      <c r="K577" s="101" t="str">
        <f>VLOOKUP(C577,'Preturi si tarife'!$A$4:$B$39,2,FALSE)</f>
        <v>Regularizare Tarif distributie SDI JT Ea3</v>
      </c>
      <c r="L577" s="102">
        <f>IF(B577=1,'Date masura OD'!$I$5,IF(B577=19,'Date masura OD'!$AK$5,L576))</f>
        <v>45748</v>
      </c>
      <c r="M577" s="102">
        <f>IF(B577=1,'Date masura OD'!$J$5,IF(B577=19,'Date masura OD'!$AL$5,M576))</f>
        <v>45777</v>
      </c>
      <c r="N577" s="104">
        <f>VLOOKUP(E577,verificare!$AR$4:$CC$33,B577+2,FALSE)</f>
        <v>0</v>
      </c>
      <c r="O577" s="103">
        <f>HLOOKUP(VLOOKUP(E577,'Date SPV'!$B$4:$F$34,5,FALSE),'Preturi si tarife'!$C$2:$J$39,B577+2,FALSE)*10000</f>
        <v>1029</v>
      </c>
      <c r="Q577" s="101" t="str">
        <f t="shared" si="70"/>
        <v>One-off</v>
      </c>
      <c r="R577" s="101" t="str">
        <f>VLOOKUP(K577,'Preturi si tarife'!$B$4:$K$39,10,FALSE)</f>
        <v>ICOENG0010</v>
      </c>
      <c r="T577" s="101" t="str">
        <f t="shared" si="71"/>
        <v>INV + 30</v>
      </c>
      <c r="V577" s="101" t="str">
        <f t="shared" si="72"/>
        <v>Active</v>
      </c>
      <c r="X577" s="101" t="str">
        <f t="shared" si="73"/>
        <v>One-off</v>
      </c>
      <c r="AC577" s="101" t="str">
        <f t="shared" si="76"/>
        <v>RON</v>
      </c>
      <c r="AD577" s="101">
        <f t="shared" si="77"/>
        <v>10000</v>
      </c>
    </row>
    <row r="578" spans="1:30">
      <c r="A578" s="101">
        <f t="shared" si="69"/>
        <v>17</v>
      </c>
      <c r="B578" s="101">
        <f t="shared" si="74"/>
        <v>1</v>
      </c>
      <c r="C578" s="101" t="str">
        <f t="shared" si="75"/>
        <v>T1</v>
      </c>
      <c r="D578" s="101" t="str">
        <f>IF(A578&lt;&gt;A577,VLOOKUP(A578,'Date SPV'!$A:$D,4,FALSE),D577)</f>
        <v>Mega Mall Bucuresti SRL</v>
      </c>
      <c r="E578" s="101" t="str">
        <f>VLOOKUP(A578,'Date SPV'!$A$4:$B$34,2,FALSE)</f>
        <v>RMEG</v>
      </c>
      <c r="H578" s="105" t="s">
        <v>894</v>
      </c>
      <c r="K578" s="101" t="str">
        <f>VLOOKUP(C578,'Preturi si tarife'!$A$4:$B$39,2,FALSE)</f>
        <v>Energie activa 1</v>
      </c>
      <c r="L578" s="102">
        <f>IF(B578=1,'Date masura OD'!$I$5,IF(B578=19,'Date masura OD'!$AK$5,L577))</f>
        <v>45778</v>
      </c>
      <c r="M578" s="102">
        <f>IF(B578=1,'Date masura OD'!$J$5,IF(B578=19,'Date masura OD'!$AL$5,M577))</f>
        <v>45808</v>
      </c>
      <c r="N578" s="104">
        <f>VLOOKUP(E578,verificare!$AR$4:$CC$33,B578+2,FALSE)</f>
        <v>1934381</v>
      </c>
      <c r="O578" s="103">
        <f>HLOOKUP(VLOOKUP(E578,'Date SPV'!$B$4:$F$34,5,FALSE),'Preturi si tarife'!$C$2:$J$39,B578+2,FALSE)*10000</f>
        <v>5950</v>
      </c>
      <c r="Q578" s="101" t="str">
        <f t="shared" si="70"/>
        <v>One-off</v>
      </c>
      <c r="R578" s="101" t="str">
        <f>VLOOKUP(K578,'Preturi si tarife'!$B$4:$K$39,10,FALSE)</f>
        <v>ICOENG0001</v>
      </c>
      <c r="T578" s="101" t="str">
        <f t="shared" si="71"/>
        <v>INV + 30</v>
      </c>
      <c r="V578" s="101" t="str">
        <f t="shared" si="72"/>
        <v>Active</v>
      </c>
      <c r="X578" s="101" t="str">
        <f t="shared" si="73"/>
        <v>One-off</v>
      </c>
      <c r="AC578" s="101" t="str">
        <f t="shared" si="76"/>
        <v>RON</v>
      </c>
      <c r="AD578" s="101">
        <f t="shared" si="77"/>
        <v>10000</v>
      </c>
    </row>
    <row r="579" spans="1:30">
      <c r="A579" s="101">
        <f t="shared" si="69"/>
        <v>17</v>
      </c>
      <c r="B579" s="101">
        <f t="shared" si="74"/>
        <v>2</v>
      </c>
      <c r="C579" s="101" t="str">
        <f t="shared" si="75"/>
        <v>T2</v>
      </c>
      <c r="D579" s="101" t="str">
        <f>IF(A579&lt;&gt;A578,VLOOKUP(A579,'Date SPV'!$A:$D,4,FALSE),D578)</f>
        <v>Mega Mall Bucuresti SRL</v>
      </c>
      <c r="E579" s="101" t="str">
        <f>VLOOKUP(A579,'Date SPV'!$A$4:$B$34,2,FALSE)</f>
        <v>RMEG</v>
      </c>
      <c r="H579" s="105" t="s">
        <v>894</v>
      </c>
      <c r="K579" s="101" t="str">
        <f>VLOOKUP(C579,'Preturi si tarife'!$A$4:$B$39,2,FALSE)</f>
        <v>Energie reactiva  1X</v>
      </c>
      <c r="L579" s="102">
        <f>IF(B579=1,'Date masura OD'!$I$5,IF(B579=19,'Date masura OD'!$AK$5,L578))</f>
        <v>45778</v>
      </c>
      <c r="M579" s="102">
        <f>IF(B579=1,'Date masura OD'!$J$5,IF(B579=19,'Date masura OD'!$AL$5,M578))</f>
        <v>45808</v>
      </c>
      <c r="N579" s="104">
        <f>VLOOKUP(E579,verificare!$AR$4:$CC$33,B579+2,FALSE)</f>
        <v>0</v>
      </c>
      <c r="O579" s="103">
        <f>HLOOKUP(VLOOKUP(E579,'Date SPV'!$B$4:$F$34,5,FALSE),'Preturi si tarife'!$C$2:$J$39,B579+2,FALSE)*10000</f>
        <v>1466</v>
      </c>
      <c r="Q579" s="101" t="str">
        <f t="shared" si="70"/>
        <v>One-off</v>
      </c>
      <c r="R579" s="101" t="str">
        <f>VLOOKUP(K579,'Preturi si tarife'!$B$4:$K$39,10,FALSE)</f>
        <v>ICOENG0001</v>
      </c>
      <c r="T579" s="101" t="str">
        <f t="shared" si="71"/>
        <v>INV + 30</v>
      </c>
      <c r="V579" s="101" t="str">
        <f t="shared" si="72"/>
        <v>Active</v>
      </c>
      <c r="X579" s="101" t="str">
        <f t="shared" si="73"/>
        <v>One-off</v>
      </c>
      <c r="AC579" s="101" t="str">
        <f t="shared" si="76"/>
        <v>RON</v>
      </c>
      <c r="AD579" s="101">
        <f t="shared" si="77"/>
        <v>10000</v>
      </c>
    </row>
    <row r="580" spans="1:30">
      <c r="A580" s="101">
        <f t="shared" ref="A580:A643" si="78">IF(B579=36,A579+1,A579)</f>
        <v>17</v>
      </c>
      <c r="B580" s="101">
        <f t="shared" si="74"/>
        <v>3</v>
      </c>
      <c r="C580" s="101" t="str">
        <f t="shared" si="75"/>
        <v>T3</v>
      </c>
      <c r="D580" s="101" t="str">
        <f>IF(A580&lt;&gt;A579,VLOOKUP(A580,'Date SPV'!$A:$D,4,FALSE),D579)</f>
        <v>Mega Mall Bucuresti SRL</v>
      </c>
      <c r="E580" s="101" t="str">
        <f>VLOOKUP(A580,'Date SPV'!$A$4:$B$34,2,FALSE)</f>
        <v>RMEG</v>
      </c>
      <c r="H580" s="105" t="s">
        <v>894</v>
      </c>
      <c r="K580" s="101" t="str">
        <f>VLOOKUP(C580,'Preturi si tarife'!$A$4:$B$39,2,FALSE)</f>
        <v>Energie reactiva  3X</v>
      </c>
      <c r="L580" s="102">
        <f>IF(B580=1,'Date masura OD'!$I$5,IF(B580=19,'Date masura OD'!$AK$5,L579))</f>
        <v>45778</v>
      </c>
      <c r="M580" s="102">
        <f>IF(B580=1,'Date masura OD'!$J$5,IF(B580=19,'Date masura OD'!$AL$5,M579))</f>
        <v>45808</v>
      </c>
      <c r="N580" s="104">
        <f>VLOOKUP(E580,verificare!$AR$4:$CC$33,B580+2,FALSE)</f>
        <v>0</v>
      </c>
      <c r="O580" s="103">
        <f>HLOOKUP(VLOOKUP(E580,'Date SPV'!$B$4:$F$34,5,FALSE),'Preturi si tarife'!$C$2:$J$39,B580+2,FALSE)*10000</f>
        <v>4398</v>
      </c>
      <c r="Q580" s="101" t="str">
        <f t="shared" si="70"/>
        <v>One-off</v>
      </c>
      <c r="R580" s="101" t="str">
        <f>VLOOKUP(K580,'Preturi si tarife'!$B$4:$K$39,10,FALSE)</f>
        <v>ICOENG0001</v>
      </c>
      <c r="T580" s="101" t="str">
        <f t="shared" si="71"/>
        <v>INV + 30</v>
      </c>
      <c r="V580" s="101" t="str">
        <f t="shared" si="72"/>
        <v>Active</v>
      </c>
      <c r="X580" s="101" t="str">
        <f t="shared" si="73"/>
        <v>One-off</v>
      </c>
      <c r="AC580" s="101" t="str">
        <f t="shared" si="76"/>
        <v>RON</v>
      </c>
      <c r="AD580" s="101">
        <f t="shared" si="77"/>
        <v>10000</v>
      </c>
    </row>
    <row r="581" spans="1:30">
      <c r="A581" s="101">
        <f t="shared" si="78"/>
        <v>17</v>
      </c>
      <c r="B581" s="101">
        <f t="shared" si="74"/>
        <v>4</v>
      </c>
      <c r="C581" s="101" t="str">
        <f t="shared" si="75"/>
        <v>T4</v>
      </c>
      <c r="D581" s="101" t="str">
        <f>IF(A581&lt;&gt;A580,VLOOKUP(A581,'Date SPV'!$A:$D,4,FALSE),D580)</f>
        <v>Mega Mall Bucuresti SRL</v>
      </c>
      <c r="E581" s="101" t="str">
        <f>VLOOKUP(A581,'Date SPV'!$A$4:$B$34,2,FALSE)</f>
        <v>RMEG</v>
      </c>
      <c r="H581" s="105" t="s">
        <v>894</v>
      </c>
      <c r="K581" s="101" t="str">
        <f>VLOOKUP(C581,'Preturi si tarife'!$A$4:$B$39,2,FALSE)</f>
        <v>Tarife distributie en. El IT+MT</v>
      </c>
      <c r="L581" s="102">
        <f>IF(B581=1,'Date masura OD'!$I$5,IF(B581=19,'Date masura OD'!$AK$5,L580))</f>
        <v>45778</v>
      </c>
      <c r="M581" s="102">
        <f>IF(B581=1,'Date masura OD'!$J$5,IF(B581=19,'Date masura OD'!$AL$5,M580))</f>
        <v>45808</v>
      </c>
      <c r="N581" s="104">
        <f>VLOOKUP(E581,verificare!$AR$4:$CC$33,B581+2,FALSE)</f>
        <v>1934381</v>
      </c>
      <c r="O581" s="103">
        <f>HLOOKUP(VLOOKUP(E581,'Date SPV'!$B$4:$F$34,5,FALSE),'Preturi si tarife'!$C$2:$J$39,B581+2,FALSE)*10000</f>
        <v>861.80000000000007</v>
      </c>
      <c r="Q581" s="101" t="str">
        <f t="shared" si="70"/>
        <v>One-off</v>
      </c>
      <c r="R581" s="101" t="str">
        <f>VLOOKUP(K581,'Preturi si tarife'!$B$4:$K$39,10,FALSE)</f>
        <v>ICOENG0001</v>
      </c>
      <c r="T581" s="101" t="str">
        <f t="shared" si="71"/>
        <v>INV + 30</v>
      </c>
      <c r="V581" s="101" t="str">
        <f t="shared" si="72"/>
        <v>Active</v>
      </c>
      <c r="X581" s="101" t="str">
        <f t="shared" si="73"/>
        <v>One-off</v>
      </c>
      <c r="AC581" s="101" t="str">
        <f t="shared" si="76"/>
        <v>RON</v>
      </c>
      <c r="AD581" s="101">
        <f t="shared" si="77"/>
        <v>10000</v>
      </c>
    </row>
    <row r="582" spans="1:30">
      <c r="A582" s="101">
        <f t="shared" si="78"/>
        <v>17</v>
      </c>
      <c r="B582" s="101">
        <f t="shared" si="74"/>
        <v>5</v>
      </c>
      <c r="C582" s="101" t="str">
        <f t="shared" si="75"/>
        <v>T5</v>
      </c>
      <c r="D582" s="101" t="str">
        <f>IF(A582&lt;&gt;A581,VLOOKUP(A582,'Date SPV'!$A:$D,4,FALSE),D581)</f>
        <v>Mega Mall Bucuresti SRL</v>
      </c>
      <c r="E582" s="101" t="str">
        <f>VLOOKUP(A582,'Date SPV'!$A$4:$B$34,2,FALSE)</f>
        <v>RMEG</v>
      </c>
      <c r="H582" s="105" t="s">
        <v>894</v>
      </c>
      <c r="K582" s="101" t="str">
        <f>VLOOKUP(C582,'Preturi si tarife'!$A$4:$B$39,2,FALSE)</f>
        <v>Tarife distributie en. El JT</v>
      </c>
      <c r="L582" s="102">
        <f>IF(B582=1,'Date masura OD'!$I$5,IF(B582=19,'Date masura OD'!$AK$5,L581))</f>
        <v>45778</v>
      </c>
      <c r="M582" s="102">
        <f>IF(B582=1,'Date masura OD'!$J$5,IF(B582=19,'Date masura OD'!$AL$5,M581))</f>
        <v>45808</v>
      </c>
      <c r="N582" s="104">
        <f>VLOOKUP(E582,verificare!$AR$4:$CC$33,B582+2,FALSE)</f>
        <v>0</v>
      </c>
      <c r="O582" s="103">
        <f>HLOOKUP(VLOOKUP(E582,'Date SPV'!$B$4:$F$34,5,FALSE),'Preturi si tarife'!$C$2:$J$39,B582+2,FALSE)*10000</f>
        <v>2079</v>
      </c>
      <c r="Q582" s="101" t="str">
        <f t="shared" si="70"/>
        <v>One-off</v>
      </c>
      <c r="R582" s="101" t="str">
        <f>VLOOKUP(K582,'Preturi si tarife'!$B$4:$K$39,10,FALSE)</f>
        <v>ICOENG0001</v>
      </c>
      <c r="T582" s="101" t="str">
        <f t="shared" si="71"/>
        <v>INV + 30</v>
      </c>
      <c r="V582" s="101" t="str">
        <f t="shared" si="72"/>
        <v>Active</v>
      </c>
      <c r="X582" s="101" t="str">
        <f t="shared" si="73"/>
        <v>One-off</v>
      </c>
      <c r="AC582" s="101" t="str">
        <f t="shared" si="76"/>
        <v>RON</v>
      </c>
      <c r="AD582" s="101">
        <f t="shared" si="77"/>
        <v>10000</v>
      </c>
    </row>
    <row r="583" spans="1:30">
      <c r="A583" s="101">
        <f t="shared" si="78"/>
        <v>17</v>
      </c>
      <c r="B583" s="101">
        <f t="shared" si="74"/>
        <v>6</v>
      </c>
      <c r="C583" s="101" t="str">
        <f t="shared" si="75"/>
        <v>T6</v>
      </c>
      <c r="D583" s="101" t="str">
        <f>IF(A583&lt;&gt;A582,VLOOKUP(A583,'Date SPV'!$A:$D,4,FALSE),D582)</f>
        <v>Mega Mall Bucuresti SRL</v>
      </c>
      <c r="E583" s="101" t="str">
        <f>VLOOKUP(A583,'Date SPV'!$A$4:$B$34,2,FALSE)</f>
        <v>RMEG</v>
      </c>
      <c r="H583" s="105" t="s">
        <v>894</v>
      </c>
      <c r="K583" s="101" t="str">
        <f>VLOOKUP(C583,'Preturi si tarife'!$A$4:$B$39,2,FALSE)</f>
        <v xml:space="preserve">Servicii Sistem </v>
      </c>
      <c r="L583" s="102">
        <f>IF(B583=1,'Date masura OD'!$I$5,IF(B583=19,'Date masura OD'!$AK$5,L582))</f>
        <v>45778</v>
      </c>
      <c r="M583" s="102">
        <f>IF(B583=1,'Date masura OD'!$J$5,IF(B583=19,'Date masura OD'!$AL$5,M582))</f>
        <v>45808</v>
      </c>
      <c r="N583" s="104">
        <f>VLOOKUP(E583,verificare!$AR$4:$CC$33,B583+2,FALSE)</f>
        <v>1934381</v>
      </c>
      <c r="O583" s="103">
        <f>HLOOKUP(VLOOKUP(E583,'Date SPV'!$B$4:$F$34,5,FALSE),'Preturi si tarife'!$C$2:$J$39,B583+2,FALSE)*10000</f>
        <v>115.1</v>
      </c>
      <c r="Q583" s="101" t="str">
        <f t="shared" si="70"/>
        <v>One-off</v>
      </c>
      <c r="R583" s="101" t="str">
        <f>VLOOKUP(K583,'Preturi si tarife'!$B$4:$K$39,10,FALSE)</f>
        <v>ICOENG0001</v>
      </c>
      <c r="T583" s="101" t="str">
        <f t="shared" si="71"/>
        <v>INV + 30</v>
      </c>
      <c r="V583" s="101" t="str">
        <f t="shared" si="72"/>
        <v>Active</v>
      </c>
      <c r="X583" s="101" t="str">
        <f t="shared" si="73"/>
        <v>One-off</v>
      </c>
      <c r="AC583" s="101" t="str">
        <f t="shared" si="76"/>
        <v>RON</v>
      </c>
      <c r="AD583" s="101">
        <f t="shared" si="77"/>
        <v>10000</v>
      </c>
    </row>
    <row r="584" spans="1:30">
      <c r="A584" s="101">
        <f t="shared" si="78"/>
        <v>17</v>
      </c>
      <c r="B584" s="101">
        <f t="shared" si="74"/>
        <v>7</v>
      </c>
      <c r="C584" s="101" t="str">
        <f t="shared" si="75"/>
        <v>T7</v>
      </c>
      <c r="D584" s="101" t="str">
        <f>IF(A584&lt;&gt;A583,VLOOKUP(A584,'Date SPV'!$A:$D,4,FALSE),D583)</f>
        <v>Mega Mall Bucuresti SRL</v>
      </c>
      <c r="E584" s="101" t="str">
        <f>VLOOKUP(A584,'Date SPV'!$A$4:$B$34,2,FALSE)</f>
        <v>RMEG</v>
      </c>
      <c r="H584" s="105" t="s">
        <v>894</v>
      </c>
      <c r="K584" s="101" t="str">
        <f>VLOOKUP(C584,'Preturi si tarife'!$A$4:$B$39,2,FALSE)</f>
        <v>Tarif de introducere en. el in retea (TL)</v>
      </c>
      <c r="L584" s="102">
        <f>IF(B584=1,'Date masura OD'!$I$5,IF(B584=19,'Date masura OD'!$AK$5,L583))</f>
        <v>45778</v>
      </c>
      <c r="M584" s="102">
        <f>IF(B584=1,'Date masura OD'!$J$5,IF(B584=19,'Date masura OD'!$AL$5,M583))</f>
        <v>45808</v>
      </c>
      <c r="N584" s="104">
        <f>VLOOKUP(E584,verificare!$AR$4:$CC$33,B584+2,FALSE)</f>
        <v>1934381</v>
      </c>
      <c r="O584" s="103">
        <f>HLOOKUP(VLOOKUP(E584,'Date SPV'!$B$4:$F$34,5,FALSE),'Preturi si tarife'!$C$2:$J$39,B584+2,FALSE)*10000</f>
        <v>330.3</v>
      </c>
      <c r="Q584" s="101" t="str">
        <f t="shared" si="70"/>
        <v>One-off</v>
      </c>
      <c r="R584" s="101" t="str">
        <f>VLOOKUP(K584,'Preturi si tarife'!$B$4:$K$39,10,FALSE)</f>
        <v>ICOENG0001</v>
      </c>
      <c r="T584" s="101" t="str">
        <f t="shared" si="71"/>
        <v>INV + 30</v>
      </c>
      <c r="V584" s="101" t="str">
        <f t="shared" si="72"/>
        <v>Active</v>
      </c>
      <c r="X584" s="101" t="str">
        <f t="shared" si="73"/>
        <v>One-off</v>
      </c>
      <c r="AC584" s="101" t="str">
        <f t="shared" si="76"/>
        <v>RON</v>
      </c>
      <c r="AD584" s="101">
        <f t="shared" si="77"/>
        <v>10000</v>
      </c>
    </row>
    <row r="585" spans="1:30">
      <c r="A585" s="101">
        <f t="shared" si="78"/>
        <v>17</v>
      </c>
      <c r="B585" s="101">
        <f t="shared" si="74"/>
        <v>8</v>
      </c>
      <c r="C585" s="101" t="str">
        <f t="shared" si="75"/>
        <v>T8</v>
      </c>
      <c r="D585" s="101" t="str">
        <f>IF(A585&lt;&gt;A584,VLOOKUP(A585,'Date SPV'!$A:$D,4,FALSE),D584)</f>
        <v>Mega Mall Bucuresti SRL</v>
      </c>
      <c r="E585" s="101" t="str">
        <f>VLOOKUP(A585,'Date SPV'!$A$4:$B$34,2,FALSE)</f>
        <v>RMEG</v>
      </c>
      <c r="H585" s="105" t="s">
        <v>894</v>
      </c>
      <c r="K585" s="101" t="str">
        <f>VLOOKUP(C585,'Preturi si tarife'!$A$4:$B$39,2,FALSE)</f>
        <v>Tarif de introducere en.el in retea (TG)</v>
      </c>
      <c r="L585" s="102">
        <f>IF(B585=1,'Date masura OD'!$I$5,IF(B585=19,'Date masura OD'!$AK$5,L584))</f>
        <v>45778</v>
      </c>
      <c r="M585" s="102">
        <f>IF(B585=1,'Date masura OD'!$J$5,IF(B585=19,'Date masura OD'!$AL$5,M584))</f>
        <v>45808</v>
      </c>
      <c r="N585" s="104">
        <f>VLOOKUP(E585,verificare!$AR$4:$CC$33,B585+2,FALSE)</f>
        <v>1934381</v>
      </c>
      <c r="O585" s="103">
        <f>HLOOKUP(VLOOKUP(E585,'Date SPV'!$B$4:$F$34,5,FALSE),'Preturi si tarife'!$C$2:$J$39,B585+2,FALSE)*10000</f>
        <v>32.9</v>
      </c>
      <c r="Q585" s="101" t="str">
        <f t="shared" si="70"/>
        <v>One-off</v>
      </c>
      <c r="R585" s="101" t="str">
        <f>VLOOKUP(K585,'Preturi si tarife'!$B$4:$K$39,10,FALSE)</f>
        <v>ICOENG0001</v>
      </c>
      <c r="T585" s="101" t="str">
        <f t="shared" si="71"/>
        <v>INV + 30</v>
      </c>
      <c r="V585" s="101" t="str">
        <f t="shared" si="72"/>
        <v>Active</v>
      </c>
      <c r="X585" s="101" t="str">
        <f t="shared" si="73"/>
        <v>One-off</v>
      </c>
      <c r="AC585" s="101" t="str">
        <f t="shared" si="76"/>
        <v>RON</v>
      </c>
      <c r="AD585" s="101">
        <f t="shared" si="77"/>
        <v>10000</v>
      </c>
    </row>
    <row r="586" spans="1:30">
      <c r="A586" s="101">
        <f t="shared" si="78"/>
        <v>17</v>
      </c>
      <c r="B586" s="101">
        <f t="shared" si="74"/>
        <v>9</v>
      </c>
      <c r="C586" s="101" t="str">
        <f t="shared" si="75"/>
        <v>T9</v>
      </c>
      <c r="D586" s="101" t="str">
        <f>IF(A586&lt;&gt;A585,VLOOKUP(A586,'Date SPV'!$A:$D,4,FALSE),D585)</f>
        <v>Mega Mall Bucuresti SRL</v>
      </c>
      <c r="E586" s="101" t="str">
        <f>VLOOKUP(A586,'Date SPV'!$A$4:$B$34,2,FALSE)</f>
        <v>RMEG</v>
      </c>
      <c r="H586" s="105" t="s">
        <v>894</v>
      </c>
      <c r="K586" s="101" t="str">
        <f>VLOOKUP(C586,'Preturi si tarife'!$A$4:$B$39,2,FALSE)</f>
        <v>Contributie pentru cogenerare</v>
      </c>
      <c r="L586" s="102">
        <f>IF(B586=1,'Date masura OD'!$I$5,IF(B586=19,'Date masura OD'!$AK$5,L585))</f>
        <v>45778</v>
      </c>
      <c r="M586" s="102">
        <f>IF(B586=1,'Date masura OD'!$J$5,IF(B586=19,'Date masura OD'!$AL$5,M585))</f>
        <v>45808</v>
      </c>
      <c r="N586" s="104">
        <f>VLOOKUP(E586,verificare!$AR$4:$CC$33,B586+2,FALSE)</f>
        <v>1934381</v>
      </c>
      <c r="O586" s="103">
        <f>HLOOKUP(VLOOKUP(E586,'Date SPV'!$B$4:$F$34,5,FALSE),'Preturi si tarife'!$C$2:$J$39,B586+2,FALSE)*10000</f>
        <v>35</v>
      </c>
      <c r="Q586" s="101" t="str">
        <f t="shared" si="70"/>
        <v>One-off</v>
      </c>
      <c r="R586" s="101" t="str">
        <f>VLOOKUP(K586,'Preturi si tarife'!$B$4:$K$39,10,FALSE)</f>
        <v>ICOENG0001</v>
      </c>
      <c r="T586" s="101" t="str">
        <f t="shared" si="71"/>
        <v>INV + 30</v>
      </c>
      <c r="V586" s="101" t="str">
        <f t="shared" si="72"/>
        <v>Active</v>
      </c>
      <c r="X586" s="101" t="str">
        <f t="shared" si="73"/>
        <v>One-off</v>
      </c>
      <c r="AC586" s="101" t="str">
        <f t="shared" si="76"/>
        <v>RON</v>
      </c>
      <c r="AD586" s="101">
        <f t="shared" si="77"/>
        <v>10000</v>
      </c>
    </row>
    <row r="587" spans="1:30">
      <c r="A587" s="101">
        <f t="shared" si="78"/>
        <v>17</v>
      </c>
      <c r="B587" s="101">
        <f t="shared" si="74"/>
        <v>10</v>
      </c>
      <c r="C587" s="101" t="str">
        <f t="shared" si="75"/>
        <v>T10</v>
      </c>
      <c r="D587" s="101" t="str">
        <f>IF(A587&lt;&gt;A586,VLOOKUP(A587,'Date SPV'!$A:$D,4,FALSE),D586)</f>
        <v>Mega Mall Bucuresti SRL</v>
      </c>
      <c r="E587" s="101" t="str">
        <f>VLOOKUP(A587,'Date SPV'!$A$4:$B$34,2,FALSE)</f>
        <v>RMEG</v>
      </c>
      <c r="H587" s="105" t="s">
        <v>894</v>
      </c>
      <c r="K587" s="101" t="str">
        <f>VLOOKUP(C587,'Preturi si tarife'!$A$4:$B$39,2,FALSE)</f>
        <v xml:space="preserve">Certificate verzi </v>
      </c>
      <c r="L587" s="102">
        <f>IF(B587=1,'Date masura OD'!$I$5,IF(B587=19,'Date masura OD'!$AK$5,L586))</f>
        <v>45778</v>
      </c>
      <c r="M587" s="102">
        <f>IF(B587=1,'Date masura OD'!$J$5,IF(B587=19,'Date masura OD'!$AL$5,M586))</f>
        <v>45808</v>
      </c>
      <c r="N587" s="104">
        <f>VLOOKUP(E587,verificare!$AR$4:$CC$33,B587+2,FALSE)</f>
        <v>1934381</v>
      </c>
      <c r="O587" s="103">
        <f>HLOOKUP(VLOOKUP(E587,'Date SPV'!$B$4:$F$34,5,FALSE),'Preturi si tarife'!$C$2:$J$39,B587+2,FALSE)*10000</f>
        <v>725.41599999999994</v>
      </c>
      <c r="Q587" s="101" t="str">
        <f t="shared" si="70"/>
        <v>One-off</v>
      </c>
      <c r="R587" s="101" t="str">
        <f>VLOOKUP(K587,'Preturi si tarife'!$B$4:$K$39,10,FALSE)</f>
        <v>ICOENG0001</v>
      </c>
      <c r="T587" s="101" t="str">
        <f t="shared" si="71"/>
        <v>INV + 30</v>
      </c>
      <c r="V587" s="101" t="str">
        <f t="shared" si="72"/>
        <v>Active</v>
      </c>
      <c r="X587" s="101" t="str">
        <f t="shared" si="73"/>
        <v>One-off</v>
      </c>
      <c r="AC587" s="101" t="str">
        <f t="shared" si="76"/>
        <v>RON</v>
      </c>
      <c r="AD587" s="101">
        <f t="shared" si="77"/>
        <v>10000</v>
      </c>
    </row>
    <row r="588" spans="1:30">
      <c r="A588" s="101">
        <f t="shared" si="78"/>
        <v>17</v>
      </c>
      <c r="B588" s="101">
        <f t="shared" si="74"/>
        <v>11</v>
      </c>
      <c r="C588" s="101" t="str">
        <f t="shared" si="75"/>
        <v>T11</v>
      </c>
      <c r="D588" s="101" t="str">
        <f>IF(A588&lt;&gt;A587,VLOOKUP(A588,'Date SPV'!$A:$D,4,FALSE),D587)</f>
        <v>Mega Mall Bucuresti SRL</v>
      </c>
      <c r="E588" s="101" t="str">
        <f>VLOOKUP(A588,'Date SPV'!$A$4:$B$34,2,FALSE)</f>
        <v>RMEG</v>
      </c>
      <c r="H588" s="105" t="s">
        <v>894</v>
      </c>
      <c r="K588" s="101" t="str">
        <f>VLOOKUP(C588,'Preturi si tarife'!$A$4:$B$39,2,FALSE)</f>
        <v>Contributie CFD</v>
      </c>
      <c r="L588" s="102">
        <f>IF(B588=1,'Date masura OD'!$I$5,IF(B588=19,'Date masura OD'!$AK$5,L587))</f>
        <v>45778</v>
      </c>
      <c r="M588" s="102">
        <f>IF(B588=1,'Date masura OD'!$J$5,IF(B588=19,'Date masura OD'!$AL$5,M587))</f>
        <v>45808</v>
      </c>
      <c r="N588" s="104">
        <f>VLOOKUP(E588,verificare!$AR$4:$CC$33,B588+2,FALSE)</f>
        <v>1934381</v>
      </c>
      <c r="O588" s="103">
        <f>HLOOKUP(VLOOKUP(E588,'Date SPV'!$B$4:$F$34,5,FALSE),'Preturi si tarife'!$C$2:$J$39,B588+2,FALSE)*10000</f>
        <v>2.06</v>
      </c>
      <c r="Q588" s="101" t="str">
        <f t="shared" si="70"/>
        <v>One-off</v>
      </c>
      <c r="R588" s="101" t="str">
        <f>VLOOKUP(K588,'Preturi si tarife'!$B$4:$K$39,10,FALSE)</f>
        <v>ICOENG0001</v>
      </c>
      <c r="T588" s="101" t="str">
        <f t="shared" si="71"/>
        <v>INV + 30</v>
      </c>
      <c r="V588" s="101" t="str">
        <f t="shared" si="72"/>
        <v>Active</v>
      </c>
      <c r="X588" s="101" t="str">
        <f t="shared" si="73"/>
        <v>One-off</v>
      </c>
      <c r="AC588" s="101" t="str">
        <f t="shared" si="76"/>
        <v>RON</v>
      </c>
      <c r="AD588" s="101">
        <f t="shared" si="77"/>
        <v>10000</v>
      </c>
    </row>
    <row r="589" spans="1:30">
      <c r="A589" s="101">
        <f t="shared" si="78"/>
        <v>17</v>
      </c>
      <c r="B589" s="101">
        <f t="shared" si="74"/>
        <v>12</v>
      </c>
      <c r="C589" s="101" t="str">
        <f t="shared" si="75"/>
        <v>T12</v>
      </c>
      <c r="D589" s="101" t="str">
        <f>IF(A589&lt;&gt;A588,VLOOKUP(A589,'Date SPV'!$A:$D,4,FALSE),D588)</f>
        <v>Mega Mall Bucuresti SRL</v>
      </c>
      <c r="E589" s="101" t="str">
        <f>VLOOKUP(A589,'Date SPV'!$A$4:$B$34,2,FALSE)</f>
        <v>RMEG</v>
      </c>
      <c r="H589" s="105" t="s">
        <v>894</v>
      </c>
      <c r="K589" s="101" t="str">
        <f>VLOOKUP(C589,'Preturi si tarife'!$A$4:$B$39,2,FALSE)</f>
        <v>Acciza</v>
      </c>
      <c r="L589" s="102">
        <f>IF(B589=1,'Date masura OD'!$I$5,IF(B589=19,'Date masura OD'!$AK$5,L588))</f>
        <v>45778</v>
      </c>
      <c r="M589" s="102">
        <f>IF(B589=1,'Date masura OD'!$J$5,IF(B589=19,'Date masura OD'!$AL$5,M588))</f>
        <v>45808</v>
      </c>
      <c r="N589" s="104">
        <f>VLOOKUP(E589,verificare!$AR$4:$CC$33,B589+2,FALSE)</f>
        <v>1934381</v>
      </c>
      <c r="O589" s="103">
        <f>HLOOKUP(VLOOKUP(E589,'Date SPV'!$B$4:$F$34,5,FALSE),'Preturi si tarife'!$C$2:$J$39,B589+2,FALSE)*10000</f>
        <v>0</v>
      </c>
      <c r="Q589" s="101" t="str">
        <f t="shared" si="70"/>
        <v>One-off</v>
      </c>
      <c r="R589" s="101" t="str">
        <f>VLOOKUP(K589,'Preturi si tarife'!$B$4:$K$39,10,FALSE)</f>
        <v>ICOENG0001</v>
      </c>
      <c r="T589" s="101" t="str">
        <f t="shared" si="71"/>
        <v>INV + 30</v>
      </c>
      <c r="V589" s="101" t="str">
        <f t="shared" si="72"/>
        <v>Active</v>
      </c>
      <c r="X589" s="101" t="str">
        <f t="shared" si="73"/>
        <v>One-off</v>
      </c>
      <c r="AC589" s="101" t="str">
        <f t="shared" si="76"/>
        <v>RON</v>
      </c>
      <c r="AD589" s="101">
        <f t="shared" si="77"/>
        <v>10000</v>
      </c>
    </row>
    <row r="590" spans="1:30">
      <c r="A590" s="101">
        <f t="shared" si="78"/>
        <v>17</v>
      </c>
      <c r="B590" s="101">
        <f t="shared" si="74"/>
        <v>13</v>
      </c>
      <c r="C590" s="101" t="str">
        <f t="shared" si="75"/>
        <v>T13</v>
      </c>
      <c r="D590" s="101" t="str">
        <f>IF(A590&lt;&gt;A589,VLOOKUP(A590,'Date SPV'!$A:$D,4,FALSE),D589)</f>
        <v>Mega Mall Bucuresti SRL</v>
      </c>
      <c r="E590" s="101" t="str">
        <f>VLOOKUP(A590,'Date SPV'!$A$4:$B$34,2,FALSE)</f>
        <v>RMEG</v>
      </c>
      <c r="H590" s="105" t="s">
        <v>894</v>
      </c>
      <c r="K590" s="101" t="str">
        <f>VLOOKUP(C590,'Preturi si tarife'!$A$4:$B$39,2,FALSE)</f>
        <v>Tarif distributie SDI MT</v>
      </c>
      <c r="L590" s="102">
        <f>IF(B590=1,'Date masura OD'!$I$5,IF(B590=19,'Date masura OD'!$AK$5,L589))</f>
        <v>45778</v>
      </c>
      <c r="M590" s="102">
        <f>IF(B590=1,'Date masura OD'!$J$5,IF(B590=19,'Date masura OD'!$AL$5,M589))</f>
        <v>45808</v>
      </c>
      <c r="N590" s="104">
        <f>VLOOKUP(E590,verificare!$AR$4:$CC$33,B590+2,FALSE)</f>
        <v>1934381</v>
      </c>
      <c r="O590" s="103">
        <f>HLOOKUP(VLOOKUP(E590,'Date SPV'!$B$4:$F$34,5,FALSE),'Preturi si tarife'!$C$2:$J$39,B590+2,FALSE)*10000</f>
        <v>113.00000000000001</v>
      </c>
      <c r="Q590" s="101" t="str">
        <f t="shared" si="70"/>
        <v>One-off</v>
      </c>
      <c r="R590" s="101" t="str">
        <f>VLOOKUP(K590,'Preturi si tarife'!$B$4:$K$39,10,FALSE)</f>
        <v>ICOENG0010</v>
      </c>
      <c r="T590" s="101" t="str">
        <f t="shared" si="71"/>
        <v>INV + 30</v>
      </c>
      <c r="V590" s="101" t="str">
        <f t="shared" si="72"/>
        <v>Active</v>
      </c>
      <c r="X590" s="101" t="str">
        <f t="shared" si="73"/>
        <v>One-off</v>
      </c>
      <c r="AC590" s="101" t="str">
        <f t="shared" si="76"/>
        <v>RON</v>
      </c>
      <c r="AD590" s="101">
        <f t="shared" si="77"/>
        <v>10000</v>
      </c>
    </row>
    <row r="591" spans="1:30">
      <c r="A591" s="101">
        <f t="shared" si="78"/>
        <v>17</v>
      </c>
      <c r="B591" s="101">
        <f t="shared" si="74"/>
        <v>14</v>
      </c>
      <c r="C591" s="101" t="str">
        <f t="shared" si="75"/>
        <v>T14</v>
      </c>
      <c r="D591" s="101" t="str">
        <f>IF(A591&lt;&gt;A590,VLOOKUP(A591,'Date SPV'!$A:$D,4,FALSE),D590)</f>
        <v>Mega Mall Bucuresti SRL</v>
      </c>
      <c r="E591" s="101" t="str">
        <f>VLOOKUP(A591,'Date SPV'!$A$4:$B$34,2,FALSE)</f>
        <v>RMEG</v>
      </c>
      <c r="H591" s="105" t="s">
        <v>894</v>
      </c>
      <c r="K591" s="101" t="str">
        <f>VLOOKUP(C591,'Preturi si tarife'!$A$4:$B$39,2,FALSE)</f>
        <v>Tarif distributie SDI JT</v>
      </c>
      <c r="L591" s="102">
        <f>IF(B591=1,'Date masura OD'!$I$5,IF(B591=19,'Date masura OD'!$AK$5,L590))</f>
        <v>45778</v>
      </c>
      <c r="M591" s="102">
        <f>IF(B591=1,'Date masura OD'!$J$5,IF(B591=19,'Date masura OD'!$AL$5,M590))</f>
        <v>45808</v>
      </c>
      <c r="N591" s="104">
        <f>VLOOKUP(E591,verificare!$AR$4:$CC$33,B591+2,FALSE)</f>
        <v>1934381</v>
      </c>
      <c r="O591" s="103">
        <f>HLOOKUP(VLOOKUP(E591,'Date SPV'!$B$4:$F$34,5,FALSE),'Preturi si tarife'!$C$2:$J$39,B591+2,FALSE)*10000</f>
        <v>840.99999999999989</v>
      </c>
      <c r="Q591" s="101" t="str">
        <f t="shared" si="70"/>
        <v>One-off</v>
      </c>
      <c r="R591" s="101" t="str">
        <f>VLOOKUP(K591,'Preturi si tarife'!$B$4:$K$39,10,FALSE)</f>
        <v>ICOENG0010</v>
      </c>
      <c r="T591" s="101" t="str">
        <f t="shared" si="71"/>
        <v>INV + 30</v>
      </c>
      <c r="V591" s="101" t="str">
        <f t="shared" si="72"/>
        <v>Active</v>
      </c>
      <c r="X591" s="101" t="str">
        <f t="shared" si="73"/>
        <v>One-off</v>
      </c>
      <c r="AC591" s="101" t="str">
        <f t="shared" si="76"/>
        <v>RON</v>
      </c>
      <c r="AD591" s="101">
        <f t="shared" si="77"/>
        <v>10000</v>
      </c>
    </row>
    <row r="592" spans="1:30">
      <c r="A592" s="101">
        <f t="shared" si="78"/>
        <v>17</v>
      </c>
      <c r="B592" s="101">
        <f t="shared" si="74"/>
        <v>15</v>
      </c>
      <c r="C592" s="101" t="str">
        <f t="shared" si="75"/>
        <v>T15</v>
      </c>
      <c r="D592" s="101" t="str">
        <f>IF(A592&lt;&gt;A591,VLOOKUP(A592,'Date SPV'!$A:$D,4,FALSE),D591)</f>
        <v>Mega Mall Bucuresti SRL</v>
      </c>
      <c r="E592" s="101" t="str">
        <f>VLOOKUP(A592,'Date SPV'!$A$4:$B$34,2,FALSE)</f>
        <v>RMEG</v>
      </c>
      <c r="H592" s="105" t="s">
        <v>894</v>
      </c>
      <c r="K592" s="101" t="str">
        <f>VLOOKUP(C592,'Preturi si tarife'!$A$4:$B$39,2,FALSE)</f>
        <v>Energie activa 2</v>
      </c>
      <c r="L592" s="102">
        <f>IF(B592=1,'Date masura OD'!$I$5,IF(B592=19,'Date masura OD'!$AK$5,L591))</f>
        <v>45778</v>
      </c>
      <c r="M592" s="102">
        <f>IF(B592=1,'Date masura OD'!$J$5,IF(B592=19,'Date masura OD'!$AL$5,M591))</f>
        <v>45808</v>
      </c>
      <c r="N592" s="104">
        <f>VLOOKUP(E592,verificare!$AR$4:$CC$33,B592+2,FALSE)</f>
        <v>13904</v>
      </c>
      <c r="O592" s="103">
        <f>HLOOKUP(VLOOKUP(E592,'Date SPV'!$B$4:$F$34,5,FALSE),'Preturi si tarife'!$C$2:$J$39,B592+2,FALSE)*10000</f>
        <v>9006.5760000000009</v>
      </c>
      <c r="Q592" s="101" t="str">
        <f t="shared" si="70"/>
        <v>One-off</v>
      </c>
      <c r="R592" s="101" t="str">
        <f>VLOOKUP(K592,'Preturi si tarife'!$B$4:$K$39,10,FALSE)</f>
        <v>ICOENG0012</v>
      </c>
      <c r="T592" s="101" t="str">
        <f t="shared" si="71"/>
        <v>INV + 30</v>
      </c>
      <c r="V592" s="101" t="str">
        <f t="shared" si="72"/>
        <v>Active</v>
      </c>
      <c r="X592" s="101" t="str">
        <f t="shared" si="73"/>
        <v>One-off</v>
      </c>
      <c r="AC592" s="101" t="str">
        <f t="shared" si="76"/>
        <v>RON</v>
      </c>
      <c r="AD592" s="101">
        <f t="shared" si="77"/>
        <v>10000</v>
      </c>
    </row>
    <row r="593" spans="1:30">
      <c r="A593" s="101">
        <f t="shared" si="78"/>
        <v>17</v>
      </c>
      <c r="B593" s="101">
        <f t="shared" si="74"/>
        <v>16</v>
      </c>
      <c r="C593" s="101" t="str">
        <f t="shared" si="75"/>
        <v>T16</v>
      </c>
      <c r="D593" s="101" t="str">
        <f>IF(A593&lt;&gt;A592,VLOOKUP(A593,'Date SPV'!$A:$D,4,FALSE),D592)</f>
        <v>Mega Mall Bucuresti SRL</v>
      </c>
      <c r="E593" s="101" t="str">
        <f>VLOOKUP(A593,'Date SPV'!$A$4:$B$34,2,FALSE)</f>
        <v>RMEG</v>
      </c>
      <c r="H593" s="105" t="s">
        <v>894</v>
      </c>
      <c r="K593" s="101" t="str">
        <f>VLOOKUP(C593,'Preturi si tarife'!$A$4:$B$39,2,FALSE)</f>
        <v>Energie activa 3</v>
      </c>
      <c r="L593" s="102">
        <f>IF(B593=1,'Date masura OD'!$I$5,IF(B593=19,'Date masura OD'!$AK$5,L592))</f>
        <v>45778</v>
      </c>
      <c r="M593" s="102">
        <f>IF(B593=1,'Date masura OD'!$J$5,IF(B593=19,'Date masura OD'!$AL$5,M592))</f>
        <v>45808</v>
      </c>
      <c r="N593" s="104">
        <f>VLOOKUP(E593,verificare!$AR$4:$CC$33,B593+2,FALSE)</f>
        <v>0</v>
      </c>
      <c r="O593" s="103">
        <f>HLOOKUP(VLOOKUP(E593,'Date SPV'!$B$4:$F$34,5,FALSE),'Preturi si tarife'!$C$2:$J$39,B593+2,FALSE)*10000</f>
        <v>8052.576</v>
      </c>
      <c r="Q593" s="101" t="str">
        <f t="shared" si="70"/>
        <v>One-off</v>
      </c>
      <c r="R593" s="101" t="str">
        <f>VLOOKUP(K593,'Preturi si tarife'!$B$4:$K$39,10,FALSE)</f>
        <v>ICOENG0012</v>
      </c>
      <c r="T593" s="101" t="str">
        <f t="shared" si="71"/>
        <v>INV + 30</v>
      </c>
      <c r="V593" s="101" t="str">
        <f t="shared" si="72"/>
        <v>Active</v>
      </c>
      <c r="X593" s="101" t="str">
        <f t="shared" si="73"/>
        <v>One-off</v>
      </c>
      <c r="AC593" s="101" t="str">
        <f t="shared" si="76"/>
        <v>RON</v>
      </c>
      <c r="AD593" s="101">
        <f t="shared" si="77"/>
        <v>10000</v>
      </c>
    </row>
    <row r="594" spans="1:30">
      <c r="A594" s="101">
        <f t="shared" si="78"/>
        <v>17</v>
      </c>
      <c r="B594" s="101">
        <f t="shared" si="74"/>
        <v>17</v>
      </c>
      <c r="C594" s="101" t="str">
        <f t="shared" si="75"/>
        <v>T17</v>
      </c>
      <c r="D594" s="101" t="str">
        <f>IF(A594&lt;&gt;A593,VLOOKUP(A594,'Date SPV'!$A:$D,4,FALSE),D593)</f>
        <v>Mega Mall Bucuresti SRL</v>
      </c>
      <c r="E594" s="101" t="str">
        <f>VLOOKUP(A594,'Date SPV'!$A$4:$B$34,2,FALSE)</f>
        <v>RMEG</v>
      </c>
      <c r="H594" s="105" t="s">
        <v>894</v>
      </c>
      <c r="K594" s="101" t="str">
        <f>VLOOKUP(C594,'Preturi si tarife'!$A$4:$B$39,2,FALSE)</f>
        <v>Tarif distributie SDI MT_</v>
      </c>
      <c r="L594" s="102">
        <f>IF(B594=1,'Date masura OD'!$I$5,IF(B594=19,'Date masura OD'!$AK$5,L593))</f>
        <v>45778</v>
      </c>
      <c r="M594" s="102">
        <f>IF(B594=1,'Date masura OD'!$J$5,IF(B594=19,'Date masura OD'!$AL$5,M593))</f>
        <v>45808</v>
      </c>
      <c r="N594" s="104">
        <f>VLOOKUP(E594,verificare!$AR$4:$CC$33,B594+2,FALSE)</f>
        <v>0</v>
      </c>
      <c r="O594" s="103">
        <f>HLOOKUP(VLOOKUP(E594,'Date SPV'!$B$4:$F$34,5,FALSE),'Preturi si tarife'!$C$2:$J$39,B594+2,FALSE)*10000</f>
        <v>113.00000000000001</v>
      </c>
      <c r="Q594" s="101" t="str">
        <f t="shared" si="70"/>
        <v>One-off</v>
      </c>
      <c r="R594" s="101" t="str">
        <f>VLOOKUP(K594,'Preturi si tarife'!$B$4:$K$39,10,FALSE)</f>
        <v>ICOENG0010</v>
      </c>
      <c r="T594" s="101" t="str">
        <f t="shared" si="71"/>
        <v>INV + 30</v>
      </c>
      <c r="V594" s="101" t="str">
        <f t="shared" si="72"/>
        <v>Active</v>
      </c>
      <c r="X594" s="101" t="str">
        <f t="shared" si="73"/>
        <v>One-off</v>
      </c>
      <c r="AC594" s="101" t="str">
        <f t="shared" si="76"/>
        <v>RON</v>
      </c>
      <c r="AD594" s="101">
        <f t="shared" si="77"/>
        <v>10000</v>
      </c>
    </row>
    <row r="595" spans="1:30">
      <c r="A595" s="101">
        <f t="shared" si="78"/>
        <v>17</v>
      </c>
      <c r="B595" s="101">
        <f t="shared" si="74"/>
        <v>18</v>
      </c>
      <c r="C595" s="101" t="str">
        <f t="shared" si="75"/>
        <v>T18</v>
      </c>
      <c r="D595" s="101" t="str">
        <f>IF(A595&lt;&gt;A594,VLOOKUP(A595,'Date SPV'!$A:$D,4,FALSE),D594)</f>
        <v>Mega Mall Bucuresti SRL</v>
      </c>
      <c r="E595" s="101" t="str">
        <f>VLOOKUP(A595,'Date SPV'!$A$4:$B$34,2,FALSE)</f>
        <v>RMEG</v>
      </c>
      <c r="H595" s="105" t="s">
        <v>894</v>
      </c>
      <c r="K595" s="101" t="str">
        <f>VLOOKUP(C595,'Preturi si tarife'!$A$4:$B$39,2,FALSE)</f>
        <v>Tarif distributie SDI JT_</v>
      </c>
      <c r="L595" s="102">
        <f>IF(B595=1,'Date masura OD'!$I$5,IF(B595=19,'Date masura OD'!$AK$5,L594))</f>
        <v>45778</v>
      </c>
      <c r="M595" s="102">
        <f>IF(B595=1,'Date masura OD'!$J$5,IF(B595=19,'Date masura OD'!$AL$5,M594))</f>
        <v>45808</v>
      </c>
      <c r="N595" s="104">
        <f>VLOOKUP(E595,verificare!$AR$4:$CC$33,B595+2,FALSE)</f>
        <v>0</v>
      </c>
      <c r="O595" s="103">
        <f>HLOOKUP(VLOOKUP(E595,'Date SPV'!$B$4:$F$34,5,FALSE),'Preturi si tarife'!$C$2:$J$39,B595+2,FALSE)*10000</f>
        <v>840.99999999999989</v>
      </c>
      <c r="Q595" s="101" t="str">
        <f t="shared" si="70"/>
        <v>One-off</v>
      </c>
      <c r="R595" s="101" t="str">
        <f>VLOOKUP(K595,'Preturi si tarife'!$B$4:$K$39,10,FALSE)</f>
        <v>ICOENG0010</v>
      </c>
      <c r="T595" s="101" t="str">
        <f t="shared" si="71"/>
        <v>INV + 30</v>
      </c>
      <c r="V595" s="101" t="str">
        <f t="shared" si="72"/>
        <v>Active</v>
      </c>
      <c r="X595" s="101" t="str">
        <f t="shared" si="73"/>
        <v>One-off</v>
      </c>
      <c r="AC595" s="101" t="str">
        <f t="shared" si="76"/>
        <v>RON</v>
      </c>
      <c r="AD595" s="101">
        <f t="shared" si="77"/>
        <v>10000</v>
      </c>
    </row>
    <row r="596" spans="1:30">
      <c r="A596" s="101">
        <f t="shared" si="78"/>
        <v>17</v>
      </c>
      <c r="B596" s="101">
        <f t="shared" si="74"/>
        <v>19</v>
      </c>
      <c r="C596" s="101" t="str">
        <f t="shared" si="75"/>
        <v>T19</v>
      </c>
      <c r="D596" s="101" t="str">
        <f>IF(A596&lt;&gt;A595,VLOOKUP(A596,'Date SPV'!$A:$D,4,FALSE),D595)</f>
        <v>Mega Mall Bucuresti SRL</v>
      </c>
      <c r="E596" s="101" t="str">
        <f>VLOOKUP(A596,'Date SPV'!$A$4:$B$34,2,FALSE)</f>
        <v>RMEG</v>
      </c>
      <c r="H596" s="105" t="s">
        <v>894</v>
      </c>
      <c r="K596" s="101" t="str">
        <f>VLOOKUP(C596,'Preturi si tarife'!$A$4:$B$39,2,FALSE)</f>
        <v>Regularizare Energie activa 1</v>
      </c>
      <c r="L596" s="102">
        <f>IF(B596=1,'Date masura OD'!$I$5,IF(B596=19,'Date masura OD'!$AK$5,L595))</f>
        <v>45748</v>
      </c>
      <c r="M596" s="102">
        <f>IF(B596=1,'Date masura OD'!$J$5,IF(B596=19,'Date masura OD'!$AL$5,M595))</f>
        <v>45777</v>
      </c>
      <c r="N596" s="104">
        <f>VLOOKUP(E596,verificare!$AR$4:$CC$33,B596+2,FALSE)</f>
        <v>0</v>
      </c>
      <c r="O596" s="103">
        <f>HLOOKUP(VLOOKUP(E596,'Date SPV'!$B$4:$F$34,5,FALSE),'Preturi si tarife'!$C$2:$J$39,B596+2,FALSE)*10000</f>
        <v>5950</v>
      </c>
      <c r="Q596" s="101" t="str">
        <f t="shared" si="70"/>
        <v>One-off</v>
      </c>
      <c r="R596" s="101" t="str">
        <f>VLOOKUP(K596,'Preturi si tarife'!$B$4:$K$39,10,FALSE)</f>
        <v>ICOENG0001</v>
      </c>
      <c r="T596" s="101" t="str">
        <f t="shared" si="71"/>
        <v>INV + 30</v>
      </c>
      <c r="V596" s="101" t="str">
        <f t="shared" si="72"/>
        <v>Active</v>
      </c>
      <c r="X596" s="101" t="str">
        <f t="shared" si="73"/>
        <v>One-off</v>
      </c>
      <c r="AC596" s="101" t="str">
        <f t="shared" si="76"/>
        <v>RON</v>
      </c>
      <c r="AD596" s="101">
        <f t="shared" si="77"/>
        <v>10000</v>
      </c>
    </row>
    <row r="597" spans="1:30">
      <c r="A597" s="101">
        <f t="shared" si="78"/>
        <v>17</v>
      </c>
      <c r="B597" s="101">
        <f t="shared" si="74"/>
        <v>20</v>
      </c>
      <c r="C597" s="101" t="str">
        <f t="shared" si="75"/>
        <v>T20</v>
      </c>
      <c r="D597" s="101" t="str">
        <f>IF(A597&lt;&gt;A596,VLOOKUP(A597,'Date SPV'!$A:$D,4,FALSE),D596)</f>
        <v>Mega Mall Bucuresti SRL</v>
      </c>
      <c r="E597" s="101" t="str">
        <f>VLOOKUP(A597,'Date SPV'!$A$4:$B$34,2,FALSE)</f>
        <v>RMEG</v>
      </c>
      <c r="H597" s="105" t="s">
        <v>894</v>
      </c>
      <c r="K597" s="101" t="str">
        <f>VLOOKUP(C597,'Preturi si tarife'!$A$4:$B$39,2,FALSE)</f>
        <v>Regularizare Energie reactiva  1X</v>
      </c>
      <c r="L597" s="102">
        <f>IF(B597=1,'Date masura OD'!$I$5,IF(B597=19,'Date masura OD'!$AK$5,L596))</f>
        <v>45748</v>
      </c>
      <c r="M597" s="102">
        <f>IF(B597=1,'Date masura OD'!$J$5,IF(B597=19,'Date masura OD'!$AL$5,M596))</f>
        <v>45777</v>
      </c>
      <c r="N597" s="104">
        <f>VLOOKUP(E597,verificare!$AR$4:$CC$33,B597+2,FALSE)</f>
        <v>0</v>
      </c>
      <c r="O597" s="103">
        <f>HLOOKUP(VLOOKUP(E597,'Date SPV'!$B$4:$F$34,5,FALSE),'Preturi si tarife'!$C$2:$J$39,B597+2,FALSE)*10000</f>
        <v>1466</v>
      </c>
      <c r="Q597" s="101" t="str">
        <f t="shared" si="70"/>
        <v>One-off</v>
      </c>
      <c r="R597" s="101" t="str">
        <f>VLOOKUP(K597,'Preturi si tarife'!$B$4:$K$39,10,FALSE)</f>
        <v>ICOENG0001</v>
      </c>
      <c r="T597" s="101" t="str">
        <f t="shared" si="71"/>
        <v>INV + 30</v>
      </c>
      <c r="V597" s="101" t="str">
        <f t="shared" si="72"/>
        <v>Active</v>
      </c>
      <c r="X597" s="101" t="str">
        <f t="shared" si="73"/>
        <v>One-off</v>
      </c>
      <c r="AC597" s="101" t="str">
        <f t="shared" si="76"/>
        <v>RON</v>
      </c>
      <c r="AD597" s="101">
        <f t="shared" si="77"/>
        <v>10000</v>
      </c>
    </row>
    <row r="598" spans="1:30">
      <c r="A598" s="101">
        <f t="shared" si="78"/>
        <v>17</v>
      </c>
      <c r="B598" s="101">
        <f t="shared" si="74"/>
        <v>21</v>
      </c>
      <c r="C598" s="101" t="str">
        <f t="shared" si="75"/>
        <v>T21</v>
      </c>
      <c r="D598" s="101" t="str">
        <f>IF(A598&lt;&gt;A597,VLOOKUP(A598,'Date SPV'!$A:$D,4,FALSE),D597)</f>
        <v>Mega Mall Bucuresti SRL</v>
      </c>
      <c r="E598" s="101" t="str">
        <f>VLOOKUP(A598,'Date SPV'!$A$4:$B$34,2,FALSE)</f>
        <v>RMEG</v>
      </c>
      <c r="H598" s="105" t="s">
        <v>894</v>
      </c>
      <c r="K598" s="101" t="str">
        <f>VLOOKUP(C598,'Preturi si tarife'!$A$4:$B$39,2,FALSE)</f>
        <v>Regularizare Energie reactiva  3X</v>
      </c>
      <c r="L598" s="102">
        <f>IF(B598=1,'Date masura OD'!$I$5,IF(B598=19,'Date masura OD'!$AK$5,L597))</f>
        <v>45748</v>
      </c>
      <c r="M598" s="102">
        <f>IF(B598=1,'Date masura OD'!$J$5,IF(B598=19,'Date masura OD'!$AL$5,M597))</f>
        <v>45777</v>
      </c>
      <c r="N598" s="104">
        <f>VLOOKUP(E598,verificare!$AR$4:$CC$33,B598+2,FALSE)</f>
        <v>0</v>
      </c>
      <c r="O598" s="103">
        <f>HLOOKUP(VLOOKUP(E598,'Date SPV'!$B$4:$F$34,5,FALSE),'Preturi si tarife'!$C$2:$J$39,B598+2,FALSE)*10000</f>
        <v>4398</v>
      </c>
      <c r="Q598" s="101" t="str">
        <f t="shared" si="70"/>
        <v>One-off</v>
      </c>
      <c r="R598" s="101" t="str">
        <f>VLOOKUP(K598,'Preturi si tarife'!$B$4:$K$39,10,FALSE)</f>
        <v>ICOENG0001</v>
      </c>
      <c r="T598" s="101" t="str">
        <f t="shared" si="71"/>
        <v>INV + 30</v>
      </c>
      <c r="V598" s="101" t="str">
        <f t="shared" si="72"/>
        <v>Active</v>
      </c>
      <c r="X598" s="101" t="str">
        <f t="shared" si="73"/>
        <v>One-off</v>
      </c>
      <c r="AC598" s="101" t="str">
        <f t="shared" si="76"/>
        <v>RON</v>
      </c>
      <c r="AD598" s="101">
        <f t="shared" si="77"/>
        <v>10000</v>
      </c>
    </row>
    <row r="599" spans="1:30">
      <c r="A599" s="101">
        <f t="shared" si="78"/>
        <v>17</v>
      </c>
      <c r="B599" s="101">
        <f t="shared" si="74"/>
        <v>22</v>
      </c>
      <c r="C599" s="101" t="str">
        <f t="shared" si="75"/>
        <v>T22</v>
      </c>
      <c r="D599" s="101" t="str">
        <f>IF(A599&lt;&gt;A598,VLOOKUP(A599,'Date SPV'!$A:$D,4,FALSE),D598)</f>
        <v>Mega Mall Bucuresti SRL</v>
      </c>
      <c r="E599" s="101" t="str">
        <f>VLOOKUP(A599,'Date SPV'!$A$4:$B$34,2,FALSE)</f>
        <v>RMEG</v>
      </c>
      <c r="H599" s="105" t="s">
        <v>894</v>
      </c>
      <c r="K599" s="101" t="str">
        <f>VLOOKUP(C599,'Preturi si tarife'!$A$4:$B$39,2,FALSE)</f>
        <v>Regularizare Tarife distributie en. El IT+MT</v>
      </c>
      <c r="L599" s="102">
        <f>IF(B599=1,'Date masura OD'!$I$5,IF(B599=19,'Date masura OD'!$AK$5,L598))</f>
        <v>45748</v>
      </c>
      <c r="M599" s="102">
        <f>IF(B599=1,'Date masura OD'!$J$5,IF(B599=19,'Date masura OD'!$AL$5,M598))</f>
        <v>45777</v>
      </c>
      <c r="N599" s="104">
        <f>VLOOKUP(E599,verificare!$AR$4:$CC$33,B599+2,FALSE)</f>
        <v>0</v>
      </c>
      <c r="O599" s="103">
        <f>HLOOKUP(VLOOKUP(E599,'Date SPV'!$B$4:$F$34,5,FALSE),'Preturi si tarife'!$C$2:$J$39,B599+2,FALSE)*10000</f>
        <v>861.80000000000007</v>
      </c>
      <c r="Q599" s="101" t="str">
        <f t="shared" si="70"/>
        <v>One-off</v>
      </c>
      <c r="R599" s="101" t="str">
        <f>VLOOKUP(K599,'Preturi si tarife'!$B$4:$K$39,10,FALSE)</f>
        <v>ICOENG0001</v>
      </c>
      <c r="T599" s="101" t="str">
        <f t="shared" si="71"/>
        <v>INV + 30</v>
      </c>
      <c r="V599" s="101" t="str">
        <f t="shared" si="72"/>
        <v>Active</v>
      </c>
      <c r="X599" s="101" t="str">
        <f t="shared" si="73"/>
        <v>One-off</v>
      </c>
      <c r="AC599" s="101" t="str">
        <f t="shared" si="76"/>
        <v>RON</v>
      </c>
      <c r="AD599" s="101">
        <f t="shared" si="77"/>
        <v>10000</v>
      </c>
    </row>
    <row r="600" spans="1:30">
      <c r="A600" s="101">
        <f t="shared" si="78"/>
        <v>17</v>
      </c>
      <c r="B600" s="101">
        <f t="shared" si="74"/>
        <v>23</v>
      </c>
      <c r="C600" s="101" t="str">
        <f t="shared" si="75"/>
        <v>T23</v>
      </c>
      <c r="D600" s="101" t="str">
        <f>IF(A600&lt;&gt;A599,VLOOKUP(A600,'Date SPV'!$A:$D,4,FALSE),D599)</f>
        <v>Mega Mall Bucuresti SRL</v>
      </c>
      <c r="E600" s="101" t="str">
        <f>VLOOKUP(A600,'Date SPV'!$A$4:$B$34,2,FALSE)</f>
        <v>RMEG</v>
      </c>
      <c r="H600" s="105" t="s">
        <v>894</v>
      </c>
      <c r="K600" s="101" t="str">
        <f>VLOOKUP(C600,'Preturi si tarife'!$A$4:$B$39,2,FALSE)</f>
        <v>Regularizare Tarife distributie en. El JT</v>
      </c>
      <c r="L600" s="102">
        <f>IF(B600=1,'Date masura OD'!$I$5,IF(B600=19,'Date masura OD'!$AK$5,L599))</f>
        <v>45748</v>
      </c>
      <c r="M600" s="102">
        <f>IF(B600=1,'Date masura OD'!$J$5,IF(B600=19,'Date masura OD'!$AL$5,M599))</f>
        <v>45777</v>
      </c>
      <c r="N600" s="104">
        <f>VLOOKUP(E600,verificare!$AR$4:$CC$33,B600+2,FALSE)</f>
        <v>0</v>
      </c>
      <c r="O600" s="103">
        <f>HLOOKUP(VLOOKUP(E600,'Date SPV'!$B$4:$F$34,5,FALSE),'Preturi si tarife'!$C$2:$J$39,B600+2,FALSE)*10000</f>
        <v>2079</v>
      </c>
      <c r="Q600" s="101" t="str">
        <f t="shared" si="70"/>
        <v>One-off</v>
      </c>
      <c r="R600" s="101" t="str">
        <f>VLOOKUP(K600,'Preturi si tarife'!$B$4:$K$39,10,FALSE)</f>
        <v>ICOENG0001</v>
      </c>
      <c r="T600" s="101" t="str">
        <f t="shared" si="71"/>
        <v>INV + 30</v>
      </c>
      <c r="V600" s="101" t="str">
        <f t="shared" si="72"/>
        <v>Active</v>
      </c>
      <c r="X600" s="101" t="str">
        <f t="shared" si="73"/>
        <v>One-off</v>
      </c>
      <c r="AC600" s="101" t="str">
        <f t="shared" si="76"/>
        <v>RON</v>
      </c>
      <c r="AD600" s="101">
        <f t="shared" si="77"/>
        <v>10000</v>
      </c>
    </row>
    <row r="601" spans="1:30">
      <c r="A601" s="101">
        <f t="shared" si="78"/>
        <v>17</v>
      </c>
      <c r="B601" s="101">
        <f t="shared" si="74"/>
        <v>24</v>
      </c>
      <c r="C601" s="101" t="str">
        <f t="shared" si="75"/>
        <v>T24</v>
      </c>
      <c r="D601" s="101" t="str">
        <f>IF(A601&lt;&gt;A600,VLOOKUP(A601,'Date SPV'!$A:$D,4,FALSE),D600)</f>
        <v>Mega Mall Bucuresti SRL</v>
      </c>
      <c r="E601" s="101" t="str">
        <f>VLOOKUP(A601,'Date SPV'!$A$4:$B$34,2,FALSE)</f>
        <v>RMEG</v>
      </c>
      <c r="H601" s="105" t="s">
        <v>894</v>
      </c>
      <c r="K601" s="101" t="str">
        <f>VLOOKUP(C601,'Preturi si tarife'!$A$4:$B$39,2,FALSE)</f>
        <v xml:space="preserve">Regularizare Servicii Sistem </v>
      </c>
      <c r="L601" s="102">
        <f>IF(B601=1,'Date masura OD'!$I$5,IF(B601=19,'Date masura OD'!$AK$5,L600))</f>
        <v>45748</v>
      </c>
      <c r="M601" s="102">
        <f>IF(B601=1,'Date masura OD'!$J$5,IF(B601=19,'Date masura OD'!$AL$5,M600))</f>
        <v>45777</v>
      </c>
      <c r="N601" s="104">
        <f>VLOOKUP(E601,verificare!$AR$4:$CC$33,B601+2,FALSE)</f>
        <v>0</v>
      </c>
      <c r="O601" s="103">
        <f>HLOOKUP(VLOOKUP(E601,'Date SPV'!$B$4:$F$34,5,FALSE),'Preturi si tarife'!$C$2:$J$39,B601+2,FALSE)*10000</f>
        <v>115.1</v>
      </c>
      <c r="Q601" s="101" t="str">
        <f t="shared" si="70"/>
        <v>One-off</v>
      </c>
      <c r="R601" s="101" t="str">
        <f>VLOOKUP(K601,'Preturi si tarife'!$B$4:$K$39,10,FALSE)</f>
        <v>ICOENG0001</v>
      </c>
      <c r="T601" s="101" t="str">
        <f t="shared" si="71"/>
        <v>INV + 30</v>
      </c>
      <c r="V601" s="101" t="str">
        <f t="shared" si="72"/>
        <v>Active</v>
      </c>
      <c r="X601" s="101" t="str">
        <f t="shared" si="73"/>
        <v>One-off</v>
      </c>
      <c r="AC601" s="101" t="str">
        <f t="shared" si="76"/>
        <v>RON</v>
      </c>
      <c r="AD601" s="101">
        <f t="shared" si="77"/>
        <v>10000</v>
      </c>
    </row>
    <row r="602" spans="1:30">
      <c r="A602" s="101">
        <f t="shared" si="78"/>
        <v>17</v>
      </c>
      <c r="B602" s="101">
        <f t="shared" si="74"/>
        <v>25</v>
      </c>
      <c r="C602" s="101" t="str">
        <f t="shared" si="75"/>
        <v>T25</v>
      </c>
      <c r="D602" s="101" t="str">
        <f>IF(A602&lt;&gt;A601,VLOOKUP(A602,'Date SPV'!$A:$D,4,FALSE),D601)</f>
        <v>Mega Mall Bucuresti SRL</v>
      </c>
      <c r="E602" s="101" t="str">
        <f>VLOOKUP(A602,'Date SPV'!$A$4:$B$34,2,FALSE)</f>
        <v>RMEG</v>
      </c>
      <c r="H602" s="105" t="s">
        <v>894</v>
      </c>
      <c r="K602" s="101" t="str">
        <f>VLOOKUP(C602,'Preturi si tarife'!$A$4:$B$39,2,FALSE)</f>
        <v>Regularizare Tarif de introducere en. el in retea (TL)</v>
      </c>
      <c r="L602" s="102">
        <f>IF(B602=1,'Date masura OD'!$I$5,IF(B602=19,'Date masura OD'!$AK$5,L601))</f>
        <v>45748</v>
      </c>
      <c r="M602" s="102">
        <f>IF(B602=1,'Date masura OD'!$J$5,IF(B602=19,'Date masura OD'!$AL$5,M601))</f>
        <v>45777</v>
      </c>
      <c r="N602" s="104">
        <f>VLOOKUP(E602,verificare!$AR$4:$CC$33,B602+2,FALSE)</f>
        <v>0</v>
      </c>
      <c r="O602" s="103">
        <f>HLOOKUP(VLOOKUP(E602,'Date SPV'!$B$4:$F$34,5,FALSE),'Preturi si tarife'!$C$2:$J$39,B602+2,FALSE)*10000</f>
        <v>330.3</v>
      </c>
      <c r="Q602" s="101" t="str">
        <f t="shared" si="70"/>
        <v>One-off</v>
      </c>
      <c r="R602" s="101" t="str">
        <f>VLOOKUP(K602,'Preturi si tarife'!$B$4:$K$39,10,FALSE)</f>
        <v>ICOENG0001</v>
      </c>
      <c r="T602" s="101" t="str">
        <f t="shared" si="71"/>
        <v>INV + 30</v>
      </c>
      <c r="V602" s="101" t="str">
        <f t="shared" si="72"/>
        <v>Active</v>
      </c>
      <c r="X602" s="101" t="str">
        <f t="shared" si="73"/>
        <v>One-off</v>
      </c>
      <c r="AC602" s="101" t="str">
        <f t="shared" si="76"/>
        <v>RON</v>
      </c>
      <c r="AD602" s="101">
        <f t="shared" si="77"/>
        <v>10000</v>
      </c>
    </row>
    <row r="603" spans="1:30">
      <c r="A603" s="101">
        <f t="shared" si="78"/>
        <v>17</v>
      </c>
      <c r="B603" s="101">
        <f t="shared" si="74"/>
        <v>26</v>
      </c>
      <c r="C603" s="101" t="str">
        <f t="shared" si="75"/>
        <v>T26</v>
      </c>
      <c r="D603" s="101" t="str">
        <f>IF(A603&lt;&gt;A602,VLOOKUP(A603,'Date SPV'!$A:$D,4,FALSE),D602)</f>
        <v>Mega Mall Bucuresti SRL</v>
      </c>
      <c r="E603" s="101" t="str">
        <f>VLOOKUP(A603,'Date SPV'!$A$4:$B$34,2,FALSE)</f>
        <v>RMEG</v>
      </c>
      <c r="H603" s="105" t="s">
        <v>894</v>
      </c>
      <c r="K603" s="101" t="str">
        <f>VLOOKUP(C603,'Preturi si tarife'!$A$4:$B$39,2,FALSE)</f>
        <v>Regularizare Tarif de introducere en.el in retea (TG)</v>
      </c>
      <c r="L603" s="102">
        <f>IF(B603=1,'Date masura OD'!$I$5,IF(B603=19,'Date masura OD'!$AK$5,L602))</f>
        <v>45748</v>
      </c>
      <c r="M603" s="102">
        <f>IF(B603=1,'Date masura OD'!$J$5,IF(B603=19,'Date masura OD'!$AL$5,M602))</f>
        <v>45777</v>
      </c>
      <c r="N603" s="104">
        <f>VLOOKUP(E603,verificare!$AR$4:$CC$33,B603+2,FALSE)</f>
        <v>0</v>
      </c>
      <c r="O603" s="103">
        <f>HLOOKUP(VLOOKUP(E603,'Date SPV'!$B$4:$F$34,5,FALSE),'Preturi si tarife'!$C$2:$J$39,B603+2,FALSE)*10000</f>
        <v>32.9</v>
      </c>
      <c r="Q603" s="101" t="str">
        <f t="shared" si="70"/>
        <v>One-off</v>
      </c>
      <c r="R603" s="101" t="str">
        <f>VLOOKUP(K603,'Preturi si tarife'!$B$4:$K$39,10,FALSE)</f>
        <v>ICOENG0001</v>
      </c>
      <c r="T603" s="101" t="str">
        <f t="shared" si="71"/>
        <v>INV + 30</v>
      </c>
      <c r="V603" s="101" t="str">
        <f t="shared" si="72"/>
        <v>Active</v>
      </c>
      <c r="X603" s="101" t="str">
        <f t="shared" si="73"/>
        <v>One-off</v>
      </c>
      <c r="AC603" s="101" t="str">
        <f t="shared" si="76"/>
        <v>RON</v>
      </c>
      <c r="AD603" s="101">
        <f t="shared" si="77"/>
        <v>10000</v>
      </c>
    </row>
    <row r="604" spans="1:30">
      <c r="A604" s="101">
        <f t="shared" si="78"/>
        <v>17</v>
      </c>
      <c r="B604" s="101">
        <f t="shared" si="74"/>
        <v>27</v>
      </c>
      <c r="C604" s="101" t="str">
        <f t="shared" si="75"/>
        <v>T27</v>
      </c>
      <c r="D604" s="101" t="str">
        <f>IF(A604&lt;&gt;A603,VLOOKUP(A604,'Date SPV'!$A:$D,4,FALSE),D603)</f>
        <v>Mega Mall Bucuresti SRL</v>
      </c>
      <c r="E604" s="101" t="str">
        <f>VLOOKUP(A604,'Date SPV'!$A$4:$B$34,2,FALSE)</f>
        <v>RMEG</v>
      </c>
      <c r="H604" s="105" t="s">
        <v>894</v>
      </c>
      <c r="K604" s="101" t="str">
        <f>VLOOKUP(C604,'Preturi si tarife'!$A$4:$B$39,2,FALSE)</f>
        <v>Regularizare Contributie pentru cogenerare</v>
      </c>
      <c r="L604" s="102">
        <f>IF(B604=1,'Date masura OD'!$I$5,IF(B604=19,'Date masura OD'!$AK$5,L603))</f>
        <v>45748</v>
      </c>
      <c r="M604" s="102">
        <f>IF(B604=1,'Date masura OD'!$J$5,IF(B604=19,'Date masura OD'!$AL$5,M603))</f>
        <v>45777</v>
      </c>
      <c r="N604" s="104">
        <f>VLOOKUP(E604,verificare!$AR$4:$CC$33,B604+2,FALSE)</f>
        <v>0</v>
      </c>
      <c r="O604" s="103">
        <f>HLOOKUP(VLOOKUP(E604,'Date SPV'!$B$4:$F$34,5,FALSE),'Preturi si tarife'!$C$2:$J$39,B604+2,FALSE)*10000</f>
        <v>35</v>
      </c>
      <c r="Q604" s="101" t="str">
        <f t="shared" si="70"/>
        <v>One-off</v>
      </c>
      <c r="R604" s="101" t="str">
        <f>VLOOKUP(K604,'Preturi si tarife'!$B$4:$K$39,10,FALSE)</f>
        <v>ICOENG0001</v>
      </c>
      <c r="T604" s="101" t="str">
        <f t="shared" si="71"/>
        <v>INV + 30</v>
      </c>
      <c r="V604" s="101" t="str">
        <f t="shared" si="72"/>
        <v>Active</v>
      </c>
      <c r="X604" s="101" t="str">
        <f t="shared" si="73"/>
        <v>One-off</v>
      </c>
      <c r="AC604" s="101" t="str">
        <f t="shared" si="76"/>
        <v>RON</v>
      </c>
      <c r="AD604" s="101">
        <f t="shared" si="77"/>
        <v>10000</v>
      </c>
    </row>
    <row r="605" spans="1:30">
      <c r="A605" s="101">
        <f t="shared" si="78"/>
        <v>17</v>
      </c>
      <c r="B605" s="101">
        <f t="shared" si="74"/>
        <v>28</v>
      </c>
      <c r="C605" s="101" t="str">
        <f t="shared" si="75"/>
        <v>T28</v>
      </c>
      <c r="D605" s="101" t="str">
        <f>IF(A605&lt;&gt;A604,VLOOKUP(A605,'Date SPV'!$A:$D,4,FALSE),D604)</f>
        <v>Mega Mall Bucuresti SRL</v>
      </c>
      <c r="E605" s="101" t="str">
        <f>VLOOKUP(A605,'Date SPV'!$A$4:$B$34,2,FALSE)</f>
        <v>RMEG</v>
      </c>
      <c r="H605" s="105" t="s">
        <v>894</v>
      </c>
      <c r="K605" s="101" t="str">
        <f>VLOOKUP(C605,'Preturi si tarife'!$A$4:$B$39,2,FALSE)</f>
        <v xml:space="preserve">Regularizare Certificate verzi </v>
      </c>
      <c r="L605" s="102">
        <f>IF(B605=1,'Date masura OD'!$I$5,IF(B605=19,'Date masura OD'!$AK$5,L604))</f>
        <v>45748</v>
      </c>
      <c r="M605" s="102">
        <f>IF(B605=1,'Date masura OD'!$J$5,IF(B605=19,'Date masura OD'!$AL$5,M604))</f>
        <v>45777</v>
      </c>
      <c r="N605" s="104">
        <f>VLOOKUP(E605,verificare!$AR$4:$CC$33,B605+2,FALSE)</f>
        <v>0</v>
      </c>
      <c r="O605" s="103">
        <f>HLOOKUP(VLOOKUP(E605,'Date SPV'!$B$4:$F$34,5,FALSE),'Preturi si tarife'!$C$2:$J$39,B605+2,FALSE)*10000</f>
        <v>725.41599999999994</v>
      </c>
      <c r="Q605" s="101" t="str">
        <f t="shared" si="70"/>
        <v>One-off</v>
      </c>
      <c r="R605" s="101" t="str">
        <f>VLOOKUP(K605,'Preturi si tarife'!$B$4:$K$39,10,FALSE)</f>
        <v>ICOENG0001</v>
      </c>
      <c r="T605" s="101" t="str">
        <f t="shared" si="71"/>
        <v>INV + 30</v>
      </c>
      <c r="V605" s="101" t="str">
        <f t="shared" si="72"/>
        <v>Active</v>
      </c>
      <c r="X605" s="101" t="str">
        <f t="shared" si="73"/>
        <v>One-off</v>
      </c>
      <c r="AC605" s="101" t="str">
        <f t="shared" si="76"/>
        <v>RON</v>
      </c>
      <c r="AD605" s="101">
        <f t="shared" si="77"/>
        <v>10000</v>
      </c>
    </row>
    <row r="606" spans="1:30">
      <c r="A606" s="101">
        <f t="shared" si="78"/>
        <v>17</v>
      </c>
      <c r="B606" s="101">
        <f t="shared" si="74"/>
        <v>29</v>
      </c>
      <c r="C606" s="101" t="str">
        <f t="shared" si="75"/>
        <v>T29</v>
      </c>
      <c r="D606" s="101" t="str">
        <f>IF(A606&lt;&gt;A605,VLOOKUP(A606,'Date SPV'!$A:$D,4,FALSE),D605)</f>
        <v>Mega Mall Bucuresti SRL</v>
      </c>
      <c r="E606" s="101" t="str">
        <f>VLOOKUP(A606,'Date SPV'!$A$4:$B$34,2,FALSE)</f>
        <v>RMEG</v>
      </c>
      <c r="H606" s="105" t="s">
        <v>894</v>
      </c>
      <c r="K606" s="101" t="str">
        <f>VLOOKUP(C606,'Preturi si tarife'!$A$4:$B$39,2,FALSE)</f>
        <v>Regularizare Contributie CFD</v>
      </c>
      <c r="L606" s="102">
        <f>IF(B606=1,'Date masura OD'!$I$5,IF(B606=19,'Date masura OD'!$AK$5,L605))</f>
        <v>45748</v>
      </c>
      <c r="M606" s="102">
        <f>IF(B606=1,'Date masura OD'!$J$5,IF(B606=19,'Date masura OD'!$AL$5,M605))</f>
        <v>45777</v>
      </c>
      <c r="N606" s="104">
        <f>VLOOKUP(E606,verificare!$AR$4:$CC$33,B606+2,FALSE)</f>
        <v>0</v>
      </c>
      <c r="O606" s="103">
        <f>HLOOKUP(VLOOKUP(E606,'Date SPV'!$B$4:$F$34,5,FALSE),'Preturi si tarife'!$C$2:$J$39,B606+2,FALSE)*10000</f>
        <v>2.06</v>
      </c>
      <c r="Q606" s="101" t="str">
        <f t="shared" si="70"/>
        <v>One-off</v>
      </c>
      <c r="R606" s="101" t="str">
        <f>VLOOKUP(K606,'Preturi si tarife'!$B$4:$K$39,10,FALSE)</f>
        <v>ICOENG0001</v>
      </c>
      <c r="T606" s="101" t="str">
        <f t="shared" si="71"/>
        <v>INV + 30</v>
      </c>
      <c r="V606" s="101" t="str">
        <f t="shared" si="72"/>
        <v>Active</v>
      </c>
      <c r="X606" s="101" t="str">
        <f t="shared" si="73"/>
        <v>One-off</v>
      </c>
      <c r="AC606" s="101" t="str">
        <f t="shared" si="76"/>
        <v>RON</v>
      </c>
      <c r="AD606" s="101">
        <f t="shared" si="77"/>
        <v>10000</v>
      </c>
    </row>
    <row r="607" spans="1:30">
      <c r="A607" s="101">
        <f t="shared" si="78"/>
        <v>17</v>
      </c>
      <c r="B607" s="101">
        <f t="shared" si="74"/>
        <v>30</v>
      </c>
      <c r="C607" s="101" t="str">
        <f t="shared" si="75"/>
        <v>T30</v>
      </c>
      <c r="D607" s="101" t="str">
        <f>IF(A607&lt;&gt;A606,VLOOKUP(A607,'Date SPV'!$A:$D,4,FALSE),D606)</f>
        <v>Mega Mall Bucuresti SRL</v>
      </c>
      <c r="E607" s="101" t="str">
        <f>VLOOKUP(A607,'Date SPV'!$A$4:$B$34,2,FALSE)</f>
        <v>RMEG</v>
      </c>
      <c r="H607" s="105" t="s">
        <v>894</v>
      </c>
      <c r="K607" s="101" t="str">
        <f>VLOOKUP(C607,'Preturi si tarife'!$A$4:$B$39,2,FALSE)</f>
        <v>Regularizare Acciza</v>
      </c>
      <c r="L607" s="102">
        <f>IF(B607=1,'Date masura OD'!$I$5,IF(B607=19,'Date masura OD'!$AK$5,L606))</f>
        <v>45748</v>
      </c>
      <c r="M607" s="102">
        <f>IF(B607=1,'Date masura OD'!$J$5,IF(B607=19,'Date masura OD'!$AL$5,M606))</f>
        <v>45777</v>
      </c>
      <c r="N607" s="104">
        <f>VLOOKUP(E607,verificare!$AR$4:$CC$33,B607+2,FALSE)</f>
        <v>0</v>
      </c>
      <c r="O607" s="103">
        <f>HLOOKUP(VLOOKUP(E607,'Date SPV'!$B$4:$F$34,5,FALSE),'Preturi si tarife'!$C$2:$J$39,B607+2,FALSE)*10000</f>
        <v>0</v>
      </c>
      <c r="Q607" s="101" t="str">
        <f t="shared" si="70"/>
        <v>One-off</v>
      </c>
      <c r="R607" s="101" t="str">
        <f>VLOOKUP(K607,'Preturi si tarife'!$B$4:$K$39,10,FALSE)</f>
        <v>ICOENG0001</v>
      </c>
      <c r="T607" s="101" t="str">
        <f t="shared" si="71"/>
        <v>INV + 30</v>
      </c>
      <c r="V607" s="101" t="str">
        <f t="shared" si="72"/>
        <v>Active</v>
      </c>
      <c r="X607" s="101" t="str">
        <f t="shared" si="73"/>
        <v>One-off</v>
      </c>
      <c r="AC607" s="101" t="str">
        <f t="shared" si="76"/>
        <v>RON</v>
      </c>
      <c r="AD607" s="101">
        <f t="shared" si="77"/>
        <v>10000</v>
      </c>
    </row>
    <row r="608" spans="1:30">
      <c r="A608" s="101">
        <f t="shared" si="78"/>
        <v>17</v>
      </c>
      <c r="B608" s="101">
        <f t="shared" si="74"/>
        <v>31</v>
      </c>
      <c r="C608" s="101" t="str">
        <f t="shared" si="75"/>
        <v>T31</v>
      </c>
      <c r="D608" s="101" t="str">
        <f>IF(A608&lt;&gt;A607,VLOOKUP(A608,'Date SPV'!$A:$D,4,FALSE),D607)</f>
        <v>Mega Mall Bucuresti SRL</v>
      </c>
      <c r="E608" s="101" t="str">
        <f>VLOOKUP(A608,'Date SPV'!$A$4:$B$34,2,FALSE)</f>
        <v>RMEG</v>
      </c>
      <c r="H608" s="105" t="s">
        <v>894</v>
      </c>
      <c r="K608" s="101" t="str">
        <f>VLOOKUP(C608,'Preturi si tarife'!$A$4:$B$39,2,FALSE)</f>
        <v>Regularizare Tarif distributie SDI MT Ea1</v>
      </c>
      <c r="L608" s="102">
        <f>IF(B608=1,'Date masura OD'!$I$5,IF(B608=19,'Date masura OD'!$AK$5,L607))</f>
        <v>45748</v>
      </c>
      <c r="M608" s="102">
        <f>IF(B608=1,'Date masura OD'!$J$5,IF(B608=19,'Date masura OD'!$AL$5,M607))</f>
        <v>45777</v>
      </c>
      <c r="N608" s="104">
        <f>VLOOKUP(E608,verificare!$AR$4:$CC$33,B608+2,FALSE)</f>
        <v>0</v>
      </c>
      <c r="O608" s="103">
        <f>HLOOKUP(VLOOKUP(E608,'Date SPV'!$B$4:$F$34,5,FALSE),'Preturi si tarife'!$C$2:$J$39,B608+2,FALSE)*10000</f>
        <v>113.00000000000001</v>
      </c>
      <c r="Q608" s="101" t="str">
        <f t="shared" si="70"/>
        <v>One-off</v>
      </c>
      <c r="R608" s="101" t="str">
        <f>VLOOKUP(K608,'Preturi si tarife'!$B$4:$K$39,10,FALSE)</f>
        <v>ICOENG0010</v>
      </c>
      <c r="T608" s="101" t="str">
        <f t="shared" si="71"/>
        <v>INV + 30</v>
      </c>
      <c r="V608" s="101" t="str">
        <f t="shared" si="72"/>
        <v>Active</v>
      </c>
      <c r="X608" s="101" t="str">
        <f t="shared" si="73"/>
        <v>One-off</v>
      </c>
      <c r="AC608" s="101" t="str">
        <f t="shared" si="76"/>
        <v>RON</v>
      </c>
      <c r="AD608" s="101">
        <f t="shared" si="77"/>
        <v>10000</v>
      </c>
    </row>
    <row r="609" spans="1:30">
      <c r="A609" s="101">
        <f t="shared" si="78"/>
        <v>17</v>
      </c>
      <c r="B609" s="101">
        <f t="shared" si="74"/>
        <v>32</v>
      </c>
      <c r="C609" s="101" t="str">
        <f t="shared" si="75"/>
        <v>T32</v>
      </c>
      <c r="D609" s="101" t="str">
        <f>IF(A609&lt;&gt;A608,VLOOKUP(A609,'Date SPV'!$A:$D,4,FALSE),D608)</f>
        <v>Mega Mall Bucuresti SRL</v>
      </c>
      <c r="E609" s="101" t="str">
        <f>VLOOKUP(A609,'Date SPV'!$A$4:$B$34,2,FALSE)</f>
        <v>RMEG</v>
      </c>
      <c r="H609" s="105" t="s">
        <v>894</v>
      </c>
      <c r="K609" s="101" t="str">
        <f>VLOOKUP(C609,'Preturi si tarife'!$A$4:$B$39,2,FALSE)</f>
        <v>Regularizare Tarif distributie SDI JT Ea1</v>
      </c>
      <c r="L609" s="102">
        <f>IF(B609=1,'Date masura OD'!$I$5,IF(B609=19,'Date masura OD'!$AK$5,L608))</f>
        <v>45748</v>
      </c>
      <c r="M609" s="102">
        <f>IF(B609=1,'Date masura OD'!$J$5,IF(B609=19,'Date masura OD'!$AL$5,M608))</f>
        <v>45777</v>
      </c>
      <c r="N609" s="104">
        <f>VLOOKUP(E609,verificare!$AR$4:$CC$33,B609+2,FALSE)</f>
        <v>0</v>
      </c>
      <c r="O609" s="103">
        <f>HLOOKUP(VLOOKUP(E609,'Date SPV'!$B$4:$F$34,5,FALSE),'Preturi si tarife'!$C$2:$J$39,B609+2,FALSE)*10000</f>
        <v>840.99999999999989</v>
      </c>
      <c r="Q609" s="101" t="str">
        <f t="shared" si="70"/>
        <v>One-off</v>
      </c>
      <c r="R609" s="101" t="str">
        <f>VLOOKUP(K609,'Preturi si tarife'!$B$4:$K$39,10,FALSE)</f>
        <v>ICOENG0010</v>
      </c>
      <c r="T609" s="101" t="str">
        <f t="shared" si="71"/>
        <v>INV + 30</v>
      </c>
      <c r="V609" s="101" t="str">
        <f t="shared" si="72"/>
        <v>Active</v>
      </c>
      <c r="X609" s="101" t="str">
        <f t="shared" si="73"/>
        <v>One-off</v>
      </c>
      <c r="AC609" s="101" t="str">
        <f t="shared" si="76"/>
        <v>RON</v>
      </c>
      <c r="AD609" s="101">
        <f t="shared" si="77"/>
        <v>10000</v>
      </c>
    </row>
    <row r="610" spans="1:30">
      <c r="A610" s="101">
        <f t="shared" si="78"/>
        <v>17</v>
      </c>
      <c r="B610" s="101">
        <f t="shared" si="74"/>
        <v>33</v>
      </c>
      <c r="C610" s="101" t="str">
        <f t="shared" si="75"/>
        <v>T33</v>
      </c>
      <c r="D610" s="101" t="str">
        <f>IF(A610&lt;&gt;A609,VLOOKUP(A610,'Date SPV'!$A:$D,4,FALSE),D609)</f>
        <v>Mega Mall Bucuresti SRL</v>
      </c>
      <c r="E610" s="101" t="str">
        <f>VLOOKUP(A610,'Date SPV'!$A$4:$B$34,2,FALSE)</f>
        <v>RMEG</v>
      </c>
      <c r="H610" s="105" t="s">
        <v>894</v>
      </c>
      <c r="K610" s="101" t="str">
        <f>VLOOKUP(C610,'Preturi si tarife'!$A$4:$B$39,2,FALSE)</f>
        <v>Regularizare Energie activa 2</v>
      </c>
      <c r="L610" s="102">
        <f>IF(B610=1,'Date masura OD'!$I$5,IF(B610=19,'Date masura OD'!$AK$5,L609))</f>
        <v>45748</v>
      </c>
      <c r="M610" s="102">
        <f>IF(B610=1,'Date masura OD'!$J$5,IF(B610=19,'Date masura OD'!$AL$5,M609))</f>
        <v>45777</v>
      </c>
      <c r="N610" s="104">
        <f>VLOOKUP(E610,verificare!$AR$4:$CC$33,B610+2,FALSE)</f>
        <v>0</v>
      </c>
      <c r="O610" s="103">
        <f>HLOOKUP(VLOOKUP(E610,'Date SPV'!$B$4:$F$34,5,FALSE),'Preturi si tarife'!$C$2:$J$39,B610+2,FALSE)*10000</f>
        <v>9006.5760000000009</v>
      </c>
      <c r="Q610" s="101" t="str">
        <f t="shared" si="70"/>
        <v>One-off</v>
      </c>
      <c r="R610" s="101" t="str">
        <f>VLOOKUP(K610,'Preturi si tarife'!$B$4:$K$39,10,FALSE)</f>
        <v>ICOENG0012</v>
      </c>
      <c r="T610" s="101" t="str">
        <f t="shared" si="71"/>
        <v>INV + 30</v>
      </c>
      <c r="V610" s="101" t="str">
        <f t="shared" si="72"/>
        <v>Active</v>
      </c>
      <c r="X610" s="101" t="str">
        <f t="shared" si="73"/>
        <v>One-off</v>
      </c>
      <c r="AC610" s="101" t="str">
        <f t="shared" si="76"/>
        <v>RON</v>
      </c>
      <c r="AD610" s="101">
        <f t="shared" si="77"/>
        <v>10000</v>
      </c>
    </row>
    <row r="611" spans="1:30">
      <c r="A611" s="101">
        <f t="shared" si="78"/>
        <v>17</v>
      </c>
      <c r="B611" s="101">
        <f t="shared" si="74"/>
        <v>34</v>
      </c>
      <c r="C611" s="101" t="str">
        <f t="shared" si="75"/>
        <v>T34</v>
      </c>
      <c r="D611" s="101" t="str">
        <f>IF(A611&lt;&gt;A610,VLOOKUP(A611,'Date SPV'!$A:$D,4,FALSE),D610)</f>
        <v>Mega Mall Bucuresti SRL</v>
      </c>
      <c r="E611" s="101" t="str">
        <f>VLOOKUP(A611,'Date SPV'!$A$4:$B$34,2,FALSE)</f>
        <v>RMEG</v>
      </c>
      <c r="H611" s="105" t="s">
        <v>894</v>
      </c>
      <c r="K611" s="101" t="str">
        <f>VLOOKUP(C611,'Preturi si tarife'!$A$4:$B$39,2,FALSE)</f>
        <v>Regularizare Energie activa 3</v>
      </c>
      <c r="L611" s="102">
        <f>IF(B611=1,'Date masura OD'!$I$5,IF(B611=19,'Date masura OD'!$AK$5,L610))</f>
        <v>45748</v>
      </c>
      <c r="M611" s="102">
        <f>IF(B611=1,'Date masura OD'!$J$5,IF(B611=19,'Date masura OD'!$AL$5,M610))</f>
        <v>45777</v>
      </c>
      <c r="N611" s="104">
        <f>VLOOKUP(E611,verificare!$AR$4:$CC$33,B611+2,FALSE)</f>
        <v>0</v>
      </c>
      <c r="O611" s="103">
        <f>HLOOKUP(VLOOKUP(E611,'Date SPV'!$B$4:$F$34,5,FALSE),'Preturi si tarife'!$C$2:$J$39,B611+2,FALSE)*10000</f>
        <v>8052.576</v>
      </c>
      <c r="Q611" s="101" t="str">
        <f t="shared" si="70"/>
        <v>One-off</v>
      </c>
      <c r="R611" s="101" t="str">
        <f>VLOOKUP(K611,'Preturi si tarife'!$B$4:$K$39,10,FALSE)</f>
        <v>ICOENG0012</v>
      </c>
      <c r="T611" s="101" t="str">
        <f t="shared" si="71"/>
        <v>INV + 30</v>
      </c>
      <c r="V611" s="101" t="str">
        <f t="shared" si="72"/>
        <v>Active</v>
      </c>
      <c r="X611" s="101" t="str">
        <f t="shared" si="73"/>
        <v>One-off</v>
      </c>
      <c r="AC611" s="101" t="str">
        <f t="shared" si="76"/>
        <v>RON</v>
      </c>
      <c r="AD611" s="101">
        <f t="shared" si="77"/>
        <v>10000</v>
      </c>
    </row>
    <row r="612" spans="1:30">
      <c r="A612" s="101">
        <f t="shared" si="78"/>
        <v>17</v>
      </c>
      <c r="B612" s="101">
        <f t="shared" si="74"/>
        <v>35</v>
      </c>
      <c r="C612" s="101" t="str">
        <f t="shared" si="75"/>
        <v>T35</v>
      </c>
      <c r="D612" s="101" t="str">
        <f>IF(A612&lt;&gt;A611,VLOOKUP(A612,'Date SPV'!$A:$D,4,FALSE),D611)</f>
        <v>Mega Mall Bucuresti SRL</v>
      </c>
      <c r="E612" s="101" t="str">
        <f>VLOOKUP(A612,'Date SPV'!$A$4:$B$34,2,FALSE)</f>
        <v>RMEG</v>
      </c>
      <c r="H612" s="105" t="s">
        <v>894</v>
      </c>
      <c r="K612" s="101" t="str">
        <f>VLOOKUP(C612,'Preturi si tarife'!$A$4:$B$39,2,FALSE)</f>
        <v>Regularizare Tarif distributie SDI MT Ea3</v>
      </c>
      <c r="L612" s="102">
        <f>IF(B612=1,'Date masura OD'!$I$5,IF(B612=19,'Date masura OD'!$AK$5,L611))</f>
        <v>45748</v>
      </c>
      <c r="M612" s="102">
        <f>IF(B612=1,'Date masura OD'!$J$5,IF(B612=19,'Date masura OD'!$AL$5,M611))</f>
        <v>45777</v>
      </c>
      <c r="N612" s="104">
        <f>VLOOKUP(E612,verificare!$AR$4:$CC$33,B612+2,FALSE)</f>
        <v>0</v>
      </c>
      <c r="O612" s="103">
        <f>HLOOKUP(VLOOKUP(E612,'Date SPV'!$B$4:$F$34,5,FALSE),'Preturi si tarife'!$C$2:$J$39,B612+2,FALSE)*10000</f>
        <v>113.00000000000001</v>
      </c>
      <c r="Q612" s="101" t="str">
        <f t="shared" si="70"/>
        <v>One-off</v>
      </c>
      <c r="R612" s="101" t="str">
        <f>VLOOKUP(K612,'Preturi si tarife'!$B$4:$K$39,10,FALSE)</f>
        <v>ICOENG0010</v>
      </c>
      <c r="T612" s="101" t="str">
        <f t="shared" si="71"/>
        <v>INV + 30</v>
      </c>
      <c r="V612" s="101" t="str">
        <f t="shared" si="72"/>
        <v>Active</v>
      </c>
      <c r="X612" s="101" t="str">
        <f t="shared" si="73"/>
        <v>One-off</v>
      </c>
      <c r="AC612" s="101" t="str">
        <f t="shared" si="76"/>
        <v>RON</v>
      </c>
      <c r="AD612" s="101">
        <f t="shared" si="77"/>
        <v>10000</v>
      </c>
    </row>
    <row r="613" spans="1:30">
      <c r="A613" s="101">
        <f t="shared" si="78"/>
        <v>17</v>
      </c>
      <c r="B613" s="101">
        <f t="shared" si="74"/>
        <v>36</v>
      </c>
      <c r="C613" s="101" t="str">
        <f t="shared" si="75"/>
        <v>T36</v>
      </c>
      <c r="D613" s="101" t="str">
        <f>IF(A613&lt;&gt;A612,VLOOKUP(A613,'Date SPV'!$A:$D,4,FALSE),D612)</f>
        <v>Mega Mall Bucuresti SRL</v>
      </c>
      <c r="E613" s="101" t="str">
        <f>VLOOKUP(A613,'Date SPV'!$A$4:$B$34,2,FALSE)</f>
        <v>RMEG</v>
      </c>
      <c r="H613" s="105" t="s">
        <v>894</v>
      </c>
      <c r="K613" s="101" t="str">
        <f>VLOOKUP(C613,'Preturi si tarife'!$A$4:$B$39,2,FALSE)</f>
        <v>Regularizare Tarif distributie SDI JT Ea3</v>
      </c>
      <c r="L613" s="102">
        <f>IF(B613=1,'Date masura OD'!$I$5,IF(B613=19,'Date masura OD'!$AK$5,L612))</f>
        <v>45748</v>
      </c>
      <c r="M613" s="102">
        <f>IF(B613=1,'Date masura OD'!$J$5,IF(B613=19,'Date masura OD'!$AL$5,M612))</f>
        <v>45777</v>
      </c>
      <c r="N613" s="104">
        <f>VLOOKUP(E613,verificare!$AR$4:$CC$33,B613+2,FALSE)</f>
        <v>0</v>
      </c>
      <c r="O613" s="103">
        <f>HLOOKUP(VLOOKUP(E613,'Date SPV'!$B$4:$F$34,5,FALSE),'Preturi si tarife'!$C$2:$J$39,B613+2,FALSE)*10000</f>
        <v>840.99999999999989</v>
      </c>
      <c r="Q613" s="101" t="str">
        <f t="shared" si="70"/>
        <v>One-off</v>
      </c>
      <c r="R613" s="101" t="str">
        <f>VLOOKUP(K613,'Preturi si tarife'!$B$4:$K$39,10,FALSE)</f>
        <v>ICOENG0010</v>
      </c>
      <c r="T613" s="101" t="str">
        <f t="shared" si="71"/>
        <v>INV + 30</v>
      </c>
      <c r="V613" s="101" t="str">
        <f t="shared" si="72"/>
        <v>Active</v>
      </c>
      <c r="X613" s="101" t="str">
        <f t="shared" si="73"/>
        <v>One-off</v>
      </c>
      <c r="AC613" s="101" t="str">
        <f t="shared" si="76"/>
        <v>RON</v>
      </c>
      <c r="AD613" s="101">
        <f t="shared" si="77"/>
        <v>10000</v>
      </c>
    </row>
    <row r="614" spans="1:30">
      <c r="A614" s="101">
        <f t="shared" si="78"/>
        <v>18</v>
      </c>
      <c r="B614" s="101">
        <f t="shared" si="74"/>
        <v>1</v>
      </c>
      <c r="C614" s="101" t="str">
        <f t="shared" si="75"/>
        <v>T1</v>
      </c>
      <c r="D614" s="101" t="str">
        <f>IF(A614&lt;&gt;A613,VLOOKUP(A614,'Date SPV'!$A:$D,4,FALSE),D613)</f>
        <v>Severin Shopping Center SRL</v>
      </c>
      <c r="E614" s="101" t="str">
        <f>VLOOKUP(A614,'Date SPV'!$A$4:$B$34,2,FALSE)</f>
        <v>RSEV</v>
      </c>
      <c r="H614" s="105" t="s">
        <v>894</v>
      </c>
      <c r="K614" s="101" t="str">
        <f>VLOOKUP(C614,'Preturi si tarife'!$A$4:$B$39,2,FALSE)</f>
        <v>Energie activa 1</v>
      </c>
      <c r="L614" s="102">
        <f>IF(B614=1,'Date masura OD'!$I$5,IF(B614=19,'Date masura OD'!$AK$5,L613))</f>
        <v>45778</v>
      </c>
      <c r="M614" s="102">
        <f>IF(B614=1,'Date masura OD'!$J$5,IF(B614=19,'Date masura OD'!$AL$5,M613))</f>
        <v>45808</v>
      </c>
      <c r="N614" s="104">
        <f>VLOOKUP(E614,verificare!$AR$4:$CC$33,B614+2,FALSE)</f>
        <v>206035</v>
      </c>
      <c r="O614" s="103">
        <f>HLOOKUP(VLOOKUP(E614,'Date SPV'!$B$4:$F$34,5,FALSE),'Preturi si tarife'!$C$2:$J$39,B614+2,FALSE)*10000</f>
        <v>5950</v>
      </c>
      <c r="Q614" s="101" t="str">
        <f t="shared" si="70"/>
        <v>One-off</v>
      </c>
      <c r="R614" s="101" t="str">
        <f>VLOOKUP(K614,'Preturi si tarife'!$B$4:$K$39,10,FALSE)</f>
        <v>ICOENG0001</v>
      </c>
      <c r="T614" s="101" t="str">
        <f t="shared" si="71"/>
        <v>INV + 30</v>
      </c>
      <c r="V614" s="101" t="str">
        <f t="shared" si="72"/>
        <v>Active</v>
      </c>
      <c r="X614" s="101" t="str">
        <f t="shared" si="73"/>
        <v>One-off</v>
      </c>
      <c r="AC614" s="101" t="str">
        <f t="shared" si="76"/>
        <v>RON</v>
      </c>
      <c r="AD614" s="101">
        <f t="shared" si="77"/>
        <v>10000</v>
      </c>
    </row>
    <row r="615" spans="1:30">
      <c r="A615" s="101">
        <f t="shared" si="78"/>
        <v>18</v>
      </c>
      <c r="B615" s="101">
        <f t="shared" si="74"/>
        <v>2</v>
      </c>
      <c r="C615" s="101" t="str">
        <f t="shared" si="75"/>
        <v>T2</v>
      </c>
      <c r="D615" s="101" t="str">
        <f>IF(A615&lt;&gt;A614,VLOOKUP(A615,'Date SPV'!$A:$D,4,FALSE),D614)</f>
        <v>Severin Shopping Center SRL</v>
      </c>
      <c r="E615" s="101" t="str">
        <f>VLOOKUP(A615,'Date SPV'!$A$4:$B$34,2,FALSE)</f>
        <v>RSEV</v>
      </c>
      <c r="H615" s="105" t="s">
        <v>894</v>
      </c>
      <c r="K615" s="101" t="str">
        <f>VLOOKUP(C615,'Preturi si tarife'!$A$4:$B$39,2,FALSE)</f>
        <v>Energie reactiva  1X</v>
      </c>
      <c r="L615" s="102">
        <f>IF(B615=1,'Date masura OD'!$I$5,IF(B615=19,'Date masura OD'!$AK$5,L614))</f>
        <v>45778</v>
      </c>
      <c r="M615" s="102">
        <f>IF(B615=1,'Date masura OD'!$J$5,IF(B615=19,'Date masura OD'!$AL$5,M614))</f>
        <v>45808</v>
      </c>
      <c r="N615" s="104">
        <f>VLOOKUP(E615,verificare!$AR$4:$CC$33,B615+2,FALSE)</f>
        <v>0</v>
      </c>
      <c r="O615" s="103">
        <f>HLOOKUP(VLOOKUP(E615,'Date SPV'!$B$4:$F$34,5,FALSE),'Preturi si tarife'!$C$2:$J$39,B615+2,FALSE)*10000</f>
        <v>1465</v>
      </c>
      <c r="Q615" s="101" t="str">
        <f t="shared" si="70"/>
        <v>One-off</v>
      </c>
      <c r="R615" s="101" t="str">
        <f>VLOOKUP(K615,'Preturi si tarife'!$B$4:$K$39,10,FALSE)</f>
        <v>ICOENG0001</v>
      </c>
      <c r="T615" s="101" t="str">
        <f t="shared" si="71"/>
        <v>INV + 30</v>
      </c>
      <c r="V615" s="101" t="str">
        <f t="shared" si="72"/>
        <v>Active</v>
      </c>
      <c r="X615" s="101" t="str">
        <f t="shared" si="73"/>
        <v>One-off</v>
      </c>
      <c r="AC615" s="101" t="str">
        <f t="shared" si="76"/>
        <v>RON</v>
      </c>
      <c r="AD615" s="101">
        <f t="shared" si="77"/>
        <v>10000</v>
      </c>
    </row>
    <row r="616" spans="1:30">
      <c r="A616" s="101">
        <f t="shared" si="78"/>
        <v>18</v>
      </c>
      <c r="B616" s="101">
        <f t="shared" si="74"/>
        <v>3</v>
      </c>
      <c r="C616" s="101" t="str">
        <f t="shared" si="75"/>
        <v>T3</v>
      </c>
      <c r="D616" s="101" t="str">
        <f>IF(A616&lt;&gt;A615,VLOOKUP(A616,'Date SPV'!$A:$D,4,FALSE),D615)</f>
        <v>Severin Shopping Center SRL</v>
      </c>
      <c r="E616" s="101" t="str">
        <f>VLOOKUP(A616,'Date SPV'!$A$4:$B$34,2,FALSE)</f>
        <v>RSEV</v>
      </c>
      <c r="H616" s="105" t="s">
        <v>894</v>
      </c>
      <c r="K616" s="101" t="str">
        <f>VLOOKUP(C616,'Preturi si tarife'!$A$4:$B$39,2,FALSE)</f>
        <v>Energie reactiva  3X</v>
      </c>
      <c r="L616" s="102">
        <f>IF(B616=1,'Date masura OD'!$I$5,IF(B616=19,'Date masura OD'!$AK$5,L615))</f>
        <v>45778</v>
      </c>
      <c r="M616" s="102">
        <f>IF(B616=1,'Date masura OD'!$J$5,IF(B616=19,'Date masura OD'!$AL$5,M615))</f>
        <v>45808</v>
      </c>
      <c r="N616" s="104">
        <f>VLOOKUP(E616,verificare!$AR$4:$CC$33,B616+2,FALSE)</f>
        <v>0</v>
      </c>
      <c r="O616" s="103">
        <f>HLOOKUP(VLOOKUP(E616,'Date SPV'!$B$4:$F$34,5,FALSE),'Preturi si tarife'!$C$2:$J$39,B616+2,FALSE)*10000</f>
        <v>4395</v>
      </c>
      <c r="Q616" s="101" t="str">
        <f t="shared" si="70"/>
        <v>One-off</v>
      </c>
      <c r="R616" s="101" t="str">
        <f>VLOOKUP(K616,'Preturi si tarife'!$B$4:$K$39,10,FALSE)</f>
        <v>ICOENG0001</v>
      </c>
      <c r="T616" s="101" t="str">
        <f t="shared" si="71"/>
        <v>INV + 30</v>
      </c>
      <c r="V616" s="101" t="str">
        <f t="shared" si="72"/>
        <v>Active</v>
      </c>
      <c r="X616" s="101" t="str">
        <f t="shared" si="73"/>
        <v>One-off</v>
      </c>
      <c r="AC616" s="101" t="str">
        <f t="shared" si="76"/>
        <v>RON</v>
      </c>
      <c r="AD616" s="101">
        <f t="shared" si="77"/>
        <v>10000</v>
      </c>
    </row>
    <row r="617" spans="1:30">
      <c r="A617" s="101">
        <f t="shared" si="78"/>
        <v>18</v>
      </c>
      <c r="B617" s="101">
        <f t="shared" si="74"/>
        <v>4</v>
      </c>
      <c r="C617" s="101" t="str">
        <f t="shared" si="75"/>
        <v>T4</v>
      </c>
      <c r="D617" s="101" t="str">
        <f>IF(A617&lt;&gt;A616,VLOOKUP(A617,'Date SPV'!$A:$D,4,FALSE),D616)</f>
        <v>Severin Shopping Center SRL</v>
      </c>
      <c r="E617" s="101" t="str">
        <f>VLOOKUP(A617,'Date SPV'!$A$4:$B$34,2,FALSE)</f>
        <v>RSEV</v>
      </c>
      <c r="H617" s="105" t="s">
        <v>894</v>
      </c>
      <c r="K617" s="101" t="str">
        <f>VLOOKUP(C617,'Preturi si tarife'!$A$4:$B$39,2,FALSE)</f>
        <v>Tarife distributie en. El IT+MT</v>
      </c>
      <c r="L617" s="102">
        <f>IF(B617=1,'Date masura OD'!$I$5,IF(B617=19,'Date masura OD'!$AK$5,L616))</f>
        <v>45778</v>
      </c>
      <c r="M617" s="102">
        <f>IF(B617=1,'Date masura OD'!$J$5,IF(B617=19,'Date masura OD'!$AL$5,M616))</f>
        <v>45808</v>
      </c>
      <c r="N617" s="104">
        <f>VLOOKUP(E617,verificare!$AR$4:$CC$33,B617+2,FALSE)</f>
        <v>206035</v>
      </c>
      <c r="O617" s="103">
        <f>HLOOKUP(VLOOKUP(E617,'Date SPV'!$B$4:$F$34,5,FALSE),'Preturi si tarife'!$C$2:$J$39,B617+2,FALSE)*10000</f>
        <v>1361.3999999999999</v>
      </c>
      <c r="Q617" s="101" t="str">
        <f t="shared" si="70"/>
        <v>One-off</v>
      </c>
      <c r="R617" s="101" t="str">
        <f>VLOOKUP(K617,'Preturi si tarife'!$B$4:$K$39,10,FALSE)</f>
        <v>ICOENG0001</v>
      </c>
      <c r="T617" s="101" t="str">
        <f t="shared" si="71"/>
        <v>INV + 30</v>
      </c>
      <c r="V617" s="101" t="str">
        <f t="shared" si="72"/>
        <v>Active</v>
      </c>
      <c r="X617" s="101" t="str">
        <f t="shared" si="73"/>
        <v>One-off</v>
      </c>
      <c r="AC617" s="101" t="str">
        <f t="shared" si="76"/>
        <v>RON</v>
      </c>
      <c r="AD617" s="101">
        <f t="shared" si="77"/>
        <v>10000</v>
      </c>
    </row>
    <row r="618" spans="1:30">
      <c r="A618" s="101">
        <f t="shared" si="78"/>
        <v>18</v>
      </c>
      <c r="B618" s="101">
        <f t="shared" si="74"/>
        <v>5</v>
      </c>
      <c r="C618" s="101" t="str">
        <f t="shared" si="75"/>
        <v>T5</v>
      </c>
      <c r="D618" s="101" t="str">
        <f>IF(A618&lt;&gt;A617,VLOOKUP(A618,'Date SPV'!$A:$D,4,FALSE),D617)</f>
        <v>Severin Shopping Center SRL</v>
      </c>
      <c r="E618" s="101" t="str">
        <f>VLOOKUP(A618,'Date SPV'!$A$4:$B$34,2,FALSE)</f>
        <v>RSEV</v>
      </c>
      <c r="H618" s="105" t="s">
        <v>894</v>
      </c>
      <c r="K618" s="101" t="str">
        <f>VLOOKUP(C618,'Preturi si tarife'!$A$4:$B$39,2,FALSE)</f>
        <v>Tarife distributie en. El JT</v>
      </c>
      <c r="L618" s="102">
        <f>IF(B618=1,'Date masura OD'!$I$5,IF(B618=19,'Date masura OD'!$AK$5,L617))</f>
        <v>45778</v>
      </c>
      <c r="M618" s="102">
        <f>IF(B618=1,'Date masura OD'!$J$5,IF(B618=19,'Date masura OD'!$AL$5,M617))</f>
        <v>45808</v>
      </c>
      <c r="N618" s="104">
        <f>VLOOKUP(E618,verificare!$AR$4:$CC$33,B618+2,FALSE)</f>
        <v>0</v>
      </c>
      <c r="O618" s="103">
        <f>HLOOKUP(VLOOKUP(E618,'Date SPV'!$B$4:$F$34,5,FALSE),'Preturi si tarife'!$C$2:$J$39,B618+2,FALSE)*10000</f>
        <v>2273.8999999999996</v>
      </c>
      <c r="Q618" s="101" t="str">
        <f t="shared" si="70"/>
        <v>One-off</v>
      </c>
      <c r="R618" s="101" t="str">
        <f>VLOOKUP(K618,'Preturi si tarife'!$B$4:$K$39,10,FALSE)</f>
        <v>ICOENG0001</v>
      </c>
      <c r="T618" s="101" t="str">
        <f t="shared" si="71"/>
        <v>INV + 30</v>
      </c>
      <c r="V618" s="101" t="str">
        <f t="shared" si="72"/>
        <v>Active</v>
      </c>
      <c r="X618" s="101" t="str">
        <f t="shared" si="73"/>
        <v>One-off</v>
      </c>
      <c r="AC618" s="101" t="str">
        <f t="shared" si="76"/>
        <v>RON</v>
      </c>
      <c r="AD618" s="101">
        <f t="shared" si="77"/>
        <v>10000</v>
      </c>
    </row>
    <row r="619" spans="1:30">
      <c r="A619" s="101">
        <f t="shared" si="78"/>
        <v>18</v>
      </c>
      <c r="B619" s="101">
        <f t="shared" si="74"/>
        <v>6</v>
      </c>
      <c r="C619" s="101" t="str">
        <f t="shared" si="75"/>
        <v>T6</v>
      </c>
      <c r="D619" s="101" t="str">
        <f>IF(A619&lt;&gt;A618,VLOOKUP(A619,'Date SPV'!$A:$D,4,FALSE),D618)</f>
        <v>Severin Shopping Center SRL</v>
      </c>
      <c r="E619" s="101" t="str">
        <f>VLOOKUP(A619,'Date SPV'!$A$4:$B$34,2,FALSE)</f>
        <v>RSEV</v>
      </c>
      <c r="H619" s="105" t="s">
        <v>894</v>
      </c>
      <c r="K619" s="101" t="str">
        <f>VLOOKUP(C619,'Preturi si tarife'!$A$4:$B$39,2,FALSE)</f>
        <v xml:space="preserve">Servicii Sistem </v>
      </c>
      <c r="L619" s="102">
        <f>IF(B619=1,'Date masura OD'!$I$5,IF(B619=19,'Date masura OD'!$AK$5,L618))</f>
        <v>45778</v>
      </c>
      <c r="M619" s="102">
        <f>IF(B619=1,'Date masura OD'!$J$5,IF(B619=19,'Date masura OD'!$AL$5,M618))</f>
        <v>45808</v>
      </c>
      <c r="N619" s="104">
        <f>VLOOKUP(E619,verificare!$AR$4:$CC$33,B619+2,FALSE)</f>
        <v>206035</v>
      </c>
      <c r="O619" s="103">
        <f>HLOOKUP(VLOOKUP(E619,'Date SPV'!$B$4:$F$34,5,FALSE),'Preturi si tarife'!$C$2:$J$39,B619+2,FALSE)*10000</f>
        <v>115.1</v>
      </c>
      <c r="Q619" s="101" t="str">
        <f t="shared" si="70"/>
        <v>One-off</v>
      </c>
      <c r="R619" s="101" t="str">
        <f>VLOOKUP(K619,'Preturi si tarife'!$B$4:$K$39,10,FALSE)</f>
        <v>ICOENG0001</v>
      </c>
      <c r="T619" s="101" t="str">
        <f t="shared" si="71"/>
        <v>INV + 30</v>
      </c>
      <c r="V619" s="101" t="str">
        <f t="shared" si="72"/>
        <v>Active</v>
      </c>
      <c r="X619" s="101" t="str">
        <f t="shared" si="73"/>
        <v>One-off</v>
      </c>
      <c r="AC619" s="101" t="str">
        <f t="shared" si="76"/>
        <v>RON</v>
      </c>
      <c r="AD619" s="101">
        <f t="shared" si="77"/>
        <v>10000</v>
      </c>
    </row>
    <row r="620" spans="1:30">
      <c r="A620" s="101">
        <f t="shared" si="78"/>
        <v>18</v>
      </c>
      <c r="B620" s="101">
        <f t="shared" si="74"/>
        <v>7</v>
      </c>
      <c r="C620" s="101" t="str">
        <f t="shared" si="75"/>
        <v>T7</v>
      </c>
      <c r="D620" s="101" t="str">
        <f>IF(A620&lt;&gt;A619,VLOOKUP(A620,'Date SPV'!$A:$D,4,FALSE),D619)</f>
        <v>Severin Shopping Center SRL</v>
      </c>
      <c r="E620" s="101" t="str">
        <f>VLOOKUP(A620,'Date SPV'!$A$4:$B$34,2,FALSE)</f>
        <v>RSEV</v>
      </c>
      <c r="H620" s="105" t="s">
        <v>894</v>
      </c>
      <c r="K620" s="101" t="str">
        <f>VLOOKUP(C620,'Preturi si tarife'!$A$4:$B$39,2,FALSE)</f>
        <v>Tarif de introducere en. el in retea (TL)</v>
      </c>
      <c r="L620" s="102">
        <f>IF(B620=1,'Date masura OD'!$I$5,IF(B620=19,'Date masura OD'!$AK$5,L619))</f>
        <v>45778</v>
      </c>
      <c r="M620" s="102">
        <f>IF(B620=1,'Date masura OD'!$J$5,IF(B620=19,'Date masura OD'!$AL$5,M619))</f>
        <v>45808</v>
      </c>
      <c r="N620" s="104">
        <f>VLOOKUP(E620,verificare!$AR$4:$CC$33,B620+2,FALSE)</f>
        <v>206035</v>
      </c>
      <c r="O620" s="103">
        <f>HLOOKUP(VLOOKUP(E620,'Date SPV'!$B$4:$F$34,5,FALSE),'Preturi si tarife'!$C$2:$J$39,B620+2,FALSE)*10000</f>
        <v>330.3</v>
      </c>
      <c r="Q620" s="101" t="str">
        <f t="shared" si="70"/>
        <v>One-off</v>
      </c>
      <c r="R620" s="101" t="str">
        <f>VLOOKUP(K620,'Preturi si tarife'!$B$4:$K$39,10,FALSE)</f>
        <v>ICOENG0001</v>
      </c>
      <c r="T620" s="101" t="str">
        <f t="shared" si="71"/>
        <v>INV + 30</v>
      </c>
      <c r="V620" s="101" t="str">
        <f t="shared" si="72"/>
        <v>Active</v>
      </c>
      <c r="X620" s="101" t="str">
        <f t="shared" si="73"/>
        <v>One-off</v>
      </c>
      <c r="AC620" s="101" t="str">
        <f t="shared" si="76"/>
        <v>RON</v>
      </c>
      <c r="AD620" s="101">
        <f t="shared" si="77"/>
        <v>10000</v>
      </c>
    </row>
    <row r="621" spans="1:30">
      <c r="A621" s="101">
        <f t="shared" si="78"/>
        <v>18</v>
      </c>
      <c r="B621" s="101">
        <f t="shared" si="74"/>
        <v>8</v>
      </c>
      <c r="C621" s="101" t="str">
        <f t="shared" si="75"/>
        <v>T8</v>
      </c>
      <c r="D621" s="101" t="str">
        <f>IF(A621&lt;&gt;A620,VLOOKUP(A621,'Date SPV'!$A:$D,4,FALSE),D620)</f>
        <v>Severin Shopping Center SRL</v>
      </c>
      <c r="E621" s="101" t="str">
        <f>VLOOKUP(A621,'Date SPV'!$A$4:$B$34,2,FALSE)</f>
        <v>RSEV</v>
      </c>
      <c r="H621" s="105" t="s">
        <v>894</v>
      </c>
      <c r="K621" s="101" t="str">
        <f>VLOOKUP(C621,'Preturi si tarife'!$A$4:$B$39,2,FALSE)</f>
        <v>Tarif de introducere en.el in retea (TG)</v>
      </c>
      <c r="L621" s="102">
        <f>IF(B621=1,'Date masura OD'!$I$5,IF(B621=19,'Date masura OD'!$AK$5,L620))</f>
        <v>45778</v>
      </c>
      <c r="M621" s="102">
        <f>IF(B621=1,'Date masura OD'!$J$5,IF(B621=19,'Date masura OD'!$AL$5,M620))</f>
        <v>45808</v>
      </c>
      <c r="N621" s="104">
        <f>VLOOKUP(E621,verificare!$AR$4:$CC$33,B621+2,FALSE)</f>
        <v>206035</v>
      </c>
      <c r="O621" s="103">
        <f>HLOOKUP(VLOOKUP(E621,'Date SPV'!$B$4:$F$34,5,FALSE),'Preturi si tarife'!$C$2:$J$39,B621+2,FALSE)*10000</f>
        <v>32.9</v>
      </c>
      <c r="Q621" s="101" t="str">
        <f t="shared" si="70"/>
        <v>One-off</v>
      </c>
      <c r="R621" s="101" t="str">
        <f>VLOOKUP(K621,'Preturi si tarife'!$B$4:$K$39,10,FALSE)</f>
        <v>ICOENG0001</v>
      </c>
      <c r="T621" s="101" t="str">
        <f t="shared" si="71"/>
        <v>INV + 30</v>
      </c>
      <c r="V621" s="101" t="str">
        <f t="shared" si="72"/>
        <v>Active</v>
      </c>
      <c r="X621" s="101" t="str">
        <f t="shared" si="73"/>
        <v>One-off</v>
      </c>
      <c r="AC621" s="101" t="str">
        <f t="shared" si="76"/>
        <v>RON</v>
      </c>
      <c r="AD621" s="101">
        <f t="shared" si="77"/>
        <v>10000</v>
      </c>
    </row>
    <row r="622" spans="1:30">
      <c r="A622" s="101">
        <f t="shared" si="78"/>
        <v>18</v>
      </c>
      <c r="B622" s="101">
        <f t="shared" si="74"/>
        <v>9</v>
      </c>
      <c r="C622" s="101" t="str">
        <f t="shared" si="75"/>
        <v>T9</v>
      </c>
      <c r="D622" s="101" t="str">
        <f>IF(A622&lt;&gt;A621,VLOOKUP(A622,'Date SPV'!$A:$D,4,FALSE),D621)</f>
        <v>Severin Shopping Center SRL</v>
      </c>
      <c r="E622" s="101" t="str">
        <f>VLOOKUP(A622,'Date SPV'!$A$4:$B$34,2,FALSE)</f>
        <v>RSEV</v>
      </c>
      <c r="H622" s="105" t="s">
        <v>894</v>
      </c>
      <c r="K622" s="101" t="str">
        <f>VLOOKUP(C622,'Preturi si tarife'!$A$4:$B$39,2,FALSE)</f>
        <v>Contributie pentru cogenerare</v>
      </c>
      <c r="L622" s="102">
        <f>IF(B622=1,'Date masura OD'!$I$5,IF(B622=19,'Date masura OD'!$AK$5,L621))</f>
        <v>45778</v>
      </c>
      <c r="M622" s="102">
        <f>IF(B622=1,'Date masura OD'!$J$5,IF(B622=19,'Date masura OD'!$AL$5,M621))</f>
        <v>45808</v>
      </c>
      <c r="N622" s="104">
        <f>VLOOKUP(E622,verificare!$AR$4:$CC$33,B622+2,FALSE)</f>
        <v>206035</v>
      </c>
      <c r="O622" s="103">
        <f>HLOOKUP(VLOOKUP(E622,'Date SPV'!$B$4:$F$34,5,FALSE),'Preturi si tarife'!$C$2:$J$39,B622+2,FALSE)*10000</f>
        <v>35</v>
      </c>
      <c r="Q622" s="101" t="str">
        <f t="shared" si="70"/>
        <v>One-off</v>
      </c>
      <c r="R622" s="101" t="str">
        <f>VLOOKUP(K622,'Preturi si tarife'!$B$4:$K$39,10,FALSE)</f>
        <v>ICOENG0001</v>
      </c>
      <c r="T622" s="101" t="str">
        <f t="shared" si="71"/>
        <v>INV + 30</v>
      </c>
      <c r="V622" s="101" t="str">
        <f t="shared" si="72"/>
        <v>Active</v>
      </c>
      <c r="X622" s="101" t="str">
        <f t="shared" si="73"/>
        <v>One-off</v>
      </c>
      <c r="AC622" s="101" t="str">
        <f t="shared" si="76"/>
        <v>RON</v>
      </c>
      <c r="AD622" s="101">
        <f t="shared" si="77"/>
        <v>10000</v>
      </c>
    </row>
    <row r="623" spans="1:30">
      <c r="A623" s="101">
        <f t="shared" si="78"/>
        <v>18</v>
      </c>
      <c r="B623" s="101">
        <f t="shared" si="74"/>
        <v>10</v>
      </c>
      <c r="C623" s="101" t="str">
        <f t="shared" si="75"/>
        <v>T10</v>
      </c>
      <c r="D623" s="101" t="str">
        <f>IF(A623&lt;&gt;A622,VLOOKUP(A623,'Date SPV'!$A:$D,4,FALSE),D622)</f>
        <v>Severin Shopping Center SRL</v>
      </c>
      <c r="E623" s="101" t="str">
        <f>VLOOKUP(A623,'Date SPV'!$A$4:$B$34,2,FALSE)</f>
        <v>RSEV</v>
      </c>
      <c r="H623" s="105" t="s">
        <v>894</v>
      </c>
      <c r="K623" s="101" t="str">
        <f>VLOOKUP(C623,'Preturi si tarife'!$A$4:$B$39,2,FALSE)</f>
        <v xml:space="preserve">Certificate verzi </v>
      </c>
      <c r="L623" s="102">
        <f>IF(B623=1,'Date masura OD'!$I$5,IF(B623=19,'Date masura OD'!$AK$5,L622))</f>
        <v>45778</v>
      </c>
      <c r="M623" s="102">
        <f>IF(B623=1,'Date masura OD'!$J$5,IF(B623=19,'Date masura OD'!$AL$5,M622))</f>
        <v>45808</v>
      </c>
      <c r="N623" s="104">
        <f>VLOOKUP(E623,verificare!$AR$4:$CC$33,B623+2,FALSE)</f>
        <v>206035</v>
      </c>
      <c r="O623" s="103">
        <f>HLOOKUP(VLOOKUP(E623,'Date SPV'!$B$4:$F$34,5,FALSE),'Preturi si tarife'!$C$2:$J$39,B623+2,FALSE)*10000</f>
        <v>725.41599999999994</v>
      </c>
      <c r="Q623" s="101" t="str">
        <f t="shared" si="70"/>
        <v>One-off</v>
      </c>
      <c r="R623" s="101" t="str">
        <f>VLOOKUP(K623,'Preturi si tarife'!$B$4:$K$39,10,FALSE)</f>
        <v>ICOENG0001</v>
      </c>
      <c r="T623" s="101" t="str">
        <f t="shared" si="71"/>
        <v>INV + 30</v>
      </c>
      <c r="V623" s="101" t="str">
        <f t="shared" si="72"/>
        <v>Active</v>
      </c>
      <c r="X623" s="101" t="str">
        <f t="shared" si="73"/>
        <v>One-off</v>
      </c>
      <c r="AC623" s="101" t="str">
        <f t="shared" si="76"/>
        <v>RON</v>
      </c>
      <c r="AD623" s="101">
        <f t="shared" si="77"/>
        <v>10000</v>
      </c>
    </row>
    <row r="624" spans="1:30">
      <c r="A624" s="101">
        <f t="shared" si="78"/>
        <v>18</v>
      </c>
      <c r="B624" s="101">
        <f t="shared" si="74"/>
        <v>11</v>
      </c>
      <c r="C624" s="101" t="str">
        <f t="shared" si="75"/>
        <v>T11</v>
      </c>
      <c r="D624" s="101" t="str">
        <f>IF(A624&lt;&gt;A623,VLOOKUP(A624,'Date SPV'!$A:$D,4,FALSE),D623)</f>
        <v>Severin Shopping Center SRL</v>
      </c>
      <c r="E624" s="101" t="str">
        <f>VLOOKUP(A624,'Date SPV'!$A$4:$B$34,2,FALSE)</f>
        <v>RSEV</v>
      </c>
      <c r="H624" s="105" t="s">
        <v>894</v>
      </c>
      <c r="K624" s="101" t="str">
        <f>VLOOKUP(C624,'Preturi si tarife'!$A$4:$B$39,2,FALSE)</f>
        <v>Contributie CFD</v>
      </c>
      <c r="L624" s="102">
        <f>IF(B624=1,'Date masura OD'!$I$5,IF(B624=19,'Date masura OD'!$AK$5,L623))</f>
        <v>45778</v>
      </c>
      <c r="M624" s="102">
        <f>IF(B624=1,'Date masura OD'!$J$5,IF(B624=19,'Date masura OD'!$AL$5,M623))</f>
        <v>45808</v>
      </c>
      <c r="N624" s="104">
        <f>VLOOKUP(E624,verificare!$AR$4:$CC$33,B624+2,FALSE)</f>
        <v>206035</v>
      </c>
      <c r="O624" s="103">
        <f>HLOOKUP(VLOOKUP(E624,'Date SPV'!$B$4:$F$34,5,FALSE),'Preturi si tarife'!$C$2:$J$39,B624+2,FALSE)*10000</f>
        <v>2.06</v>
      </c>
      <c r="Q624" s="101" t="str">
        <f t="shared" si="70"/>
        <v>One-off</v>
      </c>
      <c r="R624" s="101" t="str">
        <f>VLOOKUP(K624,'Preturi si tarife'!$B$4:$K$39,10,FALSE)</f>
        <v>ICOENG0001</v>
      </c>
      <c r="T624" s="101" t="str">
        <f t="shared" si="71"/>
        <v>INV + 30</v>
      </c>
      <c r="V624" s="101" t="str">
        <f t="shared" si="72"/>
        <v>Active</v>
      </c>
      <c r="X624" s="101" t="str">
        <f t="shared" si="73"/>
        <v>One-off</v>
      </c>
      <c r="AC624" s="101" t="str">
        <f t="shared" si="76"/>
        <v>RON</v>
      </c>
      <c r="AD624" s="101">
        <f t="shared" si="77"/>
        <v>10000</v>
      </c>
    </row>
    <row r="625" spans="1:30">
      <c r="A625" s="101">
        <f t="shared" si="78"/>
        <v>18</v>
      </c>
      <c r="B625" s="101">
        <f t="shared" si="74"/>
        <v>12</v>
      </c>
      <c r="C625" s="101" t="str">
        <f t="shared" si="75"/>
        <v>T12</v>
      </c>
      <c r="D625" s="101" t="str">
        <f>IF(A625&lt;&gt;A624,VLOOKUP(A625,'Date SPV'!$A:$D,4,FALSE),D624)</f>
        <v>Severin Shopping Center SRL</v>
      </c>
      <c r="E625" s="101" t="str">
        <f>VLOOKUP(A625,'Date SPV'!$A$4:$B$34,2,FALSE)</f>
        <v>RSEV</v>
      </c>
      <c r="H625" s="105" t="s">
        <v>894</v>
      </c>
      <c r="K625" s="101" t="str">
        <f>VLOOKUP(C625,'Preturi si tarife'!$A$4:$B$39,2,FALSE)</f>
        <v>Acciza</v>
      </c>
      <c r="L625" s="102">
        <f>IF(B625=1,'Date masura OD'!$I$5,IF(B625=19,'Date masura OD'!$AK$5,L624))</f>
        <v>45778</v>
      </c>
      <c r="M625" s="102">
        <f>IF(B625=1,'Date masura OD'!$J$5,IF(B625=19,'Date masura OD'!$AL$5,M624))</f>
        <v>45808</v>
      </c>
      <c r="N625" s="104">
        <f>VLOOKUP(E625,verificare!$AR$4:$CC$33,B625+2,FALSE)</f>
        <v>206035</v>
      </c>
      <c r="O625" s="103">
        <f>HLOOKUP(VLOOKUP(E625,'Date SPV'!$B$4:$F$34,5,FALSE),'Preturi si tarife'!$C$2:$J$39,B625+2,FALSE)*10000</f>
        <v>0</v>
      </c>
      <c r="Q625" s="101" t="str">
        <f t="shared" si="70"/>
        <v>One-off</v>
      </c>
      <c r="R625" s="101" t="str">
        <f>VLOOKUP(K625,'Preturi si tarife'!$B$4:$K$39,10,FALSE)</f>
        <v>ICOENG0001</v>
      </c>
      <c r="T625" s="101" t="str">
        <f t="shared" si="71"/>
        <v>INV + 30</v>
      </c>
      <c r="V625" s="101" t="str">
        <f t="shared" si="72"/>
        <v>Active</v>
      </c>
      <c r="X625" s="101" t="str">
        <f t="shared" si="73"/>
        <v>One-off</v>
      </c>
      <c r="AC625" s="101" t="str">
        <f t="shared" si="76"/>
        <v>RON</v>
      </c>
      <c r="AD625" s="101">
        <f t="shared" si="77"/>
        <v>10000</v>
      </c>
    </row>
    <row r="626" spans="1:30">
      <c r="A626" s="101">
        <f t="shared" si="78"/>
        <v>18</v>
      </c>
      <c r="B626" s="101">
        <f t="shared" si="74"/>
        <v>13</v>
      </c>
      <c r="C626" s="101" t="str">
        <f t="shared" si="75"/>
        <v>T13</v>
      </c>
      <c r="D626" s="101" t="str">
        <f>IF(A626&lt;&gt;A625,VLOOKUP(A626,'Date SPV'!$A:$D,4,FALSE),D625)</f>
        <v>Severin Shopping Center SRL</v>
      </c>
      <c r="E626" s="101" t="str">
        <f>VLOOKUP(A626,'Date SPV'!$A$4:$B$34,2,FALSE)</f>
        <v>RSEV</v>
      </c>
      <c r="H626" s="105" t="s">
        <v>894</v>
      </c>
      <c r="K626" s="101" t="str">
        <f>VLOOKUP(C626,'Preturi si tarife'!$A$4:$B$39,2,FALSE)</f>
        <v>Tarif distributie SDI MT</v>
      </c>
      <c r="L626" s="102">
        <f>IF(B626=1,'Date masura OD'!$I$5,IF(B626=19,'Date masura OD'!$AK$5,L625))</f>
        <v>45778</v>
      </c>
      <c r="M626" s="102">
        <f>IF(B626=1,'Date masura OD'!$J$5,IF(B626=19,'Date masura OD'!$AL$5,M625))</f>
        <v>45808</v>
      </c>
      <c r="N626" s="104">
        <f>VLOOKUP(E626,verificare!$AR$4:$CC$33,B626+2,FALSE)</f>
        <v>167075</v>
      </c>
      <c r="O626" s="103">
        <f>HLOOKUP(VLOOKUP(E626,'Date SPV'!$B$4:$F$34,5,FALSE),'Preturi si tarife'!$C$2:$J$39,B626+2,FALSE)*10000</f>
        <v>170</v>
      </c>
      <c r="Q626" s="101" t="str">
        <f t="shared" si="70"/>
        <v>One-off</v>
      </c>
      <c r="R626" s="101" t="str">
        <f>VLOOKUP(K626,'Preturi si tarife'!$B$4:$K$39,10,FALSE)</f>
        <v>ICOENG0010</v>
      </c>
      <c r="T626" s="101" t="str">
        <f t="shared" si="71"/>
        <v>INV + 30</v>
      </c>
      <c r="V626" s="101" t="str">
        <f t="shared" si="72"/>
        <v>Active</v>
      </c>
      <c r="X626" s="101" t="str">
        <f t="shared" si="73"/>
        <v>One-off</v>
      </c>
      <c r="AC626" s="101" t="str">
        <f t="shared" si="76"/>
        <v>RON</v>
      </c>
      <c r="AD626" s="101">
        <f t="shared" si="77"/>
        <v>10000</v>
      </c>
    </row>
    <row r="627" spans="1:30">
      <c r="A627" s="101">
        <f t="shared" si="78"/>
        <v>18</v>
      </c>
      <c r="B627" s="101">
        <f t="shared" si="74"/>
        <v>14</v>
      </c>
      <c r="C627" s="101" t="str">
        <f t="shared" si="75"/>
        <v>T14</v>
      </c>
      <c r="D627" s="101" t="str">
        <f>IF(A627&lt;&gt;A626,VLOOKUP(A627,'Date SPV'!$A:$D,4,FALSE),D626)</f>
        <v>Severin Shopping Center SRL</v>
      </c>
      <c r="E627" s="101" t="str">
        <f>VLOOKUP(A627,'Date SPV'!$A$4:$B$34,2,FALSE)</f>
        <v>RSEV</v>
      </c>
      <c r="H627" s="105" t="s">
        <v>894</v>
      </c>
      <c r="K627" s="101" t="str">
        <f>VLOOKUP(C627,'Preturi si tarife'!$A$4:$B$39,2,FALSE)</f>
        <v>Tarif distributie SDI JT</v>
      </c>
      <c r="L627" s="102">
        <f>IF(B627=1,'Date masura OD'!$I$5,IF(B627=19,'Date masura OD'!$AK$5,L626))</f>
        <v>45778</v>
      </c>
      <c r="M627" s="102">
        <f>IF(B627=1,'Date masura OD'!$J$5,IF(B627=19,'Date masura OD'!$AL$5,M626))</f>
        <v>45808</v>
      </c>
      <c r="N627" s="104">
        <f>VLOOKUP(E627,verificare!$AR$4:$CC$33,B627+2,FALSE)</f>
        <v>167075</v>
      </c>
      <c r="O627" s="103">
        <f>HLOOKUP(VLOOKUP(E627,'Date SPV'!$B$4:$F$34,5,FALSE),'Preturi si tarife'!$C$2:$J$39,B627+2,FALSE)*10000</f>
        <v>1029</v>
      </c>
      <c r="Q627" s="101" t="str">
        <f t="shared" si="70"/>
        <v>One-off</v>
      </c>
      <c r="R627" s="101" t="str">
        <f>VLOOKUP(K627,'Preturi si tarife'!$B$4:$K$39,10,FALSE)</f>
        <v>ICOENG0010</v>
      </c>
      <c r="T627" s="101" t="str">
        <f t="shared" si="71"/>
        <v>INV + 30</v>
      </c>
      <c r="V627" s="101" t="str">
        <f t="shared" si="72"/>
        <v>Active</v>
      </c>
      <c r="X627" s="101" t="str">
        <f t="shared" si="73"/>
        <v>One-off</v>
      </c>
      <c r="AC627" s="101" t="str">
        <f t="shared" si="76"/>
        <v>RON</v>
      </c>
      <c r="AD627" s="101">
        <f t="shared" si="77"/>
        <v>10000</v>
      </c>
    </row>
    <row r="628" spans="1:30">
      <c r="A628" s="101">
        <f t="shared" si="78"/>
        <v>18</v>
      </c>
      <c r="B628" s="101">
        <f t="shared" si="74"/>
        <v>15</v>
      </c>
      <c r="C628" s="101" t="str">
        <f t="shared" si="75"/>
        <v>T15</v>
      </c>
      <c r="D628" s="101" t="str">
        <f>IF(A628&lt;&gt;A627,VLOOKUP(A628,'Date SPV'!$A:$D,4,FALSE),D627)</f>
        <v>Severin Shopping Center SRL</v>
      </c>
      <c r="E628" s="101" t="str">
        <f>VLOOKUP(A628,'Date SPV'!$A$4:$B$34,2,FALSE)</f>
        <v>RSEV</v>
      </c>
      <c r="H628" s="105" t="s">
        <v>894</v>
      </c>
      <c r="K628" s="101" t="str">
        <f>VLOOKUP(C628,'Preturi si tarife'!$A$4:$B$39,2,FALSE)</f>
        <v>Energie activa 2</v>
      </c>
      <c r="L628" s="102">
        <f>IF(B628=1,'Date masura OD'!$I$5,IF(B628=19,'Date masura OD'!$AK$5,L627))</f>
        <v>45778</v>
      </c>
      <c r="M628" s="102">
        <f>IF(B628=1,'Date masura OD'!$J$5,IF(B628=19,'Date masura OD'!$AL$5,M627))</f>
        <v>45808</v>
      </c>
      <c r="N628" s="104">
        <f>VLOOKUP(E628,verificare!$AR$4:$CC$33,B628+2,FALSE)</f>
        <v>157661</v>
      </c>
      <c r="O628" s="103">
        <f>HLOOKUP(VLOOKUP(E628,'Date SPV'!$B$4:$F$34,5,FALSE),'Preturi si tarife'!$C$2:$J$39,B628+2,FALSE)*10000</f>
        <v>9751.1759999999995</v>
      </c>
      <c r="Q628" s="101" t="str">
        <f t="shared" si="70"/>
        <v>One-off</v>
      </c>
      <c r="R628" s="101" t="str">
        <f>VLOOKUP(K628,'Preturi si tarife'!$B$4:$K$39,10,FALSE)</f>
        <v>ICOENG0012</v>
      </c>
      <c r="T628" s="101" t="str">
        <f t="shared" si="71"/>
        <v>INV + 30</v>
      </c>
      <c r="V628" s="101" t="str">
        <f t="shared" si="72"/>
        <v>Active</v>
      </c>
      <c r="X628" s="101" t="str">
        <f t="shared" si="73"/>
        <v>One-off</v>
      </c>
      <c r="AC628" s="101" t="str">
        <f t="shared" si="76"/>
        <v>RON</v>
      </c>
      <c r="AD628" s="101">
        <f t="shared" si="77"/>
        <v>10000</v>
      </c>
    </row>
    <row r="629" spans="1:30">
      <c r="A629" s="101">
        <f t="shared" si="78"/>
        <v>18</v>
      </c>
      <c r="B629" s="101">
        <f t="shared" si="74"/>
        <v>16</v>
      </c>
      <c r="C629" s="101" t="str">
        <f t="shared" si="75"/>
        <v>T16</v>
      </c>
      <c r="D629" s="101" t="str">
        <f>IF(A629&lt;&gt;A628,VLOOKUP(A629,'Date SPV'!$A:$D,4,FALSE),D628)</f>
        <v>Severin Shopping Center SRL</v>
      </c>
      <c r="E629" s="101" t="str">
        <f>VLOOKUP(A629,'Date SPV'!$A$4:$B$34,2,FALSE)</f>
        <v>RSEV</v>
      </c>
      <c r="H629" s="105" t="s">
        <v>894</v>
      </c>
      <c r="K629" s="101" t="str">
        <f>VLOOKUP(C629,'Preturi si tarife'!$A$4:$B$39,2,FALSE)</f>
        <v>Energie activa 3</v>
      </c>
      <c r="L629" s="102">
        <f>IF(B629=1,'Date masura OD'!$I$5,IF(B629=19,'Date masura OD'!$AK$5,L628))</f>
        <v>45778</v>
      </c>
      <c r="M629" s="102">
        <f>IF(B629=1,'Date masura OD'!$J$5,IF(B629=19,'Date masura OD'!$AL$5,M628))</f>
        <v>45808</v>
      </c>
      <c r="N629" s="104">
        <f>VLOOKUP(E629,verificare!$AR$4:$CC$33,B629+2,FALSE)</f>
        <v>0</v>
      </c>
      <c r="O629" s="103">
        <f>HLOOKUP(VLOOKUP(E629,'Date SPV'!$B$4:$F$34,5,FALSE),'Preturi si tarife'!$C$2:$J$39,B629+2,FALSE)*10000</f>
        <v>8552.1759999999995</v>
      </c>
      <c r="Q629" s="101" t="str">
        <f t="shared" si="70"/>
        <v>One-off</v>
      </c>
      <c r="R629" s="101" t="str">
        <f>VLOOKUP(K629,'Preturi si tarife'!$B$4:$K$39,10,FALSE)</f>
        <v>ICOENG0012</v>
      </c>
      <c r="T629" s="101" t="str">
        <f t="shared" si="71"/>
        <v>INV + 30</v>
      </c>
      <c r="V629" s="101" t="str">
        <f t="shared" si="72"/>
        <v>Active</v>
      </c>
      <c r="X629" s="101" t="str">
        <f t="shared" si="73"/>
        <v>One-off</v>
      </c>
      <c r="AC629" s="101" t="str">
        <f t="shared" si="76"/>
        <v>RON</v>
      </c>
      <c r="AD629" s="101">
        <f t="shared" si="77"/>
        <v>10000</v>
      </c>
    </row>
    <row r="630" spans="1:30">
      <c r="A630" s="101">
        <f t="shared" si="78"/>
        <v>18</v>
      </c>
      <c r="B630" s="101">
        <f t="shared" si="74"/>
        <v>17</v>
      </c>
      <c r="C630" s="101" t="str">
        <f t="shared" si="75"/>
        <v>T17</v>
      </c>
      <c r="D630" s="101" t="str">
        <f>IF(A630&lt;&gt;A629,VLOOKUP(A630,'Date SPV'!$A:$D,4,FALSE),D629)</f>
        <v>Severin Shopping Center SRL</v>
      </c>
      <c r="E630" s="101" t="str">
        <f>VLOOKUP(A630,'Date SPV'!$A$4:$B$34,2,FALSE)</f>
        <v>RSEV</v>
      </c>
      <c r="H630" s="105" t="s">
        <v>894</v>
      </c>
      <c r="K630" s="101" t="str">
        <f>VLOOKUP(C630,'Preturi si tarife'!$A$4:$B$39,2,FALSE)</f>
        <v>Tarif distributie SDI MT_</v>
      </c>
      <c r="L630" s="102">
        <f>IF(B630=1,'Date masura OD'!$I$5,IF(B630=19,'Date masura OD'!$AK$5,L629))</f>
        <v>45778</v>
      </c>
      <c r="M630" s="102">
        <f>IF(B630=1,'Date masura OD'!$J$5,IF(B630=19,'Date masura OD'!$AL$5,M629))</f>
        <v>45808</v>
      </c>
      <c r="N630" s="104">
        <f>VLOOKUP(E630,verificare!$AR$4:$CC$33,B630+2,FALSE)</f>
        <v>0</v>
      </c>
      <c r="O630" s="103">
        <f>HLOOKUP(VLOOKUP(E630,'Date SPV'!$B$4:$F$34,5,FALSE),'Preturi si tarife'!$C$2:$J$39,B630+2,FALSE)*10000</f>
        <v>170</v>
      </c>
      <c r="Q630" s="101" t="str">
        <f t="shared" si="70"/>
        <v>One-off</v>
      </c>
      <c r="R630" s="101" t="str">
        <f>VLOOKUP(K630,'Preturi si tarife'!$B$4:$K$39,10,FALSE)</f>
        <v>ICOENG0010</v>
      </c>
      <c r="T630" s="101" t="str">
        <f t="shared" si="71"/>
        <v>INV + 30</v>
      </c>
      <c r="V630" s="101" t="str">
        <f t="shared" si="72"/>
        <v>Active</v>
      </c>
      <c r="X630" s="101" t="str">
        <f t="shared" si="73"/>
        <v>One-off</v>
      </c>
      <c r="AC630" s="101" t="str">
        <f t="shared" si="76"/>
        <v>RON</v>
      </c>
      <c r="AD630" s="101">
        <f t="shared" si="77"/>
        <v>10000</v>
      </c>
    </row>
    <row r="631" spans="1:30">
      <c r="A631" s="101">
        <f t="shared" si="78"/>
        <v>18</v>
      </c>
      <c r="B631" s="101">
        <f t="shared" si="74"/>
        <v>18</v>
      </c>
      <c r="C631" s="101" t="str">
        <f t="shared" si="75"/>
        <v>T18</v>
      </c>
      <c r="D631" s="101" t="str">
        <f>IF(A631&lt;&gt;A630,VLOOKUP(A631,'Date SPV'!$A:$D,4,FALSE),D630)</f>
        <v>Severin Shopping Center SRL</v>
      </c>
      <c r="E631" s="101" t="str">
        <f>VLOOKUP(A631,'Date SPV'!$A$4:$B$34,2,FALSE)</f>
        <v>RSEV</v>
      </c>
      <c r="H631" s="105" t="s">
        <v>894</v>
      </c>
      <c r="K631" s="101" t="str">
        <f>VLOOKUP(C631,'Preturi si tarife'!$A$4:$B$39,2,FALSE)</f>
        <v>Tarif distributie SDI JT_</v>
      </c>
      <c r="L631" s="102">
        <f>IF(B631=1,'Date masura OD'!$I$5,IF(B631=19,'Date masura OD'!$AK$5,L630))</f>
        <v>45778</v>
      </c>
      <c r="M631" s="102">
        <f>IF(B631=1,'Date masura OD'!$J$5,IF(B631=19,'Date masura OD'!$AL$5,M630))</f>
        <v>45808</v>
      </c>
      <c r="N631" s="104">
        <f>VLOOKUP(E631,verificare!$AR$4:$CC$33,B631+2,FALSE)</f>
        <v>0</v>
      </c>
      <c r="O631" s="103">
        <f>HLOOKUP(VLOOKUP(E631,'Date SPV'!$B$4:$F$34,5,FALSE),'Preturi si tarife'!$C$2:$J$39,B631+2,FALSE)*10000</f>
        <v>1029</v>
      </c>
      <c r="Q631" s="101" t="str">
        <f t="shared" si="70"/>
        <v>One-off</v>
      </c>
      <c r="R631" s="101" t="str">
        <f>VLOOKUP(K631,'Preturi si tarife'!$B$4:$K$39,10,FALSE)</f>
        <v>ICOENG0010</v>
      </c>
      <c r="T631" s="101" t="str">
        <f t="shared" si="71"/>
        <v>INV + 30</v>
      </c>
      <c r="V631" s="101" t="str">
        <f t="shared" si="72"/>
        <v>Active</v>
      </c>
      <c r="X631" s="101" t="str">
        <f t="shared" si="73"/>
        <v>One-off</v>
      </c>
      <c r="AC631" s="101" t="str">
        <f t="shared" si="76"/>
        <v>RON</v>
      </c>
      <c r="AD631" s="101">
        <f t="shared" si="77"/>
        <v>10000</v>
      </c>
    </row>
    <row r="632" spans="1:30">
      <c r="A632" s="101">
        <f t="shared" si="78"/>
        <v>18</v>
      </c>
      <c r="B632" s="101">
        <f t="shared" si="74"/>
        <v>19</v>
      </c>
      <c r="C632" s="101" t="str">
        <f t="shared" si="75"/>
        <v>T19</v>
      </c>
      <c r="D632" s="101" t="str">
        <f>IF(A632&lt;&gt;A631,VLOOKUP(A632,'Date SPV'!$A:$D,4,FALSE),D631)</f>
        <v>Severin Shopping Center SRL</v>
      </c>
      <c r="E632" s="101" t="str">
        <f>VLOOKUP(A632,'Date SPV'!$A$4:$B$34,2,FALSE)</f>
        <v>RSEV</v>
      </c>
      <c r="H632" s="105" t="s">
        <v>894</v>
      </c>
      <c r="K632" s="101" t="str">
        <f>VLOOKUP(C632,'Preturi si tarife'!$A$4:$B$39,2,FALSE)</f>
        <v>Regularizare Energie activa 1</v>
      </c>
      <c r="L632" s="102">
        <f>IF(B632=1,'Date masura OD'!$I$5,IF(B632=19,'Date masura OD'!$AK$5,L631))</f>
        <v>45748</v>
      </c>
      <c r="M632" s="102">
        <f>IF(B632=1,'Date masura OD'!$J$5,IF(B632=19,'Date masura OD'!$AL$5,M631))</f>
        <v>45777</v>
      </c>
      <c r="N632" s="104">
        <f>VLOOKUP(E632,verificare!$AR$4:$CC$33,B632+2,FALSE)</f>
        <v>1563</v>
      </c>
      <c r="O632" s="103">
        <f>HLOOKUP(VLOOKUP(E632,'Date SPV'!$B$4:$F$34,5,FALSE),'Preturi si tarife'!$C$2:$J$39,B632+2,FALSE)*10000</f>
        <v>5950</v>
      </c>
      <c r="Q632" s="101" t="str">
        <f t="shared" si="70"/>
        <v>One-off</v>
      </c>
      <c r="R632" s="101" t="str">
        <f>VLOOKUP(K632,'Preturi si tarife'!$B$4:$K$39,10,FALSE)</f>
        <v>ICOENG0001</v>
      </c>
      <c r="T632" s="101" t="str">
        <f t="shared" si="71"/>
        <v>INV + 30</v>
      </c>
      <c r="V632" s="101" t="str">
        <f t="shared" si="72"/>
        <v>Active</v>
      </c>
      <c r="X632" s="101" t="str">
        <f t="shared" si="73"/>
        <v>One-off</v>
      </c>
      <c r="AC632" s="101" t="str">
        <f t="shared" si="76"/>
        <v>RON</v>
      </c>
      <c r="AD632" s="101">
        <f t="shared" si="77"/>
        <v>10000</v>
      </c>
    </row>
    <row r="633" spans="1:30">
      <c r="A633" s="101">
        <f t="shared" si="78"/>
        <v>18</v>
      </c>
      <c r="B633" s="101">
        <f t="shared" si="74"/>
        <v>20</v>
      </c>
      <c r="C633" s="101" t="str">
        <f t="shared" si="75"/>
        <v>T20</v>
      </c>
      <c r="D633" s="101" t="str">
        <f>IF(A633&lt;&gt;A632,VLOOKUP(A633,'Date SPV'!$A:$D,4,FALSE),D632)</f>
        <v>Severin Shopping Center SRL</v>
      </c>
      <c r="E633" s="101" t="str">
        <f>VLOOKUP(A633,'Date SPV'!$A$4:$B$34,2,FALSE)</f>
        <v>RSEV</v>
      </c>
      <c r="H633" s="105" t="s">
        <v>894</v>
      </c>
      <c r="K633" s="101" t="str">
        <f>VLOOKUP(C633,'Preturi si tarife'!$A$4:$B$39,2,FALSE)</f>
        <v>Regularizare Energie reactiva  1X</v>
      </c>
      <c r="L633" s="102">
        <f>IF(B633=1,'Date masura OD'!$I$5,IF(B633=19,'Date masura OD'!$AK$5,L632))</f>
        <v>45748</v>
      </c>
      <c r="M633" s="102">
        <f>IF(B633=1,'Date masura OD'!$J$5,IF(B633=19,'Date masura OD'!$AL$5,M632))</f>
        <v>45777</v>
      </c>
      <c r="N633" s="104">
        <f>VLOOKUP(E633,verificare!$AR$4:$CC$33,B633+2,FALSE)</f>
        <v>3853</v>
      </c>
      <c r="O633" s="103">
        <f>HLOOKUP(VLOOKUP(E633,'Date SPV'!$B$4:$F$34,5,FALSE),'Preturi si tarife'!$C$2:$J$39,B633+2,FALSE)*10000</f>
        <v>1465</v>
      </c>
      <c r="Q633" s="101" t="str">
        <f t="shared" si="70"/>
        <v>One-off</v>
      </c>
      <c r="R633" s="101" t="str">
        <f>VLOOKUP(K633,'Preturi si tarife'!$B$4:$K$39,10,FALSE)</f>
        <v>ICOENG0001</v>
      </c>
      <c r="T633" s="101" t="str">
        <f t="shared" si="71"/>
        <v>INV + 30</v>
      </c>
      <c r="V633" s="101" t="str">
        <f t="shared" si="72"/>
        <v>Active</v>
      </c>
      <c r="X633" s="101" t="str">
        <f t="shared" si="73"/>
        <v>One-off</v>
      </c>
      <c r="AC633" s="101" t="str">
        <f t="shared" si="76"/>
        <v>RON</v>
      </c>
      <c r="AD633" s="101">
        <f t="shared" si="77"/>
        <v>10000</v>
      </c>
    </row>
    <row r="634" spans="1:30">
      <c r="A634" s="101">
        <f t="shared" si="78"/>
        <v>18</v>
      </c>
      <c r="B634" s="101">
        <f t="shared" si="74"/>
        <v>21</v>
      </c>
      <c r="C634" s="101" t="str">
        <f t="shared" si="75"/>
        <v>T21</v>
      </c>
      <c r="D634" s="101" t="str">
        <f>IF(A634&lt;&gt;A633,VLOOKUP(A634,'Date SPV'!$A:$D,4,FALSE),D633)</f>
        <v>Severin Shopping Center SRL</v>
      </c>
      <c r="E634" s="101" t="str">
        <f>VLOOKUP(A634,'Date SPV'!$A$4:$B$34,2,FALSE)</f>
        <v>RSEV</v>
      </c>
      <c r="H634" s="105" t="s">
        <v>894</v>
      </c>
      <c r="K634" s="101" t="str">
        <f>VLOOKUP(C634,'Preturi si tarife'!$A$4:$B$39,2,FALSE)</f>
        <v>Regularizare Energie reactiva  3X</v>
      </c>
      <c r="L634" s="102">
        <f>IF(B634=1,'Date masura OD'!$I$5,IF(B634=19,'Date masura OD'!$AK$5,L633))</f>
        <v>45748</v>
      </c>
      <c r="M634" s="102">
        <f>IF(B634=1,'Date masura OD'!$J$5,IF(B634=19,'Date masura OD'!$AL$5,M633))</f>
        <v>45777</v>
      </c>
      <c r="N634" s="104">
        <f>VLOOKUP(E634,verificare!$AR$4:$CC$33,B634+2,FALSE)</f>
        <v>1893</v>
      </c>
      <c r="O634" s="103">
        <f>HLOOKUP(VLOOKUP(E634,'Date SPV'!$B$4:$F$34,5,FALSE),'Preturi si tarife'!$C$2:$J$39,B634+2,FALSE)*10000</f>
        <v>4395</v>
      </c>
      <c r="Q634" s="101" t="str">
        <f t="shared" si="70"/>
        <v>One-off</v>
      </c>
      <c r="R634" s="101" t="str">
        <f>VLOOKUP(K634,'Preturi si tarife'!$B$4:$K$39,10,FALSE)</f>
        <v>ICOENG0001</v>
      </c>
      <c r="T634" s="101" t="str">
        <f t="shared" si="71"/>
        <v>INV + 30</v>
      </c>
      <c r="V634" s="101" t="str">
        <f t="shared" si="72"/>
        <v>Active</v>
      </c>
      <c r="X634" s="101" t="str">
        <f t="shared" si="73"/>
        <v>One-off</v>
      </c>
      <c r="AC634" s="101" t="str">
        <f t="shared" si="76"/>
        <v>RON</v>
      </c>
      <c r="AD634" s="101">
        <f t="shared" si="77"/>
        <v>10000</v>
      </c>
    </row>
    <row r="635" spans="1:30">
      <c r="A635" s="101">
        <f t="shared" si="78"/>
        <v>18</v>
      </c>
      <c r="B635" s="101">
        <f t="shared" si="74"/>
        <v>22</v>
      </c>
      <c r="C635" s="101" t="str">
        <f t="shared" si="75"/>
        <v>T22</v>
      </c>
      <c r="D635" s="101" t="str">
        <f>IF(A635&lt;&gt;A634,VLOOKUP(A635,'Date SPV'!$A:$D,4,FALSE),D634)</f>
        <v>Severin Shopping Center SRL</v>
      </c>
      <c r="E635" s="101" t="str">
        <f>VLOOKUP(A635,'Date SPV'!$A$4:$B$34,2,FALSE)</f>
        <v>RSEV</v>
      </c>
      <c r="H635" s="105" t="s">
        <v>894</v>
      </c>
      <c r="K635" s="101" t="str">
        <f>VLOOKUP(C635,'Preturi si tarife'!$A$4:$B$39,2,FALSE)</f>
        <v>Regularizare Tarife distributie en. El IT+MT</v>
      </c>
      <c r="L635" s="102">
        <f>IF(B635=1,'Date masura OD'!$I$5,IF(B635=19,'Date masura OD'!$AK$5,L634))</f>
        <v>45748</v>
      </c>
      <c r="M635" s="102">
        <f>IF(B635=1,'Date masura OD'!$J$5,IF(B635=19,'Date masura OD'!$AL$5,M634))</f>
        <v>45777</v>
      </c>
      <c r="N635" s="104">
        <f>VLOOKUP(E635,verificare!$AR$4:$CC$33,B635+2,FALSE)</f>
        <v>1563</v>
      </c>
      <c r="O635" s="103">
        <f>HLOOKUP(VLOOKUP(E635,'Date SPV'!$B$4:$F$34,5,FALSE),'Preturi si tarife'!$C$2:$J$39,B635+2,FALSE)*10000</f>
        <v>1361.3999999999999</v>
      </c>
      <c r="Q635" s="101" t="str">
        <f t="shared" si="70"/>
        <v>One-off</v>
      </c>
      <c r="R635" s="101" t="str">
        <f>VLOOKUP(K635,'Preturi si tarife'!$B$4:$K$39,10,FALSE)</f>
        <v>ICOENG0001</v>
      </c>
      <c r="T635" s="101" t="str">
        <f t="shared" si="71"/>
        <v>INV + 30</v>
      </c>
      <c r="V635" s="101" t="str">
        <f t="shared" si="72"/>
        <v>Active</v>
      </c>
      <c r="X635" s="101" t="str">
        <f t="shared" si="73"/>
        <v>One-off</v>
      </c>
      <c r="AC635" s="101" t="str">
        <f t="shared" si="76"/>
        <v>RON</v>
      </c>
      <c r="AD635" s="101">
        <f t="shared" si="77"/>
        <v>10000</v>
      </c>
    </row>
    <row r="636" spans="1:30">
      <c r="A636" s="101">
        <f t="shared" si="78"/>
        <v>18</v>
      </c>
      <c r="B636" s="101">
        <f t="shared" si="74"/>
        <v>23</v>
      </c>
      <c r="C636" s="101" t="str">
        <f t="shared" si="75"/>
        <v>T23</v>
      </c>
      <c r="D636" s="101" t="str">
        <f>IF(A636&lt;&gt;A635,VLOOKUP(A636,'Date SPV'!$A:$D,4,FALSE),D635)</f>
        <v>Severin Shopping Center SRL</v>
      </c>
      <c r="E636" s="101" t="str">
        <f>VLOOKUP(A636,'Date SPV'!$A$4:$B$34,2,FALSE)</f>
        <v>RSEV</v>
      </c>
      <c r="H636" s="105" t="s">
        <v>894</v>
      </c>
      <c r="K636" s="101" t="str">
        <f>VLOOKUP(C636,'Preturi si tarife'!$A$4:$B$39,2,FALSE)</f>
        <v>Regularizare Tarife distributie en. El JT</v>
      </c>
      <c r="L636" s="102">
        <f>IF(B636=1,'Date masura OD'!$I$5,IF(B636=19,'Date masura OD'!$AK$5,L635))</f>
        <v>45748</v>
      </c>
      <c r="M636" s="102">
        <f>IF(B636=1,'Date masura OD'!$J$5,IF(B636=19,'Date masura OD'!$AL$5,M635))</f>
        <v>45777</v>
      </c>
      <c r="N636" s="104">
        <f>VLOOKUP(E636,verificare!$AR$4:$CC$33,B636+2,FALSE)</f>
        <v>0</v>
      </c>
      <c r="O636" s="103">
        <f>HLOOKUP(VLOOKUP(E636,'Date SPV'!$B$4:$F$34,5,FALSE),'Preturi si tarife'!$C$2:$J$39,B636+2,FALSE)*10000</f>
        <v>2273.8999999999996</v>
      </c>
      <c r="Q636" s="101" t="str">
        <f t="shared" ref="Q636:Q699" si="79">Q635</f>
        <v>One-off</v>
      </c>
      <c r="R636" s="101" t="str">
        <f>VLOOKUP(K636,'Preturi si tarife'!$B$4:$K$39,10,FALSE)</f>
        <v>ICOENG0001</v>
      </c>
      <c r="T636" s="101" t="str">
        <f t="shared" ref="T636:T699" si="80">T635</f>
        <v>INV + 30</v>
      </c>
      <c r="V636" s="101" t="str">
        <f t="shared" ref="V636:V699" si="81">V635</f>
        <v>Active</v>
      </c>
      <c r="X636" s="101" t="str">
        <f t="shared" ref="X636:X699" si="82">X635</f>
        <v>One-off</v>
      </c>
      <c r="AC636" s="101" t="str">
        <f t="shared" si="76"/>
        <v>RON</v>
      </c>
      <c r="AD636" s="101">
        <f t="shared" si="77"/>
        <v>10000</v>
      </c>
    </row>
    <row r="637" spans="1:30">
      <c r="A637" s="101">
        <f t="shared" si="78"/>
        <v>18</v>
      </c>
      <c r="B637" s="101">
        <f t="shared" ref="B637:B700" si="83">IF(A637&lt;&gt;A636,1,B636+1)</f>
        <v>24</v>
      </c>
      <c r="C637" s="101" t="str">
        <f t="shared" ref="C637:C700" si="84">_xlfn.CONCAT("T",B637)</f>
        <v>T24</v>
      </c>
      <c r="D637" s="101" t="str">
        <f>IF(A637&lt;&gt;A636,VLOOKUP(A637,'Date SPV'!$A:$D,4,FALSE),D636)</f>
        <v>Severin Shopping Center SRL</v>
      </c>
      <c r="E637" s="101" t="str">
        <f>VLOOKUP(A637,'Date SPV'!$A$4:$B$34,2,FALSE)</f>
        <v>RSEV</v>
      </c>
      <c r="H637" s="105" t="s">
        <v>894</v>
      </c>
      <c r="K637" s="101" t="str">
        <f>VLOOKUP(C637,'Preturi si tarife'!$A$4:$B$39,2,FALSE)</f>
        <v xml:space="preserve">Regularizare Servicii Sistem </v>
      </c>
      <c r="L637" s="102">
        <f>IF(B637=1,'Date masura OD'!$I$5,IF(B637=19,'Date masura OD'!$AK$5,L636))</f>
        <v>45748</v>
      </c>
      <c r="M637" s="102">
        <f>IF(B637=1,'Date masura OD'!$J$5,IF(B637=19,'Date masura OD'!$AL$5,M636))</f>
        <v>45777</v>
      </c>
      <c r="N637" s="104">
        <f>VLOOKUP(E637,verificare!$AR$4:$CC$33,B637+2,FALSE)</f>
        <v>1563</v>
      </c>
      <c r="O637" s="103">
        <f>HLOOKUP(VLOOKUP(E637,'Date SPV'!$B$4:$F$34,5,FALSE),'Preturi si tarife'!$C$2:$J$39,B637+2,FALSE)*10000</f>
        <v>115.1</v>
      </c>
      <c r="Q637" s="101" t="str">
        <f t="shared" si="79"/>
        <v>One-off</v>
      </c>
      <c r="R637" s="101" t="str">
        <f>VLOOKUP(K637,'Preturi si tarife'!$B$4:$K$39,10,FALSE)</f>
        <v>ICOENG0001</v>
      </c>
      <c r="T637" s="101" t="str">
        <f t="shared" si="80"/>
        <v>INV + 30</v>
      </c>
      <c r="V637" s="101" t="str">
        <f t="shared" si="81"/>
        <v>Active</v>
      </c>
      <c r="X637" s="101" t="str">
        <f t="shared" si="82"/>
        <v>One-off</v>
      </c>
      <c r="AC637" s="101" t="str">
        <f t="shared" ref="AC637:AC700" si="85">AC636</f>
        <v>RON</v>
      </c>
      <c r="AD637" s="101">
        <f t="shared" ref="AD637:AD700" si="86">AD636</f>
        <v>10000</v>
      </c>
    </row>
    <row r="638" spans="1:30">
      <c r="A638" s="101">
        <f t="shared" si="78"/>
        <v>18</v>
      </c>
      <c r="B638" s="101">
        <f t="shared" si="83"/>
        <v>25</v>
      </c>
      <c r="C638" s="101" t="str">
        <f t="shared" si="84"/>
        <v>T25</v>
      </c>
      <c r="D638" s="101" t="str">
        <f>IF(A638&lt;&gt;A637,VLOOKUP(A638,'Date SPV'!$A:$D,4,FALSE),D637)</f>
        <v>Severin Shopping Center SRL</v>
      </c>
      <c r="E638" s="101" t="str">
        <f>VLOOKUP(A638,'Date SPV'!$A$4:$B$34,2,FALSE)</f>
        <v>RSEV</v>
      </c>
      <c r="H638" s="105" t="s">
        <v>894</v>
      </c>
      <c r="K638" s="101" t="str">
        <f>VLOOKUP(C638,'Preturi si tarife'!$A$4:$B$39,2,FALSE)</f>
        <v>Regularizare Tarif de introducere en. el in retea (TL)</v>
      </c>
      <c r="L638" s="102">
        <f>IF(B638=1,'Date masura OD'!$I$5,IF(B638=19,'Date masura OD'!$AK$5,L637))</f>
        <v>45748</v>
      </c>
      <c r="M638" s="102">
        <f>IF(B638=1,'Date masura OD'!$J$5,IF(B638=19,'Date masura OD'!$AL$5,M637))</f>
        <v>45777</v>
      </c>
      <c r="N638" s="104">
        <f>VLOOKUP(E638,verificare!$AR$4:$CC$33,B638+2,FALSE)</f>
        <v>1563</v>
      </c>
      <c r="O638" s="103">
        <f>HLOOKUP(VLOOKUP(E638,'Date SPV'!$B$4:$F$34,5,FALSE),'Preturi si tarife'!$C$2:$J$39,B638+2,FALSE)*10000</f>
        <v>330.3</v>
      </c>
      <c r="Q638" s="101" t="str">
        <f t="shared" si="79"/>
        <v>One-off</v>
      </c>
      <c r="R638" s="101" t="str">
        <f>VLOOKUP(K638,'Preturi si tarife'!$B$4:$K$39,10,FALSE)</f>
        <v>ICOENG0001</v>
      </c>
      <c r="T638" s="101" t="str">
        <f t="shared" si="80"/>
        <v>INV + 30</v>
      </c>
      <c r="V638" s="101" t="str">
        <f t="shared" si="81"/>
        <v>Active</v>
      </c>
      <c r="X638" s="101" t="str">
        <f t="shared" si="82"/>
        <v>One-off</v>
      </c>
      <c r="AC638" s="101" t="str">
        <f t="shared" si="85"/>
        <v>RON</v>
      </c>
      <c r="AD638" s="101">
        <f t="shared" si="86"/>
        <v>10000</v>
      </c>
    </row>
    <row r="639" spans="1:30">
      <c r="A639" s="101">
        <f t="shared" si="78"/>
        <v>18</v>
      </c>
      <c r="B639" s="101">
        <f t="shared" si="83"/>
        <v>26</v>
      </c>
      <c r="C639" s="101" t="str">
        <f t="shared" si="84"/>
        <v>T26</v>
      </c>
      <c r="D639" s="101" t="str">
        <f>IF(A639&lt;&gt;A638,VLOOKUP(A639,'Date SPV'!$A:$D,4,FALSE),D638)</f>
        <v>Severin Shopping Center SRL</v>
      </c>
      <c r="E639" s="101" t="str">
        <f>VLOOKUP(A639,'Date SPV'!$A$4:$B$34,2,FALSE)</f>
        <v>RSEV</v>
      </c>
      <c r="H639" s="105" t="s">
        <v>894</v>
      </c>
      <c r="K639" s="101" t="str">
        <f>VLOOKUP(C639,'Preturi si tarife'!$A$4:$B$39,2,FALSE)</f>
        <v>Regularizare Tarif de introducere en.el in retea (TG)</v>
      </c>
      <c r="L639" s="102">
        <f>IF(B639=1,'Date masura OD'!$I$5,IF(B639=19,'Date masura OD'!$AK$5,L638))</f>
        <v>45748</v>
      </c>
      <c r="M639" s="102">
        <f>IF(B639=1,'Date masura OD'!$J$5,IF(B639=19,'Date masura OD'!$AL$5,M638))</f>
        <v>45777</v>
      </c>
      <c r="N639" s="104">
        <f>VLOOKUP(E639,verificare!$AR$4:$CC$33,B639+2,FALSE)</f>
        <v>1563</v>
      </c>
      <c r="O639" s="103">
        <f>HLOOKUP(VLOOKUP(E639,'Date SPV'!$B$4:$F$34,5,FALSE),'Preturi si tarife'!$C$2:$J$39,B639+2,FALSE)*10000</f>
        <v>32.9</v>
      </c>
      <c r="Q639" s="101" t="str">
        <f t="shared" si="79"/>
        <v>One-off</v>
      </c>
      <c r="R639" s="101" t="str">
        <f>VLOOKUP(K639,'Preturi si tarife'!$B$4:$K$39,10,FALSE)</f>
        <v>ICOENG0001</v>
      </c>
      <c r="T639" s="101" t="str">
        <f t="shared" si="80"/>
        <v>INV + 30</v>
      </c>
      <c r="V639" s="101" t="str">
        <f t="shared" si="81"/>
        <v>Active</v>
      </c>
      <c r="X639" s="101" t="str">
        <f t="shared" si="82"/>
        <v>One-off</v>
      </c>
      <c r="AC639" s="101" t="str">
        <f t="shared" si="85"/>
        <v>RON</v>
      </c>
      <c r="AD639" s="101">
        <f t="shared" si="86"/>
        <v>10000</v>
      </c>
    </row>
    <row r="640" spans="1:30">
      <c r="A640" s="101">
        <f t="shared" si="78"/>
        <v>18</v>
      </c>
      <c r="B640" s="101">
        <f t="shared" si="83"/>
        <v>27</v>
      </c>
      <c r="C640" s="101" t="str">
        <f t="shared" si="84"/>
        <v>T27</v>
      </c>
      <c r="D640" s="101" t="str">
        <f>IF(A640&lt;&gt;A639,VLOOKUP(A640,'Date SPV'!$A:$D,4,FALSE),D639)</f>
        <v>Severin Shopping Center SRL</v>
      </c>
      <c r="E640" s="101" t="str">
        <f>VLOOKUP(A640,'Date SPV'!$A$4:$B$34,2,FALSE)</f>
        <v>RSEV</v>
      </c>
      <c r="H640" s="105" t="s">
        <v>894</v>
      </c>
      <c r="K640" s="101" t="str">
        <f>VLOOKUP(C640,'Preturi si tarife'!$A$4:$B$39,2,FALSE)</f>
        <v>Regularizare Contributie pentru cogenerare</v>
      </c>
      <c r="L640" s="102">
        <f>IF(B640=1,'Date masura OD'!$I$5,IF(B640=19,'Date masura OD'!$AK$5,L639))</f>
        <v>45748</v>
      </c>
      <c r="M640" s="102">
        <f>IF(B640=1,'Date masura OD'!$J$5,IF(B640=19,'Date masura OD'!$AL$5,M639))</f>
        <v>45777</v>
      </c>
      <c r="N640" s="104">
        <f>VLOOKUP(E640,verificare!$AR$4:$CC$33,B640+2,FALSE)</f>
        <v>1563</v>
      </c>
      <c r="O640" s="103">
        <f>HLOOKUP(VLOOKUP(E640,'Date SPV'!$B$4:$F$34,5,FALSE),'Preturi si tarife'!$C$2:$J$39,B640+2,FALSE)*10000</f>
        <v>35</v>
      </c>
      <c r="Q640" s="101" t="str">
        <f t="shared" si="79"/>
        <v>One-off</v>
      </c>
      <c r="R640" s="101" t="str">
        <f>VLOOKUP(K640,'Preturi si tarife'!$B$4:$K$39,10,FALSE)</f>
        <v>ICOENG0001</v>
      </c>
      <c r="T640" s="101" t="str">
        <f t="shared" si="80"/>
        <v>INV + 30</v>
      </c>
      <c r="V640" s="101" t="str">
        <f t="shared" si="81"/>
        <v>Active</v>
      </c>
      <c r="X640" s="101" t="str">
        <f t="shared" si="82"/>
        <v>One-off</v>
      </c>
      <c r="AC640" s="101" t="str">
        <f t="shared" si="85"/>
        <v>RON</v>
      </c>
      <c r="AD640" s="101">
        <f t="shared" si="86"/>
        <v>10000</v>
      </c>
    </row>
    <row r="641" spans="1:30">
      <c r="A641" s="101">
        <f t="shared" si="78"/>
        <v>18</v>
      </c>
      <c r="B641" s="101">
        <f t="shared" si="83"/>
        <v>28</v>
      </c>
      <c r="C641" s="101" t="str">
        <f t="shared" si="84"/>
        <v>T28</v>
      </c>
      <c r="D641" s="101" t="str">
        <f>IF(A641&lt;&gt;A640,VLOOKUP(A641,'Date SPV'!$A:$D,4,FALSE),D640)</f>
        <v>Severin Shopping Center SRL</v>
      </c>
      <c r="E641" s="101" t="str">
        <f>VLOOKUP(A641,'Date SPV'!$A$4:$B$34,2,FALSE)</f>
        <v>RSEV</v>
      </c>
      <c r="H641" s="105" t="s">
        <v>894</v>
      </c>
      <c r="K641" s="101" t="str">
        <f>VLOOKUP(C641,'Preturi si tarife'!$A$4:$B$39,2,FALSE)</f>
        <v xml:space="preserve">Regularizare Certificate verzi </v>
      </c>
      <c r="L641" s="102">
        <f>IF(B641=1,'Date masura OD'!$I$5,IF(B641=19,'Date masura OD'!$AK$5,L640))</f>
        <v>45748</v>
      </c>
      <c r="M641" s="102">
        <f>IF(B641=1,'Date masura OD'!$J$5,IF(B641=19,'Date masura OD'!$AL$5,M640))</f>
        <v>45777</v>
      </c>
      <c r="N641" s="104">
        <f>VLOOKUP(E641,verificare!$AR$4:$CC$33,B641+2,FALSE)</f>
        <v>1563</v>
      </c>
      <c r="O641" s="103">
        <f>HLOOKUP(VLOOKUP(E641,'Date SPV'!$B$4:$F$34,5,FALSE),'Preturi si tarife'!$C$2:$J$39,B641+2,FALSE)*10000</f>
        <v>725.41599999999994</v>
      </c>
      <c r="Q641" s="101" t="str">
        <f t="shared" si="79"/>
        <v>One-off</v>
      </c>
      <c r="R641" s="101" t="str">
        <f>VLOOKUP(K641,'Preturi si tarife'!$B$4:$K$39,10,FALSE)</f>
        <v>ICOENG0001</v>
      </c>
      <c r="T641" s="101" t="str">
        <f t="shared" si="80"/>
        <v>INV + 30</v>
      </c>
      <c r="V641" s="101" t="str">
        <f t="shared" si="81"/>
        <v>Active</v>
      </c>
      <c r="X641" s="101" t="str">
        <f t="shared" si="82"/>
        <v>One-off</v>
      </c>
      <c r="AC641" s="101" t="str">
        <f t="shared" si="85"/>
        <v>RON</v>
      </c>
      <c r="AD641" s="101">
        <f t="shared" si="86"/>
        <v>10000</v>
      </c>
    </row>
    <row r="642" spans="1:30">
      <c r="A642" s="101">
        <f t="shared" si="78"/>
        <v>18</v>
      </c>
      <c r="B642" s="101">
        <f t="shared" si="83"/>
        <v>29</v>
      </c>
      <c r="C642" s="101" t="str">
        <f t="shared" si="84"/>
        <v>T29</v>
      </c>
      <c r="D642" s="101" t="str">
        <f>IF(A642&lt;&gt;A641,VLOOKUP(A642,'Date SPV'!$A:$D,4,FALSE),D641)</f>
        <v>Severin Shopping Center SRL</v>
      </c>
      <c r="E642" s="101" t="str">
        <f>VLOOKUP(A642,'Date SPV'!$A$4:$B$34,2,FALSE)</f>
        <v>RSEV</v>
      </c>
      <c r="H642" s="105" t="s">
        <v>894</v>
      </c>
      <c r="K642" s="101" t="str">
        <f>VLOOKUP(C642,'Preturi si tarife'!$A$4:$B$39,2,FALSE)</f>
        <v>Regularizare Contributie CFD</v>
      </c>
      <c r="L642" s="102">
        <f>IF(B642=1,'Date masura OD'!$I$5,IF(B642=19,'Date masura OD'!$AK$5,L641))</f>
        <v>45748</v>
      </c>
      <c r="M642" s="102">
        <f>IF(B642=1,'Date masura OD'!$J$5,IF(B642=19,'Date masura OD'!$AL$5,M641))</f>
        <v>45777</v>
      </c>
      <c r="N642" s="104">
        <f>VLOOKUP(E642,verificare!$AR$4:$CC$33,B642+2,FALSE)</f>
        <v>1563</v>
      </c>
      <c r="O642" s="103">
        <f>HLOOKUP(VLOOKUP(E642,'Date SPV'!$B$4:$F$34,5,FALSE),'Preturi si tarife'!$C$2:$J$39,B642+2,FALSE)*10000</f>
        <v>2.06</v>
      </c>
      <c r="Q642" s="101" t="str">
        <f t="shared" si="79"/>
        <v>One-off</v>
      </c>
      <c r="R642" s="101" t="str">
        <f>VLOOKUP(K642,'Preturi si tarife'!$B$4:$K$39,10,FALSE)</f>
        <v>ICOENG0001</v>
      </c>
      <c r="T642" s="101" t="str">
        <f t="shared" si="80"/>
        <v>INV + 30</v>
      </c>
      <c r="V642" s="101" t="str">
        <f t="shared" si="81"/>
        <v>Active</v>
      </c>
      <c r="X642" s="101" t="str">
        <f t="shared" si="82"/>
        <v>One-off</v>
      </c>
      <c r="AC642" s="101" t="str">
        <f t="shared" si="85"/>
        <v>RON</v>
      </c>
      <c r="AD642" s="101">
        <f t="shared" si="86"/>
        <v>10000</v>
      </c>
    </row>
    <row r="643" spans="1:30">
      <c r="A643" s="101">
        <f t="shared" si="78"/>
        <v>18</v>
      </c>
      <c r="B643" s="101">
        <f t="shared" si="83"/>
        <v>30</v>
      </c>
      <c r="C643" s="101" t="str">
        <f t="shared" si="84"/>
        <v>T30</v>
      </c>
      <c r="D643" s="101" t="str">
        <f>IF(A643&lt;&gt;A642,VLOOKUP(A643,'Date SPV'!$A:$D,4,FALSE),D642)</f>
        <v>Severin Shopping Center SRL</v>
      </c>
      <c r="E643" s="101" t="str">
        <f>VLOOKUP(A643,'Date SPV'!$A$4:$B$34,2,FALSE)</f>
        <v>RSEV</v>
      </c>
      <c r="H643" s="105" t="s">
        <v>894</v>
      </c>
      <c r="K643" s="101" t="str">
        <f>VLOOKUP(C643,'Preturi si tarife'!$A$4:$B$39,2,FALSE)</f>
        <v>Regularizare Acciza</v>
      </c>
      <c r="L643" s="102">
        <f>IF(B643=1,'Date masura OD'!$I$5,IF(B643=19,'Date masura OD'!$AK$5,L642))</f>
        <v>45748</v>
      </c>
      <c r="M643" s="102">
        <f>IF(B643=1,'Date masura OD'!$J$5,IF(B643=19,'Date masura OD'!$AL$5,M642))</f>
        <v>45777</v>
      </c>
      <c r="N643" s="104">
        <f>VLOOKUP(E643,verificare!$AR$4:$CC$33,B643+2,FALSE)</f>
        <v>1563</v>
      </c>
      <c r="O643" s="103">
        <f>HLOOKUP(VLOOKUP(E643,'Date SPV'!$B$4:$F$34,5,FALSE),'Preturi si tarife'!$C$2:$J$39,B643+2,FALSE)*10000</f>
        <v>0</v>
      </c>
      <c r="Q643" s="101" t="str">
        <f t="shared" si="79"/>
        <v>One-off</v>
      </c>
      <c r="R643" s="101" t="str">
        <f>VLOOKUP(K643,'Preturi si tarife'!$B$4:$K$39,10,FALSE)</f>
        <v>ICOENG0001</v>
      </c>
      <c r="T643" s="101" t="str">
        <f t="shared" si="80"/>
        <v>INV + 30</v>
      </c>
      <c r="V643" s="101" t="str">
        <f t="shared" si="81"/>
        <v>Active</v>
      </c>
      <c r="X643" s="101" t="str">
        <f t="shared" si="82"/>
        <v>One-off</v>
      </c>
      <c r="AC643" s="101" t="str">
        <f t="shared" si="85"/>
        <v>RON</v>
      </c>
      <c r="AD643" s="101">
        <f t="shared" si="86"/>
        <v>10000</v>
      </c>
    </row>
    <row r="644" spans="1:30">
      <c r="A644" s="101">
        <f t="shared" ref="A644:A707" si="87">IF(B643=36,A643+1,A643)</f>
        <v>18</v>
      </c>
      <c r="B644" s="101">
        <f t="shared" si="83"/>
        <v>31</v>
      </c>
      <c r="C644" s="101" t="str">
        <f t="shared" si="84"/>
        <v>T31</v>
      </c>
      <c r="D644" s="101" t="str">
        <f>IF(A644&lt;&gt;A643,VLOOKUP(A644,'Date SPV'!$A:$D,4,FALSE),D643)</f>
        <v>Severin Shopping Center SRL</v>
      </c>
      <c r="E644" s="101" t="str">
        <f>VLOOKUP(A644,'Date SPV'!$A$4:$B$34,2,FALSE)</f>
        <v>RSEV</v>
      </c>
      <c r="H644" s="105" t="s">
        <v>894</v>
      </c>
      <c r="K644" s="101" t="str">
        <f>VLOOKUP(C644,'Preturi si tarife'!$A$4:$B$39,2,FALSE)</f>
        <v>Regularizare Tarif distributie SDI MT Ea1</v>
      </c>
      <c r="L644" s="102">
        <f>IF(B644=1,'Date masura OD'!$I$5,IF(B644=19,'Date masura OD'!$AK$5,L643))</f>
        <v>45748</v>
      </c>
      <c r="M644" s="102">
        <f>IF(B644=1,'Date masura OD'!$J$5,IF(B644=19,'Date masura OD'!$AL$5,M643))</f>
        <v>45777</v>
      </c>
      <c r="N644" s="104">
        <f>VLOOKUP(E644,verificare!$AR$4:$CC$33,B644+2,FALSE)</f>
        <v>0</v>
      </c>
      <c r="O644" s="103">
        <f>HLOOKUP(VLOOKUP(E644,'Date SPV'!$B$4:$F$34,5,FALSE),'Preturi si tarife'!$C$2:$J$39,B644+2,FALSE)*10000</f>
        <v>170</v>
      </c>
      <c r="Q644" s="101" t="str">
        <f t="shared" si="79"/>
        <v>One-off</v>
      </c>
      <c r="R644" s="101" t="str">
        <f>VLOOKUP(K644,'Preturi si tarife'!$B$4:$K$39,10,FALSE)</f>
        <v>ICOENG0010</v>
      </c>
      <c r="T644" s="101" t="str">
        <f t="shared" si="80"/>
        <v>INV + 30</v>
      </c>
      <c r="V644" s="101" t="str">
        <f t="shared" si="81"/>
        <v>Active</v>
      </c>
      <c r="X644" s="101" t="str">
        <f t="shared" si="82"/>
        <v>One-off</v>
      </c>
      <c r="AC644" s="101" t="str">
        <f t="shared" si="85"/>
        <v>RON</v>
      </c>
      <c r="AD644" s="101">
        <f t="shared" si="86"/>
        <v>10000</v>
      </c>
    </row>
    <row r="645" spans="1:30">
      <c r="A645" s="101">
        <f t="shared" si="87"/>
        <v>18</v>
      </c>
      <c r="B645" s="101">
        <f t="shared" si="83"/>
        <v>32</v>
      </c>
      <c r="C645" s="101" t="str">
        <f t="shared" si="84"/>
        <v>T32</v>
      </c>
      <c r="D645" s="101" t="str">
        <f>IF(A645&lt;&gt;A644,VLOOKUP(A645,'Date SPV'!$A:$D,4,FALSE),D644)</f>
        <v>Severin Shopping Center SRL</v>
      </c>
      <c r="E645" s="101" t="str">
        <f>VLOOKUP(A645,'Date SPV'!$A$4:$B$34,2,FALSE)</f>
        <v>RSEV</v>
      </c>
      <c r="H645" s="105" t="s">
        <v>894</v>
      </c>
      <c r="K645" s="101" t="str">
        <f>VLOOKUP(C645,'Preturi si tarife'!$A$4:$B$39,2,FALSE)</f>
        <v>Regularizare Tarif distributie SDI JT Ea1</v>
      </c>
      <c r="L645" s="102">
        <f>IF(B645=1,'Date masura OD'!$I$5,IF(B645=19,'Date masura OD'!$AK$5,L644))</f>
        <v>45748</v>
      </c>
      <c r="M645" s="102">
        <f>IF(B645=1,'Date masura OD'!$J$5,IF(B645=19,'Date masura OD'!$AL$5,M644))</f>
        <v>45777</v>
      </c>
      <c r="N645" s="104">
        <f>VLOOKUP(E645,verificare!$AR$4:$CC$33,B645+2,FALSE)</f>
        <v>0</v>
      </c>
      <c r="O645" s="103">
        <f>HLOOKUP(VLOOKUP(E645,'Date SPV'!$B$4:$F$34,5,FALSE),'Preturi si tarife'!$C$2:$J$39,B645+2,FALSE)*10000</f>
        <v>1029</v>
      </c>
      <c r="Q645" s="101" t="str">
        <f t="shared" si="79"/>
        <v>One-off</v>
      </c>
      <c r="R645" s="101" t="str">
        <f>VLOOKUP(K645,'Preturi si tarife'!$B$4:$K$39,10,FALSE)</f>
        <v>ICOENG0010</v>
      </c>
      <c r="T645" s="101" t="str">
        <f t="shared" si="80"/>
        <v>INV + 30</v>
      </c>
      <c r="V645" s="101" t="str">
        <f t="shared" si="81"/>
        <v>Active</v>
      </c>
      <c r="X645" s="101" t="str">
        <f t="shared" si="82"/>
        <v>One-off</v>
      </c>
      <c r="AC645" s="101" t="str">
        <f t="shared" si="85"/>
        <v>RON</v>
      </c>
      <c r="AD645" s="101">
        <f t="shared" si="86"/>
        <v>10000</v>
      </c>
    </row>
    <row r="646" spans="1:30">
      <c r="A646" s="101">
        <f t="shared" si="87"/>
        <v>18</v>
      </c>
      <c r="B646" s="101">
        <f t="shared" si="83"/>
        <v>33</v>
      </c>
      <c r="C646" s="101" t="str">
        <f t="shared" si="84"/>
        <v>T33</v>
      </c>
      <c r="D646" s="101" t="str">
        <f>IF(A646&lt;&gt;A645,VLOOKUP(A646,'Date SPV'!$A:$D,4,FALSE),D645)</f>
        <v>Severin Shopping Center SRL</v>
      </c>
      <c r="E646" s="101" t="str">
        <f>VLOOKUP(A646,'Date SPV'!$A$4:$B$34,2,FALSE)</f>
        <v>RSEV</v>
      </c>
      <c r="H646" s="105" t="s">
        <v>894</v>
      </c>
      <c r="K646" s="101" t="str">
        <f>VLOOKUP(C646,'Preturi si tarife'!$A$4:$B$39,2,FALSE)</f>
        <v>Regularizare Energie activa 2</v>
      </c>
      <c r="L646" s="102">
        <f>IF(B646=1,'Date masura OD'!$I$5,IF(B646=19,'Date masura OD'!$AK$5,L645))</f>
        <v>45748</v>
      </c>
      <c r="M646" s="102">
        <f>IF(B646=1,'Date masura OD'!$J$5,IF(B646=19,'Date masura OD'!$AL$5,M645))</f>
        <v>45777</v>
      </c>
      <c r="N646" s="104">
        <f>VLOOKUP(E646,verificare!$AR$4:$CC$33,B646+2,FALSE)</f>
        <v>0</v>
      </c>
      <c r="O646" s="103">
        <f>HLOOKUP(VLOOKUP(E646,'Date SPV'!$B$4:$F$34,5,FALSE),'Preturi si tarife'!$C$2:$J$39,B646+2,FALSE)*10000</f>
        <v>9751.1759999999995</v>
      </c>
      <c r="Q646" s="101" t="str">
        <f t="shared" si="79"/>
        <v>One-off</v>
      </c>
      <c r="R646" s="101" t="str">
        <f>VLOOKUP(K646,'Preturi si tarife'!$B$4:$K$39,10,FALSE)</f>
        <v>ICOENG0012</v>
      </c>
      <c r="T646" s="101" t="str">
        <f t="shared" si="80"/>
        <v>INV + 30</v>
      </c>
      <c r="V646" s="101" t="str">
        <f t="shared" si="81"/>
        <v>Active</v>
      </c>
      <c r="X646" s="101" t="str">
        <f t="shared" si="82"/>
        <v>One-off</v>
      </c>
      <c r="AC646" s="101" t="str">
        <f t="shared" si="85"/>
        <v>RON</v>
      </c>
      <c r="AD646" s="101">
        <f t="shared" si="86"/>
        <v>10000</v>
      </c>
    </row>
    <row r="647" spans="1:30">
      <c r="A647" s="101">
        <f t="shared" si="87"/>
        <v>18</v>
      </c>
      <c r="B647" s="101">
        <f t="shared" si="83"/>
        <v>34</v>
      </c>
      <c r="C647" s="101" t="str">
        <f t="shared" si="84"/>
        <v>T34</v>
      </c>
      <c r="D647" s="101" t="str">
        <f>IF(A647&lt;&gt;A646,VLOOKUP(A647,'Date SPV'!$A:$D,4,FALSE),D646)</f>
        <v>Severin Shopping Center SRL</v>
      </c>
      <c r="E647" s="101" t="str">
        <f>VLOOKUP(A647,'Date SPV'!$A$4:$B$34,2,FALSE)</f>
        <v>RSEV</v>
      </c>
      <c r="H647" s="105" t="s">
        <v>894</v>
      </c>
      <c r="K647" s="101" t="str">
        <f>VLOOKUP(C647,'Preturi si tarife'!$A$4:$B$39,2,FALSE)</f>
        <v>Regularizare Energie activa 3</v>
      </c>
      <c r="L647" s="102">
        <f>IF(B647=1,'Date masura OD'!$I$5,IF(B647=19,'Date masura OD'!$AK$5,L646))</f>
        <v>45748</v>
      </c>
      <c r="M647" s="102">
        <f>IF(B647=1,'Date masura OD'!$J$5,IF(B647=19,'Date masura OD'!$AL$5,M646))</f>
        <v>45777</v>
      </c>
      <c r="N647" s="104">
        <f>VLOOKUP(E647,verificare!$AR$4:$CC$33,B647+2,FALSE)</f>
        <v>0</v>
      </c>
      <c r="O647" s="103">
        <f>HLOOKUP(VLOOKUP(E647,'Date SPV'!$B$4:$F$34,5,FALSE),'Preturi si tarife'!$C$2:$J$39,B647+2,FALSE)*10000</f>
        <v>8552.1759999999995</v>
      </c>
      <c r="Q647" s="101" t="str">
        <f t="shared" si="79"/>
        <v>One-off</v>
      </c>
      <c r="R647" s="101" t="str">
        <f>VLOOKUP(K647,'Preturi si tarife'!$B$4:$K$39,10,FALSE)</f>
        <v>ICOENG0012</v>
      </c>
      <c r="T647" s="101" t="str">
        <f t="shared" si="80"/>
        <v>INV + 30</v>
      </c>
      <c r="V647" s="101" t="str">
        <f t="shared" si="81"/>
        <v>Active</v>
      </c>
      <c r="X647" s="101" t="str">
        <f t="shared" si="82"/>
        <v>One-off</v>
      </c>
      <c r="AC647" s="101" t="str">
        <f t="shared" si="85"/>
        <v>RON</v>
      </c>
      <c r="AD647" s="101">
        <f t="shared" si="86"/>
        <v>10000</v>
      </c>
    </row>
    <row r="648" spans="1:30">
      <c r="A648" s="101">
        <f t="shared" si="87"/>
        <v>18</v>
      </c>
      <c r="B648" s="101">
        <f t="shared" si="83"/>
        <v>35</v>
      </c>
      <c r="C648" s="101" t="str">
        <f t="shared" si="84"/>
        <v>T35</v>
      </c>
      <c r="D648" s="101" t="str">
        <f>IF(A648&lt;&gt;A647,VLOOKUP(A648,'Date SPV'!$A:$D,4,FALSE),D647)</f>
        <v>Severin Shopping Center SRL</v>
      </c>
      <c r="E648" s="101" t="str">
        <f>VLOOKUP(A648,'Date SPV'!$A$4:$B$34,2,FALSE)</f>
        <v>RSEV</v>
      </c>
      <c r="H648" s="105" t="s">
        <v>894</v>
      </c>
      <c r="K648" s="101" t="str">
        <f>VLOOKUP(C648,'Preturi si tarife'!$A$4:$B$39,2,FALSE)</f>
        <v>Regularizare Tarif distributie SDI MT Ea3</v>
      </c>
      <c r="L648" s="102">
        <f>IF(B648=1,'Date masura OD'!$I$5,IF(B648=19,'Date masura OD'!$AK$5,L647))</f>
        <v>45748</v>
      </c>
      <c r="M648" s="102">
        <f>IF(B648=1,'Date masura OD'!$J$5,IF(B648=19,'Date masura OD'!$AL$5,M647))</f>
        <v>45777</v>
      </c>
      <c r="N648" s="104">
        <f>VLOOKUP(E648,verificare!$AR$4:$CC$33,B648+2,FALSE)</f>
        <v>0</v>
      </c>
      <c r="O648" s="103">
        <f>HLOOKUP(VLOOKUP(E648,'Date SPV'!$B$4:$F$34,5,FALSE),'Preturi si tarife'!$C$2:$J$39,B648+2,FALSE)*10000</f>
        <v>170</v>
      </c>
      <c r="Q648" s="101" t="str">
        <f t="shared" si="79"/>
        <v>One-off</v>
      </c>
      <c r="R648" s="101" t="str">
        <f>VLOOKUP(K648,'Preturi si tarife'!$B$4:$K$39,10,FALSE)</f>
        <v>ICOENG0010</v>
      </c>
      <c r="T648" s="101" t="str">
        <f t="shared" si="80"/>
        <v>INV + 30</v>
      </c>
      <c r="V648" s="101" t="str">
        <f t="shared" si="81"/>
        <v>Active</v>
      </c>
      <c r="X648" s="101" t="str">
        <f t="shared" si="82"/>
        <v>One-off</v>
      </c>
      <c r="AC648" s="101" t="str">
        <f t="shared" si="85"/>
        <v>RON</v>
      </c>
      <c r="AD648" s="101">
        <f t="shared" si="86"/>
        <v>10000</v>
      </c>
    </row>
    <row r="649" spans="1:30">
      <c r="A649" s="101">
        <f t="shared" si="87"/>
        <v>18</v>
      </c>
      <c r="B649" s="101">
        <f t="shared" si="83"/>
        <v>36</v>
      </c>
      <c r="C649" s="101" t="str">
        <f t="shared" si="84"/>
        <v>T36</v>
      </c>
      <c r="D649" s="101" t="str">
        <f>IF(A649&lt;&gt;A648,VLOOKUP(A649,'Date SPV'!$A:$D,4,FALSE),D648)</f>
        <v>Severin Shopping Center SRL</v>
      </c>
      <c r="E649" s="101" t="str">
        <f>VLOOKUP(A649,'Date SPV'!$A$4:$B$34,2,FALSE)</f>
        <v>RSEV</v>
      </c>
      <c r="H649" s="105" t="s">
        <v>894</v>
      </c>
      <c r="K649" s="101" t="str">
        <f>VLOOKUP(C649,'Preturi si tarife'!$A$4:$B$39,2,FALSE)</f>
        <v>Regularizare Tarif distributie SDI JT Ea3</v>
      </c>
      <c r="L649" s="102">
        <f>IF(B649=1,'Date masura OD'!$I$5,IF(B649=19,'Date masura OD'!$AK$5,L648))</f>
        <v>45748</v>
      </c>
      <c r="M649" s="102">
        <f>IF(B649=1,'Date masura OD'!$J$5,IF(B649=19,'Date masura OD'!$AL$5,M648))</f>
        <v>45777</v>
      </c>
      <c r="N649" s="104">
        <f>VLOOKUP(E649,verificare!$AR$4:$CC$33,B649+2,FALSE)</f>
        <v>0</v>
      </c>
      <c r="O649" s="103">
        <f>HLOOKUP(VLOOKUP(E649,'Date SPV'!$B$4:$F$34,5,FALSE),'Preturi si tarife'!$C$2:$J$39,B649+2,FALSE)*10000</f>
        <v>1029</v>
      </c>
      <c r="Q649" s="101" t="str">
        <f t="shared" si="79"/>
        <v>One-off</v>
      </c>
      <c r="R649" s="101" t="str">
        <f>VLOOKUP(K649,'Preturi si tarife'!$B$4:$K$39,10,FALSE)</f>
        <v>ICOENG0010</v>
      </c>
      <c r="T649" s="101" t="str">
        <f t="shared" si="80"/>
        <v>INV + 30</v>
      </c>
      <c r="V649" s="101" t="str">
        <f t="shared" si="81"/>
        <v>Active</v>
      </c>
      <c r="X649" s="101" t="str">
        <f t="shared" si="82"/>
        <v>One-off</v>
      </c>
      <c r="AC649" s="101" t="str">
        <f t="shared" si="85"/>
        <v>RON</v>
      </c>
      <c r="AD649" s="101">
        <f t="shared" si="86"/>
        <v>10000</v>
      </c>
    </row>
    <row r="650" spans="1:30">
      <c r="A650" s="101">
        <f t="shared" si="87"/>
        <v>19</v>
      </c>
      <c r="B650" s="101">
        <f t="shared" si="83"/>
        <v>1</v>
      </c>
      <c r="C650" s="101" t="str">
        <f t="shared" si="84"/>
        <v>T1</v>
      </c>
      <c r="D650" s="101" t="str">
        <f>IF(A650&lt;&gt;A649,VLOOKUP(A650,'Date SPV'!$A:$D,4,FALSE),D649)</f>
        <v>Iris Titan Shopping Center SRL</v>
      </c>
      <c r="E650" s="101" t="str">
        <f>VLOOKUP(A650,'Date SPV'!$A$4:$B$34,2,FALSE)</f>
        <v>RITS</v>
      </c>
      <c r="H650" s="105" t="s">
        <v>894</v>
      </c>
      <c r="K650" s="101" t="str">
        <f>VLOOKUP(C650,'Preturi si tarife'!$A$4:$B$39,2,FALSE)</f>
        <v>Energie activa 1</v>
      </c>
      <c r="L650" s="102">
        <f>IF(B650=1,'Date masura OD'!$I$5,IF(B650=19,'Date masura OD'!$AK$5,L649))</f>
        <v>45778</v>
      </c>
      <c r="M650" s="102">
        <f>IF(B650=1,'Date masura OD'!$J$5,IF(B650=19,'Date masura OD'!$AL$5,M649))</f>
        <v>45808</v>
      </c>
      <c r="N650" s="104">
        <f>VLOOKUP(E650,verificare!$AR$4:$CC$33,B650+2,FALSE)</f>
        <v>794597</v>
      </c>
      <c r="O650" s="103">
        <f>HLOOKUP(VLOOKUP(E650,'Date SPV'!$B$4:$F$34,5,FALSE),'Preturi si tarife'!$C$2:$J$39,B650+2,FALSE)*10000</f>
        <v>5950</v>
      </c>
      <c r="Q650" s="101" t="str">
        <f t="shared" si="79"/>
        <v>One-off</v>
      </c>
      <c r="R650" s="101" t="str">
        <f>VLOOKUP(K650,'Preturi si tarife'!$B$4:$K$39,10,FALSE)</f>
        <v>ICOENG0001</v>
      </c>
      <c r="T650" s="101" t="str">
        <f t="shared" si="80"/>
        <v>INV + 30</v>
      </c>
      <c r="V650" s="101" t="str">
        <f t="shared" si="81"/>
        <v>Active</v>
      </c>
      <c r="X650" s="101" t="str">
        <f t="shared" si="82"/>
        <v>One-off</v>
      </c>
      <c r="AC650" s="101" t="str">
        <f t="shared" si="85"/>
        <v>RON</v>
      </c>
      <c r="AD650" s="101">
        <f t="shared" si="86"/>
        <v>10000</v>
      </c>
    </row>
    <row r="651" spans="1:30">
      <c r="A651" s="101">
        <f t="shared" si="87"/>
        <v>19</v>
      </c>
      <c r="B651" s="101">
        <f t="shared" si="83"/>
        <v>2</v>
      </c>
      <c r="C651" s="101" t="str">
        <f t="shared" si="84"/>
        <v>T2</v>
      </c>
      <c r="D651" s="101" t="str">
        <f>IF(A651&lt;&gt;A650,VLOOKUP(A651,'Date SPV'!$A:$D,4,FALSE),D650)</f>
        <v>Iris Titan Shopping Center SRL</v>
      </c>
      <c r="E651" s="101" t="str">
        <f>VLOOKUP(A651,'Date SPV'!$A$4:$B$34,2,FALSE)</f>
        <v>RITS</v>
      </c>
      <c r="H651" s="105" t="s">
        <v>894</v>
      </c>
      <c r="K651" s="101" t="str">
        <f>VLOOKUP(C651,'Preturi si tarife'!$A$4:$B$39,2,FALSE)</f>
        <v>Energie reactiva  1X</v>
      </c>
      <c r="L651" s="102">
        <f>IF(B651=1,'Date masura OD'!$I$5,IF(B651=19,'Date masura OD'!$AK$5,L650))</f>
        <v>45778</v>
      </c>
      <c r="M651" s="102">
        <f>IF(B651=1,'Date masura OD'!$J$5,IF(B651=19,'Date masura OD'!$AL$5,M650))</f>
        <v>45808</v>
      </c>
      <c r="N651" s="104">
        <f>VLOOKUP(E651,verificare!$AR$4:$CC$33,B651+2,FALSE)</f>
        <v>0</v>
      </c>
      <c r="O651" s="103">
        <f>HLOOKUP(VLOOKUP(E651,'Date SPV'!$B$4:$F$34,5,FALSE),'Preturi si tarife'!$C$2:$J$39,B651+2,FALSE)*10000</f>
        <v>1466</v>
      </c>
      <c r="Q651" s="101" t="str">
        <f t="shared" si="79"/>
        <v>One-off</v>
      </c>
      <c r="R651" s="101" t="str">
        <f>VLOOKUP(K651,'Preturi si tarife'!$B$4:$K$39,10,FALSE)</f>
        <v>ICOENG0001</v>
      </c>
      <c r="T651" s="101" t="str">
        <f t="shared" si="80"/>
        <v>INV + 30</v>
      </c>
      <c r="V651" s="101" t="str">
        <f t="shared" si="81"/>
        <v>Active</v>
      </c>
      <c r="X651" s="101" t="str">
        <f t="shared" si="82"/>
        <v>One-off</v>
      </c>
      <c r="AC651" s="101" t="str">
        <f t="shared" si="85"/>
        <v>RON</v>
      </c>
      <c r="AD651" s="101">
        <f t="shared" si="86"/>
        <v>10000</v>
      </c>
    </row>
    <row r="652" spans="1:30">
      <c r="A652" s="101">
        <f t="shared" si="87"/>
        <v>19</v>
      </c>
      <c r="B652" s="101">
        <f t="shared" si="83"/>
        <v>3</v>
      </c>
      <c r="C652" s="101" t="str">
        <f t="shared" si="84"/>
        <v>T3</v>
      </c>
      <c r="D652" s="101" t="str">
        <f>IF(A652&lt;&gt;A651,VLOOKUP(A652,'Date SPV'!$A:$D,4,FALSE),D651)</f>
        <v>Iris Titan Shopping Center SRL</v>
      </c>
      <c r="E652" s="101" t="str">
        <f>VLOOKUP(A652,'Date SPV'!$A$4:$B$34,2,FALSE)</f>
        <v>RITS</v>
      </c>
      <c r="H652" s="105" t="s">
        <v>894</v>
      </c>
      <c r="K652" s="101" t="str">
        <f>VLOOKUP(C652,'Preturi si tarife'!$A$4:$B$39,2,FALSE)</f>
        <v>Energie reactiva  3X</v>
      </c>
      <c r="L652" s="102">
        <f>IF(B652=1,'Date masura OD'!$I$5,IF(B652=19,'Date masura OD'!$AK$5,L651))</f>
        <v>45778</v>
      </c>
      <c r="M652" s="102">
        <f>IF(B652=1,'Date masura OD'!$J$5,IF(B652=19,'Date masura OD'!$AL$5,M651))</f>
        <v>45808</v>
      </c>
      <c r="N652" s="104">
        <f>VLOOKUP(E652,verificare!$AR$4:$CC$33,B652+2,FALSE)</f>
        <v>0</v>
      </c>
      <c r="O652" s="103">
        <f>HLOOKUP(VLOOKUP(E652,'Date SPV'!$B$4:$F$34,5,FALSE),'Preturi si tarife'!$C$2:$J$39,B652+2,FALSE)*10000</f>
        <v>4398</v>
      </c>
      <c r="Q652" s="101" t="str">
        <f t="shared" si="79"/>
        <v>One-off</v>
      </c>
      <c r="R652" s="101" t="str">
        <f>VLOOKUP(K652,'Preturi si tarife'!$B$4:$K$39,10,FALSE)</f>
        <v>ICOENG0001</v>
      </c>
      <c r="T652" s="101" t="str">
        <f t="shared" si="80"/>
        <v>INV + 30</v>
      </c>
      <c r="V652" s="101" t="str">
        <f t="shared" si="81"/>
        <v>Active</v>
      </c>
      <c r="X652" s="101" t="str">
        <f t="shared" si="82"/>
        <v>One-off</v>
      </c>
      <c r="AC652" s="101" t="str">
        <f t="shared" si="85"/>
        <v>RON</v>
      </c>
      <c r="AD652" s="101">
        <f t="shared" si="86"/>
        <v>10000</v>
      </c>
    </row>
    <row r="653" spans="1:30">
      <c r="A653" s="101">
        <f t="shared" si="87"/>
        <v>19</v>
      </c>
      <c r="B653" s="101">
        <f t="shared" si="83"/>
        <v>4</v>
      </c>
      <c r="C653" s="101" t="str">
        <f t="shared" si="84"/>
        <v>T4</v>
      </c>
      <c r="D653" s="101" t="str">
        <f>IF(A653&lt;&gt;A652,VLOOKUP(A653,'Date SPV'!$A:$D,4,FALSE),D652)</f>
        <v>Iris Titan Shopping Center SRL</v>
      </c>
      <c r="E653" s="101" t="str">
        <f>VLOOKUP(A653,'Date SPV'!$A$4:$B$34,2,FALSE)</f>
        <v>RITS</v>
      </c>
      <c r="H653" s="105" t="s">
        <v>894</v>
      </c>
      <c r="K653" s="101" t="str">
        <f>VLOOKUP(C653,'Preturi si tarife'!$A$4:$B$39,2,FALSE)</f>
        <v>Tarife distributie en. El IT+MT</v>
      </c>
      <c r="L653" s="102">
        <f>IF(B653=1,'Date masura OD'!$I$5,IF(B653=19,'Date masura OD'!$AK$5,L652))</f>
        <v>45778</v>
      </c>
      <c r="M653" s="102">
        <f>IF(B653=1,'Date masura OD'!$J$5,IF(B653=19,'Date masura OD'!$AL$5,M652))</f>
        <v>45808</v>
      </c>
      <c r="N653" s="104">
        <f>VLOOKUP(E653,verificare!$AR$4:$CC$33,B653+2,FALSE)</f>
        <v>794597</v>
      </c>
      <c r="O653" s="103">
        <f>HLOOKUP(VLOOKUP(E653,'Date SPV'!$B$4:$F$34,5,FALSE),'Preturi si tarife'!$C$2:$J$39,B653+2,FALSE)*10000</f>
        <v>861.80000000000007</v>
      </c>
      <c r="Q653" s="101" t="str">
        <f t="shared" si="79"/>
        <v>One-off</v>
      </c>
      <c r="R653" s="101" t="str">
        <f>VLOOKUP(K653,'Preturi si tarife'!$B$4:$K$39,10,FALSE)</f>
        <v>ICOENG0001</v>
      </c>
      <c r="T653" s="101" t="str">
        <f t="shared" si="80"/>
        <v>INV + 30</v>
      </c>
      <c r="V653" s="101" t="str">
        <f t="shared" si="81"/>
        <v>Active</v>
      </c>
      <c r="X653" s="101" t="str">
        <f t="shared" si="82"/>
        <v>One-off</v>
      </c>
      <c r="AC653" s="101" t="str">
        <f t="shared" si="85"/>
        <v>RON</v>
      </c>
      <c r="AD653" s="101">
        <f t="shared" si="86"/>
        <v>10000</v>
      </c>
    </row>
    <row r="654" spans="1:30">
      <c r="A654" s="101">
        <f t="shared" si="87"/>
        <v>19</v>
      </c>
      <c r="B654" s="101">
        <f t="shared" si="83"/>
        <v>5</v>
      </c>
      <c r="C654" s="101" t="str">
        <f t="shared" si="84"/>
        <v>T5</v>
      </c>
      <c r="D654" s="101" t="str">
        <f>IF(A654&lt;&gt;A653,VLOOKUP(A654,'Date SPV'!$A:$D,4,FALSE),D653)</f>
        <v>Iris Titan Shopping Center SRL</v>
      </c>
      <c r="E654" s="101" t="str">
        <f>VLOOKUP(A654,'Date SPV'!$A$4:$B$34,2,FALSE)</f>
        <v>RITS</v>
      </c>
      <c r="H654" s="105" t="s">
        <v>894</v>
      </c>
      <c r="K654" s="101" t="str">
        <f>VLOOKUP(C654,'Preturi si tarife'!$A$4:$B$39,2,FALSE)</f>
        <v>Tarife distributie en. El JT</v>
      </c>
      <c r="L654" s="102">
        <f>IF(B654=1,'Date masura OD'!$I$5,IF(B654=19,'Date masura OD'!$AK$5,L653))</f>
        <v>45778</v>
      </c>
      <c r="M654" s="102">
        <f>IF(B654=1,'Date masura OD'!$J$5,IF(B654=19,'Date masura OD'!$AL$5,M653))</f>
        <v>45808</v>
      </c>
      <c r="N654" s="104">
        <f>VLOOKUP(E654,verificare!$AR$4:$CC$33,B654+2,FALSE)</f>
        <v>0</v>
      </c>
      <c r="O654" s="103">
        <f>HLOOKUP(VLOOKUP(E654,'Date SPV'!$B$4:$F$34,5,FALSE),'Preturi si tarife'!$C$2:$J$39,B654+2,FALSE)*10000</f>
        <v>2079</v>
      </c>
      <c r="Q654" s="101" t="str">
        <f t="shared" si="79"/>
        <v>One-off</v>
      </c>
      <c r="R654" s="101" t="str">
        <f>VLOOKUP(K654,'Preturi si tarife'!$B$4:$K$39,10,FALSE)</f>
        <v>ICOENG0001</v>
      </c>
      <c r="T654" s="101" t="str">
        <f t="shared" si="80"/>
        <v>INV + 30</v>
      </c>
      <c r="V654" s="101" t="str">
        <f t="shared" si="81"/>
        <v>Active</v>
      </c>
      <c r="X654" s="101" t="str">
        <f t="shared" si="82"/>
        <v>One-off</v>
      </c>
      <c r="AC654" s="101" t="str">
        <f t="shared" si="85"/>
        <v>RON</v>
      </c>
      <c r="AD654" s="101">
        <f t="shared" si="86"/>
        <v>10000</v>
      </c>
    </row>
    <row r="655" spans="1:30">
      <c r="A655" s="101">
        <f t="shared" si="87"/>
        <v>19</v>
      </c>
      <c r="B655" s="101">
        <f t="shared" si="83"/>
        <v>6</v>
      </c>
      <c r="C655" s="101" t="str">
        <f t="shared" si="84"/>
        <v>T6</v>
      </c>
      <c r="D655" s="101" t="str">
        <f>IF(A655&lt;&gt;A654,VLOOKUP(A655,'Date SPV'!$A:$D,4,FALSE),D654)</f>
        <v>Iris Titan Shopping Center SRL</v>
      </c>
      <c r="E655" s="101" t="str">
        <f>VLOOKUP(A655,'Date SPV'!$A$4:$B$34,2,FALSE)</f>
        <v>RITS</v>
      </c>
      <c r="H655" s="105" t="s">
        <v>894</v>
      </c>
      <c r="K655" s="101" t="str">
        <f>VLOOKUP(C655,'Preturi si tarife'!$A$4:$B$39,2,FALSE)</f>
        <v xml:space="preserve">Servicii Sistem </v>
      </c>
      <c r="L655" s="102">
        <f>IF(B655=1,'Date masura OD'!$I$5,IF(B655=19,'Date masura OD'!$AK$5,L654))</f>
        <v>45778</v>
      </c>
      <c r="M655" s="102">
        <f>IF(B655=1,'Date masura OD'!$J$5,IF(B655=19,'Date masura OD'!$AL$5,M654))</f>
        <v>45808</v>
      </c>
      <c r="N655" s="104">
        <f>VLOOKUP(E655,verificare!$AR$4:$CC$33,B655+2,FALSE)</f>
        <v>794597</v>
      </c>
      <c r="O655" s="103">
        <f>HLOOKUP(VLOOKUP(E655,'Date SPV'!$B$4:$F$34,5,FALSE),'Preturi si tarife'!$C$2:$J$39,B655+2,FALSE)*10000</f>
        <v>115.1</v>
      </c>
      <c r="Q655" s="101" t="str">
        <f t="shared" si="79"/>
        <v>One-off</v>
      </c>
      <c r="R655" s="101" t="str">
        <f>VLOOKUP(K655,'Preturi si tarife'!$B$4:$K$39,10,FALSE)</f>
        <v>ICOENG0001</v>
      </c>
      <c r="T655" s="101" t="str">
        <f t="shared" si="80"/>
        <v>INV + 30</v>
      </c>
      <c r="V655" s="101" t="str">
        <f t="shared" si="81"/>
        <v>Active</v>
      </c>
      <c r="X655" s="101" t="str">
        <f t="shared" si="82"/>
        <v>One-off</v>
      </c>
      <c r="AC655" s="101" t="str">
        <f t="shared" si="85"/>
        <v>RON</v>
      </c>
      <c r="AD655" s="101">
        <f t="shared" si="86"/>
        <v>10000</v>
      </c>
    </row>
    <row r="656" spans="1:30">
      <c r="A656" s="101">
        <f t="shared" si="87"/>
        <v>19</v>
      </c>
      <c r="B656" s="101">
        <f t="shared" si="83"/>
        <v>7</v>
      </c>
      <c r="C656" s="101" t="str">
        <f t="shared" si="84"/>
        <v>T7</v>
      </c>
      <c r="D656" s="101" t="str">
        <f>IF(A656&lt;&gt;A655,VLOOKUP(A656,'Date SPV'!$A:$D,4,FALSE),D655)</f>
        <v>Iris Titan Shopping Center SRL</v>
      </c>
      <c r="E656" s="101" t="str">
        <f>VLOOKUP(A656,'Date SPV'!$A$4:$B$34,2,FALSE)</f>
        <v>RITS</v>
      </c>
      <c r="H656" s="105" t="s">
        <v>894</v>
      </c>
      <c r="K656" s="101" t="str">
        <f>VLOOKUP(C656,'Preturi si tarife'!$A$4:$B$39,2,FALSE)</f>
        <v>Tarif de introducere en. el in retea (TL)</v>
      </c>
      <c r="L656" s="102">
        <f>IF(B656=1,'Date masura OD'!$I$5,IF(B656=19,'Date masura OD'!$AK$5,L655))</f>
        <v>45778</v>
      </c>
      <c r="M656" s="102">
        <f>IF(B656=1,'Date masura OD'!$J$5,IF(B656=19,'Date masura OD'!$AL$5,M655))</f>
        <v>45808</v>
      </c>
      <c r="N656" s="104">
        <f>VLOOKUP(E656,verificare!$AR$4:$CC$33,B656+2,FALSE)</f>
        <v>794597</v>
      </c>
      <c r="O656" s="103">
        <f>HLOOKUP(VLOOKUP(E656,'Date SPV'!$B$4:$F$34,5,FALSE),'Preturi si tarife'!$C$2:$J$39,B656+2,FALSE)*10000</f>
        <v>330.3</v>
      </c>
      <c r="Q656" s="101" t="str">
        <f t="shared" si="79"/>
        <v>One-off</v>
      </c>
      <c r="R656" s="101" t="str">
        <f>VLOOKUP(K656,'Preturi si tarife'!$B$4:$K$39,10,FALSE)</f>
        <v>ICOENG0001</v>
      </c>
      <c r="T656" s="101" t="str">
        <f t="shared" si="80"/>
        <v>INV + 30</v>
      </c>
      <c r="V656" s="101" t="str">
        <f t="shared" si="81"/>
        <v>Active</v>
      </c>
      <c r="X656" s="101" t="str">
        <f t="shared" si="82"/>
        <v>One-off</v>
      </c>
      <c r="AC656" s="101" t="str">
        <f t="shared" si="85"/>
        <v>RON</v>
      </c>
      <c r="AD656" s="101">
        <f t="shared" si="86"/>
        <v>10000</v>
      </c>
    </row>
    <row r="657" spans="1:30">
      <c r="A657" s="101">
        <f t="shared" si="87"/>
        <v>19</v>
      </c>
      <c r="B657" s="101">
        <f t="shared" si="83"/>
        <v>8</v>
      </c>
      <c r="C657" s="101" t="str">
        <f t="shared" si="84"/>
        <v>T8</v>
      </c>
      <c r="D657" s="101" t="str">
        <f>IF(A657&lt;&gt;A656,VLOOKUP(A657,'Date SPV'!$A:$D,4,FALSE),D656)</f>
        <v>Iris Titan Shopping Center SRL</v>
      </c>
      <c r="E657" s="101" t="str">
        <f>VLOOKUP(A657,'Date SPV'!$A$4:$B$34,2,FALSE)</f>
        <v>RITS</v>
      </c>
      <c r="H657" s="105" t="s">
        <v>894</v>
      </c>
      <c r="K657" s="101" t="str">
        <f>VLOOKUP(C657,'Preturi si tarife'!$A$4:$B$39,2,FALSE)</f>
        <v>Tarif de introducere en.el in retea (TG)</v>
      </c>
      <c r="L657" s="102">
        <f>IF(B657=1,'Date masura OD'!$I$5,IF(B657=19,'Date masura OD'!$AK$5,L656))</f>
        <v>45778</v>
      </c>
      <c r="M657" s="102">
        <f>IF(B657=1,'Date masura OD'!$J$5,IF(B657=19,'Date masura OD'!$AL$5,M656))</f>
        <v>45808</v>
      </c>
      <c r="N657" s="104">
        <f>VLOOKUP(E657,verificare!$AR$4:$CC$33,B657+2,FALSE)</f>
        <v>794597</v>
      </c>
      <c r="O657" s="103">
        <f>HLOOKUP(VLOOKUP(E657,'Date SPV'!$B$4:$F$34,5,FALSE),'Preturi si tarife'!$C$2:$J$39,B657+2,FALSE)*10000</f>
        <v>32.9</v>
      </c>
      <c r="Q657" s="101" t="str">
        <f t="shared" si="79"/>
        <v>One-off</v>
      </c>
      <c r="R657" s="101" t="str">
        <f>VLOOKUP(K657,'Preturi si tarife'!$B$4:$K$39,10,FALSE)</f>
        <v>ICOENG0001</v>
      </c>
      <c r="T657" s="101" t="str">
        <f t="shared" si="80"/>
        <v>INV + 30</v>
      </c>
      <c r="V657" s="101" t="str">
        <f t="shared" si="81"/>
        <v>Active</v>
      </c>
      <c r="X657" s="101" t="str">
        <f t="shared" si="82"/>
        <v>One-off</v>
      </c>
      <c r="AC657" s="101" t="str">
        <f t="shared" si="85"/>
        <v>RON</v>
      </c>
      <c r="AD657" s="101">
        <f t="shared" si="86"/>
        <v>10000</v>
      </c>
    </row>
    <row r="658" spans="1:30">
      <c r="A658" s="101">
        <f t="shared" si="87"/>
        <v>19</v>
      </c>
      <c r="B658" s="101">
        <f t="shared" si="83"/>
        <v>9</v>
      </c>
      <c r="C658" s="101" t="str">
        <f t="shared" si="84"/>
        <v>T9</v>
      </c>
      <c r="D658" s="101" t="str">
        <f>IF(A658&lt;&gt;A657,VLOOKUP(A658,'Date SPV'!$A:$D,4,FALSE),D657)</f>
        <v>Iris Titan Shopping Center SRL</v>
      </c>
      <c r="E658" s="101" t="str">
        <f>VLOOKUP(A658,'Date SPV'!$A$4:$B$34,2,FALSE)</f>
        <v>RITS</v>
      </c>
      <c r="H658" s="105" t="s">
        <v>894</v>
      </c>
      <c r="K658" s="101" t="str">
        <f>VLOOKUP(C658,'Preturi si tarife'!$A$4:$B$39,2,FALSE)</f>
        <v>Contributie pentru cogenerare</v>
      </c>
      <c r="L658" s="102">
        <f>IF(B658=1,'Date masura OD'!$I$5,IF(B658=19,'Date masura OD'!$AK$5,L657))</f>
        <v>45778</v>
      </c>
      <c r="M658" s="102">
        <f>IF(B658=1,'Date masura OD'!$J$5,IF(B658=19,'Date masura OD'!$AL$5,M657))</f>
        <v>45808</v>
      </c>
      <c r="N658" s="104">
        <f>VLOOKUP(E658,verificare!$AR$4:$CC$33,B658+2,FALSE)</f>
        <v>794597</v>
      </c>
      <c r="O658" s="103">
        <f>HLOOKUP(VLOOKUP(E658,'Date SPV'!$B$4:$F$34,5,FALSE),'Preturi si tarife'!$C$2:$J$39,B658+2,FALSE)*10000</f>
        <v>35</v>
      </c>
      <c r="Q658" s="101" t="str">
        <f t="shared" si="79"/>
        <v>One-off</v>
      </c>
      <c r="R658" s="101" t="str">
        <f>VLOOKUP(K658,'Preturi si tarife'!$B$4:$K$39,10,FALSE)</f>
        <v>ICOENG0001</v>
      </c>
      <c r="T658" s="101" t="str">
        <f t="shared" si="80"/>
        <v>INV + 30</v>
      </c>
      <c r="V658" s="101" t="str">
        <f t="shared" si="81"/>
        <v>Active</v>
      </c>
      <c r="X658" s="101" t="str">
        <f t="shared" si="82"/>
        <v>One-off</v>
      </c>
      <c r="AC658" s="101" t="str">
        <f t="shared" si="85"/>
        <v>RON</v>
      </c>
      <c r="AD658" s="101">
        <f t="shared" si="86"/>
        <v>10000</v>
      </c>
    </row>
    <row r="659" spans="1:30">
      <c r="A659" s="101">
        <f t="shared" si="87"/>
        <v>19</v>
      </c>
      <c r="B659" s="101">
        <f t="shared" si="83"/>
        <v>10</v>
      </c>
      <c r="C659" s="101" t="str">
        <f t="shared" si="84"/>
        <v>T10</v>
      </c>
      <c r="D659" s="101" t="str">
        <f>IF(A659&lt;&gt;A658,VLOOKUP(A659,'Date SPV'!$A:$D,4,FALSE),D658)</f>
        <v>Iris Titan Shopping Center SRL</v>
      </c>
      <c r="E659" s="101" t="str">
        <f>VLOOKUP(A659,'Date SPV'!$A$4:$B$34,2,FALSE)</f>
        <v>RITS</v>
      </c>
      <c r="H659" s="105" t="s">
        <v>894</v>
      </c>
      <c r="K659" s="101" t="str">
        <f>VLOOKUP(C659,'Preturi si tarife'!$A$4:$B$39,2,FALSE)</f>
        <v xml:space="preserve">Certificate verzi </v>
      </c>
      <c r="L659" s="102">
        <f>IF(B659=1,'Date masura OD'!$I$5,IF(B659=19,'Date masura OD'!$AK$5,L658))</f>
        <v>45778</v>
      </c>
      <c r="M659" s="102">
        <f>IF(B659=1,'Date masura OD'!$J$5,IF(B659=19,'Date masura OD'!$AL$5,M658))</f>
        <v>45808</v>
      </c>
      <c r="N659" s="104">
        <f>VLOOKUP(E659,verificare!$AR$4:$CC$33,B659+2,FALSE)</f>
        <v>794597</v>
      </c>
      <c r="O659" s="103">
        <f>HLOOKUP(VLOOKUP(E659,'Date SPV'!$B$4:$F$34,5,FALSE),'Preturi si tarife'!$C$2:$J$39,B659+2,FALSE)*10000</f>
        <v>725.41599999999994</v>
      </c>
      <c r="Q659" s="101" t="str">
        <f t="shared" si="79"/>
        <v>One-off</v>
      </c>
      <c r="R659" s="101" t="str">
        <f>VLOOKUP(K659,'Preturi si tarife'!$B$4:$K$39,10,FALSE)</f>
        <v>ICOENG0001</v>
      </c>
      <c r="T659" s="101" t="str">
        <f t="shared" si="80"/>
        <v>INV + 30</v>
      </c>
      <c r="V659" s="101" t="str">
        <f t="shared" si="81"/>
        <v>Active</v>
      </c>
      <c r="X659" s="101" t="str">
        <f t="shared" si="82"/>
        <v>One-off</v>
      </c>
      <c r="AC659" s="101" t="str">
        <f t="shared" si="85"/>
        <v>RON</v>
      </c>
      <c r="AD659" s="101">
        <f t="shared" si="86"/>
        <v>10000</v>
      </c>
    </row>
    <row r="660" spans="1:30">
      <c r="A660" s="101">
        <f t="shared" si="87"/>
        <v>19</v>
      </c>
      <c r="B660" s="101">
        <f t="shared" si="83"/>
        <v>11</v>
      </c>
      <c r="C660" s="101" t="str">
        <f t="shared" si="84"/>
        <v>T11</v>
      </c>
      <c r="D660" s="101" t="str">
        <f>IF(A660&lt;&gt;A659,VLOOKUP(A660,'Date SPV'!$A:$D,4,FALSE),D659)</f>
        <v>Iris Titan Shopping Center SRL</v>
      </c>
      <c r="E660" s="101" t="str">
        <f>VLOOKUP(A660,'Date SPV'!$A$4:$B$34,2,FALSE)</f>
        <v>RITS</v>
      </c>
      <c r="H660" s="105" t="s">
        <v>894</v>
      </c>
      <c r="K660" s="101" t="str">
        <f>VLOOKUP(C660,'Preturi si tarife'!$A$4:$B$39,2,FALSE)</f>
        <v>Contributie CFD</v>
      </c>
      <c r="L660" s="102">
        <f>IF(B660=1,'Date masura OD'!$I$5,IF(B660=19,'Date masura OD'!$AK$5,L659))</f>
        <v>45778</v>
      </c>
      <c r="M660" s="102">
        <f>IF(B660=1,'Date masura OD'!$J$5,IF(B660=19,'Date masura OD'!$AL$5,M659))</f>
        <v>45808</v>
      </c>
      <c r="N660" s="104">
        <f>VLOOKUP(E660,verificare!$AR$4:$CC$33,B660+2,FALSE)</f>
        <v>794597</v>
      </c>
      <c r="O660" s="103">
        <f>HLOOKUP(VLOOKUP(E660,'Date SPV'!$B$4:$F$34,5,FALSE),'Preturi si tarife'!$C$2:$J$39,B660+2,FALSE)*10000</f>
        <v>2.06</v>
      </c>
      <c r="Q660" s="101" t="str">
        <f t="shared" si="79"/>
        <v>One-off</v>
      </c>
      <c r="R660" s="101" t="str">
        <f>VLOOKUP(K660,'Preturi si tarife'!$B$4:$K$39,10,FALSE)</f>
        <v>ICOENG0001</v>
      </c>
      <c r="T660" s="101" t="str">
        <f t="shared" si="80"/>
        <v>INV + 30</v>
      </c>
      <c r="V660" s="101" t="str">
        <f t="shared" si="81"/>
        <v>Active</v>
      </c>
      <c r="X660" s="101" t="str">
        <f t="shared" si="82"/>
        <v>One-off</v>
      </c>
      <c r="AC660" s="101" t="str">
        <f t="shared" si="85"/>
        <v>RON</v>
      </c>
      <c r="AD660" s="101">
        <f t="shared" si="86"/>
        <v>10000</v>
      </c>
    </row>
    <row r="661" spans="1:30">
      <c r="A661" s="101">
        <f t="shared" si="87"/>
        <v>19</v>
      </c>
      <c r="B661" s="101">
        <f t="shared" si="83"/>
        <v>12</v>
      </c>
      <c r="C661" s="101" t="str">
        <f t="shared" si="84"/>
        <v>T12</v>
      </c>
      <c r="D661" s="101" t="str">
        <f>IF(A661&lt;&gt;A660,VLOOKUP(A661,'Date SPV'!$A:$D,4,FALSE),D660)</f>
        <v>Iris Titan Shopping Center SRL</v>
      </c>
      <c r="E661" s="101" t="str">
        <f>VLOOKUP(A661,'Date SPV'!$A$4:$B$34,2,FALSE)</f>
        <v>RITS</v>
      </c>
      <c r="H661" s="105" t="s">
        <v>894</v>
      </c>
      <c r="K661" s="101" t="str">
        <f>VLOOKUP(C661,'Preturi si tarife'!$A$4:$B$39,2,FALSE)</f>
        <v>Acciza</v>
      </c>
      <c r="L661" s="102">
        <f>IF(B661=1,'Date masura OD'!$I$5,IF(B661=19,'Date masura OD'!$AK$5,L660))</f>
        <v>45778</v>
      </c>
      <c r="M661" s="102">
        <f>IF(B661=1,'Date masura OD'!$J$5,IF(B661=19,'Date masura OD'!$AL$5,M660))</f>
        <v>45808</v>
      </c>
      <c r="N661" s="104">
        <f>VLOOKUP(E661,verificare!$AR$4:$CC$33,B661+2,FALSE)</f>
        <v>794597</v>
      </c>
      <c r="O661" s="103">
        <f>HLOOKUP(VLOOKUP(E661,'Date SPV'!$B$4:$F$34,5,FALSE),'Preturi si tarife'!$C$2:$J$39,B661+2,FALSE)*10000</f>
        <v>0</v>
      </c>
      <c r="Q661" s="101" t="str">
        <f t="shared" si="79"/>
        <v>One-off</v>
      </c>
      <c r="R661" s="101" t="str">
        <f>VLOOKUP(K661,'Preturi si tarife'!$B$4:$K$39,10,FALSE)</f>
        <v>ICOENG0001</v>
      </c>
      <c r="T661" s="101" t="str">
        <f t="shared" si="80"/>
        <v>INV + 30</v>
      </c>
      <c r="V661" s="101" t="str">
        <f t="shared" si="81"/>
        <v>Active</v>
      </c>
      <c r="X661" s="101" t="str">
        <f t="shared" si="82"/>
        <v>One-off</v>
      </c>
      <c r="AC661" s="101" t="str">
        <f t="shared" si="85"/>
        <v>RON</v>
      </c>
      <c r="AD661" s="101">
        <f t="shared" si="86"/>
        <v>10000</v>
      </c>
    </row>
    <row r="662" spans="1:30">
      <c r="A662" s="101">
        <f t="shared" si="87"/>
        <v>19</v>
      </c>
      <c r="B662" s="101">
        <f t="shared" si="83"/>
        <v>13</v>
      </c>
      <c r="C662" s="101" t="str">
        <f t="shared" si="84"/>
        <v>T13</v>
      </c>
      <c r="D662" s="101" t="str">
        <f>IF(A662&lt;&gt;A661,VLOOKUP(A662,'Date SPV'!$A:$D,4,FALSE),D661)</f>
        <v>Iris Titan Shopping Center SRL</v>
      </c>
      <c r="E662" s="101" t="str">
        <f>VLOOKUP(A662,'Date SPV'!$A$4:$B$34,2,FALSE)</f>
        <v>RITS</v>
      </c>
      <c r="H662" s="105" t="s">
        <v>894</v>
      </c>
      <c r="K662" s="101" t="str">
        <f>VLOOKUP(C662,'Preturi si tarife'!$A$4:$B$39,2,FALSE)</f>
        <v>Tarif distributie SDI MT</v>
      </c>
      <c r="L662" s="102">
        <f>IF(B662=1,'Date masura OD'!$I$5,IF(B662=19,'Date masura OD'!$AK$5,L661))</f>
        <v>45778</v>
      </c>
      <c r="M662" s="102">
        <f>IF(B662=1,'Date masura OD'!$J$5,IF(B662=19,'Date masura OD'!$AL$5,M661))</f>
        <v>45808</v>
      </c>
      <c r="N662" s="104">
        <f>VLOOKUP(E662,verificare!$AR$4:$CC$33,B662+2,FALSE)</f>
        <v>794597</v>
      </c>
      <c r="O662" s="103">
        <f>HLOOKUP(VLOOKUP(E662,'Date SPV'!$B$4:$F$34,5,FALSE),'Preturi si tarife'!$C$2:$J$39,B662+2,FALSE)*10000</f>
        <v>113.00000000000001</v>
      </c>
      <c r="Q662" s="101" t="str">
        <f t="shared" si="79"/>
        <v>One-off</v>
      </c>
      <c r="R662" s="101" t="str">
        <f>VLOOKUP(K662,'Preturi si tarife'!$B$4:$K$39,10,FALSE)</f>
        <v>ICOENG0010</v>
      </c>
      <c r="T662" s="101" t="str">
        <f t="shared" si="80"/>
        <v>INV + 30</v>
      </c>
      <c r="V662" s="101" t="str">
        <f t="shared" si="81"/>
        <v>Active</v>
      </c>
      <c r="X662" s="101" t="str">
        <f t="shared" si="82"/>
        <v>One-off</v>
      </c>
      <c r="AC662" s="101" t="str">
        <f t="shared" si="85"/>
        <v>RON</v>
      </c>
      <c r="AD662" s="101">
        <f t="shared" si="86"/>
        <v>10000</v>
      </c>
    </row>
    <row r="663" spans="1:30">
      <c r="A663" s="101">
        <f t="shared" si="87"/>
        <v>19</v>
      </c>
      <c r="B663" s="101">
        <f t="shared" si="83"/>
        <v>14</v>
      </c>
      <c r="C663" s="101" t="str">
        <f t="shared" si="84"/>
        <v>T14</v>
      </c>
      <c r="D663" s="101" t="str">
        <f>IF(A663&lt;&gt;A662,VLOOKUP(A663,'Date SPV'!$A:$D,4,FALSE),D662)</f>
        <v>Iris Titan Shopping Center SRL</v>
      </c>
      <c r="E663" s="101" t="str">
        <f>VLOOKUP(A663,'Date SPV'!$A$4:$B$34,2,FALSE)</f>
        <v>RITS</v>
      </c>
      <c r="H663" s="105" t="s">
        <v>894</v>
      </c>
      <c r="K663" s="101" t="str">
        <f>VLOOKUP(C663,'Preturi si tarife'!$A$4:$B$39,2,FALSE)</f>
        <v>Tarif distributie SDI JT</v>
      </c>
      <c r="L663" s="102">
        <f>IF(B663=1,'Date masura OD'!$I$5,IF(B663=19,'Date masura OD'!$AK$5,L662))</f>
        <v>45778</v>
      </c>
      <c r="M663" s="102">
        <f>IF(B663=1,'Date masura OD'!$J$5,IF(B663=19,'Date masura OD'!$AL$5,M662))</f>
        <v>45808</v>
      </c>
      <c r="N663" s="104">
        <f>VLOOKUP(E663,verificare!$AR$4:$CC$33,B663+2,FALSE)</f>
        <v>794597</v>
      </c>
      <c r="O663" s="103">
        <f>HLOOKUP(VLOOKUP(E663,'Date SPV'!$B$4:$F$34,5,FALSE),'Preturi si tarife'!$C$2:$J$39,B663+2,FALSE)*10000</f>
        <v>840.99999999999989</v>
      </c>
      <c r="Q663" s="101" t="str">
        <f t="shared" si="79"/>
        <v>One-off</v>
      </c>
      <c r="R663" s="101" t="str">
        <f>VLOOKUP(K663,'Preturi si tarife'!$B$4:$K$39,10,FALSE)</f>
        <v>ICOENG0010</v>
      </c>
      <c r="T663" s="101" t="str">
        <f t="shared" si="80"/>
        <v>INV + 30</v>
      </c>
      <c r="V663" s="101" t="str">
        <f t="shared" si="81"/>
        <v>Active</v>
      </c>
      <c r="X663" s="101" t="str">
        <f t="shared" si="82"/>
        <v>One-off</v>
      </c>
      <c r="AC663" s="101" t="str">
        <f t="shared" si="85"/>
        <v>RON</v>
      </c>
      <c r="AD663" s="101">
        <f t="shared" si="86"/>
        <v>10000</v>
      </c>
    </row>
    <row r="664" spans="1:30">
      <c r="A664" s="101">
        <f t="shared" si="87"/>
        <v>19</v>
      </c>
      <c r="B664" s="101">
        <f t="shared" si="83"/>
        <v>15</v>
      </c>
      <c r="C664" s="101" t="str">
        <f t="shared" si="84"/>
        <v>T15</v>
      </c>
      <c r="D664" s="101" t="str">
        <f>IF(A664&lt;&gt;A663,VLOOKUP(A664,'Date SPV'!$A:$D,4,FALSE),D663)</f>
        <v>Iris Titan Shopping Center SRL</v>
      </c>
      <c r="E664" s="101" t="str">
        <f>VLOOKUP(A664,'Date SPV'!$A$4:$B$34,2,FALSE)</f>
        <v>RITS</v>
      </c>
      <c r="H664" s="105" t="s">
        <v>894</v>
      </c>
      <c r="K664" s="101" t="str">
        <f>VLOOKUP(C664,'Preturi si tarife'!$A$4:$B$39,2,FALSE)</f>
        <v>Energie activa 2</v>
      </c>
      <c r="L664" s="102">
        <f>IF(B664=1,'Date masura OD'!$I$5,IF(B664=19,'Date masura OD'!$AK$5,L663))</f>
        <v>45778</v>
      </c>
      <c r="M664" s="102">
        <f>IF(B664=1,'Date masura OD'!$J$5,IF(B664=19,'Date masura OD'!$AL$5,M663))</f>
        <v>45808</v>
      </c>
      <c r="N664" s="104">
        <f>VLOOKUP(E664,verificare!$AR$4:$CC$33,B664+2,FALSE)</f>
        <v>69308</v>
      </c>
      <c r="O664" s="103">
        <f>HLOOKUP(VLOOKUP(E664,'Date SPV'!$B$4:$F$34,5,FALSE),'Preturi si tarife'!$C$2:$J$39,B664+2,FALSE)*10000</f>
        <v>9006.5760000000009</v>
      </c>
      <c r="Q664" s="101" t="str">
        <f t="shared" si="79"/>
        <v>One-off</v>
      </c>
      <c r="R664" s="101" t="str">
        <f>VLOOKUP(K664,'Preturi si tarife'!$B$4:$K$39,10,FALSE)</f>
        <v>ICOENG0012</v>
      </c>
      <c r="T664" s="101" t="str">
        <f t="shared" si="80"/>
        <v>INV + 30</v>
      </c>
      <c r="V664" s="101" t="str">
        <f t="shared" si="81"/>
        <v>Active</v>
      </c>
      <c r="X664" s="101" t="str">
        <f t="shared" si="82"/>
        <v>One-off</v>
      </c>
      <c r="AC664" s="101" t="str">
        <f t="shared" si="85"/>
        <v>RON</v>
      </c>
      <c r="AD664" s="101">
        <f t="shared" si="86"/>
        <v>10000</v>
      </c>
    </row>
    <row r="665" spans="1:30">
      <c r="A665" s="101">
        <f t="shared" si="87"/>
        <v>19</v>
      </c>
      <c r="B665" s="101">
        <f t="shared" si="83"/>
        <v>16</v>
      </c>
      <c r="C665" s="101" t="str">
        <f t="shared" si="84"/>
        <v>T16</v>
      </c>
      <c r="D665" s="101" t="str">
        <f>IF(A665&lt;&gt;A664,VLOOKUP(A665,'Date SPV'!$A:$D,4,FALSE),D664)</f>
        <v>Iris Titan Shopping Center SRL</v>
      </c>
      <c r="E665" s="101" t="str">
        <f>VLOOKUP(A665,'Date SPV'!$A$4:$B$34,2,FALSE)</f>
        <v>RITS</v>
      </c>
      <c r="H665" s="105" t="s">
        <v>894</v>
      </c>
      <c r="K665" s="101" t="str">
        <f>VLOOKUP(C665,'Preturi si tarife'!$A$4:$B$39,2,FALSE)</f>
        <v>Energie activa 3</v>
      </c>
      <c r="L665" s="102">
        <f>IF(B665=1,'Date masura OD'!$I$5,IF(B665=19,'Date masura OD'!$AK$5,L664))</f>
        <v>45778</v>
      </c>
      <c r="M665" s="102">
        <f>IF(B665=1,'Date masura OD'!$J$5,IF(B665=19,'Date masura OD'!$AL$5,M664))</f>
        <v>45808</v>
      </c>
      <c r="N665" s="104">
        <f>VLOOKUP(E665,verificare!$AR$4:$CC$33,B665+2,FALSE)</f>
        <v>26226</v>
      </c>
      <c r="O665" s="103">
        <f>HLOOKUP(VLOOKUP(E665,'Date SPV'!$B$4:$F$34,5,FALSE),'Preturi si tarife'!$C$2:$J$39,B665+2,FALSE)*10000</f>
        <v>8052.576</v>
      </c>
      <c r="Q665" s="101" t="str">
        <f t="shared" si="79"/>
        <v>One-off</v>
      </c>
      <c r="R665" s="101" t="str">
        <f>VLOOKUP(K665,'Preturi si tarife'!$B$4:$K$39,10,FALSE)</f>
        <v>ICOENG0012</v>
      </c>
      <c r="T665" s="101" t="str">
        <f t="shared" si="80"/>
        <v>INV + 30</v>
      </c>
      <c r="V665" s="101" t="str">
        <f t="shared" si="81"/>
        <v>Active</v>
      </c>
      <c r="X665" s="101" t="str">
        <f t="shared" si="82"/>
        <v>One-off</v>
      </c>
      <c r="AC665" s="101" t="str">
        <f t="shared" si="85"/>
        <v>RON</v>
      </c>
      <c r="AD665" s="101">
        <f t="shared" si="86"/>
        <v>10000</v>
      </c>
    </row>
    <row r="666" spans="1:30">
      <c r="A666" s="101">
        <f t="shared" si="87"/>
        <v>19</v>
      </c>
      <c r="B666" s="101">
        <f t="shared" si="83"/>
        <v>17</v>
      </c>
      <c r="C666" s="101" t="str">
        <f t="shared" si="84"/>
        <v>T17</v>
      </c>
      <c r="D666" s="101" t="str">
        <f>IF(A666&lt;&gt;A665,VLOOKUP(A666,'Date SPV'!$A:$D,4,FALSE),D665)</f>
        <v>Iris Titan Shopping Center SRL</v>
      </c>
      <c r="E666" s="101" t="str">
        <f>VLOOKUP(A666,'Date SPV'!$A$4:$B$34,2,FALSE)</f>
        <v>RITS</v>
      </c>
      <c r="H666" s="105" t="s">
        <v>894</v>
      </c>
      <c r="K666" s="101" t="str">
        <f>VLOOKUP(C666,'Preturi si tarife'!$A$4:$B$39,2,FALSE)</f>
        <v>Tarif distributie SDI MT_</v>
      </c>
      <c r="L666" s="102">
        <f>IF(B666=1,'Date masura OD'!$I$5,IF(B666=19,'Date masura OD'!$AK$5,L665))</f>
        <v>45778</v>
      </c>
      <c r="M666" s="102">
        <f>IF(B666=1,'Date masura OD'!$J$5,IF(B666=19,'Date masura OD'!$AL$5,M665))</f>
        <v>45808</v>
      </c>
      <c r="N666" s="104">
        <f>VLOOKUP(E666,verificare!$AR$4:$CC$33,B666+2,FALSE)</f>
        <v>26226</v>
      </c>
      <c r="O666" s="103">
        <f>HLOOKUP(VLOOKUP(E666,'Date SPV'!$B$4:$F$34,5,FALSE),'Preturi si tarife'!$C$2:$J$39,B666+2,FALSE)*10000</f>
        <v>113.00000000000001</v>
      </c>
      <c r="Q666" s="101" t="str">
        <f t="shared" si="79"/>
        <v>One-off</v>
      </c>
      <c r="R666" s="101" t="str">
        <f>VLOOKUP(K666,'Preturi si tarife'!$B$4:$K$39,10,FALSE)</f>
        <v>ICOENG0010</v>
      </c>
      <c r="T666" s="101" t="str">
        <f t="shared" si="80"/>
        <v>INV + 30</v>
      </c>
      <c r="V666" s="101" t="str">
        <f t="shared" si="81"/>
        <v>Active</v>
      </c>
      <c r="X666" s="101" t="str">
        <f t="shared" si="82"/>
        <v>One-off</v>
      </c>
      <c r="AC666" s="101" t="str">
        <f t="shared" si="85"/>
        <v>RON</v>
      </c>
      <c r="AD666" s="101">
        <f t="shared" si="86"/>
        <v>10000</v>
      </c>
    </row>
    <row r="667" spans="1:30">
      <c r="A667" s="101">
        <f t="shared" si="87"/>
        <v>19</v>
      </c>
      <c r="B667" s="101">
        <f t="shared" si="83"/>
        <v>18</v>
      </c>
      <c r="C667" s="101" t="str">
        <f t="shared" si="84"/>
        <v>T18</v>
      </c>
      <c r="D667" s="101" t="str">
        <f>IF(A667&lt;&gt;A666,VLOOKUP(A667,'Date SPV'!$A:$D,4,FALSE),D666)</f>
        <v>Iris Titan Shopping Center SRL</v>
      </c>
      <c r="E667" s="101" t="str">
        <f>VLOOKUP(A667,'Date SPV'!$A$4:$B$34,2,FALSE)</f>
        <v>RITS</v>
      </c>
      <c r="H667" s="105" t="s">
        <v>894</v>
      </c>
      <c r="K667" s="101" t="str">
        <f>VLOOKUP(C667,'Preturi si tarife'!$A$4:$B$39,2,FALSE)</f>
        <v>Tarif distributie SDI JT_</v>
      </c>
      <c r="L667" s="102">
        <f>IF(B667=1,'Date masura OD'!$I$5,IF(B667=19,'Date masura OD'!$AK$5,L666))</f>
        <v>45778</v>
      </c>
      <c r="M667" s="102">
        <f>IF(B667=1,'Date masura OD'!$J$5,IF(B667=19,'Date masura OD'!$AL$5,M666))</f>
        <v>45808</v>
      </c>
      <c r="N667" s="104">
        <f>VLOOKUP(E667,verificare!$AR$4:$CC$33,B667+2,FALSE)</f>
        <v>26226</v>
      </c>
      <c r="O667" s="103">
        <f>HLOOKUP(VLOOKUP(E667,'Date SPV'!$B$4:$F$34,5,FALSE),'Preturi si tarife'!$C$2:$J$39,B667+2,FALSE)*10000</f>
        <v>840.99999999999989</v>
      </c>
      <c r="Q667" s="101" t="str">
        <f t="shared" si="79"/>
        <v>One-off</v>
      </c>
      <c r="R667" s="101" t="str">
        <f>VLOOKUP(K667,'Preturi si tarife'!$B$4:$K$39,10,FALSE)</f>
        <v>ICOENG0010</v>
      </c>
      <c r="T667" s="101" t="str">
        <f t="shared" si="80"/>
        <v>INV + 30</v>
      </c>
      <c r="V667" s="101" t="str">
        <f t="shared" si="81"/>
        <v>Active</v>
      </c>
      <c r="X667" s="101" t="str">
        <f t="shared" si="82"/>
        <v>One-off</v>
      </c>
      <c r="AC667" s="101" t="str">
        <f t="shared" si="85"/>
        <v>RON</v>
      </c>
      <c r="AD667" s="101">
        <f t="shared" si="86"/>
        <v>10000</v>
      </c>
    </row>
    <row r="668" spans="1:30">
      <c r="A668" s="101">
        <f t="shared" si="87"/>
        <v>19</v>
      </c>
      <c r="B668" s="101">
        <f t="shared" si="83"/>
        <v>19</v>
      </c>
      <c r="C668" s="101" t="str">
        <f t="shared" si="84"/>
        <v>T19</v>
      </c>
      <c r="D668" s="101" t="str">
        <f>IF(A668&lt;&gt;A667,VLOOKUP(A668,'Date SPV'!$A:$D,4,FALSE),D667)</f>
        <v>Iris Titan Shopping Center SRL</v>
      </c>
      <c r="E668" s="101" t="str">
        <f>VLOOKUP(A668,'Date SPV'!$A$4:$B$34,2,FALSE)</f>
        <v>RITS</v>
      </c>
      <c r="H668" s="105" t="s">
        <v>894</v>
      </c>
      <c r="K668" s="101" t="str">
        <f>VLOOKUP(C668,'Preturi si tarife'!$A$4:$B$39,2,FALSE)</f>
        <v>Regularizare Energie activa 1</v>
      </c>
      <c r="L668" s="102">
        <f>IF(B668=1,'Date masura OD'!$I$5,IF(B668=19,'Date masura OD'!$AK$5,L667))</f>
        <v>45748</v>
      </c>
      <c r="M668" s="102">
        <f>IF(B668=1,'Date masura OD'!$J$5,IF(B668=19,'Date masura OD'!$AL$5,M667))</f>
        <v>45777</v>
      </c>
      <c r="N668" s="104">
        <f>VLOOKUP(E668,verificare!$AR$4:$CC$33,B668+2,FALSE)</f>
        <v>0</v>
      </c>
      <c r="O668" s="103">
        <f>HLOOKUP(VLOOKUP(E668,'Date SPV'!$B$4:$F$34,5,FALSE),'Preturi si tarife'!$C$2:$J$39,B668+2,FALSE)*10000</f>
        <v>5950</v>
      </c>
      <c r="Q668" s="101" t="str">
        <f t="shared" si="79"/>
        <v>One-off</v>
      </c>
      <c r="R668" s="101" t="str">
        <f>VLOOKUP(K668,'Preturi si tarife'!$B$4:$K$39,10,FALSE)</f>
        <v>ICOENG0001</v>
      </c>
      <c r="T668" s="101" t="str">
        <f t="shared" si="80"/>
        <v>INV + 30</v>
      </c>
      <c r="V668" s="101" t="str">
        <f t="shared" si="81"/>
        <v>Active</v>
      </c>
      <c r="X668" s="101" t="str">
        <f t="shared" si="82"/>
        <v>One-off</v>
      </c>
      <c r="AC668" s="101" t="str">
        <f t="shared" si="85"/>
        <v>RON</v>
      </c>
      <c r="AD668" s="101">
        <f t="shared" si="86"/>
        <v>10000</v>
      </c>
    </row>
    <row r="669" spans="1:30">
      <c r="A669" s="101">
        <f t="shared" si="87"/>
        <v>19</v>
      </c>
      <c r="B669" s="101">
        <f t="shared" si="83"/>
        <v>20</v>
      </c>
      <c r="C669" s="101" t="str">
        <f t="shared" si="84"/>
        <v>T20</v>
      </c>
      <c r="D669" s="101" t="str">
        <f>IF(A669&lt;&gt;A668,VLOOKUP(A669,'Date SPV'!$A:$D,4,FALSE),D668)</f>
        <v>Iris Titan Shopping Center SRL</v>
      </c>
      <c r="E669" s="101" t="str">
        <f>VLOOKUP(A669,'Date SPV'!$A$4:$B$34,2,FALSE)</f>
        <v>RITS</v>
      </c>
      <c r="H669" s="105" t="s">
        <v>894</v>
      </c>
      <c r="K669" s="101" t="str">
        <f>VLOOKUP(C669,'Preturi si tarife'!$A$4:$B$39,2,FALSE)</f>
        <v>Regularizare Energie reactiva  1X</v>
      </c>
      <c r="L669" s="102">
        <f>IF(B669=1,'Date masura OD'!$I$5,IF(B669=19,'Date masura OD'!$AK$5,L668))</f>
        <v>45748</v>
      </c>
      <c r="M669" s="102">
        <f>IF(B669=1,'Date masura OD'!$J$5,IF(B669=19,'Date masura OD'!$AL$5,M668))</f>
        <v>45777</v>
      </c>
      <c r="N669" s="104">
        <f>VLOOKUP(E669,verificare!$AR$4:$CC$33,B669+2,FALSE)</f>
        <v>3292</v>
      </c>
      <c r="O669" s="103">
        <f>HLOOKUP(VLOOKUP(E669,'Date SPV'!$B$4:$F$34,5,FALSE),'Preturi si tarife'!$C$2:$J$39,B669+2,FALSE)*10000</f>
        <v>1466</v>
      </c>
      <c r="Q669" s="101" t="str">
        <f t="shared" si="79"/>
        <v>One-off</v>
      </c>
      <c r="R669" s="101" t="str">
        <f>VLOOKUP(K669,'Preturi si tarife'!$B$4:$K$39,10,FALSE)</f>
        <v>ICOENG0001</v>
      </c>
      <c r="T669" s="101" t="str">
        <f t="shared" si="80"/>
        <v>INV + 30</v>
      </c>
      <c r="V669" s="101" t="str">
        <f t="shared" si="81"/>
        <v>Active</v>
      </c>
      <c r="X669" s="101" t="str">
        <f t="shared" si="82"/>
        <v>One-off</v>
      </c>
      <c r="AC669" s="101" t="str">
        <f t="shared" si="85"/>
        <v>RON</v>
      </c>
      <c r="AD669" s="101">
        <f t="shared" si="86"/>
        <v>10000</v>
      </c>
    </row>
    <row r="670" spans="1:30">
      <c r="A670" s="101">
        <f t="shared" si="87"/>
        <v>19</v>
      </c>
      <c r="B670" s="101">
        <f t="shared" si="83"/>
        <v>21</v>
      </c>
      <c r="C670" s="101" t="str">
        <f t="shared" si="84"/>
        <v>T21</v>
      </c>
      <c r="D670" s="101" t="str">
        <f>IF(A670&lt;&gt;A669,VLOOKUP(A670,'Date SPV'!$A:$D,4,FALSE),D669)</f>
        <v>Iris Titan Shopping Center SRL</v>
      </c>
      <c r="E670" s="101" t="str">
        <f>VLOOKUP(A670,'Date SPV'!$A$4:$B$34,2,FALSE)</f>
        <v>RITS</v>
      </c>
      <c r="H670" s="105" t="s">
        <v>894</v>
      </c>
      <c r="K670" s="101" t="str">
        <f>VLOOKUP(C670,'Preturi si tarife'!$A$4:$B$39,2,FALSE)</f>
        <v>Regularizare Energie reactiva  3X</v>
      </c>
      <c r="L670" s="102">
        <f>IF(B670=1,'Date masura OD'!$I$5,IF(B670=19,'Date masura OD'!$AK$5,L669))</f>
        <v>45748</v>
      </c>
      <c r="M670" s="102">
        <f>IF(B670=1,'Date masura OD'!$J$5,IF(B670=19,'Date masura OD'!$AL$5,M669))</f>
        <v>45777</v>
      </c>
      <c r="N670" s="104">
        <f>VLOOKUP(E670,verificare!$AR$4:$CC$33,B670+2,FALSE)</f>
        <v>0</v>
      </c>
      <c r="O670" s="103">
        <f>HLOOKUP(VLOOKUP(E670,'Date SPV'!$B$4:$F$34,5,FALSE),'Preturi si tarife'!$C$2:$J$39,B670+2,FALSE)*10000</f>
        <v>4398</v>
      </c>
      <c r="Q670" s="101" t="str">
        <f t="shared" si="79"/>
        <v>One-off</v>
      </c>
      <c r="R670" s="101" t="str">
        <f>VLOOKUP(K670,'Preturi si tarife'!$B$4:$K$39,10,FALSE)</f>
        <v>ICOENG0001</v>
      </c>
      <c r="T670" s="101" t="str">
        <f t="shared" si="80"/>
        <v>INV + 30</v>
      </c>
      <c r="V670" s="101" t="str">
        <f t="shared" si="81"/>
        <v>Active</v>
      </c>
      <c r="X670" s="101" t="str">
        <f t="shared" si="82"/>
        <v>One-off</v>
      </c>
      <c r="AC670" s="101" t="str">
        <f t="shared" si="85"/>
        <v>RON</v>
      </c>
      <c r="AD670" s="101">
        <f t="shared" si="86"/>
        <v>10000</v>
      </c>
    </row>
    <row r="671" spans="1:30">
      <c r="A671" s="101">
        <f t="shared" si="87"/>
        <v>19</v>
      </c>
      <c r="B671" s="101">
        <f t="shared" si="83"/>
        <v>22</v>
      </c>
      <c r="C671" s="101" t="str">
        <f t="shared" si="84"/>
        <v>T22</v>
      </c>
      <c r="D671" s="101" t="str">
        <f>IF(A671&lt;&gt;A670,VLOOKUP(A671,'Date SPV'!$A:$D,4,FALSE),D670)</f>
        <v>Iris Titan Shopping Center SRL</v>
      </c>
      <c r="E671" s="101" t="str">
        <f>VLOOKUP(A671,'Date SPV'!$A$4:$B$34,2,FALSE)</f>
        <v>RITS</v>
      </c>
      <c r="H671" s="105" t="s">
        <v>894</v>
      </c>
      <c r="K671" s="101" t="str">
        <f>VLOOKUP(C671,'Preturi si tarife'!$A$4:$B$39,2,FALSE)</f>
        <v>Regularizare Tarife distributie en. El IT+MT</v>
      </c>
      <c r="L671" s="102">
        <f>IF(B671=1,'Date masura OD'!$I$5,IF(B671=19,'Date masura OD'!$AK$5,L670))</f>
        <v>45748</v>
      </c>
      <c r="M671" s="102">
        <f>IF(B671=1,'Date masura OD'!$J$5,IF(B671=19,'Date masura OD'!$AL$5,M670))</f>
        <v>45777</v>
      </c>
      <c r="N671" s="104">
        <f>VLOOKUP(E671,verificare!$AR$4:$CC$33,B671+2,FALSE)</f>
        <v>0</v>
      </c>
      <c r="O671" s="103">
        <f>HLOOKUP(VLOOKUP(E671,'Date SPV'!$B$4:$F$34,5,FALSE),'Preturi si tarife'!$C$2:$J$39,B671+2,FALSE)*10000</f>
        <v>861.80000000000007</v>
      </c>
      <c r="Q671" s="101" t="str">
        <f t="shared" si="79"/>
        <v>One-off</v>
      </c>
      <c r="R671" s="101" t="str">
        <f>VLOOKUP(K671,'Preturi si tarife'!$B$4:$K$39,10,FALSE)</f>
        <v>ICOENG0001</v>
      </c>
      <c r="T671" s="101" t="str">
        <f t="shared" si="80"/>
        <v>INV + 30</v>
      </c>
      <c r="V671" s="101" t="str">
        <f t="shared" si="81"/>
        <v>Active</v>
      </c>
      <c r="X671" s="101" t="str">
        <f t="shared" si="82"/>
        <v>One-off</v>
      </c>
      <c r="AC671" s="101" t="str">
        <f t="shared" si="85"/>
        <v>RON</v>
      </c>
      <c r="AD671" s="101">
        <f t="shared" si="86"/>
        <v>10000</v>
      </c>
    </row>
    <row r="672" spans="1:30">
      <c r="A672" s="101">
        <f t="shared" si="87"/>
        <v>19</v>
      </c>
      <c r="B672" s="101">
        <f t="shared" si="83"/>
        <v>23</v>
      </c>
      <c r="C672" s="101" t="str">
        <f t="shared" si="84"/>
        <v>T23</v>
      </c>
      <c r="D672" s="101" t="str">
        <f>IF(A672&lt;&gt;A671,VLOOKUP(A672,'Date SPV'!$A:$D,4,FALSE),D671)</f>
        <v>Iris Titan Shopping Center SRL</v>
      </c>
      <c r="E672" s="101" t="str">
        <f>VLOOKUP(A672,'Date SPV'!$A$4:$B$34,2,FALSE)</f>
        <v>RITS</v>
      </c>
      <c r="H672" s="105" t="s">
        <v>894</v>
      </c>
      <c r="K672" s="101" t="str">
        <f>VLOOKUP(C672,'Preturi si tarife'!$A$4:$B$39,2,FALSE)</f>
        <v>Regularizare Tarife distributie en. El JT</v>
      </c>
      <c r="L672" s="102">
        <f>IF(B672=1,'Date masura OD'!$I$5,IF(B672=19,'Date masura OD'!$AK$5,L671))</f>
        <v>45748</v>
      </c>
      <c r="M672" s="102">
        <f>IF(B672=1,'Date masura OD'!$J$5,IF(B672=19,'Date masura OD'!$AL$5,M671))</f>
        <v>45777</v>
      </c>
      <c r="N672" s="104">
        <f>VLOOKUP(E672,verificare!$AR$4:$CC$33,B672+2,FALSE)</f>
        <v>0</v>
      </c>
      <c r="O672" s="103">
        <f>HLOOKUP(VLOOKUP(E672,'Date SPV'!$B$4:$F$34,5,FALSE),'Preturi si tarife'!$C$2:$J$39,B672+2,FALSE)*10000</f>
        <v>2079</v>
      </c>
      <c r="Q672" s="101" t="str">
        <f t="shared" si="79"/>
        <v>One-off</v>
      </c>
      <c r="R672" s="101" t="str">
        <f>VLOOKUP(K672,'Preturi si tarife'!$B$4:$K$39,10,FALSE)</f>
        <v>ICOENG0001</v>
      </c>
      <c r="T672" s="101" t="str">
        <f t="shared" si="80"/>
        <v>INV + 30</v>
      </c>
      <c r="V672" s="101" t="str">
        <f t="shared" si="81"/>
        <v>Active</v>
      </c>
      <c r="X672" s="101" t="str">
        <f t="shared" si="82"/>
        <v>One-off</v>
      </c>
      <c r="AC672" s="101" t="str">
        <f t="shared" si="85"/>
        <v>RON</v>
      </c>
      <c r="AD672" s="101">
        <f t="shared" si="86"/>
        <v>10000</v>
      </c>
    </row>
    <row r="673" spans="1:30">
      <c r="A673" s="101">
        <f t="shared" si="87"/>
        <v>19</v>
      </c>
      <c r="B673" s="101">
        <f t="shared" si="83"/>
        <v>24</v>
      </c>
      <c r="C673" s="101" t="str">
        <f t="shared" si="84"/>
        <v>T24</v>
      </c>
      <c r="D673" s="101" t="str">
        <f>IF(A673&lt;&gt;A672,VLOOKUP(A673,'Date SPV'!$A:$D,4,FALSE),D672)</f>
        <v>Iris Titan Shopping Center SRL</v>
      </c>
      <c r="E673" s="101" t="str">
        <f>VLOOKUP(A673,'Date SPV'!$A$4:$B$34,2,FALSE)</f>
        <v>RITS</v>
      </c>
      <c r="H673" s="105" t="s">
        <v>894</v>
      </c>
      <c r="K673" s="101" t="str">
        <f>VLOOKUP(C673,'Preturi si tarife'!$A$4:$B$39,2,FALSE)</f>
        <v xml:space="preserve">Regularizare Servicii Sistem </v>
      </c>
      <c r="L673" s="102">
        <f>IF(B673=1,'Date masura OD'!$I$5,IF(B673=19,'Date masura OD'!$AK$5,L672))</f>
        <v>45748</v>
      </c>
      <c r="M673" s="102">
        <f>IF(B673=1,'Date masura OD'!$J$5,IF(B673=19,'Date masura OD'!$AL$5,M672))</f>
        <v>45777</v>
      </c>
      <c r="N673" s="104">
        <f>VLOOKUP(E673,verificare!$AR$4:$CC$33,B673+2,FALSE)</f>
        <v>0</v>
      </c>
      <c r="O673" s="103">
        <f>HLOOKUP(VLOOKUP(E673,'Date SPV'!$B$4:$F$34,5,FALSE),'Preturi si tarife'!$C$2:$J$39,B673+2,FALSE)*10000</f>
        <v>115.1</v>
      </c>
      <c r="Q673" s="101" t="str">
        <f t="shared" si="79"/>
        <v>One-off</v>
      </c>
      <c r="R673" s="101" t="str">
        <f>VLOOKUP(K673,'Preturi si tarife'!$B$4:$K$39,10,FALSE)</f>
        <v>ICOENG0001</v>
      </c>
      <c r="T673" s="101" t="str">
        <f t="shared" si="80"/>
        <v>INV + 30</v>
      </c>
      <c r="V673" s="101" t="str">
        <f t="shared" si="81"/>
        <v>Active</v>
      </c>
      <c r="X673" s="101" t="str">
        <f t="shared" si="82"/>
        <v>One-off</v>
      </c>
      <c r="AC673" s="101" t="str">
        <f t="shared" si="85"/>
        <v>RON</v>
      </c>
      <c r="AD673" s="101">
        <f t="shared" si="86"/>
        <v>10000</v>
      </c>
    </row>
    <row r="674" spans="1:30">
      <c r="A674" s="101">
        <f t="shared" si="87"/>
        <v>19</v>
      </c>
      <c r="B674" s="101">
        <f t="shared" si="83"/>
        <v>25</v>
      </c>
      <c r="C674" s="101" t="str">
        <f t="shared" si="84"/>
        <v>T25</v>
      </c>
      <c r="D674" s="101" t="str">
        <f>IF(A674&lt;&gt;A673,VLOOKUP(A674,'Date SPV'!$A:$D,4,FALSE),D673)</f>
        <v>Iris Titan Shopping Center SRL</v>
      </c>
      <c r="E674" s="101" t="str">
        <f>VLOOKUP(A674,'Date SPV'!$A$4:$B$34,2,FALSE)</f>
        <v>RITS</v>
      </c>
      <c r="H674" s="105" t="s">
        <v>894</v>
      </c>
      <c r="K674" s="101" t="str">
        <f>VLOOKUP(C674,'Preturi si tarife'!$A$4:$B$39,2,FALSE)</f>
        <v>Regularizare Tarif de introducere en. el in retea (TL)</v>
      </c>
      <c r="L674" s="102">
        <f>IF(B674=1,'Date masura OD'!$I$5,IF(B674=19,'Date masura OD'!$AK$5,L673))</f>
        <v>45748</v>
      </c>
      <c r="M674" s="102">
        <f>IF(B674=1,'Date masura OD'!$J$5,IF(B674=19,'Date masura OD'!$AL$5,M673))</f>
        <v>45777</v>
      </c>
      <c r="N674" s="104">
        <f>VLOOKUP(E674,verificare!$AR$4:$CC$33,B674+2,FALSE)</f>
        <v>0</v>
      </c>
      <c r="O674" s="103">
        <f>HLOOKUP(VLOOKUP(E674,'Date SPV'!$B$4:$F$34,5,FALSE),'Preturi si tarife'!$C$2:$J$39,B674+2,FALSE)*10000</f>
        <v>330.3</v>
      </c>
      <c r="Q674" s="101" t="str">
        <f t="shared" si="79"/>
        <v>One-off</v>
      </c>
      <c r="R674" s="101" t="str">
        <f>VLOOKUP(K674,'Preturi si tarife'!$B$4:$K$39,10,FALSE)</f>
        <v>ICOENG0001</v>
      </c>
      <c r="T674" s="101" t="str">
        <f t="shared" si="80"/>
        <v>INV + 30</v>
      </c>
      <c r="V674" s="101" t="str">
        <f t="shared" si="81"/>
        <v>Active</v>
      </c>
      <c r="X674" s="101" t="str">
        <f t="shared" si="82"/>
        <v>One-off</v>
      </c>
      <c r="AC674" s="101" t="str">
        <f t="shared" si="85"/>
        <v>RON</v>
      </c>
      <c r="AD674" s="101">
        <f t="shared" si="86"/>
        <v>10000</v>
      </c>
    </row>
    <row r="675" spans="1:30">
      <c r="A675" s="101">
        <f t="shared" si="87"/>
        <v>19</v>
      </c>
      <c r="B675" s="101">
        <f t="shared" si="83"/>
        <v>26</v>
      </c>
      <c r="C675" s="101" t="str">
        <f t="shared" si="84"/>
        <v>T26</v>
      </c>
      <c r="D675" s="101" t="str">
        <f>IF(A675&lt;&gt;A674,VLOOKUP(A675,'Date SPV'!$A:$D,4,FALSE),D674)</f>
        <v>Iris Titan Shopping Center SRL</v>
      </c>
      <c r="E675" s="101" t="str">
        <f>VLOOKUP(A675,'Date SPV'!$A$4:$B$34,2,FALSE)</f>
        <v>RITS</v>
      </c>
      <c r="H675" s="105" t="s">
        <v>894</v>
      </c>
      <c r="K675" s="101" t="str">
        <f>VLOOKUP(C675,'Preturi si tarife'!$A$4:$B$39,2,FALSE)</f>
        <v>Regularizare Tarif de introducere en.el in retea (TG)</v>
      </c>
      <c r="L675" s="102">
        <f>IF(B675=1,'Date masura OD'!$I$5,IF(B675=19,'Date masura OD'!$AK$5,L674))</f>
        <v>45748</v>
      </c>
      <c r="M675" s="102">
        <f>IF(B675=1,'Date masura OD'!$J$5,IF(B675=19,'Date masura OD'!$AL$5,M674))</f>
        <v>45777</v>
      </c>
      <c r="N675" s="104">
        <f>VLOOKUP(E675,verificare!$AR$4:$CC$33,B675+2,FALSE)</f>
        <v>0</v>
      </c>
      <c r="O675" s="103">
        <f>HLOOKUP(VLOOKUP(E675,'Date SPV'!$B$4:$F$34,5,FALSE),'Preturi si tarife'!$C$2:$J$39,B675+2,FALSE)*10000</f>
        <v>32.9</v>
      </c>
      <c r="Q675" s="101" t="str">
        <f t="shared" si="79"/>
        <v>One-off</v>
      </c>
      <c r="R675" s="101" t="str">
        <f>VLOOKUP(K675,'Preturi si tarife'!$B$4:$K$39,10,FALSE)</f>
        <v>ICOENG0001</v>
      </c>
      <c r="T675" s="101" t="str">
        <f t="shared" si="80"/>
        <v>INV + 30</v>
      </c>
      <c r="V675" s="101" t="str">
        <f t="shared" si="81"/>
        <v>Active</v>
      </c>
      <c r="X675" s="101" t="str">
        <f t="shared" si="82"/>
        <v>One-off</v>
      </c>
      <c r="AC675" s="101" t="str">
        <f t="shared" si="85"/>
        <v>RON</v>
      </c>
      <c r="AD675" s="101">
        <f t="shared" si="86"/>
        <v>10000</v>
      </c>
    </row>
    <row r="676" spans="1:30">
      <c r="A676" s="101">
        <f t="shared" si="87"/>
        <v>19</v>
      </c>
      <c r="B676" s="101">
        <f t="shared" si="83"/>
        <v>27</v>
      </c>
      <c r="C676" s="101" t="str">
        <f t="shared" si="84"/>
        <v>T27</v>
      </c>
      <c r="D676" s="101" t="str">
        <f>IF(A676&lt;&gt;A675,VLOOKUP(A676,'Date SPV'!$A:$D,4,FALSE),D675)</f>
        <v>Iris Titan Shopping Center SRL</v>
      </c>
      <c r="E676" s="101" t="str">
        <f>VLOOKUP(A676,'Date SPV'!$A$4:$B$34,2,FALSE)</f>
        <v>RITS</v>
      </c>
      <c r="H676" s="105" t="s">
        <v>894</v>
      </c>
      <c r="K676" s="101" t="str">
        <f>VLOOKUP(C676,'Preturi si tarife'!$A$4:$B$39,2,FALSE)</f>
        <v>Regularizare Contributie pentru cogenerare</v>
      </c>
      <c r="L676" s="102">
        <f>IF(B676=1,'Date masura OD'!$I$5,IF(B676=19,'Date masura OD'!$AK$5,L675))</f>
        <v>45748</v>
      </c>
      <c r="M676" s="102">
        <f>IF(B676=1,'Date masura OD'!$J$5,IF(B676=19,'Date masura OD'!$AL$5,M675))</f>
        <v>45777</v>
      </c>
      <c r="N676" s="104">
        <f>VLOOKUP(E676,verificare!$AR$4:$CC$33,B676+2,FALSE)</f>
        <v>0</v>
      </c>
      <c r="O676" s="103">
        <f>HLOOKUP(VLOOKUP(E676,'Date SPV'!$B$4:$F$34,5,FALSE),'Preturi si tarife'!$C$2:$J$39,B676+2,FALSE)*10000</f>
        <v>35</v>
      </c>
      <c r="Q676" s="101" t="str">
        <f t="shared" si="79"/>
        <v>One-off</v>
      </c>
      <c r="R676" s="101" t="str">
        <f>VLOOKUP(K676,'Preturi si tarife'!$B$4:$K$39,10,FALSE)</f>
        <v>ICOENG0001</v>
      </c>
      <c r="T676" s="101" t="str">
        <f t="shared" si="80"/>
        <v>INV + 30</v>
      </c>
      <c r="V676" s="101" t="str">
        <f t="shared" si="81"/>
        <v>Active</v>
      </c>
      <c r="X676" s="101" t="str">
        <f t="shared" si="82"/>
        <v>One-off</v>
      </c>
      <c r="AC676" s="101" t="str">
        <f t="shared" si="85"/>
        <v>RON</v>
      </c>
      <c r="AD676" s="101">
        <f t="shared" si="86"/>
        <v>10000</v>
      </c>
    </row>
    <row r="677" spans="1:30">
      <c r="A677" s="101">
        <f t="shared" si="87"/>
        <v>19</v>
      </c>
      <c r="B677" s="101">
        <f t="shared" si="83"/>
        <v>28</v>
      </c>
      <c r="C677" s="101" t="str">
        <f t="shared" si="84"/>
        <v>T28</v>
      </c>
      <c r="D677" s="101" t="str">
        <f>IF(A677&lt;&gt;A676,VLOOKUP(A677,'Date SPV'!$A:$D,4,FALSE),D676)</f>
        <v>Iris Titan Shopping Center SRL</v>
      </c>
      <c r="E677" s="101" t="str">
        <f>VLOOKUP(A677,'Date SPV'!$A$4:$B$34,2,FALSE)</f>
        <v>RITS</v>
      </c>
      <c r="H677" s="105" t="s">
        <v>894</v>
      </c>
      <c r="K677" s="101" t="str">
        <f>VLOOKUP(C677,'Preturi si tarife'!$A$4:$B$39,2,FALSE)</f>
        <v xml:space="preserve">Regularizare Certificate verzi </v>
      </c>
      <c r="L677" s="102">
        <f>IF(B677=1,'Date masura OD'!$I$5,IF(B677=19,'Date masura OD'!$AK$5,L676))</f>
        <v>45748</v>
      </c>
      <c r="M677" s="102">
        <f>IF(B677=1,'Date masura OD'!$J$5,IF(B677=19,'Date masura OD'!$AL$5,M676))</f>
        <v>45777</v>
      </c>
      <c r="N677" s="104">
        <f>VLOOKUP(E677,verificare!$AR$4:$CC$33,B677+2,FALSE)</f>
        <v>0</v>
      </c>
      <c r="O677" s="103">
        <f>HLOOKUP(VLOOKUP(E677,'Date SPV'!$B$4:$F$34,5,FALSE),'Preturi si tarife'!$C$2:$J$39,B677+2,FALSE)*10000</f>
        <v>725.41599999999994</v>
      </c>
      <c r="Q677" s="101" t="str">
        <f t="shared" si="79"/>
        <v>One-off</v>
      </c>
      <c r="R677" s="101" t="str">
        <f>VLOOKUP(K677,'Preturi si tarife'!$B$4:$K$39,10,FALSE)</f>
        <v>ICOENG0001</v>
      </c>
      <c r="T677" s="101" t="str">
        <f t="shared" si="80"/>
        <v>INV + 30</v>
      </c>
      <c r="V677" s="101" t="str">
        <f t="shared" si="81"/>
        <v>Active</v>
      </c>
      <c r="X677" s="101" t="str">
        <f t="shared" si="82"/>
        <v>One-off</v>
      </c>
      <c r="AC677" s="101" t="str">
        <f t="shared" si="85"/>
        <v>RON</v>
      </c>
      <c r="AD677" s="101">
        <f t="shared" si="86"/>
        <v>10000</v>
      </c>
    </row>
    <row r="678" spans="1:30">
      <c r="A678" s="101">
        <f t="shared" si="87"/>
        <v>19</v>
      </c>
      <c r="B678" s="101">
        <f t="shared" si="83"/>
        <v>29</v>
      </c>
      <c r="C678" s="101" t="str">
        <f t="shared" si="84"/>
        <v>T29</v>
      </c>
      <c r="D678" s="101" t="str">
        <f>IF(A678&lt;&gt;A677,VLOOKUP(A678,'Date SPV'!$A:$D,4,FALSE),D677)</f>
        <v>Iris Titan Shopping Center SRL</v>
      </c>
      <c r="E678" s="101" t="str">
        <f>VLOOKUP(A678,'Date SPV'!$A$4:$B$34,2,FALSE)</f>
        <v>RITS</v>
      </c>
      <c r="H678" s="105" t="s">
        <v>894</v>
      </c>
      <c r="K678" s="101" t="str">
        <f>VLOOKUP(C678,'Preturi si tarife'!$A$4:$B$39,2,FALSE)</f>
        <v>Regularizare Contributie CFD</v>
      </c>
      <c r="L678" s="102">
        <f>IF(B678=1,'Date masura OD'!$I$5,IF(B678=19,'Date masura OD'!$AK$5,L677))</f>
        <v>45748</v>
      </c>
      <c r="M678" s="102">
        <f>IF(B678=1,'Date masura OD'!$J$5,IF(B678=19,'Date masura OD'!$AL$5,M677))</f>
        <v>45777</v>
      </c>
      <c r="N678" s="104">
        <f>VLOOKUP(E678,verificare!$AR$4:$CC$33,B678+2,FALSE)</f>
        <v>0</v>
      </c>
      <c r="O678" s="103">
        <f>HLOOKUP(VLOOKUP(E678,'Date SPV'!$B$4:$F$34,5,FALSE),'Preturi si tarife'!$C$2:$J$39,B678+2,FALSE)*10000</f>
        <v>2.06</v>
      </c>
      <c r="Q678" s="101" t="str">
        <f t="shared" si="79"/>
        <v>One-off</v>
      </c>
      <c r="R678" s="101" t="str">
        <f>VLOOKUP(K678,'Preturi si tarife'!$B$4:$K$39,10,FALSE)</f>
        <v>ICOENG0001</v>
      </c>
      <c r="T678" s="101" t="str">
        <f t="shared" si="80"/>
        <v>INV + 30</v>
      </c>
      <c r="V678" s="101" t="str">
        <f t="shared" si="81"/>
        <v>Active</v>
      </c>
      <c r="X678" s="101" t="str">
        <f t="shared" si="82"/>
        <v>One-off</v>
      </c>
      <c r="AC678" s="101" t="str">
        <f t="shared" si="85"/>
        <v>RON</v>
      </c>
      <c r="AD678" s="101">
        <f t="shared" si="86"/>
        <v>10000</v>
      </c>
    </row>
    <row r="679" spans="1:30">
      <c r="A679" s="101">
        <f t="shared" si="87"/>
        <v>19</v>
      </c>
      <c r="B679" s="101">
        <f t="shared" si="83"/>
        <v>30</v>
      </c>
      <c r="C679" s="101" t="str">
        <f t="shared" si="84"/>
        <v>T30</v>
      </c>
      <c r="D679" s="101" t="str">
        <f>IF(A679&lt;&gt;A678,VLOOKUP(A679,'Date SPV'!$A:$D,4,FALSE),D678)</f>
        <v>Iris Titan Shopping Center SRL</v>
      </c>
      <c r="E679" s="101" t="str">
        <f>VLOOKUP(A679,'Date SPV'!$A$4:$B$34,2,FALSE)</f>
        <v>RITS</v>
      </c>
      <c r="H679" s="105" t="s">
        <v>894</v>
      </c>
      <c r="K679" s="101" t="str">
        <f>VLOOKUP(C679,'Preturi si tarife'!$A$4:$B$39,2,FALSE)</f>
        <v>Regularizare Acciza</v>
      </c>
      <c r="L679" s="102">
        <f>IF(B679=1,'Date masura OD'!$I$5,IF(B679=19,'Date masura OD'!$AK$5,L678))</f>
        <v>45748</v>
      </c>
      <c r="M679" s="102">
        <f>IF(B679=1,'Date masura OD'!$J$5,IF(B679=19,'Date masura OD'!$AL$5,M678))</f>
        <v>45777</v>
      </c>
      <c r="N679" s="104">
        <f>VLOOKUP(E679,verificare!$AR$4:$CC$33,B679+2,FALSE)</f>
        <v>0</v>
      </c>
      <c r="O679" s="103">
        <f>HLOOKUP(VLOOKUP(E679,'Date SPV'!$B$4:$F$34,5,FALSE),'Preturi si tarife'!$C$2:$J$39,B679+2,FALSE)*10000</f>
        <v>0</v>
      </c>
      <c r="Q679" s="101" t="str">
        <f t="shared" si="79"/>
        <v>One-off</v>
      </c>
      <c r="R679" s="101" t="str">
        <f>VLOOKUP(K679,'Preturi si tarife'!$B$4:$K$39,10,FALSE)</f>
        <v>ICOENG0001</v>
      </c>
      <c r="T679" s="101" t="str">
        <f t="shared" si="80"/>
        <v>INV + 30</v>
      </c>
      <c r="V679" s="101" t="str">
        <f t="shared" si="81"/>
        <v>Active</v>
      </c>
      <c r="X679" s="101" t="str">
        <f t="shared" si="82"/>
        <v>One-off</v>
      </c>
      <c r="AC679" s="101" t="str">
        <f t="shared" si="85"/>
        <v>RON</v>
      </c>
      <c r="AD679" s="101">
        <f t="shared" si="86"/>
        <v>10000</v>
      </c>
    </row>
    <row r="680" spans="1:30">
      <c r="A680" s="101">
        <f t="shared" si="87"/>
        <v>19</v>
      </c>
      <c r="B680" s="101">
        <f t="shared" si="83"/>
        <v>31</v>
      </c>
      <c r="C680" s="101" t="str">
        <f t="shared" si="84"/>
        <v>T31</v>
      </c>
      <c r="D680" s="101" t="str">
        <f>IF(A680&lt;&gt;A679,VLOOKUP(A680,'Date SPV'!$A:$D,4,FALSE),D679)</f>
        <v>Iris Titan Shopping Center SRL</v>
      </c>
      <c r="E680" s="101" t="str">
        <f>VLOOKUP(A680,'Date SPV'!$A$4:$B$34,2,FALSE)</f>
        <v>RITS</v>
      </c>
      <c r="H680" s="105" t="s">
        <v>894</v>
      </c>
      <c r="K680" s="101" t="str">
        <f>VLOOKUP(C680,'Preturi si tarife'!$A$4:$B$39,2,FALSE)</f>
        <v>Regularizare Tarif distributie SDI MT Ea1</v>
      </c>
      <c r="L680" s="102">
        <f>IF(B680=1,'Date masura OD'!$I$5,IF(B680=19,'Date masura OD'!$AK$5,L679))</f>
        <v>45748</v>
      </c>
      <c r="M680" s="102">
        <f>IF(B680=1,'Date masura OD'!$J$5,IF(B680=19,'Date masura OD'!$AL$5,M679))</f>
        <v>45777</v>
      </c>
      <c r="N680" s="104">
        <f>VLOOKUP(E680,verificare!$AR$4:$CC$33,B680+2,FALSE)</f>
        <v>0</v>
      </c>
      <c r="O680" s="103">
        <f>HLOOKUP(VLOOKUP(E680,'Date SPV'!$B$4:$F$34,5,FALSE),'Preturi si tarife'!$C$2:$J$39,B680+2,FALSE)*10000</f>
        <v>113.00000000000001</v>
      </c>
      <c r="Q680" s="101" t="str">
        <f t="shared" si="79"/>
        <v>One-off</v>
      </c>
      <c r="R680" s="101" t="str">
        <f>VLOOKUP(K680,'Preturi si tarife'!$B$4:$K$39,10,FALSE)</f>
        <v>ICOENG0010</v>
      </c>
      <c r="T680" s="101" t="str">
        <f t="shared" si="80"/>
        <v>INV + 30</v>
      </c>
      <c r="V680" s="101" t="str">
        <f t="shared" si="81"/>
        <v>Active</v>
      </c>
      <c r="X680" s="101" t="str">
        <f t="shared" si="82"/>
        <v>One-off</v>
      </c>
      <c r="AC680" s="101" t="str">
        <f t="shared" si="85"/>
        <v>RON</v>
      </c>
      <c r="AD680" s="101">
        <f t="shared" si="86"/>
        <v>10000</v>
      </c>
    </row>
    <row r="681" spans="1:30">
      <c r="A681" s="101">
        <f t="shared" si="87"/>
        <v>19</v>
      </c>
      <c r="B681" s="101">
        <f t="shared" si="83"/>
        <v>32</v>
      </c>
      <c r="C681" s="101" t="str">
        <f t="shared" si="84"/>
        <v>T32</v>
      </c>
      <c r="D681" s="101" t="str">
        <f>IF(A681&lt;&gt;A680,VLOOKUP(A681,'Date SPV'!$A:$D,4,FALSE),D680)</f>
        <v>Iris Titan Shopping Center SRL</v>
      </c>
      <c r="E681" s="101" t="str">
        <f>VLOOKUP(A681,'Date SPV'!$A$4:$B$34,2,FALSE)</f>
        <v>RITS</v>
      </c>
      <c r="H681" s="105" t="s">
        <v>894</v>
      </c>
      <c r="K681" s="101" t="str">
        <f>VLOOKUP(C681,'Preturi si tarife'!$A$4:$B$39,2,FALSE)</f>
        <v>Regularizare Tarif distributie SDI JT Ea1</v>
      </c>
      <c r="L681" s="102">
        <f>IF(B681=1,'Date masura OD'!$I$5,IF(B681=19,'Date masura OD'!$AK$5,L680))</f>
        <v>45748</v>
      </c>
      <c r="M681" s="102">
        <f>IF(B681=1,'Date masura OD'!$J$5,IF(B681=19,'Date masura OD'!$AL$5,M680))</f>
        <v>45777</v>
      </c>
      <c r="N681" s="104">
        <f>VLOOKUP(E681,verificare!$AR$4:$CC$33,B681+2,FALSE)</f>
        <v>0</v>
      </c>
      <c r="O681" s="103">
        <f>HLOOKUP(VLOOKUP(E681,'Date SPV'!$B$4:$F$34,5,FALSE),'Preturi si tarife'!$C$2:$J$39,B681+2,FALSE)*10000</f>
        <v>840.99999999999989</v>
      </c>
      <c r="Q681" s="101" t="str">
        <f t="shared" si="79"/>
        <v>One-off</v>
      </c>
      <c r="R681" s="101" t="str">
        <f>VLOOKUP(K681,'Preturi si tarife'!$B$4:$K$39,10,FALSE)</f>
        <v>ICOENG0010</v>
      </c>
      <c r="T681" s="101" t="str">
        <f t="shared" si="80"/>
        <v>INV + 30</v>
      </c>
      <c r="V681" s="101" t="str">
        <f t="shared" si="81"/>
        <v>Active</v>
      </c>
      <c r="X681" s="101" t="str">
        <f t="shared" si="82"/>
        <v>One-off</v>
      </c>
      <c r="AC681" s="101" t="str">
        <f t="shared" si="85"/>
        <v>RON</v>
      </c>
      <c r="AD681" s="101">
        <f t="shared" si="86"/>
        <v>10000</v>
      </c>
    </row>
    <row r="682" spans="1:30">
      <c r="A682" s="101">
        <f t="shared" si="87"/>
        <v>19</v>
      </c>
      <c r="B682" s="101">
        <f t="shared" si="83"/>
        <v>33</v>
      </c>
      <c r="C682" s="101" t="str">
        <f t="shared" si="84"/>
        <v>T33</v>
      </c>
      <c r="D682" s="101" t="str">
        <f>IF(A682&lt;&gt;A681,VLOOKUP(A682,'Date SPV'!$A:$D,4,FALSE),D681)</f>
        <v>Iris Titan Shopping Center SRL</v>
      </c>
      <c r="E682" s="101" t="str">
        <f>VLOOKUP(A682,'Date SPV'!$A$4:$B$34,2,FALSE)</f>
        <v>RITS</v>
      </c>
      <c r="H682" s="105" t="s">
        <v>894</v>
      </c>
      <c r="K682" s="101" t="str">
        <f>VLOOKUP(C682,'Preturi si tarife'!$A$4:$B$39,2,FALSE)</f>
        <v>Regularizare Energie activa 2</v>
      </c>
      <c r="L682" s="102">
        <f>IF(B682=1,'Date masura OD'!$I$5,IF(B682=19,'Date masura OD'!$AK$5,L681))</f>
        <v>45748</v>
      </c>
      <c r="M682" s="102">
        <f>IF(B682=1,'Date masura OD'!$J$5,IF(B682=19,'Date masura OD'!$AL$5,M681))</f>
        <v>45777</v>
      </c>
      <c r="N682" s="104">
        <f>VLOOKUP(E682,verificare!$AR$4:$CC$33,B682+2,FALSE)</f>
        <v>0</v>
      </c>
      <c r="O682" s="103">
        <f>HLOOKUP(VLOOKUP(E682,'Date SPV'!$B$4:$F$34,5,FALSE),'Preturi si tarife'!$C$2:$J$39,B682+2,FALSE)*10000</f>
        <v>9006.5760000000009</v>
      </c>
      <c r="Q682" s="101" t="str">
        <f t="shared" si="79"/>
        <v>One-off</v>
      </c>
      <c r="R682" s="101" t="str">
        <f>VLOOKUP(K682,'Preturi si tarife'!$B$4:$K$39,10,FALSE)</f>
        <v>ICOENG0012</v>
      </c>
      <c r="T682" s="101" t="str">
        <f t="shared" si="80"/>
        <v>INV + 30</v>
      </c>
      <c r="V682" s="101" t="str">
        <f t="shared" si="81"/>
        <v>Active</v>
      </c>
      <c r="X682" s="101" t="str">
        <f t="shared" si="82"/>
        <v>One-off</v>
      </c>
      <c r="AC682" s="101" t="str">
        <f t="shared" si="85"/>
        <v>RON</v>
      </c>
      <c r="AD682" s="101">
        <f t="shared" si="86"/>
        <v>10000</v>
      </c>
    </row>
    <row r="683" spans="1:30">
      <c r="A683" s="101">
        <f t="shared" si="87"/>
        <v>19</v>
      </c>
      <c r="B683" s="101">
        <f t="shared" si="83"/>
        <v>34</v>
      </c>
      <c r="C683" s="101" t="str">
        <f t="shared" si="84"/>
        <v>T34</v>
      </c>
      <c r="D683" s="101" t="str">
        <f>IF(A683&lt;&gt;A682,VLOOKUP(A683,'Date SPV'!$A:$D,4,FALSE),D682)</f>
        <v>Iris Titan Shopping Center SRL</v>
      </c>
      <c r="E683" s="101" t="str">
        <f>VLOOKUP(A683,'Date SPV'!$A$4:$B$34,2,FALSE)</f>
        <v>RITS</v>
      </c>
      <c r="H683" s="105" t="s">
        <v>894</v>
      </c>
      <c r="K683" s="101" t="str">
        <f>VLOOKUP(C683,'Preturi si tarife'!$A$4:$B$39,2,FALSE)</f>
        <v>Regularizare Energie activa 3</v>
      </c>
      <c r="L683" s="102">
        <f>IF(B683=1,'Date masura OD'!$I$5,IF(B683=19,'Date masura OD'!$AK$5,L682))</f>
        <v>45748</v>
      </c>
      <c r="M683" s="102">
        <f>IF(B683=1,'Date masura OD'!$J$5,IF(B683=19,'Date masura OD'!$AL$5,M682))</f>
        <v>45777</v>
      </c>
      <c r="N683" s="104">
        <f>VLOOKUP(E683,verificare!$AR$4:$CC$33,B683+2,FALSE)</f>
        <v>0</v>
      </c>
      <c r="O683" s="103">
        <f>HLOOKUP(VLOOKUP(E683,'Date SPV'!$B$4:$F$34,5,FALSE),'Preturi si tarife'!$C$2:$J$39,B683+2,FALSE)*10000</f>
        <v>8052.576</v>
      </c>
      <c r="Q683" s="101" t="str">
        <f t="shared" si="79"/>
        <v>One-off</v>
      </c>
      <c r="R683" s="101" t="str">
        <f>VLOOKUP(K683,'Preturi si tarife'!$B$4:$K$39,10,FALSE)</f>
        <v>ICOENG0012</v>
      </c>
      <c r="T683" s="101" t="str">
        <f t="shared" si="80"/>
        <v>INV + 30</v>
      </c>
      <c r="V683" s="101" t="str">
        <f t="shared" si="81"/>
        <v>Active</v>
      </c>
      <c r="X683" s="101" t="str">
        <f t="shared" si="82"/>
        <v>One-off</v>
      </c>
      <c r="AC683" s="101" t="str">
        <f t="shared" si="85"/>
        <v>RON</v>
      </c>
      <c r="AD683" s="101">
        <f t="shared" si="86"/>
        <v>10000</v>
      </c>
    </row>
    <row r="684" spans="1:30">
      <c r="A684" s="101">
        <f t="shared" si="87"/>
        <v>19</v>
      </c>
      <c r="B684" s="101">
        <f t="shared" si="83"/>
        <v>35</v>
      </c>
      <c r="C684" s="101" t="str">
        <f t="shared" si="84"/>
        <v>T35</v>
      </c>
      <c r="D684" s="101" t="str">
        <f>IF(A684&lt;&gt;A683,VLOOKUP(A684,'Date SPV'!$A:$D,4,FALSE),D683)</f>
        <v>Iris Titan Shopping Center SRL</v>
      </c>
      <c r="E684" s="101" t="str">
        <f>VLOOKUP(A684,'Date SPV'!$A$4:$B$34,2,FALSE)</f>
        <v>RITS</v>
      </c>
      <c r="H684" s="105" t="s">
        <v>894</v>
      </c>
      <c r="K684" s="101" t="str">
        <f>VLOOKUP(C684,'Preturi si tarife'!$A$4:$B$39,2,FALSE)</f>
        <v>Regularizare Tarif distributie SDI MT Ea3</v>
      </c>
      <c r="L684" s="102">
        <f>IF(B684=1,'Date masura OD'!$I$5,IF(B684=19,'Date masura OD'!$AK$5,L683))</f>
        <v>45748</v>
      </c>
      <c r="M684" s="102">
        <f>IF(B684=1,'Date masura OD'!$J$5,IF(B684=19,'Date masura OD'!$AL$5,M683))</f>
        <v>45777</v>
      </c>
      <c r="N684" s="104">
        <f>VLOOKUP(E684,verificare!$AR$4:$CC$33,B684+2,FALSE)</f>
        <v>0</v>
      </c>
      <c r="O684" s="103">
        <f>HLOOKUP(VLOOKUP(E684,'Date SPV'!$B$4:$F$34,5,FALSE),'Preturi si tarife'!$C$2:$J$39,B684+2,FALSE)*10000</f>
        <v>113.00000000000001</v>
      </c>
      <c r="Q684" s="101" t="str">
        <f t="shared" si="79"/>
        <v>One-off</v>
      </c>
      <c r="R684" s="101" t="str">
        <f>VLOOKUP(K684,'Preturi si tarife'!$B$4:$K$39,10,FALSE)</f>
        <v>ICOENG0010</v>
      </c>
      <c r="T684" s="101" t="str">
        <f t="shared" si="80"/>
        <v>INV + 30</v>
      </c>
      <c r="V684" s="101" t="str">
        <f t="shared" si="81"/>
        <v>Active</v>
      </c>
      <c r="X684" s="101" t="str">
        <f t="shared" si="82"/>
        <v>One-off</v>
      </c>
      <c r="AC684" s="101" t="str">
        <f t="shared" si="85"/>
        <v>RON</v>
      </c>
      <c r="AD684" s="101">
        <f t="shared" si="86"/>
        <v>10000</v>
      </c>
    </row>
    <row r="685" spans="1:30">
      <c r="A685" s="101">
        <f t="shared" si="87"/>
        <v>19</v>
      </c>
      <c r="B685" s="101">
        <f t="shared" si="83"/>
        <v>36</v>
      </c>
      <c r="C685" s="101" t="str">
        <f t="shared" si="84"/>
        <v>T36</v>
      </c>
      <c r="D685" s="101" t="str">
        <f>IF(A685&lt;&gt;A684,VLOOKUP(A685,'Date SPV'!$A:$D,4,FALSE),D684)</f>
        <v>Iris Titan Shopping Center SRL</v>
      </c>
      <c r="E685" s="101" t="str">
        <f>VLOOKUP(A685,'Date SPV'!$A$4:$B$34,2,FALSE)</f>
        <v>RITS</v>
      </c>
      <c r="H685" s="105" t="s">
        <v>894</v>
      </c>
      <c r="K685" s="101" t="str">
        <f>VLOOKUP(C685,'Preturi si tarife'!$A$4:$B$39,2,FALSE)</f>
        <v>Regularizare Tarif distributie SDI JT Ea3</v>
      </c>
      <c r="L685" s="102">
        <f>IF(B685=1,'Date masura OD'!$I$5,IF(B685=19,'Date masura OD'!$AK$5,L684))</f>
        <v>45748</v>
      </c>
      <c r="M685" s="102">
        <f>IF(B685=1,'Date masura OD'!$J$5,IF(B685=19,'Date masura OD'!$AL$5,M684))</f>
        <v>45777</v>
      </c>
      <c r="N685" s="104">
        <f>VLOOKUP(E685,verificare!$AR$4:$CC$33,B685+2,FALSE)</f>
        <v>0</v>
      </c>
      <c r="O685" s="103">
        <f>HLOOKUP(VLOOKUP(E685,'Date SPV'!$B$4:$F$34,5,FALSE),'Preturi si tarife'!$C$2:$J$39,B685+2,FALSE)*10000</f>
        <v>840.99999999999989</v>
      </c>
      <c r="Q685" s="101" t="str">
        <f t="shared" si="79"/>
        <v>One-off</v>
      </c>
      <c r="R685" s="101" t="str">
        <f>VLOOKUP(K685,'Preturi si tarife'!$B$4:$K$39,10,FALSE)</f>
        <v>ICOENG0010</v>
      </c>
      <c r="T685" s="101" t="str">
        <f t="shared" si="80"/>
        <v>INV + 30</v>
      </c>
      <c r="V685" s="101" t="str">
        <f t="shared" si="81"/>
        <v>Active</v>
      </c>
      <c r="X685" s="101" t="str">
        <f t="shared" si="82"/>
        <v>One-off</v>
      </c>
      <c r="AC685" s="101" t="str">
        <f t="shared" si="85"/>
        <v>RON</v>
      </c>
      <c r="AD685" s="101">
        <f t="shared" si="86"/>
        <v>10000</v>
      </c>
    </row>
    <row r="686" spans="1:30">
      <c r="A686" s="101">
        <f t="shared" si="87"/>
        <v>20</v>
      </c>
      <c r="B686" s="101">
        <f t="shared" si="83"/>
        <v>1</v>
      </c>
      <c r="C686" s="101" t="str">
        <f t="shared" si="84"/>
        <v>T1</v>
      </c>
      <c r="D686" s="101" t="str">
        <f>IF(A686&lt;&gt;A685,VLOOKUP(A686,'Date SPV'!$A:$D,4,FALSE),D685)</f>
        <v>NRE Sibiu Shopping City SRL</v>
      </c>
      <c r="E686" s="101" t="str">
        <f>VLOOKUP(A686,'Date SPV'!$A$4:$B$34,2,FALSE)</f>
        <v>RNSS</v>
      </c>
      <c r="H686" s="105" t="s">
        <v>894</v>
      </c>
      <c r="K686" s="101" t="str">
        <f>VLOOKUP(C686,'Preturi si tarife'!$A$4:$B$39,2,FALSE)</f>
        <v>Energie activa 1</v>
      </c>
      <c r="L686" s="102">
        <f>IF(B686=1,'Date masura OD'!$I$5,IF(B686=19,'Date masura OD'!$AK$5,L685))</f>
        <v>45778</v>
      </c>
      <c r="M686" s="102">
        <f>IF(B686=1,'Date masura OD'!$J$5,IF(B686=19,'Date masura OD'!$AL$5,M685))</f>
        <v>45808</v>
      </c>
      <c r="N686" s="104">
        <f>VLOOKUP(E686,verificare!$AR$4:$CC$33,B686+2,FALSE)</f>
        <v>312565</v>
      </c>
      <c r="O686" s="103">
        <f>HLOOKUP(VLOOKUP(E686,'Date SPV'!$B$4:$F$34,5,FALSE),'Preturi si tarife'!$C$2:$J$39,B686+2,FALSE)*10000</f>
        <v>5950</v>
      </c>
      <c r="Q686" s="101" t="str">
        <f t="shared" si="79"/>
        <v>One-off</v>
      </c>
      <c r="R686" s="101" t="str">
        <f>VLOOKUP(K686,'Preturi si tarife'!$B$4:$K$39,10,FALSE)</f>
        <v>ICOENG0001</v>
      </c>
      <c r="T686" s="101" t="str">
        <f t="shared" si="80"/>
        <v>INV + 30</v>
      </c>
      <c r="V686" s="101" t="str">
        <f t="shared" si="81"/>
        <v>Active</v>
      </c>
      <c r="X686" s="101" t="str">
        <f t="shared" si="82"/>
        <v>One-off</v>
      </c>
      <c r="AC686" s="101" t="str">
        <f t="shared" si="85"/>
        <v>RON</v>
      </c>
      <c r="AD686" s="101">
        <f t="shared" si="86"/>
        <v>10000</v>
      </c>
    </row>
    <row r="687" spans="1:30">
      <c r="A687" s="101">
        <f t="shared" si="87"/>
        <v>20</v>
      </c>
      <c r="B687" s="101">
        <f t="shared" si="83"/>
        <v>2</v>
      </c>
      <c r="C687" s="101" t="str">
        <f t="shared" si="84"/>
        <v>T2</v>
      </c>
      <c r="D687" s="101" t="str">
        <f>IF(A687&lt;&gt;A686,VLOOKUP(A687,'Date SPV'!$A:$D,4,FALSE),D686)</f>
        <v>NRE Sibiu Shopping City SRL</v>
      </c>
      <c r="E687" s="101" t="str">
        <f>VLOOKUP(A687,'Date SPV'!$A$4:$B$34,2,FALSE)</f>
        <v>RNSS</v>
      </c>
      <c r="H687" s="105" t="s">
        <v>894</v>
      </c>
      <c r="K687" s="101" t="str">
        <f>VLOOKUP(C687,'Preturi si tarife'!$A$4:$B$39,2,FALSE)</f>
        <v>Energie reactiva  1X</v>
      </c>
      <c r="L687" s="102">
        <f>IF(B687=1,'Date masura OD'!$I$5,IF(B687=19,'Date masura OD'!$AK$5,L686))</f>
        <v>45778</v>
      </c>
      <c r="M687" s="102">
        <f>IF(B687=1,'Date masura OD'!$J$5,IF(B687=19,'Date masura OD'!$AL$5,M686))</f>
        <v>45808</v>
      </c>
      <c r="N687" s="104">
        <f>VLOOKUP(E687,verificare!$AR$4:$CC$33,B687+2,FALSE)</f>
        <v>0</v>
      </c>
      <c r="O687" s="103">
        <f>HLOOKUP(VLOOKUP(E687,'Date SPV'!$B$4:$F$34,5,FALSE),'Preturi si tarife'!$C$2:$J$39,B687+2,FALSE)*10000</f>
        <v>1465</v>
      </c>
      <c r="Q687" s="101" t="str">
        <f t="shared" si="79"/>
        <v>One-off</v>
      </c>
      <c r="R687" s="101" t="str">
        <f>VLOOKUP(K687,'Preturi si tarife'!$B$4:$K$39,10,FALSE)</f>
        <v>ICOENG0001</v>
      </c>
      <c r="T687" s="101" t="str">
        <f t="shared" si="80"/>
        <v>INV + 30</v>
      </c>
      <c r="V687" s="101" t="str">
        <f t="shared" si="81"/>
        <v>Active</v>
      </c>
      <c r="X687" s="101" t="str">
        <f t="shared" si="82"/>
        <v>One-off</v>
      </c>
      <c r="AC687" s="101" t="str">
        <f t="shared" si="85"/>
        <v>RON</v>
      </c>
      <c r="AD687" s="101">
        <f t="shared" si="86"/>
        <v>10000</v>
      </c>
    </row>
    <row r="688" spans="1:30">
      <c r="A688" s="101">
        <f t="shared" si="87"/>
        <v>20</v>
      </c>
      <c r="B688" s="101">
        <f t="shared" si="83"/>
        <v>3</v>
      </c>
      <c r="C688" s="101" t="str">
        <f t="shared" si="84"/>
        <v>T3</v>
      </c>
      <c r="D688" s="101" t="str">
        <f>IF(A688&lt;&gt;A687,VLOOKUP(A688,'Date SPV'!$A:$D,4,FALSE),D687)</f>
        <v>NRE Sibiu Shopping City SRL</v>
      </c>
      <c r="E688" s="101" t="str">
        <f>VLOOKUP(A688,'Date SPV'!$A$4:$B$34,2,FALSE)</f>
        <v>RNSS</v>
      </c>
      <c r="H688" s="105" t="s">
        <v>894</v>
      </c>
      <c r="K688" s="101" t="str">
        <f>VLOOKUP(C688,'Preturi si tarife'!$A$4:$B$39,2,FALSE)</f>
        <v>Energie reactiva  3X</v>
      </c>
      <c r="L688" s="102">
        <f>IF(B688=1,'Date masura OD'!$I$5,IF(B688=19,'Date masura OD'!$AK$5,L687))</f>
        <v>45778</v>
      </c>
      <c r="M688" s="102">
        <f>IF(B688=1,'Date masura OD'!$J$5,IF(B688=19,'Date masura OD'!$AL$5,M687))</f>
        <v>45808</v>
      </c>
      <c r="N688" s="104">
        <f>VLOOKUP(E688,verificare!$AR$4:$CC$33,B688+2,FALSE)</f>
        <v>0</v>
      </c>
      <c r="O688" s="103">
        <f>HLOOKUP(VLOOKUP(E688,'Date SPV'!$B$4:$F$34,5,FALSE),'Preturi si tarife'!$C$2:$J$39,B688+2,FALSE)*10000</f>
        <v>4395</v>
      </c>
      <c r="Q688" s="101" t="str">
        <f t="shared" si="79"/>
        <v>One-off</v>
      </c>
      <c r="R688" s="101" t="str">
        <f>VLOOKUP(K688,'Preturi si tarife'!$B$4:$K$39,10,FALSE)</f>
        <v>ICOENG0001</v>
      </c>
      <c r="T688" s="101" t="str">
        <f t="shared" si="80"/>
        <v>INV + 30</v>
      </c>
      <c r="V688" s="101" t="str">
        <f t="shared" si="81"/>
        <v>Active</v>
      </c>
      <c r="X688" s="101" t="str">
        <f t="shared" si="82"/>
        <v>One-off</v>
      </c>
      <c r="AC688" s="101" t="str">
        <f t="shared" si="85"/>
        <v>RON</v>
      </c>
      <c r="AD688" s="101">
        <f t="shared" si="86"/>
        <v>10000</v>
      </c>
    </row>
    <row r="689" spans="1:30">
      <c r="A689" s="101">
        <f t="shared" si="87"/>
        <v>20</v>
      </c>
      <c r="B689" s="101">
        <f t="shared" si="83"/>
        <v>4</v>
      </c>
      <c r="C689" s="101" t="str">
        <f t="shared" si="84"/>
        <v>T4</v>
      </c>
      <c r="D689" s="101" t="str">
        <f>IF(A689&lt;&gt;A688,VLOOKUP(A689,'Date SPV'!$A:$D,4,FALSE),D688)</f>
        <v>NRE Sibiu Shopping City SRL</v>
      </c>
      <c r="E689" s="101" t="str">
        <f>VLOOKUP(A689,'Date SPV'!$A$4:$B$34,2,FALSE)</f>
        <v>RNSS</v>
      </c>
      <c r="H689" s="105" t="s">
        <v>894</v>
      </c>
      <c r="K689" s="101" t="str">
        <f>VLOOKUP(C689,'Preturi si tarife'!$A$4:$B$39,2,FALSE)</f>
        <v>Tarife distributie en. El IT+MT</v>
      </c>
      <c r="L689" s="102">
        <f>IF(B689=1,'Date masura OD'!$I$5,IF(B689=19,'Date masura OD'!$AK$5,L688))</f>
        <v>45778</v>
      </c>
      <c r="M689" s="102">
        <f>IF(B689=1,'Date masura OD'!$J$5,IF(B689=19,'Date masura OD'!$AL$5,M688))</f>
        <v>45808</v>
      </c>
      <c r="N689" s="104">
        <f>VLOOKUP(E689,verificare!$AR$4:$CC$33,B689+2,FALSE)</f>
        <v>312565</v>
      </c>
      <c r="O689" s="103">
        <f>HLOOKUP(VLOOKUP(E689,'Date SPV'!$B$4:$F$34,5,FALSE),'Preturi si tarife'!$C$2:$J$39,B689+2,FALSE)*10000</f>
        <v>1148.3</v>
      </c>
      <c r="Q689" s="101" t="str">
        <f t="shared" si="79"/>
        <v>One-off</v>
      </c>
      <c r="R689" s="101" t="str">
        <f>VLOOKUP(K689,'Preturi si tarife'!$B$4:$K$39,10,FALSE)</f>
        <v>ICOENG0001</v>
      </c>
      <c r="T689" s="101" t="str">
        <f t="shared" si="80"/>
        <v>INV + 30</v>
      </c>
      <c r="V689" s="101" t="str">
        <f t="shared" si="81"/>
        <v>Active</v>
      </c>
      <c r="X689" s="101" t="str">
        <f t="shared" si="82"/>
        <v>One-off</v>
      </c>
      <c r="AC689" s="101" t="str">
        <f t="shared" si="85"/>
        <v>RON</v>
      </c>
      <c r="AD689" s="101">
        <f t="shared" si="86"/>
        <v>10000</v>
      </c>
    </row>
    <row r="690" spans="1:30">
      <c r="A690" s="101">
        <f t="shared" si="87"/>
        <v>20</v>
      </c>
      <c r="B690" s="101">
        <f t="shared" si="83"/>
        <v>5</v>
      </c>
      <c r="C690" s="101" t="str">
        <f t="shared" si="84"/>
        <v>T5</v>
      </c>
      <c r="D690" s="101" t="str">
        <f>IF(A690&lt;&gt;A689,VLOOKUP(A690,'Date SPV'!$A:$D,4,FALSE),D689)</f>
        <v>NRE Sibiu Shopping City SRL</v>
      </c>
      <c r="E690" s="101" t="str">
        <f>VLOOKUP(A690,'Date SPV'!$A$4:$B$34,2,FALSE)</f>
        <v>RNSS</v>
      </c>
      <c r="H690" s="105" t="s">
        <v>894</v>
      </c>
      <c r="K690" s="101" t="str">
        <f>VLOOKUP(C690,'Preturi si tarife'!$A$4:$B$39,2,FALSE)</f>
        <v>Tarife distributie en. El JT</v>
      </c>
      <c r="L690" s="102">
        <f>IF(B690=1,'Date masura OD'!$I$5,IF(B690=19,'Date masura OD'!$AK$5,L689))</f>
        <v>45778</v>
      </c>
      <c r="M690" s="102">
        <f>IF(B690=1,'Date masura OD'!$J$5,IF(B690=19,'Date masura OD'!$AL$5,M689))</f>
        <v>45808</v>
      </c>
      <c r="N690" s="104">
        <f>VLOOKUP(E690,verificare!$AR$4:$CC$33,B690+2,FALSE)</f>
        <v>2953</v>
      </c>
      <c r="O690" s="103">
        <f>HLOOKUP(VLOOKUP(E690,'Date SPV'!$B$4:$F$34,5,FALSE),'Preturi si tarife'!$C$2:$J$39,B690+2,FALSE)*10000</f>
        <v>2361</v>
      </c>
      <c r="Q690" s="101" t="str">
        <f t="shared" si="79"/>
        <v>One-off</v>
      </c>
      <c r="R690" s="101" t="str">
        <f>VLOOKUP(K690,'Preturi si tarife'!$B$4:$K$39,10,FALSE)</f>
        <v>ICOENG0001</v>
      </c>
      <c r="T690" s="101" t="str">
        <f t="shared" si="80"/>
        <v>INV + 30</v>
      </c>
      <c r="V690" s="101" t="str">
        <f t="shared" si="81"/>
        <v>Active</v>
      </c>
      <c r="X690" s="101" t="str">
        <f t="shared" si="82"/>
        <v>One-off</v>
      </c>
      <c r="AC690" s="101" t="str">
        <f t="shared" si="85"/>
        <v>RON</v>
      </c>
      <c r="AD690" s="101">
        <f t="shared" si="86"/>
        <v>10000</v>
      </c>
    </row>
    <row r="691" spans="1:30">
      <c r="A691" s="101">
        <f t="shared" si="87"/>
        <v>20</v>
      </c>
      <c r="B691" s="101">
        <f t="shared" si="83"/>
        <v>6</v>
      </c>
      <c r="C691" s="101" t="str">
        <f t="shared" si="84"/>
        <v>T6</v>
      </c>
      <c r="D691" s="101" t="str">
        <f>IF(A691&lt;&gt;A690,VLOOKUP(A691,'Date SPV'!$A:$D,4,FALSE),D690)</f>
        <v>NRE Sibiu Shopping City SRL</v>
      </c>
      <c r="E691" s="101" t="str">
        <f>VLOOKUP(A691,'Date SPV'!$A$4:$B$34,2,FALSE)</f>
        <v>RNSS</v>
      </c>
      <c r="H691" s="105" t="s">
        <v>894</v>
      </c>
      <c r="K691" s="101" t="str">
        <f>VLOOKUP(C691,'Preturi si tarife'!$A$4:$B$39,2,FALSE)</f>
        <v xml:space="preserve">Servicii Sistem </v>
      </c>
      <c r="L691" s="102">
        <f>IF(B691=1,'Date masura OD'!$I$5,IF(B691=19,'Date masura OD'!$AK$5,L690))</f>
        <v>45778</v>
      </c>
      <c r="M691" s="102">
        <f>IF(B691=1,'Date masura OD'!$J$5,IF(B691=19,'Date masura OD'!$AL$5,M690))</f>
        <v>45808</v>
      </c>
      <c r="N691" s="104">
        <f>VLOOKUP(E691,verificare!$AR$4:$CC$33,B691+2,FALSE)</f>
        <v>312565</v>
      </c>
      <c r="O691" s="103">
        <f>HLOOKUP(VLOOKUP(E691,'Date SPV'!$B$4:$F$34,5,FALSE),'Preturi si tarife'!$C$2:$J$39,B691+2,FALSE)*10000</f>
        <v>115.1</v>
      </c>
      <c r="Q691" s="101" t="str">
        <f t="shared" si="79"/>
        <v>One-off</v>
      </c>
      <c r="R691" s="101" t="str">
        <f>VLOOKUP(K691,'Preturi si tarife'!$B$4:$K$39,10,FALSE)</f>
        <v>ICOENG0001</v>
      </c>
      <c r="T691" s="101" t="str">
        <f t="shared" si="80"/>
        <v>INV + 30</v>
      </c>
      <c r="V691" s="101" t="str">
        <f t="shared" si="81"/>
        <v>Active</v>
      </c>
      <c r="X691" s="101" t="str">
        <f t="shared" si="82"/>
        <v>One-off</v>
      </c>
      <c r="AC691" s="101" t="str">
        <f t="shared" si="85"/>
        <v>RON</v>
      </c>
      <c r="AD691" s="101">
        <f t="shared" si="86"/>
        <v>10000</v>
      </c>
    </row>
    <row r="692" spans="1:30">
      <c r="A692" s="101">
        <f t="shared" si="87"/>
        <v>20</v>
      </c>
      <c r="B692" s="101">
        <f t="shared" si="83"/>
        <v>7</v>
      </c>
      <c r="C692" s="101" t="str">
        <f t="shared" si="84"/>
        <v>T7</v>
      </c>
      <c r="D692" s="101" t="str">
        <f>IF(A692&lt;&gt;A691,VLOOKUP(A692,'Date SPV'!$A:$D,4,FALSE),D691)</f>
        <v>NRE Sibiu Shopping City SRL</v>
      </c>
      <c r="E692" s="101" t="str">
        <f>VLOOKUP(A692,'Date SPV'!$A$4:$B$34,2,FALSE)</f>
        <v>RNSS</v>
      </c>
      <c r="H692" s="105" t="s">
        <v>894</v>
      </c>
      <c r="K692" s="101" t="str">
        <f>VLOOKUP(C692,'Preturi si tarife'!$A$4:$B$39,2,FALSE)</f>
        <v>Tarif de introducere en. el in retea (TL)</v>
      </c>
      <c r="L692" s="102">
        <f>IF(B692=1,'Date masura OD'!$I$5,IF(B692=19,'Date masura OD'!$AK$5,L691))</f>
        <v>45778</v>
      </c>
      <c r="M692" s="102">
        <f>IF(B692=1,'Date masura OD'!$J$5,IF(B692=19,'Date masura OD'!$AL$5,M691))</f>
        <v>45808</v>
      </c>
      <c r="N692" s="104">
        <f>VLOOKUP(E692,verificare!$AR$4:$CC$33,B692+2,FALSE)</f>
        <v>312565</v>
      </c>
      <c r="O692" s="103">
        <f>HLOOKUP(VLOOKUP(E692,'Date SPV'!$B$4:$F$34,5,FALSE),'Preturi si tarife'!$C$2:$J$39,B692+2,FALSE)*10000</f>
        <v>330.3</v>
      </c>
      <c r="Q692" s="101" t="str">
        <f t="shared" si="79"/>
        <v>One-off</v>
      </c>
      <c r="R692" s="101" t="str">
        <f>VLOOKUP(K692,'Preturi si tarife'!$B$4:$K$39,10,FALSE)</f>
        <v>ICOENG0001</v>
      </c>
      <c r="T692" s="101" t="str">
        <f t="shared" si="80"/>
        <v>INV + 30</v>
      </c>
      <c r="V692" s="101" t="str">
        <f t="shared" si="81"/>
        <v>Active</v>
      </c>
      <c r="X692" s="101" t="str">
        <f t="shared" si="82"/>
        <v>One-off</v>
      </c>
      <c r="AC692" s="101" t="str">
        <f t="shared" si="85"/>
        <v>RON</v>
      </c>
      <c r="AD692" s="101">
        <f t="shared" si="86"/>
        <v>10000</v>
      </c>
    </row>
    <row r="693" spans="1:30">
      <c r="A693" s="101">
        <f t="shared" si="87"/>
        <v>20</v>
      </c>
      <c r="B693" s="101">
        <f t="shared" si="83"/>
        <v>8</v>
      </c>
      <c r="C693" s="101" t="str">
        <f t="shared" si="84"/>
        <v>T8</v>
      </c>
      <c r="D693" s="101" t="str">
        <f>IF(A693&lt;&gt;A692,VLOOKUP(A693,'Date SPV'!$A:$D,4,FALSE),D692)</f>
        <v>NRE Sibiu Shopping City SRL</v>
      </c>
      <c r="E693" s="101" t="str">
        <f>VLOOKUP(A693,'Date SPV'!$A$4:$B$34,2,FALSE)</f>
        <v>RNSS</v>
      </c>
      <c r="H693" s="105" t="s">
        <v>894</v>
      </c>
      <c r="K693" s="101" t="str">
        <f>VLOOKUP(C693,'Preturi si tarife'!$A$4:$B$39,2,FALSE)</f>
        <v>Tarif de introducere en.el in retea (TG)</v>
      </c>
      <c r="L693" s="102">
        <f>IF(B693=1,'Date masura OD'!$I$5,IF(B693=19,'Date masura OD'!$AK$5,L692))</f>
        <v>45778</v>
      </c>
      <c r="M693" s="102">
        <f>IF(B693=1,'Date masura OD'!$J$5,IF(B693=19,'Date masura OD'!$AL$5,M692))</f>
        <v>45808</v>
      </c>
      <c r="N693" s="104">
        <f>VLOOKUP(E693,verificare!$AR$4:$CC$33,B693+2,FALSE)</f>
        <v>312565</v>
      </c>
      <c r="O693" s="103">
        <f>HLOOKUP(VLOOKUP(E693,'Date SPV'!$B$4:$F$34,5,FALSE),'Preturi si tarife'!$C$2:$J$39,B693+2,FALSE)*10000</f>
        <v>32.9</v>
      </c>
      <c r="Q693" s="101" t="str">
        <f t="shared" si="79"/>
        <v>One-off</v>
      </c>
      <c r="R693" s="101" t="str">
        <f>VLOOKUP(K693,'Preturi si tarife'!$B$4:$K$39,10,FALSE)</f>
        <v>ICOENG0001</v>
      </c>
      <c r="T693" s="101" t="str">
        <f t="shared" si="80"/>
        <v>INV + 30</v>
      </c>
      <c r="V693" s="101" t="str">
        <f t="shared" si="81"/>
        <v>Active</v>
      </c>
      <c r="X693" s="101" t="str">
        <f t="shared" si="82"/>
        <v>One-off</v>
      </c>
      <c r="AC693" s="101" t="str">
        <f t="shared" si="85"/>
        <v>RON</v>
      </c>
      <c r="AD693" s="101">
        <f t="shared" si="86"/>
        <v>10000</v>
      </c>
    </row>
    <row r="694" spans="1:30">
      <c r="A694" s="101">
        <f t="shared" si="87"/>
        <v>20</v>
      </c>
      <c r="B694" s="101">
        <f t="shared" si="83"/>
        <v>9</v>
      </c>
      <c r="C694" s="101" t="str">
        <f t="shared" si="84"/>
        <v>T9</v>
      </c>
      <c r="D694" s="101" t="str">
        <f>IF(A694&lt;&gt;A693,VLOOKUP(A694,'Date SPV'!$A:$D,4,FALSE),D693)</f>
        <v>NRE Sibiu Shopping City SRL</v>
      </c>
      <c r="E694" s="101" t="str">
        <f>VLOOKUP(A694,'Date SPV'!$A$4:$B$34,2,FALSE)</f>
        <v>RNSS</v>
      </c>
      <c r="H694" s="105" t="s">
        <v>894</v>
      </c>
      <c r="K694" s="101" t="str">
        <f>VLOOKUP(C694,'Preturi si tarife'!$A$4:$B$39,2,FALSE)</f>
        <v>Contributie pentru cogenerare</v>
      </c>
      <c r="L694" s="102">
        <f>IF(B694=1,'Date masura OD'!$I$5,IF(B694=19,'Date masura OD'!$AK$5,L693))</f>
        <v>45778</v>
      </c>
      <c r="M694" s="102">
        <f>IF(B694=1,'Date masura OD'!$J$5,IF(B694=19,'Date masura OD'!$AL$5,M693))</f>
        <v>45808</v>
      </c>
      <c r="N694" s="104">
        <f>VLOOKUP(E694,verificare!$AR$4:$CC$33,B694+2,FALSE)</f>
        <v>312565</v>
      </c>
      <c r="O694" s="103">
        <f>HLOOKUP(VLOOKUP(E694,'Date SPV'!$B$4:$F$34,5,FALSE),'Preturi si tarife'!$C$2:$J$39,B694+2,FALSE)*10000</f>
        <v>35</v>
      </c>
      <c r="Q694" s="101" t="str">
        <f t="shared" si="79"/>
        <v>One-off</v>
      </c>
      <c r="R694" s="101" t="str">
        <f>VLOOKUP(K694,'Preturi si tarife'!$B$4:$K$39,10,FALSE)</f>
        <v>ICOENG0001</v>
      </c>
      <c r="T694" s="101" t="str">
        <f t="shared" si="80"/>
        <v>INV + 30</v>
      </c>
      <c r="V694" s="101" t="str">
        <f t="shared" si="81"/>
        <v>Active</v>
      </c>
      <c r="X694" s="101" t="str">
        <f t="shared" si="82"/>
        <v>One-off</v>
      </c>
      <c r="AC694" s="101" t="str">
        <f t="shared" si="85"/>
        <v>RON</v>
      </c>
      <c r="AD694" s="101">
        <f t="shared" si="86"/>
        <v>10000</v>
      </c>
    </row>
    <row r="695" spans="1:30">
      <c r="A695" s="101">
        <f t="shared" si="87"/>
        <v>20</v>
      </c>
      <c r="B695" s="101">
        <f t="shared" si="83"/>
        <v>10</v>
      </c>
      <c r="C695" s="101" t="str">
        <f t="shared" si="84"/>
        <v>T10</v>
      </c>
      <c r="D695" s="101" t="str">
        <f>IF(A695&lt;&gt;A694,VLOOKUP(A695,'Date SPV'!$A:$D,4,FALSE),D694)</f>
        <v>NRE Sibiu Shopping City SRL</v>
      </c>
      <c r="E695" s="101" t="str">
        <f>VLOOKUP(A695,'Date SPV'!$A$4:$B$34,2,FALSE)</f>
        <v>RNSS</v>
      </c>
      <c r="H695" s="105" t="s">
        <v>894</v>
      </c>
      <c r="K695" s="101" t="str">
        <f>VLOOKUP(C695,'Preturi si tarife'!$A$4:$B$39,2,FALSE)</f>
        <v xml:space="preserve">Certificate verzi </v>
      </c>
      <c r="L695" s="102">
        <f>IF(B695=1,'Date masura OD'!$I$5,IF(B695=19,'Date masura OD'!$AK$5,L694))</f>
        <v>45778</v>
      </c>
      <c r="M695" s="102">
        <f>IF(B695=1,'Date masura OD'!$J$5,IF(B695=19,'Date masura OD'!$AL$5,M694))</f>
        <v>45808</v>
      </c>
      <c r="N695" s="104">
        <f>VLOOKUP(E695,verificare!$AR$4:$CC$33,B695+2,FALSE)</f>
        <v>312565</v>
      </c>
      <c r="O695" s="103">
        <f>HLOOKUP(VLOOKUP(E695,'Date SPV'!$B$4:$F$34,5,FALSE),'Preturi si tarife'!$C$2:$J$39,B695+2,FALSE)*10000</f>
        <v>725.41599999999994</v>
      </c>
      <c r="Q695" s="101" t="str">
        <f t="shared" si="79"/>
        <v>One-off</v>
      </c>
      <c r="R695" s="101" t="str">
        <f>VLOOKUP(K695,'Preturi si tarife'!$B$4:$K$39,10,FALSE)</f>
        <v>ICOENG0001</v>
      </c>
      <c r="T695" s="101" t="str">
        <f t="shared" si="80"/>
        <v>INV + 30</v>
      </c>
      <c r="V695" s="101" t="str">
        <f t="shared" si="81"/>
        <v>Active</v>
      </c>
      <c r="X695" s="101" t="str">
        <f t="shared" si="82"/>
        <v>One-off</v>
      </c>
      <c r="AC695" s="101" t="str">
        <f t="shared" si="85"/>
        <v>RON</v>
      </c>
      <c r="AD695" s="101">
        <f t="shared" si="86"/>
        <v>10000</v>
      </c>
    </row>
    <row r="696" spans="1:30">
      <c r="A696" s="101">
        <f t="shared" si="87"/>
        <v>20</v>
      </c>
      <c r="B696" s="101">
        <f t="shared" si="83"/>
        <v>11</v>
      </c>
      <c r="C696" s="101" t="str">
        <f t="shared" si="84"/>
        <v>T11</v>
      </c>
      <c r="D696" s="101" t="str">
        <f>IF(A696&lt;&gt;A695,VLOOKUP(A696,'Date SPV'!$A:$D,4,FALSE),D695)</f>
        <v>NRE Sibiu Shopping City SRL</v>
      </c>
      <c r="E696" s="101" t="str">
        <f>VLOOKUP(A696,'Date SPV'!$A$4:$B$34,2,FALSE)</f>
        <v>RNSS</v>
      </c>
      <c r="H696" s="105" t="s">
        <v>894</v>
      </c>
      <c r="K696" s="101" t="str">
        <f>VLOOKUP(C696,'Preturi si tarife'!$A$4:$B$39,2,FALSE)</f>
        <v>Contributie CFD</v>
      </c>
      <c r="L696" s="102">
        <f>IF(B696=1,'Date masura OD'!$I$5,IF(B696=19,'Date masura OD'!$AK$5,L695))</f>
        <v>45778</v>
      </c>
      <c r="M696" s="102">
        <f>IF(B696=1,'Date masura OD'!$J$5,IF(B696=19,'Date masura OD'!$AL$5,M695))</f>
        <v>45808</v>
      </c>
      <c r="N696" s="104">
        <f>VLOOKUP(E696,verificare!$AR$4:$CC$33,B696+2,FALSE)</f>
        <v>312565</v>
      </c>
      <c r="O696" s="103">
        <f>HLOOKUP(VLOOKUP(E696,'Date SPV'!$B$4:$F$34,5,FALSE),'Preturi si tarife'!$C$2:$J$39,B696+2,FALSE)*10000</f>
        <v>2.06</v>
      </c>
      <c r="Q696" s="101" t="str">
        <f t="shared" si="79"/>
        <v>One-off</v>
      </c>
      <c r="R696" s="101" t="str">
        <f>VLOOKUP(K696,'Preturi si tarife'!$B$4:$K$39,10,FALSE)</f>
        <v>ICOENG0001</v>
      </c>
      <c r="T696" s="101" t="str">
        <f t="shared" si="80"/>
        <v>INV + 30</v>
      </c>
      <c r="V696" s="101" t="str">
        <f t="shared" si="81"/>
        <v>Active</v>
      </c>
      <c r="X696" s="101" t="str">
        <f t="shared" si="82"/>
        <v>One-off</v>
      </c>
      <c r="AC696" s="101" t="str">
        <f t="shared" si="85"/>
        <v>RON</v>
      </c>
      <c r="AD696" s="101">
        <f t="shared" si="86"/>
        <v>10000</v>
      </c>
    </row>
    <row r="697" spans="1:30">
      <c r="A697" s="101">
        <f t="shared" si="87"/>
        <v>20</v>
      </c>
      <c r="B697" s="101">
        <f t="shared" si="83"/>
        <v>12</v>
      </c>
      <c r="C697" s="101" t="str">
        <f t="shared" si="84"/>
        <v>T12</v>
      </c>
      <c r="D697" s="101" t="str">
        <f>IF(A697&lt;&gt;A696,VLOOKUP(A697,'Date SPV'!$A:$D,4,FALSE),D696)</f>
        <v>NRE Sibiu Shopping City SRL</v>
      </c>
      <c r="E697" s="101" t="str">
        <f>VLOOKUP(A697,'Date SPV'!$A$4:$B$34,2,FALSE)</f>
        <v>RNSS</v>
      </c>
      <c r="H697" s="105" t="s">
        <v>894</v>
      </c>
      <c r="K697" s="101" t="str">
        <f>VLOOKUP(C697,'Preturi si tarife'!$A$4:$B$39,2,FALSE)</f>
        <v>Acciza</v>
      </c>
      <c r="L697" s="102">
        <f>IF(B697=1,'Date masura OD'!$I$5,IF(B697=19,'Date masura OD'!$AK$5,L696))</f>
        <v>45778</v>
      </c>
      <c r="M697" s="102">
        <f>IF(B697=1,'Date masura OD'!$J$5,IF(B697=19,'Date masura OD'!$AL$5,M696))</f>
        <v>45808</v>
      </c>
      <c r="N697" s="104">
        <f>VLOOKUP(E697,verificare!$AR$4:$CC$33,B697+2,FALSE)</f>
        <v>312565</v>
      </c>
      <c r="O697" s="103">
        <f>HLOOKUP(VLOOKUP(E697,'Date SPV'!$B$4:$F$34,5,FALSE),'Preturi si tarife'!$C$2:$J$39,B697+2,FALSE)*10000</f>
        <v>0</v>
      </c>
      <c r="Q697" s="101" t="str">
        <f t="shared" si="79"/>
        <v>One-off</v>
      </c>
      <c r="R697" s="101" t="str">
        <f>VLOOKUP(K697,'Preturi si tarife'!$B$4:$K$39,10,FALSE)</f>
        <v>ICOENG0001</v>
      </c>
      <c r="T697" s="101" t="str">
        <f t="shared" si="80"/>
        <v>INV + 30</v>
      </c>
      <c r="V697" s="101" t="str">
        <f t="shared" si="81"/>
        <v>Active</v>
      </c>
      <c r="X697" s="101" t="str">
        <f t="shared" si="82"/>
        <v>One-off</v>
      </c>
      <c r="AC697" s="101" t="str">
        <f t="shared" si="85"/>
        <v>RON</v>
      </c>
      <c r="AD697" s="101">
        <f t="shared" si="86"/>
        <v>10000</v>
      </c>
    </row>
    <row r="698" spans="1:30">
      <c r="A698" s="101">
        <f t="shared" si="87"/>
        <v>20</v>
      </c>
      <c r="B698" s="101">
        <f t="shared" si="83"/>
        <v>13</v>
      </c>
      <c r="C698" s="101" t="str">
        <f t="shared" si="84"/>
        <v>T13</v>
      </c>
      <c r="D698" s="101" t="str">
        <f>IF(A698&lt;&gt;A697,VLOOKUP(A698,'Date SPV'!$A:$D,4,FALSE),D697)</f>
        <v>NRE Sibiu Shopping City SRL</v>
      </c>
      <c r="E698" s="101" t="str">
        <f>VLOOKUP(A698,'Date SPV'!$A$4:$B$34,2,FALSE)</f>
        <v>RNSS</v>
      </c>
      <c r="H698" s="105" t="s">
        <v>894</v>
      </c>
      <c r="K698" s="101" t="str">
        <f>VLOOKUP(C698,'Preturi si tarife'!$A$4:$B$39,2,FALSE)</f>
        <v>Tarif distributie SDI MT</v>
      </c>
      <c r="L698" s="102">
        <f>IF(B698=1,'Date masura OD'!$I$5,IF(B698=19,'Date masura OD'!$AK$5,L697))</f>
        <v>45778</v>
      </c>
      <c r="M698" s="102">
        <f>IF(B698=1,'Date masura OD'!$J$5,IF(B698=19,'Date masura OD'!$AL$5,M697))</f>
        <v>45808</v>
      </c>
      <c r="N698" s="104">
        <f>VLOOKUP(E698,verificare!$AR$4:$CC$33,B698+2,FALSE)</f>
        <v>309612</v>
      </c>
      <c r="O698" s="103">
        <f>HLOOKUP(VLOOKUP(E698,'Date SPV'!$B$4:$F$34,5,FALSE),'Preturi si tarife'!$C$2:$J$39,B698+2,FALSE)*10000</f>
        <v>126</v>
      </c>
      <c r="Q698" s="101" t="str">
        <f t="shared" si="79"/>
        <v>One-off</v>
      </c>
      <c r="R698" s="101" t="str">
        <f>VLOOKUP(K698,'Preturi si tarife'!$B$4:$K$39,10,FALSE)</f>
        <v>ICOENG0010</v>
      </c>
      <c r="T698" s="101" t="str">
        <f t="shared" si="80"/>
        <v>INV + 30</v>
      </c>
      <c r="V698" s="101" t="str">
        <f t="shared" si="81"/>
        <v>Active</v>
      </c>
      <c r="X698" s="101" t="str">
        <f t="shared" si="82"/>
        <v>One-off</v>
      </c>
      <c r="AC698" s="101" t="str">
        <f t="shared" si="85"/>
        <v>RON</v>
      </c>
      <c r="AD698" s="101">
        <f t="shared" si="86"/>
        <v>10000</v>
      </c>
    </row>
    <row r="699" spans="1:30">
      <c r="A699" s="101">
        <f t="shared" si="87"/>
        <v>20</v>
      </c>
      <c r="B699" s="101">
        <f t="shared" si="83"/>
        <v>14</v>
      </c>
      <c r="C699" s="101" t="str">
        <f t="shared" si="84"/>
        <v>T14</v>
      </c>
      <c r="D699" s="101" t="str">
        <f>IF(A699&lt;&gt;A698,VLOOKUP(A699,'Date SPV'!$A:$D,4,FALSE),D698)</f>
        <v>NRE Sibiu Shopping City SRL</v>
      </c>
      <c r="E699" s="101" t="str">
        <f>VLOOKUP(A699,'Date SPV'!$A$4:$B$34,2,FALSE)</f>
        <v>RNSS</v>
      </c>
      <c r="H699" s="105" t="s">
        <v>894</v>
      </c>
      <c r="K699" s="101" t="str">
        <f>VLOOKUP(C699,'Preturi si tarife'!$A$4:$B$39,2,FALSE)</f>
        <v>Tarif distributie SDI JT</v>
      </c>
      <c r="L699" s="102">
        <f>IF(B699=1,'Date masura OD'!$I$5,IF(B699=19,'Date masura OD'!$AK$5,L698))</f>
        <v>45778</v>
      </c>
      <c r="M699" s="102">
        <f>IF(B699=1,'Date masura OD'!$J$5,IF(B699=19,'Date masura OD'!$AL$5,M698))</f>
        <v>45808</v>
      </c>
      <c r="N699" s="104">
        <f>VLOOKUP(E699,verificare!$AR$4:$CC$33,B699+2,FALSE)</f>
        <v>309612</v>
      </c>
      <c r="O699" s="103">
        <f>HLOOKUP(VLOOKUP(E699,'Date SPV'!$B$4:$F$34,5,FALSE),'Preturi si tarife'!$C$2:$J$39,B699+2,FALSE)*10000</f>
        <v>927</v>
      </c>
      <c r="Q699" s="101" t="str">
        <f t="shared" si="79"/>
        <v>One-off</v>
      </c>
      <c r="R699" s="101" t="str">
        <f>VLOOKUP(K699,'Preturi si tarife'!$B$4:$K$39,10,FALSE)</f>
        <v>ICOENG0010</v>
      </c>
      <c r="T699" s="101" t="str">
        <f t="shared" si="80"/>
        <v>INV + 30</v>
      </c>
      <c r="V699" s="101" t="str">
        <f t="shared" si="81"/>
        <v>Active</v>
      </c>
      <c r="X699" s="101" t="str">
        <f t="shared" si="82"/>
        <v>One-off</v>
      </c>
      <c r="AC699" s="101" t="str">
        <f t="shared" si="85"/>
        <v>RON</v>
      </c>
      <c r="AD699" s="101">
        <f t="shared" si="86"/>
        <v>10000</v>
      </c>
    </row>
    <row r="700" spans="1:30">
      <c r="A700" s="101">
        <f t="shared" si="87"/>
        <v>20</v>
      </c>
      <c r="B700" s="101">
        <f t="shared" si="83"/>
        <v>15</v>
      </c>
      <c r="C700" s="101" t="str">
        <f t="shared" si="84"/>
        <v>T15</v>
      </c>
      <c r="D700" s="101" t="str">
        <f>IF(A700&lt;&gt;A699,VLOOKUP(A700,'Date SPV'!$A:$D,4,FALSE),D699)</f>
        <v>NRE Sibiu Shopping City SRL</v>
      </c>
      <c r="E700" s="101" t="str">
        <f>VLOOKUP(A700,'Date SPV'!$A$4:$B$34,2,FALSE)</f>
        <v>RNSS</v>
      </c>
      <c r="H700" s="105" t="s">
        <v>894</v>
      </c>
      <c r="K700" s="101" t="str">
        <f>VLOOKUP(C700,'Preturi si tarife'!$A$4:$B$39,2,FALSE)</f>
        <v>Energie activa 2</v>
      </c>
      <c r="L700" s="102">
        <f>IF(B700=1,'Date masura OD'!$I$5,IF(B700=19,'Date masura OD'!$AK$5,L699))</f>
        <v>45778</v>
      </c>
      <c r="M700" s="102">
        <f>IF(B700=1,'Date masura OD'!$J$5,IF(B700=19,'Date masura OD'!$AL$5,M699))</f>
        <v>45808</v>
      </c>
      <c r="N700" s="104">
        <f>VLOOKUP(E700,verificare!$AR$4:$CC$33,B700+2,FALSE)</f>
        <v>188035</v>
      </c>
      <c r="O700" s="103">
        <f>HLOOKUP(VLOOKUP(E700,'Date SPV'!$B$4:$F$34,5,FALSE),'Preturi si tarife'!$C$2:$J$39,B700+2,FALSE)*10000</f>
        <v>9392.0760000000009</v>
      </c>
      <c r="Q700" s="101" t="str">
        <f t="shared" ref="Q700:Q763" si="88">Q699</f>
        <v>One-off</v>
      </c>
      <c r="R700" s="101" t="str">
        <f>VLOOKUP(K700,'Preturi si tarife'!$B$4:$K$39,10,FALSE)</f>
        <v>ICOENG0012</v>
      </c>
      <c r="T700" s="101" t="str">
        <f t="shared" ref="T700:T763" si="89">T699</f>
        <v>INV + 30</v>
      </c>
      <c r="V700" s="101" t="str">
        <f t="shared" ref="V700:V763" si="90">V699</f>
        <v>Active</v>
      </c>
      <c r="X700" s="101" t="str">
        <f t="shared" ref="X700:X763" si="91">X699</f>
        <v>One-off</v>
      </c>
      <c r="AC700" s="101" t="str">
        <f t="shared" si="85"/>
        <v>RON</v>
      </c>
      <c r="AD700" s="101">
        <f t="shared" si="86"/>
        <v>10000</v>
      </c>
    </row>
    <row r="701" spans="1:30">
      <c r="A701" s="101">
        <f t="shared" si="87"/>
        <v>20</v>
      </c>
      <c r="B701" s="101">
        <f t="shared" ref="B701:B746" si="92">IF(A701&lt;&gt;A700,1,B700+1)</f>
        <v>16</v>
      </c>
      <c r="C701" s="101" t="str">
        <f t="shared" ref="C701:C746" si="93">_xlfn.CONCAT("T",B701)</f>
        <v>T16</v>
      </c>
      <c r="D701" s="101" t="str">
        <f>IF(A701&lt;&gt;A700,VLOOKUP(A701,'Date SPV'!$A:$D,4,FALSE),D700)</f>
        <v>NRE Sibiu Shopping City SRL</v>
      </c>
      <c r="E701" s="101" t="str">
        <f>VLOOKUP(A701,'Date SPV'!$A$4:$B$34,2,FALSE)</f>
        <v>RNSS</v>
      </c>
      <c r="H701" s="105" t="s">
        <v>894</v>
      </c>
      <c r="K701" s="101" t="str">
        <f>VLOOKUP(C701,'Preturi si tarife'!$A$4:$B$39,2,FALSE)</f>
        <v>Energie activa 3</v>
      </c>
      <c r="L701" s="102">
        <f>IF(B701=1,'Date masura OD'!$I$5,IF(B701=19,'Date masura OD'!$AK$5,L700))</f>
        <v>45778</v>
      </c>
      <c r="M701" s="102">
        <f>IF(B701=1,'Date masura OD'!$J$5,IF(B701=19,'Date masura OD'!$AL$5,M700))</f>
        <v>45808</v>
      </c>
      <c r="N701" s="104">
        <f>VLOOKUP(E701,verificare!$AR$4:$CC$33,B701+2,FALSE)</f>
        <v>0</v>
      </c>
      <c r="O701" s="103">
        <f>HLOOKUP(VLOOKUP(E701,'Date SPV'!$B$4:$F$34,5,FALSE),'Preturi si tarife'!$C$2:$J$39,B701+2,FALSE)*10000</f>
        <v>8339.0760000000009</v>
      </c>
      <c r="Q701" s="101" t="str">
        <f t="shared" si="88"/>
        <v>One-off</v>
      </c>
      <c r="R701" s="101" t="str">
        <f>VLOOKUP(K701,'Preturi si tarife'!$B$4:$K$39,10,FALSE)</f>
        <v>ICOENG0012</v>
      </c>
      <c r="T701" s="101" t="str">
        <f t="shared" si="89"/>
        <v>INV + 30</v>
      </c>
      <c r="V701" s="101" t="str">
        <f t="shared" si="90"/>
        <v>Active</v>
      </c>
      <c r="X701" s="101" t="str">
        <f t="shared" si="91"/>
        <v>One-off</v>
      </c>
      <c r="AC701" s="101" t="str">
        <f t="shared" ref="AC701:AC764" si="94">AC700</f>
        <v>RON</v>
      </c>
      <c r="AD701" s="101">
        <f t="shared" ref="AD701:AD764" si="95">AD700</f>
        <v>10000</v>
      </c>
    </row>
    <row r="702" spans="1:30">
      <c r="A702" s="101">
        <f t="shared" si="87"/>
        <v>20</v>
      </c>
      <c r="B702" s="101">
        <f t="shared" si="92"/>
        <v>17</v>
      </c>
      <c r="C702" s="101" t="str">
        <f t="shared" si="93"/>
        <v>T17</v>
      </c>
      <c r="D702" s="101" t="str">
        <f>IF(A702&lt;&gt;A701,VLOOKUP(A702,'Date SPV'!$A:$D,4,FALSE),D701)</f>
        <v>NRE Sibiu Shopping City SRL</v>
      </c>
      <c r="E702" s="101" t="str">
        <f>VLOOKUP(A702,'Date SPV'!$A$4:$B$34,2,FALSE)</f>
        <v>RNSS</v>
      </c>
      <c r="H702" s="105" t="s">
        <v>894</v>
      </c>
      <c r="K702" s="101" t="str">
        <f>VLOOKUP(C702,'Preturi si tarife'!$A$4:$B$39,2,FALSE)</f>
        <v>Tarif distributie SDI MT_</v>
      </c>
      <c r="L702" s="102">
        <f>IF(B702=1,'Date masura OD'!$I$5,IF(B702=19,'Date masura OD'!$AK$5,L701))</f>
        <v>45778</v>
      </c>
      <c r="M702" s="102">
        <f>IF(B702=1,'Date masura OD'!$J$5,IF(B702=19,'Date masura OD'!$AL$5,M701))</f>
        <v>45808</v>
      </c>
      <c r="N702" s="104">
        <f>VLOOKUP(E702,verificare!$AR$4:$CC$33,B702+2,FALSE)</f>
        <v>0</v>
      </c>
      <c r="O702" s="103">
        <f>HLOOKUP(VLOOKUP(E702,'Date SPV'!$B$4:$F$34,5,FALSE),'Preturi si tarife'!$C$2:$J$39,B702+2,FALSE)*10000</f>
        <v>126</v>
      </c>
      <c r="Q702" s="101" t="str">
        <f t="shared" si="88"/>
        <v>One-off</v>
      </c>
      <c r="R702" s="101" t="str">
        <f>VLOOKUP(K702,'Preturi si tarife'!$B$4:$K$39,10,FALSE)</f>
        <v>ICOENG0010</v>
      </c>
      <c r="T702" s="101" t="str">
        <f t="shared" si="89"/>
        <v>INV + 30</v>
      </c>
      <c r="V702" s="101" t="str">
        <f t="shared" si="90"/>
        <v>Active</v>
      </c>
      <c r="X702" s="101" t="str">
        <f t="shared" si="91"/>
        <v>One-off</v>
      </c>
      <c r="AC702" s="101" t="str">
        <f t="shared" si="94"/>
        <v>RON</v>
      </c>
      <c r="AD702" s="101">
        <f t="shared" si="95"/>
        <v>10000</v>
      </c>
    </row>
    <row r="703" spans="1:30">
      <c r="A703" s="101">
        <f t="shared" si="87"/>
        <v>20</v>
      </c>
      <c r="B703" s="101">
        <f t="shared" si="92"/>
        <v>18</v>
      </c>
      <c r="C703" s="101" t="str">
        <f t="shared" si="93"/>
        <v>T18</v>
      </c>
      <c r="D703" s="101" t="str">
        <f>IF(A703&lt;&gt;A702,VLOOKUP(A703,'Date SPV'!$A:$D,4,FALSE),D702)</f>
        <v>NRE Sibiu Shopping City SRL</v>
      </c>
      <c r="E703" s="101" t="str">
        <f>VLOOKUP(A703,'Date SPV'!$A$4:$B$34,2,FALSE)</f>
        <v>RNSS</v>
      </c>
      <c r="H703" s="105" t="s">
        <v>894</v>
      </c>
      <c r="K703" s="101" t="str">
        <f>VLOOKUP(C703,'Preturi si tarife'!$A$4:$B$39,2,FALSE)</f>
        <v>Tarif distributie SDI JT_</v>
      </c>
      <c r="L703" s="102">
        <f>IF(B703=1,'Date masura OD'!$I$5,IF(B703=19,'Date masura OD'!$AK$5,L702))</f>
        <v>45778</v>
      </c>
      <c r="M703" s="102">
        <f>IF(B703=1,'Date masura OD'!$J$5,IF(B703=19,'Date masura OD'!$AL$5,M702))</f>
        <v>45808</v>
      </c>
      <c r="N703" s="104">
        <f>VLOOKUP(E703,verificare!$AR$4:$CC$33,B703+2,FALSE)</f>
        <v>0</v>
      </c>
      <c r="O703" s="103">
        <f>HLOOKUP(VLOOKUP(E703,'Date SPV'!$B$4:$F$34,5,FALSE),'Preturi si tarife'!$C$2:$J$39,B703+2,FALSE)*10000</f>
        <v>927</v>
      </c>
      <c r="Q703" s="101" t="str">
        <f t="shared" si="88"/>
        <v>One-off</v>
      </c>
      <c r="R703" s="101" t="str">
        <f>VLOOKUP(K703,'Preturi si tarife'!$B$4:$K$39,10,FALSE)</f>
        <v>ICOENG0010</v>
      </c>
      <c r="T703" s="101" t="str">
        <f t="shared" si="89"/>
        <v>INV + 30</v>
      </c>
      <c r="V703" s="101" t="str">
        <f t="shared" si="90"/>
        <v>Active</v>
      </c>
      <c r="X703" s="101" t="str">
        <f t="shared" si="91"/>
        <v>One-off</v>
      </c>
      <c r="AC703" s="101" t="str">
        <f t="shared" si="94"/>
        <v>RON</v>
      </c>
      <c r="AD703" s="101">
        <f t="shared" si="95"/>
        <v>10000</v>
      </c>
    </row>
    <row r="704" spans="1:30">
      <c r="A704" s="101">
        <f t="shared" si="87"/>
        <v>20</v>
      </c>
      <c r="B704" s="101">
        <f t="shared" si="92"/>
        <v>19</v>
      </c>
      <c r="C704" s="101" t="str">
        <f t="shared" si="93"/>
        <v>T19</v>
      </c>
      <c r="D704" s="101" t="str">
        <f>IF(A704&lt;&gt;A703,VLOOKUP(A704,'Date SPV'!$A:$D,4,FALSE),D703)</f>
        <v>NRE Sibiu Shopping City SRL</v>
      </c>
      <c r="E704" s="101" t="str">
        <f>VLOOKUP(A704,'Date SPV'!$A$4:$B$34,2,FALSE)</f>
        <v>RNSS</v>
      </c>
      <c r="H704" s="105" t="s">
        <v>894</v>
      </c>
      <c r="K704" s="101" t="str">
        <f>VLOOKUP(C704,'Preturi si tarife'!$A$4:$B$39,2,FALSE)</f>
        <v>Regularizare Energie activa 1</v>
      </c>
      <c r="L704" s="102">
        <f>IF(B704=1,'Date masura OD'!$I$5,IF(B704=19,'Date masura OD'!$AK$5,L703))</f>
        <v>45748</v>
      </c>
      <c r="M704" s="102">
        <f>IF(B704=1,'Date masura OD'!$J$5,IF(B704=19,'Date masura OD'!$AL$5,M703))</f>
        <v>45777</v>
      </c>
      <c r="N704" s="104">
        <f>VLOOKUP(E704,verificare!$AR$4:$CC$33,B704+2,FALSE)</f>
        <v>0</v>
      </c>
      <c r="O704" s="103">
        <f>HLOOKUP(VLOOKUP(E704,'Date SPV'!$B$4:$F$34,5,FALSE),'Preturi si tarife'!$C$2:$J$39,B704+2,FALSE)*10000</f>
        <v>5950</v>
      </c>
      <c r="Q704" s="101" t="str">
        <f t="shared" si="88"/>
        <v>One-off</v>
      </c>
      <c r="R704" s="101" t="str">
        <f>VLOOKUP(K704,'Preturi si tarife'!$B$4:$K$39,10,FALSE)</f>
        <v>ICOENG0001</v>
      </c>
      <c r="T704" s="101" t="str">
        <f t="shared" si="89"/>
        <v>INV + 30</v>
      </c>
      <c r="V704" s="101" t="str">
        <f t="shared" si="90"/>
        <v>Active</v>
      </c>
      <c r="X704" s="101" t="str">
        <f t="shared" si="91"/>
        <v>One-off</v>
      </c>
      <c r="AC704" s="101" t="str">
        <f t="shared" si="94"/>
        <v>RON</v>
      </c>
      <c r="AD704" s="101">
        <f t="shared" si="95"/>
        <v>10000</v>
      </c>
    </row>
    <row r="705" spans="1:30">
      <c r="A705" s="101">
        <f t="shared" si="87"/>
        <v>20</v>
      </c>
      <c r="B705" s="101">
        <f t="shared" si="92"/>
        <v>20</v>
      </c>
      <c r="C705" s="101" t="str">
        <f t="shared" si="93"/>
        <v>T20</v>
      </c>
      <c r="D705" s="101" t="str">
        <f>IF(A705&lt;&gt;A704,VLOOKUP(A705,'Date SPV'!$A:$D,4,FALSE),D704)</f>
        <v>NRE Sibiu Shopping City SRL</v>
      </c>
      <c r="E705" s="101" t="str">
        <f>VLOOKUP(A705,'Date SPV'!$A$4:$B$34,2,FALSE)</f>
        <v>RNSS</v>
      </c>
      <c r="H705" s="105" t="s">
        <v>894</v>
      </c>
      <c r="K705" s="101" t="str">
        <f>VLOOKUP(C705,'Preturi si tarife'!$A$4:$B$39,2,FALSE)</f>
        <v>Regularizare Energie reactiva  1X</v>
      </c>
      <c r="L705" s="102">
        <f>IF(B705=1,'Date masura OD'!$I$5,IF(B705=19,'Date masura OD'!$AK$5,L704))</f>
        <v>45748</v>
      </c>
      <c r="M705" s="102">
        <f>IF(B705=1,'Date masura OD'!$J$5,IF(B705=19,'Date masura OD'!$AL$5,M704))</f>
        <v>45777</v>
      </c>
      <c r="N705" s="104">
        <f>VLOOKUP(E705,verificare!$AR$4:$CC$33,B705+2,FALSE)</f>
        <v>944</v>
      </c>
      <c r="O705" s="103">
        <f>HLOOKUP(VLOOKUP(E705,'Date SPV'!$B$4:$F$34,5,FALSE),'Preturi si tarife'!$C$2:$J$39,B705+2,FALSE)*10000</f>
        <v>1465</v>
      </c>
      <c r="Q705" s="101" t="str">
        <f t="shared" si="88"/>
        <v>One-off</v>
      </c>
      <c r="R705" s="101" t="str">
        <f>VLOOKUP(K705,'Preturi si tarife'!$B$4:$K$39,10,FALSE)</f>
        <v>ICOENG0001</v>
      </c>
      <c r="T705" s="101" t="str">
        <f t="shared" si="89"/>
        <v>INV + 30</v>
      </c>
      <c r="V705" s="101" t="str">
        <f t="shared" si="90"/>
        <v>Active</v>
      </c>
      <c r="X705" s="101" t="str">
        <f t="shared" si="91"/>
        <v>One-off</v>
      </c>
      <c r="AC705" s="101" t="str">
        <f t="shared" si="94"/>
        <v>RON</v>
      </c>
      <c r="AD705" s="101">
        <f t="shared" si="95"/>
        <v>10000</v>
      </c>
    </row>
    <row r="706" spans="1:30">
      <c r="A706" s="101">
        <f t="shared" si="87"/>
        <v>20</v>
      </c>
      <c r="B706" s="101">
        <f t="shared" si="92"/>
        <v>21</v>
      </c>
      <c r="C706" s="101" t="str">
        <f t="shared" si="93"/>
        <v>T21</v>
      </c>
      <c r="D706" s="101" t="str">
        <f>IF(A706&lt;&gt;A705,VLOOKUP(A706,'Date SPV'!$A:$D,4,FALSE),D705)</f>
        <v>NRE Sibiu Shopping City SRL</v>
      </c>
      <c r="E706" s="101" t="str">
        <f>VLOOKUP(A706,'Date SPV'!$A$4:$B$34,2,FALSE)</f>
        <v>RNSS</v>
      </c>
      <c r="H706" s="105" t="s">
        <v>894</v>
      </c>
      <c r="K706" s="101" t="str">
        <f>VLOOKUP(C706,'Preturi si tarife'!$A$4:$B$39,2,FALSE)</f>
        <v>Regularizare Energie reactiva  3X</v>
      </c>
      <c r="L706" s="102">
        <f>IF(B706=1,'Date masura OD'!$I$5,IF(B706=19,'Date masura OD'!$AK$5,L705))</f>
        <v>45748</v>
      </c>
      <c r="M706" s="102">
        <f>IF(B706=1,'Date masura OD'!$J$5,IF(B706=19,'Date masura OD'!$AL$5,M705))</f>
        <v>45777</v>
      </c>
      <c r="N706" s="104">
        <f>VLOOKUP(E706,verificare!$AR$4:$CC$33,B706+2,FALSE)</f>
        <v>292</v>
      </c>
      <c r="O706" s="103">
        <f>HLOOKUP(VLOOKUP(E706,'Date SPV'!$B$4:$F$34,5,FALSE),'Preturi si tarife'!$C$2:$J$39,B706+2,FALSE)*10000</f>
        <v>4395</v>
      </c>
      <c r="Q706" s="101" t="str">
        <f t="shared" si="88"/>
        <v>One-off</v>
      </c>
      <c r="R706" s="101" t="str">
        <f>VLOOKUP(K706,'Preturi si tarife'!$B$4:$K$39,10,FALSE)</f>
        <v>ICOENG0001</v>
      </c>
      <c r="T706" s="101" t="str">
        <f t="shared" si="89"/>
        <v>INV + 30</v>
      </c>
      <c r="V706" s="101" t="str">
        <f t="shared" si="90"/>
        <v>Active</v>
      </c>
      <c r="X706" s="101" t="str">
        <f t="shared" si="91"/>
        <v>One-off</v>
      </c>
      <c r="AC706" s="101" t="str">
        <f t="shared" si="94"/>
        <v>RON</v>
      </c>
      <c r="AD706" s="101">
        <f t="shared" si="95"/>
        <v>10000</v>
      </c>
    </row>
    <row r="707" spans="1:30">
      <c r="A707" s="101">
        <f t="shared" si="87"/>
        <v>20</v>
      </c>
      <c r="B707" s="101">
        <f t="shared" si="92"/>
        <v>22</v>
      </c>
      <c r="C707" s="101" t="str">
        <f t="shared" si="93"/>
        <v>T22</v>
      </c>
      <c r="D707" s="101" t="str">
        <f>IF(A707&lt;&gt;A706,VLOOKUP(A707,'Date SPV'!$A:$D,4,FALSE),D706)</f>
        <v>NRE Sibiu Shopping City SRL</v>
      </c>
      <c r="E707" s="101" t="str">
        <f>VLOOKUP(A707,'Date SPV'!$A$4:$B$34,2,FALSE)</f>
        <v>RNSS</v>
      </c>
      <c r="H707" s="105" t="s">
        <v>894</v>
      </c>
      <c r="K707" s="101" t="str">
        <f>VLOOKUP(C707,'Preturi si tarife'!$A$4:$B$39,2,FALSE)</f>
        <v>Regularizare Tarife distributie en. El IT+MT</v>
      </c>
      <c r="L707" s="102">
        <f>IF(B707=1,'Date masura OD'!$I$5,IF(B707=19,'Date masura OD'!$AK$5,L706))</f>
        <v>45748</v>
      </c>
      <c r="M707" s="102">
        <f>IF(B707=1,'Date masura OD'!$J$5,IF(B707=19,'Date masura OD'!$AL$5,M706))</f>
        <v>45777</v>
      </c>
      <c r="N707" s="104">
        <f>VLOOKUP(E707,verificare!$AR$4:$CC$33,B707+2,FALSE)</f>
        <v>0</v>
      </c>
      <c r="O707" s="103">
        <f>HLOOKUP(VLOOKUP(E707,'Date SPV'!$B$4:$F$34,5,FALSE),'Preturi si tarife'!$C$2:$J$39,B707+2,FALSE)*10000</f>
        <v>1148.3</v>
      </c>
      <c r="Q707" s="101" t="str">
        <f t="shared" si="88"/>
        <v>One-off</v>
      </c>
      <c r="R707" s="101" t="str">
        <f>VLOOKUP(K707,'Preturi si tarife'!$B$4:$K$39,10,FALSE)</f>
        <v>ICOENG0001</v>
      </c>
      <c r="T707" s="101" t="str">
        <f t="shared" si="89"/>
        <v>INV + 30</v>
      </c>
      <c r="V707" s="101" t="str">
        <f t="shared" si="90"/>
        <v>Active</v>
      </c>
      <c r="X707" s="101" t="str">
        <f t="shared" si="91"/>
        <v>One-off</v>
      </c>
      <c r="AC707" s="101" t="str">
        <f t="shared" si="94"/>
        <v>RON</v>
      </c>
      <c r="AD707" s="101">
        <f t="shared" si="95"/>
        <v>10000</v>
      </c>
    </row>
    <row r="708" spans="1:30">
      <c r="A708" s="101">
        <f t="shared" ref="A708:A771" si="96">IF(B707=36,A707+1,A707)</f>
        <v>20</v>
      </c>
      <c r="B708" s="101">
        <f t="shared" si="92"/>
        <v>23</v>
      </c>
      <c r="C708" s="101" t="str">
        <f t="shared" si="93"/>
        <v>T23</v>
      </c>
      <c r="D708" s="101" t="str">
        <f>IF(A708&lt;&gt;A707,VLOOKUP(A708,'Date SPV'!$A:$D,4,FALSE),D707)</f>
        <v>NRE Sibiu Shopping City SRL</v>
      </c>
      <c r="E708" s="101" t="str">
        <f>VLOOKUP(A708,'Date SPV'!$A$4:$B$34,2,FALSE)</f>
        <v>RNSS</v>
      </c>
      <c r="H708" s="105" t="s">
        <v>894</v>
      </c>
      <c r="K708" s="101" t="str">
        <f>VLOOKUP(C708,'Preturi si tarife'!$A$4:$B$39,2,FALSE)</f>
        <v>Regularizare Tarife distributie en. El JT</v>
      </c>
      <c r="L708" s="102">
        <f>IF(B708=1,'Date masura OD'!$I$5,IF(B708=19,'Date masura OD'!$AK$5,L707))</f>
        <v>45748</v>
      </c>
      <c r="M708" s="102">
        <f>IF(B708=1,'Date masura OD'!$J$5,IF(B708=19,'Date masura OD'!$AL$5,M707))</f>
        <v>45777</v>
      </c>
      <c r="N708" s="104">
        <f>VLOOKUP(E708,verificare!$AR$4:$CC$33,B708+2,FALSE)</f>
        <v>0</v>
      </c>
      <c r="O708" s="103">
        <f>HLOOKUP(VLOOKUP(E708,'Date SPV'!$B$4:$F$34,5,FALSE),'Preturi si tarife'!$C$2:$J$39,B708+2,FALSE)*10000</f>
        <v>2361</v>
      </c>
      <c r="Q708" s="101" t="str">
        <f t="shared" si="88"/>
        <v>One-off</v>
      </c>
      <c r="R708" s="101" t="str">
        <f>VLOOKUP(K708,'Preturi si tarife'!$B$4:$K$39,10,FALSE)</f>
        <v>ICOENG0001</v>
      </c>
      <c r="T708" s="101" t="str">
        <f t="shared" si="89"/>
        <v>INV + 30</v>
      </c>
      <c r="V708" s="101" t="str">
        <f t="shared" si="90"/>
        <v>Active</v>
      </c>
      <c r="X708" s="101" t="str">
        <f t="shared" si="91"/>
        <v>One-off</v>
      </c>
      <c r="AC708" s="101" t="str">
        <f t="shared" si="94"/>
        <v>RON</v>
      </c>
      <c r="AD708" s="101">
        <f t="shared" si="95"/>
        <v>10000</v>
      </c>
    </row>
    <row r="709" spans="1:30">
      <c r="A709" s="101">
        <f t="shared" si="96"/>
        <v>20</v>
      </c>
      <c r="B709" s="101">
        <f t="shared" si="92"/>
        <v>24</v>
      </c>
      <c r="C709" s="101" t="str">
        <f t="shared" si="93"/>
        <v>T24</v>
      </c>
      <c r="D709" s="101" t="str">
        <f>IF(A709&lt;&gt;A708,VLOOKUP(A709,'Date SPV'!$A:$D,4,FALSE),D708)</f>
        <v>NRE Sibiu Shopping City SRL</v>
      </c>
      <c r="E709" s="101" t="str">
        <f>VLOOKUP(A709,'Date SPV'!$A$4:$B$34,2,FALSE)</f>
        <v>RNSS</v>
      </c>
      <c r="H709" s="105" t="s">
        <v>894</v>
      </c>
      <c r="K709" s="101" t="str">
        <f>VLOOKUP(C709,'Preturi si tarife'!$A$4:$B$39,2,FALSE)</f>
        <v xml:space="preserve">Regularizare Servicii Sistem </v>
      </c>
      <c r="L709" s="102">
        <f>IF(B709=1,'Date masura OD'!$I$5,IF(B709=19,'Date masura OD'!$AK$5,L708))</f>
        <v>45748</v>
      </c>
      <c r="M709" s="102">
        <f>IF(B709=1,'Date masura OD'!$J$5,IF(B709=19,'Date masura OD'!$AL$5,M708))</f>
        <v>45777</v>
      </c>
      <c r="N709" s="104">
        <f>VLOOKUP(E709,verificare!$AR$4:$CC$33,B709+2,FALSE)</f>
        <v>0</v>
      </c>
      <c r="O709" s="103">
        <f>HLOOKUP(VLOOKUP(E709,'Date SPV'!$B$4:$F$34,5,FALSE),'Preturi si tarife'!$C$2:$J$39,B709+2,FALSE)*10000</f>
        <v>115.1</v>
      </c>
      <c r="Q709" s="101" t="str">
        <f t="shared" si="88"/>
        <v>One-off</v>
      </c>
      <c r="R709" s="101" t="str">
        <f>VLOOKUP(K709,'Preturi si tarife'!$B$4:$K$39,10,FALSE)</f>
        <v>ICOENG0001</v>
      </c>
      <c r="T709" s="101" t="str">
        <f t="shared" si="89"/>
        <v>INV + 30</v>
      </c>
      <c r="V709" s="101" t="str">
        <f t="shared" si="90"/>
        <v>Active</v>
      </c>
      <c r="X709" s="101" t="str">
        <f t="shared" si="91"/>
        <v>One-off</v>
      </c>
      <c r="AC709" s="101" t="str">
        <f t="shared" si="94"/>
        <v>RON</v>
      </c>
      <c r="AD709" s="101">
        <f t="shared" si="95"/>
        <v>10000</v>
      </c>
    </row>
    <row r="710" spans="1:30">
      <c r="A710" s="101">
        <f t="shared" si="96"/>
        <v>20</v>
      </c>
      <c r="B710" s="101">
        <f t="shared" si="92"/>
        <v>25</v>
      </c>
      <c r="C710" s="101" t="str">
        <f t="shared" si="93"/>
        <v>T25</v>
      </c>
      <c r="D710" s="101" t="str">
        <f>IF(A710&lt;&gt;A709,VLOOKUP(A710,'Date SPV'!$A:$D,4,FALSE),D709)</f>
        <v>NRE Sibiu Shopping City SRL</v>
      </c>
      <c r="E710" s="101" t="str">
        <f>VLOOKUP(A710,'Date SPV'!$A$4:$B$34,2,FALSE)</f>
        <v>RNSS</v>
      </c>
      <c r="H710" s="105" t="s">
        <v>894</v>
      </c>
      <c r="K710" s="101" t="str">
        <f>VLOOKUP(C710,'Preturi si tarife'!$A$4:$B$39,2,FALSE)</f>
        <v>Regularizare Tarif de introducere en. el in retea (TL)</v>
      </c>
      <c r="L710" s="102">
        <f>IF(B710=1,'Date masura OD'!$I$5,IF(B710=19,'Date masura OD'!$AK$5,L709))</f>
        <v>45748</v>
      </c>
      <c r="M710" s="102">
        <f>IF(B710=1,'Date masura OD'!$J$5,IF(B710=19,'Date masura OD'!$AL$5,M709))</f>
        <v>45777</v>
      </c>
      <c r="N710" s="104">
        <f>VLOOKUP(E710,verificare!$AR$4:$CC$33,B710+2,FALSE)</f>
        <v>0</v>
      </c>
      <c r="O710" s="103">
        <f>HLOOKUP(VLOOKUP(E710,'Date SPV'!$B$4:$F$34,5,FALSE),'Preturi si tarife'!$C$2:$J$39,B710+2,FALSE)*10000</f>
        <v>330.3</v>
      </c>
      <c r="Q710" s="101" t="str">
        <f t="shared" si="88"/>
        <v>One-off</v>
      </c>
      <c r="R710" s="101" t="str">
        <f>VLOOKUP(K710,'Preturi si tarife'!$B$4:$K$39,10,FALSE)</f>
        <v>ICOENG0001</v>
      </c>
      <c r="T710" s="101" t="str">
        <f t="shared" si="89"/>
        <v>INV + 30</v>
      </c>
      <c r="V710" s="101" t="str">
        <f t="shared" si="90"/>
        <v>Active</v>
      </c>
      <c r="X710" s="101" t="str">
        <f t="shared" si="91"/>
        <v>One-off</v>
      </c>
      <c r="AC710" s="101" t="str">
        <f t="shared" si="94"/>
        <v>RON</v>
      </c>
      <c r="AD710" s="101">
        <f t="shared" si="95"/>
        <v>10000</v>
      </c>
    </row>
    <row r="711" spans="1:30">
      <c r="A711" s="101">
        <f t="shared" si="96"/>
        <v>20</v>
      </c>
      <c r="B711" s="101">
        <f t="shared" si="92"/>
        <v>26</v>
      </c>
      <c r="C711" s="101" t="str">
        <f t="shared" si="93"/>
        <v>T26</v>
      </c>
      <c r="D711" s="101" t="str">
        <f>IF(A711&lt;&gt;A710,VLOOKUP(A711,'Date SPV'!$A:$D,4,FALSE),D710)</f>
        <v>NRE Sibiu Shopping City SRL</v>
      </c>
      <c r="E711" s="101" t="str">
        <f>VLOOKUP(A711,'Date SPV'!$A$4:$B$34,2,FALSE)</f>
        <v>RNSS</v>
      </c>
      <c r="H711" s="105" t="s">
        <v>894</v>
      </c>
      <c r="K711" s="101" t="str">
        <f>VLOOKUP(C711,'Preturi si tarife'!$A$4:$B$39,2,FALSE)</f>
        <v>Regularizare Tarif de introducere en.el in retea (TG)</v>
      </c>
      <c r="L711" s="102">
        <f>IF(B711=1,'Date masura OD'!$I$5,IF(B711=19,'Date masura OD'!$AK$5,L710))</f>
        <v>45748</v>
      </c>
      <c r="M711" s="102">
        <f>IF(B711=1,'Date masura OD'!$J$5,IF(B711=19,'Date masura OD'!$AL$5,M710))</f>
        <v>45777</v>
      </c>
      <c r="N711" s="104">
        <f>VLOOKUP(E711,verificare!$AR$4:$CC$33,B711+2,FALSE)</f>
        <v>0</v>
      </c>
      <c r="O711" s="103">
        <f>HLOOKUP(VLOOKUP(E711,'Date SPV'!$B$4:$F$34,5,FALSE),'Preturi si tarife'!$C$2:$J$39,B711+2,FALSE)*10000</f>
        <v>32.9</v>
      </c>
      <c r="Q711" s="101" t="str">
        <f t="shared" si="88"/>
        <v>One-off</v>
      </c>
      <c r="R711" s="101" t="str">
        <f>VLOOKUP(K711,'Preturi si tarife'!$B$4:$K$39,10,FALSE)</f>
        <v>ICOENG0001</v>
      </c>
      <c r="T711" s="101" t="str">
        <f t="shared" si="89"/>
        <v>INV + 30</v>
      </c>
      <c r="V711" s="101" t="str">
        <f t="shared" si="90"/>
        <v>Active</v>
      </c>
      <c r="X711" s="101" t="str">
        <f t="shared" si="91"/>
        <v>One-off</v>
      </c>
      <c r="AC711" s="101" t="str">
        <f t="shared" si="94"/>
        <v>RON</v>
      </c>
      <c r="AD711" s="101">
        <f t="shared" si="95"/>
        <v>10000</v>
      </c>
    </row>
    <row r="712" spans="1:30">
      <c r="A712" s="101">
        <f t="shared" si="96"/>
        <v>20</v>
      </c>
      <c r="B712" s="101">
        <f t="shared" si="92"/>
        <v>27</v>
      </c>
      <c r="C712" s="101" t="str">
        <f t="shared" si="93"/>
        <v>T27</v>
      </c>
      <c r="D712" s="101" t="str">
        <f>IF(A712&lt;&gt;A711,VLOOKUP(A712,'Date SPV'!$A:$D,4,FALSE),D711)</f>
        <v>NRE Sibiu Shopping City SRL</v>
      </c>
      <c r="E712" s="101" t="str">
        <f>VLOOKUP(A712,'Date SPV'!$A$4:$B$34,2,FALSE)</f>
        <v>RNSS</v>
      </c>
      <c r="H712" s="105" t="s">
        <v>894</v>
      </c>
      <c r="K712" s="101" t="str">
        <f>VLOOKUP(C712,'Preturi si tarife'!$A$4:$B$39,2,FALSE)</f>
        <v>Regularizare Contributie pentru cogenerare</v>
      </c>
      <c r="L712" s="102">
        <f>IF(B712=1,'Date masura OD'!$I$5,IF(B712=19,'Date masura OD'!$AK$5,L711))</f>
        <v>45748</v>
      </c>
      <c r="M712" s="102">
        <f>IF(B712=1,'Date masura OD'!$J$5,IF(B712=19,'Date masura OD'!$AL$5,M711))</f>
        <v>45777</v>
      </c>
      <c r="N712" s="104">
        <f>VLOOKUP(E712,verificare!$AR$4:$CC$33,B712+2,FALSE)</f>
        <v>0</v>
      </c>
      <c r="O712" s="103">
        <f>HLOOKUP(VLOOKUP(E712,'Date SPV'!$B$4:$F$34,5,FALSE),'Preturi si tarife'!$C$2:$J$39,B712+2,FALSE)*10000</f>
        <v>35</v>
      </c>
      <c r="Q712" s="101" t="str">
        <f t="shared" si="88"/>
        <v>One-off</v>
      </c>
      <c r="R712" s="101" t="str">
        <f>VLOOKUP(K712,'Preturi si tarife'!$B$4:$K$39,10,FALSE)</f>
        <v>ICOENG0001</v>
      </c>
      <c r="T712" s="101" t="str">
        <f t="shared" si="89"/>
        <v>INV + 30</v>
      </c>
      <c r="V712" s="101" t="str">
        <f t="shared" si="90"/>
        <v>Active</v>
      </c>
      <c r="X712" s="101" t="str">
        <f t="shared" si="91"/>
        <v>One-off</v>
      </c>
      <c r="AC712" s="101" t="str">
        <f t="shared" si="94"/>
        <v>RON</v>
      </c>
      <c r="AD712" s="101">
        <f t="shared" si="95"/>
        <v>10000</v>
      </c>
    </row>
    <row r="713" spans="1:30">
      <c r="A713" s="101">
        <f t="shared" si="96"/>
        <v>20</v>
      </c>
      <c r="B713" s="101">
        <f t="shared" si="92"/>
        <v>28</v>
      </c>
      <c r="C713" s="101" t="str">
        <f t="shared" si="93"/>
        <v>T28</v>
      </c>
      <c r="D713" s="101" t="str">
        <f>IF(A713&lt;&gt;A712,VLOOKUP(A713,'Date SPV'!$A:$D,4,FALSE),D712)</f>
        <v>NRE Sibiu Shopping City SRL</v>
      </c>
      <c r="E713" s="101" t="str">
        <f>VLOOKUP(A713,'Date SPV'!$A$4:$B$34,2,FALSE)</f>
        <v>RNSS</v>
      </c>
      <c r="H713" s="105" t="s">
        <v>894</v>
      </c>
      <c r="K713" s="101" t="str">
        <f>VLOOKUP(C713,'Preturi si tarife'!$A$4:$B$39,2,FALSE)</f>
        <v xml:space="preserve">Regularizare Certificate verzi </v>
      </c>
      <c r="L713" s="102">
        <f>IF(B713=1,'Date masura OD'!$I$5,IF(B713=19,'Date masura OD'!$AK$5,L712))</f>
        <v>45748</v>
      </c>
      <c r="M713" s="102">
        <f>IF(B713=1,'Date masura OD'!$J$5,IF(B713=19,'Date masura OD'!$AL$5,M712))</f>
        <v>45777</v>
      </c>
      <c r="N713" s="104">
        <f>VLOOKUP(E713,verificare!$AR$4:$CC$33,B713+2,FALSE)</f>
        <v>0</v>
      </c>
      <c r="O713" s="103">
        <f>HLOOKUP(VLOOKUP(E713,'Date SPV'!$B$4:$F$34,5,FALSE),'Preturi si tarife'!$C$2:$J$39,B713+2,FALSE)*10000</f>
        <v>725.41599999999994</v>
      </c>
      <c r="Q713" s="101" t="str">
        <f t="shared" si="88"/>
        <v>One-off</v>
      </c>
      <c r="R713" s="101" t="str">
        <f>VLOOKUP(K713,'Preturi si tarife'!$B$4:$K$39,10,FALSE)</f>
        <v>ICOENG0001</v>
      </c>
      <c r="T713" s="101" t="str">
        <f t="shared" si="89"/>
        <v>INV + 30</v>
      </c>
      <c r="V713" s="101" t="str">
        <f t="shared" si="90"/>
        <v>Active</v>
      </c>
      <c r="X713" s="101" t="str">
        <f t="shared" si="91"/>
        <v>One-off</v>
      </c>
      <c r="AC713" s="101" t="str">
        <f t="shared" si="94"/>
        <v>RON</v>
      </c>
      <c r="AD713" s="101">
        <f t="shared" si="95"/>
        <v>10000</v>
      </c>
    </row>
    <row r="714" spans="1:30">
      <c r="A714" s="101">
        <f t="shared" si="96"/>
        <v>20</v>
      </c>
      <c r="B714" s="101">
        <f t="shared" si="92"/>
        <v>29</v>
      </c>
      <c r="C714" s="101" t="str">
        <f t="shared" si="93"/>
        <v>T29</v>
      </c>
      <c r="D714" s="101" t="str">
        <f>IF(A714&lt;&gt;A713,VLOOKUP(A714,'Date SPV'!$A:$D,4,FALSE),D713)</f>
        <v>NRE Sibiu Shopping City SRL</v>
      </c>
      <c r="E714" s="101" t="str">
        <f>VLOOKUP(A714,'Date SPV'!$A$4:$B$34,2,FALSE)</f>
        <v>RNSS</v>
      </c>
      <c r="H714" s="105" t="s">
        <v>894</v>
      </c>
      <c r="K714" s="101" t="str">
        <f>VLOOKUP(C714,'Preturi si tarife'!$A$4:$B$39,2,FALSE)</f>
        <v>Regularizare Contributie CFD</v>
      </c>
      <c r="L714" s="102">
        <f>IF(B714=1,'Date masura OD'!$I$5,IF(B714=19,'Date masura OD'!$AK$5,L713))</f>
        <v>45748</v>
      </c>
      <c r="M714" s="102">
        <f>IF(B714=1,'Date masura OD'!$J$5,IF(B714=19,'Date masura OD'!$AL$5,M713))</f>
        <v>45777</v>
      </c>
      <c r="N714" s="104">
        <f>VLOOKUP(E714,verificare!$AR$4:$CC$33,B714+2,FALSE)</f>
        <v>0</v>
      </c>
      <c r="O714" s="103">
        <f>HLOOKUP(VLOOKUP(E714,'Date SPV'!$B$4:$F$34,5,FALSE),'Preturi si tarife'!$C$2:$J$39,B714+2,FALSE)*10000</f>
        <v>2.06</v>
      </c>
      <c r="Q714" s="101" t="str">
        <f t="shared" si="88"/>
        <v>One-off</v>
      </c>
      <c r="R714" s="101" t="str">
        <f>VLOOKUP(K714,'Preturi si tarife'!$B$4:$K$39,10,FALSE)</f>
        <v>ICOENG0001</v>
      </c>
      <c r="T714" s="101" t="str">
        <f t="shared" si="89"/>
        <v>INV + 30</v>
      </c>
      <c r="V714" s="101" t="str">
        <f t="shared" si="90"/>
        <v>Active</v>
      </c>
      <c r="X714" s="101" t="str">
        <f t="shared" si="91"/>
        <v>One-off</v>
      </c>
      <c r="AC714" s="101" t="str">
        <f t="shared" si="94"/>
        <v>RON</v>
      </c>
      <c r="AD714" s="101">
        <f t="shared" si="95"/>
        <v>10000</v>
      </c>
    </row>
    <row r="715" spans="1:30">
      <c r="A715" s="101">
        <f t="shared" si="96"/>
        <v>20</v>
      </c>
      <c r="B715" s="101">
        <f t="shared" si="92"/>
        <v>30</v>
      </c>
      <c r="C715" s="101" t="str">
        <f t="shared" si="93"/>
        <v>T30</v>
      </c>
      <c r="D715" s="101" t="str">
        <f>IF(A715&lt;&gt;A714,VLOOKUP(A715,'Date SPV'!$A:$D,4,FALSE),D714)</f>
        <v>NRE Sibiu Shopping City SRL</v>
      </c>
      <c r="E715" s="101" t="str">
        <f>VLOOKUP(A715,'Date SPV'!$A$4:$B$34,2,FALSE)</f>
        <v>RNSS</v>
      </c>
      <c r="H715" s="105" t="s">
        <v>894</v>
      </c>
      <c r="K715" s="101" t="str">
        <f>VLOOKUP(C715,'Preturi si tarife'!$A$4:$B$39,2,FALSE)</f>
        <v>Regularizare Acciza</v>
      </c>
      <c r="L715" s="102">
        <f>IF(B715=1,'Date masura OD'!$I$5,IF(B715=19,'Date masura OD'!$AK$5,L714))</f>
        <v>45748</v>
      </c>
      <c r="M715" s="102">
        <f>IF(B715=1,'Date masura OD'!$J$5,IF(B715=19,'Date masura OD'!$AL$5,M714))</f>
        <v>45777</v>
      </c>
      <c r="N715" s="104">
        <f>VLOOKUP(E715,verificare!$AR$4:$CC$33,B715+2,FALSE)</f>
        <v>0</v>
      </c>
      <c r="O715" s="103">
        <f>HLOOKUP(VLOOKUP(E715,'Date SPV'!$B$4:$F$34,5,FALSE),'Preturi si tarife'!$C$2:$J$39,B715+2,FALSE)*10000</f>
        <v>0</v>
      </c>
      <c r="Q715" s="101" t="str">
        <f t="shared" si="88"/>
        <v>One-off</v>
      </c>
      <c r="R715" s="101" t="str">
        <f>VLOOKUP(K715,'Preturi si tarife'!$B$4:$K$39,10,FALSE)</f>
        <v>ICOENG0001</v>
      </c>
      <c r="T715" s="101" t="str">
        <f t="shared" si="89"/>
        <v>INV + 30</v>
      </c>
      <c r="V715" s="101" t="str">
        <f t="shared" si="90"/>
        <v>Active</v>
      </c>
      <c r="X715" s="101" t="str">
        <f t="shared" si="91"/>
        <v>One-off</v>
      </c>
      <c r="AC715" s="101" t="str">
        <f t="shared" si="94"/>
        <v>RON</v>
      </c>
      <c r="AD715" s="101">
        <f t="shared" si="95"/>
        <v>10000</v>
      </c>
    </row>
    <row r="716" spans="1:30">
      <c r="A716" s="101">
        <f t="shared" si="96"/>
        <v>20</v>
      </c>
      <c r="B716" s="101">
        <f t="shared" si="92"/>
        <v>31</v>
      </c>
      <c r="C716" s="101" t="str">
        <f t="shared" si="93"/>
        <v>T31</v>
      </c>
      <c r="D716" s="101" t="str">
        <f>IF(A716&lt;&gt;A715,VLOOKUP(A716,'Date SPV'!$A:$D,4,FALSE),D715)</f>
        <v>NRE Sibiu Shopping City SRL</v>
      </c>
      <c r="E716" s="101" t="str">
        <f>VLOOKUP(A716,'Date SPV'!$A$4:$B$34,2,FALSE)</f>
        <v>RNSS</v>
      </c>
      <c r="H716" s="105" t="s">
        <v>894</v>
      </c>
      <c r="K716" s="101" t="str">
        <f>VLOOKUP(C716,'Preturi si tarife'!$A$4:$B$39,2,FALSE)</f>
        <v>Regularizare Tarif distributie SDI MT Ea1</v>
      </c>
      <c r="L716" s="102">
        <f>IF(B716=1,'Date masura OD'!$I$5,IF(B716=19,'Date masura OD'!$AK$5,L715))</f>
        <v>45748</v>
      </c>
      <c r="M716" s="102">
        <f>IF(B716=1,'Date masura OD'!$J$5,IF(B716=19,'Date masura OD'!$AL$5,M715))</f>
        <v>45777</v>
      </c>
      <c r="N716" s="104">
        <f>VLOOKUP(E716,verificare!$AR$4:$CC$33,B716+2,FALSE)</f>
        <v>0</v>
      </c>
      <c r="O716" s="103">
        <f>HLOOKUP(VLOOKUP(E716,'Date SPV'!$B$4:$F$34,5,FALSE),'Preturi si tarife'!$C$2:$J$39,B716+2,FALSE)*10000</f>
        <v>126</v>
      </c>
      <c r="Q716" s="101" t="str">
        <f t="shared" si="88"/>
        <v>One-off</v>
      </c>
      <c r="R716" s="101" t="str">
        <f>VLOOKUP(K716,'Preturi si tarife'!$B$4:$K$39,10,FALSE)</f>
        <v>ICOENG0010</v>
      </c>
      <c r="T716" s="101" t="str">
        <f t="shared" si="89"/>
        <v>INV + 30</v>
      </c>
      <c r="V716" s="101" t="str">
        <f t="shared" si="90"/>
        <v>Active</v>
      </c>
      <c r="X716" s="101" t="str">
        <f t="shared" si="91"/>
        <v>One-off</v>
      </c>
      <c r="AC716" s="101" t="str">
        <f t="shared" si="94"/>
        <v>RON</v>
      </c>
      <c r="AD716" s="101">
        <f t="shared" si="95"/>
        <v>10000</v>
      </c>
    </row>
    <row r="717" spans="1:30">
      <c r="A717" s="101">
        <f t="shared" si="96"/>
        <v>20</v>
      </c>
      <c r="B717" s="101">
        <f t="shared" si="92"/>
        <v>32</v>
      </c>
      <c r="C717" s="101" t="str">
        <f t="shared" si="93"/>
        <v>T32</v>
      </c>
      <c r="D717" s="101" t="str">
        <f>IF(A717&lt;&gt;A716,VLOOKUP(A717,'Date SPV'!$A:$D,4,FALSE),D716)</f>
        <v>NRE Sibiu Shopping City SRL</v>
      </c>
      <c r="E717" s="101" t="str">
        <f>VLOOKUP(A717,'Date SPV'!$A$4:$B$34,2,FALSE)</f>
        <v>RNSS</v>
      </c>
      <c r="H717" s="105" t="s">
        <v>894</v>
      </c>
      <c r="K717" s="101" t="str">
        <f>VLOOKUP(C717,'Preturi si tarife'!$A$4:$B$39,2,FALSE)</f>
        <v>Regularizare Tarif distributie SDI JT Ea1</v>
      </c>
      <c r="L717" s="102">
        <f>IF(B717=1,'Date masura OD'!$I$5,IF(B717=19,'Date masura OD'!$AK$5,L716))</f>
        <v>45748</v>
      </c>
      <c r="M717" s="102">
        <f>IF(B717=1,'Date masura OD'!$J$5,IF(B717=19,'Date masura OD'!$AL$5,M716))</f>
        <v>45777</v>
      </c>
      <c r="N717" s="104">
        <f>VLOOKUP(E717,verificare!$AR$4:$CC$33,B717+2,FALSE)</f>
        <v>0</v>
      </c>
      <c r="O717" s="103">
        <f>HLOOKUP(VLOOKUP(E717,'Date SPV'!$B$4:$F$34,5,FALSE),'Preturi si tarife'!$C$2:$J$39,B717+2,FALSE)*10000</f>
        <v>927</v>
      </c>
      <c r="Q717" s="101" t="str">
        <f t="shared" si="88"/>
        <v>One-off</v>
      </c>
      <c r="R717" s="101" t="str">
        <f>VLOOKUP(K717,'Preturi si tarife'!$B$4:$K$39,10,FALSE)</f>
        <v>ICOENG0010</v>
      </c>
      <c r="T717" s="101" t="str">
        <f t="shared" si="89"/>
        <v>INV + 30</v>
      </c>
      <c r="V717" s="101" t="str">
        <f t="shared" si="90"/>
        <v>Active</v>
      </c>
      <c r="X717" s="101" t="str">
        <f t="shared" si="91"/>
        <v>One-off</v>
      </c>
      <c r="AC717" s="101" t="str">
        <f t="shared" si="94"/>
        <v>RON</v>
      </c>
      <c r="AD717" s="101">
        <f t="shared" si="95"/>
        <v>10000</v>
      </c>
    </row>
    <row r="718" spans="1:30">
      <c r="A718" s="101">
        <f t="shared" si="96"/>
        <v>20</v>
      </c>
      <c r="B718" s="101">
        <f t="shared" si="92"/>
        <v>33</v>
      </c>
      <c r="C718" s="101" t="str">
        <f t="shared" si="93"/>
        <v>T33</v>
      </c>
      <c r="D718" s="101" t="str">
        <f>IF(A718&lt;&gt;A717,VLOOKUP(A718,'Date SPV'!$A:$D,4,FALSE),D717)</f>
        <v>NRE Sibiu Shopping City SRL</v>
      </c>
      <c r="E718" s="101" t="str">
        <f>VLOOKUP(A718,'Date SPV'!$A$4:$B$34,2,FALSE)</f>
        <v>RNSS</v>
      </c>
      <c r="H718" s="105" t="s">
        <v>894</v>
      </c>
      <c r="K718" s="101" t="str">
        <f>VLOOKUP(C718,'Preturi si tarife'!$A$4:$B$39,2,FALSE)</f>
        <v>Regularizare Energie activa 2</v>
      </c>
      <c r="L718" s="102">
        <f>IF(B718=1,'Date masura OD'!$I$5,IF(B718=19,'Date masura OD'!$AK$5,L717))</f>
        <v>45748</v>
      </c>
      <c r="M718" s="102">
        <f>IF(B718=1,'Date masura OD'!$J$5,IF(B718=19,'Date masura OD'!$AL$5,M717))</f>
        <v>45777</v>
      </c>
      <c r="N718" s="104">
        <f>VLOOKUP(E718,verificare!$AR$4:$CC$33,B718+2,FALSE)</f>
        <v>0</v>
      </c>
      <c r="O718" s="103">
        <f>HLOOKUP(VLOOKUP(E718,'Date SPV'!$B$4:$F$34,5,FALSE),'Preturi si tarife'!$C$2:$J$39,B718+2,FALSE)*10000</f>
        <v>9392.0760000000009</v>
      </c>
      <c r="Q718" s="101" t="str">
        <f t="shared" si="88"/>
        <v>One-off</v>
      </c>
      <c r="R718" s="101" t="str">
        <f>VLOOKUP(K718,'Preturi si tarife'!$B$4:$K$39,10,FALSE)</f>
        <v>ICOENG0012</v>
      </c>
      <c r="T718" s="101" t="str">
        <f t="shared" si="89"/>
        <v>INV + 30</v>
      </c>
      <c r="V718" s="101" t="str">
        <f t="shared" si="90"/>
        <v>Active</v>
      </c>
      <c r="X718" s="101" t="str">
        <f t="shared" si="91"/>
        <v>One-off</v>
      </c>
      <c r="AC718" s="101" t="str">
        <f t="shared" si="94"/>
        <v>RON</v>
      </c>
      <c r="AD718" s="101">
        <f t="shared" si="95"/>
        <v>10000</v>
      </c>
    </row>
    <row r="719" spans="1:30">
      <c r="A719" s="101">
        <f t="shared" si="96"/>
        <v>20</v>
      </c>
      <c r="B719" s="101">
        <f t="shared" si="92"/>
        <v>34</v>
      </c>
      <c r="C719" s="101" t="str">
        <f t="shared" si="93"/>
        <v>T34</v>
      </c>
      <c r="D719" s="101" t="str">
        <f>IF(A719&lt;&gt;A718,VLOOKUP(A719,'Date SPV'!$A:$D,4,FALSE),D718)</f>
        <v>NRE Sibiu Shopping City SRL</v>
      </c>
      <c r="E719" s="101" t="str">
        <f>VLOOKUP(A719,'Date SPV'!$A$4:$B$34,2,FALSE)</f>
        <v>RNSS</v>
      </c>
      <c r="H719" s="105" t="s">
        <v>894</v>
      </c>
      <c r="K719" s="101" t="str">
        <f>VLOOKUP(C719,'Preturi si tarife'!$A$4:$B$39,2,FALSE)</f>
        <v>Regularizare Energie activa 3</v>
      </c>
      <c r="L719" s="102">
        <f>IF(B719=1,'Date masura OD'!$I$5,IF(B719=19,'Date masura OD'!$AK$5,L718))</f>
        <v>45748</v>
      </c>
      <c r="M719" s="102">
        <f>IF(B719=1,'Date masura OD'!$J$5,IF(B719=19,'Date masura OD'!$AL$5,M718))</f>
        <v>45777</v>
      </c>
      <c r="N719" s="104">
        <f>VLOOKUP(E719,verificare!$AR$4:$CC$33,B719+2,FALSE)</f>
        <v>0</v>
      </c>
      <c r="O719" s="103">
        <f>HLOOKUP(VLOOKUP(E719,'Date SPV'!$B$4:$F$34,5,FALSE),'Preturi si tarife'!$C$2:$J$39,B719+2,FALSE)*10000</f>
        <v>8339.0760000000009</v>
      </c>
      <c r="Q719" s="101" t="str">
        <f t="shared" si="88"/>
        <v>One-off</v>
      </c>
      <c r="R719" s="101" t="str">
        <f>VLOOKUP(K719,'Preturi si tarife'!$B$4:$K$39,10,FALSE)</f>
        <v>ICOENG0012</v>
      </c>
      <c r="T719" s="101" t="str">
        <f t="shared" si="89"/>
        <v>INV + 30</v>
      </c>
      <c r="V719" s="101" t="str">
        <f t="shared" si="90"/>
        <v>Active</v>
      </c>
      <c r="X719" s="101" t="str">
        <f t="shared" si="91"/>
        <v>One-off</v>
      </c>
      <c r="AC719" s="101" t="str">
        <f t="shared" si="94"/>
        <v>RON</v>
      </c>
      <c r="AD719" s="101">
        <f t="shared" si="95"/>
        <v>10000</v>
      </c>
    </row>
    <row r="720" spans="1:30">
      <c r="A720" s="101">
        <f t="shared" si="96"/>
        <v>20</v>
      </c>
      <c r="B720" s="101">
        <f t="shared" si="92"/>
        <v>35</v>
      </c>
      <c r="C720" s="101" t="str">
        <f t="shared" si="93"/>
        <v>T35</v>
      </c>
      <c r="D720" s="101" t="str">
        <f>IF(A720&lt;&gt;A719,VLOOKUP(A720,'Date SPV'!$A:$D,4,FALSE),D719)</f>
        <v>NRE Sibiu Shopping City SRL</v>
      </c>
      <c r="E720" s="101" t="str">
        <f>VLOOKUP(A720,'Date SPV'!$A$4:$B$34,2,FALSE)</f>
        <v>RNSS</v>
      </c>
      <c r="H720" s="105" t="s">
        <v>894</v>
      </c>
      <c r="K720" s="101" t="str">
        <f>VLOOKUP(C720,'Preturi si tarife'!$A$4:$B$39,2,FALSE)</f>
        <v>Regularizare Tarif distributie SDI MT Ea3</v>
      </c>
      <c r="L720" s="102">
        <f>IF(B720=1,'Date masura OD'!$I$5,IF(B720=19,'Date masura OD'!$AK$5,L719))</f>
        <v>45748</v>
      </c>
      <c r="M720" s="102">
        <f>IF(B720=1,'Date masura OD'!$J$5,IF(B720=19,'Date masura OD'!$AL$5,M719))</f>
        <v>45777</v>
      </c>
      <c r="N720" s="104">
        <f>VLOOKUP(E720,verificare!$AR$4:$CC$33,B720+2,FALSE)</f>
        <v>0</v>
      </c>
      <c r="O720" s="103">
        <f>HLOOKUP(VLOOKUP(E720,'Date SPV'!$B$4:$F$34,5,FALSE),'Preturi si tarife'!$C$2:$J$39,B720+2,FALSE)*10000</f>
        <v>126</v>
      </c>
      <c r="Q720" s="101" t="str">
        <f t="shared" si="88"/>
        <v>One-off</v>
      </c>
      <c r="R720" s="101" t="str">
        <f>VLOOKUP(K720,'Preturi si tarife'!$B$4:$K$39,10,FALSE)</f>
        <v>ICOENG0010</v>
      </c>
      <c r="T720" s="101" t="str">
        <f t="shared" si="89"/>
        <v>INV + 30</v>
      </c>
      <c r="V720" s="101" t="str">
        <f t="shared" si="90"/>
        <v>Active</v>
      </c>
      <c r="X720" s="101" t="str">
        <f t="shared" si="91"/>
        <v>One-off</v>
      </c>
      <c r="AC720" s="101" t="str">
        <f t="shared" si="94"/>
        <v>RON</v>
      </c>
      <c r="AD720" s="101">
        <f t="shared" si="95"/>
        <v>10000</v>
      </c>
    </row>
    <row r="721" spans="1:30">
      <c r="A721" s="101">
        <f t="shared" si="96"/>
        <v>20</v>
      </c>
      <c r="B721" s="101">
        <f t="shared" si="92"/>
        <v>36</v>
      </c>
      <c r="C721" s="101" t="str">
        <f t="shared" si="93"/>
        <v>T36</v>
      </c>
      <c r="D721" s="101" t="str">
        <f>IF(A721&lt;&gt;A720,VLOOKUP(A721,'Date SPV'!$A:$D,4,FALSE),D720)</f>
        <v>NRE Sibiu Shopping City SRL</v>
      </c>
      <c r="E721" s="101" t="str">
        <f>VLOOKUP(A721,'Date SPV'!$A$4:$B$34,2,FALSE)</f>
        <v>RNSS</v>
      </c>
      <c r="H721" s="105" t="s">
        <v>894</v>
      </c>
      <c r="K721" s="101" t="str">
        <f>VLOOKUP(C721,'Preturi si tarife'!$A$4:$B$39,2,FALSE)</f>
        <v>Regularizare Tarif distributie SDI JT Ea3</v>
      </c>
      <c r="L721" s="102">
        <f>IF(B721=1,'Date masura OD'!$I$5,IF(B721=19,'Date masura OD'!$AK$5,L720))</f>
        <v>45748</v>
      </c>
      <c r="M721" s="102">
        <f>IF(B721=1,'Date masura OD'!$J$5,IF(B721=19,'Date masura OD'!$AL$5,M720))</f>
        <v>45777</v>
      </c>
      <c r="N721" s="104">
        <f>VLOOKUP(E721,verificare!$AR$4:$CC$33,B721+2,FALSE)</f>
        <v>0</v>
      </c>
      <c r="O721" s="103">
        <f>HLOOKUP(VLOOKUP(E721,'Date SPV'!$B$4:$F$34,5,FALSE),'Preturi si tarife'!$C$2:$J$39,B721+2,FALSE)*10000</f>
        <v>927</v>
      </c>
      <c r="Q721" s="101" t="str">
        <f t="shared" si="88"/>
        <v>One-off</v>
      </c>
      <c r="R721" s="101" t="str">
        <f>VLOOKUP(K721,'Preturi si tarife'!$B$4:$K$39,10,FALSE)</f>
        <v>ICOENG0010</v>
      </c>
      <c r="T721" s="101" t="str">
        <f t="shared" si="89"/>
        <v>INV + 30</v>
      </c>
      <c r="V721" s="101" t="str">
        <f t="shared" si="90"/>
        <v>Active</v>
      </c>
      <c r="X721" s="101" t="str">
        <f t="shared" si="91"/>
        <v>One-off</v>
      </c>
      <c r="AC721" s="101" t="str">
        <f t="shared" si="94"/>
        <v>RON</v>
      </c>
      <c r="AD721" s="101">
        <f t="shared" si="95"/>
        <v>10000</v>
      </c>
    </row>
    <row r="722" spans="1:30">
      <c r="A722" s="101">
        <f t="shared" si="96"/>
        <v>21</v>
      </c>
      <c r="B722" s="101">
        <f t="shared" si="92"/>
        <v>1</v>
      </c>
      <c r="C722" s="101" t="str">
        <f t="shared" si="93"/>
        <v>T1</v>
      </c>
      <c r="D722" s="101" t="str">
        <f>IF(A722&lt;&gt;A721,VLOOKUP(A722,'Date SPV'!$A:$D,4,FALSE),D721)</f>
        <v>Sibiu Shopping City 2 SRL</v>
      </c>
      <c r="E722" s="101" t="str">
        <f>VLOOKUP(A722,'Date SPV'!$A$4:$B$34,2,FALSE)</f>
        <v>RSSC</v>
      </c>
      <c r="H722" s="105" t="s">
        <v>894</v>
      </c>
      <c r="K722" s="101" t="str">
        <f>VLOOKUP(C722,'Preturi si tarife'!$A$4:$B$39,2,FALSE)</f>
        <v>Energie activa 1</v>
      </c>
      <c r="L722" s="102">
        <f>IF(B722=1,'Date masura OD'!$I$5,IF(B722=19,'Date masura OD'!$AK$5,L721))</f>
        <v>45778</v>
      </c>
      <c r="M722" s="102">
        <f>IF(B722=1,'Date masura OD'!$J$5,IF(B722=19,'Date masura OD'!$AL$5,M721))</f>
        <v>45808</v>
      </c>
      <c r="N722" s="104">
        <f>VLOOKUP(E722,verificare!$AR$4:$CC$33,B722+2,FALSE)</f>
        <v>89775</v>
      </c>
      <c r="O722" s="103">
        <f>HLOOKUP(VLOOKUP(E722,'Date SPV'!$B$4:$F$34,5,FALSE),'Preturi si tarife'!$C$2:$J$39,B722+2,FALSE)*10000</f>
        <v>5950</v>
      </c>
      <c r="Q722" s="101" t="str">
        <f t="shared" si="88"/>
        <v>One-off</v>
      </c>
      <c r="R722" s="101" t="str">
        <f>VLOOKUP(K722,'Preturi si tarife'!$B$4:$K$39,10,FALSE)</f>
        <v>ICOENG0001</v>
      </c>
      <c r="T722" s="101" t="str">
        <f t="shared" si="89"/>
        <v>INV + 30</v>
      </c>
      <c r="V722" s="101" t="str">
        <f t="shared" si="90"/>
        <v>Active</v>
      </c>
      <c r="X722" s="101" t="str">
        <f t="shared" si="91"/>
        <v>One-off</v>
      </c>
      <c r="AC722" s="101" t="str">
        <f t="shared" si="94"/>
        <v>RON</v>
      </c>
      <c r="AD722" s="101">
        <f t="shared" si="95"/>
        <v>10000</v>
      </c>
    </row>
    <row r="723" spans="1:30">
      <c r="A723" s="101">
        <f t="shared" si="96"/>
        <v>21</v>
      </c>
      <c r="B723" s="101">
        <f t="shared" si="92"/>
        <v>2</v>
      </c>
      <c r="C723" s="101" t="str">
        <f t="shared" si="93"/>
        <v>T2</v>
      </c>
      <c r="D723" s="101" t="str">
        <f>IF(A723&lt;&gt;A722,VLOOKUP(A723,'Date SPV'!$A:$D,4,FALSE),D722)</f>
        <v>Sibiu Shopping City 2 SRL</v>
      </c>
      <c r="E723" s="101" t="str">
        <f>VLOOKUP(A723,'Date SPV'!$A$4:$B$34,2,FALSE)</f>
        <v>RSSC</v>
      </c>
      <c r="H723" s="105" t="s">
        <v>894</v>
      </c>
      <c r="K723" s="101" t="str">
        <f>VLOOKUP(C723,'Preturi si tarife'!$A$4:$B$39,2,FALSE)</f>
        <v>Energie reactiva  1X</v>
      </c>
      <c r="L723" s="102">
        <f>IF(B723=1,'Date masura OD'!$I$5,IF(B723=19,'Date masura OD'!$AK$5,L722))</f>
        <v>45778</v>
      </c>
      <c r="M723" s="102">
        <f>IF(B723=1,'Date masura OD'!$J$5,IF(B723=19,'Date masura OD'!$AL$5,M722))</f>
        <v>45808</v>
      </c>
      <c r="N723" s="104">
        <f>VLOOKUP(E723,verificare!$AR$4:$CC$33,B723+2,FALSE)</f>
        <v>0</v>
      </c>
      <c r="O723" s="103">
        <f>HLOOKUP(VLOOKUP(E723,'Date SPV'!$B$4:$F$34,5,FALSE),'Preturi si tarife'!$C$2:$J$39,B723+2,FALSE)*10000</f>
        <v>1465</v>
      </c>
      <c r="Q723" s="101" t="str">
        <f t="shared" si="88"/>
        <v>One-off</v>
      </c>
      <c r="R723" s="101" t="str">
        <f>VLOOKUP(K723,'Preturi si tarife'!$B$4:$K$39,10,FALSE)</f>
        <v>ICOENG0001</v>
      </c>
      <c r="T723" s="101" t="str">
        <f t="shared" si="89"/>
        <v>INV + 30</v>
      </c>
      <c r="V723" s="101" t="str">
        <f t="shared" si="90"/>
        <v>Active</v>
      </c>
      <c r="X723" s="101" t="str">
        <f t="shared" si="91"/>
        <v>One-off</v>
      </c>
      <c r="AC723" s="101" t="str">
        <f t="shared" si="94"/>
        <v>RON</v>
      </c>
      <c r="AD723" s="101">
        <f t="shared" si="95"/>
        <v>10000</v>
      </c>
    </row>
    <row r="724" spans="1:30">
      <c r="A724" s="101">
        <f t="shared" si="96"/>
        <v>21</v>
      </c>
      <c r="B724" s="101">
        <f t="shared" si="92"/>
        <v>3</v>
      </c>
      <c r="C724" s="101" t="str">
        <f t="shared" si="93"/>
        <v>T3</v>
      </c>
      <c r="D724" s="101" t="str">
        <f>IF(A724&lt;&gt;A723,VLOOKUP(A724,'Date SPV'!$A:$D,4,FALSE),D723)</f>
        <v>Sibiu Shopping City 2 SRL</v>
      </c>
      <c r="E724" s="101" t="str">
        <f>VLOOKUP(A724,'Date SPV'!$A$4:$B$34,2,FALSE)</f>
        <v>RSSC</v>
      </c>
      <c r="H724" s="105" t="s">
        <v>894</v>
      </c>
      <c r="K724" s="101" t="str">
        <f>VLOOKUP(C724,'Preturi si tarife'!$A$4:$B$39,2,FALSE)</f>
        <v>Energie reactiva  3X</v>
      </c>
      <c r="L724" s="102">
        <f>IF(B724=1,'Date masura OD'!$I$5,IF(B724=19,'Date masura OD'!$AK$5,L723))</f>
        <v>45778</v>
      </c>
      <c r="M724" s="102">
        <f>IF(B724=1,'Date masura OD'!$J$5,IF(B724=19,'Date masura OD'!$AL$5,M723))</f>
        <v>45808</v>
      </c>
      <c r="N724" s="104">
        <f>VLOOKUP(E724,verificare!$AR$4:$CC$33,B724+2,FALSE)</f>
        <v>0</v>
      </c>
      <c r="O724" s="103">
        <f>HLOOKUP(VLOOKUP(E724,'Date SPV'!$B$4:$F$34,5,FALSE),'Preturi si tarife'!$C$2:$J$39,B724+2,FALSE)*10000</f>
        <v>4395</v>
      </c>
      <c r="Q724" s="101" t="str">
        <f t="shared" si="88"/>
        <v>One-off</v>
      </c>
      <c r="R724" s="101" t="str">
        <f>VLOOKUP(K724,'Preturi si tarife'!$B$4:$K$39,10,FALSE)</f>
        <v>ICOENG0001</v>
      </c>
      <c r="T724" s="101" t="str">
        <f t="shared" si="89"/>
        <v>INV + 30</v>
      </c>
      <c r="V724" s="101" t="str">
        <f t="shared" si="90"/>
        <v>Active</v>
      </c>
      <c r="X724" s="101" t="str">
        <f t="shared" si="91"/>
        <v>One-off</v>
      </c>
      <c r="AC724" s="101" t="str">
        <f t="shared" si="94"/>
        <v>RON</v>
      </c>
      <c r="AD724" s="101">
        <f t="shared" si="95"/>
        <v>10000</v>
      </c>
    </row>
    <row r="725" spans="1:30">
      <c r="A725" s="101">
        <f t="shared" si="96"/>
        <v>21</v>
      </c>
      <c r="B725" s="101">
        <f t="shared" si="92"/>
        <v>4</v>
      </c>
      <c r="C725" s="101" t="str">
        <f t="shared" si="93"/>
        <v>T4</v>
      </c>
      <c r="D725" s="101" t="str">
        <f>IF(A725&lt;&gt;A724,VLOOKUP(A725,'Date SPV'!$A:$D,4,FALSE),D724)</f>
        <v>Sibiu Shopping City 2 SRL</v>
      </c>
      <c r="E725" s="101" t="str">
        <f>VLOOKUP(A725,'Date SPV'!$A$4:$B$34,2,FALSE)</f>
        <v>RSSC</v>
      </c>
      <c r="H725" s="105" t="s">
        <v>894</v>
      </c>
      <c r="K725" s="101" t="str">
        <f>VLOOKUP(C725,'Preturi si tarife'!$A$4:$B$39,2,FALSE)</f>
        <v>Tarife distributie en. El IT+MT</v>
      </c>
      <c r="L725" s="102">
        <f>IF(B725=1,'Date masura OD'!$I$5,IF(B725=19,'Date masura OD'!$AK$5,L724))</f>
        <v>45778</v>
      </c>
      <c r="M725" s="102">
        <f>IF(B725=1,'Date masura OD'!$J$5,IF(B725=19,'Date masura OD'!$AL$5,M724))</f>
        <v>45808</v>
      </c>
      <c r="N725" s="104">
        <f>VLOOKUP(E725,verificare!$AR$4:$CC$33,B725+2,FALSE)</f>
        <v>89775</v>
      </c>
      <c r="O725" s="103">
        <f>HLOOKUP(VLOOKUP(E725,'Date SPV'!$B$4:$F$34,5,FALSE),'Preturi si tarife'!$C$2:$J$39,B725+2,FALSE)*10000</f>
        <v>1148.3</v>
      </c>
      <c r="Q725" s="101" t="str">
        <f t="shared" si="88"/>
        <v>One-off</v>
      </c>
      <c r="R725" s="101" t="str">
        <f>VLOOKUP(K725,'Preturi si tarife'!$B$4:$K$39,10,FALSE)</f>
        <v>ICOENG0001</v>
      </c>
      <c r="T725" s="101" t="str">
        <f t="shared" si="89"/>
        <v>INV + 30</v>
      </c>
      <c r="V725" s="101" t="str">
        <f t="shared" si="90"/>
        <v>Active</v>
      </c>
      <c r="X725" s="101" t="str">
        <f t="shared" si="91"/>
        <v>One-off</v>
      </c>
      <c r="AC725" s="101" t="str">
        <f t="shared" si="94"/>
        <v>RON</v>
      </c>
      <c r="AD725" s="101">
        <f t="shared" si="95"/>
        <v>10000</v>
      </c>
    </row>
    <row r="726" spans="1:30">
      <c r="A726" s="101">
        <f t="shared" si="96"/>
        <v>21</v>
      </c>
      <c r="B726" s="101">
        <f t="shared" si="92"/>
        <v>5</v>
      </c>
      <c r="C726" s="101" t="str">
        <f t="shared" si="93"/>
        <v>T5</v>
      </c>
      <c r="D726" s="101" t="str">
        <f>IF(A726&lt;&gt;A725,VLOOKUP(A726,'Date SPV'!$A:$D,4,FALSE),D725)</f>
        <v>Sibiu Shopping City 2 SRL</v>
      </c>
      <c r="E726" s="101" t="str">
        <f>VLOOKUP(A726,'Date SPV'!$A$4:$B$34,2,FALSE)</f>
        <v>RSSC</v>
      </c>
      <c r="H726" s="105" t="s">
        <v>894</v>
      </c>
      <c r="K726" s="101" t="str">
        <f>VLOOKUP(C726,'Preturi si tarife'!$A$4:$B$39,2,FALSE)</f>
        <v>Tarife distributie en. El JT</v>
      </c>
      <c r="L726" s="102">
        <f>IF(B726=1,'Date masura OD'!$I$5,IF(B726=19,'Date masura OD'!$AK$5,L725))</f>
        <v>45778</v>
      </c>
      <c r="M726" s="102">
        <f>IF(B726=1,'Date masura OD'!$J$5,IF(B726=19,'Date masura OD'!$AL$5,M725))</f>
        <v>45808</v>
      </c>
      <c r="N726" s="104">
        <f>VLOOKUP(E726,verificare!$AR$4:$CC$33,B726+2,FALSE)</f>
        <v>3606</v>
      </c>
      <c r="O726" s="103">
        <f>HLOOKUP(VLOOKUP(E726,'Date SPV'!$B$4:$F$34,5,FALSE),'Preturi si tarife'!$C$2:$J$39,B726+2,FALSE)*10000</f>
        <v>2361</v>
      </c>
      <c r="Q726" s="101" t="str">
        <f t="shared" si="88"/>
        <v>One-off</v>
      </c>
      <c r="R726" s="101" t="str">
        <f>VLOOKUP(K726,'Preturi si tarife'!$B$4:$K$39,10,FALSE)</f>
        <v>ICOENG0001</v>
      </c>
      <c r="T726" s="101" t="str">
        <f t="shared" si="89"/>
        <v>INV + 30</v>
      </c>
      <c r="V726" s="101" t="str">
        <f t="shared" si="90"/>
        <v>Active</v>
      </c>
      <c r="X726" s="101" t="str">
        <f t="shared" si="91"/>
        <v>One-off</v>
      </c>
      <c r="AC726" s="101" t="str">
        <f t="shared" si="94"/>
        <v>RON</v>
      </c>
      <c r="AD726" s="101">
        <f t="shared" si="95"/>
        <v>10000</v>
      </c>
    </row>
    <row r="727" spans="1:30">
      <c r="A727" s="101">
        <f t="shared" si="96"/>
        <v>21</v>
      </c>
      <c r="B727" s="101">
        <f t="shared" si="92"/>
        <v>6</v>
      </c>
      <c r="C727" s="101" t="str">
        <f t="shared" si="93"/>
        <v>T6</v>
      </c>
      <c r="D727" s="101" t="str">
        <f>IF(A727&lt;&gt;A726,VLOOKUP(A727,'Date SPV'!$A:$D,4,FALSE),D726)</f>
        <v>Sibiu Shopping City 2 SRL</v>
      </c>
      <c r="E727" s="101" t="str">
        <f>VLOOKUP(A727,'Date SPV'!$A$4:$B$34,2,FALSE)</f>
        <v>RSSC</v>
      </c>
      <c r="H727" s="105" t="s">
        <v>894</v>
      </c>
      <c r="K727" s="101" t="str">
        <f>VLOOKUP(C727,'Preturi si tarife'!$A$4:$B$39,2,FALSE)</f>
        <v xml:space="preserve">Servicii Sistem </v>
      </c>
      <c r="L727" s="102">
        <f>IF(B727=1,'Date masura OD'!$I$5,IF(B727=19,'Date masura OD'!$AK$5,L726))</f>
        <v>45778</v>
      </c>
      <c r="M727" s="102">
        <f>IF(B727=1,'Date masura OD'!$J$5,IF(B727=19,'Date masura OD'!$AL$5,M726))</f>
        <v>45808</v>
      </c>
      <c r="N727" s="104">
        <f>VLOOKUP(E727,verificare!$AR$4:$CC$33,B727+2,FALSE)</f>
        <v>89775</v>
      </c>
      <c r="O727" s="103">
        <f>HLOOKUP(VLOOKUP(E727,'Date SPV'!$B$4:$F$34,5,FALSE),'Preturi si tarife'!$C$2:$J$39,B727+2,FALSE)*10000</f>
        <v>115.1</v>
      </c>
      <c r="Q727" s="101" t="str">
        <f t="shared" si="88"/>
        <v>One-off</v>
      </c>
      <c r="R727" s="101" t="str">
        <f>VLOOKUP(K727,'Preturi si tarife'!$B$4:$K$39,10,FALSE)</f>
        <v>ICOENG0001</v>
      </c>
      <c r="T727" s="101" t="str">
        <f t="shared" si="89"/>
        <v>INV + 30</v>
      </c>
      <c r="V727" s="101" t="str">
        <f t="shared" si="90"/>
        <v>Active</v>
      </c>
      <c r="X727" s="101" t="str">
        <f t="shared" si="91"/>
        <v>One-off</v>
      </c>
      <c r="AC727" s="101" t="str">
        <f t="shared" si="94"/>
        <v>RON</v>
      </c>
      <c r="AD727" s="101">
        <f t="shared" si="95"/>
        <v>10000</v>
      </c>
    </row>
    <row r="728" spans="1:30">
      <c r="A728" s="101">
        <f t="shared" si="96"/>
        <v>21</v>
      </c>
      <c r="B728" s="101">
        <f t="shared" si="92"/>
        <v>7</v>
      </c>
      <c r="C728" s="101" t="str">
        <f t="shared" si="93"/>
        <v>T7</v>
      </c>
      <c r="D728" s="101" t="str">
        <f>IF(A728&lt;&gt;A727,VLOOKUP(A728,'Date SPV'!$A:$D,4,FALSE),D727)</f>
        <v>Sibiu Shopping City 2 SRL</v>
      </c>
      <c r="E728" s="101" t="str">
        <f>VLOOKUP(A728,'Date SPV'!$A$4:$B$34,2,FALSE)</f>
        <v>RSSC</v>
      </c>
      <c r="H728" s="105" t="s">
        <v>894</v>
      </c>
      <c r="K728" s="101" t="str">
        <f>VLOOKUP(C728,'Preturi si tarife'!$A$4:$B$39,2,FALSE)</f>
        <v>Tarif de introducere en. el in retea (TL)</v>
      </c>
      <c r="L728" s="102">
        <f>IF(B728=1,'Date masura OD'!$I$5,IF(B728=19,'Date masura OD'!$AK$5,L727))</f>
        <v>45778</v>
      </c>
      <c r="M728" s="102">
        <f>IF(B728=1,'Date masura OD'!$J$5,IF(B728=19,'Date masura OD'!$AL$5,M727))</f>
        <v>45808</v>
      </c>
      <c r="N728" s="104">
        <f>VLOOKUP(E728,verificare!$AR$4:$CC$33,B728+2,FALSE)</f>
        <v>89775</v>
      </c>
      <c r="O728" s="103">
        <f>HLOOKUP(VLOOKUP(E728,'Date SPV'!$B$4:$F$34,5,FALSE),'Preturi si tarife'!$C$2:$J$39,B728+2,FALSE)*10000</f>
        <v>330.3</v>
      </c>
      <c r="Q728" s="101" t="str">
        <f t="shared" si="88"/>
        <v>One-off</v>
      </c>
      <c r="R728" s="101" t="str">
        <f>VLOOKUP(K728,'Preturi si tarife'!$B$4:$K$39,10,FALSE)</f>
        <v>ICOENG0001</v>
      </c>
      <c r="T728" s="101" t="str">
        <f t="shared" si="89"/>
        <v>INV + 30</v>
      </c>
      <c r="V728" s="101" t="str">
        <f t="shared" si="90"/>
        <v>Active</v>
      </c>
      <c r="X728" s="101" t="str">
        <f t="shared" si="91"/>
        <v>One-off</v>
      </c>
      <c r="AC728" s="101" t="str">
        <f t="shared" si="94"/>
        <v>RON</v>
      </c>
      <c r="AD728" s="101">
        <f t="shared" si="95"/>
        <v>10000</v>
      </c>
    </row>
    <row r="729" spans="1:30">
      <c r="A729" s="101">
        <f t="shared" si="96"/>
        <v>21</v>
      </c>
      <c r="B729" s="101">
        <f t="shared" si="92"/>
        <v>8</v>
      </c>
      <c r="C729" s="101" t="str">
        <f t="shared" si="93"/>
        <v>T8</v>
      </c>
      <c r="D729" s="101" t="str">
        <f>IF(A729&lt;&gt;A728,VLOOKUP(A729,'Date SPV'!$A:$D,4,FALSE),D728)</f>
        <v>Sibiu Shopping City 2 SRL</v>
      </c>
      <c r="E729" s="101" t="str">
        <f>VLOOKUP(A729,'Date SPV'!$A$4:$B$34,2,FALSE)</f>
        <v>RSSC</v>
      </c>
      <c r="H729" s="105" t="s">
        <v>894</v>
      </c>
      <c r="K729" s="101" t="str">
        <f>VLOOKUP(C729,'Preturi si tarife'!$A$4:$B$39,2,FALSE)</f>
        <v>Tarif de introducere en.el in retea (TG)</v>
      </c>
      <c r="L729" s="102">
        <f>IF(B729=1,'Date masura OD'!$I$5,IF(B729=19,'Date masura OD'!$AK$5,L728))</f>
        <v>45778</v>
      </c>
      <c r="M729" s="102">
        <f>IF(B729=1,'Date masura OD'!$J$5,IF(B729=19,'Date masura OD'!$AL$5,M728))</f>
        <v>45808</v>
      </c>
      <c r="N729" s="104">
        <f>VLOOKUP(E729,verificare!$AR$4:$CC$33,B729+2,FALSE)</f>
        <v>89775</v>
      </c>
      <c r="O729" s="103">
        <f>HLOOKUP(VLOOKUP(E729,'Date SPV'!$B$4:$F$34,5,FALSE),'Preturi si tarife'!$C$2:$J$39,B729+2,FALSE)*10000</f>
        <v>32.9</v>
      </c>
      <c r="Q729" s="101" t="str">
        <f t="shared" si="88"/>
        <v>One-off</v>
      </c>
      <c r="R729" s="101" t="str">
        <f>VLOOKUP(K729,'Preturi si tarife'!$B$4:$K$39,10,FALSE)</f>
        <v>ICOENG0001</v>
      </c>
      <c r="T729" s="101" t="str">
        <f t="shared" si="89"/>
        <v>INV + 30</v>
      </c>
      <c r="V729" s="101" t="str">
        <f t="shared" si="90"/>
        <v>Active</v>
      </c>
      <c r="X729" s="101" t="str">
        <f t="shared" si="91"/>
        <v>One-off</v>
      </c>
      <c r="AC729" s="101" t="str">
        <f t="shared" si="94"/>
        <v>RON</v>
      </c>
      <c r="AD729" s="101">
        <f t="shared" si="95"/>
        <v>10000</v>
      </c>
    </row>
    <row r="730" spans="1:30">
      <c r="A730" s="101">
        <f t="shared" si="96"/>
        <v>21</v>
      </c>
      <c r="B730" s="101">
        <f t="shared" si="92"/>
        <v>9</v>
      </c>
      <c r="C730" s="101" t="str">
        <f t="shared" si="93"/>
        <v>T9</v>
      </c>
      <c r="D730" s="101" t="str">
        <f>IF(A730&lt;&gt;A729,VLOOKUP(A730,'Date SPV'!$A:$D,4,FALSE),D729)</f>
        <v>Sibiu Shopping City 2 SRL</v>
      </c>
      <c r="E730" s="101" t="str">
        <f>VLOOKUP(A730,'Date SPV'!$A$4:$B$34,2,FALSE)</f>
        <v>RSSC</v>
      </c>
      <c r="H730" s="105" t="s">
        <v>894</v>
      </c>
      <c r="K730" s="101" t="str">
        <f>VLOOKUP(C730,'Preturi si tarife'!$A$4:$B$39,2,FALSE)</f>
        <v>Contributie pentru cogenerare</v>
      </c>
      <c r="L730" s="102">
        <f>IF(B730=1,'Date masura OD'!$I$5,IF(B730=19,'Date masura OD'!$AK$5,L729))</f>
        <v>45778</v>
      </c>
      <c r="M730" s="102">
        <f>IF(B730=1,'Date masura OD'!$J$5,IF(B730=19,'Date masura OD'!$AL$5,M729))</f>
        <v>45808</v>
      </c>
      <c r="N730" s="104">
        <f>VLOOKUP(E730,verificare!$AR$4:$CC$33,B730+2,FALSE)</f>
        <v>89775</v>
      </c>
      <c r="O730" s="103">
        <f>HLOOKUP(VLOOKUP(E730,'Date SPV'!$B$4:$F$34,5,FALSE),'Preturi si tarife'!$C$2:$J$39,B730+2,FALSE)*10000</f>
        <v>35</v>
      </c>
      <c r="Q730" s="101" t="str">
        <f t="shared" si="88"/>
        <v>One-off</v>
      </c>
      <c r="R730" s="101" t="str">
        <f>VLOOKUP(K730,'Preturi si tarife'!$B$4:$K$39,10,FALSE)</f>
        <v>ICOENG0001</v>
      </c>
      <c r="T730" s="101" t="str">
        <f t="shared" si="89"/>
        <v>INV + 30</v>
      </c>
      <c r="V730" s="101" t="str">
        <f t="shared" si="90"/>
        <v>Active</v>
      </c>
      <c r="X730" s="101" t="str">
        <f t="shared" si="91"/>
        <v>One-off</v>
      </c>
      <c r="AC730" s="101" t="str">
        <f t="shared" si="94"/>
        <v>RON</v>
      </c>
      <c r="AD730" s="101">
        <f t="shared" si="95"/>
        <v>10000</v>
      </c>
    </row>
    <row r="731" spans="1:30">
      <c r="A731" s="101">
        <f t="shared" si="96"/>
        <v>21</v>
      </c>
      <c r="B731" s="101">
        <f t="shared" si="92"/>
        <v>10</v>
      </c>
      <c r="C731" s="101" t="str">
        <f t="shared" si="93"/>
        <v>T10</v>
      </c>
      <c r="D731" s="101" t="str">
        <f>IF(A731&lt;&gt;A730,VLOOKUP(A731,'Date SPV'!$A:$D,4,FALSE),D730)</f>
        <v>Sibiu Shopping City 2 SRL</v>
      </c>
      <c r="E731" s="101" t="str">
        <f>VLOOKUP(A731,'Date SPV'!$A$4:$B$34,2,FALSE)</f>
        <v>RSSC</v>
      </c>
      <c r="H731" s="105" t="s">
        <v>894</v>
      </c>
      <c r="K731" s="101" t="str">
        <f>VLOOKUP(C731,'Preturi si tarife'!$A$4:$B$39,2,FALSE)</f>
        <v xml:space="preserve">Certificate verzi </v>
      </c>
      <c r="L731" s="102">
        <f>IF(B731=1,'Date masura OD'!$I$5,IF(B731=19,'Date masura OD'!$AK$5,L730))</f>
        <v>45778</v>
      </c>
      <c r="M731" s="102">
        <f>IF(B731=1,'Date masura OD'!$J$5,IF(B731=19,'Date masura OD'!$AL$5,M730))</f>
        <v>45808</v>
      </c>
      <c r="N731" s="104">
        <f>VLOOKUP(E731,verificare!$AR$4:$CC$33,B731+2,FALSE)</f>
        <v>89775</v>
      </c>
      <c r="O731" s="103">
        <f>HLOOKUP(VLOOKUP(E731,'Date SPV'!$B$4:$F$34,5,FALSE),'Preturi si tarife'!$C$2:$J$39,B731+2,FALSE)*10000</f>
        <v>725.41599999999994</v>
      </c>
      <c r="Q731" s="101" t="str">
        <f t="shared" si="88"/>
        <v>One-off</v>
      </c>
      <c r="R731" s="101" t="str">
        <f>VLOOKUP(K731,'Preturi si tarife'!$B$4:$K$39,10,FALSE)</f>
        <v>ICOENG0001</v>
      </c>
      <c r="T731" s="101" t="str">
        <f t="shared" si="89"/>
        <v>INV + 30</v>
      </c>
      <c r="V731" s="101" t="str">
        <f t="shared" si="90"/>
        <v>Active</v>
      </c>
      <c r="X731" s="101" t="str">
        <f t="shared" si="91"/>
        <v>One-off</v>
      </c>
      <c r="AC731" s="101" t="str">
        <f t="shared" si="94"/>
        <v>RON</v>
      </c>
      <c r="AD731" s="101">
        <f t="shared" si="95"/>
        <v>10000</v>
      </c>
    </row>
    <row r="732" spans="1:30">
      <c r="A732" s="101">
        <f t="shared" si="96"/>
        <v>21</v>
      </c>
      <c r="B732" s="101">
        <f t="shared" si="92"/>
        <v>11</v>
      </c>
      <c r="C732" s="101" t="str">
        <f t="shared" si="93"/>
        <v>T11</v>
      </c>
      <c r="D732" s="101" t="str">
        <f>IF(A732&lt;&gt;A731,VLOOKUP(A732,'Date SPV'!$A:$D,4,FALSE),D731)</f>
        <v>Sibiu Shopping City 2 SRL</v>
      </c>
      <c r="E732" s="101" t="str">
        <f>VLOOKUP(A732,'Date SPV'!$A$4:$B$34,2,FALSE)</f>
        <v>RSSC</v>
      </c>
      <c r="H732" s="105" t="s">
        <v>894</v>
      </c>
      <c r="K732" s="101" t="str">
        <f>VLOOKUP(C732,'Preturi si tarife'!$A$4:$B$39,2,FALSE)</f>
        <v>Contributie CFD</v>
      </c>
      <c r="L732" s="102">
        <f>IF(B732=1,'Date masura OD'!$I$5,IF(B732=19,'Date masura OD'!$AK$5,L731))</f>
        <v>45778</v>
      </c>
      <c r="M732" s="102">
        <f>IF(B732=1,'Date masura OD'!$J$5,IF(B732=19,'Date masura OD'!$AL$5,M731))</f>
        <v>45808</v>
      </c>
      <c r="N732" s="104">
        <f>VLOOKUP(E732,verificare!$AR$4:$CC$33,B732+2,FALSE)</f>
        <v>89775</v>
      </c>
      <c r="O732" s="103">
        <f>HLOOKUP(VLOOKUP(E732,'Date SPV'!$B$4:$F$34,5,FALSE),'Preturi si tarife'!$C$2:$J$39,B732+2,FALSE)*10000</f>
        <v>2.06</v>
      </c>
      <c r="Q732" s="101" t="str">
        <f t="shared" si="88"/>
        <v>One-off</v>
      </c>
      <c r="R732" s="101" t="str">
        <f>VLOOKUP(K732,'Preturi si tarife'!$B$4:$K$39,10,FALSE)</f>
        <v>ICOENG0001</v>
      </c>
      <c r="T732" s="101" t="str">
        <f t="shared" si="89"/>
        <v>INV + 30</v>
      </c>
      <c r="V732" s="101" t="str">
        <f t="shared" si="90"/>
        <v>Active</v>
      </c>
      <c r="X732" s="101" t="str">
        <f t="shared" si="91"/>
        <v>One-off</v>
      </c>
      <c r="AC732" s="101" t="str">
        <f t="shared" si="94"/>
        <v>RON</v>
      </c>
      <c r="AD732" s="101">
        <f t="shared" si="95"/>
        <v>10000</v>
      </c>
    </row>
    <row r="733" spans="1:30">
      <c r="A733" s="101">
        <f t="shared" si="96"/>
        <v>21</v>
      </c>
      <c r="B733" s="101">
        <f t="shared" si="92"/>
        <v>12</v>
      </c>
      <c r="C733" s="101" t="str">
        <f t="shared" si="93"/>
        <v>T12</v>
      </c>
      <c r="D733" s="101" t="str">
        <f>IF(A733&lt;&gt;A732,VLOOKUP(A733,'Date SPV'!$A:$D,4,FALSE),D732)</f>
        <v>Sibiu Shopping City 2 SRL</v>
      </c>
      <c r="E733" s="101" t="str">
        <f>VLOOKUP(A733,'Date SPV'!$A$4:$B$34,2,FALSE)</f>
        <v>RSSC</v>
      </c>
      <c r="H733" s="105" t="s">
        <v>894</v>
      </c>
      <c r="K733" s="101" t="str">
        <f>VLOOKUP(C733,'Preturi si tarife'!$A$4:$B$39,2,FALSE)</f>
        <v>Acciza</v>
      </c>
      <c r="L733" s="102">
        <f>IF(B733=1,'Date masura OD'!$I$5,IF(B733=19,'Date masura OD'!$AK$5,L732))</f>
        <v>45778</v>
      </c>
      <c r="M733" s="102">
        <f>IF(B733=1,'Date masura OD'!$J$5,IF(B733=19,'Date masura OD'!$AL$5,M732))</f>
        <v>45808</v>
      </c>
      <c r="N733" s="104">
        <f>VLOOKUP(E733,verificare!$AR$4:$CC$33,B733+2,FALSE)</f>
        <v>89775</v>
      </c>
      <c r="O733" s="103">
        <f>HLOOKUP(VLOOKUP(E733,'Date SPV'!$B$4:$F$34,5,FALSE),'Preturi si tarife'!$C$2:$J$39,B733+2,FALSE)*10000</f>
        <v>0</v>
      </c>
      <c r="Q733" s="101" t="str">
        <f t="shared" si="88"/>
        <v>One-off</v>
      </c>
      <c r="R733" s="101" t="str">
        <f>VLOOKUP(K733,'Preturi si tarife'!$B$4:$K$39,10,FALSE)</f>
        <v>ICOENG0001</v>
      </c>
      <c r="T733" s="101" t="str">
        <f t="shared" si="89"/>
        <v>INV + 30</v>
      </c>
      <c r="V733" s="101" t="str">
        <f t="shared" si="90"/>
        <v>Active</v>
      </c>
      <c r="X733" s="101" t="str">
        <f t="shared" si="91"/>
        <v>One-off</v>
      </c>
      <c r="AC733" s="101" t="str">
        <f t="shared" si="94"/>
        <v>RON</v>
      </c>
      <c r="AD733" s="101">
        <f t="shared" si="95"/>
        <v>10000</v>
      </c>
    </row>
    <row r="734" spans="1:30">
      <c r="A734" s="101">
        <f t="shared" si="96"/>
        <v>21</v>
      </c>
      <c r="B734" s="101">
        <f t="shared" si="92"/>
        <v>13</v>
      </c>
      <c r="C734" s="101" t="str">
        <f t="shared" si="93"/>
        <v>T13</v>
      </c>
      <c r="D734" s="101" t="str">
        <f>IF(A734&lt;&gt;A733,VLOOKUP(A734,'Date SPV'!$A:$D,4,FALSE),D733)</f>
        <v>Sibiu Shopping City 2 SRL</v>
      </c>
      <c r="E734" s="101" t="str">
        <f>VLOOKUP(A734,'Date SPV'!$A$4:$B$34,2,FALSE)</f>
        <v>RSSC</v>
      </c>
      <c r="H734" s="105" t="s">
        <v>894</v>
      </c>
      <c r="K734" s="101" t="str">
        <f>VLOOKUP(C734,'Preturi si tarife'!$A$4:$B$39,2,FALSE)</f>
        <v>Tarif distributie SDI MT</v>
      </c>
      <c r="L734" s="102">
        <f>IF(B734=1,'Date masura OD'!$I$5,IF(B734=19,'Date masura OD'!$AK$5,L733))</f>
        <v>45778</v>
      </c>
      <c r="M734" s="102">
        <f>IF(B734=1,'Date masura OD'!$J$5,IF(B734=19,'Date masura OD'!$AL$5,M733))</f>
        <v>45808</v>
      </c>
      <c r="N734" s="104">
        <f>VLOOKUP(E734,verificare!$AR$4:$CC$33,B734+2,FALSE)</f>
        <v>86169</v>
      </c>
      <c r="O734" s="103">
        <f>HLOOKUP(VLOOKUP(E734,'Date SPV'!$B$4:$F$34,5,FALSE),'Preturi si tarife'!$C$2:$J$39,B734+2,FALSE)*10000</f>
        <v>126</v>
      </c>
      <c r="Q734" s="101" t="str">
        <f t="shared" si="88"/>
        <v>One-off</v>
      </c>
      <c r="R734" s="101" t="str">
        <f>VLOOKUP(K734,'Preturi si tarife'!$B$4:$K$39,10,FALSE)</f>
        <v>ICOENG0010</v>
      </c>
      <c r="T734" s="101" t="str">
        <f t="shared" si="89"/>
        <v>INV + 30</v>
      </c>
      <c r="V734" s="101" t="str">
        <f t="shared" si="90"/>
        <v>Active</v>
      </c>
      <c r="X734" s="101" t="str">
        <f t="shared" si="91"/>
        <v>One-off</v>
      </c>
      <c r="AC734" s="101" t="str">
        <f t="shared" si="94"/>
        <v>RON</v>
      </c>
      <c r="AD734" s="101">
        <f t="shared" si="95"/>
        <v>10000</v>
      </c>
    </row>
    <row r="735" spans="1:30">
      <c r="A735" s="101">
        <f t="shared" si="96"/>
        <v>21</v>
      </c>
      <c r="B735" s="101">
        <f t="shared" si="92"/>
        <v>14</v>
      </c>
      <c r="C735" s="101" t="str">
        <f t="shared" si="93"/>
        <v>T14</v>
      </c>
      <c r="D735" s="101" t="str">
        <f>IF(A735&lt;&gt;A734,VLOOKUP(A735,'Date SPV'!$A:$D,4,FALSE),D734)</f>
        <v>Sibiu Shopping City 2 SRL</v>
      </c>
      <c r="E735" s="101" t="str">
        <f>VLOOKUP(A735,'Date SPV'!$A$4:$B$34,2,FALSE)</f>
        <v>RSSC</v>
      </c>
      <c r="H735" s="105" t="s">
        <v>894</v>
      </c>
      <c r="K735" s="101" t="str">
        <f>VLOOKUP(C735,'Preturi si tarife'!$A$4:$B$39,2,FALSE)</f>
        <v>Tarif distributie SDI JT</v>
      </c>
      <c r="L735" s="102">
        <f>IF(B735=1,'Date masura OD'!$I$5,IF(B735=19,'Date masura OD'!$AK$5,L734))</f>
        <v>45778</v>
      </c>
      <c r="M735" s="102">
        <f>IF(B735=1,'Date masura OD'!$J$5,IF(B735=19,'Date masura OD'!$AL$5,M734))</f>
        <v>45808</v>
      </c>
      <c r="N735" s="104">
        <f>VLOOKUP(E735,verificare!$AR$4:$CC$33,B735+2,FALSE)</f>
        <v>86169</v>
      </c>
      <c r="O735" s="103">
        <f>HLOOKUP(VLOOKUP(E735,'Date SPV'!$B$4:$F$34,5,FALSE),'Preturi si tarife'!$C$2:$J$39,B735+2,FALSE)*10000</f>
        <v>927</v>
      </c>
      <c r="Q735" s="101" t="str">
        <f t="shared" si="88"/>
        <v>One-off</v>
      </c>
      <c r="R735" s="101" t="str">
        <f>VLOOKUP(K735,'Preturi si tarife'!$B$4:$K$39,10,FALSE)</f>
        <v>ICOENG0010</v>
      </c>
      <c r="T735" s="101" t="str">
        <f t="shared" si="89"/>
        <v>INV + 30</v>
      </c>
      <c r="V735" s="101" t="str">
        <f t="shared" si="90"/>
        <v>Active</v>
      </c>
      <c r="X735" s="101" t="str">
        <f t="shared" si="91"/>
        <v>One-off</v>
      </c>
      <c r="AC735" s="101" t="str">
        <f t="shared" si="94"/>
        <v>RON</v>
      </c>
      <c r="AD735" s="101">
        <f t="shared" si="95"/>
        <v>10000</v>
      </c>
    </row>
    <row r="736" spans="1:30">
      <c r="A736" s="101">
        <f t="shared" si="96"/>
        <v>21</v>
      </c>
      <c r="B736" s="101">
        <f t="shared" si="92"/>
        <v>15</v>
      </c>
      <c r="C736" s="101" t="str">
        <f t="shared" si="93"/>
        <v>T15</v>
      </c>
      <c r="D736" s="101" t="str">
        <f>IF(A736&lt;&gt;A735,VLOOKUP(A736,'Date SPV'!$A:$D,4,FALSE),D735)</f>
        <v>Sibiu Shopping City 2 SRL</v>
      </c>
      <c r="E736" s="101" t="str">
        <f>VLOOKUP(A736,'Date SPV'!$A$4:$B$34,2,FALSE)</f>
        <v>RSSC</v>
      </c>
      <c r="H736" s="105" t="s">
        <v>894</v>
      </c>
      <c r="K736" s="101" t="str">
        <f>VLOOKUP(C736,'Preturi si tarife'!$A$4:$B$39,2,FALSE)</f>
        <v>Energie activa 2</v>
      </c>
      <c r="L736" s="102">
        <f>IF(B736=1,'Date masura OD'!$I$5,IF(B736=19,'Date masura OD'!$AK$5,L735))</f>
        <v>45778</v>
      </c>
      <c r="M736" s="102">
        <f>IF(B736=1,'Date masura OD'!$J$5,IF(B736=19,'Date masura OD'!$AL$5,M735))</f>
        <v>45808</v>
      </c>
      <c r="N736" s="104">
        <f>VLOOKUP(E736,verificare!$AR$4:$CC$33,B736+2,FALSE)</f>
        <v>36153</v>
      </c>
      <c r="O736" s="103">
        <f>HLOOKUP(VLOOKUP(E736,'Date SPV'!$B$4:$F$34,5,FALSE),'Preturi si tarife'!$C$2:$J$39,B736+2,FALSE)*10000</f>
        <v>9392.0760000000009</v>
      </c>
      <c r="Q736" s="101" t="str">
        <f t="shared" si="88"/>
        <v>One-off</v>
      </c>
      <c r="R736" s="101" t="str">
        <f>VLOOKUP(K736,'Preturi si tarife'!$B$4:$K$39,10,FALSE)</f>
        <v>ICOENG0012</v>
      </c>
      <c r="T736" s="101" t="str">
        <f t="shared" si="89"/>
        <v>INV + 30</v>
      </c>
      <c r="V736" s="101" t="str">
        <f t="shared" si="90"/>
        <v>Active</v>
      </c>
      <c r="X736" s="101" t="str">
        <f t="shared" si="91"/>
        <v>One-off</v>
      </c>
      <c r="AC736" s="101" t="str">
        <f t="shared" si="94"/>
        <v>RON</v>
      </c>
      <c r="AD736" s="101">
        <f t="shared" si="95"/>
        <v>10000</v>
      </c>
    </row>
    <row r="737" spans="1:30">
      <c r="A737" s="101">
        <f t="shared" si="96"/>
        <v>21</v>
      </c>
      <c r="B737" s="101">
        <f t="shared" si="92"/>
        <v>16</v>
      </c>
      <c r="C737" s="101" t="str">
        <f t="shared" si="93"/>
        <v>T16</v>
      </c>
      <c r="D737" s="101" t="str">
        <f>IF(A737&lt;&gt;A736,VLOOKUP(A737,'Date SPV'!$A:$D,4,FALSE),D736)</f>
        <v>Sibiu Shopping City 2 SRL</v>
      </c>
      <c r="E737" s="101" t="str">
        <f>VLOOKUP(A737,'Date SPV'!$A$4:$B$34,2,FALSE)</f>
        <v>RSSC</v>
      </c>
      <c r="H737" s="105" t="s">
        <v>894</v>
      </c>
      <c r="K737" s="101" t="str">
        <f>VLOOKUP(C737,'Preturi si tarife'!$A$4:$B$39,2,FALSE)</f>
        <v>Energie activa 3</v>
      </c>
      <c r="L737" s="102">
        <f>IF(B737=1,'Date masura OD'!$I$5,IF(B737=19,'Date masura OD'!$AK$5,L736))</f>
        <v>45778</v>
      </c>
      <c r="M737" s="102">
        <f>IF(B737=1,'Date masura OD'!$J$5,IF(B737=19,'Date masura OD'!$AL$5,M736))</f>
        <v>45808</v>
      </c>
      <c r="N737" s="104">
        <f>VLOOKUP(E737,verificare!$AR$4:$CC$33,B737+2,FALSE)</f>
        <v>5344</v>
      </c>
      <c r="O737" s="103">
        <f>HLOOKUP(VLOOKUP(E737,'Date SPV'!$B$4:$F$34,5,FALSE),'Preturi si tarife'!$C$2:$J$39,B737+2,FALSE)*10000</f>
        <v>8339.0760000000009</v>
      </c>
      <c r="Q737" s="101" t="str">
        <f t="shared" si="88"/>
        <v>One-off</v>
      </c>
      <c r="R737" s="101" t="str">
        <f>VLOOKUP(K737,'Preturi si tarife'!$B$4:$K$39,10,FALSE)</f>
        <v>ICOENG0012</v>
      </c>
      <c r="T737" s="101" t="str">
        <f t="shared" si="89"/>
        <v>INV + 30</v>
      </c>
      <c r="V737" s="101" t="str">
        <f t="shared" si="90"/>
        <v>Active</v>
      </c>
      <c r="X737" s="101" t="str">
        <f t="shared" si="91"/>
        <v>One-off</v>
      </c>
      <c r="AC737" s="101" t="str">
        <f t="shared" si="94"/>
        <v>RON</v>
      </c>
      <c r="AD737" s="101">
        <f t="shared" si="95"/>
        <v>10000</v>
      </c>
    </row>
    <row r="738" spans="1:30">
      <c r="A738" s="101">
        <f t="shared" si="96"/>
        <v>21</v>
      </c>
      <c r="B738" s="101">
        <f t="shared" si="92"/>
        <v>17</v>
      </c>
      <c r="C738" s="101" t="str">
        <f t="shared" si="93"/>
        <v>T17</v>
      </c>
      <c r="D738" s="101" t="str">
        <f>IF(A738&lt;&gt;A737,VLOOKUP(A738,'Date SPV'!$A:$D,4,FALSE),D737)</f>
        <v>Sibiu Shopping City 2 SRL</v>
      </c>
      <c r="E738" s="101" t="str">
        <f>VLOOKUP(A738,'Date SPV'!$A$4:$B$34,2,FALSE)</f>
        <v>RSSC</v>
      </c>
      <c r="H738" s="105" t="s">
        <v>894</v>
      </c>
      <c r="K738" s="101" t="str">
        <f>VLOOKUP(C738,'Preturi si tarife'!$A$4:$B$39,2,FALSE)</f>
        <v>Tarif distributie SDI MT_</v>
      </c>
      <c r="L738" s="102">
        <f>IF(B738=1,'Date masura OD'!$I$5,IF(B738=19,'Date masura OD'!$AK$5,L737))</f>
        <v>45778</v>
      </c>
      <c r="M738" s="102">
        <f>IF(B738=1,'Date masura OD'!$J$5,IF(B738=19,'Date masura OD'!$AL$5,M737))</f>
        <v>45808</v>
      </c>
      <c r="N738" s="104">
        <f>VLOOKUP(E738,verificare!$AR$4:$CC$33,B738+2,FALSE)</f>
        <v>5344</v>
      </c>
      <c r="O738" s="103">
        <f>HLOOKUP(VLOOKUP(E738,'Date SPV'!$B$4:$F$34,5,FALSE),'Preturi si tarife'!$C$2:$J$39,B738+2,FALSE)*10000</f>
        <v>126</v>
      </c>
      <c r="Q738" s="101" t="str">
        <f t="shared" si="88"/>
        <v>One-off</v>
      </c>
      <c r="R738" s="101" t="str">
        <f>VLOOKUP(K738,'Preturi si tarife'!$B$4:$K$39,10,FALSE)</f>
        <v>ICOENG0010</v>
      </c>
      <c r="T738" s="101" t="str">
        <f t="shared" si="89"/>
        <v>INV + 30</v>
      </c>
      <c r="V738" s="101" t="str">
        <f t="shared" si="90"/>
        <v>Active</v>
      </c>
      <c r="X738" s="101" t="str">
        <f t="shared" si="91"/>
        <v>One-off</v>
      </c>
      <c r="AC738" s="101" t="str">
        <f t="shared" si="94"/>
        <v>RON</v>
      </c>
      <c r="AD738" s="101">
        <f t="shared" si="95"/>
        <v>10000</v>
      </c>
    </row>
    <row r="739" spans="1:30">
      <c r="A739" s="101">
        <f t="shared" si="96"/>
        <v>21</v>
      </c>
      <c r="B739" s="101">
        <f t="shared" si="92"/>
        <v>18</v>
      </c>
      <c r="C739" s="101" t="str">
        <f t="shared" si="93"/>
        <v>T18</v>
      </c>
      <c r="D739" s="101" t="str">
        <f>IF(A739&lt;&gt;A738,VLOOKUP(A739,'Date SPV'!$A:$D,4,FALSE),D738)</f>
        <v>Sibiu Shopping City 2 SRL</v>
      </c>
      <c r="E739" s="101" t="str">
        <f>VLOOKUP(A739,'Date SPV'!$A$4:$B$34,2,FALSE)</f>
        <v>RSSC</v>
      </c>
      <c r="H739" s="105" t="s">
        <v>894</v>
      </c>
      <c r="K739" s="101" t="str">
        <f>VLOOKUP(C739,'Preturi si tarife'!$A$4:$B$39,2,FALSE)</f>
        <v>Tarif distributie SDI JT_</v>
      </c>
      <c r="L739" s="102">
        <f>IF(B739=1,'Date masura OD'!$I$5,IF(B739=19,'Date masura OD'!$AK$5,L738))</f>
        <v>45778</v>
      </c>
      <c r="M739" s="102">
        <f>IF(B739=1,'Date masura OD'!$J$5,IF(B739=19,'Date masura OD'!$AL$5,M738))</f>
        <v>45808</v>
      </c>
      <c r="N739" s="104">
        <f>VLOOKUP(E739,verificare!$AR$4:$CC$33,B739+2,FALSE)</f>
        <v>5344</v>
      </c>
      <c r="O739" s="103">
        <f>HLOOKUP(VLOOKUP(E739,'Date SPV'!$B$4:$F$34,5,FALSE),'Preturi si tarife'!$C$2:$J$39,B739+2,FALSE)*10000</f>
        <v>927</v>
      </c>
      <c r="Q739" s="101" t="str">
        <f t="shared" si="88"/>
        <v>One-off</v>
      </c>
      <c r="R739" s="101" t="str">
        <f>VLOOKUP(K739,'Preturi si tarife'!$B$4:$K$39,10,FALSE)</f>
        <v>ICOENG0010</v>
      </c>
      <c r="T739" s="101" t="str">
        <f t="shared" si="89"/>
        <v>INV + 30</v>
      </c>
      <c r="V739" s="101" t="str">
        <f t="shared" si="90"/>
        <v>Active</v>
      </c>
      <c r="X739" s="101" t="str">
        <f t="shared" si="91"/>
        <v>One-off</v>
      </c>
      <c r="AC739" s="101" t="str">
        <f t="shared" si="94"/>
        <v>RON</v>
      </c>
      <c r="AD739" s="101">
        <f t="shared" si="95"/>
        <v>10000</v>
      </c>
    </row>
    <row r="740" spans="1:30">
      <c r="A740" s="101">
        <f t="shared" si="96"/>
        <v>21</v>
      </c>
      <c r="B740" s="101">
        <f t="shared" si="92"/>
        <v>19</v>
      </c>
      <c r="C740" s="101" t="str">
        <f t="shared" si="93"/>
        <v>T19</v>
      </c>
      <c r="D740" s="101" t="str">
        <f>IF(A740&lt;&gt;A739,VLOOKUP(A740,'Date SPV'!$A:$D,4,FALSE),D739)</f>
        <v>Sibiu Shopping City 2 SRL</v>
      </c>
      <c r="E740" s="101" t="str">
        <f>VLOOKUP(A740,'Date SPV'!$A$4:$B$34,2,FALSE)</f>
        <v>RSSC</v>
      </c>
      <c r="H740" s="105" t="s">
        <v>894</v>
      </c>
      <c r="K740" s="101" t="str">
        <f>VLOOKUP(C740,'Preturi si tarife'!$A$4:$B$39,2,FALSE)</f>
        <v>Regularizare Energie activa 1</v>
      </c>
      <c r="L740" s="102">
        <f>IF(B740=1,'Date masura OD'!$I$5,IF(B740=19,'Date masura OD'!$AK$5,L739))</f>
        <v>45748</v>
      </c>
      <c r="M740" s="102">
        <f>IF(B740=1,'Date masura OD'!$J$5,IF(B740=19,'Date masura OD'!$AL$5,M739))</f>
        <v>45777</v>
      </c>
      <c r="N740" s="104">
        <f>VLOOKUP(E740,verificare!$AR$4:$CC$33,B740+2,FALSE)</f>
        <v>0</v>
      </c>
      <c r="O740" s="103">
        <f>HLOOKUP(VLOOKUP(E740,'Date SPV'!$B$4:$F$34,5,FALSE),'Preturi si tarife'!$C$2:$J$39,B740+2,FALSE)*10000</f>
        <v>5950</v>
      </c>
      <c r="Q740" s="101" t="str">
        <f t="shared" si="88"/>
        <v>One-off</v>
      </c>
      <c r="R740" s="101" t="str">
        <f>VLOOKUP(K740,'Preturi si tarife'!$B$4:$K$39,10,FALSE)</f>
        <v>ICOENG0001</v>
      </c>
      <c r="T740" s="101" t="str">
        <f t="shared" si="89"/>
        <v>INV + 30</v>
      </c>
      <c r="V740" s="101" t="str">
        <f t="shared" si="90"/>
        <v>Active</v>
      </c>
      <c r="X740" s="101" t="str">
        <f t="shared" si="91"/>
        <v>One-off</v>
      </c>
      <c r="AC740" s="101" t="str">
        <f t="shared" si="94"/>
        <v>RON</v>
      </c>
      <c r="AD740" s="101">
        <f t="shared" si="95"/>
        <v>10000</v>
      </c>
    </row>
    <row r="741" spans="1:30">
      <c r="A741" s="101">
        <f t="shared" si="96"/>
        <v>21</v>
      </c>
      <c r="B741" s="101">
        <f t="shared" si="92"/>
        <v>20</v>
      </c>
      <c r="C741" s="101" t="str">
        <f t="shared" si="93"/>
        <v>T20</v>
      </c>
      <c r="D741" s="101" t="str">
        <f>IF(A741&lt;&gt;A740,VLOOKUP(A741,'Date SPV'!$A:$D,4,FALSE),D740)</f>
        <v>Sibiu Shopping City 2 SRL</v>
      </c>
      <c r="E741" s="101" t="str">
        <f>VLOOKUP(A741,'Date SPV'!$A$4:$B$34,2,FALSE)</f>
        <v>RSSC</v>
      </c>
      <c r="H741" s="105" t="s">
        <v>894</v>
      </c>
      <c r="K741" s="101" t="str">
        <f>VLOOKUP(C741,'Preturi si tarife'!$A$4:$B$39,2,FALSE)</f>
        <v>Regularizare Energie reactiva  1X</v>
      </c>
      <c r="L741" s="102">
        <f>IF(B741=1,'Date masura OD'!$I$5,IF(B741=19,'Date masura OD'!$AK$5,L740))</f>
        <v>45748</v>
      </c>
      <c r="M741" s="102">
        <f>IF(B741=1,'Date masura OD'!$J$5,IF(B741=19,'Date masura OD'!$AL$5,M740))</f>
        <v>45777</v>
      </c>
      <c r="N741" s="104">
        <f>VLOOKUP(E741,verificare!$AR$4:$CC$33,B741+2,FALSE)</f>
        <v>105</v>
      </c>
      <c r="O741" s="103">
        <f>HLOOKUP(VLOOKUP(E741,'Date SPV'!$B$4:$F$34,5,FALSE),'Preturi si tarife'!$C$2:$J$39,B741+2,FALSE)*10000</f>
        <v>1465</v>
      </c>
      <c r="Q741" s="101" t="str">
        <f t="shared" si="88"/>
        <v>One-off</v>
      </c>
      <c r="R741" s="101" t="str">
        <f>VLOOKUP(K741,'Preturi si tarife'!$B$4:$K$39,10,FALSE)</f>
        <v>ICOENG0001</v>
      </c>
      <c r="T741" s="101" t="str">
        <f t="shared" si="89"/>
        <v>INV + 30</v>
      </c>
      <c r="V741" s="101" t="str">
        <f t="shared" si="90"/>
        <v>Active</v>
      </c>
      <c r="X741" s="101" t="str">
        <f t="shared" si="91"/>
        <v>One-off</v>
      </c>
      <c r="AC741" s="101" t="str">
        <f t="shared" si="94"/>
        <v>RON</v>
      </c>
      <c r="AD741" s="101">
        <f t="shared" si="95"/>
        <v>10000</v>
      </c>
    </row>
    <row r="742" spans="1:30">
      <c r="A742" s="101">
        <f t="shared" si="96"/>
        <v>21</v>
      </c>
      <c r="B742" s="101">
        <f t="shared" si="92"/>
        <v>21</v>
      </c>
      <c r="C742" s="101" t="str">
        <f t="shared" si="93"/>
        <v>T21</v>
      </c>
      <c r="D742" s="101" t="str">
        <f>IF(A742&lt;&gt;A741,VLOOKUP(A742,'Date SPV'!$A:$D,4,FALSE),D741)</f>
        <v>Sibiu Shopping City 2 SRL</v>
      </c>
      <c r="E742" s="101" t="str">
        <f>VLOOKUP(A742,'Date SPV'!$A$4:$B$34,2,FALSE)</f>
        <v>RSSC</v>
      </c>
      <c r="H742" s="105" t="s">
        <v>894</v>
      </c>
      <c r="K742" s="101" t="str">
        <f>VLOOKUP(C742,'Preturi si tarife'!$A$4:$B$39,2,FALSE)</f>
        <v>Regularizare Energie reactiva  3X</v>
      </c>
      <c r="L742" s="102">
        <f>IF(B742=1,'Date masura OD'!$I$5,IF(B742=19,'Date masura OD'!$AK$5,L741))</f>
        <v>45748</v>
      </c>
      <c r="M742" s="102">
        <f>IF(B742=1,'Date masura OD'!$J$5,IF(B742=19,'Date masura OD'!$AL$5,M741))</f>
        <v>45777</v>
      </c>
      <c r="N742" s="104">
        <f>VLOOKUP(E742,verificare!$AR$4:$CC$33,B742+2,FALSE)</f>
        <v>0</v>
      </c>
      <c r="O742" s="103">
        <f>HLOOKUP(VLOOKUP(E742,'Date SPV'!$B$4:$F$34,5,FALSE),'Preturi si tarife'!$C$2:$J$39,B742+2,FALSE)*10000</f>
        <v>4395</v>
      </c>
      <c r="Q742" s="101" t="str">
        <f t="shared" si="88"/>
        <v>One-off</v>
      </c>
      <c r="R742" s="101" t="str">
        <f>VLOOKUP(K742,'Preturi si tarife'!$B$4:$K$39,10,FALSE)</f>
        <v>ICOENG0001</v>
      </c>
      <c r="T742" s="101" t="str">
        <f t="shared" si="89"/>
        <v>INV + 30</v>
      </c>
      <c r="V742" s="101" t="str">
        <f t="shared" si="90"/>
        <v>Active</v>
      </c>
      <c r="X742" s="101" t="str">
        <f t="shared" si="91"/>
        <v>One-off</v>
      </c>
      <c r="AC742" s="101" t="str">
        <f t="shared" si="94"/>
        <v>RON</v>
      </c>
      <c r="AD742" s="101">
        <f t="shared" si="95"/>
        <v>10000</v>
      </c>
    </row>
    <row r="743" spans="1:30">
      <c r="A743" s="101">
        <f t="shared" si="96"/>
        <v>21</v>
      </c>
      <c r="B743" s="101">
        <f t="shared" si="92"/>
        <v>22</v>
      </c>
      <c r="C743" s="101" t="str">
        <f t="shared" si="93"/>
        <v>T22</v>
      </c>
      <c r="D743" s="101" t="str">
        <f>IF(A743&lt;&gt;A742,VLOOKUP(A743,'Date SPV'!$A:$D,4,FALSE),D742)</f>
        <v>Sibiu Shopping City 2 SRL</v>
      </c>
      <c r="E743" s="101" t="str">
        <f>VLOOKUP(A743,'Date SPV'!$A$4:$B$34,2,FALSE)</f>
        <v>RSSC</v>
      </c>
      <c r="H743" s="105" t="s">
        <v>894</v>
      </c>
      <c r="K743" s="101" t="str">
        <f>VLOOKUP(C743,'Preturi si tarife'!$A$4:$B$39,2,FALSE)</f>
        <v>Regularizare Tarife distributie en. El IT+MT</v>
      </c>
      <c r="L743" s="102">
        <f>IF(B743=1,'Date masura OD'!$I$5,IF(B743=19,'Date masura OD'!$AK$5,L742))</f>
        <v>45748</v>
      </c>
      <c r="M743" s="102">
        <f>IF(B743=1,'Date masura OD'!$J$5,IF(B743=19,'Date masura OD'!$AL$5,M742))</f>
        <v>45777</v>
      </c>
      <c r="N743" s="104">
        <f>VLOOKUP(E743,verificare!$AR$4:$CC$33,B743+2,FALSE)</f>
        <v>0</v>
      </c>
      <c r="O743" s="103">
        <f>HLOOKUP(VLOOKUP(E743,'Date SPV'!$B$4:$F$34,5,FALSE),'Preturi si tarife'!$C$2:$J$39,B743+2,FALSE)*10000</f>
        <v>1148.3</v>
      </c>
      <c r="Q743" s="101" t="str">
        <f t="shared" si="88"/>
        <v>One-off</v>
      </c>
      <c r="R743" s="101" t="str">
        <f>VLOOKUP(K743,'Preturi si tarife'!$B$4:$K$39,10,FALSE)</f>
        <v>ICOENG0001</v>
      </c>
      <c r="T743" s="101" t="str">
        <f t="shared" si="89"/>
        <v>INV + 30</v>
      </c>
      <c r="V743" s="101" t="str">
        <f t="shared" si="90"/>
        <v>Active</v>
      </c>
      <c r="X743" s="101" t="str">
        <f t="shared" si="91"/>
        <v>One-off</v>
      </c>
      <c r="AC743" s="101" t="str">
        <f t="shared" si="94"/>
        <v>RON</v>
      </c>
      <c r="AD743" s="101">
        <f t="shared" si="95"/>
        <v>10000</v>
      </c>
    </row>
    <row r="744" spans="1:30">
      <c r="A744" s="101">
        <f t="shared" si="96"/>
        <v>21</v>
      </c>
      <c r="B744" s="101">
        <f t="shared" si="92"/>
        <v>23</v>
      </c>
      <c r="C744" s="101" t="str">
        <f t="shared" si="93"/>
        <v>T23</v>
      </c>
      <c r="D744" s="101" t="str">
        <f>IF(A744&lt;&gt;A743,VLOOKUP(A744,'Date SPV'!$A:$D,4,FALSE),D743)</f>
        <v>Sibiu Shopping City 2 SRL</v>
      </c>
      <c r="E744" s="101" t="str">
        <f>VLOOKUP(A744,'Date SPV'!$A$4:$B$34,2,FALSE)</f>
        <v>RSSC</v>
      </c>
      <c r="H744" s="105" t="s">
        <v>894</v>
      </c>
      <c r="K744" s="101" t="str">
        <f>VLOOKUP(C744,'Preturi si tarife'!$A$4:$B$39,2,FALSE)</f>
        <v>Regularizare Tarife distributie en. El JT</v>
      </c>
      <c r="L744" s="102">
        <f>IF(B744=1,'Date masura OD'!$I$5,IF(B744=19,'Date masura OD'!$AK$5,L743))</f>
        <v>45748</v>
      </c>
      <c r="M744" s="102">
        <f>IF(B744=1,'Date masura OD'!$J$5,IF(B744=19,'Date masura OD'!$AL$5,M743))</f>
        <v>45777</v>
      </c>
      <c r="N744" s="104">
        <f>VLOOKUP(E744,verificare!$AR$4:$CC$33,B744+2,FALSE)</f>
        <v>0</v>
      </c>
      <c r="O744" s="103">
        <f>HLOOKUP(VLOOKUP(E744,'Date SPV'!$B$4:$F$34,5,FALSE),'Preturi si tarife'!$C$2:$J$39,B744+2,FALSE)*10000</f>
        <v>2361</v>
      </c>
      <c r="Q744" s="101" t="str">
        <f t="shared" si="88"/>
        <v>One-off</v>
      </c>
      <c r="R744" s="101" t="str">
        <f>VLOOKUP(K744,'Preturi si tarife'!$B$4:$K$39,10,FALSE)</f>
        <v>ICOENG0001</v>
      </c>
      <c r="T744" s="101" t="str">
        <f t="shared" si="89"/>
        <v>INV + 30</v>
      </c>
      <c r="V744" s="101" t="str">
        <f t="shared" si="90"/>
        <v>Active</v>
      </c>
      <c r="X744" s="101" t="str">
        <f t="shared" si="91"/>
        <v>One-off</v>
      </c>
      <c r="AC744" s="101" t="str">
        <f t="shared" si="94"/>
        <v>RON</v>
      </c>
      <c r="AD744" s="101">
        <f t="shared" si="95"/>
        <v>10000</v>
      </c>
    </row>
    <row r="745" spans="1:30">
      <c r="A745" s="101">
        <f t="shared" si="96"/>
        <v>21</v>
      </c>
      <c r="B745" s="101">
        <f t="shared" si="92"/>
        <v>24</v>
      </c>
      <c r="C745" s="101" t="str">
        <f t="shared" si="93"/>
        <v>T24</v>
      </c>
      <c r="D745" s="101" t="str">
        <f>IF(A745&lt;&gt;A744,VLOOKUP(A745,'Date SPV'!$A:$D,4,FALSE),D744)</f>
        <v>Sibiu Shopping City 2 SRL</v>
      </c>
      <c r="E745" s="101" t="str">
        <f>VLOOKUP(A745,'Date SPV'!$A$4:$B$34,2,FALSE)</f>
        <v>RSSC</v>
      </c>
      <c r="H745" s="105" t="s">
        <v>894</v>
      </c>
      <c r="K745" s="101" t="str">
        <f>VLOOKUP(C745,'Preturi si tarife'!$A$4:$B$39,2,FALSE)</f>
        <v xml:space="preserve">Regularizare Servicii Sistem </v>
      </c>
      <c r="L745" s="102">
        <f>IF(B745=1,'Date masura OD'!$I$5,IF(B745=19,'Date masura OD'!$AK$5,L744))</f>
        <v>45748</v>
      </c>
      <c r="M745" s="102">
        <f>IF(B745=1,'Date masura OD'!$J$5,IF(B745=19,'Date masura OD'!$AL$5,M744))</f>
        <v>45777</v>
      </c>
      <c r="N745" s="104">
        <f>VLOOKUP(E745,verificare!$AR$4:$CC$33,B745+2,FALSE)</f>
        <v>0</v>
      </c>
      <c r="O745" s="103">
        <f>HLOOKUP(VLOOKUP(E745,'Date SPV'!$B$4:$F$34,5,FALSE),'Preturi si tarife'!$C$2:$J$39,B745+2,FALSE)*10000</f>
        <v>115.1</v>
      </c>
      <c r="Q745" s="101" t="str">
        <f t="shared" si="88"/>
        <v>One-off</v>
      </c>
      <c r="R745" s="101" t="str">
        <f>VLOOKUP(K745,'Preturi si tarife'!$B$4:$K$39,10,FALSE)</f>
        <v>ICOENG0001</v>
      </c>
      <c r="T745" s="101" t="str">
        <f t="shared" si="89"/>
        <v>INV + 30</v>
      </c>
      <c r="V745" s="101" t="str">
        <f t="shared" si="90"/>
        <v>Active</v>
      </c>
      <c r="X745" s="101" t="str">
        <f t="shared" si="91"/>
        <v>One-off</v>
      </c>
      <c r="AC745" s="101" t="str">
        <f t="shared" si="94"/>
        <v>RON</v>
      </c>
      <c r="AD745" s="101">
        <f t="shared" si="95"/>
        <v>10000</v>
      </c>
    </row>
    <row r="746" spans="1:30">
      <c r="A746" s="101">
        <f t="shared" si="96"/>
        <v>21</v>
      </c>
      <c r="B746" s="101">
        <f t="shared" si="92"/>
        <v>25</v>
      </c>
      <c r="C746" s="101" t="str">
        <f t="shared" si="93"/>
        <v>T25</v>
      </c>
      <c r="D746" s="101" t="str">
        <f>IF(A746&lt;&gt;A745,VLOOKUP(A746,'Date SPV'!$A:$D,4,FALSE),D745)</f>
        <v>Sibiu Shopping City 2 SRL</v>
      </c>
      <c r="E746" s="101" t="str">
        <f>VLOOKUP(A746,'Date SPV'!$A$4:$B$34,2,FALSE)</f>
        <v>RSSC</v>
      </c>
      <c r="H746" s="105" t="s">
        <v>894</v>
      </c>
      <c r="K746" s="101" t="str">
        <f>VLOOKUP(C746,'Preturi si tarife'!$A$4:$B$39,2,FALSE)</f>
        <v>Regularizare Tarif de introducere en. el in retea (TL)</v>
      </c>
      <c r="L746" s="102">
        <f>IF(B746=1,'Date masura OD'!$I$5,IF(B746=19,'Date masura OD'!$AK$5,L745))</f>
        <v>45748</v>
      </c>
      <c r="M746" s="102">
        <f>IF(B746=1,'Date masura OD'!$J$5,IF(B746=19,'Date masura OD'!$AL$5,M745))</f>
        <v>45777</v>
      </c>
      <c r="N746" s="104">
        <f>VLOOKUP(E746,verificare!$AR$4:$CC$33,B746+2,FALSE)</f>
        <v>0</v>
      </c>
      <c r="O746" s="103">
        <f>HLOOKUP(VLOOKUP(E746,'Date SPV'!$B$4:$F$34,5,FALSE),'Preturi si tarife'!$C$2:$J$39,B746+2,FALSE)*10000</f>
        <v>330.3</v>
      </c>
      <c r="Q746" s="101" t="str">
        <f t="shared" si="88"/>
        <v>One-off</v>
      </c>
      <c r="R746" s="101" t="str">
        <f>VLOOKUP(K746,'Preturi si tarife'!$B$4:$K$39,10,FALSE)</f>
        <v>ICOENG0001</v>
      </c>
      <c r="T746" s="101" t="str">
        <f t="shared" si="89"/>
        <v>INV + 30</v>
      </c>
      <c r="V746" s="101" t="str">
        <f t="shared" si="90"/>
        <v>Active</v>
      </c>
      <c r="X746" s="101" t="str">
        <f t="shared" si="91"/>
        <v>One-off</v>
      </c>
      <c r="AC746" s="101" t="str">
        <f t="shared" si="94"/>
        <v>RON</v>
      </c>
      <c r="AD746" s="101">
        <f t="shared" si="95"/>
        <v>10000</v>
      </c>
    </row>
    <row r="747" spans="1:30">
      <c r="A747" s="101">
        <f t="shared" si="96"/>
        <v>21</v>
      </c>
      <c r="B747" s="101">
        <f t="shared" ref="B747:B810" si="97">IF(A747&lt;&gt;A746,1,B746+1)</f>
        <v>26</v>
      </c>
      <c r="C747" s="101" t="str">
        <f t="shared" ref="C747:C810" si="98">_xlfn.CONCAT("T",B747)</f>
        <v>T26</v>
      </c>
      <c r="D747" s="101" t="str">
        <f>IF(A747&lt;&gt;A746,VLOOKUP(A747,'Date SPV'!$A:$D,4,FALSE),D746)</f>
        <v>Sibiu Shopping City 2 SRL</v>
      </c>
      <c r="E747" s="101" t="str">
        <f>VLOOKUP(A747,'Date SPV'!$A$4:$B$34,2,FALSE)</f>
        <v>RSSC</v>
      </c>
      <c r="H747" s="105" t="s">
        <v>894</v>
      </c>
      <c r="K747" s="101" t="str">
        <f>VLOOKUP(C747,'Preturi si tarife'!$A$4:$B$39,2,FALSE)</f>
        <v>Regularizare Tarif de introducere en.el in retea (TG)</v>
      </c>
      <c r="L747" s="102">
        <f>IF(B747=1,'Date masura OD'!$I$5,IF(B747=19,'Date masura OD'!$AK$5,L746))</f>
        <v>45748</v>
      </c>
      <c r="M747" s="102">
        <f>IF(B747=1,'Date masura OD'!$J$5,IF(B747=19,'Date masura OD'!$AL$5,M746))</f>
        <v>45777</v>
      </c>
      <c r="N747" s="104">
        <f>VLOOKUP(E747,verificare!$AR$4:$CC$33,B747+2,FALSE)</f>
        <v>0</v>
      </c>
      <c r="O747" s="103">
        <f>HLOOKUP(VLOOKUP(E747,'Date SPV'!$B$4:$F$34,5,FALSE),'Preturi si tarife'!$C$2:$J$39,B747+2,FALSE)*10000</f>
        <v>32.9</v>
      </c>
      <c r="Q747" s="101" t="str">
        <f t="shared" si="88"/>
        <v>One-off</v>
      </c>
      <c r="R747" s="101" t="str">
        <f>VLOOKUP(K747,'Preturi si tarife'!$B$4:$K$39,10,FALSE)</f>
        <v>ICOENG0001</v>
      </c>
      <c r="T747" s="101" t="str">
        <f t="shared" si="89"/>
        <v>INV + 30</v>
      </c>
      <c r="V747" s="101" t="str">
        <f t="shared" si="90"/>
        <v>Active</v>
      </c>
      <c r="X747" s="101" t="str">
        <f t="shared" si="91"/>
        <v>One-off</v>
      </c>
      <c r="AC747" s="101" t="str">
        <f t="shared" si="94"/>
        <v>RON</v>
      </c>
      <c r="AD747" s="101">
        <f t="shared" si="95"/>
        <v>10000</v>
      </c>
    </row>
    <row r="748" spans="1:30">
      <c r="A748" s="101">
        <f t="shared" si="96"/>
        <v>21</v>
      </c>
      <c r="B748" s="101">
        <f t="shared" si="97"/>
        <v>27</v>
      </c>
      <c r="C748" s="101" t="str">
        <f t="shared" si="98"/>
        <v>T27</v>
      </c>
      <c r="D748" s="101" t="str">
        <f>IF(A748&lt;&gt;A747,VLOOKUP(A748,'Date SPV'!$A:$D,4,FALSE),D747)</f>
        <v>Sibiu Shopping City 2 SRL</v>
      </c>
      <c r="E748" s="101" t="str">
        <f>VLOOKUP(A748,'Date SPV'!$A$4:$B$34,2,FALSE)</f>
        <v>RSSC</v>
      </c>
      <c r="H748" s="105" t="s">
        <v>894</v>
      </c>
      <c r="K748" s="101" t="str">
        <f>VLOOKUP(C748,'Preturi si tarife'!$A$4:$B$39,2,FALSE)</f>
        <v>Regularizare Contributie pentru cogenerare</v>
      </c>
      <c r="L748" s="102">
        <f>IF(B748=1,'Date masura OD'!$I$5,IF(B748=19,'Date masura OD'!$AK$5,L747))</f>
        <v>45748</v>
      </c>
      <c r="M748" s="102">
        <f>IF(B748=1,'Date masura OD'!$J$5,IF(B748=19,'Date masura OD'!$AL$5,M747))</f>
        <v>45777</v>
      </c>
      <c r="N748" s="104">
        <f>VLOOKUP(E748,verificare!$AR$4:$CC$33,B748+2,FALSE)</f>
        <v>0</v>
      </c>
      <c r="O748" s="103">
        <f>HLOOKUP(VLOOKUP(E748,'Date SPV'!$B$4:$F$34,5,FALSE),'Preturi si tarife'!$C$2:$J$39,B748+2,FALSE)*10000</f>
        <v>35</v>
      </c>
      <c r="Q748" s="101" t="str">
        <f t="shared" si="88"/>
        <v>One-off</v>
      </c>
      <c r="R748" s="101" t="str">
        <f>VLOOKUP(K748,'Preturi si tarife'!$B$4:$K$39,10,FALSE)</f>
        <v>ICOENG0001</v>
      </c>
      <c r="T748" s="101" t="str">
        <f t="shared" si="89"/>
        <v>INV + 30</v>
      </c>
      <c r="V748" s="101" t="str">
        <f t="shared" si="90"/>
        <v>Active</v>
      </c>
      <c r="X748" s="101" t="str">
        <f t="shared" si="91"/>
        <v>One-off</v>
      </c>
      <c r="AC748" s="101" t="str">
        <f t="shared" si="94"/>
        <v>RON</v>
      </c>
      <c r="AD748" s="101">
        <f t="shared" si="95"/>
        <v>10000</v>
      </c>
    </row>
    <row r="749" spans="1:30">
      <c r="A749" s="101">
        <f t="shared" si="96"/>
        <v>21</v>
      </c>
      <c r="B749" s="101">
        <f t="shared" si="97"/>
        <v>28</v>
      </c>
      <c r="C749" s="101" t="str">
        <f t="shared" si="98"/>
        <v>T28</v>
      </c>
      <c r="D749" s="101" t="str">
        <f>IF(A749&lt;&gt;A748,VLOOKUP(A749,'Date SPV'!$A:$D,4,FALSE),D748)</f>
        <v>Sibiu Shopping City 2 SRL</v>
      </c>
      <c r="E749" s="101" t="str">
        <f>VLOOKUP(A749,'Date SPV'!$A$4:$B$34,2,FALSE)</f>
        <v>RSSC</v>
      </c>
      <c r="H749" s="105" t="s">
        <v>894</v>
      </c>
      <c r="K749" s="101" t="str">
        <f>VLOOKUP(C749,'Preturi si tarife'!$A$4:$B$39,2,FALSE)</f>
        <v xml:space="preserve">Regularizare Certificate verzi </v>
      </c>
      <c r="L749" s="102">
        <f>IF(B749=1,'Date masura OD'!$I$5,IF(B749=19,'Date masura OD'!$AK$5,L748))</f>
        <v>45748</v>
      </c>
      <c r="M749" s="102">
        <f>IF(B749=1,'Date masura OD'!$J$5,IF(B749=19,'Date masura OD'!$AL$5,M748))</f>
        <v>45777</v>
      </c>
      <c r="N749" s="104">
        <f>VLOOKUP(E749,verificare!$AR$4:$CC$33,B749+2,FALSE)</f>
        <v>0</v>
      </c>
      <c r="O749" s="103">
        <f>HLOOKUP(VLOOKUP(E749,'Date SPV'!$B$4:$F$34,5,FALSE),'Preturi si tarife'!$C$2:$J$39,B749+2,FALSE)*10000</f>
        <v>725.41599999999994</v>
      </c>
      <c r="Q749" s="101" t="str">
        <f t="shared" si="88"/>
        <v>One-off</v>
      </c>
      <c r="R749" s="101" t="str">
        <f>VLOOKUP(K749,'Preturi si tarife'!$B$4:$K$39,10,FALSE)</f>
        <v>ICOENG0001</v>
      </c>
      <c r="T749" s="101" t="str">
        <f t="shared" si="89"/>
        <v>INV + 30</v>
      </c>
      <c r="V749" s="101" t="str">
        <f t="shared" si="90"/>
        <v>Active</v>
      </c>
      <c r="X749" s="101" t="str">
        <f t="shared" si="91"/>
        <v>One-off</v>
      </c>
      <c r="AC749" s="101" t="str">
        <f t="shared" si="94"/>
        <v>RON</v>
      </c>
      <c r="AD749" s="101">
        <f t="shared" si="95"/>
        <v>10000</v>
      </c>
    </row>
    <row r="750" spans="1:30">
      <c r="A750" s="101">
        <f t="shared" si="96"/>
        <v>21</v>
      </c>
      <c r="B750" s="101">
        <f t="shared" si="97"/>
        <v>29</v>
      </c>
      <c r="C750" s="101" t="str">
        <f t="shared" si="98"/>
        <v>T29</v>
      </c>
      <c r="D750" s="101" t="str">
        <f>IF(A750&lt;&gt;A749,VLOOKUP(A750,'Date SPV'!$A:$D,4,FALSE),D749)</f>
        <v>Sibiu Shopping City 2 SRL</v>
      </c>
      <c r="E750" s="101" t="str">
        <f>VLOOKUP(A750,'Date SPV'!$A$4:$B$34,2,FALSE)</f>
        <v>RSSC</v>
      </c>
      <c r="H750" s="105" t="s">
        <v>894</v>
      </c>
      <c r="K750" s="101" t="str">
        <f>VLOOKUP(C750,'Preturi si tarife'!$A$4:$B$39,2,FALSE)</f>
        <v>Regularizare Contributie CFD</v>
      </c>
      <c r="L750" s="102">
        <f>IF(B750=1,'Date masura OD'!$I$5,IF(B750=19,'Date masura OD'!$AK$5,L749))</f>
        <v>45748</v>
      </c>
      <c r="M750" s="102">
        <f>IF(B750=1,'Date masura OD'!$J$5,IF(B750=19,'Date masura OD'!$AL$5,M749))</f>
        <v>45777</v>
      </c>
      <c r="N750" s="104">
        <f>VLOOKUP(E750,verificare!$AR$4:$CC$33,B750+2,FALSE)</f>
        <v>0</v>
      </c>
      <c r="O750" s="103">
        <f>HLOOKUP(VLOOKUP(E750,'Date SPV'!$B$4:$F$34,5,FALSE),'Preturi si tarife'!$C$2:$J$39,B750+2,FALSE)*10000</f>
        <v>2.06</v>
      </c>
      <c r="Q750" s="101" t="str">
        <f t="shared" si="88"/>
        <v>One-off</v>
      </c>
      <c r="R750" s="101" t="str">
        <f>VLOOKUP(K750,'Preturi si tarife'!$B$4:$K$39,10,FALSE)</f>
        <v>ICOENG0001</v>
      </c>
      <c r="T750" s="101" t="str">
        <f t="shared" si="89"/>
        <v>INV + 30</v>
      </c>
      <c r="V750" s="101" t="str">
        <f t="shared" si="90"/>
        <v>Active</v>
      </c>
      <c r="X750" s="101" t="str">
        <f t="shared" si="91"/>
        <v>One-off</v>
      </c>
      <c r="AC750" s="101" t="str">
        <f t="shared" si="94"/>
        <v>RON</v>
      </c>
      <c r="AD750" s="101">
        <f t="shared" si="95"/>
        <v>10000</v>
      </c>
    </row>
    <row r="751" spans="1:30">
      <c r="A751" s="101">
        <f t="shared" si="96"/>
        <v>21</v>
      </c>
      <c r="B751" s="101">
        <f t="shared" si="97"/>
        <v>30</v>
      </c>
      <c r="C751" s="101" t="str">
        <f t="shared" si="98"/>
        <v>T30</v>
      </c>
      <c r="D751" s="101" t="str">
        <f>IF(A751&lt;&gt;A750,VLOOKUP(A751,'Date SPV'!$A:$D,4,FALSE),D750)</f>
        <v>Sibiu Shopping City 2 SRL</v>
      </c>
      <c r="E751" s="101" t="str">
        <f>VLOOKUP(A751,'Date SPV'!$A$4:$B$34,2,FALSE)</f>
        <v>RSSC</v>
      </c>
      <c r="H751" s="105" t="s">
        <v>894</v>
      </c>
      <c r="K751" s="101" t="str">
        <f>VLOOKUP(C751,'Preturi si tarife'!$A$4:$B$39,2,FALSE)</f>
        <v>Regularizare Acciza</v>
      </c>
      <c r="L751" s="102">
        <f>IF(B751=1,'Date masura OD'!$I$5,IF(B751=19,'Date masura OD'!$AK$5,L750))</f>
        <v>45748</v>
      </c>
      <c r="M751" s="102">
        <f>IF(B751=1,'Date masura OD'!$J$5,IF(B751=19,'Date masura OD'!$AL$5,M750))</f>
        <v>45777</v>
      </c>
      <c r="N751" s="104">
        <f>VLOOKUP(E751,verificare!$AR$4:$CC$33,B751+2,FALSE)</f>
        <v>0</v>
      </c>
      <c r="O751" s="103">
        <f>HLOOKUP(VLOOKUP(E751,'Date SPV'!$B$4:$F$34,5,FALSE),'Preturi si tarife'!$C$2:$J$39,B751+2,FALSE)*10000</f>
        <v>0</v>
      </c>
      <c r="Q751" s="101" t="str">
        <f t="shared" si="88"/>
        <v>One-off</v>
      </c>
      <c r="R751" s="101" t="str">
        <f>VLOOKUP(K751,'Preturi si tarife'!$B$4:$K$39,10,FALSE)</f>
        <v>ICOENG0001</v>
      </c>
      <c r="T751" s="101" t="str">
        <f t="shared" si="89"/>
        <v>INV + 30</v>
      </c>
      <c r="V751" s="101" t="str">
        <f t="shared" si="90"/>
        <v>Active</v>
      </c>
      <c r="X751" s="101" t="str">
        <f t="shared" si="91"/>
        <v>One-off</v>
      </c>
      <c r="AC751" s="101" t="str">
        <f t="shared" si="94"/>
        <v>RON</v>
      </c>
      <c r="AD751" s="101">
        <f t="shared" si="95"/>
        <v>10000</v>
      </c>
    </row>
    <row r="752" spans="1:30">
      <c r="A752" s="101">
        <f t="shared" si="96"/>
        <v>21</v>
      </c>
      <c r="B752" s="101">
        <f t="shared" si="97"/>
        <v>31</v>
      </c>
      <c r="C752" s="101" t="str">
        <f t="shared" si="98"/>
        <v>T31</v>
      </c>
      <c r="D752" s="101" t="str">
        <f>IF(A752&lt;&gt;A751,VLOOKUP(A752,'Date SPV'!$A:$D,4,FALSE),D751)</f>
        <v>Sibiu Shopping City 2 SRL</v>
      </c>
      <c r="E752" s="101" t="str">
        <f>VLOOKUP(A752,'Date SPV'!$A$4:$B$34,2,FALSE)</f>
        <v>RSSC</v>
      </c>
      <c r="H752" s="105" t="s">
        <v>894</v>
      </c>
      <c r="K752" s="101" t="str">
        <f>VLOOKUP(C752,'Preturi si tarife'!$A$4:$B$39,2,FALSE)</f>
        <v>Regularizare Tarif distributie SDI MT Ea1</v>
      </c>
      <c r="L752" s="102">
        <f>IF(B752=1,'Date masura OD'!$I$5,IF(B752=19,'Date masura OD'!$AK$5,L751))</f>
        <v>45748</v>
      </c>
      <c r="M752" s="102">
        <f>IF(B752=1,'Date masura OD'!$J$5,IF(B752=19,'Date masura OD'!$AL$5,M751))</f>
        <v>45777</v>
      </c>
      <c r="N752" s="104">
        <f>VLOOKUP(E752,verificare!$AR$4:$CC$33,B752+2,FALSE)</f>
        <v>0</v>
      </c>
      <c r="O752" s="103">
        <f>HLOOKUP(VLOOKUP(E752,'Date SPV'!$B$4:$F$34,5,FALSE),'Preturi si tarife'!$C$2:$J$39,B752+2,FALSE)*10000</f>
        <v>126</v>
      </c>
      <c r="Q752" s="101" t="str">
        <f t="shared" si="88"/>
        <v>One-off</v>
      </c>
      <c r="R752" s="101" t="str">
        <f>VLOOKUP(K752,'Preturi si tarife'!$B$4:$K$39,10,FALSE)</f>
        <v>ICOENG0010</v>
      </c>
      <c r="T752" s="101" t="str">
        <f t="shared" si="89"/>
        <v>INV + 30</v>
      </c>
      <c r="V752" s="101" t="str">
        <f t="shared" si="90"/>
        <v>Active</v>
      </c>
      <c r="X752" s="101" t="str">
        <f t="shared" si="91"/>
        <v>One-off</v>
      </c>
      <c r="AC752" s="101" t="str">
        <f t="shared" si="94"/>
        <v>RON</v>
      </c>
      <c r="AD752" s="101">
        <f t="shared" si="95"/>
        <v>10000</v>
      </c>
    </row>
    <row r="753" spans="1:30">
      <c r="A753" s="101">
        <f t="shared" si="96"/>
        <v>21</v>
      </c>
      <c r="B753" s="101">
        <f t="shared" si="97"/>
        <v>32</v>
      </c>
      <c r="C753" s="101" t="str">
        <f t="shared" si="98"/>
        <v>T32</v>
      </c>
      <c r="D753" s="101" t="str">
        <f>IF(A753&lt;&gt;A752,VLOOKUP(A753,'Date SPV'!$A:$D,4,FALSE),D752)</f>
        <v>Sibiu Shopping City 2 SRL</v>
      </c>
      <c r="E753" s="101" t="str">
        <f>VLOOKUP(A753,'Date SPV'!$A$4:$B$34,2,FALSE)</f>
        <v>RSSC</v>
      </c>
      <c r="H753" s="105" t="s">
        <v>894</v>
      </c>
      <c r="K753" s="101" t="str">
        <f>VLOOKUP(C753,'Preturi si tarife'!$A$4:$B$39,2,FALSE)</f>
        <v>Regularizare Tarif distributie SDI JT Ea1</v>
      </c>
      <c r="L753" s="102">
        <f>IF(B753=1,'Date masura OD'!$I$5,IF(B753=19,'Date masura OD'!$AK$5,L752))</f>
        <v>45748</v>
      </c>
      <c r="M753" s="102">
        <f>IF(B753=1,'Date masura OD'!$J$5,IF(B753=19,'Date masura OD'!$AL$5,M752))</f>
        <v>45777</v>
      </c>
      <c r="N753" s="104">
        <f>VLOOKUP(E753,verificare!$AR$4:$CC$33,B753+2,FALSE)</f>
        <v>0</v>
      </c>
      <c r="O753" s="103">
        <f>HLOOKUP(VLOOKUP(E753,'Date SPV'!$B$4:$F$34,5,FALSE),'Preturi si tarife'!$C$2:$J$39,B753+2,FALSE)*10000</f>
        <v>927</v>
      </c>
      <c r="Q753" s="101" t="str">
        <f t="shared" si="88"/>
        <v>One-off</v>
      </c>
      <c r="R753" s="101" t="str">
        <f>VLOOKUP(K753,'Preturi si tarife'!$B$4:$K$39,10,FALSE)</f>
        <v>ICOENG0010</v>
      </c>
      <c r="T753" s="101" t="str">
        <f t="shared" si="89"/>
        <v>INV + 30</v>
      </c>
      <c r="V753" s="101" t="str">
        <f t="shared" si="90"/>
        <v>Active</v>
      </c>
      <c r="X753" s="101" t="str">
        <f t="shared" si="91"/>
        <v>One-off</v>
      </c>
      <c r="AC753" s="101" t="str">
        <f t="shared" si="94"/>
        <v>RON</v>
      </c>
      <c r="AD753" s="101">
        <f t="shared" si="95"/>
        <v>10000</v>
      </c>
    </row>
    <row r="754" spans="1:30">
      <c r="A754" s="101">
        <f t="shared" si="96"/>
        <v>21</v>
      </c>
      <c r="B754" s="101">
        <f t="shared" si="97"/>
        <v>33</v>
      </c>
      <c r="C754" s="101" t="str">
        <f t="shared" si="98"/>
        <v>T33</v>
      </c>
      <c r="D754" s="101" t="str">
        <f>IF(A754&lt;&gt;A753,VLOOKUP(A754,'Date SPV'!$A:$D,4,FALSE),D753)</f>
        <v>Sibiu Shopping City 2 SRL</v>
      </c>
      <c r="E754" s="101" t="str">
        <f>VLOOKUP(A754,'Date SPV'!$A$4:$B$34,2,FALSE)</f>
        <v>RSSC</v>
      </c>
      <c r="H754" s="105" t="s">
        <v>894</v>
      </c>
      <c r="K754" s="101" t="str">
        <f>VLOOKUP(C754,'Preturi si tarife'!$A$4:$B$39,2,FALSE)</f>
        <v>Regularizare Energie activa 2</v>
      </c>
      <c r="L754" s="102">
        <f>IF(B754=1,'Date masura OD'!$I$5,IF(B754=19,'Date masura OD'!$AK$5,L753))</f>
        <v>45748</v>
      </c>
      <c r="M754" s="102">
        <f>IF(B754=1,'Date masura OD'!$J$5,IF(B754=19,'Date masura OD'!$AL$5,M753))</f>
        <v>45777</v>
      </c>
      <c r="N754" s="104">
        <f>VLOOKUP(E754,verificare!$AR$4:$CC$33,B754+2,FALSE)</f>
        <v>0</v>
      </c>
      <c r="O754" s="103">
        <f>HLOOKUP(VLOOKUP(E754,'Date SPV'!$B$4:$F$34,5,FALSE),'Preturi si tarife'!$C$2:$J$39,B754+2,FALSE)*10000</f>
        <v>9392.0760000000009</v>
      </c>
      <c r="Q754" s="101" t="str">
        <f t="shared" si="88"/>
        <v>One-off</v>
      </c>
      <c r="R754" s="101" t="str">
        <f>VLOOKUP(K754,'Preturi si tarife'!$B$4:$K$39,10,FALSE)</f>
        <v>ICOENG0012</v>
      </c>
      <c r="T754" s="101" t="str">
        <f t="shared" si="89"/>
        <v>INV + 30</v>
      </c>
      <c r="V754" s="101" t="str">
        <f t="shared" si="90"/>
        <v>Active</v>
      </c>
      <c r="X754" s="101" t="str">
        <f t="shared" si="91"/>
        <v>One-off</v>
      </c>
      <c r="AC754" s="101" t="str">
        <f t="shared" si="94"/>
        <v>RON</v>
      </c>
      <c r="AD754" s="101">
        <f t="shared" si="95"/>
        <v>10000</v>
      </c>
    </row>
    <row r="755" spans="1:30">
      <c r="A755" s="101">
        <f t="shared" si="96"/>
        <v>21</v>
      </c>
      <c r="B755" s="101">
        <f t="shared" si="97"/>
        <v>34</v>
      </c>
      <c r="C755" s="101" t="str">
        <f t="shared" si="98"/>
        <v>T34</v>
      </c>
      <c r="D755" s="101" t="str">
        <f>IF(A755&lt;&gt;A754,VLOOKUP(A755,'Date SPV'!$A:$D,4,FALSE),D754)</f>
        <v>Sibiu Shopping City 2 SRL</v>
      </c>
      <c r="E755" s="101" t="str">
        <f>VLOOKUP(A755,'Date SPV'!$A$4:$B$34,2,FALSE)</f>
        <v>RSSC</v>
      </c>
      <c r="H755" s="105" t="s">
        <v>894</v>
      </c>
      <c r="K755" s="101" t="str">
        <f>VLOOKUP(C755,'Preturi si tarife'!$A$4:$B$39,2,FALSE)</f>
        <v>Regularizare Energie activa 3</v>
      </c>
      <c r="L755" s="102">
        <f>IF(B755=1,'Date masura OD'!$I$5,IF(B755=19,'Date masura OD'!$AK$5,L754))</f>
        <v>45748</v>
      </c>
      <c r="M755" s="102">
        <f>IF(B755=1,'Date masura OD'!$J$5,IF(B755=19,'Date masura OD'!$AL$5,M754))</f>
        <v>45777</v>
      </c>
      <c r="N755" s="104">
        <f>VLOOKUP(E755,verificare!$AR$4:$CC$33,B755+2,FALSE)</f>
        <v>0</v>
      </c>
      <c r="O755" s="103">
        <f>HLOOKUP(VLOOKUP(E755,'Date SPV'!$B$4:$F$34,5,FALSE),'Preturi si tarife'!$C$2:$J$39,B755+2,FALSE)*10000</f>
        <v>8339.0760000000009</v>
      </c>
      <c r="Q755" s="101" t="str">
        <f t="shared" si="88"/>
        <v>One-off</v>
      </c>
      <c r="R755" s="101" t="str">
        <f>VLOOKUP(K755,'Preturi si tarife'!$B$4:$K$39,10,FALSE)</f>
        <v>ICOENG0012</v>
      </c>
      <c r="T755" s="101" t="str">
        <f t="shared" si="89"/>
        <v>INV + 30</v>
      </c>
      <c r="V755" s="101" t="str">
        <f t="shared" si="90"/>
        <v>Active</v>
      </c>
      <c r="X755" s="101" t="str">
        <f t="shared" si="91"/>
        <v>One-off</v>
      </c>
      <c r="AC755" s="101" t="str">
        <f t="shared" si="94"/>
        <v>RON</v>
      </c>
      <c r="AD755" s="101">
        <f t="shared" si="95"/>
        <v>10000</v>
      </c>
    </row>
    <row r="756" spans="1:30">
      <c r="A756" s="101">
        <f t="shared" si="96"/>
        <v>21</v>
      </c>
      <c r="B756" s="101">
        <f t="shared" si="97"/>
        <v>35</v>
      </c>
      <c r="C756" s="101" t="str">
        <f t="shared" si="98"/>
        <v>T35</v>
      </c>
      <c r="D756" s="101" t="str">
        <f>IF(A756&lt;&gt;A755,VLOOKUP(A756,'Date SPV'!$A:$D,4,FALSE),D755)</f>
        <v>Sibiu Shopping City 2 SRL</v>
      </c>
      <c r="E756" s="101" t="str">
        <f>VLOOKUP(A756,'Date SPV'!$A$4:$B$34,2,FALSE)</f>
        <v>RSSC</v>
      </c>
      <c r="H756" s="105" t="s">
        <v>894</v>
      </c>
      <c r="K756" s="101" t="str">
        <f>VLOOKUP(C756,'Preturi si tarife'!$A$4:$B$39,2,FALSE)</f>
        <v>Regularizare Tarif distributie SDI MT Ea3</v>
      </c>
      <c r="L756" s="102">
        <f>IF(B756=1,'Date masura OD'!$I$5,IF(B756=19,'Date masura OD'!$AK$5,L755))</f>
        <v>45748</v>
      </c>
      <c r="M756" s="102">
        <f>IF(B756=1,'Date masura OD'!$J$5,IF(B756=19,'Date masura OD'!$AL$5,M755))</f>
        <v>45777</v>
      </c>
      <c r="N756" s="104">
        <f>VLOOKUP(E756,verificare!$AR$4:$CC$33,B756+2,FALSE)</f>
        <v>0</v>
      </c>
      <c r="O756" s="103">
        <f>HLOOKUP(VLOOKUP(E756,'Date SPV'!$B$4:$F$34,5,FALSE),'Preturi si tarife'!$C$2:$J$39,B756+2,FALSE)*10000</f>
        <v>126</v>
      </c>
      <c r="Q756" s="101" t="str">
        <f t="shared" si="88"/>
        <v>One-off</v>
      </c>
      <c r="R756" s="101" t="str">
        <f>VLOOKUP(K756,'Preturi si tarife'!$B$4:$K$39,10,FALSE)</f>
        <v>ICOENG0010</v>
      </c>
      <c r="T756" s="101" t="str">
        <f t="shared" si="89"/>
        <v>INV + 30</v>
      </c>
      <c r="V756" s="101" t="str">
        <f t="shared" si="90"/>
        <v>Active</v>
      </c>
      <c r="X756" s="101" t="str">
        <f t="shared" si="91"/>
        <v>One-off</v>
      </c>
      <c r="AC756" s="101" t="str">
        <f t="shared" si="94"/>
        <v>RON</v>
      </c>
      <c r="AD756" s="101">
        <f t="shared" si="95"/>
        <v>10000</v>
      </c>
    </row>
    <row r="757" spans="1:30">
      <c r="A757" s="101">
        <f t="shared" si="96"/>
        <v>21</v>
      </c>
      <c r="B757" s="101">
        <f t="shared" si="97"/>
        <v>36</v>
      </c>
      <c r="C757" s="101" t="str">
        <f t="shared" si="98"/>
        <v>T36</v>
      </c>
      <c r="D757" s="101" t="str">
        <f>IF(A757&lt;&gt;A756,VLOOKUP(A757,'Date SPV'!$A:$D,4,FALSE),D756)</f>
        <v>Sibiu Shopping City 2 SRL</v>
      </c>
      <c r="E757" s="101" t="str">
        <f>VLOOKUP(A757,'Date SPV'!$A$4:$B$34,2,FALSE)</f>
        <v>RSSC</v>
      </c>
      <c r="H757" s="105" t="s">
        <v>894</v>
      </c>
      <c r="K757" s="101" t="str">
        <f>VLOOKUP(C757,'Preturi si tarife'!$A$4:$B$39,2,FALSE)</f>
        <v>Regularizare Tarif distributie SDI JT Ea3</v>
      </c>
      <c r="L757" s="102">
        <f>IF(B757=1,'Date masura OD'!$I$5,IF(B757=19,'Date masura OD'!$AK$5,L756))</f>
        <v>45748</v>
      </c>
      <c r="M757" s="102">
        <f>IF(B757=1,'Date masura OD'!$J$5,IF(B757=19,'Date masura OD'!$AL$5,M756))</f>
        <v>45777</v>
      </c>
      <c r="N757" s="104">
        <f>VLOOKUP(E757,verificare!$AR$4:$CC$33,B757+2,FALSE)</f>
        <v>0</v>
      </c>
      <c r="O757" s="103">
        <f>HLOOKUP(VLOOKUP(E757,'Date SPV'!$B$4:$F$34,5,FALSE),'Preturi si tarife'!$C$2:$J$39,B757+2,FALSE)*10000</f>
        <v>927</v>
      </c>
      <c r="Q757" s="101" t="str">
        <f t="shared" si="88"/>
        <v>One-off</v>
      </c>
      <c r="R757" s="101" t="str">
        <f>VLOOKUP(K757,'Preturi si tarife'!$B$4:$K$39,10,FALSE)</f>
        <v>ICOENG0010</v>
      </c>
      <c r="T757" s="101" t="str">
        <f t="shared" si="89"/>
        <v>INV + 30</v>
      </c>
      <c r="V757" s="101" t="str">
        <f t="shared" si="90"/>
        <v>Active</v>
      </c>
      <c r="X757" s="101" t="str">
        <f t="shared" si="91"/>
        <v>One-off</v>
      </c>
      <c r="AC757" s="101" t="str">
        <f t="shared" si="94"/>
        <v>RON</v>
      </c>
      <c r="AD757" s="101">
        <f t="shared" si="95"/>
        <v>10000</v>
      </c>
    </row>
    <row r="758" spans="1:30">
      <c r="A758" s="101">
        <f t="shared" si="96"/>
        <v>22</v>
      </c>
      <c r="B758" s="101">
        <f t="shared" si="97"/>
        <v>1</v>
      </c>
      <c r="C758" s="101" t="str">
        <f t="shared" si="98"/>
        <v>T1</v>
      </c>
      <c r="D758" s="101" t="str">
        <f>IF(A758&lt;&gt;A757,VLOOKUP(A758,'Date SPV'!$A:$D,4,FALSE),D757)</f>
        <v>Retail Park Pitesti SRL</v>
      </c>
      <c r="E758" s="101" t="str">
        <f>VLOOKUP(A758,'Date SPV'!$A$4:$B$34,2,FALSE)</f>
        <v>RRPP</v>
      </c>
      <c r="H758" s="105" t="s">
        <v>894</v>
      </c>
      <c r="K758" s="101" t="str">
        <f>VLOOKUP(C758,'Preturi si tarife'!$A$4:$B$39,2,FALSE)</f>
        <v>Energie activa 1</v>
      </c>
      <c r="L758" s="102">
        <f>IF(B758=1,'Date masura OD'!$I$5,IF(B758=19,'Date masura OD'!$AK$5,L757))</f>
        <v>45778</v>
      </c>
      <c r="M758" s="102">
        <f>IF(B758=1,'Date masura OD'!$J$5,IF(B758=19,'Date masura OD'!$AL$5,M757))</f>
        <v>45808</v>
      </c>
      <c r="N758" s="104">
        <f>VLOOKUP(E758,verificare!$AR$4:$CC$33,B758+2,FALSE)</f>
        <v>132914</v>
      </c>
      <c r="O758" s="103">
        <f>HLOOKUP(VLOOKUP(E758,'Date SPV'!$B$4:$F$34,5,FALSE),'Preturi si tarife'!$C$2:$J$39,B758+2,FALSE)*10000</f>
        <v>5950</v>
      </c>
      <c r="Q758" s="101" t="str">
        <f t="shared" si="88"/>
        <v>One-off</v>
      </c>
      <c r="R758" s="101" t="str">
        <f>VLOOKUP(K758,'Preturi si tarife'!$B$4:$K$39,10,FALSE)</f>
        <v>ICOENG0001</v>
      </c>
      <c r="T758" s="101" t="str">
        <f t="shared" si="89"/>
        <v>INV + 30</v>
      </c>
      <c r="V758" s="101" t="str">
        <f t="shared" si="90"/>
        <v>Active</v>
      </c>
      <c r="X758" s="101" t="str">
        <f t="shared" si="91"/>
        <v>One-off</v>
      </c>
      <c r="AC758" s="101" t="str">
        <f t="shared" si="94"/>
        <v>RON</v>
      </c>
      <c r="AD758" s="101">
        <f t="shared" si="95"/>
        <v>10000</v>
      </c>
    </row>
    <row r="759" spans="1:30">
      <c r="A759" s="101">
        <f t="shared" si="96"/>
        <v>22</v>
      </c>
      <c r="B759" s="101">
        <f t="shared" si="97"/>
        <v>2</v>
      </c>
      <c r="C759" s="101" t="str">
        <f t="shared" si="98"/>
        <v>T2</v>
      </c>
      <c r="D759" s="101" t="str">
        <f>IF(A759&lt;&gt;A758,VLOOKUP(A759,'Date SPV'!$A:$D,4,FALSE),D758)</f>
        <v>Retail Park Pitesti SRL</v>
      </c>
      <c r="E759" s="101" t="str">
        <f>VLOOKUP(A759,'Date SPV'!$A$4:$B$34,2,FALSE)</f>
        <v>RRPP</v>
      </c>
      <c r="H759" s="105" t="s">
        <v>894</v>
      </c>
      <c r="K759" s="101" t="str">
        <f>VLOOKUP(C759,'Preturi si tarife'!$A$4:$B$39,2,FALSE)</f>
        <v>Energie reactiva  1X</v>
      </c>
      <c r="L759" s="102">
        <f>IF(B759=1,'Date masura OD'!$I$5,IF(B759=19,'Date masura OD'!$AK$5,L758))</f>
        <v>45778</v>
      </c>
      <c r="M759" s="102">
        <f>IF(B759=1,'Date masura OD'!$J$5,IF(B759=19,'Date masura OD'!$AL$5,M758))</f>
        <v>45808</v>
      </c>
      <c r="N759" s="104">
        <f>VLOOKUP(E759,verificare!$AR$4:$CC$33,B759+2,FALSE)</f>
        <v>0</v>
      </c>
      <c r="O759" s="103">
        <f>HLOOKUP(VLOOKUP(E759,'Date SPV'!$B$4:$F$34,5,FALSE),'Preturi si tarife'!$C$2:$J$39,B759+2,FALSE)*10000</f>
        <v>1465</v>
      </c>
      <c r="Q759" s="101" t="str">
        <f t="shared" si="88"/>
        <v>One-off</v>
      </c>
      <c r="R759" s="101" t="str">
        <f>VLOOKUP(K759,'Preturi si tarife'!$B$4:$K$39,10,FALSE)</f>
        <v>ICOENG0001</v>
      </c>
      <c r="T759" s="101" t="str">
        <f t="shared" si="89"/>
        <v>INV + 30</v>
      </c>
      <c r="V759" s="101" t="str">
        <f t="shared" si="90"/>
        <v>Active</v>
      </c>
      <c r="X759" s="101" t="str">
        <f t="shared" si="91"/>
        <v>One-off</v>
      </c>
      <c r="AC759" s="101" t="str">
        <f t="shared" si="94"/>
        <v>RON</v>
      </c>
      <c r="AD759" s="101">
        <f t="shared" si="95"/>
        <v>10000</v>
      </c>
    </row>
    <row r="760" spans="1:30">
      <c r="A760" s="101">
        <f t="shared" si="96"/>
        <v>22</v>
      </c>
      <c r="B760" s="101">
        <f t="shared" si="97"/>
        <v>3</v>
      </c>
      <c r="C760" s="101" t="str">
        <f t="shared" si="98"/>
        <v>T3</v>
      </c>
      <c r="D760" s="101" t="str">
        <f>IF(A760&lt;&gt;A759,VLOOKUP(A760,'Date SPV'!$A:$D,4,FALSE),D759)</f>
        <v>Retail Park Pitesti SRL</v>
      </c>
      <c r="E760" s="101" t="str">
        <f>VLOOKUP(A760,'Date SPV'!$A$4:$B$34,2,FALSE)</f>
        <v>RRPP</v>
      </c>
      <c r="H760" s="105" t="s">
        <v>894</v>
      </c>
      <c r="K760" s="101" t="str">
        <f>VLOOKUP(C760,'Preturi si tarife'!$A$4:$B$39,2,FALSE)</f>
        <v>Energie reactiva  3X</v>
      </c>
      <c r="L760" s="102">
        <f>IF(B760=1,'Date masura OD'!$I$5,IF(B760=19,'Date masura OD'!$AK$5,L759))</f>
        <v>45778</v>
      </c>
      <c r="M760" s="102">
        <f>IF(B760=1,'Date masura OD'!$J$5,IF(B760=19,'Date masura OD'!$AL$5,M759))</f>
        <v>45808</v>
      </c>
      <c r="N760" s="104">
        <f>VLOOKUP(E760,verificare!$AR$4:$CC$33,B760+2,FALSE)</f>
        <v>0</v>
      </c>
      <c r="O760" s="103">
        <f>HLOOKUP(VLOOKUP(E760,'Date SPV'!$B$4:$F$34,5,FALSE),'Preturi si tarife'!$C$2:$J$39,B760+2,FALSE)*10000</f>
        <v>4395</v>
      </c>
      <c r="Q760" s="101" t="str">
        <f t="shared" si="88"/>
        <v>One-off</v>
      </c>
      <c r="R760" s="101" t="str">
        <f>VLOOKUP(K760,'Preturi si tarife'!$B$4:$K$39,10,FALSE)</f>
        <v>ICOENG0001</v>
      </c>
      <c r="T760" s="101" t="str">
        <f t="shared" si="89"/>
        <v>INV + 30</v>
      </c>
      <c r="V760" s="101" t="str">
        <f t="shared" si="90"/>
        <v>Active</v>
      </c>
      <c r="X760" s="101" t="str">
        <f t="shared" si="91"/>
        <v>One-off</v>
      </c>
      <c r="AC760" s="101" t="str">
        <f t="shared" si="94"/>
        <v>RON</v>
      </c>
      <c r="AD760" s="101">
        <f t="shared" si="95"/>
        <v>10000</v>
      </c>
    </row>
    <row r="761" spans="1:30">
      <c r="A761" s="101">
        <f t="shared" si="96"/>
        <v>22</v>
      </c>
      <c r="B761" s="101">
        <f t="shared" si="97"/>
        <v>4</v>
      </c>
      <c r="C761" s="101" t="str">
        <f t="shared" si="98"/>
        <v>T4</v>
      </c>
      <c r="D761" s="101" t="str">
        <f>IF(A761&lt;&gt;A760,VLOOKUP(A761,'Date SPV'!$A:$D,4,FALSE),D760)</f>
        <v>Retail Park Pitesti SRL</v>
      </c>
      <c r="E761" s="101" t="str">
        <f>VLOOKUP(A761,'Date SPV'!$A$4:$B$34,2,FALSE)</f>
        <v>RRPP</v>
      </c>
      <c r="H761" s="105" t="s">
        <v>894</v>
      </c>
      <c r="K761" s="101" t="str">
        <f>VLOOKUP(C761,'Preturi si tarife'!$A$4:$B$39,2,FALSE)</f>
        <v>Tarife distributie en. El IT+MT</v>
      </c>
      <c r="L761" s="102">
        <f>IF(B761=1,'Date masura OD'!$I$5,IF(B761=19,'Date masura OD'!$AK$5,L760))</f>
        <v>45778</v>
      </c>
      <c r="M761" s="102">
        <f>IF(B761=1,'Date masura OD'!$J$5,IF(B761=19,'Date masura OD'!$AL$5,M760))</f>
        <v>45808</v>
      </c>
      <c r="N761" s="104">
        <f>VLOOKUP(E761,verificare!$AR$4:$CC$33,B761+2,FALSE)</f>
        <v>132914</v>
      </c>
      <c r="O761" s="103">
        <f>HLOOKUP(VLOOKUP(E761,'Date SPV'!$B$4:$F$34,5,FALSE),'Preturi si tarife'!$C$2:$J$39,B761+2,FALSE)*10000</f>
        <v>1361.3999999999999</v>
      </c>
      <c r="Q761" s="101" t="str">
        <f t="shared" si="88"/>
        <v>One-off</v>
      </c>
      <c r="R761" s="101" t="str">
        <f>VLOOKUP(K761,'Preturi si tarife'!$B$4:$K$39,10,FALSE)</f>
        <v>ICOENG0001</v>
      </c>
      <c r="T761" s="101" t="str">
        <f t="shared" si="89"/>
        <v>INV + 30</v>
      </c>
      <c r="V761" s="101" t="str">
        <f t="shared" si="90"/>
        <v>Active</v>
      </c>
      <c r="X761" s="101" t="str">
        <f t="shared" si="91"/>
        <v>One-off</v>
      </c>
      <c r="AC761" s="101" t="str">
        <f t="shared" si="94"/>
        <v>RON</v>
      </c>
      <c r="AD761" s="101">
        <f t="shared" si="95"/>
        <v>10000</v>
      </c>
    </row>
    <row r="762" spans="1:30">
      <c r="A762" s="101">
        <f t="shared" si="96"/>
        <v>22</v>
      </c>
      <c r="B762" s="101">
        <f t="shared" si="97"/>
        <v>5</v>
      </c>
      <c r="C762" s="101" t="str">
        <f t="shared" si="98"/>
        <v>T5</v>
      </c>
      <c r="D762" s="101" t="str">
        <f>IF(A762&lt;&gt;A761,VLOOKUP(A762,'Date SPV'!$A:$D,4,FALSE),D761)</f>
        <v>Retail Park Pitesti SRL</v>
      </c>
      <c r="E762" s="101" t="str">
        <f>VLOOKUP(A762,'Date SPV'!$A$4:$B$34,2,FALSE)</f>
        <v>RRPP</v>
      </c>
      <c r="H762" s="105" t="s">
        <v>894</v>
      </c>
      <c r="K762" s="101" t="str">
        <f>VLOOKUP(C762,'Preturi si tarife'!$A$4:$B$39,2,FALSE)</f>
        <v>Tarife distributie en. El JT</v>
      </c>
      <c r="L762" s="102">
        <f>IF(B762=1,'Date masura OD'!$I$5,IF(B762=19,'Date masura OD'!$AK$5,L761))</f>
        <v>45778</v>
      </c>
      <c r="M762" s="102">
        <f>IF(B762=1,'Date masura OD'!$J$5,IF(B762=19,'Date masura OD'!$AL$5,M761))</f>
        <v>45808</v>
      </c>
      <c r="N762" s="104">
        <f>VLOOKUP(E762,verificare!$AR$4:$CC$33,B762+2,FALSE)</f>
        <v>0</v>
      </c>
      <c r="O762" s="103">
        <f>HLOOKUP(VLOOKUP(E762,'Date SPV'!$B$4:$F$34,5,FALSE),'Preturi si tarife'!$C$2:$J$39,B762+2,FALSE)*10000</f>
        <v>2273.8999999999996</v>
      </c>
      <c r="Q762" s="101" t="str">
        <f t="shared" si="88"/>
        <v>One-off</v>
      </c>
      <c r="R762" s="101" t="str">
        <f>VLOOKUP(K762,'Preturi si tarife'!$B$4:$K$39,10,FALSE)</f>
        <v>ICOENG0001</v>
      </c>
      <c r="T762" s="101" t="str">
        <f t="shared" si="89"/>
        <v>INV + 30</v>
      </c>
      <c r="V762" s="101" t="str">
        <f t="shared" si="90"/>
        <v>Active</v>
      </c>
      <c r="X762" s="101" t="str">
        <f t="shared" si="91"/>
        <v>One-off</v>
      </c>
      <c r="AC762" s="101" t="str">
        <f t="shared" si="94"/>
        <v>RON</v>
      </c>
      <c r="AD762" s="101">
        <f t="shared" si="95"/>
        <v>10000</v>
      </c>
    </row>
    <row r="763" spans="1:30">
      <c r="A763" s="101">
        <f t="shared" si="96"/>
        <v>22</v>
      </c>
      <c r="B763" s="101">
        <f t="shared" si="97"/>
        <v>6</v>
      </c>
      <c r="C763" s="101" t="str">
        <f t="shared" si="98"/>
        <v>T6</v>
      </c>
      <c r="D763" s="101" t="str">
        <f>IF(A763&lt;&gt;A762,VLOOKUP(A763,'Date SPV'!$A:$D,4,FALSE),D762)</f>
        <v>Retail Park Pitesti SRL</v>
      </c>
      <c r="E763" s="101" t="str">
        <f>VLOOKUP(A763,'Date SPV'!$A$4:$B$34,2,FALSE)</f>
        <v>RRPP</v>
      </c>
      <c r="H763" s="105" t="s">
        <v>894</v>
      </c>
      <c r="K763" s="101" t="str">
        <f>VLOOKUP(C763,'Preturi si tarife'!$A$4:$B$39,2,FALSE)</f>
        <v xml:space="preserve">Servicii Sistem </v>
      </c>
      <c r="L763" s="102">
        <f>IF(B763=1,'Date masura OD'!$I$5,IF(B763=19,'Date masura OD'!$AK$5,L762))</f>
        <v>45778</v>
      </c>
      <c r="M763" s="102">
        <f>IF(B763=1,'Date masura OD'!$J$5,IF(B763=19,'Date masura OD'!$AL$5,M762))</f>
        <v>45808</v>
      </c>
      <c r="N763" s="104">
        <f>VLOOKUP(E763,verificare!$AR$4:$CC$33,B763+2,FALSE)</f>
        <v>132914</v>
      </c>
      <c r="O763" s="103">
        <f>HLOOKUP(VLOOKUP(E763,'Date SPV'!$B$4:$F$34,5,FALSE),'Preturi si tarife'!$C$2:$J$39,B763+2,FALSE)*10000</f>
        <v>115.1</v>
      </c>
      <c r="Q763" s="101" t="str">
        <f t="shared" si="88"/>
        <v>One-off</v>
      </c>
      <c r="R763" s="101" t="str">
        <f>VLOOKUP(K763,'Preturi si tarife'!$B$4:$K$39,10,FALSE)</f>
        <v>ICOENG0001</v>
      </c>
      <c r="T763" s="101" t="str">
        <f t="shared" si="89"/>
        <v>INV + 30</v>
      </c>
      <c r="V763" s="101" t="str">
        <f t="shared" si="90"/>
        <v>Active</v>
      </c>
      <c r="X763" s="101" t="str">
        <f t="shared" si="91"/>
        <v>One-off</v>
      </c>
      <c r="AC763" s="101" t="str">
        <f t="shared" si="94"/>
        <v>RON</v>
      </c>
      <c r="AD763" s="101">
        <f t="shared" si="95"/>
        <v>10000</v>
      </c>
    </row>
    <row r="764" spans="1:30">
      <c r="A764" s="101">
        <f t="shared" si="96"/>
        <v>22</v>
      </c>
      <c r="B764" s="101">
        <f t="shared" si="97"/>
        <v>7</v>
      </c>
      <c r="C764" s="101" t="str">
        <f t="shared" si="98"/>
        <v>T7</v>
      </c>
      <c r="D764" s="101" t="str">
        <f>IF(A764&lt;&gt;A763,VLOOKUP(A764,'Date SPV'!$A:$D,4,FALSE),D763)</f>
        <v>Retail Park Pitesti SRL</v>
      </c>
      <c r="E764" s="101" t="str">
        <f>VLOOKUP(A764,'Date SPV'!$A$4:$B$34,2,FALSE)</f>
        <v>RRPP</v>
      </c>
      <c r="H764" s="105" t="s">
        <v>894</v>
      </c>
      <c r="K764" s="101" t="str">
        <f>VLOOKUP(C764,'Preturi si tarife'!$A$4:$B$39,2,FALSE)</f>
        <v>Tarif de introducere en. el in retea (TL)</v>
      </c>
      <c r="L764" s="102">
        <f>IF(B764=1,'Date masura OD'!$I$5,IF(B764=19,'Date masura OD'!$AK$5,L763))</f>
        <v>45778</v>
      </c>
      <c r="M764" s="102">
        <f>IF(B764=1,'Date masura OD'!$J$5,IF(B764=19,'Date masura OD'!$AL$5,M763))</f>
        <v>45808</v>
      </c>
      <c r="N764" s="104">
        <f>VLOOKUP(E764,verificare!$AR$4:$CC$33,B764+2,FALSE)</f>
        <v>132914</v>
      </c>
      <c r="O764" s="103">
        <f>HLOOKUP(VLOOKUP(E764,'Date SPV'!$B$4:$F$34,5,FALSE),'Preturi si tarife'!$C$2:$J$39,B764+2,FALSE)*10000</f>
        <v>330.3</v>
      </c>
      <c r="Q764" s="101" t="str">
        <f t="shared" ref="Q764:Q827" si="99">Q763</f>
        <v>One-off</v>
      </c>
      <c r="R764" s="101" t="str">
        <f>VLOOKUP(K764,'Preturi si tarife'!$B$4:$K$39,10,FALSE)</f>
        <v>ICOENG0001</v>
      </c>
      <c r="T764" s="101" t="str">
        <f t="shared" ref="T764:T827" si="100">T763</f>
        <v>INV + 30</v>
      </c>
      <c r="V764" s="101" t="str">
        <f t="shared" ref="V764:V827" si="101">V763</f>
        <v>Active</v>
      </c>
      <c r="X764" s="101" t="str">
        <f t="shared" ref="X764:X827" si="102">X763</f>
        <v>One-off</v>
      </c>
      <c r="AC764" s="101" t="str">
        <f t="shared" si="94"/>
        <v>RON</v>
      </c>
      <c r="AD764" s="101">
        <f t="shared" si="95"/>
        <v>10000</v>
      </c>
    </row>
    <row r="765" spans="1:30">
      <c r="A765" s="101">
        <f t="shared" si="96"/>
        <v>22</v>
      </c>
      <c r="B765" s="101">
        <f t="shared" si="97"/>
        <v>8</v>
      </c>
      <c r="C765" s="101" t="str">
        <f t="shared" si="98"/>
        <v>T8</v>
      </c>
      <c r="D765" s="101" t="str">
        <f>IF(A765&lt;&gt;A764,VLOOKUP(A765,'Date SPV'!$A:$D,4,FALSE),D764)</f>
        <v>Retail Park Pitesti SRL</v>
      </c>
      <c r="E765" s="101" t="str">
        <f>VLOOKUP(A765,'Date SPV'!$A$4:$B$34,2,FALSE)</f>
        <v>RRPP</v>
      </c>
      <c r="H765" s="105" t="s">
        <v>894</v>
      </c>
      <c r="K765" s="101" t="str">
        <f>VLOOKUP(C765,'Preturi si tarife'!$A$4:$B$39,2,FALSE)</f>
        <v>Tarif de introducere en.el in retea (TG)</v>
      </c>
      <c r="L765" s="102">
        <f>IF(B765=1,'Date masura OD'!$I$5,IF(B765=19,'Date masura OD'!$AK$5,L764))</f>
        <v>45778</v>
      </c>
      <c r="M765" s="102">
        <f>IF(B765=1,'Date masura OD'!$J$5,IF(B765=19,'Date masura OD'!$AL$5,M764))</f>
        <v>45808</v>
      </c>
      <c r="N765" s="104">
        <f>VLOOKUP(E765,verificare!$AR$4:$CC$33,B765+2,FALSE)</f>
        <v>132914</v>
      </c>
      <c r="O765" s="103">
        <f>HLOOKUP(VLOOKUP(E765,'Date SPV'!$B$4:$F$34,5,FALSE),'Preturi si tarife'!$C$2:$J$39,B765+2,FALSE)*10000</f>
        <v>32.9</v>
      </c>
      <c r="Q765" s="101" t="str">
        <f t="shared" si="99"/>
        <v>One-off</v>
      </c>
      <c r="R765" s="101" t="str">
        <f>VLOOKUP(K765,'Preturi si tarife'!$B$4:$K$39,10,FALSE)</f>
        <v>ICOENG0001</v>
      </c>
      <c r="T765" s="101" t="str">
        <f t="shared" si="100"/>
        <v>INV + 30</v>
      </c>
      <c r="V765" s="101" t="str">
        <f t="shared" si="101"/>
        <v>Active</v>
      </c>
      <c r="X765" s="101" t="str">
        <f t="shared" si="102"/>
        <v>One-off</v>
      </c>
      <c r="AC765" s="101" t="str">
        <f t="shared" ref="AC765:AD780" si="103">AC764</f>
        <v>RON</v>
      </c>
      <c r="AD765" s="101">
        <f t="shared" si="103"/>
        <v>10000</v>
      </c>
    </row>
    <row r="766" spans="1:30">
      <c r="A766" s="101">
        <f t="shared" si="96"/>
        <v>22</v>
      </c>
      <c r="B766" s="101">
        <f t="shared" si="97"/>
        <v>9</v>
      </c>
      <c r="C766" s="101" t="str">
        <f t="shared" si="98"/>
        <v>T9</v>
      </c>
      <c r="D766" s="101" t="str">
        <f>IF(A766&lt;&gt;A765,VLOOKUP(A766,'Date SPV'!$A:$D,4,FALSE),D765)</f>
        <v>Retail Park Pitesti SRL</v>
      </c>
      <c r="E766" s="101" t="str">
        <f>VLOOKUP(A766,'Date SPV'!$A$4:$B$34,2,FALSE)</f>
        <v>RRPP</v>
      </c>
      <c r="H766" s="105" t="s">
        <v>894</v>
      </c>
      <c r="K766" s="101" t="str">
        <f>VLOOKUP(C766,'Preturi si tarife'!$A$4:$B$39,2,FALSE)</f>
        <v>Contributie pentru cogenerare</v>
      </c>
      <c r="L766" s="102">
        <f>IF(B766=1,'Date masura OD'!$I$5,IF(B766=19,'Date masura OD'!$AK$5,L765))</f>
        <v>45778</v>
      </c>
      <c r="M766" s="102">
        <f>IF(B766=1,'Date masura OD'!$J$5,IF(B766=19,'Date masura OD'!$AL$5,M765))</f>
        <v>45808</v>
      </c>
      <c r="N766" s="104">
        <f>VLOOKUP(E766,verificare!$AR$4:$CC$33,B766+2,FALSE)</f>
        <v>132914</v>
      </c>
      <c r="O766" s="103">
        <f>HLOOKUP(VLOOKUP(E766,'Date SPV'!$B$4:$F$34,5,FALSE),'Preturi si tarife'!$C$2:$J$39,B766+2,FALSE)*10000</f>
        <v>35</v>
      </c>
      <c r="Q766" s="101" t="str">
        <f t="shared" si="99"/>
        <v>One-off</v>
      </c>
      <c r="R766" s="101" t="str">
        <f>VLOOKUP(K766,'Preturi si tarife'!$B$4:$K$39,10,FALSE)</f>
        <v>ICOENG0001</v>
      </c>
      <c r="T766" s="101" t="str">
        <f t="shared" si="100"/>
        <v>INV + 30</v>
      </c>
      <c r="V766" s="101" t="str">
        <f t="shared" si="101"/>
        <v>Active</v>
      </c>
      <c r="X766" s="101" t="str">
        <f t="shared" si="102"/>
        <v>One-off</v>
      </c>
      <c r="AC766" s="101" t="str">
        <f t="shared" si="103"/>
        <v>RON</v>
      </c>
      <c r="AD766" s="101">
        <f t="shared" si="103"/>
        <v>10000</v>
      </c>
    </row>
    <row r="767" spans="1:30">
      <c r="A767" s="101">
        <f t="shared" si="96"/>
        <v>22</v>
      </c>
      <c r="B767" s="101">
        <f t="shared" si="97"/>
        <v>10</v>
      </c>
      <c r="C767" s="101" t="str">
        <f t="shared" si="98"/>
        <v>T10</v>
      </c>
      <c r="D767" s="101" t="str">
        <f>IF(A767&lt;&gt;A766,VLOOKUP(A767,'Date SPV'!$A:$D,4,FALSE),D766)</f>
        <v>Retail Park Pitesti SRL</v>
      </c>
      <c r="E767" s="101" t="str">
        <f>VLOOKUP(A767,'Date SPV'!$A$4:$B$34,2,FALSE)</f>
        <v>RRPP</v>
      </c>
      <c r="H767" s="105" t="s">
        <v>894</v>
      </c>
      <c r="K767" s="101" t="str">
        <f>VLOOKUP(C767,'Preturi si tarife'!$A$4:$B$39,2,FALSE)</f>
        <v xml:space="preserve">Certificate verzi </v>
      </c>
      <c r="L767" s="102">
        <f>IF(B767=1,'Date masura OD'!$I$5,IF(B767=19,'Date masura OD'!$AK$5,L766))</f>
        <v>45778</v>
      </c>
      <c r="M767" s="102">
        <f>IF(B767=1,'Date masura OD'!$J$5,IF(B767=19,'Date masura OD'!$AL$5,M766))</f>
        <v>45808</v>
      </c>
      <c r="N767" s="104">
        <f>VLOOKUP(E767,verificare!$AR$4:$CC$33,B767+2,FALSE)</f>
        <v>132914</v>
      </c>
      <c r="O767" s="103">
        <f>HLOOKUP(VLOOKUP(E767,'Date SPV'!$B$4:$F$34,5,FALSE),'Preturi si tarife'!$C$2:$J$39,B767+2,FALSE)*10000</f>
        <v>725.41599999999994</v>
      </c>
      <c r="Q767" s="101" t="str">
        <f t="shared" si="99"/>
        <v>One-off</v>
      </c>
      <c r="R767" s="101" t="str">
        <f>VLOOKUP(K767,'Preturi si tarife'!$B$4:$K$39,10,FALSE)</f>
        <v>ICOENG0001</v>
      </c>
      <c r="T767" s="101" t="str">
        <f t="shared" si="100"/>
        <v>INV + 30</v>
      </c>
      <c r="V767" s="101" t="str">
        <f t="shared" si="101"/>
        <v>Active</v>
      </c>
      <c r="X767" s="101" t="str">
        <f t="shared" si="102"/>
        <v>One-off</v>
      </c>
      <c r="AC767" s="101" t="str">
        <f t="shared" si="103"/>
        <v>RON</v>
      </c>
      <c r="AD767" s="101">
        <f t="shared" si="103"/>
        <v>10000</v>
      </c>
    </row>
    <row r="768" spans="1:30">
      <c r="A768" s="101">
        <f t="shared" si="96"/>
        <v>22</v>
      </c>
      <c r="B768" s="101">
        <f t="shared" si="97"/>
        <v>11</v>
      </c>
      <c r="C768" s="101" t="str">
        <f t="shared" si="98"/>
        <v>T11</v>
      </c>
      <c r="D768" s="101" t="str">
        <f>IF(A768&lt;&gt;A767,VLOOKUP(A768,'Date SPV'!$A:$D,4,FALSE),D767)</f>
        <v>Retail Park Pitesti SRL</v>
      </c>
      <c r="E768" s="101" t="str">
        <f>VLOOKUP(A768,'Date SPV'!$A$4:$B$34,2,FALSE)</f>
        <v>RRPP</v>
      </c>
      <c r="H768" s="105" t="s">
        <v>894</v>
      </c>
      <c r="K768" s="101" t="str">
        <f>VLOOKUP(C768,'Preturi si tarife'!$A$4:$B$39,2,FALSE)</f>
        <v>Contributie CFD</v>
      </c>
      <c r="L768" s="102">
        <f>IF(B768=1,'Date masura OD'!$I$5,IF(B768=19,'Date masura OD'!$AK$5,L767))</f>
        <v>45778</v>
      </c>
      <c r="M768" s="102">
        <f>IF(B768=1,'Date masura OD'!$J$5,IF(B768=19,'Date masura OD'!$AL$5,M767))</f>
        <v>45808</v>
      </c>
      <c r="N768" s="104">
        <f>VLOOKUP(E768,verificare!$AR$4:$CC$33,B768+2,FALSE)</f>
        <v>132914</v>
      </c>
      <c r="O768" s="103">
        <f>HLOOKUP(VLOOKUP(E768,'Date SPV'!$B$4:$F$34,5,FALSE),'Preturi si tarife'!$C$2:$J$39,B768+2,FALSE)*10000</f>
        <v>2.06</v>
      </c>
      <c r="Q768" s="101" t="str">
        <f t="shared" si="99"/>
        <v>One-off</v>
      </c>
      <c r="R768" s="101" t="str">
        <f>VLOOKUP(K768,'Preturi si tarife'!$B$4:$K$39,10,FALSE)</f>
        <v>ICOENG0001</v>
      </c>
      <c r="T768" s="101" t="str">
        <f t="shared" si="100"/>
        <v>INV + 30</v>
      </c>
      <c r="V768" s="101" t="str">
        <f t="shared" si="101"/>
        <v>Active</v>
      </c>
      <c r="X768" s="101" t="str">
        <f t="shared" si="102"/>
        <v>One-off</v>
      </c>
      <c r="AC768" s="101" t="str">
        <f t="shared" si="103"/>
        <v>RON</v>
      </c>
      <c r="AD768" s="101">
        <f t="shared" si="103"/>
        <v>10000</v>
      </c>
    </row>
    <row r="769" spans="1:30">
      <c r="A769" s="101">
        <f t="shared" si="96"/>
        <v>22</v>
      </c>
      <c r="B769" s="101">
        <f t="shared" si="97"/>
        <v>12</v>
      </c>
      <c r="C769" s="101" t="str">
        <f t="shared" si="98"/>
        <v>T12</v>
      </c>
      <c r="D769" s="101" t="str">
        <f>IF(A769&lt;&gt;A768,VLOOKUP(A769,'Date SPV'!$A:$D,4,FALSE),D768)</f>
        <v>Retail Park Pitesti SRL</v>
      </c>
      <c r="E769" s="101" t="str">
        <f>VLOOKUP(A769,'Date SPV'!$A$4:$B$34,2,FALSE)</f>
        <v>RRPP</v>
      </c>
      <c r="H769" s="105" t="s">
        <v>894</v>
      </c>
      <c r="K769" s="101" t="str">
        <f>VLOOKUP(C769,'Preturi si tarife'!$A$4:$B$39,2,FALSE)</f>
        <v>Acciza</v>
      </c>
      <c r="L769" s="102">
        <f>IF(B769=1,'Date masura OD'!$I$5,IF(B769=19,'Date masura OD'!$AK$5,L768))</f>
        <v>45778</v>
      </c>
      <c r="M769" s="102">
        <f>IF(B769=1,'Date masura OD'!$J$5,IF(B769=19,'Date masura OD'!$AL$5,M768))</f>
        <v>45808</v>
      </c>
      <c r="N769" s="104">
        <f>VLOOKUP(E769,verificare!$AR$4:$CC$33,B769+2,FALSE)</f>
        <v>132914</v>
      </c>
      <c r="O769" s="103">
        <f>HLOOKUP(VLOOKUP(E769,'Date SPV'!$B$4:$F$34,5,FALSE),'Preturi si tarife'!$C$2:$J$39,B769+2,FALSE)*10000</f>
        <v>0</v>
      </c>
      <c r="Q769" s="101" t="str">
        <f t="shared" si="99"/>
        <v>One-off</v>
      </c>
      <c r="R769" s="101" t="str">
        <f>VLOOKUP(K769,'Preturi si tarife'!$B$4:$K$39,10,FALSE)</f>
        <v>ICOENG0001</v>
      </c>
      <c r="T769" s="101" t="str">
        <f t="shared" si="100"/>
        <v>INV + 30</v>
      </c>
      <c r="V769" s="101" t="str">
        <f t="shared" si="101"/>
        <v>Active</v>
      </c>
      <c r="X769" s="101" t="str">
        <f t="shared" si="102"/>
        <v>One-off</v>
      </c>
      <c r="AC769" s="101" t="str">
        <f t="shared" si="103"/>
        <v>RON</v>
      </c>
      <c r="AD769" s="101">
        <f t="shared" si="103"/>
        <v>10000</v>
      </c>
    </row>
    <row r="770" spans="1:30">
      <c r="A770" s="101">
        <f t="shared" si="96"/>
        <v>22</v>
      </c>
      <c r="B770" s="101">
        <f t="shared" si="97"/>
        <v>13</v>
      </c>
      <c r="C770" s="101" t="str">
        <f t="shared" si="98"/>
        <v>T13</v>
      </c>
      <c r="D770" s="101" t="str">
        <f>IF(A770&lt;&gt;A769,VLOOKUP(A770,'Date SPV'!$A:$D,4,FALSE),D769)</f>
        <v>Retail Park Pitesti SRL</v>
      </c>
      <c r="E770" s="101" t="str">
        <f>VLOOKUP(A770,'Date SPV'!$A$4:$B$34,2,FALSE)</f>
        <v>RRPP</v>
      </c>
      <c r="H770" s="105" t="s">
        <v>894</v>
      </c>
      <c r="K770" s="101" t="str">
        <f>VLOOKUP(C770,'Preturi si tarife'!$A$4:$B$39,2,FALSE)</f>
        <v>Tarif distributie SDI MT</v>
      </c>
      <c r="L770" s="102">
        <f>IF(B770=1,'Date masura OD'!$I$5,IF(B770=19,'Date masura OD'!$AK$5,L769))</f>
        <v>45778</v>
      </c>
      <c r="M770" s="102">
        <f>IF(B770=1,'Date masura OD'!$J$5,IF(B770=19,'Date masura OD'!$AL$5,M769))</f>
        <v>45808</v>
      </c>
      <c r="N770" s="104">
        <f>VLOOKUP(E770,verificare!$AR$4:$CC$33,B770+2,FALSE)</f>
        <v>132914</v>
      </c>
      <c r="O770" s="103">
        <f>HLOOKUP(VLOOKUP(E770,'Date SPV'!$B$4:$F$34,5,FALSE),'Preturi si tarife'!$C$2:$J$39,B770+2,FALSE)*10000</f>
        <v>170</v>
      </c>
      <c r="Q770" s="101" t="str">
        <f t="shared" si="99"/>
        <v>One-off</v>
      </c>
      <c r="R770" s="101" t="str">
        <f>VLOOKUP(K770,'Preturi si tarife'!$B$4:$K$39,10,FALSE)</f>
        <v>ICOENG0010</v>
      </c>
      <c r="T770" s="101" t="str">
        <f t="shared" si="100"/>
        <v>INV + 30</v>
      </c>
      <c r="V770" s="101" t="str">
        <f t="shared" si="101"/>
        <v>Active</v>
      </c>
      <c r="X770" s="101" t="str">
        <f t="shared" si="102"/>
        <v>One-off</v>
      </c>
      <c r="AC770" s="101" t="str">
        <f t="shared" si="103"/>
        <v>RON</v>
      </c>
      <c r="AD770" s="101">
        <f t="shared" si="103"/>
        <v>10000</v>
      </c>
    </row>
    <row r="771" spans="1:30">
      <c r="A771" s="101">
        <f t="shared" si="96"/>
        <v>22</v>
      </c>
      <c r="B771" s="101">
        <f t="shared" si="97"/>
        <v>14</v>
      </c>
      <c r="C771" s="101" t="str">
        <f t="shared" si="98"/>
        <v>T14</v>
      </c>
      <c r="D771" s="101" t="str">
        <f>IF(A771&lt;&gt;A770,VLOOKUP(A771,'Date SPV'!$A:$D,4,FALSE),D770)</f>
        <v>Retail Park Pitesti SRL</v>
      </c>
      <c r="E771" s="101" t="str">
        <f>VLOOKUP(A771,'Date SPV'!$A$4:$B$34,2,FALSE)</f>
        <v>RRPP</v>
      </c>
      <c r="H771" s="105" t="s">
        <v>894</v>
      </c>
      <c r="K771" s="101" t="str">
        <f>VLOOKUP(C771,'Preturi si tarife'!$A$4:$B$39,2,FALSE)</f>
        <v>Tarif distributie SDI JT</v>
      </c>
      <c r="L771" s="102">
        <f>IF(B771=1,'Date masura OD'!$I$5,IF(B771=19,'Date masura OD'!$AK$5,L770))</f>
        <v>45778</v>
      </c>
      <c r="M771" s="102">
        <f>IF(B771=1,'Date masura OD'!$J$5,IF(B771=19,'Date masura OD'!$AL$5,M770))</f>
        <v>45808</v>
      </c>
      <c r="N771" s="104">
        <f>VLOOKUP(E771,verificare!$AR$4:$CC$33,B771+2,FALSE)</f>
        <v>132914</v>
      </c>
      <c r="O771" s="103">
        <f>HLOOKUP(VLOOKUP(E771,'Date SPV'!$B$4:$F$34,5,FALSE),'Preturi si tarife'!$C$2:$J$39,B771+2,FALSE)*10000</f>
        <v>1029</v>
      </c>
      <c r="Q771" s="101" t="str">
        <f t="shared" si="99"/>
        <v>One-off</v>
      </c>
      <c r="R771" s="101" t="str">
        <f>VLOOKUP(K771,'Preturi si tarife'!$B$4:$K$39,10,FALSE)</f>
        <v>ICOENG0010</v>
      </c>
      <c r="T771" s="101" t="str">
        <f t="shared" si="100"/>
        <v>INV + 30</v>
      </c>
      <c r="V771" s="101" t="str">
        <f t="shared" si="101"/>
        <v>Active</v>
      </c>
      <c r="X771" s="101" t="str">
        <f t="shared" si="102"/>
        <v>One-off</v>
      </c>
      <c r="AC771" s="101" t="str">
        <f t="shared" si="103"/>
        <v>RON</v>
      </c>
      <c r="AD771" s="101">
        <f t="shared" si="103"/>
        <v>10000</v>
      </c>
    </row>
    <row r="772" spans="1:30">
      <c r="A772" s="101">
        <f t="shared" ref="A772:A835" si="104">IF(B771=36,A771+1,A771)</f>
        <v>22</v>
      </c>
      <c r="B772" s="101">
        <f t="shared" si="97"/>
        <v>15</v>
      </c>
      <c r="C772" s="101" t="str">
        <f t="shared" si="98"/>
        <v>T15</v>
      </c>
      <c r="D772" s="101" t="str">
        <f>IF(A772&lt;&gt;A771,VLOOKUP(A772,'Date SPV'!$A:$D,4,FALSE),D771)</f>
        <v>Retail Park Pitesti SRL</v>
      </c>
      <c r="E772" s="101" t="str">
        <f>VLOOKUP(A772,'Date SPV'!$A$4:$B$34,2,FALSE)</f>
        <v>RRPP</v>
      </c>
      <c r="H772" s="105" t="s">
        <v>894</v>
      </c>
      <c r="K772" s="101" t="str">
        <f>VLOOKUP(C772,'Preturi si tarife'!$A$4:$B$39,2,FALSE)</f>
        <v>Energie activa 2</v>
      </c>
      <c r="L772" s="102">
        <f>IF(B772=1,'Date masura OD'!$I$5,IF(B772=19,'Date masura OD'!$AK$5,L771))</f>
        <v>45778</v>
      </c>
      <c r="M772" s="102">
        <f>IF(B772=1,'Date masura OD'!$J$5,IF(B772=19,'Date masura OD'!$AL$5,M771))</f>
        <v>45808</v>
      </c>
      <c r="N772" s="104">
        <f>VLOOKUP(E772,verificare!$AR$4:$CC$33,B772+2,FALSE)</f>
        <v>92230</v>
      </c>
      <c r="O772" s="103">
        <f>HLOOKUP(VLOOKUP(E772,'Date SPV'!$B$4:$F$34,5,FALSE),'Preturi si tarife'!$C$2:$J$39,B772+2,FALSE)*10000</f>
        <v>9751.1759999999995</v>
      </c>
      <c r="Q772" s="101" t="str">
        <f t="shared" si="99"/>
        <v>One-off</v>
      </c>
      <c r="R772" s="101" t="str">
        <f>VLOOKUP(K772,'Preturi si tarife'!$B$4:$K$39,10,FALSE)</f>
        <v>ICOENG0012</v>
      </c>
      <c r="T772" s="101" t="str">
        <f t="shared" si="100"/>
        <v>INV + 30</v>
      </c>
      <c r="V772" s="101" t="str">
        <f t="shared" si="101"/>
        <v>Active</v>
      </c>
      <c r="X772" s="101" t="str">
        <f t="shared" si="102"/>
        <v>One-off</v>
      </c>
      <c r="AC772" s="101" t="str">
        <f t="shared" si="103"/>
        <v>RON</v>
      </c>
      <c r="AD772" s="101">
        <f t="shared" si="103"/>
        <v>10000</v>
      </c>
    </row>
    <row r="773" spans="1:30">
      <c r="A773" s="101">
        <f t="shared" si="104"/>
        <v>22</v>
      </c>
      <c r="B773" s="101">
        <f t="shared" si="97"/>
        <v>16</v>
      </c>
      <c r="C773" s="101" t="str">
        <f t="shared" si="98"/>
        <v>T16</v>
      </c>
      <c r="D773" s="101" t="str">
        <f>IF(A773&lt;&gt;A772,VLOOKUP(A773,'Date SPV'!$A:$D,4,FALSE),D772)</f>
        <v>Retail Park Pitesti SRL</v>
      </c>
      <c r="E773" s="101" t="str">
        <f>VLOOKUP(A773,'Date SPV'!$A$4:$B$34,2,FALSE)</f>
        <v>RRPP</v>
      </c>
      <c r="H773" s="105" t="s">
        <v>894</v>
      </c>
      <c r="K773" s="101" t="str">
        <f>VLOOKUP(C773,'Preturi si tarife'!$A$4:$B$39,2,FALSE)</f>
        <v>Energie activa 3</v>
      </c>
      <c r="L773" s="102">
        <f>IF(B773=1,'Date masura OD'!$I$5,IF(B773=19,'Date masura OD'!$AK$5,L772))</f>
        <v>45778</v>
      </c>
      <c r="M773" s="102">
        <f>IF(B773=1,'Date masura OD'!$J$5,IF(B773=19,'Date masura OD'!$AL$5,M772))</f>
        <v>45808</v>
      </c>
      <c r="N773" s="104">
        <f>VLOOKUP(E773,verificare!$AR$4:$CC$33,B773+2,FALSE)</f>
        <v>18203</v>
      </c>
      <c r="O773" s="103">
        <f>HLOOKUP(VLOOKUP(E773,'Date SPV'!$B$4:$F$34,5,FALSE),'Preturi si tarife'!$C$2:$J$39,B773+2,FALSE)*10000</f>
        <v>8552.1759999999995</v>
      </c>
      <c r="Q773" s="101" t="str">
        <f t="shared" si="99"/>
        <v>One-off</v>
      </c>
      <c r="R773" s="101" t="str">
        <f>VLOOKUP(K773,'Preturi si tarife'!$B$4:$K$39,10,FALSE)</f>
        <v>ICOENG0012</v>
      </c>
      <c r="T773" s="101" t="str">
        <f t="shared" si="100"/>
        <v>INV + 30</v>
      </c>
      <c r="V773" s="101" t="str">
        <f t="shared" si="101"/>
        <v>Active</v>
      </c>
      <c r="X773" s="101" t="str">
        <f t="shared" si="102"/>
        <v>One-off</v>
      </c>
      <c r="AC773" s="101" t="str">
        <f t="shared" si="103"/>
        <v>RON</v>
      </c>
      <c r="AD773" s="101">
        <f t="shared" si="103"/>
        <v>10000</v>
      </c>
    </row>
    <row r="774" spans="1:30">
      <c r="A774" s="101">
        <f t="shared" si="104"/>
        <v>22</v>
      </c>
      <c r="B774" s="101">
        <f t="shared" si="97"/>
        <v>17</v>
      </c>
      <c r="C774" s="101" t="str">
        <f t="shared" si="98"/>
        <v>T17</v>
      </c>
      <c r="D774" s="101" t="str">
        <f>IF(A774&lt;&gt;A773,VLOOKUP(A774,'Date SPV'!$A:$D,4,FALSE),D773)</f>
        <v>Retail Park Pitesti SRL</v>
      </c>
      <c r="E774" s="101" t="str">
        <f>VLOOKUP(A774,'Date SPV'!$A$4:$B$34,2,FALSE)</f>
        <v>RRPP</v>
      </c>
      <c r="H774" s="105" t="s">
        <v>894</v>
      </c>
      <c r="K774" s="101" t="str">
        <f>VLOOKUP(C774,'Preturi si tarife'!$A$4:$B$39,2,FALSE)</f>
        <v>Tarif distributie SDI MT_</v>
      </c>
      <c r="L774" s="102">
        <f>IF(B774=1,'Date masura OD'!$I$5,IF(B774=19,'Date masura OD'!$AK$5,L773))</f>
        <v>45778</v>
      </c>
      <c r="M774" s="102">
        <f>IF(B774=1,'Date masura OD'!$J$5,IF(B774=19,'Date masura OD'!$AL$5,M773))</f>
        <v>45808</v>
      </c>
      <c r="N774" s="104">
        <f>VLOOKUP(E774,verificare!$AR$4:$CC$33,B774+2,FALSE)</f>
        <v>18203</v>
      </c>
      <c r="O774" s="103">
        <f>HLOOKUP(VLOOKUP(E774,'Date SPV'!$B$4:$F$34,5,FALSE),'Preturi si tarife'!$C$2:$J$39,B774+2,FALSE)*10000</f>
        <v>170</v>
      </c>
      <c r="Q774" s="101" t="str">
        <f t="shared" si="99"/>
        <v>One-off</v>
      </c>
      <c r="R774" s="101" t="str">
        <f>VLOOKUP(K774,'Preturi si tarife'!$B$4:$K$39,10,FALSE)</f>
        <v>ICOENG0010</v>
      </c>
      <c r="T774" s="101" t="str">
        <f t="shared" si="100"/>
        <v>INV + 30</v>
      </c>
      <c r="V774" s="101" t="str">
        <f t="shared" si="101"/>
        <v>Active</v>
      </c>
      <c r="X774" s="101" t="str">
        <f t="shared" si="102"/>
        <v>One-off</v>
      </c>
      <c r="AC774" s="101" t="str">
        <f t="shared" si="103"/>
        <v>RON</v>
      </c>
      <c r="AD774" s="101">
        <f t="shared" si="103"/>
        <v>10000</v>
      </c>
    </row>
    <row r="775" spans="1:30">
      <c r="A775" s="101">
        <f t="shared" si="104"/>
        <v>22</v>
      </c>
      <c r="B775" s="101">
        <f t="shared" si="97"/>
        <v>18</v>
      </c>
      <c r="C775" s="101" t="str">
        <f t="shared" si="98"/>
        <v>T18</v>
      </c>
      <c r="D775" s="101" t="str">
        <f>IF(A775&lt;&gt;A774,VLOOKUP(A775,'Date SPV'!$A:$D,4,FALSE),D774)</f>
        <v>Retail Park Pitesti SRL</v>
      </c>
      <c r="E775" s="101" t="str">
        <f>VLOOKUP(A775,'Date SPV'!$A$4:$B$34,2,FALSE)</f>
        <v>RRPP</v>
      </c>
      <c r="H775" s="105" t="s">
        <v>894</v>
      </c>
      <c r="K775" s="101" t="str">
        <f>VLOOKUP(C775,'Preturi si tarife'!$A$4:$B$39,2,FALSE)</f>
        <v>Tarif distributie SDI JT_</v>
      </c>
      <c r="L775" s="102">
        <f>IF(B775=1,'Date masura OD'!$I$5,IF(B775=19,'Date masura OD'!$AK$5,L774))</f>
        <v>45778</v>
      </c>
      <c r="M775" s="102">
        <f>IF(B775=1,'Date masura OD'!$J$5,IF(B775=19,'Date masura OD'!$AL$5,M774))</f>
        <v>45808</v>
      </c>
      <c r="N775" s="104">
        <f>VLOOKUP(E775,verificare!$AR$4:$CC$33,B775+2,FALSE)</f>
        <v>18203</v>
      </c>
      <c r="O775" s="103">
        <f>HLOOKUP(VLOOKUP(E775,'Date SPV'!$B$4:$F$34,5,FALSE),'Preturi si tarife'!$C$2:$J$39,B775+2,FALSE)*10000</f>
        <v>1029</v>
      </c>
      <c r="Q775" s="101" t="str">
        <f t="shared" si="99"/>
        <v>One-off</v>
      </c>
      <c r="R775" s="101" t="str">
        <f>VLOOKUP(K775,'Preturi si tarife'!$B$4:$K$39,10,FALSE)</f>
        <v>ICOENG0010</v>
      </c>
      <c r="T775" s="101" t="str">
        <f t="shared" si="100"/>
        <v>INV + 30</v>
      </c>
      <c r="V775" s="101" t="str">
        <f t="shared" si="101"/>
        <v>Active</v>
      </c>
      <c r="X775" s="101" t="str">
        <f t="shared" si="102"/>
        <v>One-off</v>
      </c>
      <c r="AC775" s="101" t="str">
        <f t="shared" si="103"/>
        <v>RON</v>
      </c>
      <c r="AD775" s="101">
        <f t="shared" si="103"/>
        <v>10000</v>
      </c>
    </row>
    <row r="776" spans="1:30">
      <c r="A776" s="101">
        <f t="shared" si="104"/>
        <v>22</v>
      </c>
      <c r="B776" s="101">
        <f t="shared" si="97"/>
        <v>19</v>
      </c>
      <c r="C776" s="101" t="str">
        <f t="shared" si="98"/>
        <v>T19</v>
      </c>
      <c r="D776" s="101" t="str">
        <f>IF(A776&lt;&gt;A775,VLOOKUP(A776,'Date SPV'!$A:$D,4,FALSE),D775)</f>
        <v>Retail Park Pitesti SRL</v>
      </c>
      <c r="E776" s="101" t="str">
        <f>VLOOKUP(A776,'Date SPV'!$A$4:$B$34,2,FALSE)</f>
        <v>RRPP</v>
      </c>
      <c r="H776" s="105" t="s">
        <v>894</v>
      </c>
      <c r="K776" s="101" t="str">
        <f>VLOOKUP(C776,'Preturi si tarife'!$A$4:$B$39,2,FALSE)</f>
        <v>Regularizare Energie activa 1</v>
      </c>
      <c r="L776" s="102">
        <f>IF(B776=1,'Date masura OD'!$I$5,IF(B776=19,'Date masura OD'!$AK$5,L775))</f>
        <v>45748</v>
      </c>
      <c r="M776" s="102">
        <f>IF(B776=1,'Date masura OD'!$J$5,IF(B776=19,'Date masura OD'!$AL$5,M775))</f>
        <v>45777</v>
      </c>
      <c r="N776" s="104">
        <f>VLOOKUP(E776,verificare!$AR$4:$CC$33,B776+2,FALSE)</f>
        <v>0</v>
      </c>
      <c r="O776" s="103">
        <f>HLOOKUP(VLOOKUP(E776,'Date SPV'!$B$4:$F$34,5,FALSE),'Preturi si tarife'!$C$2:$J$39,B776+2,FALSE)*10000</f>
        <v>5950</v>
      </c>
      <c r="Q776" s="101" t="str">
        <f t="shared" si="99"/>
        <v>One-off</v>
      </c>
      <c r="R776" s="101" t="str">
        <f>VLOOKUP(K776,'Preturi si tarife'!$B$4:$K$39,10,FALSE)</f>
        <v>ICOENG0001</v>
      </c>
      <c r="T776" s="101" t="str">
        <f t="shared" si="100"/>
        <v>INV + 30</v>
      </c>
      <c r="V776" s="101" t="str">
        <f t="shared" si="101"/>
        <v>Active</v>
      </c>
      <c r="X776" s="101" t="str">
        <f t="shared" si="102"/>
        <v>One-off</v>
      </c>
      <c r="AC776" s="101" t="str">
        <f t="shared" si="103"/>
        <v>RON</v>
      </c>
      <c r="AD776" s="101">
        <f t="shared" si="103"/>
        <v>10000</v>
      </c>
    </row>
    <row r="777" spans="1:30">
      <c r="A777" s="101">
        <f t="shared" si="104"/>
        <v>22</v>
      </c>
      <c r="B777" s="101">
        <f t="shared" si="97"/>
        <v>20</v>
      </c>
      <c r="C777" s="101" t="str">
        <f t="shared" si="98"/>
        <v>T20</v>
      </c>
      <c r="D777" s="101" t="str">
        <f>IF(A777&lt;&gt;A776,VLOOKUP(A777,'Date SPV'!$A:$D,4,FALSE),D776)</f>
        <v>Retail Park Pitesti SRL</v>
      </c>
      <c r="E777" s="101" t="str">
        <f>VLOOKUP(A777,'Date SPV'!$A$4:$B$34,2,FALSE)</f>
        <v>RRPP</v>
      </c>
      <c r="H777" s="105" t="s">
        <v>894</v>
      </c>
      <c r="K777" s="101" t="str">
        <f>VLOOKUP(C777,'Preturi si tarife'!$A$4:$B$39,2,FALSE)</f>
        <v>Regularizare Energie reactiva  1X</v>
      </c>
      <c r="L777" s="102">
        <f>IF(B777=1,'Date masura OD'!$I$5,IF(B777=19,'Date masura OD'!$AK$5,L776))</f>
        <v>45748</v>
      </c>
      <c r="M777" s="102">
        <f>IF(B777=1,'Date masura OD'!$J$5,IF(B777=19,'Date masura OD'!$AL$5,M776))</f>
        <v>45777</v>
      </c>
      <c r="N777" s="104">
        <f>VLOOKUP(E777,verificare!$AR$4:$CC$33,B777+2,FALSE)</f>
        <v>11931</v>
      </c>
      <c r="O777" s="103">
        <f>HLOOKUP(VLOOKUP(E777,'Date SPV'!$B$4:$F$34,5,FALSE),'Preturi si tarife'!$C$2:$J$39,B777+2,FALSE)*10000</f>
        <v>1465</v>
      </c>
      <c r="Q777" s="101" t="str">
        <f t="shared" si="99"/>
        <v>One-off</v>
      </c>
      <c r="R777" s="101" t="str">
        <f>VLOOKUP(K777,'Preturi si tarife'!$B$4:$K$39,10,FALSE)</f>
        <v>ICOENG0001</v>
      </c>
      <c r="T777" s="101" t="str">
        <f t="shared" si="100"/>
        <v>INV + 30</v>
      </c>
      <c r="V777" s="101" t="str">
        <f t="shared" si="101"/>
        <v>Active</v>
      </c>
      <c r="X777" s="101" t="str">
        <f t="shared" si="102"/>
        <v>One-off</v>
      </c>
      <c r="AC777" s="101" t="str">
        <f t="shared" si="103"/>
        <v>RON</v>
      </c>
      <c r="AD777" s="101">
        <f t="shared" si="103"/>
        <v>10000</v>
      </c>
    </row>
    <row r="778" spans="1:30">
      <c r="A778" s="101">
        <f t="shared" si="104"/>
        <v>22</v>
      </c>
      <c r="B778" s="101">
        <f t="shared" si="97"/>
        <v>21</v>
      </c>
      <c r="C778" s="101" t="str">
        <f t="shared" si="98"/>
        <v>T21</v>
      </c>
      <c r="D778" s="101" t="str">
        <f>IF(A778&lt;&gt;A777,VLOOKUP(A778,'Date SPV'!$A:$D,4,FALSE),D777)</f>
        <v>Retail Park Pitesti SRL</v>
      </c>
      <c r="E778" s="101" t="str">
        <f>VLOOKUP(A778,'Date SPV'!$A$4:$B$34,2,FALSE)</f>
        <v>RRPP</v>
      </c>
      <c r="H778" s="105" t="s">
        <v>894</v>
      </c>
      <c r="K778" s="101" t="str">
        <f>VLOOKUP(C778,'Preturi si tarife'!$A$4:$B$39,2,FALSE)</f>
        <v>Regularizare Energie reactiva  3X</v>
      </c>
      <c r="L778" s="102">
        <f>IF(B778=1,'Date masura OD'!$I$5,IF(B778=19,'Date masura OD'!$AK$5,L777))</f>
        <v>45748</v>
      </c>
      <c r="M778" s="102">
        <f>IF(B778=1,'Date masura OD'!$J$5,IF(B778=19,'Date masura OD'!$AL$5,M777))</f>
        <v>45777</v>
      </c>
      <c r="N778" s="104">
        <f>VLOOKUP(E778,verificare!$AR$4:$CC$33,B778+2,FALSE)</f>
        <v>10195</v>
      </c>
      <c r="O778" s="103">
        <f>HLOOKUP(VLOOKUP(E778,'Date SPV'!$B$4:$F$34,5,FALSE),'Preturi si tarife'!$C$2:$J$39,B778+2,FALSE)*10000</f>
        <v>4395</v>
      </c>
      <c r="Q778" s="101" t="str">
        <f t="shared" si="99"/>
        <v>One-off</v>
      </c>
      <c r="R778" s="101" t="str">
        <f>VLOOKUP(K778,'Preturi si tarife'!$B$4:$K$39,10,FALSE)</f>
        <v>ICOENG0001</v>
      </c>
      <c r="T778" s="101" t="str">
        <f t="shared" si="100"/>
        <v>INV + 30</v>
      </c>
      <c r="V778" s="101" t="str">
        <f t="shared" si="101"/>
        <v>Active</v>
      </c>
      <c r="X778" s="101" t="str">
        <f t="shared" si="102"/>
        <v>One-off</v>
      </c>
      <c r="AC778" s="101" t="str">
        <f t="shared" si="103"/>
        <v>RON</v>
      </c>
      <c r="AD778" s="101">
        <f t="shared" si="103"/>
        <v>10000</v>
      </c>
    </row>
    <row r="779" spans="1:30">
      <c r="A779" s="101">
        <f t="shared" si="104"/>
        <v>22</v>
      </c>
      <c r="B779" s="101">
        <f t="shared" si="97"/>
        <v>22</v>
      </c>
      <c r="C779" s="101" t="str">
        <f t="shared" si="98"/>
        <v>T22</v>
      </c>
      <c r="D779" s="101" t="str">
        <f>IF(A779&lt;&gt;A778,VLOOKUP(A779,'Date SPV'!$A:$D,4,FALSE),D778)</f>
        <v>Retail Park Pitesti SRL</v>
      </c>
      <c r="E779" s="101" t="str">
        <f>VLOOKUP(A779,'Date SPV'!$A$4:$B$34,2,FALSE)</f>
        <v>RRPP</v>
      </c>
      <c r="H779" s="105" t="s">
        <v>894</v>
      </c>
      <c r="K779" s="101" t="str">
        <f>VLOOKUP(C779,'Preturi si tarife'!$A$4:$B$39,2,FALSE)</f>
        <v>Regularizare Tarife distributie en. El IT+MT</v>
      </c>
      <c r="L779" s="102">
        <f>IF(B779=1,'Date masura OD'!$I$5,IF(B779=19,'Date masura OD'!$AK$5,L778))</f>
        <v>45748</v>
      </c>
      <c r="M779" s="102">
        <f>IF(B779=1,'Date masura OD'!$J$5,IF(B779=19,'Date masura OD'!$AL$5,M778))</f>
        <v>45777</v>
      </c>
      <c r="N779" s="104">
        <f>VLOOKUP(E779,verificare!$AR$4:$CC$33,B779+2,FALSE)</f>
        <v>0</v>
      </c>
      <c r="O779" s="103">
        <f>HLOOKUP(VLOOKUP(E779,'Date SPV'!$B$4:$F$34,5,FALSE),'Preturi si tarife'!$C$2:$J$39,B779+2,FALSE)*10000</f>
        <v>1361.3999999999999</v>
      </c>
      <c r="Q779" s="101" t="str">
        <f t="shared" si="99"/>
        <v>One-off</v>
      </c>
      <c r="R779" s="101" t="str">
        <f>VLOOKUP(K779,'Preturi si tarife'!$B$4:$K$39,10,FALSE)</f>
        <v>ICOENG0001</v>
      </c>
      <c r="T779" s="101" t="str">
        <f t="shared" si="100"/>
        <v>INV + 30</v>
      </c>
      <c r="V779" s="101" t="str">
        <f t="shared" si="101"/>
        <v>Active</v>
      </c>
      <c r="X779" s="101" t="str">
        <f t="shared" si="102"/>
        <v>One-off</v>
      </c>
      <c r="AC779" s="101" t="str">
        <f t="shared" si="103"/>
        <v>RON</v>
      </c>
      <c r="AD779" s="101">
        <f t="shared" si="103"/>
        <v>10000</v>
      </c>
    </row>
    <row r="780" spans="1:30">
      <c r="A780" s="101">
        <f t="shared" si="104"/>
        <v>22</v>
      </c>
      <c r="B780" s="101">
        <f t="shared" si="97"/>
        <v>23</v>
      </c>
      <c r="C780" s="101" t="str">
        <f t="shared" si="98"/>
        <v>T23</v>
      </c>
      <c r="D780" s="101" t="str">
        <f>IF(A780&lt;&gt;A779,VLOOKUP(A780,'Date SPV'!$A:$D,4,FALSE),D779)</f>
        <v>Retail Park Pitesti SRL</v>
      </c>
      <c r="E780" s="101" t="str">
        <f>VLOOKUP(A780,'Date SPV'!$A$4:$B$34,2,FALSE)</f>
        <v>RRPP</v>
      </c>
      <c r="H780" s="105" t="s">
        <v>894</v>
      </c>
      <c r="K780" s="101" t="str">
        <f>VLOOKUP(C780,'Preturi si tarife'!$A$4:$B$39,2,FALSE)</f>
        <v>Regularizare Tarife distributie en. El JT</v>
      </c>
      <c r="L780" s="102">
        <f>IF(B780=1,'Date masura OD'!$I$5,IF(B780=19,'Date masura OD'!$AK$5,L779))</f>
        <v>45748</v>
      </c>
      <c r="M780" s="102">
        <f>IF(B780=1,'Date masura OD'!$J$5,IF(B780=19,'Date masura OD'!$AL$5,M779))</f>
        <v>45777</v>
      </c>
      <c r="N780" s="104">
        <f>VLOOKUP(E780,verificare!$AR$4:$CC$33,B780+2,FALSE)</f>
        <v>0</v>
      </c>
      <c r="O780" s="103">
        <f>HLOOKUP(VLOOKUP(E780,'Date SPV'!$B$4:$F$34,5,FALSE),'Preturi si tarife'!$C$2:$J$39,B780+2,FALSE)*10000</f>
        <v>2273.8999999999996</v>
      </c>
      <c r="Q780" s="101" t="str">
        <f t="shared" si="99"/>
        <v>One-off</v>
      </c>
      <c r="R780" s="101" t="str">
        <f>VLOOKUP(K780,'Preturi si tarife'!$B$4:$K$39,10,FALSE)</f>
        <v>ICOENG0001</v>
      </c>
      <c r="T780" s="101" t="str">
        <f t="shared" si="100"/>
        <v>INV + 30</v>
      </c>
      <c r="V780" s="101" t="str">
        <f t="shared" si="101"/>
        <v>Active</v>
      </c>
      <c r="X780" s="101" t="str">
        <f t="shared" si="102"/>
        <v>One-off</v>
      </c>
      <c r="AC780" s="101" t="str">
        <f t="shared" si="103"/>
        <v>RON</v>
      </c>
      <c r="AD780" s="101">
        <f t="shared" si="103"/>
        <v>10000</v>
      </c>
    </row>
    <row r="781" spans="1:30">
      <c r="A781" s="101">
        <f t="shared" si="104"/>
        <v>22</v>
      </c>
      <c r="B781" s="101">
        <f t="shared" si="97"/>
        <v>24</v>
      </c>
      <c r="C781" s="101" t="str">
        <f t="shared" si="98"/>
        <v>T24</v>
      </c>
      <c r="D781" s="101" t="str">
        <f>IF(A781&lt;&gt;A780,VLOOKUP(A781,'Date SPV'!$A:$D,4,FALSE),D780)</f>
        <v>Retail Park Pitesti SRL</v>
      </c>
      <c r="E781" s="101" t="str">
        <f>VLOOKUP(A781,'Date SPV'!$A$4:$B$34,2,FALSE)</f>
        <v>RRPP</v>
      </c>
      <c r="H781" s="105" t="s">
        <v>894</v>
      </c>
      <c r="K781" s="101" t="str">
        <f>VLOOKUP(C781,'Preturi si tarife'!$A$4:$B$39,2,FALSE)</f>
        <v xml:space="preserve">Regularizare Servicii Sistem </v>
      </c>
      <c r="L781" s="102">
        <f>IF(B781=1,'Date masura OD'!$I$5,IF(B781=19,'Date masura OD'!$AK$5,L780))</f>
        <v>45748</v>
      </c>
      <c r="M781" s="102">
        <f>IF(B781=1,'Date masura OD'!$J$5,IF(B781=19,'Date masura OD'!$AL$5,M780))</f>
        <v>45777</v>
      </c>
      <c r="N781" s="104">
        <f>VLOOKUP(E781,verificare!$AR$4:$CC$33,B781+2,FALSE)</f>
        <v>0</v>
      </c>
      <c r="O781" s="103">
        <f>HLOOKUP(VLOOKUP(E781,'Date SPV'!$B$4:$F$34,5,FALSE),'Preturi si tarife'!$C$2:$J$39,B781+2,FALSE)*10000</f>
        <v>115.1</v>
      </c>
      <c r="Q781" s="101" t="str">
        <f t="shared" si="99"/>
        <v>One-off</v>
      </c>
      <c r="R781" s="101" t="str">
        <f>VLOOKUP(K781,'Preturi si tarife'!$B$4:$K$39,10,FALSE)</f>
        <v>ICOENG0001</v>
      </c>
      <c r="T781" s="101" t="str">
        <f t="shared" si="100"/>
        <v>INV + 30</v>
      </c>
      <c r="V781" s="101" t="str">
        <f t="shared" si="101"/>
        <v>Active</v>
      </c>
      <c r="X781" s="101" t="str">
        <f t="shared" si="102"/>
        <v>One-off</v>
      </c>
      <c r="AC781" s="101" t="str">
        <f t="shared" ref="AC781:AD796" si="105">AC780</f>
        <v>RON</v>
      </c>
      <c r="AD781" s="101">
        <f t="shared" si="105"/>
        <v>10000</v>
      </c>
    </row>
    <row r="782" spans="1:30">
      <c r="A782" s="101">
        <f t="shared" si="104"/>
        <v>22</v>
      </c>
      <c r="B782" s="101">
        <f t="shared" si="97"/>
        <v>25</v>
      </c>
      <c r="C782" s="101" t="str">
        <f t="shared" si="98"/>
        <v>T25</v>
      </c>
      <c r="D782" s="101" t="str">
        <f>IF(A782&lt;&gt;A781,VLOOKUP(A782,'Date SPV'!$A:$D,4,FALSE),D781)</f>
        <v>Retail Park Pitesti SRL</v>
      </c>
      <c r="E782" s="101" t="str">
        <f>VLOOKUP(A782,'Date SPV'!$A$4:$B$34,2,FALSE)</f>
        <v>RRPP</v>
      </c>
      <c r="H782" s="105" t="s">
        <v>894</v>
      </c>
      <c r="K782" s="101" t="str">
        <f>VLOOKUP(C782,'Preturi si tarife'!$A$4:$B$39,2,FALSE)</f>
        <v>Regularizare Tarif de introducere en. el in retea (TL)</v>
      </c>
      <c r="L782" s="102">
        <f>IF(B782=1,'Date masura OD'!$I$5,IF(B782=19,'Date masura OD'!$AK$5,L781))</f>
        <v>45748</v>
      </c>
      <c r="M782" s="102">
        <f>IF(B782=1,'Date masura OD'!$J$5,IF(B782=19,'Date masura OD'!$AL$5,M781))</f>
        <v>45777</v>
      </c>
      <c r="N782" s="104">
        <f>VLOOKUP(E782,verificare!$AR$4:$CC$33,B782+2,FALSE)</f>
        <v>0</v>
      </c>
      <c r="O782" s="103">
        <f>HLOOKUP(VLOOKUP(E782,'Date SPV'!$B$4:$F$34,5,FALSE),'Preturi si tarife'!$C$2:$J$39,B782+2,FALSE)*10000</f>
        <v>330.3</v>
      </c>
      <c r="Q782" s="101" t="str">
        <f t="shared" si="99"/>
        <v>One-off</v>
      </c>
      <c r="R782" s="101" t="str">
        <f>VLOOKUP(K782,'Preturi si tarife'!$B$4:$K$39,10,FALSE)</f>
        <v>ICOENG0001</v>
      </c>
      <c r="T782" s="101" t="str">
        <f t="shared" si="100"/>
        <v>INV + 30</v>
      </c>
      <c r="V782" s="101" t="str">
        <f t="shared" si="101"/>
        <v>Active</v>
      </c>
      <c r="X782" s="101" t="str">
        <f t="shared" si="102"/>
        <v>One-off</v>
      </c>
      <c r="AC782" s="101" t="str">
        <f t="shared" si="105"/>
        <v>RON</v>
      </c>
      <c r="AD782" s="101">
        <f t="shared" si="105"/>
        <v>10000</v>
      </c>
    </row>
    <row r="783" spans="1:30">
      <c r="A783" s="101">
        <f t="shared" si="104"/>
        <v>22</v>
      </c>
      <c r="B783" s="101">
        <f t="shared" si="97"/>
        <v>26</v>
      </c>
      <c r="C783" s="101" t="str">
        <f t="shared" si="98"/>
        <v>T26</v>
      </c>
      <c r="D783" s="101" t="str">
        <f>IF(A783&lt;&gt;A782,VLOOKUP(A783,'Date SPV'!$A:$D,4,FALSE),D782)</f>
        <v>Retail Park Pitesti SRL</v>
      </c>
      <c r="E783" s="101" t="str">
        <f>VLOOKUP(A783,'Date SPV'!$A$4:$B$34,2,FALSE)</f>
        <v>RRPP</v>
      </c>
      <c r="H783" s="105" t="s">
        <v>894</v>
      </c>
      <c r="K783" s="101" t="str">
        <f>VLOOKUP(C783,'Preturi si tarife'!$A$4:$B$39,2,FALSE)</f>
        <v>Regularizare Tarif de introducere en.el in retea (TG)</v>
      </c>
      <c r="L783" s="102">
        <f>IF(B783=1,'Date masura OD'!$I$5,IF(B783=19,'Date masura OD'!$AK$5,L782))</f>
        <v>45748</v>
      </c>
      <c r="M783" s="102">
        <f>IF(B783=1,'Date masura OD'!$J$5,IF(B783=19,'Date masura OD'!$AL$5,M782))</f>
        <v>45777</v>
      </c>
      <c r="N783" s="104">
        <f>VLOOKUP(E783,verificare!$AR$4:$CC$33,B783+2,FALSE)</f>
        <v>0</v>
      </c>
      <c r="O783" s="103">
        <f>HLOOKUP(VLOOKUP(E783,'Date SPV'!$B$4:$F$34,5,FALSE),'Preturi si tarife'!$C$2:$J$39,B783+2,FALSE)*10000</f>
        <v>32.9</v>
      </c>
      <c r="Q783" s="101" t="str">
        <f t="shared" si="99"/>
        <v>One-off</v>
      </c>
      <c r="R783" s="101" t="str">
        <f>VLOOKUP(K783,'Preturi si tarife'!$B$4:$K$39,10,FALSE)</f>
        <v>ICOENG0001</v>
      </c>
      <c r="T783" s="101" t="str">
        <f t="shared" si="100"/>
        <v>INV + 30</v>
      </c>
      <c r="V783" s="101" t="str">
        <f t="shared" si="101"/>
        <v>Active</v>
      </c>
      <c r="X783" s="101" t="str">
        <f t="shared" si="102"/>
        <v>One-off</v>
      </c>
      <c r="AC783" s="101" t="str">
        <f t="shared" si="105"/>
        <v>RON</v>
      </c>
      <c r="AD783" s="101">
        <f t="shared" si="105"/>
        <v>10000</v>
      </c>
    </row>
    <row r="784" spans="1:30">
      <c r="A784" s="101">
        <f t="shared" si="104"/>
        <v>22</v>
      </c>
      <c r="B784" s="101">
        <f t="shared" si="97"/>
        <v>27</v>
      </c>
      <c r="C784" s="101" t="str">
        <f t="shared" si="98"/>
        <v>T27</v>
      </c>
      <c r="D784" s="101" t="str">
        <f>IF(A784&lt;&gt;A783,VLOOKUP(A784,'Date SPV'!$A:$D,4,FALSE),D783)</f>
        <v>Retail Park Pitesti SRL</v>
      </c>
      <c r="E784" s="101" t="str">
        <f>VLOOKUP(A784,'Date SPV'!$A$4:$B$34,2,FALSE)</f>
        <v>RRPP</v>
      </c>
      <c r="H784" s="105" t="s">
        <v>894</v>
      </c>
      <c r="K784" s="101" t="str">
        <f>VLOOKUP(C784,'Preturi si tarife'!$A$4:$B$39,2,FALSE)</f>
        <v>Regularizare Contributie pentru cogenerare</v>
      </c>
      <c r="L784" s="102">
        <f>IF(B784=1,'Date masura OD'!$I$5,IF(B784=19,'Date masura OD'!$AK$5,L783))</f>
        <v>45748</v>
      </c>
      <c r="M784" s="102">
        <f>IF(B784=1,'Date masura OD'!$J$5,IF(B784=19,'Date masura OD'!$AL$5,M783))</f>
        <v>45777</v>
      </c>
      <c r="N784" s="104">
        <f>VLOOKUP(E784,verificare!$AR$4:$CC$33,B784+2,FALSE)</f>
        <v>0</v>
      </c>
      <c r="O784" s="103">
        <f>HLOOKUP(VLOOKUP(E784,'Date SPV'!$B$4:$F$34,5,FALSE),'Preturi si tarife'!$C$2:$J$39,B784+2,FALSE)*10000</f>
        <v>35</v>
      </c>
      <c r="Q784" s="101" t="str">
        <f t="shared" si="99"/>
        <v>One-off</v>
      </c>
      <c r="R784" s="101" t="str">
        <f>VLOOKUP(K784,'Preturi si tarife'!$B$4:$K$39,10,FALSE)</f>
        <v>ICOENG0001</v>
      </c>
      <c r="T784" s="101" t="str">
        <f t="shared" si="100"/>
        <v>INV + 30</v>
      </c>
      <c r="V784" s="101" t="str">
        <f t="shared" si="101"/>
        <v>Active</v>
      </c>
      <c r="X784" s="101" t="str">
        <f t="shared" si="102"/>
        <v>One-off</v>
      </c>
      <c r="AC784" s="101" t="str">
        <f t="shared" si="105"/>
        <v>RON</v>
      </c>
      <c r="AD784" s="101">
        <f t="shared" si="105"/>
        <v>10000</v>
      </c>
    </row>
    <row r="785" spans="1:30">
      <c r="A785" s="101">
        <f t="shared" si="104"/>
        <v>22</v>
      </c>
      <c r="B785" s="101">
        <f t="shared" si="97"/>
        <v>28</v>
      </c>
      <c r="C785" s="101" t="str">
        <f t="shared" si="98"/>
        <v>T28</v>
      </c>
      <c r="D785" s="101" t="str">
        <f>IF(A785&lt;&gt;A784,VLOOKUP(A785,'Date SPV'!$A:$D,4,FALSE),D784)</f>
        <v>Retail Park Pitesti SRL</v>
      </c>
      <c r="E785" s="101" t="str">
        <f>VLOOKUP(A785,'Date SPV'!$A$4:$B$34,2,FALSE)</f>
        <v>RRPP</v>
      </c>
      <c r="H785" s="105" t="s">
        <v>894</v>
      </c>
      <c r="K785" s="101" t="str">
        <f>VLOOKUP(C785,'Preturi si tarife'!$A$4:$B$39,2,FALSE)</f>
        <v xml:space="preserve">Regularizare Certificate verzi </v>
      </c>
      <c r="L785" s="102">
        <f>IF(B785=1,'Date masura OD'!$I$5,IF(B785=19,'Date masura OD'!$AK$5,L784))</f>
        <v>45748</v>
      </c>
      <c r="M785" s="102">
        <f>IF(B785=1,'Date masura OD'!$J$5,IF(B785=19,'Date masura OD'!$AL$5,M784))</f>
        <v>45777</v>
      </c>
      <c r="N785" s="104">
        <f>VLOOKUP(E785,verificare!$AR$4:$CC$33,B785+2,FALSE)</f>
        <v>0</v>
      </c>
      <c r="O785" s="103">
        <f>HLOOKUP(VLOOKUP(E785,'Date SPV'!$B$4:$F$34,5,FALSE),'Preturi si tarife'!$C$2:$J$39,B785+2,FALSE)*10000</f>
        <v>725.41599999999994</v>
      </c>
      <c r="Q785" s="101" t="str">
        <f t="shared" si="99"/>
        <v>One-off</v>
      </c>
      <c r="R785" s="101" t="str">
        <f>VLOOKUP(K785,'Preturi si tarife'!$B$4:$K$39,10,FALSE)</f>
        <v>ICOENG0001</v>
      </c>
      <c r="T785" s="101" t="str">
        <f t="shared" si="100"/>
        <v>INV + 30</v>
      </c>
      <c r="V785" s="101" t="str">
        <f t="shared" si="101"/>
        <v>Active</v>
      </c>
      <c r="X785" s="101" t="str">
        <f t="shared" si="102"/>
        <v>One-off</v>
      </c>
      <c r="AC785" s="101" t="str">
        <f t="shared" si="105"/>
        <v>RON</v>
      </c>
      <c r="AD785" s="101">
        <f t="shared" si="105"/>
        <v>10000</v>
      </c>
    </row>
    <row r="786" spans="1:30">
      <c r="A786" s="101">
        <f t="shared" si="104"/>
        <v>22</v>
      </c>
      <c r="B786" s="101">
        <f t="shared" si="97"/>
        <v>29</v>
      </c>
      <c r="C786" s="101" t="str">
        <f t="shared" si="98"/>
        <v>T29</v>
      </c>
      <c r="D786" s="101" t="str">
        <f>IF(A786&lt;&gt;A785,VLOOKUP(A786,'Date SPV'!$A:$D,4,FALSE),D785)</f>
        <v>Retail Park Pitesti SRL</v>
      </c>
      <c r="E786" s="101" t="str">
        <f>VLOOKUP(A786,'Date SPV'!$A$4:$B$34,2,FALSE)</f>
        <v>RRPP</v>
      </c>
      <c r="H786" s="105" t="s">
        <v>894</v>
      </c>
      <c r="K786" s="101" t="str">
        <f>VLOOKUP(C786,'Preturi si tarife'!$A$4:$B$39,2,FALSE)</f>
        <v>Regularizare Contributie CFD</v>
      </c>
      <c r="L786" s="102">
        <f>IF(B786=1,'Date masura OD'!$I$5,IF(B786=19,'Date masura OD'!$AK$5,L785))</f>
        <v>45748</v>
      </c>
      <c r="M786" s="102">
        <f>IF(B786=1,'Date masura OD'!$J$5,IF(B786=19,'Date masura OD'!$AL$5,M785))</f>
        <v>45777</v>
      </c>
      <c r="N786" s="104">
        <f>VLOOKUP(E786,verificare!$AR$4:$CC$33,B786+2,FALSE)</f>
        <v>0</v>
      </c>
      <c r="O786" s="103">
        <f>HLOOKUP(VLOOKUP(E786,'Date SPV'!$B$4:$F$34,5,FALSE),'Preturi si tarife'!$C$2:$J$39,B786+2,FALSE)*10000</f>
        <v>2.06</v>
      </c>
      <c r="Q786" s="101" t="str">
        <f t="shared" si="99"/>
        <v>One-off</v>
      </c>
      <c r="R786" s="101" t="str">
        <f>VLOOKUP(K786,'Preturi si tarife'!$B$4:$K$39,10,FALSE)</f>
        <v>ICOENG0001</v>
      </c>
      <c r="T786" s="101" t="str">
        <f t="shared" si="100"/>
        <v>INV + 30</v>
      </c>
      <c r="V786" s="101" t="str">
        <f t="shared" si="101"/>
        <v>Active</v>
      </c>
      <c r="X786" s="101" t="str">
        <f t="shared" si="102"/>
        <v>One-off</v>
      </c>
      <c r="AC786" s="101" t="str">
        <f t="shared" si="105"/>
        <v>RON</v>
      </c>
      <c r="AD786" s="101">
        <f t="shared" si="105"/>
        <v>10000</v>
      </c>
    </row>
    <row r="787" spans="1:30">
      <c r="A787" s="101">
        <f t="shared" si="104"/>
        <v>22</v>
      </c>
      <c r="B787" s="101">
        <f t="shared" si="97"/>
        <v>30</v>
      </c>
      <c r="C787" s="101" t="str">
        <f t="shared" si="98"/>
        <v>T30</v>
      </c>
      <c r="D787" s="101" t="str">
        <f>IF(A787&lt;&gt;A786,VLOOKUP(A787,'Date SPV'!$A:$D,4,FALSE),D786)</f>
        <v>Retail Park Pitesti SRL</v>
      </c>
      <c r="E787" s="101" t="str">
        <f>VLOOKUP(A787,'Date SPV'!$A$4:$B$34,2,FALSE)</f>
        <v>RRPP</v>
      </c>
      <c r="H787" s="105" t="s">
        <v>894</v>
      </c>
      <c r="K787" s="101" t="str">
        <f>VLOOKUP(C787,'Preturi si tarife'!$A$4:$B$39,2,FALSE)</f>
        <v>Regularizare Acciza</v>
      </c>
      <c r="L787" s="102">
        <f>IF(B787=1,'Date masura OD'!$I$5,IF(B787=19,'Date masura OD'!$AK$5,L786))</f>
        <v>45748</v>
      </c>
      <c r="M787" s="102">
        <f>IF(B787=1,'Date masura OD'!$J$5,IF(B787=19,'Date masura OD'!$AL$5,M786))</f>
        <v>45777</v>
      </c>
      <c r="N787" s="104">
        <f>VLOOKUP(E787,verificare!$AR$4:$CC$33,B787+2,FALSE)</f>
        <v>0</v>
      </c>
      <c r="O787" s="103">
        <f>HLOOKUP(VLOOKUP(E787,'Date SPV'!$B$4:$F$34,5,FALSE),'Preturi si tarife'!$C$2:$J$39,B787+2,FALSE)*10000</f>
        <v>0</v>
      </c>
      <c r="Q787" s="101" t="str">
        <f t="shared" si="99"/>
        <v>One-off</v>
      </c>
      <c r="R787" s="101" t="str">
        <f>VLOOKUP(K787,'Preturi si tarife'!$B$4:$K$39,10,FALSE)</f>
        <v>ICOENG0001</v>
      </c>
      <c r="T787" s="101" t="str">
        <f t="shared" si="100"/>
        <v>INV + 30</v>
      </c>
      <c r="V787" s="101" t="str">
        <f t="shared" si="101"/>
        <v>Active</v>
      </c>
      <c r="X787" s="101" t="str">
        <f t="shared" si="102"/>
        <v>One-off</v>
      </c>
      <c r="AC787" s="101" t="str">
        <f t="shared" si="105"/>
        <v>RON</v>
      </c>
      <c r="AD787" s="101">
        <f t="shared" si="105"/>
        <v>10000</v>
      </c>
    </row>
    <row r="788" spans="1:30">
      <c r="A788" s="101">
        <f t="shared" si="104"/>
        <v>22</v>
      </c>
      <c r="B788" s="101">
        <f t="shared" si="97"/>
        <v>31</v>
      </c>
      <c r="C788" s="101" t="str">
        <f t="shared" si="98"/>
        <v>T31</v>
      </c>
      <c r="D788" s="101" t="str">
        <f>IF(A788&lt;&gt;A787,VLOOKUP(A788,'Date SPV'!$A:$D,4,FALSE),D787)</f>
        <v>Retail Park Pitesti SRL</v>
      </c>
      <c r="E788" s="101" t="str">
        <f>VLOOKUP(A788,'Date SPV'!$A$4:$B$34,2,FALSE)</f>
        <v>RRPP</v>
      </c>
      <c r="H788" s="105" t="s">
        <v>894</v>
      </c>
      <c r="K788" s="101" t="str">
        <f>VLOOKUP(C788,'Preturi si tarife'!$A$4:$B$39,2,FALSE)</f>
        <v>Regularizare Tarif distributie SDI MT Ea1</v>
      </c>
      <c r="L788" s="102">
        <f>IF(B788=1,'Date masura OD'!$I$5,IF(B788=19,'Date masura OD'!$AK$5,L787))</f>
        <v>45748</v>
      </c>
      <c r="M788" s="102">
        <f>IF(B788=1,'Date masura OD'!$J$5,IF(B788=19,'Date masura OD'!$AL$5,M787))</f>
        <v>45777</v>
      </c>
      <c r="N788" s="104">
        <f>VLOOKUP(E788,verificare!$AR$4:$CC$33,B788+2,FALSE)</f>
        <v>0</v>
      </c>
      <c r="O788" s="103">
        <f>HLOOKUP(VLOOKUP(E788,'Date SPV'!$B$4:$F$34,5,FALSE),'Preturi si tarife'!$C$2:$J$39,B788+2,FALSE)*10000</f>
        <v>170</v>
      </c>
      <c r="Q788" s="101" t="str">
        <f t="shared" si="99"/>
        <v>One-off</v>
      </c>
      <c r="R788" s="101" t="str">
        <f>VLOOKUP(K788,'Preturi si tarife'!$B$4:$K$39,10,FALSE)</f>
        <v>ICOENG0010</v>
      </c>
      <c r="T788" s="101" t="str">
        <f t="shared" si="100"/>
        <v>INV + 30</v>
      </c>
      <c r="V788" s="101" t="str">
        <f t="shared" si="101"/>
        <v>Active</v>
      </c>
      <c r="X788" s="101" t="str">
        <f t="shared" si="102"/>
        <v>One-off</v>
      </c>
      <c r="AC788" s="101" t="str">
        <f t="shared" si="105"/>
        <v>RON</v>
      </c>
      <c r="AD788" s="101">
        <f t="shared" si="105"/>
        <v>10000</v>
      </c>
    </row>
    <row r="789" spans="1:30">
      <c r="A789" s="101">
        <f t="shared" si="104"/>
        <v>22</v>
      </c>
      <c r="B789" s="101">
        <f t="shared" si="97"/>
        <v>32</v>
      </c>
      <c r="C789" s="101" t="str">
        <f t="shared" si="98"/>
        <v>T32</v>
      </c>
      <c r="D789" s="101" t="str">
        <f>IF(A789&lt;&gt;A788,VLOOKUP(A789,'Date SPV'!$A:$D,4,FALSE),D788)</f>
        <v>Retail Park Pitesti SRL</v>
      </c>
      <c r="E789" s="101" t="str">
        <f>VLOOKUP(A789,'Date SPV'!$A$4:$B$34,2,FALSE)</f>
        <v>RRPP</v>
      </c>
      <c r="H789" s="105" t="s">
        <v>894</v>
      </c>
      <c r="K789" s="101" t="str">
        <f>VLOOKUP(C789,'Preturi si tarife'!$A$4:$B$39,2,FALSE)</f>
        <v>Regularizare Tarif distributie SDI JT Ea1</v>
      </c>
      <c r="L789" s="102">
        <f>IF(B789=1,'Date masura OD'!$I$5,IF(B789=19,'Date masura OD'!$AK$5,L788))</f>
        <v>45748</v>
      </c>
      <c r="M789" s="102">
        <f>IF(B789=1,'Date masura OD'!$J$5,IF(B789=19,'Date masura OD'!$AL$5,M788))</f>
        <v>45777</v>
      </c>
      <c r="N789" s="104">
        <f>VLOOKUP(E789,verificare!$AR$4:$CC$33,B789+2,FALSE)</f>
        <v>0</v>
      </c>
      <c r="O789" s="103">
        <f>HLOOKUP(VLOOKUP(E789,'Date SPV'!$B$4:$F$34,5,FALSE),'Preturi si tarife'!$C$2:$J$39,B789+2,FALSE)*10000</f>
        <v>1029</v>
      </c>
      <c r="Q789" s="101" t="str">
        <f t="shared" si="99"/>
        <v>One-off</v>
      </c>
      <c r="R789" s="101" t="str">
        <f>VLOOKUP(K789,'Preturi si tarife'!$B$4:$K$39,10,FALSE)</f>
        <v>ICOENG0010</v>
      </c>
      <c r="T789" s="101" t="str">
        <f t="shared" si="100"/>
        <v>INV + 30</v>
      </c>
      <c r="V789" s="101" t="str">
        <f t="shared" si="101"/>
        <v>Active</v>
      </c>
      <c r="X789" s="101" t="str">
        <f t="shared" si="102"/>
        <v>One-off</v>
      </c>
      <c r="AC789" s="101" t="str">
        <f t="shared" si="105"/>
        <v>RON</v>
      </c>
      <c r="AD789" s="101">
        <f t="shared" si="105"/>
        <v>10000</v>
      </c>
    </row>
    <row r="790" spans="1:30">
      <c r="A790" s="101">
        <f t="shared" si="104"/>
        <v>22</v>
      </c>
      <c r="B790" s="101">
        <f t="shared" si="97"/>
        <v>33</v>
      </c>
      <c r="C790" s="101" t="str">
        <f t="shared" si="98"/>
        <v>T33</v>
      </c>
      <c r="D790" s="101" t="str">
        <f>IF(A790&lt;&gt;A789,VLOOKUP(A790,'Date SPV'!$A:$D,4,FALSE),D789)</f>
        <v>Retail Park Pitesti SRL</v>
      </c>
      <c r="E790" s="101" t="str">
        <f>VLOOKUP(A790,'Date SPV'!$A$4:$B$34,2,FALSE)</f>
        <v>RRPP</v>
      </c>
      <c r="H790" s="105" t="s">
        <v>894</v>
      </c>
      <c r="K790" s="101" t="str">
        <f>VLOOKUP(C790,'Preturi si tarife'!$A$4:$B$39,2,FALSE)</f>
        <v>Regularizare Energie activa 2</v>
      </c>
      <c r="L790" s="102">
        <f>IF(B790=1,'Date masura OD'!$I$5,IF(B790=19,'Date masura OD'!$AK$5,L789))</f>
        <v>45748</v>
      </c>
      <c r="M790" s="102">
        <f>IF(B790=1,'Date masura OD'!$J$5,IF(B790=19,'Date masura OD'!$AL$5,M789))</f>
        <v>45777</v>
      </c>
      <c r="N790" s="104">
        <f>VLOOKUP(E790,verificare!$AR$4:$CC$33,B790+2,FALSE)</f>
        <v>0</v>
      </c>
      <c r="O790" s="103">
        <f>HLOOKUP(VLOOKUP(E790,'Date SPV'!$B$4:$F$34,5,FALSE),'Preturi si tarife'!$C$2:$J$39,B790+2,FALSE)*10000</f>
        <v>9751.1759999999995</v>
      </c>
      <c r="Q790" s="101" t="str">
        <f t="shared" si="99"/>
        <v>One-off</v>
      </c>
      <c r="R790" s="101" t="str">
        <f>VLOOKUP(K790,'Preturi si tarife'!$B$4:$K$39,10,FALSE)</f>
        <v>ICOENG0012</v>
      </c>
      <c r="T790" s="101" t="str">
        <f t="shared" si="100"/>
        <v>INV + 30</v>
      </c>
      <c r="V790" s="101" t="str">
        <f t="shared" si="101"/>
        <v>Active</v>
      </c>
      <c r="X790" s="101" t="str">
        <f t="shared" si="102"/>
        <v>One-off</v>
      </c>
      <c r="AC790" s="101" t="str">
        <f t="shared" si="105"/>
        <v>RON</v>
      </c>
      <c r="AD790" s="101">
        <f t="shared" si="105"/>
        <v>10000</v>
      </c>
    </row>
    <row r="791" spans="1:30">
      <c r="A791" s="101">
        <f t="shared" si="104"/>
        <v>22</v>
      </c>
      <c r="B791" s="101">
        <f t="shared" si="97"/>
        <v>34</v>
      </c>
      <c r="C791" s="101" t="str">
        <f t="shared" si="98"/>
        <v>T34</v>
      </c>
      <c r="D791" s="101" t="str">
        <f>IF(A791&lt;&gt;A790,VLOOKUP(A791,'Date SPV'!$A:$D,4,FALSE),D790)</f>
        <v>Retail Park Pitesti SRL</v>
      </c>
      <c r="E791" s="101" t="str">
        <f>VLOOKUP(A791,'Date SPV'!$A$4:$B$34,2,FALSE)</f>
        <v>RRPP</v>
      </c>
      <c r="H791" s="105" t="s">
        <v>894</v>
      </c>
      <c r="K791" s="101" t="str">
        <f>VLOOKUP(C791,'Preturi si tarife'!$A$4:$B$39,2,FALSE)</f>
        <v>Regularizare Energie activa 3</v>
      </c>
      <c r="L791" s="102">
        <f>IF(B791=1,'Date masura OD'!$I$5,IF(B791=19,'Date masura OD'!$AK$5,L790))</f>
        <v>45748</v>
      </c>
      <c r="M791" s="102">
        <f>IF(B791=1,'Date masura OD'!$J$5,IF(B791=19,'Date masura OD'!$AL$5,M790))</f>
        <v>45777</v>
      </c>
      <c r="N791" s="104">
        <f>VLOOKUP(E791,verificare!$AR$4:$CC$33,B791+2,FALSE)</f>
        <v>0</v>
      </c>
      <c r="O791" s="103">
        <f>HLOOKUP(VLOOKUP(E791,'Date SPV'!$B$4:$F$34,5,FALSE),'Preturi si tarife'!$C$2:$J$39,B791+2,FALSE)*10000</f>
        <v>8552.1759999999995</v>
      </c>
      <c r="Q791" s="101" t="str">
        <f t="shared" si="99"/>
        <v>One-off</v>
      </c>
      <c r="R791" s="101" t="str">
        <f>VLOOKUP(K791,'Preturi si tarife'!$B$4:$K$39,10,FALSE)</f>
        <v>ICOENG0012</v>
      </c>
      <c r="T791" s="101" t="str">
        <f t="shared" si="100"/>
        <v>INV + 30</v>
      </c>
      <c r="V791" s="101" t="str">
        <f t="shared" si="101"/>
        <v>Active</v>
      </c>
      <c r="X791" s="101" t="str">
        <f t="shared" si="102"/>
        <v>One-off</v>
      </c>
      <c r="AC791" s="101" t="str">
        <f t="shared" si="105"/>
        <v>RON</v>
      </c>
      <c r="AD791" s="101">
        <f t="shared" si="105"/>
        <v>10000</v>
      </c>
    </row>
    <row r="792" spans="1:30">
      <c r="A792" s="101">
        <f t="shared" si="104"/>
        <v>22</v>
      </c>
      <c r="B792" s="101">
        <f t="shared" si="97"/>
        <v>35</v>
      </c>
      <c r="C792" s="101" t="str">
        <f t="shared" si="98"/>
        <v>T35</v>
      </c>
      <c r="D792" s="101" t="str">
        <f>IF(A792&lt;&gt;A791,VLOOKUP(A792,'Date SPV'!$A:$D,4,FALSE),D791)</f>
        <v>Retail Park Pitesti SRL</v>
      </c>
      <c r="E792" s="101" t="str">
        <f>VLOOKUP(A792,'Date SPV'!$A$4:$B$34,2,FALSE)</f>
        <v>RRPP</v>
      </c>
      <c r="H792" s="105" t="s">
        <v>894</v>
      </c>
      <c r="K792" s="101" t="str">
        <f>VLOOKUP(C792,'Preturi si tarife'!$A$4:$B$39,2,FALSE)</f>
        <v>Regularizare Tarif distributie SDI MT Ea3</v>
      </c>
      <c r="L792" s="102">
        <f>IF(B792=1,'Date masura OD'!$I$5,IF(B792=19,'Date masura OD'!$AK$5,L791))</f>
        <v>45748</v>
      </c>
      <c r="M792" s="102">
        <f>IF(B792=1,'Date masura OD'!$J$5,IF(B792=19,'Date masura OD'!$AL$5,M791))</f>
        <v>45777</v>
      </c>
      <c r="N792" s="104">
        <f>VLOOKUP(E792,verificare!$AR$4:$CC$33,B792+2,FALSE)</f>
        <v>0</v>
      </c>
      <c r="O792" s="103">
        <f>HLOOKUP(VLOOKUP(E792,'Date SPV'!$B$4:$F$34,5,FALSE),'Preturi si tarife'!$C$2:$J$39,B792+2,FALSE)*10000</f>
        <v>170</v>
      </c>
      <c r="Q792" s="101" t="str">
        <f t="shared" si="99"/>
        <v>One-off</v>
      </c>
      <c r="R792" s="101" t="str">
        <f>VLOOKUP(K792,'Preturi si tarife'!$B$4:$K$39,10,FALSE)</f>
        <v>ICOENG0010</v>
      </c>
      <c r="T792" s="101" t="str">
        <f t="shared" si="100"/>
        <v>INV + 30</v>
      </c>
      <c r="V792" s="101" t="str">
        <f t="shared" si="101"/>
        <v>Active</v>
      </c>
      <c r="X792" s="101" t="str">
        <f t="shared" si="102"/>
        <v>One-off</v>
      </c>
      <c r="AC792" s="101" t="str">
        <f t="shared" si="105"/>
        <v>RON</v>
      </c>
      <c r="AD792" s="101">
        <f t="shared" si="105"/>
        <v>10000</v>
      </c>
    </row>
    <row r="793" spans="1:30">
      <c r="A793" s="101">
        <f t="shared" si="104"/>
        <v>22</v>
      </c>
      <c r="B793" s="101">
        <f t="shared" si="97"/>
        <v>36</v>
      </c>
      <c r="C793" s="101" t="str">
        <f t="shared" si="98"/>
        <v>T36</v>
      </c>
      <c r="D793" s="101" t="str">
        <f>IF(A793&lt;&gt;A792,VLOOKUP(A793,'Date SPV'!$A:$D,4,FALSE),D792)</f>
        <v>Retail Park Pitesti SRL</v>
      </c>
      <c r="E793" s="101" t="str">
        <f>VLOOKUP(A793,'Date SPV'!$A$4:$B$34,2,FALSE)</f>
        <v>RRPP</v>
      </c>
      <c r="H793" s="105" t="s">
        <v>894</v>
      </c>
      <c r="K793" s="101" t="str">
        <f>VLOOKUP(C793,'Preturi si tarife'!$A$4:$B$39,2,FALSE)</f>
        <v>Regularizare Tarif distributie SDI JT Ea3</v>
      </c>
      <c r="L793" s="102">
        <f>IF(B793=1,'Date masura OD'!$I$5,IF(B793=19,'Date masura OD'!$AK$5,L792))</f>
        <v>45748</v>
      </c>
      <c r="M793" s="102">
        <f>IF(B793=1,'Date masura OD'!$J$5,IF(B793=19,'Date masura OD'!$AL$5,M792))</f>
        <v>45777</v>
      </c>
      <c r="N793" s="104">
        <f>VLOOKUP(E793,verificare!$AR$4:$CC$33,B793+2,FALSE)</f>
        <v>0</v>
      </c>
      <c r="O793" s="103">
        <f>HLOOKUP(VLOOKUP(E793,'Date SPV'!$B$4:$F$34,5,FALSE),'Preturi si tarife'!$C$2:$J$39,B793+2,FALSE)*10000</f>
        <v>1029</v>
      </c>
      <c r="Q793" s="101" t="str">
        <f t="shared" si="99"/>
        <v>One-off</v>
      </c>
      <c r="R793" s="101" t="str">
        <f>VLOOKUP(K793,'Preturi si tarife'!$B$4:$K$39,10,FALSE)</f>
        <v>ICOENG0010</v>
      </c>
      <c r="T793" s="101" t="str">
        <f t="shared" si="100"/>
        <v>INV + 30</v>
      </c>
      <c r="V793" s="101" t="str">
        <f t="shared" si="101"/>
        <v>Active</v>
      </c>
      <c r="X793" s="101" t="str">
        <f t="shared" si="102"/>
        <v>One-off</v>
      </c>
      <c r="AC793" s="101" t="str">
        <f t="shared" si="105"/>
        <v>RON</v>
      </c>
      <c r="AD793" s="101">
        <f t="shared" si="105"/>
        <v>10000</v>
      </c>
    </row>
    <row r="794" spans="1:30">
      <c r="A794" s="101">
        <f t="shared" si="104"/>
        <v>23</v>
      </c>
      <c r="B794" s="101">
        <f t="shared" si="97"/>
        <v>1</v>
      </c>
      <c r="C794" s="101" t="str">
        <f t="shared" si="98"/>
        <v>T1</v>
      </c>
      <c r="D794" s="101" t="str">
        <f>IF(A794&lt;&gt;A793,VLOOKUP(A794,'Date SPV'!$A:$D,4,FALSE),D793)</f>
        <v>Nepi Ten Development Solutions  SRL</v>
      </c>
      <c r="E794" s="101" t="str">
        <f>VLOOKUP(A794,'Date SPV'!$A$4:$B$34,2,FALSE)</f>
        <v>RN10_Alba</v>
      </c>
      <c r="H794" s="105" t="s">
        <v>894</v>
      </c>
      <c r="K794" s="101" t="str">
        <f>VLOOKUP(C794,'Preturi si tarife'!$A$4:$B$39,2,FALSE)</f>
        <v>Energie activa 1</v>
      </c>
      <c r="L794" s="102">
        <f>IF(B794=1,'Date masura OD'!$I$5,IF(B794=19,'Date masura OD'!$AK$5,L793))</f>
        <v>45778</v>
      </c>
      <c r="M794" s="102">
        <f>IF(B794=1,'Date masura OD'!$J$5,IF(B794=19,'Date masura OD'!$AL$5,M793))</f>
        <v>45808</v>
      </c>
      <c r="N794" s="104">
        <f>VLOOKUP(E794,verificare!$AR$4:$CC$33,B794+2,FALSE)</f>
        <v>13329</v>
      </c>
      <c r="O794" s="103">
        <f>HLOOKUP(VLOOKUP(E794,'Date SPV'!$B$4:$F$34,5,FALSE),'Preturi si tarife'!$C$2:$J$39,B794+2,FALSE)*10000</f>
        <v>5950</v>
      </c>
      <c r="Q794" s="101" t="str">
        <f t="shared" si="99"/>
        <v>One-off</v>
      </c>
      <c r="R794" s="101" t="str">
        <f>VLOOKUP(K794,'Preturi si tarife'!$B$4:$K$39,10,FALSE)</f>
        <v>ICOENG0001</v>
      </c>
      <c r="T794" s="101" t="str">
        <f t="shared" si="100"/>
        <v>INV + 30</v>
      </c>
      <c r="V794" s="101" t="str">
        <f t="shared" si="101"/>
        <v>Active</v>
      </c>
      <c r="X794" s="101" t="str">
        <f t="shared" si="102"/>
        <v>One-off</v>
      </c>
      <c r="AC794" s="101" t="str">
        <f t="shared" si="105"/>
        <v>RON</v>
      </c>
      <c r="AD794" s="101">
        <f t="shared" si="105"/>
        <v>10000</v>
      </c>
    </row>
    <row r="795" spans="1:30">
      <c r="A795" s="101">
        <f t="shared" si="104"/>
        <v>23</v>
      </c>
      <c r="B795" s="101">
        <f t="shared" si="97"/>
        <v>2</v>
      </c>
      <c r="C795" s="101" t="str">
        <f t="shared" si="98"/>
        <v>T2</v>
      </c>
      <c r="D795" s="101" t="str">
        <f>IF(A795&lt;&gt;A794,VLOOKUP(A795,'Date SPV'!$A:$D,4,FALSE),D794)</f>
        <v>Nepi Ten Development Solutions  SRL</v>
      </c>
      <c r="E795" s="101" t="str">
        <f>VLOOKUP(A795,'Date SPV'!$A$4:$B$34,2,FALSE)</f>
        <v>RN10_Alba</v>
      </c>
      <c r="H795" s="105" t="s">
        <v>894</v>
      </c>
      <c r="K795" s="101" t="str">
        <f>VLOOKUP(C795,'Preturi si tarife'!$A$4:$B$39,2,FALSE)</f>
        <v>Energie reactiva  1X</v>
      </c>
      <c r="L795" s="102">
        <f>IF(B795=1,'Date masura OD'!$I$5,IF(B795=19,'Date masura OD'!$AK$5,L794))</f>
        <v>45778</v>
      </c>
      <c r="M795" s="102">
        <f>IF(B795=1,'Date masura OD'!$J$5,IF(B795=19,'Date masura OD'!$AL$5,M794))</f>
        <v>45808</v>
      </c>
      <c r="N795" s="104">
        <f>VLOOKUP(E795,verificare!$AR$4:$CC$33,B795+2,FALSE)</f>
        <v>0</v>
      </c>
      <c r="O795" s="103">
        <f>HLOOKUP(VLOOKUP(E795,'Date SPV'!$B$4:$F$34,5,FALSE),'Preturi si tarife'!$C$2:$J$39,B795+2,FALSE)*10000</f>
        <v>1465</v>
      </c>
      <c r="Q795" s="101" t="str">
        <f t="shared" si="99"/>
        <v>One-off</v>
      </c>
      <c r="R795" s="101" t="str">
        <f>VLOOKUP(K795,'Preturi si tarife'!$B$4:$K$39,10,FALSE)</f>
        <v>ICOENG0001</v>
      </c>
      <c r="T795" s="101" t="str">
        <f t="shared" si="100"/>
        <v>INV + 30</v>
      </c>
      <c r="V795" s="101" t="str">
        <f t="shared" si="101"/>
        <v>Active</v>
      </c>
      <c r="X795" s="101" t="str">
        <f t="shared" si="102"/>
        <v>One-off</v>
      </c>
      <c r="AC795" s="101" t="str">
        <f t="shared" si="105"/>
        <v>RON</v>
      </c>
      <c r="AD795" s="101">
        <f t="shared" si="105"/>
        <v>10000</v>
      </c>
    </row>
    <row r="796" spans="1:30">
      <c r="A796" s="101">
        <f t="shared" si="104"/>
        <v>23</v>
      </c>
      <c r="B796" s="101">
        <f t="shared" si="97"/>
        <v>3</v>
      </c>
      <c r="C796" s="101" t="str">
        <f t="shared" si="98"/>
        <v>T3</v>
      </c>
      <c r="D796" s="101" t="str">
        <f>IF(A796&lt;&gt;A795,VLOOKUP(A796,'Date SPV'!$A:$D,4,FALSE),D795)</f>
        <v>Nepi Ten Development Solutions  SRL</v>
      </c>
      <c r="E796" s="101" t="str">
        <f>VLOOKUP(A796,'Date SPV'!$A$4:$B$34,2,FALSE)</f>
        <v>RN10_Alba</v>
      </c>
      <c r="H796" s="105" t="s">
        <v>894</v>
      </c>
      <c r="K796" s="101" t="str">
        <f>VLOOKUP(C796,'Preturi si tarife'!$A$4:$B$39,2,FALSE)</f>
        <v>Energie reactiva  3X</v>
      </c>
      <c r="L796" s="102">
        <f>IF(B796=1,'Date masura OD'!$I$5,IF(B796=19,'Date masura OD'!$AK$5,L795))</f>
        <v>45778</v>
      </c>
      <c r="M796" s="102">
        <f>IF(B796=1,'Date masura OD'!$J$5,IF(B796=19,'Date masura OD'!$AL$5,M795))</f>
        <v>45808</v>
      </c>
      <c r="N796" s="104">
        <f>VLOOKUP(E796,verificare!$AR$4:$CC$33,B796+2,FALSE)</f>
        <v>0</v>
      </c>
      <c r="O796" s="103">
        <f>HLOOKUP(VLOOKUP(E796,'Date SPV'!$B$4:$F$34,5,FALSE),'Preturi si tarife'!$C$2:$J$39,B796+2,FALSE)*10000</f>
        <v>4395</v>
      </c>
      <c r="Q796" s="101" t="str">
        <f t="shared" si="99"/>
        <v>One-off</v>
      </c>
      <c r="R796" s="101" t="str">
        <f>VLOOKUP(K796,'Preturi si tarife'!$B$4:$K$39,10,FALSE)</f>
        <v>ICOENG0001</v>
      </c>
      <c r="T796" s="101" t="str">
        <f t="shared" si="100"/>
        <v>INV + 30</v>
      </c>
      <c r="V796" s="101" t="str">
        <f t="shared" si="101"/>
        <v>Active</v>
      </c>
      <c r="X796" s="101" t="str">
        <f t="shared" si="102"/>
        <v>One-off</v>
      </c>
      <c r="AC796" s="101" t="str">
        <f t="shared" si="105"/>
        <v>RON</v>
      </c>
      <c r="AD796" s="101">
        <f t="shared" si="105"/>
        <v>10000</v>
      </c>
    </row>
    <row r="797" spans="1:30">
      <c r="A797" s="101">
        <f t="shared" si="104"/>
        <v>23</v>
      </c>
      <c r="B797" s="101">
        <f t="shared" si="97"/>
        <v>4</v>
      </c>
      <c r="C797" s="101" t="str">
        <f t="shared" si="98"/>
        <v>T4</v>
      </c>
      <c r="D797" s="101" t="str">
        <f>IF(A797&lt;&gt;A796,VLOOKUP(A797,'Date SPV'!$A:$D,4,FALSE),D796)</f>
        <v>Nepi Ten Development Solutions  SRL</v>
      </c>
      <c r="E797" s="101" t="str">
        <f>VLOOKUP(A797,'Date SPV'!$A$4:$B$34,2,FALSE)</f>
        <v>RN10_Alba</v>
      </c>
      <c r="H797" s="105" t="s">
        <v>894</v>
      </c>
      <c r="K797" s="101" t="str">
        <f>VLOOKUP(C797,'Preturi si tarife'!$A$4:$B$39,2,FALSE)</f>
        <v>Tarife distributie en. El IT+MT</v>
      </c>
      <c r="L797" s="102">
        <f>IF(B797=1,'Date masura OD'!$I$5,IF(B797=19,'Date masura OD'!$AK$5,L796))</f>
        <v>45778</v>
      </c>
      <c r="M797" s="102">
        <f>IF(B797=1,'Date masura OD'!$J$5,IF(B797=19,'Date masura OD'!$AL$5,M796))</f>
        <v>45808</v>
      </c>
      <c r="N797" s="104">
        <f>VLOOKUP(E797,verificare!$AR$4:$CC$33,B797+2,FALSE)</f>
        <v>13329</v>
      </c>
      <c r="O797" s="103">
        <f>HLOOKUP(VLOOKUP(E797,'Date SPV'!$B$4:$F$34,5,FALSE),'Preturi si tarife'!$C$2:$J$39,B797+2,FALSE)*10000</f>
        <v>1148.3</v>
      </c>
      <c r="Q797" s="101" t="str">
        <f t="shared" si="99"/>
        <v>One-off</v>
      </c>
      <c r="R797" s="101" t="str">
        <f>VLOOKUP(K797,'Preturi si tarife'!$B$4:$K$39,10,FALSE)</f>
        <v>ICOENG0001</v>
      </c>
      <c r="T797" s="101" t="str">
        <f t="shared" si="100"/>
        <v>INV + 30</v>
      </c>
      <c r="V797" s="101" t="str">
        <f t="shared" si="101"/>
        <v>Active</v>
      </c>
      <c r="X797" s="101" t="str">
        <f t="shared" si="102"/>
        <v>One-off</v>
      </c>
      <c r="AC797" s="101" t="str">
        <f t="shared" ref="AC797:AD812" si="106">AC796</f>
        <v>RON</v>
      </c>
      <c r="AD797" s="101">
        <f t="shared" si="106"/>
        <v>10000</v>
      </c>
    </row>
    <row r="798" spans="1:30">
      <c r="A798" s="101">
        <f t="shared" si="104"/>
        <v>23</v>
      </c>
      <c r="B798" s="101">
        <f t="shared" si="97"/>
        <v>5</v>
      </c>
      <c r="C798" s="101" t="str">
        <f t="shared" si="98"/>
        <v>T5</v>
      </c>
      <c r="D798" s="101" t="str">
        <f>IF(A798&lt;&gt;A797,VLOOKUP(A798,'Date SPV'!$A:$D,4,FALSE),D797)</f>
        <v>Nepi Ten Development Solutions  SRL</v>
      </c>
      <c r="E798" s="101" t="str">
        <f>VLOOKUP(A798,'Date SPV'!$A$4:$B$34,2,FALSE)</f>
        <v>RN10_Alba</v>
      </c>
      <c r="H798" s="105" t="s">
        <v>894</v>
      </c>
      <c r="K798" s="101" t="str">
        <f>VLOOKUP(C798,'Preturi si tarife'!$A$4:$B$39,2,FALSE)</f>
        <v>Tarife distributie en. El JT</v>
      </c>
      <c r="L798" s="102">
        <f>IF(B798=1,'Date masura OD'!$I$5,IF(B798=19,'Date masura OD'!$AK$5,L797))</f>
        <v>45778</v>
      </c>
      <c r="M798" s="102">
        <f>IF(B798=1,'Date masura OD'!$J$5,IF(B798=19,'Date masura OD'!$AL$5,M797))</f>
        <v>45808</v>
      </c>
      <c r="N798" s="104">
        <f>VLOOKUP(E798,verificare!$AR$4:$CC$33,B798+2,FALSE)</f>
        <v>0</v>
      </c>
      <c r="O798" s="103">
        <f>HLOOKUP(VLOOKUP(E798,'Date SPV'!$B$4:$F$34,5,FALSE),'Preturi si tarife'!$C$2:$J$39,B798+2,FALSE)*10000</f>
        <v>2361</v>
      </c>
      <c r="Q798" s="101" t="str">
        <f t="shared" si="99"/>
        <v>One-off</v>
      </c>
      <c r="R798" s="101" t="str">
        <f>VLOOKUP(K798,'Preturi si tarife'!$B$4:$K$39,10,FALSE)</f>
        <v>ICOENG0001</v>
      </c>
      <c r="T798" s="101" t="str">
        <f t="shared" si="100"/>
        <v>INV + 30</v>
      </c>
      <c r="V798" s="101" t="str">
        <f t="shared" si="101"/>
        <v>Active</v>
      </c>
      <c r="X798" s="101" t="str">
        <f t="shared" si="102"/>
        <v>One-off</v>
      </c>
      <c r="AC798" s="101" t="str">
        <f t="shared" si="106"/>
        <v>RON</v>
      </c>
      <c r="AD798" s="101">
        <f t="shared" si="106"/>
        <v>10000</v>
      </c>
    </row>
    <row r="799" spans="1:30">
      <c r="A799" s="101">
        <f t="shared" si="104"/>
        <v>23</v>
      </c>
      <c r="B799" s="101">
        <f t="shared" si="97"/>
        <v>6</v>
      </c>
      <c r="C799" s="101" t="str">
        <f t="shared" si="98"/>
        <v>T6</v>
      </c>
      <c r="D799" s="101" t="str">
        <f>IF(A799&lt;&gt;A798,VLOOKUP(A799,'Date SPV'!$A:$D,4,FALSE),D798)</f>
        <v>Nepi Ten Development Solutions  SRL</v>
      </c>
      <c r="E799" s="101" t="str">
        <f>VLOOKUP(A799,'Date SPV'!$A$4:$B$34,2,FALSE)</f>
        <v>RN10_Alba</v>
      </c>
      <c r="H799" s="105" t="s">
        <v>894</v>
      </c>
      <c r="K799" s="101" t="str">
        <f>VLOOKUP(C799,'Preturi si tarife'!$A$4:$B$39,2,FALSE)</f>
        <v xml:space="preserve">Servicii Sistem </v>
      </c>
      <c r="L799" s="102">
        <f>IF(B799=1,'Date masura OD'!$I$5,IF(B799=19,'Date masura OD'!$AK$5,L798))</f>
        <v>45778</v>
      </c>
      <c r="M799" s="102">
        <f>IF(B799=1,'Date masura OD'!$J$5,IF(B799=19,'Date masura OD'!$AL$5,M798))</f>
        <v>45808</v>
      </c>
      <c r="N799" s="104">
        <f>VLOOKUP(E799,verificare!$AR$4:$CC$33,B799+2,FALSE)</f>
        <v>13329</v>
      </c>
      <c r="O799" s="103">
        <f>HLOOKUP(VLOOKUP(E799,'Date SPV'!$B$4:$F$34,5,FALSE),'Preturi si tarife'!$C$2:$J$39,B799+2,FALSE)*10000</f>
        <v>115.1</v>
      </c>
      <c r="Q799" s="101" t="str">
        <f t="shared" si="99"/>
        <v>One-off</v>
      </c>
      <c r="R799" s="101" t="str">
        <f>VLOOKUP(K799,'Preturi si tarife'!$B$4:$K$39,10,FALSE)</f>
        <v>ICOENG0001</v>
      </c>
      <c r="T799" s="101" t="str">
        <f t="shared" si="100"/>
        <v>INV + 30</v>
      </c>
      <c r="V799" s="101" t="str">
        <f t="shared" si="101"/>
        <v>Active</v>
      </c>
      <c r="X799" s="101" t="str">
        <f t="shared" si="102"/>
        <v>One-off</v>
      </c>
      <c r="AC799" s="101" t="str">
        <f t="shared" si="106"/>
        <v>RON</v>
      </c>
      <c r="AD799" s="101">
        <f t="shared" si="106"/>
        <v>10000</v>
      </c>
    </row>
    <row r="800" spans="1:30">
      <c r="A800" s="101">
        <f t="shared" si="104"/>
        <v>23</v>
      </c>
      <c r="B800" s="101">
        <f t="shared" si="97"/>
        <v>7</v>
      </c>
      <c r="C800" s="101" t="str">
        <f t="shared" si="98"/>
        <v>T7</v>
      </c>
      <c r="D800" s="101" t="str">
        <f>IF(A800&lt;&gt;A799,VLOOKUP(A800,'Date SPV'!$A:$D,4,FALSE),D799)</f>
        <v>Nepi Ten Development Solutions  SRL</v>
      </c>
      <c r="E800" s="101" t="str">
        <f>VLOOKUP(A800,'Date SPV'!$A$4:$B$34,2,FALSE)</f>
        <v>RN10_Alba</v>
      </c>
      <c r="H800" s="105" t="s">
        <v>894</v>
      </c>
      <c r="K800" s="101" t="str">
        <f>VLOOKUP(C800,'Preturi si tarife'!$A$4:$B$39,2,FALSE)</f>
        <v>Tarif de introducere en. el in retea (TL)</v>
      </c>
      <c r="L800" s="102">
        <f>IF(B800=1,'Date masura OD'!$I$5,IF(B800=19,'Date masura OD'!$AK$5,L799))</f>
        <v>45778</v>
      </c>
      <c r="M800" s="102">
        <f>IF(B800=1,'Date masura OD'!$J$5,IF(B800=19,'Date masura OD'!$AL$5,M799))</f>
        <v>45808</v>
      </c>
      <c r="N800" s="104">
        <f>VLOOKUP(E800,verificare!$AR$4:$CC$33,B800+2,FALSE)</f>
        <v>13329</v>
      </c>
      <c r="O800" s="103">
        <f>HLOOKUP(VLOOKUP(E800,'Date SPV'!$B$4:$F$34,5,FALSE),'Preturi si tarife'!$C$2:$J$39,B800+2,FALSE)*10000</f>
        <v>330.3</v>
      </c>
      <c r="Q800" s="101" t="str">
        <f t="shared" si="99"/>
        <v>One-off</v>
      </c>
      <c r="R800" s="101" t="str">
        <f>VLOOKUP(K800,'Preturi si tarife'!$B$4:$K$39,10,FALSE)</f>
        <v>ICOENG0001</v>
      </c>
      <c r="T800" s="101" t="str">
        <f t="shared" si="100"/>
        <v>INV + 30</v>
      </c>
      <c r="V800" s="101" t="str">
        <f t="shared" si="101"/>
        <v>Active</v>
      </c>
      <c r="X800" s="101" t="str">
        <f t="shared" si="102"/>
        <v>One-off</v>
      </c>
      <c r="AC800" s="101" t="str">
        <f t="shared" si="106"/>
        <v>RON</v>
      </c>
      <c r="AD800" s="101">
        <f t="shared" si="106"/>
        <v>10000</v>
      </c>
    </row>
    <row r="801" spans="1:30">
      <c r="A801" s="101">
        <f t="shared" si="104"/>
        <v>23</v>
      </c>
      <c r="B801" s="101">
        <f t="shared" si="97"/>
        <v>8</v>
      </c>
      <c r="C801" s="101" t="str">
        <f t="shared" si="98"/>
        <v>T8</v>
      </c>
      <c r="D801" s="101" t="str">
        <f>IF(A801&lt;&gt;A800,VLOOKUP(A801,'Date SPV'!$A:$D,4,FALSE),D800)</f>
        <v>Nepi Ten Development Solutions  SRL</v>
      </c>
      <c r="E801" s="101" t="str">
        <f>VLOOKUP(A801,'Date SPV'!$A$4:$B$34,2,FALSE)</f>
        <v>RN10_Alba</v>
      </c>
      <c r="H801" s="105" t="s">
        <v>894</v>
      </c>
      <c r="K801" s="101" t="str">
        <f>VLOOKUP(C801,'Preturi si tarife'!$A$4:$B$39,2,FALSE)</f>
        <v>Tarif de introducere en.el in retea (TG)</v>
      </c>
      <c r="L801" s="102">
        <f>IF(B801=1,'Date masura OD'!$I$5,IF(B801=19,'Date masura OD'!$AK$5,L800))</f>
        <v>45778</v>
      </c>
      <c r="M801" s="102">
        <f>IF(B801=1,'Date masura OD'!$J$5,IF(B801=19,'Date masura OD'!$AL$5,M800))</f>
        <v>45808</v>
      </c>
      <c r="N801" s="104">
        <f>VLOOKUP(E801,verificare!$AR$4:$CC$33,B801+2,FALSE)</f>
        <v>13329</v>
      </c>
      <c r="O801" s="103">
        <f>HLOOKUP(VLOOKUP(E801,'Date SPV'!$B$4:$F$34,5,FALSE),'Preturi si tarife'!$C$2:$J$39,B801+2,FALSE)*10000</f>
        <v>32.9</v>
      </c>
      <c r="Q801" s="101" t="str">
        <f t="shared" si="99"/>
        <v>One-off</v>
      </c>
      <c r="R801" s="101" t="str">
        <f>VLOOKUP(K801,'Preturi si tarife'!$B$4:$K$39,10,FALSE)</f>
        <v>ICOENG0001</v>
      </c>
      <c r="T801" s="101" t="str">
        <f t="shared" si="100"/>
        <v>INV + 30</v>
      </c>
      <c r="V801" s="101" t="str">
        <f t="shared" si="101"/>
        <v>Active</v>
      </c>
      <c r="X801" s="101" t="str">
        <f t="shared" si="102"/>
        <v>One-off</v>
      </c>
      <c r="AC801" s="101" t="str">
        <f t="shared" si="106"/>
        <v>RON</v>
      </c>
      <c r="AD801" s="101">
        <f t="shared" si="106"/>
        <v>10000</v>
      </c>
    </row>
    <row r="802" spans="1:30">
      <c r="A802" s="101">
        <f t="shared" si="104"/>
        <v>23</v>
      </c>
      <c r="B802" s="101">
        <f t="shared" si="97"/>
        <v>9</v>
      </c>
      <c r="C802" s="101" t="str">
        <f t="shared" si="98"/>
        <v>T9</v>
      </c>
      <c r="D802" s="101" t="str">
        <f>IF(A802&lt;&gt;A801,VLOOKUP(A802,'Date SPV'!$A:$D,4,FALSE),D801)</f>
        <v>Nepi Ten Development Solutions  SRL</v>
      </c>
      <c r="E802" s="101" t="str">
        <f>VLOOKUP(A802,'Date SPV'!$A$4:$B$34,2,FALSE)</f>
        <v>RN10_Alba</v>
      </c>
      <c r="H802" s="105" t="s">
        <v>894</v>
      </c>
      <c r="K802" s="101" t="str">
        <f>VLOOKUP(C802,'Preturi si tarife'!$A$4:$B$39,2,FALSE)</f>
        <v>Contributie pentru cogenerare</v>
      </c>
      <c r="L802" s="102">
        <f>IF(B802=1,'Date masura OD'!$I$5,IF(B802=19,'Date masura OD'!$AK$5,L801))</f>
        <v>45778</v>
      </c>
      <c r="M802" s="102">
        <f>IF(B802=1,'Date masura OD'!$J$5,IF(B802=19,'Date masura OD'!$AL$5,M801))</f>
        <v>45808</v>
      </c>
      <c r="N802" s="104">
        <f>VLOOKUP(E802,verificare!$AR$4:$CC$33,B802+2,FALSE)</f>
        <v>13329</v>
      </c>
      <c r="O802" s="103">
        <f>HLOOKUP(VLOOKUP(E802,'Date SPV'!$B$4:$F$34,5,FALSE),'Preturi si tarife'!$C$2:$J$39,B802+2,FALSE)*10000</f>
        <v>35</v>
      </c>
      <c r="Q802" s="101" t="str">
        <f t="shared" si="99"/>
        <v>One-off</v>
      </c>
      <c r="R802" s="101" t="str">
        <f>VLOOKUP(K802,'Preturi si tarife'!$B$4:$K$39,10,FALSE)</f>
        <v>ICOENG0001</v>
      </c>
      <c r="T802" s="101" t="str">
        <f t="shared" si="100"/>
        <v>INV + 30</v>
      </c>
      <c r="V802" s="101" t="str">
        <f t="shared" si="101"/>
        <v>Active</v>
      </c>
      <c r="X802" s="101" t="str">
        <f t="shared" si="102"/>
        <v>One-off</v>
      </c>
      <c r="AC802" s="101" t="str">
        <f t="shared" si="106"/>
        <v>RON</v>
      </c>
      <c r="AD802" s="101">
        <f t="shared" si="106"/>
        <v>10000</v>
      </c>
    </row>
    <row r="803" spans="1:30">
      <c r="A803" s="101">
        <f t="shared" si="104"/>
        <v>23</v>
      </c>
      <c r="B803" s="101">
        <f t="shared" si="97"/>
        <v>10</v>
      </c>
      <c r="C803" s="101" t="str">
        <f t="shared" si="98"/>
        <v>T10</v>
      </c>
      <c r="D803" s="101" t="str">
        <f>IF(A803&lt;&gt;A802,VLOOKUP(A803,'Date SPV'!$A:$D,4,FALSE),D802)</f>
        <v>Nepi Ten Development Solutions  SRL</v>
      </c>
      <c r="E803" s="101" t="str">
        <f>VLOOKUP(A803,'Date SPV'!$A$4:$B$34,2,FALSE)</f>
        <v>RN10_Alba</v>
      </c>
      <c r="H803" s="105" t="s">
        <v>894</v>
      </c>
      <c r="K803" s="101" t="str">
        <f>VLOOKUP(C803,'Preturi si tarife'!$A$4:$B$39,2,FALSE)</f>
        <v xml:space="preserve">Certificate verzi </v>
      </c>
      <c r="L803" s="102">
        <f>IF(B803=1,'Date masura OD'!$I$5,IF(B803=19,'Date masura OD'!$AK$5,L802))</f>
        <v>45778</v>
      </c>
      <c r="M803" s="102">
        <f>IF(B803=1,'Date masura OD'!$J$5,IF(B803=19,'Date masura OD'!$AL$5,M802))</f>
        <v>45808</v>
      </c>
      <c r="N803" s="104">
        <f>VLOOKUP(E803,verificare!$AR$4:$CC$33,B803+2,FALSE)</f>
        <v>13329</v>
      </c>
      <c r="O803" s="103">
        <f>HLOOKUP(VLOOKUP(E803,'Date SPV'!$B$4:$F$34,5,FALSE),'Preturi si tarife'!$C$2:$J$39,B803+2,FALSE)*10000</f>
        <v>725.41599999999994</v>
      </c>
      <c r="Q803" s="101" t="str">
        <f t="shared" si="99"/>
        <v>One-off</v>
      </c>
      <c r="R803" s="101" t="str">
        <f>VLOOKUP(K803,'Preturi si tarife'!$B$4:$K$39,10,FALSE)</f>
        <v>ICOENG0001</v>
      </c>
      <c r="T803" s="101" t="str">
        <f t="shared" si="100"/>
        <v>INV + 30</v>
      </c>
      <c r="V803" s="101" t="str">
        <f t="shared" si="101"/>
        <v>Active</v>
      </c>
      <c r="X803" s="101" t="str">
        <f t="shared" si="102"/>
        <v>One-off</v>
      </c>
      <c r="AC803" s="101" t="str">
        <f t="shared" si="106"/>
        <v>RON</v>
      </c>
      <c r="AD803" s="101">
        <f t="shared" si="106"/>
        <v>10000</v>
      </c>
    </row>
    <row r="804" spans="1:30">
      <c r="A804" s="101">
        <f t="shared" si="104"/>
        <v>23</v>
      </c>
      <c r="B804" s="101">
        <f t="shared" si="97"/>
        <v>11</v>
      </c>
      <c r="C804" s="101" t="str">
        <f t="shared" si="98"/>
        <v>T11</v>
      </c>
      <c r="D804" s="101" t="str">
        <f>IF(A804&lt;&gt;A803,VLOOKUP(A804,'Date SPV'!$A:$D,4,FALSE),D803)</f>
        <v>Nepi Ten Development Solutions  SRL</v>
      </c>
      <c r="E804" s="101" t="str">
        <f>VLOOKUP(A804,'Date SPV'!$A$4:$B$34,2,FALSE)</f>
        <v>RN10_Alba</v>
      </c>
      <c r="H804" s="105" t="s">
        <v>894</v>
      </c>
      <c r="K804" s="101" t="str">
        <f>VLOOKUP(C804,'Preturi si tarife'!$A$4:$B$39,2,FALSE)</f>
        <v>Contributie CFD</v>
      </c>
      <c r="L804" s="102">
        <f>IF(B804=1,'Date masura OD'!$I$5,IF(B804=19,'Date masura OD'!$AK$5,L803))</f>
        <v>45778</v>
      </c>
      <c r="M804" s="102">
        <f>IF(B804=1,'Date masura OD'!$J$5,IF(B804=19,'Date masura OD'!$AL$5,M803))</f>
        <v>45808</v>
      </c>
      <c r="N804" s="104">
        <f>VLOOKUP(E804,verificare!$AR$4:$CC$33,B804+2,FALSE)</f>
        <v>13329</v>
      </c>
      <c r="O804" s="103">
        <f>HLOOKUP(VLOOKUP(E804,'Date SPV'!$B$4:$F$34,5,FALSE),'Preturi si tarife'!$C$2:$J$39,B804+2,FALSE)*10000</f>
        <v>2.06</v>
      </c>
      <c r="Q804" s="101" t="str">
        <f t="shared" si="99"/>
        <v>One-off</v>
      </c>
      <c r="R804" s="101" t="str">
        <f>VLOOKUP(K804,'Preturi si tarife'!$B$4:$K$39,10,FALSE)</f>
        <v>ICOENG0001</v>
      </c>
      <c r="T804" s="101" t="str">
        <f t="shared" si="100"/>
        <v>INV + 30</v>
      </c>
      <c r="V804" s="101" t="str">
        <f t="shared" si="101"/>
        <v>Active</v>
      </c>
      <c r="X804" s="101" t="str">
        <f t="shared" si="102"/>
        <v>One-off</v>
      </c>
      <c r="AC804" s="101" t="str">
        <f t="shared" si="106"/>
        <v>RON</v>
      </c>
      <c r="AD804" s="101">
        <f t="shared" si="106"/>
        <v>10000</v>
      </c>
    </row>
    <row r="805" spans="1:30">
      <c r="A805" s="101">
        <f t="shared" si="104"/>
        <v>23</v>
      </c>
      <c r="B805" s="101">
        <f t="shared" si="97"/>
        <v>12</v>
      </c>
      <c r="C805" s="101" t="str">
        <f t="shared" si="98"/>
        <v>T12</v>
      </c>
      <c r="D805" s="101" t="str">
        <f>IF(A805&lt;&gt;A804,VLOOKUP(A805,'Date SPV'!$A:$D,4,FALSE),D804)</f>
        <v>Nepi Ten Development Solutions  SRL</v>
      </c>
      <c r="E805" s="101" t="str">
        <f>VLOOKUP(A805,'Date SPV'!$A$4:$B$34,2,FALSE)</f>
        <v>RN10_Alba</v>
      </c>
      <c r="H805" s="105" t="s">
        <v>894</v>
      </c>
      <c r="K805" s="101" t="str">
        <f>VLOOKUP(C805,'Preturi si tarife'!$A$4:$B$39,2,FALSE)</f>
        <v>Acciza</v>
      </c>
      <c r="L805" s="102">
        <f>IF(B805=1,'Date masura OD'!$I$5,IF(B805=19,'Date masura OD'!$AK$5,L804))</f>
        <v>45778</v>
      </c>
      <c r="M805" s="102">
        <f>IF(B805=1,'Date masura OD'!$J$5,IF(B805=19,'Date masura OD'!$AL$5,M804))</f>
        <v>45808</v>
      </c>
      <c r="N805" s="104">
        <f>VLOOKUP(E805,verificare!$AR$4:$CC$33,B805+2,FALSE)</f>
        <v>13329</v>
      </c>
      <c r="O805" s="103">
        <f>HLOOKUP(VLOOKUP(E805,'Date SPV'!$B$4:$F$34,5,FALSE),'Preturi si tarife'!$C$2:$J$39,B805+2,FALSE)*10000</f>
        <v>0</v>
      </c>
      <c r="Q805" s="101" t="str">
        <f t="shared" si="99"/>
        <v>One-off</v>
      </c>
      <c r="R805" s="101" t="str">
        <f>VLOOKUP(K805,'Preturi si tarife'!$B$4:$K$39,10,FALSE)</f>
        <v>ICOENG0001</v>
      </c>
      <c r="T805" s="101" t="str">
        <f t="shared" si="100"/>
        <v>INV + 30</v>
      </c>
      <c r="V805" s="101" t="str">
        <f t="shared" si="101"/>
        <v>Active</v>
      </c>
      <c r="X805" s="101" t="str">
        <f t="shared" si="102"/>
        <v>One-off</v>
      </c>
      <c r="AC805" s="101" t="str">
        <f t="shared" si="106"/>
        <v>RON</v>
      </c>
      <c r="AD805" s="101">
        <f t="shared" si="106"/>
        <v>10000</v>
      </c>
    </row>
    <row r="806" spans="1:30">
      <c r="A806" s="101">
        <f t="shared" si="104"/>
        <v>23</v>
      </c>
      <c r="B806" s="101">
        <f t="shared" si="97"/>
        <v>13</v>
      </c>
      <c r="C806" s="101" t="str">
        <f t="shared" si="98"/>
        <v>T13</v>
      </c>
      <c r="D806" s="101" t="str">
        <f>IF(A806&lt;&gt;A805,VLOOKUP(A806,'Date SPV'!$A:$D,4,FALSE),D805)</f>
        <v>Nepi Ten Development Solutions  SRL</v>
      </c>
      <c r="E806" s="101" t="str">
        <f>VLOOKUP(A806,'Date SPV'!$A$4:$B$34,2,FALSE)</f>
        <v>RN10_Alba</v>
      </c>
      <c r="H806" s="105" t="s">
        <v>894</v>
      </c>
      <c r="K806" s="101" t="str">
        <f>VLOOKUP(C806,'Preturi si tarife'!$A$4:$B$39,2,FALSE)</f>
        <v>Tarif distributie SDI MT</v>
      </c>
      <c r="L806" s="102">
        <f>IF(B806=1,'Date masura OD'!$I$5,IF(B806=19,'Date masura OD'!$AK$5,L805))</f>
        <v>45778</v>
      </c>
      <c r="M806" s="102">
        <f>IF(B806=1,'Date masura OD'!$J$5,IF(B806=19,'Date masura OD'!$AL$5,M805))</f>
        <v>45808</v>
      </c>
      <c r="N806" s="104">
        <f>VLOOKUP(E806,verificare!$AR$4:$CC$33,B806+2,FALSE)</f>
        <v>13329</v>
      </c>
      <c r="O806" s="103">
        <f>HLOOKUP(VLOOKUP(E806,'Date SPV'!$B$4:$F$34,5,FALSE),'Preturi si tarife'!$C$2:$J$39,B806+2,FALSE)*10000</f>
        <v>126</v>
      </c>
      <c r="Q806" s="101" t="str">
        <f t="shared" si="99"/>
        <v>One-off</v>
      </c>
      <c r="R806" s="101" t="str">
        <f>VLOOKUP(K806,'Preturi si tarife'!$B$4:$K$39,10,FALSE)</f>
        <v>ICOENG0010</v>
      </c>
      <c r="T806" s="101" t="str">
        <f t="shared" si="100"/>
        <v>INV + 30</v>
      </c>
      <c r="V806" s="101" t="str">
        <f t="shared" si="101"/>
        <v>Active</v>
      </c>
      <c r="X806" s="101" t="str">
        <f t="shared" si="102"/>
        <v>One-off</v>
      </c>
      <c r="AC806" s="101" t="str">
        <f t="shared" si="106"/>
        <v>RON</v>
      </c>
      <c r="AD806" s="101">
        <f t="shared" si="106"/>
        <v>10000</v>
      </c>
    </row>
    <row r="807" spans="1:30">
      <c r="A807" s="101">
        <f t="shared" si="104"/>
        <v>23</v>
      </c>
      <c r="B807" s="101">
        <f t="shared" si="97"/>
        <v>14</v>
      </c>
      <c r="C807" s="101" t="str">
        <f t="shared" si="98"/>
        <v>T14</v>
      </c>
      <c r="D807" s="101" t="str">
        <f>IF(A807&lt;&gt;A806,VLOOKUP(A807,'Date SPV'!$A:$D,4,FALSE),D806)</f>
        <v>Nepi Ten Development Solutions  SRL</v>
      </c>
      <c r="E807" s="101" t="str">
        <f>VLOOKUP(A807,'Date SPV'!$A$4:$B$34,2,FALSE)</f>
        <v>RN10_Alba</v>
      </c>
      <c r="H807" s="105" t="s">
        <v>894</v>
      </c>
      <c r="K807" s="101" t="str">
        <f>VLOOKUP(C807,'Preturi si tarife'!$A$4:$B$39,2,FALSE)</f>
        <v>Tarif distributie SDI JT</v>
      </c>
      <c r="L807" s="102">
        <f>IF(B807=1,'Date masura OD'!$I$5,IF(B807=19,'Date masura OD'!$AK$5,L806))</f>
        <v>45778</v>
      </c>
      <c r="M807" s="102">
        <f>IF(B807=1,'Date masura OD'!$J$5,IF(B807=19,'Date masura OD'!$AL$5,M806))</f>
        <v>45808</v>
      </c>
      <c r="N807" s="104">
        <f>VLOOKUP(E807,verificare!$AR$4:$CC$33,B807+2,FALSE)</f>
        <v>13329</v>
      </c>
      <c r="O807" s="103">
        <f>HLOOKUP(VLOOKUP(E807,'Date SPV'!$B$4:$F$34,5,FALSE),'Preturi si tarife'!$C$2:$J$39,B807+2,FALSE)*10000</f>
        <v>927</v>
      </c>
      <c r="Q807" s="101" t="str">
        <f t="shared" si="99"/>
        <v>One-off</v>
      </c>
      <c r="R807" s="101" t="str">
        <f>VLOOKUP(K807,'Preturi si tarife'!$B$4:$K$39,10,FALSE)</f>
        <v>ICOENG0010</v>
      </c>
      <c r="T807" s="101" t="str">
        <f t="shared" si="100"/>
        <v>INV + 30</v>
      </c>
      <c r="V807" s="101" t="str">
        <f t="shared" si="101"/>
        <v>Active</v>
      </c>
      <c r="X807" s="101" t="str">
        <f t="shared" si="102"/>
        <v>One-off</v>
      </c>
      <c r="AC807" s="101" t="str">
        <f t="shared" si="106"/>
        <v>RON</v>
      </c>
      <c r="AD807" s="101">
        <f t="shared" si="106"/>
        <v>10000</v>
      </c>
    </row>
    <row r="808" spans="1:30">
      <c r="A808" s="101">
        <f t="shared" si="104"/>
        <v>23</v>
      </c>
      <c r="B808" s="101">
        <f t="shared" si="97"/>
        <v>15</v>
      </c>
      <c r="C808" s="101" t="str">
        <f t="shared" si="98"/>
        <v>T15</v>
      </c>
      <c r="D808" s="101" t="str">
        <f>IF(A808&lt;&gt;A807,VLOOKUP(A808,'Date SPV'!$A:$D,4,FALSE),D807)</f>
        <v>Nepi Ten Development Solutions  SRL</v>
      </c>
      <c r="E808" s="101" t="str">
        <f>VLOOKUP(A808,'Date SPV'!$A$4:$B$34,2,FALSE)</f>
        <v>RN10_Alba</v>
      </c>
      <c r="H808" s="105" t="s">
        <v>894</v>
      </c>
      <c r="K808" s="101" t="str">
        <f>VLOOKUP(C808,'Preturi si tarife'!$A$4:$B$39,2,FALSE)</f>
        <v>Energie activa 2</v>
      </c>
      <c r="L808" s="102">
        <f>IF(B808=1,'Date masura OD'!$I$5,IF(B808=19,'Date masura OD'!$AK$5,L807))</f>
        <v>45778</v>
      </c>
      <c r="M808" s="102">
        <f>IF(B808=1,'Date masura OD'!$J$5,IF(B808=19,'Date masura OD'!$AL$5,M807))</f>
        <v>45808</v>
      </c>
      <c r="N808" s="104">
        <f>VLOOKUP(E808,verificare!$AR$4:$CC$33,B808+2,FALSE)</f>
        <v>14978</v>
      </c>
      <c r="O808" s="103">
        <f>HLOOKUP(VLOOKUP(E808,'Date SPV'!$B$4:$F$34,5,FALSE),'Preturi si tarife'!$C$2:$J$39,B808+2,FALSE)*10000</f>
        <v>9392.0760000000009</v>
      </c>
      <c r="Q808" s="101" t="str">
        <f t="shared" si="99"/>
        <v>One-off</v>
      </c>
      <c r="R808" s="101" t="str">
        <f>VLOOKUP(K808,'Preturi si tarife'!$B$4:$K$39,10,FALSE)</f>
        <v>ICOENG0012</v>
      </c>
      <c r="T808" s="101" t="str">
        <f t="shared" si="100"/>
        <v>INV + 30</v>
      </c>
      <c r="V808" s="101" t="str">
        <f t="shared" si="101"/>
        <v>Active</v>
      </c>
      <c r="X808" s="101" t="str">
        <f t="shared" si="102"/>
        <v>One-off</v>
      </c>
      <c r="AC808" s="101" t="str">
        <f t="shared" si="106"/>
        <v>RON</v>
      </c>
      <c r="AD808" s="101">
        <f t="shared" si="106"/>
        <v>10000</v>
      </c>
    </row>
    <row r="809" spans="1:30">
      <c r="A809" s="101">
        <f t="shared" si="104"/>
        <v>23</v>
      </c>
      <c r="B809" s="101">
        <f t="shared" si="97"/>
        <v>16</v>
      </c>
      <c r="C809" s="101" t="str">
        <f t="shared" si="98"/>
        <v>T16</v>
      </c>
      <c r="D809" s="101" t="str">
        <f>IF(A809&lt;&gt;A808,VLOOKUP(A809,'Date SPV'!$A:$D,4,FALSE),D808)</f>
        <v>Nepi Ten Development Solutions  SRL</v>
      </c>
      <c r="E809" s="101" t="str">
        <f>VLOOKUP(A809,'Date SPV'!$A$4:$B$34,2,FALSE)</f>
        <v>RN10_Alba</v>
      </c>
      <c r="H809" s="105" t="s">
        <v>894</v>
      </c>
      <c r="K809" s="101" t="str">
        <f>VLOOKUP(C809,'Preturi si tarife'!$A$4:$B$39,2,FALSE)</f>
        <v>Energie activa 3</v>
      </c>
      <c r="L809" s="102">
        <f>IF(B809=1,'Date masura OD'!$I$5,IF(B809=19,'Date masura OD'!$AK$5,L808))</f>
        <v>45778</v>
      </c>
      <c r="M809" s="102">
        <f>IF(B809=1,'Date masura OD'!$J$5,IF(B809=19,'Date masura OD'!$AL$5,M808))</f>
        <v>45808</v>
      </c>
      <c r="N809" s="104">
        <f>VLOOKUP(E809,verificare!$AR$4:$CC$33,B809+2,FALSE)</f>
        <v>0</v>
      </c>
      <c r="O809" s="103">
        <f>HLOOKUP(VLOOKUP(E809,'Date SPV'!$B$4:$F$34,5,FALSE),'Preturi si tarife'!$C$2:$J$39,B809+2,FALSE)*10000</f>
        <v>8339.0760000000009</v>
      </c>
      <c r="Q809" s="101" t="str">
        <f t="shared" si="99"/>
        <v>One-off</v>
      </c>
      <c r="R809" s="101" t="str">
        <f>VLOOKUP(K809,'Preturi si tarife'!$B$4:$K$39,10,FALSE)</f>
        <v>ICOENG0012</v>
      </c>
      <c r="T809" s="101" t="str">
        <f t="shared" si="100"/>
        <v>INV + 30</v>
      </c>
      <c r="V809" s="101" t="str">
        <f t="shared" si="101"/>
        <v>Active</v>
      </c>
      <c r="X809" s="101" t="str">
        <f t="shared" si="102"/>
        <v>One-off</v>
      </c>
      <c r="AC809" s="101" t="str">
        <f t="shared" si="106"/>
        <v>RON</v>
      </c>
      <c r="AD809" s="101">
        <f t="shared" si="106"/>
        <v>10000</v>
      </c>
    </row>
    <row r="810" spans="1:30">
      <c r="A810" s="101">
        <f t="shared" si="104"/>
        <v>23</v>
      </c>
      <c r="B810" s="101">
        <f t="shared" si="97"/>
        <v>17</v>
      </c>
      <c r="C810" s="101" t="str">
        <f t="shared" si="98"/>
        <v>T17</v>
      </c>
      <c r="D810" s="101" t="str">
        <f>IF(A810&lt;&gt;A809,VLOOKUP(A810,'Date SPV'!$A:$D,4,FALSE),D809)</f>
        <v>Nepi Ten Development Solutions  SRL</v>
      </c>
      <c r="E810" s="101" t="str">
        <f>VLOOKUP(A810,'Date SPV'!$A$4:$B$34,2,FALSE)</f>
        <v>RN10_Alba</v>
      </c>
      <c r="H810" s="105" t="s">
        <v>894</v>
      </c>
      <c r="K810" s="101" t="str">
        <f>VLOOKUP(C810,'Preturi si tarife'!$A$4:$B$39,2,FALSE)</f>
        <v>Tarif distributie SDI MT_</v>
      </c>
      <c r="L810" s="102">
        <f>IF(B810=1,'Date masura OD'!$I$5,IF(B810=19,'Date masura OD'!$AK$5,L809))</f>
        <v>45778</v>
      </c>
      <c r="M810" s="102">
        <f>IF(B810=1,'Date masura OD'!$J$5,IF(B810=19,'Date masura OD'!$AL$5,M809))</f>
        <v>45808</v>
      </c>
      <c r="N810" s="104">
        <f>VLOOKUP(E810,verificare!$AR$4:$CC$33,B810+2,FALSE)</f>
        <v>0</v>
      </c>
      <c r="O810" s="103">
        <f>HLOOKUP(VLOOKUP(E810,'Date SPV'!$B$4:$F$34,5,FALSE),'Preturi si tarife'!$C$2:$J$39,B810+2,FALSE)*10000</f>
        <v>126</v>
      </c>
      <c r="Q810" s="101" t="str">
        <f t="shared" si="99"/>
        <v>One-off</v>
      </c>
      <c r="R810" s="101" t="str">
        <f>VLOOKUP(K810,'Preturi si tarife'!$B$4:$K$39,10,FALSE)</f>
        <v>ICOENG0010</v>
      </c>
      <c r="T810" s="101" t="str">
        <f t="shared" si="100"/>
        <v>INV + 30</v>
      </c>
      <c r="V810" s="101" t="str">
        <f t="shared" si="101"/>
        <v>Active</v>
      </c>
      <c r="X810" s="101" t="str">
        <f t="shared" si="102"/>
        <v>One-off</v>
      </c>
      <c r="AC810" s="101" t="str">
        <f t="shared" si="106"/>
        <v>RON</v>
      </c>
      <c r="AD810" s="101">
        <f t="shared" si="106"/>
        <v>10000</v>
      </c>
    </row>
    <row r="811" spans="1:30">
      <c r="A811" s="101">
        <f t="shared" si="104"/>
        <v>23</v>
      </c>
      <c r="B811" s="101">
        <f t="shared" ref="B811:B874" si="107">IF(A811&lt;&gt;A810,1,B810+1)</f>
        <v>18</v>
      </c>
      <c r="C811" s="101" t="str">
        <f t="shared" ref="C811:C874" si="108">_xlfn.CONCAT("T",B811)</f>
        <v>T18</v>
      </c>
      <c r="D811" s="101" t="str">
        <f>IF(A811&lt;&gt;A810,VLOOKUP(A811,'Date SPV'!$A:$D,4,FALSE),D810)</f>
        <v>Nepi Ten Development Solutions  SRL</v>
      </c>
      <c r="E811" s="101" t="str">
        <f>VLOOKUP(A811,'Date SPV'!$A$4:$B$34,2,FALSE)</f>
        <v>RN10_Alba</v>
      </c>
      <c r="H811" s="105" t="s">
        <v>894</v>
      </c>
      <c r="K811" s="101" t="str">
        <f>VLOOKUP(C811,'Preturi si tarife'!$A$4:$B$39,2,FALSE)</f>
        <v>Tarif distributie SDI JT_</v>
      </c>
      <c r="L811" s="102">
        <f>IF(B811=1,'Date masura OD'!$I$5,IF(B811=19,'Date masura OD'!$AK$5,L810))</f>
        <v>45778</v>
      </c>
      <c r="M811" s="102">
        <f>IF(B811=1,'Date masura OD'!$J$5,IF(B811=19,'Date masura OD'!$AL$5,M810))</f>
        <v>45808</v>
      </c>
      <c r="N811" s="104">
        <f>VLOOKUP(E811,verificare!$AR$4:$CC$33,B811+2,FALSE)</f>
        <v>0</v>
      </c>
      <c r="O811" s="103">
        <f>HLOOKUP(VLOOKUP(E811,'Date SPV'!$B$4:$F$34,5,FALSE),'Preturi si tarife'!$C$2:$J$39,B811+2,FALSE)*10000</f>
        <v>927</v>
      </c>
      <c r="Q811" s="101" t="str">
        <f t="shared" si="99"/>
        <v>One-off</v>
      </c>
      <c r="R811" s="101" t="str">
        <f>VLOOKUP(K811,'Preturi si tarife'!$B$4:$K$39,10,FALSE)</f>
        <v>ICOENG0010</v>
      </c>
      <c r="T811" s="101" t="str">
        <f t="shared" si="100"/>
        <v>INV + 30</v>
      </c>
      <c r="V811" s="101" t="str">
        <f t="shared" si="101"/>
        <v>Active</v>
      </c>
      <c r="X811" s="101" t="str">
        <f t="shared" si="102"/>
        <v>One-off</v>
      </c>
      <c r="AC811" s="101" t="str">
        <f t="shared" si="106"/>
        <v>RON</v>
      </c>
      <c r="AD811" s="101">
        <f t="shared" si="106"/>
        <v>10000</v>
      </c>
    </row>
    <row r="812" spans="1:30">
      <c r="A812" s="101">
        <f t="shared" si="104"/>
        <v>23</v>
      </c>
      <c r="B812" s="101">
        <f t="shared" si="107"/>
        <v>19</v>
      </c>
      <c r="C812" s="101" t="str">
        <f t="shared" si="108"/>
        <v>T19</v>
      </c>
      <c r="D812" s="101" t="str">
        <f>IF(A812&lt;&gt;A811,VLOOKUP(A812,'Date SPV'!$A:$D,4,FALSE),D811)</f>
        <v>Nepi Ten Development Solutions  SRL</v>
      </c>
      <c r="E812" s="101" t="str">
        <f>VLOOKUP(A812,'Date SPV'!$A$4:$B$34,2,FALSE)</f>
        <v>RN10_Alba</v>
      </c>
      <c r="H812" s="105" t="s">
        <v>894</v>
      </c>
      <c r="K812" s="101" t="str">
        <f>VLOOKUP(C812,'Preturi si tarife'!$A$4:$B$39,2,FALSE)</f>
        <v>Regularizare Energie activa 1</v>
      </c>
      <c r="L812" s="102">
        <f>IF(B812=1,'Date masura OD'!$I$5,IF(B812=19,'Date masura OD'!$AK$5,L811))</f>
        <v>45748</v>
      </c>
      <c r="M812" s="102">
        <f>IF(B812=1,'Date masura OD'!$J$5,IF(B812=19,'Date masura OD'!$AL$5,M811))</f>
        <v>45777</v>
      </c>
      <c r="N812" s="104">
        <f>VLOOKUP(E812,verificare!$AR$4:$CC$33,B812+2,FALSE)</f>
        <v>0</v>
      </c>
      <c r="O812" s="103">
        <f>HLOOKUP(VLOOKUP(E812,'Date SPV'!$B$4:$F$34,5,FALSE),'Preturi si tarife'!$C$2:$J$39,B812+2,FALSE)*10000</f>
        <v>5950</v>
      </c>
      <c r="Q812" s="101" t="str">
        <f t="shared" si="99"/>
        <v>One-off</v>
      </c>
      <c r="R812" s="101" t="str">
        <f>VLOOKUP(K812,'Preturi si tarife'!$B$4:$K$39,10,FALSE)</f>
        <v>ICOENG0001</v>
      </c>
      <c r="T812" s="101" t="str">
        <f t="shared" si="100"/>
        <v>INV + 30</v>
      </c>
      <c r="V812" s="101" t="str">
        <f t="shared" si="101"/>
        <v>Active</v>
      </c>
      <c r="X812" s="101" t="str">
        <f t="shared" si="102"/>
        <v>One-off</v>
      </c>
      <c r="AC812" s="101" t="str">
        <f t="shared" si="106"/>
        <v>RON</v>
      </c>
      <c r="AD812" s="101">
        <f t="shared" si="106"/>
        <v>10000</v>
      </c>
    </row>
    <row r="813" spans="1:30">
      <c r="A813" s="101">
        <f t="shared" si="104"/>
        <v>23</v>
      </c>
      <c r="B813" s="101">
        <f t="shared" si="107"/>
        <v>20</v>
      </c>
      <c r="C813" s="101" t="str">
        <f t="shared" si="108"/>
        <v>T20</v>
      </c>
      <c r="D813" s="101" t="str">
        <f>IF(A813&lt;&gt;A812,VLOOKUP(A813,'Date SPV'!$A:$D,4,FALSE),D812)</f>
        <v>Nepi Ten Development Solutions  SRL</v>
      </c>
      <c r="E813" s="101" t="str">
        <f>VLOOKUP(A813,'Date SPV'!$A$4:$B$34,2,FALSE)</f>
        <v>RN10_Alba</v>
      </c>
      <c r="H813" s="105" t="s">
        <v>894</v>
      </c>
      <c r="K813" s="101" t="str">
        <f>VLOOKUP(C813,'Preturi si tarife'!$A$4:$B$39,2,FALSE)</f>
        <v>Regularizare Energie reactiva  1X</v>
      </c>
      <c r="L813" s="102">
        <f>IF(B813=1,'Date masura OD'!$I$5,IF(B813=19,'Date masura OD'!$AK$5,L812))</f>
        <v>45748</v>
      </c>
      <c r="M813" s="102">
        <f>IF(B813=1,'Date masura OD'!$J$5,IF(B813=19,'Date masura OD'!$AL$5,M812))</f>
        <v>45777</v>
      </c>
      <c r="N813" s="104">
        <f>VLOOKUP(E813,verificare!$AR$4:$CC$33,B813+2,FALSE)</f>
        <v>9</v>
      </c>
      <c r="O813" s="103">
        <f>HLOOKUP(VLOOKUP(E813,'Date SPV'!$B$4:$F$34,5,FALSE),'Preturi si tarife'!$C$2:$J$39,B813+2,FALSE)*10000</f>
        <v>1465</v>
      </c>
      <c r="Q813" s="101" t="str">
        <f t="shared" si="99"/>
        <v>One-off</v>
      </c>
      <c r="R813" s="101" t="str">
        <f>VLOOKUP(K813,'Preturi si tarife'!$B$4:$K$39,10,FALSE)</f>
        <v>ICOENG0001</v>
      </c>
      <c r="T813" s="101" t="str">
        <f t="shared" si="100"/>
        <v>INV + 30</v>
      </c>
      <c r="V813" s="101" t="str">
        <f t="shared" si="101"/>
        <v>Active</v>
      </c>
      <c r="X813" s="101" t="str">
        <f t="shared" si="102"/>
        <v>One-off</v>
      </c>
      <c r="AC813" s="101" t="str">
        <f t="shared" ref="AC813:AD828" si="109">AC812</f>
        <v>RON</v>
      </c>
      <c r="AD813" s="101">
        <f t="shared" si="109"/>
        <v>10000</v>
      </c>
    </row>
    <row r="814" spans="1:30">
      <c r="A814" s="101">
        <f t="shared" si="104"/>
        <v>23</v>
      </c>
      <c r="B814" s="101">
        <f t="shared" si="107"/>
        <v>21</v>
      </c>
      <c r="C814" s="101" t="str">
        <f t="shared" si="108"/>
        <v>T21</v>
      </c>
      <c r="D814" s="101" t="str">
        <f>IF(A814&lt;&gt;A813,VLOOKUP(A814,'Date SPV'!$A:$D,4,FALSE),D813)</f>
        <v>Nepi Ten Development Solutions  SRL</v>
      </c>
      <c r="E814" s="101" t="str">
        <f>VLOOKUP(A814,'Date SPV'!$A$4:$B$34,2,FALSE)</f>
        <v>RN10_Alba</v>
      </c>
      <c r="H814" s="105" t="s">
        <v>894</v>
      </c>
      <c r="K814" s="101" t="str">
        <f>VLOOKUP(C814,'Preturi si tarife'!$A$4:$B$39,2,FALSE)</f>
        <v>Regularizare Energie reactiva  3X</v>
      </c>
      <c r="L814" s="102">
        <f>IF(B814=1,'Date masura OD'!$I$5,IF(B814=19,'Date masura OD'!$AK$5,L813))</f>
        <v>45748</v>
      </c>
      <c r="M814" s="102">
        <f>IF(B814=1,'Date masura OD'!$J$5,IF(B814=19,'Date masura OD'!$AL$5,M813))</f>
        <v>45777</v>
      </c>
      <c r="N814" s="104">
        <f>VLOOKUP(E814,verificare!$AR$4:$CC$33,B814+2,FALSE)</f>
        <v>3</v>
      </c>
      <c r="O814" s="103">
        <f>HLOOKUP(VLOOKUP(E814,'Date SPV'!$B$4:$F$34,5,FALSE),'Preturi si tarife'!$C$2:$J$39,B814+2,FALSE)*10000</f>
        <v>4395</v>
      </c>
      <c r="Q814" s="101" t="str">
        <f t="shared" si="99"/>
        <v>One-off</v>
      </c>
      <c r="R814" s="101" t="str">
        <f>VLOOKUP(K814,'Preturi si tarife'!$B$4:$K$39,10,FALSE)</f>
        <v>ICOENG0001</v>
      </c>
      <c r="T814" s="101" t="str">
        <f t="shared" si="100"/>
        <v>INV + 30</v>
      </c>
      <c r="V814" s="101" t="str">
        <f t="shared" si="101"/>
        <v>Active</v>
      </c>
      <c r="X814" s="101" t="str">
        <f t="shared" si="102"/>
        <v>One-off</v>
      </c>
      <c r="AC814" s="101" t="str">
        <f t="shared" si="109"/>
        <v>RON</v>
      </c>
      <c r="AD814" s="101">
        <f t="shared" si="109"/>
        <v>10000</v>
      </c>
    </row>
    <row r="815" spans="1:30">
      <c r="A815" s="101">
        <f t="shared" si="104"/>
        <v>23</v>
      </c>
      <c r="B815" s="101">
        <f t="shared" si="107"/>
        <v>22</v>
      </c>
      <c r="C815" s="101" t="str">
        <f t="shared" si="108"/>
        <v>T22</v>
      </c>
      <c r="D815" s="101" t="str">
        <f>IF(A815&lt;&gt;A814,VLOOKUP(A815,'Date SPV'!$A:$D,4,FALSE),D814)</f>
        <v>Nepi Ten Development Solutions  SRL</v>
      </c>
      <c r="E815" s="101" t="str">
        <f>VLOOKUP(A815,'Date SPV'!$A$4:$B$34,2,FALSE)</f>
        <v>RN10_Alba</v>
      </c>
      <c r="H815" s="105" t="s">
        <v>894</v>
      </c>
      <c r="K815" s="101" t="str">
        <f>VLOOKUP(C815,'Preturi si tarife'!$A$4:$B$39,2,FALSE)</f>
        <v>Regularizare Tarife distributie en. El IT+MT</v>
      </c>
      <c r="L815" s="102">
        <f>IF(B815=1,'Date masura OD'!$I$5,IF(B815=19,'Date masura OD'!$AK$5,L814))</f>
        <v>45748</v>
      </c>
      <c r="M815" s="102">
        <f>IF(B815=1,'Date masura OD'!$J$5,IF(B815=19,'Date masura OD'!$AL$5,M814))</f>
        <v>45777</v>
      </c>
      <c r="N815" s="104">
        <f>VLOOKUP(E815,verificare!$AR$4:$CC$33,B815+2,FALSE)</f>
        <v>0</v>
      </c>
      <c r="O815" s="103">
        <f>HLOOKUP(VLOOKUP(E815,'Date SPV'!$B$4:$F$34,5,FALSE),'Preturi si tarife'!$C$2:$J$39,B815+2,FALSE)*10000</f>
        <v>1148.3</v>
      </c>
      <c r="Q815" s="101" t="str">
        <f t="shared" si="99"/>
        <v>One-off</v>
      </c>
      <c r="R815" s="101" t="str">
        <f>VLOOKUP(K815,'Preturi si tarife'!$B$4:$K$39,10,FALSE)</f>
        <v>ICOENG0001</v>
      </c>
      <c r="T815" s="101" t="str">
        <f t="shared" si="100"/>
        <v>INV + 30</v>
      </c>
      <c r="V815" s="101" t="str">
        <f t="shared" si="101"/>
        <v>Active</v>
      </c>
      <c r="X815" s="101" t="str">
        <f t="shared" si="102"/>
        <v>One-off</v>
      </c>
      <c r="AC815" s="101" t="str">
        <f t="shared" si="109"/>
        <v>RON</v>
      </c>
      <c r="AD815" s="101">
        <f t="shared" si="109"/>
        <v>10000</v>
      </c>
    </row>
    <row r="816" spans="1:30">
      <c r="A816" s="101">
        <f t="shared" si="104"/>
        <v>23</v>
      </c>
      <c r="B816" s="101">
        <f t="shared" si="107"/>
        <v>23</v>
      </c>
      <c r="C816" s="101" t="str">
        <f t="shared" si="108"/>
        <v>T23</v>
      </c>
      <c r="D816" s="101" t="str">
        <f>IF(A816&lt;&gt;A815,VLOOKUP(A816,'Date SPV'!$A:$D,4,FALSE),D815)</f>
        <v>Nepi Ten Development Solutions  SRL</v>
      </c>
      <c r="E816" s="101" t="str">
        <f>VLOOKUP(A816,'Date SPV'!$A$4:$B$34,2,FALSE)</f>
        <v>RN10_Alba</v>
      </c>
      <c r="H816" s="105" t="s">
        <v>894</v>
      </c>
      <c r="K816" s="101" t="str">
        <f>VLOOKUP(C816,'Preturi si tarife'!$A$4:$B$39,2,FALSE)</f>
        <v>Regularizare Tarife distributie en. El JT</v>
      </c>
      <c r="L816" s="102">
        <f>IF(B816=1,'Date masura OD'!$I$5,IF(B816=19,'Date masura OD'!$AK$5,L815))</f>
        <v>45748</v>
      </c>
      <c r="M816" s="102">
        <f>IF(B816=1,'Date masura OD'!$J$5,IF(B816=19,'Date masura OD'!$AL$5,M815))</f>
        <v>45777</v>
      </c>
      <c r="N816" s="104">
        <f>VLOOKUP(E816,verificare!$AR$4:$CC$33,B816+2,FALSE)</f>
        <v>0</v>
      </c>
      <c r="O816" s="103">
        <f>HLOOKUP(VLOOKUP(E816,'Date SPV'!$B$4:$F$34,5,FALSE),'Preturi si tarife'!$C$2:$J$39,B816+2,FALSE)*10000</f>
        <v>2361</v>
      </c>
      <c r="Q816" s="101" t="str">
        <f t="shared" si="99"/>
        <v>One-off</v>
      </c>
      <c r="R816" s="101" t="str">
        <f>VLOOKUP(K816,'Preturi si tarife'!$B$4:$K$39,10,FALSE)</f>
        <v>ICOENG0001</v>
      </c>
      <c r="T816" s="101" t="str">
        <f t="shared" si="100"/>
        <v>INV + 30</v>
      </c>
      <c r="V816" s="101" t="str">
        <f t="shared" si="101"/>
        <v>Active</v>
      </c>
      <c r="X816" s="101" t="str">
        <f t="shared" si="102"/>
        <v>One-off</v>
      </c>
      <c r="AC816" s="101" t="str">
        <f t="shared" si="109"/>
        <v>RON</v>
      </c>
      <c r="AD816" s="101">
        <f t="shared" si="109"/>
        <v>10000</v>
      </c>
    </row>
    <row r="817" spans="1:30">
      <c r="A817" s="101">
        <f t="shared" si="104"/>
        <v>23</v>
      </c>
      <c r="B817" s="101">
        <f t="shared" si="107"/>
        <v>24</v>
      </c>
      <c r="C817" s="101" t="str">
        <f t="shared" si="108"/>
        <v>T24</v>
      </c>
      <c r="D817" s="101" t="str">
        <f>IF(A817&lt;&gt;A816,VLOOKUP(A817,'Date SPV'!$A:$D,4,FALSE),D816)</f>
        <v>Nepi Ten Development Solutions  SRL</v>
      </c>
      <c r="E817" s="101" t="str">
        <f>VLOOKUP(A817,'Date SPV'!$A$4:$B$34,2,FALSE)</f>
        <v>RN10_Alba</v>
      </c>
      <c r="H817" s="105" t="s">
        <v>894</v>
      </c>
      <c r="K817" s="101" t="str">
        <f>VLOOKUP(C817,'Preturi si tarife'!$A$4:$B$39,2,FALSE)</f>
        <v xml:space="preserve">Regularizare Servicii Sistem </v>
      </c>
      <c r="L817" s="102">
        <f>IF(B817=1,'Date masura OD'!$I$5,IF(B817=19,'Date masura OD'!$AK$5,L816))</f>
        <v>45748</v>
      </c>
      <c r="M817" s="102">
        <f>IF(B817=1,'Date masura OD'!$J$5,IF(B817=19,'Date masura OD'!$AL$5,M816))</f>
        <v>45777</v>
      </c>
      <c r="N817" s="104">
        <f>VLOOKUP(E817,verificare!$AR$4:$CC$33,B817+2,FALSE)</f>
        <v>0</v>
      </c>
      <c r="O817" s="103">
        <f>HLOOKUP(VLOOKUP(E817,'Date SPV'!$B$4:$F$34,5,FALSE),'Preturi si tarife'!$C$2:$J$39,B817+2,FALSE)*10000</f>
        <v>115.1</v>
      </c>
      <c r="Q817" s="101" t="str">
        <f t="shared" si="99"/>
        <v>One-off</v>
      </c>
      <c r="R817" s="101" t="str">
        <f>VLOOKUP(K817,'Preturi si tarife'!$B$4:$K$39,10,FALSE)</f>
        <v>ICOENG0001</v>
      </c>
      <c r="T817" s="101" t="str">
        <f t="shared" si="100"/>
        <v>INV + 30</v>
      </c>
      <c r="V817" s="101" t="str">
        <f t="shared" si="101"/>
        <v>Active</v>
      </c>
      <c r="X817" s="101" t="str">
        <f t="shared" si="102"/>
        <v>One-off</v>
      </c>
      <c r="AC817" s="101" t="str">
        <f t="shared" si="109"/>
        <v>RON</v>
      </c>
      <c r="AD817" s="101">
        <f t="shared" si="109"/>
        <v>10000</v>
      </c>
    </row>
    <row r="818" spans="1:30">
      <c r="A818" s="101">
        <f t="shared" si="104"/>
        <v>23</v>
      </c>
      <c r="B818" s="101">
        <f t="shared" si="107"/>
        <v>25</v>
      </c>
      <c r="C818" s="101" t="str">
        <f t="shared" si="108"/>
        <v>T25</v>
      </c>
      <c r="D818" s="101" t="str">
        <f>IF(A818&lt;&gt;A817,VLOOKUP(A818,'Date SPV'!$A:$D,4,FALSE),D817)</f>
        <v>Nepi Ten Development Solutions  SRL</v>
      </c>
      <c r="E818" s="101" t="str">
        <f>VLOOKUP(A818,'Date SPV'!$A$4:$B$34,2,FALSE)</f>
        <v>RN10_Alba</v>
      </c>
      <c r="H818" s="105" t="s">
        <v>894</v>
      </c>
      <c r="K818" s="101" t="str">
        <f>VLOOKUP(C818,'Preturi si tarife'!$A$4:$B$39,2,FALSE)</f>
        <v>Regularizare Tarif de introducere en. el in retea (TL)</v>
      </c>
      <c r="L818" s="102">
        <f>IF(B818=1,'Date masura OD'!$I$5,IF(B818=19,'Date masura OD'!$AK$5,L817))</f>
        <v>45748</v>
      </c>
      <c r="M818" s="102">
        <f>IF(B818=1,'Date masura OD'!$J$5,IF(B818=19,'Date masura OD'!$AL$5,M817))</f>
        <v>45777</v>
      </c>
      <c r="N818" s="104">
        <f>VLOOKUP(E818,verificare!$AR$4:$CC$33,B818+2,FALSE)</f>
        <v>0</v>
      </c>
      <c r="O818" s="103">
        <f>HLOOKUP(VLOOKUP(E818,'Date SPV'!$B$4:$F$34,5,FALSE),'Preturi si tarife'!$C$2:$J$39,B818+2,FALSE)*10000</f>
        <v>330.3</v>
      </c>
      <c r="Q818" s="101" t="str">
        <f t="shared" si="99"/>
        <v>One-off</v>
      </c>
      <c r="R818" s="101" t="str">
        <f>VLOOKUP(K818,'Preturi si tarife'!$B$4:$K$39,10,FALSE)</f>
        <v>ICOENG0001</v>
      </c>
      <c r="T818" s="101" t="str">
        <f t="shared" si="100"/>
        <v>INV + 30</v>
      </c>
      <c r="V818" s="101" t="str">
        <f t="shared" si="101"/>
        <v>Active</v>
      </c>
      <c r="X818" s="101" t="str">
        <f t="shared" si="102"/>
        <v>One-off</v>
      </c>
      <c r="AC818" s="101" t="str">
        <f t="shared" si="109"/>
        <v>RON</v>
      </c>
      <c r="AD818" s="101">
        <f t="shared" si="109"/>
        <v>10000</v>
      </c>
    </row>
    <row r="819" spans="1:30">
      <c r="A819" s="101">
        <f t="shared" si="104"/>
        <v>23</v>
      </c>
      <c r="B819" s="101">
        <f t="shared" si="107"/>
        <v>26</v>
      </c>
      <c r="C819" s="101" t="str">
        <f t="shared" si="108"/>
        <v>T26</v>
      </c>
      <c r="D819" s="101" t="str">
        <f>IF(A819&lt;&gt;A818,VLOOKUP(A819,'Date SPV'!$A:$D,4,FALSE),D818)</f>
        <v>Nepi Ten Development Solutions  SRL</v>
      </c>
      <c r="E819" s="101" t="str">
        <f>VLOOKUP(A819,'Date SPV'!$A$4:$B$34,2,FALSE)</f>
        <v>RN10_Alba</v>
      </c>
      <c r="H819" s="105" t="s">
        <v>894</v>
      </c>
      <c r="K819" s="101" t="str">
        <f>VLOOKUP(C819,'Preturi si tarife'!$A$4:$B$39,2,FALSE)</f>
        <v>Regularizare Tarif de introducere en.el in retea (TG)</v>
      </c>
      <c r="L819" s="102">
        <f>IF(B819=1,'Date masura OD'!$I$5,IF(B819=19,'Date masura OD'!$AK$5,L818))</f>
        <v>45748</v>
      </c>
      <c r="M819" s="102">
        <f>IF(B819=1,'Date masura OD'!$J$5,IF(B819=19,'Date masura OD'!$AL$5,M818))</f>
        <v>45777</v>
      </c>
      <c r="N819" s="104">
        <f>VLOOKUP(E819,verificare!$AR$4:$CC$33,B819+2,FALSE)</f>
        <v>0</v>
      </c>
      <c r="O819" s="103">
        <f>HLOOKUP(VLOOKUP(E819,'Date SPV'!$B$4:$F$34,5,FALSE),'Preturi si tarife'!$C$2:$J$39,B819+2,FALSE)*10000</f>
        <v>32.9</v>
      </c>
      <c r="Q819" s="101" t="str">
        <f t="shared" si="99"/>
        <v>One-off</v>
      </c>
      <c r="R819" s="101" t="str">
        <f>VLOOKUP(K819,'Preturi si tarife'!$B$4:$K$39,10,FALSE)</f>
        <v>ICOENG0001</v>
      </c>
      <c r="T819" s="101" t="str">
        <f t="shared" si="100"/>
        <v>INV + 30</v>
      </c>
      <c r="V819" s="101" t="str">
        <f t="shared" si="101"/>
        <v>Active</v>
      </c>
      <c r="X819" s="101" t="str">
        <f t="shared" si="102"/>
        <v>One-off</v>
      </c>
      <c r="AC819" s="101" t="str">
        <f t="shared" si="109"/>
        <v>RON</v>
      </c>
      <c r="AD819" s="101">
        <f t="shared" si="109"/>
        <v>10000</v>
      </c>
    </row>
    <row r="820" spans="1:30">
      <c r="A820" s="101">
        <f t="shared" si="104"/>
        <v>23</v>
      </c>
      <c r="B820" s="101">
        <f t="shared" si="107"/>
        <v>27</v>
      </c>
      <c r="C820" s="101" t="str">
        <f t="shared" si="108"/>
        <v>T27</v>
      </c>
      <c r="D820" s="101" t="str">
        <f>IF(A820&lt;&gt;A819,VLOOKUP(A820,'Date SPV'!$A:$D,4,FALSE),D819)</f>
        <v>Nepi Ten Development Solutions  SRL</v>
      </c>
      <c r="E820" s="101" t="str">
        <f>VLOOKUP(A820,'Date SPV'!$A$4:$B$34,2,FALSE)</f>
        <v>RN10_Alba</v>
      </c>
      <c r="H820" s="105" t="s">
        <v>894</v>
      </c>
      <c r="K820" s="101" t="str">
        <f>VLOOKUP(C820,'Preturi si tarife'!$A$4:$B$39,2,FALSE)</f>
        <v>Regularizare Contributie pentru cogenerare</v>
      </c>
      <c r="L820" s="102">
        <f>IF(B820=1,'Date masura OD'!$I$5,IF(B820=19,'Date masura OD'!$AK$5,L819))</f>
        <v>45748</v>
      </c>
      <c r="M820" s="102">
        <f>IF(B820=1,'Date masura OD'!$J$5,IF(B820=19,'Date masura OD'!$AL$5,M819))</f>
        <v>45777</v>
      </c>
      <c r="N820" s="104">
        <f>VLOOKUP(E820,verificare!$AR$4:$CC$33,B820+2,FALSE)</f>
        <v>0</v>
      </c>
      <c r="O820" s="103">
        <f>HLOOKUP(VLOOKUP(E820,'Date SPV'!$B$4:$F$34,5,FALSE),'Preturi si tarife'!$C$2:$J$39,B820+2,FALSE)*10000</f>
        <v>35</v>
      </c>
      <c r="Q820" s="101" t="str">
        <f t="shared" si="99"/>
        <v>One-off</v>
      </c>
      <c r="R820" s="101" t="str">
        <f>VLOOKUP(K820,'Preturi si tarife'!$B$4:$K$39,10,FALSE)</f>
        <v>ICOENG0001</v>
      </c>
      <c r="T820" s="101" t="str">
        <f t="shared" si="100"/>
        <v>INV + 30</v>
      </c>
      <c r="V820" s="101" t="str">
        <f t="shared" si="101"/>
        <v>Active</v>
      </c>
      <c r="X820" s="101" t="str">
        <f t="shared" si="102"/>
        <v>One-off</v>
      </c>
      <c r="AC820" s="101" t="str">
        <f t="shared" si="109"/>
        <v>RON</v>
      </c>
      <c r="AD820" s="101">
        <f t="shared" si="109"/>
        <v>10000</v>
      </c>
    </row>
    <row r="821" spans="1:30">
      <c r="A821" s="101">
        <f t="shared" si="104"/>
        <v>23</v>
      </c>
      <c r="B821" s="101">
        <f t="shared" si="107"/>
        <v>28</v>
      </c>
      <c r="C821" s="101" t="str">
        <f t="shared" si="108"/>
        <v>T28</v>
      </c>
      <c r="D821" s="101" t="str">
        <f>IF(A821&lt;&gt;A820,VLOOKUP(A821,'Date SPV'!$A:$D,4,FALSE),D820)</f>
        <v>Nepi Ten Development Solutions  SRL</v>
      </c>
      <c r="E821" s="101" t="str">
        <f>VLOOKUP(A821,'Date SPV'!$A$4:$B$34,2,FALSE)</f>
        <v>RN10_Alba</v>
      </c>
      <c r="H821" s="105" t="s">
        <v>894</v>
      </c>
      <c r="K821" s="101" t="str">
        <f>VLOOKUP(C821,'Preturi si tarife'!$A$4:$B$39,2,FALSE)</f>
        <v xml:space="preserve">Regularizare Certificate verzi </v>
      </c>
      <c r="L821" s="102">
        <f>IF(B821=1,'Date masura OD'!$I$5,IF(B821=19,'Date masura OD'!$AK$5,L820))</f>
        <v>45748</v>
      </c>
      <c r="M821" s="102">
        <f>IF(B821=1,'Date masura OD'!$J$5,IF(B821=19,'Date masura OD'!$AL$5,M820))</f>
        <v>45777</v>
      </c>
      <c r="N821" s="104">
        <f>VLOOKUP(E821,verificare!$AR$4:$CC$33,B821+2,FALSE)</f>
        <v>0</v>
      </c>
      <c r="O821" s="103">
        <f>HLOOKUP(VLOOKUP(E821,'Date SPV'!$B$4:$F$34,5,FALSE),'Preturi si tarife'!$C$2:$J$39,B821+2,FALSE)*10000</f>
        <v>725.41599999999994</v>
      </c>
      <c r="Q821" s="101" t="str">
        <f t="shared" si="99"/>
        <v>One-off</v>
      </c>
      <c r="R821" s="101" t="str">
        <f>VLOOKUP(K821,'Preturi si tarife'!$B$4:$K$39,10,FALSE)</f>
        <v>ICOENG0001</v>
      </c>
      <c r="T821" s="101" t="str">
        <f t="shared" si="100"/>
        <v>INV + 30</v>
      </c>
      <c r="V821" s="101" t="str">
        <f t="shared" si="101"/>
        <v>Active</v>
      </c>
      <c r="X821" s="101" t="str">
        <f t="shared" si="102"/>
        <v>One-off</v>
      </c>
      <c r="AC821" s="101" t="str">
        <f t="shared" si="109"/>
        <v>RON</v>
      </c>
      <c r="AD821" s="101">
        <f t="shared" si="109"/>
        <v>10000</v>
      </c>
    </row>
    <row r="822" spans="1:30">
      <c r="A822" s="101">
        <f t="shared" si="104"/>
        <v>23</v>
      </c>
      <c r="B822" s="101">
        <f t="shared" si="107"/>
        <v>29</v>
      </c>
      <c r="C822" s="101" t="str">
        <f t="shared" si="108"/>
        <v>T29</v>
      </c>
      <c r="D822" s="101" t="str">
        <f>IF(A822&lt;&gt;A821,VLOOKUP(A822,'Date SPV'!$A:$D,4,FALSE),D821)</f>
        <v>Nepi Ten Development Solutions  SRL</v>
      </c>
      <c r="E822" s="101" t="str">
        <f>VLOOKUP(A822,'Date SPV'!$A$4:$B$34,2,FALSE)</f>
        <v>RN10_Alba</v>
      </c>
      <c r="H822" s="105" t="s">
        <v>894</v>
      </c>
      <c r="K822" s="101" t="str">
        <f>VLOOKUP(C822,'Preturi si tarife'!$A$4:$B$39,2,FALSE)</f>
        <v>Regularizare Contributie CFD</v>
      </c>
      <c r="L822" s="102">
        <f>IF(B822=1,'Date masura OD'!$I$5,IF(B822=19,'Date masura OD'!$AK$5,L821))</f>
        <v>45748</v>
      </c>
      <c r="M822" s="102">
        <f>IF(B822=1,'Date masura OD'!$J$5,IF(B822=19,'Date masura OD'!$AL$5,M821))</f>
        <v>45777</v>
      </c>
      <c r="N822" s="104">
        <f>VLOOKUP(E822,verificare!$AR$4:$CC$33,B822+2,FALSE)</f>
        <v>0</v>
      </c>
      <c r="O822" s="103">
        <f>HLOOKUP(VLOOKUP(E822,'Date SPV'!$B$4:$F$34,5,FALSE),'Preturi si tarife'!$C$2:$J$39,B822+2,FALSE)*10000</f>
        <v>2.06</v>
      </c>
      <c r="Q822" s="101" t="str">
        <f t="shared" si="99"/>
        <v>One-off</v>
      </c>
      <c r="R822" s="101" t="str">
        <f>VLOOKUP(K822,'Preturi si tarife'!$B$4:$K$39,10,FALSE)</f>
        <v>ICOENG0001</v>
      </c>
      <c r="T822" s="101" t="str">
        <f t="shared" si="100"/>
        <v>INV + 30</v>
      </c>
      <c r="V822" s="101" t="str">
        <f t="shared" si="101"/>
        <v>Active</v>
      </c>
      <c r="X822" s="101" t="str">
        <f t="shared" si="102"/>
        <v>One-off</v>
      </c>
      <c r="AC822" s="101" t="str">
        <f t="shared" si="109"/>
        <v>RON</v>
      </c>
      <c r="AD822" s="101">
        <f t="shared" si="109"/>
        <v>10000</v>
      </c>
    </row>
    <row r="823" spans="1:30">
      <c r="A823" s="101">
        <f t="shared" si="104"/>
        <v>23</v>
      </c>
      <c r="B823" s="101">
        <f t="shared" si="107"/>
        <v>30</v>
      </c>
      <c r="C823" s="101" t="str">
        <f t="shared" si="108"/>
        <v>T30</v>
      </c>
      <c r="D823" s="101" t="str">
        <f>IF(A823&lt;&gt;A822,VLOOKUP(A823,'Date SPV'!$A:$D,4,FALSE),D822)</f>
        <v>Nepi Ten Development Solutions  SRL</v>
      </c>
      <c r="E823" s="101" t="str">
        <f>VLOOKUP(A823,'Date SPV'!$A$4:$B$34,2,FALSE)</f>
        <v>RN10_Alba</v>
      </c>
      <c r="H823" s="105" t="s">
        <v>894</v>
      </c>
      <c r="K823" s="101" t="str">
        <f>VLOOKUP(C823,'Preturi si tarife'!$A$4:$B$39,2,FALSE)</f>
        <v>Regularizare Acciza</v>
      </c>
      <c r="L823" s="102">
        <f>IF(B823=1,'Date masura OD'!$I$5,IF(B823=19,'Date masura OD'!$AK$5,L822))</f>
        <v>45748</v>
      </c>
      <c r="M823" s="102">
        <f>IF(B823=1,'Date masura OD'!$J$5,IF(B823=19,'Date masura OD'!$AL$5,M822))</f>
        <v>45777</v>
      </c>
      <c r="N823" s="104">
        <f>VLOOKUP(E823,verificare!$AR$4:$CC$33,B823+2,FALSE)</f>
        <v>0</v>
      </c>
      <c r="O823" s="103">
        <f>HLOOKUP(VLOOKUP(E823,'Date SPV'!$B$4:$F$34,5,FALSE),'Preturi si tarife'!$C$2:$J$39,B823+2,FALSE)*10000</f>
        <v>0</v>
      </c>
      <c r="Q823" s="101" t="str">
        <f t="shared" si="99"/>
        <v>One-off</v>
      </c>
      <c r="R823" s="101" t="str">
        <f>VLOOKUP(K823,'Preturi si tarife'!$B$4:$K$39,10,FALSE)</f>
        <v>ICOENG0001</v>
      </c>
      <c r="T823" s="101" t="str">
        <f t="shared" si="100"/>
        <v>INV + 30</v>
      </c>
      <c r="V823" s="101" t="str">
        <f t="shared" si="101"/>
        <v>Active</v>
      </c>
      <c r="X823" s="101" t="str">
        <f t="shared" si="102"/>
        <v>One-off</v>
      </c>
      <c r="AC823" s="101" t="str">
        <f t="shared" si="109"/>
        <v>RON</v>
      </c>
      <c r="AD823" s="101">
        <f t="shared" si="109"/>
        <v>10000</v>
      </c>
    </row>
    <row r="824" spans="1:30">
      <c r="A824" s="101">
        <f t="shared" si="104"/>
        <v>23</v>
      </c>
      <c r="B824" s="101">
        <f t="shared" si="107"/>
        <v>31</v>
      </c>
      <c r="C824" s="101" t="str">
        <f t="shared" si="108"/>
        <v>T31</v>
      </c>
      <c r="D824" s="101" t="str">
        <f>IF(A824&lt;&gt;A823,VLOOKUP(A824,'Date SPV'!$A:$D,4,FALSE),D823)</f>
        <v>Nepi Ten Development Solutions  SRL</v>
      </c>
      <c r="E824" s="101" t="str">
        <f>VLOOKUP(A824,'Date SPV'!$A$4:$B$34,2,FALSE)</f>
        <v>RN10_Alba</v>
      </c>
      <c r="H824" s="105" t="s">
        <v>894</v>
      </c>
      <c r="K824" s="101" t="str">
        <f>VLOOKUP(C824,'Preturi si tarife'!$A$4:$B$39,2,FALSE)</f>
        <v>Regularizare Tarif distributie SDI MT Ea1</v>
      </c>
      <c r="L824" s="102">
        <f>IF(B824=1,'Date masura OD'!$I$5,IF(B824=19,'Date masura OD'!$AK$5,L823))</f>
        <v>45748</v>
      </c>
      <c r="M824" s="102">
        <f>IF(B824=1,'Date masura OD'!$J$5,IF(B824=19,'Date masura OD'!$AL$5,M823))</f>
        <v>45777</v>
      </c>
      <c r="N824" s="104">
        <f>VLOOKUP(E824,verificare!$AR$4:$CC$33,B824+2,FALSE)</f>
        <v>0</v>
      </c>
      <c r="O824" s="103">
        <f>HLOOKUP(VLOOKUP(E824,'Date SPV'!$B$4:$F$34,5,FALSE),'Preturi si tarife'!$C$2:$J$39,B824+2,FALSE)*10000</f>
        <v>126</v>
      </c>
      <c r="Q824" s="101" t="str">
        <f t="shared" si="99"/>
        <v>One-off</v>
      </c>
      <c r="R824" s="101" t="str">
        <f>VLOOKUP(K824,'Preturi si tarife'!$B$4:$K$39,10,FALSE)</f>
        <v>ICOENG0010</v>
      </c>
      <c r="T824" s="101" t="str">
        <f t="shared" si="100"/>
        <v>INV + 30</v>
      </c>
      <c r="V824" s="101" t="str">
        <f t="shared" si="101"/>
        <v>Active</v>
      </c>
      <c r="X824" s="101" t="str">
        <f t="shared" si="102"/>
        <v>One-off</v>
      </c>
      <c r="AC824" s="101" t="str">
        <f t="shared" si="109"/>
        <v>RON</v>
      </c>
      <c r="AD824" s="101">
        <f t="shared" si="109"/>
        <v>10000</v>
      </c>
    </row>
    <row r="825" spans="1:30">
      <c r="A825" s="101">
        <f t="shared" si="104"/>
        <v>23</v>
      </c>
      <c r="B825" s="101">
        <f t="shared" si="107"/>
        <v>32</v>
      </c>
      <c r="C825" s="101" t="str">
        <f t="shared" si="108"/>
        <v>T32</v>
      </c>
      <c r="D825" s="101" t="str">
        <f>IF(A825&lt;&gt;A824,VLOOKUP(A825,'Date SPV'!$A:$D,4,FALSE),D824)</f>
        <v>Nepi Ten Development Solutions  SRL</v>
      </c>
      <c r="E825" s="101" t="str">
        <f>VLOOKUP(A825,'Date SPV'!$A$4:$B$34,2,FALSE)</f>
        <v>RN10_Alba</v>
      </c>
      <c r="H825" s="105" t="s">
        <v>894</v>
      </c>
      <c r="K825" s="101" t="str">
        <f>VLOOKUP(C825,'Preturi si tarife'!$A$4:$B$39,2,FALSE)</f>
        <v>Regularizare Tarif distributie SDI JT Ea1</v>
      </c>
      <c r="L825" s="102">
        <f>IF(B825=1,'Date masura OD'!$I$5,IF(B825=19,'Date masura OD'!$AK$5,L824))</f>
        <v>45748</v>
      </c>
      <c r="M825" s="102">
        <f>IF(B825=1,'Date masura OD'!$J$5,IF(B825=19,'Date masura OD'!$AL$5,M824))</f>
        <v>45777</v>
      </c>
      <c r="N825" s="104">
        <f>VLOOKUP(E825,verificare!$AR$4:$CC$33,B825+2,FALSE)</f>
        <v>0</v>
      </c>
      <c r="O825" s="103">
        <f>HLOOKUP(VLOOKUP(E825,'Date SPV'!$B$4:$F$34,5,FALSE),'Preturi si tarife'!$C$2:$J$39,B825+2,FALSE)*10000</f>
        <v>927</v>
      </c>
      <c r="Q825" s="101" t="str">
        <f t="shared" si="99"/>
        <v>One-off</v>
      </c>
      <c r="R825" s="101" t="str">
        <f>VLOOKUP(K825,'Preturi si tarife'!$B$4:$K$39,10,FALSE)</f>
        <v>ICOENG0010</v>
      </c>
      <c r="T825" s="101" t="str">
        <f t="shared" si="100"/>
        <v>INV + 30</v>
      </c>
      <c r="V825" s="101" t="str">
        <f t="shared" si="101"/>
        <v>Active</v>
      </c>
      <c r="X825" s="101" t="str">
        <f t="shared" si="102"/>
        <v>One-off</v>
      </c>
      <c r="AC825" s="101" t="str">
        <f t="shared" si="109"/>
        <v>RON</v>
      </c>
      <c r="AD825" s="101">
        <f t="shared" si="109"/>
        <v>10000</v>
      </c>
    </row>
    <row r="826" spans="1:30">
      <c r="A826" s="101">
        <f t="shared" si="104"/>
        <v>23</v>
      </c>
      <c r="B826" s="101">
        <f t="shared" si="107"/>
        <v>33</v>
      </c>
      <c r="C826" s="101" t="str">
        <f t="shared" si="108"/>
        <v>T33</v>
      </c>
      <c r="D826" s="101" t="str">
        <f>IF(A826&lt;&gt;A825,VLOOKUP(A826,'Date SPV'!$A:$D,4,FALSE),D825)</f>
        <v>Nepi Ten Development Solutions  SRL</v>
      </c>
      <c r="E826" s="101" t="str">
        <f>VLOOKUP(A826,'Date SPV'!$A$4:$B$34,2,FALSE)</f>
        <v>RN10_Alba</v>
      </c>
      <c r="H826" s="105" t="s">
        <v>894</v>
      </c>
      <c r="K826" s="101" t="str">
        <f>VLOOKUP(C826,'Preturi si tarife'!$A$4:$B$39,2,FALSE)</f>
        <v>Regularizare Energie activa 2</v>
      </c>
      <c r="L826" s="102">
        <f>IF(B826=1,'Date masura OD'!$I$5,IF(B826=19,'Date masura OD'!$AK$5,L825))</f>
        <v>45748</v>
      </c>
      <c r="M826" s="102">
        <f>IF(B826=1,'Date masura OD'!$J$5,IF(B826=19,'Date masura OD'!$AL$5,M825))</f>
        <v>45777</v>
      </c>
      <c r="N826" s="104">
        <f>VLOOKUP(E826,verificare!$AR$4:$CC$33,B826+2,FALSE)</f>
        <v>0</v>
      </c>
      <c r="O826" s="103">
        <f>HLOOKUP(VLOOKUP(E826,'Date SPV'!$B$4:$F$34,5,FALSE),'Preturi si tarife'!$C$2:$J$39,B826+2,FALSE)*10000</f>
        <v>9392.0760000000009</v>
      </c>
      <c r="Q826" s="101" t="str">
        <f t="shared" si="99"/>
        <v>One-off</v>
      </c>
      <c r="R826" s="101" t="str">
        <f>VLOOKUP(K826,'Preturi si tarife'!$B$4:$K$39,10,FALSE)</f>
        <v>ICOENG0012</v>
      </c>
      <c r="T826" s="101" t="str">
        <f t="shared" si="100"/>
        <v>INV + 30</v>
      </c>
      <c r="V826" s="101" t="str">
        <f t="shared" si="101"/>
        <v>Active</v>
      </c>
      <c r="X826" s="101" t="str">
        <f t="shared" si="102"/>
        <v>One-off</v>
      </c>
      <c r="AC826" s="101" t="str">
        <f t="shared" si="109"/>
        <v>RON</v>
      </c>
      <c r="AD826" s="101">
        <f t="shared" si="109"/>
        <v>10000</v>
      </c>
    </row>
    <row r="827" spans="1:30">
      <c r="A827" s="101">
        <f t="shared" si="104"/>
        <v>23</v>
      </c>
      <c r="B827" s="101">
        <f t="shared" si="107"/>
        <v>34</v>
      </c>
      <c r="C827" s="101" t="str">
        <f t="shared" si="108"/>
        <v>T34</v>
      </c>
      <c r="D827" s="101" t="str">
        <f>IF(A827&lt;&gt;A826,VLOOKUP(A827,'Date SPV'!$A:$D,4,FALSE),D826)</f>
        <v>Nepi Ten Development Solutions  SRL</v>
      </c>
      <c r="E827" s="101" t="str">
        <f>VLOOKUP(A827,'Date SPV'!$A$4:$B$34,2,FALSE)</f>
        <v>RN10_Alba</v>
      </c>
      <c r="H827" s="105" t="s">
        <v>894</v>
      </c>
      <c r="K827" s="101" t="str">
        <f>VLOOKUP(C827,'Preturi si tarife'!$A$4:$B$39,2,FALSE)</f>
        <v>Regularizare Energie activa 3</v>
      </c>
      <c r="L827" s="102">
        <f>IF(B827=1,'Date masura OD'!$I$5,IF(B827=19,'Date masura OD'!$AK$5,L826))</f>
        <v>45748</v>
      </c>
      <c r="M827" s="102">
        <f>IF(B827=1,'Date masura OD'!$J$5,IF(B827=19,'Date masura OD'!$AL$5,M826))</f>
        <v>45777</v>
      </c>
      <c r="N827" s="104">
        <f>VLOOKUP(E827,verificare!$AR$4:$CC$33,B827+2,FALSE)</f>
        <v>0</v>
      </c>
      <c r="O827" s="103">
        <f>HLOOKUP(VLOOKUP(E827,'Date SPV'!$B$4:$F$34,5,FALSE),'Preturi si tarife'!$C$2:$J$39,B827+2,FALSE)*10000</f>
        <v>8339.0760000000009</v>
      </c>
      <c r="Q827" s="101" t="str">
        <f t="shared" si="99"/>
        <v>One-off</v>
      </c>
      <c r="R827" s="101" t="str">
        <f>VLOOKUP(K827,'Preturi si tarife'!$B$4:$K$39,10,FALSE)</f>
        <v>ICOENG0012</v>
      </c>
      <c r="T827" s="101" t="str">
        <f t="shared" si="100"/>
        <v>INV + 30</v>
      </c>
      <c r="V827" s="101" t="str">
        <f t="shared" si="101"/>
        <v>Active</v>
      </c>
      <c r="X827" s="101" t="str">
        <f t="shared" si="102"/>
        <v>One-off</v>
      </c>
      <c r="AC827" s="101" t="str">
        <f t="shared" si="109"/>
        <v>RON</v>
      </c>
      <c r="AD827" s="101">
        <f t="shared" si="109"/>
        <v>10000</v>
      </c>
    </row>
    <row r="828" spans="1:30">
      <c r="A828" s="101">
        <f t="shared" si="104"/>
        <v>23</v>
      </c>
      <c r="B828" s="101">
        <f t="shared" si="107"/>
        <v>35</v>
      </c>
      <c r="C828" s="101" t="str">
        <f t="shared" si="108"/>
        <v>T35</v>
      </c>
      <c r="D828" s="101" t="str">
        <f>IF(A828&lt;&gt;A827,VLOOKUP(A828,'Date SPV'!$A:$D,4,FALSE),D827)</f>
        <v>Nepi Ten Development Solutions  SRL</v>
      </c>
      <c r="E828" s="101" t="str">
        <f>VLOOKUP(A828,'Date SPV'!$A$4:$B$34,2,FALSE)</f>
        <v>RN10_Alba</v>
      </c>
      <c r="H828" s="105" t="s">
        <v>894</v>
      </c>
      <c r="K828" s="101" t="str">
        <f>VLOOKUP(C828,'Preturi si tarife'!$A$4:$B$39,2,FALSE)</f>
        <v>Regularizare Tarif distributie SDI MT Ea3</v>
      </c>
      <c r="L828" s="102">
        <f>IF(B828=1,'Date masura OD'!$I$5,IF(B828=19,'Date masura OD'!$AK$5,L827))</f>
        <v>45748</v>
      </c>
      <c r="M828" s="102">
        <f>IF(B828=1,'Date masura OD'!$J$5,IF(B828=19,'Date masura OD'!$AL$5,M827))</f>
        <v>45777</v>
      </c>
      <c r="N828" s="104">
        <f>VLOOKUP(E828,verificare!$AR$4:$CC$33,B828+2,FALSE)</f>
        <v>0</v>
      </c>
      <c r="O828" s="103">
        <f>HLOOKUP(VLOOKUP(E828,'Date SPV'!$B$4:$F$34,5,FALSE),'Preturi si tarife'!$C$2:$J$39,B828+2,FALSE)*10000</f>
        <v>126</v>
      </c>
      <c r="Q828" s="101" t="str">
        <f t="shared" ref="Q828:Q891" si="110">Q827</f>
        <v>One-off</v>
      </c>
      <c r="R828" s="101" t="str">
        <f>VLOOKUP(K828,'Preturi si tarife'!$B$4:$K$39,10,FALSE)</f>
        <v>ICOENG0010</v>
      </c>
      <c r="T828" s="101" t="str">
        <f t="shared" ref="T828:T891" si="111">T827</f>
        <v>INV + 30</v>
      </c>
      <c r="V828" s="101" t="str">
        <f t="shared" ref="V828:V891" si="112">V827</f>
        <v>Active</v>
      </c>
      <c r="X828" s="101" t="str">
        <f t="shared" ref="X828:X891" si="113">X827</f>
        <v>One-off</v>
      </c>
      <c r="AC828" s="101" t="str">
        <f t="shared" si="109"/>
        <v>RON</v>
      </c>
      <c r="AD828" s="101">
        <f t="shared" si="109"/>
        <v>10000</v>
      </c>
    </row>
    <row r="829" spans="1:30">
      <c r="A829" s="101">
        <f t="shared" si="104"/>
        <v>23</v>
      </c>
      <c r="B829" s="101">
        <f t="shared" si="107"/>
        <v>36</v>
      </c>
      <c r="C829" s="101" t="str">
        <f t="shared" si="108"/>
        <v>T36</v>
      </c>
      <c r="D829" s="101" t="str">
        <f>IF(A829&lt;&gt;A828,VLOOKUP(A829,'Date SPV'!$A:$D,4,FALSE),D828)</f>
        <v>Nepi Ten Development Solutions  SRL</v>
      </c>
      <c r="E829" s="101" t="str">
        <f>VLOOKUP(A829,'Date SPV'!$A$4:$B$34,2,FALSE)</f>
        <v>RN10_Alba</v>
      </c>
      <c r="H829" s="105" t="s">
        <v>894</v>
      </c>
      <c r="K829" s="101" t="str">
        <f>VLOOKUP(C829,'Preturi si tarife'!$A$4:$B$39,2,FALSE)</f>
        <v>Regularizare Tarif distributie SDI JT Ea3</v>
      </c>
      <c r="L829" s="102">
        <f>IF(B829=1,'Date masura OD'!$I$5,IF(B829=19,'Date masura OD'!$AK$5,L828))</f>
        <v>45748</v>
      </c>
      <c r="M829" s="102">
        <f>IF(B829=1,'Date masura OD'!$J$5,IF(B829=19,'Date masura OD'!$AL$5,M828))</f>
        <v>45777</v>
      </c>
      <c r="N829" s="104">
        <f>VLOOKUP(E829,verificare!$AR$4:$CC$33,B829+2,FALSE)</f>
        <v>0</v>
      </c>
      <c r="O829" s="103">
        <f>HLOOKUP(VLOOKUP(E829,'Date SPV'!$B$4:$F$34,5,FALSE),'Preturi si tarife'!$C$2:$J$39,B829+2,FALSE)*10000</f>
        <v>927</v>
      </c>
      <c r="Q829" s="101" t="str">
        <f t="shared" si="110"/>
        <v>One-off</v>
      </c>
      <c r="R829" s="101" t="str">
        <f>VLOOKUP(K829,'Preturi si tarife'!$B$4:$K$39,10,FALSE)</f>
        <v>ICOENG0010</v>
      </c>
      <c r="T829" s="101" t="str">
        <f t="shared" si="111"/>
        <v>INV + 30</v>
      </c>
      <c r="V829" s="101" t="str">
        <f t="shared" si="112"/>
        <v>Active</v>
      </c>
      <c r="X829" s="101" t="str">
        <f t="shared" si="113"/>
        <v>One-off</v>
      </c>
      <c r="AC829" s="101" t="str">
        <f t="shared" ref="AC829:AD844" si="114">AC828</f>
        <v>RON</v>
      </c>
      <c r="AD829" s="101">
        <f t="shared" si="114"/>
        <v>10000</v>
      </c>
    </row>
    <row r="830" spans="1:30">
      <c r="A830" s="101">
        <f t="shared" si="104"/>
        <v>24</v>
      </c>
      <c r="B830" s="101">
        <f t="shared" si="107"/>
        <v>1</v>
      </c>
      <c r="C830" s="101" t="str">
        <f t="shared" si="108"/>
        <v>T1</v>
      </c>
      <c r="D830" s="101" t="str">
        <f>IF(A830&lt;&gt;A829,VLOOKUP(A830,'Date SPV'!$A:$D,4,FALSE),D829)</f>
        <v>Nepi Ten Development Solutions  SRL</v>
      </c>
      <c r="E830" s="101" t="str">
        <f>VLOOKUP(A830,'Date SPV'!$A$4:$B$34,2,FALSE)</f>
        <v>RN10_Sfantul Gheorghe</v>
      </c>
      <c r="H830" s="105" t="s">
        <v>894</v>
      </c>
      <c r="K830" s="101" t="str">
        <f>VLOOKUP(C830,'Preturi si tarife'!$A$4:$B$39,2,FALSE)</f>
        <v>Energie activa 1</v>
      </c>
      <c r="L830" s="102">
        <f>IF(B830=1,'Date masura OD'!$I$5,IF(B830=19,'Date masura OD'!$AK$5,L829))</f>
        <v>45778</v>
      </c>
      <c r="M830" s="102">
        <f>IF(B830=1,'Date masura OD'!$J$5,IF(B830=19,'Date masura OD'!$AL$5,M829))</f>
        <v>45808</v>
      </c>
      <c r="N830" s="104">
        <f>VLOOKUP(E830,verificare!$AR$4:$CC$33,B830+2,FALSE)</f>
        <v>6107</v>
      </c>
      <c r="O830" s="103">
        <f>HLOOKUP(VLOOKUP(E830,'Date SPV'!$B$4:$F$34,5,FALSE),'Preturi si tarife'!$C$2:$J$39,B830+2,FALSE)*10000</f>
        <v>5950</v>
      </c>
      <c r="Q830" s="101" t="str">
        <f t="shared" si="110"/>
        <v>One-off</v>
      </c>
      <c r="R830" s="101" t="str">
        <f>VLOOKUP(K830,'Preturi si tarife'!$B$4:$K$39,10,FALSE)</f>
        <v>ICOENG0001</v>
      </c>
      <c r="T830" s="101" t="str">
        <f t="shared" si="111"/>
        <v>INV + 30</v>
      </c>
      <c r="V830" s="101" t="str">
        <f t="shared" si="112"/>
        <v>Active</v>
      </c>
      <c r="X830" s="101" t="str">
        <f t="shared" si="113"/>
        <v>One-off</v>
      </c>
      <c r="AC830" s="101" t="str">
        <f t="shared" si="114"/>
        <v>RON</v>
      </c>
      <c r="AD830" s="101">
        <f t="shared" si="114"/>
        <v>10000</v>
      </c>
    </row>
    <row r="831" spans="1:30">
      <c r="A831" s="101">
        <f t="shared" si="104"/>
        <v>24</v>
      </c>
      <c r="B831" s="101">
        <f t="shared" si="107"/>
        <v>2</v>
      </c>
      <c r="C831" s="101" t="str">
        <f t="shared" si="108"/>
        <v>T2</v>
      </c>
      <c r="D831" s="101" t="str">
        <f>IF(A831&lt;&gt;A830,VLOOKUP(A831,'Date SPV'!$A:$D,4,FALSE),D830)</f>
        <v>Nepi Ten Development Solutions  SRL</v>
      </c>
      <c r="E831" s="101" t="str">
        <f>VLOOKUP(A831,'Date SPV'!$A$4:$B$34,2,FALSE)</f>
        <v>RN10_Sfantul Gheorghe</v>
      </c>
      <c r="H831" s="105" t="s">
        <v>894</v>
      </c>
      <c r="K831" s="101" t="str">
        <f>VLOOKUP(C831,'Preturi si tarife'!$A$4:$B$39,2,FALSE)</f>
        <v>Energie reactiva  1X</v>
      </c>
      <c r="L831" s="102">
        <f>IF(B831=1,'Date masura OD'!$I$5,IF(B831=19,'Date masura OD'!$AK$5,L830))</f>
        <v>45778</v>
      </c>
      <c r="M831" s="102">
        <f>IF(B831=1,'Date masura OD'!$J$5,IF(B831=19,'Date masura OD'!$AL$5,M830))</f>
        <v>45808</v>
      </c>
      <c r="N831" s="104">
        <f>VLOOKUP(E831,verificare!$AR$4:$CC$33,B831+2,FALSE)</f>
        <v>0</v>
      </c>
      <c r="O831" s="103">
        <f>HLOOKUP(VLOOKUP(E831,'Date SPV'!$B$4:$F$34,5,FALSE),'Preturi si tarife'!$C$2:$J$39,B831+2,FALSE)*10000</f>
        <v>1465</v>
      </c>
      <c r="Q831" s="101" t="str">
        <f t="shared" si="110"/>
        <v>One-off</v>
      </c>
      <c r="R831" s="101" t="str">
        <f>VLOOKUP(K831,'Preturi si tarife'!$B$4:$K$39,10,FALSE)</f>
        <v>ICOENG0001</v>
      </c>
      <c r="T831" s="101" t="str">
        <f t="shared" si="111"/>
        <v>INV + 30</v>
      </c>
      <c r="V831" s="101" t="str">
        <f t="shared" si="112"/>
        <v>Active</v>
      </c>
      <c r="X831" s="101" t="str">
        <f t="shared" si="113"/>
        <v>One-off</v>
      </c>
      <c r="AC831" s="101" t="str">
        <f t="shared" si="114"/>
        <v>RON</v>
      </c>
      <c r="AD831" s="101">
        <f t="shared" si="114"/>
        <v>10000</v>
      </c>
    </row>
    <row r="832" spans="1:30">
      <c r="A832" s="101">
        <f t="shared" si="104"/>
        <v>24</v>
      </c>
      <c r="B832" s="101">
        <f t="shared" si="107"/>
        <v>3</v>
      </c>
      <c r="C832" s="101" t="str">
        <f t="shared" si="108"/>
        <v>T3</v>
      </c>
      <c r="D832" s="101" t="str">
        <f>IF(A832&lt;&gt;A831,VLOOKUP(A832,'Date SPV'!$A:$D,4,FALSE),D831)</f>
        <v>Nepi Ten Development Solutions  SRL</v>
      </c>
      <c r="E832" s="101" t="str">
        <f>VLOOKUP(A832,'Date SPV'!$A$4:$B$34,2,FALSE)</f>
        <v>RN10_Sfantul Gheorghe</v>
      </c>
      <c r="H832" s="105" t="s">
        <v>894</v>
      </c>
      <c r="K832" s="101" t="str">
        <f>VLOOKUP(C832,'Preturi si tarife'!$A$4:$B$39,2,FALSE)</f>
        <v>Energie reactiva  3X</v>
      </c>
      <c r="L832" s="102">
        <f>IF(B832=1,'Date masura OD'!$I$5,IF(B832=19,'Date masura OD'!$AK$5,L831))</f>
        <v>45778</v>
      </c>
      <c r="M832" s="102">
        <f>IF(B832=1,'Date masura OD'!$J$5,IF(B832=19,'Date masura OD'!$AL$5,M831))</f>
        <v>45808</v>
      </c>
      <c r="N832" s="104">
        <f>VLOOKUP(E832,verificare!$AR$4:$CC$33,B832+2,FALSE)</f>
        <v>0</v>
      </c>
      <c r="O832" s="103">
        <f>HLOOKUP(VLOOKUP(E832,'Date SPV'!$B$4:$F$34,5,FALSE),'Preturi si tarife'!$C$2:$J$39,B832+2,FALSE)*10000</f>
        <v>4395</v>
      </c>
      <c r="Q832" s="101" t="str">
        <f t="shared" si="110"/>
        <v>One-off</v>
      </c>
      <c r="R832" s="101" t="str">
        <f>VLOOKUP(K832,'Preturi si tarife'!$B$4:$K$39,10,FALSE)</f>
        <v>ICOENG0001</v>
      </c>
      <c r="T832" s="101" t="str">
        <f t="shared" si="111"/>
        <v>INV + 30</v>
      </c>
      <c r="V832" s="101" t="str">
        <f t="shared" si="112"/>
        <v>Active</v>
      </c>
      <c r="X832" s="101" t="str">
        <f t="shared" si="113"/>
        <v>One-off</v>
      </c>
      <c r="AC832" s="101" t="str">
        <f t="shared" si="114"/>
        <v>RON</v>
      </c>
      <c r="AD832" s="101">
        <f t="shared" si="114"/>
        <v>10000</v>
      </c>
    </row>
    <row r="833" spans="1:30">
      <c r="A833" s="101">
        <f t="shared" si="104"/>
        <v>24</v>
      </c>
      <c r="B833" s="101">
        <f t="shared" si="107"/>
        <v>4</v>
      </c>
      <c r="C833" s="101" t="str">
        <f t="shared" si="108"/>
        <v>T4</v>
      </c>
      <c r="D833" s="101" t="str">
        <f>IF(A833&lt;&gt;A832,VLOOKUP(A833,'Date SPV'!$A:$D,4,FALSE),D832)</f>
        <v>Nepi Ten Development Solutions  SRL</v>
      </c>
      <c r="E833" s="101" t="str">
        <f>VLOOKUP(A833,'Date SPV'!$A$4:$B$34,2,FALSE)</f>
        <v>RN10_Sfantul Gheorghe</v>
      </c>
      <c r="H833" s="105" t="s">
        <v>894</v>
      </c>
      <c r="K833" s="101" t="str">
        <f>VLOOKUP(C833,'Preturi si tarife'!$A$4:$B$39,2,FALSE)</f>
        <v>Tarife distributie en. El IT+MT</v>
      </c>
      <c r="L833" s="102">
        <f>IF(B833=1,'Date masura OD'!$I$5,IF(B833=19,'Date masura OD'!$AK$5,L832))</f>
        <v>45778</v>
      </c>
      <c r="M833" s="102">
        <f>IF(B833=1,'Date masura OD'!$J$5,IF(B833=19,'Date masura OD'!$AL$5,M832))</f>
        <v>45808</v>
      </c>
      <c r="N833" s="104">
        <f>VLOOKUP(E833,verificare!$AR$4:$CC$33,B833+2,FALSE)</f>
        <v>6107</v>
      </c>
      <c r="O833" s="103">
        <f>HLOOKUP(VLOOKUP(E833,'Date SPV'!$B$4:$F$34,5,FALSE),'Preturi si tarife'!$C$2:$J$39,B833+2,FALSE)*10000</f>
        <v>1148.3</v>
      </c>
      <c r="Q833" s="101" t="str">
        <f t="shared" si="110"/>
        <v>One-off</v>
      </c>
      <c r="R833" s="101" t="str">
        <f>VLOOKUP(K833,'Preturi si tarife'!$B$4:$K$39,10,FALSE)</f>
        <v>ICOENG0001</v>
      </c>
      <c r="T833" s="101" t="str">
        <f t="shared" si="111"/>
        <v>INV + 30</v>
      </c>
      <c r="V833" s="101" t="str">
        <f t="shared" si="112"/>
        <v>Active</v>
      </c>
      <c r="X833" s="101" t="str">
        <f t="shared" si="113"/>
        <v>One-off</v>
      </c>
      <c r="AC833" s="101" t="str">
        <f t="shared" si="114"/>
        <v>RON</v>
      </c>
      <c r="AD833" s="101">
        <f t="shared" si="114"/>
        <v>10000</v>
      </c>
    </row>
    <row r="834" spans="1:30">
      <c r="A834" s="101">
        <f t="shared" si="104"/>
        <v>24</v>
      </c>
      <c r="B834" s="101">
        <f t="shared" si="107"/>
        <v>5</v>
      </c>
      <c r="C834" s="101" t="str">
        <f t="shared" si="108"/>
        <v>T5</v>
      </c>
      <c r="D834" s="101" t="str">
        <f>IF(A834&lt;&gt;A833,VLOOKUP(A834,'Date SPV'!$A:$D,4,FALSE),D833)</f>
        <v>Nepi Ten Development Solutions  SRL</v>
      </c>
      <c r="E834" s="101" t="str">
        <f>VLOOKUP(A834,'Date SPV'!$A$4:$B$34,2,FALSE)</f>
        <v>RN10_Sfantul Gheorghe</v>
      </c>
      <c r="H834" s="105" t="s">
        <v>894</v>
      </c>
      <c r="K834" s="101" t="str">
        <f>VLOOKUP(C834,'Preturi si tarife'!$A$4:$B$39,2,FALSE)</f>
        <v>Tarife distributie en. El JT</v>
      </c>
      <c r="L834" s="102">
        <f>IF(B834=1,'Date masura OD'!$I$5,IF(B834=19,'Date masura OD'!$AK$5,L833))</f>
        <v>45778</v>
      </c>
      <c r="M834" s="102">
        <f>IF(B834=1,'Date masura OD'!$J$5,IF(B834=19,'Date masura OD'!$AL$5,M833))</f>
        <v>45808</v>
      </c>
      <c r="N834" s="104">
        <f>VLOOKUP(E834,verificare!$AR$4:$CC$33,B834+2,FALSE)</f>
        <v>0</v>
      </c>
      <c r="O834" s="103">
        <f>HLOOKUP(VLOOKUP(E834,'Date SPV'!$B$4:$F$34,5,FALSE),'Preturi si tarife'!$C$2:$J$39,B834+2,FALSE)*10000</f>
        <v>2361</v>
      </c>
      <c r="Q834" s="101" t="str">
        <f t="shared" si="110"/>
        <v>One-off</v>
      </c>
      <c r="R834" s="101" t="str">
        <f>VLOOKUP(K834,'Preturi si tarife'!$B$4:$K$39,10,FALSE)</f>
        <v>ICOENG0001</v>
      </c>
      <c r="T834" s="101" t="str">
        <f t="shared" si="111"/>
        <v>INV + 30</v>
      </c>
      <c r="V834" s="101" t="str">
        <f t="shared" si="112"/>
        <v>Active</v>
      </c>
      <c r="X834" s="101" t="str">
        <f t="shared" si="113"/>
        <v>One-off</v>
      </c>
      <c r="AC834" s="101" t="str">
        <f t="shared" si="114"/>
        <v>RON</v>
      </c>
      <c r="AD834" s="101">
        <f t="shared" si="114"/>
        <v>10000</v>
      </c>
    </row>
    <row r="835" spans="1:30">
      <c r="A835" s="101">
        <f t="shared" si="104"/>
        <v>24</v>
      </c>
      <c r="B835" s="101">
        <f t="shared" si="107"/>
        <v>6</v>
      </c>
      <c r="C835" s="101" t="str">
        <f t="shared" si="108"/>
        <v>T6</v>
      </c>
      <c r="D835" s="101" t="str">
        <f>IF(A835&lt;&gt;A834,VLOOKUP(A835,'Date SPV'!$A:$D,4,FALSE),D834)</f>
        <v>Nepi Ten Development Solutions  SRL</v>
      </c>
      <c r="E835" s="101" t="str">
        <f>VLOOKUP(A835,'Date SPV'!$A$4:$B$34,2,FALSE)</f>
        <v>RN10_Sfantul Gheorghe</v>
      </c>
      <c r="H835" s="105" t="s">
        <v>894</v>
      </c>
      <c r="K835" s="101" t="str">
        <f>VLOOKUP(C835,'Preturi si tarife'!$A$4:$B$39,2,FALSE)</f>
        <v xml:space="preserve">Servicii Sistem </v>
      </c>
      <c r="L835" s="102">
        <f>IF(B835=1,'Date masura OD'!$I$5,IF(B835=19,'Date masura OD'!$AK$5,L834))</f>
        <v>45778</v>
      </c>
      <c r="M835" s="102">
        <f>IF(B835=1,'Date masura OD'!$J$5,IF(B835=19,'Date masura OD'!$AL$5,M834))</f>
        <v>45808</v>
      </c>
      <c r="N835" s="104">
        <f>VLOOKUP(E835,verificare!$AR$4:$CC$33,B835+2,FALSE)</f>
        <v>6107</v>
      </c>
      <c r="O835" s="103">
        <f>HLOOKUP(VLOOKUP(E835,'Date SPV'!$B$4:$F$34,5,FALSE),'Preturi si tarife'!$C$2:$J$39,B835+2,FALSE)*10000</f>
        <v>115.1</v>
      </c>
      <c r="Q835" s="101" t="str">
        <f t="shared" si="110"/>
        <v>One-off</v>
      </c>
      <c r="R835" s="101" t="str">
        <f>VLOOKUP(K835,'Preturi si tarife'!$B$4:$K$39,10,FALSE)</f>
        <v>ICOENG0001</v>
      </c>
      <c r="T835" s="101" t="str">
        <f t="shared" si="111"/>
        <v>INV + 30</v>
      </c>
      <c r="V835" s="101" t="str">
        <f t="shared" si="112"/>
        <v>Active</v>
      </c>
      <c r="X835" s="101" t="str">
        <f t="shared" si="113"/>
        <v>One-off</v>
      </c>
      <c r="AC835" s="101" t="str">
        <f t="shared" si="114"/>
        <v>RON</v>
      </c>
      <c r="AD835" s="101">
        <f t="shared" si="114"/>
        <v>10000</v>
      </c>
    </row>
    <row r="836" spans="1:30">
      <c r="A836" s="101">
        <f t="shared" ref="A836:A899" si="115">IF(B835=36,A835+1,A835)</f>
        <v>24</v>
      </c>
      <c r="B836" s="101">
        <f t="shared" si="107"/>
        <v>7</v>
      </c>
      <c r="C836" s="101" t="str">
        <f t="shared" si="108"/>
        <v>T7</v>
      </c>
      <c r="D836" s="101" t="str">
        <f>IF(A836&lt;&gt;A835,VLOOKUP(A836,'Date SPV'!$A:$D,4,FALSE),D835)</f>
        <v>Nepi Ten Development Solutions  SRL</v>
      </c>
      <c r="E836" s="101" t="str">
        <f>VLOOKUP(A836,'Date SPV'!$A$4:$B$34,2,FALSE)</f>
        <v>RN10_Sfantul Gheorghe</v>
      </c>
      <c r="H836" s="105" t="s">
        <v>894</v>
      </c>
      <c r="K836" s="101" t="str">
        <f>VLOOKUP(C836,'Preturi si tarife'!$A$4:$B$39,2,FALSE)</f>
        <v>Tarif de introducere en. el in retea (TL)</v>
      </c>
      <c r="L836" s="102">
        <f>IF(B836=1,'Date masura OD'!$I$5,IF(B836=19,'Date masura OD'!$AK$5,L835))</f>
        <v>45778</v>
      </c>
      <c r="M836" s="102">
        <f>IF(B836=1,'Date masura OD'!$J$5,IF(B836=19,'Date masura OD'!$AL$5,M835))</f>
        <v>45808</v>
      </c>
      <c r="N836" s="104">
        <f>VLOOKUP(E836,verificare!$AR$4:$CC$33,B836+2,FALSE)</f>
        <v>6107</v>
      </c>
      <c r="O836" s="103">
        <f>HLOOKUP(VLOOKUP(E836,'Date SPV'!$B$4:$F$34,5,FALSE),'Preturi si tarife'!$C$2:$J$39,B836+2,FALSE)*10000</f>
        <v>330.3</v>
      </c>
      <c r="Q836" s="101" t="str">
        <f t="shared" si="110"/>
        <v>One-off</v>
      </c>
      <c r="R836" s="101" t="str">
        <f>VLOOKUP(K836,'Preturi si tarife'!$B$4:$K$39,10,FALSE)</f>
        <v>ICOENG0001</v>
      </c>
      <c r="T836" s="101" t="str">
        <f t="shared" si="111"/>
        <v>INV + 30</v>
      </c>
      <c r="V836" s="101" t="str">
        <f t="shared" si="112"/>
        <v>Active</v>
      </c>
      <c r="X836" s="101" t="str">
        <f t="shared" si="113"/>
        <v>One-off</v>
      </c>
      <c r="AC836" s="101" t="str">
        <f t="shared" si="114"/>
        <v>RON</v>
      </c>
      <c r="AD836" s="101">
        <f t="shared" si="114"/>
        <v>10000</v>
      </c>
    </row>
    <row r="837" spans="1:30">
      <c r="A837" s="101">
        <f t="shared" si="115"/>
        <v>24</v>
      </c>
      <c r="B837" s="101">
        <f t="shared" si="107"/>
        <v>8</v>
      </c>
      <c r="C837" s="101" t="str">
        <f t="shared" si="108"/>
        <v>T8</v>
      </c>
      <c r="D837" s="101" t="str">
        <f>IF(A837&lt;&gt;A836,VLOOKUP(A837,'Date SPV'!$A:$D,4,FALSE),D836)</f>
        <v>Nepi Ten Development Solutions  SRL</v>
      </c>
      <c r="E837" s="101" t="str">
        <f>VLOOKUP(A837,'Date SPV'!$A$4:$B$34,2,FALSE)</f>
        <v>RN10_Sfantul Gheorghe</v>
      </c>
      <c r="H837" s="105" t="s">
        <v>894</v>
      </c>
      <c r="K837" s="101" t="str">
        <f>VLOOKUP(C837,'Preturi si tarife'!$A$4:$B$39,2,FALSE)</f>
        <v>Tarif de introducere en.el in retea (TG)</v>
      </c>
      <c r="L837" s="102">
        <f>IF(B837=1,'Date masura OD'!$I$5,IF(B837=19,'Date masura OD'!$AK$5,L836))</f>
        <v>45778</v>
      </c>
      <c r="M837" s="102">
        <f>IF(B837=1,'Date masura OD'!$J$5,IF(B837=19,'Date masura OD'!$AL$5,M836))</f>
        <v>45808</v>
      </c>
      <c r="N837" s="104">
        <f>VLOOKUP(E837,verificare!$AR$4:$CC$33,B837+2,FALSE)</f>
        <v>6107</v>
      </c>
      <c r="O837" s="103">
        <f>HLOOKUP(VLOOKUP(E837,'Date SPV'!$B$4:$F$34,5,FALSE),'Preturi si tarife'!$C$2:$J$39,B837+2,FALSE)*10000</f>
        <v>32.9</v>
      </c>
      <c r="Q837" s="101" t="str">
        <f t="shared" si="110"/>
        <v>One-off</v>
      </c>
      <c r="R837" s="101" t="str">
        <f>VLOOKUP(K837,'Preturi si tarife'!$B$4:$K$39,10,FALSE)</f>
        <v>ICOENG0001</v>
      </c>
      <c r="T837" s="101" t="str">
        <f t="shared" si="111"/>
        <v>INV + 30</v>
      </c>
      <c r="V837" s="101" t="str">
        <f t="shared" si="112"/>
        <v>Active</v>
      </c>
      <c r="X837" s="101" t="str">
        <f t="shared" si="113"/>
        <v>One-off</v>
      </c>
      <c r="AC837" s="101" t="str">
        <f t="shared" si="114"/>
        <v>RON</v>
      </c>
      <c r="AD837" s="101">
        <f t="shared" si="114"/>
        <v>10000</v>
      </c>
    </row>
    <row r="838" spans="1:30">
      <c r="A838" s="101">
        <f t="shared" si="115"/>
        <v>24</v>
      </c>
      <c r="B838" s="101">
        <f t="shared" si="107"/>
        <v>9</v>
      </c>
      <c r="C838" s="101" t="str">
        <f t="shared" si="108"/>
        <v>T9</v>
      </c>
      <c r="D838" s="101" t="str">
        <f>IF(A838&lt;&gt;A837,VLOOKUP(A838,'Date SPV'!$A:$D,4,FALSE),D837)</f>
        <v>Nepi Ten Development Solutions  SRL</v>
      </c>
      <c r="E838" s="101" t="str">
        <f>VLOOKUP(A838,'Date SPV'!$A$4:$B$34,2,FALSE)</f>
        <v>RN10_Sfantul Gheorghe</v>
      </c>
      <c r="H838" s="105" t="s">
        <v>894</v>
      </c>
      <c r="K838" s="101" t="str">
        <f>VLOOKUP(C838,'Preturi si tarife'!$A$4:$B$39,2,FALSE)</f>
        <v>Contributie pentru cogenerare</v>
      </c>
      <c r="L838" s="102">
        <f>IF(B838=1,'Date masura OD'!$I$5,IF(B838=19,'Date masura OD'!$AK$5,L837))</f>
        <v>45778</v>
      </c>
      <c r="M838" s="102">
        <f>IF(B838=1,'Date masura OD'!$J$5,IF(B838=19,'Date masura OD'!$AL$5,M837))</f>
        <v>45808</v>
      </c>
      <c r="N838" s="104">
        <f>VLOOKUP(E838,verificare!$AR$4:$CC$33,B838+2,FALSE)</f>
        <v>6107</v>
      </c>
      <c r="O838" s="103">
        <f>HLOOKUP(VLOOKUP(E838,'Date SPV'!$B$4:$F$34,5,FALSE),'Preturi si tarife'!$C$2:$J$39,B838+2,FALSE)*10000</f>
        <v>35</v>
      </c>
      <c r="Q838" s="101" t="str">
        <f t="shared" si="110"/>
        <v>One-off</v>
      </c>
      <c r="R838" s="101" t="str">
        <f>VLOOKUP(K838,'Preturi si tarife'!$B$4:$K$39,10,FALSE)</f>
        <v>ICOENG0001</v>
      </c>
      <c r="T838" s="101" t="str">
        <f t="shared" si="111"/>
        <v>INV + 30</v>
      </c>
      <c r="V838" s="101" t="str">
        <f t="shared" si="112"/>
        <v>Active</v>
      </c>
      <c r="X838" s="101" t="str">
        <f t="shared" si="113"/>
        <v>One-off</v>
      </c>
      <c r="AC838" s="101" t="str">
        <f t="shared" si="114"/>
        <v>RON</v>
      </c>
      <c r="AD838" s="101">
        <f t="shared" si="114"/>
        <v>10000</v>
      </c>
    </row>
    <row r="839" spans="1:30">
      <c r="A839" s="101">
        <f t="shared" si="115"/>
        <v>24</v>
      </c>
      <c r="B839" s="101">
        <f t="shared" si="107"/>
        <v>10</v>
      </c>
      <c r="C839" s="101" t="str">
        <f t="shared" si="108"/>
        <v>T10</v>
      </c>
      <c r="D839" s="101" t="str">
        <f>IF(A839&lt;&gt;A838,VLOOKUP(A839,'Date SPV'!$A:$D,4,FALSE),D838)</f>
        <v>Nepi Ten Development Solutions  SRL</v>
      </c>
      <c r="E839" s="101" t="str">
        <f>VLOOKUP(A839,'Date SPV'!$A$4:$B$34,2,FALSE)</f>
        <v>RN10_Sfantul Gheorghe</v>
      </c>
      <c r="H839" s="105" t="s">
        <v>894</v>
      </c>
      <c r="K839" s="101" t="str">
        <f>VLOOKUP(C839,'Preturi si tarife'!$A$4:$B$39,2,FALSE)</f>
        <v xml:space="preserve">Certificate verzi </v>
      </c>
      <c r="L839" s="102">
        <f>IF(B839=1,'Date masura OD'!$I$5,IF(B839=19,'Date masura OD'!$AK$5,L838))</f>
        <v>45778</v>
      </c>
      <c r="M839" s="102">
        <f>IF(B839=1,'Date masura OD'!$J$5,IF(B839=19,'Date masura OD'!$AL$5,M838))</f>
        <v>45808</v>
      </c>
      <c r="N839" s="104">
        <f>VLOOKUP(E839,verificare!$AR$4:$CC$33,B839+2,FALSE)</f>
        <v>6107</v>
      </c>
      <c r="O839" s="103">
        <f>HLOOKUP(VLOOKUP(E839,'Date SPV'!$B$4:$F$34,5,FALSE),'Preturi si tarife'!$C$2:$J$39,B839+2,FALSE)*10000</f>
        <v>725.41599999999994</v>
      </c>
      <c r="Q839" s="101" t="str">
        <f t="shared" si="110"/>
        <v>One-off</v>
      </c>
      <c r="R839" s="101" t="str">
        <f>VLOOKUP(K839,'Preturi si tarife'!$B$4:$K$39,10,FALSE)</f>
        <v>ICOENG0001</v>
      </c>
      <c r="T839" s="101" t="str">
        <f t="shared" si="111"/>
        <v>INV + 30</v>
      </c>
      <c r="V839" s="101" t="str">
        <f t="shared" si="112"/>
        <v>Active</v>
      </c>
      <c r="X839" s="101" t="str">
        <f t="shared" si="113"/>
        <v>One-off</v>
      </c>
      <c r="AC839" s="101" t="str">
        <f t="shared" si="114"/>
        <v>RON</v>
      </c>
      <c r="AD839" s="101">
        <f t="shared" si="114"/>
        <v>10000</v>
      </c>
    </row>
    <row r="840" spans="1:30">
      <c r="A840" s="101">
        <f t="shared" si="115"/>
        <v>24</v>
      </c>
      <c r="B840" s="101">
        <f t="shared" si="107"/>
        <v>11</v>
      </c>
      <c r="C840" s="101" t="str">
        <f t="shared" si="108"/>
        <v>T11</v>
      </c>
      <c r="D840" s="101" t="str">
        <f>IF(A840&lt;&gt;A839,VLOOKUP(A840,'Date SPV'!$A:$D,4,FALSE),D839)</f>
        <v>Nepi Ten Development Solutions  SRL</v>
      </c>
      <c r="E840" s="101" t="str">
        <f>VLOOKUP(A840,'Date SPV'!$A$4:$B$34,2,FALSE)</f>
        <v>RN10_Sfantul Gheorghe</v>
      </c>
      <c r="H840" s="105" t="s">
        <v>894</v>
      </c>
      <c r="K840" s="101" t="str">
        <f>VLOOKUP(C840,'Preturi si tarife'!$A$4:$B$39,2,FALSE)</f>
        <v>Contributie CFD</v>
      </c>
      <c r="L840" s="102">
        <f>IF(B840=1,'Date masura OD'!$I$5,IF(B840=19,'Date masura OD'!$AK$5,L839))</f>
        <v>45778</v>
      </c>
      <c r="M840" s="102">
        <f>IF(B840=1,'Date masura OD'!$J$5,IF(B840=19,'Date masura OD'!$AL$5,M839))</f>
        <v>45808</v>
      </c>
      <c r="N840" s="104">
        <f>VLOOKUP(E840,verificare!$AR$4:$CC$33,B840+2,FALSE)</f>
        <v>6107</v>
      </c>
      <c r="O840" s="103">
        <f>HLOOKUP(VLOOKUP(E840,'Date SPV'!$B$4:$F$34,5,FALSE),'Preturi si tarife'!$C$2:$J$39,B840+2,FALSE)*10000</f>
        <v>2.06</v>
      </c>
      <c r="Q840" s="101" t="str">
        <f t="shared" si="110"/>
        <v>One-off</v>
      </c>
      <c r="R840" s="101" t="str">
        <f>VLOOKUP(K840,'Preturi si tarife'!$B$4:$K$39,10,FALSE)</f>
        <v>ICOENG0001</v>
      </c>
      <c r="T840" s="101" t="str">
        <f t="shared" si="111"/>
        <v>INV + 30</v>
      </c>
      <c r="V840" s="101" t="str">
        <f t="shared" si="112"/>
        <v>Active</v>
      </c>
      <c r="X840" s="101" t="str">
        <f t="shared" si="113"/>
        <v>One-off</v>
      </c>
      <c r="AC840" s="101" t="str">
        <f t="shared" si="114"/>
        <v>RON</v>
      </c>
      <c r="AD840" s="101">
        <f t="shared" si="114"/>
        <v>10000</v>
      </c>
    </row>
    <row r="841" spans="1:30">
      <c r="A841" s="101">
        <f t="shared" si="115"/>
        <v>24</v>
      </c>
      <c r="B841" s="101">
        <f t="shared" si="107"/>
        <v>12</v>
      </c>
      <c r="C841" s="101" t="str">
        <f t="shared" si="108"/>
        <v>T12</v>
      </c>
      <c r="D841" s="101" t="str">
        <f>IF(A841&lt;&gt;A840,VLOOKUP(A841,'Date SPV'!$A:$D,4,FALSE),D840)</f>
        <v>Nepi Ten Development Solutions  SRL</v>
      </c>
      <c r="E841" s="101" t="str">
        <f>VLOOKUP(A841,'Date SPV'!$A$4:$B$34,2,FALSE)</f>
        <v>RN10_Sfantul Gheorghe</v>
      </c>
      <c r="H841" s="105" t="s">
        <v>894</v>
      </c>
      <c r="K841" s="101" t="str">
        <f>VLOOKUP(C841,'Preturi si tarife'!$A$4:$B$39,2,FALSE)</f>
        <v>Acciza</v>
      </c>
      <c r="L841" s="102">
        <f>IF(B841=1,'Date masura OD'!$I$5,IF(B841=19,'Date masura OD'!$AK$5,L840))</f>
        <v>45778</v>
      </c>
      <c r="M841" s="102">
        <f>IF(B841=1,'Date masura OD'!$J$5,IF(B841=19,'Date masura OD'!$AL$5,M840))</f>
        <v>45808</v>
      </c>
      <c r="N841" s="104">
        <f>VLOOKUP(E841,verificare!$AR$4:$CC$33,B841+2,FALSE)</f>
        <v>6107</v>
      </c>
      <c r="O841" s="103">
        <f>HLOOKUP(VLOOKUP(E841,'Date SPV'!$B$4:$F$34,5,FALSE),'Preturi si tarife'!$C$2:$J$39,B841+2,FALSE)*10000</f>
        <v>0</v>
      </c>
      <c r="Q841" s="101" t="str">
        <f t="shared" si="110"/>
        <v>One-off</v>
      </c>
      <c r="R841" s="101" t="str">
        <f>VLOOKUP(K841,'Preturi si tarife'!$B$4:$K$39,10,FALSE)</f>
        <v>ICOENG0001</v>
      </c>
      <c r="T841" s="101" t="str">
        <f t="shared" si="111"/>
        <v>INV + 30</v>
      </c>
      <c r="V841" s="101" t="str">
        <f t="shared" si="112"/>
        <v>Active</v>
      </c>
      <c r="X841" s="101" t="str">
        <f t="shared" si="113"/>
        <v>One-off</v>
      </c>
      <c r="AC841" s="101" t="str">
        <f t="shared" si="114"/>
        <v>RON</v>
      </c>
      <c r="AD841" s="101">
        <f t="shared" si="114"/>
        <v>10000</v>
      </c>
    </row>
    <row r="842" spans="1:30">
      <c r="A842" s="101">
        <f t="shared" si="115"/>
        <v>24</v>
      </c>
      <c r="B842" s="101">
        <f t="shared" si="107"/>
        <v>13</v>
      </c>
      <c r="C842" s="101" t="str">
        <f t="shared" si="108"/>
        <v>T13</v>
      </c>
      <c r="D842" s="101" t="str">
        <f>IF(A842&lt;&gt;A841,VLOOKUP(A842,'Date SPV'!$A:$D,4,FALSE),D841)</f>
        <v>Nepi Ten Development Solutions  SRL</v>
      </c>
      <c r="E842" s="101" t="str">
        <f>VLOOKUP(A842,'Date SPV'!$A$4:$B$34,2,FALSE)</f>
        <v>RN10_Sfantul Gheorghe</v>
      </c>
      <c r="H842" s="105" t="s">
        <v>894</v>
      </c>
      <c r="K842" s="101" t="str">
        <f>VLOOKUP(C842,'Preturi si tarife'!$A$4:$B$39,2,FALSE)</f>
        <v>Tarif distributie SDI MT</v>
      </c>
      <c r="L842" s="102">
        <f>IF(B842=1,'Date masura OD'!$I$5,IF(B842=19,'Date masura OD'!$AK$5,L841))</f>
        <v>45778</v>
      </c>
      <c r="M842" s="102">
        <f>IF(B842=1,'Date masura OD'!$J$5,IF(B842=19,'Date masura OD'!$AL$5,M841))</f>
        <v>45808</v>
      </c>
      <c r="N842" s="104">
        <f>VLOOKUP(E842,verificare!$AR$4:$CC$33,B842+2,FALSE)</f>
        <v>6107</v>
      </c>
      <c r="O842" s="103">
        <f>HLOOKUP(VLOOKUP(E842,'Date SPV'!$B$4:$F$34,5,FALSE),'Preturi si tarife'!$C$2:$J$39,B842+2,FALSE)*10000</f>
        <v>126</v>
      </c>
      <c r="Q842" s="101" t="str">
        <f t="shared" si="110"/>
        <v>One-off</v>
      </c>
      <c r="R842" s="101" t="str">
        <f>VLOOKUP(K842,'Preturi si tarife'!$B$4:$K$39,10,FALSE)</f>
        <v>ICOENG0010</v>
      </c>
      <c r="T842" s="101" t="str">
        <f t="shared" si="111"/>
        <v>INV + 30</v>
      </c>
      <c r="V842" s="101" t="str">
        <f t="shared" si="112"/>
        <v>Active</v>
      </c>
      <c r="X842" s="101" t="str">
        <f t="shared" si="113"/>
        <v>One-off</v>
      </c>
      <c r="AC842" s="101" t="str">
        <f t="shared" si="114"/>
        <v>RON</v>
      </c>
      <c r="AD842" s="101">
        <f t="shared" si="114"/>
        <v>10000</v>
      </c>
    </row>
    <row r="843" spans="1:30">
      <c r="A843" s="101">
        <f t="shared" si="115"/>
        <v>24</v>
      </c>
      <c r="B843" s="101">
        <f t="shared" si="107"/>
        <v>14</v>
      </c>
      <c r="C843" s="101" t="str">
        <f t="shared" si="108"/>
        <v>T14</v>
      </c>
      <c r="D843" s="101" t="str">
        <f>IF(A843&lt;&gt;A842,VLOOKUP(A843,'Date SPV'!$A:$D,4,FALSE),D842)</f>
        <v>Nepi Ten Development Solutions  SRL</v>
      </c>
      <c r="E843" s="101" t="str">
        <f>VLOOKUP(A843,'Date SPV'!$A$4:$B$34,2,FALSE)</f>
        <v>RN10_Sfantul Gheorghe</v>
      </c>
      <c r="H843" s="105" t="s">
        <v>894</v>
      </c>
      <c r="K843" s="101" t="str">
        <f>VLOOKUP(C843,'Preturi si tarife'!$A$4:$B$39,2,FALSE)</f>
        <v>Tarif distributie SDI JT</v>
      </c>
      <c r="L843" s="102">
        <f>IF(B843=1,'Date masura OD'!$I$5,IF(B843=19,'Date masura OD'!$AK$5,L842))</f>
        <v>45778</v>
      </c>
      <c r="M843" s="102">
        <f>IF(B843=1,'Date masura OD'!$J$5,IF(B843=19,'Date masura OD'!$AL$5,M842))</f>
        <v>45808</v>
      </c>
      <c r="N843" s="104">
        <f>VLOOKUP(E843,verificare!$AR$4:$CC$33,B843+2,FALSE)</f>
        <v>6107</v>
      </c>
      <c r="O843" s="103">
        <f>HLOOKUP(VLOOKUP(E843,'Date SPV'!$B$4:$F$34,5,FALSE),'Preturi si tarife'!$C$2:$J$39,B843+2,FALSE)*10000</f>
        <v>927</v>
      </c>
      <c r="Q843" s="101" t="str">
        <f t="shared" si="110"/>
        <v>One-off</v>
      </c>
      <c r="R843" s="101" t="str">
        <f>VLOOKUP(K843,'Preturi si tarife'!$B$4:$K$39,10,FALSE)</f>
        <v>ICOENG0010</v>
      </c>
      <c r="T843" s="101" t="str">
        <f t="shared" si="111"/>
        <v>INV + 30</v>
      </c>
      <c r="V843" s="101" t="str">
        <f t="shared" si="112"/>
        <v>Active</v>
      </c>
      <c r="X843" s="101" t="str">
        <f t="shared" si="113"/>
        <v>One-off</v>
      </c>
      <c r="AC843" s="101" t="str">
        <f t="shared" si="114"/>
        <v>RON</v>
      </c>
      <c r="AD843" s="101">
        <f t="shared" si="114"/>
        <v>10000</v>
      </c>
    </row>
    <row r="844" spans="1:30">
      <c r="A844" s="101">
        <f t="shared" si="115"/>
        <v>24</v>
      </c>
      <c r="B844" s="101">
        <f t="shared" si="107"/>
        <v>15</v>
      </c>
      <c r="C844" s="101" t="str">
        <f t="shared" si="108"/>
        <v>T15</v>
      </c>
      <c r="D844" s="101" t="str">
        <f>IF(A844&lt;&gt;A843,VLOOKUP(A844,'Date SPV'!$A:$D,4,FALSE),D843)</f>
        <v>Nepi Ten Development Solutions  SRL</v>
      </c>
      <c r="E844" s="101" t="str">
        <f>VLOOKUP(A844,'Date SPV'!$A$4:$B$34,2,FALSE)</f>
        <v>RN10_Sfantul Gheorghe</v>
      </c>
      <c r="H844" s="105" t="s">
        <v>894</v>
      </c>
      <c r="K844" s="101" t="str">
        <f>VLOOKUP(C844,'Preturi si tarife'!$A$4:$B$39,2,FALSE)</f>
        <v>Energie activa 2</v>
      </c>
      <c r="L844" s="102">
        <f>IF(B844=1,'Date masura OD'!$I$5,IF(B844=19,'Date masura OD'!$AK$5,L843))</f>
        <v>45778</v>
      </c>
      <c r="M844" s="102">
        <f>IF(B844=1,'Date masura OD'!$J$5,IF(B844=19,'Date masura OD'!$AL$5,M843))</f>
        <v>45808</v>
      </c>
      <c r="N844" s="104">
        <f>VLOOKUP(E844,verificare!$AR$4:$CC$33,B844+2,FALSE)</f>
        <v>11000</v>
      </c>
      <c r="O844" s="103">
        <f>HLOOKUP(VLOOKUP(E844,'Date SPV'!$B$4:$F$34,5,FALSE),'Preturi si tarife'!$C$2:$J$39,B844+2,FALSE)*10000</f>
        <v>9392.0760000000009</v>
      </c>
      <c r="Q844" s="101" t="str">
        <f t="shared" si="110"/>
        <v>One-off</v>
      </c>
      <c r="R844" s="101" t="str">
        <f>VLOOKUP(K844,'Preturi si tarife'!$B$4:$K$39,10,FALSE)</f>
        <v>ICOENG0012</v>
      </c>
      <c r="T844" s="101" t="str">
        <f t="shared" si="111"/>
        <v>INV + 30</v>
      </c>
      <c r="V844" s="101" t="str">
        <f t="shared" si="112"/>
        <v>Active</v>
      </c>
      <c r="X844" s="101" t="str">
        <f t="shared" si="113"/>
        <v>One-off</v>
      </c>
      <c r="AC844" s="101" t="str">
        <f t="shared" si="114"/>
        <v>RON</v>
      </c>
      <c r="AD844" s="101">
        <f t="shared" si="114"/>
        <v>10000</v>
      </c>
    </row>
    <row r="845" spans="1:30">
      <c r="A845" s="101">
        <f t="shared" si="115"/>
        <v>24</v>
      </c>
      <c r="B845" s="101">
        <f t="shared" si="107"/>
        <v>16</v>
      </c>
      <c r="C845" s="101" t="str">
        <f t="shared" si="108"/>
        <v>T16</v>
      </c>
      <c r="D845" s="101" t="str">
        <f>IF(A845&lt;&gt;A844,VLOOKUP(A845,'Date SPV'!$A:$D,4,FALSE),D844)</f>
        <v>Nepi Ten Development Solutions  SRL</v>
      </c>
      <c r="E845" s="101" t="str">
        <f>VLOOKUP(A845,'Date SPV'!$A$4:$B$34,2,FALSE)</f>
        <v>RN10_Sfantul Gheorghe</v>
      </c>
      <c r="H845" s="105" t="s">
        <v>894</v>
      </c>
      <c r="K845" s="101" t="str">
        <f>VLOOKUP(C845,'Preturi si tarife'!$A$4:$B$39,2,FALSE)</f>
        <v>Energie activa 3</v>
      </c>
      <c r="L845" s="102">
        <f>IF(B845=1,'Date masura OD'!$I$5,IF(B845=19,'Date masura OD'!$AK$5,L844))</f>
        <v>45778</v>
      </c>
      <c r="M845" s="102">
        <f>IF(B845=1,'Date masura OD'!$J$5,IF(B845=19,'Date masura OD'!$AL$5,M844))</f>
        <v>45808</v>
      </c>
      <c r="N845" s="104">
        <f>VLOOKUP(E845,verificare!$AR$4:$CC$33,B845+2,FALSE)</f>
        <v>0</v>
      </c>
      <c r="O845" s="103">
        <f>HLOOKUP(VLOOKUP(E845,'Date SPV'!$B$4:$F$34,5,FALSE),'Preturi si tarife'!$C$2:$J$39,B845+2,FALSE)*10000</f>
        <v>8339.0760000000009</v>
      </c>
      <c r="Q845" s="101" t="str">
        <f t="shared" si="110"/>
        <v>One-off</v>
      </c>
      <c r="R845" s="101" t="str">
        <f>VLOOKUP(K845,'Preturi si tarife'!$B$4:$K$39,10,FALSE)</f>
        <v>ICOENG0012</v>
      </c>
      <c r="T845" s="101" t="str">
        <f t="shared" si="111"/>
        <v>INV + 30</v>
      </c>
      <c r="V845" s="101" t="str">
        <f t="shared" si="112"/>
        <v>Active</v>
      </c>
      <c r="X845" s="101" t="str">
        <f t="shared" si="113"/>
        <v>One-off</v>
      </c>
      <c r="AC845" s="101" t="str">
        <f t="shared" ref="AC845:AD860" si="116">AC844</f>
        <v>RON</v>
      </c>
      <c r="AD845" s="101">
        <f t="shared" si="116"/>
        <v>10000</v>
      </c>
    </row>
    <row r="846" spans="1:30">
      <c r="A846" s="101">
        <f t="shared" si="115"/>
        <v>24</v>
      </c>
      <c r="B846" s="101">
        <f t="shared" si="107"/>
        <v>17</v>
      </c>
      <c r="C846" s="101" t="str">
        <f t="shared" si="108"/>
        <v>T17</v>
      </c>
      <c r="D846" s="101" t="str">
        <f>IF(A846&lt;&gt;A845,VLOOKUP(A846,'Date SPV'!$A:$D,4,FALSE),D845)</f>
        <v>Nepi Ten Development Solutions  SRL</v>
      </c>
      <c r="E846" s="101" t="str">
        <f>VLOOKUP(A846,'Date SPV'!$A$4:$B$34,2,FALSE)</f>
        <v>RN10_Sfantul Gheorghe</v>
      </c>
      <c r="H846" s="105" t="s">
        <v>894</v>
      </c>
      <c r="K846" s="101" t="str">
        <f>VLOOKUP(C846,'Preturi si tarife'!$A$4:$B$39,2,FALSE)</f>
        <v>Tarif distributie SDI MT_</v>
      </c>
      <c r="L846" s="102">
        <f>IF(B846=1,'Date masura OD'!$I$5,IF(B846=19,'Date masura OD'!$AK$5,L845))</f>
        <v>45778</v>
      </c>
      <c r="M846" s="102">
        <f>IF(B846=1,'Date masura OD'!$J$5,IF(B846=19,'Date masura OD'!$AL$5,M845))</f>
        <v>45808</v>
      </c>
      <c r="N846" s="104">
        <f>VLOOKUP(E846,verificare!$AR$4:$CC$33,B846+2,FALSE)</f>
        <v>0</v>
      </c>
      <c r="O846" s="103">
        <f>HLOOKUP(VLOOKUP(E846,'Date SPV'!$B$4:$F$34,5,FALSE),'Preturi si tarife'!$C$2:$J$39,B846+2,FALSE)*10000</f>
        <v>126</v>
      </c>
      <c r="Q846" s="101" t="str">
        <f t="shared" si="110"/>
        <v>One-off</v>
      </c>
      <c r="R846" s="101" t="str">
        <f>VLOOKUP(K846,'Preturi si tarife'!$B$4:$K$39,10,FALSE)</f>
        <v>ICOENG0010</v>
      </c>
      <c r="T846" s="101" t="str">
        <f t="shared" si="111"/>
        <v>INV + 30</v>
      </c>
      <c r="V846" s="101" t="str">
        <f t="shared" si="112"/>
        <v>Active</v>
      </c>
      <c r="X846" s="101" t="str">
        <f t="shared" si="113"/>
        <v>One-off</v>
      </c>
      <c r="AC846" s="101" t="str">
        <f t="shared" si="116"/>
        <v>RON</v>
      </c>
      <c r="AD846" s="101">
        <f t="shared" si="116"/>
        <v>10000</v>
      </c>
    </row>
    <row r="847" spans="1:30">
      <c r="A847" s="101">
        <f t="shared" si="115"/>
        <v>24</v>
      </c>
      <c r="B847" s="101">
        <f t="shared" si="107"/>
        <v>18</v>
      </c>
      <c r="C847" s="101" t="str">
        <f t="shared" si="108"/>
        <v>T18</v>
      </c>
      <c r="D847" s="101" t="str">
        <f>IF(A847&lt;&gt;A846,VLOOKUP(A847,'Date SPV'!$A:$D,4,FALSE),D846)</f>
        <v>Nepi Ten Development Solutions  SRL</v>
      </c>
      <c r="E847" s="101" t="str">
        <f>VLOOKUP(A847,'Date SPV'!$A$4:$B$34,2,FALSE)</f>
        <v>RN10_Sfantul Gheorghe</v>
      </c>
      <c r="H847" s="105" t="s">
        <v>894</v>
      </c>
      <c r="K847" s="101" t="str">
        <f>VLOOKUP(C847,'Preturi si tarife'!$A$4:$B$39,2,FALSE)</f>
        <v>Tarif distributie SDI JT_</v>
      </c>
      <c r="L847" s="102">
        <f>IF(B847=1,'Date masura OD'!$I$5,IF(B847=19,'Date masura OD'!$AK$5,L846))</f>
        <v>45778</v>
      </c>
      <c r="M847" s="102">
        <f>IF(B847=1,'Date masura OD'!$J$5,IF(B847=19,'Date masura OD'!$AL$5,M846))</f>
        <v>45808</v>
      </c>
      <c r="N847" s="104">
        <f>VLOOKUP(E847,verificare!$AR$4:$CC$33,B847+2,FALSE)</f>
        <v>0</v>
      </c>
      <c r="O847" s="103">
        <f>HLOOKUP(VLOOKUP(E847,'Date SPV'!$B$4:$F$34,5,FALSE),'Preturi si tarife'!$C$2:$J$39,B847+2,FALSE)*10000</f>
        <v>927</v>
      </c>
      <c r="Q847" s="101" t="str">
        <f t="shared" si="110"/>
        <v>One-off</v>
      </c>
      <c r="R847" s="101" t="str">
        <f>VLOOKUP(K847,'Preturi si tarife'!$B$4:$K$39,10,FALSE)</f>
        <v>ICOENG0010</v>
      </c>
      <c r="T847" s="101" t="str">
        <f t="shared" si="111"/>
        <v>INV + 30</v>
      </c>
      <c r="V847" s="101" t="str">
        <f t="shared" si="112"/>
        <v>Active</v>
      </c>
      <c r="X847" s="101" t="str">
        <f t="shared" si="113"/>
        <v>One-off</v>
      </c>
      <c r="AC847" s="101" t="str">
        <f t="shared" si="116"/>
        <v>RON</v>
      </c>
      <c r="AD847" s="101">
        <f t="shared" si="116"/>
        <v>10000</v>
      </c>
    </row>
    <row r="848" spans="1:30">
      <c r="A848" s="101">
        <f t="shared" si="115"/>
        <v>24</v>
      </c>
      <c r="B848" s="101">
        <f t="shared" si="107"/>
        <v>19</v>
      </c>
      <c r="C848" s="101" t="str">
        <f t="shared" si="108"/>
        <v>T19</v>
      </c>
      <c r="D848" s="101" t="str">
        <f>IF(A848&lt;&gt;A847,VLOOKUP(A848,'Date SPV'!$A:$D,4,FALSE),D847)</f>
        <v>Nepi Ten Development Solutions  SRL</v>
      </c>
      <c r="E848" s="101" t="str">
        <f>VLOOKUP(A848,'Date SPV'!$A$4:$B$34,2,FALSE)</f>
        <v>RN10_Sfantul Gheorghe</v>
      </c>
      <c r="H848" s="105" t="s">
        <v>894</v>
      </c>
      <c r="K848" s="101" t="str">
        <f>VLOOKUP(C848,'Preturi si tarife'!$A$4:$B$39,2,FALSE)</f>
        <v>Regularizare Energie activa 1</v>
      </c>
      <c r="L848" s="102">
        <f>IF(B848=1,'Date masura OD'!$I$5,IF(B848=19,'Date masura OD'!$AK$5,L847))</f>
        <v>45748</v>
      </c>
      <c r="M848" s="102">
        <f>IF(B848=1,'Date masura OD'!$J$5,IF(B848=19,'Date masura OD'!$AL$5,M847))</f>
        <v>45777</v>
      </c>
      <c r="N848" s="104">
        <f>VLOOKUP(E848,verificare!$AR$4:$CC$33,B848+2,FALSE)</f>
        <v>0</v>
      </c>
      <c r="O848" s="103">
        <f>HLOOKUP(VLOOKUP(E848,'Date SPV'!$B$4:$F$34,5,FALSE),'Preturi si tarife'!$C$2:$J$39,B848+2,FALSE)*10000</f>
        <v>5950</v>
      </c>
      <c r="Q848" s="101" t="str">
        <f t="shared" si="110"/>
        <v>One-off</v>
      </c>
      <c r="R848" s="101" t="str">
        <f>VLOOKUP(K848,'Preturi si tarife'!$B$4:$K$39,10,FALSE)</f>
        <v>ICOENG0001</v>
      </c>
      <c r="T848" s="101" t="str">
        <f t="shared" si="111"/>
        <v>INV + 30</v>
      </c>
      <c r="V848" s="101" t="str">
        <f t="shared" si="112"/>
        <v>Active</v>
      </c>
      <c r="X848" s="101" t="str">
        <f t="shared" si="113"/>
        <v>One-off</v>
      </c>
      <c r="AC848" s="101" t="str">
        <f t="shared" si="116"/>
        <v>RON</v>
      </c>
      <c r="AD848" s="101">
        <f t="shared" si="116"/>
        <v>10000</v>
      </c>
    </row>
    <row r="849" spans="1:30">
      <c r="A849" s="101">
        <f t="shared" si="115"/>
        <v>24</v>
      </c>
      <c r="B849" s="101">
        <f t="shared" si="107"/>
        <v>20</v>
      </c>
      <c r="C849" s="101" t="str">
        <f t="shared" si="108"/>
        <v>T20</v>
      </c>
      <c r="D849" s="101" t="str">
        <f>IF(A849&lt;&gt;A848,VLOOKUP(A849,'Date SPV'!$A:$D,4,FALSE),D848)</f>
        <v>Nepi Ten Development Solutions  SRL</v>
      </c>
      <c r="E849" s="101" t="str">
        <f>VLOOKUP(A849,'Date SPV'!$A$4:$B$34,2,FALSE)</f>
        <v>RN10_Sfantul Gheorghe</v>
      </c>
      <c r="H849" s="105" t="s">
        <v>894</v>
      </c>
      <c r="K849" s="101" t="str">
        <f>VLOOKUP(C849,'Preturi si tarife'!$A$4:$B$39,2,FALSE)</f>
        <v>Regularizare Energie reactiva  1X</v>
      </c>
      <c r="L849" s="102">
        <f>IF(B849=1,'Date masura OD'!$I$5,IF(B849=19,'Date masura OD'!$AK$5,L848))</f>
        <v>45748</v>
      </c>
      <c r="M849" s="102">
        <f>IF(B849=1,'Date masura OD'!$J$5,IF(B849=19,'Date masura OD'!$AL$5,M848))</f>
        <v>45777</v>
      </c>
      <c r="N849" s="104">
        <f>VLOOKUP(E849,verificare!$AR$4:$CC$33,B849+2,FALSE)</f>
        <v>10</v>
      </c>
      <c r="O849" s="103">
        <f>HLOOKUP(VLOOKUP(E849,'Date SPV'!$B$4:$F$34,5,FALSE),'Preturi si tarife'!$C$2:$J$39,B849+2,FALSE)*10000</f>
        <v>1465</v>
      </c>
      <c r="Q849" s="101" t="str">
        <f t="shared" si="110"/>
        <v>One-off</v>
      </c>
      <c r="R849" s="101" t="str">
        <f>VLOOKUP(K849,'Preturi si tarife'!$B$4:$K$39,10,FALSE)</f>
        <v>ICOENG0001</v>
      </c>
      <c r="T849" s="101" t="str">
        <f t="shared" si="111"/>
        <v>INV + 30</v>
      </c>
      <c r="V849" s="101" t="str">
        <f t="shared" si="112"/>
        <v>Active</v>
      </c>
      <c r="X849" s="101" t="str">
        <f t="shared" si="113"/>
        <v>One-off</v>
      </c>
      <c r="AC849" s="101" t="str">
        <f t="shared" si="116"/>
        <v>RON</v>
      </c>
      <c r="AD849" s="101">
        <f t="shared" si="116"/>
        <v>10000</v>
      </c>
    </row>
    <row r="850" spans="1:30">
      <c r="A850" s="101">
        <f t="shared" si="115"/>
        <v>24</v>
      </c>
      <c r="B850" s="101">
        <f t="shared" si="107"/>
        <v>21</v>
      </c>
      <c r="C850" s="101" t="str">
        <f t="shared" si="108"/>
        <v>T21</v>
      </c>
      <c r="D850" s="101" t="str">
        <f>IF(A850&lt;&gt;A849,VLOOKUP(A850,'Date SPV'!$A:$D,4,FALSE),D849)</f>
        <v>Nepi Ten Development Solutions  SRL</v>
      </c>
      <c r="E850" s="101" t="str">
        <f>VLOOKUP(A850,'Date SPV'!$A$4:$B$34,2,FALSE)</f>
        <v>RN10_Sfantul Gheorghe</v>
      </c>
      <c r="H850" s="105" t="s">
        <v>894</v>
      </c>
      <c r="K850" s="101" t="str">
        <f>VLOOKUP(C850,'Preturi si tarife'!$A$4:$B$39,2,FALSE)</f>
        <v>Regularizare Energie reactiva  3X</v>
      </c>
      <c r="L850" s="102">
        <f>IF(B850=1,'Date masura OD'!$I$5,IF(B850=19,'Date masura OD'!$AK$5,L849))</f>
        <v>45748</v>
      </c>
      <c r="M850" s="102">
        <f>IF(B850=1,'Date masura OD'!$J$5,IF(B850=19,'Date masura OD'!$AL$5,M849))</f>
        <v>45777</v>
      </c>
      <c r="N850" s="104">
        <f>VLOOKUP(E850,verificare!$AR$4:$CC$33,B850+2,FALSE)</f>
        <v>15</v>
      </c>
      <c r="O850" s="103">
        <f>HLOOKUP(VLOOKUP(E850,'Date SPV'!$B$4:$F$34,5,FALSE),'Preturi si tarife'!$C$2:$J$39,B850+2,FALSE)*10000</f>
        <v>4395</v>
      </c>
      <c r="Q850" s="101" t="str">
        <f t="shared" si="110"/>
        <v>One-off</v>
      </c>
      <c r="R850" s="101" t="str">
        <f>VLOOKUP(K850,'Preturi si tarife'!$B$4:$K$39,10,FALSE)</f>
        <v>ICOENG0001</v>
      </c>
      <c r="T850" s="101" t="str">
        <f t="shared" si="111"/>
        <v>INV + 30</v>
      </c>
      <c r="V850" s="101" t="str">
        <f t="shared" si="112"/>
        <v>Active</v>
      </c>
      <c r="X850" s="101" t="str">
        <f t="shared" si="113"/>
        <v>One-off</v>
      </c>
      <c r="AC850" s="101" t="str">
        <f t="shared" si="116"/>
        <v>RON</v>
      </c>
      <c r="AD850" s="101">
        <f t="shared" si="116"/>
        <v>10000</v>
      </c>
    </row>
    <row r="851" spans="1:30">
      <c r="A851" s="101">
        <f t="shared" si="115"/>
        <v>24</v>
      </c>
      <c r="B851" s="101">
        <f t="shared" si="107"/>
        <v>22</v>
      </c>
      <c r="C851" s="101" t="str">
        <f t="shared" si="108"/>
        <v>T22</v>
      </c>
      <c r="D851" s="101" t="str">
        <f>IF(A851&lt;&gt;A850,VLOOKUP(A851,'Date SPV'!$A:$D,4,FALSE),D850)</f>
        <v>Nepi Ten Development Solutions  SRL</v>
      </c>
      <c r="E851" s="101" t="str">
        <f>VLOOKUP(A851,'Date SPV'!$A$4:$B$34,2,FALSE)</f>
        <v>RN10_Sfantul Gheorghe</v>
      </c>
      <c r="H851" s="105" t="s">
        <v>894</v>
      </c>
      <c r="K851" s="101" t="str">
        <f>VLOOKUP(C851,'Preturi si tarife'!$A$4:$B$39,2,FALSE)</f>
        <v>Regularizare Tarife distributie en. El IT+MT</v>
      </c>
      <c r="L851" s="102">
        <f>IF(B851=1,'Date masura OD'!$I$5,IF(B851=19,'Date masura OD'!$AK$5,L850))</f>
        <v>45748</v>
      </c>
      <c r="M851" s="102">
        <f>IF(B851=1,'Date masura OD'!$J$5,IF(B851=19,'Date masura OD'!$AL$5,M850))</f>
        <v>45777</v>
      </c>
      <c r="N851" s="104">
        <f>VLOOKUP(E851,verificare!$AR$4:$CC$33,B851+2,FALSE)</f>
        <v>0</v>
      </c>
      <c r="O851" s="103">
        <f>HLOOKUP(VLOOKUP(E851,'Date SPV'!$B$4:$F$34,5,FALSE),'Preturi si tarife'!$C$2:$J$39,B851+2,FALSE)*10000</f>
        <v>1148.3</v>
      </c>
      <c r="Q851" s="101" t="str">
        <f t="shared" si="110"/>
        <v>One-off</v>
      </c>
      <c r="R851" s="101" t="str">
        <f>VLOOKUP(K851,'Preturi si tarife'!$B$4:$K$39,10,FALSE)</f>
        <v>ICOENG0001</v>
      </c>
      <c r="T851" s="101" t="str">
        <f t="shared" si="111"/>
        <v>INV + 30</v>
      </c>
      <c r="V851" s="101" t="str">
        <f t="shared" si="112"/>
        <v>Active</v>
      </c>
      <c r="X851" s="101" t="str">
        <f t="shared" si="113"/>
        <v>One-off</v>
      </c>
      <c r="AC851" s="101" t="str">
        <f t="shared" si="116"/>
        <v>RON</v>
      </c>
      <c r="AD851" s="101">
        <f t="shared" si="116"/>
        <v>10000</v>
      </c>
    </row>
    <row r="852" spans="1:30">
      <c r="A852" s="101">
        <f t="shared" si="115"/>
        <v>24</v>
      </c>
      <c r="B852" s="101">
        <f t="shared" si="107"/>
        <v>23</v>
      </c>
      <c r="C852" s="101" t="str">
        <f t="shared" si="108"/>
        <v>T23</v>
      </c>
      <c r="D852" s="101" t="str">
        <f>IF(A852&lt;&gt;A851,VLOOKUP(A852,'Date SPV'!$A:$D,4,FALSE),D851)</f>
        <v>Nepi Ten Development Solutions  SRL</v>
      </c>
      <c r="E852" s="101" t="str">
        <f>VLOOKUP(A852,'Date SPV'!$A$4:$B$34,2,FALSE)</f>
        <v>RN10_Sfantul Gheorghe</v>
      </c>
      <c r="H852" s="105" t="s">
        <v>894</v>
      </c>
      <c r="K852" s="101" t="str">
        <f>VLOOKUP(C852,'Preturi si tarife'!$A$4:$B$39,2,FALSE)</f>
        <v>Regularizare Tarife distributie en. El JT</v>
      </c>
      <c r="L852" s="102">
        <f>IF(B852=1,'Date masura OD'!$I$5,IF(B852=19,'Date masura OD'!$AK$5,L851))</f>
        <v>45748</v>
      </c>
      <c r="M852" s="102">
        <f>IF(B852=1,'Date masura OD'!$J$5,IF(B852=19,'Date masura OD'!$AL$5,M851))</f>
        <v>45777</v>
      </c>
      <c r="N852" s="104">
        <f>VLOOKUP(E852,verificare!$AR$4:$CC$33,B852+2,FALSE)</f>
        <v>0</v>
      </c>
      <c r="O852" s="103">
        <f>HLOOKUP(VLOOKUP(E852,'Date SPV'!$B$4:$F$34,5,FALSE),'Preturi si tarife'!$C$2:$J$39,B852+2,FALSE)*10000</f>
        <v>2361</v>
      </c>
      <c r="Q852" s="101" t="str">
        <f t="shared" si="110"/>
        <v>One-off</v>
      </c>
      <c r="R852" s="101" t="str">
        <f>VLOOKUP(K852,'Preturi si tarife'!$B$4:$K$39,10,FALSE)</f>
        <v>ICOENG0001</v>
      </c>
      <c r="T852" s="101" t="str">
        <f t="shared" si="111"/>
        <v>INV + 30</v>
      </c>
      <c r="V852" s="101" t="str">
        <f t="shared" si="112"/>
        <v>Active</v>
      </c>
      <c r="X852" s="101" t="str">
        <f t="shared" si="113"/>
        <v>One-off</v>
      </c>
      <c r="AC852" s="101" t="str">
        <f t="shared" si="116"/>
        <v>RON</v>
      </c>
      <c r="AD852" s="101">
        <f t="shared" si="116"/>
        <v>10000</v>
      </c>
    </row>
    <row r="853" spans="1:30">
      <c r="A853" s="101">
        <f t="shared" si="115"/>
        <v>24</v>
      </c>
      <c r="B853" s="101">
        <f t="shared" si="107"/>
        <v>24</v>
      </c>
      <c r="C853" s="101" t="str">
        <f t="shared" si="108"/>
        <v>T24</v>
      </c>
      <c r="D853" s="101" t="str">
        <f>IF(A853&lt;&gt;A852,VLOOKUP(A853,'Date SPV'!$A:$D,4,FALSE),D852)</f>
        <v>Nepi Ten Development Solutions  SRL</v>
      </c>
      <c r="E853" s="101" t="str">
        <f>VLOOKUP(A853,'Date SPV'!$A$4:$B$34,2,FALSE)</f>
        <v>RN10_Sfantul Gheorghe</v>
      </c>
      <c r="H853" s="105" t="s">
        <v>894</v>
      </c>
      <c r="K853" s="101" t="str">
        <f>VLOOKUP(C853,'Preturi si tarife'!$A$4:$B$39,2,FALSE)</f>
        <v xml:space="preserve">Regularizare Servicii Sistem </v>
      </c>
      <c r="L853" s="102">
        <f>IF(B853=1,'Date masura OD'!$I$5,IF(B853=19,'Date masura OD'!$AK$5,L852))</f>
        <v>45748</v>
      </c>
      <c r="M853" s="102">
        <f>IF(B853=1,'Date masura OD'!$J$5,IF(B853=19,'Date masura OD'!$AL$5,M852))</f>
        <v>45777</v>
      </c>
      <c r="N853" s="104">
        <f>VLOOKUP(E853,verificare!$AR$4:$CC$33,B853+2,FALSE)</f>
        <v>0</v>
      </c>
      <c r="O853" s="103">
        <f>HLOOKUP(VLOOKUP(E853,'Date SPV'!$B$4:$F$34,5,FALSE),'Preturi si tarife'!$C$2:$J$39,B853+2,FALSE)*10000</f>
        <v>115.1</v>
      </c>
      <c r="Q853" s="101" t="str">
        <f t="shared" si="110"/>
        <v>One-off</v>
      </c>
      <c r="R853" s="101" t="str">
        <f>VLOOKUP(K853,'Preturi si tarife'!$B$4:$K$39,10,FALSE)</f>
        <v>ICOENG0001</v>
      </c>
      <c r="T853" s="101" t="str">
        <f t="shared" si="111"/>
        <v>INV + 30</v>
      </c>
      <c r="V853" s="101" t="str">
        <f t="shared" si="112"/>
        <v>Active</v>
      </c>
      <c r="X853" s="101" t="str">
        <f t="shared" si="113"/>
        <v>One-off</v>
      </c>
      <c r="AC853" s="101" t="str">
        <f t="shared" si="116"/>
        <v>RON</v>
      </c>
      <c r="AD853" s="101">
        <f t="shared" si="116"/>
        <v>10000</v>
      </c>
    </row>
    <row r="854" spans="1:30">
      <c r="A854" s="101">
        <f t="shared" si="115"/>
        <v>24</v>
      </c>
      <c r="B854" s="101">
        <f t="shared" si="107"/>
        <v>25</v>
      </c>
      <c r="C854" s="101" t="str">
        <f t="shared" si="108"/>
        <v>T25</v>
      </c>
      <c r="D854" s="101" t="str">
        <f>IF(A854&lt;&gt;A853,VLOOKUP(A854,'Date SPV'!$A:$D,4,FALSE),D853)</f>
        <v>Nepi Ten Development Solutions  SRL</v>
      </c>
      <c r="E854" s="101" t="str">
        <f>VLOOKUP(A854,'Date SPV'!$A$4:$B$34,2,FALSE)</f>
        <v>RN10_Sfantul Gheorghe</v>
      </c>
      <c r="H854" s="105" t="s">
        <v>894</v>
      </c>
      <c r="K854" s="101" t="str">
        <f>VLOOKUP(C854,'Preturi si tarife'!$A$4:$B$39,2,FALSE)</f>
        <v>Regularizare Tarif de introducere en. el in retea (TL)</v>
      </c>
      <c r="L854" s="102">
        <f>IF(B854=1,'Date masura OD'!$I$5,IF(B854=19,'Date masura OD'!$AK$5,L853))</f>
        <v>45748</v>
      </c>
      <c r="M854" s="102">
        <f>IF(B854=1,'Date masura OD'!$J$5,IF(B854=19,'Date masura OD'!$AL$5,M853))</f>
        <v>45777</v>
      </c>
      <c r="N854" s="104">
        <f>VLOOKUP(E854,verificare!$AR$4:$CC$33,B854+2,FALSE)</f>
        <v>0</v>
      </c>
      <c r="O854" s="103">
        <f>HLOOKUP(VLOOKUP(E854,'Date SPV'!$B$4:$F$34,5,FALSE),'Preturi si tarife'!$C$2:$J$39,B854+2,FALSE)*10000</f>
        <v>330.3</v>
      </c>
      <c r="Q854" s="101" t="str">
        <f t="shared" si="110"/>
        <v>One-off</v>
      </c>
      <c r="R854" s="101" t="str">
        <f>VLOOKUP(K854,'Preturi si tarife'!$B$4:$K$39,10,FALSE)</f>
        <v>ICOENG0001</v>
      </c>
      <c r="T854" s="101" t="str">
        <f t="shared" si="111"/>
        <v>INV + 30</v>
      </c>
      <c r="V854" s="101" t="str">
        <f t="shared" si="112"/>
        <v>Active</v>
      </c>
      <c r="X854" s="101" t="str">
        <f t="shared" si="113"/>
        <v>One-off</v>
      </c>
      <c r="AC854" s="101" t="str">
        <f t="shared" si="116"/>
        <v>RON</v>
      </c>
      <c r="AD854" s="101">
        <f t="shared" si="116"/>
        <v>10000</v>
      </c>
    </row>
    <row r="855" spans="1:30">
      <c r="A855" s="101">
        <f t="shared" si="115"/>
        <v>24</v>
      </c>
      <c r="B855" s="101">
        <f t="shared" si="107"/>
        <v>26</v>
      </c>
      <c r="C855" s="101" t="str">
        <f t="shared" si="108"/>
        <v>T26</v>
      </c>
      <c r="D855" s="101" t="str">
        <f>IF(A855&lt;&gt;A854,VLOOKUP(A855,'Date SPV'!$A:$D,4,FALSE),D854)</f>
        <v>Nepi Ten Development Solutions  SRL</v>
      </c>
      <c r="E855" s="101" t="str">
        <f>VLOOKUP(A855,'Date SPV'!$A$4:$B$34,2,FALSE)</f>
        <v>RN10_Sfantul Gheorghe</v>
      </c>
      <c r="H855" s="105" t="s">
        <v>894</v>
      </c>
      <c r="K855" s="101" t="str">
        <f>VLOOKUP(C855,'Preturi si tarife'!$A$4:$B$39,2,FALSE)</f>
        <v>Regularizare Tarif de introducere en.el in retea (TG)</v>
      </c>
      <c r="L855" s="102">
        <f>IF(B855=1,'Date masura OD'!$I$5,IF(B855=19,'Date masura OD'!$AK$5,L854))</f>
        <v>45748</v>
      </c>
      <c r="M855" s="102">
        <f>IF(B855=1,'Date masura OD'!$J$5,IF(B855=19,'Date masura OD'!$AL$5,M854))</f>
        <v>45777</v>
      </c>
      <c r="N855" s="104">
        <f>VLOOKUP(E855,verificare!$AR$4:$CC$33,B855+2,FALSE)</f>
        <v>0</v>
      </c>
      <c r="O855" s="103">
        <f>HLOOKUP(VLOOKUP(E855,'Date SPV'!$B$4:$F$34,5,FALSE),'Preturi si tarife'!$C$2:$J$39,B855+2,FALSE)*10000</f>
        <v>32.9</v>
      </c>
      <c r="Q855" s="101" t="str">
        <f t="shared" si="110"/>
        <v>One-off</v>
      </c>
      <c r="R855" s="101" t="str">
        <f>VLOOKUP(K855,'Preturi si tarife'!$B$4:$K$39,10,FALSE)</f>
        <v>ICOENG0001</v>
      </c>
      <c r="T855" s="101" t="str">
        <f t="shared" si="111"/>
        <v>INV + 30</v>
      </c>
      <c r="V855" s="101" t="str">
        <f t="shared" si="112"/>
        <v>Active</v>
      </c>
      <c r="X855" s="101" t="str">
        <f t="shared" si="113"/>
        <v>One-off</v>
      </c>
      <c r="AC855" s="101" t="str">
        <f t="shared" si="116"/>
        <v>RON</v>
      </c>
      <c r="AD855" s="101">
        <f t="shared" si="116"/>
        <v>10000</v>
      </c>
    </row>
    <row r="856" spans="1:30">
      <c r="A856" s="101">
        <f t="shared" si="115"/>
        <v>24</v>
      </c>
      <c r="B856" s="101">
        <f t="shared" si="107"/>
        <v>27</v>
      </c>
      <c r="C856" s="101" t="str">
        <f t="shared" si="108"/>
        <v>T27</v>
      </c>
      <c r="D856" s="101" t="str">
        <f>IF(A856&lt;&gt;A855,VLOOKUP(A856,'Date SPV'!$A:$D,4,FALSE),D855)</f>
        <v>Nepi Ten Development Solutions  SRL</v>
      </c>
      <c r="E856" s="101" t="str">
        <f>VLOOKUP(A856,'Date SPV'!$A$4:$B$34,2,FALSE)</f>
        <v>RN10_Sfantul Gheorghe</v>
      </c>
      <c r="H856" s="105" t="s">
        <v>894</v>
      </c>
      <c r="K856" s="101" t="str">
        <f>VLOOKUP(C856,'Preturi si tarife'!$A$4:$B$39,2,FALSE)</f>
        <v>Regularizare Contributie pentru cogenerare</v>
      </c>
      <c r="L856" s="102">
        <f>IF(B856=1,'Date masura OD'!$I$5,IF(B856=19,'Date masura OD'!$AK$5,L855))</f>
        <v>45748</v>
      </c>
      <c r="M856" s="102">
        <f>IF(B856=1,'Date masura OD'!$J$5,IF(B856=19,'Date masura OD'!$AL$5,M855))</f>
        <v>45777</v>
      </c>
      <c r="N856" s="104">
        <f>VLOOKUP(E856,verificare!$AR$4:$CC$33,B856+2,FALSE)</f>
        <v>0</v>
      </c>
      <c r="O856" s="103">
        <f>HLOOKUP(VLOOKUP(E856,'Date SPV'!$B$4:$F$34,5,FALSE),'Preturi si tarife'!$C$2:$J$39,B856+2,FALSE)*10000</f>
        <v>35</v>
      </c>
      <c r="Q856" s="101" t="str">
        <f t="shared" si="110"/>
        <v>One-off</v>
      </c>
      <c r="R856" s="101" t="str">
        <f>VLOOKUP(K856,'Preturi si tarife'!$B$4:$K$39,10,FALSE)</f>
        <v>ICOENG0001</v>
      </c>
      <c r="T856" s="101" t="str">
        <f t="shared" si="111"/>
        <v>INV + 30</v>
      </c>
      <c r="V856" s="101" t="str">
        <f t="shared" si="112"/>
        <v>Active</v>
      </c>
      <c r="X856" s="101" t="str">
        <f t="shared" si="113"/>
        <v>One-off</v>
      </c>
      <c r="AC856" s="101" t="str">
        <f t="shared" si="116"/>
        <v>RON</v>
      </c>
      <c r="AD856" s="101">
        <f t="shared" si="116"/>
        <v>10000</v>
      </c>
    </row>
    <row r="857" spans="1:30">
      <c r="A857" s="101">
        <f t="shared" si="115"/>
        <v>24</v>
      </c>
      <c r="B857" s="101">
        <f t="shared" si="107"/>
        <v>28</v>
      </c>
      <c r="C857" s="101" t="str">
        <f t="shared" si="108"/>
        <v>T28</v>
      </c>
      <c r="D857" s="101" t="str">
        <f>IF(A857&lt;&gt;A856,VLOOKUP(A857,'Date SPV'!$A:$D,4,FALSE),D856)</f>
        <v>Nepi Ten Development Solutions  SRL</v>
      </c>
      <c r="E857" s="101" t="str">
        <f>VLOOKUP(A857,'Date SPV'!$A$4:$B$34,2,FALSE)</f>
        <v>RN10_Sfantul Gheorghe</v>
      </c>
      <c r="H857" s="105" t="s">
        <v>894</v>
      </c>
      <c r="K857" s="101" t="str">
        <f>VLOOKUP(C857,'Preturi si tarife'!$A$4:$B$39,2,FALSE)</f>
        <v xml:space="preserve">Regularizare Certificate verzi </v>
      </c>
      <c r="L857" s="102">
        <f>IF(B857=1,'Date masura OD'!$I$5,IF(B857=19,'Date masura OD'!$AK$5,L856))</f>
        <v>45748</v>
      </c>
      <c r="M857" s="102">
        <f>IF(B857=1,'Date masura OD'!$J$5,IF(B857=19,'Date masura OD'!$AL$5,M856))</f>
        <v>45777</v>
      </c>
      <c r="N857" s="104">
        <f>VLOOKUP(E857,verificare!$AR$4:$CC$33,B857+2,FALSE)</f>
        <v>0</v>
      </c>
      <c r="O857" s="103">
        <f>HLOOKUP(VLOOKUP(E857,'Date SPV'!$B$4:$F$34,5,FALSE),'Preturi si tarife'!$C$2:$J$39,B857+2,FALSE)*10000</f>
        <v>725.41599999999994</v>
      </c>
      <c r="Q857" s="101" t="str">
        <f t="shared" si="110"/>
        <v>One-off</v>
      </c>
      <c r="R857" s="101" t="str">
        <f>VLOOKUP(K857,'Preturi si tarife'!$B$4:$K$39,10,FALSE)</f>
        <v>ICOENG0001</v>
      </c>
      <c r="T857" s="101" t="str">
        <f t="shared" si="111"/>
        <v>INV + 30</v>
      </c>
      <c r="V857" s="101" t="str">
        <f t="shared" si="112"/>
        <v>Active</v>
      </c>
      <c r="X857" s="101" t="str">
        <f t="shared" si="113"/>
        <v>One-off</v>
      </c>
      <c r="AC857" s="101" t="str">
        <f t="shared" si="116"/>
        <v>RON</v>
      </c>
      <c r="AD857" s="101">
        <f t="shared" si="116"/>
        <v>10000</v>
      </c>
    </row>
    <row r="858" spans="1:30">
      <c r="A858" s="101">
        <f t="shared" si="115"/>
        <v>24</v>
      </c>
      <c r="B858" s="101">
        <f t="shared" si="107"/>
        <v>29</v>
      </c>
      <c r="C858" s="101" t="str">
        <f t="shared" si="108"/>
        <v>T29</v>
      </c>
      <c r="D858" s="101" t="str">
        <f>IF(A858&lt;&gt;A857,VLOOKUP(A858,'Date SPV'!$A:$D,4,FALSE),D857)</f>
        <v>Nepi Ten Development Solutions  SRL</v>
      </c>
      <c r="E858" s="101" t="str">
        <f>VLOOKUP(A858,'Date SPV'!$A$4:$B$34,2,FALSE)</f>
        <v>RN10_Sfantul Gheorghe</v>
      </c>
      <c r="H858" s="105" t="s">
        <v>894</v>
      </c>
      <c r="K858" s="101" t="str">
        <f>VLOOKUP(C858,'Preturi si tarife'!$A$4:$B$39,2,FALSE)</f>
        <v>Regularizare Contributie CFD</v>
      </c>
      <c r="L858" s="102">
        <f>IF(B858=1,'Date masura OD'!$I$5,IF(B858=19,'Date masura OD'!$AK$5,L857))</f>
        <v>45748</v>
      </c>
      <c r="M858" s="102">
        <f>IF(B858=1,'Date masura OD'!$J$5,IF(B858=19,'Date masura OD'!$AL$5,M857))</f>
        <v>45777</v>
      </c>
      <c r="N858" s="104">
        <f>VLOOKUP(E858,verificare!$AR$4:$CC$33,B858+2,FALSE)</f>
        <v>0</v>
      </c>
      <c r="O858" s="103">
        <f>HLOOKUP(VLOOKUP(E858,'Date SPV'!$B$4:$F$34,5,FALSE),'Preturi si tarife'!$C$2:$J$39,B858+2,FALSE)*10000</f>
        <v>2.06</v>
      </c>
      <c r="Q858" s="101" t="str">
        <f t="shared" si="110"/>
        <v>One-off</v>
      </c>
      <c r="R858" s="101" t="str">
        <f>VLOOKUP(K858,'Preturi si tarife'!$B$4:$K$39,10,FALSE)</f>
        <v>ICOENG0001</v>
      </c>
      <c r="T858" s="101" t="str">
        <f t="shared" si="111"/>
        <v>INV + 30</v>
      </c>
      <c r="V858" s="101" t="str">
        <f t="shared" si="112"/>
        <v>Active</v>
      </c>
      <c r="X858" s="101" t="str">
        <f t="shared" si="113"/>
        <v>One-off</v>
      </c>
      <c r="AC858" s="101" t="str">
        <f t="shared" si="116"/>
        <v>RON</v>
      </c>
      <c r="AD858" s="101">
        <f t="shared" si="116"/>
        <v>10000</v>
      </c>
    </row>
    <row r="859" spans="1:30">
      <c r="A859" s="101">
        <f t="shared" si="115"/>
        <v>24</v>
      </c>
      <c r="B859" s="101">
        <f t="shared" si="107"/>
        <v>30</v>
      </c>
      <c r="C859" s="101" t="str">
        <f t="shared" si="108"/>
        <v>T30</v>
      </c>
      <c r="D859" s="101" t="str">
        <f>IF(A859&lt;&gt;A858,VLOOKUP(A859,'Date SPV'!$A:$D,4,FALSE),D858)</f>
        <v>Nepi Ten Development Solutions  SRL</v>
      </c>
      <c r="E859" s="101" t="str">
        <f>VLOOKUP(A859,'Date SPV'!$A$4:$B$34,2,FALSE)</f>
        <v>RN10_Sfantul Gheorghe</v>
      </c>
      <c r="H859" s="105" t="s">
        <v>894</v>
      </c>
      <c r="K859" s="101" t="str">
        <f>VLOOKUP(C859,'Preturi si tarife'!$A$4:$B$39,2,FALSE)</f>
        <v>Regularizare Acciza</v>
      </c>
      <c r="L859" s="102">
        <f>IF(B859=1,'Date masura OD'!$I$5,IF(B859=19,'Date masura OD'!$AK$5,L858))</f>
        <v>45748</v>
      </c>
      <c r="M859" s="102">
        <f>IF(B859=1,'Date masura OD'!$J$5,IF(B859=19,'Date masura OD'!$AL$5,M858))</f>
        <v>45777</v>
      </c>
      <c r="N859" s="104">
        <f>VLOOKUP(E859,verificare!$AR$4:$CC$33,B859+2,FALSE)</f>
        <v>0</v>
      </c>
      <c r="O859" s="103">
        <f>HLOOKUP(VLOOKUP(E859,'Date SPV'!$B$4:$F$34,5,FALSE),'Preturi si tarife'!$C$2:$J$39,B859+2,FALSE)*10000</f>
        <v>0</v>
      </c>
      <c r="Q859" s="101" t="str">
        <f t="shared" si="110"/>
        <v>One-off</v>
      </c>
      <c r="R859" s="101" t="str">
        <f>VLOOKUP(K859,'Preturi si tarife'!$B$4:$K$39,10,FALSE)</f>
        <v>ICOENG0001</v>
      </c>
      <c r="T859" s="101" t="str">
        <f t="shared" si="111"/>
        <v>INV + 30</v>
      </c>
      <c r="V859" s="101" t="str">
        <f t="shared" si="112"/>
        <v>Active</v>
      </c>
      <c r="X859" s="101" t="str">
        <f t="shared" si="113"/>
        <v>One-off</v>
      </c>
      <c r="AC859" s="101" t="str">
        <f t="shared" si="116"/>
        <v>RON</v>
      </c>
      <c r="AD859" s="101">
        <f t="shared" si="116"/>
        <v>10000</v>
      </c>
    </row>
    <row r="860" spans="1:30">
      <c r="A860" s="101">
        <f t="shared" si="115"/>
        <v>24</v>
      </c>
      <c r="B860" s="101">
        <f t="shared" si="107"/>
        <v>31</v>
      </c>
      <c r="C860" s="101" t="str">
        <f t="shared" si="108"/>
        <v>T31</v>
      </c>
      <c r="D860" s="101" t="str">
        <f>IF(A860&lt;&gt;A859,VLOOKUP(A860,'Date SPV'!$A:$D,4,FALSE),D859)</f>
        <v>Nepi Ten Development Solutions  SRL</v>
      </c>
      <c r="E860" s="101" t="str">
        <f>VLOOKUP(A860,'Date SPV'!$A$4:$B$34,2,FALSE)</f>
        <v>RN10_Sfantul Gheorghe</v>
      </c>
      <c r="H860" s="105" t="s">
        <v>894</v>
      </c>
      <c r="K860" s="101" t="str">
        <f>VLOOKUP(C860,'Preturi si tarife'!$A$4:$B$39,2,FALSE)</f>
        <v>Regularizare Tarif distributie SDI MT Ea1</v>
      </c>
      <c r="L860" s="102">
        <f>IF(B860=1,'Date masura OD'!$I$5,IF(B860=19,'Date masura OD'!$AK$5,L859))</f>
        <v>45748</v>
      </c>
      <c r="M860" s="102">
        <f>IF(B860=1,'Date masura OD'!$J$5,IF(B860=19,'Date masura OD'!$AL$5,M859))</f>
        <v>45777</v>
      </c>
      <c r="N860" s="104">
        <f>VLOOKUP(E860,verificare!$AR$4:$CC$33,B860+2,FALSE)</f>
        <v>0</v>
      </c>
      <c r="O860" s="103">
        <f>HLOOKUP(VLOOKUP(E860,'Date SPV'!$B$4:$F$34,5,FALSE),'Preturi si tarife'!$C$2:$J$39,B860+2,FALSE)*10000</f>
        <v>126</v>
      </c>
      <c r="Q860" s="101" t="str">
        <f t="shared" si="110"/>
        <v>One-off</v>
      </c>
      <c r="R860" s="101" t="str">
        <f>VLOOKUP(K860,'Preturi si tarife'!$B$4:$K$39,10,FALSE)</f>
        <v>ICOENG0010</v>
      </c>
      <c r="T860" s="101" t="str">
        <f t="shared" si="111"/>
        <v>INV + 30</v>
      </c>
      <c r="V860" s="101" t="str">
        <f t="shared" si="112"/>
        <v>Active</v>
      </c>
      <c r="X860" s="101" t="str">
        <f t="shared" si="113"/>
        <v>One-off</v>
      </c>
      <c r="AC860" s="101" t="str">
        <f t="shared" si="116"/>
        <v>RON</v>
      </c>
      <c r="AD860" s="101">
        <f t="shared" si="116"/>
        <v>10000</v>
      </c>
    </row>
    <row r="861" spans="1:30">
      <c r="A861" s="101">
        <f t="shared" si="115"/>
        <v>24</v>
      </c>
      <c r="B861" s="101">
        <f t="shared" si="107"/>
        <v>32</v>
      </c>
      <c r="C861" s="101" t="str">
        <f t="shared" si="108"/>
        <v>T32</v>
      </c>
      <c r="D861" s="101" t="str">
        <f>IF(A861&lt;&gt;A860,VLOOKUP(A861,'Date SPV'!$A:$D,4,FALSE),D860)</f>
        <v>Nepi Ten Development Solutions  SRL</v>
      </c>
      <c r="E861" s="101" t="str">
        <f>VLOOKUP(A861,'Date SPV'!$A$4:$B$34,2,FALSE)</f>
        <v>RN10_Sfantul Gheorghe</v>
      </c>
      <c r="H861" s="105" t="s">
        <v>894</v>
      </c>
      <c r="K861" s="101" t="str">
        <f>VLOOKUP(C861,'Preturi si tarife'!$A$4:$B$39,2,FALSE)</f>
        <v>Regularizare Tarif distributie SDI JT Ea1</v>
      </c>
      <c r="L861" s="102">
        <f>IF(B861=1,'Date masura OD'!$I$5,IF(B861=19,'Date masura OD'!$AK$5,L860))</f>
        <v>45748</v>
      </c>
      <c r="M861" s="102">
        <f>IF(B861=1,'Date masura OD'!$J$5,IF(B861=19,'Date masura OD'!$AL$5,M860))</f>
        <v>45777</v>
      </c>
      <c r="N861" s="104">
        <f>VLOOKUP(E861,verificare!$AR$4:$CC$33,B861+2,FALSE)</f>
        <v>0</v>
      </c>
      <c r="O861" s="103">
        <f>HLOOKUP(VLOOKUP(E861,'Date SPV'!$B$4:$F$34,5,FALSE),'Preturi si tarife'!$C$2:$J$39,B861+2,FALSE)*10000</f>
        <v>927</v>
      </c>
      <c r="Q861" s="101" t="str">
        <f t="shared" si="110"/>
        <v>One-off</v>
      </c>
      <c r="R861" s="101" t="str">
        <f>VLOOKUP(K861,'Preturi si tarife'!$B$4:$K$39,10,FALSE)</f>
        <v>ICOENG0010</v>
      </c>
      <c r="T861" s="101" t="str">
        <f t="shared" si="111"/>
        <v>INV + 30</v>
      </c>
      <c r="V861" s="101" t="str">
        <f t="shared" si="112"/>
        <v>Active</v>
      </c>
      <c r="X861" s="101" t="str">
        <f t="shared" si="113"/>
        <v>One-off</v>
      </c>
      <c r="AC861" s="101" t="str">
        <f t="shared" ref="AC861:AD876" si="117">AC860</f>
        <v>RON</v>
      </c>
      <c r="AD861" s="101">
        <f t="shared" si="117"/>
        <v>10000</v>
      </c>
    </row>
    <row r="862" spans="1:30">
      <c r="A862" s="101">
        <f t="shared" si="115"/>
        <v>24</v>
      </c>
      <c r="B862" s="101">
        <f t="shared" si="107"/>
        <v>33</v>
      </c>
      <c r="C862" s="101" t="str">
        <f t="shared" si="108"/>
        <v>T33</v>
      </c>
      <c r="D862" s="101" t="str">
        <f>IF(A862&lt;&gt;A861,VLOOKUP(A862,'Date SPV'!$A:$D,4,FALSE),D861)</f>
        <v>Nepi Ten Development Solutions  SRL</v>
      </c>
      <c r="E862" s="101" t="str">
        <f>VLOOKUP(A862,'Date SPV'!$A$4:$B$34,2,FALSE)</f>
        <v>RN10_Sfantul Gheorghe</v>
      </c>
      <c r="H862" s="105" t="s">
        <v>894</v>
      </c>
      <c r="K862" s="101" t="str">
        <f>VLOOKUP(C862,'Preturi si tarife'!$A$4:$B$39,2,FALSE)</f>
        <v>Regularizare Energie activa 2</v>
      </c>
      <c r="L862" s="102">
        <f>IF(B862=1,'Date masura OD'!$I$5,IF(B862=19,'Date masura OD'!$AK$5,L861))</f>
        <v>45748</v>
      </c>
      <c r="M862" s="102">
        <f>IF(B862=1,'Date masura OD'!$J$5,IF(B862=19,'Date masura OD'!$AL$5,M861))</f>
        <v>45777</v>
      </c>
      <c r="N862" s="104">
        <f>VLOOKUP(E862,verificare!$AR$4:$CC$33,B862+2,FALSE)</f>
        <v>0</v>
      </c>
      <c r="O862" s="103">
        <f>HLOOKUP(VLOOKUP(E862,'Date SPV'!$B$4:$F$34,5,FALSE),'Preturi si tarife'!$C$2:$J$39,B862+2,FALSE)*10000</f>
        <v>9392.0760000000009</v>
      </c>
      <c r="Q862" s="101" t="str">
        <f t="shared" si="110"/>
        <v>One-off</v>
      </c>
      <c r="R862" s="101" t="str">
        <f>VLOOKUP(K862,'Preturi si tarife'!$B$4:$K$39,10,FALSE)</f>
        <v>ICOENG0012</v>
      </c>
      <c r="T862" s="101" t="str">
        <f t="shared" si="111"/>
        <v>INV + 30</v>
      </c>
      <c r="V862" s="101" t="str">
        <f t="shared" si="112"/>
        <v>Active</v>
      </c>
      <c r="X862" s="101" t="str">
        <f t="shared" si="113"/>
        <v>One-off</v>
      </c>
      <c r="AC862" s="101" t="str">
        <f t="shared" si="117"/>
        <v>RON</v>
      </c>
      <c r="AD862" s="101">
        <f t="shared" si="117"/>
        <v>10000</v>
      </c>
    </row>
    <row r="863" spans="1:30">
      <c r="A863" s="101">
        <f t="shared" si="115"/>
        <v>24</v>
      </c>
      <c r="B863" s="101">
        <f t="shared" si="107"/>
        <v>34</v>
      </c>
      <c r="C863" s="101" t="str">
        <f t="shared" si="108"/>
        <v>T34</v>
      </c>
      <c r="D863" s="101" t="str">
        <f>IF(A863&lt;&gt;A862,VLOOKUP(A863,'Date SPV'!$A:$D,4,FALSE),D862)</f>
        <v>Nepi Ten Development Solutions  SRL</v>
      </c>
      <c r="E863" s="101" t="str">
        <f>VLOOKUP(A863,'Date SPV'!$A$4:$B$34,2,FALSE)</f>
        <v>RN10_Sfantul Gheorghe</v>
      </c>
      <c r="H863" s="105" t="s">
        <v>894</v>
      </c>
      <c r="K863" s="101" t="str">
        <f>VLOOKUP(C863,'Preturi si tarife'!$A$4:$B$39,2,FALSE)</f>
        <v>Regularizare Energie activa 3</v>
      </c>
      <c r="L863" s="102">
        <f>IF(B863=1,'Date masura OD'!$I$5,IF(B863=19,'Date masura OD'!$AK$5,L862))</f>
        <v>45748</v>
      </c>
      <c r="M863" s="102">
        <f>IF(B863=1,'Date masura OD'!$J$5,IF(B863=19,'Date masura OD'!$AL$5,M862))</f>
        <v>45777</v>
      </c>
      <c r="N863" s="104">
        <f>VLOOKUP(E863,verificare!$AR$4:$CC$33,B863+2,FALSE)</f>
        <v>0</v>
      </c>
      <c r="O863" s="103">
        <f>HLOOKUP(VLOOKUP(E863,'Date SPV'!$B$4:$F$34,5,FALSE),'Preturi si tarife'!$C$2:$J$39,B863+2,FALSE)*10000</f>
        <v>8339.0760000000009</v>
      </c>
      <c r="Q863" s="101" t="str">
        <f t="shared" si="110"/>
        <v>One-off</v>
      </c>
      <c r="R863" s="101" t="str">
        <f>VLOOKUP(K863,'Preturi si tarife'!$B$4:$K$39,10,FALSE)</f>
        <v>ICOENG0012</v>
      </c>
      <c r="T863" s="101" t="str">
        <f t="shared" si="111"/>
        <v>INV + 30</v>
      </c>
      <c r="V863" s="101" t="str">
        <f t="shared" si="112"/>
        <v>Active</v>
      </c>
      <c r="X863" s="101" t="str">
        <f t="shared" si="113"/>
        <v>One-off</v>
      </c>
      <c r="AC863" s="101" t="str">
        <f t="shared" si="117"/>
        <v>RON</v>
      </c>
      <c r="AD863" s="101">
        <f t="shared" si="117"/>
        <v>10000</v>
      </c>
    </row>
    <row r="864" spans="1:30">
      <c r="A864" s="101">
        <f t="shared" si="115"/>
        <v>24</v>
      </c>
      <c r="B864" s="101">
        <f t="shared" si="107"/>
        <v>35</v>
      </c>
      <c r="C864" s="101" t="str">
        <f t="shared" si="108"/>
        <v>T35</v>
      </c>
      <c r="D864" s="101" t="str">
        <f>IF(A864&lt;&gt;A863,VLOOKUP(A864,'Date SPV'!$A:$D,4,FALSE),D863)</f>
        <v>Nepi Ten Development Solutions  SRL</v>
      </c>
      <c r="E864" s="101" t="str">
        <f>VLOOKUP(A864,'Date SPV'!$A$4:$B$34,2,FALSE)</f>
        <v>RN10_Sfantul Gheorghe</v>
      </c>
      <c r="H864" s="105" t="s">
        <v>894</v>
      </c>
      <c r="K864" s="101" t="str">
        <f>VLOOKUP(C864,'Preturi si tarife'!$A$4:$B$39,2,FALSE)</f>
        <v>Regularizare Tarif distributie SDI MT Ea3</v>
      </c>
      <c r="L864" s="102">
        <f>IF(B864=1,'Date masura OD'!$I$5,IF(B864=19,'Date masura OD'!$AK$5,L863))</f>
        <v>45748</v>
      </c>
      <c r="M864" s="102">
        <f>IF(B864=1,'Date masura OD'!$J$5,IF(B864=19,'Date masura OD'!$AL$5,M863))</f>
        <v>45777</v>
      </c>
      <c r="N864" s="104">
        <f>VLOOKUP(E864,verificare!$AR$4:$CC$33,B864+2,FALSE)</f>
        <v>0</v>
      </c>
      <c r="O864" s="103">
        <f>HLOOKUP(VLOOKUP(E864,'Date SPV'!$B$4:$F$34,5,FALSE),'Preturi si tarife'!$C$2:$J$39,B864+2,FALSE)*10000</f>
        <v>126</v>
      </c>
      <c r="Q864" s="101" t="str">
        <f t="shared" si="110"/>
        <v>One-off</v>
      </c>
      <c r="R864" s="101" t="str">
        <f>VLOOKUP(K864,'Preturi si tarife'!$B$4:$K$39,10,FALSE)</f>
        <v>ICOENG0010</v>
      </c>
      <c r="T864" s="101" t="str">
        <f t="shared" si="111"/>
        <v>INV + 30</v>
      </c>
      <c r="V864" s="101" t="str">
        <f t="shared" si="112"/>
        <v>Active</v>
      </c>
      <c r="X864" s="101" t="str">
        <f t="shared" si="113"/>
        <v>One-off</v>
      </c>
      <c r="AC864" s="101" t="str">
        <f t="shared" si="117"/>
        <v>RON</v>
      </c>
      <c r="AD864" s="101">
        <f t="shared" si="117"/>
        <v>10000</v>
      </c>
    </row>
    <row r="865" spans="1:30">
      <c r="A865" s="101">
        <f t="shared" si="115"/>
        <v>24</v>
      </c>
      <c r="B865" s="101">
        <f t="shared" si="107"/>
        <v>36</v>
      </c>
      <c r="C865" s="101" t="str">
        <f t="shared" si="108"/>
        <v>T36</v>
      </c>
      <c r="D865" s="101" t="str">
        <f>IF(A865&lt;&gt;A864,VLOOKUP(A865,'Date SPV'!$A:$D,4,FALSE),D864)</f>
        <v>Nepi Ten Development Solutions  SRL</v>
      </c>
      <c r="E865" s="101" t="str">
        <f>VLOOKUP(A865,'Date SPV'!$A$4:$B$34,2,FALSE)</f>
        <v>RN10_Sfantul Gheorghe</v>
      </c>
      <c r="H865" s="105" t="s">
        <v>894</v>
      </c>
      <c r="K865" s="101" t="str">
        <f>VLOOKUP(C865,'Preturi si tarife'!$A$4:$B$39,2,FALSE)</f>
        <v>Regularizare Tarif distributie SDI JT Ea3</v>
      </c>
      <c r="L865" s="102">
        <f>IF(B865=1,'Date masura OD'!$I$5,IF(B865=19,'Date masura OD'!$AK$5,L864))</f>
        <v>45748</v>
      </c>
      <c r="M865" s="102">
        <f>IF(B865=1,'Date masura OD'!$J$5,IF(B865=19,'Date masura OD'!$AL$5,M864))</f>
        <v>45777</v>
      </c>
      <c r="N865" s="104">
        <f>VLOOKUP(E865,verificare!$AR$4:$CC$33,B865+2,FALSE)</f>
        <v>0</v>
      </c>
      <c r="O865" s="103">
        <f>HLOOKUP(VLOOKUP(E865,'Date SPV'!$B$4:$F$34,5,FALSE),'Preturi si tarife'!$C$2:$J$39,B865+2,FALSE)*10000</f>
        <v>927</v>
      </c>
      <c r="Q865" s="101" t="str">
        <f t="shared" si="110"/>
        <v>One-off</v>
      </c>
      <c r="R865" s="101" t="str">
        <f>VLOOKUP(K865,'Preturi si tarife'!$B$4:$K$39,10,FALSE)</f>
        <v>ICOENG0010</v>
      </c>
      <c r="T865" s="101" t="str">
        <f t="shared" si="111"/>
        <v>INV + 30</v>
      </c>
      <c r="V865" s="101" t="str">
        <f t="shared" si="112"/>
        <v>Active</v>
      </c>
      <c r="X865" s="101" t="str">
        <f t="shared" si="113"/>
        <v>One-off</v>
      </c>
      <c r="AC865" s="101" t="str">
        <f t="shared" si="117"/>
        <v>RON</v>
      </c>
      <c r="AD865" s="101">
        <f t="shared" si="117"/>
        <v>10000</v>
      </c>
    </row>
    <row r="866" spans="1:30">
      <c r="A866" s="101">
        <f t="shared" si="115"/>
        <v>25</v>
      </c>
      <c r="B866" s="101">
        <f t="shared" si="107"/>
        <v>1</v>
      </c>
      <c r="C866" s="101" t="str">
        <f t="shared" si="108"/>
        <v>T1</v>
      </c>
      <c r="D866" s="101" t="str">
        <f>IF(A866&lt;&gt;A865,VLOOKUP(A866,'Date SPV'!$A:$D,4,FALSE),D865)</f>
        <v>Nepi Ten Development Solutions  SRL</v>
      </c>
      <c r="E866" s="101" t="str">
        <f>VLOOKUP(A866,'Date SPV'!$A$4:$B$34,2,FALSE)</f>
        <v>RN10_Sighisoara</v>
      </c>
      <c r="H866" s="105" t="s">
        <v>894</v>
      </c>
      <c r="K866" s="101" t="str">
        <f>VLOOKUP(C866,'Preturi si tarife'!$A$4:$B$39,2,FALSE)</f>
        <v>Energie activa 1</v>
      </c>
      <c r="L866" s="102">
        <f>IF(B866=1,'Date masura OD'!$I$5,IF(B866=19,'Date masura OD'!$AK$5,L865))</f>
        <v>45778</v>
      </c>
      <c r="M866" s="102">
        <f>IF(B866=1,'Date masura OD'!$J$5,IF(B866=19,'Date masura OD'!$AL$5,M865))</f>
        <v>45808</v>
      </c>
      <c r="N866" s="104">
        <f>VLOOKUP(E866,verificare!$AR$4:$CC$33,B866+2,FALSE)</f>
        <v>10441</v>
      </c>
      <c r="O866" s="103">
        <f>HLOOKUP(VLOOKUP(E866,'Date SPV'!$B$4:$F$34,5,FALSE),'Preturi si tarife'!$C$2:$J$39,B866+2,FALSE)*10000</f>
        <v>5950</v>
      </c>
      <c r="Q866" s="101" t="str">
        <f t="shared" si="110"/>
        <v>One-off</v>
      </c>
      <c r="R866" s="101" t="str">
        <f>VLOOKUP(K866,'Preturi si tarife'!$B$4:$K$39,10,FALSE)</f>
        <v>ICOENG0001</v>
      </c>
      <c r="T866" s="101" t="str">
        <f t="shared" si="111"/>
        <v>INV + 30</v>
      </c>
      <c r="V866" s="101" t="str">
        <f t="shared" si="112"/>
        <v>Active</v>
      </c>
      <c r="X866" s="101" t="str">
        <f t="shared" si="113"/>
        <v>One-off</v>
      </c>
      <c r="AC866" s="101" t="str">
        <f t="shared" si="117"/>
        <v>RON</v>
      </c>
      <c r="AD866" s="101">
        <f t="shared" si="117"/>
        <v>10000</v>
      </c>
    </row>
    <row r="867" spans="1:30">
      <c r="A867" s="101">
        <f t="shared" si="115"/>
        <v>25</v>
      </c>
      <c r="B867" s="101">
        <f t="shared" si="107"/>
        <v>2</v>
      </c>
      <c r="C867" s="101" t="str">
        <f t="shared" si="108"/>
        <v>T2</v>
      </c>
      <c r="D867" s="101" t="str">
        <f>IF(A867&lt;&gt;A866,VLOOKUP(A867,'Date SPV'!$A:$D,4,FALSE),D866)</f>
        <v>Nepi Ten Development Solutions  SRL</v>
      </c>
      <c r="E867" s="101" t="str">
        <f>VLOOKUP(A867,'Date SPV'!$A$4:$B$34,2,FALSE)</f>
        <v>RN10_Sighisoara</v>
      </c>
      <c r="H867" s="105" t="s">
        <v>894</v>
      </c>
      <c r="K867" s="101" t="str">
        <f>VLOOKUP(C867,'Preturi si tarife'!$A$4:$B$39,2,FALSE)</f>
        <v>Energie reactiva  1X</v>
      </c>
      <c r="L867" s="102">
        <f>IF(B867=1,'Date masura OD'!$I$5,IF(B867=19,'Date masura OD'!$AK$5,L866))</f>
        <v>45778</v>
      </c>
      <c r="M867" s="102">
        <f>IF(B867=1,'Date masura OD'!$J$5,IF(B867=19,'Date masura OD'!$AL$5,M866))</f>
        <v>45808</v>
      </c>
      <c r="N867" s="104">
        <f>VLOOKUP(E867,verificare!$AR$4:$CC$33,B867+2,FALSE)</f>
        <v>0</v>
      </c>
      <c r="O867" s="103">
        <f>HLOOKUP(VLOOKUP(E867,'Date SPV'!$B$4:$F$34,5,FALSE),'Preturi si tarife'!$C$2:$J$39,B867+2,FALSE)*10000</f>
        <v>1465</v>
      </c>
      <c r="Q867" s="101" t="str">
        <f t="shared" si="110"/>
        <v>One-off</v>
      </c>
      <c r="R867" s="101" t="str">
        <f>VLOOKUP(K867,'Preturi si tarife'!$B$4:$K$39,10,FALSE)</f>
        <v>ICOENG0001</v>
      </c>
      <c r="T867" s="101" t="str">
        <f t="shared" si="111"/>
        <v>INV + 30</v>
      </c>
      <c r="V867" s="101" t="str">
        <f t="shared" si="112"/>
        <v>Active</v>
      </c>
      <c r="X867" s="101" t="str">
        <f t="shared" si="113"/>
        <v>One-off</v>
      </c>
      <c r="AC867" s="101" t="str">
        <f t="shared" si="117"/>
        <v>RON</v>
      </c>
      <c r="AD867" s="101">
        <f t="shared" si="117"/>
        <v>10000</v>
      </c>
    </row>
    <row r="868" spans="1:30">
      <c r="A868" s="101">
        <f t="shared" si="115"/>
        <v>25</v>
      </c>
      <c r="B868" s="101">
        <f t="shared" si="107"/>
        <v>3</v>
      </c>
      <c r="C868" s="101" t="str">
        <f t="shared" si="108"/>
        <v>T3</v>
      </c>
      <c r="D868" s="101" t="str">
        <f>IF(A868&lt;&gt;A867,VLOOKUP(A868,'Date SPV'!$A:$D,4,FALSE),D867)</f>
        <v>Nepi Ten Development Solutions  SRL</v>
      </c>
      <c r="E868" s="101" t="str">
        <f>VLOOKUP(A868,'Date SPV'!$A$4:$B$34,2,FALSE)</f>
        <v>RN10_Sighisoara</v>
      </c>
      <c r="H868" s="105" t="s">
        <v>894</v>
      </c>
      <c r="K868" s="101" t="str">
        <f>VLOOKUP(C868,'Preturi si tarife'!$A$4:$B$39,2,FALSE)</f>
        <v>Energie reactiva  3X</v>
      </c>
      <c r="L868" s="102">
        <f>IF(B868=1,'Date masura OD'!$I$5,IF(B868=19,'Date masura OD'!$AK$5,L867))</f>
        <v>45778</v>
      </c>
      <c r="M868" s="102">
        <f>IF(B868=1,'Date masura OD'!$J$5,IF(B868=19,'Date masura OD'!$AL$5,M867))</f>
        <v>45808</v>
      </c>
      <c r="N868" s="104">
        <f>VLOOKUP(E868,verificare!$AR$4:$CC$33,B868+2,FALSE)</f>
        <v>0</v>
      </c>
      <c r="O868" s="103">
        <f>HLOOKUP(VLOOKUP(E868,'Date SPV'!$B$4:$F$34,5,FALSE),'Preturi si tarife'!$C$2:$J$39,B868+2,FALSE)*10000</f>
        <v>4395</v>
      </c>
      <c r="Q868" s="101" t="str">
        <f t="shared" si="110"/>
        <v>One-off</v>
      </c>
      <c r="R868" s="101" t="str">
        <f>VLOOKUP(K868,'Preturi si tarife'!$B$4:$K$39,10,FALSE)</f>
        <v>ICOENG0001</v>
      </c>
      <c r="T868" s="101" t="str">
        <f t="shared" si="111"/>
        <v>INV + 30</v>
      </c>
      <c r="V868" s="101" t="str">
        <f t="shared" si="112"/>
        <v>Active</v>
      </c>
      <c r="X868" s="101" t="str">
        <f t="shared" si="113"/>
        <v>One-off</v>
      </c>
      <c r="AC868" s="101" t="str">
        <f t="shared" si="117"/>
        <v>RON</v>
      </c>
      <c r="AD868" s="101">
        <f t="shared" si="117"/>
        <v>10000</v>
      </c>
    </row>
    <row r="869" spans="1:30">
      <c r="A869" s="101">
        <f t="shared" si="115"/>
        <v>25</v>
      </c>
      <c r="B869" s="101">
        <f t="shared" si="107"/>
        <v>4</v>
      </c>
      <c r="C869" s="101" t="str">
        <f t="shared" si="108"/>
        <v>T4</v>
      </c>
      <c r="D869" s="101" t="str">
        <f>IF(A869&lt;&gt;A868,VLOOKUP(A869,'Date SPV'!$A:$D,4,FALSE),D868)</f>
        <v>Nepi Ten Development Solutions  SRL</v>
      </c>
      <c r="E869" s="101" t="str">
        <f>VLOOKUP(A869,'Date SPV'!$A$4:$B$34,2,FALSE)</f>
        <v>RN10_Sighisoara</v>
      </c>
      <c r="H869" s="105" t="s">
        <v>894</v>
      </c>
      <c r="K869" s="101" t="str">
        <f>VLOOKUP(C869,'Preturi si tarife'!$A$4:$B$39,2,FALSE)</f>
        <v>Tarife distributie en. El IT+MT</v>
      </c>
      <c r="L869" s="102">
        <f>IF(B869=1,'Date masura OD'!$I$5,IF(B869=19,'Date masura OD'!$AK$5,L868))</f>
        <v>45778</v>
      </c>
      <c r="M869" s="102">
        <f>IF(B869=1,'Date masura OD'!$J$5,IF(B869=19,'Date masura OD'!$AL$5,M868))</f>
        <v>45808</v>
      </c>
      <c r="N869" s="104">
        <f>VLOOKUP(E869,verificare!$AR$4:$CC$33,B869+2,FALSE)</f>
        <v>10441</v>
      </c>
      <c r="O869" s="103">
        <f>HLOOKUP(VLOOKUP(E869,'Date SPV'!$B$4:$F$34,5,FALSE),'Preturi si tarife'!$C$2:$J$39,B869+2,FALSE)*10000</f>
        <v>1148.3</v>
      </c>
      <c r="Q869" s="101" t="str">
        <f t="shared" si="110"/>
        <v>One-off</v>
      </c>
      <c r="R869" s="101" t="str">
        <f>VLOOKUP(K869,'Preturi si tarife'!$B$4:$K$39,10,FALSE)</f>
        <v>ICOENG0001</v>
      </c>
      <c r="T869" s="101" t="str">
        <f t="shared" si="111"/>
        <v>INV + 30</v>
      </c>
      <c r="V869" s="101" t="str">
        <f t="shared" si="112"/>
        <v>Active</v>
      </c>
      <c r="X869" s="101" t="str">
        <f t="shared" si="113"/>
        <v>One-off</v>
      </c>
      <c r="AC869" s="101" t="str">
        <f t="shared" si="117"/>
        <v>RON</v>
      </c>
      <c r="AD869" s="101">
        <f t="shared" si="117"/>
        <v>10000</v>
      </c>
    </row>
    <row r="870" spans="1:30">
      <c r="A870" s="101">
        <f t="shared" si="115"/>
        <v>25</v>
      </c>
      <c r="B870" s="101">
        <f t="shared" si="107"/>
        <v>5</v>
      </c>
      <c r="C870" s="101" t="str">
        <f t="shared" si="108"/>
        <v>T5</v>
      </c>
      <c r="D870" s="101" t="str">
        <f>IF(A870&lt;&gt;A869,VLOOKUP(A870,'Date SPV'!$A:$D,4,FALSE),D869)</f>
        <v>Nepi Ten Development Solutions  SRL</v>
      </c>
      <c r="E870" s="101" t="str">
        <f>VLOOKUP(A870,'Date SPV'!$A$4:$B$34,2,FALSE)</f>
        <v>RN10_Sighisoara</v>
      </c>
      <c r="H870" s="105" t="s">
        <v>894</v>
      </c>
      <c r="K870" s="101" t="str">
        <f>VLOOKUP(C870,'Preturi si tarife'!$A$4:$B$39,2,FALSE)</f>
        <v>Tarife distributie en. El JT</v>
      </c>
      <c r="L870" s="102">
        <f>IF(B870=1,'Date masura OD'!$I$5,IF(B870=19,'Date masura OD'!$AK$5,L869))</f>
        <v>45778</v>
      </c>
      <c r="M870" s="102">
        <f>IF(B870=1,'Date masura OD'!$J$5,IF(B870=19,'Date masura OD'!$AL$5,M869))</f>
        <v>45808</v>
      </c>
      <c r="N870" s="104">
        <f>VLOOKUP(E870,verificare!$AR$4:$CC$33,B870+2,FALSE)</f>
        <v>0</v>
      </c>
      <c r="O870" s="103">
        <f>HLOOKUP(VLOOKUP(E870,'Date SPV'!$B$4:$F$34,5,FALSE),'Preturi si tarife'!$C$2:$J$39,B870+2,FALSE)*10000</f>
        <v>2361</v>
      </c>
      <c r="Q870" s="101" t="str">
        <f t="shared" si="110"/>
        <v>One-off</v>
      </c>
      <c r="R870" s="101" t="str">
        <f>VLOOKUP(K870,'Preturi si tarife'!$B$4:$K$39,10,FALSE)</f>
        <v>ICOENG0001</v>
      </c>
      <c r="T870" s="101" t="str">
        <f t="shared" si="111"/>
        <v>INV + 30</v>
      </c>
      <c r="V870" s="101" t="str">
        <f t="shared" si="112"/>
        <v>Active</v>
      </c>
      <c r="X870" s="101" t="str">
        <f t="shared" si="113"/>
        <v>One-off</v>
      </c>
      <c r="AC870" s="101" t="str">
        <f t="shared" si="117"/>
        <v>RON</v>
      </c>
      <c r="AD870" s="101">
        <f t="shared" si="117"/>
        <v>10000</v>
      </c>
    </row>
    <row r="871" spans="1:30">
      <c r="A871" s="101">
        <f t="shared" si="115"/>
        <v>25</v>
      </c>
      <c r="B871" s="101">
        <f t="shared" si="107"/>
        <v>6</v>
      </c>
      <c r="C871" s="101" t="str">
        <f t="shared" si="108"/>
        <v>T6</v>
      </c>
      <c r="D871" s="101" t="str">
        <f>IF(A871&lt;&gt;A870,VLOOKUP(A871,'Date SPV'!$A:$D,4,FALSE),D870)</f>
        <v>Nepi Ten Development Solutions  SRL</v>
      </c>
      <c r="E871" s="101" t="str">
        <f>VLOOKUP(A871,'Date SPV'!$A$4:$B$34,2,FALSE)</f>
        <v>RN10_Sighisoara</v>
      </c>
      <c r="H871" s="105" t="s">
        <v>894</v>
      </c>
      <c r="K871" s="101" t="str">
        <f>VLOOKUP(C871,'Preturi si tarife'!$A$4:$B$39,2,FALSE)</f>
        <v xml:space="preserve">Servicii Sistem </v>
      </c>
      <c r="L871" s="102">
        <f>IF(B871=1,'Date masura OD'!$I$5,IF(B871=19,'Date masura OD'!$AK$5,L870))</f>
        <v>45778</v>
      </c>
      <c r="M871" s="102">
        <f>IF(B871=1,'Date masura OD'!$J$5,IF(B871=19,'Date masura OD'!$AL$5,M870))</f>
        <v>45808</v>
      </c>
      <c r="N871" s="104">
        <f>VLOOKUP(E871,verificare!$AR$4:$CC$33,B871+2,FALSE)</f>
        <v>10441</v>
      </c>
      <c r="O871" s="103">
        <f>HLOOKUP(VLOOKUP(E871,'Date SPV'!$B$4:$F$34,5,FALSE),'Preturi si tarife'!$C$2:$J$39,B871+2,FALSE)*10000</f>
        <v>115.1</v>
      </c>
      <c r="Q871" s="101" t="str">
        <f t="shared" si="110"/>
        <v>One-off</v>
      </c>
      <c r="R871" s="101" t="str">
        <f>VLOOKUP(K871,'Preturi si tarife'!$B$4:$K$39,10,FALSE)</f>
        <v>ICOENG0001</v>
      </c>
      <c r="T871" s="101" t="str">
        <f t="shared" si="111"/>
        <v>INV + 30</v>
      </c>
      <c r="V871" s="101" t="str">
        <f t="shared" si="112"/>
        <v>Active</v>
      </c>
      <c r="X871" s="101" t="str">
        <f t="shared" si="113"/>
        <v>One-off</v>
      </c>
      <c r="AC871" s="101" t="str">
        <f t="shared" si="117"/>
        <v>RON</v>
      </c>
      <c r="AD871" s="101">
        <f t="shared" si="117"/>
        <v>10000</v>
      </c>
    </row>
    <row r="872" spans="1:30">
      <c r="A872" s="101">
        <f t="shared" si="115"/>
        <v>25</v>
      </c>
      <c r="B872" s="101">
        <f t="shared" si="107"/>
        <v>7</v>
      </c>
      <c r="C872" s="101" t="str">
        <f t="shared" si="108"/>
        <v>T7</v>
      </c>
      <c r="D872" s="101" t="str">
        <f>IF(A872&lt;&gt;A871,VLOOKUP(A872,'Date SPV'!$A:$D,4,FALSE),D871)</f>
        <v>Nepi Ten Development Solutions  SRL</v>
      </c>
      <c r="E872" s="101" t="str">
        <f>VLOOKUP(A872,'Date SPV'!$A$4:$B$34,2,FALSE)</f>
        <v>RN10_Sighisoara</v>
      </c>
      <c r="H872" s="105" t="s">
        <v>894</v>
      </c>
      <c r="K872" s="101" t="str">
        <f>VLOOKUP(C872,'Preturi si tarife'!$A$4:$B$39,2,FALSE)</f>
        <v>Tarif de introducere en. el in retea (TL)</v>
      </c>
      <c r="L872" s="102">
        <f>IF(B872=1,'Date masura OD'!$I$5,IF(B872=19,'Date masura OD'!$AK$5,L871))</f>
        <v>45778</v>
      </c>
      <c r="M872" s="102">
        <f>IF(B872=1,'Date masura OD'!$J$5,IF(B872=19,'Date masura OD'!$AL$5,M871))</f>
        <v>45808</v>
      </c>
      <c r="N872" s="104">
        <f>VLOOKUP(E872,verificare!$AR$4:$CC$33,B872+2,FALSE)</f>
        <v>10441</v>
      </c>
      <c r="O872" s="103">
        <f>HLOOKUP(VLOOKUP(E872,'Date SPV'!$B$4:$F$34,5,FALSE),'Preturi si tarife'!$C$2:$J$39,B872+2,FALSE)*10000</f>
        <v>330.3</v>
      </c>
      <c r="Q872" s="101" t="str">
        <f t="shared" si="110"/>
        <v>One-off</v>
      </c>
      <c r="R872" s="101" t="str">
        <f>VLOOKUP(K872,'Preturi si tarife'!$B$4:$K$39,10,FALSE)</f>
        <v>ICOENG0001</v>
      </c>
      <c r="T872" s="101" t="str">
        <f t="shared" si="111"/>
        <v>INV + 30</v>
      </c>
      <c r="V872" s="101" t="str">
        <f t="shared" si="112"/>
        <v>Active</v>
      </c>
      <c r="X872" s="101" t="str">
        <f t="shared" si="113"/>
        <v>One-off</v>
      </c>
      <c r="AC872" s="101" t="str">
        <f t="shared" si="117"/>
        <v>RON</v>
      </c>
      <c r="AD872" s="101">
        <f t="shared" si="117"/>
        <v>10000</v>
      </c>
    </row>
    <row r="873" spans="1:30">
      <c r="A873" s="101">
        <f t="shared" si="115"/>
        <v>25</v>
      </c>
      <c r="B873" s="101">
        <f t="shared" si="107"/>
        <v>8</v>
      </c>
      <c r="C873" s="101" t="str">
        <f t="shared" si="108"/>
        <v>T8</v>
      </c>
      <c r="D873" s="101" t="str">
        <f>IF(A873&lt;&gt;A872,VLOOKUP(A873,'Date SPV'!$A:$D,4,FALSE),D872)</f>
        <v>Nepi Ten Development Solutions  SRL</v>
      </c>
      <c r="E873" s="101" t="str">
        <f>VLOOKUP(A873,'Date SPV'!$A$4:$B$34,2,FALSE)</f>
        <v>RN10_Sighisoara</v>
      </c>
      <c r="H873" s="105" t="s">
        <v>894</v>
      </c>
      <c r="K873" s="101" t="str">
        <f>VLOOKUP(C873,'Preturi si tarife'!$A$4:$B$39,2,FALSE)</f>
        <v>Tarif de introducere en.el in retea (TG)</v>
      </c>
      <c r="L873" s="102">
        <f>IF(B873=1,'Date masura OD'!$I$5,IF(B873=19,'Date masura OD'!$AK$5,L872))</f>
        <v>45778</v>
      </c>
      <c r="M873" s="102">
        <f>IF(B873=1,'Date masura OD'!$J$5,IF(B873=19,'Date masura OD'!$AL$5,M872))</f>
        <v>45808</v>
      </c>
      <c r="N873" s="104">
        <f>VLOOKUP(E873,verificare!$AR$4:$CC$33,B873+2,FALSE)</f>
        <v>10441</v>
      </c>
      <c r="O873" s="103">
        <f>HLOOKUP(VLOOKUP(E873,'Date SPV'!$B$4:$F$34,5,FALSE),'Preturi si tarife'!$C$2:$J$39,B873+2,FALSE)*10000</f>
        <v>32.9</v>
      </c>
      <c r="Q873" s="101" t="str">
        <f t="shared" si="110"/>
        <v>One-off</v>
      </c>
      <c r="R873" s="101" t="str">
        <f>VLOOKUP(K873,'Preturi si tarife'!$B$4:$K$39,10,FALSE)</f>
        <v>ICOENG0001</v>
      </c>
      <c r="T873" s="101" t="str">
        <f t="shared" si="111"/>
        <v>INV + 30</v>
      </c>
      <c r="V873" s="101" t="str">
        <f t="shared" si="112"/>
        <v>Active</v>
      </c>
      <c r="X873" s="101" t="str">
        <f t="shared" si="113"/>
        <v>One-off</v>
      </c>
      <c r="AC873" s="101" t="str">
        <f t="shared" si="117"/>
        <v>RON</v>
      </c>
      <c r="AD873" s="101">
        <f t="shared" si="117"/>
        <v>10000</v>
      </c>
    </row>
    <row r="874" spans="1:30">
      <c r="A874" s="101">
        <f t="shared" si="115"/>
        <v>25</v>
      </c>
      <c r="B874" s="101">
        <f t="shared" si="107"/>
        <v>9</v>
      </c>
      <c r="C874" s="101" t="str">
        <f t="shared" si="108"/>
        <v>T9</v>
      </c>
      <c r="D874" s="101" t="str">
        <f>IF(A874&lt;&gt;A873,VLOOKUP(A874,'Date SPV'!$A:$D,4,FALSE),D873)</f>
        <v>Nepi Ten Development Solutions  SRL</v>
      </c>
      <c r="E874" s="101" t="str">
        <f>VLOOKUP(A874,'Date SPV'!$A$4:$B$34,2,FALSE)</f>
        <v>RN10_Sighisoara</v>
      </c>
      <c r="H874" s="105" t="s">
        <v>894</v>
      </c>
      <c r="K874" s="101" t="str">
        <f>VLOOKUP(C874,'Preturi si tarife'!$A$4:$B$39,2,FALSE)</f>
        <v>Contributie pentru cogenerare</v>
      </c>
      <c r="L874" s="102">
        <f>IF(B874=1,'Date masura OD'!$I$5,IF(B874=19,'Date masura OD'!$AK$5,L873))</f>
        <v>45778</v>
      </c>
      <c r="M874" s="102">
        <f>IF(B874=1,'Date masura OD'!$J$5,IF(B874=19,'Date masura OD'!$AL$5,M873))</f>
        <v>45808</v>
      </c>
      <c r="N874" s="104">
        <f>VLOOKUP(E874,verificare!$AR$4:$CC$33,B874+2,FALSE)</f>
        <v>10441</v>
      </c>
      <c r="O874" s="103">
        <f>HLOOKUP(VLOOKUP(E874,'Date SPV'!$B$4:$F$34,5,FALSE),'Preturi si tarife'!$C$2:$J$39,B874+2,FALSE)*10000</f>
        <v>35</v>
      </c>
      <c r="Q874" s="101" t="str">
        <f t="shared" si="110"/>
        <v>One-off</v>
      </c>
      <c r="R874" s="101" t="str">
        <f>VLOOKUP(K874,'Preturi si tarife'!$B$4:$K$39,10,FALSE)</f>
        <v>ICOENG0001</v>
      </c>
      <c r="T874" s="101" t="str">
        <f t="shared" si="111"/>
        <v>INV + 30</v>
      </c>
      <c r="V874" s="101" t="str">
        <f t="shared" si="112"/>
        <v>Active</v>
      </c>
      <c r="X874" s="101" t="str">
        <f t="shared" si="113"/>
        <v>One-off</v>
      </c>
      <c r="AC874" s="101" t="str">
        <f t="shared" si="117"/>
        <v>RON</v>
      </c>
      <c r="AD874" s="101">
        <f t="shared" si="117"/>
        <v>10000</v>
      </c>
    </row>
    <row r="875" spans="1:30">
      <c r="A875" s="101">
        <f t="shared" si="115"/>
        <v>25</v>
      </c>
      <c r="B875" s="101">
        <f t="shared" ref="B875:B938" si="118">IF(A875&lt;&gt;A874,1,B874+1)</f>
        <v>10</v>
      </c>
      <c r="C875" s="101" t="str">
        <f t="shared" ref="C875:C938" si="119">_xlfn.CONCAT("T",B875)</f>
        <v>T10</v>
      </c>
      <c r="D875" s="101" t="str">
        <f>IF(A875&lt;&gt;A874,VLOOKUP(A875,'Date SPV'!$A:$D,4,FALSE),D874)</f>
        <v>Nepi Ten Development Solutions  SRL</v>
      </c>
      <c r="E875" s="101" t="str">
        <f>VLOOKUP(A875,'Date SPV'!$A$4:$B$34,2,FALSE)</f>
        <v>RN10_Sighisoara</v>
      </c>
      <c r="H875" s="105" t="s">
        <v>894</v>
      </c>
      <c r="K875" s="101" t="str">
        <f>VLOOKUP(C875,'Preturi si tarife'!$A$4:$B$39,2,FALSE)</f>
        <v xml:space="preserve">Certificate verzi </v>
      </c>
      <c r="L875" s="102">
        <f>IF(B875=1,'Date masura OD'!$I$5,IF(B875=19,'Date masura OD'!$AK$5,L874))</f>
        <v>45778</v>
      </c>
      <c r="M875" s="102">
        <f>IF(B875=1,'Date masura OD'!$J$5,IF(B875=19,'Date masura OD'!$AL$5,M874))</f>
        <v>45808</v>
      </c>
      <c r="N875" s="104">
        <f>VLOOKUP(E875,verificare!$AR$4:$CC$33,B875+2,FALSE)</f>
        <v>10441</v>
      </c>
      <c r="O875" s="103">
        <f>HLOOKUP(VLOOKUP(E875,'Date SPV'!$B$4:$F$34,5,FALSE),'Preturi si tarife'!$C$2:$J$39,B875+2,FALSE)*10000</f>
        <v>725.41599999999994</v>
      </c>
      <c r="Q875" s="101" t="str">
        <f t="shared" si="110"/>
        <v>One-off</v>
      </c>
      <c r="R875" s="101" t="str">
        <f>VLOOKUP(K875,'Preturi si tarife'!$B$4:$K$39,10,FALSE)</f>
        <v>ICOENG0001</v>
      </c>
      <c r="T875" s="101" t="str">
        <f t="shared" si="111"/>
        <v>INV + 30</v>
      </c>
      <c r="V875" s="101" t="str">
        <f t="shared" si="112"/>
        <v>Active</v>
      </c>
      <c r="X875" s="101" t="str">
        <f t="shared" si="113"/>
        <v>One-off</v>
      </c>
      <c r="AC875" s="101" t="str">
        <f t="shared" si="117"/>
        <v>RON</v>
      </c>
      <c r="AD875" s="101">
        <f t="shared" si="117"/>
        <v>10000</v>
      </c>
    </row>
    <row r="876" spans="1:30">
      <c r="A876" s="101">
        <f t="shared" si="115"/>
        <v>25</v>
      </c>
      <c r="B876" s="101">
        <f t="shared" si="118"/>
        <v>11</v>
      </c>
      <c r="C876" s="101" t="str">
        <f t="shared" si="119"/>
        <v>T11</v>
      </c>
      <c r="D876" s="101" t="str">
        <f>IF(A876&lt;&gt;A875,VLOOKUP(A876,'Date SPV'!$A:$D,4,FALSE),D875)</f>
        <v>Nepi Ten Development Solutions  SRL</v>
      </c>
      <c r="E876" s="101" t="str">
        <f>VLOOKUP(A876,'Date SPV'!$A$4:$B$34,2,FALSE)</f>
        <v>RN10_Sighisoara</v>
      </c>
      <c r="H876" s="105" t="s">
        <v>894</v>
      </c>
      <c r="K876" s="101" t="str">
        <f>VLOOKUP(C876,'Preturi si tarife'!$A$4:$B$39,2,FALSE)</f>
        <v>Contributie CFD</v>
      </c>
      <c r="L876" s="102">
        <f>IF(B876=1,'Date masura OD'!$I$5,IF(B876=19,'Date masura OD'!$AK$5,L875))</f>
        <v>45778</v>
      </c>
      <c r="M876" s="102">
        <f>IF(B876=1,'Date masura OD'!$J$5,IF(B876=19,'Date masura OD'!$AL$5,M875))</f>
        <v>45808</v>
      </c>
      <c r="N876" s="104">
        <f>VLOOKUP(E876,verificare!$AR$4:$CC$33,B876+2,FALSE)</f>
        <v>10441</v>
      </c>
      <c r="O876" s="103">
        <f>HLOOKUP(VLOOKUP(E876,'Date SPV'!$B$4:$F$34,5,FALSE),'Preturi si tarife'!$C$2:$J$39,B876+2,FALSE)*10000</f>
        <v>2.06</v>
      </c>
      <c r="Q876" s="101" t="str">
        <f t="shared" si="110"/>
        <v>One-off</v>
      </c>
      <c r="R876" s="101" t="str">
        <f>VLOOKUP(K876,'Preturi si tarife'!$B$4:$K$39,10,FALSE)</f>
        <v>ICOENG0001</v>
      </c>
      <c r="T876" s="101" t="str">
        <f t="shared" si="111"/>
        <v>INV + 30</v>
      </c>
      <c r="V876" s="101" t="str">
        <f t="shared" si="112"/>
        <v>Active</v>
      </c>
      <c r="X876" s="101" t="str">
        <f t="shared" si="113"/>
        <v>One-off</v>
      </c>
      <c r="AC876" s="101" t="str">
        <f t="shared" si="117"/>
        <v>RON</v>
      </c>
      <c r="AD876" s="101">
        <f t="shared" si="117"/>
        <v>10000</v>
      </c>
    </row>
    <row r="877" spans="1:30">
      <c r="A877" s="101">
        <f t="shared" si="115"/>
        <v>25</v>
      </c>
      <c r="B877" s="101">
        <f t="shared" si="118"/>
        <v>12</v>
      </c>
      <c r="C877" s="101" t="str">
        <f t="shared" si="119"/>
        <v>T12</v>
      </c>
      <c r="D877" s="101" t="str">
        <f>IF(A877&lt;&gt;A876,VLOOKUP(A877,'Date SPV'!$A:$D,4,FALSE),D876)</f>
        <v>Nepi Ten Development Solutions  SRL</v>
      </c>
      <c r="E877" s="101" t="str">
        <f>VLOOKUP(A877,'Date SPV'!$A$4:$B$34,2,FALSE)</f>
        <v>RN10_Sighisoara</v>
      </c>
      <c r="H877" s="105" t="s">
        <v>894</v>
      </c>
      <c r="K877" s="101" t="str">
        <f>VLOOKUP(C877,'Preturi si tarife'!$A$4:$B$39,2,FALSE)</f>
        <v>Acciza</v>
      </c>
      <c r="L877" s="102">
        <f>IF(B877=1,'Date masura OD'!$I$5,IF(B877=19,'Date masura OD'!$AK$5,L876))</f>
        <v>45778</v>
      </c>
      <c r="M877" s="102">
        <f>IF(B877=1,'Date masura OD'!$J$5,IF(B877=19,'Date masura OD'!$AL$5,M876))</f>
        <v>45808</v>
      </c>
      <c r="N877" s="104">
        <f>VLOOKUP(E877,verificare!$AR$4:$CC$33,B877+2,FALSE)</f>
        <v>10441</v>
      </c>
      <c r="O877" s="103">
        <f>HLOOKUP(VLOOKUP(E877,'Date SPV'!$B$4:$F$34,5,FALSE),'Preturi si tarife'!$C$2:$J$39,B877+2,FALSE)*10000</f>
        <v>0</v>
      </c>
      <c r="Q877" s="101" t="str">
        <f t="shared" si="110"/>
        <v>One-off</v>
      </c>
      <c r="R877" s="101" t="str">
        <f>VLOOKUP(K877,'Preturi si tarife'!$B$4:$K$39,10,FALSE)</f>
        <v>ICOENG0001</v>
      </c>
      <c r="T877" s="101" t="str">
        <f t="shared" si="111"/>
        <v>INV + 30</v>
      </c>
      <c r="V877" s="101" t="str">
        <f t="shared" si="112"/>
        <v>Active</v>
      </c>
      <c r="X877" s="101" t="str">
        <f t="shared" si="113"/>
        <v>One-off</v>
      </c>
      <c r="AC877" s="101" t="str">
        <f t="shared" ref="AC877:AD892" si="120">AC876</f>
        <v>RON</v>
      </c>
      <c r="AD877" s="101">
        <f t="shared" si="120"/>
        <v>10000</v>
      </c>
    </row>
    <row r="878" spans="1:30">
      <c r="A878" s="101">
        <f t="shared" si="115"/>
        <v>25</v>
      </c>
      <c r="B878" s="101">
        <f t="shared" si="118"/>
        <v>13</v>
      </c>
      <c r="C878" s="101" t="str">
        <f t="shared" si="119"/>
        <v>T13</v>
      </c>
      <c r="D878" s="101" t="str">
        <f>IF(A878&lt;&gt;A877,VLOOKUP(A878,'Date SPV'!$A:$D,4,FALSE),D877)</f>
        <v>Nepi Ten Development Solutions  SRL</v>
      </c>
      <c r="E878" s="101" t="str">
        <f>VLOOKUP(A878,'Date SPV'!$A$4:$B$34,2,FALSE)</f>
        <v>RN10_Sighisoara</v>
      </c>
      <c r="H878" s="105" t="s">
        <v>894</v>
      </c>
      <c r="K878" s="101" t="str">
        <f>VLOOKUP(C878,'Preturi si tarife'!$A$4:$B$39,2,FALSE)</f>
        <v>Tarif distributie SDI MT</v>
      </c>
      <c r="L878" s="102">
        <f>IF(B878=1,'Date masura OD'!$I$5,IF(B878=19,'Date masura OD'!$AK$5,L877))</f>
        <v>45778</v>
      </c>
      <c r="M878" s="102">
        <f>IF(B878=1,'Date masura OD'!$J$5,IF(B878=19,'Date masura OD'!$AL$5,M877))</f>
        <v>45808</v>
      </c>
      <c r="N878" s="104">
        <f>VLOOKUP(E878,verificare!$AR$4:$CC$33,B878+2,FALSE)</f>
        <v>10441</v>
      </c>
      <c r="O878" s="103">
        <f>HLOOKUP(VLOOKUP(E878,'Date SPV'!$B$4:$F$34,5,FALSE),'Preturi si tarife'!$C$2:$J$39,B878+2,FALSE)*10000</f>
        <v>126</v>
      </c>
      <c r="Q878" s="101" t="str">
        <f t="shared" si="110"/>
        <v>One-off</v>
      </c>
      <c r="R878" s="101" t="str">
        <f>VLOOKUP(K878,'Preturi si tarife'!$B$4:$K$39,10,FALSE)</f>
        <v>ICOENG0010</v>
      </c>
      <c r="T878" s="101" t="str">
        <f t="shared" si="111"/>
        <v>INV + 30</v>
      </c>
      <c r="V878" s="101" t="str">
        <f t="shared" si="112"/>
        <v>Active</v>
      </c>
      <c r="X878" s="101" t="str">
        <f t="shared" si="113"/>
        <v>One-off</v>
      </c>
      <c r="AC878" s="101" t="str">
        <f t="shared" si="120"/>
        <v>RON</v>
      </c>
      <c r="AD878" s="101">
        <f t="shared" si="120"/>
        <v>10000</v>
      </c>
    </row>
    <row r="879" spans="1:30">
      <c r="A879" s="101">
        <f t="shared" si="115"/>
        <v>25</v>
      </c>
      <c r="B879" s="101">
        <f t="shared" si="118"/>
        <v>14</v>
      </c>
      <c r="C879" s="101" t="str">
        <f t="shared" si="119"/>
        <v>T14</v>
      </c>
      <c r="D879" s="101" t="str">
        <f>IF(A879&lt;&gt;A878,VLOOKUP(A879,'Date SPV'!$A:$D,4,FALSE),D878)</f>
        <v>Nepi Ten Development Solutions  SRL</v>
      </c>
      <c r="E879" s="101" t="str">
        <f>VLOOKUP(A879,'Date SPV'!$A$4:$B$34,2,FALSE)</f>
        <v>RN10_Sighisoara</v>
      </c>
      <c r="H879" s="105" t="s">
        <v>894</v>
      </c>
      <c r="K879" s="101" t="str">
        <f>VLOOKUP(C879,'Preturi si tarife'!$A$4:$B$39,2,FALSE)</f>
        <v>Tarif distributie SDI JT</v>
      </c>
      <c r="L879" s="102">
        <f>IF(B879=1,'Date masura OD'!$I$5,IF(B879=19,'Date masura OD'!$AK$5,L878))</f>
        <v>45778</v>
      </c>
      <c r="M879" s="102">
        <f>IF(B879=1,'Date masura OD'!$J$5,IF(B879=19,'Date masura OD'!$AL$5,M878))</f>
        <v>45808</v>
      </c>
      <c r="N879" s="104">
        <f>VLOOKUP(E879,verificare!$AR$4:$CC$33,B879+2,FALSE)</f>
        <v>10441</v>
      </c>
      <c r="O879" s="103">
        <f>HLOOKUP(VLOOKUP(E879,'Date SPV'!$B$4:$F$34,5,FALSE),'Preturi si tarife'!$C$2:$J$39,B879+2,FALSE)*10000</f>
        <v>927</v>
      </c>
      <c r="Q879" s="101" t="str">
        <f t="shared" si="110"/>
        <v>One-off</v>
      </c>
      <c r="R879" s="101" t="str">
        <f>VLOOKUP(K879,'Preturi si tarife'!$B$4:$K$39,10,FALSE)</f>
        <v>ICOENG0010</v>
      </c>
      <c r="T879" s="101" t="str">
        <f t="shared" si="111"/>
        <v>INV + 30</v>
      </c>
      <c r="V879" s="101" t="str">
        <f t="shared" si="112"/>
        <v>Active</v>
      </c>
      <c r="X879" s="101" t="str">
        <f t="shared" si="113"/>
        <v>One-off</v>
      </c>
      <c r="AC879" s="101" t="str">
        <f t="shared" si="120"/>
        <v>RON</v>
      </c>
      <c r="AD879" s="101">
        <f t="shared" si="120"/>
        <v>10000</v>
      </c>
    </row>
    <row r="880" spans="1:30">
      <c r="A880" s="101">
        <f t="shared" si="115"/>
        <v>25</v>
      </c>
      <c r="B880" s="101">
        <f t="shared" si="118"/>
        <v>15</v>
      </c>
      <c r="C880" s="101" t="str">
        <f t="shared" si="119"/>
        <v>T15</v>
      </c>
      <c r="D880" s="101" t="str">
        <f>IF(A880&lt;&gt;A879,VLOOKUP(A880,'Date SPV'!$A:$D,4,FALSE),D879)</f>
        <v>Nepi Ten Development Solutions  SRL</v>
      </c>
      <c r="E880" s="101" t="str">
        <f>VLOOKUP(A880,'Date SPV'!$A$4:$B$34,2,FALSE)</f>
        <v>RN10_Sighisoara</v>
      </c>
      <c r="H880" s="105" t="s">
        <v>894</v>
      </c>
      <c r="K880" s="101" t="str">
        <f>VLOOKUP(C880,'Preturi si tarife'!$A$4:$B$39,2,FALSE)</f>
        <v>Energie activa 2</v>
      </c>
      <c r="L880" s="102">
        <f>IF(B880=1,'Date masura OD'!$I$5,IF(B880=19,'Date masura OD'!$AK$5,L879))</f>
        <v>45778</v>
      </c>
      <c r="M880" s="102">
        <f>IF(B880=1,'Date masura OD'!$J$5,IF(B880=19,'Date masura OD'!$AL$5,M879))</f>
        <v>45808</v>
      </c>
      <c r="N880" s="104">
        <f>VLOOKUP(E880,verificare!$AR$4:$CC$33,B880+2,FALSE)</f>
        <v>19977</v>
      </c>
      <c r="O880" s="103">
        <f>HLOOKUP(VLOOKUP(E880,'Date SPV'!$B$4:$F$34,5,FALSE),'Preturi si tarife'!$C$2:$J$39,B880+2,FALSE)*10000</f>
        <v>9392.0760000000009</v>
      </c>
      <c r="Q880" s="101" t="str">
        <f t="shared" si="110"/>
        <v>One-off</v>
      </c>
      <c r="R880" s="101" t="str">
        <f>VLOOKUP(K880,'Preturi si tarife'!$B$4:$K$39,10,FALSE)</f>
        <v>ICOENG0012</v>
      </c>
      <c r="T880" s="101" t="str">
        <f t="shared" si="111"/>
        <v>INV + 30</v>
      </c>
      <c r="V880" s="101" t="str">
        <f t="shared" si="112"/>
        <v>Active</v>
      </c>
      <c r="X880" s="101" t="str">
        <f t="shared" si="113"/>
        <v>One-off</v>
      </c>
      <c r="AC880" s="101" t="str">
        <f t="shared" si="120"/>
        <v>RON</v>
      </c>
      <c r="AD880" s="101">
        <f t="shared" si="120"/>
        <v>10000</v>
      </c>
    </row>
    <row r="881" spans="1:30">
      <c r="A881" s="101">
        <f t="shared" si="115"/>
        <v>25</v>
      </c>
      <c r="B881" s="101">
        <f t="shared" si="118"/>
        <v>16</v>
      </c>
      <c r="C881" s="101" t="str">
        <f t="shared" si="119"/>
        <v>T16</v>
      </c>
      <c r="D881" s="101" t="str">
        <f>IF(A881&lt;&gt;A880,VLOOKUP(A881,'Date SPV'!$A:$D,4,FALSE),D880)</f>
        <v>Nepi Ten Development Solutions  SRL</v>
      </c>
      <c r="E881" s="101" t="str">
        <f>VLOOKUP(A881,'Date SPV'!$A$4:$B$34,2,FALSE)</f>
        <v>RN10_Sighisoara</v>
      </c>
      <c r="H881" s="105" t="s">
        <v>894</v>
      </c>
      <c r="K881" s="101" t="str">
        <f>VLOOKUP(C881,'Preturi si tarife'!$A$4:$B$39,2,FALSE)</f>
        <v>Energie activa 3</v>
      </c>
      <c r="L881" s="102">
        <f>IF(B881=1,'Date masura OD'!$I$5,IF(B881=19,'Date masura OD'!$AK$5,L880))</f>
        <v>45778</v>
      </c>
      <c r="M881" s="102">
        <f>IF(B881=1,'Date masura OD'!$J$5,IF(B881=19,'Date masura OD'!$AL$5,M880))</f>
        <v>45808</v>
      </c>
      <c r="N881" s="104">
        <f>VLOOKUP(E881,verificare!$AR$4:$CC$33,B881+2,FALSE)</f>
        <v>0</v>
      </c>
      <c r="O881" s="103">
        <f>HLOOKUP(VLOOKUP(E881,'Date SPV'!$B$4:$F$34,5,FALSE),'Preturi si tarife'!$C$2:$J$39,B881+2,FALSE)*10000</f>
        <v>8339.0760000000009</v>
      </c>
      <c r="Q881" s="101" t="str">
        <f t="shared" si="110"/>
        <v>One-off</v>
      </c>
      <c r="R881" s="101" t="str">
        <f>VLOOKUP(K881,'Preturi si tarife'!$B$4:$K$39,10,FALSE)</f>
        <v>ICOENG0012</v>
      </c>
      <c r="T881" s="101" t="str">
        <f t="shared" si="111"/>
        <v>INV + 30</v>
      </c>
      <c r="V881" s="101" t="str">
        <f t="shared" si="112"/>
        <v>Active</v>
      </c>
      <c r="X881" s="101" t="str">
        <f t="shared" si="113"/>
        <v>One-off</v>
      </c>
      <c r="AC881" s="101" t="str">
        <f t="shared" si="120"/>
        <v>RON</v>
      </c>
      <c r="AD881" s="101">
        <f t="shared" si="120"/>
        <v>10000</v>
      </c>
    </row>
    <row r="882" spans="1:30">
      <c r="A882" s="101">
        <f t="shared" si="115"/>
        <v>25</v>
      </c>
      <c r="B882" s="101">
        <f t="shared" si="118"/>
        <v>17</v>
      </c>
      <c r="C882" s="101" t="str">
        <f t="shared" si="119"/>
        <v>T17</v>
      </c>
      <c r="D882" s="101" t="str">
        <f>IF(A882&lt;&gt;A881,VLOOKUP(A882,'Date SPV'!$A:$D,4,FALSE),D881)</f>
        <v>Nepi Ten Development Solutions  SRL</v>
      </c>
      <c r="E882" s="101" t="str">
        <f>VLOOKUP(A882,'Date SPV'!$A$4:$B$34,2,FALSE)</f>
        <v>RN10_Sighisoara</v>
      </c>
      <c r="H882" s="105" t="s">
        <v>894</v>
      </c>
      <c r="K882" s="101" t="str">
        <f>VLOOKUP(C882,'Preturi si tarife'!$A$4:$B$39,2,FALSE)</f>
        <v>Tarif distributie SDI MT_</v>
      </c>
      <c r="L882" s="102">
        <f>IF(B882=1,'Date masura OD'!$I$5,IF(B882=19,'Date masura OD'!$AK$5,L881))</f>
        <v>45778</v>
      </c>
      <c r="M882" s="102">
        <f>IF(B882=1,'Date masura OD'!$J$5,IF(B882=19,'Date masura OD'!$AL$5,M881))</f>
        <v>45808</v>
      </c>
      <c r="N882" s="104">
        <f>VLOOKUP(E882,verificare!$AR$4:$CC$33,B882+2,FALSE)</f>
        <v>0</v>
      </c>
      <c r="O882" s="103">
        <f>HLOOKUP(VLOOKUP(E882,'Date SPV'!$B$4:$F$34,5,FALSE),'Preturi si tarife'!$C$2:$J$39,B882+2,FALSE)*10000</f>
        <v>126</v>
      </c>
      <c r="Q882" s="101" t="str">
        <f t="shared" si="110"/>
        <v>One-off</v>
      </c>
      <c r="R882" s="101" t="str">
        <f>VLOOKUP(K882,'Preturi si tarife'!$B$4:$K$39,10,FALSE)</f>
        <v>ICOENG0010</v>
      </c>
      <c r="T882" s="101" t="str">
        <f t="shared" si="111"/>
        <v>INV + 30</v>
      </c>
      <c r="V882" s="101" t="str">
        <f t="shared" si="112"/>
        <v>Active</v>
      </c>
      <c r="X882" s="101" t="str">
        <f t="shared" si="113"/>
        <v>One-off</v>
      </c>
      <c r="AC882" s="101" t="str">
        <f t="shared" si="120"/>
        <v>RON</v>
      </c>
      <c r="AD882" s="101">
        <f t="shared" si="120"/>
        <v>10000</v>
      </c>
    </row>
    <row r="883" spans="1:30">
      <c r="A883" s="101">
        <f t="shared" si="115"/>
        <v>25</v>
      </c>
      <c r="B883" s="101">
        <f t="shared" si="118"/>
        <v>18</v>
      </c>
      <c r="C883" s="101" t="str">
        <f t="shared" si="119"/>
        <v>T18</v>
      </c>
      <c r="D883" s="101" t="str">
        <f>IF(A883&lt;&gt;A882,VLOOKUP(A883,'Date SPV'!$A:$D,4,FALSE),D882)</f>
        <v>Nepi Ten Development Solutions  SRL</v>
      </c>
      <c r="E883" s="101" t="str">
        <f>VLOOKUP(A883,'Date SPV'!$A$4:$B$34,2,FALSE)</f>
        <v>RN10_Sighisoara</v>
      </c>
      <c r="H883" s="105" t="s">
        <v>894</v>
      </c>
      <c r="K883" s="101" t="str">
        <f>VLOOKUP(C883,'Preturi si tarife'!$A$4:$B$39,2,FALSE)</f>
        <v>Tarif distributie SDI JT_</v>
      </c>
      <c r="L883" s="102">
        <f>IF(B883=1,'Date masura OD'!$I$5,IF(B883=19,'Date masura OD'!$AK$5,L882))</f>
        <v>45778</v>
      </c>
      <c r="M883" s="102">
        <f>IF(B883=1,'Date masura OD'!$J$5,IF(B883=19,'Date masura OD'!$AL$5,M882))</f>
        <v>45808</v>
      </c>
      <c r="N883" s="104">
        <f>VLOOKUP(E883,verificare!$AR$4:$CC$33,B883+2,FALSE)</f>
        <v>0</v>
      </c>
      <c r="O883" s="103">
        <f>HLOOKUP(VLOOKUP(E883,'Date SPV'!$B$4:$F$34,5,FALSE),'Preturi si tarife'!$C$2:$J$39,B883+2,FALSE)*10000</f>
        <v>927</v>
      </c>
      <c r="Q883" s="101" t="str">
        <f t="shared" si="110"/>
        <v>One-off</v>
      </c>
      <c r="R883" s="101" t="str">
        <f>VLOOKUP(K883,'Preturi si tarife'!$B$4:$K$39,10,FALSE)</f>
        <v>ICOENG0010</v>
      </c>
      <c r="T883" s="101" t="str">
        <f t="shared" si="111"/>
        <v>INV + 30</v>
      </c>
      <c r="V883" s="101" t="str">
        <f t="shared" si="112"/>
        <v>Active</v>
      </c>
      <c r="X883" s="101" t="str">
        <f t="shared" si="113"/>
        <v>One-off</v>
      </c>
      <c r="AC883" s="101" t="str">
        <f t="shared" si="120"/>
        <v>RON</v>
      </c>
      <c r="AD883" s="101">
        <f t="shared" si="120"/>
        <v>10000</v>
      </c>
    </row>
    <row r="884" spans="1:30">
      <c r="A884" s="101">
        <f t="shared" si="115"/>
        <v>25</v>
      </c>
      <c r="B884" s="101">
        <f t="shared" si="118"/>
        <v>19</v>
      </c>
      <c r="C884" s="101" t="str">
        <f t="shared" si="119"/>
        <v>T19</v>
      </c>
      <c r="D884" s="101" t="str">
        <f>IF(A884&lt;&gt;A883,VLOOKUP(A884,'Date SPV'!$A:$D,4,FALSE),D883)</f>
        <v>Nepi Ten Development Solutions  SRL</v>
      </c>
      <c r="E884" s="101" t="str">
        <f>VLOOKUP(A884,'Date SPV'!$A$4:$B$34,2,FALSE)</f>
        <v>RN10_Sighisoara</v>
      </c>
      <c r="H884" s="105" t="s">
        <v>894</v>
      </c>
      <c r="K884" s="101" t="str">
        <f>VLOOKUP(C884,'Preturi si tarife'!$A$4:$B$39,2,FALSE)</f>
        <v>Regularizare Energie activa 1</v>
      </c>
      <c r="L884" s="102">
        <f>IF(B884=1,'Date masura OD'!$I$5,IF(B884=19,'Date masura OD'!$AK$5,L883))</f>
        <v>45748</v>
      </c>
      <c r="M884" s="102">
        <f>IF(B884=1,'Date masura OD'!$J$5,IF(B884=19,'Date masura OD'!$AL$5,M883))</f>
        <v>45777</v>
      </c>
      <c r="N884" s="104">
        <f>VLOOKUP(E884,verificare!$AR$4:$CC$33,B884+2,FALSE)</f>
        <v>0</v>
      </c>
      <c r="O884" s="103">
        <f>HLOOKUP(VLOOKUP(E884,'Date SPV'!$B$4:$F$34,5,FALSE),'Preturi si tarife'!$C$2:$J$39,B884+2,FALSE)*10000</f>
        <v>5950</v>
      </c>
      <c r="Q884" s="101" t="str">
        <f t="shared" si="110"/>
        <v>One-off</v>
      </c>
      <c r="R884" s="101" t="str">
        <f>VLOOKUP(K884,'Preturi si tarife'!$B$4:$K$39,10,FALSE)</f>
        <v>ICOENG0001</v>
      </c>
      <c r="T884" s="101" t="str">
        <f t="shared" si="111"/>
        <v>INV + 30</v>
      </c>
      <c r="V884" s="101" t="str">
        <f t="shared" si="112"/>
        <v>Active</v>
      </c>
      <c r="X884" s="101" t="str">
        <f t="shared" si="113"/>
        <v>One-off</v>
      </c>
      <c r="AC884" s="101" t="str">
        <f t="shared" si="120"/>
        <v>RON</v>
      </c>
      <c r="AD884" s="101">
        <f t="shared" si="120"/>
        <v>10000</v>
      </c>
    </row>
    <row r="885" spans="1:30">
      <c r="A885" s="101">
        <f t="shared" si="115"/>
        <v>25</v>
      </c>
      <c r="B885" s="101">
        <f t="shared" si="118"/>
        <v>20</v>
      </c>
      <c r="C885" s="101" t="str">
        <f t="shared" si="119"/>
        <v>T20</v>
      </c>
      <c r="D885" s="101" t="str">
        <f>IF(A885&lt;&gt;A884,VLOOKUP(A885,'Date SPV'!$A:$D,4,FALSE),D884)</f>
        <v>Nepi Ten Development Solutions  SRL</v>
      </c>
      <c r="E885" s="101" t="str">
        <f>VLOOKUP(A885,'Date SPV'!$A$4:$B$34,2,FALSE)</f>
        <v>RN10_Sighisoara</v>
      </c>
      <c r="H885" s="105" t="s">
        <v>894</v>
      </c>
      <c r="K885" s="101" t="str">
        <f>VLOOKUP(C885,'Preturi si tarife'!$A$4:$B$39,2,FALSE)</f>
        <v>Regularizare Energie reactiva  1X</v>
      </c>
      <c r="L885" s="102">
        <f>IF(B885=1,'Date masura OD'!$I$5,IF(B885=19,'Date masura OD'!$AK$5,L884))</f>
        <v>45748</v>
      </c>
      <c r="M885" s="102">
        <f>IF(B885=1,'Date masura OD'!$J$5,IF(B885=19,'Date masura OD'!$AL$5,M884))</f>
        <v>45777</v>
      </c>
      <c r="N885" s="104">
        <f>VLOOKUP(E885,verificare!$AR$4:$CC$33,B885+2,FALSE)</f>
        <v>81</v>
      </c>
      <c r="O885" s="103">
        <f>HLOOKUP(VLOOKUP(E885,'Date SPV'!$B$4:$F$34,5,FALSE),'Preturi si tarife'!$C$2:$J$39,B885+2,FALSE)*10000</f>
        <v>1465</v>
      </c>
      <c r="Q885" s="101" t="str">
        <f t="shared" si="110"/>
        <v>One-off</v>
      </c>
      <c r="R885" s="101" t="str">
        <f>VLOOKUP(K885,'Preturi si tarife'!$B$4:$K$39,10,FALSE)</f>
        <v>ICOENG0001</v>
      </c>
      <c r="T885" s="101" t="str">
        <f t="shared" si="111"/>
        <v>INV + 30</v>
      </c>
      <c r="V885" s="101" t="str">
        <f t="shared" si="112"/>
        <v>Active</v>
      </c>
      <c r="X885" s="101" t="str">
        <f t="shared" si="113"/>
        <v>One-off</v>
      </c>
      <c r="AC885" s="101" t="str">
        <f t="shared" si="120"/>
        <v>RON</v>
      </c>
      <c r="AD885" s="101">
        <f t="shared" si="120"/>
        <v>10000</v>
      </c>
    </row>
    <row r="886" spans="1:30">
      <c r="A886" s="101">
        <f t="shared" si="115"/>
        <v>25</v>
      </c>
      <c r="B886" s="101">
        <f t="shared" si="118"/>
        <v>21</v>
      </c>
      <c r="C886" s="101" t="str">
        <f t="shared" si="119"/>
        <v>T21</v>
      </c>
      <c r="D886" s="101" t="str">
        <f>IF(A886&lt;&gt;A885,VLOOKUP(A886,'Date SPV'!$A:$D,4,FALSE),D885)</f>
        <v>Nepi Ten Development Solutions  SRL</v>
      </c>
      <c r="E886" s="101" t="str">
        <f>VLOOKUP(A886,'Date SPV'!$A$4:$B$34,2,FALSE)</f>
        <v>RN10_Sighisoara</v>
      </c>
      <c r="H886" s="105" t="s">
        <v>894</v>
      </c>
      <c r="K886" s="101" t="str">
        <f>VLOOKUP(C886,'Preturi si tarife'!$A$4:$B$39,2,FALSE)</f>
        <v>Regularizare Energie reactiva  3X</v>
      </c>
      <c r="L886" s="102">
        <f>IF(B886=1,'Date masura OD'!$I$5,IF(B886=19,'Date masura OD'!$AK$5,L885))</f>
        <v>45748</v>
      </c>
      <c r="M886" s="102">
        <f>IF(B886=1,'Date masura OD'!$J$5,IF(B886=19,'Date masura OD'!$AL$5,M885))</f>
        <v>45777</v>
      </c>
      <c r="N886" s="104">
        <f>VLOOKUP(E886,verificare!$AR$4:$CC$33,B886+2,FALSE)</f>
        <v>78</v>
      </c>
      <c r="O886" s="103">
        <f>HLOOKUP(VLOOKUP(E886,'Date SPV'!$B$4:$F$34,5,FALSE),'Preturi si tarife'!$C$2:$J$39,B886+2,FALSE)*10000</f>
        <v>4395</v>
      </c>
      <c r="Q886" s="101" t="str">
        <f t="shared" si="110"/>
        <v>One-off</v>
      </c>
      <c r="R886" s="101" t="str">
        <f>VLOOKUP(K886,'Preturi si tarife'!$B$4:$K$39,10,FALSE)</f>
        <v>ICOENG0001</v>
      </c>
      <c r="T886" s="101" t="str">
        <f t="shared" si="111"/>
        <v>INV + 30</v>
      </c>
      <c r="V886" s="101" t="str">
        <f t="shared" si="112"/>
        <v>Active</v>
      </c>
      <c r="X886" s="101" t="str">
        <f t="shared" si="113"/>
        <v>One-off</v>
      </c>
      <c r="AC886" s="101" t="str">
        <f t="shared" si="120"/>
        <v>RON</v>
      </c>
      <c r="AD886" s="101">
        <f t="shared" si="120"/>
        <v>10000</v>
      </c>
    </row>
    <row r="887" spans="1:30">
      <c r="A887" s="101">
        <f t="shared" si="115"/>
        <v>25</v>
      </c>
      <c r="B887" s="101">
        <f t="shared" si="118"/>
        <v>22</v>
      </c>
      <c r="C887" s="101" t="str">
        <f t="shared" si="119"/>
        <v>T22</v>
      </c>
      <c r="D887" s="101" t="str">
        <f>IF(A887&lt;&gt;A886,VLOOKUP(A887,'Date SPV'!$A:$D,4,FALSE),D886)</f>
        <v>Nepi Ten Development Solutions  SRL</v>
      </c>
      <c r="E887" s="101" t="str">
        <f>VLOOKUP(A887,'Date SPV'!$A$4:$B$34,2,FALSE)</f>
        <v>RN10_Sighisoara</v>
      </c>
      <c r="H887" s="105" t="s">
        <v>894</v>
      </c>
      <c r="K887" s="101" t="str">
        <f>VLOOKUP(C887,'Preturi si tarife'!$A$4:$B$39,2,FALSE)</f>
        <v>Regularizare Tarife distributie en. El IT+MT</v>
      </c>
      <c r="L887" s="102">
        <f>IF(B887=1,'Date masura OD'!$I$5,IF(B887=19,'Date masura OD'!$AK$5,L886))</f>
        <v>45748</v>
      </c>
      <c r="M887" s="102">
        <f>IF(B887=1,'Date masura OD'!$J$5,IF(B887=19,'Date masura OD'!$AL$5,M886))</f>
        <v>45777</v>
      </c>
      <c r="N887" s="104">
        <f>VLOOKUP(E887,verificare!$AR$4:$CC$33,B887+2,FALSE)</f>
        <v>0</v>
      </c>
      <c r="O887" s="103">
        <f>HLOOKUP(VLOOKUP(E887,'Date SPV'!$B$4:$F$34,5,FALSE),'Preturi si tarife'!$C$2:$J$39,B887+2,FALSE)*10000</f>
        <v>1148.3</v>
      </c>
      <c r="Q887" s="101" t="str">
        <f t="shared" si="110"/>
        <v>One-off</v>
      </c>
      <c r="R887" s="101" t="str">
        <f>VLOOKUP(K887,'Preturi si tarife'!$B$4:$K$39,10,FALSE)</f>
        <v>ICOENG0001</v>
      </c>
      <c r="T887" s="101" t="str">
        <f t="shared" si="111"/>
        <v>INV + 30</v>
      </c>
      <c r="V887" s="101" t="str">
        <f t="shared" si="112"/>
        <v>Active</v>
      </c>
      <c r="X887" s="101" t="str">
        <f t="shared" si="113"/>
        <v>One-off</v>
      </c>
      <c r="AC887" s="101" t="str">
        <f t="shared" si="120"/>
        <v>RON</v>
      </c>
      <c r="AD887" s="101">
        <f t="shared" si="120"/>
        <v>10000</v>
      </c>
    </row>
    <row r="888" spans="1:30">
      <c r="A888" s="101">
        <f t="shared" si="115"/>
        <v>25</v>
      </c>
      <c r="B888" s="101">
        <f t="shared" si="118"/>
        <v>23</v>
      </c>
      <c r="C888" s="101" t="str">
        <f t="shared" si="119"/>
        <v>T23</v>
      </c>
      <c r="D888" s="101" t="str">
        <f>IF(A888&lt;&gt;A887,VLOOKUP(A888,'Date SPV'!$A:$D,4,FALSE),D887)</f>
        <v>Nepi Ten Development Solutions  SRL</v>
      </c>
      <c r="E888" s="101" t="str">
        <f>VLOOKUP(A888,'Date SPV'!$A$4:$B$34,2,FALSE)</f>
        <v>RN10_Sighisoara</v>
      </c>
      <c r="H888" s="105" t="s">
        <v>894</v>
      </c>
      <c r="K888" s="101" t="str">
        <f>VLOOKUP(C888,'Preturi si tarife'!$A$4:$B$39,2,FALSE)</f>
        <v>Regularizare Tarife distributie en. El JT</v>
      </c>
      <c r="L888" s="102">
        <f>IF(B888=1,'Date masura OD'!$I$5,IF(B888=19,'Date masura OD'!$AK$5,L887))</f>
        <v>45748</v>
      </c>
      <c r="M888" s="102">
        <f>IF(B888=1,'Date masura OD'!$J$5,IF(B888=19,'Date masura OD'!$AL$5,M887))</f>
        <v>45777</v>
      </c>
      <c r="N888" s="104">
        <f>VLOOKUP(E888,verificare!$AR$4:$CC$33,B888+2,FALSE)</f>
        <v>0</v>
      </c>
      <c r="O888" s="103">
        <f>HLOOKUP(VLOOKUP(E888,'Date SPV'!$B$4:$F$34,5,FALSE),'Preturi si tarife'!$C$2:$J$39,B888+2,FALSE)*10000</f>
        <v>2361</v>
      </c>
      <c r="Q888" s="101" t="str">
        <f t="shared" si="110"/>
        <v>One-off</v>
      </c>
      <c r="R888" s="101" t="str">
        <f>VLOOKUP(K888,'Preturi si tarife'!$B$4:$K$39,10,FALSE)</f>
        <v>ICOENG0001</v>
      </c>
      <c r="T888" s="101" t="str">
        <f t="shared" si="111"/>
        <v>INV + 30</v>
      </c>
      <c r="V888" s="101" t="str">
        <f t="shared" si="112"/>
        <v>Active</v>
      </c>
      <c r="X888" s="101" t="str">
        <f t="shared" si="113"/>
        <v>One-off</v>
      </c>
      <c r="AC888" s="101" t="str">
        <f t="shared" si="120"/>
        <v>RON</v>
      </c>
      <c r="AD888" s="101">
        <f t="shared" si="120"/>
        <v>10000</v>
      </c>
    </row>
    <row r="889" spans="1:30">
      <c r="A889" s="101">
        <f t="shared" si="115"/>
        <v>25</v>
      </c>
      <c r="B889" s="101">
        <f t="shared" si="118"/>
        <v>24</v>
      </c>
      <c r="C889" s="101" t="str">
        <f t="shared" si="119"/>
        <v>T24</v>
      </c>
      <c r="D889" s="101" t="str">
        <f>IF(A889&lt;&gt;A888,VLOOKUP(A889,'Date SPV'!$A:$D,4,FALSE),D888)</f>
        <v>Nepi Ten Development Solutions  SRL</v>
      </c>
      <c r="E889" s="101" t="str">
        <f>VLOOKUP(A889,'Date SPV'!$A$4:$B$34,2,FALSE)</f>
        <v>RN10_Sighisoara</v>
      </c>
      <c r="H889" s="105" t="s">
        <v>894</v>
      </c>
      <c r="K889" s="101" t="str">
        <f>VLOOKUP(C889,'Preturi si tarife'!$A$4:$B$39,2,FALSE)</f>
        <v xml:space="preserve">Regularizare Servicii Sistem </v>
      </c>
      <c r="L889" s="102">
        <f>IF(B889=1,'Date masura OD'!$I$5,IF(B889=19,'Date masura OD'!$AK$5,L888))</f>
        <v>45748</v>
      </c>
      <c r="M889" s="102">
        <f>IF(B889=1,'Date masura OD'!$J$5,IF(B889=19,'Date masura OD'!$AL$5,M888))</f>
        <v>45777</v>
      </c>
      <c r="N889" s="104">
        <f>VLOOKUP(E889,verificare!$AR$4:$CC$33,B889+2,FALSE)</f>
        <v>0</v>
      </c>
      <c r="O889" s="103">
        <f>HLOOKUP(VLOOKUP(E889,'Date SPV'!$B$4:$F$34,5,FALSE),'Preturi si tarife'!$C$2:$J$39,B889+2,FALSE)*10000</f>
        <v>115.1</v>
      </c>
      <c r="Q889" s="101" t="str">
        <f t="shared" si="110"/>
        <v>One-off</v>
      </c>
      <c r="R889" s="101" t="str">
        <f>VLOOKUP(K889,'Preturi si tarife'!$B$4:$K$39,10,FALSE)</f>
        <v>ICOENG0001</v>
      </c>
      <c r="T889" s="101" t="str">
        <f t="shared" si="111"/>
        <v>INV + 30</v>
      </c>
      <c r="V889" s="101" t="str">
        <f t="shared" si="112"/>
        <v>Active</v>
      </c>
      <c r="X889" s="101" t="str">
        <f t="shared" si="113"/>
        <v>One-off</v>
      </c>
      <c r="AC889" s="101" t="str">
        <f t="shared" si="120"/>
        <v>RON</v>
      </c>
      <c r="AD889" s="101">
        <f t="shared" si="120"/>
        <v>10000</v>
      </c>
    </row>
    <row r="890" spans="1:30">
      <c r="A890" s="101">
        <f t="shared" si="115"/>
        <v>25</v>
      </c>
      <c r="B890" s="101">
        <f t="shared" si="118"/>
        <v>25</v>
      </c>
      <c r="C890" s="101" t="str">
        <f t="shared" si="119"/>
        <v>T25</v>
      </c>
      <c r="D890" s="101" t="str">
        <f>IF(A890&lt;&gt;A889,VLOOKUP(A890,'Date SPV'!$A:$D,4,FALSE),D889)</f>
        <v>Nepi Ten Development Solutions  SRL</v>
      </c>
      <c r="E890" s="101" t="str">
        <f>VLOOKUP(A890,'Date SPV'!$A$4:$B$34,2,FALSE)</f>
        <v>RN10_Sighisoara</v>
      </c>
      <c r="H890" s="105" t="s">
        <v>894</v>
      </c>
      <c r="K890" s="101" t="str">
        <f>VLOOKUP(C890,'Preturi si tarife'!$A$4:$B$39,2,FALSE)</f>
        <v>Regularizare Tarif de introducere en. el in retea (TL)</v>
      </c>
      <c r="L890" s="102">
        <f>IF(B890=1,'Date masura OD'!$I$5,IF(B890=19,'Date masura OD'!$AK$5,L889))</f>
        <v>45748</v>
      </c>
      <c r="M890" s="102">
        <f>IF(B890=1,'Date masura OD'!$J$5,IF(B890=19,'Date masura OD'!$AL$5,M889))</f>
        <v>45777</v>
      </c>
      <c r="N890" s="104">
        <f>VLOOKUP(E890,verificare!$AR$4:$CC$33,B890+2,FALSE)</f>
        <v>0</v>
      </c>
      <c r="O890" s="103">
        <f>HLOOKUP(VLOOKUP(E890,'Date SPV'!$B$4:$F$34,5,FALSE),'Preturi si tarife'!$C$2:$J$39,B890+2,FALSE)*10000</f>
        <v>330.3</v>
      </c>
      <c r="Q890" s="101" t="str">
        <f t="shared" si="110"/>
        <v>One-off</v>
      </c>
      <c r="R890" s="101" t="str">
        <f>VLOOKUP(K890,'Preturi si tarife'!$B$4:$K$39,10,FALSE)</f>
        <v>ICOENG0001</v>
      </c>
      <c r="T890" s="101" t="str">
        <f t="shared" si="111"/>
        <v>INV + 30</v>
      </c>
      <c r="V890" s="101" t="str">
        <f t="shared" si="112"/>
        <v>Active</v>
      </c>
      <c r="X890" s="101" t="str">
        <f t="shared" si="113"/>
        <v>One-off</v>
      </c>
      <c r="AC890" s="101" t="str">
        <f t="shared" si="120"/>
        <v>RON</v>
      </c>
      <c r="AD890" s="101">
        <f t="shared" si="120"/>
        <v>10000</v>
      </c>
    </row>
    <row r="891" spans="1:30">
      <c r="A891" s="101">
        <f t="shared" si="115"/>
        <v>25</v>
      </c>
      <c r="B891" s="101">
        <f t="shared" si="118"/>
        <v>26</v>
      </c>
      <c r="C891" s="101" t="str">
        <f t="shared" si="119"/>
        <v>T26</v>
      </c>
      <c r="D891" s="101" t="str">
        <f>IF(A891&lt;&gt;A890,VLOOKUP(A891,'Date SPV'!$A:$D,4,FALSE),D890)</f>
        <v>Nepi Ten Development Solutions  SRL</v>
      </c>
      <c r="E891" s="101" t="str">
        <f>VLOOKUP(A891,'Date SPV'!$A$4:$B$34,2,FALSE)</f>
        <v>RN10_Sighisoara</v>
      </c>
      <c r="H891" s="105" t="s">
        <v>894</v>
      </c>
      <c r="K891" s="101" t="str">
        <f>VLOOKUP(C891,'Preturi si tarife'!$A$4:$B$39,2,FALSE)</f>
        <v>Regularizare Tarif de introducere en.el in retea (TG)</v>
      </c>
      <c r="L891" s="102">
        <f>IF(B891=1,'Date masura OD'!$I$5,IF(B891=19,'Date masura OD'!$AK$5,L890))</f>
        <v>45748</v>
      </c>
      <c r="M891" s="102">
        <f>IF(B891=1,'Date masura OD'!$J$5,IF(B891=19,'Date masura OD'!$AL$5,M890))</f>
        <v>45777</v>
      </c>
      <c r="N891" s="104">
        <f>VLOOKUP(E891,verificare!$AR$4:$CC$33,B891+2,FALSE)</f>
        <v>0</v>
      </c>
      <c r="O891" s="103">
        <f>HLOOKUP(VLOOKUP(E891,'Date SPV'!$B$4:$F$34,5,FALSE),'Preturi si tarife'!$C$2:$J$39,B891+2,FALSE)*10000</f>
        <v>32.9</v>
      </c>
      <c r="Q891" s="101" t="str">
        <f t="shared" si="110"/>
        <v>One-off</v>
      </c>
      <c r="R891" s="101" t="str">
        <f>VLOOKUP(K891,'Preturi si tarife'!$B$4:$K$39,10,FALSE)</f>
        <v>ICOENG0001</v>
      </c>
      <c r="T891" s="101" t="str">
        <f t="shared" si="111"/>
        <v>INV + 30</v>
      </c>
      <c r="V891" s="101" t="str">
        <f t="shared" si="112"/>
        <v>Active</v>
      </c>
      <c r="X891" s="101" t="str">
        <f t="shared" si="113"/>
        <v>One-off</v>
      </c>
      <c r="AC891" s="101" t="str">
        <f t="shared" si="120"/>
        <v>RON</v>
      </c>
      <c r="AD891" s="101">
        <f t="shared" si="120"/>
        <v>10000</v>
      </c>
    </row>
    <row r="892" spans="1:30">
      <c r="A892" s="101">
        <f t="shared" si="115"/>
        <v>25</v>
      </c>
      <c r="B892" s="101">
        <f t="shared" si="118"/>
        <v>27</v>
      </c>
      <c r="C892" s="101" t="str">
        <f t="shared" si="119"/>
        <v>T27</v>
      </c>
      <c r="D892" s="101" t="str">
        <f>IF(A892&lt;&gt;A891,VLOOKUP(A892,'Date SPV'!$A:$D,4,FALSE),D891)</f>
        <v>Nepi Ten Development Solutions  SRL</v>
      </c>
      <c r="E892" s="101" t="str">
        <f>VLOOKUP(A892,'Date SPV'!$A$4:$B$34,2,FALSE)</f>
        <v>RN10_Sighisoara</v>
      </c>
      <c r="H892" s="105" t="s">
        <v>894</v>
      </c>
      <c r="K892" s="101" t="str">
        <f>VLOOKUP(C892,'Preturi si tarife'!$A$4:$B$39,2,FALSE)</f>
        <v>Regularizare Contributie pentru cogenerare</v>
      </c>
      <c r="L892" s="102">
        <f>IF(B892=1,'Date masura OD'!$I$5,IF(B892=19,'Date masura OD'!$AK$5,L891))</f>
        <v>45748</v>
      </c>
      <c r="M892" s="102">
        <f>IF(B892=1,'Date masura OD'!$J$5,IF(B892=19,'Date masura OD'!$AL$5,M891))</f>
        <v>45777</v>
      </c>
      <c r="N892" s="104">
        <f>VLOOKUP(E892,verificare!$AR$4:$CC$33,B892+2,FALSE)</f>
        <v>0</v>
      </c>
      <c r="O892" s="103">
        <f>HLOOKUP(VLOOKUP(E892,'Date SPV'!$B$4:$F$34,5,FALSE),'Preturi si tarife'!$C$2:$J$39,B892+2,FALSE)*10000</f>
        <v>35</v>
      </c>
      <c r="Q892" s="101" t="str">
        <f t="shared" ref="Q892:Q955" si="121">Q891</f>
        <v>One-off</v>
      </c>
      <c r="R892" s="101" t="str">
        <f>VLOOKUP(K892,'Preturi si tarife'!$B$4:$K$39,10,FALSE)</f>
        <v>ICOENG0001</v>
      </c>
      <c r="T892" s="101" t="str">
        <f t="shared" ref="T892:T955" si="122">T891</f>
        <v>INV + 30</v>
      </c>
      <c r="V892" s="101" t="str">
        <f t="shared" ref="V892:V955" si="123">V891</f>
        <v>Active</v>
      </c>
      <c r="X892" s="101" t="str">
        <f t="shared" ref="X892:X955" si="124">X891</f>
        <v>One-off</v>
      </c>
      <c r="AC892" s="101" t="str">
        <f t="shared" si="120"/>
        <v>RON</v>
      </c>
      <c r="AD892" s="101">
        <f t="shared" si="120"/>
        <v>10000</v>
      </c>
    </row>
    <row r="893" spans="1:30">
      <c r="A893" s="101">
        <f t="shared" si="115"/>
        <v>25</v>
      </c>
      <c r="B893" s="101">
        <f t="shared" si="118"/>
        <v>28</v>
      </c>
      <c r="C893" s="101" t="str">
        <f t="shared" si="119"/>
        <v>T28</v>
      </c>
      <c r="D893" s="101" t="str">
        <f>IF(A893&lt;&gt;A892,VLOOKUP(A893,'Date SPV'!$A:$D,4,FALSE),D892)</f>
        <v>Nepi Ten Development Solutions  SRL</v>
      </c>
      <c r="E893" s="101" t="str">
        <f>VLOOKUP(A893,'Date SPV'!$A$4:$B$34,2,FALSE)</f>
        <v>RN10_Sighisoara</v>
      </c>
      <c r="H893" s="105" t="s">
        <v>894</v>
      </c>
      <c r="K893" s="101" t="str">
        <f>VLOOKUP(C893,'Preturi si tarife'!$A$4:$B$39,2,FALSE)</f>
        <v xml:space="preserve">Regularizare Certificate verzi </v>
      </c>
      <c r="L893" s="102">
        <f>IF(B893=1,'Date masura OD'!$I$5,IF(B893=19,'Date masura OD'!$AK$5,L892))</f>
        <v>45748</v>
      </c>
      <c r="M893" s="102">
        <f>IF(B893=1,'Date masura OD'!$J$5,IF(B893=19,'Date masura OD'!$AL$5,M892))</f>
        <v>45777</v>
      </c>
      <c r="N893" s="104">
        <f>VLOOKUP(E893,verificare!$AR$4:$CC$33,B893+2,FALSE)</f>
        <v>0</v>
      </c>
      <c r="O893" s="103">
        <f>HLOOKUP(VLOOKUP(E893,'Date SPV'!$B$4:$F$34,5,FALSE),'Preturi si tarife'!$C$2:$J$39,B893+2,FALSE)*10000</f>
        <v>725.41599999999994</v>
      </c>
      <c r="Q893" s="101" t="str">
        <f t="shared" si="121"/>
        <v>One-off</v>
      </c>
      <c r="R893" s="101" t="str">
        <f>VLOOKUP(K893,'Preturi si tarife'!$B$4:$K$39,10,FALSE)</f>
        <v>ICOENG0001</v>
      </c>
      <c r="T893" s="101" t="str">
        <f t="shared" si="122"/>
        <v>INV + 30</v>
      </c>
      <c r="V893" s="101" t="str">
        <f t="shared" si="123"/>
        <v>Active</v>
      </c>
      <c r="X893" s="101" t="str">
        <f t="shared" si="124"/>
        <v>One-off</v>
      </c>
      <c r="AC893" s="101" t="str">
        <f t="shared" ref="AC893:AD908" si="125">AC892</f>
        <v>RON</v>
      </c>
      <c r="AD893" s="101">
        <f t="shared" si="125"/>
        <v>10000</v>
      </c>
    </row>
    <row r="894" spans="1:30">
      <c r="A894" s="101">
        <f t="shared" si="115"/>
        <v>25</v>
      </c>
      <c r="B894" s="101">
        <f t="shared" si="118"/>
        <v>29</v>
      </c>
      <c r="C894" s="101" t="str">
        <f t="shared" si="119"/>
        <v>T29</v>
      </c>
      <c r="D894" s="101" t="str">
        <f>IF(A894&lt;&gt;A893,VLOOKUP(A894,'Date SPV'!$A:$D,4,FALSE),D893)</f>
        <v>Nepi Ten Development Solutions  SRL</v>
      </c>
      <c r="E894" s="101" t="str">
        <f>VLOOKUP(A894,'Date SPV'!$A$4:$B$34,2,FALSE)</f>
        <v>RN10_Sighisoara</v>
      </c>
      <c r="H894" s="105" t="s">
        <v>894</v>
      </c>
      <c r="K894" s="101" t="str">
        <f>VLOOKUP(C894,'Preturi si tarife'!$A$4:$B$39,2,FALSE)</f>
        <v>Regularizare Contributie CFD</v>
      </c>
      <c r="L894" s="102">
        <f>IF(B894=1,'Date masura OD'!$I$5,IF(B894=19,'Date masura OD'!$AK$5,L893))</f>
        <v>45748</v>
      </c>
      <c r="M894" s="102">
        <f>IF(B894=1,'Date masura OD'!$J$5,IF(B894=19,'Date masura OD'!$AL$5,M893))</f>
        <v>45777</v>
      </c>
      <c r="N894" s="104">
        <f>VLOOKUP(E894,verificare!$AR$4:$CC$33,B894+2,FALSE)</f>
        <v>0</v>
      </c>
      <c r="O894" s="103">
        <f>HLOOKUP(VLOOKUP(E894,'Date SPV'!$B$4:$F$34,5,FALSE),'Preturi si tarife'!$C$2:$J$39,B894+2,FALSE)*10000</f>
        <v>2.06</v>
      </c>
      <c r="Q894" s="101" t="str">
        <f t="shared" si="121"/>
        <v>One-off</v>
      </c>
      <c r="R894" s="101" t="str">
        <f>VLOOKUP(K894,'Preturi si tarife'!$B$4:$K$39,10,FALSE)</f>
        <v>ICOENG0001</v>
      </c>
      <c r="T894" s="101" t="str">
        <f t="shared" si="122"/>
        <v>INV + 30</v>
      </c>
      <c r="V894" s="101" t="str">
        <f t="shared" si="123"/>
        <v>Active</v>
      </c>
      <c r="X894" s="101" t="str">
        <f t="shared" si="124"/>
        <v>One-off</v>
      </c>
      <c r="AC894" s="101" t="str">
        <f t="shared" si="125"/>
        <v>RON</v>
      </c>
      <c r="AD894" s="101">
        <f t="shared" si="125"/>
        <v>10000</v>
      </c>
    </row>
    <row r="895" spans="1:30">
      <c r="A895" s="101">
        <f t="shared" si="115"/>
        <v>25</v>
      </c>
      <c r="B895" s="101">
        <f t="shared" si="118"/>
        <v>30</v>
      </c>
      <c r="C895" s="101" t="str">
        <f t="shared" si="119"/>
        <v>T30</v>
      </c>
      <c r="D895" s="101" t="str">
        <f>IF(A895&lt;&gt;A894,VLOOKUP(A895,'Date SPV'!$A:$D,4,FALSE),D894)</f>
        <v>Nepi Ten Development Solutions  SRL</v>
      </c>
      <c r="E895" s="101" t="str">
        <f>VLOOKUP(A895,'Date SPV'!$A$4:$B$34,2,FALSE)</f>
        <v>RN10_Sighisoara</v>
      </c>
      <c r="H895" s="105" t="s">
        <v>894</v>
      </c>
      <c r="K895" s="101" t="str">
        <f>VLOOKUP(C895,'Preturi si tarife'!$A$4:$B$39,2,FALSE)</f>
        <v>Regularizare Acciza</v>
      </c>
      <c r="L895" s="102">
        <f>IF(B895=1,'Date masura OD'!$I$5,IF(B895=19,'Date masura OD'!$AK$5,L894))</f>
        <v>45748</v>
      </c>
      <c r="M895" s="102">
        <f>IF(B895=1,'Date masura OD'!$J$5,IF(B895=19,'Date masura OD'!$AL$5,M894))</f>
        <v>45777</v>
      </c>
      <c r="N895" s="104">
        <f>VLOOKUP(E895,verificare!$AR$4:$CC$33,B895+2,FALSE)</f>
        <v>0</v>
      </c>
      <c r="O895" s="103">
        <f>HLOOKUP(VLOOKUP(E895,'Date SPV'!$B$4:$F$34,5,FALSE),'Preturi si tarife'!$C$2:$J$39,B895+2,FALSE)*10000</f>
        <v>0</v>
      </c>
      <c r="Q895" s="101" t="str">
        <f t="shared" si="121"/>
        <v>One-off</v>
      </c>
      <c r="R895" s="101" t="str">
        <f>VLOOKUP(K895,'Preturi si tarife'!$B$4:$K$39,10,FALSE)</f>
        <v>ICOENG0001</v>
      </c>
      <c r="T895" s="101" t="str">
        <f t="shared" si="122"/>
        <v>INV + 30</v>
      </c>
      <c r="V895" s="101" t="str">
        <f t="shared" si="123"/>
        <v>Active</v>
      </c>
      <c r="X895" s="101" t="str">
        <f t="shared" si="124"/>
        <v>One-off</v>
      </c>
      <c r="AC895" s="101" t="str">
        <f t="shared" si="125"/>
        <v>RON</v>
      </c>
      <c r="AD895" s="101">
        <f t="shared" si="125"/>
        <v>10000</v>
      </c>
    </row>
    <row r="896" spans="1:30">
      <c r="A896" s="101">
        <f t="shared" si="115"/>
        <v>25</v>
      </c>
      <c r="B896" s="101">
        <f t="shared" si="118"/>
        <v>31</v>
      </c>
      <c r="C896" s="101" t="str">
        <f t="shared" si="119"/>
        <v>T31</v>
      </c>
      <c r="D896" s="101" t="str">
        <f>IF(A896&lt;&gt;A895,VLOOKUP(A896,'Date SPV'!$A:$D,4,FALSE),D895)</f>
        <v>Nepi Ten Development Solutions  SRL</v>
      </c>
      <c r="E896" s="101" t="str">
        <f>VLOOKUP(A896,'Date SPV'!$A$4:$B$34,2,FALSE)</f>
        <v>RN10_Sighisoara</v>
      </c>
      <c r="H896" s="105" t="s">
        <v>894</v>
      </c>
      <c r="K896" s="101" t="str">
        <f>VLOOKUP(C896,'Preturi si tarife'!$A$4:$B$39,2,FALSE)</f>
        <v>Regularizare Tarif distributie SDI MT Ea1</v>
      </c>
      <c r="L896" s="102">
        <f>IF(B896=1,'Date masura OD'!$I$5,IF(B896=19,'Date masura OD'!$AK$5,L895))</f>
        <v>45748</v>
      </c>
      <c r="M896" s="102">
        <f>IF(B896=1,'Date masura OD'!$J$5,IF(B896=19,'Date masura OD'!$AL$5,M895))</f>
        <v>45777</v>
      </c>
      <c r="N896" s="104">
        <f>VLOOKUP(E896,verificare!$AR$4:$CC$33,B896+2,FALSE)</f>
        <v>0</v>
      </c>
      <c r="O896" s="103">
        <f>HLOOKUP(VLOOKUP(E896,'Date SPV'!$B$4:$F$34,5,FALSE),'Preturi si tarife'!$C$2:$J$39,B896+2,FALSE)*10000</f>
        <v>126</v>
      </c>
      <c r="Q896" s="101" t="str">
        <f t="shared" si="121"/>
        <v>One-off</v>
      </c>
      <c r="R896" s="101" t="str">
        <f>VLOOKUP(K896,'Preturi si tarife'!$B$4:$K$39,10,FALSE)</f>
        <v>ICOENG0010</v>
      </c>
      <c r="T896" s="101" t="str">
        <f t="shared" si="122"/>
        <v>INV + 30</v>
      </c>
      <c r="V896" s="101" t="str">
        <f t="shared" si="123"/>
        <v>Active</v>
      </c>
      <c r="X896" s="101" t="str">
        <f t="shared" si="124"/>
        <v>One-off</v>
      </c>
      <c r="AC896" s="101" t="str">
        <f t="shared" si="125"/>
        <v>RON</v>
      </c>
      <c r="AD896" s="101">
        <f t="shared" si="125"/>
        <v>10000</v>
      </c>
    </row>
    <row r="897" spans="1:30">
      <c r="A897" s="101">
        <f t="shared" si="115"/>
        <v>25</v>
      </c>
      <c r="B897" s="101">
        <f t="shared" si="118"/>
        <v>32</v>
      </c>
      <c r="C897" s="101" t="str">
        <f t="shared" si="119"/>
        <v>T32</v>
      </c>
      <c r="D897" s="101" t="str">
        <f>IF(A897&lt;&gt;A896,VLOOKUP(A897,'Date SPV'!$A:$D,4,FALSE),D896)</f>
        <v>Nepi Ten Development Solutions  SRL</v>
      </c>
      <c r="E897" s="101" t="str">
        <f>VLOOKUP(A897,'Date SPV'!$A$4:$B$34,2,FALSE)</f>
        <v>RN10_Sighisoara</v>
      </c>
      <c r="H897" s="105" t="s">
        <v>894</v>
      </c>
      <c r="K897" s="101" t="str">
        <f>VLOOKUP(C897,'Preturi si tarife'!$A$4:$B$39,2,FALSE)</f>
        <v>Regularizare Tarif distributie SDI JT Ea1</v>
      </c>
      <c r="L897" s="102">
        <f>IF(B897=1,'Date masura OD'!$I$5,IF(B897=19,'Date masura OD'!$AK$5,L896))</f>
        <v>45748</v>
      </c>
      <c r="M897" s="102">
        <f>IF(B897=1,'Date masura OD'!$J$5,IF(B897=19,'Date masura OD'!$AL$5,M896))</f>
        <v>45777</v>
      </c>
      <c r="N897" s="104">
        <f>VLOOKUP(E897,verificare!$AR$4:$CC$33,B897+2,FALSE)</f>
        <v>0</v>
      </c>
      <c r="O897" s="103">
        <f>HLOOKUP(VLOOKUP(E897,'Date SPV'!$B$4:$F$34,5,FALSE),'Preturi si tarife'!$C$2:$J$39,B897+2,FALSE)*10000</f>
        <v>927</v>
      </c>
      <c r="Q897" s="101" t="str">
        <f t="shared" si="121"/>
        <v>One-off</v>
      </c>
      <c r="R897" s="101" t="str">
        <f>VLOOKUP(K897,'Preturi si tarife'!$B$4:$K$39,10,FALSE)</f>
        <v>ICOENG0010</v>
      </c>
      <c r="T897" s="101" t="str">
        <f t="shared" si="122"/>
        <v>INV + 30</v>
      </c>
      <c r="V897" s="101" t="str">
        <f t="shared" si="123"/>
        <v>Active</v>
      </c>
      <c r="X897" s="101" t="str">
        <f t="shared" si="124"/>
        <v>One-off</v>
      </c>
      <c r="AC897" s="101" t="str">
        <f t="shared" si="125"/>
        <v>RON</v>
      </c>
      <c r="AD897" s="101">
        <f t="shared" si="125"/>
        <v>10000</v>
      </c>
    </row>
    <row r="898" spans="1:30">
      <c r="A898" s="101">
        <f t="shared" si="115"/>
        <v>25</v>
      </c>
      <c r="B898" s="101">
        <f t="shared" si="118"/>
        <v>33</v>
      </c>
      <c r="C898" s="101" t="str">
        <f t="shared" si="119"/>
        <v>T33</v>
      </c>
      <c r="D898" s="101" t="str">
        <f>IF(A898&lt;&gt;A897,VLOOKUP(A898,'Date SPV'!$A:$D,4,FALSE),D897)</f>
        <v>Nepi Ten Development Solutions  SRL</v>
      </c>
      <c r="E898" s="101" t="str">
        <f>VLOOKUP(A898,'Date SPV'!$A$4:$B$34,2,FALSE)</f>
        <v>RN10_Sighisoara</v>
      </c>
      <c r="H898" s="105" t="s">
        <v>894</v>
      </c>
      <c r="K898" s="101" t="str">
        <f>VLOOKUP(C898,'Preturi si tarife'!$A$4:$B$39,2,FALSE)</f>
        <v>Regularizare Energie activa 2</v>
      </c>
      <c r="L898" s="102">
        <f>IF(B898=1,'Date masura OD'!$I$5,IF(B898=19,'Date masura OD'!$AK$5,L897))</f>
        <v>45748</v>
      </c>
      <c r="M898" s="102">
        <f>IF(B898=1,'Date masura OD'!$J$5,IF(B898=19,'Date masura OD'!$AL$5,M897))</f>
        <v>45777</v>
      </c>
      <c r="N898" s="104">
        <f>VLOOKUP(E898,verificare!$AR$4:$CC$33,B898+2,FALSE)</f>
        <v>0</v>
      </c>
      <c r="O898" s="103">
        <f>HLOOKUP(VLOOKUP(E898,'Date SPV'!$B$4:$F$34,5,FALSE),'Preturi si tarife'!$C$2:$J$39,B898+2,FALSE)*10000</f>
        <v>9392.0760000000009</v>
      </c>
      <c r="Q898" s="101" t="str">
        <f t="shared" si="121"/>
        <v>One-off</v>
      </c>
      <c r="R898" s="101" t="str">
        <f>VLOOKUP(K898,'Preturi si tarife'!$B$4:$K$39,10,FALSE)</f>
        <v>ICOENG0012</v>
      </c>
      <c r="T898" s="101" t="str">
        <f t="shared" si="122"/>
        <v>INV + 30</v>
      </c>
      <c r="V898" s="101" t="str">
        <f t="shared" si="123"/>
        <v>Active</v>
      </c>
      <c r="X898" s="101" t="str">
        <f t="shared" si="124"/>
        <v>One-off</v>
      </c>
      <c r="AC898" s="101" t="str">
        <f t="shared" si="125"/>
        <v>RON</v>
      </c>
      <c r="AD898" s="101">
        <f t="shared" si="125"/>
        <v>10000</v>
      </c>
    </row>
    <row r="899" spans="1:30">
      <c r="A899" s="101">
        <f t="shared" si="115"/>
        <v>25</v>
      </c>
      <c r="B899" s="101">
        <f t="shared" si="118"/>
        <v>34</v>
      </c>
      <c r="C899" s="101" t="str">
        <f t="shared" si="119"/>
        <v>T34</v>
      </c>
      <c r="D899" s="101" t="str">
        <f>IF(A899&lt;&gt;A898,VLOOKUP(A899,'Date SPV'!$A:$D,4,FALSE),D898)</f>
        <v>Nepi Ten Development Solutions  SRL</v>
      </c>
      <c r="E899" s="101" t="str">
        <f>VLOOKUP(A899,'Date SPV'!$A$4:$B$34,2,FALSE)</f>
        <v>RN10_Sighisoara</v>
      </c>
      <c r="H899" s="105" t="s">
        <v>894</v>
      </c>
      <c r="K899" s="101" t="str">
        <f>VLOOKUP(C899,'Preturi si tarife'!$A$4:$B$39,2,FALSE)</f>
        <v>Regularizare Energie activa 3</v>
      </c>
      <c r="L899" s="102">
        <f>IF(B899=1,'Date masura OD'!$I$5,IF(B899=19,'Date masura OD'!$AK$5,L898))</f>
        <v>45748</v>
      </c>
      <c r="M899" s="102">
        <f>IF(B899=1,'Date masura OD'!$J$5,IF(B899=19,'Date masura OD'!$AL$5,M898))</f>
        <v>45777</v>
      </c>
      <c r="N899" s="104">
        <f>VLOOKUP(E899,verificare!$AR$4:$CC$33,B899+2,FALSE)</f>
        <v>0</v>
      </c>
      <c r="O899" s="103">
        <f>HLOOKUP(VLOOKUP(E899,'Date SPV'!$B$4:$F$34,5,FALSE),'Preturi si tarife'!$C$2:$J$39,B899+2,FALSE)*10000</f>
        <v>8339.0760000000009</v>
      </c>
      <c r="Q899" s="101" t="str">
        <f t="shared" si="121"/>
        <v>One-off</v>
      </c>
      <c r="R899" s="101" t="str">
        <f>VLOOKUP(K899,'Preturi si tarife'!$B$4:$K$39,10,FALSE)</f>
        <v>ICOENG0012</v>
      </c>
      <c r="T899" s="101" t="str">
        <f t="shared" si="122"/>
        <v>INV + 30</v>
      </c>
      <c r="V899" s="101" t="str">
        <f t="shared" si="123"/>
        <v>Active</v>
      </c>
      <c r="X899" s="101" t="str">
        <f t="shared" si="124"/>
        <v>One-off</v>
      </c>
      <c r="AC899" s="101" t="str">
        <f t="shared" si="125"/>
        <v>RON</v>
      </c>
      <c r="AD899" s="101">
        <f t="shared" si="125"/>
        <v>10000</v>
      </c>
    </row>
    <row r="900" spans="1:30">
      <c r="A900" s="101">
        <f t="shared" ref="A900:A963" si="126">IF(B899=36,A899+1,A899)</f>
        <v>25</v>
      </c>
      <c r="B900" s="101">
        <f t="shared" si="118"/>
        <v>35</v>
      </c>
      <c r="C900" s="101" t="str">
        <f t="shared" si="119"/>
        <v>T35</v>
      </c>
      <c r="D900" s="101" t="str">
        <f>IF(A900&lt;&gt;A899,VLOOKUP(A900,'Date SPV'!$A:$D,4,FALSE),D899)</f>
        <v>Nepi Ten Development Solutions  SRL</v>
      </c>
      <c r="E900" s="101" t="str">
        <f>VLOOKUP(A900,'Date SPV'!$A$4:$B$34,2,FALSE)</f>
        <v>RN10_Sighisoara</v>
      </c>
      <c r="H900" s="105" t="s">
        <v>894</v>
      </c>
      <c r="K900" s="101" t="str">
        <f>VLOOKUP(C900,'Preturi si tarife'!$A$4:$B$39,2,FALSE)</f>
        <v>Regularizare Tarif distributie SDI MT Ea3</v>
      </c>
      <c r="L900" s="102">
        <f>IF(B900=1,'Date masura OD'!$I$5,IF(B900=19,'Date masura OD'!$AK$5,L899))</f>
        <v>45748</v>
      </c>
      <c r="M900" s="102">
        <f>IF(B900=1,'Date masura OD'!$J$5,IF(B900=19,'Date masura OD'!$AL$5,M899))</f>
        <v>45777</v>
      </c>
      <c r="N900" s="104">
        <f>VLOOKUP(E900,verificare!$AR$4:$CC$33,B900+2,FALSE)</f>
        <v>0</v>
      </c>
      <c r="O900" s="103">
        <f>HLOOKUP(VLOOKUP(E900,'Date SPV'!$B$4:$F$34,5,FALSE),'Preturi si tarife'!$C$2:$J$39,B900+2,FALSE)*10000</f>
        <v>126</v>
      </c>
      <c r="Q900" s="101" t="str">
        <f t="shared" si="121"/>
        <v>One-off</v>
      </c>
      <c r="R900" s="101" t="str">
        <f>VLOOKUP(K900,'Preturi si tarife'!$B$4:$K$39,10,FALSE)</f>
        <v>ICOENG0010</v>
      </c>
      <c r="T900" s="101" t="str">
        <f t="shared" si="122"/>
        <v>INV + 30</v>
      </c>
      <c r="V900" s="101" t="str">
        <f t="shared" si="123"/>
        <v>Active</v>
      </c>
      <c r="X900" s="101" t="str">
        <f t="shared" si="124"/>
        <v>One-off</v>
      </c>
      <c r="AC900" s="101" t="str">
        <f t="shared" si="125"/>
        <v>RON</v>
      </c>
      <c r="AD900" s="101">
        <f t="shared" si="125"/>
        <v>10000</v>
      </c>
    </row>
    <row r="901" spans="1:30">
      <c r="A901" s="101">
        <f t="shared" si="126"/>
        <v>25</v>
      </c>
      <c r="B901" s="101">
        <f t="shared" si="118"/>
        <v>36</v>
      </c>
      <c r="C901" s="101" t="str">
        <f t="shared" si="119"/>
        <v>T36</v>
      </c>
      <c r="D901" s="101" t="str">
        <f>IF(A901&lt;&gt;A900,VLOOKUP(A901,'Date SPV'!$A:$D,4,FALSE),D900)</f>
        <v>Nepi Ten Development Solutions  SRL</v>
      </c>
      <c r="E901" s="101" t="str">
        <f>VLOOKUP(A901,'Date SPV'!$A$4:$B$34,2,FALSE)</f>
        <v>RN10_Sighisoara</v>
      </c>
      <c r="H901" s="105" t="s">
        <v>894</v>
      </c>
      <c r="K901" s="101" t="str">
        <f>VLOOKUP(C901,'Preturi si tarife'!$A$4:$B$39,2,FALSE)</f>
        <v>Regularizare Tarif distributie SDI JT Ea3</v>
      </c>
      <c r="L901" s="102">
        <f>IF(B901=1,'Date masura OD'!$I$5,IF(B901=19,'Date masura OD'!$AK$5,L900))</f>
        <v>45748</v>
      </c>
      <c r="M901" s="102">
        <f>IF(B901=1,'Date masura OD'!$J$5,IF(B901=19,'Date masura OD'!$AL$5,M900))</f>
        <v>45777</v>
      </c>
      <c r="N901" s="104">
        <f>VLOOKUP(E901,verificare!$AR$4:$CC$33,B901+2,FALSE)</f>
        <v>0</v>
      </c>
      <c r="O901" s="103">
        <f>HLOOKUP(VLOOKUP(E901,'Date SPV'!$B$4:$F$34,5,FALSE),'Preturi si tarife'!$C$2:$J$39,B901+2,FALSE)*10000</f>
        <v>927</v>
      </c>
      <c r="Q901" s="101" t="str">
        <f t="shared" si="121"/>
        <v>One-off</v>
      </c>
      <c r="R901" s="101" t="str">
        <f>VLOOKUP(K901,'Preturi si tarife'!$B$4:$K$39,10,FALSE)</f>
        <v>ICOENG0010</v>
      </c>
      <c r="T901" s="101" t="str">
        <f t="shared" si="122"/>
        <v>INV + 30</v>
      </c>
      <c r="V901" s="101" t="str">
        <f t="shared" si="123"/>
        <v>Active</v>
      </c>
      <c r="X901" s="101" t="str">
        <f t="shared" si="124"/>
        <v>One-off</v>
      </c>
      <c r="AC901" s="101" t="str">
        <f t="shared" si="125"/>
        <v>RON</v>
      </c>
      <c r="AD901" s="101">
        <f t="shared" si="125"/>
        <v>10000</v>
      </c>
    </row>
    <row r="902" spans="1:30">
      <c r="A902" s="101">
        <f t="shared" si="126"/>
        <v>26</v>
      </c>
      <c r="B902" s="101">
        <f t="shared" si="118"/>
        <v>1</v>
      </c>
      <c r="C902" s="101" t="str">
        <f t="shared" si="119"/>
        <v>T1</v>
      </c>
      <c r="D902" s="101" t="str">
        <f>IF(A902&lt;&gt;A901,VLOOKUP(A902,'Date SPV'!$A:$D,4,FALSE),D901)</f>
        <v>Nepi Ten Development Solutions  SRL</v>
      </c>
      <c r="E902" s="101" t="str">
        <f>VLOOKUP(A902,'Date SPV'!$A$4:$B$34,2,FALSE)</f>
        <v>RN10_Alexandria</v>
      </c>
      <c r="H902" s="105" t="s">
        <v>894</v>
      </c>
      <c r="K902" s="101" t="str">
        <f>VLOOKUP(C902,'Preturi si tarife'!$A$4:$B$39,2,FALSE)</f>
        <v>Energie activa 1</v>
      </c>
      <c r="L902" s="102">
        <f>IF(B902=1,'Date masura OD'!$I$5,IF(B902=19,'Date masura OD'!$AK$5,L901))</f>
        <v>45778</v>
      </c>
      <c r="M902" s="102">
        <f>IF(B902=1,'Date masura OD'!$J$5,IF(B902=19,'Date masura OD'!$AL$5,M901))</f>
        <v>45808</v>
      </c>
      <c r="N902" s="104">
        <f>VLOOKUP(E902,verificare!$AR$4:$CC$33,B902+2,FALSE)</f>
        <v>4793</v>
      </c>
      <c r="O902" s="103">
        <f>HLOOKUP(VLOOKUP(E902,'Date SPV'!$B$4:$F$34,5,FALSE),'Preturi si tarife'!$C$2:$J$39,B902+2,FALSE)*10000</f>
        <v>5950</v>
      </c>
      <c r="Q902" s="101" t="str">
        <f t="shared" si="121"/>
        <v>One-off</v>
      </c>
      <c r="R902" s="101" t="str">
        <f>VLOOKUP(K902,'Preturi si tarife'!$B$4:$K$39,10,FALSE)</f>
        <v>ICOENG0001</v>
      </c>
      <c r="T902" s="101" t="str">
        <f t="shared" si="122"/>
        <v>INV + 30</v>
      </c>
      <c r="V902" s="101" t="str">
        <f t="shared" si="123"/>
        <v>Active</v>
      </c>
      <c r="X902" s="101" t="str">
        <f t="shared" si="124"/>
        <v>One-off</v>
      </c>
      <c r="AC902" s="101" t="str">
        <f t="shared" si="125"/>
        <v>RON</v>
      </c>
      <c r="AD902" s="101">
        <f t="shared" si="125"/>
        <v>10000</v>
      </c>
    </row>
    <row r="903" spans="1:30">
      <c r="A903" s="101">
        <f t="shared" si="126"/>
        <v>26</v>
      </c>
      <c r="B903" s="101">
        <f t="shared" si="118"/>
        <v>2</v>
      </c>
      <c r="C903" s="101" t="str">
        <f t="shared" si="119"/>
        <v>T2</v>
      </c>
      <c r="D903" s="101" t="str">
        <f>IF(A903&lt;&gt;A902,VLOOKUP(A903,'Date SPV'!$A:$D,4,FALSE),D902)</f>
        <v>Nepi Ten Development Solutions  SRL</v>
      </c>
      <c r="E903" s="101" t="str">
        <f>VLOOKUP(A903,'Date SPV'!$A$4:$B$34,2,FALSE)</f>
        <v>RN10_Alexandria</v>
      </c>
      <c r="H903" s="105" t="s">
        <v>894</v>
      </c>
      <c r="K903" s="101" t="str">
        <f>VLOOKUP(C903,'Preturi si tarife'!$A$4:$B$39,2,FALSE)</f>
        <v>Energie reactiva  1X</v>
      </c>
      <c r="L903" s="102">
        <f>IF(B903=1,'Date masura OD'!$I$5,IF(B903=19,'Date masura OD'!$AK$5,L902))</f>
        <v>45778</v>
      </c>
      <c r="M903" s="102">
        <f>IF(B903=1,'Date masura OD'!$J$5,IF(B903=19,'Date masura OD'!$AL$5,M902))</f>
        <v>45808</v>
      </c>
      <c r="N903" s="104">
        <f>VLOOKUP(E903,verificare!$AR$4:$CC$33,B903+2,FALSE)</f>
        <v>0</v>
      </c>
      <c r="O903" s="103">
        <f>HLOOKUP(VLOOKUP(E903,'Date SPV'!$B$4:$F$34,5,FALSE),'Preturi si tarife'!$C$2:$J$39,B903+2,FALSE)*10000</f>
        <v>1465</v>
      </c>
      <c r="Q903" s="101" t="str">
        <f t="shared" si="121"/>
        <v>One-off</v>
      </c>
      <c r="R903" s="101" t="str">
        <f>VLOOKUP(K903,'Preturi si tarife'!$B$4:$K$39,10,FALSE)</f>
        <v>ICOENG0001</v>
      </c>
      <c r="T903" s="101" t="str">
        <f t="shared" si="122"/>
        <v>INV + 30</v>
      </c>
      <c r="V903" s="101" t="str">
        <f t="shared" si="123"/>
        <v>Active</v>
      </c>
      <c r="X903" s="101" t="str">
        <f t="shared" si="124"/>
        <v>One-off</v>
      </c>
      <c r="AC903" s="101" t="str">
        <f t="shared" si="125"/>
        <v>RON</v>
      </c>
      <c r="AD903" s="101">
        <f t="shared" si="125"/>
        <v>10000</v>
      </c>
    </row>
    <row r="904" spans="1:30">
      <c r="A904" s="101">
        <f t="shared" si="126"/>
        <v>26</v>
      </c>
      <c r="B904" s="101">
        <f t="shared" si="118"/>
        <v>3</v>
      </c>
      <c r="C904" s="101" t="str">
        <f t="shared" si="119"/>
        <v>T3</v>
      </c>
      <c r="D904" s="101" t="str">
        <f>IF(A904&lt;&gt;A903,VLOOKUP(A904,'Date SPV'!$A:$D,4,FALSE),D903)</f>
        <v>Nepi Ten Development Solutions  SRL</v>
      </c>
      <c r="E904" s="101" t="str">
        <f>VLOOKUP(A904,'Date SPV'!$A$4:$B$34,2,FALSE)</f>
        <v>RN10_Alexandria</v>
      </c>
      <c r="H904" s="105" t="s">
        <v>894</v>
      </c>
      <c r="K904" s="101" t="str">
        <f>VLOOKUP(C904,'Preturi si tarife'!$A$4:$B$39,2,FALSE)</f>
        <v>Energie reactiva  3X</v>
      </c>
      <c r="L904" s="102">
        <f>IF(B904=1,'Date masura OD'!$I$5,IF(B904=19,'Date masura OD'!$AK$5,L903))</f>
        <v>45778</v>
      </c>
      <c r="M904" s="102">
        <f>IF(B904=1,'Date masura OD'!$J$5,IF(B904=19,'Date masura OD'!$AL$5,M903))</f>
        <v>45808</v>
      </c>
      <c r="N904" s="104">
        <f>VLOOKUP(E904,verificare!$AR$4:$CC$33,B904+2,FALSE)</f>
        <v>0</v>
      </c>
      <c r="O904" s="103">
        <f>HLOOKUP(VLOOKUP(E904,'Date SPV'!$B$4:$F$34,5,FALSE),'Preturi si tarife'!$C$2:$J$39,B904+2,FALSE)*10000</f>
        <v>4395</v>
      </c>
      <c r="Q904" s="101" t="str">
        <f t="shared" si="121"/>
        <v>One-off</v>
      </c>
      <c r="R904" s="101" t="str">
        <f>VLOOKUP(K904,'Preturi si tarife'!$B$4:$K$39,10,FALSE)</f>
        <v>ICOENG0001</v>
      </c>
      <c r="T904" s="101" t="str">
        <f t="shared" si="122"/>
        <v>INV + 30</v>
      </c>
      <c r="V904" s="101" t="str">
        <f t="shared" si="123"/>
        <v>Active</v>
      </c>
      <c r="X904" s="101" t="str">
        <f t="shared" si="124"/>
        <v>One-off</v>
      </c>
      <c r="AC904" s="101" t="str">
        <f t="shared" si="125"/>
        <v>RON</v>
      </c>
      <c r="AD904" s="101">
        <f t="shared" si="125"/>
        <v>10000</v>
      </c>
    </row>
    <row r="905" spans="1:30">
      <c r="A905" s="101">
        <f t="shared" si="126"/>
        <v>26</v>
      </c>
      <c r="B905" s="101">
        <f t="shared" si="118"/>
        <v>4</v>
      </c>
      <c r="C905" s="101" t="str">
        <f t="shared" si="119"/>
        <v>T4</v>
      </c>
      <c r="D905" s="101" t="str">
        <f>IF(A905&lt;&gt;A904,VLOOKUP(A905,'Date SPV'!$A:$D,4,FALSE),D904)</f>
        <v>Nepi Ten Development Solutions  SRL</v>
      </c>
      <c r="E905" s="101" t="str">
        <f>VLOOKUP(A905,'Date SPV'!$A$4:$B$34,2,FALSE)</f>
        <v>RN10_Alexandria</v>
      </c>
      <c r="H905" s="105" t="s">
        <v>894</v>
      </c>
      <c r="K905" s="101" t="str">
        <f>VLOOKUP(C905,'Preturi si tarife'!$A$4:$B$39,2,FALSE)</f>
        <v>Tarife distributie en. El IT+MT</v>
      </c>
      <c r="L905" s="102">
        <f>IF(B905=1,'Date masura OD'!$I$5,IF(B905=19,'Date masura OD'!$AK$5,L904))</f>
        <v>45778</v>
      </c>
      <c r="M905" s="102">
        <f>IF(B905=1,'Date masura OD'!$J$5,IF(B905=19,'Date masura OD'!$AL$5,M904))</f>
        <v>45808</v>
      </c>
      <c r="N905" s="104">
        <f>VLOOKUP(E905,verificare!$AR$4:$CC$33,B905+2,FALSE)</f>
        <v>4793</v>
      </c>
      <c r="O905" s="103">
        <f>HLOOKUP(VLOOKUP(E905,'Date SPV'!$B$4:$F$34,5,FALSE),'Preturi si tarife'!$C$2:$J$39,B905+2,FALSE)*10000</f>
        <v>1361.3999999999999</v>
      </c>
      <c r="Q905" s="101" t="str">
        <f t="shared" si="121"/>
        <v>One-off</v>
      </c>
      <c r="R905" s="101" t="str">
        <f>VLOOKUP(K905,'Preturi si tarife'!$B$4:$K$39,10,FALSE)</f>
        <v>ICOENG0001</v>
      </c>
      <c r="T905" s="101" t="str">
        <f t="shared" si="122"/>
        <v>INV + 30</v>
      </c>
      <c r="V905" s="101" t="str">
        <f t="shared" si="123"/>
        <v>Active</v>
      </c>
      <c r="X905" s="101" t="str">
        <f t="shared" si="124"/>
        <v>One-off</v>
      </c>
      <c r="AC905" s="101" t="str">
        <f t="shared" si="125"/>
        <v>RON</v>
      </c>
      <c r="AD905" s="101">
        <f t="shared" si="125"/>
        <v>10000</v>
      </c>
    </row>
    <row r="906" spans="1:30">
      <c r="A906" s="101">
        <f t="shared" si="126"/>
        <v>26</v>
      </c>
      <c r="B906" s="101">
        <f t="shared" si="118"/>
        <v>5</v>
      </c>
      <c r="C906" s="101" t="str">
        <f t="shared" si="119"/>
        <v>T5</v>
      </c>
      <c r="D906" s="101" t="str">
        <f>IF(A906&lt;&gt;A905,VLOOKUP(A906,'Date SPV'!$A:$D,4,FALSE),D905)</f>
        <v>Nepi Ten Development Solutions  SRL</v>
      </c>
      <c r="E906" s="101" t="str">
        <f>VLOOKUP(A906,'Date SPV'!$A$4:$B$34,2,FALSE)</f>
        <v>RN10_Alexandria</v>
      </c>
      <c r="H906" s="105" t="s">
        <v>894</v>
      </c>
      <c r="K906" s="101" t="str">
        <f>VLOOKUP(C906,'Preturi si tarife'!$A$4:$B$39,2,FALSE)</f>
        <v>Tarife distributie en. El JT</v>
      </c>
      <c r="L906" s="102">
        <f>IF(B906=1,'Date masura OD'!$I$5,IF(B906=19,'Date masura OD'!$AK$5,L905))</f>
        <v>45778</v>
      </c>
      <c r="M906" s="102">
        <f>IF(B906=1,'Date masura OD'!$J$5,IF(B906=19,'Date masura OD'!$AL$5,M905))</f>
        <v>45808</v>
      </c>
      <c r="N906" s="104">
        <f>VLOOKUP(E906,verificare!$AR$4:$CC$33,B906+2,FALSE)</f>
        <v>0</v>
      </c>
      <c r="O906" s="103">
        <f>HLOOKUP(VLOOKUP(E906,'Date SPV'!$B$4:$F$34,5,FALSE),'Preturi si tarife'!$C$2:$J$39,B906+2,FALSE)*10000</f>
        <v>2273.8999999999996</v>
      </c>
      <c r="Q906" s="101" t="str">
        <f t="shared" si="121"/>
        <v>One-off</v>
      </c>
      <c r="R906" s="101" t="str">
        <f>VLOOKUP(K906,'Preturi si tarife'!$B$4:$K$39,10,FALSE)</f>
        <v>ICOENG0001</v>
      </c>
      <c r="T906" s="101" t="str">
        <f t="shared" si="122"/>
        <v>INV + 30</v>
      </c>
      <c r="V906" s="101" t="str">
        <f t="shared" si="123"/>
        <v>Active</v>
      </c>
      <c r="X906" s="101" t="str">
        <f t="shared" si="124"/>
        <v>One-off</v>
      </c>
      <c r="AC906" s="101" t="str">
        <f t="shared" si="125"/>
        <v>RON</v>
      </c>
      <c r="AD906" s="101">
        <f t="shared" si="125"/>
        <v>10000</v>
      </c>
    </row>
    <row r="907" spans="1:30">
      <c r="A907" s="101">
        <f t="shared" si="126"/>
        <v>26</v>
      </c>
      <c r="B907" s="101">
        <f t="shared" si="118"/>
        <v>6</v>
      </c>
      <c r="C907" s="101" t="str">
        <f t="shared" si="119"/>
        <v>T6</v>
      </c>
      <c r="D907" s="101" t="str">
        <f>IF(A907&lt;&gt;A906,VLOOKUP(A907,'Date SPV'!$A:$D,4,FALSE),D906)</f>
        <v>Nepi Ten Development Solutions  SRL</v>
      </c>
      <c r="E907" s="101" t="str">
        <f>VLOOKUP(A907,'Date SPV'!$A$4:$B$34,2,FALSE)</f>
        <v>RN10_Alexandria</v>
      </c>
      <c r="H907" s="105" t="s">
        <v>894</v>
      </c>
      <c r="K907" s="101" t="str">
        <f>VLOOKUP(C907,'Preturi si tarife'!$A$4:$B$39,2,FALSE)</f>
        <v xml:space="preserve">Servicii Sistem </v>
      </c>
      <c r="L907" s="102">
        <f>IF(B907=1,'Date masura OD'!$I$5,IF(B907=19,'Date masura OD'!$AK$5,L906))</f>
        <v>45778</v>
      </c>
      <c r="M907" s="102">
        <f>IF(B907=1,'Date masura OD'!$J$5,IF(B907=19,'Date masura OD'!$AL$5,M906))</f>
        <v>45808</v>
      </c>
      <c r="N907" s="104">
        <f>VLOOKUP(E907,verificare!$AR$4:$CC$33,B907+2,FALSE)</f>
        <v>4793</v>
      </c>
      <c r="O907" s="103">
        <f>HLOOKUP(VLOOKUP(E907,'Date SPV'!$B$4:$F$34,5,FALSE),'Preturi si tarife'!$C$2:$J$39,B907+2,FALSE)*10000</f>
        <v>115.1</v>
      </c>
      <c r="Q907" s="101" t="str">
        <f t="shared" si="121"/>
        <v>One-off</v>
      </c>
      <c r="R907" s="101" t="str">
        <f>VLOOKUP(K907,'Preturi si tarife'!$B$4:$K$39,10,FALSE)</f>
        <v>ICOENG0001</v>
      </c>
      <c r="T907" s="101" t="str">
        <f t="shared" si="122"/>
        <v>INV + 30</v>
      </c>
      <c r="V907" s="101" t="str">
        <f t="shared" si="123"/>
        <v>Active</v>
      </c>
      <c r="X907" s="101" t="str">
        <f t="shared" si="124"/>
        <v>One-off</v>
      </c>
      <c r="AC907" s="101" t="str">
        <f t="shared" si="125"/>
        <v>RON</v>
      </c>
      <c r="AD907" s="101">
        <f t="shared" si="125"/>
        <v>10000</v>
      </c>
    </row>
    <row r="908" spans="1:30">
      <c r="A908" s="101">
        <f t="shared" si="126"/>
        <v>26</v>
      </c>
      <c r="B908" s="101">
        <f t="shared" si="118"/>
        <v>7</v>
      </c>
      <c r="C908" s="101" t="str">
        <f t="shared" si="119"/>
        <v>T7</v>
      </c>
      <c r="D908" s="101" t="str">
        <f>IF(A908&lt;&gt;A907,VLOOKUP(A908,'Date SPV'!$A:$D,4,FALSE),D907)</f>
        <v>Nepi Ten Development Solutions  SRL</v>
      </c>
      <c r="E908" s="101" t="str">
        <f>VLOOKUP(A908,'Date SPV'!$A$4:$B$34,2,FALSE)</f>
        <v>RN10_Alexandria</v>
      </c>
      <c r="H908" s="105" t="s">
        <v>894</v>
      </c>
      <c r="K908" s="101" t="str">
        <f>VLOOKUP(C908,'Preturi si tarife'!$A$4:$B$39,2,FALSE)</f>
        <v>Tarif de introducere en. el in retea (TL)</v>
      </c>
      <c r="L908" s="102">
        <f>IF(B908=1,'Date masura OD'!$I$5,IF(B908=19,'Date masura OD'!$AK$5,L907))</f>
        <v>45778</v>
      </c>
      <c r="M908" s="102">
        <f>IF(B908=1,'Date masura OD'!$J$5,IF(B908=19,'Date masura OD'!$AL$5,M907))</f>
        <v>45808</v>
      </c>
      <c r="N908" s="104">
        <f>VLOOKUP(E908,verificare!$AR$4:$CC$33,B908+2,FALSE)</f>
        <v>4793</v>
      </c>
      <c r="O908" s="103">
        <f>HLOOKUP(VLOOKUP(E908,'Date SPV'!$B$4:$F$34,5,FALSE),'Preturi si tarife'!$C$2:$J$39,B908+2,FALSE)*10000</f>
        <v>330.3</v>
      </c>
      <c r="Q908" s="101" t="str">
        <f t="shared" si="121"/>
        <v>One-off</v>
      </c>
      <c r="R908" s="101" t="str">
        <f>VLOOKUP(K908,'Preturi si tarife'!$B$4:$K$39,10,FALSE)</f>
        <v>ICOENG0001</v>
      </c>
      <c r="T908" s="101" t="str">
        <f t="shared" si="122"/>
        <v>INV + 30</v>
      </c>
      <c r="V908" s="101" t="str">
        <f t="shared" si="123"/>
        <v>Active</v>
      </c>
      <c r="X908" s="101" t="str">
        <f t="shared" si="124"/>
        <v>One-off</v>
      </c>
      <c r="AC908" s="101" t="str">
        <f t="shared" si="125"/>
        <v>RON</v>
      </c>
      <c r="AD908" s="101">
        <f t="shared" si="125"/>
        <v>10000</v>
      </c>
    </row>
    <row r="909" spans="1:30">
      <c r="A909" s="101">
        <f t="shared" si="126"/>
        <v>26</v>
      </c>
      <c r="B909" s="101">
        <f t="shared" si="118"/>
        <v>8</v>
      </c>
      <c r="C909" s="101" t="str">
        <f t="shared" si="119"/>
        <v>T8</v>
      </c>
      <c r="D909" s="101" t="str">
        <f>IF(A909&lt;&gt;A908,VLOOKUP(A909,'Date SPV'!$A:$D,4,FALSE),D908)</f>
        <v>Nepi Ten Development Solutions  SRL</v>
      </c>
      <c r="E909" s="101" t="str">
        <f>VLOOKUP(A909,'Date SPV'!$A$4:$B$34,2,FALSE)</f>
        <v>RN10_Alexandria</v>
      </c>
      <c r="H909" s="105" t="s">
        <v>894</v>
      </c>
      <c r="K909" s="101" t="str">
        <f>VLOOKUP(C909,'Preturi si tarife'!$A$4:$B$39,2,FALSE)</f>
        <v>Tarif de introducere en.el in retea (TG)</v>
      </c>
      <c r="L909" s="102">
        <f>IF(B909=1,'Date masura OD'!$I$5,IF(B909=19,'Date masura OD'!$AK$5,L908))</f>
        <v>45778</v>
      </c>
      <c r="M909" s="102">
        <f>IF(B909=1,'Date masura OD'!$J$5,IF(B909=19,'Date masura OD'!$AL$5,M908))</f>
        <v>45808</v>
      </c>
      <c r="N909" s="104">
        <f>VLOOKUP(E909,verificare!$AR$4:$CC$33,B909+2,FALSE)</f>
        <v>4793</v>
      </c>
      <c r="O909" s="103">
        <f>HLOOKUP(VLOOKUP(E909,'Date SPV'!$B$4:$F$34,5,FALSE),'Preturi si tarife'!$C$2:$J$39,B909+2,FALSE)*10000</f>
        <v>32.9</v>
      </c>
      <c r="Q909" s="101" t="str">
        <f t="shared" si="121"/>
        <v>One-off</v>
      </c>
      <c r="R909" s="101" t="str">
        <f>VLOOKUP(K909,'Preturi si tarife'!$B$4:$K$39,10,FALSE)</f>
        <v>ICOENG0001</v>
      </c>
      <c r="T909" s="101" t="str">
        <f t="shared" si="122"/>
        <v>INV + 30</v>
      </c>
      <c r="V909" s="101" t="str">
        <f t="shared" si="123"/>
        <v>Active</v>
      </c>
      <c r="X909" s="101" t="str">
        <f t="shared" si="124"/>
        <v>One-off</v>
      </c>
      <c r="AC909" s="101" t="str">
        <f t="shared" ref="AC909:AD924" si="127">AC908</f>
        <v>RON</v>
      </c>
      <c r="AD909" s="101">
        <f t="shared" si="127"/>
        <v>10000</v>
      </c>
    </row>
    <row r="910" spans="1:30">
      <c r="A910" s="101">
        <f t="shared" si="126"/>
        <v>26</v>
      </c>
      <c r="B910" s="101">
        <f t="shared" si="118"/>
        <v>9</v>
      </c>
      <c r="C910" s="101" t="str">
        <f t="shared" si="119"/>
        <v>T9</v>
      </c>
      <c r="D910" s="101" t="str">
        <f>IF(A910&lt;&gt;A909,VLOOKUP(A910,'Date SPV'!$A:$D,4,FALSE),D909)</f>
        <v>Nepi Ten Development Solutions  SRL</v>
      </c>
      <c r="E910" s="101" t="str">
        <f>VLOOKUP(A910,'Date SPV'!$A$4:$B$34,2,FALSE)</f>
        <v>RN10_Alexandria</v>
      </c>
      <c r="H910" s="105" t="s">
        <v>894</v>
      </c>
      <c r="K910" s="101" t="str">
        <f>VLOOKUP(C910,'Preturi si tarife'!$A$4:$B$39,2,FALSE)</f>
        <v>Contributie pentru cogenerare</v>
      </c>
      <c r="L910" s="102">
        <f>IF(B910=1,'Date masura OD'!$I$5,IF(B910=19,'Date masura OD'!$AK$5,L909))</f>
        <v>45778</v>
      </c>
      <c r="M910" s="102">
        <f>IF(B910=1,'Date masura OD'!$J$5,IF(B910=19,'Date masura OD'!$AL$5,M909))</f>
        <v>45808</v>
      </c>
      <c r="N910" s="104">
        <f>VLOOKUP(E910,verificare!$AR$4:$CC$33,B910+2,FALSE)</f>
        <v>4793</v>
      </c>
      <c r="O910" s="103">
        <f>HLOOKUP(VLOOKUP(E910,'Date SPV'!$B$4:$F$34,5,FALSE),'Preturi si tarife'!$C$2:$J$39,B910+2,FALSE)*10000</f>
        <v>35</v>
      </c>
      <c r="Q910" s="101" t="str">
        <f t="shared" si="121"/>
        <v>One-off</v>
      </c>
      <c r="R910" s="101" t="str">
        <f>VLOOKUP(K910,'Preturi si tarife'!$B$4:$K$39,10,FALSE)</f>
        <v>ICOENG0001</v>
      </c>
      <c r="T910" s="101" t="str">
        <f t="shared" si="122"/>
        <v>INV + 30</v>
      </c>
      <c r="V910" s="101" t="str">
        <f t="shared" si="123"/>
        <v>Active</v>
      </c>
      <c r="X910" s="101" t="str">
        <f t="shared" si="124"/>
        <v>One-off</v>
      </c>
      <c r="AC910" s="101" t="str">
        <f t="shared" si="127"/>
        <v>RON</v>
      </c>
      <c r="AD910" s="101">
        <f t="shared" si="127"/>
        <v>10000</v>
      </c>
    </row>
    <row r="911" spans="1:30">
      <c r="A911" s="101">
        <f t="shared" si="126"/>
        <v>26</v>
      </c>
      <c r="B911" s="101">
        <f t="shared" si="118"/>
        <v>10</v>
      </c>
      <c r="C911" s="101" t="str">
        <f t="shared" si="119"/>
        <v>T10</v>
      </c>
      <c r="D911" s="101" t="str">
        <f>IF(A911&lt;&gt;A910,VLOOKUP(A911,'Date SPV'!$A:$D,4,FALSE),D910)</f>
        <v>Nepi Ten Development Solutions  SRL</v>
      </c>
      <c r="E911" s="101" t="str">
        <f>VLOOKUP(A911,'Date SPV'!$A$4:$B$34,2,FALSE)</f>
        <v>RN10_Alexandria</v>
      </c>
      <c r="H911" s="105" t="s">
        <v>894</v>
      </c>
      <c r="K911" s="101" t="str">
        <f>VLOOKUP(C911,'Preturi si tarife'!$A$4:$B$39,2,FALSE)</f>
        <v xml:space="preserve">Certificate verzi </v>
      </c>
      <c r="L911" s="102">
        <f>IF(B911=1,'Date masura OD'!$I$5,IF(B911=19,'Date masura OD'!$AK$5,L910))</f>
        <v>45778</v>
      </c>
      <c r="M911" s="102">
        <f>IF(B911=1,'Date masura OD'!$J$5,IF(B911=19,'Date masura OD'!$AL$5,M910))</f>
        <v>45808</v>
      </c>
      <c r="N911" s="104">
        <f>VLOOKUP(E911,verificare!$AR$4:$CC$33,B911+2,FALSE)</f>
        <v>4793</v>
      </c>
      <c r="O911" s="103">
        <f>HLOOKUP(VLOOKUP(E911,'Date SPV'!$B$4:$F$34,5,FALSE),'Preturi si tarife'!$C$2:$J$39,B911+2,FALSE)*10000</f>
        <v>725.41599999999994</v>
      </c>
      <c r="Q911" s="101" t="str">
        <f t="shared" si="121"/>
        <v>One-off</v>
      </c>
      <c r="R911" s="101" t="str">
        <f>VLOOKUP(K911,'Preturi si tarife'!$B$4:$K$39,10,FALSE)</f>
        <v>ICOENG0001</v>
      </c>
      <c r="T911" s="101" t="str">
        <f t="shared" si="122"/>
        <v>INV + 30</v>
      </c>
      <c r="V911" s="101" t="str">
        <f t="shared" si="123"/>
        <v>Active</v>
      </c>
      <c r="X911" s="101" t="str">
        <f t="shared" si="124"/>
        <v>One-off</v>
      </c>
      <c r="AC911" s="101" t="str">
        <f t="shared" si="127"/>
        <v>RON</v>
      </c>
      <c r="AD911" s="101">
        <f t="shared" si="127"/>
        <v>10000</v>
      </c>
    </row>
    <row r="912" spans="1:30">
      <c r="A912" s="101">
        <f t="shared" si="126"/>
        <v>26</v>
      </c>
      <c r="B912" s="101">
        <f t="shared" si="118"/>
        <v>11</v>
      </c>
      <c r="C912" s="101" t="str">
        <f t="shared" si="119"/>
        <v>T11</v>
      </c>
      <c r="D912" s="101" t="str">
        <f>IF(A912&lt;&gt;A911,VLOOKUP(A912,'Date SPV'!$A:$D,4,FALSE),D911)</f>
        <v>Nepi Ten Development Solutions  SRL</v>
      </c>
      <c r="E912" s="101" t="str">
        <f>VLOOKUP(A912,'Date SPV'!$A$4:$B$34,2,FALSE)</f>
        <v>RN10_Alexandria</v>
      </c>
      <c r="H912" s="105" t="s">
        <v>894</v>
      </c>
      <c r="K912" s="101" t="str">
        <f>VLOOKUP(C912,'Preturi si tarife'!$A$4:$B$39,2,FALSE)</f>
        <v>Contributie CFD</v>
      </c>
      <c r="L912" s="102">
        <f>IF(B912=1,'Date masura OD'!$I$5,IF(B912=19,'Date masura OD'!$AK$5,L911))</f>
        <v>45778</v>
      </c>
      <c r="M912" s="102">
        <f>IF(B912=1,'Date masura OD'!$J$5,IF(B912=19,'Date masura OD'!$AL$5,M911))</f>
        <v>45808</v>
      </c>
      <c r="N912" s="104">
        <f>VLOOKUP(E912,verificare!$AR$4:$CC$33,B912+2,FALSE)</f>
        <v>4793</v>
      </c>
      <c r="O912" s="103">
        <f>HLOOKUP(VLOOKUP(E912,'Date SPV'!$B$4:$F$34,5,FALSE),'Preturi si tarife'!$C$2:$J$39,B912+2,FALSE)*10000</f>
        <v>2.06</v>
      </c>
      <c r="Q912" s="101" t="str">
        <f t="shared" si="121"/>
        <v>One-off</v>
      </c>
      <c r="R912" s="101" t="str">
        <f>VLOOKUP(K912,'Preturi si tarife'!$B$4:$K$39,10,FALSE)</f>
        <v>ICOENG0001</v>
      </c>
      <c r="T912" s="101" t="str">
        <f t="shared" si="122"/>
        <v>INV + 30</v>
      </c>
      <c r="V912" s="101" t="str">
        <f t="shared" si="123"/>
        <v>Active</v>
      </c>
      <c r="X912" s="101" t="str">
        <f t="shared" si="124"/>
        <v>One-off</v>
      </c>
      <c r="AC912" s="101" t="str">
        <f t="shared" si="127"/>
        <v>RON</v>
      </c>
      <c r="AD912" s="101">
        <f t="shared" si="127"/>
        <v>10000</v>
      </c>
    </row>
    <row r="913" spans="1:30">
      <c r="A913" s="101">
        <f t="shared" si="126"/>
        <v>26</v>
      </c>
      <c r="B913" s="101">
        <f t="shared" si="118"/>
        <v>12</v>
      </c>
      <c r="C913" s="101" t="str">
        <f t="shared" si="119"/>
        <v>T12</v>
      </c>
      <c r="D913" s="101" t="str">
        <f>IF(A913&lt;&gt;A912,VLOOKUP(A913,'Date SPV'!$A:$D,4,FALSE),D912)</f>
        <v>Nepi Ten Development Solutions  SRL</v>
      </c>
      <c r="E913" s="101" t="str">
        <f>VLOOKUP(A913,'Date SPV'!$A$4:$B$34,2,FALSE)</f>
        <v>RN10_Alexandria</v>
      </c>
      <c r="H913" s="105" t="s">
        <v>894</v>
      </c>
      <c r="K913" s="101" t="str">
        <f>VLOOKUP(C913,'Preturi si tarife'!$A$4:$B$39,2,FALSE)</f>
        <v>Acciza</v>
      </c>
      <c r="L913" s="102">
        <f>IF(B913=1,'Date masura OD'!$I$5,IF(B913=19,'Date masura OD'!$AK$5,L912))</f>
        <v>45778</v>
      </c>
      <c r="M913" s="102">
        <f>IF(B913=1,'Date masura OD'!$J$5,IF(B913=19,'Date masura OD'!$AL$5,M912))</f>
        <v>45808</v>
      </c>
      <c r="N913" s="104">
        <f>VLOOKUP(E913,verificare!$AR$4:$CC$33,B913+2,FALSE)</f>
        <v>4793</v>
      </c>
      <c r="O913" s="103">
        <f>HLOOKUP(VLOOKUP(E913,'Date SPV'!$B$4:$F$34,5,FALSE),'Preturi si tarife'!$C$2:$J$39,B913+2,FALSE)*10000</f>
        <v>0</v>
      </c>
      <c r="Q913" s="101" t="str">
        <f t="shared" si="121"/>
        <v>One-off</v>
      </c>
      <c r="R913" s="101" t="str">
        <f>VLOOKUP(K913,'Preturi si tarife'!$B$4:$K$39,10,FALSE)</f>
        <v>ICOENG0001</v>
      </c>
      <c r="T913" s="101" t="str">
        <f t="shared" si="122"/>
        <v>INV + 30</v>
      </c>
      <c r="V913" s="101" t="str">
        <f t="shared" si="123"/>
        <v>Active</v>
      </c>
      <c r="X913" s="101" t="str">
        <f t="shared" si="124"/>
        <v>One-off</v>
      </c>
      <c r="AC913" s="101" t="str">
        <f t="shared" si="127"/>
        <v>RON</v>
      </c>
      <c r="AD913" s="101">
        <f t="shared" si="127"/>
        <v>10000</v>
      </c>
    </row>
    <row r="914" spans="1:30">
      <c r="A914" s="101">
        <f t="shared" si="126"/>
        <v>26</v>
      </c>
      <c r="B914" s="101">
        <f t="shared" si="118"/>
        <v>13</v>
      </c>
      <c r="C914" s="101" t="str">
        <f t="shared" si="119"/>
        <v>T13</v>
      </c>
      <c r="D914" s="101" t="str">
        <f>IF(A914&lt;&gt;A913,VLOOKUP(A914,'Date SPV'!$A:$D,4,FALSE),D913)</f>
        <v>Nepi Ten Development Solutions  SRL</v>
      </c>
      <c r="E914" s="101" t="str">
        <f>VLOOKUP(A914,'Date SPV'!$A$4:$B$34,2,FALSE)</f>
        <v>RN10_Alexandria</v>
      </c>
      <c r="H914" s="105" t="s">
        <v>894</v>
      </c>
      <c r="K914" s="101" t="str">
        <f>VLOOKUP(C914,'Preturi si tarife'!$A$4:$B$39,2,FALSE)</f>
        <v>Tarif distributie SDI MT</v>
      </c>
      <c r="L914" s="102">
        <f>IF(B914=1,'Date masura OD'!$I$5,IF(B914=19,'Date masura OD'!$AK$5,L913))</f>
        <v>45778</v>
      </c>
      <c r="M914" s="102">
        <f>IF(B914=1,'Date masura OD'!$J$5,IF(B914=19,'Date masura OD'!$AL$5,M913))</f>
        <v>45808</v>
      </c>
      <c r="N914" s="104">
        <f>VLOOKUP(E914,verificare!$AR$4:$CC$33,B914+2,FALSE)</f>
        <v>4793</v>
      </c>
      <c r="O914" s="103">
        <f>HLOOKUP(VLOOKUP(E914,'Date SPV'!$B$4:$F$34,5,FALSE),'Preturi si tarife'!$C$2:$J$39,B914+2,FALSE)*10000</f>
        <v>170</v>
      </c>
      <c r="Q914" s="101" t="str">
        <f t="shared" si="121"/>
        <v>One-off</v>
      </c>
      <c r="R914" s="101" t="str">
        <f>VLOOKUP(K914,'Preturi si tarife'!$B$4:$K$39,10,FALSE)</f>
        <v>ICOENG0010</v>
      </c>
      <c r="T914" s="101" t="str">
        <f t="shared" si="122"/>
        <v>INV + 30</v>
      </c>
      <c r="V914" s="101" t="str">
        <f t="shared" si="123"/>
        <v>Active</v>
      </c>
      <c r="X914" s="101" t="str">
        <f t="shared" si="124"/>
        <v>One-off</v>
      </c>
      <c r="AC914" s="101" t="str">
        <f t="shared" si="127"/>
        <v>RON</v>
      </c>
      <c r="AD914" s="101">
        <f t="shared" si="127"/>
        <v>10000</v>
      </c>
    </row>
    <row r="915" spans="1:30">
      <c r="A915" s="101">
        <f t="shared" si="126"/>
        <v>26</v>
      </c>
      <c r="B915" s="101">
        <f t="shared" si="118"/>
        <v>14</v>
      </c>
      <c r="C915" s="101" t="str">
        <f t="shared" si="119"/>
        <v>T14</v>
      </c>
      <c r="D915" s="101" t="str">
        <f>IF(A915&lt;&gt;A914,VLOOKUP(A915,'Date SPV'!$A:$D,4,FALSE),D914)</f>
        <v>Nepi Ten Development Solutions  SRL</v>
      </c>
      <c r="E915" s="101" t="str">
        <f>VLOOKUP(A915,'Date SPV'!$A$4:$B$34,2,FALSE)</f>
        <v>RN10_Alexandria</v>
      </c>
      <c r="H915" s="105" t="s">
        <v>894</v>
      </c>
      <c r="K915" s="101" t="str">
        <f>VLOOKUP(C915,'Preturi si tarife'!$A$4:$B$39,2,FALSE)</f>
        <v>Tarif distributie SDI JT</v>
      </c>
      <c r="L915" s="102">
        <f>IF(B915=1,'Date masura OD'!$I$5,IF(B915=19,'Date masura OD'!$AK$5,L914))</f>
        <v>45778</v>
      </c>
      <c r="M915" s="102">
        <f>IF(B915=1,'Date masura OD'!$J$5,IF(B915=19,'Date masura OD'!$AL$5,M914))</f>
        <v>45808</v>
      </c>
      <c r="N915" s="104">
        <f>VLOOKUP(E915,verificare!$AR$4:$CC$33,B915+2,FALSE)</f>
        <v>4793</v>
      </c>
      <c r="O915" s="103">
        <f>HLOOKUP(VLOOKUP(E915,'Date SPV'!$B$4:$F$34,5,FALSE),'Preturi si tarife'!$C$2:$J$39,B915+2,FALSE)*10000</f>
        <v>1029</v>
      </c>
      <c r="Q915" s="101" t="str">
        <f t="shared" si="121"/>
        <v>One-off</v>
      </c>
      <c r="R915" s="101" t="str">
        <f>VLOOKUP(K915,'Preturi si tarife'!$B$4:$K$39,10,FALSE)</f>
        <v>ICOENG0010</v>
      </c>
      <c r="T915" s="101" t="str">
        <f t="shared" si="122"/>
        <v>INV + 30</v>
      </c>
      <c r="V915" s="101" t="str">
        <f t="shared" si="123"/>
        <v>Active</v>
      </c>
      <c r="X915" s="101" t="str">
        <f t="shared" si="124"/>
        <v>One-off</v>
      </c>
      <c r="AC915" s="101" t="str">
        <f t="shared" si="127"/>
        <v>RON</v>
      </c>
      <c r="AD915" s="101">
        <f t="shared" si="127"/>
        <v>10000</v>
      </c>
    </row>
    <row r="916" spans="1:30">
      <c r="A916" s="101">
        <f t="shared" si="126"/>
        <v>26</v>
      </c>
      <c r="B916" s="101">
        <f t="shared" si="118"/>
        <v>15</v>
      </c>
      <c r="C916" s="101" t="str">
        <f t="shared" si="119"/>
        <v>T15</v>
      </c>
      <c r="D916" s="101" t="str">
        <f>IF(A916&lt;&gt;A915,VLOOKUP(A916,'Date SPV'!$A:$D,4,FALSE),D915)</f>
        <v>Nepi Ten Development Solutions  SRL</v>
      </c>
      <c r="E916" s="101" t="str">
        <f>VLOOKUP(A916,'Date SPV'!$A$4:$B$34,2,FALSE)</f>
        <v>RN10_Alexandria</v>
      </c>
      <c r="H916" s="105" t="s">
        <v>894</v>
      </c>
      <c r="K916" s="101" t="str">
        <f>VLOOKUP(C916,'Preturi si tarife'!$A$4:$B$39,2,FALSE)</f>
        <v>Energie activa 2</v>
      </c>
      <c r="L916" s="102">
        <f>IF(B916=1,'Date masura OD'!$I$5,IF(B916=19,'Date masura OD'!$AK$5,L915))</f>
        <v>45778</v>
      </c>
      <c r="M916" s="102">
        <f>IF(B916=1,'Date masura OD'!$J$5,IF(B916=19,'Date masura OD'!$AL$5,M915))</f>
        <v>45808</v>
      </c>
      <c r="N916" s="104">
        <f>VLOOKUP(E916,verificare!$AR$4:$CC$33,B916+2,FALSE)</f>
        <v>3692</v>
      </c>
      <c r="O916" s="103">
        <f>HLOOKUP(VLOOKUP(E916,'Date SPV'!$B$4:$F$34,5,FALSE),'Preturi si tarife'!$C$2:$J$39,B916+2,FALSE)*10000</f>
        <v>9751.1759999999995</v>
      </c>
      <c r="Q916" s="101" t="str">
        <f t="shared" si="121"/>
        <v>One-off</v>
      </c>
      <c r="R916" s="101" t="str">
        <f>VLOOKUP(K916,'Preturi si tarife'!$B$4:$K$39,10,FALSE)</f>
        <v>ICOENG0012</v>
      </c>
      <c r="T916" s="101" t="str">
        <f t="shared" si="122"/>
        <v>INV + 30</v>
      </c>
      <c r="V916" s="101" t="str">
        <f t="shared" si="123"/>
        <v>Active</v>
      </c>
      <c r="X916" s="101" t="str">
        <f t="shared" si="124"/>
        <v>One-off</v>
      </c>
      <c r="AC916" s="101" t="str">
        <f t="shared" si="127"/>
        <v>RON</v>
      </c>
      <c r="AD916" s="101">
        <f t="shared" si="127"/>
        <v>10000</v>
      </c>
    </row>
    <row r="917" spans="1:30">
      <c r="A917" s="101">
        <f t="shared" si="126"/>
        <v>26</v>
      </c>
      <c r="B917" s="101">
        <f t="shared" si="118"/>
        <v>16</v>
      </c>
      <c r="C917" s="101" t="str">
        <f t="shared" si="119"/>
        <v>T16</v>
      </c>
      <c r="D917" s="101" t="str">
        <f>IF(A917&lt;&gt;A916,VLOOKUP(A917,'Date SPV'!$A:$D,4,FALSE),D916)</f>
        <v>Nepi Ten Development Solutions  SRL</v>
      </c>
      <c r="E917" s="101" t="str">
        <f>VLOOKUP(A917,'Date SPV'!$A$4:$B$34,2,FALSE)</f>
        <v>RN10_Alexandria</v>
      </c>
      <c r="H917" s="105" t="s">
        <v>894</v>
      </c>
      <c r="K917" s="101" t="str">
        <f>VLOOKUP(C917,'Preturi si tarife'!$A$4:$B$39,2,FALSE)</f>
        <v>Energie activa 3</v>
      </c>
      <c r="L917" s="102">
        <f>IF(B917=1,'Date masura OD'!$I$5,IF(B917=19,'Date masura OD'!$AK$5,L916))</f>
        <v>45778</v>
      </c>
      <c r="M917" s="102">
        <f>IF(B917=1,'Date masura OD'!$J$5,IF(B917=19,'Date masura OD'!$AL$5,M916))</f>
        <v>45808</v>
      </c>
      <c r="N917" s="104">
        <f>VLOOKUP(E917,verificare!$AR$4:$CC$33,B917+2,FALSE)</f>
        <v>0</v>
      </c>
      <c r="O917" s="103">
        <f>HLOOKUP(VLOOKUP(E917,'Date SPV'!$B$4:$F$34,5,FALSE),'Preturi si tarife'!$C$2:$J$39,B917+2,FALSE)*10000</f>
        <v>8552.1759999999995</v>
      </c>
      <c r="Q917" s="101" t="str">
        <f t="shared" si="121"/>
        <v>One-off</v>
      </c>
      <c r="R917" s="101" t="str">
        <f>VLOOKUP(K917,'Preturi si tarife'!$B$4:$K$39,10,FALSE)</f>
        <v>ICOENG0012</v>
      </c>
      <c r="T917" s="101" t="str">
        <f t="shared" si="122"/>
        <v>INV + 30</v>
      </c>
      <c r="V917" s="101" t="str">
        <f t="shared" si="123"/>
        <v>Active</v>
      </c>
      <c r="X917" s="101" t="str">
        <f t="shared" si="124"/>
        <v>One-off</v>
      </c>
      <c r="AC917" s="101" t="str">
        <f t="shared" si="127"/>
        <v>RON</v>
      </c>
      <c r="AD917" s="101">
        <f t="shared" si="127"/>
        <v>10000</v>
      </c>
    </row>
    <row r="918" spans="1:30">
      <c r="A918" s="101">
        <f t="shared" si="126"/>
        <v>26</v>
      </c>
      <c r="B918" s="101">
        <f t="shared" si="118"/>
        <v>17</v>
      </c>
      <c r="C918" s="101" t="str">
        <f t="shared" si="119"/>
        <v>T17</v>
      </c>
      <c r="D918" s="101" t="str">
        <f>IF(A918&lt;&gt;A917,VLOOKUP(A918,'Date SPV'!$A:$D,4,FALSE),D917)</f>
        <v>Nepi Ten Development Solutions  SRL</v>
      </c>
      <c r="E918" s="101" t="str">
        <f>VLOOKUP(A918,'Date SPV'!$A$4:$B$34,2,FALSE)</f>
        <v>RN10_Alexandria</v>
      </c>
      <c r="H918" s="105" t="s">
        <v>894</v>
      </c>
      <c r="K918" s="101" t="str">
        <f>VLOOKUP(C918,'Preturi si tarife'!$A$4:$B$39,2,FALSE)</f>
        <v>Tarif distributie SDI MT_</v>
      </c>
      <c r="L918" s="102">
        <f>IF(B918=1,'Date masura OD'!$I$5,IF(B918=19,'Date masura OD'!$AK$5,L917))</f>
        <v>45778</v>
      </c>
      <c r="M918" s="102">
        <f>IF(B918=1,'Date masura OD'!$J$5,IF(B918=19,'Date masura OD'!$AL$5,M917))</f>
        <v>45808</v>
      </c>
      <c r="N918" s="104">
        <f>VLOOKUP(E918,verificare!$AR$4:$CC$33,B918+2,FALSE)</f>
        <v>0</v>
      </c>
      <c r="O918" s="103">
        <f>HLOOKUP(VLOOKUP(E918,'Date SPV'!$B$4:$F$34,5,FALSE),'Preturi si tarife'!$C$2:$J$39,B918+2,FALSE)*10000</f>
        <v>170</v>
      </c>
      <c r="Q918" s="101" t="str">
        <f t="shared" si="121"/>
        <v>One-off</v>
      </c>
      <c r="R918" s="101" t="str">
        <f>VLOOKUP(K918,'Preturi si tarife'!$B$4:$K$39,10,FALSE)</f>
        <v>ICOENG0010</v>
      </c>
      <c r="T918" s="101" t="str">
        <f t="shared" si="122"/>
        <v>INV + 30</v>
      </c>
      <c r="V918" s="101" t="str">
        <f t="shared" si="123"/>
        <v>Active</v>
      </c>
      <c r="X918" s="101" t="str">
        <f t="shared" si="124"/>
        <v>One-off</v>
      </c>
      <c r="AC918" s="101" t="str">
        <f t="shared" si="127"/>
        <v>RON</v>
      </c>
      <c r="AD918" s="101">
        <f t="shared" si="127"/>
        <v>10000</v>
      </c>
    </row>
    <row r="919" spans="1:30">
      <c r="A919" s="101">
        <f t="shared" si="126"/>
        <v>26</v>
      </c>
      <c r="B919" s="101">
        <f t="shared" si="118"/>
        <v>18</v>
      </c>
      <c r="C919" s="101" t="str">
        <f t="shared" si="119"/>
        <v>T18</v>
      </c>
      <c r="D919" s="101" t="str">
        <f>IF(A919&lt;&gt;A918,VLOOKUP(A919,'Date SPV'!$A:$D,4,FALSE),D918)</f>
        <v>Nepi Ten Development Solutions  SRL</v>
      </c>
      <c r="E919" s="101" t="str">
        <f>VLOOKUP(A919,'Date SPV'!$A$4:$B$34,2,FALSE)</f>
        <v>RN10_Alexandria</v>
      </c>
      <c r="H919" s="105" t="s">
        <v>894</v>
      </c>
      <c r="K919" s="101" t="str">
        <f>VLOOKUP(C919,'Preturi si tarife'!$A$4:$B$39,2,FALSE)</f>
        <v>Tarif distributie SDI JT_</v>
      </c>
      <c r="L919" s="102">
        <f>IF(B919=1,'Date masura OD'!$I$5,IF(B919=19,'Date masura OD'!$AK$5,L918))</f>
        <v>45778</v>
      </c>
      <c r="M919" s="102">
        <f>IF(B919=1,'Date masura OD'!$J$5,IF(B919=19,'Date masura OD'!$AL$5,M918))</f>
        <v>45808</v>
      </c>
      <c r="N919" s="104">
        <f>VLOOKUP(E919,verificare!$AR$4:$CC$33,B919+2,FALSE)</f>
        <v>0</v>
      </c>
      <c r="O919" s="103">
        <f>HLOOKUP(VLOOKUP(E919,'Date SPV'!$B$4:$F$34,5,FALSE),'Preturi si tarife'!$C$2:$J$39,B919+2,FALSE)*10000</f>
        <v>1029</v>
      </c>
      <c r="Q919" s="101" t="str">
        <f t="shared" si="121"/>
        <v>One-off</v>
      </c>
      <c r="R919" s="101" t="str">
        <f>VLOOKUP(K919,'Preturi si tarife'!$B$4:$K$39,10,FALSE)</f>
        <v>ICOENG0010</v>
      </c>
      <c r="T919" s="101" t="str">
        <f t="shared" si="122"/>
        <v>INV + 30</v>
      </c>
      <c r="V919" s="101" t="str">
        <f t="shared" si="123"/>
        <v>Active</v>
      </c>
      <c r="X919" s="101" t="str">
        <f t="shared" si="124"/>
        <v>One-off</v>
      </c>
      <c r="AC919" s="101" t="str">
        <f t="shared" si="127"/>
        <v>RON</v>
      </c>
      <c r="AD919" s="101">
        <f t="shared" si="127"/>
        <v>10000</v>
      </c>
    </row>
    <row r="920" spans="1:30">
      <c r="A920" s="101">
        <f t="shared" si="126"/>
        <v>26</v>
      </c>
      <c r="B920" s="101">
        <f t="shared" si="118"/>
        <v>19</v>
      </c>
      <c r="C920" s="101" t="str">
        <f t="shared" si="119"/>
        <v>T19</v>
      </c>
      <c r="D920" s="101" t="str">
        <f>IF(A920&lt;&gt;A919,VLOOKUP(A920,'Date SPV'!$A:$D,4,FALSE),D919)</f>
        <v>Nepi Ten Development Solutions  SRL</v>
      </c>
      <c r="E920" s="101" t="str">
        <f>VLOOKUP(A920,'Date SPV'!$A$4:$B$34,2,FALSE)</f>
        <v>RN10_Alexandria</v>
      </c>
      <c r="H920" s="105" t="s">
        <v>894</v>
      </c>
      <c r="K920" s="101" t="str">
        <f>VLOOKUP(C920,'Preturi si tarife'!$A$4:$B$39,2,FALSE)</f>
        <v>Regularizare Energie activa 1</v>
      </c>
      <c r="L920" s="102">
        <f>IF(B920=1,'Date masura OD'!$I$5,IF(B920=19,'Date masura OD'!$AK$5,L919))</f>
        <v>45748</v>
      </c>
      <c r="M920" s="102">
        <f>IF(B920=1,'Date masura OD'!$J$5,IF(B920=19,'Date masura OD'!$AL$5,M919))</f>
        <v>45777</v>
      </c>
      <c r="N920" s="104">
        <f>VLOOKUP(E920,verificare!$AR$4:$CC$33,B920+2,FALSE)</f>
        <v>0</v>
      </c>
      <c r="O920" s="103">
        <f>HLOOKUP(VLOOKUP(E920,'Date SPV'!$B$4:$F$34,5,FALSE),'Preturi si tarife'!$C$2:$J$39,B920+2,FALSE)*10000</f>
        <v>5950</v>
      </c>
      <c r="Q920" s="101" t="str">
        <f t="shared" si="121"/>
        <v>One-off</v>
      </c>
      <c r="R920" s="101" t="str">
        <f>VLOOKUP(K920,'Preturi si tarife'!$B$4:$K$39,10,FALSE)</f>
        <v>ICOENG0001</v>
      </c>
      <c r="T920" s="101" t="str">
        <f t="shared" si="122"/>
        <v>INV + 30</v>
      </c>
      <c r="V920" s="101" t="str">
        <f t="shared" si="123"/>
        <v>Active</v>
      </c>
      <c r="X920" s="101" t="str">
        <f t="shared" si="124"/>
        <v>One-off</v>
      </c>
      <c r="AC920" s="101" t="str">
        <f t="shared" si="127"/>
        <v>RON</v>
      </c>
      <c r="AD920" s="101">
        <f t="shared" si="127"/>
        <v>10000</v>
      </c>
    </row>
    <row r="921" spans="1:30">
      <c r="A921" s="101">
        <f t="shared" si="126"/>
        <v>26</v>
      </c>
      <c r="B921" s="101">
        <f t="shared" si="118"/>
        <v>20</v>
      </c>
      <c r="C921" s="101" t="str">
        <f t="shared" si="119"/>
        <v>T20</v>
      </c>
      <c r="D921" s="101" t="str">
        <f>IF(A921&lt;&gt;A920,VLOOKUP(A921,'Date SPV'!$A:$D,4,FALSE),D920)</f>
        <v>Nepi Ten Development Solutions  SRL</v>
      </c>
      <c r="E921" s="101" t="str">
        <f>VLOOKUP(A921,'Date SPV'!$A$4:$B$34,2,FALSE)</f>
        <v>RN10_Alexandria</v>
      </c>
      <c r="H921" s="105" t="s">
        <v>894</v>
      </c>
      <c r="K921" s="101" t="str">
        <f>VLOOKUP(C921,'Preturi si tarife'!$A$4:$B$39,2,FALSE)</f>
        <v>Regularizare Energie reactiva  1X</v>
      </c>
      <c r="L921" s="102">
        <f>IF(B921=1,'Date masura OD'!$I$5,IF(B921=19,'Date masura OD'!$AK$5,L920))</f>
        <v>45748</v>
      </c>
      <c r="M921" s="102">
        <f>IF(B921=1,'Date masura OD'!$J$5,IF(B921=19,'Date masura OD'!$AL$5,M920))</f>
        <v>45777</v>
      </c>
      <c r="N921" s="104">
        <f>VLOOKUP(E921,verificare!$AR$4:$CC$33,B921+2,FALSE)</f>
        <v>0</v>
      </c>
      <c r="O921" s="103">
        <f>HLOOKUP(VLOOKUP(E921,'Date SPV'!$B$4:$F$34,5,FALSE),'Preturi si tarife'!$C$2:$J$39,B921+2,FALSE)*10000</f>
        <v>1465</v>
      </c>
      <c r="Q921" s="101" t="str">
        <f t="shared" si="121"/>
        <v>One-off</v>
      </c>
      <c r="R921" s="101" t="str">
        <f>VLOOKUP(K921,'Preturi si tarife'!$B$4:$K$39,10,FALSE)</f>
        <v>ICOENG0001</v>
      </c>
      <c r="T921" s="101" t="str">
        <f t="shared" si="122"/>
        <v>INV + 30</v>
      </c>
      <c r="V921" s="101" t="str">
        <f t="shared" si="123"/>
        <v>Active</v>
      </c>
      <c r="X921" s="101" t="str">
        <f t="shared" si="124"/>
        <v>One-off</v>
      </c>
      <c r="AC921" s="101" t="str">
        <f t="shared" si="127"/>
        <v>RON</v>
      </c>
      <c r="AD921" s="101">
        <f t="shared" si="127"/>
        <v>10000</v>
      </c>
    </row>
    <row r="922" spans="1:30">
      <c r="A922" s="101">
        <f t="shared" si="126"/>
        <v>26</v>
      </c>
      <c r="B922" s="101">
        <f t="shared" si="118"/>
        <v>21</v>
      </c>
      <c r="C922" s="101" t="str">
        <f t="shared" si="119"/>
        <v>T21</v>
      </c>
      <c r="D922" s="101" t="str">
        <f>IF(A922&lt;&gt;A921,VLOOKUP(A922,'Date SPV'!$A:$D,4,FALSE),D921)</f>
        <v>Nepi Ten Development Solutions  SRL</v>
      </c>
      <c r="E922" s="101" t="str">
        <f>VLOOKUP(A922,'Date SPV'!$A$4:$B$34,2,FALSE)</f>
        <v>RN10_Alexandria</v>
      </c>
      <c r="H922" s="105" t="s">
        <v>894</v>
      </c>
      <c r="K922" s="101" t="str">
        <f>VLOOKUP(C922,'Preturi si tarife'!$A$4:$B$39,2,FALSE)</f>
        <v>Regularizare Energie reactiva  3X</v>
      </c>
      <c r="L922" s="102">
        <f>IF(B922=1,'Date masura OD'!$I$5,IF(B922=19,'Date masura OD'!$AK$5,L921))</f>
        <v>45748</v>
      </c>
      <c r="M922" s="102">
        <f>IF(B922=1,'Date masura OD'!$J$5,IF(B922=19,'Date masura OD'!$AL$5,M921))</f>
        <v>45777</v>
      </c>
      <c r="N922" s="104">
        <f>VLOOKUP(E922,verificare!$AR$4:$CC$33,B922+2,FALSE)</f>
        <v>0</v>
      </c>
      <c r="O922" s="103">
        <f>HLOOKUP(VLOOKUP(E922,'Date SPV'!$B$4:$F$34,5,FALSE),'Preturi si tarife'!$C$2:$J$39,B922+2,FALSE)*10000</f>
        <v>4395</v>
      </c>
      <c r="Q922" s="101" t="str">
        <f t="shared" si="121"/>
        <v>One-off</v>
      </c>
      <c r="R922" s="101" t="str">
        <f>VLOOKUP(K922,'Preturi si tarife'!$B$4:$K$39,10,FALSE)</f>
        <v>ICOENG0001</v>
      </c>
      <c r="T922" s="101" t="str">
        <f t="shared" si="122"/>
        <v>INV + 30</v>
      </c>
      <c r="V922" s="101" t="str">
        <f t="shared" si="123"/>
        <v>Active</v>
      </c>
      <c r="X922" s="101" t="str">
        <f t="shared" si="124"/>
        <v>One-off</v>
      </c>
      <c r="AC922" s="101" t="str">
        <f t="shared" si="127"/>
        <v>RON</v>
      </c>
      <c r="AD922" s="101">
        <f t="shared" si="127"/>
        <v>10000</v>
      </c>
    </row>
    <row r="923" spans="1:30">
      <c r="A923" s="101">
        <f t="shared" si="126"/>
        <v>26</v>
      </c>
      <c r="B923" s="101">
        <f t="shared" si="118"/>
        <v>22</v>
      </c>
      <c r="C923" s="101" t="str">
        <f t="shared" si="119"/>
        <v>T22</v>
      </c>
      <c r="D923" s="101" t="str">
        <f>IF(A923&lt;&gt;A922,VLOOKUP(A923,'Date SPV'!$A:$D,4,FALSE),D922)</f>
        <v>Nepi Ten Development Solutions  SRL</v>
      </c>
      <c r="E923" s="101" t="str">
        <f>VLOOKUP(A923,'Date SPV'!$A$4:$B$34,2,FALSE)</f>
        <v>RN10_Alexandria</v>
      </c>
      <c r="H923" s="105" t="s">
        <v>894</v>
      </c>
      <c r="K923" s="101" t="str">
        <f>VLOOKUP(C923,'Preturi si tarife'!$A$4:$B$39,2,FALSE)</f>
        <v>Regularizare Tarife distributie en. El IT+MT</v>
      </c>
      <c r="L923" s="102">
        <f>IF(B923=1,'Date masura OD'!$I$5,IF(B923=19,'Date masura OD'!$AK$5,L922))</f>
        <v>45748</v>
      </c>
      <c r="M923" s="102">
        <f>IF(B923=1,'Date masura OD'!$J$5,IF(B923=19,'Date masura OD'!$AL$5,M922))</f>
        <v>45777</v>
      </c>
      <c r="N923" s="104">
        <f>VLOOKUP(E923,verificare!$AR$4:$CC$33,B923+2,FALSE)</f>
        <v>0</v>
      </c>
      <c r="O923" s="103">
        <f>HLOOKUP(VLOOKUP(E923,'Date SPV'!$B$4:$F$34,5,FALSE),'Preturi si tarife'!$C$2:$J$39,B923+2,FALSE)*10000</f>
        <v>1361.3999999999999</v>
      </c>
      <c r="Q923" s="101" t="str">
        <f t="shared" si="121"/>
        <v>One-off</v>
      </c>
      <c r="R923" s="101" t="str">
        <f>VLOOKUP(K923,'Preturi si tarife'!$B$4:$K$39,10,FALSE)</f>
        <v>ICOENG0001</v>
      </c>
      <c r="T923" s="101" t="str">
        <f t="shared" si="122"/>
        <v>INV + 30</v>
      </c>
      <c r="V923" s="101" t="str">
        <f t="shared" si="123"/>
        <v>Active</v>
      </c>
      <c r="X923" s="101" t="str">
        <f t="shared" si="124"/>
        <v>One-off</v>
      </c>
      <c r="AC923" s="101" t="str">
        <f t="shared" si="127"/>
        <v>RON</v>
      </c>
      <c r="AD923" s="101">
        <f t="shared" si="127"/>
        <v>10000</v>
      </c>
    </row>
    <row r="924" spans="1:30">
      <c r="A924" s="101">
        <f t="shared" si="126"/>
        <v>26</v>
      </c>
      <c r="B924" s="101">
        <f t="shared" si="118"/>
        <v>23</v>
      </c>
      <c r="C924" s="101" t="str">
        <f t="shared" si="119"/>
        <v>T23</v>
      </c>
      <c r="D924" s="101" t="str">
        <f>IF(A924&lt;&gt;A923,VLOOKUP(A924,'Date SPV'!$A:$D,4,FALSE),D923)</f>
        <v>Nepi Ten Development Solutions  SRL</v>
      </c>
      <c r="E924" s="101" t="str">
        <f>VLOOKUP(A924,'Date SPV'!$A$4:$B$34,2,FALSE)</f>
        <v>RN10_Alexandria</v>
      </c>
      <c r="H924" s="105" t="s">
        <v>894</v>
      </c>
      <c r="K924" s="101" t="str">
        <f>VLOOKUP(C924,'Preturi si tarife'!$A$4:$B$39,2,FALSE)</f>
        <v>Regularizare Tarife distributie en. El JT</v>
      </c>
      <c r="L924" s="102">
        <f>IF(B924=1,'Date masura OD'!$I$5,IF(B924=19,'Date masura OD'!$AK$5,L923))</f>
        <v>45748</v>
      </c>
      <c r="M924" s="102">
        <f>IF(B924=1,'Date masura OD'!$J$5,IF(B924=19,'Date masura OD'!$AL$5,M923))</f>
        <v>45777</v>
      </c>
      <c r="N924" s="104">
        <f>VLOOKUP(E924,verificare!$AR$4:$CC$33,B924+2,FALSE)</f>
        <v>0</v>
      </c>
      <c r="O924" s="103">
        <f>HLOOKUP(VLOOKUP(E924,'Date SPV'!$B$4:$F$34,5,FALSE),'Preturi si tarife'!$C$2:$J$39,B924+2,FALSE)*10000</f>
        <v>2273.8999999999996</v>
      </c>
      <c r="Q924" s="101" t="str">
        <f t="shared" si="121"/>
        <v>One-off</v>
      </c>
      <c r="R924" s="101" t="str">
        <f>VLOOKUP(K924,'Preturi si tarife'!$B$4:$K$39,10,FALSE)</f>
        <v>ICOENG0001</v>
      </c>
      <c r="T924" s="101" t="str">
        <f t="shared" si="122"/>
        <v>INV + 30</v>
      </c>
      <c r="V924" s="101" t="str">
        <f t="shared" si="123"/>
        <v>Active</v>
      </c>
      <c r="X924" s="101" t="str">
        <f t="shared" si="124"/>
        <v>One-off</v>
      </c>
      <c r="AC924" s="101" t="str">
        <f t="shared" si="127"/>
        <v>RON</v>
      </c>
      <c r="AD924" s="101">
        <f t="shared" si="127"/>
        <v>10000</v>
      </c>
    </row>
    <row r="925" spans="1:30">
      <c r="A925" s="101">
        <f t="shared" si="126"/>
        <v>26</v>
      </c>
      <c r="B925" s="101">
        <f t="shared" si="118"/>
        <v>24</v>
      </c>
      <c r="C925" s="101" t="str">
        <f t="shared" si="119"/>
        <v>T24</v>
      </c>
      <c r="D925" s="101" t="str">
        <f>IF(A925&lt;&gt;A924,VLOOKUP(A925,'Date SPV'!$A:$D,4,FALSE),D924)</f>
        <v>Nepi Ten Development Solutions  SRL</v>
      </c>
      <c r="E925" s="101" t="str">
        <f>VLOOKUP(A925,'Date SPV'!$A$4:$B$34,2,FALSE)</f>
        <v>RN10_Alexandria</v>
      </c>
      <c r="H925" s="105" t="s">
        <v>894</v>
      </c>
      <c r="K925" s="101" t="str">
        <f>VLOOKUP(C925,'Preturi si tarife'!$A$4:$B$39,2,FALSE)</f>
        <v xml:space="preserve">Regularizare Servicii Sistem </v>
      </c>
      <c r="L925" s="102">
        <f>IF(B925=1,'Date masura OD'!$I$5,IF(B925=19,'Date masura OD'!$AK$5,L924))</f>
        <v>45748</v>
      </c>
      <c r="M925" s="102">
        <f>IF(B925=1,'Date masura OD'!$J$5,IF(B925=19,'Date masura OD'!$AL$5,M924))</f>
        <v>45777</v>
      </c>
      <c r="N925" s="104">
        <f>VLOOKUP(E925,verificare!$AR$4:$CC$33,B925+2,FALSE)</f>
        <v>0</v>
      </c>
      <c r="O925" s="103">
        <f>HLOOKUP(VLOOKUP(E925,'Date SPV'!$B$4:$F$34,5,FALSE),'Preturi si tarife'!$C$2:$J$39,B925+2,FALSE)*10000</f>
        <v>115.1</v>
      </c>
      <c r="Q925" s="101" t="str">
        <f t="shared" si="121"/>
        <v>One-off</v>
      </c>
      <c r="R925" s="101" t="str">
        <f>VLOOKUP(K925,'Preturi si tarife'!$B$4:$K$39,10,FALSE)</f>
        <v>ICOENG0001</v>
      </c>
      <c r="T925" s="101" t="str">
        <f t="shared" si="122"/>
        <v>INV + 30</v>
      </c>
      <c r="V925" s="101" t="str">
        <f t="shared" si="123"/>
        <v>Active</v>
      </c>
      <c r="X925" s="101" t="str">
        <f t="shared" si="124"/>
        <v>One-off</v>
      </c>
      <c r="AC925" s="101" t="str">
        <f t="shared" ref="AC925:AD940" si="128">AC924</f>
        <v>RON</v>
      </c>
      <c r="AD925" s="101">
        <f t="shared" si="128"/>
        <v>10000</v>
      </c>
    </row>
    <row r="926" spans="1:30">
      <c r="A926" s="101">
        <f t="shared" si="126"/>
        <v>26</v>
      </c>
      <c r="B926" s="101">
        <f t="shared" si="118"/>
        <v>25</v>
      </c>
      <c r="C926" s="101" t="str">
        <f t="shared" si="119"/>
        <v>T25</v>
      </c>
      <c r="D926" s="101" t="str">
        <f>IF(A926&lt;&gt;A925,VLOOKUP(A926,'Date SPV'!$A:$D,4,FALSE),D925)</f>
        <v>Nepi Ten Development Solutions  SRL</v>
      </c>
      <c r="E926" s="101" t="str">
        <f>VLOOKUP(A926,'Date SPV'!$A$4:$B$34,2,FALSE)</f>
        <v>RN10_Alexandria</v>
      </c>
      <c r="H926" s="105" t="s">
        <v>894</v>
      </c>
      <c r="K926" s="101" t="str">
        <f>VLOOKUP(C926,'Preturi si tarife'!$A$4:$B$39,2,FALSE)</f>
        <v>Regularizare Tarif de introducere en. el in retea (TL)</v>
      </c>
      <c r="L926" s="102">
        <f>IF(B926=1,'Date masura OD'!$I$5,IF(B926=19,'Date masura OD'!$AK$5,L925))</f>
        <v>45748</v>
      </c>
      <c r="M926" s="102">
        <f>IF(B926=1,'Date masura OD'!$J$5,IF(B926=19,'Date masura OD'!$AL$5,M925))</f>
        <v>45777</v>
      </c>
      <c r="N926" s="104">
        <f>VLOOKUP(E926,verificare!$AR$4:$CC$33,B926+2,FALSE)</f>
        <v>0</v>
      </c>
      <c r="O926" s="103">
        <f>HLOOKUP(VLOOKUP(E926,'Date SPV'!$B$4:$F$34,5,FALSE),'Preturi si tarife'!$C$2:$J$39,B926+2,FALSE)*10000</f>
        <v>330.3</v>
      </c>
      <c r="Q926" s="101" t="str">
        <f t="shared" si="121"/>
        <v>One-off</v>
      </c>
      <c r="R926" s="101" t="str">
        <f>VLOOKUP(K926,'Preturi si tarife'!$B$4:$K$39,10,FALSE)</f>
        <v>ICOENG0001</v>
      </c>
      <c r="T926" s="101" t="str">
        <f t="shared" si="122"/>
        <v>INV + 30</v>
      </c>
      <c r="V926" s="101" t="str">
        <f t="shared" si="123"/>
        <v>Active</v>
      </c>
      <c r="X926" s="101" t="str">
        <f t="shared" si="124"/>
        <v>One-off</v>
      </c>
      <c r="AC926" s="101" t="str">
        <f t="shared" si="128"/>
        <v>RON</v>
      </c>
      <c r="AD926" s="101">
        <f t="shared" si="128"/>
        <v>10000</v>
      </c>
    </row>
    <row r="927" spans="1:30">
      <c r="A927" s="101">
        <f t="shared" si="126"/>
        <v>26</v>
      </c>
      <c r="B927" s="101">
        <f t="shared" si="118"/>
        <v>26</v>
      </c>
      <c r="C927" s="101" t="str">
        <f t="shared" si="119"/>
        <v>T26</v>
      </c>
      <c r="D927" s="101" t="str">
        <f>IF(A927&lt;&gt;A926,VLOOKUP(A927,'Date SPV'!$A:$D,4,FALSE),D926)</f>
        <v>Nepi Ten Development Solutions  SRL</v>
      </c>
      <c r="E927" s="101" t="str">
        <f>VLOOKUP(A927,'Date SPV'!$A$4:$B$34,2,FALSE)</f>
        <v>RN10_Alexandria</v>
      </c>
      <c r="H927" s="105" t="s">
        <v>894</v>
      </c>
      <c r="K927" s="101" t="str">
        <f>VLOOKUP(C927,'Preturi si tarife'!$A$4:$B$39,2,FALSE)</f>
        <v>Regularizare Tarif de introducere en.el in retea (TG)</v>
      </c>
      <c r="L927" s="102">
        <f>IF(B927=1,'Date masura OD'!$I$5,IF(B927=19,'Date masura OD'!$AK$5,L926))</f>
        <v>45748</v>
      </c>
      <c r="M927" s="102">
        <f>IF(B927=1,'Date masura OD'!$J$5,IF(B927=19,'Date masura OD'!$AL$5,M926))</f>
        <v>45777</v>
      </c>
      <c r="N927" s="104">
        <f>VLOOKUP(E927,verificare!$AR$4:$CC$33,B927+2,FALSE)</f>
        <v>0</v>
      </c>
      <c r="O927" s="103">
        <f>HLOOKUP(VLOOKUP(E927,'Date SPV'!$B$4:$F$34,5,FALSE),'Preturi si tarife'!$C$2:$J$39,B927+2,FALSE)*10000</f>
        <v>32.9</v>
      </c>
      <c r="Q927" s="101" t="str">
        <f t="shared" si="121"/>
        <v>One-off</v>
      </c>
      <c r="R927" s="101" t="str">
        <f>VLOOKUP(K927,'Preturi si tarife'!$B$4:$K$39,10,FALSE)</f>
        <v>ICOENG0001</v>
      </c>
      <c r="T927" s="101" t="str">
        <f t="shared" si="122"/>
        <v>INV + 30</v>
      </c>
      <c r="V927" s="101" t="str">
        <f t="shared" si="123"/>
        <v>Active</v>
      </c>
      <c r="X927" s="101" t="str">
        <f t="shared" si="124"/>
        <v>One-off</v>
      </c>
      <c r="AC927" s="101" t="str">
        <f t="shared" si="128"/>
        <v>RON</v>
      </c>
      <c r="AD927" s="101">
        <f t="shared" si="128"/>
        <v>10000</v>
      </c>
    </row>
    <row r="928" spans="1:30">
      <c r="A928" s="101">
        <f t="shared" si="126"/>
        <v>26</v>
      </c>
      <c r="B928" s="101">
        <f t="shared" si="118"/>
        <v>27</v>
      </c>
      <c r="C928" s="101" t="str">
        <f t="shared" si="119"/>
        <v>T27</v>
      </c>
      <c r="D928" s="101" t="str">
        <f>IF(A928&lt;&gt;A927,VLOOKUP(A928,'Date SPV'!$A:$D,4,FALSE),D927)</f>
        <v>Nepi Ten Development Solutions  SRL</v>
      </c>
      <c r="E928" s="101" t="str">
        <f>VLOOKUP(A928,'Date SPV'!$A$4:$B$34,2,FALSE)</f>
        <v>RN10_Alexandria</v>
      </c>
      <c r="H928" s="105" t="s">
        <v>894</v>
      </c>
      <c r="K928" s="101" t="str">
        <f>VLOOKUP(C928,'Preturi si tarife'!$A$4:$B$39,2,FALSE)</f>
        <v>Regularizare Contributie pentru cogenerare</v>
      </c>
      <c r="L928" s="102">
        <f>IF(B928=1,'Date masura OD'!$I$5,IF(B928=19,'Date masura OD'!$AK$5,L927))</f>
        <v>45748</v>
      </c>
      <c r="M928" s="102">
        <f>IF(B928=1,'Date masura OD'!$J$5,IF(B928=19,'Date masura OD'!$AL$5,M927))</f>
        <v>45777</v>
      </c>
      <c r="N928" s="104">
        <f>VLOOKUP(E928,verificare!$AR$4:$CC$33,B928+2,FALSE)</f>
        <v>0</v>
      </c>
      <c r="O928" s="103">
        <f>HLOOKUP(VLOOKUP(E928,'Date SPV'!$B$4:$F$34,5,FALSE),'Preturi si tarife'!$C$2:$J$39,B928+2,FALSE)*10000</f>
        <v>35</v>
      </c>
      <c r="Q928" s="101" t="str">
        <f t="shared" si="121"/>
        <v>One-off</v>
      </c>
      <c r="R928" s="101" t="str">
        <f>VLOOKUP(K928,'Preturi si tarife'!$B$4:$K$39,10,FALSE)</f>
        <v>ICOENG0001</v>
      </c>
      <c r="T928" s="101" t="str">
        <f t="shared" si="122"/>
        <v>INV + 30</v>
      </c>
      <c r="V928" s="101" t="str">
        <f t="shared" si="123"/>
        <v>Active</v>
      </c>
      <c r="X928" s="101" t="str">
        <f t="shared" si="124"/>
        <v>One-off</v>
      </c>
      <c r="AC928" s="101" t="str">
        <f t="shared" si="128"/>
        <v>RON</v>
      </c>
      <c r="AD928" s="101">
        <f t="shared" si="128"/>
        <v>10000</v>
      </c>
    </row>
    <row r="929" spans="1:30">
      <c r="A929" s="101">
        <f t="shared" si="126"/>
        <v>26</v>
      </c>
      <c r="B929" s="101">
        <f t="shared" si="118"/>
        <v>28</v>
      </c>
      <c r="C929" s="101" t="str">
        <f t="shared" si="119"/>
        <v>T28</v>
      </c>
      <c r="D929" s="101" t="str">
        <f>IF(A929&lt;&gt;A928,VLOOKUP(A929,'Date SPV'!$A:$D,4,FALSE),D928)</f>
        <v>Nepi Ten Development Solutions  SRL</v>
      </c>
      <c r="E929" s="101" t="str">
        <f>VLOOKUP(A929,'Date SPV'!$A$4:$B$34,2,FALSE)</f>
        <v>RN10_Alexandria</v>
      </c>
      <c r="H929" s="105" t="s">
        <v>894</v>
      </c>
      <c r="K929" s="101" t="str">
        <f>VLOOKUP(C929,'Preturi si tarife'!$A$4:$B$39,2,FALSE)</f>
        <v xml:space="preserve">Regularizare Certificate verzi </v>
      </c>
      <c r="L929" s="102">
        <f>IF(B929=1,'Date masura OD'!$I$5,IF(B929=19,'Date masura OD'!$AK$5,L928))</f>
        <v>45748</v>
      </c>
      <c r="M929" s="102">
        <f>IF(B929=1,'Date masura OD'!$J$5,IF(B929=19,'Date masura OD'!$AL$5,M928))</f>
        <v>45777</v>
      </c>
      <c r="N929" s="104">
        <f>VLOOKUP(E929,verificare!$AR$4:$CC$33,B929+2,FALSE)</f>
        <v>0</v>
      </c>
      <c r="O929" s="103">
        <f>HLOOKUP(VLOOKUP(E929,'Date SPV'!$B$4:$F$34,5,FALSE),'Preturi si tarife'!$C$2:$J$39,B929+2,FALSE)*10000</f>
        <v>725.41599999999994</v>
      </c>
      <c r="Q929" s="101" t="str">
        <f t="shared" si="121"/>
        <v>One-off</v>
      </c>
      <c r="R929" s="101" t="str">
        <f>VLOOKUP(K929,'Preturi si tarife'!$B$4:$K$39,10,FALSE)</f>
        <v>ICOENG0001</v>
      </c>
      <c r="T929" s="101" t="str">
        <f t="shared" si="122"/>
        <v>INV + 30</v>
      </c>
      <c r="V929" s="101" t="str">
        <f t="shared" si="123"/>
        <v>Active</v>
      </c>
      <c r="X929" s="101" t="str">
        <f t="shared" si="124"/>
        <v>One-off</v>
      </c>
      <c r="AC929" s="101" t="str">
        <f t="shared" si="128"/>
        <v>RON</v>
      </c>
      <c r="AD929" s="101">
        <f t="shared" si="128"/>
        <v>10000</v>
      </c>
    </row>
    <row r="930" spans="1:30">
      <c r="A930" s="101">
        <f t="shared" si="126"/>
        <v>26</v>
      </c>
      <c r="B930" s="101">
        <f t="shared" si="118"/>
        <v>29</v>
      </c>
      <c r="C930" s="101" t="str">
        <f t="shared" si="119"/>
        <v>T29</v>
      </c>
      <c r="D930" s="101" t="str">
        <f>IF(A930&lt;&gt;A929,VLOOKUP(A930,'Date SPV'!$A:$D,4,FALSE),D929)</f>
        <v>Nepi Ten Development Solutions  SRL</v>
      </c>
      <c r="E930" s="101" t="str">
        <f>VLOOKUP(A930,'Date SPV'!$A$4:$B$34,2,FALSE)</f>
        <v>RN10_Alexandria</v>
      </c>
      <c r="H930" s="105" t="s">
        <v>894</v>
      </c>
      <c r="K930" s="101" t="str">
        <f>VLOOKUP(C930,'Preturi si tarife'!$A$4:$B$39,2,FALSE)</f>
        <v>Regularizare Contributie CFD</v>
      </c>
      <c r="L930" s="102">
        <f>IF(B930=1,'Date masura OD'!$I$5,IF(B930=19,'Date masura OD'!$AK$5,L929))</f>
        <v>45748</v>
      </c>
      <c r="M930" s="102">
        <f>IF(B930=1,'Date masura OD'!$J$5,IF(B930=19,'Date masura OD'!$AL$5,M929))</f>
        <v>45777</v>
      </c>
      <c r="N930" s="104">
        <f>VLOOKUP(E930,verificare!$AR$4:$CC$33,B930+2,FALSE)</f>
        <v>0</v>
      </c>
      <c r="O930" s="103">
        <f>HLOOKUP(VLOOKUP(E930,'Date SPV'!$B$4:$F$34,5,FALSE),'Preturi si tarife'!$C$2:$J$39,B930+2,FALSE)*10000</f>
        <v>2.06</v>
      </c>
      <c r="Q930" s="101" t="str">
        <f t="shared" si="121"/>
        <v>One-off</v>
      </c>
      <c r="R930" s="101" t="str">
        <f>VLOOKUP(K930,'Preturi si tarife'!$B$4:$K$39,10,FALSE)</f>
        <v>ICOENG0001</v>
      </c>
      <c r="T930" s="101" t="str">
        <f t="shared" si="122"/>
        <v>INV + 30</v>
      </c>
      <c r="V930" s="101" t="str">
        <f t="shared" si="123"/>
        <v>Active</v>
      </c>
      <c r="X930" s="101" t="str">
        <f t="shared" si="124"/>
        <v>One-off</v>
      </c>
      <c r="AC930" s="101" t="str">
        <f t="shared" si="128"/>
        <v>RON</v>
      </c>
      <c r="AD930" s="101">
        <f t="shared" si="128"/>
        <v>10000</v>
      </c>
    </row>
    <row r="931" spans="1:30">
      <c r="A931" s="101">
        <f t="shared" si="126"/>
        <v>26</v>
      </c>
      <c r="B931" s="101">
        <f t="shared" si="118"/>
        <v>30</v>
      </c>
      <c r="C931" s="101" t="str">
        <f t="shared" si="119"/>
        <v>T30</v>
      </c>
      <c r="D931" s="101" t="str">
        <f>IF(A931&lt;&gt;A930,VLOOKUP(A931,'Date SPV'!$A:$D,4,FALSE),D930)</f>
        <v>Nepi Ten Development Solutions  SRL</v>
      </c>
      <c r="E931" s="101" t="str">
        <f>VLOOKUP(A931,'Date SPV'!$A$4:$B$34,2,FALSE)</f>
        <v>RN10_Alexandria</v>
      </c>
      <c r="H931" s="105" t="s">
        <v>894</v>
      </c>
      <c r="K931" s="101" t="str">
        <f>VLOOKUP(C931,'Preturi si tarife'!$A$4:$B$39,2,FALSE)</f>
        <v>Regularizare Acciza</v>
      </c>
      <c r="L931" s="102">
        <f>IF(B931=1,'Date masura OD'!$I$5,IF(B931=19,'Date masura OD'!$AK$5,L930))</f>
        <v>45748</v>
      </c>
      <c r="M931" s="102">
        <f>IF(B931=1,'Date masura OD'!$J$5,IF(B931=19,'Date masura OD'!$AL$5,M930))</f>
        <v>45777</v>
      </c>
      <c r="N931" s="104">
        <f>VLOOKUP(E931,verificare!$AR$4:$CC$33,B931+2,FALSE)</f>
        <v>0</v>
      </c>
      <c r="O931" s="103">
        <f>HLOOKUP(VLOOKUP(E931,'Date SPV'!$B$4:$F$34,5,FALSE),'Preturi si tarife'!$C$2:$J$39,B931+2,FALSE)*10000</f>
        <v>0</v>
      </c>
      <c r="Q931" s="101" t="str">
        <f t="shared" si="121"/>
        <v>One-off</v>
      </c>
      <c r="R931" s="101" t="str">
        <f>VLOOKUP(K931,'Preturi si tarife'!$B$4:$K$39,10,FALSE)</f>
        <v>ICOENG0001</v>
      </c>
      <c r="T931" s="101" t="str">
        <f t="shared" si="122"/>
        <v>INV + 30</v>
      </c>
      <c r="V931" s="101" t="str">
        <f t="shared" si="123"/>
        <v>Active</v>
      </c>
      <c r="X931" s="101" t="str">
        <f t="shared" si="124"/>
        <v>One-off</v>
      </c>
      <c r="AC931" s="101" t="str">
        <f t="shared" si="128"/>
        <v>RON</v>
      </c>
      <c r="AD931" s="101">
        <f t="shared" si="128"/>
        <v>10000</v>
      </c>
    </row>
    <row r="932" spans="1:30">
      <c r="A932" s="101">
        <f t="shared" si="126"/>
        <v>26</v>
      </c>
      <c r="B932" s="101">
        <f t="shared" si="118"/>
        <v>31</v>
      </c>
      <c r="C932" s="101" t="str">
        <f t="shared" si="119"/>
        <v>T31</v>
      </c>
      <c r="D932" s="101" t="str">
        <f>IF(A932&lt;&gt;A931,VLOOKUP(A932,'Date SPV'!$A:$D,4,FALSE),D931)</f>
        <v>Nepi Ten Development Solutions  SRL</v>
      </c>
      <c r="E932" s="101" t="str">
        <f>VLOOKUP(A932,'Date SPV'!$A$4:$B$34,2,FALSE)</f>
        <v>RN10_Alexandria</v>
      </c>
      <c r="H932" s="105" t="s">
        <v>894</v>
      </c>
      <c r="K932" s="101" t="str">
        <f>VLOOKUP(C932,'Preturi si tarife'!$A$4:$B$39,2,FALSE)</f>
        <v>Regularizare Tarif distributie SDI MT Ea1</v>
      </c>
      <c r="L932" s="102">
        <f>IF(B932=1,'Date masura OD'!$I$5,IF(B932=19,'Date masura OD'!$AK$5,L931))</f>
        <v>45748</v>
      </c>
      <c r="M932" s="102">
        <f>IF(B932=1,'Date masura OD'!$J$5,IF(B932=19,'Date masura OD'!$AL$5,M931))</f>
        <v>45777</v>
      </c>
      <c r="N932" s="104">
        <f>VLOOKUP(E932,verificare!$AR$4:$CC$33,B932+2,FALSE)</f>
        <v>0</v>
      </c>
      <c r="O932" s="103">
        <f>HLOOKUP(VLOOKUP(E932,'Date SPV'!$B$4:$F$34,5,FALSE),'Preturi si tarife'!$C$2:$J$39,B932+2,FALSE)*10000</f>
        <v>170</v>
      </c>
      <c r="Q932" s="101" t="str">
        <f t="shared" si="121"/>
        <v>One-off</v>
      </c>
      <c r="R932" s="101" t="str">
        <f>VLOOKUP(K932,'Preturi si tarife'!$B$4:$K$39,10,FALSE)</f>
        <v>ICOENG0010</v>
      </c>
      <c r="T932" s="101" t="str">
        <f t="shared" si="122"/>
        <v>INV + 30</v>
      </c>
      <c r="V932" s="101" t="str">
        <f t="shared" si="123"/>
        <v>Active</v>
      </c>
      <c r="X932" s="101" t="str">
        <f t="shared" si="124"/>
        <v>One-off</v>
      </c>
      <c r="AC932" s="101" t="str">
        <f t="shared" si="128"/>
        <v>RON</v>
      </c>
      <c r="AD932" s="101">
        <f t="shared" si="128"/>
        <v>10000</v>
      </c>
    </row>
    <row r="933" spans="1:30">
      <c r="A933" s="101">
        <f t="shared" si="126"/>
        <v>26</v>
      </c>
      <c r="B933" s="101">
        <f t="shared" si="118"/>
        <v>32</v>
      </c>
      <c r="C933" s="101" t="str">
        <f t="shared" si="119"/>
        <v>T32</v>
      </c>
      <c r="D933" s="101" t="str">
        <f>IF(A933&lt;&gt;A932,VLOOKUP(A933,'Date SPV'!$A:$D,4,FALSE),D932)</f>
        <v>Nepi Ten Development Solutions  SRL</v>
      </c>
      <c r="E933" s="101" t="str">
        <f>VLOOKUP(A933,'Date SPV'!$A$4:$B$34,2,FALSE)</f>
        <v>RN10_Alexandria</v>
      </c>
      <c r="H933" s="105" t="s">
        <v>894</v>
      </c>
      <c r="K933" s="101" t="str">
        <f>VLOOKUP(C933,'Preturi si tarife'!$A$4:$B$39,2,FALSE)</f>
        <v>Regularizare Tarif distributie SDI JT Ea1</v>
      </c>
      <c r="L933" s="102">
        <f>IF(B933=1,'Date masura OD'!$I$5,IF(B933=19,'Date masura OD'!$AK$5,L932))</f>
        <v>45748</v>
      </c>
      <c r="M933" s="102">
        <f>IF(B933=1,'Date masura OD'!$J$5,IF(B933=19,'Date masura OD'!$AL$5,M932))</f>
        <v>45777</v>
      </c>
      <c r="N933" s="104">
        <f>VLOOKUP(E933,verificare!$AR$4:$CC$33,B933+2,FALSE)</f>
        <v>0</v>
      </c>
      <c r="O933" s="103">
        <f>HLOOKUP(VLOOKUP(E933,'Date SPV'!$B$4:$F$34,5,FALSE),'Preturi si tarife'!$C$2:$J$39,B933+2,FALSE)*10000</f>
        <v>1029</v>
      </c>
      <c r="Q933" s="101" t="str">
        <f t="shared" si="121"/>
        <v>One-off</v>
      </c>
      <c r="R933" s="101" t="str">
        <f>VLOOKUP(K933,'Preturi si tarife'!$B$4:$K$39,10,FALSE)</f>
        <v>ICOENG0010</v>
      </c>
      <c r="T933" s="101" t="str">
        <f t="shared" si="122"/>
        <v>INV + 30</v>
      </c>
      <c r="V933" s="101" t="str">
        <f t="shared" si="123"/>
        <v>Active</v>
      </c>
      <c r="X933" s="101" t="str">
        <f t="shared" si="124"/>
        <v>One-off</v>
      </c>
      <c r="AC933" s="101" t="str">
        <f t="shared" si="128"/>
        <v>RON</v>
      </c>
      <c r="AD933" s="101">
        <f t="shared" si="128"/>
        <v>10000</v>
      </c>
    </row>
    <row r="934" spans="1:30">
      <c r="A934" s="101">
        <f t="shared" si="126"/>
        <v>26</v>
      </c>
      <c r="B934" s="101">
        <f t="shared" si="118"/>
        <v>33</v>
      </c>
      <c r="C934" s="101" t="str">
        <f t="shared" si="119"/>
        <v>T33</v>
      </c>
      <c r="D934" s="101" t="str">
        <f>IF(A934&lt;&gt;A933,VLOOKUP(A934,'Date SPV'!$A:$D,4,FALSE),D933)</f>
        <v>Nepi Ten Development Solutions  SRL</v>
      </c>
      <c r="E934" s="101" t="str">
        <f>VLOOKUP(A934,'Date SPV'!$A$4:$B$34,2,FALSE)</f>
        <v>RN10_Alexandria</v>
      </c>
      <c r="H934" s="105" t="s">
        <v>894</v>
      </c>
      <c r="K934" s="101" t="str">
        <f>VLOOKUP(C934,'Preturi si tarife'!$A$4:$B$39,2,FALSE)</f>
        <v>Regularizare Energie activa 2</v>
      </c>
      <c r="L934" s="102">
        <f>IF(B934=1,'Date masura OD'!$I$5,IF(B934=19,'Date masura OD'!$AK$5,L933))</f>
        <v>45748</v>
      </c>
      <c r="M934" s="102">
        <f>IF(B934=1,'Date masura OD'!$J$5,IF(B934=19,'Date masura OD'!$AL$5,M933))</f>
        <v>45777</v>
      </c>
      <c r="N934" s="104">
        <f>VLOOKUP(E934,verificare!$AR$4:$CC$33,B934+2,FALSE)</f>
        <v>0</v>
      </c>
      <c r="O934" s="103">
        <f>HLOOKUP(VLOOKUP(E934,'Date SPV'!$B$4:$F$34,5,FALSE),'Preturi si tarife'!$C$2:$J$39,B934+2,FALSE)*10000</f>
        <v>9751.1759999999995</v>
      </c>
      <c r="Q934" s="101" t="str">
        <f t="shared" si="121"/>
        <v>One-off</v>
      </c>
      <c r="R934" s="101" t="str">
        <f>VLOOKUP(K934,'Preturi si tarife'!$B$4:$K$39,10,FALSE)</f>
        <v>ICOENG0012</v>
      </c>
      <c r="T934" s="101" t="str">
        <f t="shared" si="122"/>
        <v>INV + 30</v>
      </c>
      <c r="V934" s="101" t="str">
        <f t="shared" si="123"/>
        <v>Active</v>
      </c>
      <c r="X934" s="101" t="str">
        <f t="shared" si="124"/>
        <v>One-off</v>
      </c>
      <c r="AC934" s="101" t="str">
        <f t="shared" si="128"/>
        <v>RON</v>
      </c>
      <c r="AD934" s="101">
        <f t="shared" si="128"/>
        <v>10000</v>
      </c>
    </row>
    <row r="935" spans="1:30">
      <c r="A935" s="101">
        <f t="shared" si="126"/>
        <v>26</v>
      </c>
      <c r="B935" s="101">
        <f t="shared" si="118"/>
        <v>34</v>
      </c>
      <c r="C935" s="101" t="str">
        <f t="shared" si="119"/>
        <v>T34</v>
      </c>
      <c r="D935" s="101" t="str">
        <f>IF(A935&lt;&gt;A934,VLOOKUP(A935,'Date SPV'!$A:$D,4,FALSE),D934)</f>
        <v>Nepi Ten Development Solutions  SRL</v>
      </c>
      <c r="E935" s="101" t="str">
        <f>VLOOKUP(A935,'Date SPV'!$A$4:$B$34,2,FALSE)</f>
        <v>RN10_Alexandria</v>
      </c>
      <c r="H935" s="105" t="s">
        <v>894</v>
      </c>
      <c r="K935" s="101" t="str">
        <f>VLOOKUP(C935,'Preturi si tarife'!$A$4:$B$39,2,FALSE)</f>
        <v>Regularizare Energie activa 3</v>
      </c>
      <c r="L935" s="102">
        <f>IF(B935=1,'Date masura OD'!$I$5,IF(B935=19,'Date masura OD'!$AK$5,L934))</f>
        <v>45748</v>
      </c>
      <c r="M935" s="102">
        <f>IF(B935=1,'Date masura OD'!$J$5,IF(B935=19,'Date masura OD'!$AL$5,M934))</f>
        <v>45777</v>
      </c>
      <c r="N935" s="104">
        <f>VLOOKUP(E935,verificare!$AR$4:$CC$33,B935+2,FALSE)</f>
        <v>0</v>
      </c>
      <c r="O935" s="103">
        <f>HLOOKUP(VLOOKUP(E935,'Date SPV'!$B$4:$F$34,5,FALSE),'Preturi si tarife'!$C$2:$J$39,B935+2,FALSE)*10000</f>
        <v>8552.1759999999995</v>
      </c>
      <c r="Q935" s="101" t="str">
        <f t="shared" si="121"/>
        <v>One-off</v>
      </c>
      <c r="R935" s="101" t="str">
        <f>VLOOKUP(K935,'Preturi si tarife'!$B$4:$K$39,10,FALSE)</f>
        <v>ICOENG0012</v>
      </c>
      <c r="T935" s="101" t="str">
        <f t="shared" si="122"/>
        <v>INV + 30</v>
      </c>
      <c r="V935" s="101" t="str">
        <f t="shared" si="123"/>
        <v>Active</v>
      </c>
      <c r="X935" s="101" t="str">
        <f t="shared" si="124"/>
        <v>One-off</v>
      </c>
      <c r="AC935" s="101" t="str">
        <f t="shared" si="128"/>
        <v>RON</v>
      </c>
      <c r="AD935" s="101">
        <f t="shared" si="128"/>
        <v>10000</v>
      </c>
    </row>
    <row r="936" spans="1:30">
      <c r="A936" s="101">
        <f t="shared" si="126"/>
        <v>26</v>
      </c>
      <c r="B936" s="101">
        <f t="shared" si="118"/>
        <v>35</v>
      </c>
      <c r="C936" s="101" t="str">
        <f t="shared" si="119"/>
        <v>T35</v>
      </c>
      <c r="D936" s="101" t="str">
        <f>IF(A936&lt;&gt;A935,VLOOKUP(A936,'Date SPV'!$A:$D,4,FALSE),D935)</f>
        <v>Nepi Ten Development Solutions  SRL</v>
      </c>
      <c r="E936" s="101" t="str">
        <f>VLOOKUP(A936,'Date SPV'!$A$4:$B$34,2,FALSE)</f>
        <v>RN10_Alexandria</v>
      </c>
      <c r="H936" s="105" t="s">
        <v>894</v>
      </c>
      <c r="K936" s="101" t="str">
        <f>VLOOKUP(C936,'Preturi si tarife'!$A$4:$B$39,2,FALSE)</f>
        <v>Regularizare Tarif distributie SDI MT Ea3</v>
      </c>
      <c r="L936" s="102">
        <f>IF(B936=1,'Date masura OD'!$I$5,IF(B936=19,'Date masura OD'!$AK$5,L935))</f>
        <v>45748</v>
      </c>
      <c r="M936" s="102">
        <f>IF(B936=1,'Date masura OD'!$J$5,IF(B936=19,'Date masura OD'!$AL$5,M935))</f>
        <v>45777</v>
      </c>
      <c r="N936" s="104">
        <f>VLOOKUP(E936,verificare!$AR$4:$CC$33,B936+2,FALSE)</f>
        <v>0</v>
      </c>
      <c r="O936" s="103">
        <f>HLOOKUP(VLOOKUP(E936,'Date SPV'!$B$4:$F$34,5,FALSE),'Preturi si tarife'!$C$2:$J$39,B936+2,FALSE)*10000</f>
        <v>170</v>
      </c>
      <c r="Q936" s="101" t="str">
        <f t="shared" si="121"/>
        <v>One-off</v>
      </c>
      <c r="R936" s="101" t="str">
        <f>VLOOKUP(K936,'Preturi si tarife'!$B$4:$K$39,10,FALSE)</f>
        <v>ICOENG0010</v>
      </c>
      <c r="T936" s="101" t="str">
        <f t="shared" si="122"/>
        <v>INV + 30</v>
      </c>
      <c r="V936" s="101" t="str">
        <f t="shared" si="123"/>
        <v>Active</v>
      </c>
      <c r="X936" s="101" t="str">
        <f t="shared" si="124"/>
        <v>One-off</v>
      </c>
      <c r="AC936" s="101" t="str">
        <f t="shared" si="128"/>
        <v>RON</v>
      </c>
      <c r="AD936" s="101">
        <f t="shared" si="128"/>
        <v>10000</v>
      </c>
    </row>
    <row r="937" spans="1:30">
      <c r="A937" s="101">
        <f t="shared" si="126"/>
        <v>26</v>
      </c>
      <c r="B937" s="101">
        <f t="shared" si="118"/>
        <v>36</v>
      </c>
      <c r="C937" s="101" t="str">
        <f t="shared" si="119"/>
        <v>T36</v>
      </c>
      <c r="D937" s="101" t="str">
        <f>IF(A937&lt;&gt;A936,VLOOKUP(A937,'Date SPV'!$A:$D,4,FALSE),D936)</f>
        <v>Nepi Ten Development Solutions  SRL</v>
      </c>
      <c r="E937" s="101" t="str">
        <f>VLOOKUP(A937,'Date SPV'!$A$4:$B$34,2,FALSE)</f>
        <v>RN10_Alexandria</v>
      </c>
      <c r="H937" s="105" t="s">
        <v>894</v>
      </c>
      <c r="K937" s="101" t="str">
        <f>VLOOKUP(C937,'Preturi si tarife'!$A$4:$B$39,2,FALSE)</f>
        <v>Regularizare Tarif distributie SDI JT Ea3</v>
      </c>
      <c r="L937" s="102">
        <f>IF(B937=1,'Date masura OD'!$I$5,IF(B937=19,'Date masura OD'!$AK$5,L936))</f>
        <v>45748</v>
      </c>
      <c r="M937" s="102">
        <f>IF(B937=1,'Date masura OD'!$J$5,IF(B937=19,'Date masura OD'!$AL$5,M936))</f>
        <v>45777</v>
      </c>
      <c r="N937" s="104">
        <f>VLOOKUP(E937,verificare!$AR$4:$CC$33,B937+2,FALSE)</f>
        <v>0</v>
      </c>
      <c r="O937" s="103">
        <f>HLOOKUP(VLOOKUP(E937,'Date SPV'!$B$4:$F$34,5,FALSE),'Preturi si tarife'!$C$2:$J$39,B937+2,FALSE)*10000</f>
        <v>1029</v>
      </c>
      <c r="Q937" s="101" t="str">
        <f t="shared" si="121"/>
        <v>One-off</v>
      </c>
      <c r="R937" s="101" t="str">
        <f>VLOOKUP(K937,'Preturi si tarife'!$B$4:$K$39,10,FALSE)</f>
        <v>ICOENG0010</v>
      </c>
      <c r="T937" s="101" t="str">
        <f t="shared" si="122"/>
        <v>INV + 30</v>
      </c>
      <c r="V937" s="101" t="str">
        <f t="shared" si="123"/>
        <v>Active</v>
      </c>
      <c r="X937" s="101" t="str">
        <f t="shared" si="124"/>
        <v>One-off</v>
      </c>
      <c r="AC937" s="101" t="str">
        <f t="shared" si="128"/>
        <v>RON</v>
      </c>
      <c r="AD937" s="101">
        <f t="shared" si="128"/>
        <v>10000</v>
      </c>
    </row>
    <row r="938" spans="1:30">
      <c r="A938" s="101">
        <f t="shared" si="126"/>
        <v>27</v>
      </c>
      <c r="B938" s="101">
        <f t="shared" si="118"/>
        <v>1</v>
      </c>
      <c r="C938" s="101" t="str">
        <f t="shared" si="119"/>
        <v>T1</v>
      </c>
      <c r="D938" s="101" t="str">
        <f>IF(A938&lt;&gt;A937,VLOOKUP(A938,'Date SPV'!$A:$D,4,FALSE),D937)</f>
        <v>Nepi Ten Development Solutions  SRL</v>
      </c>
      <c r="E938" s="101" t="str">
        <f>VLOOKUP(A938,'Date SPV'!$A$4:$B$34,2,FALSE)</f>
        <v>RN10_Vaslui</v>
      </c>
      <c r="H938" s="105" t="s">
        <v>894</v>
      </c>
      <c r="K938" s="101" t="str">
        <f>VLOOKUP(C938,'Preturi si tarife'!$A$4:$B$39,2,FALSE)</f>
        <v>Energie activa 1</v>
      </c>
      <c r="L938" s="102">
        <f>IF(B938=1,'Date masura OD'!$I$5,IF(B938=19,'Date masura OD'!$AK$5,L937))</f>
        <v>45778</v>
      </c>
      <c r="M938" s="102">
        <f>IF(B938=1,'Date masura OD'!$J$5,IF(B938=19,'Date masura OD'!$AL$5,M937))</f>
        <v>45808</v>
      </c>
      <c r="N938" s="104">
        <f>VLOOKUP(E938,verificare!$AR$4:$CC$33,B938+2,FALSE)</f>
        <v>18663</v>
      </c>
      <c r="O938" s="103">
        <f>HLOOKUP(VLOOKUP(E938,'Date SPV'!$B$4:$F$34,5,FALSE),'Preturi si tarife'!$C$2:$J$39,B938+2,FALSE)*10000</f>
        <v>5950</v>
      </c>
      <c r="Q938" s="101" t="str">
        <f t="shared" si="121"/>
        <v>One-off</v>
      </c>
      <c r="R938" s="101" t="str">
        <f>VLOOKUP(K938,'Preturi si tarife'!$B$4:$K$39,10,FALSE)</f>
        <v>ICOENG0001</v>
      </c>
      <c r="T938" s="101" t="str">
        <f t="shared" si="122"/>
        <v>INV + 30</v>
      </c>
      <c r="V938" s="101" t="str">
        <f t="shared" si="123"/>
        <v>Active</v>
      </c>
      <c r="X938" s="101" t="str">
        <f t="shared" si="124"/>
        <v>One-off</v>
      </c>
      <c r="AC938" s="101" t="str">
        <f t="shared" si="128"/>
        <v>RON</v>
      </c>
      <c r="AD938" s="101">
        <f t="shared" si="128"/>
        <v>10000</v>
      </c>
    </row>
    <row r="939" spans="1:30">
      <c r="A939" s="101">
        <f t="shared" si="126"/>
        <v>27</v>
      </c>
      <c r="B939" s="101">
        <f t="shared" ref="B939:B982" si="129">IF(A939&lt;&gt;A938,1,B938+1)</f>
        <v>2</v>
      </c>
      <c r="C939" s="101" t="str">
        <f t="shared" ref="C939:C982" si="130">_xlfn.CONCAT("T",B939)</f>
        <v>T2</v>
      </c>
      <c r="D939" s="101" t="str">
        <f>IF(A939&lt;&gt;A938,VLOOKUP(A939,'Date SPV'!$A:$D,4,FALSE),D938)</f>
        <v>Nepi Ten Development Solutions  SRL</v>
      </c>
      <c r="E939" s="101" t="str">
        <f>VLOOKUP(A939,'Date SPV'!$A$4:$B$34,2,FALSE)</f>
        <v>RN10_Vaslui</v>
      </c>
      <c r="H939" s="105" t="s">
        <v>894</v>
      </c>
      <c r="K939" s="101" t="str">
        <f>VLOOKUP(C939,'Preturi si tarife'!$A$4:$B$39,2,FALSE)</f>
        <v>Energie reactiva  1X</v>
      </c>
      <c r="L939" s="102">
        <f>IF(B939=1,'Date masura OD'!$I$5,IF(B939=19,'Date masura OD'!$AK$5,L938))</f>
        <v>45778</v>
      </c>
      <c r="M939" s="102">
        <f>IF(B939=1,'Date masura OD'!$J$5,IF(B939=19,'Date masura OD'!$AL$5,M938))</f>
        <v>45808</v>
      </c>
      <c r="N939" s="104">
        <f>VLOOKUP(E939,verificare!$AR$4:$CC$33,B939+2,FALSE)</f>
        <v>0</v>
      </c>
      <c r="O939" s="103">
        <f>HLOOKUP(VLOOKUP(E939,'Date SPV'!$B$4:$F$34,5,FALSE),'Preturi si tarife'!$C$2:$J$39,B939+2,FALSE)*10000</f>
        <v>1466</v>
      </c>
      <c r="Q939" s="101" t="str">
        <f t="shared" si="121"/>
        <v>One-off</v>
      </c>
      <c r="R939" s="101" t="str">
        <f>VLOOKUP(K939,'Preturi si tarife'!$B$4:$K$39,10,FALSE)</f>
        <v>ICOENG0001</v>
      </c>
      <c r="T939" s="101" t="str">
        <f t="shared" si="122"/>
        <v>INV + 30</v>
      </c>
      <c r="V939" s="101" t="str">
        <f t="shared" si="123"/>
        <v>Active</v>
      </c>
      <c r="X939" s="101" t="str">
        <f t="shared" si="124"/>
        <v>One-off</v>
      </c>
      <c r="AC939" s="101" t="str">
        <f t="shared" si="128"/>
        <v>RON</v>
      </c>
      <c r="AD939" s="101">
        <f t="shared" si="128"/>
        <v>10000</v>
      </c>
    </row>
    <row r="940" spans="1:30">
      <c r="A940" s="101">
        <f t="shared" si="126"/>
        <v>27</v>
      </c>
      <c r="B940" s="101">
        <f t="shared" si="129"/>
        <v>3</v>
      </c>
      <c r="C940" s="101" t="str">
        <f t="shared" si="130"/>
        <v>T3</v>
      </c>
      <c r="D940" s="101" t="str">
        <f>IF(A940&lt;&gt;A939,VLOOKUP(A940,'Date SPV'!$A:$D,4,FALSE),D939)</f>
        <v>Nepi Ten Development Solutions  SRL</v>
      </c>
      <c r="E940" s="101" t="str">
        <f>VLOOKUP(A940,'Date SPV'!$A$4:$B$34,2,FALSE)</f>
        <v>RN10_Vaslui</v>
      </c>
      <c r="H940" s="105" t="s">
        <v>894</v>
      </c>
      <c r="K940" s="101" t="str">
        <f>VLOOKUP(C940,'Preturi si tarife'!$A$4:$B$39,2,FALSE)</f>
        <v>Energie reactiva  3X</v>
      </c>
      <c r="L940" s="102">
        <f>IF(B940=1,'Date masura OD'!$I$5,IF(B940=19,'Date masura OD'!$AK$5,L939))</f>
        <v>45778</v>
      </c>
      <c r="M940" s="102">
        <f>IF(B940=1,'Date masura OD'!$J$5,IF(B940=19,'Date masura OD'!$AL$5,M939))</f>
        <v>45808</v>
      </c>
      <c r="N940" s="104">
        <f>VLOOKUP(E940,verificare!$AR$4:$CC$33,B940+2,FALSE)</f>
        <v>0</v>
      </c>
      <c r="O940" s="103">
        <f>HLOOKUP(VLOOKUP(E940,'Date SPV'!$B$4:$F$34,5,FALSE),'Preturi si tarife'!$C$2:$J$39,B940+2,FALSE)*10000</f>
        <v>4398</v>
      </c>
      <c r="Q940" s="101" t="str">
        <f t="shared" si="121"/>
        <v>One-off</v>
      </c>
      <c r="R940" s="101" t="str">
        <f>VLOOKUP(K940,'Preturi si tarife'!$B$4:$K$39,10,FALSE)</f>
        <v>ICOENG0001</v>
      </c>
      <c r="T940" s="101" t="str">
        <f t="shared" si="122"/>
        <v>INV + 30</v>
      </c>
      <c r="V940" s="101" t="str">
        <f t="shared" si="123"/>
        <v>Active</v>
      </c>
      <c r="X940" s="101" t="str">
        <f t="shared" si="124"/>
        <v>One-off</v>
      </c>
      <c r="AC940" s="101" t="str">
        <f t="shared" si="128"/>
        <v>RON</v>
      </c>
      <c r="AD940" s="101">
        <f t="shared" si="128"/>
        <v>10000</v>
      </c>
    </row>
    <row r="941" spans="1:30">
      <c r="A941" s="101">
        <f t="shared" si="126"/>
        <v>27</v>
      </c>
      <c r="B941" s="101">
        <f t="shared" si="129"/>
        <v>4</v>
      </c>
      <c r="C941" s="101" t="str">
        <f t="shared" si="130"/>
        <v>T4</v>
      </c>
      <c r="D941" s="101" t="str">
        <f>IF(A941&lt;&gt;A940,VLOOKUP(A941,'Date SPV'!$A:$D,4,FALSE),D940)</f>
        <v>Nepi Ten Development Solutions  SRL</v>
      </c>
      <c r="E941" s="101" t="str">
        <f>VLOOKUP(A941,'Date SPV'!$A$4:$B$34,2,FALSE)</f>
        <v>RN10_Vaslui</v>
      </c>
      <c r="H941" s="105" t="s">
        <v>894</v>
      </c>
      <c r="K941" s="101" t="str">
        <f>VLOOKUP(C941,'Preturi si tarife'!$A$4:$B$39,2,FALSE)</f>
        <v>Tarife distributie en. El IT+MT</v>
      </c>
      <c r="L941" s="102">
        <f>IF(B941=1,'Date masura OD'!$I$5,IF(B941=19,'Date masura OD'!$AK$5,L940))</f>
        <v>45778</v>
      </c>
      <c r="M941" s="102">
        <f>IF(B941=1,'Date masura OD'!$J$5,IF(B941=19,'Date masura OD'!$AL$5,M940))</f>
        <v>45808</v>
      </c>
      <c r="N941" s="104">
        <f>VLOOKUP(E941,verificare!$AR$4:$CC$33,B941+2,FALSE)</f>
        <v>18663</v>
      </c>
      <c r="O941" s="103">
        <f>HLOOKUP(VLOOKUP(E941,'Date SPV'!$B$4:$F$34,5,FALSE),'Preturi si tarife'!$C$2:$J$39,B941+2,FALSE)*10000</f>
        <v>1134.8</v>
      </c>
      <c r="Q941" s="101" t="str">
        <f t="shared" si="121"/>
        <v>One-off</v>
      </c>
      <c r="R941" s="101" t="str">
        <f>VLOOKUP(K941,'Preturi si tarife'!$B$4:$K$39,10,FALSE)</f>
        <v>ICOENG0001</v>
      </c>
      <c r="T941" s="101" t="str">
        <f t="shared" si="122"/>
        <v>INV + 30</v>
      </c>
      <c r="V941" s="101" t="str">
        <f t="shared" si="123"/>
        <v>Active</v>
      </c>
      <c r="X941" s="101" t="str">
        <f t="shared" si="124"/>
        <v>One-off</v>
      </c>
      <c r="AC941" s="101" t="str">
        <f t="shared" ref="AC941:AD956" si="131">AC940</f>
        <v>RON</v>
      </c>
      <c r="AD941" s="101">
        <f t="shared" si="131"/>
        <v>10000</v>
      </c>
    </row>
    <row r="942" spans="1:30">
      <c r="A942" s="101">
        <f t="shared" si="126"/>
        <v>27</v>
      </c>
      <c r="B942" s="101">
        <f t="shared" si="129"/>
        <v>5</v>
      </c>
      <c r="C942" s="101" t="str">
        <f t="shared" si="130"/>
        <v>T5</v>
      </c>
      <c r="D942" s="101" t="str">
        <f>IF(A942&lt;&gt;A941,VLOOKUP(A942,'Date SPV'!$A:$D,4,FALSE),D941)</f>
        <v>Nepi Ten Development Solutions  SRL</v>
      </c>
      <c r="E942" s="101" t="str">
        <f>VLOOKUP(A942,'Date SPV'!$A$4:$B$34,2,FALSE)</f>
        <v>RN10_Vaslui</v>
      </c>
      <c r="H942" s="105" t="s">
        <v>894</v>
      </c>
      <c r="K942" s="101" t="str">
        <f>VLOOKUP(C942,'Preturi si tarife'!$A$4:$B$39,2,FALSE)</f>
        <v>Tarife distributie en. El JT</v>
      </c>
      <c r="L942" s="102">
        <f>IF(B942=1,'Date masura OD'!$I$5,IF(B942=19,'Date masura OD'!$AK$5,L941))</f>
        <v>45778</v>
      </c>
      <c r="M942" s="102">
        <f>IF(B942=1,'Date masura OD'!$J$5,IF(B942=19,'Date masura OD'!$AL$5,M941))</f>
        <v>45808</v>
      </c>
      <c r="N942" s="104">
        <f>VLOOKUP(E942,verificare!$AR$4:$CC$33,B942+2,FALSE)</f>
        <v>0</v>
      </c>
      <c r="O942" s="103">
        <f>HLOOKUP(VLOOKUP(E942,'Date SPV'!$B$4:$F$34,5,FALSE),'Preturi si tarife'!$C$2:$J$39,B942+2,FALSE)*10000</f>
        <v>2397.5</v>
      </c>
      <c r="Q942" s="101" t="str">
        <f t="shared" si="121"/>
        <v>One-off</v>
      </c>
      <c r="R942" s="101" t="str">
        <f>VLOOKUP(K942,'Preturi si tarife'!$B$4:$K$39,10,FALSE)</f>
        <v>ICOENG0001</v>
      </c>
      <c r="T942" s="101" t="str">
        <f t="shared" si="122"/>
        <v>INV + 30</v>
      </c>
      <c r="V942" s="101" t="str">
        <f t="shared" si="123"/>
        <v>Active</v>
      </c>
      <c r="X942" s="101" t="str">
        <f t="shared" si="124"/>
        <v>One-off</v>
      </c>
      <c r="AC942" s="101" t="str">
        <f t="shared" si="131"/>
        <v>RON</v>
      </c>
      <c r="AD942" s="101">
        <f t="shared" si="131"/>
        <v>10000</v>
      </c>
    </row>
    <row r="943" spans="1:30">
      <c r="A943" s="101">
        <f t="shared" si="126"/>
        <v>27</v>
      </c>
      <c r="B943" s="101">
        <f t="shared" si="129"/>
        <v>6</v>
      </c>
      <c r="C943" s="101" t="str">
        <f t="shared" si="130"/>
        <v>T6</v>
      </c>
      <c r="D943" s="101" t="str">
        <f>IF(A943&lt;&gt;A942,VLOOKUP(A943,'Date SPV'!$A:$D,4,FALSE),D942)</f>
        <v>Nepi Ten Development Solutions  SRL</v>
      </c>
      <c r="E943" s="101" t="str">
        <f>VLOOKUP(A943,'Date SPV'!$A$4:$B$34,2,FALSE)</f>
        <v>RN10_Vaslui</v>
      </c>
      <c r="H943" s="105" t="s">
        <v>894</v>
      </c>
      <c r="K943" s="101" t="str">
        <f>VLOOKUP(C943,'Preturi si tarife'!$A$4:$B$39,2,FALSE)</f>
        <v xml:space="preserve">Servicii Sistem </v>
      </c>
      <c r="L943" s="102">
        <f>IF(B943=1,'Date masura OD'!$I$5,IF(B943=19,'Date masura OD'!$AK$5,L942))</f>
        <v>45778</v>
      </c>
      <c r="M943" s="102">
        <f>IF(B943=1,'Date masura OD'!$J$5,IF(B943=19,'Date masura OD'!$AL$5,M942))</f>
        <v>45808</v>
      </c>
      <c r="N943" s="104">
        <f>VLOOKUP(E943,verificare!$AR$4:$CC$33,B943+2,FALSE)</f>
        <v>18663</v>
      </c>
      <c r="O943" s="103">
        <f>HLOOKUP(VLOOKUP(E943,'Date SPV'!$B$4:$F$34,5,FALSE),'Preturi si tarife'!$C$2:$J$39,B943+2,FALSE)*10000</f>
        <v>115.1</v>
      </c>
      <c r="Q943" s="101" t="str">
        <f t="shared" si="121"/>
        <v>One-off</v>
      </c>
      <c r="R943" s="101" t="str">
        <f>VLOOKUP(K943,'Preturi si tarife'!$B$4:$K$39,10,FALSE)</f>
        <v>ICOENG0001</v>
      </c>
      <c r="T943" s="101" t="str">
        <f t="shared" si="122"/>
        <v>INV + 30</v>
      </c>
      <c r="V943" s="101" t="str">
        <f t="shared" si="123"/>
        <v>Active</v>
      </c>
      <c r="X943" s="101" t="str">
        <f t="shared" si="124"/>
        <v>One-off</v>
      </c>
      <c r="AC943" s="101" t="str">
        <f t="shared" si="131"/>
        <v>RON</v>
      </c>
      <c r="AD943" s="101">
        <f t="shared" si="131"/>
        <v>10000</v>
      </c>
    </row>
    <row r="944" spans="1:30">
      <c r="A944" s="101">
        <f t="shared" si="126"/>
        <v>27</v>
      </c>
      <c r="B944" s="101">
        <f t="shared" si="129"/>
        <v>7</v>
      </c>
      <c r="C944" s="101" t="str">
        <f t="shared" si="130"/>
        <v>T7</v>
      </c>
      <c r="D944" s="101" t="str">
        <f>IF(A944&lt;&gt;A943,VLOOKUP(A944,'Date SPV'!$A:$D,4,FALSE),D943)</f>
        <v>Nepi Ten Development Solutions  SRL</v>
      </c>
      <c r="E944" s="101" t="str">
        <f>VLOOKUP(A944,'Date SPV'!$A$4:$B$34,2,FALSE)</f>
        <v>RN10_Vaslui</v>
      </c>
      <c r="H944" s="105" t="s">
        <v>894</v>
      </c>
      <c r="K944" s="101" t="str">
        <f>VLOOKUP(C944,'Preturi si tarife'!$A$4:$B$39,2,FALSE)</f>
        <v>Tarif de introducere en. el in retea (TL)</v>
      </c>
      <c r="L944" s="102">
        <f>IF(B944=1,'Date masura OD'!$I$5,IF(B944=19,'Date masura OD'!$AK$5,L943))</f>
        <v>45778</v>
      </c>
      <c r="M944" s="102">
        <f>IF(B944=1,'Date masura OD'!$J$5,IF(B944=19,'Date masura OD'!$AL$5,M943))</f>
        <v>45808</v>
      </c>
      <c r="N944" s="104">
        <f>VLOOKUP(E944,verificare!$AR$4:$CC$33,B944+2,FALSE)</f>
        <v>18663</v>
      </c>
      <c r="O944" s="103">
        <f>HLOOKUP(VLOOKUP(E944,'Date SPV'!$B$4:$F$34,5,FALSE),'Preturi si tarife'!$C$2:$J$39,B944+2,FALSE)*10000</f>
        <v>330.3</v>
      </c>
      <c r="Q944" s="101" t="str">
        <f t="shared" si="121"/>
        <v>One-off</v>
      </c>
      <c r="R944" s="101" t="str">
        <f>VLOOKUP(K944,'Preturi si tarife'!$B$4:$K$39,10,FALSE)</f>
        <v>ICOENG0001</v>
      </c>
      <c r="T944" s="101" t="str">
        <f t="shared" si="122"/>
        <v>INV + 30</v>
      </c>
      <c r="V944" s="101" t="str">
        <f t="shared" si="123"/>
        <v>Active</v>
      </c>
      <c r="X944" s="101" t="str">
        <f t="shared" si="124"/>
        <v>One-off</v>
      </c>
      <c r="AC944" s="101" t="str">
        <f t="shared" si="131"/>
        <v>RON</v>
      </c>
      <c r="AD944" s="101">
        <f t="shared" si="131"/>
        <v>10000</v>
      </c>
    </row>
    <row r="945" spans="1:30">
      <c r="A945" s="101">
        <f t="shared" si="126"/>
        <v>27</v>
      </c>
      <c r="B945" s="101">
        <f t="shared" si="129"/>
        <v>8</v>
      </c>
      <c r="C945" s="101" t="str">
        <f t="shared" si="130"/>
        <v>T8</v>
      </c>
      <c r="D945" s="101" t="str">
        <f>IF(A945&lt;&gt;A944,VLOOKUP(A945,'Date SPV'!$A:$D,4,FALSE),D944)</f>
        <v>Nepi Ten Development Solutions  SRL</v>
      </c>
      <c r="E945" s="101" t="str">
        <f>VLOOKUP(A945,'Date SPV'!$A$4:$B$34,2,FALSE)</f>
        <v>RN10_Vaslui</v>
      </c>
      <c r="H945" s="105" t="s">
        <v>894</v>
      </c>
      <c r="K945" s="101" t="str">
        <f>VLOOKUP(C945,'Preturi si tarife'!$A$4:$B$39,2,FALSE)</f>
        <v>Tarif de introducere en.el in retea (TG)</v>
      </c>
      <c r="L945" s="102">
        <f>IF(B945=1,'Date masura OD'!$I$5,IF(B945=19,'Date masura OD'!$AK$5,L944))</f>
        <v>45778</v>
      </c>
      <c r="M945" s="102">
        <f>IF(B945=1,'Date masura OD'!$J$5,IF(B945=19,'Date masura OD'!$AL$5,M944))</f>
        <v>45808</v>
      </c>
      <c r="N945" s="104">
        <f>VLOOKUP(E945,verificare!$AR$4:$CC$33,B945+2,FALSE)</f>
        <v>18663</v>
      </c>
      <c r="O945" s="103">
        <f>HLOOKUP(VLOOKUP(E945,'Date SPV'!$B$4:$F$34,5,FALSE),'Preturi si tarife'!$C$2:$J$39,B945+2,FALSE)*10000</f>
        <v>32.9</v>
      </c>
      <c r="Q945" s="101" t="str">
        <f t="shared" si="121"/>
        <v>One-off</v>
      </c>
      <c r="R945" s="101" t="str">
        <f>VLOOKUP(K945,'Preturi si tarife'!$B$4:$K$39,10,FALSE)</f>
        <v>ICOENG0001</v>
      </c>
      <c r="T945" s="101" t="str">
        <f t="shared" si="122"/>
        <v>INV + 30</v>
      </c>
      <c r="V945" s="101" t="str">
        <f t="shared" si="123"/>
        <v>Active</v>
      </c>
      <c r="X945" s="101" t="str">
        <f t="shared" si="124"/>
        <v>One-off</v>
      </c>
      <c r="AC945" s="101" t="str">
        <f t="shared" si="131"/>
        <v>RON</v>
      </c>
      <c r="AD945" s="101">
        <f t="shared" si="131"/>
        <v>10000</v>
      </c>
    </row>
    <row r="946" spans="1:30">
      <c r="A946" s="101">
        <f t="shared" si="126"/>
        <v>27</v>
      </c>
      <c r="B946" s="101">
        <f t="shared" si="129"/>
        <v>9</v>
      </c>
      <c r="C946" s="101" t="str">
        <f t="shared" si="130"/>
        <v>T9</v>
      </c>
      <c r="D946" s="101" t="str">
        <f>IF(A946&lt;&gt;A945,VLOOKUP(A946,'Date SPV'!$A:$D,4,FALSE),D945)</f>
        <v>Nepi Ten Development Solutions  SRL</v>
      </c>
      <c r="E946" s="101" t="str">
        <f>VLOOKUP(A946,'Date SPV'!$A$4:$B$34,2,FALSE)</f>
        <v>RN10_Vaslui</v>
      </c>
      <c r="H946" s="105" t="s">
        <v>894</v>
      </c>
      <c r="K946" s="101" t="str">
        <f>VLOOKUP(C946,'Preturi si tarife'!$A$4:$B$39,2,FALSE)</f>
        <v>Contributie pentru cogenerare</v>
      </c>
      <c r="L946" s="102">
        <f>IF(B946=1,'Date masura OD'!$I$5,IF(B946=19,'Date masura OD'!$AK$5,L945))</f>
        <v>45778</v>
      </c>
      <c r="M946" s="102">
        <f>IF(B946=1,'Date masura OD'!$J$5,IF(B946=19,'Date masura OD'!$AL$5,M945))</f>
        <v>45808</v>
      </c>
      <c r="N946" s="104">
        <f>VLOOKUP(E946,verificare!$AR$4:$CC$33,B946+2,FALSE)</f>
        <v>18663</v>
      </c>
      <c r="O946" s="103">
        <f>HLOOKUP(VLOOKUP(E946,'Date SPV'!$B$4:$F$34,5,FALSE),'Preturi si tarife'!$C$2:$J$39,B946+2,FALSE)*10000</f>
        <v>35</v>
      </c>
      <c r="Q946" s="101" t="str">
        <f t="shared" si="121"/>
        <v>One-off</v>
      </c>
      <c r="R946" s="101" t="str">
        <f>VLOOKUP(K946,'Preturi si tarife'!$B$4:$K$39,10,FALSE)</f>
        <v>ICOENG0001</v>
      </c>
      <c r="T946" s="101" t="str">
        <f t="shared" si="122"/>
        <v>INV + 30</v>
      </c>
      <c r="V946" s="101" t="str">
        <f t="shared" si="123"/>
        <v>Active</v>
      </c>
      <c r="X946" s="101" t="str">
        <f t="shared" si="124"/>
        <v>One-off</v>
      </c>
      <c r="AC946" s="101" t="str">
        <f t="shared" si="131"/>
        <v>RON</v>
      </c>
      <c r="AD946" s="101">
        <f t="shared" si="131"/>
        <v>10000</v>
      </c>
    </row>
    <row r="947" spans="1:30">
      <c r="A947" s="101">
        <f t="shared" si="126"/>
        <v>27</v>
      </c>
      <c r="B947" s="101">
        <f t="shared" si="129"/>
        <v>10</v>
      </c>
      <c r="C947" s="101" t="str">
        <f t="shared" si="130"/>
        <v>T10</v>
      </c>
      <c r="D947" s="101" t="str">
        <f>IF(A947&lt;&gt;A946,VLOOKUP(A947,'Date SPV'!$A:$D,4,FALSE),D946)</f>
        <v>Nepi Ten Development Solutions  SRL</v>
      </c>
      <c r="E947" s="101" t="str">
        <f>VLOOKUP(A947,'Date SPV'!$A$4:$B$34,2,FALSE)</f>
        <v>RN10_Vaslui</v>
      </c>
      <c r="H947" s="105" t="s">
        <v>894</v>
      </c>
      <c r="K947" s="101" t="str">
        <f>VLOOKUP(C947,'Preturi si tarife'!$A$4:$B$39,2,FALSE)</f>
        <v xml:space="preserve">Certificate verzi </v>
      </c>
      <c r="L947" s="102">
        <f>IF(B947=1,'Date masura OD'!$I$5,IF(B947=19,'Date masura OD'!$AK$5,L946))</f>
        <v>45778</v>
      </c>
      <c r="M947" s="102">
        <f>IF(B947=1,'Date masura OD'!$J$5,IF(B947=19,'Date masura OD'!$AL$5,M946))</f>
        <v>45808</v>
      </c>
      <c r="N947" s="104">
        <f>VLOOKUP(E947,verificare!$AR$4:$CC$33,B947+2,FALSE)</f>
        <v>18663</v>
      </c>
      <c r="O947" s="103">
        <f>HLOOKUP(VLOOKUP(E947,'Date SPV'!$B$4:$F$34,5,FALSE),'Preturi si tarife'!$C$2:$J$39,B947+2,FALSE)*10000</f>
        <v>725.41599999999994</v>
      </c>
      <c r="Q947" s="101" t="str">
        <f t="shared" si="121"/>
        <v>One-off</v>
      </c>
      <c r="R947" s="101" t="str">
        <f>VLOOKUP(K947,'Preturi si tarife'!$B$4:$K$39,10,FALSE)</f>
        <v>ICOENG0001</v>
      </c>
      <c r="T947" s="101" t="str">
        <f t="shared" si="122"/>
        <v>INV + 30</v>
      </c>
      <c r="V947" s="101" t="str">
        <f t="shared" si="123"/>
        <v>Active</v>
      </c>
      <c r="X947" s="101" t="str">
        <f t="shared" si="124"/>
        <v>One-off</v>
      </c>
      <c r="AC947" s="101" t="str">
        <f t="shared" si="131"/>
        <v>RON</v>
      </c>
      <c r="AD947" s="101">
        <f t="shared" si="131"/>
        <v>10000</v>
      </c>
    </row>
    <row r="948" spans="1:30">
      <c r="A948" s="101">
        <f t="shared" si="126"/>
        <v>27</v>
      </c>
      <c r="B948" s="101">
        <f t="shared" si="129"/>
        <v>11</v>
      </c>
      <c r="C948" s="101" t="str">
        <f t="shared" si="130"/>
        <v>T11</v>
      </c>
      <c r="D948" s="101" t="str">
        <f>IF(A948&lt;&gt;A947,VLOOKUP(A948,'Date SPV'!$A:$D,4,FALSE),D947)</f>
        <v>Nepi Ten Development Solutions  SRL</v>
      </c>
      <c r="E948" s="101" t="str">
        <f>VLOOKUP(A948,'Date SPV'!$A$4:$B$34,2,FALSE)</f>
        <v>RN10_Vaslui</v>
      </c>
      <c r="H948" s="105" t="s">
        <v>894</v>
      </c>
      <c r="K948" s="101" t="str">
        <f>VLOOKUP(C948,'Preturi si tarife'!$A$4:$B$39,2,FALSE)</f>
        <v>Contributie CFD</v>
      </c>
      <c r="L948" s="102">
        <f>IF(B948=1,'Date masura OD'!$I$5,IF(B948=19,'Date masura OD'!$AK$5,L947))</f>
        <v>45778</v>
      </c>
      <c r="M948" s="102">
        <f>IF(B948=1,'Date masura OD'!$J$5,IF(B948=19,'Date masura OD'!$AL$5,M947))</f>
        <v>45808</v>
      </c>
      <c r="N948" s="104">
        <f>VLOOKUP(E948,verificare!$AR$4:$CC$33,B948+2,FALSE)</f>
        <v>18663</v>
      </c>
      <c r="O948" s="103">
        <f>HLOOKUP(VLOOKUP(E948,'Date SPV'!$B$4:$F$34,5,FALSE),'Preturi si tarife'!$C$2:$J$39,B948+2,FALSE)*10000</f>
        <v>2.06</v>
      </c>
      <c r="Q948" s="101" t="str">
        <f t="shared" si="121"/>
        <v>One-off</v>
      </c>
      <c r="R948" s="101" t="str">
        <f>VLOOKUP(K948,'Preturi si tarife'!$B$4:$K$39,10,FALSE)</f>
        <v>ICOENG0001</v>
      </c>
      <c r="T948" s="101" t="str">
        <f t="shared" si="122"/>
        <v>INV + 30</v>
      </c>
      <c r="V948" s="101" t="str">
        <f t="shared" si="123"/>
        <v>Active</v>
      </c>
      <c r="X948" s="101" t="str">
        <f t="shared" si="124"/>
        <v>One-off</v>
      </c>
      <c r="AC948" s="101" t="str">
        <f t="shared" si="131"/>
        <v>RON</v>
      </c>
      <c r="AD948" s="101">
        <f t="shared" si="131"/>
        <v>10000</v>
      </c>
    </row>
    <row r="949" spans="1:30">
      <c r="A949" s="101">
        <f t="shared" si="126"/>
        <v>27</v>
      </c>
      <c r="B949" s="101">
        <f t="shared" si="129"/>
        <v>12</v>
      </c>
      <c r="C949" s="101" t="str">
        <f t="shared" si="130"/>
        <v>T12</v>
      </c>
      <c r="D949" s="101" t="str">
        <f>IF(A949&lt;&gt;A948,VLOOKUP(A949,'Date SPV'!$A:$D,4,FALSE),D948)</f>
        <v>Nepi Ten Development Solutions  SRL</v>
      </c>
      <c r="E949" s="101" t="str">
        <f>VLOOKUP(A949,'Date SPV'!$A$4:$B$34,2,FALSE)</f>
        <v>RN10_Vaslui</v>
      </c>
      <c r="H949" s="105" t="s">
        <v>894</v>
      </c>
      <c r="K949" s="101" t="str">
        <f>VLOOKUP(C949,'Preturi si tarife'!$A$4:$B$39,2,FALSE)</f>
        <v>Acciza</v>
      </c>
      <c r="L949" s="102">
        <f>IF(B949=1,'Date masura OD'!$I$5,IF(B949=19,'Date masura OD'!$AK$5,L948))</f>
        <v>45778</v>
      </c>
      <c r="M949" s="102">
        <f>IF(B949=1,'Date masura OD'!$J$5,IF(B949=19,'Date masura OD'!$AL$5,M948))</f>
        <v>45808</v>
      </c>
      <c r="N949" s="104">
        <f>VLOOKUP(E949,verificare!$AR$4:$CC$33,B949+2,FALSE)</f>
        <v>18663</v>
      </c>
      <c r="O949" s="103">
        <f>HLOOKUP(VLOOKUP(E949,'Date SPV'!$B$4:$F$34,5,FALSE),'Preturi si tarife'!$C$2:$J$39,B949+2,FALSE)*10000</f>
        <v>0</v>
      </c>
      <c r="Q949" s="101" t="str">
        <f t="shared" si="121"/>
        <v>One-off</v>
      </c>
      <c r="R949" s="101" t="str">
        <f>VLOOKUP(K949,'Preturi si tarife'!$B$4:$K$39,10,FALSE)</f>
        <v>ICOENG0001</v>
      </c>
      <c r="T949" s="101" t="str">
        <f t="shared" si="122"/>
        <v>INV + 30</v>
      </c>
      <c r="V949" s="101" t="str">
        <f t="shared" si="123"/>
        <v>Active</v>
      </c>
      <c r="X949" s="101" t="str">
        <f t="shared" si="124"/>
        <v>One-off</v>
      </c>
      <c r="AC949" s="101" t="str">
        <f t="shared" si="131"/>
        <v>RON</v>
      </c>
      <c r="AD949" s="101">
        <f t="shared" si="131"/>
        <v>10000</v>
      </c>
    </row>
    <row r="950" spans="1:30">
      <c r="A950" s="101">
        <f t="shared" si="126"/>
        <v>27</v>
      </c>
      <c r="B950" s="101">
        <f t="shared" si="129"/>
        <v>13</v>
      </c>
      <c r="C950" s="101" t="str">
        <f t="shared" si="130"/>
        <v>T13</v>
      </c>
      <c r="D950" s="101" t="str">
        <f>IF(A950&lt;&gt;A949,VLOOKUP(A950,'Date SPV'!$A:$D,4,FALSE),D949)</f>
        <v>Nepi Ten Development Solutions  SRL</v>
      </c>
      <c r="E950" s="101" t="str">
        <f>VLOOKUP(A950,'Date SPV'!$A$4:$B$34,2,FALSE)</f>
        <v>RN10_Vaslui</v>
      </c>
      <c r="H950" s="105" t="s">
        <v>894</v>
      </c>
      <c r="K950" s="101" t="str">
        <f>VLOOKUP(C950,'Preturi si tarife'!$A$4:$B$39,2,FALSE)</f>
        <v>Tarif distributie SDI MT</v>
      </c>
      <c r="L950" s="102">
        <f>IF(B950=1,'Date masura OD'!$I$5,IF(B950=19,'Date masura OD'!$AK$5,L949))</f>
        <v>45778</v>
      </c>
      <c r="M950" s="102">
        <f>IF(B950=1,'Date masura OD'!$J$5,IF(B950=19,'Date masura OD'!$AL$5,M949))</f>
        <v>45808</v>
      </c>
      <c r="N950" s="104">
        <f>VLOOKUP(E950,verificare!$AR$4:$CC$33,B950+2,FALSE)</f>
        <v>18663</v>
      </c>
      <c r="O950" s="103">
        <f>HLOOKUP(VLOOKUP(E950,'Date SPV'!$B$4:$F$34,5,FALSE),'Preturi si tarife'!$C$2:$J$39,B950+2,FALSE)*10000</f>
        <v>131</v>
      </c>
      <c r="Q950" s="101" t="str">
        <f t="shared" si="121"/>
        <v>One-off</v>
      </c>
      <c r="R950" s="101" t="str">
        <f>VLOOKUP(K950,'Preturi si tarife'!$B$4:$K$39,10,FALSE)</f>
        <v>ICOENG0010</v>
      </c>
      <c r="T950" s="101" t="str">
        <f t="shared" si="122"/>
        <v>INV + 30</v>
      </c>
      <c r="V950" s="101" t="str">
        <f t="shared" si="123"/>
        <v>Active</v>
      </c>
      <c r="X950" s="101" t="str">
        <f t="shared" si="124"/>
        <v>One-off</v>
      </c>
      <c r="AC950" s="101" t="str">
        <f t="shared" si="131"/>
        <v>RON</v>
      </c>
      <c r="AD950" s="101">
        <f t="shared" si="131"/>
        <v>10000</v>
      </c>
    </row>
    <row r="951" spans="1:30">
      <c r="A951" s="101">
        <f t="shared" si="126"/>
        <v>27</v>
      </c>
      <c r="B951" s="101">
        <f t="shared" si="129"/>
        <v>14</v>
      </c>
      <c r="C951" s="101" t="str">
        <f t="shared" si="130"/>
        <v>T14</v>
      </c>
      <c r="D951" s="101" t="str">
        <f>IF(A951&lt;&gt;A950,VLOOKUP(A951,'Date SPV'!$A:$D,4,FALSE),D950)</f>
        <v>Nepi Ten Development Solutions  SRL</v>
      </c>
      <c r="E951" s="101" t="str">
        <f>VLOOKUP(A951,'Date SPV'!$A$4:$B$34,2,FALSE)</f>
        <v>RN10_Vaslui</v>
      </c>
      <c r="H951" s="105" t="s">
        <v>894</v>
      </c>
      <c r="K951" s="101" t="str">
        <f>VLOOKUP(C951,'Preturi si tarife'!$A$4:$B$39,2,FALSE)</f>
        <v>Tarif distributie SDI JT</v>
      </c>
      <c r="L951" s="102">
        <f>IF(B951=1,'Date masura OD'!$I$5,IF(B951=19,'Date masura OD'!$AK$5,L950))</f>
        <v>45778</v>
      </c>
      <c r="M951" s="102">
        <f>IF(B951=1,'Date masura OD'!$J$5,IF(B951=19,'Date masura OD'!$AL$5,M950))</f>
        <v>45808</v>
      </c>
      <c r="N951" s="104">
        <f>VLOOKUP(E951,verificare!$AR$4:$CC$33,B951+2,FALSE)</f>
        <v>18663</v>
      </c>
      <c r="O951" s="103">
        <f>HLOOKUP(VLOOKUP(E951,'Date SPV'!$B$4:$F$34,5,FALSE),'Preturi si tarife'!$C$2:$J$39,B951+2,FALSE)*10000</f>
        <v>1029</v>
      </c>
      <c r="Q951" s="101" t="str">
        <f t="shared" si="121"/>
        <v>One-off</v>
      </c>
      <c r="R951" s="101" t="str">
        <f>VLOOKUP(K951,'Preturi si tarife'!$B$4:$K$39,10,FALSE)</f>
        <v>ICOENG0010</v>
      </c>
      <c r="T951" s="101" t="str">
        <f t="shared" si="122"/>
        <v>INV + 30</v>
      </c>
      <c r="V951" s="101" t="str">
        <f t="shared" si="123"/>
        <v>Active</v>
      </c>
      <c r="X951" s="101" t="str">
        <f t="shared" si="124"/>
        <v>One-off</v>
      </c>
      <c r="AC951" s="101" t="str">
        <f t="shared" si="131"/>
        <v>RON</v>
      </c>
      <c r="AD951" s="101">
        <f t="shared" si="131"/>
        <v>10000</v>
      </c>
    </row>
    <row r="952" spans="1:30">
      <c r="A952" s="101">
        <f t="shared" si="126"/>
        <v>27</v>
      </c>
      <c r="B952" s="101">
        <f t="shared" si="129"/>
        <v>15</v>
      </c>
      <c r="C952" s="101" t="str">
        <f t="shared" si="130"/>
        <v>T15</v>
      </c>
      <c r="D952" s="101" t="str">
        <f>IF(A952&lt;&gt;A951,VLOOKUP(A952,'Date SPV'!$A:$D,4,FALSE),D951)</f>
        <v>Nepi Ten Development Solutions  SRL</v>
      </c>
      <c r="E952" s="101" t="str">
        <f>VLOOKUP(A952,'Date SPV'!$A$4:$B$34,2,FALSE)</f>
        <v>RN10_Vaslui</v>
      </c>
      <c r="H952" s="105" t="s">
        <v>894</v>
      </c>
      <c r="K952" s="101" t="str">
        <f>VLOOKUP(C952,'Preturi si tarife'!$A$4:$B$39,2,FALSE)</f>
        <v>Energie activa 2</v>
      </c>
      <c r="L952" s="102">
        <f>IF(B952=1,'Date masura OD'!$I$5,IF(B952=19,'Date masura OD'!$AK$5,L951))</f>
        <v>45778</v>
      </c>
      <c r="M952" s="102">
        <f>IF(B952=1,'Date masura OD'!$J$5,IF(B952=19,'Date masura OD'!$AL$5,M951))</f>
        <v>45808</v>
      </c>
      <c r="N952" s="104">
        <f>VLOOKUP(E952,verificare!$AR$4:$CC$33,B952+2,FALSE)</f>
        <v>9902</v>
      </c>
      <c r="O952" s="103">
        <f>HLOOKUP(VLOOKUP(E952,'Date SPV'!$B$4:$F$34,5,FALSE),'Preturi si tarife'!$C$2:$J$39,B952+2,FALSE)*10000</f>
        <v>9485.5759999999991</v>
      </c>
      <c r="Q952" s="101" t="str">
        <f t="shared" si="121"/>
        <v>One-off</v>
      </c>
      <c r="R952" s="101" t="str">
        <f>VLOOKUP(K952,'Preturi si tarife'!$B$4:$K$39,10,FALSE)</f>
        <v>ICOENG0012</v>
      </c>
      <c r="T952" s="101" t="str">
        <f t="shared" si="122"/>
        <v>INV + 30</v>
      </c>
      <c r="V952" s="101" t="str">
        <f t="shared" si="123"/>
        <v>Active</v>
      </c>
      <c r="X952" s="101" t="str">
        <f t="shared" si="124"/>
        <v>One-off</v>
      </c>
      <c r="AC952" s="101" t="str">
        <f t="shared" si="131"/>
        <v>RON</v>
      </c>
      <c r="AD952" s="101">
        <f t="shared" si="131"/>
        <v>10000</v>
      </c>
    </row>
    <row r="953" spans="1:30">
      <c r="A953" s="101">
        <f t="shared" si="126"/>
        <v>27</v>
      </c>
      <c r="B953" s="101">
        <f t="shared" si="129"/>
        <v>16</v>
      </c>
      <c r="C953" s="101" t="str">
        <f t="shared" si="130"/>
        <v>T16</v>
      </c>
      <c r="D953" s="101" t="str">
        <f>IF(A953&lt;&gt;A952,VLOOKUP(A953,'Date SPV'!$A:$D,4,FALSE),D952)</f>
        <v>Nepi Ten Development Solutions  SRL</v>
      </c>
      <c r="E953" s="101" t="str">
        <f>VLOOKUP(A953,'Date SPV'!$A$4:$B$34,2,FALSE)</f>
        <v>RN10_Vaslui</v>
      </c>
      <c r="H953" s="105" t="s">
        <v>894</v>
      </c>
      <c r="K953" s="101" t="str">
        <f>VLOOKUP(C953,'Preturi si tarife'!$A$4:$B$39,2,FALSE)</f>
        <v>Energie activa 3</v>
      </c>
      <c r="L953" s="102">
        <f>IF(B953=1,'Date masura OD'!$I$5,IF(B953=19,'Date masura OD'!$AK$5,L952))</f>
        <v>45778</v>
      </c>
      <c r="M953" s="102">
        <f>IF(B953=1,'Date masura OD'!$J$5,IF(B953=19,'Date masura OD'!$AL$5,M952))</f>
        <v>45808</v>
      </c>
      <c r="N953" s="104">
        <f>VLOOKUP(E953,verificare!$AR$4:$CC$33,B953+2,FALSE)</f>
        <v>6506</v>
      </c>
      <c r="O953" s="103">
        <f>HLOOKUP(VLOOKUP(E953,'Date SPV'!$B$4:$F$34,5,FALSE),'Preturi si tarife'!$C$2:$J$39,B953+2,FALSE)*10000</f>
        <v>8325.5760000000009</v>
      </c>
      <c r="Q953" s="101" t="str">
        <f t="shared" si="121"/>
        <v>One-off</v>
      </c>
      <c r="R953" s="101" t="str">
        <f>VLOOKUP(K953,'Preturi si tarife'!$B$4:$K$39,10,FALSE)</f>
        <v>ICOENG0012</v>
      </c>
      <c r="T953" s="101" t="str">
        <f t="shared" si="122"/>
        <v>INV + 30</v>
      </c>
      <c r="V953" s="101" t="str">
        <f t="shared" si="123"/>
        <v>Active</v>
      </c>
      <c r="X953" s="101" t="str">
        <f t="shared" si="124"/>
        <v>One-off</v>
      </c>
      <c r="AC953" s="101" t="str">
        <f t="shared" si="131"/>
        <v>RON</v>
      </c>
      <c r="AD953" s="101">
        <f t="shared" si="131"/>
        <v>10000</v>
      </c>
    </row>
    <row r="954" spans="1:30">
      <c r="A954" s="101">
        <f t="shared" si="126"/>
        <v>27</v>
      </c>
      <c r="B954" s="101">
        <f t="shared" si="129"/>
        <v>17</v>
      </c>
      <c r="C954" s="101" t="str">
        <f t="shared" si="130"/>
        <v>T17</v>
      </c>
      <c r="D954" s="101" t="str">
        <f>IF(A954&lt;&gt;A953,VLOOKUP(A954,'Date SPV'!$A:$D,4,FALSE),D953)</f>
        <v>Nepi Ten Development Solutions  SRL</v>
      </c>
      <c r="E954" s="101" t="str">
        <f>VLOOKUP(A954,'Date SPV'!$A$4:$B$34,2,FALSE)</f>
        <v>RN10_Vaslui</v>
      </c>
      <c r="H954" s="105" t="s">
        <v>894</v>
      </c>
      <c r="K954" s="101" t="str">
        <f>VLOOKUP(C954,'Preturi si tarife'!$A$4:$B$39,2,FALSE)</f>
        <v>Tarif distributie SDI MT_</v>
      </c>
      <c r="L954" s="102">
        <f>IF(B954=1,'Date masura OD'!$I$5,IF(B954=19,'Date masura OD'!$AK$5,L953))</f>
        <v>45778</v>
      </c>
      <c r="M954" s="102">
        <f>IF(B954=1,'Date masura OD'!$J$5,IF(B954=19,'Date masura OD'!$AL$5,M953))</f>
        <v>45808</v>
      </c>
      <c r="N954" s="104">
        <f>VLOOKUP(E954,verificare!$AR$4:$CC$33,B954+2,FALSE)</f>
        <v>6506</v>
      </c>
      <c r="O954" s="103">
        <f>HLOOKUP(VLOOKUP(E954,'Date SPV'!$B$4:$F$34,5,FALSE),'Preturi si tarife'!$C$2:$J$39,B954+2,FALSE)*10000</f>
        <v>131</v>
      </c>
      <c r="Q954" s="101" t="str">
        <f t="shared" si="121"/>
        <v>One-off</v>
      </c>
      <c r="R954" s="101" t="str">
        <f>VLOOKUP(K954,'Preturi si tarife'!$B$4:$K$39,10,FALSE)</f>
        <v>ICOENG0010</v>
      </c>
      <c r="T954" s="101" t="str">
        <f t="shared" si="122"/>
        <v>INV + 30</v>
      </c>
      <c r="V954" s="101" t="str">
        <f t="shared" si="123"/>
        <v>Active</v>
      </c>
      <c r="X954" s="101" t="str">
        <f t="shared" si="124"/>
        <v>One-off</v>
      </c>
      <c r="AC954" s="101" t="str">
        <f t="shared" si="131"/>
        <v>RON</v>
      </c>
      <c r="AD954" s="101">
        <f t="shared" si="131"/>
        <v>10000</v>
      </c>
    </row>
    <row r="955" spans="1:30">
      <c r="A955" s="101">
        <f t="shared" si="126"/>
        <v>27</v>
      </c>
      <c r="B955" s="101">
        <f t="shared" si="129"/>
        <v>18</v>
      </c>
      <c r="C955" s="101" t="str">
        <f t="shared" si="130"/>
        <v>T18</v>
      </c>
      <c r="D955" s="101" t="str">
        <f>IF(A955&lt;&gt;A954,VLOOKUP(A955,'Date SPV'!$A:$D,4,FALSE),D954)</f>
        <v>Nepi Ten Development Solutions  SRL</v>
      </c>
      <c r="E955" s="101" t="str">
        <f>VLOOKUP(A955,'Date SPV'!$A$4:$B$34,2,FALSE)</f>
        <v>RN10_Vaslui</v>
      </c>
      <c r="H955" s="105" t="s">
        <v>894</v>
      </c>
      <c r="K955" s="101" t="str">
        <f>VLOOKUP(C955,'Preturi si tarife'!$A$4:$B$39,2,FALSE)</f>
        <v>Tarif distributie SDI JT_</v>
      </c>
      <c r="L955" s="102">
        <f>IF(B955=1,'Date masura OD'!$I$5,IF(B955=19,'Date masura OD'!$AK$5,L954))</f>
        <v>45778</v>
      </c>
      <c r="M955" s="102">
        <f>IF(B955=1,'Date masura OD'!$J$5,IF(B955=19,'Date masura OD'!$AL$5,M954))</f>
        <v>45808</v>
      </c>
      <c r="N955" s="104">
        <f>VLOOKUP(E955,verificare!$AR$4:$CC$33,B955+2,FALSE)</f>
        <v>6506</v>
      </c>
      <c r="O955" s="103">
        <f>HLOOKUP(VLOOKUP(E955,'Date SPV'!$B$4:$F$34,5,FALSE),'Preturi si tarife'!$C$2:$J$39,B955+2,FALSE)*10000</f>
        <v>1029</v>
      </c>
      <c r="Q955" s="101" t="str">
        <f t="shared" si="121"/>
        <v>One-off</v>
      </c>
      <c r="R955" s="101" t="str">
        <f>VLOOKUP(K955,'Preturi si tarife'!$B$4:$K$39,10,FALSE)</f>
        <v>ICOENG0010</v>
      </c>
      <c r="T955" s="101" t="str">
        <f t="shared" si="122"/>
        <v>INV + 30</v>
      </c>
      <c r="V955" s="101" t="str">
        <f t="shared" si="123"/>
        <v>Active</v>
      </c>
      <c r="X955" s="101" t="str">
        <f t="shared" si="124"/>
        <v>One-off</v>
      </c>
      <c r="AC955" s="101" t="str">
        <f t="shared" si="131"/>
        <v>RON</v>
      </c>
      <c r="AD955" s="101">
        <f t="shared" si="131"/>
        <v>10000</v>
      </c>
    </row>
    <row r="956" spans="1:30">
      <c r="A956" s="101">
        <f t="shared" si="126"/>
        <v>27</v>
      </c>
      <c r="B956" s="101">
        <f t="shared" si="129"/>
        <v>19</v>
      </c>
      <c r="C956" s="101" t="str">
        <f t="shared" si="130"/>
        <v>T19</v>
      </c>
      <c r="D956" s="101" t="str">
        <f>IF(A956&lt;&gt;A955,VLOOKUP(A956,'Date SPV'!$A:$D,4,FALSE),D955)</f>
        <v>Nepi Ten Development Solutions  SRL</v>
      </c>
      <c r="E956" s="101" t="str">
        <f>VLOOKUP(A956,'Date SPV'!$A$4:$B$34,2,FALSE)</f>
        <v>RN10_Vaslui</v>
      </c>
      <c r="H956" s="105" t="s">
        <v>894</v>
      </c>
      <c r="K956" s="101" t="str">
        <f>VLOOKUP(C956,'Preturi si tarife'!$A$4:$B$39,2,FALSE)</f>
        <v>Regularizare Energie activa 1</v>
      </c>
      <c r="L956" s="102">
        <f>IF(B956=1,'Date masura OD'!$I$5,IF(B956=19,'Date masura OD'!$AK$5,L955))</f>
        <v>45748</v>
      </c>
      <c r="M956" s="102">
        <f>IF(B956=1,'Date masura OD'!$J$5,IF(B956=19,'Date masura OD'!$AL$5,M955))</f>
        <v>45777</v>
      </c>
      <c r="N956" s="104">
        <f>VLOOKUP(E956,verificare!$AR$4:$CC$33,B956+2,FALSE)</f>
        <v>0</v>
      </c>
      <c r="O956" s="103">
        <f>HLOOKUP(VLOOKUP(E956,'Date SPV'!$B$4:$F$34,5,FALSE),'Preturi si tarife'!$C$2:$J$39,B956+2,FALSE)*10000</f>
        <v>5950</v>
      </c>
      <c r="Q956" s="101" t="str">
        <f t="shared" ref="Q956:Q1020" si="132">Q955</f>
        <v>One-off</v>
      </c>
      <c r="R956" s="101" t="str">
        <f>VLOOKUP(K956,'Preturi si tarife'!$B$4:$K$39,10,FALSE)</f>
        <v>ICOENG0001</v>
      </c>
      <c r="T956" s="101" t="str">
        <f t="shared" ref="T956:T1020" si="133">T955</f>
        <v>INV + 30</v>
      </c>
      <c r="V956" s="101" t="str">
        <f t="shared" ref="V956:V1020" si="134">V955</f>
        <v>Active</v>
      </c>
      <c r="X956" s="101" t="str">
        <f t="shared" ref="X956:X1020" si="135">X955</f>
        <v>One-off</v>
      </c>
      <c r="AC956" s="101" t="str">
        <f t="shared" si="131"/>
        <v>RON</v>
      </c>
      <c r="AD956" s="101">
        <f t="shared" si="131"/>
        <v>10000</v>
      </c>
    </row>
    <row r="957" spans="1:30">
      <c r="A957" s="101">
        <f t="shared" si="126"/>
        <v>27</v>
      </c>
      <c r="B957" s="101">
        <f t="shared" si="129"/>
        <v>20</v>
      </c>
      <c r="C957" s="101" t="str">
        <f t="shared" si="130"/>
        <v>T20</v>
      </c>
      <c r="D957" s="101" t="str">
        <f>IF(A957&lt;&gt;A956,VLOOKUP(A957,'Date SPV'!$A:$D,4,FALSE),D956)</f>
        <v>Nepi Ten Development Solutions  SRL</v>
      </c>
      <c r="E957" s="101" t="str">
        <f>VLOOKUP(A957,'Date SPV'!$A$4:$B$34,2,FALSE)</f>
        <v>RN10_Vaslui</v>
      </c>
      <c r="H957" s="105" t="s">
        <v>894</v>
      </c>
      <c r="K957" s="101" t="str">
        <f>VLOOKUP(C957,'Preturi si tarife'!$A$4:$B$39,2,FALSE)</f>
        <v>Regularizare Energie reactiva  1X</v>
      </c>
      <c r="L957" s="102">
        <f>IF(B957=1,'Date masura OD'!$I$5,IF(B957=19,'Date masura OD'!$AK$5,L956))</f>
        <v>45748</v>
      </c>
      <c r="M957" s="102">
        <f>IF(B957=1,'Date masura OD'!$J$5,IF(B957=19,'Date masura OD'!$AL$5,M956))</f>
        <v>45777</v>
      </c>
      <c r="N957" s="104">
        <f>VLOOKUP(E957,verificare!$AR$4:$CC$33,B957+2,FALSE)</f>
        <v>3553</v>
      </c>
      <c r="O957" s="103">
        <f>HLOOKUP(VLOOKUP(E957,'Date SPV'!$B$4:$F$34,5,FALSE),'Preturi si tarife'!$C$2:$J$39,B957+2,FALSE)*10000</f>
        <v>1466</v>
      </c>
      <c r="Q957" s="101" t="str">
        <f t="shared" si="132"/>
        <v>One-off</v>
      </c>
      <c r="R957" s="101" t="str">
        <f>VLOOKUP(K957,'Preturi si tarife'!$B$4:$K$39,10,FALSE)</f>
        <v>ICOENG0001</v>
      </c>
      <c r="T957" s="101" t="str">
        <f t="shared" si="133"/>
        <v>INV + 30</v>
      </c>
      <c r="V957" s="101" t="str">
        <f t="shared" si="134"/>
        <v>Active</v>
      </c>
      <c r="X957" s="101" t="str">
        <f t="shared" si="135"/>
        <v>One-off</v>
      </c>
      <c r="AC957" s="101" t="str">
        <f t="shared" ref="AC957:AD972" si="136">AC956</f>
        <v>RON</v>
      </c>
      <c r="AD957" s="101">
        <f t="shared" si="136"/>
        <v>10000</v>
      </c>
    </row>
    <row r="958" spans="1:30">
      <c r="A958" s="101">
        <f t="shared" si="126"/>
        <v>27</v>
      </c>
      <c r="B958" s="101">
        <f t="shared" si="129"/>
        <v>21</v>
      </c>
      <c r="C958" s="101" t="str">
        <f t="shared" si="130"/>
        <v>T21</v>
      </c>
      <c r="D958" s="101" t="str">
        <f>IF(A958&lt;&gt;A957,VLOOKUP(A958,'Date SPV'!$A:$D,4,FALSE),D957)</f>
        <v>Nepi Ten Development Solutions  SRL</v>
      </c>
      <c r="E958" s="101" t="str">
        <f>VLOOKUP(A958,'Date SPV'!$A$4:$B$34,2,FALSE)</f>
        <v>RN10_Vaslui</v>
      </c>
      <c r="H958" s="105" t="s">
        <v>894</v>
      </c>
      <c r="K958" s="101" t="str">
        <f>VLOOKUP(C958,'Preturi si tarife'!$A$4:$B$39,2,FALSE)</f>
        <v>Regularizare Energie reactiva  3X</v>
      </c>
      <c r="L958" s="102">
        <f>IF(B958=1,'Date masura OD'!$I$5,IF(B958=19,'Date masura OD'!$AK$5,L957))</f>
        <v>45748</v>
      </c>
      <c r="M958" s="102">
        <f>IF(B958=1,'Date masura OD'!$J$5,IF(B958=19,'Date masura OD'!$AL$5,M957))</f>
        <v>45777</v>
      </c>
      <c r="N958" s="104">
        <f>VLOOKUP(E958,verificare!$AR$4:$CC$33,B958+2,FALSE)</f>
        <v>772</v>
      </c>
      <c r="O958" s="103">
        <f>HLOOKUP(VLOOKUP(E958,'Date SPV'!$B$4:$F$34,5,FALSE),'Preturi si tarife'!$C$2:$J$39,B958+2,FALSE)*10000</f>
        <v>4398</v>
      </c>
      <c r="Q958" s="101" t="str">
        <f t="shared" si="132"/>
        <v>One-off</v>
      </c>
      <c r="R958" s="101" t="str">
        <f>VLOOKUP(K958,'Preturi si tarife'!$B$4:$K$39,10,FALSE)</f>
        <v>ICOENG0001</v>
      </c>
      <c r="T958" s="101" t="str">
        <f t="shared" si="133"/>
        <v>INV + 30</v>
      </c>
      <c r="V958" s="101" t="str">
        <f t="shared" si="134"/>
        <v>Active</v>
      </c>
      <c r="X958" s="101" t="str">
        <f t="shared" si="135"/>
        <v>One-off</v>
      </c>
      <c r="AC958" s="101" t="str">
        <f t="shared" si="136"/>
        <v>RON</v>
      </c>
      <c r="AD958" s="101">
        <f t="shared" si="136"/>
        <v>10000</v>
      </c>
    </row>
    <row r="959" spans="1:30">
      <c r="A959" s="101">
        <f t="shared" si="126"/>
        <v>27</v>
      </c>
      <c r="B959" s="101">
        <f t="shared" si="129"/>
        <v>22</v>
      </c>
      <c r="C959" s="101" t="str">
        <f t="shared" si="130"/>
        <v>T22</v>
      </c>
      <c r="D959" s="101" t="str">
        <f>IF(A959&lt;&gt;A958,VLOOKUP(A959,'Date SPV'!$A:$D,4,FALSE),D958)</f>
        <v>Nepi Ten Development Solutions  SRL</v>
      </c>
      <c r="E959" s="101" t="str">
        <f>VLOOKUP(A959,'Date SPV'!$A$4:$B$34,2,FALSE)</f>
        <v>RN10_Vaslui</v>
      </c>
      <c r="H959" s="105" t="s">
        <v>894</v>
      </c>
      <c r="K959" s="101" t="str">
        <f>VLOOKUP(C959,'Preturi si tarife'!$A$4:$B$39,2,FALSE)</f>
        <v>Regularizare Tarife distributie en. El IT+MT</v>
      </c>
      <c r="L959" s="102">
        <f>IF(B959=1,'Date masura OD'!$I$5,IF(B959=19,'Date masura OD'!$AK$5,L958))</f>
        <v>45748</v>
      </c>
      <c r="M959" s="102">
        <f>IF(B959=1,'Date masura OD'!$J$5,IF(B959=19,'Date masura OD'!$AL$5,M958))</f>
        <v>45777</v>
      </c>
      <c r="N959" s="104">
        <f>VLOOKUP(E959,verificare!$AR$4:$CC$33,B959+2,FALSE)</f>
        <v>0</v>
      </c>
      <c r="O959" s="103">
        <f>HLOOKUP(VLOOKUP(E959,'Date SPV'!$B$4:$F$34,5,FALSE),'Preturi si tarife'!$C$2:$J$39,B959+2,FALSE)*10000</f>
        <v>1134.8</v>
      </c>
      <c r="Q959" s="101" t="str">
        <f t="shared" si="132"/>
        <v>One-off</v>
      </c>
      <c r="R959" s="101" t="str">
        <f>VLOOKUP(K959,'Preturi si tarife'!$B$4:$K$39,10,FALSE)</f>
        <v>ICOENG0001</v>
      </c>
      <c r="T959" s="101" t="str">
        <f t="shared" si="133"/>
        <v>INV + 30</v>
      </c>
      <c r="V959" s="101" t="str">
        <f t="shared" si="134"/>
        <v>Active</v>
      </c>
      <c r="X959" s="101" t="str">
        <f t="shared" si="135"/>
        <v>One-off</v>
      </c>
      <c r="AC959" s="101" t="str">
        <f t="shared" si="136"/>
        <v>RON</v>
      </c>
      <c r="AD959" s="101">
        <f t="shared" si="136"/>
        <v>10000</v>
      </c>
    </row>
    <row r="960" spans="1:30">
      <c r="A960" s="101">
        <f t="shared" si="126"/>
        <v>27</v>
      </c>
      <c r="B960" s="101">
        <f t="shared" si="129"/>
        <v>23</v>
      </c>
      <c r="C960" s="101" t="str">
        <f t="shared" si="130"/>
        <v>T23</v>
      </c>
      <c r="D960" s="101" t="str">
        <f>IF(A960&lt;&gt;A959,VLOOKUP(A960,'Date SPV'!$A:$D,4,FALSE),D959)</f>
        <v>Nepi Ten Development Solutions  SRL</v>
      </c>
      <c r="E960" s="101" t="str">
        <f>VLOOKUP(A960,'Date SPV'!$A$4:$B$34,2,FALSE)</f>
        <v>RN10_Vaslui</v>
      </c>
      <c r="H960" s="105" t="s">
        <v>894</v>
      </c>
      <c r="K960" s="101" t="str">
        <f>VLOOKUP(C960,'Preturi si tarife'!$A$4:$B$39,2,FALSE)</f>
        <v>Regularizare Tarife distributie en. El JT</v>
      </c>
      <c r="L960" s="102">
        <f>IF(B960=1,'Date masura OD'!$I$5,IF(B960=19,'Date masura OD'!$AK$5,L959))</f>
        <v>45748</v>
      </c>
      <c r="M960" s="102">
        <f>IF(B960=1,'Date masura OD'!$J$5,IF(B960=19,'Date masura OD'!$AL$5,M959))</f>
        <v>45777</v>
      </c>
      <c r="N960" s="104">
        <f>VLOOKUP(E960,verificare!$AR$4:$CC$33,B960+2,FALSE)</f>
        <v>0</v>
      </c>
      <c r="O960" s="103">
        <f>HLOOKUP(VLOOKUP(E960,'Date SPV'!$B$4:$F$34,5,FALSE),'Preturi si tarife'!$C$2:$J$39,B960+2,FALSE)*10000</f>
        <v>2397.5</v>
      </c>
      <c r="Q960" s="101" t="str">
        <f t="shared" si="132"/>
        <v>One-off</v>
      </c>
      <c r="R960" s="101" t="str">
        <f>VLOOKUP(K960,'Preturi si tarife'!$B$4:$K$39,10,FALSE)</f>
        <v>ICOENG0001</v>
      </c>
      <c r="T960" s="101" t="str">
        <f t="shared" si="133"/>
        <v>INV + 30</v>
      </c>
      <c r="V960" s="101" t="str">
        <f t="shared" si="134"/>
        <v>Active</v>
      </c>
      <c r="X960" s="101" t="str">
        <f t="shared" si="135"/>
        <v>One-off</v>
      </c>
      <c r="AC960" s="101" t="str">
        <f t="shared" si="136"/>
        <v>RON</v>
      </c>
      <c r="AD960" s="101">
        <f t="shared" si="136"/>
        <v>10000</v>
      </c>
    </row>
    <row r="961" spans="1:30">
      <c r="A961" s="101">
        <f t="shared" si="126"/>
        <v>27</v>
      </c>
      <c r="B961" s="101">
        <f t="shared" si="129"/>
        <v>24</v>
      </c>
      <c r="C961" s="101" t="str">
        <f t="shared" si="130"/>
        <v>T24</v>
      </c>
      <c r="D961" s="101" t="str">
        <f>IF(A961&lt;&gt;A960,VLOOKUP(A961,'Date SPV'!$A:$D,4,FALSE),D960)</f>
        <v>Nepi Ten Development Solutions  SRL</v>
      </c>
      <c r="E961" s="101" t="str">
        <f>VLOOKUP(A961,'Date SPV'!$A$4:$B$34,2,FALSE)</f>
        <v>RN10_Vaslui</v>
      </c>
      <c r="H961" s="105" t="s">
        <v>894</v>
      </c>
      <c r="K961" s="101" t="str">
        <f>VLOOKUP(C961,'Preturi si tarife'!$A$4:$B$39,2,FALSE)</f>
        <v xml:space="preserve">Regularizare Servicii Sistem </v>
      </c>
      <c r="L961" s="102">
        <f>IF(B961=1,'Date masura OD'!$I$5,IF(B961=19,'Date masura OD'!$AK$5,L960))</f>
        <v>45748</v>
      </c>
      <c r="M961" s="102">
        <f>IF(B961=1,'Date masura OD'!$J$5,IF(B961=19,'Date masura OD'!$AL$5,M960))</f>
        <v>45777</v>
      </c>
      <c r="N961" s="104">
        <f>VLOOKUP(E961,verificare!$AR$4:$CC$33,B961+2,FALSE)</f>
        <v>0</v>
      </c>
      <c r="O961" s="103">
        <f>HLOOKUP(VLOOKUP(E961,'Date SPV'!$B$4:$F$34,5,FALSE),'Preturi si tarife'!$C$2:$J$39,B961+2,FALSE)*10000</f>
        <v>115.1</v>
      </c>
      <c r="Q961" s="101" t="str">
        <f t="shared" si="132"/>
        <v>One-off</v>
      </c>
      <c r="R961" s="101" t="str">
        <f>VLOOKUP(K961,'Preturi si tarife'!$B$4:$K$39,10,FALSE)</f>
        <v>ICOENG0001</v>
      </c>
      <c r="T961" s="101" t="str">
        <f t="shared" si="133"/>
        <v>INV + 30</v>
      </c>
      <c r="V961" s="101" t="str">
        <f t="shared" si="134"/>
        <v>Active</v>
      </c>
      <c r="X961" s="101" t="str">
        <f t="shared" si="135"/>
        <v>One-off</v>
      </c>
      <c r="AC961" s="101" t="str">
        <f t="shared" si="136"/>
        <v>RON</v>
      </c>
      <c r="AD961" s="101">
        <f t="shared" si="136"/>
        <v>10000</v>
      </c>
    </row>
    <row r="962" spans="1:30">
      <c r="A962" s="101">
        <f t="shared" si="126"/>
        <v>27</v>
      </c>
      <c r="B962" s="101">
        <f t="shared" si="129"/>
        <v>25</v>
      </c>
      <c r="C962" s="101" t="str">
        <f t="shared" si="130"/>
        <v>T25</v>
      </c>
      <c r="D962" s="101" t="str">
        <f>IF(A962&lt;&gt;A961,VLOOKUP(A962,'Date SPV'!$A:$D,4,FALSE),D961)</f>
        <v>Nepi Ten Development Solutions  SRL</v>
      </c>
      <c r="E962" s="101" t="str">
        <f>VLOOKUP(A962,'Date SPV'!$A$4:$B$34,2,FALSE)</f>
        <v>RN10_Vaslui</v>
      </c>
      <c r="H962" s="105" t="s">
        <v>894</v>
      </c>
      <c r="K962" s="101" t="str">
        <f>VLOOKUP(C962,'Preturi si tarife'!$A$4:$B$39,2,FALSE)</f>
        <v>Regularizare Tarif de introducere en. el in retea (TL)</v>
      </c>
      <c r="L962" s="102">
        <f>IF(B962=1,'Date masura OD'!$I$5,IF(B962=19,'Date masura OD'!$AK$5,L961))</f>
        <v>45748</v>
      </c>
      <c r="M962" s="102">
        <f>IF(B962=1,'Date masura OD'!$J$5,IF(B962=19,'Date masura OD'!$AL$5,M961))</f>
        <v>45777</v>
      </c>
      <c r="N962" s="104">
        <f>VLOOKUP(E962,verificare!$AR$4:$CC$33,B962+2,FALSE)</f>
        <v>0</v>
      </c>
      <c r="O962" s="103">
        <f>HLOOKUP(VLOOKUP(E962,'Date SPV'!$B$4:$F$34,5,FALSE),'Preturi si tarife'!$C$2:$J$39,B962+2,FALSE)*10000</f>
        <v>330.3</v>
      </c>
      <c r="Q962" s="101" t="str">
        <f t="shared" si="132"/>
        <v>One-off</v>
      </c>
      <c r="R962" s="101" t="str">
        <f>VLOOKUP(K962,'Preturi si tarife'!$B$4:$K$39,10,FALSE)</f>
        <v>ICOENG0001</v>
      </c>
      <c r="T962" s="101" t="str">
        <f t="shared" si="133"/>
        <v>INV + 30</v>
      </c>
      <c r="V962" s="101" t="str">
        <f t="shared" si="134"/>
        <v>Active</v>
      </c>
      <c r="X962" s="101" t="str">
        <f t="shared" si="135"/>
        <v>One-off</v>
      </c>
      <c r="AC962" s="101" t="str">
        <f t="shared" si="136"/>
        <v>RON</v>
      </c>
      <c r="AD962" s="101">
        <f t="shared" si="136"/>
        <v>10000</v>
      </c>
    </row>
    <row r="963" spans="1:30">
      <c r="A963" s="101">
        <f t="shared" si="126"/>
        <v>27</v>
      </c>
      <c r="B963" s="101">
        <f t="shared" si="129"/>
        <v>26</v>
      </c>
      <c r="C963" s="101" t="str">
        <f t="shared" si="130"/>
        <v>T26</v>
      </c>
      <c r="D963" s="101" t="str">
        <f>IF(A963&lt;&gt;A962,VLOOKUP(A963,'Date SPV'!$A:$D,4,FALSE),D962)</f>
        <v>Nepi Ten Development Solutions  SRL</v>
      </c>
      <c r="E963" s="101" t="str">
        <f>VLOOKUP(A963,'Date SPV'!$A$4:$B$34,2,FALSE)</f>
        <v>RN10_Vaslui</v>
      </c>
      <c r="H963" s="105" t="s">
        <v>894</v>
      </c>
      <c r="K963" s="101" t="str">
        <f>VLOOKUP(C963,'Preturi si tarife'!$A$4:$B$39,2,FALSE)</f>
        <v>Regularizare Tarif de introducere en.el in retea (TG)</v>
      </c>
      <c r="L963" s="102">
        <f>IF(B963=1,'Date masura OD'!$I$5,IF(B963=19,'Date masura OD'!$AK$5,L962))</f>
        <v>45748</v>
      </c>
      <c r="M963" s="102">
        <f>IF(B963=1,'Date masura OD'!$J$5,IF(B963=19,'Date masura OD'!$AL$5,M962))</f>
        <v>45777</v>
      </c>
      <c r="N963" s="104">
        <f>VLOOKUP(E963,verificare!$AR$4:$CC$33,B963+2,FALSE)</f>
        <v>0</v>
      </c>
      <c r="O963" s="103">
        <f>HLOOKUP(VLOOKUP(E963,'Date SPV'!$B$4:$F$34,5,FALSE),'Preturi si tarife'!$C$2:$J$39,B963+2,FALSE)*10000</f>
        <v>32.9</v>
      </c>
      <c r="Q963" s="101" t="str">
        <f t="shared" si="132"/>
        <v>One-off</v>
      </c>
      <c r="R963" s="101" t="str">
        <f>VLOOKUP(K963,'Preturi si tarife'!$B$4:$K$39,10,FALSE)</f>
        <v>ICOENG0001</v>
      </c>
      <c r="T963" s="101" t="str">
        <f t="shared" si="133"/>
        <v>INV + 30</v>
      </c>
      <c r="V963" s="101" t="str">
        <f t="shared" si="134"/>
        <v>Active</v>
      </c>
      <c r="X963" s="101" t="str">
        <f t="shared" si="135"/>
        <v>One-off</v>
      </c>
      <c r="AC963" s="101" t="str">
        <f t="shared" si="136"/>
        <v>RON</v>
      </c>
      <c r="AD963" s="101">
        <f t="shared" si="136"/>
        <v>10000</v>
      </c>
    </row>
    <row r="964" spans="1:30">
      <c r="A964" s="101">
        <f t="shared" ref="A964:A982" si="137">IF(B963=36,A963+1,A963)</f>
        <v>27</v>
      </c>
      <c r="B964" s="101">
        <f t="shared" si="129"/>
        <v>27</v>
      </c>
      <c r="C964" s="101" t="str">
        <f t="shared" si="130"/>
        <v>T27</v>
      </c>
      <c r="D964" s="101" t="str">
        <f>IF(A964&lt;&gt;A963,VLOOKUP(A964,'Date SPV'!$A:$D,4,FALSE),D963)</f>
        <v>Nepi Ten Development Solutions  SRL</v>
      </c>
      <c r="E964" s="101" t="str">
        <f>VLOOKUP(A964,'Date SPV'!$A$4:$B$34,2,FALSE)</f>
        <v>RN10_Vaslui</v>
      </c>
      <c r="H964" s="105" t="s">
        <v>894</v>
      </c>
      <c r="K964" s="101" t="str">
        <f>VLOOKUP(C964,'Preturi si tarife'!$A$4:$B$39,2,FALSE)</f>
        <v>Regularizare Contributie pentru cogenerare</v>
      </c>
      <c r="L964" s="102">
        <f>IF(B964=1,'Date masura OD'!$I$5,IF(B964=19,'Date masura OD'!$AK$5,L963))</f>
        <v>45748</v>
      </c>
      <c r="M964" s="102">
        <f>IF(B964=1,'Date masura OD'!$J$5,IF(B964=19,'Date masura OD'!$AL$5,M963))</f>
        <v>45777</v>
      </c>
      <c r="N964" s="104">
        <f>VLOOKUP(E964,verificare!$AR$4:$CC$33,B964+2,FALSE)</f>
        <v>0</v>
      </c>
      <c r="O964" s="103">
        <f>HLOOKUP(VLOOKUP(E964,'Date SPV'!$B$4:$F$34,5,FALSE),'Preturi si tarife'!$C$2:$J$39,B964+2,FALSE)*10000</f>
        <v>35</v>
      </c>
      <c r="Q964" s="101" t="str">
        <f t="shared" si="132"/>
        <v>One-off</v>
      </c>
      <c r="R964" s="101" t="str">
        <f>VLOOKUP(K964,'Preturi si tarife'!$B$4:$K$39,10,FALSE)</f>
        <v>ICOENG0001</v>
      </c>
      <c r="T964" s="101" t="str">
        <f t="shared" si="133"/>
        <v>INV + 30</v>
      </c>
      <c r="V964" s="101" t="str">
        <f t="shared" si="134"/>
        <v>Active</v>
      </c>
      <c r="X964" s="101" t="str">
        <f t="shared" si="135"/>
        <v>One-off</v>
      </c>
      <c r="AC964" s="101" t="str">
        <f t="shared" si="136"/>
        <v>RON</v>
      </c>
      <c r="AD964" s="101">
        <f t="shared" si="136"/>
        <v>10000</v>
      </c>
    </row>
    <row r="965" spans="1:30">
      <c r="A965" s="101">
        <f t="shared" si="137"/>
        <v>27</v>
      </c>
      <c r="B965" s="101">
        <f t="shared" si="129"/>
        <v>28</v>
      </c>
      <c r="C965" s="101" t="str">
        <f t="shared" si="130"/>
        <v>T28</v>
      </c>
      <c r="D965" s="101" t="str">
        <f>IF(A965&lt;&gt;A964,VLOOKUP(A965,'Date SPV'!$A:$D,4,FALSE),D964)</f>
        <v>Nepi Ten Development Solutions  SRL</v>
      </c>
      <c r="E965" s="101" t="str">
        <f>VLOOKUP(A965,'Date SPV'!$A$4:$B$34,2,FALSE)</f>
        <v>RN10_Vaslui</v>
      </c>
      <c r="H965" s="105" t="s">
        <v>894</v>
      </c>
      <c r="K965" s="101" t="str">
        <f>VLOOKUP(C965,'Preturi si tarife'!$A$4:$B$39,2,FALSE)</f>
        <v xml:space="preserve">Regularizare Certificate verzi </v>
      </c>
      <c r="L965" s="102">
        <f>IF(B965=1,'Date masura OD'!$I$5,IF(B965=19,'Date masura OD'!$AK$5,L964))</f>
        <v>45748</v>
      </c>
      <c r="M965" s="102">
        <f>IF(B965=1,'Date masura OD'!$J$5,IF(B965=19,'Date masura OD'!$AL$5,M964))</f>
        <v>45777</v>
      </c>
      <c r="N965" s="104">
        <f>VLOOKUP(E965,verificare!$AR$4:$CC$33,B965+2,FALSE)</f>
        <v>0</v>
      </c>
      <c r="O965" s="103">
        <f>HLOOKUP(VLOOKUP(E965,'Date SPV'!$B$4:$F$34,5,FALSE),'Preturi si tarife'!$C$2:$J$39,B965+2,FALSE)*10000</f>
        <v>725.41599999999994</v>
      </c>
      <c r="Q965" s="101" t="str">
        <f t="shared" si="132"/>
        <v>One-off</v>
      </c>
      <c r="R965" s="101" t="str">
        <f>VLOOKUP(K965,'Preturi si tarife'!$B$4:$K$39,10,FALSE)</f>
        <v>ICOENG0001</v>
      </c>
      <c r="T965" s="101" t="str">
        <f t="shared" si="133"/>
        <v>INV + 30</v>
      </c>
      <c r="V965" s="101" t="str">
        <f t="shared" si="134"/>
        <v>Active</v>
      </c>
      <c r="X965" s="101" t="str">
        <f t="shared" si="135"/>
        <v>One-off</v>
      </c>
      <c r="AC965" s="101" t="str">
        <f t="shared" si="136"/>
        <v>RON</v>
      </c>
      <c r="AD965" s="101">
        <f t="shared" si="136"/>
        <v>10000</v>
      </c>
    </row>
    <row r="966" spans="1:30">
      <c r="A966" s="101">
        <f t="shared" si="137"/>
        <v>27</v>
      </c>
      <c r="B966" s="101">
        <f t="shared" si="129"/>
        <v>29</v>
      </c>
      <c r="C966" s="101" t="str">
        <f t="shared" si="130"/>
        <v>T29</v>
      </c>
      <c r="D966" s="101" t="str">
        <f>IF(A966&lt;&gt;A965,VLOOKUP(A966,'Date SPV'!$A:$D,4,FALSE),D965)</f>
        <v>Nepi Ten Development Solutions  SRL</v>
      </c>
      <c r="E966" s="101" t="str">
        <f>VLOOKUP(A966,'Date SPV'!$A$4:$B$34,2,FALSE)</f>
        <v>RN10_Vaslui</v>
      </c>
      <c r="H966" s="105" t="s">
        <v>894</v>
      </c>
      <c r="K966" s="101" t="str">
        <f>VLOOKUP(C966,'Preturi si tarife'!$A$4:$B$39,2,FALSE)</f>
        <v>Regularizare Contributie CFD</v>
      </c>
      <c r="L966" s="102">
        <f>IF(B966=1,'Date masura OD'!$I$5,IF(B966=19,'Date masura OD'!$AK$5,L965))</f>
        <v>45748</v>
      </c>
      <c r="M966" s="102">
        <f>IF(B966=1,'Date masura OD'!$J$5,IF(B966=19,'Date masura OD'!$AL$5,M965))</f>
        <v>45777</v>
      </c>
      <c r="N966" s="104">
        <f>VLOOKUP(E966,verificare!$AR$4:$CC$33,B966+2,FALSE)</f>
        <v>0</v>
      </c>
      <c r="O966" s="103">
        <f>HLOOKUP(VLOOKUP(E966,'Date SPV'!$B$4:$F$34,5,FALSE),'Preturi si tarife'!$C$2:$J$39,B966+2,FALSE)*10000</f>
        <v>2.06</v>
      </c>
      <c r="Q966" s="101" t="str">
        <f t="shared" si="132"/>
        <v>One-off</v>
      </c>
      <c r="R966" s="101" t="str">
        <f>VLOOKUP(K966,'Preturi si tarife'!$B$4:$K$39,10,FALSE)</f>
        <v>ICOENG0001</v>
      </c>
      <c r="T966" s="101" t="str">
        <f t="shared" si="133"/>
        <v>INV + 30</v>
      </c>
      <c r="V966" s="101" t="str">
        <f t="shared" si="134"/>
        <v>Active</v>
      </c>
      <c r="X966" s="101" t="str">
        <f t="shared" si="135"/>
        <v>One-off</v>
      </c>
      <c r="AC966" s="101" t="str">
        <f t="shared" si="136"/>
        <v>RON</v>
      </c>
      <c r="AD966" s="101">
        <f t="shared" si="136"/>
        <v>10000</v>
      </c>
    </row>
    <row r="967" spans="1:30">
      <c r="A967" s="101">
        <f t="shared" si="137"/>
        <v>27</v>
      </c>
      <c r="B967" s="101">
        <f t="shared" si="129"/>
        <v>30</v>
      </c>
      <c r="C967" s="101" t="str">
        <f t="shared" si="130"/>
        <v>T30</v>
      </c>
      <c r="D967" s="101" t="str">
        <f>IF(A967&lt;&gt;A966,VLOOKUP(A967,'Date SPV'!$A:$D,4,FALSE),D966)</f>
        <v>Nepi Ten Development Solutions  SRL</v>
      </c>
      <c r="E967" s="101" t="str">
        <f>VLOOKUP(A967,'Date SPV'!$A$4:$B$34,2,FALSE)</f>
        <v>RN10_Vaslui</v>
      </c>
      <c r="H967" s="105" t="s">
        <v>894</v>
      </c>
      <c r="K967" s="101" t="str">
        <f>VLOOKUP(C967,'Preturi si tarife'!$A$4:$B$39,2,FALSE)</f>
        <v>Regularizare Acciza</v>
      </c>
      <c r="L967" s="102">
        <f>IF(B967=1,'Date masura OD'!$I$5,IF(B967=19,'Date masura OD'!$AK$5,L966))</f>
        <v>45748</v>
      </c>
      <c r="M967" s="102">
        <f>IF(B967=1,'Date masura OD'!$J$5,IF(B967=19,'Date masura OD'!$AL$5,M966))</f>
        <v>45777</v>
      </c>
      <c r="N967" s="104">
        <f>VLOOKUP(E967,verificare!$AR$4:$CC$33,B967+2,FALSE)</f>
        <v>0</v>
      </c>
      <c r="O967" s="103">
        <f>HLOOKUP(VLOOKUP(E967,'Date SPV'!$B$4:$F$34,5,FALSE),'Preturi si tarife'!$C$2:$J$39,B967+2,FALSE)*10000</f>
        <v>0</v>
      </c>
      <c r="Q967" s="101" t="str">
        <f t="shared" si="132"/>
        <v>One-off</v>
      </c>
      <c r="R967" s="101" t="str">
        <f>VLOOKUP(K967,'Preturi si tarife'!$B$4:$K$39,10,FALSE)</f>
        <v>ICOENG0001</v>
      </c>
      <c r="T967" s="101" t="str">
        <f t="shared" si="133"/>
        <v>INV + 30</v>
      </c>
      <c r="V967" s="101" t="str">
        <f t="shared" si="134"/>
        <v>Active</v>
      </c>
      <c r="X967" s="101" t="str">
        <f t="shared" si="135"/>
        <v>One-off</v>
      </c>
      <c r="AC967" s="101" t="str">
        <f t="shared" si="136"/>
        <v>RON</v>
      </c>
      <c r="AD967" s="101">
        <f t="shared" si="136"/>
        <v>10000</v>
      </c>
    </row>
    <row r="968" spans="1:30">
      <c r="A968" s="101">
        <f t="shared" si="137"/>
        <v>27</v>
      </c>
      <c r="B968" s="101">
        <f t="shared" si="129"/>
        <v>31</v>
      </c>
      <c r="C968" s="101" t="str">
        <f t="shared" si="130"/>
        <v>T31</v>
      </c>
      <c r="D968" s="101" t="str">
        <f>IF(A968&lt;&gt;A967,VLOOKUP(A968,'Date SPV'!$A:$D,4,FALSE),D967)</f>
        <v>Nepi Ten Development Solutions  SRL</v>
      </c>
      <c r="E968" s="101" t="str">
        <f>VLOOKUP(A968,'Date SPV'!$A$4:$B$34,2,FALSE)</f>
        <v>RN10_Vaslui</v>
      </c>
      <c r="H968" s="105" t="s">
        <v>894</v>
      </c>
      <c r="K968" s="101" t="str">
        <f>VLOOKUP(C968,'Preturi si tarife'!$A$4:$B$39,2,FALSE)</f>
        <v>Regularizare Tarif distributie SDI MT Ea1</v>
      </c>
      <c r="L968" s="102">
        <f>IF(B968=1,'Date masura OD'!$I$5,IF(B968=19,'Date masura OD'!$AK$5,L967))</f>
        <v>45748</v>
      </c>
      <c r="M968" s="102">
        <f>IF(B968=1,'Date masura OD'!$J$5,IF(B968=19,'Date masura OD'!$AL$5,M967))</f>
        <v>45777</v>
      </c>
      <c r="N968" s="104">
        <f>VLOOKUP(E968,verificare!$AR$4:$CC$33,B968+2,FALSE)</f>
        <v>0</v>
      </c>
      <c r="O968" s="103">
        <f>HLOOKUP(VLOOKUP(E968,'Date SPV'!$B$4:$F$34,5,FALSE),'Preturi si tarife'!$C$2:$J$39,B968+2,FALSE)*10000</f>
        <v>131</v>
      </c>
      <c r="Q968" s="101" t="str">
        <f t="shared" si="132"/>
        <v>One-off</v>
      </c>
      <c r="R968" s="101" t="str">
        <f>VLOOKUP(K968,'Preturi si tarife'!$B$4:$K$39,10,FALSE)</f>
        <v>ICOENG0010</v>
      </c>
      <c r="T968" s="101" t="str">
        <f t="shared" si="133"/>
        <v>INV + 30</v>
      </c>
      <c r="V968" s="101" t="str">
        <f t="shared" si="134"/>
        <v>Active</v>
      </c>
      <c r="X968" s="101" t="str">
        <f t="shared" si="135"/>
        <v>One-off</v>
      </c>
      <c r="AC968" s="101" t="str">
        <f t="shared" si="136"/>
        <v>RON</v>
      </c>
      <c r="AD968" s="101">
        <f t="shared" si="136"/>
        <v>10000</v>
      </c>
    </row>
    <row r="969" spans="1:30">
      <c r="A969" s="101">
        <f t="shared" si="137"/>
        <v>27</v>
      </c>
      <c r="B969" s="101">
        <f t="shared" si="129"/>
        <v>32</v>
      </c>
      <c r="C969" s="101" t="str">
        <f t="shared" si="130"/>
        <v>T32</v>
      </c>
      <c r="D969" s="101" t="str">
        <f>IF(A969&lt;&gt;A968,VLOOKUP(A969,'Date SPV'!$A:$D,4,FALSE),D968)</f>
        <v>Nepi Ten Development Solutions  SRL</v>
      </c>
      <c r="E969" s="101" t="str">
        <f>VLOOKUP(A969,'Date SPV'!$A$4:$B$34,2,FALSE)</f>
        <v>RN10_Vaslui</v>
      </c>
      <c r="H969" s="105" t="s">
        <v>894</v>
      </c>
      <c r="K969" s="101" t="str">
        <f>VLOOKUP(C969,'Preturi si tarife'!$A$4:$B$39,2,FALSE)</f>
        <v>Regularizare Tarif distributie SDI JT Ea1</v>
      </c>
      <c r="L969" s="102">
        <f>IF(B969=1,'Date masura OD'!$I$5,IF(B969=19,'Date masura OD'!$AK$5,L968))</f>
        <v>45748</v>
      </c>
      <c r="M969" s="102">
        <f>IF(B969=1,'Date masura OD'!$J$5,IF(B969=19,'Date masura OD'!$AL$5,M968))</f>
        <v>45777</v>
      </c>
      <c r="N969" s="104">
        <f>VLOOKUP(E969,verificare!$AR$4:$CC$33,B969+2,FALSE)</f>
        <v>0</v>
      </c>
      <c r="O969" s="103">
        <f>HLOOKUP(VLOOKUP(E969,'Date SPV'!$B$4:$F$34,5,FALSE),'Preturi si tarife'!$C$2:$J$39,B969+2,FALSE)*10000</f>
        <v>1029</v>
      </c>
      <c r="Q969" s="101" t="str">
        <f t="shared" si="132"/>
        <v>One-off</v>
      </c>
      <c r="R969" s="101" t="str">
        <f>VLOOKUP(K969,'Preturi si tarife'!$B$4:$K$39,10,FALSE)</f>
        <v>ICOENG0010</v>
      </c>
      <c r="T969" s="101" t="str">
        <f t="shared" si="133"/>
        <v>INV + 30</v>
      </c>
      <c r="V969" s="101" t="str">
        <f t="shared" si="134"/>
        <v>Active</v>
      </c>
      <c r="X969" s="101" t="str">
        <f t="shared" si="135"/>
        <v>One-off</v>
      </c>
      <c r="AC969" s="101" t="str">
        <f t="shared" si="136"/>
        <v>RON</v>
      </c>
      <c r="AD969" s="101">
        <f t="shared" si="136"/>
        <v>10000</v>
      </c>
    </row>
    <row r="970" spans="1:30">
      <c r="A970" s="101">
        <f t="shared" si="137"/>
        <v>27</v>
      </c>
      <c r="B970" s="101">
        <f t="shared" si="129"/>
        <v>33</v>
      </c>
      <c r="C970" s="101" t="str">
        <f t="shared" si="130"/>
        <v>T33</v>
      </c>
      <c r="D970" s="101" t="str">
        <f>IF(A970&lt;&gt;A969,VLOOKUP(A970,'Date SPV'!$A:$D,4,FALSE),D969)</f>
        <v>Nepi Ten Development Solutions  SRL</v>
      </c>
      <c r="E970" s="101" t="str">
        <f>VLOOKUP(A970,'Date SPV'!$A$4:$B$34,2,FALSE)</f>
        <v>RN10_Vaslui</v>
      </c>
      <c r="H970" s="105" t="s">
        <v>894</v>
      </c>
      <c r="K970" s="101" t="str">
        <f>VLOOKUP(C970,'Preturi si tarife'!$A$4:$B$39,2,FALSE)</f>
        <v>Regularizare Energie activa 2</v>
      </c>
      <c r="L970" s="102">
        <f>IF(B970=1,'Date masura OD'!$I$5,IF(B970=19,'Date masura OD'!$AK$5,L969))</f>
        <v>45748</v>
      </c>
      <c r="M970" s="102">
        <f>IF(B970=1,'Date masura OD'!$J$5,IF(B970=19,'Date masura OD'!$AL$5,M969))</f>
        <v>45777</v>
      </c>
      <c r="N970" s="104">
        <f>VLOOKUP(E970,verificare!$AR$4:$CC$33,B970+2,FALSE)</f>
        <v>0</v>
      </c>
      <c r="O970" s="103">
        <f>HLOOKUP(VLOOKUP(E970,'Date SPV'!$B$4:$F$34,5,FALSE),'Preturi si tarife'!$C$2:$J$39,B970+2,FALSE)*10000</f>
        <v>9485.5759999999991</v>
      </c>
      <c r="Q970" s="101" t="str">
        <f t="shared" si="132"/>
        <v>One-off</v>
      </c>
      <c r="R970" s="101" t="str">
        <f>VLOOKUP(K970,'Preturi si tarife'!$B$4:$K$39,10,FALSE)</f>
        <v>ICOENG0012</v>
      </c>
      <c r="T970" s="101" t="str">
        <f t="shared" si="133"/>
        <v>INV + 30</v>
      </c>
      <c r="V970" s="101" t="str">
        <f t="shared" si="134"/>
        <v>Active</v>
      </c>
      <c r="X970" s="101" t="str">
        <f t="shared" si="135"/>
        <v>One-off</v>
      </c>
      <c r="AC970" s="101" t="str">
        <f t="shared" si="136"/>
        <v>RON</v>
      </c>
      <c r="AD970" s="101">
        <f t="shared" si="136"/>
        <v>10000</v>
      </c>
    </row>
    <row r="971" spans="1:30">
      <c r="A971" s="101">
        <f t="shared" si="137"/>
        <v>27</v>
      </c>
      <c r="B971" s="101">
        <f t="shared" si="129"/>
        <v>34</v>
      </c>
      <c r="C971" s="101" t="str">
        <f t="shared" si="130"/>
        <v>T34</v>
      </c>
      <c r="D971" s="101" t="str">
        <f>IF(A971&lt;&gt;A970,VLOOKUP(A971,'Date SPV'!$A:$D,4,FALSE),D970)</f>
        <v>Nepi Ten Development Solutions  SRL</v>
      </c>
      <c r="E971" s="101" t="str">
        <f>VLOOKUP(A971,'Date SPV'!$A$4:$B$34,2,FALSE)</f>
        <v>RN10_Vaslui</v>
      </c>
      <c r="H971" s="105" t="s">
        <v>894</v>
      </c>
      <c r="K971" s="101" t="str">
        <f>VLOOKUP(C971,'Preturi si tarife'!$A$4:$B$39,2,FALSE)</f>
        <v>Regularizare Energie activa 3</v>
      </c>
      <c r="L971" s="102">
        <f>IF(B971=1,'Date masura OD'!$I$5,IF(B971=19,'Date masura OD'!$AK$5,L970))</f>
        <v>45748</v>
      </c>
      <c r="M971" s="102">
        <f>IF(B971=1,'Date masura OD'!$J$5,IF(B971=19,'Date masura OD'!$AL$5,M970))</f>
        <v>45777</v>
      </c>
      <c r="N971" s="104">
        <f>VLOOKUP(E971,verificare!$AR$4:$CC$33,B971+2,FALSE)</f>
        <v>0</v>
      </c>
      <c r="O971" s="103">
        <f>HLOOKUP(VLOOKUP(E971,'Date SPV'!$B$4:$F$34,5,FALSE),'Preturi si tarife'!$C$2:$J$39,B971+2,FALSE)*10000</f>
        <v>8325.5760000000009</v>
      </c>
      <c r="Q971" s="101" t="str">
        <f t="shared" si="132"/>
        <v>One-off</v>
      </c>
      <c r="R971" s="101" t="str">
        <f>VLOOKUP(K971,'Preturi si tarife'!$B$4:$K$39,10,FALSE)</f>
        <v>ICOENG0012</v>
      </c>
      <c r="T971" s="101" t="str">
        <f t="shared" si="133"/>
        <v>INV + 30</v>
      </c>
      <c r="V971" s="101" t="str">
        <f t="shared" si="134"/>
        <v>Active</v>
      </c>
      <c r="X971" s="101" t="str">
        <f t="shared" si="135"/>
        <v>One-off</v>
      </c>
      <c r="AC971" s="101" t="str">
        <f t="shared" si="136"/>
        <v>RON</v>
      </c>
      <c r="AD971" s="101">
        <f t="shared" si="136"/>
        <v>10000</v>
      </c>
    </row>
    <row r="972" spans="1:30">
      <c r="A972" s="101">
        <f t="shared" si="137"/>
        <v>27</v>
      </c>
      <c r="B972" s="101">
        <f t="shared" si="129"/>
        <v>35</v>
      </c>
      <c r="C972" s="101" t="str">
        <f t="shared" si="130"/>
        <v>T35</v>
      </c>
      <c r="D972" s="101" t="str">
        <f>IF(A972&lt;&gt;A971,VLOOKUP(A972,'Date SPV'!$A:$D,4,FALSE),D971)</f>
        <v>Nepi Ten Development Solutions  SRL</v>
      </c>
      <c r="E972" s="101" t="str">
        <f>VLOOKUP(A972,'Date SPV'!$A$4:$B$34,2,FALSE)</f>
        <v>RN10_Vaslui</v>
      </c>
      <c r="H972" s="105" t="s">
        <v>894</v>
      </c>
      <c r="K972" s="101" t="str">
        <f>VLOOKUP(C972,'Preturi si tarife'!$A$4:$B$39,2,FALSE)</f>
        <v>Regularizare Tarif distributie SDI MT Ea3</v>
      </c>
      <c r="L972" s="102">
        <f>IF(B972=1,'Date masura OD'!$I$5,IF(B972=19,'Date masura OD'!$AK$5,L971))</f>
        <v>45748</v>
      </c>
      <c r="M972" s="102">
        <f>IF(B972=1,'Date masura OD'!$J$5,IF(B972=19,'Date masura OD'!$AL$5,M971))</f>
        <v>45777</v>
      </c>
      <c r="N972" s="104">
        <f>VLOOKUP(E972,verificare!$AR$4:$CC$33,B972+2,FALSE)</f>
        <v>0</v>
      </c>
      <c r="O972" s="103">
        <f>HLOOKUP(VLOOKUP(E972,'Date SPV'!$B$4:$F$34,5,FALSE),'Preturi si tarife'!$C$2:$J$39,B972+2,FALSE)*10000</f>
        <v>131</v>
      </c>
      <c r="Q972" s="101" t="str">
        <f t="shared" si="132"/>
        <v>One-off</v>
      </c>
      <c r="R972" s="101" t="str">
        <f>VLOOKUP(K972,'Preturi si tarife'!$B$4:$K$39,10,FALSE)</f>
        <v>ICOENG0010</v>
      </c>
      <c r="T972" s="101" t="str">
        <f t="shared" si="133"/>
        <v>INV + 30</v>
      </c>
      <c r="V972" s="101" t="str">
        <f t="shared" si="134"/>
        <v>Active</v>
      </c>
      <c r="X972" s="101" t="str">
        <f t="shared" si="135"/>
        <v>One-off</v>
      </c>
      <c r="AC972" s="101" t="str">
        <f t="shared" si="136"/>
        <v>RON</v>
      </c>
      <c r="AD972" s="101">
        <f t="shared" si="136"/>
        <v>10000</v>
      </c>
    </row>
    <row r="973" spans="1:30">
      <c r="A973" s="101">
        <f t="shared" si="137"/>
        <v>27</v>
      </c>
      <c r="B973" s="101">
        <f t="shared" si="129"/>
        <v>36</v>
      </c>
      <c r="C973" s="101" t="str">
        <f t="shared" si="130"/>
        <v>T36</v>
      </c>
      <c r="D973" s="101" t="str">
        <f>IF(A973&lt;&gt;A972,VLOOKUP(A973,'Date SPV'!$A:$D,4,FALSE),D972)</f>
        <v>Nepi Ten Development Solutions  SRL</v>
      </c>
      <c r="E973" s="101" t="str">
        <f>VLOOKUP(A973,'Date SPV'!$A$4:$B$34,2,FALSE)</f>
        <v>RN10_Vaslui</v>
      </c>
      <c r="H973" s="105" t="s">
        <v>894</v>
      </c>
      <c r="K973" s="101" t="str">
        <f>VLOOKUP(C973,'Preturi si tarife'!$A$4:$B$39,2,FALSE)</f>
        <v>Regularizare Tarif distributie SDI JT Ea3</v>
      </c>
      <c r="L973" s="102">
        <f>IF(B973=1,'Date masura OD'!$I$5,IF(B973=19,'Date masura OD'!$AK$5,L972))</f>
        <v>45748</v>
      </c>
      <c r="M973" s="102">
        <f>IF(B973=1,'Date masura OD'!$J$5,IF(B973=19,'Date masura OD'!$AL$5,M972))</f>
        <v>45777</v>
      </c>
      <c r="N973" s="104">
        <f>VLOOKUP(E973,verificare!$AR$4:$CC$33,B973+2,FALSE)</f>
        <v>0</v>
      </c>
      <c r="O973" s="103">
        <f>HLOOKUP(VLOOKUP(E973,'Date SPV'!$B$4:$F$34,5,FALSE),'Preturi si tarife'!$C$2:$J$39,B973+2,FALSE)*10000</f>
        <v>1029</v>
      </c>
      <c r="Q973" s="101" t="str">
        <f t="shared" si="132"/>
        <v>One-off</v>
      </c>
      <c r="R973" s="101" t="str">
        <f>VLOOKUP(K973,'Preturi si tarife'!$B$4:$K$39,10,FALSE)</f>
        <v>ICOENG0010</v>
      </c>
      <c r="T973" s="101" t="str">
        <f t="shared" si="133"/>
        <v>INV + 30</v>
      </c>
      <c r="V973" s="101" t="str">
        <f t="shared" si="134"/>
        <v>Active</v>
      </c>
      <c r="X973" s="101" t="str">
        <f t="shared" si="135"/>
        <v>One-off</v>
      </c>
      <c r="AC973" s="101" t="str">
        <f t="shared" ref="AC973:AD982" si="138">AC972</f>
        <v>RON</v>
      </c>
      <c r="AD973" s="101">
        <f t="shared" si="138"/>
        <v>10000</v>
      </c>
    </row>
    <row r="974" spans="1:30">
      <c r="A974" s="101">
        <f t="shared" si="137"/>
        <v>28</v>
      </c>
      <c r="B974" s="101">
        <f t="shared" si="129"/>
        <v>1</v>
      </c>
      <c r="C974" s="101" t="str">
        <f t="shared" si="130"/>
        <v>T1</v>
      </c>
      <c r="D974" s="101" t="str">
        <f>IF(A974&lt;&gt;A973,VLOOKUP(A974,'Date SPV'!$A:$D,4,FALSE),D973)</f>
        <v>Nepi Ten Development Solutions  SRL</v>
      </c>
      <c r="E974" s="101" t="str">
        <f>VLOOKUP(A974,'Date SPV'!$A$4:$B$34,2,FALSE)</f>
        <v>RN10_Petrosani</v>
      </c>
      <c r="H974" s="105" t="s">
        <v>894</v>
      </c>
      <c r="K974" s="101" t="str">
        <f>VLOOKUP(C974,'Preturi si tarife'!$A$4:$B$39,2,FALSE)</f>
        <v>Energie activa 1</v>
      </c>
      <c r="L974" s="102">
        <f>IF(B974=1,'Date masura OD'!$I$5,IF(B974=19,'Date masura OD'!$AK$5,L973))</f>
        <v>45778</v>
      </c>
      <c r="M974" s="102">
        <f>IF(B974=1,'Date masura OD'!$J$5,IF(B974=19,'Date masura OD'!$AL$5,M973))</f>
        <v>45808</v>
      </c>
      <c r="N974" s="104">
        <f>VLOOKUP(E974,verificare!$AR$4:$CC$33,B974+2,FALSE)</f>
        <v>13243</v>
      </c>
      <c r="O974" s="103">
        <f>HLOOKUP(VLOOKUP(E974,'Date SPV'!$B$4:$F$34,5,FALSE),'Preturi si tarife'!$C$2:$J$39,B974+2,FALSE)*10000</f>
        <v>5950</v>
      </c>
      <c r="Q974" s="101" t="str">
        <f t="shared" si="132"/>
        <v>One-off</v>
      </c>
      <c r="R974" s="101" t="str">
        <f>VLOOKUP(K974,'Preturi si tarife'!$B$4:$K$39,10,FALSE)</f>
        <v>ICOENG0001</v>
      </c>
      <c r="T974" s="101" t="str">
        <f t="shared" si="133"/>
        <v>INV + 30</v>
      </c>
      <c r="V974" s="101" t="str">
        <f t="shared" si="134"/>
        <v>Active</v>
      </c>
      <c r="X974" s="101" t="str">
        <f t="shared" si="135"/>
        <v>One-off</v>
      </c>
      <c r="AC974" s="101" t="str">
        <f t="shared" si="138"/>
        <v>RON</v>
      </c>
      <c r="AD974" s="101">
        <f t="shared" si="138"/>
        <v>10000</v>
      </c>
    </row>
    <row r="975" spans="1:30">
      <c r="A975" s="101">
        <f t="shared" si="137"/>
        <v>28</v>
      </c>
      <c r="B975" s="101">
        <f t="shared" si="129"/>
        <v>2</v>
      </c>
      <c r="C975" s="101" t="str">
        <f t="shared" si="130"/>
        <v>T2</v>
      </c>
      <c r="D975" s="101" t="str">
        <f>IF(A975&lt;&gt;A974,VLOOKUP(A975,'Date SPV'!$A:$D,4,FALSE),D974)</f>
        <v>Nepi Ten Development Solutions  SRL</v>
      </c>
      <c r="E975" s="101" t="str">
        <f>VLOOKUP(A975,'Date SPV'!$A$4:$B$34,2,FALSE)</f>
        <v>RN10_Petrosani</v>
      </c>
      <c r="H975" s="105" t="s">
        <v>894</v>
      </c>
      <c r="K975" s="101" t="str">
        <f>VLOOKUP(C975,'Preturi si tarife'!$A$4:$B$39,2,FALSE)</f>
        <v>Energie reactiva  1X</v>
      </c>
      <c r="L975" s="102">
        <f>IF(B975=1,'Date masura OD'!$I$5,IF(B975=19,'Date masura OD'!$AK$5,L974))</f>
        <v>45778</v>
      </c>
      <c r="M975" s="102">
        <f>IF(B975=1,'Date masura OD'!$J$5,IF(B975=19,'Date masura OD'!$AL$5,M974))</f>
        <v>45808</v>
      </c>
      <c r="N975" s="104">
        <f>VLOOKUP(E975,verificare!$AR$4:$CC$33,B975+2,FALSE)</f>
        <v>0</v>
      </c>
      <c r="O975" s="103">
        <f>HLOOKUP(VLOOKUP(E975,'Date SPV'!$B$4:$F$34,5,FALSE),'Preturi si tarife'!$C$2:$J$39,B975+2,FALSE)*10000</f>
        <v>1466</v>
      </c>
      <c r="Q975" s="101" t="str">
        <f t="shared" si="132"/>
        <v>One-off</v>
      </c>
      <c r="R975" s="101" t="str">
        <f>VLOOKUP(K975,'Preturi si tarife'!$B$4:$K$39,10,FALSE)</f>
        <v>ICOENG0001</v>
      </c>
      <c r="T975" s="101" t="str">
        <f t="shared" si="133"/>
        <v>INV + 30</v>
      </c>
      <c r="V975" s="101" t="str">
        <f t="shared" si="134"/>
        <v>Active</v>
      </c>
      <c r="X975" s="101" t="str">
        <f t="shared" si="135"/>
        <v>One-off</v>
      </c>
      <c r="AC975" s="101" t="str">
        <f t="shared" si="138"/>
        <v>RON</v>
      </c>
      <c r="AD975" s="101">
        <f t="shared" si="138"/>
        <v>10000</v>
      </c>
    </row>
    <row r="976" spans="1:30">
      <c r="A976" s="101">
        <f t="shared" si="137"/>
        <v>28</v>
      </c>
      <c r="B976" s="101">
        <f t="shared" si="129"/>
        <v>3</v>
      </c>
      <c r="C976" s="101" t="str">
        <f t="shared" si="130"/>
        <v>T3</v>
      </c>
      <c r="D976" s="101" t="str">
        <f>IF(A976&lt;&gt;A975,VLOOKUP(A976,'Date SPV'!$A:$D,4,FALSE),D975)</f>
        <v>Nepi Ten Development Solutions  SRL</v>
      </c>
      <c r="E976" s="101" t="str">
        <f>VLOOKUP(A976,'Date SPV'!$A$4:$B$34,2,FALSE)</f>
        <v>RN10_Petrosani</v>
      </c>
      <c r="H976" s="105" t="s">
        <v>894</v>
      </c>
      <c r="K976" s="101" t="str">
        <f>VLOOKUP(C976,'Preturi si tarife'!$A$4:$B$39,2,FALSE)</f>
        <v>Energie reactiva  3X</v>
      </c>
      <c r="L976" s="102">
        <f>IF(B976=1,'Date masura OD'!$I$5,IF(B976=19,'Date masura OD'!$AK$5,L975))</f>
        <v>45778</v>
      </c>
      <c r="M976" s="102">
        <f>IF(B976=1,'Date masura OD'!$J$5,IF(B976=19,'Date masura OD'!$AL$5,M975))</f>
        <v>45808</v>
      </c>
      <c r="N976" s="104">
        <f>VLOOKUP(E976,verificare!$AR$4:$CC$33,B976+2,FALSE)</f>
        <v>0</v>
      </c>
      <c r="O976" s="103">
        <f>HLOOKUP(VLOOKUP(E976,'Date SPV'!$B$4:$F$34,5,FALSE),'Preturi si tarife'!$C$2:$J$39,B976+2,FALSE)*10000</f>
        <v>4398</v>
      </c>
      <c r="Q976" s="101" t="str">
        <f t="shared" si="132"/>
        <v>One-off</v>
      </c>
      <c r="R976" s="101" t="str">
        <f>VLOOKUP(K976,'Preturi si tarife'!$B$4:$K$39,10,FALSE)</f>
        <v>ICOENG0001</v>
      </c>
      <c r="T976" s="101" t="str">
        <f t="shared" si="133"/>
        <v>INV + 30</v>
      </c>
      <c r="V976" s="101" t="str">
        <f t="shared" si="134"/>
        <v>Active</v>
      </c>
      <c r="X976" s="101" t="str">
        <f t="shared" si="135"/>
        <v>One-off</v>
      </c>
      <c r="AC976" s="101" t="str">
        <f t="shared" si="138"/>
        <v>RON</v>
      </c>
      <c r="AD976" s="101">
        <f t="shared" si="138"/>
        <v>10000</v>
      </c>
    </row>
    <row r="977" spans="1:30">
      <c r="A977" s="101">
        <f t="shared" si="137"/>
        <v>28</v>
      </c>
      <c r="B977" s="101">
        <f t="shared" si="129"/>
        <v>4</v>
      </c>
      <c r="C977" s="101" t="str">
        <f t="shared" si="130"/>
        <v>T4</v>
      </c>
      <c r="D977" s="101" t="str">
        <f>IF(A977&lt;&gt;A976,VLOOKUP(A977,'Date SPV'!$A:$D,4,FALSE),D976)</f>
        <v>Nepi Ten Development Solutions  SRL</v>
      </c>
      <c r="E977" s="101" t="str">
        <f>VLOOKUP(A977,'Date SPV'!$A$4:$B$34,2,FALSE)</f>
        <v>RN10_Petrosani</v>
      </c>
      <c r="H977" s="105" t="s">
        <v>894</v>
      </c>
      <c r="K977" s="101" t="str">
        <f>VLOOKUP(C977,'Preturi si tarife'!$A$4:$B$39,2,FALSE)</f>
        <v>Tarife distributie en. El IT+MT</v>
      </c>
      <c r="L977" s="102">
        <f>IF(B977=1,'Date masura OD'!$I$5,IF(B977=19,'Date masura OD'!$AK$5,L976))</f>
        <v>45778</v>
      </c>
      <c r="M977" s="102">
        <f>IF(B977=1,'Date masura OD'!$J$5,IF(B977=19,'Date masura OD'!$AL$5,M976))</f>
        <v>45808</v>
      </c>
      <c r="N977" s="104">
        <f>VLOOKUP(E977,verificare!$AR$4:$CC$33,B977+2,FALSE)</f>
        <v>13243</v>
      </c>
      <c r="O977" s="103">
        <f>HLOOKUP(VLOOKUP(E977,'Date SPV'!$B$4:$F$34,5,FALSE),'Preturi si tarife'!$C$2:$J$39,B977+2,FALSE)*10000</f>
        <v>861.80000000000007</v>
      </c>
      <c r="Q977" s="101" t="str">
        <f t="shared" si="132"/>
        <v>One-off</v>
      </c>
      <c r="R977" s="101" t="str">
        <f>VLOOKUP(K977,'Preturi si tarife'!$B$4:$K$39,10,FALSE)</f>
        <v>ICOENG0001</v>
      </c>
      <c r="T977" s="101" t="str">
        <f t="shared" si="133"/>
        <v>INV + 30</v>
      </c>
      <c r="V977" s="101" t="str">
        <f t="shared" si="134"/>
        <v>Active</v>
      </c>
      <c r="X977" s="101" t="str">
        <f t="shared" si="135"/>
        <v>One-off</v>
      </c>
      <c r="AC977" s="101" t="str">
        <f t="shared" si="138"/>
        <v>RON</v>
      </c>
      <c r="AD977" s="101">
        <f t="shared" si="138"/>
        <v>10000</v>
      </c>
    </row>
    <row r="978" spans="1:30">
      <c r="A978" s="101">
        <f t="shared" si="137"/>
        <v>28</v>
      </c>
      <c r="B978" s="101">
        <f t="shared" si="129"/>
        <v>5</v>
      </c>
      <c r="C978" s="101" t="str">
        <f t="shared" si="130"/>
        <v>T5</v>
      </c>
      <c r="D978" s="101" t="str">
        <f>IF(A978&lt;&gt;A977,VLOOKUP(A978,'Date SPV'!$A:$D,4,FALSE),D977)</f>
        <v>Nepi Ten Development Solutions  SRL</v>
      </c>
      <c r="E978" s="101" t="str">
        <f>VLOOKUP(A978,'Date SPV'!$A$4:$B$34,2,FALSE)</f>
        <v>RN10_Petrosani</v>
      </c>
      <c r="H978" s="105" t="s">
        <v>894</v>
      </c>
      <c r="K978" s="101" t="str">
        <f>VLOOKUP(C978,'Preturi si tarife'!$A$4:$B$39,2,FALSE)</f>
        <v>Tarife distributie en. El JT</v>
      </c>
      <c r="L978" s="102">
        <f>IF(B978=1,'Date masura OD'!$I$5,IF(B978=19,'Date masura OD'!$AK$5,L977))</f>
        <v>45778</v>
      </c>
      <c r="M978" s="102">
        <f>IF(B978=1,'Date masura OD'!$J$5,IF(B978=19,'Date masura OD'!$AL$5,M977))</f>
        <v>45808</v>
      </c>
      <c r="N978" s="104">
        <f>VLOOKUP(E978,verificare!$AR$4:$CC$33,B978+2,FALSE)</f>
        <v>13243</v>
      </c>
      <c r="O978" s="103">
        <f>HLOOKUP(VLOOKUP(E978,'Date SPV'!$B$4:$F$34,5,FALSE),'Preturi si tarife'!$C$2:$J$39,B978+2,FALSE)*10000</f>
        <v>2079</v>
      </c>
      <c r="Q978" s="101" t="str">
        <f t="shared" si="132"/>
        <v>One-off</v>
      </c>
      <c r="R978" s="101" t="str">
        <f>VLOOKUP(K978,'Preturi si tarife'!$B$4:$K$39,10,FALSE)</f>
        <v>ICOENG0001</v>
      </c>
      <c r="T978" s="101" t="str">
        <f t="shared" si="133"/>
        <v>INV + 30</v>
      </c>
      <c r="V978" s="101" t="str">
        <f t="shared" si="134"/>
        <v>Active</v>
      </c>
      <c r="X978" s="101" t="str">
        <f t="shared" si="135"/>
        <v>One-off</v>
      </c>
      <c r="AC978" s="101" t="str">
        <f t="shared" si="138"/>
        <v>RON</v>
      </c>
      <c r="AD978" s="101">
        <f t="shared" si="138"/>
        <v>10000</v>
      </c>
    </row>
    <row r="979" spans="1:30">
      <c r="A979" s="101">
        <f t="shared" si="137"/>
        <v>28</v>
      </c>
      <c r="B979" s="101">
        <f t="shared" si="129"/>
        <v>6</v>
      </c>
      <c r="C979" s="101" t="str">
        <f t="shared" si="130"/>
        <v>T6</v>
      </c>
      <c r="D979" s="101" t="str">
        <f>IF(A979&lt;&gt;A978,VLOOKUP(A979,'Date SPV'!$A:$D,4,FALSE),D978)</f>
        <v>Nepi Ten Development Solutions  SRL</v>
      </c>
      <c r="E979" s="101" t="str">
        <f>VLOOKUP(A979,'Date SPV'!$A$4:$B$34,2,FALSE)</f>
        <v>RN10_Petrosani</v>
      </c>
      <c r="H979" s="105" t="s">
        <v>894</v>
      </c>
      <c r="K979" s="101" t="str">
        <f>VLOOKUP(C979,'Preturi si tarife'!$A$4:$B$39,2,FALSE)</f>
        <v xml:space="preserve">Servicii Sistem </v>
      </c>
      <c r="L979" s="102">
        <f>IF(B979=1,'Date masura OD'!$I$5,IF(B979=19,'Date masura OD'!$AK$5,L978))</f>
        <v>45778</v>
      </c>
      <c r="M979" s="102">
        <f>IF(B979=1,'Date masura OD'!$J$5,IF(B979=19,'Date masura OD'!$AL$5,M978))</f>
        <v>45808</v>
      </c>
      <c r="N979" s="104">
        <f>VLOOKUP(E979,verificare!$AR$4:$CC$33,B979+2,FALSE)</f>
        <v>13243</v>
      </c>
      <c r="O979" s="103">
        <f>HLOOKUP(VLOOKUP(E979,'Date SPV'!$B$4:$F$34,5,FALSE),'Preturi si tarife'!$C$2:$J$39,B979+2,FALSE)*10000</f>
        <v>115.1</v>
      </c>
      <c r="Q979" s="101" t="str">
        <f t="shared" si="132"/>
        <v>One-off</v>
      </c>
      <c r="R979" s="101" t="str">
        <f>VLOOKUP(K979,'Preturi si tarife'!$B$4:$K$39,10,FALSE)</f>
        <v>ICOENG0001</v>
      </c>
      <c r="T979" s="101" t="str">
        <f t="shared" si="133"/>
        <v>INV + 30</v>
      </c>
      <c r="V979" s="101" t="str">
        <f t="shared" si="134"/>
        <v>Active</v>
      </c>
      <c r="X979" s="101" t="str">
        <f t="shared" si="135"/>
        <v>One-off</v>
      </c>
      <c r="AC979" s="101" t="str">
        <f t="shared" si="138"/>
        <v>RON</v>
      </c>
      <c r="AD979" s="101">
        <f t="shared" si="138"/>
        <v>10000</v>
      </c>
    </row>
    <row r="980" spans="1:30">
      <c r="A980" s="101">
        <f t="shared" si="137"/>
        <v>28</v>
      </c>
      <c r="B980" s="101">
        <f t="shared" si="129"/>
        <v>7</v>
      </c>
      <c r="C980" s="101" t="str">
        <f t="shared" si="130"/>
        <v>T7</v>
      </c>
      <c r="D980" s="101" t="str">
        <f>IF(A980&lt;&gt;A979,VLOOKUP(A980,'Date SPV'!$A:$D,4,FALSE),D979)</f>
        <v>Nepi Ten Development Solutions  SRL</v>
      </c>
      <c r="E980" s="101" t="str">
        <f>VLOOKUP(A980,'Date SPV'!$A$4:$B$34,2,FALSE)</f>
        <v>RN10_Petrosani</v>
      </c>
      <c r="H980" s="105" t="s">
        <v>894</v>
      </c>
      <c r="K980" s="101" t="str">
        <f>VLOOKUP(C980,'Preturi si tarife'!$A$4:$B$39,2,FALSE)</f>
        <v>Tarif de introducere en. el in retea (TL)</v>
      </c>
      <c r="L980" s="102">
        <f>IF(B980=1,'Date masura OD'!$I$5,IF(B980=19,'Date masura OD'!$AK$5,L979))</f>
        <v>45778</v>
      </c>
      <c r="M980" s="102">
        <f>IF(B980=1,'Date masura OD'!$J$5,IF(B980=19,'Date masura OD'!$AL$5,M979))</f>
        <v>45808</v>
      </c>
      <c r="N980" s="104">
        <f>VLOOKUP(E980,verificare!$AR$4:$CC$33,B980+2,FALSE)</f>
        <v>13243</v>
      </c>
      <c r="O980" s="103">
        <f>HLOOKUP(VLOOKUP(E980,'Date SPV'!$B$4:$F$34,5,FALSE),'Preturi si tarife'!$C$2:$J$39,B980+2,FALSE)*10000</f>
        <v>330.3</v>
      </c>
      <c r="Q980" s="101" t="str">
        <f t="shared" si="132"/>
        <v>One-off</v>
      </c>
      <c r="R980" s="101" t="str">
        <f>VLOOKUP(K980,'Preturi si tarife'!$B$4:$K$39,10,FALSE)</f>
        <v>ICOENG0001</v>
      </c>
      <c r="T980" s="101" t="str">
        <f t="shared" si="133"/>
        <v>INV + 30</v>
      </c>
      <c r="V980" s="101" t="str">
        <f t="shared" si="134"/>
        <v>Active</v>
      </c>
      <c r="X980" s="101" t="str">
        <f t="shared" si="135"/>
        <v>One-off</v>
      </c>
      <c r="AC980" s="101" t="str">
        <f t="shared" si="138"/>
        <v>RON</v>
      </c>
      <c r="AD980" s="101">
        <f t="shared" si="138"/>
        <v>10000</v>
      </c>
    </row>
    <row r="981" spans="1:30">
      <c r="A981" s="101">
        <f t="shared" si="137"/>
        <v>28</v>
      </c>
      <c r="B981" s="101">
        <f t="shared" si="129"/>
        <v>8</v>
      </c>
      <c r="C981" s="101" t="str">
        <f t="shared" si="130"/>
        <v>T8</v>
      </c>
      <c r="D981" s="101" t="str">
        <f>IF(A981&lt;&gt;A980,VLOOKUP(A981,'Date SPV'!$A:$D,4,FALSE),D980)</f>
        <v>Nepi Ten Development Solutions  SRL</v>
      </c>
      <c r="E981" s="101" t="str">
        <f>VLOOKUP(A981,'Date SPV'!$A$4:$B$34,2,FALSE)</f>
        <v>RN10_Petrosani</v>
      </c>
      <c r="H981" s="105" t="s">
        <v>894</v>
      </c>
      <c r="K981" s="101" t="str">
        <f>VLOOKUP(C981,'Preturi si tarife'!$A$4:$B$39,2,FALSE)</f>
        <v>Tarif de introducere en.el in retea (TG)</v>
      </c>
      <c r="L981" s="102">
        <f>IF(B981=1,'Date masura OD'!$I$5,IF(B981=19,'Date masura OD'!$AK$5,L980))</f>
        <v>45778</v>
      </c>
      <c r="M981" s="102">
        <f>IF(B981=1,'Date masura OD'!$J$5,IF(B981=19,'Date masura OD'!$AL$5,M980))</f>
        <v>45808</v>
      </c>
      <c r="N981" s="104">
        <f>VLOOKUP(E981,verificare!$AR$4:$CC$33,B981+2,FALSE)</f>
        <v>13243</v>
      </c>
      <c r="O981" s="103">
        <f>HLOOKUP(VLOOKUP(E981,'Date SPV'!$B$4:$F$34,5,FALSE),'Preturi si tarife'!$C$2:$J$39,B981+2,FALSE)*10000</f>
        <v>32.9</v>
      </c>
      <c r="Q981" s="101" t="str">
        <f t="shared" si="132"/>
        <v>One-off</v>
      </c>
      <c r="R981" s="101" t="str">
        <f>VLOOKUP(K981,'Preturi si tarife'!$B$4:$K$39,10,FALSE)</f>
        <v>ICOENG0001</v>
      </c>
      <c r="T981" s="101" t="str">
        <f t="shared" si="133"/>
        <v>INV + 30</v>
      </c>
      <c r="V981" s="101" t="str">
        <f t="shared" si="134"/>
        <v>Active</v>
      </c>
      <c r="X981" s="101" t="str">
        <f t="shared" si="135"/>
        <v>One-off</v>
      </c>
      <c r="AC981" s="101" t="str">
        <f t="shared" si="138"/>
        <v>RON</v>
      </c>
      <c r="AD981" s="101">
        <f t="shared" si="138"/>
        <v>10000</v>
      </c>
    </row>
    <row r="982" spans="1:30">
      <c r="A982" s="101">
        <f t="shared" si="137"/>
        <v>28</v>
      </c>
      <c r="B982" s="101">
        <f t="shared" si="129"/>
        <v>9</v>
      </c>
      <c r="C982" s="101" t="str">
        <f t="shared" si="130"/>
        <v>T9</v>
      </c>
      <c r="D982" s="101" t="str">
        <f>IF(A982&lt;&gt;A981,VLOOKUP(A982,'Date SPV'!$A:$D,4,FALSE),D981)</f>
        <v>Nepi Ten Development Solutions  SRL</v>
      </c>
      <c r="E982" s="101" t="str">
        <f>VLOOKUP(A982,'Date SPV'!$A$4:$B$34,2,FALSE)</f>
        <v>RN10_Petrosani</v>
      </c>
      <c r="H982" s="105" t="s">
        <v>894</v>
      </c>
      <c r="K982" s="101" t="str">
        <f>VLOOKUP(C982,'Preturi si tarife'!$A$4:$B$39,2,FALSE)</f>
        <v>Contributie pentru cogenerare</v>
      </c>
      <c r="L982" s="102">
        <f>IF(B982=1,'Date masura OD'!$I$5,IF(B982=19,'Date masura OD'!$AK$5,L981))</f>
        <v>45778</v>
      </c>
      <c r="M982" s="102">
        <f>IF(B982=1,'Date masura OD'!$J$5,IF(B982=19,'Date masura OD'!$AL$5,M981))</f>
        <v>45808</v>
      </c>
      <c r="N982" s="104">
        <f>VLOOKUP(E982,verificare!$AR$4:$CC$33,B982+2,FALSE)</f>
        <v>13243</v>
      </c>
      <c r="O982" s="103">
        <f>HLOOKUP(VLOOKUP(E982,'Date SPV'!$B$4:$F$34,5,FALSE),'Preturi si tarife'!$C$2:$J$39,B982+2,FALSE)*10000</f>
        <v>35</v>
      </c>
      <c r="Q982" s="101" t="str">
        <f t="shared" si="132"/>
        <v>One-off</v>
      </c>
      <c r="R982" s="101" t="str">
        <f>VLOOKUP(K982,'Preturi si tarife'!$B$4:$K$39,10,FALSE)</f>
        <v>ICOENG0001</v>
      </c>
      <c r="T982" s="101" t="str">
        <f t="shared" si="133"/>
        <v>INV + 30</v>
      </c>
      <c r="V982" s="101" t="str">
        <f t="shared" si="134"/>
        <v>Active</v>
      </c>
      <c r="X982" s="101" t="str">
        <f t="shared" si="135"/>
        <v>One-off</v>
      </c>
      <c r="AC982" s="101" t="str">
        <f t="shared" si="138"/>
        <v>RON</v>
      </c>
      <c r="AD982" s="101">
        <f t="shared" si="138"/>
        <v>10000</v>
      </c>
    </row>
    <row r="983" spans="1:30">
      <c r="A983" s="101">
        <f t="shared" ref="A983:A1020" si="139">IF(B982=36,A982+1,A982)</f>
        <v>28</v>
      </c>
      <c r="B983" s="101">
        <f t="shared" ref="B983:B1020" si="140">IF(A983&lt;&gt;A982,1,B982+1)</f>
        <v>10</v>
      </c>
      <c r="C983" s="101" t="str">
        <f t="shared" ref="C983:C1020" si="141">_xlfn.CONCAT("T",B983)</f>
        <v>T10</v>
      </c>
      <c r="D983" s="101" t="str">
        <f>IF(A983&lt;&gt;A982,VLOOKUP(A983,'Date SPV'!$A:$D,4,FALSE),D982)</f>
        <v>Nepi Ten Development Solutions  SRL</v>
      </c>
      <c r="E983" s="101" t="str">
        <f>VLOOKUP(A983,'Date SPV'!$A$4:$B$34,2,FALSE)</f>
        <v>RN10_Petrosani</v>
      </c>
      <c r="H983" s="105" t="s">
        <v>894</v>
      </c>
      <c r="K983" s="101" t="str">
        <f>VLOOKUP(C983,'Preturi si tarife'!$A$4:$B$39,2,FALSE)</f>
        <v xml:space="preserve">Certificate verzi </v>
      </c>
      <c r="L983" s="102">
        <f>IF(B983=1,'Date masura OD'!$I$5,IF(B983=19,'Date masura OD'!$AK$5,L982))</f>
        <v>45778</v>
      </c>
      <c r="M983" s="102">
        <f>IF(B983=1,'Date masura OD'!$J$5,IF(B983=19,'Date masura OD'!$AL$5,M982))</f>
        <v>45808</v>
      </c>
      <c r="N983" s="104">
        <f>VLOOKUP(E983,verificare!$AR$4:$CC$33,B983+2,FALSE)</f>
        <v>13243</v>
      </c>
      <c r="O983" s="103">
        <f>HLOOKUP(VLOOKUP(E983,'Date SPV'!$B$4:$F$34,5,FALSE),'Preturi si tarife'!$C$2:$J$39,B983+2,FALSE)*10000</f>
        <v>725.41599999999994</v>
      </c>
      <c r="Q983" s="101" t="str">
        <f t="shared" si="132"/>
        <v>One-off</v>
      </c>
      <c r="R983" s="101" t="str">
        <f>VLOOKUP(K983,'Preturi si tarife'!$B$4:$K$39,10,FALSE)</f>
        <v>ICOENG0001</v>
      </c>
      <c r="T983" s="101" t="str">
        <f t="shared" si="133"/>
        <v>INV + 30</v>
      </c>
      <c r="V983" s="101" t="str">
        <f t="shared" si="134"/>
        <v>Active</v>
      </c>
      <c r="X983" s="101" t="str">
        <f t="shared" si="135"/>
        <v>One-off</v>
      </c>
      <c r="AC983" s="101" t="str">
        <f t="shared" ref="AC983:AC1014" si="142">AC982</f>
        <v>RON</v>
      </c>
      <c r="AD983" s="101">
        <f t="shared" ref="AD983:AD1014" si="143">AD982</f>
        <v>10000</v>
      </c>
    </row>
    <row r="984" spans="1:30">
      <c r="A984" s="101">
        <f t="shared" si="139"/>
        <v>28</v>
      </c>
      <c r="B984" s="101">
        <f t="shared" si="140"/>
        <v>11</v>
      </c>
      <c r="C984" s="101" t="str">
        <f t="shared" si="141"/>
        <v>T11</v>
      </c>
      <c r="D984" s="101" t="str">
        <f>IF(A984&lt;&gt;A983,VLOOKUP(A984,'Date SPV'!$A:$D,4,FALSE),D983)</f>
        <v>Nepi Ten Development Solutions  SRL</v>
      </c>
      <c r="E984" s="101" t="str">
        <f>VLOOKUP(A984,'Date SPV'!$A$4:$B$34,2,FALSE)</f>
        <v>RN10_Petrosani</v>
      </c>
      <c r="H984" s="105" t="s">
        <v>894</v>
      </c>
      <c r="K984" s="101" t="str">
        <f>VLOOKUP(C984,'Preturi si tarife'!$A$4:$B$39,2,FALSE)</f>
        <v>Contributie CFD</v>
      </c>
      <c r="L984" s="102">
        <f>IF(B984=1,'Date masura OD'!$I$5,IF(B984=19,'Date masura OD'!$AK$5,L983))</f>
        <v>45778</v>
      </c>
      <c r="M984" s="102">
        <f>IF(B984=1,'Date masura OD'!$J$5,IF(B984=19,'Date masura OD'!$AL$5,M983))</f>
        <v>45808</v>
      </c>
      <c r="N984" s="104">
        <f>VLOOKUP(E984,verificare!$AR$4:$CC$33,B984+2,FALSE)</f>
        <v>13243</v>
      </c>
      <c r="O984" s="103">
        <f>HLOOKUP(VLOOKUP(E984,'Date SPV'!$B$4:$F$34,5,FALSE),'Preturi si tarife'!$C$2:$J$39,B984+2,FALSE)*10000</f>
        <v>2.06</v>
      </c>
      <c r="Q984" s="101" t="str">
        <f t="shared" si="132"/>
        <v>One-off</v>
      </c>
      <c r="R984" s="101" t="str">
        <f>VLOOKUP(K984,'Preturi si tarife'!$B$4:$K$39,10,FALSE)</f>
        <v>ICOENG0001</v>
      </c>
      <c r="T984" s="101" t="str">
        <f t="shared" si="133"/>
        <v>INV + 30</v>
      </c>
      <c r="V984" s="101" t="str">
        <f t="shared" si="134"/>
        <v>Active</v>
      </c>
      <c r="X984" s="101" t="str">
        <f t="shared" si="135"/>
        <v>One-off</v>
      </c>
      <c r="AC984" s="101" t="str">
        <f t="shared" si="142"/>
        <v>RON</v>
      </c>
      <c r="AD984" s="101">
        <f t="shared" si="143"/>
        <v>10000</v>
      </c>
    </row>
    <row r="985" spans="1:30">
      <c r="A985" s="101">
        <f t="shared" si="139"/>
        <v>28</v>
      </c>
      <c r="B985" s="101">
        <f t="shared" si="140"/>
        <v>12</v>
      </c>
      <c r="C985" s="101" t="str">
        <f t="shared" si="141"/>
        <v>T12</v>
      </c>
      <c r="D985" s="101" t="str">
        <f>IF(A985&lt;&gt;A984,VLOOKUP(A985,'Date SPV'!$A:$D,4,FALSE),D984)</f>
        <v>Nepi Ten Development Solutions  SRL</v>
      </c>
      <c r="E985" s="101" t="str">
        <f>VLOOKUP(A985,'Date SPV'!$A$4:$B$34,2,FALSE)</f>
        <v>RN10_Petrosani</v>
      </c>
      <c r="H985" s="105" t="s">
        <v>894</v>
      </c>
      <c r="K985" s="101" t="str">
        <f>VLOOKUP(C985,'Preturi si tarife'!$A$4:$B$39,2,FALSE)</f>
        <v>Acciza</v>
      </c>
      <c r="L985" s="102">
        <f>IF(B985=1,'Date masura OD'!$I$5,IF(B985=19,'Date masura OD'!$AK$5,L984))</f>
        <v>45778</v>
      </c>
      <c r="M985" s="102">
        <f>IF(B985=1,'Date masura OD'!$J$5,IF(B985=19,'Date masura OD'!$AL$5,M984))</f>
        <v>45808</v>
      </c>
      <c r="N985" s="104">
        <f>VLOOKUP(E985,verificare!$AR$4:$CC$33,B985+2,FALSE)</f>
        <v>13243</v>
      </c>
      <c r="O985" s="103">
        <f>HLOOKUP(VLOOKUP(E985,'Date SPV'!$B$4:$F$34,5,FALSE),'Preturi si tarife'!$C$2:$J$39,B985+2,FALSE)*10000</f>
        <v>0</v>
      </c>
      <c r="Q985" s="101" t="str">
        <f t="shared" si="132"/>
        <v>One-off</v>
      </c>
      <c r="R985" s="101" t="str">
        <f>VLOOKUP(K985,'Preturi si tarife'!$B$4:$K$39,10,FALSE)</f>
        <v>ICOENG0001</v>
      </c>
      <c r="T985" s="101" t="str">
        <f t="shared" si="133"/>
        <v>INV + 30</v>
      </c>
      <c r="V985" s="101" t="str">
        <f t="shared" si="134"/>
        <v>Active</v>
      </c>
      <c r="X985" s="101" t="str">
        <f t="shared" si="135"/>
        <v>One-off</v>
      </c>
      <c r="AC985" s="101" t="str">
        <f t="shared" si="142"/>
        <v>RON</v>
      </c>
      <c r="AD985" s="101">
        <f t="shared" si="143"/>
        <v>10000</v>
      </c>
    </row>
    <row r="986" spans="1:30">
      <c r="A986" s="101">
        <f t="shared" si="139"/>
        <v>28</v>
      </c>
      <c r="B986" s="101">
        <f t="shared" si="140"/>
        <v>13</v>
      </c>
      <c r="C986" s="101" t="str">
        <f t="shared" si="141"/>
        <v>T13</v>
      </c>
      <c r="D986" s="101" t="str">
        <f>IF(A986&lt;&gt;A985,VLOOKUP(A986,'Date SPV'!$A:$D,4,FALSE),D985)</f>
        <v>Nepi Ten Development Solutions  SRL</v>
      </c>
      <c r="E986" s="101" t="str">
        <f>VLOOKUP(A986,'Date SPV'!$A$4:$B$34,2,FALSE)</f>
        <v>RN10_Petrosani</v>
      </c>
      <c r="H986" s="105" t="s">
        <v>894</v>
      </c>
      <c r="K986" s="101" t="str">
        <f>VLOOKUP(C986,'Preturi si tarife'!$A$4:$B$39,2,FALSE)</f>
        <v>Tarif distributie SDI MT</v>
      </c>
      <c r="L986" s="102">
        <f>IF(B986=1,'Date masura OD'!$I$5,IF(B986=19,'Date masura OD'!$AK$5,L985))</f>
        <v>45778</v>
      </c>
      <c r="M986" s="102">
        <f>IF(B986=1,'Date masura OD'!$J$5,IF(B986=19,'Date masura OD'!$AL$5,M985))</f>
        <v>45808</v>
      </c>
      <c r="N986" s="104">
        <f>VLOOKUP(E986,verificare!$AR$4:$CC$33,B986+2,FALSE)</f>
        <v>0</v>
      </c>
      <c r="O986" s="103">
        <f>HLOOKUP(VLOOKUP(E986,'Date SPV'!$B$4:$F$34,5,FALSE),'Preturi si tarife'!$C$2:$J$39,B986+2,FALSE)*10000</f>
        <v>115.99999999999999</v>
      </c>
      <c r="Q986" s="101" t="str">
        <f t="shared" si="132"/>
        <v>One-off</v>
      </c>
      <c r="R986" s="101" t="str">
        <f>VLOOKUP(K986,'Preturi si tarife'!$B$4:$K$39,10,FALSE)</f>
        <v>ICOENG0010</v>
      </c>
      <c r="T986" s="101" t="str">
        <f t="shared" si="133"/>
        <v>INV + 30</v>
      </c>
      <c r="V986" s="101" t="str">
        <f t="shared" si="134"/>
        <v>Active</v>
      </c>
      <c r="X986" s="101" t="str">
        <f t="shared" si="135"/>
        <v>One-off</v>
      </c>
      <c r="AC986" s="101" t="str">
        <f t="shared" si="142"/>
        <v>RON</v>
      </c>
      <c r="AD986" s="101">
        <f t="shared" si="143"/>
        <v>10000</v>
      </c>
    </row>
    <row r="987" spans="1:30">
      <c r="A987" s="101">
        <f t="shared" si="139"/>
        <v>28</v>
      </c>
      <c r="B987" s="101">
        <f t="shared" si="140"/>
        <v>14</v>
      </c>
      <c r="C987" s="101" t="str">
        <f t="shared" si="141"/>
        <v>T14</v>
      </c>
      <c r="D987" s="101" t="str">
        <f>IF(A987&lt;&gt;A986,VLOOKUP(A987,'Date SPV'!$A:$D,4,FALSE),D986)</f>
        <v>Nepi Ten Development Solutions  SRL</v>
      </c>
      <c r="E987" s="101" t="str">
        <f>VLOOKUP(A987,'Date SPV'!$A$4:$B$34,2,FALSE)</f>
        <v>RN10_Petrosani</v>
      </c>
      <c r="H987" s="105" t="s">
        <v>894</v>
      </c>
      <c r="K987" s="101" t="str">
        <f>VLOOKUP(C987,'Preturi si tarife'!$A$4:$B$39,2,FALSE)</f>
        <v>Tarif distributie SDI JT</v>
      </c>
      <c r="L987" s="102">
        <f>IF(B987=1,'Date masura OD'!$I$5,IF(B987=19,'Date masura OD'!$AK$5,L986))</f>
        <v>45778</v>
      </c>
      <c r="M987" s="102">
        <f>IF(B987=1,'Date masura OD'!$J$5,IF(B987=19,'Date masura OD'!$AL$5,M986))</f>
        <v>45808</v>
      </c>
      <c r="N987" s="104">
        <f>VLOOKUP(E987,verificare!$AR$4:$CC$33,B987+2,FALSE)</f>
        <v>0</v>
      </c>
      <c r="O987" s="103">
        <f>HLOOKUP(VLOOKUP(E987,'Date SPV'!$B$4:$F$34,5,FALSE),'Preturi si tarife'!$C$2:$J$39,B987+2,FALSE)*10000</f>
        <v>832</v>
      </c>
      <c r="Q987" s="101" t="str">
        <f t="shared" si="132"/>
        <v>One-off</v>
      </c>
      <c r="R987" s="101" t="str">
        <f>VLOOKUP(K987,'Preturi si tarife'!$B$4:$K$39,10,FALSE)</f>
        <v>ICOENG0010</v>
      </c>
      <c r="T987" s="101" t="str">
        <f t="shared" si="133"/>
        <v>INV + 30</v>
      </c>
      <c r="V987" s="101" t="str">
        <f t="shared" si="134"/>
        <v>Active</v>
      </c>
      <c r="X987" s="101" t="str">
        <f t="shared" si="135"/>
        <v>One-off</v>
      </c>
      <c r="AC987" s="101" t="str">
        <f t="shared" si="142"/>
        <v>RON</v>
      </c>
      <c r="AD987" s="101">
        <f t="shared" si="143"/>
        <v>10000</v>
      </c>
    </row>
    <row r="988" spans="1:30">
      <c r="A988" s="101">
        <f t="shared" si="139"/>
        <v>28</v>
      </c>
      <c r="B988" s="101">
        <f t="shared" si="140"/>
        <v>15</v>
      </c>
      <c r="C988" s="101" t="str">
        <f t="shared" si="141"/>
        <v>T15</v>
      </c>
      <c r="D988" s="101" t="str">
        <f>IF(A988&lt;&gt;A987,VLOOKUP(A988,'Date SPV'!$A:$D,4,FALSE),D987)</f>
        <v>Nepi Ten Development Solutions  SRL</v>
      </c>
      <c r="E988" s="101" t="str">
        <f>VLOOKUP(A988,'Date SPV'!$A$4:$B$34,2,FALSE)</f>
        <v>RN10_Petrosani</v>
      </c>
      <c r="H988" s="105" t="s">
        <v>894</v>
      </c>
      <c r="K988" s="101" t="str">
        <f>VLOOKUP(C988,'Preturi si tarife'!$A$4:$B$39,2,FALSE)</f>
        <v>Energie activa 2</v>
      </c>
      <c r="L988" s="102">
        <f>IF(B988=1,'Date masura OD'!$I$5,IF(B988=19,'Date masura OD'!$AK$5,L987))</f>
        <v>45778</v>
      </c>
      <c r="M988" s="102">
        <f>IF(B988=1,'Date masura OD'!$J$5,IF(B988=19,'Date masura OD'!$AL$5,M987))</f>
        <v>45808</v>
      </c>
      <c r="N988" s="104">
        <f>VLOOKUP(E988,verificare!$AR$4:$CC$33,B988+2,FALSE)</f>
        <v>0</v>
      </c>
      <c r="O988" s="103">
        <f>HLOOKUP(VLOOKUP(E988,'Date SPV'!$B$4:$F$34,5,FALSE),'Preturi si tarife'!$C$2:$J$39,B988+2,FALSE)*10000</f>
        <v>9000.5760000000009</v>
      </c>
      <c r="Q988" s="101" t="str">
        <f t="shared" si="132"/>
        <v>One-off</v>
      </c>
      <c r="R988" s="101" t="str">
        <f>VLOOKUP(K988,'Preturi si tarife'!$B$4:$K$39,10,FALSE)</f>
        <v>ICOENG0012</v>
      </c>
      <c r="T988" s="101" t="str">
        <f t="shared" si="133"/>
        <v>INV + 30</v>
      </c>
      <c r="V988" s="101" t="str">
        <f t="shared" si="134"/>
        <v>Active</v>
      </c>
      <c r="X988" s="101" t="str">
        <f t="shared" si="135"/>
        <v>One-off</v>
      </c>
      <c r="AC988" s="101" t="str">
        <f t="shared" si="142"/>
        <v>RON</v>
      </c>
      <c r="AD988" s="101">
        <f t="shared" si="143"/>
        <v>10000</v>
      </c>
    </row>
    <row r="989" spans="1:30">
      <c r="A989" s="101">
        <f t="shared" si="139"/>
        <v>28</v>
      </c>
      <c r="B989" s="101">
        <f t="shared" si="140"/>
        <v>16</v>
      </c>
      <c r="C989" s="101" t="str">
        <f t="shared" si="141"/>
        <v>T16</v>
      </c>
      <c r="D989" s="101" t="str">
        <f>IF(A989&lt;&gt;A988,VLOOKUP(A989,'Date SPV'!$A:$D,4,FALSE),D988)</f>
        <v>Nepi Ten Development Solutions  SRL</v>
      </c>
      <c r="E989" s="101" t="str">
        <f>VLOOKUP(A989,'Date SPV'!$A$4:$B$34,2,FALSE)</f>
        <v>RN10_Petrosani</v>
      </c>
      <c r="H989" s="105" t="s">
        <v>894</v>
      </c>
      <c r="K989" s="101" t="str">
        <f>VLOOKUP(C989,'Preturi si tarife'!$A$4:$B$39,2,FALSE)</f>
        <v>Energie activa 3</v>
      </c>
      <c r="L989" s="102">
        <f>IF(B989=1,'Date masura OD'!$I$5,IF(B989=19,'Date masura OD'!$AK$5,L988))</f>
        <v>45778</v>
      </c>
      <c r="M989" s="102">
        <f>IF(B989=1,'Date masura OD'!$J$5,IF(B989=19,'Date masura OD'!$AL$5,M988))</f>
        <v>45808</v>
      </c>
      <c r="N989" s="104">
        <f>VLOOKUP(E989,verificare!$AR$4:$CC$33,B989+2,FALSE)</f>
        <v>0</v>
      </c>
      <c r="O989" s="103">
        <f>HLOOKUP(VLOOKUP(E989,'Date SPV'!$B$4:$F$34,5,FALSE),'Preturi si tarife'!$C$2:$J$39,B989+2,FALSE)*10000</f>
        <v>8052.576</v>
      </c>
      <c r="Q989" s="101" t="str">
        <f t="shared" si="132"/>
        <v>One-off</v>
      </c>
      <c r="R989" s="101" t="str">
        <f>VLOOKUP(K989,'Preturi si tarife'!$B$4:$K$39,10,FALSE)</f>
        <v>ICOENG0012</v>
      </c>
      <c r="T989" s="101" t="str">
        <f t="shared" si="133"/>
        <v>INV + 30</v>
      </c>
      <c r="V989" s="101" t="str">
        <f t="shared" si="134"/>
        <v>Active</v>
      </c>
      <c r="X989" s="101" t="str">
        <f t="shared" si="135"/>
        <v>One-off</v>
      </c>
      <c r="AC989" s="101" t="str">
        <f t="shared" si="142"/>
        <v>RON</v>
      </c>
      <c r="AD989" s="101">
        <f t="shared" si="143"/>
        <v>10000</v>
      </c>
    </row>
    <row r="990" spans="1:30">
      <c r="A990" s="101">
        <f t="shared" si="139"/>
        <v>28</v>
      </c>
      <c r="B990" s="101">
        <f t="shared" si="140"/>
        <v>17</v>
      </c>
      <c r="C990" s="101" t="str">
        <f t="shared" si="141"/>
        <v>T17</v>
      </c>
      <c r="D990" s="101" t="str">
        <f>IF(A990&lt;&gt;A989,VLOOKUP(A990,'Date SPV'!$A:$D,4,FALSE),D989)</f>
        <v>Nepi Ten Development Solutions  SRL</v>
      </c>
      <c r="E990" s="101" t="str">
        <f>VLOOKUP(A990,'Date SPV'!$A$4:$B$34,2,FALSE)</f>
        <v>RN10_Petrosani</v>
      </c>
      <c r="H990" s="105" t="s">
        <v>894</v>
      </c>
      <c r="K990" s="101" t="str">
        <f>VLOOKUP(C990,'Preturi si tarife'!$A$4:$B$39,2,FALSE)</f>
        <v>Tarif distributie SDI MT_</v>
      </c>
      <c r="L990" s="102">
        <f>IF(B990=1,'Date masura OD'!$I$5,IF(B990=19,'Date masura OD'!$AK$5,L989))</f>
        <v>45778</v>
      </c>
      <c r="M990" s="102">
        <f>IF(B990=1,'Date masura OD'!$J$5,IF(B990=19,'Date masura OD'!$AL$5,M989))</f>
        <v>45808</v>
      </c>
      <c r="N990" s="104">
        <f>VLOOKUP(E990,verificare!$AR$4:$CC$33,B990+2,FALSE)</f>
        <v>0</v>
      </c>
      <c r="O990" s="103">
        <f>HLOOKUP(VLOOKUP(E990,'Date SPV'!$B$4:$F$34,5,FALSE),'Preturi si tarife'!$C$2:$J$39,B990+2,FALSE)*10000</f>
        <v>115.99999999999999</v>
      </c>
      <c r="Q990" s="101" t="str">
        <f t="shared" si="132"/>
        <v>One-off</v>
      </c>
      <c r="R990" s="101" t="str">
        <f>VLOOKUP(K990,'Preturi si tarife'!$B$4:$K$39,10,FALSE)</f>
        <v>ICOENG0010</v>
      </c>
      <c r="T990" s="101" t="str">
        <f t="shared" si="133"/>
        <v>INV + 30</v>
      </c>
      <c r="V990" s="101" t="str">
        <f t="shared" si="134"/>
        <v>Active</v>
      </c>
      <c r="X990" s="101" t="str">
        <f t="shared" si="135"/>
        <v>One-off</v>
      </c>
      <c r="AC990" s="101" t="str">
        <f t="shared" si="142"/>
        <v>RON</v>
      </c>
      <c r="AD990" s="101">
        <f t="shared" si="143"/>
        <v>10000</v>
      </c>
    </row>
    <row r="991" spans="1:30">
      <c r="A991" s="101">
        <f t="shared" si="139"/>
        <v>28</v>
      </c>
      <c r="B991" s="101">
        <f t="shared" si="140"/>
        <v>18</v>
      </c>
      <c r="C991" s="101" t="str">
        <f t="shared" si="141"/>
        <v>T18</v>
      </c>
      <c r="D991" s="101" t="str">
        <f>IF(A991&lt;&gt;A990,VLOOKUP(A991,'Date SPV'!$A:$D,4,FALSE),D990)</f>
        <v>Nepi Ten Development Solutions  SRL</v>
      </c>
      <c r="E991" s="101" t="str">
        <f>VLOOKUP(A991,'Date SPV'!$A$4:$B$34,2,FALSE)</f>
        <v>RN10_Petrosani</v>
      </c>
      <c r="H991" s="105" t="s">
        <v>894</v>
      </c>
      <c r="K991" s="101" t="str">
        <f>VLOOKUP(C991,'Preturi si tarife'!$A$4:$B$39,2,FALSE)</f>
        <v>Tarif distributie SDI JT_</v>
      </c>
      <c r="L991" s="102">
        <f>IF(B991=1,'Date masura OD'!$I$5,IF(B991=19,'Date masura OD'!$AK$5,L990))</f>
        <v>45778</v>
      </c>
      <c r="M991" s="102">
        <f>IF(B991=1,'Date masura OD'!$J$5,IF(B991=19,'Date masura OD'!$AL$5,M990))</f>
        <v>45808</v>
      </c>
      <c r="N991" s="104">
        <f>VLOOKUP(E991,verificare!$AR$4:$CC$33,B991+2,FALSE)</f>
        <v>0</v>
      </c>
      <c r="O991" s="103">
        <f>HLOOKUP(VLOOKUP(E991,'Date SPV'!$B$4:$F$34,5,FALSE),'Preturi si tarife'!$C$2:$J$39,B991+2,FALSE)*10000</f>
        <v>832</v>
      </c>
      <c r="Q991" s="101" t="str">
        <f t="shared" si="132"/>
        <v>One-off</v>
      </c>
      <c r="R991" s="101" t="str">
        <f>VLOOKUP(K991,'Preturi si tarife'!$B$4:$K$39,10,FALSE)</f>
        <v>ICOENG0010</v>
      </c>
      <c r="T991" s="101" t="str">
        <f t="shared" si="133"/>
        <v>INV + 30</v>
      </c>
      <c r="V991" s="101" t="str">
        <f t="shared" si="134"/>
        <v>Active</v>
      </c>
      <c r="X991" s="101" t="str">
        <f t="shared" si="135"/>
        <v>One-off</v>
      </c>
      <c r="AC991" s="101" t="str">
        <f t="shared" si="142"/>
        <v>RON</v>
      </c>
      <c r="AD991" s="101">
        <f t="shared" si="143"/>
        <v>10000</v>
      </c>
    </row>
    <row r="992" spans="1:30">
      <c r="A992" s="101">
        <f t="shared" si="139"/>
        <v>28</v>
      </c>
      <c r="B992" s="101">
        <f t="shared" si="140"/>
        <v>19</v>
      </c>
      <c r="C992" s="101" t="str">
        <f t="shared" si="141"/>
        <v>T19</v>
      </c>
      <c r="D992" s="101" t="str">
        <f>IF(A992&lt;&gt;A991,VLOOKUP(A992,'Date SPV'!$A:$D,4,FALSE),D991)</f>
        <v>Nepi Ten Development Solutions  SRL</v>
      </c>
      <c r="E992" s="101" t="str">
        <f>VLOOKUP(A992,'Date SPV'!$A$4:$B$34,2,FALSE)</f>
        <v>RN10_Petrosani</v>
      </c>
      <c r="H992" s="105" t="s">
        <v>894</v>
      </c>
      <c r="K992" s="101" t="str">
        <f>VLOOKUP(C992,'Preturi si tarife'!$A$4:$B$39,2,FALSE)</f>
        <v>Regularizare Energie activa 1</v>
      </c>
      <c r="L992" s="102">
        <f>IF(B992=1,'Date masura OD'!$I$5,IF(B992=19,'Date masura OD'!$AK$5,L991))</f>
        <v>45748</v>
      </c>
      <c r="M992" s="102">
        <f>IF(B992=1,'Date masura OD'!$J$5,IF(B992=19,'Date masura OD'!$AL$5,M991))</f>
        <v>45777</v>
      </c>
      <c r="N992" s="104">
        <f>VLOOKUP(E992,verificare!$AR$4:$CC$33,B992+2,FALSE)</f>
        <v>2220</v>
      </c>
      <c r="O992" s="103">
        <f>HLOOKUP(VLOOKUP(E992,'Date SPV'!$B$4:$F$34,5,FALSE),'Preturi si tarife'!$C$2:$J$39,B992+2,FALSE)*10000</f>
        <v>5950</v>
      </c>
      <c r="Q992" s="101" t="str">
        <f t="shared" si="132"/>
        <v>One-off</v>
      </c>
      <c r="R992" s="101" t="str">
        <f>VLOOKUP(K992,'Preturi si tarife'!$B$4:$K$39,10,FALSE)</f>
        <v>ICOENG0001</v>
      </c>
      <c r="T992" s="101" t="str">
        <f t="shared" si="133"/>
        <v>INV + 30</v>
      </c>
      <c r="V992" s="101" t="str">
        <f t="shared" si="134"/>
        <v>Active</v>
      </c>
      <c r="X992" s="101" t="str">
        <f t="shared" si="135"/>
        <v>One-off</v>
      </c>
      <c r="AC992" s="101" t="str">
        <f t="shared" si="142"/>
        <v>RON</v>
      </c>
      <c r="AD992" s="101">
        <f t="shared" si="143"/>
        <v>10000</v>
      </c>
    </row>
    <row r="993" spans="1:30">
      <c r="A993" s="101">
        <f t="shared" si="139"/>
        <v>28</v>
      </c>
      <c r="B993" s="101">
        <f t="shared" si="140"/>
        <v>20</v>
      </c>
      <c r="C993" s="101" t="str">
        <f t="shared" si="141"/>
        <v>T20</v>
      </c>
      <c r="D993" s="101" t="str">
        <f>IF(A993&lt;&gt;A992,VLOOKUP(A993,'Date SPV'!$A:$D,4,FALSE),D992)</f>
        <v>Nepi Ten Development Solutions  SRL</v>
      </c>
      <c r="E993" s="101" t="str">
        <f>VLOOKUP(A993,'Date SPV'!$A$4:$B$34,2,FALSE)</f>
        <v>RN10_Petrosani</v>
      </c>
      <c r="H993" s="105" t="s">
        <v>894</v>
      </c>
      <c r="K993" s="101" t="str">
        <f>VLOOKUP(C993,'Preturi si tarife'!$A$4:$B$39,2,FALSE)</f>
        <v>Regularizare Energie reactiva  1X</v>
      </c>
      <c r="L993" s="102">
        <f>IF(B993=1,'Date masura OD'!$I$5,IF(B993=19,'Date masura OD'!$AK$5,L992))</f>
        <v>45748</v>
      </c>
      <c r="M993" s="102">
        <f>IF(B993=1,'Date masura OD'!$J$5,IF(B993=19,'Date masura OD'!$AL$5,M992))</f>
        <v>45777</v>
      </c>
      <c r="N993" s="104">
        <f>VLOOKUP(E993,verificare!$AR$4:$CC$33,B993+2,FALSE)</f>
        <v>0</v>
      </c>
      <c r="O993" s="103">
        <f>HLOOKUP(VLOOKUP(E993,'Date SPV'!$B$4:$F$34,5,FALSE),'Preturi si tarife'!$C$2:$J$39,B993+2,FALSE)*10000</f>
        <v>1466</v>
      </c>
      <c r="Q993" s="101" t="str">
        <f t="shared" si="132"/>
        <v>One-off</v>
      </c>
      <c r="R993" s="101" t="str">
        <f>VLOOKUP(K993,'Preturi si tarife'!$B$4:$K$39,10,FALSE)</f>
        <v>ICOENG0001</v>
      </c>
      <c r="T993" s="101" t="str">
        <f t="shared" si="133"/>
        <v>INV + 30</v>
      </c>
      <c r="V993" s="101" t="str">
        <f t="shared" si="134"/>
        <v>Active</v>
      </c>
      <c r="X993" s="101" t="str">
        <f t="shared" si="135"/>
        <v>One-off</v>
      </c>
      <c r="AC993" s="101" t="str">
        <f t="shared" si="142"/>
        <v>RON</v>
      </c>
      <c r="AD993" s="101">
        <f t="shared" si="143"/>
        <v>10000</v>
      </c>
    </row>
    <row r="994" spans="1:30">
      <c r="A994" s="101">
        <f t="shared" si="139"/>
        <v>28</v>
      </c>
      <c r="B994" s="101">
        <f t="shared" si="140"/>
        <v>21</v>
      </c>
      <c r="C994" s="101" t="str">
        <f t="shared" si="141"/>
        <v>T21</v>
      </c>
      <c r="D994" s="101" t="str">
        <f>IF(A994&lt;&gt;A993,VLOOKUP(A994,'Date SPV'!$A:$D,4,FALSE),D993)</f>
        <v>Nepi Ten Development Solutions  SRL</v>
      </c>
      <c r="E994" s="101" t="str">
        <f>VLOOKUP(A994,'Date SPV'!$A$4:$B$34,2,FALSE)</f>
        <v>RN10_Petrosani</v>
      </c>
      <c r="H994" s="105" t="s">
        <v>894</v>
      </c>
      <c r="K994" s="101" t="str">
        <f>VLOOKUP(C994,'Preturi si tarife'!$A$4:$B$39,2,FALSE)</f>
        <v>Regularizare Energie reactiva  3X</v>
      </c>
      <c r="L994" s="102">
        <f>IF(B994=1,'Date masura OD'!$I$5,IF(B994=19,'Date masura OD'!$AK$5,L993))</f>
        <v>45748</v>
      </c>
      <c r="M994" s="102">
        <f>IF(B994=1,'Date masura OD'!$J$5,IF(B994=19,'Date masura OD'!$AL$5,M993))</f>
        <v>45777</v>
      </c>
      <c r="N994" s="104">
        <f>VLOOKUP(E994,verificare!$AR$4:$CC$33,B994+2,FALSE)</f>
        <v>0</v>
      </c>
      <c r="O994" s="103">
        <f>HLOOKUP(VLOOKUP(E994,'Date SPV'!$B$4:$F$34,5,FALSE),'Preturi si tarife'!$C$2:$J$39,B994+2,FALSE)*10000</f>
        <v>4398</v>
      </c>
      <c r="Q994" s="101" t="str">
        <f t="shared" si="132"/>
        <v>One-off</v>
      </c>
      <c r="R994" s="101" t="str">
        <f>VLOOKUP(K994,'Preturi si tarife'!$B$4:$K$39,10,FALSE)</f>
        <v>ICOENG0001</v>
      </c>
      <c r="T994" s="101" t="str">
        <f t="shared" si="133"/>
        <v>INV + 30</v>
      </c>
      <c r="V994" s="101" t="str">
        <f t="shared" si="134"/>
        <v>Active</v>
      </c>
      <c r="X994" s="101" t="str">
        <f t="shared" si="135"/>
        <v>One-off</v>
      </c>
      <c r="AC994" s="101" t="str">
        <f t="shared" si="142"/>
        <v>RON</v>
      </c>
      <c r="AD994" s="101">
        <f t="shared" si="143"/>
        <v>10000</v>
      </c>
    </row>
    <row r="995" spans="1:30">
      <c r="A995" s="101">
        <f t="shared" si="139"/>
        <v>28</v>
      </c>
      <c r="B995" s="101">
        <f t="shared" si="140"/>
        <v>22</v>
      </c>
      <c r="C995" s="101" t="str">
        <f t="shared" si="141"/>
        <v>T22</v>
      </c>
      <c r="D995" s="101" t="str">
        <f>IF(A995&lt;&gt;A994,VLOOKUP(A995,'Date SPV'!$A:$D,4,FALSE),D994)</f>
        <v>Nepi Ten Development Solutions  SRL</v>
      </c>
      <c r="E995" s="101" t="str">
        <f>VLOOKUP(A995,'Date SPV'!$A$4:$B$34,2,FALSE)</f>
        <v>RN10_Petrosani</v>
      </c>
      <c r="H995" s="105" t="s">
        <v>894</v>
      </c>
      <c r="K995" s="101" t="str">
        <f>VLOOKUP(C995,'Preturi si tarife'!$A$4:$B$39,2,FALSE)</f>
        <v>Regularizare Tarife distributie en. El IT+MT</v>
      </c>
      <c r="L995" s="102">
        <f>IF(B995=1,'Date masura OD'!$I$5,IF(B995=19,'Date masura OD'!$AK$5,L994))</f>
        <v>45748</v>
      </c>
      <c r="M995" s="102">
        <f>IF(B995=1,'Date masura OD'!$J$5,IF(B995=19,'Date masura OD'!$AL$5,M994))</f>
        <v>45777</v>
      </c>
      <c r="N995" s="104">
        <f>VLOOKUP(E995,verificare!$AR$4:$CC$33,B995+2,FALSE)</f>
        <v>2220</v>
      </c>
      <c r="O995" s="103">
        <f>HLOOKUP(VLOOKUP(E995,'Date SPV'!$B$4:$F$34,5,FALSE),'Preturi si tarife'!$C$2:$J$39,B995+2,FALSE)*10000</f>
        <v>861.80000000000007</v>
      </c>
      <c r="Q995" s="101" t="str">
        <f t="shared" si="132"/>
        <v>One-off</v>
      </c>
      <c r="R995" s="101" t="str">
        <f>VLOOKUP(K995,'Preturi si tarife'!$B$4:$K$39,10,FALSE)</f>
        <v>ICOENG0001</v>
      </c>
      <c r="T995" s="101" t="str">
        <f t="shared" si="133"/>
        <v>INV + 30</v>
      </c>
      <c r="V995" s="101" t="str">
        <f t="shared" si="134"/>
        <v>Active</v>
      </c>
      <c r="X995" s="101" t="str">
        <f t="shared" si="135"/>
        <v>One-off</v>
      </c>
      <c r="AC995" s="101" t="str">
        <f t="shared" si="142"/>
        <v>RON</v>
      </c>
      <c r="AD995" s="101">
        <f t="shared" si="143"/>
        <v>10000</v>
      </c>
    </row>
    <row r="996" spans="1:30">
      <c r="A996" s="101">
        <f t="shared" si="139"/>
        <v>28</v>
      </c>
      <c r="B996" s="101">
        <f t="shared" si="140"/>
        <v>23</v>
      </c>
      <c r="C996" s="101" t="str">
        <f t="shared" si="141"/>
        <v>T23</v>
      </c>
      <c r="D996" s="101" t="str">
        <f>IF(A996&lt;&gt;A995,VLOOKUP(A996,'Date SPV'!$A:$D,4,FALSE),D995)</f>
        <v>Nepi Ten Development Solutions  SRL</v>
      </c>
      <c r="E996" s="101" t="str">
        <f>VLOOKUP(A996,'Date SPV'!$A$4:$B$34,2,FALSE)</f>
        <v>RN10_Petrosani</v>
      </c>
      <c r="H996" s="105" t="s">
        <v>894</v>
      </c>
      <c r="K996" s="101" t="str">
        <f>VLOOKUP(C996,'Preturi si tarife'!$A$4:$B$39,2,FALSE)</f>
        <v>Regularizare Tarife distributie en. El JT</v>
      </c>
      <c r="L996" s="102">
        <f>IF(B996=1,'Date masura OD'!$I$5,IF(B996=19,'Date masura OD'!$AK$5,L995))</f>
        <v>45748</v>
      </c>
      <c r="M996" s="102">
        <f>IF(B996=1,'Date masura OD'!$J$5,IF(B996=19,'Date masura OD'!$AL$5,M995))</f>
        <v>45777</v>
      </c>
      <c r="N996" s="104">
        <f>VLOOKUP(E996,verificare!$AR$4:$CC$33,B996+2,FALSE)</f>
        <v>2220</v>
      </c>
      <c r="O996" s="103">
        <f>HLOOKUP(VLOOKUP(E996,'Date SPV'!$B$4:$F$34,5,FALSE),'Preturi si tarife'!$C$2:$J$39,B996+2,FALSE)*10000</f>
        <v>2079</v>
      </c>
      <c r="Q996" s="101" t="str">
        <f t="shared" si="132"/>
        <v>One-off</v>
      </c>
      <c r="R996" s="101" t="str">
        <f>VLOOKUP(K996,'Preturi si tarife'!$B$4:$K$39,10,FALSE)</f>
        <v>ICOENG0001</v>
      </c>
      <c r="T996" s="101" t="str">
        <f t="shared" si="133"/>
        <v>INV + 30</v>
      </c>
      <c r="V996" s="101" t="str">
        <f t="shared" si="134"/>
        <v>Active</v>
      </c>
      <c r="X996" s="101" t="str">
        <f t="shared" si="135"/>
        <v>One-off</v>
      </c>
      <c r="AC996" s="101" t="str">
        <f t="shared" si="142"/>
        <v>RON</v>
      </c>
      <c r="AD996" s="101">
        <f t="shared" si="143"/>
        <v>10000</v>
      </c>
    </row>
    <row r="997" spans="1:30">
      <c r="A997" s="101">
        <f t="shared" si="139"/>
        <v>28</v>
      </c>
      <c r="B997" s="101">
        <f t="shared" si="140"/>
        <v>24</v>
      </c>
      <c r="C997" s="101" t="str">
        <f t="shared" si="141"/>
        <v>T24</v>
      </c>
      <c r="D997" s="101" t="str">
        <f>IF(A997&lt;&gt;A996,VLOOKUP(A997,'Date SPV'!$A:$D,4,FALSE),D996)</f>
        <v>Nepi Ten Development Solutions  SRL</v>
      </c>
      <c r="E997" s="101" t="str">
        <f>VLOOKUP(A997,'Date SPV'!$A$4:$B$34,2,FALSE)</f>
        <v>RN10_Petrosani</v>
      </c>
      <c r="H997" s="105" t="s">
        <v>894</v>
      </c>
      <c r="K997" s="101" t="str">
        <f>VLOOKUP(C997,'Preturi si tarife'!$A$4:$B$39,2,FALSE)</f>
        <v xml:space="preserve">Regularizare Servicii Sistem </v>
      </c>
      <c r="L997" s="102">
        <f>IF(B997=1,'Date masura OD'!$I$5,IF(B997=19,'Date masura OD'!$AK$5,L996))</f>
        <v>45748</v>
      </c>
      <c r="M997" s="102">
        <f>IF(B997=1,'Date masura OD'!$J$5,IF(B997=19,'Date masura OD'!$AL$5,M996))</f>
        <v>45777</v>
      </c>
      <c r="N997" s="104">
        <f>VLOOKUP(E997,verificare!$AR$4:$CC$33,B997+2,FALSE)</f>
        <v>2220</v>
      </c>
      <c r="O997" s="103">
        <f>HLOOKUP(VLOOKUP(E997,'Date SPV'!$B$4:$F$34,5,FALSE),'Preturi si tarife'!$C$2:$J$39,B997+2,FALSE)*10000</f>
        <v>115.1</v>
      </c>
      <c r="Q997" s="101" t="str">
        <f t="shared" si="132"/>
        <v>One-off</v>
      </c>
      <c r="R997" s="101" t="str">
        <f>VLOOKUP(K997,'Preturi si tarife'!$B$4:$K$39,10,FALSE)</f>
        <v>ICOENG0001</v>
      </c>
      <c r="T997" s="101" t="str">
        <f t="shared" si="133"/>
        <v>INV + 30</v>
      </c>
      <c r="V997" s="101" t="str">
        <f t="shared" si="134"/>
        <v>Active</v>
      </c>
      <c r="X997" s="101" t="str">
        <f t="shared" si="135"/>
        <v>One-off</v>
      </c>
      <c r="AC997" s="101" t="str">
        <f t="shared" si="142"/>
        <v>RON</v>
      </c>
      <c r="AD997" s="101">
        <f t="shared" si="143"/>
        <v>10000</v>
      </c>
    </row>
    <row r="998" spans="1:30">
      <c r="A998" s="101">
        <f t="shared" si="139"/>
        <v>28</v>
      </c>
      <c r="B998" s="101">
        <f t="shared" si="140"/>
        <v>25</v>
      </c>
      <c r="C998" s="101" t="str">
        <f t="shared" si="141"/>
        <v>T25</v>
      </c>
      <c r="D998" s="101" t="str">
        <f>IF(A998&lt;&gt;A997,VLOOKUP(A998,'Date SPV'!$A:$D,4,FALSE),D997)</f>
        <v>Nepi Ten Development Solutions  SRL</v>
      </c>
      <c r="E998" s="101" t="str">
        <f>VLOOKUP(A998,'Date SPV'!$A$4:$B$34,2,FALSE)</f>
        <v>RN10_Petrosani</v>
      </c>
      <c r="H998" s="105" t="s">
        <v>894</v>
      </c>
      <c r="K998" s="101" t="str">
        <f>VLOOKUP(C998,'Preturi si tarife'!$A$4:$B$39,2,FALSE)</f>
        <v>Regularizare Tarif de introducere en. el in retea (TL)</v>
      </c>
      <c r="L998" s="102">
        <f>IF(B998=1,'Date masura OD'!$I$5,IF(B998=19,'Date masura OD'!$AK$5,L997))</f>
        <v>45748</v>
      </c>
      <c r="M998" s="102">
        <f>IF(B998=1,'Date masura OD'!$J$5,IF(B998=19,'Date masura OD'!$AL$5,M997))</f>
        <v>45777</v>
      </c>
      <c r="N998" s="104">
        <f>VLOOKUP(E998,verificare!$AR$4:$CC$33,B998+2,FALSE)</f>
        <v>2220</v>
      </c>
      <c r="O998" s="103">
        <f>HLOOKUP(VLOOKUP(E998,'Date SPV'!$B$4:$F$34,5,FALSE),'Preturi si tarife'!$C$2:$J$39,B998+2,FALSE)*10000</f>
        <v>330.3</v>
      </c>
      <c r="Q998" s="101" t="str">
        <f t="shared" si="132"/>
        <v>One-off</v>
      </c>
      <c r="R998" s="101" t="str">
        <f>VLOOKUP(K998,'Preturi si tarife'!$B$4:$K$39,10,FALSE)</f>
        <v>ICOENG0001</v>
      </c>
      <c r="T998" s="101" t="str">
        <f t="shared" si="133"/>
        <v>INV + 30</v>
      </c>
      <c r="V998" s="101" t="str">
        <f t="shared" si="134"/>
        <v>Active</v>
      </c>
      <c r="X998" s="101" t="str">
        <f t="shared" si="135"/>
        <v>One-off</v>
      </c>
      <c r="AC998" s="101" t="str">
        <f t="shared" si="142"/>
        <v>RON</v>
      </c>
      <c r="AD998" s="101">
        <f t="shared" si="143"/>
        <v>10000</v>
      </c>
    </row>
    <row r="999" spans="1:30">
      <c r="A999" s="101">
        <f t="shared" si="139"/>
        <v>28</v>
      </c>
      <c r="B999" s="101">
        <f t="shared" si="140"/>
        <v>26</v>
      </c>
      <c r="C999" s="101" t="str">
        <f t="shared" si="141"/>
        <v>T26</v>
      </c>
      <c r="D999" s="101" t="str">
        <f>IF(A999&lt;&gt;A998,VLOOKUP(A999,'Date SPV'!$A:$D,4,FALSE),D998)</f>
        <v>Nepi Ten Development Solutions  SRL</v>
      </c>
      <c r="E999" s="101" t="str">
        <f>VLOOKUP(A999,'Date SPV'!$A$4:$B$34,2,FALSE)</f>
        <v>RN10_Petrosani</v>
      </c>
      <c r="H999" s="105" t="s">
        <v>894</v>
      </c>
      <c r="K999" s="101" t="str">
        <f>VLOOKUP(C999,'Preturi si tarife'!$A$4:$B$39,2,FALSE)</f>
        <v>Regularizare Tarif de introducere en.el in retea (TG)</v>
      </c>
      <c r="L999" s="102">
        <f>IF(B999=1,'Date masura OD'!$I$5,IF(B999=19,'Date masura OD'!$AK$5,L998))</f>
        <v>45748</v>
      </c>
      <c r="M999" s="102">
        <f>IF(B999=1,'Date masura OD'!$J$5,IF(B999=19,'Date masura OD'!$AL$5,M998))</f>
        <v>45777</v>
      </c>
      <c r="N999" s="104">
        <f>VLOOKUP(E999,verificare!$AR$4:$CC$33,B999+2,FALSE)</f>
        <v>2220</v>
      </c>
      <c r="O999" s="103">
        <f>HLOOKUP(VLOOKUP(E999,'Date SPV'!$B$4:$F$34,5,FALSE),'Preturi si tarife'!$C$2:$J$39,B999+2,FALSE)*10000</f>
        <v>32.9</v>
      </c>
      <c r="Q999" s="101" t="str">
        <f t="shared" si="132"/>
        <v>One-off</v>
      </c>
      <c r="R999" s="101" t="str">
        <f>VLOOKUP(K999,'Preturi si tarife'!$B$4:$K$39,10,FALSE)</f>
        <v>ICOENG0001</v>
      </c>
      <c r="T999" s="101" t="str">
        <f t="shared" si="133"/>
        <v>INV + 30</v>
      </c>
      <c r="V999" s="101" t="str">
        <f t="shared" si="134"/>
        <v>Active</v>
      </c>
      <c r="X999" s="101" t="str">
        <f t="shared" si="135"/>
        <v>One-off</v>
      </c>
      <c r="AC999" s="101" t="str">
        <f t="shared" si="142"/>
        <v>RON</v>
      </c>
      <c r="AD999" s="101">
        <f t="shared" si="143"/>
        <v>10000</v>
      </c>
    </row>
    <row r="1000" spans="1:30">
      <c r="A1000" s="101">
        <f t="shared" si="139"/>
        <v>28</v>
      </c>
      <c r="B1000" s="101">
        <f t="shared" si="140"/>
        <v>27</v>
      </c>
      <c r="C1000" s="101" t="str">
        <f t="shared" si="141"/>
        <v>T27</v>
      </c>
      <c r="D1000" s="101" t="str">
        <f>IF(A1000&lt;&gt;A999,VLOOKUP(A1000,'Date SPV'!$A:$D,4,FALSE),D999)</f>
        <v>Nepi Ten Development Solutions  SRL</v>
      </c>
      <c r="E1000" s="101" t="str">
        <f>VLOOKUP(A1000,'Date SPV'!$A$4:$B$34,2,FALSE)</f>
        <v>RN10_Petrosani</v>
      </c>
      <c r="H1000" s="105" t="s">
        <v>894</v>
      </c>
      <c r="K1000" s="101" t="str">
        <f>VLOOKUP(C1000,'Preturi si tarife'!$A$4:$B$39,2,FALSE)</f>
        <v>Regularizare Contributie pentru cogenerare</v>
      </c>
      <c r="L1000" s="102">
        <f>IF(B1000=1,'Date masura OD'!$I$5,IF(B1000=19,'Date masura OD'!$AK$5,L999))</f>
        <v>45748</v>
      </c>
      <c r="M1000" s="102">
        <f>IF(B1000=1,'Date masura OD'!$J$5,IF(B1000=19,'Date masura OD'!$AL$5,M999))</f>
        <v>45777</v>
      </c>
      <c r="N1000" s="104">
        <f>VLOOKUP(E1000,verificare!$AR$4:$CC$33,B1000+2,FALSE)</f>
        <v>2220</v>
      </c>
      <c r="O1000" s="103">
        <f>HLOOKUP(VLOOKUP(E1000,'Date SPV'!$B$4:$F$34,5,FALSE),'Preturi si tarife'!$C$2:$J$39,B1000+2,FALSE)*10000</f>
        <v>35</v>
      </c>
      <c r="Q1000" s="101" t="str">
        <f t="shared" si="132"/>
        <v>One-off</v>
      </c>
      <c r="R1000" s="101" t="str">
        <f>VLOOKUP(K1000,'Preturi si tarife'!$B$4:$K$39,10,FALSE)</f>
        <v>ICOENG0001</v>
      </c>
      <c r="T1000" s="101" t="str">
        <f t="shared" si="133"/>
        <v>INV + 30</v>
      </c>
      <c r="V1000" s="101" t="str">
        <f t="shared" si="134"/>
        <v>Active</v>
      </c>
      <c r="X1000" s="101" t="str">
        <f t="shared" si="135"/>
        <v>One-off</v>
      </c>
      <c r="AC1000" s="101" t="str">
        <f t="shared" si="142"/>
        <v>RON</v>
      </c>
      <c r="AD1000" s="101">
        <f t="shared" si="143"/>
        <v>10000</v>
      </c>
    </row>
    <row r="1001" spans="1:30">
      <c r="A1001" s="101">
        <f t="shared" si="139"/>
        <v>28</v>
      </c>
      <c r="B1001" s="101">
        <f t="shared" si="140"/>
        <v>28</v>
      </c>
      <c r="C1001" s="101" t="str">
        <f t="shared" si="141"/>
        <v>T28</v>
      </c>
      <c r="D1001" s="101" t="str">
        <f>IF(A1001&lt;&gt;A1000,VLOOKUP(A1001,'Date SPV'!$A:$D,4,FALSE),D1000)</f>
        <v>Nepi Ten Development Solutions  SRL</v>
      </c>
      <c r="E1001" s="101" t="str">
        <f>VLOOKUP(A1001,'Date SPV'!$A$4:$B$34,2,FALSE)</f>
        <v>RN10_Petrosani</v>
      </c>
      <c r="H1001" s="105" t="s">
        <v>894</v>
      </c>
      <c r="K1001" s="101" t="str">
        <f>VLOOKUP(C1001,'Preturi si tarife'!$A$4:$B$39,2,FALSE)</f>
        <v xml:space="preserve">Regularizare Certificate verzi </v>
      </c>
      <c r="L1001" s="102">
        <f>IF(B1001=1,'Date masura OD'!$I$5,IF(B1001=19,'Date masura OD'!$AK$5,L1000))</f>
        <v>45748</v>
      </c>
      <c r="M1001" s="102">
        <f>IF(B1001=1,'Date masura OD'!$J$5,IF(B1001=19,'Date masura OD'!$AL$5,M1000))</f>
        <v>45777</v>
      </c>
      <c r="N1001" s="104">
        <f>VLOOKUP(E1001,verificare!$AR$4:$CC$33,B1001+2,FALSE)</f>
        <v>2220</v>
      </c>
      <c r="O1001" s="103">
        <f>HLOOKUP(VLOOKUP(E1001,'Date SPV'!$B$4:$F$34,5,FALSE),'Preturi si tarife'!$C$2:$J$39,B1001+2,FALSE)*10000</f>
        <v>725.41599999999994</v>
      </c>
      <c r="Q1001" s="101" t="str">
        <f t="shared" si="132"/>
        <v>One-off</v>
      </c>
      <c r="R1001" s="101" t="str">
        <f>VLOOKUP(K1001,'Preturi si tarife'!$B$4:$K$39,10,FALSE)</f>
        <v>ICOENG0001</v>
      </c>
      <c r="T1001" s="101" t="str">
        <f t="shared" si="133"/>
        <v>INV + 30</v>
      </c>
      <c r="V1001" s="101" t="str">
        <f t="shared" si="134"/>
        <v>Active</v>
      </c>
      <c r="X1001" s="101" t="str">
        <f t="shared" si="135"/>
        <v>One-off</v>
      </c>
      <c r="AC1001" s="101" t="str">
        <f t="shared" si="142"/>
        <v>RON</v>
      </c>
      <c r="AD1001" s="101">
        <f t="shared" si="143"/>
        <v>10000</v>
      </c>
    </row>
    <row r="1002" spans="1:30">
      <c r="A1002" s="101">
        <f t="shared" si="139"/>
        <v>28</v>
      </c>
      <c r="B1002" s="101">
        <f t="shared" si="140"/>
        <v>29</v>
      </c>
      <c r="C1002" s="101" t="str">
        <f t="shared" si="141"/>
        <v>T29</v>
      </c>
      <c r="D1002" s="101" t="str">
        <f>IF(A1002&lt;&gt;A1001,VLOOKUP(A1002,'Date SPV'!$A:$D,4,FALSE),D1001)</f>
        <v>Nepi Ten Development Solutions  SRL</v>
      </c>
      <c r="E1002" s="101" t="str">
        <f>VLOOKUP(A1002,'Date SPV'!$A$4:$B$34,2,FALSE)</f>
        <v>RN10_Petrosani</v>
      </c>
      <c r="H1002" s="105" t="s">
        <v>894</v>
      </c>
      <c r="K1002" s="101" t="str">
        <f>VLOOKUP(C1002,'Preturi si tarife'!$A$4:$B$39,2,FALSE)</f>
        <v>Regularizare Contributie CFD</v>
      </c>
      <c r="L1002" s="102">
        <f>IF(B1002=1,'Date masura OD'!$I$5,IF(B1002=19,'Date masura OD'!$AK$5,L1001))</f>
        <v>45748</v>
      </c>
      <c r="M1002" s="102">
        <f>IF(B1002=1,'Date masura OD'!$J$5,IF(B1002=19,'Date masura OD'!$AL$5,M1001))</f>
        <v>45777</v>
      </c>
      <c r="N1002" s="104">
        <f>VLOOKUP(E1002,verificare!$AR$4:$CC$33,B1002+2,FALSE)</f>
        <v>2220</v>
      </c>
      <c r="O1002" s="103">
        <f>HLOOKUP(VLOOKUP(E1002,'Date SPV'!$B$4:$F$34,5,FALSE),'Preturi si tarife'!$C$2:$J$39,B1002+2,FALSE)*10000</f>
        <v>2.06</v>
      </c>
      <c r="Q1002" s="101" t="str">
        <f t="shared" si="132"/>
        <v>One-off</v>
      </c>
      <c r="R1002" s="101" t="str">
        <f>VLOOKUP(K1002,'Preturi si tarife'!$B$4:$K$39,10,FALSE)</f>
        <v>ICOENG0001</v>
      </c>
      <c r="T1002" s="101" t="str">
        <f t="shared" si="133"/>
        <v>INV + 30</v>
      </c>
      <c r="V1002" s="101" t="str">
        <f t="shared" si="134"/>
        <v>Active</v>
      </c>
      <c r="X1002" s="101" t="str">
        <f t="shared" si="135"/>
        <v>One-off</v>
      </c>
      <c r="AC1002" s="101" t="str">
        <f t="shared" si="142"/>
        <v>RON</v>
      </c>
      <c r="AD1002" s="101">
        <f t="shared" si="143"/>
        <v>10000</v>
      </c>
    </row>
    <row r="1003" spans="1:30">
      <c r="A1003" s="101">
        <f t="shared" si="139"/>
        <v>28</v>
      </c>
      <c r="B1003" s="101">
        <f t="shared" si="140"/>
        <v>30</v>
      </c>
      <c r="C1003" s="101" t="str">
        <f t="shared" si="141"/>
        <v>T30</v>
      </c>
      <c r="D1003" s="101" t="str">
        <f>IF(A1003&lt;&gt;A1002,VLOOKUP(A1003,'Date SPV'!$A:$D,4,FALSE),D1002)</f>
        <v>Nepi Ten Development Solutions  SRL</v>
      </c>
      <c r="E1003" s="101" t="str">
        <f>VLOOKUP(A1003,'Date SPV'!$A$4:$B$34,2,FALSE)</f>
        <v>RN10_Petrosani</v>
      </c>
      <c r="H1003" s="105" t="s">
        <v>894</v>
      </c>
      <c r="K1003" s="101" t="str">
        <f>VLOOKUP(C1003,'Preturi si tarife'!$A$4:$B$39,2,FALSE)</f>
        <v>Regularizare Acciza</v>
      </c>
      <c r="L1003" s="102">
        <f>IF(B1003=1,'Date masura OD'!$I$5,IF(B1003=19,'Date masura OD'!$AK$5,L1002))</f>
        <v>45748</v>
      </c>
      <c r="M1003" s="102">
        <f>IF(B1003=1,'Date masura OD'!$J$5,IF(B1003=19,'Date masura OD'!$AL$5,M1002))</f>
        <v>45777</v>
      </c>
      <c r="N1003" s="104">
        <f>VLOOKUP(E1003,verificare!$AR$4:$CC$33,B1003+2,FALSE)</f>
        <v>2220</v>
      </c>
      <c r="O1003" s="103">
        <f>HLOOKUP(VLOOKUP(E1003,'Date SPV'!$B$4:$F$34,5,FALSE),'Preturi si tarife'!$C$2:$J$39,B1003+2,FALSE)*10000</f>
        <v>0</v>
      </c>
      <c r="Q1003" s="101" t="str">
        <f t="shared" si="132"/>
        <v>One-off</v>
      </c>
      <c r="R1003" s="101" t="str">
        <f>VLOOKUP(K1003,'Preturi si tarife'!$B$4:$K$39,10,FALSE)</f>
        <v>ICOENG0001</v>
      </c>
      <c r="T1003" s="101" t="str">
        <f t="shared" si="133"/>
        <v>INV + 30</v>
      </c>
      <c r="V1003" s="101" t="str">
        <f t="shared" si="134"/>
        <v>Active</v>
      </c>
      <c r="X1003" s="101" t="str">
        <f t="shared" si="135"/>
        <v>One-off</v>
      </c>
      <c r="AC1003" s="101" t="str">
        <f t="shared" si="142"/>
        <v>RON</v>
      </c>
      <c r="AD1003" s="101">
        <f t="shared" si="143"/>
        <v>10000</v>
      </c>
    </row>
    <row r="1004" spans="1:30">
      <c r="A1004" s="101">
        <f t="shared" si="139"/>
        <v>28</v>
      </c>
      <c r="B1004" s="101">
        <f t="shared" si="140"/>
        <v>31</v>
      </c>
      <c r="C1004" s="101" t="str">
        <f t="shared" si="141"/>
        <v>T31</v>
      </c>
      <c r="D1004" s="101" t="str">
        <f>IF(A1004&lt;&gt;A1003,VLOOKUP(A1004,'Date SPV'!$A:$D,4,FALSE),D1003)</f>
        <v>Nepi Ten Development Solutions  SRL</v>
      </c>
      <c r="E1004" s="101" t="str">
        <f>VLOOKUP(A1004,'Date SPV'!$A$4:$B$34,2,FALSE)</f>
        <v>RN10_Petrosani</v>
      </c>
      <c r="H1004" s="105" t="s">
        <v>894</v>
      </c>
      <c r="K1004" s="101" t="str">
        <f>VLOOKUP(C1004,'Preturi si tarife'!$A$4:$B$39,2,FALSE)</f>
        <v>Regularizare Tarif distributie SDI MT Ea1</v>
      </c>
      <c r="L1004" s="102">
        <f>IF(B1004=1,'Date masura OD'!$I$5,IF(B1004=19,'Date masura OD'!$AK$5,L1003))</f>
        <v>45748</v>
      </c>
      <c r="M1004" s="102">
        <f>IF(B1004=1,'Date masura OD'!$J$5,IF(B1004=19,'Date masura OD'!$AL$5,M1003))</f>
        <v>45777</v>
      </c>
      <c r="N1004" s="104">
        <f>VLOOKUP(E1004,verificare!$AR$4:$CC$33,B1004+2,FALSE)</f>
        <v>0</v>
      </c>
      <c r="O1004" s="103">
        <f>HLOOKUP(VLOOKUP(E1004,'Date SPV'!$B$4:$F$34,5,FALSE),'Preturi si tarife'!$C$2:$J$39,B1004+2,FALSE)*10000</f>
        <v>115.99999999999999</v>
      </c>
      <c r="Q1004" s="101" t="str">
        <f t="shared" si="132"/>
        <v>One-off</v>
      </c>
      <c r="R1004" s="101" t="str">
        <f>VLOOKUP(K1004,'Preturi si tarife'!$B$4:$K$39,10,FALSE)</f>
        <v>ICOENG0010</v>
      </c>
      <c r="T1004" s="101" t="str">
        <f t="shared" si="133"/>
        <v>INV + 30</v>
      </c>
      <c r="V1004" s="101" t="str">
        <f t="shared" si="134"/>
        <v>Active</v>
      </c>
      <c r="X1004" s="101" t="str">
        <f t="shared" si="135"/>
        <v>One-off</v>
      </c>
      <c r="AC1004" s="101" t="str">
        <f t="shared" si="142"/>
        <v>RON</v>
      </c>
      <c r="AD1004" s="101">
        <f t="shared" si="143"/>
        <v>10000</v>
      </c>
    </row>
    <row r="1005" spans="1:30">
      <c r="A1005" s="101">
        <f t="shared" si="139"/>
        <v>28</v>
      </c>
      <c r="B1005" s="101">
        <f t="shared" si="140"/>
        <v>32</v>
      </c>
      <c r="C1005" s="101" t="str">
        <f t="shared" si="141"/>
        <v>T32</v>
      </c>
      <c r="D1005" s="101" t="str">
        <f>IF(A1005&lt;&gt;A1004,VLOOKUP(A1005,'Date SPV'!$A:$D,4,FALSE),D1004)</f>
        <v>Nepi Ten Development Solutions  SRL</v>
      </c>
      <c r="E1005" s="101" t="str">
        <f>VLOOKUP(A1005,'Date SPV'!$A$4:$B$34,2,FALSE)</f>
        <v>RN10_Petrosani</v>
      </c>
      <c r="H1005" s="105" t="s">
        <v>894</v>
      </c>
      <c r="K1005" s="101" t="str">
        <f>VLOOKUP(C1005,'Preturi si tarife'!$A$4:$B$39,2,FALSE)</f>
        <v>Regularizare Tarif distributie SDI JT Ea1</v>
      </c>
      <c r="L1005" s="102">
        <f>IF(B1005=1,'Date masura OD'!$I$5,IF(B1005=19,'Date masura OD'!$AK$5,L1004))</f>
        <v>45748</v>
      </c>
      <c r="M1005" s="102">
        <f>IF(B1005=1,'Date masura OD'!$J$5,IF(B1005=19,'Date masura OD'!$AL$5,M1004))</f>
        <v>45777</v>
      </c>
      <c r="N1005" s="104">
        <f>VLOOKUP(E1005,verificare!$AR$4:$CC$33,B1005+2,FALSE)</f>
        <v>0</v>
      </c>
      <c r="O1005" s="103">
        <f>HLOOKUP(VLOOKUP(E1005,'Date SPV'!$B$4:$F$34,5,FALSE),'Preturi si tarife'!$C$2:$J$39,B1005+2,FALSE)*10000</f>
        <v>832</v>
      </c>
      <c r="Q1005" s="101" t="str">
        <f t="shared" si="132"/>
        <v>One-off</v>
      </c>
      <c r="R1005" s="101" t="str">
        <f>VLOOKUP(K1005,'Preturi si tarife'!$B$4:$K$39,10,FALSE)</f>
        <v>ICOENG0010</v>
      </c>
      <c r="T1005" s="101" t="str">
        <f t="shared" si="133"/>
        <v>INV + 30</v>
      </c>
      <c r="V1005" s="101" t="str">
        <f t="shared" si="134"/>
        <v>Active</v>
      </c>
      <c r="X1005" s="101" t="str">
        <f t="shared" si="135"/>
        <v>One-off</v>
      </c>
      <c r="AC1005" s="101" t="str">
        <f t="shared" si="142"/>
        <v>RON</v>
      </c>
      <c r="AD1005" s="101">
        <f t="shared" si="143"/>
        <v>10000</v>
      </c>
    </row>
    <row r="1006" spans="1:30">
      <c r="A1006" s="101">
        <f t="shared" si="139"/>
        <v>28</v>
      </c>
      <c r="B1006" s="101">
        <f t="shared" si="140"/>
        <v>33</v>
      </c>
      <c r="C1006" s="101" t="str">
        <f t="shared" si="141"/>
        <v>T33</v>
      </c>
      <c r="D1006" s="101" t="str">
        <f>IF(A1006&lt;&gt;A1005,VLOOKUP(A1006,'Date SPV'!$A:$D,4,FALSE),D1005)</f>
        <v>Nepi Ten Development Solutions  SRL</v>
      </c>
      <c r="E1006" s="101" t="str">
        <f>VLOOKUP(A1006,'Date SPV'!$A$4:$B$34,2,FALSE)</f>
        <v>RN10_Petrosani</v>
      </c>
      <c r="H1006" s="105" t="s">
        <v>894</v>
      </c>
      <c r="K1006" s="101" t="str">
        <f>VLOOKUP(C1006,'Preturi si tarife'!$A$4:$B$39,2,FALSE)</f>
        <v>Regularizare Energie activa 2</v>
      </c>
      <c r="L1006" s="102">
        <f>IF(B1006=1,'Date masura OD'!$I$5,IF(B1006=19,'Date masura OD'!$AK$5,L1005))</f>
        <v>45748</v>
      </c>
      <c r="M1006" s="102">
        <f>IF(B1006=1,'Date masura OD'!$J$5,IF(B1006=19,'Date masura OD'!$AL$5,M1005))</f>
        <v>45777</v>
      </c>
      <c r="N1006" s="104">
        <f>VLOOKUP(E1006,verificare!$AR$4:$CC$33,B1006+2,FALSE)</f>
        <v>0</v>
      </c>
      <c r="O1006" s="103">
        <f>HLOOKUP(VLOOKUP(E1006,'Date SPV'!$B$4:$F$34,5,FALSE),'Preturi si tarife'!$C$2:$J$39,B1006+2,FALSE)*10000</f>
        <v>9000.5760000000009</v>
      </c>
      <c r="Q1006" s="101" t="str">
        <f t="shared" si="132"/>
        <v>One-off</v>
      </c>
      <c r="R1006" s="101" t="str">
        <f>VLOOKUP(K1006,'Preturi si tarife'!$B$4:$K$39,10,FALSE)</f>
        <v>ICOENG0012</v>
      </c>
      <c r="T1006" s="101" t="str">
        <f t="shared" si="133"/>
        <v>INV + 30</v>
      </c>
      <c r="V1006" s="101" t="str">
        <f t="shared" si="134"/>
        <v>Active</v>
      </c>
      <c r="X1006" s="101" t="str">
        <f t="shared" si="135"/>
        <v>One-off</v>
      </c>
      <c r="AC1006" s="101" t="str">
        <f t="shared" si="142"/>
        <v>RON</v>
      </c>
      <c r="AD1006" s="101">
        <f t="shared" si="143"/>
        <v>10000</v>
      </c>
    </row>
    <row r="1007" spans="1:30">
      <c r="A1007" s="101">
        <f t="shared" si="139"/>
        <v>28</v>
      </c>
      <c r="B1007" s="101">
        <f t="shared" si="140"/>
        <v>34</v>
      </c>
      <c r="C1007" s="101" t="str">
        <f t="shared" si="141"/>
        <v>T34</v>
      </c>
      <c r="D1007" s="101" t="str">
        <f>IF(A1007&lt;&gt;A1006,VLOOKUP(A1007,'Date SPV'!$A:$D,4,FALSE),D1006)</f>
        <v>Nepi Ten Development Solutions  SRL</v>
      </c>
      <c r="E1007" s="101" t="str">
        <f>VLOOKUP(A1007,'Date SPV'!$A$4:$B$34,2,FALSE)</f>
        <v>RN10_Petrosani</v>
      </c>
      <c r="H1007" s="105" t="s">
        <v>894</v>
      </c>
      <c r="K1007" s="101" t="str">
        <f>VLOOKUP(C1007,'Preturi si tarife'!$A$4:$B$39,2,FALSE)</f>
        <v>Regularizare Energie activa 3</v>
      </c>
      <c r="L1007" s="102">
        <f>IF(B1007=1,'Date masura OD'!$I$5,IF(B1007=19,'Date masura OD'!$AK$5,L1006))</f>
        <v>45748</v>
      </c>
      <c r="M1007" s="102">
        <f>IF(B1007=1,'Date masura OD'!$J$5,IF(B1007=19,'Date masura OD'!$AL$5,M1006))</f>
        <v>45777</v>
      </c>
      <c r="N1007" s="104">
        <f>VLOOKUP(E1007,verificare!$AR$4:$CC$33,B1007+2,FALSE)</f>
        <v>0</v>
      </c>
      <c r="O1007" s="103">
        <f>HLOOKUP(VLOOKUP(E1007,'Date SPV'!$B$4:$F$34,5,FALSE),'Preturi si tarife'!$C$2:$J$39,B1007+2,FALSE)*10000</f>
        <v>8052.576</v>
      </c>
      <c r="Q1007" s="101" t="str">
        <f t="shared" si="132"/>
        <v>One-off</v>
      </c>
      <c r="R1007" s="101" t="str">
        <f>VLOOKUP(K1007,'Preturi si tarife'!$B$4:$K$39,10,FALSE)</f>
        <v>ICOENG0012</v>
      </c>
      <c r="T1007" s="101" t="str">
        <f t="shared" si="133"/>
        <v>INV + 30</v>
      </c>
      <c r="V1007" s="101" t="str">
        <f t="shared" si="134"/>
        <v>Active</v>
      </c>
      <c r="X1007" s="101" t="str">
        <f t="shared" si="135"/>
        <v>One-off</v>
      </c>
      <c r="AC1007" s="101" t="str">
        <f t="shared" si="142"/>
        <v>RON</v>
      </c>
      <c r="AD1007" s="101">
        <f t="shared" si="143"/>
        <v>10000</v>
      </c>
    </row>
    <row r="1008" spans="1:30">
      <c r="A1008" s="101">
        <f t="shared" si="139"/>
        <v>28</v>
      </c>
      <c r="B1008" s="101">
        <f t="shared" si="140"/>
        <v>35</v>
      </c>
      <c r="C1008" s="101" t="str">
        <f t="shared" si="141"/>
        <v>T35</v>
      </c>
      <c r="D1008" s="101" t="str">
        <f>IF(A1008&lt;&gt;A1007,VLOOKUP(A1008,'Date SPV'!$A:$D,4,FALSE),D1007)</f>
        <v>Nepi Ten Development Solutions  SRL</v>
      </c>
      <c r="E1008" s="101" t="str">
        <f>VLOOKUP(A1008,'Date SPV'!$A$4:$B$34,2,FALSE)</f>
        <v>RN10_Petrosani</v>
      </c>
      <c r="H1008" s="105" t="s">
        <v>894</v>
      </c>
      <c r="K1008" s="101" t="str">
        <f>VLOOKUP(C1008,'Preturi si tarife'!$A$4:$B$39,2,FALSE)</f>
        <v>Regularizare Tarif distributie SDI MT Ea3</v>
      </c>
      <c r="L1008" s="102">
        <f>IF(B1008=1,'Date masura OD'!$I$5,IF(B1008=19,'Date masura OD'!$AK$5,L1007))</f>
        <v>45748</v>
      </c>
      <c r="M1008" s="102">
        <f>IF(B1008=1,'Date masura OD'!$J$5,IF(B1008=19,'Date masura OD'!$AL$5,M1007))</f>
        <v>45777</v>
      </c>
      <c r="N1008" s="104">
        <f>VLOOKUP(E1008,verificare!$AR$4:$CC$33,B1008+2,FALSE)</f>
        <v>0</v>
      </c>
      <c r="O1008" s="103">
        <f>HLOOKUP(VLOOKUP(E1008,'Date SPV'!$B$4:$F$34,5,FALSE),'Preturi si tarife'!$C$2:$J$39,B1008+2,FALSE)*10000</f>
        <v>115.99999999999999</v>
      </c>
      <c r="Q1008" s="101" t="str">
        <f t="shared" si="132"/>
        <v>One-off</v>
      </c>
      <c r="R1008" s="101" t="str">
        <f>VLOOKUP(K1008,'Preturi si tarife'!$B$4:$K$39,10,FALSE)</f>
        <v>ICOENG0010</v>
      </c>
      <c r="T1008" s="101" t="str">
        <f t="shared" si="133"/>
        <v>INV + 30</v>
      </c>
      <c r="V1008" s="101" t="str">
        <f t="shared" si="134"/>
        <v>Active</v>
      </c>
      <c r="X1008" s="101" t="str">
        <f t="shared" si="135"/>
        <v>One-off</v>
      </c>
      <c r="AC1008" s="101" t="str">
        <f t="shared" si="142"/>
        <v>RON</v>
      </c>
      <c r="AD1008" s="101">
        <f t="shared" si="143"/>
        <v>10000</v>
      </c>
    </row>
    <row r="1009" spans="1:30">
      <c r="A1009" s="101">
        <f t="shared" si="139"/>
        <v>28</v>
      </c>
      <c r="B1009" s="101">
        <f t="shared" si="140"/>
        <v>36</v>
      </c>
      <c r="C1009" s="101" t="str">
        <f t="shared" si="141"/>
        <v>T36</v>
      </c>
      <c r="D1009" s="101" t="str">
        <f>IF(A1009&lt;&gt;A1008,VLOOKUP(A1009,'Date SPV'!$A:$D,4,FALSE),D1008)</f>
        <v>Nepi Ten Development Solutions  SRL</v>
      </c>
      <c r="E1009" s="101" t="str">
        <f>VLOOKUP(A1009,'Date SPV'!$A$4:$B$34,2,FALSE)</f>
        <v>RN10_Petrosani</v>
      </c>
      <c r="H1009" s="105" t="s">
        <v>894</v>
      </c>
      <c r="K1009" s="101" t="str">
        <f>VLOOKUP(C1009,'Preturi si tarife'!$A$4:$B$39,2,FALSE)</f>
        <v>Regularizare Tarif distributie SDI JT Ea3</v>
      </c>
      <c r="L1009" s="102">
        <f>IF(B1009=1,'Date masura OD'!$I$5,IF(B1009=19,'Date masura OD'!$AK$5,L1008))</f>
        <v>45748</v>
      </c>
      <c r="M1009" s="102">
        <f>IF(B1009=1,'Date masura OD'!$J$5,IF(B1009=19,'Date masura OD'!$AL$5,M1008))</f>
        <v>45777</v>
      </c>
      <c r="N1009" s="104">
        <f>VLOOKUP(E1009,verificare!$AR$4:$CC$33,B1009+2,FALSE)</f>
        <v>0</v>
      </c>
      <c r="O1009" s="103">
        <f>HLOOKUP(VLOOKUP(E1009,'Date SPV'!$B$4:$F$34,5,FALSE),'Preturi si tarife'!$C$2:$J$39,B1009+2,FALSE)*10000</f>
        <v>832</v>
      </c>
      <c r="Q1009" s="101" t="str">
        <f t="shared" si="132"/>
        <v>One-off</v>
      </c>
      <c r="R1009" s="101" t="str">
        <f>VLOOKUP(K1009,'Preturi si tarife'!$B$4:$K$39,10,FALSE)</f>
        <v>ICOENG0010</v>
      </c>
      <c r="T1009" s="101" t="str">
        <f t="shared" si="133"/>
        <v>INV + 30</v>
      </c>
      <c r="V1009" s="101" t="str">
        <f t="shared" si="134"/>
        <v>Active</v>
      </c>
      <c r="X1009" s="101" t="str">
        <f t="shared" si="135"/>
        <v>One-off</v>
      </c>
      <c r="AC1009" s="101" t="str">
        <f t="shared" si="142"/>
        <v>RON</v>
      </c>
      <c r="AD1009" s="101">
        <f t="shared" si="143"/>
        <v>10000</v>
      </c>
    </row>
    <row r="1010" spans="1:30">
      <c r="A1010" s="101">
        <f t="shared" si="139"/>
        <v>29</v>
      </c>
      <c r="B1010" s="101">
        <f t="shared" si="140"/>
        <v>1</v>
      </c>
      <c r="C1010" s="101" t="str">
        <f t="shared" si="141"/>
        <v>T1</v>
      </c>
      <c r="D1010" s="101" t="str">
        <f>IF(A1010&lt;&gt;A1009,VLOOKUP(A1010,'Date SPV'!$A:$D,4,FALSE),D1009)</f>
        <v>Nepi Bucharest One  SRL</v>
      </c>
      <c r="E1010" s="101" t="str">
        <f>VLOOKUP(A1010,'Date SPV'!$A$4:$B$34,2,FALSE)</f>
        <v>RN1_Brasov</v>
      </c>
      <c r="H1010" s="105" t="s">
        <v>894</v>
      </c>
      <c r="K1010" s="101" t="str">
        <f>VLOOKUP(C1010,'Preturi si tarife'!$A$4:$B$39,2,FALSE)</f>
        <v>Energie activa 1</v>
      </c>
      <c r="L1010" s="102">
        <f>IF(B1010=1,'Date masura OD'!$I$5,IF(B1010=19,'Date masura OD'!$AK$5,L1009))</f>
        <v>45778</v>
      </c>
      <c r="M1010" s="102">
        <f>IF(B1010=1,'Date masura OD'!$J$5,IF(B1010=19,'Date masura OD'!$AL$5,M1009))</f>
        <v>45808</v>
      </c>
      <c r="N1010" s="104">
        <f>VLOOKUP(E1010,verificare!$AR$4:$CC$33,B1010+2,FALSE)</f>
        <v>25058</v>
      </c>
      <c r="O1010" s="103">
        <f>HLOOKUP(VLOOKUP(E1010,'Date SPV'!$B$4:$F$34,5,FALSE),'Preturi si tarife'!$C$2:$J$39,B1010+2,FALSE)*10000</f>
        <v>5950</v>
      </c>
      <c r="Q1010" s="101" t="str">
        <f t="shared" si="132"/>
        <v>One-off</v>
      </c>
      <c r="R1010" s="101" t="str">
        <f>VLOOKUP(K1010,'Preturi si tarife'!$B$4:$K$39,10,FALSE)</f>
        <v>ICOENG0001</v>
      </c>
      <c r="T1010" s="101" t="str">
        <f t="shared" si="133"/>
        <v>INV + 30</v>
      </c>
      <c r="V1010" s="101" t="str">
        <f t="shared" si="134"/>
        <v>Active</v>
      </c>
      <c r="X1010" s="101" t="str">
        <f t="shared" si="135"/>
        <v>One-off</v>
      </c>
      <c r="AC1010" s="101" t="str">
        <f t="shared" si="142"/>
        <v>RON</v>
      </c>
      <c r="AD1010" s="101">
        <f t="shared" si="143"/>
        <v>10000</v>
      </c>
    </row>
    <row r="1011" spans="1:30">
      <c r="A1011" s="101">
        <f t="shared" si="139"/>
        <v>29</v>
      </c>
      <c r="B1011" s="101">
        <f t="shared" si="140"/>
        <v>2</v>
      </c>
      <c r="C1011" s="101" t="str">
        <f t="shared" si="141"/>
        <v>T2</v>
      </c>
      <c r="D1011" s="101" t="str">
        <f>IF(A1011&lt;&gt;A1010,VLOOKUP(A1011,'Date SPV'!$A:$D,4,FALSE),D1010)</f>
        <v>Nepi Bucharest One  SRL</v>
      </c>
      <c r="E1011" s="101" t="str">
        <f>VLOOKUP(A1011,'Date SPV'!$A$4:$B$34,2,FALSE)</f>
        <v>RN1_Brasov</v>
      </c>
      <c r="H1011" s="105" t="s">
        <v>894</v>
      </c>
      <c r="K1011" s="101" t="str">
        <f>VLOOKUP(C1011,'Preturi si tarife'!$A$4:$B$39,2,FALSE)</f>
        <v>Energie reactiva  1X</v>
      </c>
      <c r="L1011" s="102">
        <f>IF(B1011=1,'Date masura OD'!$I$5,IF(B1011=19,'Date masura OD'!$AK$5,L1010))</f>
        <v>45778</v>
      </c>
      <c r="M1011" s="102">
        <f>IF(B1011=1,'Date masura OD'!$J$5,IF(B1011=19,'Date masura OD'!$AL$5,M1010))</f>
        <v>45808</v>
      </c>
      <c r="N1011" s="104">
        <f>VLOOKUP(E1011,verificare!$AR$4:$CC$33,B1011+2,FALSE)</f>
        <v>0</v>
      </c>
      <c r="O1011" s="103">
        <f>HLOOKUP(VLOOKUP(E1011,'Date SPV'!$B$4:$F$34,5,FALSE),'Preturi si tarife'!$C$2:$J$39,B1011+2,FALSE)*10000</f>
        <v>1465</v>
      </c>
      <c r="Q1011" s="101" t="str">
        <f t="shared" si="132"/>
        <v>One-off</v>
      </c>
      <c r="R1011" s="101" t="str">
        <f>VLOOKUP(K1011,'Preturi si tarife'!$B$4:$K$39,10,FALSE)</f>
        <v>ICOENG0001</v>
      </c>
      <c r="T1011" s="101" t="str">
        <f t="shared" si="133"/>
        <v>INV + 30</v>
      </c>
      <c r="V1011" s="101" t="str">
        <f t="shared" si="134"/>
        <v>Active</v>
      </c>
      <c r="X1011" s="101" t="str">
        <f t="shared" si="135"/>
        <v>One-off</v>
      </c>
      <c r="AC1011" s="101" t="str">
        <f t="shared" si="142"/>
        <v>RON</v>
      </c>
      <c r="AD1011" s="101">
        <f t="shared" si="143"/>
        <v>10000</v>
      </c>
    </row>
    <row r="1012" spans="1:30">
      <c r="A1012" s="101">
        <f t="shared" si="139"/>
        <v>29</v>
      </c>
      <c r="B1012" s="101">
        <f t="shared" si="140"/>
        <v>3</v>
      </c>
      <c r="C1012" s="101" t="str">
        <f t="shared" si="141"/>
        <v>T3</v>
      </c>
      <c r="D1012" s="101" t="str">
        <f>IF(A1012&lt;&gt;A1011,VLOOKUP(A1012,'Date SPV'!$A:$D,4,FALSE),D1011)</f>
        <v>Nepi Bucharest One  SRL</v>
      </c>
      <c r="E1012" s="101" t="str">
        <f>VLOOKUP(A1012,'Date SPV'!$A$4:$B$34,2,FALSE)</f>
        <v>RN1_Brasov</v>
      </c>
      <c r="H1012" s="105" t="s">
        <v>894</v>
      </c>
      <c r="K1012" s="101" t="str">
        <f>VLOOKUP(C1012,'Preturi si tarife'!$A$4:$B$39,2,FALSE)</f>
        <v>Energie reactiva  3X</v>
      </c>
      <c r="L1012" s="102">
        <f>IF(B1012=1,'Date masura OD'!$I$5,IF(B1012=19,'Date masura OD'!$AK$5,L1011))</f>
        <v>45778</v>
      </c>
      <c r="M1012" s="102">
        <f>IF(B1012=1,'Date masura OD'!$J$5,IF(B1012=19,'Date masura OD'!$AL$5,M1011))</f>
        <v>45808</v>
      </c>
      <c r="N1012" s="104">
        <f>VLOOKUP(E1012,verificare!$AR$4:$CC$33,B1012+2,FALSE)</f>
        <v>0</v>
      </c>
      <c r="O1012" s="103">
        <f>HLOOKUP(VLOOKUP(E1012,'Date SPV'!$B$4:$F$34,5,FALSE),'Preturi si tarife'!$C$2:$J$39,B1012+2,FALSE)*10000</f>
        <v>4395</v>
      </c>
      <c r="Q1012" s="101" t="str">
        <f t="shared" si="132"/>
        <v>One-off</v>
      </c>
      <c r="R1012" s="101" t="str">
        <f>VLOOKUP(K1012,'Preturi si tarife'!$B$4:$K$39,10,FALSE)</f>
        <v>ICOENG0001</v>
      </c>
      <c r="T1012" s="101" t="str">
        <f t="shared" si="133"/>
        <v>INV + 30</v>
      </c>
      <c r="V1012" s="101" t="str">
        <f t="shared" si="134"/>
        <v>Active</v>
      </c>
      <c r="X1012" s="101" t="str">
        <f t="shared" si="135"/>
        <v>One-off</v>
      </c>
      <c r="AC1012" s="101" t="str">
        <f t="shared" si="142"/>
        <v>RON</v>
      </c>
      <c r="AD1012" s="101">
        <f t="shared" si="143"/>
        <v>10000</v>
      </c>
    </row>
    <row r="1013" spans="1:30">
      <c r="A1013" s="101">
        <f t="shared" si="139"/>
        <v>29</v>
      </c>
      <c r="B1013" s="101">
        <f t="shared" si="140"/>
        <v>4</v>
      </c>
      <c r="C1013" s="101" t="str">
        <f t="shared" si="141"/>
        <v>T4</v>
      </c>
      <c r="D1013" s="101" t="str">
        <f>IF(A1013&lt;&gt;A1012,VLOOKUP(A1013,'Date SPV'!$A:$D,4,FALSE),D1012)</f>
        <v>Nepi Bucharest One  SRL</v>
      </c>
      <c r="E1013" s="101" t="str">
        <f>VLOOKUP(A1013,'Date SPV'!$A$4:$B$34,2,FALSE)</f>
        <v>RN1_Brasov</v>
      </c>
      <c r="H1013" s="105" t="s">
        <v>894</v>
      </c>
      <c r="K1013" s="101" t="str">
        <f>VLOOKUP(C1013,'Preturi si tarife'!$A$4:$B$39,2,FALSE)</f>
        <v>Tarife distributie en. El IT+MT</v>
      </c>
      <c r="L1013" s="102">
        <f>IF(B1013=1,'Date masura OD'!$I$5,IF(B1013=19,'Date masura OD'!$AK$5,L1012))</f>
        <v>45778</v>
      </c>
      <c r="M1013" s="102">
        <f>IF(B1013=1,'Date masura OD'!$J$5,IF(B1013=19,'Date masura OD'!$AL$5,M1012))</f>
        <v>45808</v>
      </c>
      <c r="N1013" s="104">
        <f>VLOOKUP(E1013,verificare!$AR$4:$CC$33,B1013+2,FALSE)</f>
        <v>25058</v>
      </c>
      <c r="O1013" s="103">
        <f>HLOOKUP(VLOOKUP(E1013,'Date SPV'!$B$4:$F$34,5,FALSE),'Preturi si tarife'!$C$2:$J$39,B1013+2,FALSE)*10000</f>
        <v>1148.3</v>
      </c>
      <c r="Q1013" s="101" t="str">
        <f t="shared" si="132"/>
        <v>One-off</v>
      </c>
      <c r="R1013" s="101" t="str">
        <f>VLOOKUP(K1013,'Preturi si tarife'!$B$4:$K$39,10,FALSE)</f>
        <v>ICOENG0001</v>
      </c>
      <c r="T1013" s="101" t="str">
        <f t="shared" si="133"/>
        <v>INV + 30</v>
      </c>
      <c r="V1013" s="101" t="str">
        <f t="shared" si="134"/>
        <v>Active</v>
      </c>
      <c r="X1013" s="101" t="str">
        <f t="shared" si="135"/>
        <v>One-off</v>
      </c>
      <c r="AC1013" s="101" t="str">
        <f t="shared" si="142"/>
        <v>RON</v>
      </c>
      <c r="AD1013" s="101">
        <f t="shared" si="143"/>
        <v>10000</v>
      </c>
    </row>
    <row r="1014" spans="1:30">
      <c r="A1014" s="101">
        <f t="shared" si="139"/>
        <v>29</v>
      </c>
      <c r="B1014" s="101">
        <f t="shared" si="140"/>
        <v>5</v>
      </c>
      <c r="C1014" s="101" t="str">
        <f t="shared" si="141"/>
        <v>T5</v>
      </c>
      <c r="D1014" s="101" t="str">
        <f>IF(A1014&lt;&gt;A1013,VLOOKUP(A1014,'Date SPV'!$A:$D,4,FALSE),D1013)</f>
        <v>Nepi Bucharest One  SRL</v>
      </c>
      <c r="E1014" s="101" t="str">
        <f>VLOOKUP(A1014,'Date SPV'!$A$4:$B$34,2,FALSE)</f>
        <v>RN1_Brasov</v>
      </c>
      <c r="H1014" s="105" t="s">
        <v>894</v>
      </c>
      <c r="K1014" s="101" t="str">
        <f>VLOOKUP(C1014,'Preturi si tarife'!$A$4:$B$39,2,FALSE)</f>
        <v>Tarife distributie en. El JT</v>
      </c>
      <c r="L1014" s="102">
        <f>IF(B1014=1,'Date masura OD'!$I$5,IF(B1014=19,'Date masura OD'!$AK$5,L1013))</f>
        <v>45778</v>
      </c>
      <c r="M1014" s="102">
        <f>IF(B1014=1,'Date masura OD'!$J$5,IF(B1014=19,'Date masura OD'!$AL$5,M1013))</f>
        <v>45808</v>
      </c>
      <c r="N1014" s="104">
        <f>VLOOKUP(E1014,verificare!$AR$4:$CC$33,B1014+2,FALSE)</f>
        <v>0</v>
      </c>
      <c r="O1014" s="103">
        <f>HLOOKUP(VLOOKUP(E1014,'Date SPV'!$B$4:$F$34,5,FALSE),'Preturi si tarife'!$C$2:$J$39,B1014+2,FALSE)*10000</f>
        <v>2361</v>
      </c>
      <c r="Q1014" s="101" t="str">
        <f t="shared" si="132"/>
        <v>One-off</v>
      </c>
      <c r="R1014" s="101" t="str">
        <f>VLOOKUP(K1014,'Preturi si tarife'!$B$4:$K$39,10,FALSE)</f>
        <v>ICOENG0001</v>
      </c>
      <c r="T1014" s="101" t="str">
        <f t="shared" si="133"/>
        <v>INV + 30</v>
      </c>
      <c r="V1014" s="101" t="str">
        <f t="shared" si="134"/>
        <v>Active</v>
      </c>
      <c r="X1014" s="101" t="str">
        <f t="shared" si="135"/>
        <v>One-off</v>
      </c>
      <c r="AC1014" s="101" t="str">
        <f t="shared" si="142"/>
        <v>RON</v>
      </c>
      <c r="AD1014" s="101">
        <f t="shared" si="143"/>
        <v>10000</v>
      </c>
    </row>
    <row r="1015" spans="1:30">
      <c r="A1015" s="101">
        <f t="shared" si="139"/>
        <v>29</v>
      </c>
      <c r="B1015" s="101">
        <f t="shared" si="140"/>
        <v>6</v>
      </c>
      <c r="C1015" s="101" t="str">
        <f t="shared" si="141"/>
        <v>T6</v>
      </c>
      <c r="D1015" s="101" t="str">
        <f>IF(A1015&lt;&gt;A1014,VLOOKUP(A1015,'Date SPV'!$A:$D,4,FALSE),D1014)</f>
        <v>Nepi Bucharest One  SRL</v>
      </c>
      <c r="E1015" s="101" t="str">
        <f>VLOOKUP(A1015,'Date SPV'!$A$4:$B$34,2,FALSE)</f>
        <v>RN1_Brasov</v>
      </c>
      <c r="H1015" s="105" t="s">
        <v>894</v>
      </c>
      <c r="K1015" s="101" t="str">
        <f>VLOOKUP(C1015,'Preturi si tarife'!$A$4:$B$39,2,FALSE)</f>
        <v xml:space="preserve">Servicii Sistem </v>
      </c>
      <c r="L1015" s="102">
        <f>IF(B1015=1,'Date masura OD'!$I$5,IF(B1015=19,'Date masura OD'!$AK$5,L1014))</f>
        <v>45778</v>
      </c>
      <c r="M1015" s="102">
        <f>IF(B1015=1,'Date masura OD'!$J$5,IF(B1015=19,'Date masura OD'!$AL$5,M1014))</f>
        <v>45808</v>
      </c>
      <c r="N1015" s="104">
        <f>VLOOKUP(E1015,verificare!$AR$4:$CC$33,B1015+2,FALSE)</f>
        <v>25058</v>
      </c>
      <c r="O1015" s="103">
        <f>HLOOKUP(VLOOKUP(E1015,'Date SPV'!$B$4:$F$34,5,FALSE),'Preturi si tarife'!$C$2:$J$39,B1015+2,FALSE)*10000</f>
        <v>115.1</v>
      </c>
      <c r="Q1015" s="101" t="str">
        <f t="shared" si="132"/>
        <v>One-off</v>
      </c>
      <c r="R1015" s="101" t="str">
        <f>VLOOKUP(K1015,'Preturi si tarife'!$B$4:$K$39,10,FALSE)</f>
        <v>ICOENG0001</v>
      </c>
      <c r="T1015" s="101" t="str">
        <f t="shared" si="133"/>
        <v>INV + 30</v>
      </c>
      <c r="V1015" s="101" t="str">
        <f t="shared" si="134"/>
        <v>Active</v>
      </c>
      <c r="X1015" s="101" t="str">
        <f t="shared" si="135"/>
        <v>One-off</v>
      </c>
      <c r="AC1015" s="101" t="str">
        <f t="shared" ref="AC1015:AC1045" si="144">AC1014</f>
        <v>RON</v>
      </c>
      <c r="AD1015" s="101">
        <f t="shared" ref="AD1015:AD1045" si="145">AD1014</f>
        <v>10000</v>
      </c>
    </row>
    <row r="1016" spans="1:30">
      <c r="A1016" s="101">
        <f t="shared" si="139"/>
        <v>29</v>
      </c>
      <c r="B1016" s="101">
        <f t="shared" si="140"/>
        <v>7</v>
      </c>
      <c r="C1016" s="101" t="str">
        <f t="shared" si="141"/>
        <v>T7</v>
      </c>
      <c r="D1016" s="101" t="str">
        <f>IF(A1016&lt;&gt;A1015,VLOOKUP(A1016,'Date SPV'!$A:$D,4,FALSE),D1015)</f>
        <v>Nepi Bucharest One  SRL</v>
      </c>
      <c r="E1016" s="101" t="str">
        <f>VLOOKUP(A1016,'Date SPV'!$A$4:$B$34,2,FALSE)</f>
        <v>RN1_Brasov</v>
      </c>
      <c r="H1016" s="105" t="s">
        <v>894</v>
      </c>
      <c r="K1016" s="101" t="str">
        <f>VLOOKUP(C1016,'Preturi si tarife'!$A$4:$B$39,2,FALSE)</f>
        <v>Tarif de introducere en. el in retea (TL)</v>
      </c>
      <c r="L1016" s="102">
        <f>IF(B1016=1,'Date masura OD'!$I$5,IF(B1016=19,'Date masura OD'!$AK$5,L1015))</f>
        <v>45778</v>
      </c>
      <c r="M1016" s="102">
        <f>IF(B1016=1,'Date masura OD'!$J$5,IF(B1016=19,'Date masura OD'!$AL$5,M1015))</f>
        <v>45808</v>
      </c>
      <c r="N1016" s="104">
        <f>VLOOKUP(E1016,verificare!$AR$4:$CC$33,B1016+2,FALSE)</f>
        <v>25058</v>
      </c>
      <c r="O1016" s="103">
        <f>HLOOKUP(VLOOKUP(E1016,'Date SPV'!$B$4:$F$34,5,FALSE),'Preturi si tarife'!$C$2:$J$39,B1016+2,FALSE)*10000</f>
        <v>330.3</v>
      </c>
      <c r="Q1016" s="101" t="str">
        <f t="shared" si="132"/>
        <v>One-off</v>
      </c>
      <c r="R1016" s="101" t="str">
        <f>VLOOKUP(K1016,'Preturi si tarife'!$B$4:$K$39,10,FALSE)</f>
        <v>ICOENG0001</v>
      </c>
      <c r="T1016" s="101" t="str">
        <f t="shared" si="133"/>
        <v>INV + 30</v>
      </c>
      <c r="V1016" s="101" t="str">
        <f t="shared" si="134"/>
        <v>Active</v>
      </c>
      <c r="X1016" s="101" t="str">
        <f t="shared" si="135"/>
        <v>One-off</v>
      </c>
      <c r="AC1016" s="101" t="str">
        <f t="shared" si="144"/>
        <v>RON</v>
      </c>
      <c r="AD1016" s="101">
        <f t="shared" si="145"/>
        <v>10000</v>
      </c>
    </row>
    <row r="1017" spans="1:30">
      <c r="A1017" s="101">
        <f t="shared" si="139"/>
        <v>29</v>
      </c>
      <c r="B1017" s="101">
        <f t="shared" si="140"/>
        <v>8</v>
      </c>
      <c r="C1017" s="101" t="str">
        <f t="shared" si="141"/>
        <v>T8</v>
      </c>
      <c r="D1017" s="101" t="str">
        <f>IF(A1017&lt;&gt;A1016,VLOOKUP(A1017,'Date SPV'!$A:$D,4,FALSE),D1016)</f>
        <v>Nepi Bucharest One  SRL</v>
      </c>
      <c r="E1017" s="101" t="str">
        <f>VLOOKUP(A1017,'Date SPV'!$A$4:$B$34,2,FALSE)</f>
        <v>RN1_Brasov</v>
      </c>
      <c r="H1017" s="105" t="s">
        <v>894</v>
      </c>
      <c r="K1017" s="101" t="str">
        <f>VLOOKUP(C1017,'Preturi si tarife'!$A$4:$B$39,2,FALSE)</f>
        <v>Tarif de introducere en.el in retea (TG)</v>
      </c>
      <c r="L1017" s="102">
        <f>IF(B1017=1,'Date masura OD'!$I$5,IF(B1017=19,'Date masura OD'!$AK$5,L1016))</f>
        <v>45778</v>
      </c>
      <c r="M1017" s="102">
        <f>IF(B1017=1,'Date masura OD'!$J$5,IF(B1017=19,'Date masura OD'!$AL$5,M1016))</f>
        <v>45808</v>
      </c>
      <c r="N1017" s="104">
        <f>VLOOKUP(E1017,verificare!$AR$4:$CC$33,B1017+2,FALSE)</f>
        <v>25058</v>
      </c>
      <c r="O1017" s="103">
        <f>HLOOKUP(VLOOKUP(E1017,'Date SPV'!$B$4:$F$34,5,FALSE),'Preturi si tarife'!$C$2:$J$39,B1017+2,FALSE)*10000</f>
        <v>32.9</v>
      </c>
      <c r="Q1017" s="101" t="str">
        <f t="shared" si="132"/>
        <v>One-off</v>
      </c>
      <c r="R1017" s="101" t="str">
        <f>VLOOKUP(K1017,'Preturi si tarife'!$B$4:$K$39,10,FALSE)</f>
        <v>ICOENG0001</v>
      </c>
      <c r="T1017" s="101" t="str">
        <f t="shared" si="133"/>
        <v>INV + 30</v>
      </c>
      <c r="V1017" s="101" t="str">
        <f t="shared" si="134"/>
        <v>Active</v>
      </c>
      <c r="X1017" s="101" t="str">
        <f t="shared" si="135"/>
        <v>One-off</v>
      </c>
      <c r="AC1017" s="101" t="str">
        <f t="shared" si="144"/>
        <v>RON</v>
      </c>
      <c r="AD1017" s="101">
        <f t="shared" si="145"/>
        <v>10000</v>
      </c>
    </row>
    <row r="1018" spans="1:30">
      <c r="A1018" s="101">
        <f t="shared" si="139"/>
        <v>29</v>
      </c>
      <c r="B1018" s="101">
        <f t="shared" si="140"/>
        <v>9</v>
      </c>
      <c r="C1018" s="101" t="str">
        <f t="shared" si="141"/>
        <v>T9</v>
      </c>
      <c r="D1018" s="101" t="str">
        <f>IF(A1018&lt;&gt;A1017,VLOOKUP(A1018,'Date SPV'!$A:$D,4,FALSE),D1017)</f>
        <v>Nepi Bucharest One  SRL</v>
      </c>
      <c r="E1018" s="101" t="str">
        <f>VLOOKUP(A1018,'Date SPV'!$A$4:$B$34,2,FALSE)</f>
        <v>RN1_Brasov</v>
      </c>
      <c r="H1018" s="105" t="s">
        <v>894</v>
      </c>
      <c r="K1018" s="101" t="str">
        <f>VLOOKUP(C1018,'Preturi si tarife'!$A$4:$B$39,2,FALSE)</f>
        <v>Contributie pentru cogenerare</v>
      </c>
      <c r="L1018" s="102">
        <f>IF(B1018=1,'Date masura OD'!$I$5,IF(B1018=19,'Date masura OD'!$AK$5,L1017))</f>
        <v>45778</v>
      </c>
      <c r="M1018" s="102">
        <f>IF(B1018=1,'Date masura OD'!$J$5,IF(B1018=19,'Date masura OD'!$AL$5,M1017))</f>
        <v>45808</v>
      </c>
      <c r="N1018" s="104">
        <f>VLOOKUP(E1018,verificare!$AR$4:$CC$33,B1018+2,FALSE)</f>
        <v>25058</v>
      </c>
      <c r="O1018" s="103">
        <f>HLOOKUP(VLOOKUP(E1018,'Date SPV'!$B$4:$F$34,5,FALSE),'Preturi si tarife'!$C$2:$J$39,B1018+2,FALSE)*10000</f>
        <v>35</v>
      </c>
      <c r="Q1018" s="101" t="str">
        <f t="shared" si="132"/>
        <v>One-off</v>
      </c>
      <c r="R1018" s="101" t="str">
        <f>VLOOKUP(K1018,'Preturi si tarife'!$B$4:$K$39,10,FALSE)</f>
        <v>ICOENG0001</v>
      </c>
      <c r="T1018" s="101" t="str">
        <f t="shared" si="133"/>
        <v>INV + 30</v>
      </c>
      <c r="V1018" s="101" t="str">
        <f t="shared" si="134"/>
        <v>Active</v>
      </c>
      <c r="X1018" s="101" t="str">
        <f t="shared" si="135"/>
        <v>One-off</v>
      </c>
      <c r="AC1018" s="101" t="str">
        <f t="shared" si="144"/>
        <v>RON</v>
      </c>
      <c r="AD1018" s="101">
        <f t="shared" si="145"/>
        <v>10000</v>
      </c>
    </row>
    <row r="1019" spans="1:30">
      <c r="A1019" s="101">
        <f t="shared" si="139"/>
        <v>29</v>
      </c>
      <c r="B1019" s="101">
        <f t="shared" si="140"/>
        <v>10</v>
      </c>
      <c r="C1019" s="101" t="str">
        <f t="shared" si="141"/>
        <v>T10</v>
      </c>
      <c r="D1019" s="101" t="str">
        <f>IF(A1019&lt;&gt;A1018,VLOOKUP(A1019,'Date SPV'!$A:$D,4,FALSE),D1018)</f>
        <v>Nepi Bucharest One  SRL</v>
      </c>
      <c r="E1019" s="101" t="str">
        <f>VLOOKUP(A1019,'Date SPV'!$A$4:$B$34,2,FALSE)</f>
        <v>RN1_Brasov</v>
      </c>
      <c r="H1019" s="105" t="s">
        <v>894</v>
      </c>
      <c r="K1019" s="101" t="str">
        <f>VLOOKUP(C1019,'Preturi si tarife'!$A$4:$B$39,2,FALSE)</f>
        <v xml:space="preserve">Certificate verzi </v>
      </c>
      <c r="L1019" s="102">
        <f>IF(B1019=1,'Date masura OD'!$I$5,IF(B1019=19,'Date masura OD'!$AK$5,L1018))</f>
        <v>45778</v>
      </c>
      <c r="M1019" s="102">
        <f>IF(B1019=1,'Date masura OD'!$J$5,IF(B1019=19,'Date masura OD'!$AL$5,M1018))</f>
        <v>45808</v>
      </c>
      <c r="N1019" s="104">
        <f>VLOOKUP(E1019,verificare!$AR$4:$CC$33,B1019+2,FALSE)</f>
        <v>25058</v>
      </c>
      <c r="O1019" s="103">
        <f>HLOOKUP(VLOOKUP(E1019,'Date SPV'!$B$4:$F$34,5,FALSE),'Preturi si tarife'!$C$2:$J$39,B1019+2,FALSE)*10000</f>
        <v>725.41599999999994</v>
      </c>
      <c r="Q1019" s="101" t="str">
        <f t="shared" si="132"/>
        <v>One-off</v>
      </c>
      <c r="R1019" s="101" t="str">
        <f>VLOOKUP(K1019,'Preturi si tarife'!$B$4:$K$39,10,FALSE)</f>
        <v>ICOENG0001</v>
      </c>
      <c r="T1019" s="101" t="str">
        <f t="shared" si="133"/>
        <v>INV + 30</v>
      </c>
      <c r="V1019" s="101" t="str">
        <f t="shared" si="134"/>
        <v>Active</v>
      </c>
      <c r="X1019" s="101" t="str">
        <f t="shared" si="135"/>
        <v>One-off</v>
      </c>
      <c r="AC1019" s="101" t="str">
        <f t="shared" si="144"/>
        <v>RON</v>
      </c>
      <c r="AD1019" s="101">
        <f t="shared" si="145"/>
        <v>10000</v>
      </c>
    </row>
    <row r="1020" spans="1:30">
      <c r="A1020" s="101">
        <f t="shared" si="139"/>
        <v>29</v>
      </c>
      <c r="B1020" s="101">
        <f t="shared" si="140"/>
        <v>11</v>
      </c>
      <c r="C1020" s="101" t="str">
        <f t="shared" si="141"/>
        <v>T11</v>
      </c>
      <c r="D1020" s="101" t="str">
        <f>IF(A1020&lt;&gt;A1019,VLOOKUP(A1020,'Date SPV'!$A:$D,4,FALSE),D1019)</f>
        <v>Nepi Bucharest One  SRL</v>
      </c>
      <c r="E1020" s="101" t="str">
        <f>VLOOKUP(A1020,'Date SPV'!$A$4:$B$34,2,FALSE)</f>
        <v>RN1_Brasov</v>
      </c>
      <c r="H1020" s="105" t="s">
        <v>894</v>
      </c>
      <c r="K1020" s="101" t="str">
        <f>VLOOKUP(C1020,'Preturi si tarife'!$A$4:$B$39,2,FALSE)</f>
        <v>Contributie CFD</v>
      </c>
      <c r="L1020" s="102">
        <f>IF(B1020=1,'Date masura OD'!$I$5,IF(B1020=19,'Date masura OD'!$AK$5,L1019))</f>
        <v>45778</v>
      </c>
      <c r="M1020" s="102">
        <f>IF(B1020=1,'Date masura OD'!$J$5,IF(B1020=19,'Date masura OD'!$AL$5,M1019))</f>
        <v>45808</v>
      </c>
      <c r="N1020" s="104">
        <f>VLOOKUP(E1020,verificare!$AR$4:$CC$33,B1020+2,FALSE)</f>
        <v>25058</v>
      </c>
      <c r="O1020" s="103">
        <f>HLOOKUP(VLOOKUP(E1020,'Date SPV'!$B$4:$F$34,5,FALSE),'Preturi si tarife'!$C$2:$J$39,B1020+2,FALSE)*10000</f>
        <v>2.06</v>
      </c>
      <c r="Q1020" s="101" t="str">
        <f t="shared" si="132"/>
        <v>One-off</v>
      </c>
      <c r="R1020" s="101" t="str">
        <f>VLOOKUP(K1020,'Preturi si tarife'!$B$4:$K$39,10,FALSE)</f>
        <v>ICOENG0001</v>
      </c>
      <c r="T1020" s="101" t="str">
        <f t="shared" si="133"/>
        <v>INV + 30</v>
      </c>
      <c r="V1020" s="101" t="str">
        <f t="shared" si="134"/>
        <v>Active</v>
      </c>
      <c r="X1020" s="101" t="str">
        <f t="shared" si="135"/>
        <v>One-off</v>
      </c>
      <c r="AC1020" s="101" t="str">
        <f t="shared" si="144"/>
        <v>RON</v>
      </c>
      <c r="AD1020" s="101">
        <f t="shared" si="145"/>
        <v>10000</v>
      </c>
    </row>
    <row r="1021" spans="1:30">
      <c r="A1021" s="101">
        <f t="shared" ref="A1021:A1045" si="146">IF(B1020=36,A1020+1,A1020)</f>
        <v>29</v>
      </c>
      <c r="B1021" s="101">
        <f t="shared" ref="B1021:B1045" si="147">IF(A1021&lt;&gt;A1020,1,B1020+1)</f>
        <v>12</v>
      </c>
      <c r="C1021" s="101" t="str">
        <f t="shared" ref="C1021:C1045" si="148">_xlfn.CONCAT("T",B1021)</f>
        <v>T12</v>
      </c>
      <c r="D1021" s="101" t="str">
        <f>IF(A1021&lt;&gt;A1020,VLOOKUP(A1021,'Date SPV'!$A:$D,4,FALSE),D1020)</f>
        <v>Nepi Bucharest One  SRL</v>
      </c>
      <c r="E1021" s="101" t="str">
        <f>VLOOKUP(A1021,'Date SPV'!$A$4:$B$34,2,FALSE)</f>
        <v>RN1_Brasov</v>
      </c>
      <c r="H1021" s="105" t="s">
        <v>894</v>
      </c>
      <c r="K1021" s="101" t="str">
        <f>VLOOKUP(C1021,'Preturi si tarife'!$A$4:$B$39,2,FALSE)</f>
        <v>Acciza</v>
      </c>
      <c r="L1021" s="102">
        <f>IF(B1021=1,'Date masura OD'!$I$5,IF(B1021=19,'Date masura OD'!$AK$5,L1020))</f>
        <v>45778</v>
      </c>
      <c r="M1021" s="102">
        <f>IF(B1021=1,'Date masura OD'!$J$5,IF(B1021=19,'Date masura OD'!$AL$5,M1020))</f>
        <v>45808</v>
      </c>
      <c r="N1021" s="104">
        <f>VLOOKUP(E1021,verificare!$AR$4:$CC$33,B1021+2,FALSE)</f>
        <v>25058</v>
      </c>
      <c r="O1021" s="103">
        <f>HLOOKUP(VLOOKUP(E1021,'Date SPV'!$B$4:$F$34,5,FALSE),'Preturi si tarife'!$C$2:$J$39,B1021+2,FALSE)*10000</f>
        <v>0</v>
      </c>
      <c r="Q1021" s="101" t="str">
        <f t="shared" ref="Q1021:Q1045" si="149">Q1020</f>
        <v>One-off</v>
      </c>
      <c r="R1021" s="101" t="str">
        <f>VLOOKUP(K1021,'Preturi si tarife'!$B$4:$K$39,10,FALSE)</f>
        <v>ICOENG0001</v>
      </c>
      <c r="T1021" s="101" t="str">
        <f t="shared" ref="T1021:T1045" si="150">T1020</f>
        <v>INV + 30</v>
      </c>
      <c r="V1021" s="101" t="str">
        <f t="shared" ref="V1021:V1045" si="151">V1020</f>
        <v>Active</v>
      </c>
      <c r="X1021" s="101" t="str">
        <f t="shared" ref="X1021:X1045" si="152">X1020</f>
        <v>One-off</v>
      </c>
      <c r="AC1021" s="101" t="str">
        <f t="shared" si="144"/>
        <v>RON</v>
      </c>
      <c r="AD1021" s="101">
        <f t="shared" si="145"/>
        <v>10000</v>
      </c>
    </row>
    <row r="1022" spans="1:30">
      <c r="A1022" s="101">
        <f t="shared" si="146"/>
        <v>29</v>
      </c>
      <c r="B1022" s="101">
        <f t="shared" si="147"/>
        <v>13</v>
      </c>
      <c r="C1022" s="101" t="str">
        <f t="shared" si="148"/>
        <v>T13</v>
      </c>
      <c r="D1022" s="101" t="str">
        <f>IF(A1022&lt;&gt;A1021,VLOOKUP(A1022,'Date SPV'!$A:$D,4,FALSE),D1021)</f>
        <v>Nepi Bucharest One  SRL</v>
      </c>
      <c r="E1022" s="101" t="str">
        <f>VLOOKUP(A1022,'Date SPV'!$A$4:$B$34,2,FALSE)</f>
        <v>RN1_Brasov</v>
      </c>
      <c r="H1022" s="105" t="s">
        <v>894</v>
      </c>
      <c r="K1022" s="101" t="str">
        <f>VLOOKUP(C1022,'Preturi si tarife'!$A$4:$B$39,2,FALSE)</f>
        <v>Tarif distributie SDI MT</v>
      </c>
      <c r="L1022" s="102">
        <f>IF(B1022=1,'Date masura OD'!$I$5,IF(B1022=19,'Date masura OD'!$AK$5,L1021))</f>
        <v>45778</v>
      </c>
      <c r="M1022" s="102">
        <f>IF(B1022=1,'Date masura OD'!$J$5,IF(B1022=19,'Date masura OD'!$AL$5,M1021))</f>
        <v>45808</v>
      </c>
      <c r="N1022" s="104">
        <f>VLOOKUP(E1022,verificare!$AR$4:$CC$33,B1022+2,FALSE)</f>
        <v>25058</v>
      </c>
      <c r="O1022" s="103">
        <f>HLOOKUP(VLOOKUP(E1022,'Date SPV'!$B$4:$F$34,5,FALSE),'Preturi si tarife'!$C$2:$J$39,B1022+2,FALSE)*10000</f>
        <v>126</v>
      </c>
      <c r="Q1022" s="101" t="str">
        <f t="shared" si="149"/>
        <v>One-off</v>
      </c>
      <c r="R1022" s="101" t="str">
        <f>VLOOKUP(K1022,'Preturi si tarife'!$B$4:$K$39,10,FALSE)</f>
        <v>ICOENG0010</v>
      </c>
      <c r="T1022" s="101" t="str">
        <f t="shared" si="150"/>
        <v>INV + 30</v>
      </c>
      <c r="V1022" s="101" t="str">
        <f t="shared" si="151"/>
        <v>Active</v>
      </c>
      <c r="X1022" s="101" t="str">
        <f t="shared" si="152"/>
        <v>One-off</v>
      </c>
      <c r="AC1022" s="101" t="str">
        <f t="shared" si="144"/>
        <v>RON</v>
      </c>
      <c r="AD1022" s="101">
        <f t="shared" si="145"/>
        <v>10000</v>
      </c>
    </row>
    <row r="1023" spans="1:30">
      <c r="A1023" s="101">
        <f t="shared" si="146"/>
        <v>29</v>
      </c>
      <c r="B1023" s="101">
        <f t="shared" si="147"/>
        <v>14</v>
      </c>
      <c r="C1023" s="101" t="str">
        <f t="shared" si="148"/>
        <v>T14</v>
      </c>
      <c r="D1023" s="101" t="str">
        <f>IF(A1023&lt;&gt;A1022,VLOOKUP(A1023,'Date SPV'!$A:$D,4,FALSE),D1022)</f>
        <v>Nepi Bucharest One  SRL</v>
      </c>
      <c r="E1023" s="101" t="str">
        <f>VLOOKUP(A1023,'Date SPV'!$A$4:$B$34,2,FALSE)</f>
        <v>RN1_Brasov</v>
      </c>
      <c r="H1023" s="105" t="s">
        <v>894</v>
      </c>
      <c r="K1023" s="101" t="str">
        <f>VLOOKUP(C1023,'Preturi si tarife'!$A$4:$B$39,2,FALSE)</f>
        <v>Tarif distributie SDI JT</v>
      </c>
      <c r="L1023" s="102">
        <f>IF(B1023=1,'Date masura OD'!$I$5,IF(B1023=19,'Date masura OD'!$AK$5,L1022))</f>
        <v>45778</v>
      </c>
      <c r="M1023" s="102">
        <f>IF(B1023=1,'Date masura OD'!$J$5,IF(B1023=19,'Date masura OD'!$AL$5,M1022))</f>
        <v>45808</v>
      </c>
      <c r="N1023" s="104">
        <f>VLOOKUP(E1023,verificare!$AR$4:$CC$33,B1023+2,FALSE)</f>
        <v>25058</v>
      </c>
      <c r="O1023" s="103">
        <f>HLOOKUP(VLOOKUP(E1023,'Date SPV'!$B$4:$F$34,5,FALSE),'Preturi si tarife'!$C$2:$J$39,B1023+2,FALSE)*10000</f>
        <v>927</v>
      </c>
      <c r="Q1023" s="101" t="str">
        <f t="shared" si="149"/>
        <v>One-off</v>
      </c>
      <c r="R1023" s="101" t="str">
        <f>VLOOKUP(K1023,'Preturi si tarife'!$B$4:$K$39,10,FALSE)</f>
        <v>ICOENG0010</v>
      </c>
      <c r="T1023" s="101" t="str">
        <f t="shared" si="150"/>
        <v>INV + 30</v>
      </c>
      <c r="V1023" s="101" t="str">
        <f t="shared" si="151"/>
        <v>Active</v>
      </c>
      <c r="X1023" s="101" t="str">
        <f t="shared" si="152"/>
        <v>One-off</v>
      </c>
      <c r="AC1023" s="101" t="str">
        <f t="shared" si="144"/>
        <v>RON</v>
      </c>
      <c r="AD1023" s="101">
        <f t="shared" si="145"/>
        <v>10000</v>
      </c>
    </row>
    <row r="1024" spans="1:30">
      <c r="A1024" s="101">
        <f t="shared" si="146"/>
        <v>29</v>
      </c>
      <c r="B1024" s="101">
        <f t="shared" si="147"/>
        <v>15</v>
      </c>
      <c r="C1024" s="101" t="str">
        <f t="shared" si="148"/>
        <v>T15</v>
      </c>
      <c r="D1024" s="101" t="str">
        <f>IF(A1024&lt;&gt;A1023,VLOOKUP(A1024,'Date SPV'!$A:$D,4,FALSE),D1023)</f>
        <v>Nepi Bucharest One  SRL</v>
      </c>
      <c r="E1024" s="101" t="str">
        <f>VLOOKUP(A1024,'Date SPV'!$A$4:$B$34,2,FALSE)</f>
        <v>RN1_Brasov</v>
      </c>
      <c r="H1024" s="105" t="s">
        <v>894</v>
      </c>
      <c r="K1024" s="101" t="str">
        <f>VLOOKUP(C1024,'Preturi si tarife'!$A$4:$B$39,2,FALSE)</f>
        <v>Energie activa 2</v>
      </c>
      <c r="L1024" s="102">
        <f>IF(B1024=1,'Date masura OD'!$I$5,IF(B1024=19,'Date masura OD'!$AK$5,L1023))</f>
        <v>45778</v>
      </c>
      <c r="M1024" s="102">
        <f>IF(B1024=1,'Date masura OD'!$J$5,IF(B1024=19,'Date masura OD'!$AL$5,M1023))</f>
        <v>45808</v>
      </c>
      <c r="N1024" s="104">
        <f>VLOOKUP(E1024,verificare!$AR$4:$CC$33,B1024+2,FALSE)</f>
        <v>15338</v>
      </c>
      <c r="O1024" s="103">
        <f>HLOOKUP(VLOOKUP(E1024,'Date SPV'!$B$4:$F$34,5,FALSE),'Preturi si tarife'!$C$2:$J$39,B1024+2,FALSE)*10000</f>
        <v>9392.0760000000009</v>
      </c>
      <c r="Q1024" s="101" t="str">
        <f t="shared" si="149"/>
        <v>One-off</v>
      </c>
      <c r="R1024" s="101" t="str">
        <f>VLOOKUP(K1024,'Preturi si tarife'!$B$4:$K$39,10,FALSE)</f>
        <v>ICOENG0012</v>
      </c>
      <c r="T1024" s="101" t="str">
        <f t="shared" si="150"/>
        <v>INV + 30</v>
      </c>
      <c r="V1024" s="101" t="str">
        <f t="shared" si="151"/>
        <v>Active</v>
      </c>
      <c r="X1024" s="101" t="str">
        <f t="shared" si="152"/>
        <v>One-off</v>
      </c>
      <c r="AC1024" s="101" t="str">
        <f t="shared" si="144"/>
        <v>RON</v>
      </c>
      <c r="AD1024" s="101">
        <f t="shared" si="145"/>
        <v>10000</v>
      </c>
    </row>
    <row r="1025" spans="1:30">
      <c r="A1025" s="101">
        <f t="shared" si="146"/>
        <v>29</v>
      </c>
      <c r="B1025" s="101">
        <f t="shared" si="147"/>
        <v>16</v>
      </c>
      <c r="C1025" s="101" t="str">
        <f t="shared" si="148"/>
        <v>T16</v>
      </c>
      <c r="D1025" s="101" t="str">
        <f>IF(A1025&lt;&gt;A1024,VLOOKUP(A1025,'Date SPV'!$A:$D,4,FALSE),D1024)</f>
        <v>Nepi Bucharest One  SRL</v>
      </c>
      <c r="E1025" s="101" t="str">
        <f>VLOOKUP(A1025,'Date SPV'!$A$4:$B$34,2,FALSE)</f>
        <v>RN1_Brasov</v>
      </c>
      <c r="H1025" s="105" t="s">
        <v>894</v>
      </c>
      <c r="K1025" s="101" t="str">
        <f>VLOOKUP(C1025,'Preturi si tarife'!$A$4:$B$39,2,FALSE)</f>
        <v>Energie activa 3</v>
      </c>
      <c r="L1025" s="102">
        <f>IF(B1025=1,'Date masura OD'!$I$5,IF(B1025=19,'Date masura OD'!$AK$5,L1024))</f>
        <v>45778</v>
      </c>
      <c r="M1025" s="102">
        <f>IF(B1025=1,'Date masura OD'!$J$5,IF(B1025=19,'Date masura OD'!$AL$5,M1024))</f>
        <v>45808</v>
      </c>
      <c r="N1025" s="104">
        <f>VLOOKUP(E1025,verificare!$AR$4:$CC$33,B1025+2,FALSE)</f>
        <v>0</v>
      </c>
      <c r="O1025" s="103">
        <f>HLOOKUP(VLOOKUP(E1025,'Date SPV'!$B$4:$F$34,5,FALSE),'Preturi si tarife'!$C$2:$J$39,B1025+2,FALSE)*10000</f>
        <v>8339.0760000000009</v>
      </c>
      <c r="Q1025" s="101" t="str">
        <f t="shared" si="149"/>
        <v>One-off</v>
      </c>
      <c r="R1025" s="101" t="str">
        <f>VLOOKUP(K1025,'Preturi si tarife'!$B$4:$K$39,10,FALSE)</f>
        <v>ICOENG0012</v>
      </c>
      <c r="T1025" s="101" t="str">
        <f t="shared" si="150"/>
        <v>INV + 30</v>
      </c>
      <c r="V1025" s="101" t="str">
        <f t="shared" si="151"/>
        <v>Active</v>
      </c>
      <c r="X1025" s="101" t="str">
        <f t="shared" si="152"/>
        <v>One-off</v>
      </c>
      <c r="AC1025" s="101" t="str">
        <f t="shared" si="144"/>
        <v>RON</v>
      </c>
      <c r="AD1025" s="101">
        <f t="shared" si="145"/>
        <v>10000</v>
      </c>
    </row>
    <row r="1026" spans="1:30">
      <c r="A1026" s="101">
        <f t="shared" si="146"/>
        <v>29</v>
      </c>
      <c r="B1026" s="101">
        <f t="shared" si="147"/>
        <v>17</v>
      </c>
      <c r="C1026" s="101" t="str">
        <f t="shared" si="148"/>
        <v>T17</v>
      </c>
      <c r="D1026" s="101" t="str">
        <f>IF(A1026&lt;&gt;A1025,VLOOKUP(A1026,'Date SPV'!$A:$D,4,FALSE),D1025)</f>
        <v>Nepi Bucharest One  SRL</v>
      </c>
      <c r="E1026" s="101" t="str">
        <f>VLOOKUP(A1026,'Date SPV'!$A$4:$B$34,2,FALSE)</f>
        <v>RN1_Brasov</v>
      </c>
      <c r="H1026" s="105" t="s">
        <v>894</v>
      </c>
      <c r="K1026" s="101" t="str">
        <f>VLOOKUP(C1026,'Preturi si tarife'!$A$4:$B$39,2,FALSE)</f>
        <v>Tarif distributie SDI MT_</v>
      </c>
      <c r="L1026" s="102">
        <f>IF(B1026=1,'Date masura OD'!$I$5,IF(B1026=19,'Date masura OD'!$AK$5,L1025))</f>
        <v>45778</v>
      </c>
      <c r="M1026" s="102">
        <f>IF(B1026=1,'Date masura OD'!$J$5,IF(B1026=19,'Date masura OD'!$AL$5,M1025))</f>
        <v>45808</v>
      </c>
      <c r="N1026" s="104">
        <f>VLOOKUP(E1026,verificare!$AR$4:$CC$33,B1026+2,FALSE)</f>
        <v>0</v>
      </c>
      <c r="O1026" s="103">
        <f>HLOOKUP(VLOOKUP(E1026,'Date SPV'!$B$4:$F$34,5,FALSE),'Preturi si tarife'!$C$2:$J$39,B1026+2,FALSE)*10000</f>
        <v>126</v>
      </c>
      <c r="Q1026" s="101" t="str">
        <f t="shared" si="149"/>
        <v>One-off</v>
      </c>
      <c r="R1026" s="101" t="str">
        <f>VLOOKUP(K1026,'Preturi si tarife'!$B$4:$K$39,10,FALSE)</f>
        <v>ICOENG0010</v>
      </c>
      <c r="T1026" s="101" t="str">
        <f t="shared" si="150"/>
        <v>INV + 30</v>
      </c>
      <c r="V1026" s="101" t="str">
        <f t="shared" si="151"/>
        <v>Active</v>
      </c>
      <c r="X1026" s="101" t="str">
        <f t="shared" si="152"/>
        <v>One-off</v>
      </c>
      <c r="AC1026" s="101" t="str">
        <f t="shared" si="144"/>
        <v>RON</v>
      </c>
      <c r="AD1026" s="101">
        <f t="shared" si="145"/>
        <v>10000</v>
      </c>
    </row>
    <row r="1027" spans="1:30">
      <c r="A1027" s="101">
        <f t="shared" si="146"/>
        <v>29</v>
      </c>
      <c r="B1027" s="101">
        <f t="shared" si="147"/>
        <v>18</v>
      </c>
      <c r="C1027" s="101" t="str">
        <f t="shared" si="148"/>
        <v>T18</v>
      </c>
      <c r="D1027" s="101" t="str">
        <f>IF(A1027&lt;&gt;A1026,VLOOKUP(A1027,'Date SPV'!$A:$D,4,FALSE),D1026)</f>
        <v>Nepi Bucharest One  SRL</v>
      </c>
      <c r="E1027" s="101" t="str">
        <f>VLOOKUP(A1027,'Date SPV'!$A$4:$B$34,2,FALSE)</f>
        <v>RN1_Brasov</v>
      </c>
      <c r="H1027" s="105" t="s">
        <v>894</v>
      </c>
      <c r="K1027" s="101" t="str">
        <f>VLOOKUP(C1027,'Preturi si tarife'!$A$4:$B$39,2,FALSE)</f>
        <v>Tarif distributie SDI JT_</v>
      </c>
      <c r="L1027" s="102">
        <f>IF(B1027=1,'Date masura OD'!$I$5,IF(B1027=19,'Date masura OD'!$AK$5,L1026))</f>
        <v>45778</v>
      </c>
      <c r="M1027" s="102">
        <f>IF(B1027=1,'Date masura OD'!$J$5,IF(B1027=19,'Date masura OD'!$AL$5,M1026))</f>
        <v>45808</v>
      </c>
      <c r="N1027" s="104">
        <f>VLOOKUP(E1027,verificare!$AR$4:$CC$33,B1027+2,FALSE)</f>
        <v>0</v>
      </c>
      <c r="O1027" s="103">
        <f>HLOOKUP(VLOOKUP(E1027,'Date SPV'!$B$4:$F$34,5,FALSE),'Preturi si tarife'!$C$2:$J$39,B1027+2,FALSE)*10000</f>
        <v>927</v>
      </c>
      <c r="Q1027" s="101" t="str">
        <f t="shared" si="149"/>
        <v>One-off</v>
      </c>
      <c r="R1027" s="101" t="str">
        <f>VLOOKUP(K1027,'Preturi si tarife'!$B$4:$K$39,10,FALSE)</f>
        <v>ICOENG0010</v>
      </c>
      <c r="T1027" s="101" t="str">
        <f t="shared" si="150"/>
        <v>INV + 30</v>
      </c>
      <c r="V1027" s="101" t="str">
        <f t="shared" si="151"/>
        <v>Active</v>
      </c>
      <c r="X1027" s="101" t="str">
        <f t="shared" si="152"/>
        <v>One-off</v>
      </c>
      <c r="AC1027" s="101" t="str">
        <f t="shared" si="144"/>
        <v>RON</v>
      </c>
      <c r="AD1027" s="101">
        <f t="shared" si="145"/>
        <v>10000</v>
      </c>
    </row>
    <row r="1028" spans="1:30">
      <c r="A1028" s="101">
        <f t="shared" si="146"/>
        <v>29</v>
      </c>
      <c r="B1028" s="101">
        <f t="shared" si="147"/>
        <v>19</v>
      </c>
      <c r="C1028" s="101" t="str">
        <f t="shared" si="148"/>
        <v>T19</v>
      </c>
      <c r="D1028" s="101" t="str">
        <f>IF(A1028&lt;&gt;A1027,VLOOKUP(A1028,'Date SPV'!$A:$D,4,FALSE),D1027)</f>
        <v>Nepi Bucharest One  SRL</v>
      </c>
      <c r="E1028" s="101" t="str">
        <f>VLOOKUP(A1028,'Date SPV'!$A$4:$B$34,2,FALSE)</f>
        <v>RN1_Brasov</v>
      </c>
      <c r="H1028" s="105" t="s">
        <v>894</v>
      </c>
      <c r="K1028" s="101" t="str">
        <f>VLOOKUP(C1028,'Preturi si tarife'!$A$4:$B$39,2,FALSE)</f>
        <v>Regularizare Energie activa 1</v>
      </c>
      <c r="L1028" s="102">
        <f>IF(B1028=1,'Date masura OD'!$I$5,IF(B1028=19,'Date masura OD'!$AK$5,L1027))</f>
        <v>45748</v>
      </c>
      <c r="M1028" s="102">
        <f>IF(B1028=1,'Date masura OD'!$J$5,IF(B1028=19,'Date masura OD'!$AL$5,M1027))</f>
        <v>45777</v>
      </c>
      <c r="N1028" s="104">
        <f>VLOOKUP(E1028,verificare!$AR$4:$CC$33,B1028+2,FALSE)</f>
        <v>0</v>
      </c>
      <c r="O1028" s="103">
        <f>HLOOKUP(VLOOKUP(E1028,'Date SPV'!$B$4:$F$34,5,FALSE),'Preturi si tarife'!$C$2:$J$39,B1028+2,FALSE)*10000</f>
        <v>5950</v>
      </c>
      <c r="Q1028" s="101" t="str">
        <f t="shared" si="149"/>
        <v>One-off</v>
      </c>
      <c r="R1028" s="101" t="str">
        <f>VLOOKUP(K1028,'Preturi si tarife'!$B$4:$K$39,10,FALSE)</f>
        <v>ICOENG0001</v>
      </c>
      <c r="T1028" s="101" t="str">
        <f t="shared" si="150"/>
        <v>INV + 30</v>
      </c>
      <c r="V1028" s="101" t="str">
        <f t="shared" si="151"/>
        <v>Active</v>
      </c>
      <c r="X1028" s="101" t="str">
        <f t="shared" si="152"/>
        <v>One-off</v>
      </c>
      <c r="AC1028" s="101" t="str">
        <f t="shared" si="144"/>
        <v>RON</v>
      </c>
      <c r="AD1028" s="101">
        <f t="shared" si="145"/>
        <v>10000</v>
      </c>
    </row>
    <row r="1029" spans="1:30">
      <c r="A1029" s="101">
        <f t="shared" si="146"/>
        <v>29</v>
      </c>
      <c r="B1029" s="101">
        <f t="shared" si="147"/>
        <v>20</v>
      </c>
      <c r="C1029" s="101" t="str">
        <f t="shared" si="148"/>
        <v>T20</v>
      </c>
      <c r="D1029" s="101" t="str">
        <f>IF(A1029&lt;&gt;A1028,VLOOKUP(A1029,'Date SPV'!$A:$D,4,FALSE),D1028)</f>
        <v>Nepi Bucharest One  SRL</v>
      </c>
      <c r="E1029" s="101" t="str">
        <f>VLOOKUP(A1029,'Date SPV'!$A$4:$B$34,2,FALSE)</f>
        <v>RN1_Brasov</v>
      </c>
      <c r="H1029" s="105" t="s">
        <v>894</v>
      </c>
      <c r="K1029" s="101" t="str">
        <f>VLOOKUP(C1029,'Preturi si tarife'!$A$4:$B$39,2,FALSE)</f>
        <v>Regularizare Energie reactiva  1X</v>
      </c>
      <c r="L1029" s="102">
        <f>IF(B1029=1,'Date masura OD'!$I$5,IF(B1029=19,'Date masura OD'!$AK$5,L1028))</f>
        <v>45748</v>
      </c>
      <c r="M1029" s="102">
        <f>IF(B1029=1,'Date masura OD'!$J$5,IF(B1029=19,'Date masura OD'!$AL$5,M1028))</f>
        <v>45777</v>
      </c>
      <c r="N1029" s="104">
        <f>VLOOKUP(E1029,verificare!$AR$4:$CC$33,B1029+2,FALSE)</f>
        <v>186</v>
      </c>
      <c r="O1029" s="103">
        <f>HLOOKUP(VLOOKUP(E1029,'Date SPV'!$B$4:$F$34,5,FALSE),'Preturi si tarife'!$C$2:$J$39,B1029+2,FALSE)*10000</f>
        <v>1465</v>
      </c>
      <c r="Q1029" s="101" t="str">
        <f t="shared" si="149"/>
        <v>One-off</v>
      </c>
      <c r="R1029" s="101" t="str">
        <f>VLOOKUP(K1029,'Preturi si tarife'!$B$4:$K$39,10,FALSE)</f>
        <v>ICOENG0001</v>
      </c>
      <c r="T1029" s="101" t="str">
        <f t="shared" si="150"/>
        <v>INV + 30</v>
      </c>
      <c r="V1029" s="101" t="str">
        <f t="shared" si="151"/>
        <v>Active</v>
      </c>
      <c r="X1029" s="101" t="str">
        <f t="shared" si="152"/>
        <v>One-off</v>
      </c>
      <c r="AC1029" s="101" t="str">
        <f t="shared" si="144"/>
        <v>RON</v>
      </c>
      <c r="AD1029" s="101">
        <f t="shared" si="145"/>
        <v>10000</v>
      </c>
    </row>
    <row r="1030" spans="1:30">
      <c r="A1030" s="101">
        <f t="shared" si="146"/>
        <v>29</v>
      </c>
      <c r="B1030" s="101">
        <f t="shared" si="147"/>
        <v>21</v>
      </c>
      <c r="C1030" s="101" t="str">
        <f t="shared" si="148"/>
        <v>T21</v>
      </c>
      <c r="D1030" s="101" t="str">
        <f>IF(A1030&lt;&gt;A1029,VLOOKUP(A1030,'Date SPV'!$A:$D,4,FALSE),D1029)</f>
        <v>Nepi Bucharest One  SRL</v>
      </c>
      <c r="E1030" s="101" t="str">
        <f>VLOOKUP(A1030,'Date SPV'!$A$4:$B$34,2,FALSE)</f>
        <v>RN1_Brasov</v>
      </c>
      <c r="H1030" s="105" t="s">
        <v>894</v>
      </c>
      <c r="K1030" s="101" t="str">
        <f>VLOOKUP(C1030,'Preturi si tarife'!$A$4:$B$39,2,FALSE)</f>
        <v>Regularizare Energie reactiva  3X</v>
      </c>
      <c r="L1030" s="102">
        <f>IF(B1030=1,'Date masura OD'!$I$5,IF(B1030=19,'Date masura OD'!$AK$5,L1029))</f>
        <v>45748</v>
      </c>
      <c r="M1030" s="102">
        <f>IF(B1030=1,'Date masura OD'!$J$5,IF(B1030=19,'Date masura OD'!$AL$5,M1029))</f>
        <v>45777</v>
      </c>
      <c r="N1030" s="104">
        <f>VLOOKUP(E1030,verificare!$AR$4:$CC$33,B1030+2,FALSE)</f>
        <v>4</v>
      </c>
      <c r="O1030" s="103">
        <f>HLOOKUP(VLOOKUP(E1030,'Date SPV'!$B$4:$F$34,5,FALSE),'Preturi si tarife'!$C$2:$J$39,B1030+2,FALSE)*10000</f>
        <v>4395</v>
      </c>
      <c r="Q1030" s="101" t="str">
        <f t="shared" si="149"/>
        <v>One-off</v>
      </c>
      <c r="R1030" s="101" t="str">
        <f>VLOOKUP(K1030,'Preturi si tarife'!$B$4:$K$39,10,FALSE)</f>
        <v>ICOENG0001</v>
      </c>
      <c r="T1030" s="101" t="str">
        <f t="shared" si="150"/>
        <v>INV + 30</v>
      </c>
      <c r="V1030" s="101" t="str">
        <f t="shared" si="151"/>
        <v>Active</v>
      </c>
      <c r="X1030" s="101" t="str">
        <f t="shared" si="152"/>
        <v>One-off</v>
      </c>
      <c r="AC1030" s="101" t="str">
        <f t="shared" si="144"/>
        <v>RON</v>
      </c>
      <c r="AD1030" s="101">
        <f t="shared" si="145"/>
        <v>10000</v>
      </c>
    </row>
    <row r="1031" spans="1:30">
      <c r="A1031" s="101">
        <f t="shared" si="146"/>
        <v>29</v>
      </c>
      <c r="B1031" s="101">
        <f t="shared" si="147"/>
        <v>22</v>
      </c>
      <c r="C1031" s="101" t="str">
        <f t="shared" si="148"/>
        <v>T22</v>
      </c>
      <c r="D1031" s="101" t="str">
        <f>IF(A1031&lt;&gt;A1030,VLOOKUP(A1031,'Date SPV'!$A:$D,4,FALSE),D1030)</f>
        <v>Nepi Bucharest One  SRL</v>
      </c>
      <c r="E1031" s="101" t="str">
        <f>VLOOKUP(A1031,'Date SPV'!$A$4:$B$34,2,FALSE)</f>
        <v>RN1_Brasov</v>
      </c>
      <c r="H1031" s="105" t="s">
        <v>894</v>
      </c>
      <c r="K1031" s="101" t="str">
        <f>VLOOKUP(C1031,'Preturi si tarife'!$A$4:$B$39,2,FALSE)</f>
        <v>Regularizare Tarife distributie en. El IT+MT</v>
      </c>
      <c r="L1031" s="102">
        <f>IF(B1031=1,'Date masura OD'!$I$5,IF(B1031=19,'Date masura OD'!$AK$5,L1030))</f>
        <v>45748</v>
      </c>
      <c r="M1031" s="102">
        <f>IF(B1031=1,'Date masura OD'!$J$5,IF(B1031=19,'Date masura OD'!$AL$5,M1030))</f>
        <v>45777</v>
      </c>
      <c r="N1031" s="104">
        <f>VLOOKUP(E1031,verificare!$AR$4:$CC$33,B1031+2,FALSE)</f>
        <v>0</v>
      </c>
      <c r="O1031" s="103">
        <f>HLOOKUP(VLOOKUP(E1031,'Date SPV'!$B$4:$F$34,5,FALSE),'Preturi si tarife'!$C$2:$J$39,B1031+2,FALSE)*10000</f>
        <v>1148.3</v>
      </c>
      <c r="Q1031" s="101" t="str">
        <f t="shared" si="149"/>
        <v>One-off</v>
      </c>
      <c r="R1031" s="101" t="str">
        <f>VLOOKUP(K1031,'Preturi si tarife'!$B$4:$K$39,10,FALSE)</f>
        <v>ICOENG0001</v>
      </c>
      <c r="T1031" s="101" t="str">
        <f t="shared" si="150"/>
        <v>INV + 30</v>
      </c>
      <c r="V1031" s="101" t="str">
        <f t="shared" si="151"/>
        <v>Active</v>
      </c>
      <c r="X1031" s="101" t="str">
        <f t="shared" si="152"/>
        <v>One-off</v>
      </c>
      <c r="AC1031" s="101" t="str">
        <f t="shared" si="144"/>
        <v>RON</v>
      </c>
      <c r="AD1031" s="101">
        <f t="shared" si="145"/>
        <v>10000</v>
      </c>
    </row>
    <row r="1032" spans="1:30">
      <c r="A1032" s="101">
        <f t="shared" si="146"/>
        <v>29</v>
      </c>
      <c r="B1032" s="101">
        <f t="shared" si="147"/>
        <v>23</v>
      </c>
      <c r="C1032" s="101" t="str">
        <f t="shared" si="148"/>
        <v>T23</v>
      </c>
      <c r="D1032" s="101" t="str">
        <f>IF(A1032&lt;&gt;A1031,VLOOKUP(A1032,'Date SPV'!$A:$D,4,FALSE),D1031)</f>
        <v>Nepi Bucharest One  SRL</v>
      </c>
      <c r="E1032" s="101" t="str">
        <f>VLOOKUP(A1032,'Date SPV'!$A$4:$B$34,2,FALSE)</f>
        <v>RN1_Brasov</v>
      </c>
      <c r="H1032" s="105" t="s">
        <v>894</v>
      </c>
      <c r="K1032" s="101" t="str">
        <f>VLOOKUP(C1032,'Preturi si tarife'!$A$4:$B$39,2,FALSE)</f>
        <v>Regularizare Tarife distributie en. El JT</v>
      </c>
      <c r="L1032" s="102">
        <f>IF(B1032=1,'Date masura OD'!$I$5,IF(B1032=19,'Date masura OD'!$AK$5,L1031))</f>
        <v>45748</v>
      </c>
      <c r="M1032" s="102">
        <f>IF(B1032=1,'Date masura OD'!$J$5,IF(B1032=19,'Date masura OD'!$AL$5,M1031))</f>
        <v>45777</v>
      </c>
      <c r="N1032" s="104">
        <f>VLOOKUP(E1032,verificare!$AR$4:$CC$33,B1032+2,FALSE)</f>
        <v>0</v>
      </c>
      <c r="O1032" s="103">
        <f>HLOOKUP(VLOOKUP(E1032,'Date SPV'!$B$4:$F$34,5,FALSE),'Preturi si tarife'!$C$2:$J$39,B1032+2,FALSE)*10000</f>
        <v>2361</v>
      </c>
      <c r="Q1032" s="101" t="str">
        <f t="shared" si="149"/>
        <v>One-off</v>
      </c>
      <c r="R1032" s="101" t="str">
        <f>VLOOKUP(K1032,'Preturi si tarife'!$B$4:$K$39,10,FALSE)</f>
        <v>ICOENG0001</v>
      </c>
      <c r="T1032" s="101" t="str">
        <f t="shared" si="150"/>
        <v>INV + 30</v>
      </c>
      <c r="V1032" s="101" t="str">
        <f t="shared" si="151"/>
        <v>Active</v>
      </c>
      <c r="X1032" s="101" t="str">
        <f t="shared" si="152"/>
        <v>One-off</v>
      </c>
      <c r="AC1032" s="101" t="str">
        <f t="shared" si="144"/>
        <v>RON</v>
      </c>
      <c r="AD1032" s="101">
        <f t="shared" si="145"/>
        <v>10000</v>
      </c>
    </row>
    <row r="1033" spans="1:30">
      <c r="A1033" s="101">
        <f t="shared" si="146"/>
        <v>29</v>
      </c>
      <c r="B1033" s="101">
        <f t="shared" si="147"/>
        <v>24</v>
      </c>
      <c r="C1033" s="101" t="str">
        <f t="shared" si="148"/>
        <v>T24</v>
      </c>
      <c r="D1033" s="101" t="str">
        <f>IF(A1033&lt;&gt;A1032,VLOOKUP(A1033,'Date SPV'!$A:$D,4,FALSE),D1032)</f>
        <v>Nepi Bucharest One  SRL</v>
      </c>
      <c r="E1033" s="101" t="str">
        <f>VLOOKUP(A1033,'Date SPV'!$A$4:$B$34,2,FALSE)</f>
        <v>RN1_Brasov</v>
      </c>
      <c r="H1033" s="105" t="s">
        <v>894</v>
      </c>
      <c r="K1033" s="101" t="str">
        <f>VLOOKUP(C1033,'Preturi si tarife'!$A$4:$B$39,2,FALSE)</f>
        <v xml:space="preserve">Regularizare Servicii Sistem </v>
      </c>
      <c r="L1033" s="102">
        <f>IF(B1033=1,'Date masura OD'!$I$5,IF(B1033=19,'Date masura OD'!$AK$5,L1032))</f>
        <v>45748</v>
      </c>
      <c r="M1033" s="102">
        <f>IF(B1033=1,'Date masura OD'!$J$5,IF(B1033=19,'Date masura OD'!$AL$5,M1032))</f>
        <v>45777</v>
      </c>
      <c r="N1033" s="104">
        <f>VLOOKUP(E1033,verificare!$AR$4:$CC$33,B1033+2,FALSE)</f>
        <v>0</v>
      </c>
      <c r="O1033" s="103">
        <f>HLOOKUP(VLOOKUP(E1033,'Date SPV'!$B$4:$F$34,5,FALSE),'Preturi si tarife'!$C$2:$J$39,B1033+2,FALSE)*10000</f>
        <v>115.1</v>
      </c>
      <c r="Q1033" s="101" t="str">
        <f t="shared" si="149"/>
        <v>One-off</v>
      </c>
      <c r="R1033" s="101" t="str">
        <f>VLOOKUP(K1033,'Preturi si tarife'!$B$4:$K$39,10,FALSE)</f>
        <v>ICOENG0001</v>
      </c>
      <c r="T1033" s="101" t="str">
        <f t="shared" si="150"/>
        <v>INV + 30</v>
      </c>
      <c r="V1033" s="101" t="str">
        <f t="shared" si="151"/>
        <v>Active</v>
      </c>
      <c r="X1033" s="101" t="str">
        <f t="shared" si="152"/>
        <v>One-off</v>
      </c>
      <c r="AC1033" s="101" t="str">
        <f t="shared" si="144"/>
        <v>RON</v>
      </c>
      <c r="AD1033" s="101">
        <f t="shared" si="145"/>
        <v>10000</v>
      </c>
    </row>
    <row r="1034" spans="1:30">
      <c r="A1034" s="101">
        <f t="shared" si="146"/>
        <v>29</v>
      </c>
      <c r="B1034" s="101">
        <f t="shared" si="147"/>
        <v>25</v>
      </c>
      <c r="C1034" s="101" t="str">
        <f t="shared" si="148"/>
        <v>T25</v>
      </c>
      <c r="D1034" s="101" t="str">
        <f>IF(A1034&lt;&gt;A1033,VLOOKUP(A1034,'Date SPV'!$A:$D,4,FALSE),D1033)</f>
        <v>Nepi Bucharest One  SRL</v>
      </c>
      <c r="E1034" s="101" t="str">
        <f>VLOOKUP(A1034,'Date SPV'!$A$4:$B$34,2,FALSE)</f>
        <v>RN1_Brasov</v>
      </c>
      <c r="H1034" s="105" t="s">
        <v>894</v>
      </c>
      <c r="K1034" s="101" t="str">
        <f>VLOOKUP(C1034,'Preturi si tarife'!$A$4:$B$39,2,FALSE)</f>
        <v>Regularizare Tarif de introducere en. el in retea (TL)</v>
      </c>
      <c r="L1034" s="102">
        <f>IF(B1034=1,'Date masura OD'!$I$5,IF(B1034=19,'Date masura OD'!$AK$5,L1033))</f>
        <v>45748</v>
      </c>
      <c r="M1034" s="102">
        <f>IF(B1034=1,'Date masura OD'!$J$5,IF(B1034=19,'Date masura OD'!$AL$5,M1033))</f>
        <v>45777</v>
      </c>
      <c r="N1034" s="104">
        <f>VLOOKUP(E1034,verificare!$AR$4:$CC$33,B1034+2,FALSE)</f>
        <v>0</v>
      </c>
      <c r="O1034" s="103">
        <f>HLOOKUP(VLOOKUP(E1034,'Date SPV'!$B$4:$F$34,5,FALSE),'Preturi si tarife'!$C$2:$J$39,B1034+2,FALSE)*10000</f>
        <v>330.3</v>
      </c>
      <c r="Q1034" s="101" t="str">
        <f t="shared" si="149"/>
        <v>One-off</v>
      </c>
      <c r="R1034" s="101" t="str">
        <f>VLOOKUP(K1034,'Preturi si tarife'!$B$4:$K$39,10,FALSE)</f>
        <v>ICOENG0001</v>
      </c>
      <c r="T1034" s="101" t="str">
        <f t="shared" si="150"/>
        <v>INV + 30</v>
      </c>
      <c r="V1034" s="101" t="str">
        <f t="shared" si="151"/>
        <v>Active</v>
      </c>
      <c r="X1034" s="101" t="str">
        <f t="shared" si="152"/>
        <v>One-off</v>
      </c>
      <c r="AC1034" s="101" t="str">
        <f t="shared" si="144"/>
        <v>RON</v>
      </c>
      <c r="AD1034" s="101">
        <f t="shared" si="145"/>
        <v>10000</v>
      </c>
    </row>
    <row r="1035" spans="1:30">
      <c r="A1035" s="101">
        <f t="shared" si="146"/>
        <v>29</v>
      </c>
      <c r="B1035" s="101">
        <f t="shared" si="147"/>
        <v>26</v>
      </c>
      <c r="C1035" s="101" t="str">
        <f t="shared" si="148"/>
        <v>T26</v>
      </c>
      <c r="D1035" s="101" t="str">
        <f>IF(A1035&lt;&gt;A1034,VLOOKUP(A1035,'Date SPV'!$A:$D,4,FALSE),D1034)</f>
        <v>Nepi Bucharest One  SRL</v>
      </c>
      <c r="E1035" s="101" t="str">
        <f>VLOOKUP(A1035,'Date SPV'!$A$4:$B$34,2,FALSE)</f>
        <v>RN1_Brasov</v>
      </c>
      <c r="H1035" s="105" t="s">
        <v>894</v>
      </c>
      <c r="K1035" s="101" t="str">
        <f>VLOOKUP(C1035,'Preturi si tarife'!$A$4:$B$39,2,FALSE)</f>
        <v>Regularizare Tarif de introducere en.el in retea (TG)</v>
      </c>
      <c r="L1035" s="102">
        <f>IF(B1035=1,'Date masura OD'!$I$5,IF(B1035=19,'Date masura OD'!$AK$5,L1034))</f>
        <v>45748</v>
      </c>
      <c r="M1035" s="102">
        <f>IF(B1035=1,'Date masura OD'!$J$5,IF(B1035=19,'Date masura OD'!$AL$5,M1034))</f>
        <v>45777</v>
      </c>
      <c r="N1035" s="104">
        <f>VLOOKUP(E1035,verificare!$AR$4:$CC$33,B1035+2,FALSE)</f>
        <v>0</v>
      </c>
      <c r="O1035" s="103">
        <f>HLOOKUP(VLOOKUP(E1035,'Date SPV'!$B$4:$F$34,5,FALSE),'Preturi si tarife'!$C$2:$J$39,B1035+2,FALSE)*10000</f>
        <v>32.9</v>
      </c>
      <c r="Q1035" s="101" t="str">
        <f t="shared" si="149"/>
        <v>One-off</v>
      </c>
      <c r="R1035" s="101" t="str">
        <f>VLOOKUP(K1035,'Preturi si tarife'!$B$4:$K$39,10,FALSE)</f>
        <v>ICOENG0001</v>
      </c>
      <c r="T1035" s="101" t="str">
        <f t="shared" si="150"/>
        <v>INV + 30</v>
      </c>
      <c r="V1035" s="101" t="str">
        <f t="shared" si="151"/>
        <v>Active</v>
      </c>
      <c r="X1035" s="101" t="str">
        <f t="shared" si="152"/>
        <v>One-off</v>
      </c>
      <c r="AC1035" s="101" t="str">
        <f t="shared" si="144"/>
        <v>RON</v>
      </c>
      <c r="AD1035" s="101">
        <f t="shared" si="145"/>
        <v>10000</v>
      </c>
    </row>
    <row r="1036" spans="1:30">
      <c r="A1036" s="101">
        <f t="shared" si="146"/>
        <v>29</v>
      </c>
      <c r="B1036" s="101">
        <f t="shared" si="147"/>
        <v>27</v>
      </c>
      <c r="C1036" s="101" t="str">
        <f t="shared" si="148"/>
        <v>T27</v>
      </c>
      <c r="D1036" s="101" t="str">
        <f>IF(A1036&lt;&gt;A1035,VLOOKUP(A1036,'Date SPV'!$A:$D,4,FALSE),D1035)</f>
        <v>Nepi Bucharest One  SRL</v>
      </c>
      <c r="E1036" s="101" t="str">
        <f>VLOOKUP(A1036,'Date SPV'!$A$4:$B$34,2,FALSE)</f>
        <v>RN1_Brasov</v>
      </c>
      <c r="H1036" s="105" t="s">
        <v>894</v>
      </c>
      <c r="K1036" s="101" t="str">
        <f>VLOOKUP(C1036,'Preturi si tarife'!$A$4:$B$39,2,FALSE)</f>
        <v>Regularizare Contributie pentru cogenerare</v>
      </c>
      <c r="L1036" s="102">
        <f>IF(B1036=1,'Date masura OD'!$I$5,IF(B1036=19,'Date masura OD'!$AK$5,L1035))</f>
        <v>45748</v>
      </c>
      <c r="M1036" s="102">
        <f>IF(B1036=1,'Date masura OD'!$J$5,IF(B1036=19,'Date masura OD'!$AL$5,M1035))</f>
        <v>45777</v>
      </c>
      <c r="N1036" s="104">
        <f>VLOOKUP(E1036,verificare!$AR$4:$CC$33,B1036+2,FALSE)</f>
        <v>0</v>
      </c>
      <c r="O1036" s="103">
        <f>HLOOKUP(VLOOKUP(E1036,'Date SPV'!$B$4:$F$34,5,FALSE),'Preturi si tarife'!$C$2:$J$39,B1036+2,FALSE)*10000</f>
        <v>35</v>
      </c>
      <c r="Q1036" s="101" t="str">
        <f t="shared" si="149"/>
        <v>One-off</v>
      </c>
      <c r="R1036" s="101" t="str">
        <f>VLOOKUP(K1036,'Preturi si tarife'!$B$4:$K$39,10,FALSE)</f>
        <v>ICOENG0001</v>
      </c>
      <c r="T1036" s="101" t="str">
        <f t="shared" si="150"/>
        <v>INV + 30</v>
      </c>
      <c r="V1036" s="101" t="str">
        <f t="shared" si="151"/>
        <v>Active</v>
      </c>
      <c r="X1036" s="101" t="str">
        <f t="shared" si="152"/>
        <v>One-off</v>
      </c>
      <c r="AC1036" s="101" t="str">
        <f t="shared" si="144"/>
        <v>RON</v>
      </c>
      <c r="AD1036" s="101">
        <f t="shared" si="145"/>
        <v>10000</v>
      </c>
    </row>
    <row r="1037" spans="1:30">
      <c r="A1037" s="101">
        <f t="shared" si="146"/>
        <v>29</v>
      </c>
      <c r="B1037" s="101">
        <f t="shared" si="147"/>
        <v>28</v>
      </c>
      <c r="C1037" s="101" t="str">
        <f t="shared" si="148"/>
        <v>T28</v>
      </c>
      <c r="D1037" s="101" t="str">
        <f>IF(A1037&lt;&gt;A1036,VLOOKUP(A1037,'Date SPV'!$A:$D,4,FALSE),D1036)</f>
        <v>Nepi Bucharest One  SRL</v>
      </c>
      <c r="E1037" s="101" t="str">
        <f>VLOOKUP(A1037,'Date SPV'!$A$4:$B$34,2,FALSE)</f>
        <v>RN1_Brasov</v>
      </c>
      <c r="H1037" s="105" t="s">
        <v>894</v>
      </c>
      <c r="K1037" s="101" t="str">
        <f>VLOOKUP(C1037,'Preturi si tarife'!$A$4:$B$39,2,FALSE)</f>
        <v xml:space="preserve">Regularizare Certificate verzi </v>
      </c>
      <c r="L1037" s="102">
        <f>IF(B1037=1,'Date masura OD'!$I$5,IF(B1037=19,'Date masura OD'!$AK$5,L1036))</f>
        <v>45748</v>
      </c>
      <c r="M1037" s="102">
        <f>IF(B1037=1,'Date masura OD'!$J$5,IF(B1037=19,'Date masura OD'!$AL$5,M1036))</f>
        <v>45777</v>
      </c>
      <c r="N1037" s="104">
        <f>VLOOKUP(E1037,verificare!$AR$4:$CC$33,B1037+2,FALSE)</f>
        <v>0</v>
      </c>
      <c r="O1037" s="103">
        <f>HLOOKUP(VLOOKUP(E1037,'Date SPV'!$B$4:$F$34,5,FALSE),'Preturi si tarife'!$C$2:$J$39,B1037+2,FALSE)*10000</f>
        <v>725.41599999999994</v>
      </c>
      <c r="Q1037" s="101" t="str">
        <f t="shared" si="149"/>
        <v>One-off</v>
      </c>
      <c r="R1037" s="101" t="str">
        <f>VLOOKUP(K1037,'Preturi si tarife'!$B$4:$K$39,10,FALSE)</f>
        <v>ICOENG0001</v>
      </c>
      <c r="T1037" s="101" t="str">
        <f t="shared" si="150"/>
        <v>INV + 30</v>
      </c>
      <c r="V1037" s="101" t="str">
        <f t="shared" si="151"/>
        <v>Active</v>
      </c>
      <c r="X1037" s="101" t="str">
        <f t="shared" si="152"/>
        <v>One-off</v>
      </c>
      <c r="AC1037" s="101" t="str">
        <f t="shared" si="144"/>
        <v>RON</v>
      </c>
      <c r="AD1037" s="101">
        <f t="shared" si="145"/>
        <v>10000</v>
      </c>
    </row>
    <row r="1038" spans="1:30">
      <c r="A1038" s="101">
        <f t="shared" si="146"/>
        <v>29</v>
      </c>
      <c r="B1038" s="101">
        <f t="shared" si="147"/>
        <v>29</v>
      </c>
      <c r="C1038" s="101" t="str">
        <f t="shared" si="148"/>
        <v>T29</v>
      </c>
      <c r="D1038" s="101" t="str">
        <f>IF(A1038&lt;&gt;A1037,VLOOKUP(A1038,'Date SPV'!$A:$D,4,FALSE),D1037)</f>
        <v>Nepi Bucharest One  SRL</v>
      </c>
      <c r="E1038" s="101" t="str">
        <f>VLOOKUP(A1038,'Date SPV'!$A$4:$B$34,2,FALSE)</f>
        <v>RN1_Brasov</v>
      </c>
      <c r="H1038" s="105" t="s">
        <v>894</v>
      </c>
      <c r="K1038" s="101" t="str">
        <f>VLOOKUP(C1038,'Preturi si tarife'!$A$4:$B$39,2,FALSE)</f>
        <v>Regularizare Contributie CFD</v>
      </c>
      <c r="L1038" s="102">
        <f>IF(B1038=1,'Date masura OD'!$I$5,IF(B1038=19,'Date masura OD'!$AK$5,L1037))</f>
        <v>45748</v>
      </c>
      <c r="M1038" s="102">
        <f>IF(B1038=1,'Date masura OD'!$J$5,IF(B1038=19,'Date masura OD'!$AL$5,M1037))</f>
        <v>45777</v>
      </c>
      <c r="N1038" s="104">
        <f>VLOOKUP(E1038,verificare!$AR$4:$CC$33,B1038+2,FALSE)</f>
        <v>0</v>
      </c>
      <c r="O1038" s="103">
        <f>HLOOKUP(VLOOKUP(E1038,'Date SPV'!$B$4:$F$34,5,FALSE),'Preturi si tarife'!$C$2:$J$39,B1038+2,FALSE)*10000</f>
        <v>2.06</v>
      </c>
      <c r="Q1038" s="101" t="str">
        <f t="shared" si="149"/>
        <v>One-off</v>
      </c>
      <c r="R1038" s="101" t="str">
        <f>VLOOKUP(K1038,'Preturi si tarife'!$B$4:$K$39,10,FALSE)</f>
        <v>ICOENG0001</v>
      </c>
      <c r="T1038" s="101" t="str">
        <f t="shared" si="150"/>
        <v>INV + 30</v>
      </c>
      <c r="V1038" s="101" t="str">
        <f t="shared" si="151"/>
        <v>Active</v>
      </c>
      <c r="X1038" s="101" t="str">
        <f t="shared" si="152"/>
        <v>One-off</v>
      </c>
      <c r="AC1038" s="101" t="str">
        <f t="shared" si="144"/>
        <v>RON</v>
      </c>
      <c r="AD1038" s="101">
        <f t="shared" si="145"/>
        <v>10000</v>
      </c>
    </row>
    <row r="1039" spans="1:30">
      <c r="A1039" s="101">
        <f t="shared" si="146"/>
        <v>29</v>
      </c>
      <c r="B1039" s="101">
        <f t="shared" si="147"/>
        <v>30</v>
      </c>
      <c r="C1039" s="101" t="str">
        <f t="shared" si="148"/>
        <v>T30</v>
      </c>
      <c r="D1039" s="101" t="str">
        <f>IF(A1039&lt;&gt;A1038,VLOOKUP(A1039,'Date SPV'!$A:$D,4,FALSE),D1038)</f>
        <v>Nepi Bucharest One  SRL</v>
      </c>
      <c r="E1039" s="101" t="str">
        <f>VLOOKUP(A1039,'Date SPV'!$A$4:$B$34,2,FALSE)</f>
        <v>RN1_Brasov</v>
      </c>
      <c r="H1039" s="105" t="s">
        <v>894</v>
      </c>
      <c r="K1039" s="101" t="str">
        <f>VLOOKUP(C1039,'Preturi si tarife'!$A$4:$B$39,2,FALSE)</f>
        <v>Regularizare Acciza</v>
      </c>
      <c r="L1039" s="102">
        <f>IF(B1039=1,'Date masura OD'!$I$5,IF(B1039=19,'Date masura OD'!$AK$5,L1038))</f>
        <v>45748</v>
      </c>
      <c r="M1039" s="102">
        <f>IF(B1039=1,'Date masura OD'!$J$5,IF(B1039=19,'Date masura OD'!$AL$5,M1038))</f>
        <v>45777</v>
      </c>
      <c r="N1039" s="104">
        <f>VLOOKUP(E1039,verificare!$AR$4:$CC$33,B1039+2,FALSE)</f>
        <v>0</v>
      </c>
      <c r="O1039" s="103">
        <f>HLOOKUP(VLOOKUP(E1039,'Date SPV'!$B$4:$F$34,5,FALSE),'Preturi si tarife'!$C$2:$J$39,B1039+2,FALSE)*10000</f>
        <v>0</v>
      </c>
      <c r="Q1039" s="101" t="str">
        <f t="shared" si="149"/>
        <v>One-off</v>
      </c>
      <c r="R1039" s="101" t="str">
        <f>VLOOKUP(K1039,'Preturi si tarife'!$B$4:$K$39,10,FALSE)</f>
        <v>ICOENG0001</v>
      </c>
      <c r="T1039" s="101" t="str">
        <f t="shared" si="150"/>
        <v>INV + 30</v>
      </c>
      <c r="V1039" s="101" t="str">
        <f t="shared" si="151"/>
        <v>Active</v>
      </c>
      <c r="X1039" s="101" t="str">
        <f t="shared" si="152"/>
        <v>One-off</v>
      </c>
      <c r="AC1039" s="101" t="str">
        <f t="shared" si="144"/>
        <v>RON</v>
      </c>
      <c r="AD1039" s="101">
        <f t="shared" si="145"/>
        <v>10000</v>
      </c>
    </row>
    <row r="1040" spans="1:30">
      <c r="A1040" s="101">
        <f t="shared" si="146"/>
        <v>29</v>
      </c>
      <c r="B1040" s="101">
        <f t="shared" si="147"/>
        <v>31</v>
      </c>
      <c r="C1040" s="101" t="str">
        <f t="shared" si="148"/>
        <v>T31</v>
      </c>
      <c r="D1040" s="101" t="str">
        <f>IF(A1040&lt;&gt;A1039,VLOOKUP(A1040,'Date SPV'!$A:$D,4,FALSE),D1039)</f>
        <v>Nepi Bucharest One  SRL</v>
      </c>
      <c r="E1040" s="101" t="str">
        <f>VLOOKUP(A1040,'Date SPV'!$A$4:$B$34,2,FALSE)</f>
        <v>RN1_Brasov</v>
      </c>
      <c r="H1040" s="105" t="s">
        <v>894</v>
      </c>
      <c r="K1040" s="101" t="str">
        <f>VLOOKUP(C1040,'Preturi si tarife'!$A$4:$B$39,2,FALSE)</f>
        <v>Regularizare Tarif distributie SDI MT Ea1</v>
      </c>
      <c r="L1040" s="102">
        <f>IF(B1040=1,'Date masura OD'!$I$5,IF(B1040=19,'Date masura OD'!$AK$5,L1039))</f>
        <v>45748</v>
      </c>
      <c r="M1040" s="102">
        <f>IF(B1040=1,'Date masura OD'!$J$5,IF(B1040=19,'Date masura OD'!$AL$5,M1039))</f>
        <v>45777</v>
      </c>
      <c r="N1040" s="104">
        <f>VLOOKUP(E1040,verificare!$AR$4:$CC$33,B1040+2,FALSE)</f>
        <v>0</v>
      </c>
      <c r="O1040" s="103">
        <f>HLOOKUP(VLOOKUP(E1040,'Date SPV'!$B$4:$F$34,5,FALSE),'Preturi si tarife'!$C$2:$J$39,B1040+2,FALSE)*10000</f>
        <v>126</v>
      </c>
      <c r="Q1040" s="101" t="str">
        <f t="shared" si="149"/>
        <v>One-off</v>
      </c>
      <c r="R1040" s="101" t="str">
        <f>VLOOKUP(K1040,'Preturi si tarife'!$B$4:$K$39,10,FALSE)</f>
        <v>ICOENG0010</v>
      </c>
      <c r="T1040" s="101" t="str">
        <f t="shared" si="150"/>
        <v>INV + 30</v>
      </c>
      <c r="V1040" s="101" t="str">
        <f t="shared" si="151"/>
        <v>Active</v>
      </c>
      <c r="X1040" s="101" t="str">
        <f t="shared" si="152"/>
        <v>One-off</v>
      </c>
      <c r="AC1040" s="101" t="str">
        <f t="shared" si="144"/>
        <v>RON</v>
      </c>
      <c r="AD1040" s="101">
        <f t="shared" si="145"/>
        <v>10000</v>
      </c>
    </row>
    <row r="1041" spans="1:30">
      <c r="A1041" s="101">
        <f t="shared" si="146"/>
        <v>29</v>
      </c>
      <c r="B1041" s="101">
        <f t="shared" si="147"/>
        <v>32</v>
      </c>
      <c r="C1041" s="101" t="str">
        <f t="shared" si="148"/>
        <v>T32</v>
      </c>
      <c r="D1041" s="101" t="str">
        <f>IF(A1041&lt;&gt;A1040,VLOOKUP(A1041,'Date SPV'!$A:$D,4,FALSE),D1040)</f>
        <v>Nepi Bucharest One  SRL</v>
      </c>
      <c r="E1041" s="101" t="str">
        <f>VLOOKUP(A1041,'Date SPV'!$A$4:$B$34,2,FALSE)</f>
        <v>RN1_Brasov</v>
      </c>
      <c r="H1041" s="105" t="s">
        <v>894</v>
      </c>
      <c r="K1041" s="101" t="str">
        <f>VLOOKUP(C1041,'Preturi si tarife'!$A$4:$B$39,2,FALSE)</f>
        <v>Regularizare Tarif distributie SDI JT Ea1</v>
      </c>
      <c r="L1041" s="102">
        <f>IF(B1041=1,'Date masura OD'!$I$5,IF(B1041=19,'Date masura OD'!$AK$5,L1040))</f>
        <v>45748</v>
      </c>
      <c r="M1041" s="102">
        <f>IF(B1041=1,'Date masura OD'!$J$5,IF(B1041=19,'Date masura OD'!$AL$5,M1040))</f>
        <v>45777</v>
      </c>
      <c r="N1041" s="104">
        <f>VLOOKUP(E1041,verificare!$AR$4:$CC$33,B1041+2,FALSE)</f>
        <v>0</v>
      </c>
      <c r="O1041" s="103">
        <f>HLOOKUP(VLOOKUP(E1041,'Date SPV'!$B$4:$F$34,5,FALSE),'Preturi si tarife'!$C$2:$J$39,B1041+2,FALSE)*10000</f>
        <v>927</v>
      </c>
      <c r="Q1041" s="101" t="str">
        <f t="shared" si="149"/>
        <v>One-off</v>
      </c>
      <c r="R1041" s="101" t="str">
        <f>VLOOKUP(K1041,'Preturi si tarife'!$B$4:$K$39,10,FALSE)</f>
        <v>ICOENG0010</v>
      </c>
      <c r="T1041" s="101" t="str">
        <f t="shared" si="150"/>
        <v>INV + 30</v>
      </c>
      <c r="V1041" s="101" t="str">
        <f t="shared" si="151"/>
        <v>Active</v>
      </c>
      <c r="X1041" s="101" t="str">
        <f t="shared" si="152"/>
        <v>One-off</v>
      </c>
      <c r="AC1041" s="101" t="str">
        <f t="shared" si="144"/>
        <v>RON</v>
      </c>
      <c r="AD1041" s="101">
        <f t="shared" si="145"/>
        <v>10000</v>
      </c>
    </row>
    <row r="1042" spans="1:30">
      <c r="A1042" s="101">
        <f t="shared" si="146"/>
        <v>29</v>
      </c>
      <c r="B1042" s="101">
        <f t="shared" si="147"/>
        <v>33</v>
      </c>
      <c r="C1042" s="101" t="str">
        <f t="shared" si="148"/>
        <v>T33</v>
      </c>
      <c r="D1042" s="101" t="str">
        <f>IF(A1042&lt;&gt;A1041,VLOOKUP(A1042,'Date SPV'!$A:$D,4,FALSE),D1041)</f>
        <v>Nepi Bucharest One  SRL</v>
      </c>
      <c r="E1042" s="101" t="str">
        <f>VLOOKUP(A1042,'Date SPV'!$A$4:$B$34,2,FALSE)</f>
        <v>RN1_Brasov</v>
      </c>
      <c r="H1042" s="105" t="s">
        <v>894</v>
      </c>
      <c r="K1042" s="101" t="str">
        <f>VLOOKUP(C1042,'Preturi si tarife'!$A$4:$B$39,2,FALSE)</f>
        <v>Regularizare Energie activa 2</v>
      </c>
      <c r="L1042" s="102">
        <f>IF(B1042=1,'Date masura OD'!$I$5,IF(B1042=19,'Date masura OD'!$AK$5,L1041))</f>
        <v>45748</v>
      </c>
      <c r="M1042" s="102">
        <f>IF(B1042=1,'Date masura OD'!$J$5,IF(B1042=19,'Date masura OD'!$AL$5,M1041))</f>
        <v>45777</v>
      </c>
      <c r="N1042" s="104">
        <f>VLOOKUP(E1042,verificare!$AR$4:$CC$33,B1042+2,FALSE)</f>
        <v>0</v>
      </c>
      <c r="O1042" s="103">
        <f>HLOOKUP(VLOOKUP(E1042,'Date SPV'!$B$4:$F$34,5,FALSE),'Preturi si tarife'!$C$2:$J$39,B1042+2,FALSE)*10000</f>
        <v>9392.0760000000009</v>
      </c>
      <c r="Q1042" s="101" t="str">
        <f t="shared" si="149"/>
        <v>One-off</v>
      </c>
      <c r="R1042" s="101" t="str">
        <f>VLOOKUP(K1042,'Preturi si tarife'!$B$4:$K$39,10,FALSE)</f>
        <v>ICOENG0012</v>
      </c>
      <c r="T1042" s="101" t="str">
        <f t="shared" si="150"/>
        <v>INV + 30</v>
      </c>
      <c r="V1042" s="101" t="str">
        <f t="shared" si="151"/>
        <v>Active</v>
      </c>
      <c r="X1042" s="101" t="str">
        <f t="shared" si="152"/>
        <v>One-off</v>
      </c>
      <c r="AC1042" s="101" t="str">
        <f t="shared" si="144"/>
        <v>RON</v>
      </c>
      <c r="AD1042" s="101">
        <f t="shared" si="145"/>
        <v>10000</v>
      </c>
    </row>
    <row r="1043" spans="1:30">
      <c r="A1043" s="101">
        <f t="shared" si="146"/>
        <v>29</v>
      </c>
      <c r="B1043" s="101">
        <f t="shared" si="147"/>
        <v>34</v>
      </c>
      <c r="C1043" s="101" t="str">
        <f t="shared" si="148"/>
        <v>T34</v>
      </c>
      <c r="D1043" s="101" t="str">
        <f>IF(A1043&lt;&gt;A1042,VLOOKUP(A1043,'Date SPV'!$A:$D,4,FALSE),D1042)</f>
        <v>Nepi Bucharest One  SRL</v>
      </c>
      <c r="E1043" s="101" t="str">
        <f>VLOOKUP(A1043,'Date SPV'!$A$4:$B$34,2,FALSE)</f>
        <v>RN1_Brasov</v>
      </c>
      <c r="H1043" s="105" t="s">
        <v>894</v>
      </c>
      <c r="K1043" s="101" t="str">
        <f>VLOOKUP(C1043,'Preturi si tarife'!$A$4:$B$39,2,FALSE)</f>
        <v>Regularizare Energie activa 3</v>
      </c>
      <c r="L1043" s="102">
        <f>IF(B1043=1,'Date masura OD'!$I$5,IF(B1043=19,'Date masura OD'!$AK$5,L1042))</f>
        <v>45748</v>
      </c>
      <c r="M1043" s="102">
        <f>IF(B1043=1,'Date masura OD'!$J$5,IF(B1043=19,'Date masura OD'!$AL$5,M1042))</f>
        <v>45777</v>
      </c>
      <c r="N1043" s="104">
        <f>VLOOKUP(E1043,verificare!$AR$4:$CC$33,B1043+2,FALSE)</f>
        <v>0</v>
      </c>
      <c r="O1043" s="103">
        <f>HLOOKUP(VLOOKUP(E1043,'Date SPV'!$B$4:$F$34,5,FALSE),'Preturi si tarife'!$C$2:$J$39,B1043+2,FALSE)*10000</f>
        <v>8339.0760000000009</v>
      </c>
      <c r="Q1043" s="101" t="str">
        <f t="shared" si="149"/>
        <v>One-off</v>
      </c>
      <c r="R1043" s="101" t="str">
        <f>VLOOKUP(K1043,'Preturi si tarife'!$B$4:$K$39,10,FALSE)</f>
        <v>ICOENG0012</v>
      </c>
      <c r="T1043" s="101" t="str">
        <f t="shared" si="150"/>
        <v>INV + 30</v>
      </c>
      <c r="V1043" s="101" t="str">
        <f t="shared" si="151"/>
        <v>Active</v>
      </c>
      <c r="X1043" s="101" t="str">
        <f t="shared" si="152"/>
        <v>One-off</v>
      </c>
      <c r="AC1043" s="101" t="str">
        <f t="shared" si="144"/>
        <v>RON</v>
      </c>
      <c r="AD1043" s="101">
        <f t="shared" si="145"/>
        <v>10000</v>
      </c>
    </row>
    <row r="1044" spans="1:30">
      <c r="A1044" s="101">
        <f t="shared" si="146"/>
        <v>29</v>
      </c>
      <c r="B1044" s="101">
        <f t="shared" si="147"/>
        <v>35</v>
      </c>
      <c r="C1044" s="101" t="str">
        <f t="shared" si="148"/>
        <v>T35</v>
      </c>
      <c r="D1044" s="101" t="str">
        <f>IF(A1044&lt;&gt;A1043,VLOOKUP(A1044,'Date SPV'!$A:$D,4,FALSE),D1043)</f>
        <v>Nepi Bucharest One  SRL</v>
      </c>
      <c r="E1044" s="101" t="str">
        <f>VLOOKUP(A1044,'Date SPV'!$A$4:$B$34,2,FALSE)</f>
        <v>RN1_Brasov</v>
      </c>
      <c r="H1044" s="105" t="s">
        <v>894</v>
      </c>
      <c r="K1044" s="101" t="str">
        <f>VLOOKUP(C1044,'Preturi si tarife'!$A$4:$B$39,2,FALSE)</f>
        <v>Regularizare Tarif distributie SDI MT Ea3</v>
      </c>
      <c r="L1044" s="102">
        <f>IF(B1044=1,'Date masura OD'!$I$5,IF(B1044=19,'Date masura OD'!$AK$5,L1043))</f>
        <v>45748</v>
      </c>
      <c r="M1044" s="102">
        <f>IF(B1044=1,'Date masura OD'!$J$5,IF(B1044=19,'Date masura OD'!$AL$5,M1043))</f>
        <v>45777</v>
      </c>
      <c r="N1044" s="104">
        <f>VLOOKUP(E1044,verificare!$AR$4:$CC$33,B1044+2,FALSE)</f>
        <v>0</v>
      </c>
      <c r="O1044" s="103">
        <f>HLOOKUP(VLOOKUP(E1044,'Date SPV'!$B$4:$F$34,5,FALSE),'Preturi si tarife'!$C$2:$J$39,B1044+2,FALSE)*10000</f>
        <v>126</v>
      </c>
      <c r="Q1044" s="101" t="str">
        <f t="shared" si="149"/>
        <v>One-off</v>
      </c>
      <c r="R1044" s="101" t="str">
        <f>VLOOKUP(K1044,'Preturi si tarife'!$B$4:$K$39,10,FALSE)</f>
        <v>ICOENG0010</v>
      </c>
      <c r="T1044" s="101" t="str">
        <f t="shared" si="150"/>
        <v>INV + 30</v>
      </c>
      <c r="V1044" s="101" t="str">
        <f t="shared" si="151"/>
        <v>Active</v>
      </c>
      <c r="X1044" s="101" t="str">
        <f t="shared" si="152"/>
        <v>One-off</v>
      </c>
      <c r="AC1044" s="101" t="str">
        <f t="shared" si="144"/>
        <v>RON</v>
      </c>
      <c r="AD1044" s="101">
        <f t="shared" si="145"/>
        <v>10000</v>
      </c>
    </row>
    <row r="1045" spans="1:30">
      <c r="A1045" s="101">
        <f t="shared" si="146"/>
        <v>29</v>
      </c>
      <c r="B1045" s="101">
        <f t="shared" si="147"/>
        <v>36</v>
      </c>
      <c r="C1045" s="101" t="str">
        <f t="shared" si="148"/>
        <v>T36</v>
      </c>
      <c r="D1045" s="101" t="str">
        <f>IF(A1045&lt;&gt;A1044,VLOOKUP(A1045,'Date SPV'!$A:$D,4,FALSE),D1044)</f>
        <v>Nepi Bucharest One  SRL</v>
      </c>
      <c r="E1045" s="101" t="str">
        <f>VLOOKUP(A1045,'Date SPV'!$A$4:$B$34,2,FALSE)</f>
        <v>RN1_Brasov</v>
      </c>
      <c r="H1045" s="105" t="s">
        <v>894</v>
      </c>
      <c r="K1045" s="101" t="str">
        <f>VLOOKUP(C1045,'Preturi si tarife'!$A$4:$B$39,2,FALSE)</f>
        <v>Regularizare Tarif distributie SDI JT Ea3</v>
      </c>
      <c r="L1045" s="102">
        <f>IF(B1045=1,'Date masura OD'!$I$5,IF(B1045=19,'Date masura OD'!$AK$5,L1044))</f>
        <v>45748</v>
      </c>
      <c r="M1045" s="102">
        <f>IF(B1045=1,'Date masura OD'!$J$5,IF(B1045=19,'Date masura OD'!$AL$5,M1044))</f>
        <v>45777</v>
      </c>
      <c r="N1045" s="104">
        <f>VLOOKUP(E1045,verificare!$AR$4:$CC$33,B1045+2,FALSE)</f>
        <v>0</v>
      </c>
      <c r="O1045" s="103">
        <f>HLOOKUP(VLOOKUP(E1045,'Date SPV'!$B$4:$F$34,5,FALSE),'Preturi si tarife'!$C$2:$J$39,B1045+2,FALSE)*10000</f>
        <v>927</v>
      </c>
      <c r="Q1045" s="101" t="str">
        <f t="shared" si="149"/>
        <v>One-off</v>
      </c>
      <c r="R1045" s="101" t="str">
        <f>VLOOKUP(K1045,'Preturi si tarife'!$B$4:$K$39,10,FALSE)</f>
        <v>ICOENG0010</v>
      </c>
      <c r="T1045" s="101" t="str">
        <f t="shared" si="150"/>
        <v>INV + 30</v>
      </c>
      <c r="V1045" s="101" t="str">
        <f t="shared" si="151"/>
        <v>Active</v>
      </c>
      <c r="X1045" s="101" t="str">
        <f t="shared" si="152"/>
        <v>One-off</v>
      </c>
      <c r="AC1045" s="101" t="str">
        <f t="shared" si="144"/>
        <v>RON</v>
      </c>
      <c r="AD1045" s="101">
        <f t="shared" si="145"/>
        <v>10000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AA91-52D8-4A5E-80C6-632E7F45A404}">
  <dimension ref="A2:J760"/>
  <sheetViews>
    <sheetView zoomScale="70" zoomScaleNormal="70" workbookViewId="0">
      <selection activeCell="F5" sqref="F5"/>
    </sheetView>
  </sheetViews>
  <sheetFormatPr defaultColWidth="8" defaultRowHeight="15"/>
  <cols>
    <col min="1" max="1" width="30.375" style="211" customWidth="1"/>
    <col min="2" max="2" width="49.125" style="211" bestFit="1" customWidth="1"/>
    <col min="3" max="5" width="30.375" style="211" customWidth="1"/>
    <col min="6" max="6" width="27" style="211" customWidth="1"/>
    <col min="7" max="7" width="8" style="211"/>
    <col min="8" max="8" width="13.375" style="211" bestFit="1" customWidth="1"/>
    <col min="9" max="9" width="19.25" style="211" customWidth="1"/>
    <col min="10" max="10" width="11.5" style="211" customWidth="1"/>
    <col min="11" max="16384" width="8" style="211"/>
  </cols>
  <sheetData>
    <row r="2" spans="1:10" ht="15.75" thickBot="1"/>
    <row r="3" spans="1:10" ht="107.1" customHeight="1" thickBot="1">
      <c r="A3" s="215" t="s">
        <v>1147</v>
      </c>
      <c r="B3" s="213" t="s">
        <v>65</v>
      </c>
      <c r="C3" s="213" t="s">
        <v>1148</v>
      </c>
      <c r="D3" s="213" t="s">
        <v>1149</v>
      </c>
      <c r="E3" s="214" t="s">
        <v>1150</v>
      </c>
      <c r="F3" s="214" t="s">
        <v>1162</v>
      </c>
    </row>
    <row r="4" spans="1:10" ht="15.95" customHeight="1" thickBot="1">
      <c r="A4" s="215" t="s">
        <v>1151</v>
      </c>
      <c r="B4" s="213" t="s">
        <v>1152</v>
      </c>
      <c r="C4" s="213" t="s">
        <v>1153</v>
      </c>
      <c r="D4" s="213" t="s">
        <v>1153</v>
      </c>
      <c r="E4" s="213" t="s">
        <v>1153</v>
      </c>
      <c r="F4" s="214" t="s">
        <v>446</v>
      </c>
    </row>
    <row r="5" spans="1:10" ht="15.95" customHeight="1">
      <c r="A5" s="333">
        <v>1</v>
      </c>
      <c r="B5" s="334" t="s">
        <v>50</v>
      </c>
      <c r="C5" s="335">
        <f>VLOOKUP(B5,'calcul rapoarte'!$J:$N,2,FALSE)</f>
        <v>37321.040000000001</v>
      </c>
      <c r="D5" s="335">
        <f>VLOOKUP(B5,'calcul rapoarte'!$J:$N,3,FALSE)</f>
        <v>208891.06999999998</v>
      </c>
      <c r="E5" s="335">
        <f>VLOOKUP(B5,'calcul rapoarte'!$J:$N,4,FALSE)</f>
        <v>152034.37</v>
      </c>
      <c r="F5" s="335">
        <f>VLOOKUP(B5,'calcul rapoarte'!$J:$N,5,FALSE)</f>
        <v>311268</v>
      </c>
      <c r="H5" s="248">
        <f>SUM(C5:E5)</f>
        <v>398246.48</v>
      </c>
      <c r="I5" s="271">
        <f>SUM(F5)</f>
        <v>311268</v>
      </c>
      <c r="J5" s="248"/>
    </row>
    <row r="6" spans="1:10" ht="15.95" customHeight="1">
      <c r="A6" s="220">
        <v>2</v>
      </c>
      <c r="B6" s="221" t="s">
        <v>55</v>
      </c>
      <c r="C6" s="222">
        <f>VLOOKUP(B6,'calcul rapoarte'!$J:$N,2,FALSE)</f>
        <v>47178.36</v>
      </c>
      <c r="D6" s="222">
        <f>VLOOKUP(B6,'calcul rapoarte'!$J:$N,3,FALSE)</f>
        <v>356746.60999999993</v>
      </c>
      <c r="E6" s="222">
        <f>VLOOKUP(B6,'calcul rapoarte'!$J:$N,4,FALSE)</f>
        <v>235447.37000000002</v>
      </c>
      <c r="F6" s="222">
        <f>VLOOKUP(B6,'calcul rapoarte'!$J:$N,5,FALSE)</f>
        <v>497662</v>
      </c>
      <c r="H6" s="248">
        <f t="shared" ref="H6:H33" si="0">SUM(C6:E6)</f>
        <v>639372.34</v>
      </c>
      <c r="I6" s="271">
        <f t="shared" ref="I6:I33" si="1">SUM(F6)</f>
        <v>497662</v>
      </c>
      <c r="J6" s="248"/>
    </row>
    <row r="7" spans="1:10" ht="15.95" customHeight="1">
      <c r="A7" s="220">
        <v>3</v>
      </c>
      <c r="B7" s="221" t="s">
        <v>57</v>
      </c>
      <c r="C7" s="222">
        <f>VLOOKUP(B7,'calcul rapoarte'!$J:$N,2,FALSE)</f>
        <v>103268.95</v>
      </c>
      <c r="D7" s="222">
        <f>VLOOKUP(B7,'calcul rapoarte'!$J:$N,3,FALSE)</f>
        <v>867652.69000000006</v>
      </c>
      <c r="E7" s="222">
        <f>VLOOKUP(B7,'calcul rapoarte'!$J:$N,4,FALSE)</f>
        <v>142770.72</v>
      </c>
      <c r="F7" s="222">
        <f>VLOOKUP(B7,'calcul rapoarte'!$J:$N,5,FALSE)</f>
        <v>1089335</v>
      </c>
      <c r="H7" s="248">
        <f t="shared" si="0"/>
        <v>1113692.3600000001</v>
      </c>
      <c r="I7" s="271">
        <f t="shared" si="1"/>
        <v>1089335</v>
      </c>
      <c r="J7" s="248"/>
    </row>
    <row r="8" spans="1:10" ht="15.95" customHeight="1">
      <c r="A8" s="220">
        <v>4</v>
      </c>
      <c r="B8" s="221" t="s">
        <v>56</v>
      </c>
      <c r="C8" s="222">
        <f>VLOOKUP(B8,'calcul rapoarte'!$J:$N,2,FALSE)</f>
        <v>95814.99</v>
      </c>
      <c r="D8" s="222">
        <f>VLOOKUP(B8,'calcul rapoarte'!$J:$N,3,FALSE)</f>
        <v>583742.12999999989</v>
      </c>
      <c r="E8" s="222">
        <f>VLOOKUP(B8,'calcul rapoarte'!$J:$N,4,FALSE)</f>
        <v>270211.48</v>
      </c>
      <c r="F8" s="222">
        <f>VLOOKUP(B8,'calcul rapoarte'!$J:$N,5,FALSE)</f>
        <v>714504</v>
      </c>
      <c r="H8" s="248">
        <f t="shared" si="0"/>
        <v>949768.59999999986</v>
      </c>
      <c r="I8" s="271">
        <f t="shared" si="1"/>
        <v>714504</v>
      </c>
      <c r="J8" s="248"/>
    </row>
    <row r="9" spans="1:10" ht="15.95" customHeight="1">
      <c r="A9" s="220">
        <v>5</v>
      </c>
      <c r="B9" s="221" t="s">
        <v>53</v>
      </c>
      <c r="C9" s="222">
        <f>VLOOKUP(B9,'calcul rapoarte'!$J:$N,2,FALSE)</f>
        <v>38260.86</v>
      </c>
      <c r="D9" s="222">
        <f>VLOOKUP(B9,'calcul rapoarte'!$J:$N,3,FALSE)</f>
        <v>260800.85</v>
      </c>
      <c r="E9" s="222">
        <f>VLOOKUP(B9,'calcul rapoarte'!$J:$N,4,FALSE)</f>
        <v>117546.87</v>
      </c>
      <c r="F9" s="222">
        <f>VLOOKUP(B9,'calcul rapoarte'!$J:$N,5,FALSE)</f>
        <v>329835</v>
      </c>
      <c r="H9" s="248">
        <f t="shared" si="0"/>
        <v>416608.58</v>
      </c>
      <c r="I9" s="271">
        <f t="shared" si="1"/>
        <v>329835</v>
      </c>
      <c r="J9" s="248"/>
    </row>
    <row r="10" spans="1:10" ht="15.95" customHeight="1">
      <c r="A10" s="220">
        <v>6</v>
      </c>
      <c r="B10" s="221" t="s">
        <v>54</v>
      </c>
      <c r="C10" s="222">
        <f>VLOOKUP(B10,'calcul rapoarte'!$J:$N,2,FALSE)</f>
        <v>41399.660000000003</v>
      </c>
      <c r="D10" s="222">
        <f>VLOOKUP(B10,'calcul rapoarte'!$J:$N,3,FALSE)</f>
        <v>314135.49999999994</v>
      </c>
      <c r="E10" s="222">
        <f>VLOOKUP(B10,'calcul rapoarte'!$J:$N,4,FALSE)</f>
        <v>37260.58</v>
      </c>
      <c r="F10" s="222">
        <f>VLOOKUP(B10,'calcul rapoarte'!$J:$N,5,FALSE)</f>
        <v>376703</v>
      </c>
      <c r="H10" s="248">
        <f t="shared" si="0"/>
        <v>392795.73999999993</v>
      </c>
      <c r="I10" s="271">
        <f t="shared" si="1"/>
        <v>376703</v>
      </c>
      <c r="J10" s="248"/>
    </row>
    <row r="11" spans="1:10" ht="15.95" customHeight="1">
      <c r="A11" s="220">
        <v>7</v>
      </c>
      <c r="B11" s="221" t="s">
        <v>58</v>
      </c>
      <c r="C11" s="222">
        <f>VLOOKUP(B11,'calcul rapoarte'!$J:$N,2,FALSE)</f>
        <v>34702.420000000006</v>
      </c>
      <c r="D11" s="222">
        <f>VLOOKUP(B11,'calcul rapoarte'!$J:$N,3,FALSE)</f>
        <v>240805.00000000003</v>
      </c>
      <c r="E11" s="222">
        <f>VLOOKUP(B11,'calcul rapoarte'!$J:$N,4,FALSE)</f>
        <v>116077.14</v>
      </c>
      <c r="F11" s="222">
        <f>VLOOKUP(B11,'calcul rapoarte'!$J:$N,5,FALSE)</f>
        <v>289428</v>
      </c>
      <c r="H11" s="248">
        <f t="shared" si="0"/>
        <v>391584.56000000006</v>
      </c>
      <c r="I11" s="271">
        <f t="shared" si="1"/>
        <v>289428</v>
      </c>
      <c r="J11" s="248"/>
    </row>
    <row r="12" spans="1:10" ht="15.95" customHeight="1">
      <c r="A12" s="220">
        <v>8</v>
      </c>
      <c r="B12" s="221" t="s">
        <v>59</v>
      </c>
      <c r="C12" s="222">
        <f>VLOOKUP(B12,'calcul rapoarte'!$J:$N,2,FALSE)</f>
        <v>18399.03</v>
      </c>
      <c r="D12" s="222">
        <f>VLOOKUP(B12,'calcul rapoarte'!$J:$N,3,FALSE)</f>
        <v>152290.31000000003</v>
      </c>
      <c r="E12" s="222">
        <f>VLOOKUP(B12,'calcul rapoarte'!$J:$N,4,FALSE)</f>
        <v>127448.12000000001</v>
      </c>
      <c r="F12" s="222">
        <f>VLOOKUP(B12,'calcul rapoarte'!$J:$N,5,FALSE)</f>
        <v>192862</v>
      </c>
      <c r="H12" s="248">
        <f t="shared" si="0"/>
        <v>298137.46000000002</v>
      </c>
      <c r="I12" s="271">
        <f t="shared" si="1"/>
        <v>192862</v>
      </c>
      <c r="J12" s="248"/>
    </row>
    <row r="13" spans="1:10" ht="15.95" customHeight="1">
      <c r="A13" s="220">
        <v>9</v>
      </c>
      <c r="B13" s="221" t="s">
        <v>52</v>
      </c>
      <c r="C13" s="222">
        <f>VLOOKUP(B13,'calcul rapoarte'!$J:$N,2,FALSE)</f>
        <v>88148.89999999998</v>
      </c>
      <c r="D13" s="222">
        <f>VLOOKUP(B13,'calcul rapoarte'!$J:$N,3,FALSE)</f>
        <v>517038.53999999992</v>
      </c>
      <c r="E13" s="222">
        <f>VLOOKUP(B13,'calcul rapoarte'!$J:$N,4,FALSE)</f>
        <v>208451.49000000002</v>
      </c>
      <c r="F13" s="222">
        <f>VLOOKUP(B13,'calcul rapoarte'!$J:$N,5,FALSE)</f>
        <v>657337</v>
      </c>
      <c r="H13" s="248">
        <f t="shared" si="0"/>
        <v>813638.92999999993</v>
      </c>
      <c r="I13" s="271">
        <f t="shared" si="1"/>
        <v>657337</v>
      </c>
      <c r="J13" s="248"/>
    </row>
    <row r="14" spans="1:10" ht="15.95" customHeight="1">
      <c r="A14" s="220">
        <v>10</v>
      </c>
      <c r="B14" s="221" t="s">
        <v>51</v>
      </c>
      <c r="C14" s="222">
        <f>VLOOKUP(B14,'calcul rapoarte'!$J:$N,2,FALSE)</f>
        <v>41223.68</v>
      </c>
      <c r="D14" s="222">
        <f>VLOOKUP(B14,'calcul rapoarte'!$J:$N,3,FALSE)</f>
        <v>263417.58</v>
      </c>
      <c r="E14" s="222">
        <f>VLOOKUP(B14,'calcul rapoarte'!$J:$N,4,FALSE)</f>
        <v>205495.18</v>
      </c>
      <c r="F14" s="222">
        <f>VLOOKUP(B14,'calcul rapoarte'!$J:$N,5,FALSE)</f>
        <v>307410</v>
      </c>
      <c r="H14" s="248">
        <f t="shared" si="0"/>
        <v>510136.44</v>
      </c>
      <c r="I14" s="271">
        <f t="shared" si="1"/>
        <v>307410</v>
      </c>
      <c r="J14" s="248"/>
    </row>
    <row r="15" spans="1:10" ht="15.95" customHeight="1">
      <c r="A15" s="220">
        <v>11</v>
      </c>
      <c r="B15" s="221" t="s">
        <v>26</v>
      </c>
      <c r="C15" s="222">
        <f>VLOOKUP(B15,'calcul rapoarte'!$J:$N,2,FALSE)</f>
        <v>63962.06</v>
      </c>
      <c r="D15" s="222">
        <f>VLOOKUP(B15,'calcul rapoarte'!$J:$N,3,FALSE)</f>
        <v>725919.05999999994</v>
      </c>
      <c r="E15" s="222">
        <f>VLOOKUP(B15,'calcul rapoarte'!$J:$N,4,FALSE)</f>
        <v>41421.870000000003</v>
      </c>
      <c r="F15" s="222">
        <f>VLOOKUP(B15,'calcul rapoarte'!$J:$N,5,FALSE)</f>
        <v>870503</v>
      </c>
      <c r="H15" s="248">
        <f t="shared" si="0"/>
        <v>831302.98999999987</v>
      </c>
      <c r="I15" s="271">
        <f t="shared" si="1"/>
        <v>870503</v>
      </c>
      <c r="J15" s="248"/>
    </row>
    <row r="16" spans="1:10" ht="15.95" customHeight="1">
      <c r="A16" s="220">
        <v>12</v>
      </c>
      <c r="B16" s="221" t="s">
        <v>60</v>
      </c>
      <c r="C16" s="222">
        <f>VLOOKUP(B16,'calcul rapoarte'!$J:$N,2,FALSE)</f>
        <v>126234.14</v>
      </c>
      <c r="D16" s="222">
        <f>VLOOKUP(B16,'calcul rapoarte'!$J:$N,3,FALSE)</f>
        <v>1120753.8899999999</v>
      </c>
      <c r="E16" s="222">
        <f>VLOOKUP(B16,'calcul rapoarte'!$J:$N,4,FALSE)</f>
        <v>58207.7</v>
      </c>
      <c r="F16" s="222">
        <f>VLOOKUP(B16,'calcul rapoarte'!$J:$N,5,FALSE)</f>
        <v>1323209</v>
      </c>
      <c r="H16" s="248">
        <f t="shared" si="0"/>
        <v>1305195.7299999997</v>
      </c>
      <c r="I16" s="271">
        <f t="shared" si="1"/>
        <v>1323209</v>
      </c>
      <c r="J16" s="248"/>
    </row>
    <row r="17" spans="1:10" ht="15.95" customHeight="1">
      <c r="A17" s="220">
        <v>13</v>
      </c>
      <c r="B17" s="221" t="s">
        <v>27</v>
      </c>
      <c r="C17" s="222">
        <f>VLOOKUP(B17,'calcul rapoarte'!$J:$N,2,FALSE)</f>
        <v>70552.680000000008</v>
      </c>
      <c r="D17" s="222">
        <f>VLOOKUP(B17,'calcul rapoarte'!$J:$N,3,FALSE)</f>
        <v>558731.43000000005</v>
      </c>
      <c r="E17" s="222">
        <f>VLOOKUP(B17,'calcul rapoarte'!$J:$N,4,FALSE)</f>
        <v>39890.03</v>
      </c>
      <c r="F17" s="222">
        <f>VLOOKUP(B17,'calcul rapoarte'!$J:$N,5,FALSE)</f>
        <v>670016</v>
      </c>
      <c r="H17" s="248">
        <f t="shared" si="0"/>
        <v>669174.14000000013</v>
      </c>
      <c r="I17" s="271">
        <f t="shared" si="1"/>
        <v>670016</v>
      </c>
      <c r="J17" s="248"/>
    </row>
    <row r="18" spans="1:10" ht="15.95" customHeight="1">
      <c r="A18" s="220">
        <v>14</v>
      </c>
      <c r="B18" s="221" t="s">
        <v>61</v>
      </c>
      <c r="C18" s="222">
        <f>VLOOKUP(B18,'calcul rapoarte'!$J:$N,2,FALSE)</f>
        <v>162849.94</v>
      </c>
      <c r="D18" s="222">
        <f>VLOOKUP(B18,'calcul rapoarte'!$J:$N,3,FALSE)</f>
        <v>1165658.93</v>
      </c>
      <c r="E18" s="222">
        <f>VLOOKUP(B18,'calcul rapoarte'!$J:$N,4,FALSE)</f>
        <v>63457.43</v>
      </c>
      <c r="F18" s="222">
        <f>VLOOKUP(B18,'calcul rapoarte'!$J:$N,5,FALSE)</f>
        <v>1447555</v>
      </c>
      <c r="H18" s="248">
        <f t="shared" si="0"/>
        <v>1391966.2999999998</v>
      </c>
      <c r="I18" s="271">
        <f t="shared" si="1"/>
        <v>1447555</v>
      </c>
      <c r="J18" s="248"/>
    </row>
    <row r="19" spans="1:10" ht="15.95" customHeight="1">
      <c r="A19" s="220">
        <v>15</v>
      </c>
      <c r="B19" s="221" t="s">
        <v>22</v>
      </c>
      <c r="C19" s="222">
        <f>VLOOKUP(B19,'calcul rapoarte'!$J:$N,2,FALSE)</f>
        <v>45603.119999999995</v>
      </c>
      <c r="D19" s="222">
        <f>VLOOKUP(B19,'calcul rapoarte'!$J:$N,3,FALSE)</f>
        <v>272555.75999999995</v>
      </c>
      <c r="E19" s="222">
        <f>VLOOKUP(B19,'calcul rapoarte'!$J:$N,4,FALSE)</f>
        <v>135773.32999999999</v>
      </c>
      <c r="F19" s="222">
        <f>VLOOKUP(B19,'calcul rapoarte'!$J:$N,5,FALSE)</f>
        <v>340068</v>
      </c>
      <c r="H19" s="248">
        <f t="shared" si="0"/>
        <v>453932.20999999996</v>
      </c>
      <c r="I19" s="271">
        <f t="shared" si="1"/>
        <v>340068</v>
      </c>
      <c r="J19" s="248"/>
    </row>
    <row r="20" spans="1:10" ht="15.95" customHeight="1">
      <c r="A20" s="220">
        <v>16</v>
      </c>
      <c r="B20" s="221" t="s">
        <v>62</v>
      </c>
      <c r="C20" s="222">
        <f>VLOOKUP(B20,'calcul rapoarte'!$J:$N,2,FALSE)</f>
        <v>115883.59</v>
      </c>
      <c r="D20" s="222">
        <f>VLOOKUP(B20,'calcul rapoarte'!$J:$N,3,FALSE)</f>
        <v>721584.04999999981</v>
      </c>
      <c r="E20" s="222">
        <f>VLOOKUP(B20,'calcul rapoarte'!$J:$N,4,FALSE)</f>
        <v>448675.83</v>
      </c>
      <c r="F20" s="222">
        <f>VLOOKUP(B20,'calcul rapoarte'!$J:$N,5,FALSE)</f>
        <v>966502</v>
      </c>
      <c r="H20" s="248">
        <f t="shared" si="0"/>
        <v>1286143.4699999997</v>
      </c>
      <c r="I20" s="271">
        <f t="shared" si="1"/>
        <v>966502</v>
      </c>
      <c r="J20" s="248"/>
    </row>
    <row r="21" spans="1:10" ht="15.95" customHeight="1">
      <c r="A21" s="220">
        <v>17</v>
      </c>
      <c r="B21" s="221" t="s">
        <v>63</v>
      </c>
      <c r="C21" s="222">
        <f>VLOOKUP(B21,'calcul rapoarte'!$J:$N,2,FALSE)</f>
        <v>184539.95</v>
      </c>
      <c r="D21" s="222">
        <f>VLOOKUP(B21,'calcul rapoarte'!$J:$N,3,FALSE)</f>
        <v>1557674.9900000002</v>
      </c>
      <c r="E21" s="222">
        <f>VLOOKUP(B21,'calcul rapoarte'!$J:$N,4,FALSE)</f>
        <v>12522.74</v>
      </c>
      <c r="F21" s="222">
        <f>VLOOKUP(B21,'calcul rapoarte'!$J:$N,5,FALSE)</f>
        <v>1934381</v>
      </c>
      <c r="H21" s="248">
        <f t="shared" si="0"/>
        <v>1754737.6800000002</v>
      </c>
      <c r="I21" s="271">
        <f t="shared" si="1"/>
        <v>1934381</v>
      </c>
      <c r="J21" s="248"/>
    </row>
    <row r="22" spans="1:10" ht="15.95" customHeight="1">
      <c r="A22" s="220">
        <v>18</v>
      </c>
      <c r="B22" s="221" t="s">
        <v>64</v>
      </c>
      <c r="C22" s="222">
        <f>VLOOKUP(B22,'calcul rapoarte'!$J:$N,2,FALSE)</f>
        <v>20032.3</v>
      </c>
      <c r="D22" s="222">
        <f>VLOOKUP(B22,'calcul rapoarte'!$J:$N,3,FALSE)</f>
        <v>178937.89999999997</v>
      </c>
      <c r="E22" s="222">
        <f>VLOOKUP(B22,'calcul rapoarte'!$J:$N,4,FALSE)</f>
        <v>153738.01999999999</v>
      </c>
      <c r="F22" s="222">
        <f>VLOOKUP(B22,'calcul rapoarte'!$J:$N,5,FALSE)</f>
        <v>167075</v>
      </c>
      <c r="H22" s="248">
        <f t="shared" si="0"/>
        <v>352708.22</v>
      </c>
      <c r="I22" s="271">
        <f t="shared" si="1"/>
        <v>167075</v>
      </c>
      <c r="J22" s="248"/>
    </row>
    <row r="23" spans="1:10" ht="15.95" customHeight="1">
      <c r="A23" s="220">
        <v>19</v>
      </c>
      <c r="B23" s="225" t="s">
        <v>23</v>
      </c>
      <c r="C23" s="222">
        <f>VLOOKUP(B23,'calcul rapoarte'!$J:$N,2,FALSE)</f>
        <v>78306.52</v>
      </c>
      <c r="D23" s="222">
        <f>VLOOKUP(B23,'calcul rapoarte'!$J:$N,3,FALSE)</f>
        <v>640337.8899999999</v>
      </c>
      <c r="E23" s="222">
        <f>VLOOKUP(B23,'calcul rapoarte'!$J:$N,4,FALSE)</f>
        <v>83541.47</v>
      </c>
      <c r="F23" s="222">
        <f>VLOOKUP(B23,'calcul rapoarte'!$J:$N,5,FALSE)</f>
        <v>820823</v>
      </c>
      <c r="H23" s="248">
        <f t="shared" si="0"/>
        <v>802185.87999999989</v>
      </c>
      <c r="I23" s="271">
        <f t="shared" si="1"/>
        <v>820823</v>
      </c>
      <c r="J23" s="248"/>
    </row>
    <row r="24" spans="1:10" ht="15.95" customHeight="1">
      <c r="A24" s="220">
        <v>20</v>
      </c>
      <c r="B24" s="221" t="s">
        <v>25</v>
      </c>
      <c r="C24" s="222">
        <f>VLOOKUP(B24,'calcul rapoarte'!$J:$N,2,FALSE)</f>
        <v>32602.14</v>
      </c>
      <c r="D24" s="222">
        <f>VLOOKUP(B24,'calcul rapoarte'!$J:$N,3,FALSE)</f>
        <v>261614.17</v>
      </c>
      <c r="E24" s="222">
        <f>VLOOKUP(B24,'calcul rapoarte'!$J:$N,4,FALSE)</f>
        <v>176603.9</v>
      </c>
      <c r="F24" s="222">
        <f>VLOOKUP(B24,'calcul rapoarte'!$J:$N,5,FALSE)</f>
        <v>309612</v>
      </c>
      <c r="H24" s="248">
        <f t="shared" si="0"/>
        <v>470820.20999999996</v>
      </c>
      <c r="I24" s="271">
        <f t="shared" si="1"/>
        <v>309612</v>
      </c>
      <c r="J24" s="248"/>
    </row>
    <row r="25" spans="1:10" ht="15.95" customHeight="1">
      <c r="A25" s="220">
        <v>21</v>
      </c>
      <c r="B25" s="221" t="s">
        <v>24</v>
      </c>
      <c r="C25" s="222">
        <f>VLOOKUP(B25,'calcul rapoarte'!$J:$N,2,FALSE)</f>
        <v>9636.32</v>
      </c>
      <c r="D25" s="222">
        <f>VLOOKUP(B25,'calcul rapoarte'!$J:$N,3,FALSE)</f>
        <v>75730.810000000012</v>
      </c>
      <c r="E25" s="222">
        <f>VLOOKUP(B25,'calcul rapoarte'!$J:$N,4,FALSE)</f>
        <v>38411.57</v>
      </c>
      <c r="F25" s="222">
        <f>VLOOKUP(B25,'calcul rapoarte'!$J:$N,5,FALSE)</f>
        <v>91513</v>
      </c>
      <c r="H25" s="248">
        <f t="shared" si="0"/>
        <v>123778.70000000001</v>
      </c>
      <c r="I25" s="271">
        <f t="shared" si="1"/>
        <v>91513</v>
      </c>
      <c r="J25" s="248"/>
    </row>
    <row r="26" spans="1:10" ht="15.95" customHeight="1">
      <c r="A26" s="220">
        <v>22</v>
      </c>
      <c r="B26" s="221" t="s">
        <v>66</v>
      </c>
      <c r="C26" s="222">
        <f>VLOOKUP(B26,'calcul rapoarte'!$J:$N,2,FALSE)</f>
        <v>18118.93</v>
      </c>
      <c r="D26" s="222">
        <f>VLOOKUP(B26,'calcul rapoarte'!$J:$N,3,FALSE)</f>
        <v>119898.97999999998</v>
      </c>
      <c r="E26" s="222">
        <f>VLOOKUP(B26,'calcul rapoarte'!$J:$N,4,FALSE)</f>
        <v>105502.63</v>
      </c>
      <c r="F26" s="222">
        <f>VLOOKUP(B26,'calcul rapoarte'!$J:$N,5,FALSE)</f>
        <v>151117</v>
      </c>
      <c r="H26" s="248">
        <f t="shared" si="0"/>
        <v>243520.53999999998</v>
      </c>
      <c r="I26" s="271">
        <f t="shared" si="1"/>
        <v>151117</v>
      </c>
      <c r="J26" s="248"/>
    </row>
    <row r="27" spans="1:10" ht="15.95" customHeight="1">
      <c r="A27" s="220">
        <v>23</v>
      </c>
      <c r="B27" s="264" t="s">
        <v>1292</v>
      </c>
      <c r="C27" s="222">
        <f>VLOOKUP(B27,'calcul rapoarte'!$J:$N,2,FALSE)</f>
        <v>1403.55</v>
      </c>
      <c r="D27" s="222">
        <f>VLOOKUP(B27,'calcul rapoarte'!$J:$N,3,FALSE)</f>
        <v>11117.81</v>
      </c>
      <c r="E27" s="222">
        <f>VLOOKUP(B27,'calcul rapoarte'!$J:$N,4,FALSE)</f>
        <v>14067.45</v>
      </c>
      <c r="F27" s="222">
        <f>VLOOKUP(B27,'calcul rapoarte'!$J:$N,5,FALSE)</f>
        <v>13329</v>
      </c>
      <c r="H27" s="248">
        <f t="shared" si="0"/>
        <v>26588.809999999998</v>
      </c>
      <c r="I27" s="271">
        <f t="shared" si="1"/>
        <v>13329</v>
      </c>
      <c r="J27" s="248"/>
    </row>
    <row r="28" spans="1:10" ht="15.95" customHeight="1">
      <c r="A28" s="220">
        <v>24</v>
      </c>
      <c r="B28" s="264" t="s">
        <v>1293</v>
      </c>
      <c r="C28" s="222">
        <f>VLOOKUP(B28,'calcul rapoarte'!$J:$N,2,FALSE)</f>
        <v>643.07000000000005</v>
      </c>
      <c r="D28" s="222">
        <f>VLOOKUP(B28,'calcul rapoarte'!$J:$N,3,FALSE)</f>
        <v>5100.7300000000014</v>
      </c>
      <c r="E28" s="222">
        <f>VLOOKUP(B28,'calcul rapoarte'!$J:$N,4,FALSE)</f>
        <v>10331.280000000001</v>
      </c>
      <c r="F28" s="222">
        <f>VLOOKUP(B28,'calcul rapoarte'!$J:$N,5,FALSE)</f>
        <v>6107</v>
      </c>
      <c r="H28" s="248">
        <f t="shared" si="0"/>
        <v>16075.080000000002</v>
      </c>
      <c r="I28" s="271">
        <f t="shared" si="1"/>
        <v>6107</v>
      </c>
      <c r="J28" s="248"/>
    </row>
    <row r="29" spans="1:10" ht="15.95" customHeight="1">
      <c r="A29" s="220">
        <v>25</v>
      </c>
      <c r="B29" s="264" t="s">
        <v>1294</v>
      </c>
      <c r="C29" s="222">
        <f>VLOOKUP(B29,'calcul rapoarte'!$J:$N,2,FALSE)</f>
        <v>1099.44</v>
      </c>
      <c r="D29" s="222">
        <f>VLOOKUP(B29,'calcul rapoarte'!$J:$N,3,FALSE)</f>
        <v>8752.99</v>
      </c>
      <c r="E29" s="222">
        <f>VLOOKUP(B29,'calcul rapoarte'!$J:$N,4,FALSE)</f>
        <v>18762.55</v>
      </c>
      <c r="F29" s="222">
        <f>VLOOKUP(B29,'calcul rapoarte'!$J:$N,5,FALSE)</f>
        <v>10441</v>
      </c>
      <c r="H29" s="248">
        <f t="shared" si="0"/>
        <v>28614.98</v>
      </c>
      <c r="I29" s="271">
        <f t="shared" si="1"/>
        <v>10441</v>
      </c>
      <c r="J29" s="248"/>
    </row>
    <row r="30" spans="1:10" ht="15.95" customHeight="1">
      <c r="A30" s="220">
        <v>26</v>
      </c>
      <c r="B30" s="264" t="s">
        <v>1295</v>
      </c>
      <c r="C30" s="222">
        <f>VLOOKUP(B30,'calcul rapoarte'!$J:$N,2,FALSE)</f>
        <v>574.67999999999995</v>
      </c>
      <c r="D30" s="222">
        <f>VLOOKUP(B30,'calcul rapoarte'!$J:$N,3,FALSE)</f>
        <v>4099.07</v>
      </c>
      <c r="E30" s="222">
        <f>VLOOKUP(B30,'calcul rapoarte'!$J:$N,4,FALSE)</f>
        <v>3600.13</v>
      </c>
      <c r="F30" s="222">
        <f>VLOOKUP(B30,'calcul rapoarte'!$J:$N,5,FALSE)</f>
        <v>4793</v>
      </c>
      <c r="H30" s="248">
        <f t="shared" si="0"/>
        <v>8273.880000000001</v>
      </c>
      <c r="I30" s="271">
        <f t="shared" si="1"/>
        <v>4793</v>
      </c>
      <c r="J30" s="248"/>
    </row>
    <row r="31" spans="1:10" ht="15.95" customHeight="1">
      <c r="A31" s="220">
        <v>27</v>
      </c>
      <c r="B31" s="264" t="s">
        <v>1296</v>
      </c>
      <c r="C31" s="222">
        <f>VLOOKUP(B31,'calcul rapoarte'!$J:$N,2,FALSE)</f>
        <v>2919.6099999999997</v>
      </c>
      <c r="D31" s="222">
        <f>VLOOKUP(B31,'calcul rapoarte'!$J:$N,3,FALSE)</f>
        <v>16398.419999999998</v>
      </c>
      <c r="E31" s="222">
        <f>VLOOKUP(B31,'calcul rapoarte'!$J:$N,4,FALSE)</f>
        <v>14809.240000000002</v>
      </c>
      <c r="F31" s="222">
        <f>VLOOKUP(B31,'calcul rapoarte'!$J:$N,5,FALSE)</f>
        <v>25169</v>
      </c>
      <c r="H31" s="248">
        <f t="shared" si="0"/>
        <v>34127.270000000004</v>
      </c>
      <c r="I31" s="271">
        <f t="shared" si="1"/>
        <v>25169</v>
      </c>
      <c r="J31" s="248"/>
    </row>
    <row r="32" spans="1:10" ht="15.95" customHeight="1">
      <c r="A32" s="220">
        <v>28</v>
      </c>
      <c r="B32" s="265" t="s">
        <v>1297</v>
      </c>
      <c r="C32" s="222">
        <f>VLOOKUP(B32,'calcul rapoarte'!$J:$N,2,FALSE)</f>
        <v>0</v>
      </c>
      <c r="D32" s="222">
        <f>VLOOKUP(B32,'calcul rapoarte'!$J:$N,3,FALSE)</f>
        <v>15666.470000000001</v>
      </c>
      <c r="E32" s="222">
        <f>VLOOKUP(B32,'calcul rapoarte'!$J:$N,4,FALSE)</f>
        <v>0</v>
      </c>
      <c r="F32" s="222">
        <f>VLOOKUP(B32,'calcul rapoarte'!$J:$N,5,FALSE)</f>
        <v>0</v>
      </c>
      <c r="H32" s="248">
        <f t="shared" si="0"/>
        <v>15666.470000000001</v>
      </c>
      <c r="I32" s="271">
        <f t="shared" si="1"/>
        <v>0</v>
      </c>
      <c r="J32" s="248"/>
    </row>
    <row r="33" spans="1:10" ht="15.95" customHeight="1" thickBot="1">
      <c r="A33" s="220">
        <v>29</v>
      </c>
      <c r="B33" s="266" t="s">
        <v>1298</v>
      </c>
      <c r="C33" s="336">
        <f>VLOOKUP(B33,'calcul rapoarte'!$J:$N,2,FALSE)</f>
        <v>2638.61</v>
      </c>
      <c r="D33" s="336">
        <f>VLOOKUP(B33,'calcul rapoarte'!$J:$N,3,FALSE)</f>
        <v>20925.069999999992</v>
      </c>
      <c r="E33" s="336">
        <f>VLOOKUP(B33,'calcul rapoarte'!$J:$N,4,FALSE)</f>
        <v>14405.57</v>
      </c>
      <c r="F33" s="222">
        <f>VLOOKUP(B33,'calcul rapoarte'!$J:$N,5,FALSE)</f>
        <v>25058</v>
      </c>
      <c r="H33" s="248">
        <f t="shared" si="0"/>
        <v>37969.249999999993</v>
      </c>
      <c r="I33" s="271">
        <f t="shared" si="1"/>
        <v>25058</v>
      </c>
      <c r="J33" s="248"/>
    </row>
    <row r="34" spans="1:10" ht="29.1" customHeight="1" thickBot="1">
      <c r="C34" s="337" t="s">
        <v>1154</v>
      </c>
      <c r="D34" s="337" t="s">
        <v>1155</v>
      </c>
      <c r="E34" s="337" t="s">
        <v>1156</v>
      </c>
      <c r="H34" s="248">
        <f>SUM(H5:H33)</f>
        <v>15776763.300000001</v>
      </c>
      <c r="I34" s="248">
        <f>SUM(I5:I33)</f>
        <v>13943615</v>
      </c>
    </row>
    <row r="35" spans="1:10" ht="15.95" customHeight="1"/>
    <row r="36" spans="1:10" ht="15.95" customHeight="1"/>
    <row r="37" spans="1:10" ht="15.95" customHeight="1"/>
    <row r="38" spans="1:10" ht="15.95" customHeight="1"/>
    <row r="39" spans="1:10" ht="15.95" customHeight="1"/>
    <row r="40" spans="1:10" ht="15.95" customHeight="1"/>
    <row r="41" spans="1:10" ht="15.95" customHeight="1"/>
    <row r="42" spans="1:10" ht="15.95" customHeight="1"/>
    <row r="43" spans="1:10" ht="15.95" customHeight="1"/>
    <row r="44" spans="1:10" ht="15.95" customHeight="1"/>
    <row r="45" spans="1:10" ht="15.95" customHeight="1"/>
    <row r="46" spans="1:10" ht="15.95" customHeight="1"/>
    <row r="47" spans="1:10" ht="15.95" customHeight="1"/>
    <row r="48" spans="1:10" ht="15.95" customHeight="1"/>
    <row r="49" ht="15.95" customHeight="1"/>
    <row r="50" ht="15.95" customHeight="1"/>
    <row r="51" ht="15.95" customHeight="1"/>
    <row r="52" ht="15.95" customHeight="1"/>
    <row r="53" ht="15.95" customHeight="1"/>
    <row r="54" ht="15.95" customHeight="1"/>
    <row r="55" ht="15.95" customHeight="1"/>
    <row r="56" ht="15.95" customHeight="1"/>
    <row r="57" ht="15.95" customHeight="1"/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  <row r="64" ht="15.95" customHeight="1"/>
    <row r="65" ht="15.95" customHeight="1"/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  <row r="72" ht="15.95" customHeight="1"/>
    <row r="73" ht="15.95" customHeight="1"/>
    <row r="74" ht="15.95" customHeight="1"/>
    <row r="75" ht="15.95" customHeight="1"/>
    <row r="76" ht="15.95" customHeight="1"/>
    <row r="77" ht="15.95" customHeight="1"/>
    <row r="78" ht="15.95" customHeight="1"/>
    <row r="79" ht="15.95" customHeight="1"/>
    <row r="80" ht="15.95" customHeight="1"/>
    <row r="81" ht="15.95" customHeight="1"/>
    <row r="82" ht="15.95" customHeight="1"/>
    <row r="83" ht="15.95" customHeight="1"/>
    <row r="84" ht="15.95" customHeight="1"/>
    <row r="85" ht="15.95" customHeight="1"/>
    <row r="86" ht="15.95" customHeight="1"/>
    <row r="87" ht="15.95" customHeight="1"/>
    <row r="88" ht="15.95" customHeight="1"/>
    <row r="89" ht="15.95" customHeight="1"/>
    <row r="90" ht="15.95" customHeight="1"/>
    <row r="91" ht="15.95" customHeight="1"/>
    <row r="92" ht="15.95" customHeight="1"/>
    <row r="93" ht="15.95" customHeight="1"/>
    <row r="94" ht="15.95" customHeight="1"/>
    <row r="95" ht="15.95" customHeight="1"/>
    <row r="96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  <row r="133" ht="15.95" customHeight="1"/>
    <row r="134" ht="15.95" customHeight="1"/>
    <row r="135" ht="15.95" customHeight="1"/>
    <row r="136" ht="15.95" customHeight="1"/>
    <row r="137" ht="15.95" customHeight="1"/>
    <row r="138" ht="15.95" customHeight="1"/>
    <row r="139" ht="15.95" customHeight="1"/>
    <row r="140" ht="15.95" customHeight="1"/>
    <row r="141" ht="15.95" customHeight="1"/>
    <row r="142" ht="15.95" customHeight="1"/>
    <row r="143" ht="15.95" customHeight="1"/>
    <row r="144" ht="15.95" customHeight="1"/>
    <row r="145" ht="15.95" customHeight="1"/>
    <row r="146" ht="15.95" customHeight="1"/>
    <row r="147" ht="15.95" customHeight="1"/>
    <row r="148" ht="15.95" customHeight="1"/>
    <row r="149" ht="15.95" customHeight="1"/>
    <row r="150" ht="15.95" customHeight="1"/>
    <row r="151" ht="15.95" customHeight="1"/>
    <row r="152" ht="15.95" customHeight="1"/>
    <row r="153" ht="15.95" customHeight="1"/>
    <row r="154" ht="15.95" customHeight="1"/>
    <row r="155" ht="15.95" customHeight="1"/>
    <row r="156" ht="15.95" customHeight="1"/>
    <row r="157" ht="15.95" customHeight="1"/>
    <row r="158" ht="15.95" customHeight="1"/>
    <row r="159" ht="15.95" customHeight="1"/>
    <row r="160" ht="15.95" customHeight="1"/>
    <row r="161" ht="15.95" customHeight="1"/>
    <row r="162" ht="15.95" customHeight="1"/>
    <row r="163" ht="15.95" customHeight="1"/>
    <row r="164" ht="15.95" customHeight="1"/>
    <row r="165" ht="15.95" customHeight="1"/>
    <row r="166" ht="15.95" customHeight="1"/>
    <row r="167" ht="15.95" customHeight="1"/>
    <row r="168" ht="15.95" customHeight="1"/>
    <row r="169" ht="15.95" customHeight="1"/>
    <row r="170" ht="15.95" customHeight="1"/>
    <row r="171" ht="15.95" customHeight="1"/>
    <row r="172" ht="15.95" customHeight="1"/>
    <row r="173" ht="15.95" customHeight="1"/>
    <row r="174" ht="15.95" customHeight="1"/>
    <row r="175" ht="15.95" customHeight="1"/>
    <row r="176" ht="15.95" customHeight="1"/>
    <row r="177" ht="15.95" customHeight="1"/>
    <row r="178" ht="15.95" customHeight="1"/>
    <row r="179" ht="15.95" customHeight="1"/>
    <row r="180" ht="15.95" customHeight="1"/>
    <row r="181" ht="15.95" customHeight="1"/>
    <row r="182" ht="15.95" customHeight="1"/>
    <row r="183" ht="15.95" customHeight="1"/>
    <row r="184" ht="15.95" customHeight="1"/>
    <row r="185" ht="15.95" customHeight="1"/>
    <row r="186" ht="15.95" customHeight="1"/>
    <row r="187" ht="15.95" customHeight="1"/>
    <row r="188" ht="15.95" customHeight="1"/>
    <row r="189" ht="15.95" customHeight="1"/>
    <row r="190" ht="15.95" customHeight="1"/>
    <row r="191" ht="15.95" customHeight="1"/>
    <row r="192" ht="15.95" customHeight="1"/>
    <row r="193" ht="15.95" customHeight="1"/>
    <row r="194" ht="15.95" customHeight="1"/>
    <row r="195" ht="15.95" customHeight="1"/>
    <row r="196" ht="15.95" customHeight="1"/>
    <row r="197" ht="15.95" customHeight="1"/>
    <row r="198" ht="15.95" customHeight="1"/>
    <row r="199" ht="15.95" customHeight="1"/>
    <row r="200" ht="15.95" customHeight="1"/>
    <row r="201" ht="15.95" customHeight="1"/>
    <row r="202" ht="15.95" customHeight="1"/>
    <row r="203" ht="15.95" customHeight="1"/>
    <row r="204" ht="15.95" customHeight="1"/>
    <row r="205" ht="15.95" customHeight="1"/>
    <row r="206" ht="15.95" customHeight="1"/>
    <row r="207" ht="15.95" customHeight="1"/>
    <row r="208" ht="15.95" customHeight="1"/>
    <row r="209" ht="15.95" customHeight="1"/>
    <row r="210" ht="15.95" customHeight="1"/>
    <row r="211" ht="15.95" customHeight="1"/>
    <row r="212" ht="15.95" customHeight="1"/>
    <row r="213" ht="15.95" customHeight="1"/>
    <row r="214" ht="15.95" customHeight="1"/>
    <row r="215" ht="15.95" customHeight="1"/>
    <row r="216" ht="15.95" customHeight="1"/>
    <row r="217" ht="15.95" customHeight="1"/>
    <row r="218" ht="15.95" customHeight="1"/>
    <row r="219" ht="15.95" customHeight="1"/>
    <row r="220" ht="15.95" customHeight="1"/>
    <row r="221" ht="15.95" customHeight="1"/>
    <row r="222" ht="15.95" customHeight="1"/>
    <row r="223" ht="15.95" customHeight="1"/>
    <row r="224" ht="15.95" customHeight="1"/>
    <row r="225" ht="15.95" customHeight="1"/>
    <row r="226" ht="15.95" customHeight="1"/>
    <row r="227" ht="15.95" customHeight="1"/>
    <row r="228" ht="15.95" customHeight="1"/>
    <row r="229" ht="15.95" customHeight="1"/>
    <row r="230" ht="15.95" customHeight="1"/>
    <row r="231" ht="15.95" customHeight="1"/>
    <row r="232" ht="15.95" customHeight="1"/>
    <row r="233" ht="15.95" customHeight="1"/>
    <row r="234" ht="15.95" customHeight="1"/>
    <row r="235" ht="15.95" customHeight="1"/>
    <row r="236" ht="15.95" customHeight="1"/>
    <row r="237" ht="15.95" customHeight="1"/>
    <row r="238" ht="15.95" customHeight="1"/>
    <row r="239" ht="15.95" customHeight="1"/>
    <row r="240" ht="15.95" customHeight="1"/>
    <row r="241" ht="15.95" customHeight="1"/>
    <row r="242" ht="15.95" customHeight="1"/>
    <row r="243" ht="15.95" customHeight="1"/>
    <row r="244" ht="15.95" customHeight="1"/>
    <row r="245" ht="15.95" customHeight="1"/>
    <row r="246" ht="15.95" customHeight="1"/>
    <row r="247" ht="15.95" customHeight="1"/>
    <row r="248" ht="15.95" customHeight="1"/>
    <row r="249" ht="15.95" customHeight="1"/>
    <row r="250" ht="15.95" customHeight="1"/>
    <row r="251" ht="15.95" customHeight="1"/>
    <row r="252" ht="15.95" customHeight="1"/>
    <row r="253" ht="15.95" customHeight="1"/>
    <row r="254" ht="15.95" customHeight="1"/>
    <row r="255" ht="15.95" customHeight="1"/>
    <row r="256" ht="15.95" customHeight="1"/>
    <row r="257" ht="15.95" customHeight="1"/>
    <row r="258" ht="15.95" customHeight="1"/>
    <row r="259" ht="15.95" customHeight="1"/>
    <row r="260" ht="15.95" customHeight="1"/>
    <row r="261" ht="15.95" customHeight="1"/>
    <row r="262" ht="15.95" customHeight="1"/>
    <row r="263" ht="15.95" customHeight="1"/>
    <row r="264" ht="15.95" customHeight="1"/>
    <row r="265" ht="15.95" customHeight="1"/>
    <row r="266" ht="15.95" customHeight="1"/>
    <row r="267" ht="15.95" customHeight="1"/>
    <row r="268" ht="15.95" customHeight="1"/>
    <row r="269" ht="15.95" customHeight="1"/>
    <row r="270" ht="15.95" customHeight="1"/>
    <row r="271" ht="15.95" customHeight="1"/>
    <row r="272" ht="15.95" customHeight="1"/>
    <row r="273" ht="15.95" customHeight="1"/>
    <row r="274" ht="15.95" customHeight="1"/>
    <row r="275" ht="15.95" customHeight="1"/>
    <row r="276" ht="15.95" customHeight="1"/>
    <row r="277" ht="15.95" customHeight="1"/>
    <row r="278" ht="15.95" customHeight="1"/>
    <row r="279" ht="15.95" customHeight="1"/>
    <row r="280" ht="15.95" customHeight="1"/>
    <row r="281" ht="15.95" customHeight="1"/>
    <row r="282" ht="15.95" customHeight="1"/>
    <row r="283" ht="15.95" customHeight="1"/>
    <row r="284" ht="15.95" customHeight="1"/>
    <row r="285" ht="15.95" customHeight="1"/>
    <row r="286" ht="15.95" customHeight="1"/>
    <row r="287" ht="15.95" customHeight="1"/>
    <row r="288" ht="15.95" customHeight="1"/>
    <row r="289" ht="15.95" customHeight="1"/>
    <row r="290" ht="15.95" customHeight="1"/>
    <row r="291" ht="15.95" customHeight="1"/>
    <row r="292" ht="15.95" customHeight="1"/>
    <row r="293" ht="15.95" customHeight="1"/>
    <row r="294" ht="15.95" customHeight="1"/>
    <row r="295" ht="15.95" customHeight="1"/>
    <row r="296" ht="15.95" customHeight="1"/>
    <row r="297" ht="15.95" customHeight="1"/>
    <row r="298" ht="15.95" customHeight="1"/>
    <row r="299" ht="15.95" customHeight="1"/>
    <row r="300" ht="15.95" customHeight="1"/>
    <row r="301" ht="15.95" customHeight="1"/>
    <row r="302" ht="15.95" customHeight="1"/>
    <row r="303" ht="15.95" customHeight="1"/>
    <row r="304" ht="15.95" customHeight="1"/>
    <row r="305" ht="15.95" customHeight="1"/>
    <row r="306" ht="15.95" customHeight="1"/>
    <row r="307" ht="15.95" customHeight="1"/>
    <row r="308" ht="15.95" customHeight="1"/>
    <row r="309" ht="15.95" customHeight="1"/>
    <row r="310" ht="15.95" customHeight="1"/>
    <row r="311" ht="15.95" customHeight="1"/>
    <row r="312" ht="15.95" customHeight="1"/>
    <row r="313" ht="15.95" customHeight="1"/>
    <row r="314" ht="15.95" customHeight="1"/>
    <row r="315" ht="15.95" customHeight="1"/>
    <row r="316" ht="15.95" customHeight="1"/>
    <row r="317" ht="15.95" customHeight="1"/>
    <row r="318" ht="15.95" customHeight="1"/>
    <row r="319" ht="15.95" customHeight="1"/>
    <row r="320" ht="15.95" customHeight="1"/>
    <row r="321" ht="15.95" customHeight="1"/>
    <row r="322" ht="15.95" customHeight="1"/>
    <row r="323" ht="15.95" customHeight="1"/>
    <row r="324" ht="15.95" customHeight="1"/>
    <row r="325" ht="15.95" customHeight="1"/>
    <row r="326" ht="15.95" customHeight="1"/>
    <row r="327" ht="15.95" customHeight="1"/>
    <row r="328" ht="15.95" customHeight="1"/>
    <row r="329" ht="15.95" customHeight="1"/>
    <row r="330" ht="15.95" customHeight="1"/>
    <row r="331" ht="15.95" customHeight="1"/>
    <row r="332" ht="15.95" customHeight="1"/>
    <row r="333" ht="15.95" customHeight="1"/>
    <row r="334" ht="15.95" customHeight="1"/>
    <row r="335" ht="15.95" customHeight="1"/>
    <row r="336" ht="15.95" customHeight="1"/>
    <row r="337" ht="15.95" customHeight="1"/>
    <row r="338" ht="15.95" customHeight="1"/>
    <row r="339" ht="15.95" customHeight="1"/>
    <row r="340" ht="15.95" customHeight="1"/>
    <row r="341" ht="15.95" customHeight="1"/>
    <row r="342" ht="15.95" customHeight="1"/>
    <row r="343" ht="15.95" customHeight="1"/>
    <row r="344" ht="15.95" customHeight="1"/>
    <row r="345" ht="15.95" customHeight="1"/>
    <row r="346" ht="15.95" customHeight="1"/>
    <row r="347" ht="15.95" customHeight="1"/>
    <row r="348" ht="15.95" customHeight="1"/>
    <row r="349" ht="15.95" customHeight="1"/>
    <row r="350" ht="15.95" customHeight="1"/>
    <row r="351" ht="15.95" customHeight="1"/>
    <row r="352" ht="15.95" customHeight="1"/>
    <row r="353" ht="15.95" customHeight="1"/>
    <row r="354" ht="15.95" customHeight="1"/>
    <row r="355" ht="15.95" customHeight="1"/>
    <row r="356" ht="15.95" customHeight="1"/>
    <row r="357" ht="15.95" customHeight="1"/>
    <row r="358" ht="15.95" customHeight="1"/>
    <row r="359" ht="15.95" customHeight="1"/>
    <row r="360" ht="15.95" customHeight="1"/>
    <row r="361" ht="15.95" customHeight="1"/>
    <row r="362" ht="15.95" customHeight="1"/>
    <row r="363" ht="15.95" customHeight="1"/>
    <row r="364" ht="15.95" customHeight="1"/>
    <row r="365" ht="15.95" customHeight="1"/>
    <row r="366" ht="15.95" customHeight="1"/>
    <row r="367" ht="15.95" customHeight="1"/>
    <row r="368" ht="15.95" customHeight="1"/>
    <row r="369" ht="15.95" customHeight="1"/>
    <row r="370" ht="15.95" customHeight="1"/>
    <row r="371" ht="15.95" customHeight="1"/>
    <row r="372" ht="15.95" customHeight="1"/>
    <row r="373" ht="15.95" customHeight="1"/>
    <row r="374" ht="15.95" customHeight="1"/>
    <row r="375" ht="15.95" customHeight="1"/>
    <row r="376" ht="15.95" customHeight="1"/>
    <row r="377" ht="15.95" customHeight="1"/>
    <row r="378" ht="15.95" customHeight="1"/>
    <row r="379" ht="15.95" customHeight="1"/>
    <row r="380" ht="15.95" customHeight="1"/>
    <row r="381" ht="15.95" customHeight="1"/>
    <row r="382" ht="15.95" customHeight="1"/>
    <row r="383" ht="15.95" customHeight="1"/>
    <row r="384" ht="15.95" customHeight="1"/>
    <row r="385" ht="15.95" customHeight="1"/>
    <row r="386" ht="15.95" customHeight="1"/>
    <row r="387" ht="15.95" customHeight="1"/>
    <row r="388" ht="15.95" customHeight="1"/>
    <row r="389" ht="15.95" customHeight="1"/>
    <row r="390" ht="15.95" customHeight="1"/>
    <row r="391" ht="15.95" customHeight="1"/>
    <row r="392" ht="15.95" customHeight="1"/>
    <row r="393" ht="15.95" customHeight="1"/>
    <row r="394" ht="15.95" customHeight="1"/>
    <row r="395" ht="15.95" customHeight="1"/>
    <row r="396" ht="15.95" customHeight="1"/>
    <row r="397" ht="15.95" customHeight="1"/>
    <row r="398" ht="15.95" customHeight="1"/>
    <row r="399" ht="15.95" customHeight="1"/>
    <row r="400" ht="15.95" customHeight="1"/>
    <row r="401" ht="15.95" customHeight="1"/>
    <row r="402" ht="15.95" customHeight="1"/>
    <row r="403" ht="15.95" customHeight="1"/>
    <row r="404" ht="15.95" customHeight="1"/>
    <row r="405" ht="15.95" customHeight="1"/>
    <row r="406" ht="15.95" customHeight="1"/>
    <row r="407" ht="15.95" customHeight="1"/>
    <row r="408" ht="15.95" customHeight="1"/>
    <row r="409" ht="15.95" customHeight="1"/>
    <row r="410" ht="15.95" customHeight="1"/>
    <row r="411" ht="15.95" customHeight="1"/>
    <row r="412" ht="15.95" customHeight="1"/>
    <row r="413" ht="15.95" customHeight="1"/>
    <row r="414" ht="15.95" customHeight="1"/>
    <row r="415" ht="15.95" customHeight="1"/>
    <row r="416" ht="15.95" customHeight="1"/>
    <row r="417" ht="15.95" customHeight="1"/>
    <row r="418" ht="15.95" customHeight="1"/>
    <row r="419" ht="15.95" customHeight="1"/>
    <row r="420" ht="15.95" customHeight="1"/>
    <row r="421" ht="15.95" customHeight="1"/>
    <row r="422" ht="15.95" customHeight="1"/>
    <row r="423" ht="15.95" customHeight="1"/>
    <row r="424" ht="15.95" customHeight="1"/>
    <row r="425" ht="15.95" customHeight="1"/>
    <row r="426" ht="15.95" customHeight="1"/>
    <row r="427" ht="15.95" customHeight="1"/>
    <row r="428" ht="15.95" customHeight="1"/>
    <row r="429" ht="15.95" customHeight="1"/>
    <row r="430" ht="15.95" customHeight="1"/>
    <row r="431" ht="15.95" customHeight="1"/>
    <row r="432" ht="15.95" customHeight="1"/>
    <row r="433" ht="15.95" customHeight="1"/>
    <row r="434" ht="15.95" customHeight="1"/>
    <row r="435" ht="15.95" customHeight="1"/>
    <row r="436" ht="15.95" customHeight="1"/>
    <row r="437" ht="15.95" customHeight="1"/>
    <row r="438" ht="15.95" customHeight="1"/>
    <row r="439" ht="15.95" customHeight="1"/>
    <row r="440" ht="15.95" customHeight="1"/>
    <row r="441" ht="15.95" customHeight="1"/>
    <row r="442" ht="15.95" customHeight="1"/>
    <row r="443" ht="15.95" customHeight="1"/>
    <row r="444" ht="15.95" customHeight="1"/>
    <row r="445" ht="15.95" customHeight="1"/>
    <row r="446" ht="15.95" customHeight="1"/>
    <row r="447" ht="15.95" customHeight="1"/>
    <row r="448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  <row r="463" ht="15.95" customHeight="1"/>
    <row r="464" ht="15.95" customHeight="1"/>
    <row r="465" ht="15.95" customHeight="1"/>
    <row r="466" ht="15.95" customHeight="1"/>
    <row r="467" ht="15.95" customHeight="1"/>
    <row r="468" ht="15.95" customHeight="1"/>
    <row r="469" ht="15.95" customHeight="1"/>
    <row r="470" ht="15.95" customHeight="1"/>
    <row r="471" ht="15.95" customHeight="1"/>
    <row r="472" ht="15.95" customHeight="1"/>
    <row r="473" ht="15.95" customHeight="1"/>
    <row r="474" ht="15.95" customHeight="1"/>
    <row r="475" ht="15.95" customHeight="1"/>
    <row r="476" ht="15.95" customHeight="1"/>
    <row r="477" ht="15.95" customHeight="1"/>
    <row r="478" ht="15.95" customHeight="1"/>
    <row r="479" ht="15.95" customHeight="1"/>
    <row r="480" ht="15.95" customHeight="1"/>
    <row r="481" ht="15.95" customHeight="1"/>
    <row r="482" ht="15.95" customHeight="1"/>
    <row r="483" ht="15.95" customHeight="1"/>
    <row r="484" ht="15.95" customHeight="1"/>
    <row r="485" ht="15.95" customHeight="1"/>
    <row r="486" ht="15.95" customHeight="1"/>
    <row r="487" ht="15.95" customHeight="1"/>
    <row r="488" ht="15.95" customHeight="1"/>
    <row r="489" ht="15.95" customHeight="1"/>
    <row r="490" ht="15.95" customHeight="1"/>
    <row r="491" ht="15.95" customHeight="1"/>
    <row r="492" ht="15.95" customHeight="1"/>
    <row r="493" ht="15.95" customHeight="1"/>
    <row r="494" ht="15.95" customHeight="1"/>
    <row r="495" ht="15.95" customHeight="1"/>
    <row r="496" ht="15.95" customHeight="1"/>
    <row r="497" ht="15.95" customHeight="1"/>
    <row r="498" ht="15.95" customHeight="1"/>
    <row r="499" ht="15.95" customHeight="1"/>
    <row r="500" ht="15.95" customHeight="1"/>
    <row r="501" ht="15.95" customHeight="1"/>
    <row r="502" ht="15.95" customHeight="1"/>
    <row r="503" ht="15.95" customHeight="1"/>
    <row r="504" ht="15.95" customHeight="1"/>
    <row r="505" ht="15.95" customHeight="1"/>
    <row r="506" ht="15.95" customHeight="1"/>
    <row r="507" ht="15.95" customHeight="1"/>
    <row r="508" ht="15.95" customHeight="1"/>
    <row r="509" ht="15.95" customHeight="1"/>
    <row r="510" ht="15.95" customHeight="1"/>
    <row r="511" ht="15.95" customHeight="1"/>
    <row r="512" ht="15.95" customHeight="1"/>
    <row r="513" ht="15.95" customHeight="1"/>
    <row r="514" ht="15.95" customHeight="1"/>
    <row r="515" ht="15.95" customHeight="1"/>
    <row r="516" ht="15.95" customHeight="1"/>
    <row r="517" ht="15.95" customHeight="1"/>
    <row r="518" ht="15.95" customHeight="1"/>
    <row r="519" ht="15.95" customHeight="1"/>
    <row r="520" ht="15.95" customHeight="1"/>
    <row r="521" ht="15.95" customHeight="1"/>
    <row r="522" ht="15.95" customHeight="1"/>
    <row r="523" ht="15.95" customHeight="1"/>
    <row r="524" ht="15.95" customHeight="1"/>
    <row r="525" ht="15.95" customHeight="1"/>
    <row r="526" ht="15.95" customHeight="1"/>
    <row r="527" ht="15.95" customHeight="1"/>
    <row r="528" ht="15.95" customHeight="1"/>
    <row r="529" ht="15.95" customHeight="1"/>
    <row r="530" ht="15.95" customHeight="1"/>
    <row r="531" ht="15.95" customHeight="1"/>
    <row r="532" ht="15.95" customHeight="1"/>
    <row r="533" ht="15.95" customHeight="1"/>
    <row r="534" ht="15.95" customHeight="1"/>
    <row r="535" ht="15.95" customHeight="1"/>
    <row r="536" ht="15.95" customHeight="1"/>
    <row r="537" ht="15.95" customHeight="1"/>
    <row r="538" ht="15.95" customHeight="1"/>
    <row r="539" ht="15.95" customHeight="1"/>
    <row r="540" ht="15.95" customHeight="1"/>
    <row r="541" ht="15.95" customHeight="1"/>
    <row r="542" ht="15.95" customHeight="1"/>
    <row r="543" ht="15.95" customHeight="1"/>
    <row r="544" ht="15.95" customHeight="1"/>
    <row r="545" ht="15.95" customHeight="1"/>
    <row r="546" ht="15.95" customHeight="1"/>
    <row r="547" ht="15.95" customHeight="1"/>
    <row r="548" ht="15.95" customHeight="1"/>
    <row r="549" ht="15.95" customHeight="1"/>
    <row r="550" ht="15.95" customHeight="1"/>
    <row r="551" ht="15.95" customHeight="1"/>
    <row r="552" ht="15.95" customHeight="1"/>
    <row r="553" ht="15.95" customHeight="1"/>
    <row r="554" ht="15.95" customHeight="1"/>
    <row r="555" ht="15.95" customHeight="1"/>
    <row r="556" ht="15.95" customHeight="1"/>
    <row r="557" ht="15.95" customHeight="1"/>
    <row r="558" ht="15.95" customHeight="1"/>
    <row r="559" ht="15.95" customHeight="1"/>
    <row r="560" ht="15.95" customHeight="1"/>
    <row r="561" ht="15.95" customHeight="1"/>
    <row r="562" ht="15.95" customHeight="1"/>
    <row r="563" ht="15.95" customHeight="1"/>
    <row r="564" ht="15.95" customHeight="1"/>
    <row r="565" ht="15.95" customHeight="1"/>
    <row r="566" ht="15.95" customHeight="1"/>
    <row r="567" ht="15.95" customHeight="1"/>
    <row r="568" ht="15.95" customHeight="1"/>
    <row r="569" ht="15.95" customHeight="1"/>
    <row r="570" ht="15.95" customHeight="1"/>
    <row r="571" ht="15.95" customHeight="1"/>
    <row r="572" ht="15.95" customHeight="1"/>
    <row r="573" ht="15.95" customHeight="1"/>
    <row r="574" ht="15.95" customHeight="1"/>
    <row r="575" ht="15.95" customHeight="1"/>
    <row r="576" ht="15.95" customHeight="1"/>
    <row r="577" ht="15.95" customHeight="1"/>
    <row r="578" ht="15.95" customHeight="1"/>
    <row r="579" ht="15.95" customHeight="1"/>
    <row r="580" ht="15.95" customHeight="1"/>
    <row r="581" ht="15.95" customHeight="1"/>
    <row r="582" ht="15.95" customHeight="1"/>
    <row r="583" ht="15.95" customHeight="1"/>
    <row r="584" ht="15.95" customHeight="1"/>
    <row r="585" ht="15.95" customHeight="1"/>
    <row r="586" ht="15.95" customHeight="1"/>
    <row r="587" ht="15.95" customHeight="1"/>
    <row r="588" ht="15.95" customHeight="1"/>
    <row r="589" ht="15.95" customHeight="1"/>
    <row r="590" ht="15.95" customHeight="1"/>
    <row r="591" ht="15.95" customHeight="1"/>
    <row r="592" ht="15.95" customHeight="1"/>
    <row r="593" ht="15.95" customHeight="1"/>
    <row r="594" ht="15.95" customHeight="1"/>
    <row r="595" ht="15.95" customHeight="1"/>
    <row r="596" ht="15.95" customHeight="1"/>
    <row r="597" ht="15.95" customHeight="1"/>
    <row r="598" ht="15.95" customHeight="1"/>
    <row r="599" ht="15.95" customHeight="1"/>
    <row r="600" ht="15.95" customHeight="1"/>
    <row r="601" ht="15.95" customHeight="1"/>
    <row r="602" ht="15.95" customHeight="1"/>
    <row r="603" ht="15.95" customHeight="1"/>
    <row r="604" ht="15.95" customHeight="1"/>
    <row r="605" ht="15.95" customHeight="1"/>
    <row r="606" ht="15.95" customHeight="1"/>
    <row r="607" ht="15.95" customHeight="1"/>
    <row r="608" ht="15.95" customHeight="1"/>
    <row r="609" ht="15.95" customHeight="1"/>
    <row r="610" ht="15.95" customHeight="1"/>
    <row r="611" ht="15.95" customHeight="1"/>
    <row r="612" ht="15.95" customHeight="1"/>
    <row r="613" ht="15.95" customHeight="1"/>
    <row r="614" ht="15.95" customHeight="1"/>
    <row r="615" ht="15.95" customHeight="1"/>
    <row r="616" ht="15.95" customHeight="1"/>
    <row r="617" ht="15.95" customHeight="1"/>
    <row r="618" ht="15.95" customHeight="1"/>
    <row r="619" ht="15.95" customHeight="1"/>
    <row r="620" ht="15.95" customHeight="1"/>
    <row r="621" ht="15.95" customHeight="1"/>
    <row r="622" ht="15.95" customHeight="1"/>
    <row r="623" ht="15.95" customHeight="1"/>
    <row r="624" ht="15.95" customHeight="1"/>
    <row r="625" ht="15.95" customHeight="1"/>
    <row r="626" ht="15.95" customHeight="1"/>
    <row r="627" ht="15.95" customHeight="1"/>
    <row r="628" ht="15.95" customHeight="1"/>
    <row r="629" ht="15.95" customHeight="1"/>
    <row r="630" ht="15.95" customHeight="1"/>
    <row r="631" ht="15.95" customHeight="1"/>
    <row r="632" ht="15.95" customHeight="1"/>
    <row r="633" ht="15.95" customHeight="1"/>
    <row r="634" ht="15.95" customHeight="1"/>
    <row r="635" ht="15.95" customHeight="1"/>
    <row r="636" ht="15.95" customHeight="1"/>
    <row r="637" ht="15.95" customHeight="1"/>
    <row r="638" ht="15.95" customHeight="1"/>
    <row r="639" ht="15.95" customHeight="1"/>
    <row r="640" ht="15.95" customHeight="1"/>
    <row r="641" ht="15.95" customHeight="1"/>
    <row r="642" ht="15.95" customHeight="1"/>
    <row r="643" ht="15.95" customHeight="1"/>
    <row r="644" ht="15.95" customHeight="1"/>
    <row r="645" ht="15.95" customHeight="1"/>
    <row r="646" ht="15.95" customHeight="1"/>
    <row r="647" ht="15.95" customHeight="1"/>
    <row r="648" ht="15.95" customHeight="1"/>
    <row r="649" ht="15.95" customHeight="1"/>
    <row r="650" ht="15.95" customHeight="1"/>
    <row r="651" ht="15.95" customHeight="1"/>
    <row r="652" ht="15.95" customHeight="1"/>
    <row r="653" ht="15.95" customHeight="1"/>
    <row r="654" ht="15.95" customHeight="1"/>
    <row r="655" ht="15.95" customHeight="1"/>
    <row r="656" ht="15.95" customHeight="1"/>
    <row r="657" ht="15.95" customHeight="1"/>
    <row r="658" ht="15.95" customHeight="1"/>
    <row r="659" ht="15.95" customHeight="1"/>
    <row r="660" ht="15.95" customHeight="1"/>
    <row r="661" ht="15.95" customHeight="1"/>
    <row r="662" ht="15.95" customHeight="1"/>
    <row r="663" ht="15.95" customHeight="1"/>
    <row r="664" ht="15.95" customHeight="1"/>
    <row r="665" ht="15.95" customHeight="1"/>
    <row r="666" ht="15.95" customHeight="1"/>
    <row r="667" ht="15.95" customHeight="1"/>
    <row r="668" ht="15.95" customHeight="1"/>
    <row r="669" ht="15.95" customHeight="1"/>
    <row r="670" ht="15.95" customHeight="1"/>
    <row r="671" ht="15.95" customHeight="1"/>
    <row r="672" ht="15.95" customHeight="1"/>
    <row r="673" ht="15.95" customHeight="1"/>
    <row r="674" ht="15.95" customHeight="1"/>
    <row r="675" ht="15.95" customHeight="1"/>
    <row r="676" ht="15.95" customHeight="1"/>
    <row r="677" ht="15.95" customHeight="1"/>
    <row r="678" ht="15.95" customHeight="1"/>
    <row r="679" ht="15.95" customHeight="1"/>
    <row r="680" ht="15.95" customHeight="1"/>
    <row r="681" ht="15.95" customHeight="1"/>
    <row r="682" ht="15.95" customHeight="1"/>
    <row r="683" ht="15.95" customHeight="1"/>
    <row r="684" ht="15.95" customHeight="1"/>
    <row r="685" ht="15.95" customHeight="1"/>
    <row r="686" ht="15.95" customHeight="1"/>
    <row r="687" ht="15.95" customHeight="1"/>
    <row r="688" ht="15.95" customHeight="1"/>
    <row r="689" ht="15.95" customHeight="1"/>
    <row r="690" ht="15.95" customHeight="1"/>
    <row r="691" ht="15.95" customHeight="1"/>
    <row r="692" ht="15.95" customHeight="1"/>
    <row r="693" ht="15.95" customHeight="1"/>
    <row r="694" ht="15.95" customHeight="1"/>
    <row r="695" ht="15.95" customHeight="1"/>
    <row r="696" ht="15.95" customHeight="1"/>
    <row r="697" ht="15.95" customHeight="1"/>
    <row r="698" ht="15.95" customHeight="1"/>
    <row r="699" ht="15.95" customHeight="1"/>
    <row r="700" ht="15.95" customHeight="1"/>
    <row r="701" ht="15.95" customHeight="1"/>
    <row r="702" ht="15.95" customHeight="1"/>
    <row r="703" ht="15.95" customHeight="1"/>
    <row r="704" ht="15.95" customHeight="1"/>
    <row r="705" ht="15.95" customHeight="1"/>
    <row r="706" ht="15.95" customHeight="1"/>
    <row r="707" ht="15.95" customHeight="1"/>
    <row r="708" ht="15.95" customHeight="1"/>
    <row r="709" ht="15.95" customHeight="1"/>
    <row r="710" ht="15.95" customHeight="1"/>
    <row r="711" ht="15.95" customHeight="1"/>
    <row r="712" ht="15.95" customHeight="1"/>
    <row r="713" ht="15.95" customHeight="1"/>
    <row r="714" ht="15.95" customHeight="1"/>
    <row r="715" ht="15.95" customHeight="1"/>
    <row r="716" ht="15.95" customHeight="1"/>
    <row r="717" ht="15.95" customHeight="1"/>
    <row r="718" ht="15.95" customHeight="1"/>
    <row r="719" ht="15.95" customHeight="1"/>
    <row r="720" ht="15.95" customHeight="1"/>
    <row r="721" ht="15.95" customHeight="1"/>
    <row r="722" ht="15.95" customHeight="1"/>
    <row r="723" ht="15.95" customHeight="1"/>
    <row r="724" ht="15.95" customHeight="1"/>
    <row r="725" ht="15.95" customHeight="1"/>
    <row r="726" ht="15.95" customHeight="1"/>
    <row r="727" ht="15.95" customHeight="1"/>
    <row r="728" ht="15.95" customHeight="1"/>
    <row r="729" ht="15.95" customHeight="1"/>
    <row r="730" ht="15.95" customHeight="1"/>
    <row r="731" ht="15.95" customHeight="1"/>
    <row r="732" ht="15.95" customHeight="1"/>
    <row r="733" ht="15.95" customHeight="1"/>
    <row r="734" ht="15.95" customHeight="1"/>
    <row r="735" ht="15.95" customHeight="1"/>
    <row r="736" ht="15.95" customHeight="1"/>
    <row r="737" ht="15.95" customHeight="1"/>
    <row r="738" ht="15.95" customHeight="1"/>
    <row r="739" ht="15.95" customHeight="1"/>
    <row r="740" ht="15.95" customHeight="1"/>
    <row r="741" ht="15.95" customHeight="1"/>
    <row r="742" ht="15.95" customHeight="1"/>
    <row r="743" ht="15.95" customHeight="1"/>
    <row r="744" ht="15.95" customHeight="1"/>
    <row r="745" ht="15.95" customHeight="1"/>
    <row r="746" ht="15.95" customHeight="1"/>
    <row r="747" ht="15.95" customHeight="1"/>
    <row r="748" ht="15.95" customHeight="1"/>
    <row r="749" ht="15.95" customHeight="1"/>
    <row r="750" ht="15.95" customHeight="1"/>
    <row r="751" ht="15.95" customHeight="1"/>
    <row r="752" ht="15.95" customHeight="1"/>
    <row r="753" ht="15.95" customHeight="1"/>
    <row r="754" ht="15.95" customHeight="1"/>
    <row r="755" ht="15.95" customHeight="1"/>
    <row r="756" ht="15.95" customHeight="1"/>
    <row r="757" ht="15.95" customHeight="1"/>
    <row r="758" ht="15.95" customHeight="1"/>
    <row r="759" ht="15.95" customHeight="1"/>
    <row r="760" ht="15.95" customHeight="1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A102B-0E77-438B-8CEF-67ABF04BE113}">
  <dimension ref="A1:M235"/>
  <sheetViews>
    <sheetView zoomScaleNormal="100" workbookViewId="0">
      <selection activeCell="C4" sqref="C4"/>
    </sheetView>
  </sheetViews>
  <sheetFormatPr defaultColWidth="8.625" defaultRowHeight="15"/>
  <cols>
    <col min="1" max="1" width="18.125" style="211" customWidth="1"/>
    <col min="2" max="2" width="30.5" style="211" bestFit="1" customWidth="1"/>
    <col min="3" max="3" width="9" style="211" bestFit="1" customWidth="1"/>
    <col min="4" max="4" width="12.875" style="211" bestFit="1" customWidth="1"/>
    <col min="5" max="5" width="13.875" style="211" bestFit="1" customWidth="1"/>
    <col min="6" max="6" width="10.375" style="211" bestFit="1" customWidth="1"/>
    <col min="7" max="7" width="12.625" style="211" bestFit="1" customWidth="1"/>
    <col min="8" max="10" width="12.625" style="211" customWidth="1"/>
    <col min="11" max="16384" width="8.625" style="211"/>
  </cols>
  <sheetData>
    <row r="1" spans="1:12">
      <c r="A1" s="219"/>
      <c r="B1" s="219"/>
      <c r="C1" s="219"/>
      <c r="D1" s="219"/>
      <c r="E1" s="219"/>
      <c r="F1" s="219"/>
      <c r="G1" s="219"/>
    </row>
    <row r="2" spans="1:12">
      <c r="A2" s="212" t="s">
        <v>65</v>
      </c>
      <c r="B2" s="212" t="s">
        <v>1160</v>
      </c>
      <c r="C2" s="212" t="s">
        <v>756</v>
      </c>
      <c r="D2" s="212" t="s">
        <v>1161</v>
      </c>
      <c r="E2" s="212" t="s">
        <v>724</v>
      </c>
      <c r="F2" s="212" t="s">
        <v>725</v>
      </c>
      <c r="G2" s="212" t="s">
        <v>1159</v>
      </c>
      <c r="H2" s="268"/>
      <c r="J2" s="268"/>
    </row>
    <row r="3" spans="1:12">
      <c r="A3" s="212" t="s">
        <v>69</v>
      </c>
      <c r="B3" s="212" t="s">
        <v>69</v>
      </c>
      <c r="C3" s="212" t="s">
        <v>1170</v>
      </c>
      <c r="D3" s="212" t="s">
        <v>897</v>
      </c>
      <c r="E3" s="212" t="s">
        <v>897</v>
      </c>
      <c r="F3" s="212" t="s">
        <v>897</v>
      </c>
      <c r="G3" s="212" t="s">
        <v>897</v>
      </c>
      <c r="H3" s="268"/>
      <c r="J3" s="268"/>
    </row>
    <row r="4" spans="1:12" ht="14.45" customHeight="1">
      <c r="A4" s="612" t="s">
        <v>50</v>
      </c>
      <c r="B4" s="219" t="s">
        <v>1171</v>
      </c>
      <c r="C4" s="219">
        <f>SUMIFS('calcul rapoarte'!$Q:$Q,'calcul rapoarte'!$B:$B,'Energy Control'!$A$4,'calcul rapoarte'!$P:$P,'Energy Control'!B4)</f>
        <v>239837</v>
      </c>
      <c r="D4" s="242">
        <f>SUMIFS('calcul rapoarte'!$R:$R,'calcul rapoarte'!$B:$B,'Energy Control'!$A$4,'calcul rapoarte'!$P:$P,'Energy Control'!B4)</f>
        <v>0.97511800000000004</v>
      </c>
      <c r="E4" s="219">
        <f>SUMIFS('calcul rapoarte'!$S:$S,'calcul rapoarte'!$B:$B,'Energy Control'!$A$4,'calcul rapoarte'!$P:$P,'Energy Control'!B4)</f>
        <v>233869.29</v>
      </c>
      <c r="F4" s="219">
        <f>SUMIFS('calcul rapoarte'!$T:$T,'calcul rapoarte'!$B:$B,'Energy Control'!$A$4,'calcul rapoarte'!$P:$P,'Energy Control'!B4)</f>
        <v>44435.159999999996</v>
      </c>
      <c r="G4" s="219">
        <f>SUMIFS('calcul rapoarte'!$U:$U,'calcul rapoarte'!$B:$B,'Energy Control'!$A$4,'calcul rapoarte'!$P:$P,'Energy Control'!B4)</f>
        <v>278304.44999999995</v>
      </c>
      <c r="H4" s="270">
        <f>SUMIF(B:B,B4,C:C)+SUMIF(B:B,B8,C:C)</f>
        <v>13628968</v>
      </c>
      <c r="J4" s="270">
        <f>SUM(E4:E235)</f>
        <v>15776763.299999997</v>
      </c>
      <c r="L4" s="211">
        <f>C4*D4-E4</f>
        <v>8.5766000003786758E-2</v>
      </c>
    </row>
    <row r="5" spans="1:12">
      <c r="A5" s="613"/>
      <c r="B5" s="219" t="s">
        <v>1172</v>
      </c>
      <c r="C5" s="219">
        <f>SUMIFS('calcul rapoarte'!$Q:$Q,'calcul rapoarte'!$B:$B,'Energy Control'!$A$4,'calcul rapoarte'!$P:$P,'Energy Control'!B5)</f>
        <v>0</v>
      </c>
      <c r="D5" s="242">
        <f>SUMIFS('calcul rapoarte'!$R:$R,'calcul rapoarte'!$B:$B,'Energy Control'!$A$4,'calcul rapoarte'!$P:$P,'Energy Control'!B5)</f>
        <v>0.14649999999999999</v>
      </c>
      <c r="E5" s="219">
        <f>SUMIFS('calcul rapoarte'!$S:$S,'calcul rapoarte'!$B:$B,'Energy Control'!$A$4,'calcul rapoarte'!$P:$P,'Energy Control'!B5)</f>
        <v>0</v>
      </c>
      <c r="F5" s="219">
        <f>SUMIFS('calcul rapoarte'!$T:$T,'calcul rapoarte'!$B:$B,'Energy Control'!$A$4,'calcul rapoarte'!$P:$P,'Energy Control'!B5)</f>
        <v>0</v>
      </c>
      <c r="G5" s="219">
        <f>SUMIFS('calcul rapoarte'!$U:$U,'calcul rapoarte'!$B:$B,'Energy Control'!$A$4,'calcul rapoarte'!$P:$P,'Energy Control'!B5)</f>
        <v>0</v>
      </c>
      <c r="H5" s="272">
        <f>accrual!I34-'Energy Control'!H4</f>
        <v>314647</v>
      </c>
      <c r="L5" s="211">
        <f t="shared" ref="L5:L68" si="0">C5*D5-E5</f>
        <v>0</v>
      </c>
    </row>
    <row r="6" spans="1:12">
      <c r="A6" s="613"/>
      <c r="B6" s="219" t="s">
        <v>1173</v>
      </c>
      <c r="C6" s="219">
        <f>SUMIFS('calcul rapoarte'!$Q:$Q,'calcul rapoarte'!$B:$B,'Energy Control'!$A$4,'calcul rapoarte'!$P:$P,'Energy Control'!B6)</f>
        <v>0</v>
      </c>
      <c r="D6" s="242">
        <f>SUMIFS('calcul rapoarte'!$R:$R,'calcul rapoarte'!$B:$B,'Energy Control'!$A$4,'calcul rapoarte'!$P:$P,'Energy Control'!B6)</f>
        <v>0.4395</v>
      </c>
      <c r="E6" s="219">
        <f>SUMIFS('calcul rapoarte'!$S:$S,'calcul rapoarte'!$B:$B,'Energy Control'!$A$4,'calcul rapoarte'!$P:$P,'Energy Control'!B6)</f>
        <v>0</v>
      </c>
      <c r="F6" s="219">
        <f>SUMIFS('calcul rapoarte'!$T:$T,'calcul rapoarte'!$B:$B,'Energy Control'!$A$4,'calcul rapoarte'!$P:$P,'Energy Control'!B6)</f>
        <v>0</v>
      </c>
      <c r="G6" s="219">
        <f>SUMIFS('calcul rapoarte'!$U:$U,'calcul rapoarte'!$B:$B,'Energy Control'!$A$4,'calcul rapoarte'!$P:$P,'Energy Control'!B6)</f>
        <v>0</v>
      </c>
      <c r="L6" s="211">
        <f t="shared" si="0"/>
        <v>0</v>
      </c>
    </row>
    <row r="7" spans="1:12">
      <c r="A7" s="613"/>
      <c r="B7" s="219" t="s">
        <v>1410</v>
      </c>
      <c r="C7" s="219">
        <f>SUMIFS('calcul rapoarte'!$Q:$Q,'calcul rapoarte'!$B:$B,'Energy Control'!$A$4,'calcul rapoarte'!$P:$P,'Energy Control'!B7)</f>
        <v>164697</v>
      </c>
      <c r="D7" s="242">
        <f>SUMIFS('calcul rapoarte'!$R:$R,'calcul rapoarte'!$B:$B,'Energy Control'!$A$4,'calcul rapoarte'!$P:$P,'Energy Control'!B7)</f>
        <v>0.97511800000000004</v>
      </c>
      <c r="E7" s="219">
        <f>SUMIFS('calcul rapoarte'!$S:$S,'calcul rapoarte'!$B:$B,'Energy Control'!$A$4,'calcul rapoarte'!$P:$P,'Energy Control'!B7)</f>
        <v>160598.95000000001</v>
      </c>
      <c r="F7" s="219">
        <f>SUMIFS('calcul rapoarte'!$T:$T,'calcul rapoarte'!$B:$B,'Energy Control'!$A$4,'calcul rapoarte'!$P:$P,'Energy Control'!B7)</f>
        <v>30513.8</v>
      </c>
      <c r="G7" s="219">
        <f>SUMIFS('calcul rapoarte'!$U:$U,'calcul rapoarte'!$B:$B,'Energy Control'!$A$4,'calcul rapoarte'!$P:$P,'Energy Control'!B7)</f>
        <v>191112.75</v>
      </c>
      <c r="L7" s="211">
        <f t="shared" si="0"/>
        <v>5.9245999989798293E-2</v>
      </c>
    </row>
    <row r="8" spans="1:12">
      <c r="A8" s="613"/>
      <c r="B8" s="219" t="s">
        <v>1411</v>
      </c>
      <c r="C8" s="219">
        <f>SUMIFS('calcul rapoarte'!$Q:$Q,'calcul rapoarte'!$B:$B,'Energy Control'!$A$4,'calcul rapoarte'!$P:$P,'Energy Control'!B8)</f>
        <v>0</v>
      </c>
      <c r="D8" s="242">
        <f>SUMIFS('calcul rapoarte'!$R:$R,'calcul rapoarte'!$B:$B,'Energy Control'!$A$4,'calcul rapoarte'!$P:$P,'Energy Control'!B8)</f>
        <v>0</v>
      </c>
      <c r="E8" s="219">
        <f>SUMIFS('calcul rapoarte'!$S:$S,'calcul rapoarte'!$B:$B,'Energy Control'!$A$4,'calcul rapoarte'!$P:$P,'Energy Control'!B8)</f>
        <v>0</v>
      </c>
      <c r="F8" s="219">
        <f>ROUND(SUMIFS('calcul rapoarte'!$T:$T,'calcul rapoarte'!$B:$B,'Energy Control'!$A$4,'calcul rapoarte'!$P:$P,'Energy Control'!B8),2)</f>
        <v>0</v>
      </c>
      <c r="G8" s="219">
        <f>ROUND(SUMIFS('calcul rapoarte'!$U:$U,'calcul rapoarte'!$B:$B,'Energy Control'!$A$4,'calcul rapoarte'!$P:$P,'Energy Control'!B8),2)</f>
        <v>0</v>
      </c>
      <c r="L8" s="211">
        <f t="shared" si="0"/>
        <v>0</v>
      </c>
    </row>
    <row r="9" spans="1:12">
      <c r="A9" s="613"/>
      <c r="B9" s="219" t="s">
        <v>1174</v>
      </c>
      <c r="C9" s="219">
        <f>SUMIFS('calcul rapoarte'!$Q:$Q,'calcul rapoarte'!$B:$B,'Energy Control'!$A$4,'calcul rapoarte'!$P:$P,'Energy Control'!B9)</f>
        <v>1880</v>
      </c>
      <c r="D9" s="242">
        <f>SUMIFS('calcul rapoarte'!$R:$R,'calcul rapoarte'!$B:$B,'Energy Control'!$A$4,'calcul rapoarte'!$P:$P,'Energy Control'!B9)</f>
        <v>0.14649999999999999</v>
      </c>
      <c r="E9" s="219">
        <f>SUMIFS('calcul rapoarte'!$S:$S,'calcul rapoarte'!$B:$B,'Energy Control'!$A$4,'calcul rapoarte'!$P:$P,'Energy Control'!B9)</f>
        <v>275.42</v>
      </c>
      <c r="F9" s="219">
        <f>SUMIFS('calcul rapoarte'!$T:$T,'calcul rapoarte'!$B:$B,'Energy Control'!$A$4,'calcul rapoarte'!$P:$P,'Energy Control'!B9)</f>
        <v>52.33</v>
      </c>
      <c r="G9" s="219">
        <f>SUMIFS('calcul rapoarte'!$U:$U,'calcul rapoarte'!$B:$B,'Energy Control'!$A$4,'calcul rapoarte'!$P:$P,'Energy Control'!B9)</f>
        <v>327.75</v>
      </c>
      <c r="L9" s="211">
        <f t="shared" si="0"/>
        <v>0</v>
      </c>
    </row>
    <row r="10" spans="1:12">
      <c r="A10" s="613"/>
      <c r="B10" s="219" t="s">
        <v>1175</v>
      </c>
      <c r="C10" s="219">
        <f>SUMIFS('calcul rapoarte'!$Q:$Q,'calcul rapoarte'!$B:$B,'Energy Control'!$A$4,'calcul rapoarte'!$P:$P,'Energy Control'!B10)</f>
        <v>7970</v>
      </c>
      <c r="D10" s="242">
        <f>SUMIFS('calcul rapoarte'!$R:$R,'calcul rapoarte'!$B:$B,'Energy Control'!$A$4,'calcul rapoarte'!$P:$P,'Energy Control'!B10)</f>
        <v>0.4395</v>
      </c>
      <c r="E10" s="219">
        <f>SUMIFS('calcul rapoarte'!$S:$S,'calcul rapoarte'!$B:$B,'Energy Control'!$A$4,'calcul rapoarte'!$P:$P,'Energy Control'!B10)</f>
        <v>3502.82</v>
      </c>
      <c r="F10" s="219">
        <f>SUMIFS('calcul rapoarte'!$T:$T,'calcul rapoarte'!$B:$B,'Energy Control'!$A$4,'calcul rapoarte'!$P:$P,'Energy Control'!B10)</f>
        <v>665.54</v>
      </c>
      <c r="G10" s="219">
        <f>SUMIFS('calcul rapoarte'!$U:$U,'calcul rapoarte'!$B:$B,'Energy Control'!$A$4,'calcul rapoarte'!$P:$P,'Energy Control'!B10)</f>
        <v>4168.3599999999997</v>
      </c>
      <c r="L10" s="211">
        <f t="shared" si="0"/>
        <v>-5.0000000001091394E-3</v>
      </c>
    </row>
    <row r="11" spans="1:12">
      <c r="A11" s="614"/>
      <c r="B11" s="219" t="s">
        <v>1412</v>
      </c>
      <c r="C11" s="219">
        <f>SUMIFS('calcul rapoarte'!$Q:$Q,'calcul rapoarte'!$B:$B,'Energy Control'!$A$4,'calcul rapoarte'!$P:$P,'Energy Control'!B11)</f>
        <v>0</v>
      </c>
      <c r="D11" s="242">
        <f>SUMIFS('calcul rapoarte'!$R:$R,'calcul rapoarte'!$B:$B,'Energy Control'!$A$4,'calcul rapoarte'!$P:$P,'Energy Control'!B11)</f>
        <v>0</v>
      </c>
      <c r="E11" s="219">
        <f>SUMIFS('calcul rapoarte'!$S:$S,'calcul rapoarte'!$B:$B,'Energy Control'!$A$4,'calcul rapoarte'!$P:$P,'Energy Control'!B11)</f>
        <v>0</v>
      </c>
      <c r="F11" s="219">
        <f>SUMIFS('calcul rapoarte'!$T:$T,'calcul rapoarte'!$B:$B,'Energy Control'!$A$4,'calcul rapoarte'!$P:$P,'Energy Control'!B11)</f>
        <v>0</v>
      </c>
      <c r="G11" s="219">
        <f>SUMIFS('calcul rapoarte'!$U:$U,'calcul rapoarte'!$B:$B,'Energy Control'!$A$4,'calcul rapoarte'!$P:$P,'Energy Control'!B11)</f>
        <v>0</v>
      </c>
      <c r="L11" s="211">
        <f t="shared" si="0"/>
        <v>0</v>
      </c>
    </row>
    <row r="12" spans="1:12">
      <c r="A12" s="612" t="s">
        <v>51</v>
      </c>
      <c r="B12" s="219" t="s">
        <v>1171</v>
      </c>
      <c r="C12" s="219">
        <f>SUMIFS('calcul rapoarte'!$Q:$Q,'calcul rapoarte'!$B:$B,'Energy Control'!$A$12,'calcul rapoarte'!$P:$P,'Energy Control'!B12)</f>
        <v>281670</v>
      </c>
      <c r="D12" s="242">
        <f>SUMIFS('calcul rapoarte'!$R:$R,'calcul rapoarte'!$B:$B,'Energy Control'!$A$12,'calcul rapoarte'!$P:$P,'Energy Control'!B12)</f>
        <v>0.96634299999999995</v>
      </c>
      <c r="E12" s="219">
        <f>SUMIFS('calcul rapoarte'!$S:$S,'calcul rapoarte'!$B:$B,'Energy Control'!$A$12,'calcul rapoarte'!$P:$P,'Energy Control'!B12)</f>
        <v>272189.75</v>
      </c>
      <c r="F12" s="219">
        <f>SUMIFS('calcul rapoarte'!$T:$T,'calcul rapoarte'!$B:$B,'Energy Control'!$A$12,'calcul rapoarte'!$P:$P,'Energy Control'!B12)</f>
        <v>51716.04</v>
      </c>
      <c r="G12" s="219">
        <f>SUMIFS('calcul rapoarte'!$U:$U,'calcul rapoarte'!$B:$B,'Energy Control'!$A$12,'calcul rapoarte'!$P:$P,'Energy Control'!B12)</f>
        <v>323905.78999999998</v>
      </c>
      <c r="L12" s="211">
        <f t="shared" si="0"/>
        <v>8.2809999992605299E-2</v>
      </c>
    </row>
    <row r="13" spans="1:12">
      <c r="A13" s="613" t="s">
        <v>1095</v>
      </c>
      <c r="B13" s="219" t="s">
        <v>1172</v>
      </c>
      <c r="C13" s="219">
        <f>SUMIFS('calcul rapoarte'!$Q:$Q,'calcul rapoarte'!$B:$B,'Energy Control'!$A$12,'calcul rapoarte'!$P:$P,'Energy Control'!B13)</f>
        <v>0</v>
      </c>
      <c r="D13" s="242">
        <f>SUMIFS('calcul rapoarte'!$R:$R,'calcul rapoarte'!$B:$B,'Energy Control'!$A$12,'calcul rapoarte'!$P:$P,'Energy Control'!B13)</f>
        <v>0.14649999999999999</v>
      </c>
      <c r="E13" s="219">
        <f>SUMIFS('calcul rapoarte'!$S:$S,'calcul rapoarte'!$B:$B,'Energy Control'!$A$12,'calcul rapoarte'!$P:$P,'Energy Control'!B13)</f>
        <v>0</v>
      </c>
      <c r="F13" s="219">
        <f>SUMIFS('calcul rapoarte'!$T:$T,'calcul rapoarte'!$B:$B,'Energy Control'!$A$12,'calcul rapoarte'!$P:$P,'Energy Control'!B13)</f>
        <v>0</v>
      </c>
      <c r="G13" s="219">
        <f>SUMIFS('calcul rapoarte'!$U:$U,'calcul rapoarte'!$B:$B,'Energy Control'!$A$12,'calcul rapoarte'!$P:$P,'Energy Control'!B13)</f>
        <v>0</v>
      </c>
      <c r="L13" s="211">
        <f t="shared" si="0"/>
        <v>0</v>
      </c>
    </row>
    <row r="14" spans="1:12">
      <c r="A14" s="613" t="s">
        <v>1095</v>
      </c>
      <c r="B14" s="219" t="s">
        <v>1173</v>
      </c>
      <c r="C14" s="219">
        <f>SUMIFS('calcul rapoarte'!$Q:$Q,'calcul rapoarte'!$B:$B,'Energy Control'!$A$12,'calcul rapoarte'!$P:$P,'Energy Control'!B14)</f>
        <v>0</v>
      </c>
      <c r="D14" s="242">
        <f>SUMIFS('calcul rapoarte'!$R:$R,'calcul rapoarte'!$B:$B,'Energy Control'!$A$12,'calcul rapoarte'!$P:$P,'Energy Control'!B14)</f>
        <v>0.4395</v>
      </c>
      <c r="E14" s="219">
        <f>SUMIFS('calcul rapoarte'!$S:$S,'calcul rapoarte'!$B:$B,'Energy Control'!$A$12,'calcul rapoarte'!$P:$P,'Energy Control'!B14)</f>
        <v>0</v>
      </c>
      <c r="F14" s="219">
        <f>SUMIFS('calcul rapoarte'!$T:$T,'calcul rapoarte'!$B:$B,'Energy Control'!$A$12,'calcul rapoarte'!$P:$P,'Energy Control'!B14)</f>
        <v>0</v>
      </c>
      <c r="G14" s="219">
        <f>SUMIFS('calcul rapoarte'!$U:$U,'calcul rapoarte'!$B:$B,'Energy Control'!$A$12,'calcul rapoarte'!$P:$P,'Energy Control'!B14)</f>
        <v>0</v>
      </c>
      <c r="J14" s="211" t="s">
        <v>1095</v>
      </c>
      <c r="L14" s="211">
        <f t="shared" si="0"/>
        <v>0</v>
      </c>
    </row>
    <row r="15" spans="1:12">
      <c r="A15" s="613" t="s">
        <v>1095</v>
      </c>
      <c r="B15" s="219" t="s">
        <v>1410</v>
      </c>
      <c r="C15" s="219">
        <f>SUMIFS('calcul rapoarte'!$Q:$Q,'calcul rapoarte'!$B:$B,'Energy Control'!$A$12,'calcul rapoarte'!$P:$P,'Energy Control'!B15)</f>
        <v>216337</v>
      </c>
      <c r="D15" s="242">
        <f>SUMIFS('calcul rapoarte'!$R:$R,'calcul rapoarte'!$B:$B,'Energy Control'!$A$12,'calcul rapoarte'!$P:$P,'Energy Control'!B15)</f>
        <v>0.96800799999999998</v>
      </c>
      <c r="E15" s="219">
        <f>SUMIFS('calcul rapoarte'!$S:$S,'calcul rapoarte'!$B:$B,'Energy Control'!$A$12,'calcul rapoarte'!$P:$P,'Energy Control'!B15)</f>
        <v>209415.86</v>
      </c>
      <c r="F15" s="219">
        <f>SUMIFS('calcul rapoarte'!$T:$T,'calcul rapoarte'!$B:$B,'Energy Control'!$A$12,'calcul rapoarte'!$P:$P,'Energy Control'!B15)</f>
        <v>39789.01</v>
      </c>
      <c r="G15" s="219">
        <f>SUMIFS('calcul rapoarte'!$U:$U,'calcul rapoarte'!$B:$B,'Energy Control'!$A$12,'calcul rapoarte'!$P:$P,'Energy Control'!B15)</f>
        <v>249204.87</v>
      </c>
      <c r="J15" s="211" t="s">
        <v>1095</v>
      </c>
      <c r="L15" s="211">
        <f t="shared" si="0"/>
        <v>8.6696000013034791E-2</v>
      </c>
    </row>
    <row r="16" spans="1:12">
      <c r="A16" s="613" t="s">
        <v>1095</v>
      </c>
      <c r="B16" s="219" t="s">
        <v>1411</v>
      </c>
      <c r="C16" s="219">
        <f>SUMIFS('calcul rapoarte'!$Q:$Q,'calcul rapoarte'!$B:$B,'Energy Control'!$A$12,'calcul rapoarte'!$P:$P,'Energy Control'!B16)</f>
        <v>716</v>
      </c>
      <c r="D16" s="242">
        <f>SUMIFS('calcul rapoarte'!$R:$R,'calcul rapoarte'!$B:$B,'Energy Control'!$A$12,'calcul rapoarte'!$P:$P,'Energy Control'!B16)</f>
        <v>0.83392500000000003</v>
      </c>
      <c r="E16" s="219">
        <f>SUMIFS('calcul rapoarte'!$S:$S,'calcul rapoarte'!$B:$B,'Energy Control'!$A$12,'calcul rapoarte'!$P:$P,'Energy Control'!B16)</f>
        <v>597.09</v>
      </c>
      <c r="F16" s="219">
        <f>ROUND(SUMIFS('calcul rapoarte'!$T:$T,'calcul rapoarte'!$B:$B,'Energy Control'!$A$12,'calcul rapoarte'!$P:$P,'Energy Control'!B16),2)</f>
        <v>113.45</v>
      </c>
      <c r="G16" s="219">
        <f>SUMIFS('calcul rapoarte'!$U:$U,'calcul rapoarte'!$B:$B,'Energy Control'!$A$12,'calcul rapoarte'!$P:$P,'Energy Control'!B16)</f>
        <v>710.54</v>
      </c>
      <c r="J16" s="211" t="s">
        <v>1095</v>
      </c>
      <c r="L16" s="211">
        <f t="shared" si="0"/>
        <v>3.0000000003838068E-4</v>
      </c>
    </row>
    <row r="17" spans="1:12">
      <c r="A17" s="613" t="s">
        <v>1095</v>
      </c>
      <c r="B17" s="219" t="s">
        <v>1174</v>
      </c>
      <c r="C17" s="219">
        <f>SUMIFS('calcul rapoarte'!$Q:$Q,'calcul rapoarte'!$B:$B,'Energy Control'!$A$12,'calcul rapoarte'!$P:$P,'Energy Control'!B17)</f>
        <v>11676</v>
      </c>
      <c r="D17" s="242">
        <f>SUMIFS('calcul rapoarte'!$R:$R,'calcul rapoarte'!$B:$B,'Energy Control'!$A$12,'calcul rapoarte'!$P:$P,'Energy Control'!B17)</f>
        <v>0.14649999999999999</v>
      </c>
      <c r="E17" s="219">
        <f>SUMIFS('calcul rapoarte'!$S:$S,'calcul rapoarte'!$B:$B,'Energy Control'!$A$12,'calcul rapoarte'!$P:$P,'Energy Control'!B17)</f>
        <v>1710.53</v>
      </c>
      <c r="F17" s="219">
        <f>SUMIFS('calcul rapoarte'!$T:$T,'calcul rapoarte'!$B:$B,'Energy Control'!$A$12,'calcul rapoarte'!$P:$P,'Energy Control'!B17)</f>
        <v>325</v>
      </c>
      <c r="G17" s="219">
        <f>SUMIFS('calcul rapoarte'!$U:$U,'calcul rapoarte'!$B:$B,'Energy Control'!$A$12,'calcul rapoarte'!$P:$P,'Energy Control'!B17)</f>
        <v>2035.53</v>
      </c>
      <c r="J17" s="211" t="s">
        <v>1095</v>
      </c>
      <c r="L17" s="211">
        <f t="shared" si="0"/>
        <v>3.9999999999054126E-3</v>
      </c>
    </row>
    <row r="18" spans="1:12">
      <c r="A18" s="613" t="s">
        <v>1095</v>
      </c>
      <c r="B18" s="219" t="s">
        <v>1175</v>
      </c>
      <c r="C18" s="219">
        <f>SUMIFS('calcul rapoarte'!$Q:$Q,'calcul rapoarte'!$B:$B,'Energy Control'!$A$12,'calcul rapoarte'!$P:$P,'Energy Control'!B18)</f>
        <v>59666</v>
      </c>
      <c r="D18" s="242">
        <f>SUMIFS('calcul rapoarte'!$R:$R,'calcul rapoarte'!$B:$B,'Energy Control'!$A$12,'calcul rapoarte'!$P:$P,'Energy Control'!B18)</f>
        <v>0.4395</v>
      </c>
      <c r="E18" s="219">
        <f>SUMIFS('calcul rapoarte'!$S:$S,'calcul rapoarte'!$B:$B,'Energy Control'!$A$12,'calcul rapoarte'!$P:$P,'Energy Control'!B18)</f>
        <v>26223.21</v>
      </c>
      <c r="F18" s="219">
        <f>SUMIFS('calcul rapoarte'!$T:$T,'calcul rapoarte'!$B:$B,'Energy Control'!$A$12,'calcul rapoarte'!$P:$P,'Energy Control'!B18)</f>
        <v>4982.41</v>
      </c>
      <c r="G18" s="219">
        <f>SUMIFS('calcul rapoarte'!$U:$U,'calcul rapoarte'!$B:$B,'Energy Control'!$A$12,'calcul rapoarte'!$P:$P,'Energy Control'!B18)</f>
        <v>31205.62</v>
      </c>
      <c r="J18" s="211" t="s">
        <v>1095</v>
      </c>
      <c r="L18" s="211">
        <f t="shared" si="0"/>
        <v>-3.0000000006111804E-3</v>
      </c>
    </row>
    <row r="19" spans="1:12">
      <c r="A19" s="614" t="s">
        <v>1095</v>
      </c>
      <c r="B19" s="219" t="s">
        <v>1412</v>
      </c>
      <c r="C19" s="219">
        <f>SUMIFS('calcul rapoarte'!$Q:$Q,'calcul rapoarte'!$B:$B,'Energy Control'!$A$12,'calcul rapoarte'!$P:$P,'Energy Control'!B19)</f>
        <v>0</v>
      </c>
      <c r="D19" s="242">
        <f>SUMIFS('calcul rapoarte'!$R:$R,'calcul rapoarte'!$B:$B,'Energy Control'!$A$12,'calcul rapoarte'!$P:$P,'Energy Control'!B19)</f>
        <v>0</v>
      </c>
      <c r="E19" s="219">
        <f>SUMIFS('calcul rapoarte'!$S:$S,'calcul rapoarte'!$B:$B,'Energy Control'!$A$12,'calcul rapoarte'!$P:$P,'Energy Control'!B19)</f>
        <v>0</v>
      </c>
      <c r="F19" s="219">
        <f>SUMIFS('calcul rapoarte'!$T:$T,'calcul rapoarte'!$B:$B,'Energy Control'!$A$12,'calcul rapoarte'!$P:$P,'Energy Control'!B19)</f>
        <v>0</v>
      </c>
      <c r="G19" s="219">
        <f>SUMIFS('calcul rapoarte'!$U:$U,'calcul rapoarte'!$B:$B,'Energy Control'!$A$12,'calcul rapoarte'!$P:$P,'Energy Control'!B19)</f>
        <v>0</v>
      </c>
      <c r="J19" s="211" t="s">
        <v>1095</v>
      </c>
      <c r="L19" s="211">
        <f t="shared" si="0"/>
        <v>0</v>
      </c>
    </row>
    <row r="20" spans="1:12">
      <c r="A20" s="612" t="s">
        <v>52</v>
      </c>
      <c r="B20" s="219" t="s">
        <v>1171</v>
      </c>
      <c r="C20" s="219">
        <f>SUMIFS('calcul rapoarte'!$Q:$Q,'calcul rapoarte'!$B:$B,'Energy Control'!$A$20,'calcul rapoarte'!$P:$P,'Energy Control'!B20)</f>
        <v>620018</v>
      </c>
      <c r="D20" s="242">
        <f>SUMIFS('calcul rapoarte'!$R:$R,'calcul rapoarte'!$B:$B,'Energy Control'!$A$20,'calcul rapoarte'!$P:$P,'Energy Control'!B20)</f>
        <v>0.96800799999999998</v>
      </c>
      <c r="E20" s="219">
        <f>SUMIFS('calcul rapoarte'!$S:$S,'calcul rapoarte'!$B:$B,'Energy Control'!$A$20,'calcul rapoarte'!$P:$P,'Energy Control'!B20)</f>
        <v>600182.14</v>
      </c>
      <c r="F20" s="219">
        <f>SUMIFS('calcul rapoarte'!$T:$T,'calcul rapoarte'!$B:$B,'Energy Control'!$A$20,'calcul rapoarte'!$P:$P,'Energy Control'!B20)</f>
        <v>114034.61</v>
      </c>
      <c r="G20" s="219">
        <f>SUMIFS('calcul rapoarte'!$U:$U,'calcul rapoarte'!$B:$B,'Energy Control'!$A$20,'calcul rapoarte'!$P:$P,'Energy Control'!B20)</f>
        <v>714216.75</v>
      </c>
      <c r="J20" s="211" t="s">
        <v>1095</v>
      </c>
      <c r="L20" s="211">
        <f t="shared" si="0"/>
        <v>0.24414399999659508</v>
      </c>
    </row>
    <row r="21" spans="1:12">
      <c r="A21" s="613" t="s">
        <v>1095</v>
      </c>
      <c r="B21" s="219" t="s">
        <v>1172</v>
      </c>
      <c r="C21" s="219">
        <f>SUMIFS('calcul rapoarte'!$Q:$Q,'calcul rapoarte'!$B:$B,'Energy Control'!$A$20,'calcul rapoarte'!$P:$P,'Energy Control'!B21)</f>
        <v>0</v>
      </c>
      <c r="D21" s="242">
        <f>SUMIFS('calcul rapoarte'!$R:$R,'calcul rapoarte'!$B:$B,'Energy Control'!$A$20,'calcul rapoarte'!$P:$P,'Energy Control'!B21)</f>
        <v>0.14649999999999999</v>
      </c>
      <c r="E21" s="219">
        <f>SUMIFS('calcul rapoarte'!$S:$S,'calcul rapoarte'!$B:$B,'Energy Control'!$A$20,'calcul rapoarte'!$P:$P,'Energy Control'!B21)</f>
        <v>0</v>
      </c>
      <c r="F21" s="219">
        <f>SUMIFS('calcul rapoarte'!$T:$T,'calcul rapoarte'!$B:$B,'Energy Control'!$A$20,'calcul rapoarte'!$P:$P,'Energy Control'!B21)</f>
        <v>0</v>
      </c>
      <c r="G21" s="219">
        <f>SUMIFS('calcul rapoarte'!$U:$U,'calcul rapoarte'!$B:$B,'Energy Control'!$A$20,'calcul rapoarte'!$P:$P,'Energy Control'!B21)</f>
        <v>0</v>
      </c>
      <c r="J21" s="211" t="s">
        <v>1095</v>
      </c>
      <c r="L21" s="211">
        <f t="shared" si="0"/>
        <v>0</v>
      </c>
    </row>
    <row r="22" spans="1:12">
      <c r="A22" s="613" t="s">
        <v>1095</v>
      </c>
      <c r="B22" s="219" t="s">
        <v>1173</v>
      </c>
      <c r="C22" s="219">
        <f>SUMIFS('calcul rapoarte'!$Q:$Q,'calcul rapoarte'!$B:$B,'Energy Control'!$A$20,'calcul rapoarte'!$P:$P,'Energy Control'!B22)</f>
        <v>0</v>
      </c>
      <c r="D22" s="242">
        <f>SUMIFS('calcul rapoarte'!$R:$R,'calcul rapoarte'!$B:$B,'Energy Control'!$A$20,'calcul rapoarte'!$P:$P,'Energy Control'!B22)</f>
        <v>0.4395</v>
      </c>
      <c r="E22" s="219">
        <f>SUMIFS('calcul rapoarte'!$S:$S,'calcul rapoarte'!$B:$B,'Energy Control'!$A$20,'calcul rapoarte'!$P:$P,'Energy Control'!B22)</f>
        <v>0</v>
      </c>
      <c r="F22" s="219">
        <f>SUMIFS('calcul rapoarte'!$T:$T,'calcul rapoarte'!$B:$B,'Energy Control'!$A$20,'calcul rapoarte'!$P:$P,'Energy Control'!B22)</f>
        <v>0</v>
      </c>
      <c r="G22" s="219">
        <f>SUMIFS('calcul rapoarte'!$U:$U,'calcul rapoarte'!$B:$B,'Energy Control'!$A$20,'calcul rapoarte'!$P:$P,'Energy Control'!B22)</f>
        <v>0</v>
      </c>
      <c r="J22" s="211" t="s">
        <v>1095</v>
      </c>
      <c r="L22" s="211">
        <f t="shared" si="0"/>
        <v>0</v>
      </c>
    </row>
    <row r="23" spans="1:12">
      <c r="A23" s="613" t="s">
        <v>1095</v>
      </c>
      <c r="B23" s="219" t="s">
        <v>1410</v>
      </c>
      <c r="C23" s="219">
        <f>SUMIFS('calcul rapoarte'!$Q:$Q,'calcul rapoarte'!$B:$B,'Energy Control'!$A$20,'calcul rapoarte'!$P:$P,'Energy Control'!B23)</f>
        <v>220510.50000000003</v>
      </c>
      <c r="D23" s="242">
        <f>SUMIFS('calcul rapoarte'!$R:$R,'calcul rapoarte'!$B:$B,'Energy Control'!$A$20,'calcul rapoarte'!$P:$P,'Energy Control'!B23)</f>
        <v>0.96800799999999998</v>
      </c>
      <c r="E23" s="219">
        <f>SUMIFS('calcul rapoarte'!$S:$S,'calcul rapoarte'!$B:$B,'Energy Control'!$A$20,'calcul rapoarte'!$P:$P,'Energy Control'!B23)</f>
        <v>213455.84</v>
      </c>
      <c r="F23" s="219">
        <f>SUMIFS('calcul rapoarte'!$T:$T,'calcul rapoarte'!$B:$B,'Energy Control'!$A$20,'calcul rapoarte'!$P:$P,'Energy Control'!B23)</f>
        <v>40556.61</v>
      </c>
      <c r="G23" s="219">
        <f>SUMIFS('calcul rapoarte'!$U:$U,'calcul rapoarte'!$B:$B,'Energy Control'!$A$20,'calcul rapoarte'!$P:$P,'Energy Control'!B23)</f>
        <v>254012.45</v>
      </c>
      <c r="L23" s="211">
        <f t="shared" si="0"/>
        <v>8.8084000017261133E-2</v>
      </c>
    </row>
    <row r="24" spans="1:12">
      <c r="A24" s="613" t="s">
        <v>1095</v>
      </c>
      <c r="B24" s="219" t="s">
        <v>1411</v>
      </c>
      <c r="C24" s="219">
        <f>SUMIFS('calcul rapoarte'!$Q:$Q,'calcul rapoarte'!$B:$B,'Energy Control'!$A$20,'calcul rapoarte'!$P:$P,'Energy Control'!B24)</f>
        <v>1</v>
      </c>
      <c r="D24" s="242">
        <f>SUMIFS('calcul rapoarte'!$R:$R,'calcul rapoarte'!$B:$B,'Energy Control'!$A$20,'calcul rapoarte'!$P:$P,'Energy Control'!B24)</f>
        <v>0.95</v>
      </c>
      <c r="E24" s="219">
        <f>SUMIFS('calcul rapoarte'!$S:$S,'calcul rapoarte'!$B:$B,'Energy Control'!$A$20,'calcul rapoarte'!$P:$P,'Energy Control'!B24)</f>
        <v>0.95</v>
      </c>
      <c r="F24" s="219">
        <f>SUMIFS('calcul rapoarte'!$T:$T,'calcul rapoarte'!$B:$B,'Energy Control'!$A$20,'calcul rapoarte'!$P:$P,'Energy Control'!B24)</f>
        <v>0.17</v>
      </c>
      <c r="G24" s="219">
        <f>SUMIFS('calcul rapoarte'!$U:$U,'calcul rapoarte'!$B:$B,'Energy Control'!$A$20,'calcul rapoarte'!$P:$P,'Energy Control'!B24)</f>
        <v>1.1200000000000001</v>
      </c>
      <c r="L24" s="211">
        <f t="shared" si="0"/>
        <v>0</v>
      </c>
    </row>
    <row r="25" spans="1:12">
      <c r="A25" s="613" t="s">
        <v>1095</v>
      </c>
      <c r="B25" s="219" t="s">
        <v>1174</v>
      </c>
      <c r="C25" s="219">
        <f>SUMIFS('calcul rapoarte'!$Q:$Q,'calcul rapoarte'!$B:$B,'Energy Control'!$A$20,'calcul rapoarte'!$P:$P,'Energy Control'!B25)</f>
        <v>0</v>
      </c>
      <c r="D25" s="242">
        <f>SUMIFS('calcul rapoarte'!$R:$R,'calcul rapoarte'!$B:$B,'Energy Control'!$A$20,'calcul rapoarte'!$P:$P,'Energy Control'!B25)</f>
        <v>0.14649999999999999</v>
      </c>
      <c r="E25" s="219">
        <f>SUMIFS('calcul rapoarte'!$S:$S,'calcul rapoarte'!$B:$B,'Energy Control'!$A$20,'calcul rapoarte'!$P:$P,'Energy Control'!B25)</f>
        <v>0</v>
      </c>
      <c r="F25" s="219">
        <f>SUMIFS('calcul rapoarte'!$T:$T,'calcul rapoarte'!$B:$B,'Energy Control'!$A$20,'calcul rapoarte'!$P:$P,'Energy Control'!B25)</f>
        <v>0</v>
      </c>
      <c r="G25" s="219">
        <f>SUMIFS('calcul rapoarte'!$U:$U,'calcul rapoarte'!$B:$B,'Energy Control'!$A$20,'calcul rapoarte'!$P:$P,'Energy Control'!B25)</f>
        <v>0</v>
      </c>
      <c r="L25" s="211">
        <f t="shared" si="0"/>
        <v>0</v>
      </c>
    </row>
    <row r="26" spans="1:12">
      <c r="A26" s="613" t="s">
        <v>1095</v>
      </c>
      <c r="B26" s="219" t="s">
        <v>1175</v>
      </c>
      <c r="C26" s="219">
        <f>SUMIFS('calcul rapoarte'!$Q:$Q,'calcul rapoarte'!$B:$B,'Energy Control'!$A$20,'calcul rapoarte'!$P:$P,'Energy Control'!B26)</f>
        <v>0</v>
      </c>
      <c r="D26" s="242">
        <f>SUMIFS('calcul rapoarte'!$R:$R,'calcul rapoarte'!$B:$B,'Energy Control'!$A$20,'calcul rapoarte'!$P:$P,'Energy Control'!B26)</f>
        <v>0.4395</v>
      </c>
      <c r="E26" s="219">
        <f>SUMIFS('calcul rapoarte'!$S:$S,'calcul rapoarte'!$B:$B,'Energy Control'!$A$20,'calcul rapoarte'!$P:$P,'Energy Control'!B26)</f>
        <v>0</v>
      </c>
      <c r="F26" s="219">
        <f>SUMIFS('calcul rapoarte'!$T:$T,'calcul rapoarte'!$B:$B,'Energy Control'!$A$20,'calcul rapoarte'!$P:$P,'Energy Control'!B26)</f>
        <v>0</v>
      </c>
      <c r="G26" s="219">
        <f>SUMIFS('calcul rapoarte'!$U:$U,'calcul rapoarte'!$B:$B,'Energy Control'!$A$20,'calcul rapoarte'!$P:$P,'Energy Control'!B26)</f>
        <v>0</v>
      </c>
      <c r="L26" s="211">
        <f t="shared" si="0"/>
        <v>0</v>
      </c>
    </row>
    <row r="27" spans="1:12">
      <c r="A27" s="614" t="s">
        <v>1095</v>
      </c>
      <c r="B27" s="219" t="s">
        <v>1412</v>
      </c>
      <c r="C27" s="219">
        <f>SUMIFS('calcul rapoarte'!$Q:$Q,'calcul rapoarte'!$B:$B,'Energy Control'!$A$20,'calcul rapoarte'!$P:$P,'Energy Control'!B27)</f>
        <v>0</v>
      </c>
      <c r="D27" s="242">
        <f>SUMIFS('calcul rapoarte'!$R:$R,'calcul rapoarte'!$B:$B,'Energy Control'!$A$20,'calcul rapoarte'!$P:$P,'Energy Control'!B27)</f>
        <v>0</v>
      </c>
      <c r="E27" s="219">
        <f>SUMIFS('calcul rapoarte'!$S:$S,'calcul rapoarte'!$B:$B,'Energy Control'!$A$20,'calcul rapoarte'!$P:$P,'Energy Control'!B27)</f>
        <v>0</v>
      </c>
      <c r="F27" s="219">
        <f>SUMIFS('calcul rapoarte'!$T:$T,'calcul rapoarte'!$B:$B,'Energy Control'!$A$20,'calcul rapoarte'!$P:$P,'Energy Control'!B27)</f>
        <v>0</v>
      </c>
      <c r="G27" s="219">
        <f>SUMIFS('calcul rapoarte'!$U:$U,'calcul rapoarte'!$B:$B,'Energy Control'!$A$20,'calcul rapoarte'!$P:$P,'Energy Control'!B27)</f>
        <v>0</v>
      </c>
      <c r="J27" s="211" t="s">
        <v>1095</v>
      </c>
      <c r="L27" s="211">
        <f t="shared" si="0"/>
        <v>0</v>
      </c>
    </row>
    <row r="28" spans="1:12">
      <c r="A28" s="612" t="s">
        <v>53</v>
      </c>
      <c r="B28" s="219" t="s">
        <v>1171</v>
      </c>
      <c r="C28" s="219">
        <f>SUMIFS('calcul rapoarte'!$Q:$Q,'calcul rapoarte'!$B:$B,'Energy Control'!$A$28,'calcul rapoarte'!$P:$P,'Energy Control'!B28)</f>
        <v>313151</v>
      </c>
      <c r="D28" s="242">
        <f>SUMIFS('calcul rapoarte'!$R:$R,'calcul rapoarte'!$B:$B,'Energy Control'!$A$28,'calcul rapoarte'!$P:$P,'Energy Control'!B28)</f>
        <v>0.94855800000000001</v>
      </c>
      <c r="E28" s="219">
        <f>SUMIFS('calcul rapoarte'!$S:$S,'calcul rapoarte'!$B:$B,'Energy Control'!$A$28,'calcul rapoarte'!$P:$P,'Energy Control'!B28)</f>
        <v>297041.78000000003</v>
      </c>
      <c r="F28" s="219">
        <f>SUMIFS('calcul rapoarte'!$T:$T,'calcul rapoarte'!$B:$B,'Energy Control'!$A$28,'calcul rapoarte'!$P:$P,'Energy Control'!B28)</f>
        <v>56437.94</v>
      </c>
      <c r="G28" s="219">
        <f>SUMIFS('calcul rapoarte'!$U:$U,'calcul rapoarte'!$B:$B,'Energy Control'!$A$28,'calcul rapoarte'!$P:$P,'Energy Control'!B28)</f>
        <v>353479.72</v>
      </c>
      <c r="J28" s="211" t="s">
        <v>1095</v>
      </c>
      <c r="L28" s="211">
        <f t="shared" si="0"/>
        <v>0.10625799995614216</v>
      </c>
    </row>
    <row r="29" spans="1:12">
      <c r="A29" s="613" t="s">
        <v>1095</v>
      </c>
      <c r="B29" s="219" t="s">
        <v>1172</v>
      </c>
      <c r="C29" s="219">
        <f>SUMIFS('calcul rapoarte'!$Q:$Q,'calcul rapoarte'!$B:$B,'Energy Control'!$A$28,'calcul rapoarte'!$P:$P,'Energy Control'!B29)</f>
        <v>0</v>
      </c>
      <c r="D29" s="242">
        <f>SUMIFS('calcul rapoarte'!$R:$R,'calcul rapoarte'!$B:$B,'Energy Control'!$A$28,'calcul rapoarte'!$P:$P,'Energy Control'!B29)</f>
        <v>0.14660000000000001</v>
      </c>
      <c r="E29" s="219">
        <f>SUMIFS('calcul rapoarte'!$S:$S,'calcul rapoarte'!$B:$B,'Energy Control'!$A$28,'calcul rapoarte'!$P:$P,'Energy Control'!B29)</f>
        <v>0</v>
      </c>
      <c r="F29" s="219">
        <f>SUMIFS('calcul rapoarte'!$T:$T,'calcul rapoarte'!$B:$B,'Energy Control'!$A$28,'calcul rapoarte'!$P:$P,'Energy Control'!B29)</f>
        <v>0</v>
      </c>
      <c r="G29" s="219">
        <f>SUMIFS('calcul rapoarte'!$U:$U,'calcul rapoarte'!$B:$B,'Energy Control'!$A$28,'calcul rapoarte'!$P:$P,'Energy Control'!B29)</f>
        <v>0</v>
      </c>
      <c r="J29" s="211" t="s">
        <v>1095</v>
      </c>
      <c r="L29" s="211">
        <f t="shared" si="0"/>
        <v>0</v>
      </c>
    </row>
    <row r="30" spans="1:12">
      <c r="A30" s="613" t="s">
        <v>1095</v>
      </c>
      <c r="B30" s="219" t="s">
        <v>1173</v>
      </c>
      <c r="C30" s="219">
        <f>SUMIFS('calcul rapoarte'!$Q:$Q,'calcul rapoarte'!$B:$B,'Energy Control'!$A$28,'calcul rapoarte'!$P:$P,'Energy Control'!B30)</f>
        <v>0</v>
      </c>
      <c r="D30" s="242">
        <f>SUMIFS('calcul rapoarte'!$R:$R,'calcul rapoarte'!$B:$B,'Energy Control'!$A$28,'calcul rapoarte'!$P:$P,'Energy Control'!B30)</f>
        <v>0.43980000000000002</v>
      </c>
      <c r="E30" s="219">
        <f>SUMIFS('calcul rapoarte'!$S:$S,'calcul rapoarte'!$B:$B,'Energy Control'!$A$28,'calcul rapoarte'!$P:$P,'Energy Control'!B30)</f>
        <v>0</v>
      </c>
      <c r="F30" s="219">
        <f>SUMIFS('calcul rapoarte'!$T:$T,'calcul rapoarte'!$B:$B,'Energy Control'!$A$28,'calcul rapoarte'!$P:$P,'Energy Control'!B30)</f>
        <v>0</v>
      </c>
      <c r="G30" s="219">
        <f>SUMIFS('calcul rapoarte'!$U:$U,'calcul rapoarte'!$B:$B,'Energy Control'!$A$28,'calcul rapoarte'!$P:$P,'Energy Control'!B30)</f>
        <v>0</v>
      </c>
      <c r="J30" s="211" t="s">
        <v>1095</v>
      </c>
      <c r="L30" s="211">
        <f t="shared" si="0"/>
        <v>0</v>
      </c>
    </row>
    <row r="31" spans="1:12">
      <c r="A31" s="613" t="s">
        <v>1095</v>
      </c>
      <c r="B31" s="219" t="s">
        <v>1410</v>
      </c>
      <c r="C31" s="219">
        <f>SUMIFS('calcul rapoarte'!$Q:$Q,'calcul rapoarte'!$B:$B,'Energy Control'!$A$28,'calcul rapoarte'!$P:$P,'Energy Control'!B31)</f>
        <v>125962</v>
      </c>
      <c r="D31" s="242">
        <f>SUMIFS('calcul rapoarte'!$R:$R,'calcul rapoarte'!$B:$B,'Energy Control'!$A$28,'calcul rapoarte'!$P:$P,'Energy Control'!B31)</f>
        <v>0.94855800000000001</v>
      </c>
      <c r="E31" s="219">
        <f>SUMIFS('calcul rapoarte'!$S:$S,'calcul rapoarte'!$B:$B,'Energy Control'!$A$28,'calcul rapoarte'!$P:$P,'Energy Control'!B31)</f>
        <v>119482.21</v>
      </c>
      <c r="F31" s="219">
        <f>SUMIFS('calcul rapoarte'!$T:$T,'calcul rapoarte'!$B:$B,'Energy Control'!$A$28,'calcul rapoarte'!$P:$P,'Energy Control'!B31)</f>
        <v>22701.62</v>
      </c>
      <c r="G31" s="219">
        <f>SUMIFS('calcul rapoarte'!$U:$U,'calcul rapoarte'!$B:$B,'Energy Control'!$A$28,'calcul rapoarte'!$P:$P,'Energy Control'!B31)</f>
        <v>142183.82999999999</v>
      </c>
      <c r="J31" s="211" t="s">
        <v>1095</v>
      </c>
      <c r="L31" s="211">
        <f t="shared" si="0"/>
        <v>5.2795999989029951E-2</v>
      </c>
    </row>
    <row r="32" spans="1:12">
      <c r="A32" s="613" t="s">
        <v>1095</v>
      </c>
      <c r="B32" s="219" t="s">
        <v>1411</v>
      </c>
      <c r="C32" s="219">
        <f>SUMIFS('calcul rapoarte'!$Q:$Q,'calcul rapoarte'!$B:$B,'Energy Control'!$A$28,'calcul rapoarte'!$P:$P,'Energy Control'!B32)</f>
        <v>0</v>
      </c>
      <c r="D32" s="242">
        <f>SUMIFS('calcul rapoarte'!$R:$R,'calcul rapoarte'!$B:$B,'Energy Control'!$A$28,'calcul rapoarte'!$P:$P,'Energy Control'!B32)</f>
        <v>0</v>
      </c>
      <c r="E32" s="219">
        <f>SUMIFS('calcul rapoarte'!$S:$S,'calcul rapoarte'!$B:$B,'Energy Control'!$A$28,'calcul rapoarte'!$P:$P,'Energy Control'!B32)</f>
        <v>0</v>
      </c>
      <c r="F32" s="219">
        <f>SUMIFS('calcul rapoarte'!$T:$T,'calcul rapoarte'!$B:$B,'Energy Control'!$A$28,'calcul rapoarte'!$P:$P,'Energy Control'!B32)</f>
        <v>0</v>
      </c>
      <c r="G32" s="219">
        <f>SUMIFS('calcul rapoarte'!$U:$U,'calcul rapoarte'!$B:$B,'Energy Control'!$A$28,'calcul rapoarte'!$P:$P,'Energy Control'!B32)</f>
        <v>0</v>
      </c>
      <c r="J32" s="211" t="s">
        <v>1095</v>
      </c>
      <c r="L32" s="211">
        <f t="shared" si="0"/>
        <v>0</v>
      </c>
    </row>
    <row r="33" spans="1:12">
      <c r="A33" s="613" t="s">
        <v>1095</v>
      </c>
      <c r="B33" s="219" t="s">
        <v>1174</v>
      </c>
      <c r="C33" s="219">
        <f>SUMIFS('calcul rapoarte'!$Q:$Q,'calcul rapoarte'!$B:$B,'Energy Control'!$A$28,'calcul rapoarte'!$P:$P,'Energy Control'!B33)</f>
        <v>382</v>
      </c>
      <c r="D33" s="242">
        <f>SUMIFS('calcul rapoarte'!$R:$R,'calcul rapoarte'!$B:$B,'Energy Control'!$A$28,'calcul rapoarte'!$P:$P,'Energy Control'!B33)</f>
        <v>0.14660000000000001</v>
      </c>
      <c r="E33" s="219">
        <f>SUMIFS('calcul rapoarte'!$S:$S,'calcul rapoarte'!$B:$B,'Energy Control'!$A$28,'calcul rapoarte'!$P:$P,'Energy Control'!B33)</f>
        <v>56</v>
      </c>
      <c r="F33" s="219">
        <f>SUMIFS('calcul rapoarte'!$T:$T,'calcul rapoarte'!$B:$B,'Energy Control'!$A$28,'calcul rapoarte'!$P:$P,'Energy Control'!B33)</f>
        <v>10.64</v>
      </c>
      <c r="G33" s="219">
        <f>SUMIFS('calcul rapoarte'!$U:$U,'calcul rapoarte'!$B:$B,'Energy Control'!$A$28,'calcul rapoarte'!$P:$P,'Energy Control'!B33)</f>
        <v>66.64</v>
      </c>
      <c r="J33" s="211" t="s">
        <v>1095</v>
      </c>
      <c r="L33" s="211">
        <f t="shared" si="0"/>
        <v>1.2000000000043087E-3</v>
      </c>
    </row>
    <row r="34" spans="1:12">
      <c r="A34" s="613" t="s">
        <v>1095</v>
      </c>
      <c r="B34" s="219" t="s">
        <v>1175</v>
      </c>
      <c r="C34" s="219">
        <f>SUMIFS('calcul rapoarte'!$Q:$Q,'calcul rapoarte'!$B:$B,'Energy Control'!$A$28,'calcul rapoarte'!$P:$P,'Energy Control'!B34)</f>
        <v>65</v>
      </c>
      <c r="D34" s="242">
        <f>SUMIFS('calcul rapoarte'!$R:$R,'calcul rapoarte'!$B:$B,'Energy Control'!$A$28,'calcul rapoarte'!$P:$P,'Energy Control'!B34)</f>
        <v>0.43980000000000002</v>
      </c>
      <c r="E34" s="219">
        <f>SUMIFS('calcul rapoarte'!$S:$S,'calcul rapoarte'!$B:$B,'Energy Control'!$A$28,'calcul rapoarte'!$P:$P,'Energy Control'!B34)</f>
        <v>28.59</v>
      </c>
      <c r="F34" s="219">
        <f>SUMIFS('calcul rapoarte'!$T:$T,'calcul rapoarte'!$B:$B,'Energy Control'!$A$28,'calcul rapoarte'!$P:$P,'Energy Control'!B34)</f>
        <v>5.43</v>
      </c>
      <c r="G34" s="219">
        <f>SUMIFS('calcul rapoarte'!$U:$U,'calcul rapoarte'!$B:$B,'Energy Control'!$A$28,'calcul rapoarte'!$P:$P,'Energy Control'!B34)</f>
        <v>34.020000000000003</v>
      </c>
      <c r="J34" s="211" t="s">
        <v>1095</v>
      </c>
      <c r="L34" s="211">
        <f t="shared" si="0"/>
        <v>-2.999999999996561E-3</v>
      </c>
    </row>
    <row r="35" spans="1:12">
      <c r="A35" s="614" t="s">
        <v>1095</v>
      </c>
      <c r="B35" s="219" t="s">
        <v>1412</v>
      </c>
      <c r="C35" s="219">
        <f>SUMIFS('calcul rapoarte'!$Q:$Q,'calcul rapoarte'!$B:$B,'Energy Control'!$A$28,'calcul rapoarte'!$P:$P,'Energy Control'!B35)</f>
        <v>0</v>
      </c>
      <c r="D35" s="242">
        <f>SUMIFS('calcul rapoarte'!$R:$R,'calcul rapoarte'!$B:$B,'Energy Control'!$A$28,'calcul rapoarte'!$P:$P,'Energy Control'!B35)</f>
        <v>0</v>
      </c>
      <c r="E35" s="219">
        <f>SUMIFS('calcul rapoarte'!$S:$S,'calcul rapoarte'!$B:$B,'Energy Control'!$A$28,'calcul rapoarte'!$P:$P,'Energy Control'!B35)</f>
        <v>0</v>
      </c>
      <c r="F35" s="219">
        <f>SUMIFS('calcul rapoarte'!$T:$T,'calcul rapoarte'!$B:$B,'Energy Control'!$A$28,'calcul rapoarte'!$P:$P,'Energy Control'!B35)</f>
        <v>0</v>
      </c>
      <c r="G35" s="219">
        <f>SUMIFS('calcul rapoarte'!$U:$U,'calcul rapoarte'!$B:$B,'Energy Control'!$A$28,'calcul rapoarte'!$P:$P,'Energy Control'!B35)</f>
        <v>0</v>
      </c>
      <c r="J35" s="211" t="s">
        <v>1095</v>
      </c>
      <c r="L35" s="211">
        <f t="shared" si="0"/>
        <v>0</v>
      </c>
    </row>
    <row r="36" spans="1:12">
      <c r="A36" s="612" t="s">
        <v>54</v>
      </c>
      <c r="B36" s="219" t="s">
        <v>1171</v>
      </c>
      <c r="C36" s="219">
        <f>SUMIFS('calcul rapoarte'!$Q:$Q,'calcul rapoarte'!$B:$B,'Energy Control'!$A$36,'calcul rapoarte'!$P:$P,'Energy Control'!B36)</f>
        <v>376703</v>
      </c>
      <c r="D36" s="242">
        <f>SUMIFS('calcul rapoarte'!$R:$R,'calcul rapoarte'!$B:$B,'Energy Control'!$A$36,'calcul rapoarte'!$P:$P,'Energy Control'!B36)</f>
        <v>0.94380799999999998</v>
      </c>
      <c r="E36" s="219">
        <f>SUMIFS('calcul rapoarte'!$S:$S,'calcul rapoarte'!$B:$B,'Energy Control'!$A$36,'calcul rapoarte'!$P:$P,'Energy Control'!B36)</f>
        <v>355535.16</v>
      </c>
      <c r="F36" s="219">
        <f>SUMIFS('calcul rapoarte'!$T:$T,'calcul rapoarte'!$B:$B,'Energy Control'!$A$36,'calcul rapoarte'!$P:$P,'Energy Control'!B36)</f>
        <v>67551.69</v>
      </c>
      <c r="G36" s="219">
        <f>SUMIFS('calcul rapoarte'!$U:$U,'calcul rapoarte'!$B:$B,'Energy Control'!$A$36,'calcul rapoarte'!$P:$P,'Energy Control'!B36)</f>
        <v>423086.85</v>
      </c>
      <c r="J36" s="211" t="s">
        <v>1095</v>
      </c>
      <c r="L36" s="211">
        <f t="shared" si="0"/>
        <v>0.14502400002675131</v>
      </c>
    </row>
    <row r="37" spans="1:12">
      <c r="A37" s="613" t="s">
        <v>1095</v>
      </c>
      <c r="B37" s="219" t="s">
        <v>1172</v>
      </c>
      <c r="C37" s="219">
        <f>SUMIFS('calcul rapoarte'!$Q:$Q,'calcul rapoarte'!$B:$B,'Energy Control'!$A$36,'calcul rapoarte'!$P:$P,'Energy Control'!B37)</f>
        <v>0</v>
      </c>
      <c r="D37" s="242">
        <f>SUMIFS('calcul rapoarte'!$R:$R,'calcul rapoarte'!$B:$B,'Energy Control'!$A$36,'calcul rapoarte'!$P:$P,'Energy Control'!B37)</f>
        <v>0.14649999999999999</v>
      </c>
      <c r="E37" s="219">
        <f>SUMIFS('calcul rapoarte'!$S:$S,'calcul rapoarte'!$B:$B,'Energy Control'!$A$36,'calcul rapoarte'!$P:$P,'Energy Control'!B37)</f>
        <v>0</v>
      </c>
      <c r="F37" s="219">
        <f>SUMIFS('calcul rapoarte'!$T:$T,'calcul rapoarte'!$B:$B,'Energy Control'!$A$36,'calcul rapoarte'!$P:$P,'Energy Control'!B37)</f>
        <v>0</v>
      </c>
      <c r="G37" s="219">
        <f>SUMIFS('calcul rapoarte'!$U:$U,'calcul rapoarte'!$B:$B,'Energy Control'!$A$36,'calcul rapoarte'!$P:$P,'Energy Control'!B37)</f>
        <v>0</v>
      </c>
      <c r="J37" s="211" t="s">
        <v>1095</v>
      </c>
      <c r="L37" s="211">
        <f t="shared" si="0"/>
        <v>0</v>
      </c>
    </row>
    <row r="38" spans="1:12">
      <c r="A38" s="613" t="s">
        <v>1095</v>
      </c>
      <c r="B38" s="219" t="s">
        <v>1173</v>
      </c>
      <c r="C38" s="219">
        <f>SUMIFS('calcul rapoarte'!$Q:$Q,'calcul rapoarte'!$B:$B,'Energy Control'!$A$36,'calcul rapoarte'!$P:$P,'Energy Control'!B38)</f>
        <v>0</v>
      </c>
      <c r="D38" s="242">
        <f>SUMIFS('calcul rapoarte'!$R:$R,'calcul rapoarte'!$B:$B,'Energy Control'!$A$36,'calcul rapoarte'!$P:$P,'Energy Control'!B38)</f>
        <v>0.4395</v>
      </c>
      <c r="E38" s="219">
        <f>SUMIFS('calcul rapoarte'!$S:$S,'calcul rapoarte'!$B:$B,'Energy Control'!$A$36,'calcul rapoarte'!$P:$P,'Energy Control'!B38)</f>
        <v>0</v>
      </c>
      <c r="F38" s="219">
        <f>SUMIFS('calcul rapoarte'!$T:$T,'calcul rapoarte'!$B:$B,'Energy Control'!$A$36,'calcul rapoarte'!$P:$P,'Energy Control'!B38)</f>
        <v>0</v>
      </c>
      <c r="G38" s="219">
        <f>SUMIFS('calcul rapoarte'!$U:$U,'calcul rapoarte'!$B:$B,'Energy Control'!$A$36,'calcul rapoarte'!$P:$P,'Energy Control'!B38)</f>
        <v>0</v>
      </c>
      <c r="J38" s="211" t="s">
        <v>1095</v>
      </c>
      <c r="L38" s="211">
        <f t="shared" si="0"/>
        <v>0</v>
      </c>
    </row>
    <row r="39" spans="1:12">
      <c r="A39" s="613" t="s">
        <v>1095</v>
      </c>
      <c r="B39" s="219" t="s">
        <v>1410</v>
      </c>
      <c r="C39" s="219">
        <f>SUMIFS('calcul rapoarte'!$Q:$Q,'calcul rapoarte'!$B:$B,'Energy Control'!$A$36,'calcul rapoarte'!$P:$P,'Energy Control'!B39)</f>
        <v>39479</v>
      </c>
      <c r="D39" s="242">
        <f>SUMIFS('calcul rapoarte'!$R:$R,'calcul rapoarte'!$B:$B,'Energy Control'!$A$36,'calcul rapoarte'!$P:$P,'Energy Control'!B39)</f>
        <v>0.94380799999999998</v>
      </c>
      <c r="E39" s="219">
        <f>SUMIFS('calcul rapoarte'!$S:$S,'calcul rapoarte'!$B:$B,'Energy Control'!$A$36,'calcul rapoarte'!$P:$P,'Energy Control'!B39)</f>
        <v>37260.58</v>
      </c>
      <c r="F39" s="219">
        <f>SUMIFS('calcul rapoarte'!$T:$T,'calcul rapoarte'!$B:$B,'Energy Control'!$A$36,'calcul rapoarte'!$P:$P,'Energy Control'!B39)</f>
        <v>7079.51</v>
      </c>
      <c r="G39" s="219">
        <f>SUMIFS('calcul rapoarte'!$U:$U,'calcul rapoarte'!$B:$B,'Energy Control'!$A$36,'calcul rapoarte'!$P:$P,'Energy Control'!B39)</f>
        <v>44340.09</v>
      </c>
      <c r="J39" s="211" t="s">
        <v>1095</v>
      </c>
      <c r="L39" s="211">
        <f t="shared" si="0"/>
        <v>1.6031999999540858E-2</v>
      </c>
    </row>
    <row r="40" spans="1:12">
      <c r="A40" s="613" t="s">
        <v>1095</v>
      </c>
      <c r="B40" s="219" t="s">
        <v>1411</v>
      </c>
      <c r="C40" s="219">
        <f>SUMIFS('calcul rapoarte'!$Q:$Q,'calcul rapoarte'!$B:$B,'Energy Control'!$A$36,'calcul rapoarte'!$P:$P,'Energy Control'!B40)</f>
        <v>0</v>
      </c>
      <c r="D40" s="242">
        <f>SUMIFS('calcul rapoarte'!$R:$R,'calcul rapoarte'!$B:$B,'Energy Control'!$A$36,'calcul rapoarte'!$P:$P,'Energy Control'!B40)</f>
        <v>0</v>
      </c>
      <c r="E40" s="219">
        <f>SUMIFS('calcul rapoarte'!$S:$S,'calcul rapoarte'!$B:$B,'Energy Control'!$A$36,'calcul rapoarte'!$P:$P,'Energy Control'!B40)</f>
        <v>0</v>
      </c>
      <c r="F40" s="219">
        <f>SUMIFS('calcul rapoarte'!$T:$T,'calcul rapoarte'!$B:$B,'Energy Control'!$A$36,'calcul rapoarte'!$P:$P,'Energy Control'!B40)</f>
        <v>0</v>
      </c>
      <c r="G40" s="219">
        <f>SUMIFS('calcul rapoarte'!$U:$U,'calcul rapoarte'!$B:$B,'Energy Control'!$A$36,'calcul rapoarte'!$P:$P,'Energy Control'!B40)</f>
        <v>0</v>
      </c>
      <c r="J40" s="211" t="s">
        <v>1095</v>
      </c>
      <c r="L40" s="211">
        <f t="shared" si="0"/>
        <v>0</v>
      </c>
    </row>
    <row r="41" spans="1:12">
      <c r="A41" s="613" t="s">
        <v>1095</v>
      </c>
      <c r="B41" s="219" t="s">
        <v>1174</v>
      </c>
      <c r="C41" s="219">
        <f>SUMIFS('calcul rapoarte'!$Q:$Q,'calcul rapoarte'!$B:$B,'Energy Control'!$A$36,'calcul rapoarte'!$P:$P,'Energy Control'!B41)</f>
        <v>0</v>
      </c>
      <c r="D41" s="242">
        <f>SUMIFS('calcul rapoarte'!$R:$R,'calcul rapoarte'!$B:$B,'Energy Control'!$A$36,'calcul rapoarte'!$P:$P,'Energy Control'!B41)</f>
        <v>0.14649999999999999</v>
      </c>
      <c r="E41" s="219">
        <f>SUMIFS('calcul rapoarte'!$S:$S,'calcul rapoarte'!$B:$B,'Energy Control'!$A$36,'calcul rapoarte'!$P:$P,'Energy Control'!B41)</f>
        <v>0</v>
      </c>
      <c r="F41" s="219">
        <f>SUMIFS('calcul rapoarte'!$T:$T,'calcul rapoarte'!$B:$B,'Energy Control'!$A$36,'calcul rapoarte'!$P:$P,'Energy Control'!B41)</f>
        <v>0</v>
      </c>
      <c r="G41" s="219">
        <f>SUMIFS('calcul rapoarte'!$U:$U,'calcul rapoarte'!$B:$B,'Energy Control'!$A$36,'calcul rapoarte'!$P:$P,'Energy Control'!B41)</f>
        <v>0</v>
      </c>
      <c r="L41" s="211">
        <f t="shared" si="0"/>
        <v>0</v>
      </c>
    </row>
    <row r="42" spans="1:12">
      <c r="A42" s="613" t="s">
        <v>1095</v>
      </c>
      <c r="B42" s="219" t="s">
        <v>1175</v>
      </c>
      <c r="C42" s="219">
        <f>SUMIFS('calcul rapoarte'!$Q:$Q,'calcul rapoarte'!$B:$B,'Energy Control'!$A$36,'calcul rapoarte'!$P:$P,'Energy Control'!B42)</f>
        <v>0</v>
      </c>
      <c r="D42" s="242">
        <f>SUMIFS('calcul rapoarte'!$R:$R,'calcul rapoarte'!$B:$B,'Energy Control'!$A$36,'calcul rapoarte'!$P:$P,'Energy Control'!B42)</f>
        <v>0.4395</v>
      </c>
      <c r="E42" s="219">
        <f>SUMIFS('calcul rapoarte'!$S:$S,'calcul rapoarte'!$B:$B,'Energy Control'!$A$36,'calcul rapoarte'!$P:$P,'Energy Control'!B42)</f>
        <v>0</v>
      </c>
      <c r="F42" s="219">
        <f>SUMIFS('calcul rapoarte'!$T:$T,'calcul rapoarte'!$B:$B,'Energy Control'!$A$36,'calcul rapoarte'!$P:$P,'Energy Control'!B42)</f>
        <v>0</v>
      </c>
      <c r="G42" s="219">
        <f>SUMIFS('calcul rapoarte'!$U:$U,'calcul rapoarte'!$B:$B,'Energy Control'!$A$36,'calcul rapoarte'!$P:$P,'Energy Control'!B42)</f>
        <v>0</v>
      </c>
      <c r="J42" s="211" t="s">
        <v>1095</v>
      </c>
      <c r="L42" s="211">
        <f t="shared" si="0"/>
        <v>0</v>
      </c>
    </row>
    <row r="43" spans="1:12">
      <c r="A43" s="614" t="s">
        <v>1095</v>
      </c>
      <c r="B43" s="219" t="s">
        <v>1412</v>
      </c>
      <c r="C43" s="219">
        <f>SUMIFS('calcul rapoarte'!$Q:$Q,'calcul rapoarte'!$B:$B,'Energy Control'!$A$36,'calcul rapoarte'!$P:$P,'Energy Control'!B43)</f>
        <v>0</v>
      </c>
      <c r="D43" s="242">
        <f>SUMIFS('calcul rapoarte'!$R:$R,'calcul rapoarte'!$B:$B,'Energy Control'!$A$36,'calcul rapoarte'!$P:$P,'Energy Control'!B43)</f>
        <v>0</v>
      </c>
      <c r="E43" s="219">
        <f>SUMIFS('calcul rapoarte'!$S:$S,'calcul rapoarte'!$B:$B,'Energy Control'!$A$36,'calcul rapoarte'!$P:$P,'Energy Control'!B43)</f>
        <v>0</v>
      </c>
      <c r="F43" s="219">
        <f>SUMIFS('calcul rapoarte'!$T:$T,'calcul rapoarte'!$B:$B,'Energy Control'!$A$36,'calcul rapoarte'!$P:$P,'Energy Control'!B43)</f>
        <v>0</v>
      </c>
      <c r="G43" s="219">
        <f>SUMIFS('calcul rapoarte'!$U:$U,'calcul rapoarte'!$B:$B,'Energy Control'!$A$36,'calcul rapoarte'!$P:$P,'Energy Control'!B43)</f>
        <v>0</v>
      </c>
      <c r="J43" s="211" t="s">
        <v>1095</v>
      </c>
      <c r="L43" s="211">
        <f t="shared" si="0"/>
        <v>0</v>
      </c>
    </row>
    <row r="44" spans="1:12">
      <c r="A44" s="612" t="s">
        <v>55</v>
      </c>
      <c r="B44" s="219" t="s">
        <v>1171</v>
      </c>
      <c r="C44" s="219">
        <f>SUMIFS('calcul rapoarte'!$Q:$Q,'calcul rapoarte'!$B:$B,'Energy Control'!$A$44,'calcul rapoarte'!$P:$P,'Energy Control'!B44)</f>
        <v>440919</v>
      </c>
      <c r="D44" s="242">
        <f>SUMIFS('calcul rapoarte'!$R:$R,'calcul rapoarte'!$B:$B,'Energy Control'!$A$44,'calcul rapoarte'!$P:$P,'Energy Control'!B44)</f>
        <v>0.90005800000000002</v>
      </c>
      <c r="E44" s="219">
        <f>SUMIFS('calcul rapoarte'!$S:$S,'calcul rapoarte'!$B:$B,'Energy Control'!$A$44,'calcul rapoarte'!$P:$P,'Energy Control'!B44)</f>
        <v>396852.5</v>
      </c>
      <c r="F44" s="219">
        <f>SUMIFS('calcul rapoarte'!$T:$T,'calcul rapoarte'!$B:$B,'Energy Control'!$A$44,'calcul rapoarte'!$P:$P,'Energy Control'!B44)</f>
        <v>75401.98</v>
      </c>
      <c r="G44" s="219">
        <f>SUMIFS('calcul rapoarte'!$U:$U,'calcul rapoarte'!$B:$B,'Energy Control'!$A$44,'calcul rapoarte'!$P:$P,'Energy Control'!B44)</f>
        <v>472254.48</v>
      </c>
      <c r="J44" s="211" t="s">
        <v>1095</v>
      </c>
      <c r="L44" s="211">
        <f t="shared" si="0"/>
        <v>0.17330200003925711</v>
      </c>
    </row>
    <row r="45" spans="1:12">
      <c r="A45" s="613" t="s">
        <v>1095</v>
      </c>
      <c r="B45" s="219" t="s">
        <v>1172</v>
      </c>
      <c r="C45" s="219">
        <f>SUMIFS('calcul rapoarte'!$Q:$Q,'calcul rapoarte'!$B:$B,'Energy Control'!$A$44,'calcul rapoarte'!$P:$P,'Energy Control'!B45)</f>
        <v>0</v>
      </c>
      <c r="D45" s="242">
        <f>SUMIFS('calcul rapoarte'!$R:$R,'calcul rapoarte'!$B:$B,'Energy Control'!$A$44,'calcul rapoarte'!$P:$P,'Energy Control'!B45)</f>
        <v>0.14660000000000001</v>
      </c>
      <c r="E45" s="219">
        <f>SUMIFS('calcul rapoarte'!$S:$S,'calcul rapoarte'!$B:$B,'Energy Control'!$A$44,'calcul rapoarte'!$P:$P,'Energy Control'!B45)</f>
        <v>0</v>
      </c>
      <c r="F45" s="219">
        <f>SUMIFS('calcul rapoarte'!$T:$T,'calcul rapoarte'!$B:$B,'Energy Control'!$A$44,'calcul rapoarte'!$P:$P,'Energy Control'!B45)</f>
        <v>0</v>
      </c>
      <c r="G45" s="219">
        <f>SUMIFS('calcul rapoarte'!$U:$U,'calcul rapoarte'!$B:$B,'Energy Control'!$A$44,'calcul rapoarte'!$P:$P,'Energy Control'!B45)</f>
        <v>0</v>
      </c>
      <c r="J45" s="211" t="s">
        <v>1095</v>
      </c>
      <c r="L45" s="211">
        <f t="shared" si="0"/>
        <v>0</v>
      </c>
    </row>
    <row r="46" spans="1:12">
      <c r="A46" s="613" t="s">
        <v>1095</v>
      </c>
      <c r="B46" s="219" t="s">
        <v>1173</v>
      </c>
      <c r="C46" s="219">
        <f>SUMIFS('calcul rapoarte'!$Q:$Q,'calcul rapoarte'!$B:$B,'Energy Control'!$A$44,'calcul rapoarte'!$P:$P,'Energy Control'!B46)</f>
        <v>0</v>
      </c>
      <c r="D46" s="242">
        <f>SUMIFS('calcul rapoarte'!$R:$R,'calcul rapoarte'!$B:$B,'Energy Control'!$A$44,'calcul rapoarte'!$P:$P,'Energy Control'!B46)</f>
        <v>0.43980000000000002</v>
      </c>
      <c r="E46" s="219">
        <f>SUMIFS('calcul rapoarte'!$S:$S,'calcul rapoarte'!$B:$B,'Energy Control'!$A$44,'calcul rapoarte'!$P:$P,'Energy Control'!B46)</f>
        <v>0</v>
      </c>
      <c r="F46" s="219">
        <f>SUMIFS('calcul rapoarte'!$T:$T,'calcul rapoarte'!$B:$B,'Energy Control'!$A$44,'calcul rapoarte'!$P:$P,'Energy Control'!B46)</f>
        <v>0</v>
      </c>
      <c r="G46" s="219">
        <f>SUMIFS('calcul rapoarte'!$U:$U,'calcul rapoarte'!$B:$B,'Energy Control'!$A$44,'calcul rapoarte'!$P:$P,'Energy Control'!B46)</f>
        <v>0</v>
      </c>
      <c r="L46" s="211">
        <f t="shared" si="0"/>
        <v>0</v>
      </c>
    </row>
    <row r="47" spans="1:12">
      <c r="A47" s="613" t="s">
        <v>1095</v>
      </c>
      <c r="B47" s="219" t="s">
        <v>1410</v>
      </c>
      <c r="C47" s="219">
        <f>SUMIFS('calcul rapoarte'!$Q:$Q,'calcul rapoarte'!$B:$B,'Energy Control'!$A$44,'calcul rapoarte'!$P:$P,'Energy Control'!B47)</f>
        <v>267568</v>
      </c>
      <c r="D47" s="242">
        <f>SUMIFS('calcul rapoarte'!$R:$R,'calcul rapoarte'!$B:$B,'Energy Control'!$A$44,'calcul rapoarte'!$P:$P,'Energy Control'!B47)</f>
        <v>0.90005800000000002</v>
      </c>
      <c r="E47" s="219">
        <f>SUMIFS('calcul rapoarte'!$S:$S,'calcul rapoarte'!$B:$B,'Energy Control'!$A$44,'calcul rapoarte'!$P:$P,'Energy Control'!B47)</f>
        <v>240826.61</v>
      </c>
      <c r="F47" s="219">
        <f>SUMIFS('calcul rapoarte'!$T:$T,'calcul rapoarte'!$B:$B,'Energy Control'!$A$44,'calcul rapoarte'!$P:$P,'Energy Control'!B47)</f>
        <v>45757.05</v>
      </c>
      <c r="G47" s="219">
        <f>SUMIFS('calcul rapoarte'!$U:$U,'calcul rapoarte'!$B:$B,'Energy Control'!$A$44,'calcul rapoarte'!$P:$P,'Energy Control'!B47)</f>
        <v>286583.65999999997</v>
      </c>
      <c r="L47" s="211">
        <f t="shared" si="0"/>
        <v>0.1089440000068862</v>
      </c>
    </row>
    <row r="48" spans="1:12">
      <c r="A48" s="613" t="s">
        <v>1095</v>
      </c>
      <c r="B48" s="219" t="s">
        <v>1411</v>
      </c>
      <c r="C48" s="219">
        <f>SUMIFS('calcul rapoarte'!$Q:$Q,'calcul rapoarte'!$B:$B,'Energy Control'!$A$44,'calcul rapoarte'!$P:$P,'Energy Control'!B48)</f>
        <v>0</v>
      </c>
      <c r="D48" s="242">
        <f>SUMIFS('calcul rapoarte'!$R:$R,'calcul rapoarte'!$B:$B,'Energy Control'!$A$44,'calcul rapoarte'!$P:$P,'Energy Control'!B48)</f>
        <v>0</v>
      </c>
      <c r="E48" s="219">
        <f>SUMIFS('calcul rapoarte'!$S:$S,'calcul rapoarte'!$B:$B,'Energy Control'!$A$44,'calcul rapoarte'!$P:$P,'Energy Control'!B48)</f>
        <v>0</v>
      </c>
      <c r="F48" s="219">
        <f>SUMIFS('calcul rapoarte'!$T:$T,'calcul rapoarte'!$B:$B,'Energy Control'!$A$44,'calcul rapoarte'!$P:$P,'Energy Control'!B48)</f>
        <v>0</v>
      </c>
      <c r="G48" s="219">
        <f>SUMIFS('calcul rapoarte'!$U:$U,'calcul rapoarte'!$B:$B,'Energy Control'!$A$44,'calcul rapoarte'!$P:$P,'Energy Control'!B48)</f>
        <v>0</v>
      </c>
      <c r="L48" s="211">
        <f t="shared" si="0"/>
        <v>0</v>
      </c>
    </row>
    <row r="49" spans="1:12">
      <c r="A49" s="613" t="s">
        <v>1095</v>
      </c>
      <c r="B49" s="219" t="s">
        <v>1174</v>
      </c>
      <c r="C49" s="219">
        <f>SUMIFS('calcul rapoarte'!$Q:$Q,'calcul rapoarte'!$B:$B,'Energy Control'!$A$44,'calcul rapoarte'!$P:$P,'Energy Control'!B49)</f>
        <v>4452</v>
      </c>
      <c r="D49" s="242">
        <f>SUMIFS('calcul rapoarte'!$R:$R,'calcul rapoarte'!$B:$B,'Energy Control'!$A$44,'calcul rapoarte'!$P:$P,'Energy Control'!B49)</f>
        <v>0.14660000000000001</v>
      </c>
      <c r="E49" s="219">
        <f>SUMIFS('calcul rapoarte'!$S:$S,'calcul rapoarte'!$B:$B,'Energy Control'!$A$44,'calcul rapoarte'!$P:$P,'Energy Control'!B49)</f>
        <v>652.66</v>
      </c>
      <c r="F49" s="219">
        <f>SUMIFS('calcul rapoarte'!$T:$T,'calcul rapoarte'!$B:$B,'Energy Control'!$A$44,'calcul rapoarte'!$P:$P,'Energy Control'!B49)</f>
        <v>124.01</v>
      </c>
      <c r="G49" s="219">
        <f>SUMIFS('calcul rapoarte'!$U:$U,'calcul rapoarte'!$B:$B,'Energy Control'!$A$44,'calcul rapoarte'!$P:$P,'Energy Control'!B49)</f>
        <v>776.67</v>
      </c>
      <c r="L49" s="211">
        <f t="shared" si="0"/>
        <v>3.200000000106229E-3</v>
      </c>
    </row>
    <row r="50" spans="1:12">
      <c r="A50" s="613" t="s">
        <v>1095</v>
      </c>
      <c r="B50" s="219" t="s">
        <v>1175</v>
      </c>
      <c r="C50" s="219">
        <f>SUMIFS('calcul rapoarte'!$Q:$Q,'calcul rapoarte'!$B:$B,'Energy Control'!$A$44,'calcul rapoarte'!$P:$P,'Energy Control'!B50)</f>
        <v>2366</v>
      </c>
      <c r="D50" s="242">
        <f>SUMIFS('calcul rapoarte'!$R:$R,'calcul rapoarte'!$B:$B,'Energy Control'!$A$44,'calcul rapoarte'!$P:$P,'Energy Control'!B50)</f>
        <v>0.43980000000000002</v>
      </c>
      <c r="E50" s="219">
        <f>SUMIFS('calcul rapoarte'!$S:$S,'calcul rapoarte'!$B:$B,'Energy Control'!$A$44,'calcul rapoarte'!$P:$P,'Energy Control'!B50)</f>
        <v>1040.57</v>
      </c>
      <c r="F50" s="219">
        <f>SUMIFS('calcul rapoarte'!$T:$T,'calcul rapoarte'!$B:$B,'Energy Control'!$A$44,'calcul rapoarte'!$P:$P,'Energy Control'!B50)</f>
        <v>197.71</v>
      </c>
      <c r="G50" s="219">
        <f>SUMIFS('calcul rapoarte'!$U:$U,'calcul rapoarte'!$B:$B,'Energy Control'!$A$44,'calcul rapoarte'!$P:$P,'Energy Control'!B50)</f>
        <v>1238.28</v>
      </c>
      <c r="L50" s="211">
        <f t="shared" si="0"/>
        <v>-3.1999999998788553E-3</v>
      </c>
    </row>
    <row r="51" spans="1:12">
      <c r="A51" s="614" t="s">
        <v>1095</v>
      </c>
      <c r="B51" s="219" t="s">
        <v>1412</v>
      </c>
      <c r="C51" s="219">
        <f>SUMIFS('calcul rapoarte'!$Q:$Q,'calcul rapoarte'!$B:$B,'Energy Control'!$A$44,'calcul rapoarte'!$P:$P,'Energy Control'!B51)</f>
        <v>0</v>
      </c>
      <c r="D51" s="242">
        <f>SUMIFS('calcul rapoarte'!$R:$R,'calcul rapoarte'!$B:$B,'Energy Control'!$A$44,'calcul rapoarte'!$P:$P,'Energy Control'!B51)</f>
        <v>0</v>
      </c>
      <c r="E51" s="219">
        <f>SUMIFS('calcul rapoarte'!$S:$S,'calcul rapoarte'!$B:$B,'Energy Control'!$A$44,'calcul rapoarte'!$P:$P,'Energy Control'!B51)</f>
        <v>0</v>
      </c>
      <c r="F51" s="219">
        <f>SUMIFS('calcul rapoarte'!$T:$T,'calcul rapoarte'!$B:$B,'Energy Control'!$A$44,'calcul rapoarte'!$P:$P,'Energy Control'!B51)</f>
        <v>0</v>
      </c>
      <c r="G51" s="219">
        <f>SUMIFS('calcul rapoarte'!$U:$U,'calcul rapoarte'!$B:$B,'Energy Control'!$A$44,'calcul rapoarte'!$P:$P,'Energy Control'!B51)</f>
        <v>0</v>
      </c>
      <c r="L51" s="211">
        <f t="shared" si="0"/>
        <v>0</v>
      </c>
    </row>
    <row r="52" spans="1:12">
      <c r="A52" s="612" t="s">
        <v>56</v>
      </c>
      <c r="B52" s="219" t="s">
        <v>1171</v>
      </c>
      <c r="C52" s="219">
        <f>SUMIFS('calcul rapoarte'!$Q:$Q,'calcul rapoarte'!$B:$B,'Energy Control'!$A$52,'calcul rapoarte'!$P:$P,'Energy Control'!B52)</f>
        <v>696493</v>
      </c>
      <c r="D52" s="242">
        <f>SUMIFS('calcul rapoarte'!$R:$R,'calcul rapoarte'!$B:$B,'Energy Control'!$A$52,'calcul rapoarte'!$P:$P,'Energy Control'!B52)</f>
        <v>0.96800799999999998</v>
      </c>
      <c r="E52" s="219">
        <f>SUMIFS('calcul rapoarte'!$S:$S,'calcul rapoarte'!$B:$B,'Energy Control'!$A$52,'calcul rapoarte'!$P:$P,'Energy Control'!B52)</f>
        <v>674210.53</v>
      </c>
      <c r="F52" s="219">
        <f>SUMIFS('calcul rapoarte'!$T:$T,'calcul rapoarte'!$B:$B,'Energy Control'!$A$52,'calcul rapoarte'!$P:$P,'Energy Control'!B52)</f>
        <v>128100</v>
      </c>
      <c r="G52" s="219">
        <f>SUMIFS('calcul rapoarte'!$U:$U,'calcul rapoarte'!$B:$B,'Energy Control'!$A$52,'calcul rapoarte'!$P:$P,'Energy Control'!B52)</f>
        <v>802310.53</v>
      </c>
      <c r="L52" s="211">
        <f t="shared" si="0"/>
        <v>0.26594399998430163</v>
      </c>
    </row>
    <row r="53" spans="1:12">
      <c r="A53" s="613" t="s">
        <v>1095</v>
      </c>
      <c r="B53" s="219" t="s">
        <v>1172</v>
      </c>
      <c r="C53" s="219">
        <f>SUMIFS('calcul rapoarte'!$Q:$Q,'calcul rapoarte'!$B:$B,'Energy Control'!$A$52,'calcul rapoarte'!$P:$P,'Energy Control'!B53)</f>
        <v>0</v>
      </c>
      <c r="D53" s="242">
        <f>SUMIFS('calcul rapoarte'!$R:$R,'calcul rapoarte'!$B:$B,'Energy Control'!$A$52,'calcul rapoarte'!$P:$P,'Energy Control'!B53)</f>
        <v>0.14649999999999999</v>
      </c>
      <c r="E53" s="219">
        <f>SUMIFS('calcul rapoarte'!$S:$S,'calcul rapoarte'!$B:$B,'Energy Control'!$A$52,'calcul rapoarte'!$P:$P,'Energy Control'!B53)</f>
        <v>0</v>
      </c>
      <c r="F53" s="219">
        <f>SUMIFS('calcul rapoarte'!$T:$T,'calcul rapoarte'!$B:$B,'Energy Control'!$A$52,'calcul rapoarte'!$P:$P,'Energy Control'!B53)</f>
        <v>0</v>
      </c>
      <c r="G53" s="219">
        <f>SUMIFS('calcul rapoarte'!$U:$U,'calcul rapoarte'!$B:$B,'Energy Control'!$A$52,'calcul rapoarte'!$P:$P,'Energy Control'!B53)</f>
        <v>0</v>
      </c>
      <c r="L53" s="211">
        <f t="shared" si="0"/>
        <v>0</v>
      </c>
    </row>
    <row r="54" spans="1:12">
      <c r="A54" s="613" t="s">
        <v>1095</v>
      </c>
      <c r="B54" s="219" t="s">
        <v>1173</v>
      </c>
      <c r="C54" s="219">
        <f>SUMIFS('calcul rapoarte'!$Q:$Q,'calcul rapoarte'!$B:$B,'Energy Control'!$A$52,'calcul rapoarte'!$P:$P,'Energy Control'!B54)</f>
        <v>0</v>
      </c>
      <c r="D54" s="242">
        <f>SUMIFS('calcul rapoarte'!$R:$R,'calcul rapoarte'!$B:$B,'Energy Control'!$A$52,'calcul rapoarte'!$P:$P,'Energy Control'!B54)</f>
        <v>0.4395</v>
      </c>
      <c r="E54" s="219">
        <f>SUMIFS('calcul rapoarte'!$S:$S,'calcul rapoarte'!$B:$B,'Energy Control'!$A$52,'calcul rapoarte'!$P:$P,'Energy Control'!B54)</f>
        <v>0</v>
      </c>
      <c r="F54" s="219">
        <f>SUMIFS('calcul rapoarte'!$T:$T,'calcul rapoarte'!$B:$B,'Energy Control'!$A$52,'calcul rapoarte'!$P:$P,'Energy Control'!B54)</f>
        <v>0</v>
      </c>
      <c r="G54" s="219">
        <f>SUMIFS('calcul rapoarte'!$U:$U,'calcul rapoarte'!$B:$B,'Energy Control'!$A$52,'calcul rapoarte'!$P:$P,'Energy Control'!B54)</f>
        <v>0</v>
      </c>
      <c r="L54" s="211">
        <f t="shared" si="0"/>
        <v>0</v>
      </c>
    </row>
    <row r="55" spans="1:12">
      <c r="A55" s="613" t="s">
        <v>1095</v>
      </c>
      <c r="B55" s="219" t="s">
        <v>1410</v>
      </c>
      <c r="C55" s="219">
        <f>SUMIFS('calcul rapoarte'!$Q:$Q,'calcul rapoarte'!$B:$B,'Energy Control'!$A$52,'calcul rapoarte'!$P:$P,'Energy Control'!B55)</f>
        <v>281637</v>
      </c>
      <c r="D55" s="242">
        <f>SUMIFS('calcul rapoarte'!$R:$R,'calcul rapoarte'!$B:$B,'Energy Control'!$A$52,'calcul rapoarte'!$P:$P,'Energy Control'!B55)</f>
        <v>0.96800799999999998</v>
      </c>
      <c r="E55" s="219">
        <f>SUMIFS('calcul rapoarte'!$S:$S,'calcul rapoarte'!$B:$B,'Energy Control'!$A$52,'calcul rapoarte'!$P:$P,'Energy Control'!B55)</f>
        <v>272626.75</v>
      </c>
      <c r="F55" s="219">
        <f>SUMIFS('calcul rapoarte'!$T:$T,'calcul rapoarte'!$B:$B,'Energy Control'!$A$52,'calcul rapoarte'!$P:$P,'Energy Control'!B55)</f>
        <v>51799.08</v>
      </c>
      <c r="G55" s="219">
        <f>SUMIFS('calcul rapoarte'!$U:$U,'calcul rapoarte'!$B:$B,'Energy Control'!$A$52,'calcul rapoarte'!$P:$P,'Energy Control'!B55)</f>
        <v>324425.83</v>
      </c>
      <c r="L55" s="211">
        <f t="shared" si="0"/>
        <v>0.11909599998034537</v>
      </c>
    </row>
    <row r="56" spans="1:12">
      <c r="A56" s="613" t="s">
        <v>1095</v>
      </c>
      <c r="B56" s="219" t="s">
        <v>1411</v>
      </c>
      <c r="C56" s="219">
        <f>SUMIFS('calcul rapoarte'!$Q:$Q,'calcul rapoarte'!$B:$B,'Energy Control'!$A$52,'calcul rapoarte'!$P:$P,'Energy Control'!B56)</f>
        <v>0</v>
      </c>
      <c r="D56" s="242">
        <f>SUMIFS('calcul rapoarte'!$R:$R,'calcul rapoarte'!$B:$B,'Energy Control'!$A$52,'calcul rapoarte'!$P:$P,'Energy Control'!B56)</f>
        <v>0</v>
      </c>
      <c r="E56" s="219">
        <f>SUMIFS('calcul rapoarte'!$S:$S,'calcul rapoarte'!$B:$B,'Energy Control'!$A$52,'calcul rapoarte'!$P:$P,'Energy Control'!B56)</f>
        <v>0</v>
      </c>
      <c r="F56" s="219">
        <f>SUMIFS('calcul rapoarte'!$T:$T,'calcul rapoarte'!$B:$B,'Energy Control'!$A$52,'calcul rapoarte'!$P:$P,'Energy Control'!B56)</f>
        <v>0</v>
      </c>
      <c r="G56" s="219">
        <f>SUMIFS('calcul rapoarte'!$U:$U,'calcul rapoarte'!$B:$B,'Energy Control'!$A$52,'calcul rapoarte'!$P:$P,'Energy Control'!B56)</f>
        <v>0</v>
      </c>
      <c r="L56" s="211">
        <f t="shared" si="0"/>
        <v>0</v>
      </c>
    </row>
    <row r="57" spans="1:12">
      <c r="A57" s="613" t="s">
        <v>1095</v>
      </c>
      <c r="B57" s="219" t="s">
        <v>1174</v>
      </c>
      <c r="C57" s="219">
        <f>SUMIFS('calcul rapoarte'!$Q:$Q,'calcul rapoarte'!$B:$B,'Energy Control'!$A$52,'calcul rapoarte'!$P:$P,'Energy Control'!B57)</f>
        <v>6914</v>
      </c>
      <c r="D57" s="242">
        <f>SUMIFS('calcul rapoarte'!$R:$R,'calcul rapoarte'!$B:$B,'Energy Control'!$A$52,'calcul rapoarte'!$P:$P,'Energy Control'!B57)</f>
        <v>0.14649999999999999</v>
      </c>
      <c r="E57" s="219">
        <f>SUMIFS('calcul rapoarte'!$S:$S,'calcul rapoarte'!$B:$B,'Energy Control'!$A$52,'calcul rapoarte'!$P:$P,'Energy Control'!B57)</f>
        <v>1012.9</v>
      </c>
      <c r="F57" s="219">
        <f>SUMIFS('calcul rapoarte'!$T:$T,'calcul rapoarte'!$B:$B,'Energy Control'!$A$52,'calcul rapoarte'!$P:$P,'Energy Control'!B57)</f>
        <v>192.45</v>
      </c>
      <c r="G57" s="219">
        <f>SUMIFS('calcul rapoarte'!$U:$U,'calcul rapoarte'!$B:$B,'Energy Control'!$A$52,'calcul rapoarte'!$P:$P,'Energy Control'!B57)</f>
        <v>1205.3499999999999</v>
      </c>
      <c r="L57" s="211">
        <f t="shared" si="0"/>
        <v>9.9999999997635314E-4</v>
      </c>
    </row>
    <row r="58" spans="1:12">
      <c r="A58" s="613" t="s">
        <v>1095</v>
      </c>
      <c r="B58" s="219" t="s">
        <v>1175</v>
      </c>
      <c r="C58" s="219">
        <f>SUMIFS('calcul rapoarte'!$Q:$Q,'calcul rapoarte'!$B:$B,'Energy Control'!$A$52,'calcul rapoarte'!$P:$P,'Energy Control'!B58)</f>
        <v>4365</v>
      </c>
      <c r="D58" s="242">
        <f>SUMIFS('calcul rapoarte'!$R:$R,'calcul rapoarte'!$B:$B,'Energy Control'!$A$52,'calcul rapoarte'!$P:$P,'Energy Control'!B58)</f>
        <v>0.4395</v>
      </c>
      <c r="E58" s="219">
        <f>SUMIFS('calcul rapoarte'!$S:$S,'calcul rapoarte'!$B:$B,'Energy Control'!$A$52,'calcul rapoarte'!$P:$P,'Energy Control'!B58)</f>
        <v>1918.42</v>
      </c>
      <c r="F58" s="219">
        <f>SUMIFS('calcul rapoarte'!$T:$T,'calcul rapoarte'!$B:$B,'Energy Control'!$A$52,'calcul rapoarte'!$P:$P,'Energy Control'!B58)</f>
        <v>364.5</v>
      </c>
      <c r="G58" s="219">
        <f>SUMIFS('calcul rapoarte'!$U:$U,'calcul rapoarte'!$B:$B,'Energy Control'!$A$52,'calcul rapoarte'!$P:$P,'Energy Control'!B58)</f>
        <v>2282.92</v>
      </c>
      <c r="L58" s="211">
        <f t="shared" si="0"/>
        <v>-2.5000000000545697E-3</v>
      </c>
    </row>
    <row r="59" spans="1:12">
      <c r="A59" s="614" t="s">
        <v>1095</v>
      </c>
      <c r="B59" s="219" t="s">
        <v>1412</v>
      </c>
      <c r="C59" s="219">
        <f>SUMIFS('calcul rapoarte'!$Q:$Q,'calcul rapoarte'!$B:$B,'Energy Control'!$A$52,'calcul rapoarte'!$P:$P,'Energy Control'!B59)</f>
        <v>0</v>
      </c>
      <c r="D59" s="242">
        <f>SUMIFS('calcul rapoarte'!$R:$R,'calcul rapoarte'!$B:$B,'Energy Control'!$A$52,'calcul rapoarte'!$P:$P,'Energy Control'!B59)</f>
        <v>0</v>
      </c>
      <c r="E59" s="219">
        <f>SUMIFS('calcul rapoarte'!$S:$S,'calcul rapoarte'!$B:$B,'Energy Control'!$A$52,'calcul rapoarte'!$P:$P,'Energy Control'!B59)</f>
        <v>0</v>
      </c>
      <c r="F59" s="219">
        <f>SUMIFS('calcul rapoarte'!$T:$T,'calcul rapoarte'!$B:$B,'Energy Control'!$A$52,'calcul rapoarte'!$P:$P,'Energy Control'!B59)</f>
        <v>0</v>
      </c>
      <c r="G59" s="219">
        <f>SUMIFS('calcul rapoarte'!$U:$U,'calcul rapoarte'!$B:$B,'Energy Control'!$A$52,'calcul rapoarte'!$P:$P,'Energy Control'!B59)</f>
        <v>0</v>
      </c>
      <c r="L59" s="211">
        <f t="shared" si="0"/>
        <v>0</v>
      </c>
    </row>
    <row r="60" spans="1:12">
      <c r="A60" s="612" t="s">
        <v>57</v>
      </c>
      <c r="B60" s="219" t="s">
        <v>1171</v>
      </c>
      <c r="C60" s="219">
        <f>SUMIFS('calcul rapoarte'!$Q:$Q,'calcul rapoarte'!$B:$B,'Energy Control'!$A$60,'calcul rapoarte'!$P:$P,'Energy Control'!B60)</f>
        <v>1077353</v>
      </c>
      <c r="D60" s="242">
        <f>SUMIFS('calcul rapoarte'!$R:$R,'calcul rapoarte'!$B:$B,'Energy Control'!$A$60,'calcul rapoarte'!$P:$P,'Energy Control'!B60)</f>
        <v>0.90005800000000002</v>
      </c>
      <c r="E60" s="219">
        <f>SUMIFS('calcul rapoarte'!$S:$S,'calcul rapoarte'!$B:$B,'Energy Control'!$A$60,'calcul rapoarte'!$P:$P,'Energy Control'!B60)</f>
        <v>969679.75</v>
      </c>
      <c r="F60" s="219">
        <f>SUMIFS('calcul rapoarte'!$T:$T,'calcul rapoarte'!$B:$B,'Energy Control'!$A$60,'calcul rapoarte'!$P:$P,'Energy Control'!B60)</f>
        <v>184239.15</v>
      </c>
      <c r="G60" s="219">
        <f>SUMIFS('calcul rapoarte'!$U:$U,'calcul rapoarte'!$B:$B,'Energy Control'!$A$60,'calcul rapoarte'!$P:$P,'Energy Control'!B60)</f>
        <v>1153918.8999999999</v>
      </c>
      <c r="L60" s="211">
        <f t="shared" si="0"/>
        <v>0.43647399998735636</v>
      </c>
    </row>
    <row r="61" spans="1:12">
      <c r="A61" s="613" t="s">
        <v>1095</v>
      </c>
      <c r="B61" s="219" t="s">
        <v>1172</v>
      </c>
      <c r="C61" s="219">
        <f>SUMIFS('calcul rapoarte'!$Q:$Q,'calcul rapoarte'!$B:$B,'Energy Control'!$A$60,'calcul rapoarte'!$P:$P,'Energy Control'!B61)</f>
        <v>0</v>
      </c>
      <c r="D61" s="242">
        <f>SUMIFS('calcul rapoarte'!$R:$R,'calcul rapoarte'!$B:$B,'Energy Control'!$A$60,'calcul rapoarte'!$P:$P,'Energy Control'!B61)</f>
        <v>0.14660000000000001</v>
      </c>
      <c r="E61" s="219">
        <f>SUMIFS('calcul rapoarte'!$S:$S,'calcul rapoarte'!$B:$B,'Energy Control'!$A$60,'calcul rapoarte'!$P:$P,'Energy Control'!B61)</f>
        <v>0</v>
      </c>
      <c r="F61" s="219">
        <f>SUMIFS('calcul rapoarte'!$T:$T,'calcul rapoarte'!$B:$B,'Energy Control'!$A$60,'calcul rapoarte'!$P:$P,'Energy Control'!B61)</f>
        <v>0</v>
      </c>
      <c r="G61" s="219">
        <f>SUMIFS('calcul rapoarte'!$U:$U,'calcul rapoarte'!$B:$B,'Energy Control'!$A$60,'calcul rapoarte'!$P:$P,'Energy Control'!B61)</f>
        <v>0</v>
      </c>
      <c r="L61" s="211">
        <f t="shared" si="0"/>
        <v>0</v>
      </c>
    </row>
    <row r="62" spans="1:12">
      <c r="A62" s="613" t="s">
        <v>1095</v>
      </c>
      <c r="B62" s="219" t="s">
        <v>1173</v>
      </c>
      <c r="C62" s="219">
        <f>SUMIFS('calcul rapoarte'!$Q:$Q,'calcul rapoarte'!$B:$B,'Energy Control'!$A$60,'calcul rapoarte'!$P:$P,'Energy Control'!B62)</f>
        <v>0</v>
      </c>
      <c r="D62" s="242">
        <f>SUMIFS('calcul rapoarte'!$R:$R,'calcul rapoarte'!$B:$B,'Energy Control'!$A$60,'calcul rapoarte'!$P:$P,'Energy Control'!B62)</f>
        <v>0.43980000000000002</v>
      </c>
      <c r="E62" s="219">
        <f>SUMIFS('calcul rapoarte'!$S:$S,'calcul rapoarte'!$B:$B,'Energy Control'!$A$60,'calcul rapoarte'!$P:$P,'Energy Control'!B62)</f>
        <v>0</v>
      </c>
      <c r="F62" s="219">
        <f>SUMIFS('calcul rapoarte'!$T:$T,'calcul rapoarte'!$B:$B,'Energy Control'!$A$60,'calcul rapoarte'!$P:$P,'Energy Control'!B62)</f>
        <v>0</v>
      </c>
      <c r="G62" s="219">
        <f>SUMIFS('calcul rapoarte'!$U:$U,'calcul rapoarte'!$B:$B,'Energy Control'!$A$60,'calcul rapoarte'!$P:$P,'Energy Control'!B62)</f>
        <v>0</v>
      </c>
      <c r="L62" s="211">
        <f t="shared" si="0"/>
        <v>0</v>
      </c>
    </row>
    <row r="63" spans="1:12">
      <c r="A63" s="613" t="s">
        <v>1095</v>
      </c>
      <c r="B63" s="219" t="s">
        <v>1410</v>
      </c>
      <c r="C63" s="219">
        <f>SUMIFS('calcul rapoarte'!$Q:$Q,'calcul rapoarte'!$B:$B,'Energy Control'!$A$60,'calcul rapoarte'!$P:$P,'Energy Control'!B63)</f>
        <v>159886</v>
      </c>
      <c r="D63" s="242">
        <f>SUMIFS('calcul rapoarte'!$R:$R,'calcul rapoarte'!$B:$B,'Energy Control'!$A$60,'calcul rapoarte'!$P:$P,'Energy Control'!B63)</f>
        <v>0.90005800000000002</v>
      </c>
      <c r="E63" s="219">
        <f>SUMIFS('calcul rapoarte'!$S:$S,'calcul rapoarte'!$B:$B,'Energy Control'!$A$60,'calcul rapoarte'!$P:$P,'Energy Control'!B63)</f>
        <v>143906.60999999999</v>
      </c>
      <c r="F63" s="219">
        <f>SUMIFS('calcul rapoarte'!$T:$T,'calcul rapoarte'!$B:$B,'Energy Control'!$A$60,'calcul rapoarte'!$P:$P,'Energy Control'!B63)</f>
        <v>27342.25</v>
      </c>
      <c r="G63" s="219">
        <f>SUMIFS('calcul rapoarte'!$U:$U,'calcul rapoarte'!$B:$B,'Energy Control'!$A$60,'calcul rapoarte'!$P:$P,'Energy Control'!B63)</f>
        <v>171248.86</v>
      </c>
      <c r="L63" s="211">
        <f t="shared" si="0"/>
        <v>6.3388000009581447E-2</v>
      </c>
    </row>
    <row r="64" spans="1:12">
      <c r="A64" s="613" t="s">
        <v>1095</v>
      </c>
      <c r="B64" s="219" t="s">
        <v>1411</v>
      </c>
      <c r="C64" s="219">
        <f>SUMIFS('calcul rapoarte'!$Q:$Q,'calcul rapoarte'!$B:$B,'Energy Control'!$A$60,'calcul rapoarte'!$P:$P,'Energy Control'!B64)</f>
        <v>0</v>
      </c>
      <c r="D64" s="242">
        <f>SUMIFS('calcul rapoarte'!$R:$R,'calcul rapoarte'!$B:$B,'Energy Control'!$A$60,'calcul rapoarte'!$P:$P,'Energy Control'!B64)</f>
        <v>0</v>
      </c>
      <c r="E64" s="219">
        <f>SUMIFS('calcul rapoarte'!$S:$S,'calcul rapoarte'!$B:$B,'Energy Control'!$A$60,'calcul rapoarte'!$P:$P,'Energy Control'!B64)</f>
        <v>0</v>
      </c>
      <c r="F64" s="219">
        <f>SUMIFS('calcul rapoarte'!$T:$T,'calcul rapoarte'!$B:$B,'Energy Control'!$A$60,'calcul rapoarte'!$P:$P,'Energy Control'!B64)</f>
        <v>0</v>
      </c>
      <c r="G64" s="219">
        <f>SUMIFS('calcul rapoarte'!$U:$U,'calcul rapoarte'!$B:$B,'Energy Control'!$A$60,'calcul rapoarte'!$P:$P,'Energy Control'!B64)</f>
        <v>0</v>
      </c>
      <c r="L64" s="211">
        <f t="shared" si="0"/>
        <v>0</v>
      </c>
    </row>
    <row r="65" spans="1:12">
      <c r="A65" s="613" t="s">
        <v>1095</v>
      </c>
      <c r="B65" s="219" t="s">
        <v>1174</v>
      </c>
      <c r="C65" s="219">
        <f>SUMIFS('calcul rapoarte'!$Q:$Q,'calcul rapoarte'!$B:$B,'Energy Control'!$A$60,'calcul rapoarte'!$P:$P,'Energy Control'!B65)</f>
        <v>348</v>
      </c>
      <c r="D65" s="242">
        <f>SUMIFS('calcul rapoarte'!$R:$R,'calcul rapoarte'!$B:$B,'Energy Control'!$A$60,'calcul rapoarte'!$P:$P,'Energy Control'!B65)</f>
        <v>0.14660000000000001</v>
      </c>
      <c r="E65" s="219">
        <f>SUMIFS('calcul rapoarte'!$S:$S,'calcul rapoarte'!$B:$B,'Energy Control'!$A$60,'calcul rapoarte'!$P:$P,'Energy Control'!B65)</f>
        <v>51.02</v>
      </c>
      <c r="F65" s="219">
        <f>SUMIFS('calcul rapoarte'!$T:$T,'calcul rapoarte'!$B:$B,'Energy Control'!$A$60,'calcul rapoarte'!$P:$P,'Energy Control'!B65)</f>
        <v>9.69</v>
      </c>
      <c r="G65" s="219">
        <f>SUMIFS('calcul rapoarte'!$U:$U,'calcul rapoarte'!$B:$B,'Energy Control'!$A$60,'calcul rapoarte'!$P:$P,'Energy Control'!B65)</f>
        <v>60.71</v>
      </c>
      <c r="L65" s="211">
        <f t="shared" si="0"/>
        <v>-3.1999999999996476E-3</v>
      </c>
    </row>
    <row r="66" spans="1:12">
      <c r="A66" s="613" t="s">
        <v>1095</v>
      </c>
      <c r="B66" s="219" t="s">
        <v>1175</v>
      </c>
      <c r="C66" s="219">
        <f>SUMIFS('calcul rapoarte'!$Q:$Q,'calcul rapoarte'!$B:$B,'Energy Control'!$A$60,'calcul rapoarte'!$P:$P,'Energy Control'!B66)</f>
        <v>125</v>
      </c>
      <c r="D66" s="242">
        <f>SUMIFS('calcul rapoarte'!$R:$R,'calcul rapoarte'!$B:$B,'Energy Control'!$A$60,'calcul rapoarte'!$P:$P,'Energy Control'!B66)</f>
        <v>0.43980000000000002</v>
      </c>
      <c r="E66" s="219">
        <f>SUMIFS('calcul rapoarte'!$S:$S,'calcul rapoarte'!$B:$B,'Energy Control'!$A$60,'calcul rapoarte'!$P:$P,'Energy Control'!B66)</f>
        <v>54.98</v>
      </c>
      <c r="F66" s="219">
        <f>SUMIFS('calcul rapoarte'!$T:$T,'calcul rapoarte'!$B:$B,'Energy Control'!$A$60,'calcul rapoarte'!$P:$P,'Energy Control'!B66)</f>
        <v>10.45</v>
      </c>
      <c r="G66" s="219">
        <f>SUMIFS('calcul rapoarte'!$U:$U,'calcul rapoarte'!$B:$B,'Energy Control'!$A$60,'calcul rapoarte'!$P:$P,'Energy Control'!B66)</f>
        <v>65.430000000000007</v>
      </c>
      <c r="L66" s="211">
        <f t="shared" si="0"/>
        <v>-4.9999999999954525E-3</v>
      </c>
    </row>
    <row r="67" spans="1:12">
      <c r="A67" s="614" t="s">
        <v>1095</v>
      </c>
      <c r="B67" s="219" t="s">
        <v>1412</v>
      </c>
      <c r="C67" s="219">
        <f>SUMIFS('calcul rapoarte'!$Q:$Q,'calcul rapoarte'!$B:$B,'Energy Control'!$A$60,'calcul rapoarte'!$P:$P,'Energy Control'!B67)</f>
        <v>0</v>
      </c>
      <c r="D67" s="242">
        <f>SUMIFS('calcul rapoarte'!$R:$R,'calcul rapoarte'!$B:$B,'Energy Control'!$A$60,'calcul rapoarte'!$P:$P,'Energy Control'!B67)</f>
        <v>0</v>
      </c>
      <c r="E67" s="219">
        <f>SUMIFS('calcul rapoarte'!$S:$S,'calcul rapoarte'!$B:$B,'Energy Control'!$A$60,'calcul rapoarte'!$P:$P,'Energy Control'!B67)</f>
        <v>0</v>
      </c>
      <c r="F67" s="219">
        <f>SUMIFS('calcul rapoarte'!$T:$T,'calcul rapoarte'!$B:$B,'Energy Control'!$A$60,'calcul rapoarte'!$P:$P,'Energy Control'!B67)</f>
        <v>0</v>
      </c>
      <c r="G67" s="219">
        <f>SUMIFS('calcul rapoarte'!$U:$U,'calcul rapoarte'!$B:$B,'Energy Control'!$A$60,'calcul rapoarte'!$P:$P,'Energy Control'!B67)</f>
        <v>0</v>
      </c>
      <c r="L67" s="211">
        <f t="shared" si="0"/>
        <v>0</v>
      </c>
    </row>
    <row r="68" spans="1:12">
      <c r="A68" s="612" t="s">
        <v>58</v>
      </c>
      <c r="B68" s="219" t="s">
        <v>1171</v>
      </c>
      <c r="C68" s="219">
        <f>SUMIFS('calcul rapoarte'!$Q:$Q,'calcul rapoarte'!$B:$B,'Energy Control'!$A$68,'calcul rapoarte'!$P:$P,'Energy Control'!B68)</f>
        <v>281445</v>
      </c>
      <c r="D68" s="242">
        <f>SUMIFS('calcul rapoarte'!$R:$R,'calcul rapoarte'!$B:$B,'Energy Control'!$A$68,'calcul rapoarte'!$P:$P,'Energy Control'!B68)</f>
        <v>0.97515600000000002</v>
      </c>
      <c r="E68" s="219">
        <f>SUMIFS('calcul rapoarte'!$S:$S,'calcul rapoarte'!$B:$B,'Energy Control'!$A$68,'calcul rapoarte'!$P:$P,'Energy Control'!B68)</f>
        <v>274452.73</v>
      </c>
      <c r="F68" s="219">
        <f>SUMIFS('calcul rapoarte'!$T:$T,'calcul rapoarte'!$B:$B,'Energy Control'!$A$68,'calcul rapoarte'!$P:$P,'Energy Control'!B68)</f>
        <v>52146.02</v>
      </c>
      <c r="G68" s="219">
        <f>SUMIFS('calcul rapoarte'!$U:$U,'calcul rapoarte'!$B:$B,'Energy Control'!$A$68,'calcul rapoarte'!$P:$P,'Energy Control'!B68)</f>
        <v>326598.75</v>
      </c>
      <c r="L68" s="211">
        <f t="shared" si="0"/>
        <v>5.0420000043231994E-2</v>
      </c>
    </row>
    <row r="69" spans="1:12">
      <c r="A69" s="613" t="s">
        <v>1095</v>
      </c>
      <c r="B69" s="219" t="s">
        <v>1172</v>
      </c>
      <c r="C69" s="219">
        <f>SUMIFS('calcul rapoarte'!$Q:$Q,'calcul rapoarte'!$B:$B,'Energy Control'!$A$68,'calcul rapoarte'!$P:$P,'Energy Control'!B69)</f>
        <v>0</v>
      </c>
      <c r="D69" s="242">
        <f>SUMIFS('calcul rapoarte'!$R:$R,'calcul rapoarte'!$B:$B,'Energy Control'!$A$68,'calcul rapoarte'!$P:$P,'Energy Control'!B69)</f>
        <v>0.14649999999999999</v>
      </c>
      <c r="E69" s="219">
        <f>SUMIFS('calcul rapoarte'!$S:$S,'calcul rapoarte'!$B:$B,'Energy Control'!$A$68,'calcul rapoarte'!$P:$P,'Energy Control'!B69)</f>
        <v>0</v>
      </c>
      <c r="F69" s="219">
        <f>SUMIFS('calcul rapoarte'!$T:$T,'calcul rapoarte'!$B:$B,'Energy Control'!$A$68,'calcul rapoarte'!$P:$P,'Energy Control'!B69)</f>
        <v>0</v>
      </c>
      <c r="G69" s="219">
        <f>SUMIFS('calcul rapoarte'!$U:$U,'calcul rapoarte'!$B:$B,'Energy Control'!$A$68,'calcul rapoarte'!$P:$P,'Energy Control'!B69)</f>
        <v>0</v>
      </c>
      <c r="L69" s="211">
        <f t="shared" ref="L69:L132" si="1">C69*D69-E69</f>
        <v>0</v>
      </c>
    </row>
    <row r="70" spans="1:12">
      <c r="A70" s="613" t="s">
        <v>1095</v>
      </c>
      <c r="B70" s="219" t="s">
        <v>1173</v>
      </c>
      <c r="C70" s="219">
        <f>SUMIFS('calcul rapoarte'!$Q:$Q,'calcul rapoarte'!$B:$B,'Energy Control'!$A$68,'calcul rapoarte'!$P:$P,'Energy Control'!B70)</f>
        <v>0</v>
      </c>
      <c r="D70" s="242">
        <f>SUMIFS('calcul rapoarte'!$R:$R,'calcul rapoarte'!$B:$B,'Energy Control'!$A$68,'calcul rapoarte'!$P:$P,'Energy Control'!B70)</f>
        <v>0.4395</v>
      </c>
      <c r="E70" s="219">
        <f>SUMIFS('calcul rapoarte'!$S:$S,'calcul rapoarte'!$B:$B,'Energy Control'!$A$68,'calcul rapoarte'!$P:$P,'Energy Control'!B70)</f>
        <v>0</v>
      </c>
      <c r="F70" s="219">
        <f>SUMIFS('calcul rapoarte'!$T:$T,'calcul rapoarte'!$B:$B,'Energy Control'!$A$68,'calcul rapoarte'!$P:$P,'Energy Control'!B70)</f>
        <v>0</v>
      </c>
      <c r="G70" s="219">
        <f>SUMIFS('calcul rapoarte'!$U:$U,'calcul rapoarte'!$B:$B,'Energy Control'!$A$68,'calcul rapoarte'!$P:$P,'Energy Control'!B70)</f>
        <v>0</v>
      </c>
      <c r="L70" s="211">
        <f t="shared" si="1"/>
        <v>0</v>
      </c>
    </row>
    <row r="71" spans="1:12">
      <c r="A71" s="613" t="s">
        <v>1095</v>
      </c>
      <c r="B71" s="219" t="s">
        <v>1410</v>
      </c>
      <c r="C71" s="219">
        <f>SUMIFS('calcul rapoarte'!$Q:$Q,'calcul rapoarte'!$B:$B,'Energy Control'!$A$68,'calcul rapoarte'!$P:$P,'Energy Control'!B71)</f>
        <v>120033</v>
      </c>
      <c r="D71" s="242">
        <f>SUMIFS('calcul rapoarte'!$R:$R,'calcul rapoarte'!$B:$B,'Energy Control'!$A$68,'calcul rapoarte'!$P:$P,'Energy Control'!B71)</f>
        <v>0.97511800000000004</v>
      </c>
      <c r="E71" s="219">
        <f>SUMIFS('calcul rapoarte'!$S:$S,'calcul rapoarte'!$B:$B,'Energy Control'!$A$68,'calcul rapoarte'!$P:$P,'Energy Control'!B71)</f>
        <v>117046.29</v>
      </c>
      <c r="F71" s="219">
        <f>SUMIFS('calcul rapoarte'!$T:$T,'calcul rapoarte'!$B:$B,'Energy Control'!$A$68,'calcul rapoarte'!$P:$P,'Energy Control'!B71)</f>
        <v>22238.799999999999</v>
      </c>
      <c r="G71" s="219">
        <f>SUMIFS('calcul rapoarte'!$U:$U,'calcul rapoarte'!$B:$B,'Energy Control'!$A$68,'calcul rapoarte'!$P:$P,'Energy Control'!B71)</f>
        <v>139285.09</v>
      </c>
      <c r="L71" s="211">
        <f t="shared" si="1"/>
        <v>4.8894000006839633E-2</v>
      </c>
    </row>
    <row r="72" spans="1:12">
      <c r="A72" s="613" t="s">
        <v>1095</v>
      </c>
      <c r="B72" s="219" t="s">
        <v>1411</v>
      </c>
      <c r="C72" s="219">
        <f>SUMIFS('calcul rapoarte'!$Q:$Q,'calcul rapoarte'!$B:$B,'Energy Control'!$A$68,'calcul rapoarte'!$P:$P,'Energy Control'!B72)</f>
        <v>79</v>
      </c>
      <c r="D72" s="242">
        <f>SUMIFS('calcul rapoarte'!$R:$R,'calcul rapoarte'!$B:$B,'Energy Control'!$A$68,'calcul rapoarte'!$P:$P,'Energy Control'!B72)</f>
        <v>1.0827850000000001</v>
      </c>
      <c r="E72" s="219">
        <f>SUMIFS('calcul rapoarte'!$S:$S,'calcul rapoarte'!$B:$B,'Energy Control'!$A$68,'calcul rapoarte'!$P:$P,'Energy Control'!B72)</f>
        <v>85.54</v>
      </c>
      <c r="F72" s="219">
        <f>SUMIFS('calcul rapoarte'!$T:$T,'calcul rapoarte'!$B:$B,'Energy Control'!$A$68,'calcul rapoarte'!$P:$P,'Energy Control'!B72)</f>
        <v>16.239999999999998</v>
      </c>
      <c r="G72" s="219">
        <f>SUMIFS('calcul rapoarte'!$U:$U,'calcul rapoarte'!$B:$B,'Energy Control'!$A$68,'calcul rapoarte'!$P:$P,'Energy Control'!B72)</f>
        <v>101.78</v>
      </c>
      <c r="L72" s="211">
        <f t="shared" si="1"/>
        <v>1.5000000004761205E-5</v>
      </c>
    </row>
    <row r="73" spans="1:12">
      <c r="A73" s="613" t="s">
        <v>1095</v>
      </c>
      <c r="B73" s="219" t="s">
        <v>1174</v>
      </c>
      <c r="C73" s="219">
        <f>SUMIFS('calcul rapoarte'!$Q:$Q,'calcul rapoarte'!$B:$B,'Energy Control'!$A$68,'calcul rapoarte'!$P:$P,'Energy Control'!B73)</f>
        <v>0</v>
      </c>
      <c r="D73" s="242">
        <f>SUMIFS('calcul rapoarte'!$R:$R,'calcul rapoarte'!$B:$B,'Energy Control'!$A$68,'calcul rapoarte'!$P:$P,'Energy Control'!B73)</f>
        <v>0.14649999999999999</v>
      </c>
      <c r="E73" s="219">
        <f>SUMIFS('calcul rapoarte'!$S:$S,'calcul rapoarte'!$B:$B,'Energy Control'!$A$68,'calcul rapoarte'!$P:$P,'Energy Control'!B73)</f>
        <v>0</v>
      </c>
      <c r="F73" s="219">
        <f>SUMIFS('calcul rapoarte'!$T:$T,'calcul rapoarte'!$B:$B,'Energy Control'!$A$68,'calcul rapoarte'!$P:$P,'Energy Control'!B73)</f>
        <v>0</v>
      </c>
      <c r="G73" s="219">
        <f>SUMIFS('calcul rapoarte'!$U:$U,'calcul rapoarte'!$B:$B,'Energy Control'!$A$68,'calcul rapoarte'!$P:$P,'Energy Control'!B73)</f>
        <v>0</v>
      </c>
      <c r="L73" s="211">
        <f t="shared" si="1"/>
        <v>0</v>
      </c>
    </row>
    <row r="74" spans="1:12">
      <c r="A74" s="613" t="s">
        <v>1095</v>
      </c>
      <c r="B74" s="219" t="s">
        <v>1175</v>
      </c>
      <c r="C74" s="219">
        <f>SUMIFS('calcul rapoarte'!$Q:$Q,'calcul rapoarte'!$B:$B,'Energy Control'!$A$68,'calcul rapoarte'!$P:$P,'Energy Control'!B74)</f>
        <v>0</v>
      </c>
      <c r="D74" s="242">
        <f>SUMIFS('calcul rapoarte'!$R:$R,'calcul rapoarte'!$B:$B,'Energy Control'!$A$68,'calcul rapoarte'!$P:$P,'Energy Control'!B74)</f>
        <v>0.4395</v>
      </c>
      <c r="E74" s="219">
        <f>SUMIFS('calcul rapoarte'!$S:$S,'calcul rapoarte'!$B:$B,'Energy Control'!$A$68,'calcul rapoarte'!$P:$P,'Energy Control'!B74)</f>
        <v>0</v>
      </c>
      <c r="F74" s="219">
        <f>SUMIFS('calcul rapoarte'!$T:$T,'calcul rapoarte'!$B:$B,'Energy Control'!$A$68,'calcul rapoarte'!$P:$P,'Energy Control'!B74)</f>
        <v>0</v>
      </c>
      <c r="G74" s="219">
        <f>SUMIFS('calcul rapoarte'!$U:$U,'calcul rapoarte'!$B:$B,'Energy Control'!$A$68,'calcul rapoarte'!$P:$P,'Energy Control'!B74)</f>
        <v>0</v>
      </c>
      <c r="L74" s="211">
        <f t="shared" si="1"/>
        <v>0</v>
      </c>
    </row>
    <row r="75" spans="1:12">
      <c r="A75" s="614" t="s">
        <v>1095</v>
      </c>
      <c r="B75" s="219" t="s">
        <v>1412</v>
      </c>
      <c r="C75" s="219">
        <f>SUMIFS('calcul rapoarte'!$Q:$Q,'calcul rapoarte'!$B:$B,'Energy Control'!$A$68,'calcul rapoarte'!$P:$P,'Energy Control'!B75)</f>
        <v>0</v>
      </c>
      <c r="D75" s="242">
        <f>SUMIFS('calcul rapoarte'!$R:$R,'calcul rapoarte'!$B:$B,'Energy Control'!$A$68,'calcul rapoarte'!$P:$P,'Energy Control'!B75)</f>
        <v>0</v>
      </c>
      <c r="E75" s="219">
        <f>SUMIFS('calcul rapoarte'!$S:$S,'calcul rapoarte'!$B:$B,'Energy Control'!$A$68,'calcul rapoarte'!$P:$P,'Energy Control'!B75)</f>
        <v>0</v>
      </c>
      <c r="F75" s="219">
        <f>SUMIFS('calcul rapoarte'!$T:$T,'calcul rapoarte'!$B:$B,'Energy Control'!$A$68,'calcul rapoarte'!$P:$P,'Energy Control'!B75)</f>
        <v>0</v>
      </c>
      <c r="G75" s="219">
        <f>SUMIFS('calcul rapoarte'!$U:$U,'calcul rapoarte'!$B:$B,'Energy Control'!$A$68,'calcul rapoarte'!$P:$P,'Energy Control'!B75)</f>
        <v>0</v>
      </c>
      <c r="L75" s="211">
        <f t="shared" si="1"/>
        <v>0</v>
      </c>
    </row>
    <row r="76" spans="1:12">
      <c r="A76" s="612" t="s">
        <v>59</v>
      </c>
      <c r="B76" s="219" t="s">
        <v>1171</v>
      </c>
      <c r="C76" s="219">
        <f>SUMIFS('calcul rapoarte'!$Q:$Q,'calcul rapoarte'!$B:$B,'Energy Control'!$A$76,'calcul rapoarte'!$P:$P,'Energy Control'!B76)</f>
        <v>189120</v>
      </c>
      <c r="D76" s="242">
        <f>SUMIFS('calcul rapoarte'!$R:$R,'calcul rapoarte'!$B:$B,'Energy Control'!$A$76,'calcul rapoarte'!$P:$P,'Energy Control'!B76)</f>
        <v>0.90065799999999996</v>
      </c>
      <c r="E76" s="219">
        <f>SUMIFS('calcul rapoarte'!$S:$S,'calcul rapoarte'!$B:$B,'Energy Control'!$A$76,'calcul rapoarte'!$P:$P,'Energy Control'!B76)</f>
        <v>170332.36</v>
      </c>
      <c r="F76" s="219">
        <f>SUMIFS('calcul rapoarte'!$T:$T,'calcul rapoarte'!$B:$B,'Energy Control'!$A$76,'calcul rapoarte'!$P:$P,'Energy Control'!B76)</f>
        <v>32363.15</v>
      </c>
      <c r="G76" s="219">
        <f>SUMIFS('calcul rapoarte'!$U:$U,'calcul rapoarte'!$B:$B,'Energy Control'!$A$76,'calcul rapoarte'!$P:$P,'Energy Control'!B76)</f>
        <v>202695.51</v>
      </c>
      <c r="L76" s="211">
        <f t="shared" si="1"/>
        <v>8.0959999992046505E-2</v>
      </c>
    </row>
    <row r="77" spans="1:12">
      <c r="A77" s="613" t="s">
        <v>1095</v>
      </c>
      <c r="B77" s="219" t="s">
        <v>1172</v>
      </c>
      <c r="C77" s="219">
        <f>SUMIFS('calcul rapoarte'!$Q:$Q,'calcul rapoarte'!$B:$B,'Energy Control'!$A$76,'calcul rapoarte'!$P:$P,'Energy Control'!B77)</f>
        <v>0</v>
      </c>
      <c r="D77" s="242">
        <f>SUMIFS('calcul rapoarte'!$R:$R,'calcul rapoarte'!$B:$B,'Energy Control'!$A$76,'calcul rapoarte'!$P:$P,'Energy Control'!B77)</f>
        <v>0.14660000000000001</v>
      </c>
      <c r="E77" s="219">
        <f>SUMIFS('calcul rapoarte'!$S:$S,'calcul rapoarte'!$B:$B,'Energy Control'!$A$76,'calcul rapoarte'!$P:$P,'Energy Control'!B77)</f>
        <v>0</v>
      </c>
      <c r="F77" s="219">
        <f>SUMIFS('calcul rapoarte'!$T:$T,'calcul rapoarte'!$B:$B,'Energy Control'!$A$76,'calcul rapoarte'!$P:$P,'Energy Control'!B77)</f>
        <v>0</v>
      </c>
      <c r="G77" s="219">
        <f>SUMIFS('calcul rapoarte'!$U:$U,'calcul rapoarte'!$B:$B,'Energy Control'!$A$76,'calcul rapoarte'!$P:$P,'Energy Control'!B77)</f>
        <v>0</v>
      </c>
      <c r="L77" s="211">
        <f t="shared" si="1"/>
        <v>0</v>
      </c>
    </row>
    <row r="78" spans="1:12">
      <c r="A78" s="613" t="s">
        <v>1095</v>
      </c>
      <c r="B78" s="219" t="s">
        <v>1173</v>
      </c>
      <c r="C78" s="219">
        <f>SUMIFS('calcul rapoarte'!$Q:$Q,'calcul rapoarte'!$B:$B,'Energy Control'!$A$76,'calcul rapoarte'!$P:$P,'Energy Control'!B78)</f>
        <v>0</v>
      </c>
      <c r="D78" s="242">
        <f>SUMIFS('calcul rapoarte'!$R:$R,'calcul rapoarte'!$B:$B,'Energy Control'!$A$76,'calcul rapoarte'!$P:$P,'Energy Control'!B78)</f>
        <v>0.43980000000000002</v>
      </c>
      <c r="E78" s="219">
        <f>SUMIFS('calcul rapoarte'!$S:$S,'calcul rapoarte'!$B:$B,'Energy Control'!$A$76,'calcul rapoarte'!$P:$P,'Energy Control'!B78)</f>
        <v>0</v>
      </c>
      <c r="F78" s="219">
        <f>SUMIFS('calcul rapoarte'!$T:$T,'calcul rapoarte'!$B:$B,'Energy Control'!$A$76,'calcul rapoarte'!$P:$P,'Energy Control'!B78)</f>
        <v>0</v>
      </c>
      <c r="G78" s="219">
        <f>SUMIFS('calcul rapoarte'!$U:$U,'calcul rapoarte'!$B:$B,'Energy Control'!$A$76,'calcul rapoarte'!$P:$P,'Energy Control'!B78)</f>
        <v>0</v>
      </c>
      <c r="L78" s="211">
        <f t="shared" si="1"/>
        <v>0</v>
      </c>
    </row>
    <row r="79" spans="1:12">
      <c r="A79" s="613" t="s">
        <v>1095</v>
      </c>
      <c r="B79" s="219" t="s">
        <v>1410</v>
      </c>
      <c r="C79" s="219">
        <f>SUMIFS('calcul rapoarte'!$Q:$Q,'calcul rapoarte'!$B:$B,'Energy Control'!$A$76,'calcul rapoarte'!$P:$P,'Energy Control'!B79)</f>
        <v>141902</v>
      </c>
      <c r="D79" s="242">
        <f>SUMIFS('calcul rapoarte'!$R:$R,'calcul rapoarte'!$B:$B,'Energy Control'!$A$76,'calcul rapoarte'!$P:$P,'Energy Control'!B79)</f>
        <v>0.90065700000000004</v>
      </c>
      <c r="E79" s="219">
        <f>SUMIFS('calcul rapoarte'!$S:$S,'calcul rapoarte'!$B:$B,'Energy Control'!$A$76,'calcul rapoarte'!$P:$P,'Energy Control'!B79)</f>
        <v>127805.1</v>
      </c>
      <c r="F79" s="219">
        <f>SUMIFS('calcul rapoarte'!$T:$T,'calcul rapoarte'!$B:$B,'Energy Control'!$A$76,'calcul rapoarte'!$P:$P,'Energy Control'!B79)</f>
        <v>24282.959999999999</v>
      </c>
      <c r="G79" s="219">
        <f>SUMIFS('calcul rapoarte'!$U:$U,'calcul rapoarte'!$B:$B,'Energy Control'!$A$76,'calcul rapoarte'!$P:$P,'Energy Control'!B79)</f>
        <v>152088.06</v>
      </c>
      <c r="L79" s="211">
        <f t="shared" si="1"/>
        <v>-7.0386000006692484E-2</v>
      </c>
    </row>
    <row r="80" spans="1:12">
      <c r="A80" s="613" t="s">
        <v>1095</v>
      </c>
      <c r="B80" s="219" t="s">
        <v>1411</v>
      </c>
      <c r="C80" s="219">
        <f>SUMIFS('calcul rapoarte'!$Q:$Q,'calcul rapoarte'!$B:$B,'Energy Control'!$A$76,'calcul rapoarte'!$P:$P,'Energy Control'!B80)</f>
        <v>0</v>
      </c>
      <c r="D80" s="242">
        <f>SUMIFS('calcul rapoarte'!$R:$R,'calcul rapoarte'!$B:$B,'Energy Control'!$A$76,'calcul rapoarte'!$P:$P,'Energy Control'!B80)</f>
        <v>0</v>
      </c>
      <c r="E80" s="219">
        <f>SUMIFS('calcul rapoarte'!$S:$S,'calcul rapoarte'!$B:$B,'Energy Control'!$A$76,'calcul rapoarte'!$P:$P,'Energy Control'!B80)</f>
        <v>0</v>
      </c>
      <c r="F80" s="219">
        <f>SUMIFS('calcul rapoarte'!$T:$T,'calcul rapoarte'!$B:$B,'Energy Control'!$A$76,'calcul rapoarte'!$P:$P,'Energy Control'!B80)</f>
        <v>0</v>
      </c>
      <c r="G80" s="219">
        <f>SUMIFS('calcul rapoarte'!$U:$U,'calcul rapoarte'!$B:$B,'Energy Control'!$A$76,'calcul rapoarte'!$P:$P,'Energy Control'!B80)</f>
        <v>0</v>
      </c>
      <c r="L80" s="211">
        <f t="shared" si="1"/>
        <v>0</v>
      </c>
    </row>
    <row r="81" spans="1:13">
      <c r="A81" s="613" t="s">
        <v>1095</v>
      </c>
      <c r="B81" s="219" t="s">
        <v>1174</v>
      </c>
      <c r="C81" s="219">
        <f>SUMIFS('calcul rapoarte'!$Q:$Q,'calcul rapoarte'!$B:$B,'Energy Control'!$A$76,'calcul rapoarte'!$P:$P,'Energy Control'!B81)</f>
        <v>0</v>
      </c>
      <c r="D81" s="242">
        <f>SUMIFS('calcul rapoarte'!$R:$R,'calcul rapoarte'!$B:$B,'Energy Control'!$A$76,'calcul rapoarte'!$P:$P,'Energy Control'!B81)</f>
        <v>0.14660000000000001</v>
      </c>
      <c r="E81" s="219">
        <f>SUMIFS('calcul rapoarte'!$S:$S,'calcul rapoarte'!$B:$B,'Energy Control'!$A$76,'calcul rapoarte'!$P:$P,'Energy Control'!B81)</f>
        <v>0</v>
      </c>
      <c r="F81" s="219">
        <f>SUMIFS('calcul rapoarte'!$T:$T,'calcul rapoarte'!$B:$B,'Energy Control'!$A$76,'calcul rapoarte'!$P:$P,'Energy Control'!B81)</f>
        <v>0</v>
      </c>
      <c r="G81" s="219">
        <f>SUMIFS('calcul rapoarte'!$U:$U,'calcul rapoarte'!$B:$B,'Energy Control'!$A$76,'calcul rapoarte'!$P:$P,'Energy Control'!B81)</f>
        <v>0</v>
      </c>
      <c r="L81" s="211">
        <f t="shared" si="1"/>
        <v>0</v>
      </c>
    </row>
    <row r="82" spans="1:13">
      <c r="A82" s="613" t="s">
        <v>1095</v>
      </c>
      <c r="B82" s="219" t="s">
        <v>1175</v>
      </c>
      <c r="C82" s="219">
        <f>SUMIFS('calcul rapoarte'!$Q:$Q,'calcul rapoarte'!$B:$B,'Energy Control'!$A$76,'calcul rapoarte'!$P:$P,'Energy Control'!B82)</f>
        <v>0</v>
      </c>
      <c r="D82" s="242">
        <f>SUMIFS('calcul rapoarte'!$R:$R,'calcul rapoarte'!$B:$B,'Energy Control'!$A$76,'calcul rapoarte'!$P:$P,'Energy Control'!B82)</f>
        <v>0.43980000000000002</v>
      </c>
      <c r="E82" s="219">
        <f>SUMIFS('calcul rapoarte'!$S:$S,'calcul rapoarte'!$B:$B,'Energy Control'!$A$76,'calcul rapoarte'!$P:$P,'Energy Control'!B82)</f>
        <v>0</v>
      </c>
      <c r="F82" s="219">
        <f>SUMIFS('calcul rapoarte'!$T:$T,'calcul rapoarte'!$B:$B,'Energy Control'!$A$76,'calcul rapoarte'!$P:$P,'Energy Control'!B82)</f>
        <v>0</v>
      </c>
      <c r="G82" s="219">
        <f>SUMIFS('calcul rapoarte'!$U:$U,'calcul rapoarte'!$B:$B,'Energy Control'!$A$76,'calcul rapoarte'!$P:$P,'Energy Control'!B82)</f>
        <v>0</v>
      </c>
      <c r="L82" s="211">
        <f t="shared" si="1"/>
        <v>0</v>
      </c>
    </row>
    <row r="83" spans="1:13">
      <c r="A83" s="614" t="s">
        <v>1095</v>
      </c>
      <c r="B83" s="219" t="s">
        <v>1412</v>
      </c>
      <c r="C83" s="219">
        <f>SUMIFS('calcul rapoarte'!$Q:$Q,'calcul rapoarte'!$B:$B,'Energy Control'!$A$76,'calcul rapoarte'!$P:$P,'Energy Control'!B83)</f>
        <v>0</v>
      </c>
      <c r="D83" s="242">
        <f>SUMIFS('calcul rapoarte'!$R:$R,'calcul rapoarte'!$B:$B,'Energy Control'!$A$76,'calcul rapoarte'!$P:$P,'Energy Control'!B83)</f>
        <v>0</v>
      </c>
      <c r="E83" s="219">
        <f>SUMIFS('calcul rapoarte'!$S:$S,'calcul rapoarte'!$B:$B,'Energy Control'!$A$76,'calcul rapoarte'!$P:$P,'Energy Control'!B83)</f>
        <v>0</v>
      </c>
      <c r="F83" s="219">
        <f>SUMIFS('calcul rapoarte'!$T:$T,'calcul rapoarte'!$B:$B,'Energy Control'!$A$76,'calcul rapoarte'!$P:$P,'Energy Control'!B83)</f>
        <v>0</v>
      </c>
      <c r="G83" s="219">
        <f>SUMIFS('calcul rapoarte'!$U:$U,'calcul rapoarte'!$B:$B,'Energy Control'!$A$76,'calcul rapoarte'!$P:$P,'Energy Control'!B83)</f>
        <v>0</v>
      </c>
      <c r="L83" s="211">
        <f t="shared" si="1"/>
        <v>0</v>
      </c>
    </row>
    <row r="84" spans="1:13">
      <c r="A84" s="612" t="s">
        <v>26</v>
      </c>
      <c r="B84" s="219" t="s">
        <v>1171</v>
      </c>
      <c r="C84" s="219">
        <f>SUMIFS('calcul rapoarte'!$Q:$Q,'calcul rapoarte'!$B:$B,'Energy Control'!$A$84,'calcul rapoarte'!$P:$P,'Energy Control'!B84)</f>
        <v>870503</v>
      </c>
      <c r="D84" s="242">
        <f>SUMIFS('calcul rapoarte'!$R:$R,'calcul rapoarte'!$B:$B,'Energy Control'!$A$84,'calcul rapoarte'!$P:$P,'Energy Control'!B84)</f>
        <v>0.907385</v>
      </c>
      <c r="E84" s="219">
        <f>SUMIFS('calcul rapoarte'!$S:$S,'calcul rapoarte'!$B:$B,'Energy Control'!$A$84,'calcul rapoarte'!$P:$P,'Energy Control'!B84)</f>
        <v>789881.12</v>
      </c>
      <c r="F84" s="219">
        <f>SUMIFS('calcul rapoarte'!$T:$T,'calcul rapoarte'!$B:$B,'Energy Control'!$A$84,'calcul rapoarte'!$P:$P,'Energy Control'!B84)</f>
        <v>150077.4</v>
      </c>
      <c r="G84" s="219">
        <f>SUMIFS('calcul rapoarte'!$U:$U,'calcul rapoarte'!$B:$B,'Energy Control'!$A$84,'calcul rapoarte'!$P:$P,'Energy Control'!B84)</f>
        <v>939958.52</v>
      </c>
      <c r="L84" s="211">
        <f t="shared" si="1"/>
        <v>0.24465500004589558</v>
      </c>
      <c r="M84" s="211">
        <f>C84*D84</f>
        <v>789881.36465500004</v>
      </c>
    </row>
    <row r="85" spans="1:13">
      <c r="A85" s="613" t="s">
        <v>1095</v>
      </c>
      <c r="B85" s="219" t="s">
        <v>1172</v>
      </c>
      <c r="C85" s="219">
        <f>SUMIFS('calcul rapoarte'!$Q:$Q,'calcul rapoarte'!$B:$B,'Energy Control'!$A$84,'calcul rapoarte'!$P:$P,'Energy Control'!B85)</f>
        <v>0</v>
      </c>
      <c r="D85" s="242">
        <f>SUMIFS('calcul rapoarte'!$R:$R,'calcul rapoarte'!$B:$B,'Energy Control'!$A$84,'calcul rapoarte'!$P:$P,'Energy Control'!B85)</f>
        <v>0.14649999999999999</v>
      </c>
      <c r="E85" s="219">
        <f>SUMIFS('calcul rapoarte'!$S:$S,'calcul rapoarte'!$B:$B,'Energy Control'!$A$84,'calcul rapoarte'!$P:$P,'Energy Control'!B85)</f>
        <v>0</v>
      </c>
      <c r="F85" s="219">
        <f>SUMIFS('calcul rapoarte'!$T:$T,'calcul rapoarte'!$B:$B,'Energy Control'!$A$84,'calcul rapoarte'!$P:$P,'Energy Control'!B85)</f>
        <v>0</v>
      </c>
      <c r="G85" s="219">
        <f>SUMIFS('calcul rapoarte'!$U:$U,'calcul rapoarte'!$B:$B,'Energy Control'!$A$84,'calcul rapoarte'!$P:$P,'Energy Control'!B85)</f>
        <v>0</v>
      </c>
      <c r="L85" s="211">
        <f t="shared" si="1"/>
        <v>0</v>
      </c>
    </row>
    <row r="86" spans="1:13">
      <c r="A86" s="613" t="s">
        <v>1095</v>
      </c>
      <c r="B86" s="219" t="s">
        <v>1173</v>
      </c>
      <c r="C86" s="219">
        <f>SUMIFS('calcul rapoarte'!$Q:$Q,'calcul rapoarte'!$B:$B,'Energy Control'!$A$84,'calcul rapoarte'!$P:$P,'Energy Control'!B86)</f>
        <v>0</v>
      </c>
      <c r="D86" s="242">
        <f>SUMIFS('calcul rapoarte'!$R:$R,'calcul rapoarte'!$B:$B,'Energy Control'!$A$84,'calcul rapoarte'!$P:$P,'Energy Control'!B86)</f>
        <v>0.4395</v>
      </c>
      <c r="E86" s="219">
        <f>SUMIFS('calcul rapoarte'!$S:$S,'calcul rapoarte'!$B:$B,'Energy Control'!$A$84,'calcul rapoarte'!$P:$P,'Energy Control'!B86)</f>
        <v>0</v>
      </c>
      <c r="F86" s="219">
        <f>SUMIFS('calcul rapoarte'!$T:$T,'calcul rapoarte'!$B:$B,'Energy Control'!$A$84,'calcul rapoarte'!$P:$P,'Energy Control'!B86)</f>
        <v>0</v>
      </c>
      <c r="G86" s="219">
        <f>SUMIFS('calcul rapoarte'!$U:$U,'calcul rapoarte'!$B:$B,'Energy Control'!$A$84,'calcul rapoarte'!$P:$P,'Energy Control'!B86)</f>
        <v>0</v>
      </c>
      <c r="L86" s="211">
        <f t="shared" si="1"/>
        <v>0</v>
      </c>
    </row>
    <row r="87" spans="1:13">
      <c r="A87" s="613" t="s">
        <v>1095</v>
      </c>
      <c r="B87" s="219" t="s">
        <v>1410</v>
      </c>
      <c r="C87" s="219">
        <f>SUMIFS('calcul rapoarte'!$Q:$Q,'calcul rapoarte'!$B:$B,'Energy Control'!$A$84,'calcul rapoarte'!$P:$P,'Energy Control'!B87)</f>
        <v>44103</v>
      </c>
      <c r="D87" s="242">
        <f>SUMIFS('calcul rapoarte'!$R:$R,'calcul rapoarte'!$B:$B,'Energy Control'!$A$84,'calcul rapoarte'!$P:$P,'Energy Control'!B87)</f>
        <v>0.93920800000000004</v>
      </c>
      <c r="E87" s="219">
        <f>SUMIFS('calcul rapoarte'!$S:$S,'calcul rapoarte'!$B:$B,'Energy Control'!$A$84,'calcul rapoarte'!$P:$P,'Energy Control'!B87)</f>
        <v>41421.870000000003</v>
      </c>
      <c r="F87" s="219">
        <f>SUMIFS('calcul rapoarte'!$T:$T,'calcul rapoarte'!$B:$B,'Energy Control'!$A$84,'calcul rapoarte'!$P:$P,'Energy Control'!B87)</f>
        <v>7870.16</v>
      </c>
      <c r="G87" s="219">
        <f>SUMIFS('calcul rapoarte'!$U:$U,'calcul rapoarte'!$B:$B,'Energy Control'!$A$84,'calcul rapoarte'!$P:$P,'Energy Control'!B87)</f>
        <v>49292.03</v>
      </c>
      <c r="L87" s="211">
        <f t="shared" si="1"/>
        <v>2.0424000002094544E-2</v>
      </c>
    </row>
    <row r="88" spans="1:13">
      <c r="A88" s="613" t="s">
        <v>1095</v>
      </c>
      <c r="B88" s="219" t="s">
        <v>1411</v>
      </c>
      <c r="C88" s="219">
        <f>SUMIFS('calcul rapoarte'!$Q:$Q,'calcul rapoarte'!$B:$B,'Energy Control'!$A$84,'calcul rapoarte'!$P:$P,'Energy Control'!B88)</f>
        <v>0</v>
      </c>
      <c r="D88" s="242">
        <f>SUMIFS('calcul rapoarte'!$R:$R,'calcul rapoarte'!$B:$B,'Energy Control'!$A$84,'calcul rapoarte'!$P:$P,'Energy Control'!B88)</f>
        <v>0</v>
      </c>
      <c r="E88" s="219">
        <f>SUMIFS('calcul rapoarte'!$S:$S,'calcul rapoarte'!$B:$B,'Energy Control'!$A$84,'calcul rapoarte'!$P:$P,'Energy Control'!B88)</f>
        <v>0</v>
      </c>
      <c r="F88" s="219">
        <f>SUMIFS('calcul rapoarte'!$T:$T,'calcul rapoarte'!$B:$B,'Energy Control'!$A$84,'calcul rapoarte'!$P:$P,'Energy Control'!B88)</f>
        <v>0</v>
      </c>
      <c r="G88" s="219">
        <f>SUMIFS('calcul rapoarte'!$U:$U,'calcul rapoarte'!$B:$B,'Energy Control'!$A$84,'calcul rapoarte'!$P:$P,'Energy Control'!B88)</f>
        <v>0</v>
      </c>
      <c r="L88" s="211">
        <f t="shared" si="1"/>
        <v>0</v>
      </c>
    </row>
    <row r="89" spans="1:13">
      <c r="A89" s="613" t="s">
        <v>1095</v>
      </c>
      <c r="B89" s="219" t="s">
        <v>1174</v>
      </c>
      <c r="C89" s="219">
        <f>SUMIFS('calcul rapoarte'!$Q:$Q,'calcul rapoarte'!$B:$B,'Energy Control'!$A$84,'calcul rapoarte'!$P:$P,'Energy Control'!B89)</f>
        <v>0</v>
      </c>
      <c r="D89" s="242">
        <f>SUMIFS('calcul rapoarte'!$R:$R,'calcul rapoarte'!$B:$B,'Energy Control'!$A$84,'calcul rapoarte'!$P:$P,'Energy Control'!B89)</f>
        <v>0.14649999999999999</v>
      </c>
      <c r="E89" s="219">
        <f>SUMIFS('calcul rapoarte'!$S:$S,'calcul rapoarte'!$B:$B,'Energy Control'!$A$84,'calcul rapoarte'!$P:$P,'Energy Control'!B89)</f>
        <v>0</v>
      </c>
      <c r="F89" s="219">
        <f>SUMIFS('calcul rapoarte'!$T:$T,'calcul rapoarte'!$B:$B,'Energy Control'!$A$84,'calcul rapoarte'!$P:$P,'Energy Control'!B89)</f>
        <v>0</v>
      </c>
      <c r="G89" s="219">
        <f>SUMIFS('calcul rapoarte'!$U:$U,'calcul rapoarte'!$B:$B,'Energy Control'!$A$84,'calcul rapoarte'!$P:$P,'Energy Control'!B89)</f>
        <v>0</v>
      </c>
      <c r="L89" s="211">
        <f t="shared" si="1"/>
        <v>0</v>
      </c>
    </row>
    <row r="90" spans="1:13">
      <c r="A90" s="613" t="s">
        <v>1095</v>
      </c>
      <c r="B90" s="219" t="s">
        <v>1175</v>
      </c>
      <c r="C90" s="219">
        <f>SUMIFS('calcul rapoarte'!$Q:$Q,'calcul rapoarte'!$B:$B,'Energy Control'!$A$84,'calcul rapoarte'!$P:$P,'Energy Control'!B90)</f>
        <v>0</v>
      </c>
      <c r="D90" s="242">
        <f>SUMIFS('calcul rapoarte'!$R:$R,'calcul rapoarte'!$B:$B,'Energy Control'!$A$84,'calcul rapoarte'!$P:$P,'Energy Control'!B90)</f>
        <v>0.4395</v>
      </c>
      <c r="E90" s="219">
        <f>SUMIFS('calcul rapoarte'!$S:$S,'calcul rapoarte'!$B:$B,'Energy Control'!$A$84,'calcul rapoarte'!$P:$P,'Energy Control'!B90)</f>
        <v>0</v>
      </c>
      <c r="F90" s="219">
        <f>SUMIFS('calcul rapoarte'!$T:$T,'calcul rapoarte'!$B:$B,'Energy Control'!$A$84,'calcul rapoarte'!$P:$P,'Energy Control'!B90)</f>
        <v>0</v>
      </c>
      <c r="G90" s="219">
        <f>SUMIFS('calcul rapoarte'!$U:$U,'calcul rapoarte'!$B:$B,'Energy Control'!$A$84,'calcul rapoarte'!$P:$P,'Energy Control'!B90)</f>
        <v>0</v>
      </c>
      <c r="L90" s="211">
        <f t="shared" si="1"/>
        <v>0</v>
      </c>
    </row>
    <row r="91" spans="1:13">
      <c r="A91" s="614" t="s">
        <v>1095</v>
      </c>
      <c r="B91" s="219" t="s">
        <v>1412</v>
      </c>
      <c r="C91" s="219">
        <f>SUMIFS('calcul rapoarte'!$Q:$Q,'calcul rapoarte'!$B:$B,'Energy Control'!$A$84,'calcul rapoarte'!$P:$P,'Energy Control'!B91)</f>
        <v>0</v>
      </c>
      <c r="D91" s="242">
        <f>SUMIFS('calcul rapoarte'!$R:$R,'calcul rapoarte'!$B:$B,'Energy Control'!$A$84,'calcul rapoarte'!$P:$P,'Energy Control'!B91)</f>
        <v>0</v>
      </c>
      <c r="E91" s="219">
        <f>SUMIFS('calcul rapoarte'!$S:$S,'calcul rapoarte'!$B:$B,'Energy Control'!$A$84,'calcul rapoarte'!$P:$P,'Energy Control'!B91)</f>
        <v>0</v>
      </c>
      <c r="F91" s="219">
        <f>SUMIFS('calcul rapoarte'!$T:$T,'calcul rapoarte'!$B:$B,'Energy Control'!$A$84,'calcul rapoarte'!$P:$P,'Energy Control'!B91)</f>
        <v>0</v>
      </c>
      <c r="G91" s="219">
        <f>SUMIFS('calcul rapoarte'!$U:$U,'calcul rapoarte'!$B:$B,'Energy Control'!$A$84,'calcul rapoarte'!$P:$P,'Energy Control'!B91)</f>
        <v>0</v>
      </c>
      <c r="L91" s="211">
        <f t="shared" si="1"/>
        <v>0</v>
      </c>
    </row>
    <row r="92" spans="1:13">
      <c r="A92" s="612" t="s">
        <v>60</v>
      </c>
      <c r="B92" s="219" t="s">
        <v>1171</v>
      </c>
      <c r="C92" s="219">
        <f>SUMIFS('calcul rapoarte'!$Q:$Q,'calcul rapoarte'!$B:$B,'Energy Control'!$A$92,'calcul rapoarte'!$P:$P,'Energy Control'!B92)</f>
        <v>1390723</v>
      </c>
      <c r="D92" s="242">
        <f>SUMIFS('calcul rapoarte'!$R:$R,'calcul rapoarte'!$B:$B,'Energy Control'!$A$92,'calcul rapoarte'!$P:$P,'Energy Control'!B92)</f>
        <v>0.89664699999999997</v>
      </c>
      <c r="E92" s="219">
        <f>SUMIFS('calcul rapoarte'!$S:$S,'calcul rapoarte'!$B:$B,'Energy Control'!$A$92,'calcul rapoarte'!$P:$P,'Energy Control'!B92)</f>
        <v>1246988.03</v>
      </c>
      <c r="F92" s="219">
        <f>SUMIFS('calcul rapoarte'!$T:$T,'calcul rapoarte'!$B:$B,'Energy Control'!$A$92,'calcul rapoarte'!$P:$P,'Energy Control'!B92)</f>
        <v>236927.73</v>
      </c>
      <c r="G92" s="219">
        <f>SUMIFS('calcul rapoarte'!$U:$U,'calcul rapoarte'!$B:$B,'Energy Control'!$A$92,'calcul rapoarte'!$P:$P,'Energy Control'!B92)</f>
        <v>1483915.76</v>
      </c>
      <c r="L92" s="211">
        <f t="shared" si="1"/>
        <v>-0.42421900015324354</v>
      </c>
    </row>
    <row r="93" spans="1:13">
      <c r="A93" s="613" t="s">
        <v>1095</v>
      </c>
      <c r="B93" s="219" t="s">
        <v>1172</v>
      </c>
      <c r="C93" s="219">
        <f>SUMIFS('calcul rapoarte'!$Q:$Q,'calcul rapoarte'!$B:$B,'Energy Control'!$A$92,'calcul rapoarte'!$P:$P,'Energy Control'!B93)</f>
        <v>0</v>
      </c>
      <c r="D93" s="242">
        <f>SUMIFS('calcul rapoarte'!$R:$R,'calcul rapoarte'!$B:$B,'Energy Control'!$A$92,'calcul rapoarte'!$P:$P,'Energy Control'!B93)</f>
        <v>0.14660000000000001</v>
      </c>
      <c r="E93" s="219">
        <f>SUMIFS('calcul rapoarte'!$S:$S,'calcul rapoarte'!$B:$B,'Energy Control'!$A$92,'calcul rapoarte'!$P:$P,'Energy Control'!B93)</f>
        <v>0</v>
      </c>
      <c r="F93" s="219">
        <f>SUMIFS('calcul rapoarte'!$T:$T,'calcul rapoarte'!$B:$B,'Energy Control'!$A$92,'calcul rapoarte'!$P:$P,'Energy Control'!B93)</f>
        <v>0</v>
      </c>
      <c r="G93" s="219">
        <f>SUMIFS('calcul rapoarte'!$U:$U,'calcul rapoarte'!$B:$B,'Energy Control'!$A$92,'calcul rapoarte'!$P:$P,'Energy Control'!B93)</f>
        <v>0</v>
      </c>
      <c r="L93" s="211">
        <f t="shared" si="1"/>
        <v>0</v>
      </c>
    </row>
    <row r="94" spans="1:13">
      <c r="A94" s="613" t="s">
        <v>1095</v>
      </c>
      <c r="B94" s="219" t="s">
        <v>1173</v>
      </c>
      <c r="C94" s="219">
        <f>SUMIFS('calcul rapoarte'!$Q:$Q,'calcul rapoarte'!$B:$B,'Energy Control'!$A$92,'calcul rapoarte'!$P:$P,'Energy Control'!B94)</f>
        <v>0</v>
      </c>
      <c r="D94" s="242">
        <f>SUMIFS('calcul rapoarte'!$R:$R,'calcul rapoarte'!$B:$B,'Energy Control'!$A$92,'calcul rapoarte'!$P:$P,'Energy Control'!B94)</f>
        <v>0.43980000000000002</v>
      </c>
      <c r="E94" s="219">
        <f>SUMIFS('calcul rapoarte'!$S:$S,'calcul rapoarte'!$B:$B,'Energy Control'!$A$92,'calcul rapoarte'!$P:$P,'Energy Control'!B94)</f>
        <v>0</v>
      </c>
      <c r="F94" s="219">
        <f>SUMIFS('calcul rapoarte'!$T:$T,'calcul rapoarte'!$B:$B,'Energy Control'!$A$92,'calcul rapoarte'!$P:$P,'Energy Control'!B94)</f>
        <v>0</v>
      </c>
      <c r="G94" s="219">
        <f>SUMIFS('calcul rapoarte'!$U:$U,'calcul rapoarte'!$B:$B,'Energy Control'!$A$92,'calcul rapoarte'!$P:$P,'Energy Control'!B94)</f>
        <v>0</v>
      </c>
      <c r="L94" s="211">
        <f t="shared" si="1"/>
        <v>0</v>
      </c>
    </row>
    <row r="95" spans="1:13">
      <c r="A95" s="613" t="s">
        <v>1095</v>
      </c>
      <c r="B95" s="219" t="s">
        <v>1410</v>
      </c>
      <c r="C95" s="219">
        <f>SUMIFS('calcul rapoarte'!$Q:$Q,'calcul rapoarte'!$B:$B,'Energy Control'!$A$92,'calcul rapoarte'!$P:$P,'Energy Control'!B95)</f>
        <v>64628</v>
      </c>
      <c r="D95" s="242">
        <f>SUMIFS('calcul rapoarte'!$R:$R,'calcul rapoarte'!$B:$B,'Energy Control'!$A$92,'calcul rapoarte'!$P:$P,'Energy Control'!B95)</f>
        <v>0.90065799999999996</v>
      </c>
      <c r="E95" s="219">
        <f>SUMIFS('calcul rapoarte'!$S:$S,'calcul rapoarte'!$B:$B,'Energy Control'!$A$92,'calcul rapoarte'!$P:$P,'Energy Control'!B95)</f>
        <v>58207.7</v>
      </c>
      <c r="F95" s="219">
        <f>SUMIFS('calcul rapoarte'!$T:$T,'calcul rapoarte'!$B:$B,'Energy Control'!$A$92,'calcul rapoarte'!$P:$P,'Energy Control'!B95)</f>
        <v>11059.46</v>
      </c>
      <c r="G95" s="219">
        <f>SUMIFS('calcul rapoarte'!$U:$U,'calcul rapoarte'!$B:$B,'Energy Control'!$A$92,'calcul rapoarte'!$P:$P,'Energy Control'!B95)</f>
        <v>69267.16</v>
      </c>
      <c r="L95" s="211">
        <f t="shared" si="1"/>
        <v>2.5223999997251667E-2</v>
      </c>
    </row>
    <row r="96" spans="1:13">
      <c r="A96" s="613" t="s">
        <v>1095</v>
      </c>
      <c r="B96" s="219" t="s">
        <v>1411</v>
      </c>
      <c r="C96" s="219">
        <f>SUMIFS('calcul rapoarte'!$Q:$Q,'calcul rapoarte'!$B:$B,'Energy Control'!$A$92,'calcul rapoarte'!$P:$P,'Energy Control'!B96)</f>
        <v>0</v>
      </c>
      <c r="D96" s="242">
        <f>SUMIFS('calcul rapoarte'!$R:$R,'calcul rapoarte'!$B:$B,'Energy Control'!$A$92,'calcul rapoarte'!$P:$P,'Energy Control'!B96)</f>
        <v>0</v>
      </c>
      <c r="E96" s="219">
        <f>SUMIFS('calcul rapoarte'!$S:$S,'calcul rapoarte'!$B:$B,'Energy Control'!$A$92,'calcul rapoarte'!$P:$P,'Energy Control'!B96)</f>
        <v>0</v>
      </c>
      <c r="F96" s="219">
        <f>SUMIFS('calcul rapoarte'!$T:$T,'calcul rapoarte'!$B:$B,'Energy Control'!$A$92,'calcul rapoarte'!$P:$P,'Energy Control'!B96)</f>
        <v>0</v>
      </c>
      <c r="G96" s="219">
        <f>SUMIFS('calcul rapoarte'!$U:$U,'calcul rapoarte'!$B:$B,'Energy Control'!$A$92,'calcul rapoarte'!$P:$P,'Energy Control'!B96)</f>
        <v>0</v>
      </c>
      <c r="L96" s="211">
        <f t="shared" si="1"/>
        <v>0</v>
      </c>
    </row>
    <row r="97" spans="1:12">
      <c r="A97" s="613" t="s">
        <v>1095</v>
      </c>
      <c r="B97" s="219" t="s">
        <v>1174</v>
      </c>
      <c r="C97" s="219">
        <f>SUMIFS('calcul rapoarte'!$Q:$Q,'calcul rapoarte'!$B:$B,'Energy Control'!$A$92,'calcul rapoarte'!$P:$P,'Energy Control'!B97)</f>
        <v>0</v>
      </c>
      <c r="D97" s="242">
        <f>SUMIFS('calcul rapoarte'!$R:$R,'calcul rapoarte'!$B:$B,'Energy Control'!$A$92,'calcul rapoarte'!$P:$P,'Energy Control'!B97)</f>
        <v>0.14660000000000001</v>
      </c>
      <c r="E97" s="219">
        <f>SUMIFS('calcul rapoarte'!$S:$S,'calcul rapoarte'!$B:$B,'Energy Control'!$A$92,'calcul rapoarte'!$P:$P,'Energy Control'!B97)</f>
        <v>0</v>
      </c>
      <c r="F97" s="219">
        <f>SUMIFS('calcul rapoarte'!$T:$T,'calcul rapoarte'!$B:$B,'Energy Control'!$A$92,'calcul rapoarte'!$P:$P,'Energy Control'!B97)</f>
        <v>0</v>
      </c>
      <c r="G97" s="219">
        <f>SUMIFS('calcul rapoarte'!$U:$U,'calcul rapoarte'!$B:$B,'Energy Control'!$A$92,'calcul rapoarte'!$P:$P,'Energy Control'!B97)</f>
        <v>0</v>
      </c>
      <c r="L97" s="211">
        <f t="shared" si="1"/>
        <v>0</v>
      </c>
    </row>
    <row r="98" spans="1:12">
      <c r="A98" s="613" t="s">
        <v>1095</v>
      </c>
      <c r="B98" s="219" t="s">
        <v>1175</v>
      </c>
      <c r="C98" s="219">
        <f>SUMIFS('calcul rapoarte'!$Q:$Q,'calcul rapoarte'!$B:$B,'Energy Control'!$A$92,'calcul rapoarte'!$P:$P,'Energy Control'!B98)</f>
        <v>0</v>
      </c>
      <c r="D98" s="242">
        <f>SUMIFS('calcul rapoarte'!$R:$R,'calcul rapoarte'!$B:$B,'Energy Control'!$A$92,'calcul rapoarte'!$P:$P,'Energy Control'!B98)</f>
        <v>0.43980000000000002</v>
      </c>
      <c r="E98" s="219">
        <f>SUMIFS('calcul rapoarte'!$S:$S,'calcul rapoarte'!$B:$B,'Energy Control'!$A$92,'calcul rapoarte'!$P:$P,'Energy Control'!B98)</f>
        <v>0</v>
      </c>
      <c r="F98" s="219">
        <f>SUMIFS('calcul rapoarte'!$T:$T,'calcul rapoarte'!$B:$B,'Energy Control'!$A$92,'calcul rapoarte'!$P:$P,'Energy Control'!B98)</f>
        <v>0</v>
      </c>
      <c r="G98" s="219">
        <f>SUMIFS('calcul rapoarte'!$U:$U,'calcul rapoarte'!$B:$B,'Energy Control'!$A$92,'calcul rapoarte'!$P:$P,'Energy Control'!B98)</f>
        <v>0</v>
      </c>
      <c r="L98" s="211">
        <f t="shared" si="1"/>
        <v>0</v>
      </c>
    </row>
    <row r="99" spans="1:12">
      <c r="A99" s="614" t="s">
        <v>1095</v>
      </c>
      <c r="B99" s="219" t="s">
        <v>1412</v>
      </c>
      <c r="C99" s="219">
        <f>SUMIFS('calcul rapoarte'!$Q:$Q,'calcul rapoarte'!$B:$B,'Energy Control'!$A$92,'calcul rapoarte'!$P:$P,'Energy Control'!B99)</f>
        <v>0</v>
      </c>
      <c r="D99" s="242">
        <f>SUMIFS('calcul rapoarte'!$R:$R,'calcul rapoarte'!$B:$B,'Energy Control'!$A$92,'calcul rapoarte'!$P:$P,'Energy Control'!B99)</f>
        <v>0</v>
      </c>
      <c r="E99" s="219">
        <f>SUMIFS('calcul rapoarte'!$S:$S,'calcul rapoarte'!$B:$B,'Energy Control'!$A$92,'calcul rapoarte'!$P:$P,'Energy Control'!B99)</f>
        <v>0</v>
      </c>
      <c r="F99" s="219">
        <f>SUMIFS('calcul rapoarte'!$T:$T,'calcul rapoarte'!$B:$B,'Energy Control'!$A$92,'calcul rapoarte'!$P:$P,'Energy Control'!B99)</f>
        <v>0</v>
      </c>
      <c r="G99" s="219">
        <f>SUMIFS('calcul rapoarte'!$U:$U,'calcul rapoarte'!$B:$B,'Energy Control'!$A$92,'calcul rapoarte'!$P:$P,'Energy Control'!B99)</f>
        <v>0</v>
      </c>
      <c r="L99" s="211">
        <f t="shared" si="1"/>
        <v>0</v>
      </c>
    </row>
    <row r="100" spans="1:12">
      <c r="A100" s="612" t="s">
        <v>27</v>
      </c>
      <c r="B100" s="219" t="s">
        <v>1171</v>
      </c>
      <c r="C100" s="219">
        <f>SUMIFS('calcul rapoarte'!$Q:$Q,'calcul rapoarte'!$B:$B,'Energy Control'!$A$100,'calcul rapoarte'!$P:$P,'Energy Control'!B100)</f>
        <v>670016</v>
      </c>
      <c r="D100" s="242">
        <f>SUMIFS('calcul rapoarte'!$R:$R,'calcul rapoarte'!$B:$B,'Energy Control'!$A$100,'calcul rapoarte'!$P:$P,'Energy Control'!B100)</f>
        <v>0.93920800000000004</v>
      </c>
      <c r="E100" s="219">
        <f>SUMIFS('calcul rapoarte'!$S:$S,'calcul rapoarte'!$B:$B,'Energy Control'!$A$100,'calcul rapoarte'!$P:$P,'Energy Control'!B100)</f>
        <v>629284.11</v>
      </c>
      <c r="F100" s="219">
        <f>SUMIFS('calcul rapoarte'!$T:$T,'calcul rapoarte'!$B:$B,'Energy Control'!$A$100,'calcul rapoarte'!$P:$P,'Energy Control'!B100)</f>
        <v>119563.99</v>
      </c>
      <c r="G100" s="219">
        <f>SUMIFS('calcul rapoarte'!$U:$U,'calcul rapoarte'!$B:$B,'Energy Control'!$A$100,'calcul rapoarte'!$P:$P,'Energy Control'!B100)</f>
        <v>748848.1</v>
      </c>
      <c r="L100" s="211">
        <f t="shared" si="1"/>
        <v>0.27732800005469471</v>
      </c>
    </row>
    <row r="101" spans="1:12">
      <c r="A101" s="613" t="s">
        <v>1095</v>
      </c>
      <c r="B101" s="219" t="s">
        <v>1172</v>
      </c>
      <c r="C101" s="219">
        <f>SUMIFS('calcul rapoarte'!$Q:$Q,'calcul rapoarte'!$B:$B,'Energy Control'!$A$100,'calcul rapoarte'!$P:$P,'Energy Control'!B101)</f>
        <v>0</v>
      </c>
      <c r="D101" s="242">
        <f>SUMIFS('calcul rapoarte'!$R:$R,'calcul rapoarte'!$B:$B,'Energy Control'!$A$100,'calcul rapoarte'!$P:$P,'Energy Control'!B101)</f>
        <v>0.14649999999999999</v>
      </c>
      <c r="E101" s="219">
        <f>SUMIFS('calcul rapoarte'!$S:$S,'calcul rapoarte'!$B:$B,'Energy Control'!$A$100,'calcul rapoarte'!$P:$P,'Energy Control'!B101)</f>
        <v>0</v>
      </c>
      <c r="F101" s="219">
        <f>SUMIFS('calcul rapoarte'!$T:$T,'calcul rapoarte'!$B:$B,'Energy Control'!$A$100,'calcul rapoarte'!$P:$P,'Energy Control'!B101)</f>
        <v>0</v>
      </c>
      <c r="G101" s="219">
        <f>SUMIFS('calcul rapoarte'!$U:$U,'calcul rapoarte'!$B:$B,'Energy Control'!$A$100,'calcul rapoarte'!$P:$P,'Energy Control'!B101)</f>
        <v>0</v>
      </c>
      <c r="L101" s="211">
        <f t="shared" si="1"/>
        <v>0</v>
      </c>
    </row>
    <row r="102" spans="1:12">
      <c r="A102" s="613" t="s">
        <v>1095</v>
      </c>
      <c r="B102" s="219" t="s">
        <v>1173</v>
      </c>
      <c r="C102" s="219">
        <f>SUMIFS('calcul rapoarte'!$Q:$Q,'calcul rapoarte'!$B:$B,'Energy Control'!$A$100,'calcul rapoarte'!$P:$P,'Energy Control'!B102)</f>
        <v>0</v>
      </c>
      <c r="D102" s="242">
        <f>SUMIFS('calcul rapoarte'!$R:$R,'calcul rapoarte'!$B:$B,'Energy Control'!$A$100,'calcul rapoarte'!$P:$P,'Energy Control'!B102)</f>
        <v>0.4395</v>
      </c>
      <c r="E102" s="219">
        <f>SUMIFS('calcul rapoarte'!$S:$S,'calcul rapoarte'!$B:$B,'Energy Control'!$A$100,'calcul rapoarte'!$P:$P,'Energy Control'!B102)</f>
        <v>0</v>
      </c>
      <c r="F102" s="219">
        <f>SUMIFS('calcul rapoarte'!$T:$T,'calcul rapoarte'!$B:$B,'Energy Control'!$A$100,'calcul rapoarte'!$P:$P,'Energy Control'!B102)</f>
        <v>0</v>
      </c>
      <c r="G102" s="219">
        <f>SUMIFS('calcul rapoarte'!$U:$U,'calcul rapoarte'!$B:$B,'Energy Control'!$A$100,'calcul rapoarte'!$P:$P,'Energy Control'!B102)</f>
        <v>0</v>
      </c>
      <c r="L102" s="211">
        <f t="shared" si="1"/>
        <v>0</v>
      </c>
    </row>
    <row r="103" spans="1:12">
      <c r="A103" s="613" t="s">
        <v>1095</v>
      </c>
      <c r="B103" s="219" t="s">
        <v>1410</v>
      </c>
      <c r="C103" s="219">
        <f>SUMIFS('calcul rapoarte'!$Q:$Q,'calcul rapoarte'!$B:$B,'Energy Control'!$A$100,'calcul rapoarte'!$P:$P,'Energy Control'!B103)</f>
        <v>42472</v>
      </c>
      <c r="D103" s="242">
        <f>SUMIFS('calcul rapoarte'!$R:$R,'calcul rapoarte'!$B:$B,'Energy Control'!$A$100,'calcul rapoarte'!$P:$P,'Energy Control'!B103)</f>
        <v>0.93920800000000004</v>
      </c>
      <c r="E103" s="219">
        <f>SUMIFS('calcul rapoarte'!$S:$S,'calcul rapoarte'!$B:$B,'Energy Control'!$A$100,'calcul rapoarte'!$P:$P,'Energy Control'!B103)</f>
        <v>39890.03</v>
      </c>
      <c r="F103" s="219">
        <f>SUMIFS('calcul rapoarte'!$T:$T,'calcul rapoarte'!$B:$B,'Energy Control'!$A$100,'calcul rapoarte'!$P:$P,'Energy Control'!B103)</f>
        <v>7579.11</v>
      </c>
      <c r="G103" s="219">
        <f>SUMIFS('calcul rapoarte'!$U:$U,'calcul rapoarte'!$B:$B,'Energy Control'!$A$100,'calcul rapoarte'!$P:$P,'Energy Control'!B103)</f>
        <v>47469.14</v>
      </c>
      <c r="L103" s="211">
        <f t="shared" si="1"/>
        <v>1.2176000003819354E-2</v>
      </c>
    </row>
    <row r="104" spans="1:12">
      <c r="A104" s="613" t="s">
        <v>1095</v>
      </c>
      <c r="B104" s="219" t="s">
        <v>1411</v>
      </c>
      <c r="C104" s="219">
        <f>SUMIFS('calcul rapoarte'!$Q:$Q,'calcul rapoarte'!$B:$B,'Energy Control'!$A$100,'calcul rapoarte'!$P:$P,'Energy Control'!B104)</f>
        <v>0</v>
      </c>
      <c r="D104" s="242">
        <f>SUMIFS('calcul rapoarte'!$R:$R,'calcul rapoarte'!$B:$B,'Energy Control'!$A$100,'calcul rapoarte'!$P:$P,'Energy Control'!B104)</f>
        <v>0</v>
      </c>
      <c r="E104" s="219">
        <f>SUMIFS('calcul rapoarte'!$S:$S,'calcul rapoarte'!$B:$B,'Energy Control'!$A$100,'calcul rapoarte'!$P:$P,'Energy Control'!B104)</f>
        <v>0</v>
      </c>
      <c r="F104" s="219">
        <f>SUMIFS('calcul rapoarte'!$T:$T,'calcul rapoarte'!$B:$B,'Energy Control'!$A$100,'calcul rapoarte'!$P:$P,'Energy Control'!B104)</f>
        <v>0</v>
      </c>
      <c r="G104" s="219">
        <f>SUMIFS('calcul rapoarte'!$U:$U,'calcul rapoarte'!$B:$B,'Energy Control'!$A$100,'calcul rapoarte'!$P:$P,'Energy Control'!B104)</f>
        <v>0</v>
      </c>
      <c r="L104" s="211">
        <f t="shared" si="1"/>
        <v>0</v>
      </c>
    </row>
    <row r="105" spans="1:12">
      <c r="A105" s="613" t="s">
        <v>1095</v>
      </c>
      <c r="B105" s="219" t="s">
        <v>1174</v>
      </c>
      <c r="C105" s="219">
        <f>SUMIFS('calcul rapoarte'!$Q:$Q,'calcul rapoarte'!$B:$B,'Energy Control'!$A$100,'calcul rapoarte'!$P:$P,'Energy Control'!B105)</f>
        <v>0</v>
      </c>
      <c r="D105" s="242">
        <f>SUMIFS('calcul rapoarte'!$R:$R,'calcul rapoarte'!$B:$B,'Energy Control'!$A$100,'calcul rapoarte'!$P:$P,'Energy Control'!B105)</f>
        <v>0.14649999999999999</v>
      </c>
      <c r="E105" s="219">
        <f>SUMIFS('calcul rapoarte'!$S:$S,'calcul rapoarte'!$B:$B,'Energy Control'!$A$100,'calcul rapoarte'!$P:$P,'Energy Control'!B105)</f>
        <v>0</v>
      </c>
      <c r="F105" s="219">
        <f>SUMIFS('calcul rapoarte'!$T:$T,'calcul rapoarte'!$B:$B,'Energy Control'!$A$100,'calcul rapoarte'!$P:$P,'Energy Control'!B105)</f>
        <v>0</v>
      </c>
      <c r="G105" s="219">
        <f>SUMIFS('calcul rapoarte'!$U:$U,'calcul rapoarte'!$B:$B,'Energy Control'!$A$100,'calcul rapoarte'!$P:$P,'Energy Control'!B105)</f>
        <v>0</v>
      </c>
      <c r="L105" s="211">
        <f t="shared" si="1"/>
        <v>0</v>
      </c>
    </row>
    <row r="106" spans="1:12">
      <c r="A106" s="613" t="s">
        <v>1095</v>
      </c>
      <c r="B106" s="219" t="s">
        <v>1175</v>
      </c>
      <c r="C106" s="219">
        <f>SUMIFS('calcul rapoarte'!$Q:$Q,'calcul rapoarte'!$B:$B,'Energy Control'!$A$100,'calcul rapoarte'!$P:$P,'Energy Control'!B106)</f>
        <v>0</v>
      </c>
      <c r="D106" s="242">
        <f>SUMIFS('calcul rapoarte'!$R:$R,'calcul rapoarte'!$B:$B,'Energy Control'!$A$100,'calcul rapoarte'!$P:$P,'Energy Control'!B106)</f>
        <v>0.4395</v>
      </c>
      <c r="E106" s="219">
        <f>SUMIFS('calcul rapoarte'!$S:$S,'calcul rapoarte'!$B:$B,'Energy Control'!$A$100,'calcul rapoarte'!$P:$P,'Energy Control'!B106)</f>
        <v>0</v>
      </c>
      <c r="F106" s="219">
        <f>SUMIFS('calcul rapoarte'!$T:$T,'calcul rapoarte'!$B:$B,'Energy Control'!$A$100,'calcul rapoarte'!$P:$P,'Energy Control'!B106)</f>
        <v>0</v>
      </c>
      <c r="G106" s="219">
        <f>SUMIFS('calcul rapoarte'!$U:$U,'calcul rapoarte'!$B:$B,'Energy Control'!$A$100,'calcul rapoarte'!$P:$P,'Energy Control'!B106)</f>
        <v>0</v>
      </c>
      <c r="L106" s="211">
        <f t="shared" si="1"/>
        <v>0</v>
      </c>
    </row>
    <row r="107" spans="1:12">
      <c r="A107" s="614" t="s">
        <v>1095</v>
      </c>
      <c r="B107" s="219" t="s">
        <v>1412</v>
      </c>
      <c r="C107" s="219">
        <f>SUMIFS('calcul rapoarte'!$Q:$Q,'calcul rapoarte'!$B:$B,'Energy Control'!$A$100,'calcul rapoarte'!$P:$P,'Energy Control'!B107)</f>
        <v>0</v>
      </c>
      <c r="D107" s="242">
        <f>SUMIFS('calcul rapoarte'!$R:$R,'calcul rapoarte'!$B:$B,'Energy Control'!$A$100,'calcul rapoarte'!$P:$P,'Energy Control'!B107)</f>
        <v>0</v>
      </c>
      <c r="E107" s="219">
        <f>SUMIFS('calcul rapoarte'!$S:$S,'calcul rapoarte'!$B:$B,'Energy Control'!$A$100,'calcul rapoarte'!$P:$P,'Energy Control'!B107)</f>
        <v>0</v>
      </c>
      <c r="F107" s="219">
        <f>SUMIFS('calcul rapoarte'!$T:$T,'calcul rapoarte'!$B:$B,'Energy Control'!$A$100,'calcul rapoarte'!$P:$P,'Energy Control'!B107)</f>
        <v>0</v>
      </c>
      <c r="G107" s="219">
        <f>SUMIFS('calcul rapoarte'!$U:$U,'calcul rapoarte'!$B:$B,'Energy Control'!$A$100,'calcul rapoarte'!$P:$P,'Energy Control'!B107)</f>
        <v>0</v>
      </c>
      <c r="L107" s="211">
        <f t="shared" si="1"/>
        <v>0</v>
      </c>
    </row>
    <row r="108" spans="1:12">
      <c r="A108" s="612" t="s">
        <v>61</v>
      </c>
      <c r="B108" s="219" t="s">
        <v>1171</v>
      </c>
      <c r="C108" s="219">
        <f>SUMIFS('calcul rapoarte'!$Q:$Q,'calcul rapoarte'!$B:$B,'Energy Control'!$A$108,'calcul rapoarte'!$P:$P,'Energy Control'!B108)</f>
        <v>1447555</v>
      </c>
      <c r="D108" s="242">
        <f>SUMIFS('calcul rapoarte'!$R:$R,'calcul rapoarte'!$B:$B,'Energy Control'!$A$108,'calcul rapoarte'!$P:$P,'Energy Control'!B108)</f>
        <v>0.91775799999999996</v>
      </c>
      <c r="E108" s="219">
        <f>SUMIFS('calcul rapoarte'!$S:$S,'calcul rapoarte'!$B:$B,'Energy Control'!$A$108,'calcul rapoarte'!$P:$P,'Energy Control'!B108)</f>
        <v>1328504.6200000001</v>
      </c>
      <c r="F108" s="219">
        <f>SUMIFS('calcul rapoarte'!$T:$T,'calcul rapoarte'!$B:$B,'Energy Control'!$A$108,'calcul rapoarte'!$P:$P,'Energy Control'!B108)</f>
        <v>252415.88</v>
      </c>
      <c r="G108" s="219">
        <f>SUMIFS('calcul rapoarte'!$U:$U,'calcul rapoarte'!$B:$B,'Energy Control'!$A$108,'calcul rapoarte'!$P:$P,'Energy Control'!B108)</f>
        <v>1580920.5</v>
      </c>
      <c r="L108" s="211">
        <f t="shared" si="1"/>
        <v>0.56168999988585711</v>
      </c>
    </row>
    <row r="109" spans="1:12">
      <c r="A109" s="613" t="s">
        <v>1095</v>
      </c>
      <c r="B109" s="219" t="s">
        <v>1172</v>
      </c>
      <c r="C109" s="219">
        <f>SUMIFS('calcul rapoarte'!$Q:$Q,'calcul rapoarte'!$B:$B,'Energy Control'!$A$108,'calcul rapoarte'!$P:$P,'Energy Control'!B109)</f>
        <v>0</v>
      </c>
      <c r="D109" s="242">
        <f>SUMIFS('calcul rapoarte'!$R:$R,'calcul rapoarte'!$B:$B,'Energy Control'!$A$108,'calcul rapoarte'!$P:$P,'Energy Control'!B109)</f>
        <v>0.14660000000000001</v>
      </c>
      <c r="E109" s="219">
        <f>SUMIFS('calcul rapoarte'!$S:$S,'calcul rapoarte'!$B:$B,'Energy Control'!$A$108,'calcul rapoarte'!$P:$P,'Energy Control'!B109)</f>
        <v>0</v>
      </c>
      <c r="F109" s="219">
        <f>SUMIFS('calcul rapoarte'!$T:$T,'calcul rapoarte'!$B:$B,'Energy Control'!$A$108,'calcul rapoarte'!$P:$P,'Energy Control'!B109)</f>
        <v>0</v>
      </c>
      <c r="G109" s="219">
        <f>SUMIFS('calcul rapoarte'!$U:$U,'calcul rapoarte'!$B:$B,'Energy Control'!$A$108,'calcul rapoarte'!$P:$P,'Energy Control'!B109)</f>
        <v>0</v>
      </c>
      <c r="L109" s="211">
        <f t="shared" si="1"/>
        <v>0</v>
      </c>
    </row>
    <row r="110" spans="1:12">
      <c r="A110" s="613" t="s">
        <v>1095</v>
      </c>
      <c r="B110" s="219" t="s">
        <v>1173</v>
      </c>
      <c r="C110" s="219">
        <f>SUMIFS('calcul rapoarte'!$Q:$Q,'calcul rapoarte'!$B:$B,'Energy Control'!$A$108,'calcul rapoarte'!$P:$P,'Energy Control'!B110)</f>
        <v>0</v>
      </c>
      <c r="D110" s="242">
        <f>SUMIFS('calcul rapoarte'!$R:$R,'calcul rapoarte'!$B:$B,'Energy Control'!$A$108,'calcul rapoarte'!$P:$P,'Energy Control'!B110)</f>
        <v>0.43980000000000002</v>
      </c>
      <c r="E110" s="219">
        <f>SUMIFS('calcul rapoarte'!$S:$S,'calcul rapoarte'!$B:$B,'Energy Control'!$A$108,'calcul rapoarte'!$P:$P,'Energy Control'!B110)</f>
        <v>0</v>
      </c>
      <c r="F110" s="219">
        <f>SUMIFS('calcul rapoarte'!$T:$T,'calcul rapoarte'!$B:$B,'Energy Control'!$A$108,'calcul rapoarte'!$P:$P,'Energy Control'!B110)</f>
        <v>0</v>
      </c>
      <c r="G110" s="219">
        <f>SUMIFS('calcul rapoarte'!$U:$U,'calcul rapoarte'!$B:$B,'Energy Control'!$A$108,'calcul rapoarte'!$P:$P,'Energy Control'!B110)</f>
        <v>0</v>
      </c>
      <c r="L110" s="211">
        <f t="shared" si="1"/>
        <v>0</v>
      </c>
    </row>
    <row r="111" spans="1:12">
      <c r="A111" s="613" t="s">
        <v>1095</v>
      </c>
      <c r="B111" s="219" t="s">
        <v>1410</v>
      </c>
      <c r="C111" s="219">
        <f>SUMIFS('calcul rapoarte'!$Q:$Q,'calcul rapoarte'!$B:$B,'Energy Control'!$A$108,'calcul rapoarte'!$P:$P,'Energy Control'!B111)</f>
        <v>69144</v>
      </c>
      <c r="D111" s="242">
        <f>SUMIFS('calcul rapoarte'!$R:$R,'calcul rapoarte'!$B:$B,'Energy Control'!$A$108,'calcul rapoarte'!$P:$P,'Energy Control'!B111)</f>
        <v>0.91775799999999996</v>
      </c>
      <c r="E111" s="219">
        <f>SUMIFS('calcul rapoarte'!$S:$S,'calcul rapoarte'!$B:$B,'Energy Control'!$A$108,'calcul rapoarte'!$P:$P,'Energy Control'!B111)</f>
        <v>63457.43</v>
      </c>
      <c r="F111" s="219">
        <f>SUMIFS('calcul rapoarte'!$T:$T,'calcul rapoarte'!$B:$B,'Energy Control'!$A$108,'calcul rapoarte'!$P:$P,'Energy Control'!B111)</f>
        <v>12056.91</v>
      </c>
      <c r="G111" s="219">
        <f>SUMIFS('calcul rapoarte'!$U:$U,'calcul rapoarte'!$B:$B,'Energy Control'!$A$108,'calcul rapoarte'!$P:$P,'Energy Control'!B111)</f>
        <v>75514.34</v>
      </c>
      <c r="L111" s="211">
        <f t="shared" si="1"/>
        <v>2.9151999995519873E-2</v>
      </c>
    </row>
    <row r="112" spans="1:12">
      <c r="A112" s="613" t="s">
        <v>1095</v>
      </c>
      <c r="B112" s="219" t="s">
        <v>1411</v>
      </c>
      <c r="C112" s="219">
        <f>SUMIFS('calcul rapoarte'!$Q:$Q,'calcul rapoarte'!$B:$B,'Energy Control'!$A$108,'calcul rapoarte'!$P:$P,'Energy Control'!B112)</f>
        <v>0</v>
      </c>
      <c r="D112" s="242">
        <f>SUMIFS('calcul rapoarte'!$R:$R,'calcul rapoarte'!$B:$B,'Energy Control'!$A$108,'calcul rapoarte'!$P:$P,'Energy Control'!B112)</f>
        <v>0</v>
      </c>
      <c r="E112" s="219">
        <f>SUMIFS('calcul rapoarte'!$S:$S,'calcul rapoarte'!$B:$B,'Energy Control'!$A$108,'calcul rapoarte'!$P:$P,'Energy Control'!B112)</f>
        <v>0</v>
      </c>
      <c r="F112" s="219">
        <f>SUMIFS('calcul rapoarte'!$T:$T,'calcul rapoarte'!$B:$B,'Energy Control'!$A$108,'calcul rapoarte'!$P:$P,'Energy Control'!B112)</f>
        <v>0</v>
      </c>
      <c r="G112" s="219">
        <f>SUMIFS('calcul rapoarte'!$U:$U,'calcul rapoarte'!$B:$B,'Energy Control'!$A$108,'calcul rapoarte'!$P:$P,'Energy Control'!B112)</f>
        <v>0</v>
      </c>
      <c r="L112" s="211">
        <f t="shared" si="1"/>
        <v>0</v>
      </c>
    </row>
    <row r="113" spans="1:12">
      <c r="A113" s="613" t="s">
        <v>1095</v>
      </c>
      <c r="B113" s="219" t="s">
        <v>1174</v>
      </c>
      <c r="C113" s="219">
        <f>SUMIFS('calcul rapoarte'!$Q:$Q,'calcul rapoarte'!$B:$B,'Energy Control'!$A$108,'calcul rapoarte'!$P:$P,'Energy Control'!B113)</f>
        <v>29</v>
      </c>
      <c r="D113" s="242">
        <f>SUMIFS('calcul rapoarte'!$R:$R,'calcul rapoarte'!$B:$B,'Energy Control'!$A$108,'calcul rapoarte'!$P:$P,'Energy Control'!B113)</f>
        <v>0.14660000000000001</v>
      </c>
      <c r="E113" s="219">
        <f>SUMIFS('calcul rapoarte'!$S:$S,'calcul rapoarte'!$B:$B,'Energy Control'!$A$108,'calcul rapoarte'!$P:$P,'Energy Control'!B113)</f>
        <v>4.25</v>
      </c>
      <c r="F113" s="219">
        <f>SUMIFS('calcul rapoarte'!$T:$T,'calcul rapoarte'!$B:$B,'Energy Control'!$A$108,'calcul rapoarte'!$P:$P,'Energy Control'!B113)</f>
        <v>0.81</v>
      </c>
      <c r="G113" s="219">
        <f>SUMIFS('calcul rapoarte'!$U:$U,'calcul rapoarte'!$B:$B,'Energy Control'!$A$108,'calcul rapoarte'!$P:$P,'Energy Control'!B113)</f>
        <v>5.0599999999999996</v>
      </c>
      <c r="L113" s="211">
        <f t="shared" si="1"/>
        <v>1.4000000000002899E-3</v>
      </c>
    </row>
    <row r="114" spans="1:12">
      <c r="A114" s="613" t="s">
        <v>1095</v>
      </c>
      <c r="B114" s="219" t="s">
        <v>1175</v>
      </c>
      <c r="C114" s="219">
        <f>SUMIFS('calcul rapoarte'!$Q:$Q,'calcul rapoarte'!$B:$B,'Energy Control'!$A$108,'calcul rapoarte'!$P:$P,'Energy Control'!B114)</f>
        <v>0</v>
      </c>
      <c r="D114" s="242">
        <f>SUMIFS('calcul rapoarte'!$R:$R,'calcul rapoarte'!$B:$B,'Energy Control'!$A$108,'calcul rapoarte'!$P:$P,'Energy Control'!B114)</f>
        <v>0.43980000000000002</v>
      </c>
      <c r="E114" s="219">
        <f>SUMIFS('calcul rapoarte'!$S:$S,'calcul rapoarte'!$B:$B,'Energy Control'!$A$108,'calcul rapoarte'!$P:$P,'Energy Control'!B114)</f>
        <v>0</v>
      </c>
      <c r="F114" s="219">
        <f>SUMIFS('calcul rapoarte'!$T:$T,'calcul rapoarte'!$B:$B,'Energy Control'!$A$108,'calcul rapoarte'!$P:$P,'Energy Control'!B114)</f>
        <v>0</v>
      </c>
      <c r="G114" s="219">
        <f>SUMIFS('calcul rapoarte'!$U:$U,'calcul rapoarte'!$B:$B,'Energy Control'!$A$108,'calcul rapoarte'!$P:$P,'Energy Control'!B114)</f>
        <v>0</v>
      </c>
      <c r="L114" s="211">
        <f t="shared" si="1"/>
        <v>0</v>
      </c>
    </row>
    <row r="115" spans="1:12">
      <c r="A115" s="614" t="s">
        <v>1095</v>
      </c>
      <c r="B115" s="219" t="s">
        <v>1412</v>
      </c>
      <c r="C115" s="219">
        <f>SUMIFS('calcul rapoarte'!$Q:$Q,'calcul rapoarte'!$B:$B,'Energy Control'!$A$108,'calcul rapoarte'!$P:$P,'Energy Control'!B115)</f>
        <v>0</v>
      </c>
      <c r="D115" s="242">
        <f>SUMIFS('calcul rapoarte'!$R:$R,'calcul rapoarte'!$B:$B,'Energy Control'!$A$108,'calcul rapoarte'!$P:$P,'Energy Control'!B115)</f>
        <v>0</v>
      </c>
      <c r="E115" s="219">
        <f>SUMIFS('calcul rapoarte'!$S:$S,'calcul rapoarte'!$B:$B,'Energy Control'!$A$108,'calcul rapoarte'!$P:$P,'Energy Control'!B115)</f>
        <v>0</v>
      </c>
      <c r="F115" s="219">
        <f>SUMIFS('calcul rapoarte'!$T:$T,'calcul rapoarte'!$B:$B,'Energy Control'!$A$108,'calcul rapoarte'!$P:$P,'Energy Control'!B115)</f>
        <v>0</v>
      </c>
      <c r="G115" s="219">
        <f>SUMIFS('calcul rapoarte'!$U:$U,'calcul rapoarte'!$B:$B,'Energy Control'!$A$108,'calcul rapoarte'!$P:$P,'Energy Control'!B115)</f>
        <v>0</v>
      </c>
      <c r="L115" s="211">
        <f t="shared" si="1"/>
        <v>0</v>
      </c>
    </row>
    <row r="116" spans="1:12">
      <c r="A116" s="612" t="s">
        <v>22</v>
      </c>
      <c r="B116" s="219" t="s">
        <v>1171</v>
      </c>
      <c r="C116" s="219">
        <f>SUMIFS('calcul rapoarte'!$Q:$Q,'calcul rapoarte'!$B:$B,'Energy Control'!$A$116,'calcul rapoarte'!$P:$P,'Energy Control'!B116)</f>
        <v>326783</v>
      </c>
      <c r="D116" s="242">
        <f>SUMIFS('calcul rapoarte'!$R:$R,'calcul rapoarte'!$B:$B,'Energy Control'!$A$116,'calcul rapoarte'!$P:$P,'Energy Control'!B116)</f>
        <v>0.96800799999999998</v>
      </c>
      <c r="E116" s="219">
        <f>SUMIFS('calcul rapoarte'!$S:$S,'calcul rapoarte'!$B:$B,'Energy Control'!$A$116,'calcul rapoarte'!$P:$P,'Energy Control'!B116)</f>
        <v>316328.43</v>
      </c>
      <c r="F116" s="219">
        <f>SUMIFS('calcul rapoarte'!$T:$T,'calcul rapoarte'!$B:$B,'Energy Control'!$A$116,'calcul rapoarte'!$P:$P,'Energy Control'!B116)</f>
        <v>60102.39</v>
      </c>
      <c r="G116" s="219">
        <f>SUMIFS('calcul rapoarte'!$U:$U,'calcul rapoarte'!$B:$B,'Energy Control'!$A$116,'calcul rapoarte'!$P:$P,'Energy Control'!B116)</f>
        <v>376430.82</v>
      </c>
      <c r="L116" s="211">
        <f t="shared" si="1"/>
        <v>0.12826399999903515</v>
      </c>
    </row>
    <row r="117" spans="1:12">
      <c r="A117" s="613" t="s">
        <v>1095</v>
      </c>
      <c r="B117" s="219" t="s">
        <v>1172</v>
      </c>
      <c r="C117" s="219">
        <f>SUMIFS('calcul rapoarte'!$Q:$Q,'calcul rapoarte'!$B:$B,'Energy Control'!$A$116,'calcul rapoarte'!$P:$P,'Energy Control'!B117)</f>
        <v>0</v>
      </c>
      <c r="D117" s="242">
        <f>SUMIFS('calcul rapoarte'!$R:$R,'calcul rapoarte'!$B:$B,'Energy Control'!$A$116,'calcul rapoarte'!$P:$P,'Energy Control'!B117)</f>
        <v>0.14649999999999999</v>
      </c>
      <c r="E117" s="219">
        <f>SUMIFS('calcul rapoarte'!$S:$S,'calcul rapoarte'!$B:$B,'Energy Control'!$A$116,'calcul rapoarte'!$P:$P,'Energy Control'!B117)</f>
        <v>0</v>
      </c>
      <c r="F117" s="219">
        <f>SUMIFS('calcul rapoarte'!$T:$T,'calcul rapoarte'!$B:$B,'Energy Control'!$A$116,'calcul rapoarte'!$P:$P,'Energy Control'!B117)</f>
        <v>0</v>
      </c>
      <c r="G117" s="219">
        <f>SUMIFS('calcul rapoarte'!$U:$U,'calcul rapoarte'!$B:$B,'Energy Control'!$A$116,'calcul rapoarte'!$P:$P,'Energy Control'!B117)</f>
        <v>0</v>
      </c>
      <c r="L117" s="211">
        <f t="shared" si="1"/>
        <v>0</v>
      </c>
    </row>
    <row r="118" spans="1:12">
      <c r="A118" s="613" t="s">
        <v>1095</v>
      </c>
      <c r="B118" s="219" t="s">
        <v>1173</v>
      </c>
      <c r="C118" s="219">
        <f>SUMIFS('calcul rapoarte'!$Q:$Q,'calcul rapoarte'!$B:$B,'Energy Control'!$A$116,'calcul rapoarte'!$P:$P,'Energy Control'!B118)</f>
        <v>0</v>
      </c>
      <c r="D118" s="242">
        <f>SUMIFS('calcul rapoarte'!$R:$R,'calcul rapoarte'!$B:$B,'Energy Control'!$A$116,'calcul rapoarte'!$P:$P,'Energy Control'!B118)</f>
        <v>0.4395</v>
      </c>
      <c r="E118" s="219">
        <f>SUMIFS('calcul rapoarte'!$S:$S,'calcul rapoarte'!$B:$B,'Energy Control'!$A$116,'calcul rapoarte'!$P:$P,'Energy Control'!B118)</f>
        <v>0</v>
      </c>
      <c r="F118" s="219">
        <f>SUMIFS('calcul rapoarte'!$T:$T,'calcul rapoarte'!$B:$B,'Energy Control'!$A$116,'calcul rapoarte'!$P:$P,'Energy Control'!B118)</f>
        <v>0</v>
      </c>
      <c r="G118" s="219">
        <f>SUMIFS('calcul rapoarte'!$U:$U,'calcul rapoarte'!$B:$B,'Energy Control'!$A$116,'calcul rapoarte'!$P:$P,'Energy Control'!B118)</f>
        <v>0</v>
      </c>
      <c r="L118" s="211">
        <f t="shared" si="1"/>
        <v>0</v>
      </c>
    </row>
    <row r="119" spans="1:12">
      <c r="A119" s="613" t="s">
        <v>1095</v>
      </c>
      <c r="B119" s="219" t="s">
        <v>1410</v>
      </c>
      <c r="C119" s="219">
        <f>SUMIFS('calcul rapoarte'!$Q:$Q,'calcul rapoarte'!$B:$B,'Energy Control'!$A$116,'calcul rapoarte'!$P:$P,'Energy Control'!B119)</f>
        <v>142101</v>
      </c>
      <c r="D119" s="242">
        <f>SUMIFS('calcul rapoarte'!$R:$R,'calcul rapoarte'!$B:$B,'Energy Control'!$A$116,'calcul rapoarte'!$P:$P,'Energy Control'!B119)</f>
        <v>0.96800799999999998</v>
      </c>
      <c r="E119" s="219">
        <f>SUMIFS('calcul rapoarte'!$S:$S,'calcul rapoarte'!$B:$B,'Energy Control'!$A$116,'calcul rapoarte'!$P:$P,'Energy Control'!B119)</f>
        <v>137554.85</v>
      </c>
      <c r="F119" s="219">
        <f>SUMIFS('calcul rapoarte'!$T:$T,'calcul rapoarte'!$B:$B,'Energy Control'!$A$116,'calcul rapoarte'!$P:$P,'Energy Control'!B119)</f>
        <v>26135.43</v>
      </c>
      <c r="G119" s="219">
        <f>SUMIFS('calcul rapoarte'!$U:$U,'calcul rapoarte'!$B:$B,'Energy Control'!$A$116,'calcul rapoarte'!$P:$P,'Energy Control'!B119)</f>
        <v>163690.28</v>
      </c>
      <c r="L119" s="211">
        <f t="shared" si="1"/>
        <v>5.4807999986223876E-2</v>
      </c>
    </row>
    <row r="120" spans="1:12">
      <c r="A120" s="613" t="s">
        <v>1095</v>
      </c>
      <c r="B120" s="219" t="s">
        <v>1411</v>
      </c>
      <c r="C120" s="219">
        <f>SUMIFS('calcul rapoarte'!$Q:$Q,'calcul rapoarte'!$B:$B,'Energy Control'!$A$116,'calcul rapoarte'!$P:$P,'Energy Control'!B120)</f>
        <v>0</v>
      </c>
      <c r="D120" s="242">
        <f>SUMIFS('calcul rapoarte'!$R:$R,'calcul rapoarte'!$B:$B,'Energy Control'!$A$116,'calcul rapoarte'!$P:$P,'Energy Control'!B120)</f>
        <v>0</v>
      </c>
      <c r="E120" s="219">
        <f>SUMIFS('calcul rapoarte'!$S:$S,'calcul rapoarte'!$B:$B,'Energy Control'!$A$116,'calcul rapoarte'!$P:$P,'Energy Control'!B120)</f>
        <v>0</v>
      </c>
      <c r="F120" s="219">
        <f>SUMIFS('calcul rapoarte'!$T:$T,'calcul rapoarte'!$B:$B,'Energy Control'!$A$116,'calcul rapoarte'!$P:$P,'Energy Control'!B120)</f>
        <v>0</v>
      </c>
      <c r="G120" s="219">
        <f>SUMIFS('calcul rapoarte'!$U:$U,'calcul rapoarte'!$B:$B,'Energy Control'!$A$116,'calcul rapoarte'!$P:$P,'Energy Control'!B120)</f>
        <v>0</v>
      </c>
      <c r="L120" s="211">
        <f t="shared" si="1"/>
        <v>0</v>
      </c>
    </row>
    <row r="121" spans="1:12">
      <c r="A121" s="613" t="s">
        <v>1095</v>
      </c>
      <c r="B121" s="219" t="s">
        <v>1174</v>
      </c>
      <c r="C121" s="219">
        <f>SUMIFS('calcul rapoarte'!$Q:$Q,'calcul rapoarte'!$B:$B,'Energy Control'!$A$116,'calcul rapoarte'!$P:$P,'Energy Control'!B121)</f>
        <v>334</v>
      </c>
      <c r="D121" s="242">
        <f>SUMIFS('calcul rapoarte'!$R:$R,'calcul rapoarte'!$B:$B,'Energy Control'!$A$116,'calcul rapoarte'!$P:$P,'Energy Control'!B121)</f>
        <v>0.14649999999999999</v>
      </c>
      <c r="E121" s="219">
        <f>SUMIFS('calcul rapoarte'!$S:$S,'calcul rapoarte'!$B:$B,'Energy Control'!$A$116,'calcul rapoarte'!$P:$P,'Energy Control'!B121)</f>
        <v>48.93</v>
      </c>
      <c r="F121" s="219">
        <f>SUMIFS('calcul rapoarte'!$T:$T,'calcul rapoarte'!$B:$B,'Energy Control'!$A$116,'calcul rapoarte'!$P:$P,'Energy Control'!B121)</f>
        <v>9.3000000000000007</v>
      </c>
      <c r="G121" s="219">
        <f>SUMIFS('calcul rapoarte'!$U:$U,'calcul rapoarte'!$B:$B,'Energy Control'!$A$116,'calcul rapoarte'!$P:$P,'Energy Control'!B121)</f>
        <v>58.23</v>
      </c>
      <c r="L121" s="211">
        <f t="shared" si="1"/>
        <v>9.9999999999766942E-4</v>
      </c>
    </row>
    <row r="122" spans="1:12">
      <c r="A122" s="613" t="s">
        <v>1095</v>
      </c>
      <c r="B122" s="219" t="s">
        <v>1175</v>
      </c>
      <c r="C122" s="219">
        <f>SUMIFS('calcul rapoarte'!$Q:$Q,'calcul rapoarte'!$B:$B,'Energy Control'!$A$116,'calcul rapoarte'!$P:$P,'Energy Control'!B122)</f>
        <v>0</v>
      </c>
      <c r="D122" s="242">
        <f>SUMIFS('calcul rapoarte'!$R:$R,'calcul rapoarte'!$B:$B,'Energy Control'!$A$116,'calcul rapoarte'!$P:$P,'Energy Control'!B122)</f>
        <v>0.4395</v>
      </c>
      <c r="E122" s="219">
        <f>SUMIFS('calcul rapoarte'!$S:$S,'calcul rapoarte'!$B:$B,'Energy Control'!$A$116,'calcul rapoarte'!$P:$P,'Energy Control'!B122)</f>
        <v>0</v>
      </c>
      <c r="F122" s="219">
        <f>SUMIFS('calcul rapoarte'!$T:$T,'calcul rapoarte'!$B:$B,'Energy Control'!$A$116,'calcul rapoarte'!$P:$P,'Energy Control'!B122)</f>
        <v>0</v>
      </c>
      <c r="G122" s="219">
        <f>SUMIFS('calcul rapoarte'!$U:$U,'calcul rapoarte'!$B:$B,'Energy Control'!$A$116,'calcul rapoarte'!$P:$P,'Energy Control'!B122)</f>
        <v>0</v>
      </c>
      <c r="L122" s="211">
        <f t="shared" si="1"/>
        <v>0</v>
      </c>
    </row>
    <row r="123" spans="1:12">
      <c r="A123" s="614" t="s">
        <v>1095</v>
      </c>
      <c r="B123" s="219" t="s">
        <v>1412</v>
      </c>
      <c r="C123" s="219">
        <f>SUMIFS('calcul rapoarte'!$Q:$Q,'calcul rapoarte'!$B:$B,'Energy Control'!$A$116,'calcul rapoarte'!$P:$P,'Energy Control'!B123)</f>
        <v>0</v>
      </c>
      <c r="D123" s="242">
        <f>SUMIFS('calcul rapoarte'!$R:$R,'calcul rapoarte'!$B:$B,'Energy Control'!$A$116,'calcul rapoarte'!$P:$P,'Energy Control'!B123)</f>
        <v>0</v>
      </c>
      <c r="E123" s="219">
        <f>SUMIFS('calcul rapoarte'!$S:$S,'calcul rapoarte'!$B:$B,'Energy Control'!$A$116,'calcul rapoarte'!$P:$P,'Energy Control'!B123)</f>
        <v>0</v>
      </c>
      <c r="F123" s="219">
        <f>SUMIFS('calcul rapoarte'!$T:$T,'calcul rapoarte'!$B:$B,'Energy Control'!$A$116,'calcul rapoarte'!$P:$P,'Energy Control'!B123)</f>
        <v>0</v>
      </c>
      <c r="G123" s="219">
        <f>SUMIFS('calcul rapoarte'!$U:$U,'calcul rapoarte'!$B:$B,'Energy Control'!$A$116,'calcul rapoarte'!$P:$P,'Energy Control'!B123)</f>
        <v>0</v>
      </c>
      <c r="L123" s="211">
        <f t="shared" si="1"/>
        <v>0</v>
      </c>
    </row>
    <row r="124" spans="1:12">
      <c r="A124" s="612" t="s">
        <v>62</v>
      </c>
      <c r="B124" s="219" t="s">
        <v>1171</v>
      </c>
      <c r="C124" s="219">
        <f>SUMIFS('calcul rapoarte'!$Q:$Q,'calcul rapoarte'!$B:$B,'Energy Control'!$A$124,'calcul rapoarte'!$P:$P,'Energy Control'!B124)</f>
        <v>840199</v>
      </c>
      <c r="D124" s="242">
        <f>SUMIFS('calcul rapoarte'!$R:$R,'calcul rapoarte'!$B:$B,'Energy Control'!$A$124,'calcul rapoarte'!$P:$P,'Energy Control'!B124)</f>
        <v>0.97511800000000004</v>
      </c>
      <c r="E124" s="219">
        <f>SUMIFS('calcul rapoarte'!$S:$S,'calcul rapoarte'!$B:$B,'Energy Control'!$A$124,'calcul rapoarte'!$P:$P,'Energy Control'!B124)</f>
        <v>819292.83</v>
      </c>
      <c r="F124" s="219">
        <f>SUMIFS('calcul rapoarte'!$T:$T,'calcul rapoarte'!$B:$B,'Energy Control'!$A$124,'calcul rapoarte'!$P:$P,'Energy Control'!B124)</f>
        <v>155665.64000000001</v>
      </c>
      <c r="G124" s="219">
        <f>SUMIFS('calcul rapoarte'!$U:$U,'calcul rapoarte'!$B:$B,'Energy Control'!$A$124,'calcul rapoarte'!$P:$P,'Energy Control'!B124)</f>
        <v>974958.47</v>
      </c>
      <c r="L124" s="211">
        <f t="shared" si="1"/>
        <v>0.33848200005013496</v>
      </c>
    </row>
    <row r="125" spans="1:12">
      <c r="A125" s="613" t="s">
        <v>1095</v>
      </c>
      <c r="B125" s="219" t="s">
        <v>1172</v>
      </c>
      <c r="C125" s="219">
        <f>SUMIFS('calcul rapoarte'!$Q:$Q,'calcul rapoarte'!$B:$B,'Energy Control'!$A$124,'calcul rapoarte'!$P:$P,'Energy Control'!B125)</f>
        <v>0</v>
      </c>
      <c r="D125" s="242">
        <f>SUMIFS('calcul rapoarte'!$R:$R,'calcul rapoarte'!$B:$B,'Energy Control'!$A$124,'calcul rapoarte'!$P:$P,'Energy Control'!B125)</f>
        <v>0.14649999999999999</v>
      </c>
      <c r="E125" s="219">
        <f>SUMIFS('calcul rapoarte'!$S:$S,'calcul rapoarte'!$B:$B,'Energy Control'!$A$124,'calcul rapoarte'!$P:$P,'Energy Control'!B125)</f>
        <v>0</v>
      </c>
      <c r="F125" s="219">
        <f>SUMIFS('calcul rapoarte'!$T:$T,'calcul rapoarte'!$B:$B,'Energy Control'!$A$124,'calcul rapoarte'!$P:$P,'Energy Control'!B125)</f>
        <v>0</v>
      </c>
      <c r="G125" s="219">
        <f>SUMIFS('calcul rapoarte'!$U:$U,'calcul rapoarte'!$B:$B,'Energy Control'!$A$124,'calcul rapoarte'!$P:$P,'Energy Control'!B125)</f>
        <v>0</v>
      </c>
      <c r="L125" s="211">
        <f t="shared" si="1"/>
        <v>0</v>
      </c>
    </row>
    <row r="126" spans="1:12">
      <c r="A126" s="613" t="s">
        <v>1095</v>
      </c>
      <c r="B126" s="219" t="s">
        <v>1173</v>
      </c>
      <c r="C126" s="219">
        <f>SUMIFS('calcul rapoarte'!$Q:$Q,'calcul rapoarte'!$B:$B,'Energy Control'!$A$124,'calcul rapoarte'!$P:$P,'Energy Control'!B126)</f>
        <v>0</v>
      </c>
      <c r="D126" s="242">
        <f>SUMIFS('calcul rapoarte'!$R:$R,'calcul rapoarte'!$B:$B,'Energy Control'!$A$124,'calcul rapoarte'!$P:$P,'Energy Control'!B126)</f>
        <v>0.4395</v>
      </c>
      <c r="E126" s="219">
        <f>SUMIFS('calcul rapoarte'!$S:$S,'calcul rapoarte'!$B:$B,'Energy Control'!$A$124,'calcul rapoarte'!$P:$P,'Energy Control'!B126)</f>
        <v>0</v>
      </c>
      <c r="F126" s="219">
        <f>SUMIFS('calcul rapoarte'!$T:$T,'calcul rapoarte'!$B:$B,'Energy Control'!$A$124,'calcul rapoarte'!$P:$P,'Energy Control'!B126)</f>
        <v>0</v>
      </c>
      <c r="G126" s="219">
        <f>SUMIFS('calcul rapoarte'!$U:$U,'calcul rapoarte'!$B:$B,'Energy Control'!$A$124,'calcul rapoarte'!$P:$P,'Energy Control'!B126)</f>
        <v>0</v>
      </c>
      <c r="L126" s="211">
        <f t="shared" si="1"/>
        <v>0</v>
      </c>
    </row>
    <row r="127" spans="1:12">
      <c r="A127" s="613" t="s">
        <v>1095</v>
      </c>
      <c r="B127" s="219" t="s">
        <v>1410</v>
      </c>
      <c r="C127" s="219">
        <f>SUMIFS('calcul rapoarte'!$Q:$Q,'calcul rapoarte'!$B:$B,'Energy Control'!$A$124,'calcul rapoarte'!$P:$P,'Energy Control'!B127)</f>
        <v>475655</v>
      </c>
      <c r="D127" s="242">
        <f>SUMIFS('calcul rapoarte'!$R:$R,'calcul rapoarte'!$B:$B,'Energy Control'!$A$124,'calcul rapoarte'!$P:$P,'Energy Control'!B127)</f>
        <v>0.97511800000000004</v>
      </c>
      <c r="E127" s="219">
        <f>SUMIFS('calcul rapoarte'!$S:$S,'calcul rapoarte'!$B:$B,'Energy Control'!$A$124,'calcul rapoarte'!$P:$P,'Energy Control'!B127)</f>
        <v>463819.56</v>
      </c>
      <c r="F127" s="219">
        <f>SUMIFS('calcul rapoarte'!$T:$T,'calcul rapoarte'!$B:$B,'Energy Control'!$A$124,'calcul rapoarte'!$P:$P,'Energy Control'!B127)</f>
        <v>88125.71</v>
      </c>
      <c r="G127" s="219">
        <f>SUMIFS('calcul rapoarte'!$U:$U,'calcul rapoarte'!$B:$B,'Energy Control'!$A$124,'calcul rapoarte'!$P:$P,'Energy Control'!B127)</f>
        <v>551945.27</v>
      </c>
      <c r="L127" s="211">
        <f t="shared" si="1"/>
        <v>0.19229000003542751</v>
      </c>
    </row>
    <row r="128" spans="1:12">
      <c r="A128" s="613" t="s">
        <v>1095</v>
      </c>
      <c r="B128" s="219" t="s">
        <v>1411</v>
      </c>
      <c r="C128" s="219">
        <f>SUMIFS('calcul rapoarte'!$Q:$Q,'calcul rapoarte'!$B:$B,'Energy Control'!$A$124,'calcul rapoarte'!$P:$P,'Energy Control'!B128)</f>
        <v>0</v>
      </c>
      <c r="D128" s="242">
        <f>SUMIFS('calcul rapoarte'!$R:$R,'calcul rapoarte'!$B:$B,'Energy Control'!$A$124,'calcul rapoarte'!$P:$P,'Energy Control'!B128)</f>
        <v>0</v>
      </c>
      <c r="E128" s="219">
        <f>SUMIFS('calcul rapoarte'!$S:$S,'calcul rapoarte'!$B:$B,'Energy Control'!$A$124,'calcul rapoarte'!$P:$P,'Energy Control'!B128)</f>
        <v>0</v>
      </c>
      <c r="F128" s="219">
        <f>SUMIFS('calcul rapoarte'!$T:$T,'calcul rapoarte'!$B:$B,'Energy Control'!$A$124,'calcul rapoarte'!$P:$P,'Energy Control'!B128)</f>
        <v>0</v>
      </c>
      <c r="G128" s="219">
        <f>SUMIFS('calcul rapoarte'!$U:$U,'calcul rapoarte'!$B:$B,'Energy Control'!$A$124,'calcul rapoarte'!$P:$P,'Energy Control'!B128)</f>
        <v>0</v>
      </c>
      <c r="L128" s="211">
        <f t="shared" si="1"/>
        <v>0</v>
      </c>
    </row>
    <row r="129" spans="1:12">
      <c r="A129" s="613" t="s">
        <v>1095</v>
      </c>
      <c r="B129" s="219" t="s">
        <v>1174</v>
      </c>
      <c r="C129" s="219">
        <f>SUMIFS('calcul rapoarte'!$Q:$Q,'calcul rapoarte'!$B:$B,'Energy Control'!$A$124,'calcul rapoarte'!$P:$P,'Energy Control'!B129)</f>
        <v>2819</v>
      </c>
      <c r="D129" s="242">
        <f>SUMIFS('calcul rapoarte'!$R:$R,'calcul rapoarte'!$B:$B,'Energy Control'!$A$124,'calcul rapoarte'!$P:$P,'Energy Control'!B129)</f>
        <v>0.14649999999999999</v>
      </c>
      <c r="E129" s="219">
        <f>SUMIFS('calcul rapoarte'!$S:$S,'calcul rapoarte'!$B:$B,'Energy Control'!$A$124,'calcul rapoarte'!$P:$P,'Energy Control'!B129)</f>
        <v>412.98</v>
      </c>
      <c r="F129" s="219">
        <f>SUMIFS('calcul rapoarte'!$T:$T,'calcul rapoarte'!$B:$B,'Energy Control'!$A$124,'calcul rapoarte'!$P:$P,'Energy Control'!B129)</f>
        <v>78.47</v>
      </c>
      <c r="G129" s="219">
        <f>SUMIFS('calcul rapoarte'!$U:$U,'calcul rapoarte'!$B:$B,'Energy Control'!$A$124,'calcul rapoarte'!$P:$P,'Energy Control'!B129)</f>
        <v>491.45</v>
      </c>
      <c r="L129" s="211">
        <f t="shared" si="1"/>
        <v>3.4999999999740794E-3</v>
      </c>
    </row>
    <row r="130" spans="1:12">
      <c r="A130" s="613" t="s">
        <v>1095</v>
      </c>
      <c r="B130" s="219" t="s">
        <v>1175</v>
      </c>
      <c r="C130" s="219">
        <f>SUMIFS('calcul rapoarte'!$Q:$Q,'calcul rapoarte'!$B:$B,'Energy Control'!$A$124,'calcul rapoarte'!$P:$P,'Energy Control'!B130)</f>
        <v>5957</v>
      </c>
      <c r="D130" s="242">
        <f>SUMIFS('calcul rapoarte'!$R:$R,'calcul rapoarte'!$B:$B,'Energy Control'!$A$124,'calcul rapoarte'!$P:$P,'Energy Control'!B130)</f>
        <v>0.4395</v>
      </c>
      <c r="E130" s="219">
        <f>SUMIFS('calcul rapoarte'!$S:$S,'calcul rapoarte'!$B:$B,'Energy Control'!$A$124,'calcul rapoarte'!$P:$P,'Energy Control'!B130)</f>
        <v>2618.1</v>
      </c>
      <c r="F130" s="219">
        <f>SUMIFS('calcul rapoarte'!$T:$T,'calcul rapoarte'!$B:$B,'Energy Control'!$A$124,'calcul rapoarte'!$P:$P,'Energy Control'!B130)</f>
        <v>497.44</v>
      </c>
      <c r="G130" s="219">
        <f>SUMIFS('calcul rapoarte'!$U:$U,'calcul rapoarte'!$B:$B,'Energy Control'!$A$124,'calcul rapoarte'!$P:$P,'Energy Control'!B130)</f>
        <v>3115.54</v>
      </c>
      <c r="L130" s="211">
        <f t="shared" si="1"/>
        <v>1.5000000003055902E-3</v>
      </c>
    </row>
    <row r="131" spans="1:12">
      <c r="A131" s="614" t="s">
        <v>1095</v>
      </c>
      <c r="B131" s="219" t="s">
        <v>1412</v>
      </c>
      <c r="C131" s="219">
        <f>SUMIFS('calcul rapoarte'!$Q:$Q,'calcul rapoarte'!$B:$B,'Energy Control'!$A$124,'calcul rapoarte'!$P:$P,'Energy Control'!B131)</f>
        <v>0</v>
      </c>
      <c r="D131" s="242">
        <f>SUMIFS('calcul rapoarte'!$R:$R,'calcul rapoarte'!$B:$B,'Energy Control'!$A$124,'calcul rapoarte'!$P:$P,'Energy Control'!B131)</f>
        <v>0</v>
      </c>
      <c r="E131" s="219">
        <f>SUMIFS('calcul rapoarte'!$S:$S,'calcul rapoarte'!$B:$B,'Energy Control'!$A$124,'calcul rapoarte'!$P:$P,'Energy Control'!B131)</f>
        <v>0</v>
      </c>
      <c r="F131" s="219">
        <f>SUMIFS('calcul rapoarte'!$T:$T,'calcul rapoarte'!$B:$B,'Energy Control'!$A$124,'calcul rapoarte'!$P:$P,'Energy Control'!B131)</f>
        <v>0</v>
      </c>
      <c r="G131" s="219">
        <f>SUMIFS('calcul rapoarte'!$U:$U,'calcul rapoarte'!$B:$B,'Energy Control'!$A$124,'calcul rapoarte'!$P:$P,'Energy Control'!B131)</f>
        <v>0</v>
      </c>
      <c r="L131" s="211">
        <f t="shared" si="1"/>
        <v>0</v>
      </c>
    </row>
    <row r="132" spans="1:12">
      <c r="A132" s="612" t="s">
        <v>63</v>
      </c>
      <c r="B132" s="219" t="s">
        <v>1171</v>
      </c>
      <c r="C132" s="219">
        <f>SUMIFS('calcul rapoarte'!$Q:$Q,'calcul rapoarte'!$B:$B,'Energy Control'!$A$132,'calcul rapoarte'!$P:$P,'Energy Control'!B132)</f>
        <v>1934381</v>
      </c>
      <c r="D132" s="242">
        <f>SUMIFS('calcul rapoarte'!$R:$R,'calcul rapoarte'!$B:$B,'Energy Control'!$A$132,'calcul rapoarte'!$P:$P,'Energy Control'!B132)</f>
        <v>0.90065799999999996</v>
      </c>
      <c r="E132" s="219">
        <f>SUMIFS('calcul rapoarte'!$S:$S,'calcul rapoarte'!$B:$B,'Energy Control'!$A$132,'calcul rapoarte'!$P:$P,'Energy Control'!B132)</f>
        <v>1742214.94</v>
      </c>
      <c r="F132" s="219">
        <f>SUMIFS('calcul rapoarte'!$T:$T,'calcul rapoarte'!$B:$B,'Energy Control'!$A$132,'calcul rapoarte'!$P:$P,'Energy Control'!B132)</f>
        <v>331020.83</v>
      </c>
      <c r="G132" s="219">
        <f>SUMIFS('calcul rapoarte'!$U:$U,'calcul rapoarte'!$B:$B,'Energy Control'!$A$132,'calcul rapoarte'!$P:$P,'Energy Control'!B132)</f>
        <v>2073235.77</v>
      </c>
      <c r="L132" s="211">
        <f t="shared" si="1"/>
        <v>0.78269800008274615</v>
      </c>
    </row>
    <row r="133" spans="1:12">
      <c r="A133" s="613" t="s">
        <v>1095</v>
      </c>
      <c r="B133" s="219" t="s">
        <v>1172</v>
      </c>
      <c r="C133" s="219">
        <f>SUMIFS('calcul rapoarte'!$Q:$Q,'calcul rapoarte'!$B:$B,'Energy Control'!$A$132,'calcul rapoarte'!$P:$P,'Energy Control'!B133)</f>
        <v>0</v>
      </c>
      <c r="D133" s="242">
        <f>SUMIFS('calcul rapoarte'!$R:$R,'calcul rapoarte'!$B:$B,'Energy Control'!$A$132,'calcul rapoarte'!$P:$P,'Energy Control'!B133)</f>
        <v>0.14660000000000001</v>
      </c>
      <c r="E133" s="219">
        <f>SUMIFS('calcul rapoarte'!$S:$S,'calcul rapoarte'!$B:$B,'Energy Control'!$A$132,'calcul rapoarte'!$P:$P,'Energy Control'!B133)</f>
        <v>0</v>
      </c>
      <c r="F133" s="219">
        <f>SUMIFS('calcul rapoarte'!$T:$T,'calcul rapoarte'!$B:$B,'Energy Control'!$A$132,'calcul rapoarte'!$P:$P,'Energy Control'!B133)</f>
        <v>0</v>
      </c>
      <c r="G133" s="219">
        <f>SUMIFS('calcul rapoarte'!$U:$U,'calcul rapoarte'!$B:$B,'Energy Control'!$A$132,'calcul rapoarte'!$P:$P,'Energy Control'!B133)</f>
        <v>0</v>
      </c>
      <c r="L133" s="211">
        <f t="shared" ref="L133:L195" si="2">C133*D133-E133</f>
        <v>0</v>
      </c>
    </row>
    <row r="134" spans="1:12">
      <c r="A134" s="613" t="s">
        <v>1095</v>
      </c>
      <c r="B134" s="219" t="s">
        <v>1173</v>
      </c>
      <c r="C134" s="219">
        <f>SUMIFS('calcul rapoarte'!$Q:$Q,'calcul rapoarte'!$B:$B,'Energy Control'!$A$132,'calcul rapoarte'!$P:$P,'Energy Control'!B134)</f>
        <v>0</v>
      </c>
      <c r="D134" s="242">
        <f>SUMIFS('calcul rapoarte'!$R:$R,'calcul rapoarte'!$B:$B,'Energy Control'!$A$132,'calcul rapoarte'!$P:$P,'Energy Control'!B134)</f>
        <v>0.43980000000000002</v>
      </c>
      <c r="E134" s="219">
        <f>SUMIFS('calcul rapoarte'!$S:$S,'calcul rapoarte'!$B:$B,'Energy Control'!$A$132,'calcul rapoarte'!$P:$P,'Energy Control'!B134)</f>
        <v>0</v>
      </c>
      <c r="F134" s="219">
        <f>SUMIFS('calcul rapoarte'!$T:$T,'calcul rapoarte'!$B:$B,'Energy Control'!$A$132,'calcul rapoarte'!$P:$P,'Energy Control'!B134)</f>
        <v>0</v>
      </c>
      <c r="G134" s="219">
        <f>SUMIFS('calcul rapoarte'!$U:$U,'calcul rapoarte'!$B:$B,'Energy Control'!$A$132,'calcul rapoarte'!$P:$P,'Energy Control'!B134)</f>
        <v>0</v>
      </c>
      <c r="L134" s="211">
        <f t="shared" si="2"/>
        <v>0</v>
      </c>
    </row>
    <row r="135" spans="1:12">
      <c r="A135" s="613" t="s">
        <v>1095</v>
      </c>
      <c r="B135" s="219" t="s">
        <v>1410</v>
      </c>
      <c r="C135" s="219">
        <f>SUMIFS('calcul rapoarte'!$Q:$Q,'calcul rapoarte'!$B:$B,'Energy Control'!$A$132,'calcul rapoarte'!$P:$P,'Energy Control'!B135)</f>
        <v>13904</v>
      </c>
      <c r="D135" s="242">
        <f>SUMIFS('calcul rapoarte'!$R:$R,'calcul rapoarte'!$B:$B,'Energy Control'!$A$132,'calcul rapoarte'!$P:$P,'Energy Control'!B135)</f>
        <v>0.90065700000000004</v>
      </c>
      <c r="E135" s="219">
        <f>SUMIFS('calcul rapoarte'!$S:$S,'calcul rapoarte'!$B:$B,'Energy Control'!$A$132,'calcul rapoarte'!$P:$P,'Energy Control'!B135)</f>
        <v>12522.74</v>
      </c>
      <c r="F135" s="219">
        <f>SUMIFS('calcul rapoarte'!$T:$T,'calcul rapoarte'!$B:$B,'Energy Control'!$A$132,'calcul rapoarte'!$P:$P,'Energy Control'!B135)</f>
        <v>2379.3200000000002</v>
      </c>
      <c r="G135" s="219">
        <f>SUMIFS('calcul rapoarte'!$U:$U,'calcul rapoarte'!$B:$B,'Energy Control'!$A$132,'calcul rapoarte'!$P:$P,'Energy Control'!B135)</f>
        <v>14902.06</v>
      </c>
      <c r="L135" s="211">
        <f t="shared" si="2"/>
        <v>-5.0719999999273568E-3</v>
      </c>
    </row>
    <row r="136" spans="1:12">
      <c r="A136" s="613" t="s">
        <v>1095</v>
      </c>
      <c r="B136" s="219" t="s">
        <v>1411</v>
      </c>
      <c r="C136" s="219">
        <f>SUMIFS('calcul rapoarte'!$Q:$Q,'calcul rapoarte'!$B:$B,'Energy Control'!$A$132,'calcul rapoarte'!$P:$P,'Energy Control'!B136)</f>
        <v>0</v>
      </c>
      <c r="D136" s="242">
        <f>SUMIFS('calcul rapoarte'!$R:$R,'calcul rapoarte'!$B:$B,'Energy Control'!$A$132,'calcul rapoarte'!$P:$P,'Energy Control'!B136)</f>
        <v>0</v>
      </c>
      <c r="E136" s="219">
        <f>SUMIFS('calcul rapoarte'!$S:$S,'calcul rapoarte'!$B:$B,'Energy Control'!$A$132,'calcul rapoarte'!$P:$P,'Energy Control'!B136)</f>
        <v>0</v>
      </c>
      <c r="F136" s="219">
        <f>SUMIFS('calcul rapoarte'!$T:$T,'calcul rapoarte'!$B:$B,'Energy Control'!$A$132,'calcul rapoarte'!$P:$P,'Energy Control'!B136)</f>
        <v>0</v>
      </c>
      <c r="G136" s="219">
        <f>SUMIFS('calcul rapoarte'!$U:$U,'calcul rapoarte'!$B:$B,'Energy Control'!$A$132,'calcul rapoarte'!$P:$P,'Energy Control'!B136)</f>
        <v>0</v>
      </c>
      <c r="L136" s="211">
        <f t="shared" si="2"/>
        <v>0</v>
      </c>
    </row>
    <row r="137" spans="1:12">
      <c r="A137" s="613" t="s">
        <v>1095</v>
      </c>
      <c r="B137" s="219" t="s">
        <v>1174</v>
      </c>
      <c r="C137" s="219">
        <f>SUMIFS('calcul rapoarte'!$Q:$Q,'calcul rapoarte'!$B:$B,'Energy Control'!$A$132,'calcul rapoarte'!$P:$P,'Energy Control'!B137)</f>
        <v>0</v>
      </c>
      <c r="D137" s="242">
        <f>SUMIFS('calcul rapoarte'!$R:$R,'calcul rapoarte'!$B:$B,'Energy Control'!$A$132,'calcul rapoarte'!$P:$P,'Energy Control'!B137)</f>
        <v>0.14660000000000001</v>
      </c>
      <c r="E137" s="219">
        <f>SUMIFS('calcul rapoarte'!$S:$S,'calcul rapoarte'!$B:$B,'Energy Control'!$A$132,'calcul rapoarte'!$P:$P,'Energy Control'!B137)</f>
        <v>0</v>
      </c>
      <c r="F137" s="219">
        <f>SUMIFS('calcul rapoarte'!$T:$T,'calcul rapoarte'!$B:$B,'Energy Control'!$A$132,'calcul rapoarte'!$P:$P,'Energy Control'!B137)</f>
        <v>0</v>
      </c>
      <c r="G137" s="219">
        <f>SUMIFS('calcul rapoarte'!$U:$U,'calcul rapoarte'!$B:$B,'Energy Control'!$A$132,'calcul rapoarte'!$P:$P,'Energy Control'!B137)</f>
        <v>0</v>
      </c>
      <c r="L137" s="211">
        <f t="shared" si="2"/>
        <v>0</v>
      </c>
    </row>
    <row r="138" spans="1:12">
      <c r="A138" s="613" t="s">
        <v>1095</v>
      </c>
      <c r="B138" s="219" t="s">
        <v>1175</v>
      </c>
      <c r="C138" s="219">
        <f>SUMIFS('calcul rapoarte'!$Q:$Q,'calcul rapoarte'!$B:$B,'Energy Control'!$A$132,'calcul rapoarte'!$P:$P,'Energy Control'!B138)</f>
        <v>0</v>
      </c>
      <c r="D138" s="242">
        <f>SUMIFS('calcul rapoarte'!$R:$R,'calcul rapoarte'!$B:$B,'Energy Control'!$A$132,'calcul rapoarte'!$P:$P,'Energy Control'!B138)</f>
        <v>0.43980000000000002</v>
      </c>
      <c r="E138" s="219">
        <f>SUMIFS('calcul rapoarte'!$S:$S,'calcul rapoarte'!$B:$B,'Energy Control'!$A$132,'calcul rapoarte'!$P:$P,'Energy Control'!B138)</f>
        <v>0</v>
      </c>
      <c r="F138" s="219">
        <f>SUMIFS('calcul rapoarte'!$T:$T,'calcul rapoarte'!$B:$B,'Energy Control'!$A$132,'calcul rapoarte'!$P:$P,'Energy Control'!B138)</f>
        <v>0</v>
      </c>
      <c r="G138" s="219">
        <f>SUMIFS('calcul rapoarte'!$U:$U,'calcul rapoarte'!$B:$B,'Energy Control'!$A$132,'calcul rapoarte'!$P:$P,'Energy Control'!B138)</f>
        <v>0</v>
      </c>
      <c r="L138" s="211">
        <f t="shared" si="2"/>
        <v>0</v>
      </c>
    </row>
    <row r="139" spans="1:12">
      <c r="A139" s="614" t="s">
        <v>1095</v>
      </c>
      <c r="B139" s="219" t="s">
        <v>1412</v>
      </c>
      <c r="C139" s="219">
        <f>SUMIFS('calcul rapoarte'!$Q:$Q,'calcul rapoarte'!$B:$B,'Energy Control'!$A$132,'calcul rapoarte'!$P:$P,'Energy Control'!B139)</f>
        <v>0</v>
      </c>
      <c r="D139" s="242">
        <f>SUMIFS('calcul rapoarte'!$R:$R,'calcul rapoarte'!$B:$B,'Energy Control'!$A$132,'calcul rapoarte'!$P:$P,'Energy Control'!B139)</f>
        <v>0</v>
      </c>
      <c r="E139" s="219">
        <f>SUMIFS('calcul rapoarte'!$S:$S,'calcul rapoarte'!$B:$B,'Energy Control'!$A$132,'calcul rapoarte'!$P:$P,'Energy Control'!B139)</f>
        <v>0</v>
      </c>
      <c r="F139" s="219">
        <f>SUMIFS('calcul rapoarte'!$T:$T,'calcul rapoarte'!$B:$B,'Energy Control'!$A$132,'calcul rapoarte'!$P:$P,'Energy Control'!B139)</f>
        <v>0</v>
      </c>
      <c r="G139" s="219">
        <f>SUMIFS('calcul rapoarte'!$U:$U,'calcul rapoarte'!$B:$B,'Energy Control'!$A$132,'calcul rapoarte'!$P:$P,'Energy Control'!B139)</f>
        <v>0</v>
      </c>
      <c r="L139" s="211">
        <f t="shared" si="2"/>
        <v>0</v>
      </c>
    </row>
    <row r="140" spans="1:12">
      <c r="A140" s="612" t="s">
        <v>64</v>
      </c>
      <c r="B140" s="219" t="s">
        <v>1171</v>
      </c>
      <c r="C140" s="219">
        <f>SUMIFS('calcul rapoarte'!$Q:$Q,'calcul rapoarte'!$B:$B,'Energy Control'!$A$140,'calcul rapoarte'!$P:$P,'Energy Control'!B140)</f>
        <v>206035</v>
      </c>
      <c r="D140" s="242">
        <f>SUMIFS('calcul rapoarte'!$R:$R,'calcul rapoarte'!$B:$B,'Energy Control'!$A$140,'calcul rapoarte'!$P:$P,'Energy Control'!B140)</f>
        <v>0.95244499999999999</v>
      </c>
      <c r="E140" s="219">
        <f>SUMIFS('calcul rapoarte'!$S:$S,'calcul rapoarte'!$B:$B,'Energy Control'!$A$140,'calcul rapoarte'!$P:$P,'Energy Control'!B140)</f>
        <v>196237.06</v>
      </c>
      <c r="F140" s="219">
        <f>SUMIFS('calcul rapoarte'!$T:$T,'calcul rapoarte'!$B:$B,'Energy Control'!$A$140,'calcul rapoarte'!$P:$P,'Energy Control'!B140)</f>
        <v>37285.019999999997</v>
      </c>
      <c r="G140" s="219">
        <f>SUMIFS('calcul rapoarte'!$U:$U,'calcul rapoarte'!$B:$B,'Energy Control'!$A$140,'calcul rapoarte'!$P:$P,'Energy Control'!B140)</f>
        <v>233522.08</v>
      </c>
      <c r="L140" s="211">
        <f t="shared" si="2"/>
        <v>-5.4425000009359792E-2</v>
      </c>
    </row>
    <row r="141" spans="1:12">
      <c r="A141" s="613" t="s">
        <v>1095</v>
      </c>
      <c r="B141" s="219" t="s">
        <v>1172</v>
      </c>
      <c r="C141" s="219">
        <f>SUMIFS('calcul rapoarte'!$Q:$Q,'calcul rapoarte'!$B:$B,'Energy Control'!$A$140,'calcul rapoarte'!$P:$P,'Energy Control'!B141)</f>
        <v>0</v>
      </c>
      <c r="D141" s="242">
        <f>SUMIFS('calcul rapoarte'!$R:$R,'calcul rapoarte'!$B:$B,'Energy Control'!$A$140,'calcul rapoarte'!$P:$P,'Energy Control'!B141)</f>
        <v>0.14649999999999999</v>
      </c>
      <c r="E141" s="219">
        <f>SUMIFS('calcul rapoarte'!$S:$S,'calcul rapoarte'!$B:$B,'Energy Control'!$A$140,'calcul rapoarte'!$P:$P,'Energy Control'!B141)</f>
        <v>0</v>
      </c>
      <c r="F141" s="219">
        <f>SUMIFS('calcul rapoarte'!$T:$T,'calcul rapoarte'!$B:$B,'Energy Control'!$A$140,'calcul rapoarte'!$P:$P,'Energy Control'!B141)</f>
        <v>0</v>
      </c>
      <c r="G141" s="219">
        <f>SUMIFS('calcul rapoarte'!$U:$U,'calcul rapoarte'!$B:$B,'Energy Control'!$A$140,'calcul rapoarte'!$P:$P,'Energy Control'!B141)</f>
        <v>0</v>
      </c>
      <c r="L141" s="211">
        <f t="shared" si="2"/>
        <v>0</v>
      </c>
    </row>
    <row r="142" spans="1:12">
      <c r="A142" s="613" t="s">
        <v>1095</v>
      </c>
      <c r="B142" s="219" t="s">
        <v>1173</v>
      </c>
      <c r="C142" s="219">
        <f>SUMIFS('calcul rapoarte'!$Q:$Q,'calcul rapoarte'!$B:$B,'Energy Control'!$A$140,'calcul rapoarte'!$P:$P,'Energy Control'!B142)</f>
        <v>0</v>
      </c>
      <c r="D142" s="242">
        <f>SUMIFS('calcul rapoarte'!$R:$R,'calcul rapoarte'!$B:$B,'Energy Control'!$A$140,'calcul rapoarte'!$P:$P,'Energy Control'!B142)</f>
        <v>0.4395</v>
      </c>
      <c r="E142" s="219">
        <f>SUMIFS('calcul rapoarte'!$S:$S,'calcul rapoarte'!$B:$B,'Energy Control'!$A$140,'calcul rapoarte'!$P:$P,'Energy Control'!B142)</f>
        <v>0</v>
      </c>
      <c r="F142" s="219">
        <f>SUMIFS('calcul rapoarte'!$T:$T,'calcul rapoarte'!$B:$B,'Energy Control'!$A$140,'calcul rapoarte'!$P:$P,'Energy Control'!B142)</f>
        <v>0</v>
      </c>
      <c r="G142" s="219">
        <f>SUMIFS('calcul rapoarte'!$U:$U,'calcul rapoarte'!$B:$B,'Energy Control'!$A$140,'calcul rapoarte'!$P:$P,'Energy Control'!B142)</f>
        <v>0</v>
      </c>
      <c r="L142" s="211">
        <f t="shared" si="2"/>
        <v>0</v>
      </c>
    </row>
    <row r="143" spans="1:12">
      <c r="A143" s="613" t="s">
        <v>1095</v>
      </c>
      <c r="B143" s="219" t="s">
        <v>1410</v>
      </c>
      <c r="C143" s="219">
        <f>SUMIFS('calcul rapoarte'!$Q:$Q,'calcul rapoarte'!$B:$B,'Energy Control'!$A$140,'calcul rapoarte'!$P:$P,'Energy Control'!B143)</f>
        <v>157661</v>
      </c>
      <c r="D143" s="242">
        <f>SUMIFS('calcul rapoarte'!$R:$R,'calcul rapoarte'!$B:$B,'Energy Control'!$A$140,'calcul rapoarte'!$P:$P,'Energy Control'!B143)</f>
        <v>0.97511800000000004</v>
      </c>
      <c r="E143" s="219">
        <f>SUMIFS('calcul rapoarte'!$S:$S,'calcul rapoarte'!$B:$B,'Energy Control'!$A$140,'calcul rapoarte'!$P:$P,'Energy Control'!B143)</f>
        <v>153738.01999999999</v>
      </c>
      <c r="F143" s="219">
        <f>SUMIFS('calcul rapoarte'!$T:$T,'calcul rapoarte'!$B:$B,'Energy Control'!$A$140,'calcul rapoarte'!$P:$P,'Energy Control'!B143)</f>
        <v>29210.22</v>
      </c>
      <c r="G143" s="219">
        <f>SUMIFS('calcul rapoarte'!$U:$U,'calcul rapoarte'!$B:$B,'Energy Control'!$A$140,'calcul rapoarte'!$P:$P,'Energy Control'!B143)</f>
        <v>182948.24</v>
      </c>
      <c r="L143" s="211">
        <f t="shared" si="2"/>
        <v>5.8998000022256747E-2</v>
      </c>
    </row>
    <row r="144" spans="1:12">
      <c r="A144" s="613" t="s">
        <v>1095</v>
      </c>
      <c r="B144" s="219" t="s">
        <v>1411</v>
      </c>
      <c r="C144" s="219">
        <f>SUMIFS('calcul rapoarte'!$Q:$Q,'calcul rapoarte'!$B:$B,'Energy Control'!$A$140,'calcul rapoarte'!$P:$P,'Energy Control'!B144)</f>
        <v>1563</v>
      </c>
      <c r="D144" s="242">
        <f>SUMIFS('calcul rapoarte'!$R:$R,'calcul rapoarte'!$B:$B,'Energy Control'!$A$140,'calcul rapoarte'!$P:$P,'Energy Control'!B144)</f>
        <v>0.85522100000000001</v>
      </c>
      <c r="E144" s="219">
        <f>SUMIFS('calcul rapoarte'!$S:$S,'calcul rapoarte'!$B:$B,'Energy Control'!$A$140,'calcul rapoarte'!$P:$P,'Energy Control'!B144)</f>
        <v>1336.71</v>
      </c>
      <c r="F144" s="219">
        <f>SUMIFS('calcul rapoarte'!$T:$T,'calcul rapoarte'!$B:$B,'Energy Control'!$A$140,'calcul rapoarte'!$P:$P,'Energy Control'!B144)</f>
        <v>253.98</v>
      </c>
      <c r="G144" s="219">
        <f>SUMIFS('calcul rapoarte'!$U:$U,'calcul rapoarte'!$B:$B,'Energy Control'!$A$140,'calcul rapoarte'!$P:$P,'Energy Control'!B144)</f>
        <v>1590.69</v>
      </c>
      <c r="L144" s="211">
        <f t="shared" si="2"/>
        <v>4.229999999552092E-4</v>
      </c>
    </row>
    <row r="145" spans="1:12">
      <c r="A145" s="613" t="s">
        <v>1095</v>
      </c>
      <c r="B145" s="219" t="s">
        <v>1174</v>
      </c>
      <c r="C145" s="219">
        <f>SUMIFS('calcul rapoarte'!$Q:$Q,'calcul rapoarte'!$B:$B,'Energy Control'!$A$140,'calcul rapoarte'!$P:$P,'Energy Control'!B145)</f>
        <v>3853</v>
      </c>
      <c r="D145" s="242">
        <f>SUMIFS('calcul rapoarte'!$R:$R,'calcul rapoarte'!$B:$B,'Energy Control'!$A$140,'calcul rapoarte'!$P:$P,'Energy Control'!B145)</f>
        <v>0.14649999999999999</v>
      </c>
      <c r="E145" s="219">
        <f>SUMIFS('calcul rapoarte'!$S:$S,'calcul rapoarte'!$B:$B,'Energy Control'!$A$140,'calcul rapoarte'!$P:$P,'Energy Control'!B145)</f>
        <v>564.46</v>
      </c>
      <c r="F145" s="219">
        <f>SUMIFS('calcul rapoarte'!$T:$T,'calcul rapoarte'!$B:$B,'Energy Control'!$A$140,'calcul rapoarte'!$P:$P,'Energy Control'!B145)</f>
        <v>107.25</v>
      </c>
      <c r="G145" s="219">
        <f>SUMIFS('calcul rapoarte'!$U:$U,'calcul rapoarte'!$B:$B,'Energy Control'!$A$140,'calcul rapoarte'!$P:$P,'Energy Control'!B145)</f>
        <v>671.71</v>
      </c>
      <c r="L145" s="211">
        <f t="shared" si="2"/>
        <v>4.4999999998935891E-3</v>
      </c>
    </row>
    <row r="146" spans="1:12">
      <c r="A146" s="613" t="s">
        <v>1095</v>
      </c>
      <c r="B146" s="219" t="s">
        <v>1175</v>
      </c>
      <c r="C146" s="219">
        <f>SUMIFS('calcul rapoarte'!$Q:$Q,'calcul rapoarte'!$B:$B,'Energy Control'!$A$140,'calcul rapoarte'!$P:$P,'Energy Control'!B146)</f>
        <v>1893</v>
      </c>
      <c r="D146" s="242">
        <f>SUMIFS('calcul rapoarte'!$R:$R,'calcul rapoarte'!$B:$B,'Energy Control'!$A$140,'calcul rapoarte'!$P:$P,'Energy Control'!B146)</f>
        <v>0.4395</v>
      </c>
      <c r="E146" s="219">
        <f>SUMIFS('calcul rapoarte'!$S:$S,'calcul rapoarte'!$B:$B,'Energy Control'!$A$140,'calcul rapoarte'!$P:$P,'Energy Control'!B146)</f>
        <v>831.97</v>
      </c>
      <c r="F146" s="219">
        <f>SUMIFS('calcul rapoarte'!$T:$T,'calcul rapoarte'!$B:$B,'Energy Control'!$A$140,'calcul rapoarte'!$P:$P,'Energy Control'!B146)</f>
        <v>158.07</v>
      </c>
      <c r="G146" s="219">
        <f>SUMIFS('calcul rapoarte'!$U:$U,'calcul rapoarte'!$B:$B,'Energy Control'!$A$140,'calcul rapoarte'!$P:$P,'Energy Control'!B146)</f>
        <v>990.04</v>
      </c>
      <c r="L146" s="211">
        <f t="shared" si="2"/>
        <v>3.5000000000309228E-3</v>
      </c>
    </row>
    <row r="147" spans="1:12">
      <c r="A147" s="614" t="s">
        <v>1095</v>
      </c>
      <c r="B147" s="219" t="s">
        <v>1412</v>
      </c>
      <c r="C147" s="219">
        <f>SUMIFS('calcul rapoarte'!$Q:$Q,'calcul rapoarte'!$B:$B,'Energy Control'!$A$140,'calcul rapoarte'!$P:$P,'Energy Control'!B147)</f>
        <v>0</v>
      </c>
      <c r="D147" s="242">
        <f>SUMIFS('calcul rapoarte'!$R:$R,'calcul rapoarte'!$B:$B,'Energy Control'!$A$140,'calcul rapoarte'!$P:$P,'Energy Control'!B147)</f>
        <v>0</v>
      </c>
      <c r="E147" s="219">
        <f>SUMIFS('calcul rapoarte'!$S:$S,'calcul rapoarte'!$B:$B,'Energy Control'!$A$140,'calcul rapoarte'!$P:$P,'Energy Control'!B147)</f>
        <v>0</v>
      </c>
      <c r="F147" s="219">
        <f>SUMIFS('calcul rapoarte'!$T:$T,'calcul rapoarte'!$B:$B,'Energy Control'!$A$140,'calcul rapoarte'!$P:$P,'Energy Control'!B147)</f>
        <v>0</v>
      </c>
      <c r="G147" s="219">
        <f>SUMIFS('calcul rapoarte'!$U:$U,'calcul rapoarte'!$B:$B,'Energy Control'!$A$140,'calcul rapoarte'!$P:$P,'Energy Control'!B147)</f>
        <v>0</v>
      </c>
      <c r="L147" s="211">
        <f t="shared" si="2"/>
        <v>0</v>
      </c>
    </row>
    <row r="148" spans="1:12">
      <c r="A148" s="612" t="s">
        <v>23</v>
      </c>
      <c r="B148" s="219" t="s">
        <v>1171</v>
      </c>
      <c r="C148" s="219">
        <f>SUMIFS('calcul rapoarte'!$Q:$Q,'calcul rapoarte'!$B:$B,'Energy Control'!$A$148,'calcul rapoarte'!$P:$P,'Energy Control'!B148)</f>
        <v>794597</v>
      </c>
      <c r="D148" s="242">
        <f>SUMIFS('calcul rapoarte'!$R:$R,'calcul rapoarte'!$B:$B,'Energy Control'!$A$148,'calcul rapoarte'!$P:$P,'Energy Control'!B148)</f>
        <v>0.90065799999999996</v>
      </c>
      <c r="E148" s="219">
        <f>SUMIFS('calcul rapoarte'!$S:$S,'calcul rapoarte'!$B:$B,'Energy Control'!$A$148,'calcul rapoarte'!$P:$P,'Energy Control'!B148)</f>
        <v>715659.84</v>
      </c>
      <c r="F148" s="219">
        <f>SUMIFS('calcul rapoarte'!$T:$T,'calcul rapoarte'!$B:$B,'Energy Control'!$A$148,'calcul rapoarte'!$P:$P,'Energy Control'!B148)</f>
        <v>135975.35999999999</v>
      </c>
      <c r="G148" s="219">
        <f>SUMIFS('calcul rapoarte'!$U:$U,'calcul rapoarte'!$B:$B,'Energy Control'!$A$148,'calcul rapoarte'!$P:$P,'Energy Control'!B148)</f>
        <v>851635.19999999995</v>
      </c>
      <c r="L148" s="211">
        <f t="shared" si="2"/>
        <v>0.30482600000686944</v>
      </c>
    </row>
    <row r="149" spans="1:12">
      <c r="A149" s="613" t="s">
        <v>1095</v>
      </c>
      <c r="B149" s="219" t="s">
        <v>1172</v>
      </c>
      <c r="C149" s="219">
        <f>SUMIFS('calcul rapoarte'!$Q:$Q,'calcul rapoarte'!$B:$B,'Energy Control'!$A$148,'calcul rapoarte'!$P:$P,'Energy Control'!B149)</f>
        <v>0</v>
      </c>
      <c r="D149" s="242">
        <f>SUMIFS('calcul rapoarte'!$R:$R,'calcul rapoarte'!$B:$B,'Energy Control'!$A$148,'calcul rapoarte'!$P:$P,'Energy Control'!B149)</f>
        <v>0.14660000000000001</v>
      </c>
      <c r="E149" s="219">
        <f>SUMIFS('calcul rapoarte'!$S:$S,'calcul rapoarte'!$B:$B,'Energy Control'!$A$148,'calcul rapoarte'!$P:$P,'Energy Control'!B149)</f>
        <v>0</v>
      </c>
      <c r="F149" s="219">
        <f>SUMIFS('calcul rapoarte'!$T:$T,'calcul rapoarte'!$B:$B,'Energy Control'!$A$148,'calcul rapoarte'!$P:$P,'Energy Control'!B149)</f>
        <v>0</v>
      </c>
      <c r="G149" s="219">
        <f>SUMIFS('calcul rapoarte'!$U:$U,'calcul rapoarte'!$B:$B,'Energy Control'!$A$148,'calcul rapoarte'!$P:$P,'Energy Control'!B149)</f>
        <v>0</v>
      </c>
      <c r="L149" s="211">
        <f t="shared" si="2"/>
        <v>0</v>
      </c>
    </row>
    <row r="150" spans="1:12">
      <c r="A150" s="613" t="s">
        <v>1095</v>
      </c>
      <c r="B150" s="219" t="s">
        <v>1173</v>
      </c>
      <c r="C150" s="219">
        <f>SUMIFS('calcul rapoarte'!$Q:$Q,'calcul rapoarte'!$B:$B,'Energy Control'!$A$148,'calcul rapoarte'!$P:$P,'Energy Control'!B150)</f>
        <v>0</v>
      </c>
      <c r="D150" s="242">
        <f>SUMIFS('calcul rapoarte'!$R:$R,'calcul rapoarte'!$B:$B,'Energy Control'!$A$148,'calcul rapoarte'!$P:$P,'Energy Control'!B150)</f>
        <v>0.43980000000000002</v>
      </c>
      <c r="E150" s="219">
        <f>SUMIFS('calcul rapoarte'!$S:$S,'calcul rapoarte'!$B:$B,'Energy Control'!$A$148,'calcul rapoarte'!$P:$P,'Energy Control'!B150)</f>
        <v>0</v>
      </c>
      <c r="F150" s="219">
        <f>SUMIFS('calcul rapoarte'!$T:$T,'calcul rapoarte'!$B:$B,'Energy Control'!$A$148,'calcul rapoarte'!$P:$P,'Energy Control'!B150)</f>
        <v>0</v>
      </c>
      <c r="G150" s="219">
        <f>SUMIFS('calcul rapoarte'!$U:$U,'calcul rapoarte'!$B:$B,'Energy Control'!$A$148,'calcul rapoarte'!$P:$P,'Energy Control'!B150)</f>
        <v>0</v>
      </c>
      <c r="L150" s="211">
        <f t="shared" si="2"/>
        <v>0</v>
      </c>
    </row>
    <row r="151" spans="1:12">
      <c r="A151" s="613" t="s">
        <v>1095</v>
      </c>
      <c r="B151" s="219" t="s">
        <v>1410</v>
      </c>
      <c r="C151" s="219">
        <f>SUMIFS('calcul rapoarte'!$Q:$Q,'calcul rapoarte'!$B:$B,'Energy Control'!$A$148,'calcul rapoarte'!$P:$P,'Energy Control'!B151)</f>
        <v>95534</v>
      </c>
      <c r="D151" s="242">
        <f>SUMIFS('calcul rapoarte'!$R:$R,'calcul rapoarte'!$B:$B,'Energy Control'!$A$148,'calcul rapoarte'!$P:$P,'Energy Control'!B151)</f>
        <v>0.90065799999999996</v>
      </c>
      <c r="E151" s="219">
        <f>SUMIFS('calcul rapoarte'!$S:$S,'calcul rapoarte'!$B:$B,'Energy Control'!$A$148,'calcul rapoarte'!$P:$P,'Energy Control'!B151)</f>
        <v>86043.43</v>
      </c>
      <c r="F151" s="219">
        <f>SUMIFS('calcul rapoarte'!$T:$T,'calcul rapoarte'!$B:$B,'Energy Control'!$A$148,'calcul rapoarte'!$P:$P,'Energy Control'!B151)</f>
        <v>16348.26</v>
      </c>
      <c r="G151" s="219">
        <f>SUMIFS('calcul rapoarte'!$U:$U,'calcul rapoarte'!$B:$B,'Energy Control'!$A$148,'calcul rapoarte'!$P:$P,'Energy Control'!B151)</f>
        <v>102391.69</v>
      </c>
      <c r="L151" s="211">
        <f t="shared" si="2"/>
        <v>3.1371999997645617E-2</v>
      </c>
    </row>
    <row r="152" spans="1:12">
      <c r="A152" s="613" t="s">
        <v>1095</v>
      </c>
      <c r="B152" s="219" t="s">
        <v>1411</v>
      </c>
      <c r="C152" s="219">
        <f>SUMIFS('calcul rapoarte'!$Q:$Q,'calcul rapoarte'!$B:$B,'Energy Control'!$A$148,'calcul rapoarte'!$P:$P,'Energy Control'!B152)</f>
        <v>0</v>
      </c>
      <c r="D152" s="242">
        <f>SUMIFS('calcul rapoarte'!$R:$R,'calcul rapoarte'!$B:$B,'Energy Control'!$A$148,'calcul rapoarte'!$P:$P,'Energy Control'!B152)</f>
        <v>0</v>
      </c>
      <c r="E152" s="219">
        <f>SUMIFS('calcul rapoarte'!$S:$S,'calcul rapoarte'!$B:$B,'Energy Control'!$A$148,'calcul rapoarte'!$P:$P,'Energy Control'!B152)</f>
        <v>0</v>
      </c>
      <c r="F152" s="219">
        <f>SUMIFS('calcul rapoarte'!$T:$T,'calcul rapoarte'!$B:$B,'Energy Control'!$A$148,'calcul rapoarte'!$P:$P,'Energy Control'!B152)</f>
        <v>0</v>
      </c>
      <c r="G152" s="219">
        <f>SUMIFS('calcul rapoarte'!$U:$U,'calcul rapoarte'!$B:$B,'Energy Control'!$A$148,'calcul rapoarte'!$P:$P,'Energy Control'!B152)</f>
        <v>0</v>
      </c>
      <c r="L152" s="211">
        <f t="shared" si="2"/>
        <v>0</v>
      </c>
    </row>
    <row r="153" spans="1:12">
      <c r="A153" s="613" t="s">
        <v>1095</v>
      </c>
      <c r="B153" s="219" t="s">
        <v>1174</v>
      </c>
      <c r="C153" s="219">
        <f>SUMIFS('calcul rapoarte'!$Q:$Q,'calcul rapoarte'!$B:$B,'Energy Control'!$A$148,'calcul rapoarte'!$P:$P,'Energy Control'!B153)</f>
        <v>3292</v>
      </c>
      <c r="D153" s="242">
        <f>SUMIFS('calcul rapoarte'!$R:$R,'calcul rapoarte'!$B:$B,'Energy Control'!$A$148,'calcul rapoarte'!$P:$P,'Energy Control'!B153)</f>
        <v>0.14660000000000001</v>
      </c>
      <c r="E153" s="219">
        <f>SUMIFS('calcul rapoarte'!$S:$S,'calcul rapoarte'!$B:$B,'Energy Control'!$A$148,'calcul rapoarte'!$P:$P,'Energy Control'!B153)</f>
        <v>482.61</v>
      </c>
      <c r="F153" s="219">
        <f>SUMIFS('calcul rapoarte'!$T:$T,'calcul rapoarte'!$B:$B,'Energy Control'!$A$148,'calcul rapoarte'!$P:$P,'Energy Control'!B153)</f>
        <v>91.7</v>
      </c>
      <c r="G153" s="219">
        <f>SUMIFS('calcul rapoarte'!$U:$U,'calcul rapoarte'!$B:$B,'Energy Control'!$A$148,'calcul rapoarte'!$P:$P,'Energy Control'!B153)</f>
        <v>574.30999999999995</v>
      </c>
      <c r="L153" s="211">
        <f t="shared" si="2"/>
        <v>-2.7999999999792635E-3</v>
      </c>
    </row>
    <row r="154" spans="1:12">
      <c r="A154" s="613" t="s">
        <v>1095</v>
      </c>
      <c r="B154" s="219" t="s">
        <v>1175</v>
      </c>
      <c r="C154" s="219">
        <f>SUMIFS('calcul rapoarte'!$Q:$Q,'calcul rapoarte'!$B:$B,'Energy Control'!$A$148,'calcul rapoarte'!$P:$P,'Energy Control'!B154)</f>
        <v>0</v>
      </c>
      <c r="D154" s="242">
        <f>SUMIFS('calcul rapoarte'!$R:$R,'calcul rapoarte'!$B:$B,'Energy Control'!$A$148,'calcul rapoarte'!$P:$P,'Energy Control'!B154)</f>
        <v>0.43980000000000002</v>
      </c>
      <c r="E154" s="219">
        <f>SUMIFS('calcul rapoarte'!$S:$S,'calcul rapoarte'!$B:$B,'Energy Control'!$A$148,'calcul rapoarte'!$P:$P,'Energy Control'!B154)</f>
        <v>0</v>
      </c>
      <c r="F154" s="219">
        <f>SUMIFS('calcul rapoarte'!$T:$T,'calcul rapoarte'!$B:$B,'Energy Control'!$A$148,'calcul rapoarte'!$P:$P,'Energy Control'!B154)</f>
        <v>0</v>
      </c>
      <c r="G154" s="219">
        <f>SUMIFS('calcul rapoarte'!$U:$U,'calcul rapoarte'!$B:$B,'Energy Control'!$A$148,'calcul rapoarte'!$P:$P,'Energy Control'!B154)</f>
        <v>0</v>
      </c>
      <c r="L154" s="211">
        <f t="shared" si="2"/>
        <v>0</v>
      </c>
    </row>
    <row r="155" spans="1:12">
      <c r="A155" s="614" t="s">
        <v>1095</v>
      </c>
      <c r="B155" s="219" t="s">
        <v>1412</v>
      </c>
      <c r="C155" s="219">
        <f>SUMIFS('calcul rapoarte'!$Q:$Q,'calcul rapoarte'!$B:$B,'Energy Control'!$A$148,'calcul rapoarte'!$P:$P,'Energy Control'!B155)</f>
        <v>0</v>
      </c>
      <c r="D155" s="242">
        <f>SUMIFS('calcul rapoarte'!$R:$R,'calcul rapoarte'!$B:$B,'Energy Control'!$A$148,'calcul rapoarte'!$P:$P,'Energy Control'!B155)</f>
        <v>0</v>
      </c>
      <c r="E155" s="219">
        <f>SUMIFS('calcul rapoarte'!$S:$S,'calcul rapoarte'!$B:$B,'Energy Control'!$A$148,'calcul rapoarte'!$P:$P,'Energy Control'!B155)</f>
        <v>0</v>
      </c>
      <c r="F155" s="219">
        <f>SUMIFS('calcul rapoarte'!$T:$T,'calcul rapoarte'!$B:$B,'Energy Control'!$A$148,'calcul rapoarte'!$P:$P,'Energy Control'!B155)</f>
        <v>0</v>
      </c>
      <c r="G155" s="219">
        <f>SUMIFS('calcul rapoarte'!$U:$U,'calcul rapoarte'!$B:$B,'Energy Control'!$A$148,'calcul rapoarte'!$P:$P,'Energy Control'!B155)</f>
        <v>0</v>
      </c>
      <c r="L155" s="211">
        <f t="shared" si="2"/>
        <v>0</v>
      </c>
    </row>
    <row r="156" spans="1:12">
      <c r="A156" s="612" t="s">
        <v>25</v>
      </c>
      <c r="B156" s="219" t="s">
        <v>1171</v>
      </c>
      <c r="C156" s="219">
        <f>SUMIFS('calcul rapoarte'!$Q:$Q,'calcul rapoarte'!$B:$B,'Energy Control'!$A$156,'calcul rapoarte'!$P:$P,'Energy Control'!B156)</f>
        <v>312565</v>
      </c>
      <c r="D156" s="242">
        <f>SUMIFS('calcul rapoarte'!$R:$R,'calcul rapoarte'!$B:$B,'Energy Control'!$A$156,'calcul rapoarte'!$P:$P,'Energy Control'!B156)</f>
        <v>0.94044300000000003</v>
      </c>
      <c r="E156" s="219">
        <f>SUMIFS('calcul rapoarte'!$S:$S,'calcul rapoarte'!$B:$B,'Energy Control'!$A$156,'calcul rapoarte'!$P:$P,'Energy Control'!B156)</f>
        <v>293949.68</v>
      </c>
      <c r="F156" s="219">
        <f>SUMIFS('calcul rapoarte'!$T:$T,'calcul rapoarte'!$B:$B,'Energy Control'!$A$156,'calcul rapoarte'!$P:$P,'Energy Control'!B156)</f>
        <v>55850.43</v>
      </c>
      <c r="G156" s="219">
        <f>SUMIFS('calcul rapoarte'!$U:$U,'calcul rapoarte'!$B:$B,'Energy Control'!$A$156,'calcul rapoarte'!$P:$P,'Energy Control'!B156)</f>
        <v>349800.11</v>
      </c>
      <c r="L156" s="211">
        <f t="shared" si="2"/>
        <v>-0.11370499996701255</v>
      </c>
    </row>
    <row r="157" spans="1:12">
      <c r="A157" s="613" t="s">
        <v>1095</v>
      </c>
      <c r="B157" s="219" t="s">
        <v>1172</v>
      </c>
      <c r="C157" s="219">
        <f>SUMIFS('calcul rapoarte'!$Q:$Q,'calcul rapoarte'!$B:$B,'Energy Control'!$A$156,'calcul rapoarte'!$P:$P,'Energy Control'!B157)</f>
        <v>0</v>
      </c>
      <c r="D157" s="242">
        <f>SUMIFS('calcul rapoarte'!$R:$R,'calcul rapoarte'!$B:$B,'Energy Control'!$A$156,'calcul rapoarte'!$P:$P,'Energy Control'!B157)</f>
        <v>0.14649999999999999</v>
      </c>
      <c r="E157" s="219">
        <f>SUMIFS('calcul rapoarte'!$S:$S,'calcul rapoarte'!$B:$B,'Energy Control'!$A$156,'calcul rapoarte'!$P:$P,'Energy Control'!B157)</f>
        <v>0</v>
      </c>
      <c r="F157" s="219">
        <f>SUMIFS('calcul rapoarte'!$T:$T,'calcul rapoarte'!$B:$B,'Energy Control'!$A$156,'calcul rapoarte'!$P:$P,'Energy Control'!B157)</f>
        <v>0</v>
      </c>
      <c r="G157" s="219">
        <f>SUMIFS('calcul rapoarte'!$U:$U,'calcul rapoarte'!$B:$B,'Energy Control'!$A$156,'calcul rapoarte'!$P:$P,'Energy Control'!B157)</f>
        <v>0</v>
      </c>
      <c r="L157" s="211">
        <f t="shared" si="2"/>
        <v>0</v>
      </c>
    </row>
    <row r="158" spans="1:12">
      <c r="A158" s="613" t="s">
        <v>1095</v>
      </c>
      <c r="B158" s="219" t="s">
        <v>1173</v>
      </c>
      <c r="C158" s="219">
        <f>SUMIFS('calcul rapoarte'!$Q:$Q,'calcul rapoarte'!$B:$B,'Energy Control'!$A$156,'calcul rapoarte'!$P:$P,'Energy Control'!B158)</f>
        <v>0</v>
      </c>
      <c r="D158" s="242">
        <f>SUMIFS('calcul rapoarte'!$R:$R,'calcul rapoarte'!$B:$B,'Energy Control'!$A$156,'calcul rapoarte'!$P:$P,'Energy Control'!B158)</f>
        <v>0.4395</v>
      </c>
      <c r="E158" s="219">
        <f>SUMIFS('calcul rapoarte'!$S:$S,'calcul rapoarte'!$B:$B,'Energy Control'!$A$156,'calcul rapoarte'!$P:$P,'Energy Control'!B158)</f>
        <v>0</v>
      </c>
      <c r="F158" s="219">
        <f>SUMIFS('calcul rapoarte'!$T:$T,'calcul rapoarte'!$B:$B,'Energy Control'!$A$156,'calcul rapoarte'!$P:$P,'Energy Control'!B158)</f>
        <v>0</v>
      </c>
      <c r="G158" s="219">
        <f>SUMIFS('calcul rapoarte'!$U:$U,'calcul rapoarte'!$B:$B,'Energy Control'!$A$156,'calcul rapoarte'!$P:$P,'Energy Control'!B158)</f>
        <v>0</v>
      </c>
      <c r="L158" s="211">
        <f t="shared" si="2"/>
        <v>0</v>
      </c>
    </row>
    <row r="159" spans="1:12">
      <c r="A159" s="613" t="s">
        <v>1095</v>
      </c>
      <c r="B159" s="219" t="s">
        <v>1410</v>
      </c>
      <c r="C159" s="219">
        <f>SUMIFS('calcul rapoarte'!$Q:$Q,'calcul rapoarte'!$B:$B,'Energy Control'!$A$156,'calcul rapoarte'!$P:$P,'Energy Control'!B159)</f>
        <v>188035</v>
      </c>
      <c r="D159" s="242">
        <f>SUMIFS('calcul rapoarte'!$R:$R,'calcul rapoarte'!$B:$B,'Energy Control'!$A$156,'calcul rapoarte'!$P:$P,'Energy Control'!B159)</f>
        <v>0.93920800000000004</v>
      </c>
      <c r="E159" s="219">
        <f>SUMIFS('calcul rapoarte'!$S:$S,'calcul rapoarte'!$B:$B,'Energy Control'!$A$156,'calcul rapoarte'!$P:$P,'Energy Control'!B159)</f>
        <v>176603.9</v>
      </c>
      <c r="F159" s="219">
        <f>SUMIFS('calcul rapoarte'!$T:$T,'calcul rapoarte'!$B:$B,'Energy Control'!$A$156,'calcul rapoarte'!$P:$P,'Energy Control'!B159)</f>
        <v>33554.74</v>
      </c>
      <c r="G159" s="219">
        <f>SUMIFS('calcul rapoarte'!$U:$U,'calcul rapoarte'!$B:$B,'Energy Control'!$A$156,'calcul rapoarte'!$P:$P,'Energy Control'!B159)</f>
        <v>210158.64</v>
      </c>
      <c r="L159" s="211">
        <f t="shared" si="2"/>
        <v>7.6280000008409843E-2</v>
      </c>
    </row>
    <row r="160" spans="1:12">
      <c r="A160" s="613" t="s">
        <v>1095</v>
      </c>
      <c r="B160" s="219" t="s">
        <v>1411</v>
      </c>
      <c r="C160" s="219">
        <f>SUMIFS('calcul rapoarte'!$Q:$Q,'calcul rapoarte'!$B:$B,'Energy Control'!$A$156,'calcul rapoarte'!$P:$P,'Energy Control'!B160)</f>
        <v>0</v>
      </c>
      <c r="D160" s="242">
        <f>SUMIFS('calcul rapoarte'!$R:$R,'calcul rapoarte'!$B:$B,'Energy Control'!$A$156,'calcul rapoarte'!$P:$P,'Energy Control'!B160)</f>
        <v>0</v>
      </c>
      <c r="E160" s="219">
        <f>SUMIFS('calcul rapoarte'!$S:$S,'calcul rapoarte'!$B:$B,'Energy Control'!$A$156,'calcul rapoarte'!$P:$P,'Energy Control'!B160)</f>
        <v>0</v>
      </c>
      <c r="F160" s="219">
        <f>SUMIFS('calcul rapoarte'!$T:$T,'calcul rapoarte'!$B:$B,'Energy Control'!$A$156,'calcul rapoarte'!$P:$P,'Energy Control'!B160)</f>
        <v>0</v>
      </c>
      <c r="G160" s="219">
        <f>SUMIFS('calcul rapoarte'!$U:$U,'calcul rapoarte'!$B:$B,'Energy Control'!$A$156,'calcul rapoarte'!$P:$P,'Energy Control'!B160)</f>
        <v>0</v>
      </c>
      <c r="L160" s="211">
        <f t="shared" si="2"/>
        <v>0</v>
      </c>
    </row>
    <row r="161" spans="1:12">
      <c r="A161" s="613" t="s">
        <v>1095</v>
      </c>
      <c r="B161" s="219" t="s">
        <v>1174</v>
      </c>
      <c r="C161" s="219">
        <f>SUMIFS('calcul rapoarte'!$Q:$Q,'calcul rapoarte'!$B:$B,'Energy Control'!$A$156,'calcul rapoarte'!$P:$P,'Energy Control'!B161)</f>
        <v>944</v>
      </c>
      <c r="D161" s="242">
        <f>SUMIFS('calcul rapoarte'!$R:$R,'calcul rapoarte'!$B:$B,'Energy Control'!$A$156,'calcul rapoarte'!$P:$P,'Energy Control'!B161)</f>
        <v>0.14649999999999999</v>
      </c>
      <c r="E161" s="219">
        <f>SUMIFS('calcul rapoarte'!$S:$S,'calcul rapoarte'!$B:$B,'Energy Control'!$A$156,'calcul rapoarte'!$P:$P,'Energy Control'!B161)</f>
        <v>138.30000000000001</v>
      </c>
      <c r="F161" s="219">
        <f>SUMIFS('calcul rapoarte'!$T:$T,'calcul rapoarte'!$B:$B,'Energy Control'!$A$156,'calcul rapoarte'!$P:$P,'Energy Control'!B161)</f>
        <v>26.28</v>
      </c>
      <c r="G161" s="219">
        <f>SUMIFS('calcul rapoarte'!$U:$U,'calcul rapoarte'!$B:$B,'Energy Control'!$A$156,'calcul rapoarte'!$P:$P,'Energy Control'!B161)</f>
        <v>164.58</v>
      </c>
      <c r="L161" s="211">
        <f t="shared" si="2"/>
        <v>-4.0000000000190994E-3</v>
      </c>
    </row>
    <row r="162" spans="1:12">
      <c r="A162" s="613" t="s">
        <v>1095</v>
      </c>
      <c r="B162" s="219" t="s">
        <v>1175</v>
      </c>
      <c r="C162" s="219">
        <f>SUMIFS('calcul rapoarte'!$Q:$Q,'calcul rapoarte'!$B:$B,'Energy Control'!$A$156,'calcul rapoarte'!$P:$P,'Energy Control'!B162)</f>
        <v>292</v>
      </c>
      <c r="D162" s="242">
        <f>SUMIFS('calcul rapoarte'!$R:$R,'calcul rapoarte'!$B:$B,'Energy Control'!$A$156,'calcul rapoarte'!$P:$P,'Energy Control'!B162)</f>
        <v>0.4395</v>
      </c>
      <c r="E162" s="219">
        <f>SUMIFS('calcul rapoarte'!$S:$S,'calcul rapoarte'!$B:$B,'Energy Control'!$A$156,'calcul rapoarte'!$P:$P,'Energy Control'!B162)</f>
        <v>128.33000000000001</v>
      </c>
      <c r="F162" s="219">
        <f>SUMIFS('calcul rapoarte'!$T:$T,'calcul rapoarte'!$B:$B,'Energy Control'!$A$156,'calcul rapoarte'!$P:$P,'Energy Control'!B162)</f>
        <v>24.38</v>
      </c>
      <c r="G162" s="219">
        <f>SUMIFS('calcul rapoarte'!$U:$U,'calcul rapoarte'!$B:$B,'Energy Control'!$A$156,'calcul rapoarte'!$P:$P,'Energy Control'!B162)</f>
        <v>152.71</v>
      </c>
      <c r="L162" s="211">
        <f t="shared" si="2"/>
        <v>3.9999999999906777E-3</v>
      </c>
    </row>
    <row r="163" spans="1:12">
      <c r="A163" s="614" t="s">
        <v>1095</v>
      </c>
      <c r="B163" s="219" t="s">
        <v>1412</v>
      </c>
      <c r="C163" s="219">
        <f>SUMIFS('calcul rapoarte'!$Q:$Q,'calcul rapoarte'!$B:$B,'Energy Control'!$A$156,'calcul rapoarte'!$P:$P,'Energy Control'!B163)</f>
        <v>0</v>
      </c>
      <c r="D163" s="242">
        <f>SUMIFS('calcul rapoarte'!$R:$R,'calcul rapoarte'!$B:$B,'Energy Control'!$A$156,'calcul rapoarte'!$P:$P,'Energy Control'!B163)</f>
        <v>0</v>
      </c>
      <c r="E163" s="219">
        <f>SUMIFS('calcul rapoarte'!$S:$S,'calcul rapoarte'!$B:$B,'Energy Control'!$A$156,'calcul rapoarte'!$P:$P,'Energy Control'!B163)</f>
        <v>0</v>
      </c>
      <c r="F163" s="219">
        <f>SUMIFS('calcul rapoarte'!$T:$T,'calcul rapoarte'!$B:$B,'Energy Control'!$A$156,'calcul rapoarte'!$P:$P,'Energy Control'!B163)</f>
        <v>0</v>
      </c>
      <c r="G163" s="219">
        <f>SUMIFS('calcul rapoarte'!$U:$U,'calcul rapoarte'!$B:$B,'Energy Control'!$A$156,'calcul rapoarte'!$P:$P,'Energy Control'!B163)</f>
        <v>0</v>
      </c>
      <c r="L163" s="211">
        <f t="shared" si="2"/>
        <v>0</v>
      </c>
    </row>
    <row r="164" spans="1:12">
      <c r="A164" s="612" t="s">
        <v>24</v>
      </c>
      <c r="B164" s="219" t="s">
        <v>1171</v>
      </c>
      <c r="C164" s="219">
        <f>SUMIFS('calcul rapoarte'!$Q:$Q,'calcul rapoarte'!$B:$B,'Energy Control'!$A$164,'calcul rapoarte'!$P:$P,'Energy Control'!B164)</f>
        <v>89775</v>
      </c>
      <c r="D164" s="242">
        <f>SUMIFS('calcul rapoarte'!$R:$R,'calcul rapoarte'!$B:$B,'Energy Control'!$A$164,'calcul rapoarte'!$P:$P,'Energy Control'!B164)</f>
        <v>0.94446099999999999</v>
      </c>
      <c r="E164" s="219">
        <f>SUMIFS('calcul rapoarte'!$S:$S,'calcul rapoarte'!$B:$B,'Energy Control'!$A$164,'calcul rapoarte'!$P:$P,'Energy Control'!B164)</f>
        <v>84789.03</v>
      </c>
      <c r="F164" s="219">
        <f>SUMIFS('calcul rapoarte'!$T:$T,'calcul rapoarte'!$B:$B,'Energy Control'!$A$164,'calcul rapoarte'!$P:$P,'Energy Control'!B164)</f>
        <v>16109.91</v>
      </c>
      <c r="G164" s="219">
        <f>SUMIFS('calcul rapoarte'!$U:$U,'calcul rapoarte'!$B:$B,'Energy Control'!$A$164,'calcul rapoarte'!$P:$P,'Energy Control'!B164)</f>
        <v>100898.94</v>
      </c>
      <c r="L164" s="211">
        <f t="shared" si="2"/>
        <v>-4.3724999995902181E-2</v>
      </c>
    </row>
    <row r="165" spans="1:12">
      <c r="A165" s="613" t="s">
        <v>1095</v>
      </c>
      <c r="B165" s="219" t="s">
        <v>1172</v>
      </c>
      <c r="C165" s="219">
        <f>SUMIFS('calcul rapoarte'!$Q:$Q,'calcul rapoarte'!$B:$B,'Energy Control'!$A$164,'calcul rapoarte'!$P:$P,'Energy Control'!B165)</f>
        <v>0</v>
      </c>
      <c r="D165" s="242">
        <f>SUMIFS('calcul rapoarte'!$R:$R,'calcul rapoarte'!$B:$B,'Energy Control'!$A$164,'calcul rapoarte'!$P:$P,'Energy Control'!B165)</f>
        <v>0.14649999999999999</v>
      </c>
      <c r="E165" s="219">
        <f>SUMIFS('calcul rapoarte'!$S:$S,'calcul rapoarte'!$B:$B,'Energy Control'!$A$164,'calcul rapoarte'!$P:$P,'Energy Control'!B165)</f>
        <v>0</v>
      </c>
      <c r="F165" s="219">
        <f>SUMIFS('calcul rapoarte'!$T:$T,'calcul rapoarte'!$B:$B,'Energy Control'!$A$164,'calcul rapoarte'!$P:$P,'Energy Control'!B165)</f>
        <v>0</v>
      </c>
      <c r="G165" s="219">
        <f>SUMIFS('calcul rapoarte'!$U:$U,'calcul rapoarte'!$B:$B,'Energy Control'!$A$164,'calcul rapoarte'!$P:$P,'Energy Control'!B165)</f>
        <v>0</v>
      </c>
      <c r="L165" s="211">
        <f t="shared" si="2"/>
        <v>0</v>
      </c>
    </row>
    <row r="166" spans="1:12">
      <c r="A166" s="613" t="s">
        <v>1095</v>
      </c>
      <c r="B166" s="219" t="s">
        <v>1173</v>
      </c>
      <c r="C166" s="219">
        <f>SUMIFS('calcul rapoarte'!$Q:$Q,'calcul rapoarte'!$B:$B,'Energy Control'!$A$164,'calcul rapoarte'!$P:$P,'Energy Control'!B166)</f>
        <v>0</v>
      </c>
      <c r="D166" s="242">
        <f>SUMIFS('calcul rapoarte'!$R:$R,'calcul rapoarte'!$B:$B,'Energy Control'!$A$164,'calcul rapoarte'!$P:$P,'Energy Control'!B166)</f>
        <v>0.4395</v>
      </c>
      <c r="E166" s="219">
        <f>SUMIFS('calcul rapoarte'!$S:$S,'calcul rapoarte'!$B:$B,'Energy Control'!$A$164,'calcul rapoarte'!$P:$P,'Energy Control'!B166)</f>
        <v>0</v>
      </c>
      <c r="F166" s="219">
        <f>SUMIFS('calcul rapoarte'!$T:$T,'calcul rapoarte'!$B:$B,'Energy Control'!$A$164,'calcul rapoarte'!$P:$P,'Energy Control'!B166)</f>
        <v>0</v>
      </c>
      <c r="G166" s="219">
        <f>SUMIFS('calcul rapoarte'!$U:$U,'calcul rapoarte'!$B:$B,'Energy Control'!$A$164,'calcul rapoarte'!$P:$P,'Energy Control'!B166)</f>
        <v>0</v>
      </c>
      <c r="L166" s="211">
        <f t="shared" si="2"/>
        <v>0</v>
      </c>
    </row>
    <row r="167" spans="1:12">
      <c r="A167" s="613" t="s">
        <v>1095</v>
      </c>
      <c r="B167" s="219" t="s">
        <v>1410</v>
      </c>
      <c r="C167" s="219">
        <f>SUMIFS('calcul rapoarte'!$Q:$Q,'calcul rapoarte'!$B:$B,'Energy Control'!$A$164,'calcul rapoarte'!$P:$P,'Energy Control'!B167)</f>
        <v>41497</v>
      </c>
      <c r="D167" s="242">
        <f>SUMIFS('calcul rapoarte'!$R:$R,'calcul rapoarte'!$B:$B,'Energy Control'!$A$164,'calcul rapoarte'!$P:$P,'Energy Control'!B167)</f>
        <v>0.93920700000000001</v>
      </c>
      <c r="E167" s="219">
        <f>SUMIFS('calcul rapoarte'!$S:$S,'calcul rapoarte'!$B:$B,'Energy Control'!$A$164,'calcul rapoarte'!$P:$P,'Energy Control'!B167)</f>
        <v>38974.29</v>
      </c>
      <c r="F167" s="219">
        <f>SUMIFS('calcul rapoarte'!$T:$T,'calcul rapoarte'!$B:$B,'Energy Control'!$A$164,'calcul rapoarte'!$P:$P,'Energy Control'!B167)</f>
        <v>7405.11</v>
      </c>
      <c r="G167" s="219">
        <f>SUMIFS('calcul rapoarte'!$U:$U,'calcul rapoarte'!$B:$B,'Energy Control'!$A$164,'calcul rapoarte'!$P:$P,'Energy Control'!B167)</f>
        <v>46379.4</v>
      </c>
      <c r="L167" s="211">
        <f t="shared" si="2"/>
        <v>-1.7120999997132458E-2</v>
      </c>
    </row>
    <row r="168" spans="1:12">
      <c r="A168" s="613" t="s">
        <v>1095</v>
      </c>
      <c r="B168" s="219" t="s">
        <v>1411</v>
      </c>
      <c r="C168" s="219">
        <f>SUMIFS('calcul rapoarte'!$Q:$Q,'calcul rapoarte'!$B:$B,'Energy Control'!$A$164,'calcul rapoarte'!$P:$P,'Energy Control'!B168)</f>
        <v>0</v>
      </c>
      <c r="D168" s="242">
        <f>SUMIFS('calcul rapoarte'!$R:$R,'calcul rapoarte'!$B:$B,'Energy Control'!$A$164,'calcul rapoarte'!$P:$P,'Energy Control'!B168)</f>
        <v>0</v>
      </c>
      <c r="E168" s="219">
        <f>ROUND(SUMIFS('calcul rapoarte'!$S:$S,'calcul rapoarte'!$B:$B,'Energy Control'!$A$164,'calcul rapoarte'!$P:$P,'Energy Control'!B168),2)</f>
        <v>0</v>
      </c>
      <c r="F168" s="219">
        <f>ROUND(SUMIFS('calcul rapoarte'!$T:$T,'calcul rapoarte'!$B:$B,'Energy Control'!$A$164,'calcul rapoarte'!$P:$P,'Energy Control'!B168),2)</f>
        <v>0</v>
      </c>
      <c r="G168" s="219">
        <f>ROUND(SUMIFS('calcul rapoarte'!$U:$U,'calcul rapoarte'!$B:$B,'Energy Control'!$A$164,'calcul rapoarte'!$P:$P,'Energy Control'!B168),2)</f>
        <v>0</v>
      </c>
      <c r="L168" s="211">
        <f t="shared" si="2"/>
        <v>0</v>
      </c>
    </row>
    <row r="169" spans="1:12">
      <c r="A169" s="613" t="s">
        <v>1095</v>
      </c>
      <c r="B169" s="219" t="s">
        <v>1174</v>
      </c>
      <c r="C169" s="219">
        <f>SUMIFS('calcul rapoarte'!$Q:$Q,'calcul rapoarte'!$B:$B,'Energy Control'!$A$164,'calcul rapoarte'!$P:$P,'Energy Control'!B169)</f>
        <v>105</v>
      </c>
      <c r="D169" s="242">
        <f>SUMIFS('calcul rapoarte'!$R:$R,'calcul rapoarte'!$B:$B,'Energy Control'!$A$164,'calcul rapoarte'!$P:$P,'Energy Control'!B169)</f>
        <v>0.14649999999999999</v>
      </c>
      <c r="E169" s="219">
        <f>SUMIFS('calcul rapoarte'!$S:$S,'calcul rapoarte'!$B:$B,'Energy Control'!$A$164,'calcul rapoarte'!$P:$P,'Energy Control'!B169)</f>
        <v>15.38</v>
      </c>
      <c r="F169" s="219">
        <f>SUMIFS('calcul rapoarte'!$T:$T,'calcul rapoarte'!$B:$B,'Energy Control'!$A$164,'calcul rapoarte'!$P:$P,'Energy Control'!B169)</f>
        <v>2.92</v>
      </c>
      <c r="G169" s="219">
        <f>SUMIFS('calcul rapoarte'!$U:$U,'calcul rapoarte'!$B:$B,'Energy Control'!$A$164,'calcul rapoarte'!$P:$P,'Energy Control'!B169)</f>
        <v>18.3</v>
      </c>
      <c r="L169" s="211">
        <f t="shared" si="2"/>
        <v>2.4999999999977263E-3</v>
      </c>
    </row>
    <row r="170" spans="1:12">
      <c r="A170" s="613" t="s">
        <v>1095</v>
      </c>
      <c r="B170" s="219" t="s">
        <v>1175</v>
      </c>
      <c r="C170" s="219">
        <f>SUMIFS('calcul rapoarte'!$Q:$Q,'calcul rapoarte'!$B:$B,'Energy Control'!$A$164,'calcul rapoarte'!$P:$P,'Energy Control'!B170)</f>
        <v>0</v>
      </c>
      <c r="D170" s="242">
        <f>SUMIFS('calcul rapoarte'!$R:$R,'calcul rapoarte'!$B:$B,'Energy Control'!$A$164,'calcul rapoarte'!$P:$P,'Energy Control'!B170)</f>
        <v>0.4395</v>
      </c>
      <c r="E170" s="219">
        <f>SUMIFS('calcul rapoarte'!$S:$S,'calcul rapoarte'!$B:$B,'Energy Control'!$A$164,'calcul rapoarte'!$P:$P,'Energy Control'!B170)</f>
        <v>0</v>
      </c>
      <c r="F170" s="219">
        <f>SUMIFS('calcul rapoarte'!$T:$T,'calcul rapoarte'!$B:$B,'Energy Control'!$A$164,'calcul rapoarte'!$P:$P,'Energy Control'!B170)</f>
        <v>0</v>
      </c>
      <c r="G170" s="219">
        <f>SUMIFS('calcul rapoarte'!$U:$U,'calcul rapoarte'!$B:$B,'Energy Control'!$A$164,'calcul rapoarte'!$P:$P,'Energy Control'!B170)</f>
        <v>0</v>
      </c>
      <c r="L170" s="211">
        <f t="shared" si="2"/>
        <v>0</v>
      </c>
    </row>
    <row r="171" spans="1:12">
      <c r="A171" s="614" t="s">
        <v>1095</v>
      </c>
      <c r="B171" s="219" t="s">
        <v>1412</v>
      </c>
      <c r="C171" s="219">
        <f>SUMIFS('calcul rapoarte'!$Q:$Q,'calcul rapoarte'!$B:$B,'Energy Control'!$A$164,'calcul rapoarte'!$P:$P,'Energy Control'!B171)</f>
        <v>0</v>
      </c>
      <c r="D171" s="242">
        <f>SUMIFS('calcul rapoarte'!$R:$R,'calcul rapoarte'!$B:$B,'Energy Control'!$A$164,'calcul rapoarte'!$P:$P,'Energy Control'!B171)</f>
        <v>0</v>
      </c>
      <c r="E171" s="219">
        <f>SUMIFS('calcul rapoarte'!$S:$S,'calcul rapoarte'!$B:$B,'Energy Control'!$A$164,'calcul rapoarte'!$P:$P,'Energy Control'!B171)</f>
        <v>0</v>
      </c>
      <c r="F171" s="219">
        <f>SUMIFS('calcul rapoarte'!$T:$T,'calcul rapoarte'!$B:$B,'Energy Control'!$A$164,'calcul rapoarte'!$P:$P,'Energy Control'!B171)</f>
        <v>0</v>
      </c>
      <c r="G171" s="219">
        <f>SUMIFS('calcul rapoarte'!$U:$U,'calcul rapoarte'!$B:$B,'Energy Control'!$A$164,'calcul rapoarte'!$P:$P,'Energy Control'!B171)</f>
        <v>0</v>
      </c>
      <c r="L171" s="211">
        <f t="shared" si="2"/>
        <v>0</v>
      </c>
    </row>
    <row r="172" spans="1:12">
      <c r="A172" s="612" t="s">
        <v>66</v>
      </c>
      <c r="B172" s="219" t="s">
        <v>1171</v>
      </c>
      <c r="C172" s="219">
        <f>SUMIFS('calcul rapoarte'!$Q:$Q,'calcul rapoarte'!$B:$B,'Energy Control'!A172,'calcul rapoarte'!$P:$P,'Energy Control'!B172)</f>
        <v>132914</v>
      </c>
      <c r="D172" s="242">
        <f>SUMIFS('calcul rapoarte'!$R:$R,'calcul rapoarte'!$B:$B,'Energy Control'!$A$172,'calcul rapoarte'!$P:$P,'Energy Control'!B172)</f>
        <v>0.97511800000000004</v>
      </c>
      <c r="E172" s="219">
        <f>SUMIFS('calcul rapoarte'!$S:$S,'calcul rapoarte'!$B:$B,'Energy Control'!A172,'calcul rapoarte'!$P:$P,'Energy Control'!B172)</f>
        <v>129606.78</v>
      </c>
      <c r="F172" s="219">
        <f>SUMIFS('calcul rapoarte'!$T:$T,'calcul rapoarte'!$B:$B,'Energy Control'!A172,'calcul rapoarte'!$P:$P,'Energy Control'!B172)</f>
        <v>24625.29</v>
      </c>
      <c r="G172" s="219">
        <f>SUMIFS('calcul rapoarte'!$U:$U,'calcul rapoarte'!$B:$B,'Energy Control'!A172,'calcul rapoarte'!$P:$P,'Energy Control'!B172)</f>
        <v>154232.07</v>
      </c>
      <c r="L172" s="211">
        <f t="shared" si="2"/>
        <v>5.3852000011829659E-2</v>
      </c>
    </row>
    <row r="173" spans="1:12">
      <c r="A173" s="613" t="s">
        <v>1095</v>
      </c>
      <c r="B173" s="219" t="s">
        <v>1172</v>
      </c>
      <c r="C173" s="219">
        <f>SUMIFS('calcul rapoarte'!$Q:$Q,'calcul rapoarte'!$B:$B,'Energy Control'!A172,'calcul rapoarte'!$P:$P,'Energy Control'!B173)</f>
        <v>0</v>
      </c>
      <c r="D173" s="242">
        <f>SUMIFS('calcul rapoarte'!$R:$R,'calcul rapoarte'!$B:$B,'Energy Control'!$A$172,'calcul rapoarte'!$P:$P,'Energy Control'!B173)</f>
        <v>0.14649999999999999</v>
      </c>
      <c r="E173" s="219">
        <f>SUMIFS('calcul rapoarte'!$S:$S,'calcul rapoarte'!$B:$B,'Energy Control'!A172,'calcul rapoarte'!$P:$P,'Energy Control'!B173)</f>
        <v>0</v>
      </c>
      <c r="F173" s="219">
        <f>SUMIFS('calcul rapoarte'!$T:$T,'calcul rapoarte'!$B:$B,'Energy Control'!A172,'calcul rapoarte'!$P:$P,'Energy Control'!B173)</f>
        <v>0</v>
      </c>
      <c r="G173" s="219">
        <f>SUMIFS('calcul rapoarte'!$U:$U,'calcul rapoarte'!$B:$B,'Energy Control'!A172,'calcul rapoarte'!$P:$P,'Energy Control'!B173)</f>
        <v>0</v>
      </c>
      <c r="L173" s="211">
        <f t="shared" si="2"/>
        <v>0</v>
      </c>
    </row>
    <row r="174" spans="1:12">
      <c r="A174" s="613" t="s">
        <v>1095</v>
      </c>
      <c r="B174" s="219" t="s">
        <v>1173</v>
      </c>
      <c r="C174" s="219">
        <f>SUMIFS('calcul rapoarte'!$Q:$Q,'calcul rapoarte'!$B:$B,'Energy Control'!A172,'calcul rapoarte'!$P:$P,'Energy Control'!B174)</f>
        <v>0</v>
      </c>
      <c r="D174" s="242">
        <f>SUMIFS('calcul rapoarte'!$R:$R,'calcul rapoarte'!$B:$B,'Energy Control'!$A$172,'calcul rapoarte'!$P:$P,'Energy Control'!B174)</f>
        <v>0.4395</v>
      </c>
      <c r="E174" s="219">
        <f>SUMIFS('calcul rapoarte'!$S:$S,'calcul rapoarte'!$B:$B,'Energy Control'!A172,'calcul rapoarte'!$P:$P,'Energy Control'!B174)</f>
        <v>0</v>
      </c>
      <c r="F174" s="219">
        <f>SUMIFS('calcul rapoarte'!$T:$T,'calcul rapoarte'!$B:$B,'Energy Control'!A172,'calcul rapoarte'!$P:$P,'Energy Control'!B174)</f>
        <v>0</v>
      </c>
      <c r="G174" s="219">
        <f>SUMIFS('calcul rapoarte'!$U:$U,'calcul rapoarte'!$B:$B,'Energy Control'!A172,'calcul rapoarte'!$P:$P,'Energy Control'!B174)</f>
        <v>0</v>
      </c>
      <c r="L174" s="211">
        <f t="shared" si="2"/>
        <v>0</v>
      </c>
    </row>
    <row r="175" spans="1:12">
      <c r="A175" s="613" t="s">
        <v>1095</v>
      </c>
      <c r="B175" s="219" t="s">
        <v>1410</v>
      </c>
      <c r="C175" s="219">
        <f>SUMIFS('calcul rapoarte'!$Q:$Q,'calcul rapoarte'!$B:$B,'Energy Control'!A172,'calcul rapoarte'!$P:$P,'Energy Control'!B175)</f>
        <v>110433</v>
      </c>
      <c r="D175" s="242">
        <f>SUMIFS('calcul rapoarte'!$R:$R,'calcul rapoarte'!$B:$B,'Energy Control'!$A$172,'calcul rapoarte'!$P:$P,'Energy Control'!B175)</f>
        <v>0.97511800000000004</v>
      </c>
      <c r="E175" s="219">
        <f>SUMIFS('calcul rapoarte'!$S:$S,'calcul rapoarte'!$B:$B,'Energy Control'!A172,'calcul rapoarte'!$P:$P,'Energy Control'!B175)</f>
        <v>107685.17</v>
      </c>
      <c r="F175" s="219">
        <f>SUMIFS('calcul rapoarte'!$T:$T,'calcul rapoarte'!$B:$B,'Energy Control'!A172,'calcul rapoarte'!$P:$P,'Energy Control'!B175)</f>
        <v>20460.189999999999</v>
      </c>
      <c r="G175" s="219">
        <f>SUMIFS('calcul rapoarte'!$U:$U,'calcul rapoarte'!$B:$B,'Energy Control'!A172,'calcul rapoarte'!$P:$P,'Energy Control'!B175)</f>
        <v>128145.36</v>
      </c>
      <c r="L175" s="211">
        <f t="shared" si="2"/>
        <v>3.6094000010052696E-2</v>
      </c>
    </row>
    <row r="176" spans="1:12">
      <c r="A176" s="613" t="s">
        <v>1095</v>
      </c>
      <c r="B176" s="219" t="s">
        <v>1411</v>
      </c>
      <c r="C176" s="219">
        <f>SUMIFS('calcul rapoarte'!$Q:$Q,'calcul rapoarte'!$B:$B,'Energy Control'!A172,'calcul rapoarte'!$P:$P,'Energy Control'!B176)</f>
        <v>0</v>
      </c>
      <c r="D176" s="242">
        <f>SUMIFS('calcul rapoarte'!$R:$R,'calcul rapoarte'!$B:$B,'Energy Control'!$A$172,'calcul rapoarte'!$P:$P,'Energy Control'!B176)</f>
        <v>0</v>
      </c>
      <c r="E176" s="219">
        <f>ROUND(SUMIFS('calcul rapoarte'!$S:$S,'calcul rapoarte'!$B:$B,'Energy Control'!A172,'calcul rapoarte'!$P:$P,'Energy Control'!B176),2)</f>
        <v>0</v>
      </c>
      <c r="F176" s="219">
        <f>ROUND(SUMIFS('calcul rapoarte'!$T:$T,'calcul rapoarte'!$B:$B,'Energy Control'!A172,'calcul rapoarte'!$P:$P,'Energy Control'!B176),2)</f>
        <v>0</v>
      </c>
      <c r="G176" s="219">
        <f>SUMIFS('calcul rapoarte'!$U:$U,'calcul rapoarte'!$B:$B,'Energy Control'!A172,'calcul rapoarte'!$P:$P,'Energy Control'!B176)</f>
        <v>0</v>
      </c>
      <c r="L176" s="211">
        <f t="shared" si="2"/>
        <v>0</v>
      </c>
    </row>
    <row r="177" spans="1:12">
      <c r="A177" s="613" t="s">
        <v>1095</v>
      </c>
      <c r="B177" s="219" t="s">
        <v>1174</v>
      </c>
      <c r="C177" s="219">
        <f>SUMIFS('calcul rapoarte'!$Q:$Q,'calcul rapoarte'!$B:$B,'Energy Control'!A172,'calcul rapoarte'!$P:$P,'Energy Control'!B177)</f>
        <v>11931</v>
      </c>
      <c r="D177" s="242">
        <f>SUMIFS('calcul rapoarte'!$R:$R,'calcul rapoarte'!$B:$B,'Energy Control'!$A$172,'calcul rapoarte'!$P:$P,'Energy Control'!B177)</f>
        <v>0.14649999999999999</v>
      </c>
      <c r="E177" s="219">
        <f>SUMIFS('calcul rapoarte'!$S:$S,'calcul rapoarte'!$B:$B,'Energy Control'!A172,'calcul rapoarte'!$P:$P,'Energy Control'!B177)</f>
        <v>1747.89</v>
      </c>
      <c r="F177" s="219">
        <f>SUMIFS('calcul rapoarte'!$T:$T,'calcul rapoarte'!$B:$B,'Energy Control'!A172,'calcul rapoarte'!$P:$P,'Energy Control'!B177)</f>
        <v>332.1</v>
      </c>
      <c r="G177" s="219">
        <f>SUMIFS('calcul rapoarte'!$U:$U,'calcul rapoarte'!$B:$B,'Energy Control'!A172,'calcul rapoarte'!$P:$P,'Energy Control'!B177)</f>
        <v>2079.9899999999998</v>
      </c>
      <c r="L177" s="211">
        <f t="shared" si="2"/>
        <v>1.4999999998508429E-3</v>
      </c>
    </row>
    <row r="178" spans="1:12">
      <c r="A178" s="613" t="s">
        <v>1095</v>
      </c>
      <c r="B178" s="219" t="s">
        <v>1175</v>
      </c>
      <c r="C178" s="219">
        <f>SUMIFS('calcul rapoarte'!$Q:$Q,'calcul rapoarte'!$B:$B,'Energy Control'!A172,'calcul rapoarte'!$P:$P,'Energy Control'!B178)</f>
        <v>10195</v>
      </c>
      <c r="D178" s="242">
        <f>SUMIFS('calcul rapoarte'!$R:$R,'calcul rapoarte'!$B:$B,'Energy Control'!$A$172,'calcul rapoarte'!$P:$P,'Energy Control'!B178)</f>
        <v>0.4395</v>
      </c>
      <c r="E178" s="219">
        <f>SUMIFS('calcul rapoarte'!$S:$S,'calcul rapoarte'!$B:$B,'Energy Control'!A172,'calcul rapoarte'!$P:$P,'Energy Control'!B178)</f>
        <v>4480.7</v>
      </c>
      <c r="F178" s="219">
        <f>SUMIFS('calcul rapoarte'!$T:$T,'calcul rapoarte'!$B:$B,'Energy Control'!A172,'calcul rapoarte'!$P:$P,'Energy Control'!B178)</f>
        <v>851.33</v>
      </c>
      <c r="G178" s="219">
        <f>SUMIFS('calcul rapoarte'!$U:$U,'calcul rapoarte'!$B:$B,'Energy Control'!A172,'calcul rapoarte'!$P:$P,'Energy Control'!B178)</f>
        <v>5332.03</v>
      </c>
      <c r="L178" s="211">
        <f t="shared" si="2"/>
        <v>2.500000000509317E-3</v>
      </c>
    </row>
    <row r="179" spans="1:12">
      <c r="A179" s="614" t="s">
        <v>1095</v>
      </c>
      <c r="B179" s="219" t="s">
        <v>1412</v>
      </c>
      <c r="C179" s="219">
        <f>SUMIFS('calcul rapoarte'!$Q:$Q,'calcul rapoarte'!$B:$B,'Energy Control'!A172,'calcul rapoarte'!$P:$P,'Energy Control'!B179)</f>
        <v>0</v>
      </c>
      <c r="D179" s="242">
        <f>SUMIFS('calcul rapoarte'!$R:$R,'calcul rapoarte'!$B:$B,'Energy Control'!$A$172,'calcul rapoarte'!$P:$P,'Energy Control'!B179)</f>
        <v>0</v>
      </c>
      <c r="E179" s="219">
        <f>SUMIFS('calcul rapoarte'!$S:$S,'calcul rapoarte'!$B:$B,'Energy Control'!A172,'calcul rapoarte'!$P:$P,'Energy Control'!B179)</f>
        <v>0</v>
      </c>
      <c r="F179" s="219">
        <f>SUMIFS('calcul rapoarte'!$T:$T,'calcul rapoarte'!$B:$B,'Energy Control'!A172,'calcul rapoarte'!$P:$P,'Energy Control'!B179)</f>
        <v>0</v>
      </c>
      <c r="G179" s="219">
        <f>SUMIFS('calcul rapoarte'!$U:$U,'calcul rapoarte'!$B:$B,'Energy Control'!A172,'calcul rapoarte'!$P:$P,'Energy Control'!B179)</f>
        <v>0</v>
      </c>
      <c r="L179" s="211">
        <f t="shared" si="2"/>
        <v>0</v>
      </c>
    </row>
    <row r="180" spans="1:12">
      <c r="A180" s="612" t="s">
        <v>1292</v>
      </c>
      <c r="B180" s="219" t="s">
        <v>1171</v>
      </c>
      <c r="C180" s="219">
        <f>SUMIFS('calcul rapoarte'!$Q:$Q,'calcul rapoarte'!$C:$C,'Energy Control'!K180,'calcul rapoarte'!$P:$P,'Energy Control'!B180)</f>
        <v>13329</v>
      </c>
      <c r="D180" s="242">
        <f>SUMIFS('calcul rapoarte'!$R:$R,'calcul rapoarte'!$C:$C,'Energy Control'!K180,'calcul rapoarte'!$P:$P,'Energy Control'!B180)</f>
        <v>0.93920899999999996</v>
      </c>
      <c r="E180" s="219">
        <f>SUMIFS('calcul rapoarte'!$S:$S,'calcul rapoarte'!$C:$C,'Energy Control'!K180,'calcul rapoarte'!$P:$P,'Energy Control'!B180)</f>
        <v>12518.72</v>
      </c>
      <c r="F180" s="219">
        <f>SUMIFS('calcul rapoarte'!$T:$T,'calcul rapoarte'!$C:$C,'Energy Control'!K180,'calcul rapoarte'!$P:$P,'Energy Control'!B180)</f>
        <v>2378.54</v>
      </c>
      <c r="G180" s="219">
        <f>SUMIFS('calcul rapoarte'!$U:$U,'calcul rapoarte'!$C:$C,'Energy Control'!K180,'calcul rapoarte'!$P:$P,'Energy Control'!B180)</f>
        <v>14897.26</v>
      </c>
      <c r="K180" s="211" t="s">
        <v>1221</v>
      </c>
      <c r="L180" s="211">
        <f t="shared" si="2"/>
        <v>-3.2389999996667029E-3</v>
      </c>
    </row>
    <row r="181" spans="1:12">
      <c r="A181" s="613" t="s">
        <v>1095</v>
      </c>
      <c r="B181" s="219" t="s">
        <v>1172</v>
      </c>
      <c r="C181" s="219">
        <f>SUMIFS('calcul rapoarte'!$Q:$Q,'calcul rapoarte'!$C:$C,'Energy Control'!K180,'calcul rapoarte'!$P:$P,'Energy Control'!B181)</f>
        <v>0</v>
      </c>
      <c r="D181" s="242">
        <f>SUMIFS('calcul rapoarte'!$R:$R,'calcul rapoarte'!$C:$C,'Energy Control'!K180,'calcul rapoarte'!$P:$P,'Energy Control'!B181)</f>
        <v>0.14649999999999999</v>
      </c>
      <c r="E181" s="219">
        <f>SUMIFS('calcul rapoarte'!$S:$S,'calcul rapoarte'!$C:$C,'Energy Control'!K180,'calcul rapoarte'!$P:$P,'Energy Control'!B181)</f>
        <v>0</v>
      </c>
      <c r="F181" s="219">
        <f>SUMIFS('calcul rapoarte'!$T:$T,'calcul rapoarte'!$C:$C,'Energy Control'!K180,'calcul rapoarte'!$P:$P,'Energy Control'!B181)</f>
        <v>0</v>
      </c>
      <c r="G181" s="219">
        <f>SUMIFS('calcul rapoarte'!$U:$U,'calcul rapoarte'!$C:$C,'Energy Control'!K180,'calcul rapoarte'!$P:$P,'Energy Control'!B181)</f>
        <v>0</v>
      </c>
      <c r="L181" s="211">
        <f t="shared" si="2"/>
        <v>0</v>
      </c>
    </row>
    <row r="182" spans="1:12">
      <c r="A182" s="613" t="s">
        <v>1095</v>
      </c>
      <c r="B182" s="219" t="s">
        <v>1173</v>
      </c>
      <c r="C182" s="219">
        <f>SUMIFS('calcul rapoarte'!$Q:$Q,'calcul rapoarte'!$C:$C,'Energy Control'!K180,'calcul rapoarte'!$P:$P,'Energy Control'!B182)</f>
        <v>0</v>
      </c>
      <c r="D182" s="242">
        <f>SUMIFS('calcul rapoarte'!$R:$R,'calcul rapoarte'!$C:$C,'Energy Control'!K180,'calcul rapoarte'!$P:$P,'Energy Control'!B182)</f>
        <v>0.4395</v>
      </c>
      <c r="E182" s="219">
        <f>SUMIFS('calcul rapoarte'!$S:$S,'calcul rapoarte'!$C:$C,'Energy Control'!K180,'calcul rapoarte'!$P:$P,'Energy Control'!B182)</f>
        <v>0</v>
      </c>
      <c r="F182" s="219">
        <f>SUMIFS('calcul rapoarte'!$T:$T,'calcul rapoarte'!$C:$C,'Energy Control'!K180,'calcul rapoarte'!$P:$P,'Energy Control'!B182)</f>
        <v>0</v>
      </c>
      <c r="G182" s="219">
        <f>SUMIFS('calcul rapoarte'!$U:$U,'calcul rapoarte'!$C:$C,'Energy Control'!K180,'calcul rapoarte'!$P:$P,'Energy Control'!B182)</f>
        <v>0</v>
      </c>
      <c r="L182" s="211">
        <f t="shared" si="2"/>
        <v>0</v>
      </c>
    </row>
    <row r="183" spans="1:12">
      <c r="A183" s="613" t="s">
        <v>1095</v>
      </c>
      <c r="B183" s="219" t="s">
        <v>1410</v>
      </c>
      <c r="C183" s="219">
        <f>SUMIFS('calcul rapoarte'!$Q:$Q,'calcul rapoarte'!$C:$C,'Energy Control'!K180,'calcul rapoarte'!$P:$P,'Energy Control'!B183)</f>
        <v>14978</v>
      </c>
      <c r="D183" s="242">
        <f>SUMIFS('calcul rapoarte'!$R:$R,'calcul rapoarte'!$C:$C,'Energy Control'!K180,'calcul rapoarte'!$P:$P,'Energy Control'!B183)</f>
        <v>0.93920800000000004</v>
      </c>
      <c r="E183" s="219">
        <f>SUMIFS('calcul rapoarte'!$S:$S,'calcul rapoarte'!$C:$C,'Energy Control'!K180,'calcul rapoarte'!$P:$P,'Energy Control'!B183)</f>
        <v>14067.45</v>
      </c>
      <c r="F183" s="219">
        <f>SUMIFS('calcul rapoarte'!$T:$T,'calcul rapoarte'!$C:$C,'Energy Control'!K180,'calcul rapoarte'!$P:$P,'Energy Control'!B183)</f>
        <v>2672.82</v>
      </c>
      <c r="G183" s="219">
        <f>SUMIFS('calcul rapoarte'!$U:$U,'calcul rapoarte'!$C:$C,'Energy Control'!K180,'calcul rapoarte'!$P:$P,'Energy Control'!B183)</f>
        <v>16740.27</v>
      </c>
      <c r="L183" s="211">
        <f t="shared" si="2"/>
        <v>7.4239999994460959E-3</v>
      </c>
    </row>
    <row r="184" spans="1:12">
      <c r="A184" s="613" t="s">
        <v>1095</v>
      </c>
      <c r="B184" s="219" t="s">
        <v>1411</v>
      </c>
      <c r="C184" s="219">
        <f>SUMIFS('calcul rapoarte'!$Q:$Q,'calcul rapoarte'!$C:$C,'Energy Control'!K180,'calcul rapoarte'!$P:$P,'Energy Control'!B184)</f>
        <v>0</v>
      </c>
      <c r="D184" s="242">
        <f>SUMIFS('calcul rapoarte'!$R:$R,'calcul rapoarte'!$C:$C,'Energy Control'!K180,'calcul rapoarte'!$P:$P,'Energy Control'!B184)</f>
        <v>0</v>
      </c>
      <c r="E184" s="219">
        <f>ROUND(SUMIFS('calcul rapoarte'!$S:$S,'calcul rapoarte'!$C:$C,'Energy Control'!K180,'calcul rapoarte'!$P:$P,'Energy Control'!B184),2)</f>
        <v>0</v>
      </c>
      <c r="F184" s="219">
        <f>ROUND(SUMIFS('calcul rapoarte'!$T:$T,'calcul rapoarte'!$C:$C,'Energy Control'!K180,'calcul rapoarte'!$P:$P,'Energy Control'!B184),2)</f>
        <v>0</v>
      </c>
      <c r="G184" s="219">
        <f>SUMIFS('calcul rapoarte'!$U:$U,'calcul rapoarte'!$C:$C,'Energy Control'!K180,'calcul rapoarte'!$P:$P,'Energy Control'!B184)</f>
        <v>0</v>
      </c>
      <c r="L184" s="211">
        <f t="shared" si="2"/>
        <v>0</v>
      </c>
    </row>
    <row r="185" spans="1:12">
      <c r="A185" s="613" t="s">
        <v>1095</v>
      </c>
      <c r="B185" s="219" t="s">
        <v>1174</v>
      </c>
      <c r="C185" s="219">
        <f>SUMIFS('calcul rapoarte'!$Q:$Q,'calcul rapoarte'!$C:$C,'Energy Control'!K180,'calcul rapoarte'!$P:$P,'Energy Control'!B185)</f>
        <v>9</v>
      </c>
      <c r="D185" s="242">
        <f>SUMIFS('calcul rapoarte'!$R:$R,'calcul rapoarte'!$C:$C,'Energy Control'!K180,'calcul rapoarte'!$P:$P,'Energy Control'!B185)</f>
        <v>0.14649999999999999</v>
      </c>
      <c r="E185" s="219">
        <f>SUMIFS('calcul rapoarte'!$S:$S,'calcul rapoarte'!$C:$C,'Energy Control'!K180,'calcul rapoarte'!$P:$P,'Energy Control'!B185)</f>
        <v>1.32</v>
      </c>
      <c r="F185" s="219">
        <f>SUMIFS('calcul rapoarte'!$T:$T,'calcul rapoarte'!$C:$C,'Energy Control'!K180,'calcul rapoarte'!$P:$P,'Energy Control'!B185)</f>
        <v>0.25</v>
      </c>
      <c r="G185" s="219">
        <f>SUMIFS('calcul rapoarte'!$U:$U,'calcul rapoarte'!$C:$C,'Energy Control'!K180,'calcul rapoarte'!$P:$P,'Energy Control'!B185)</f>
        <v>1.57</v>
      </c>
      <c r="L185" s="211">
        <f t="shared" si="2"/>
        <v>-1.5000000000000568E-3</v>
      </c>
    </row>
    <row r="186" spans="1:12">
      <c r="A186" s="613" t="s">
        <v>1095</v>
      </c>
      <c r="B186" s="219" t="s">
        <v>1175</v>
      </c>
      <c r="C186" s="219">
        <f>SUMIFS('calcul rapoarte'!$Q:$Q,'calcul rapoarte'!$C:$C,'Energy Control'!K180,'calcul rapoarte'!$P:$P,'Energy Control'!B186)</f>
        <v>3</v>
      </c>
      <c r="D186" s="242">
        <f>SUMIFS('calcul rapoarte'!$R:$R,'calcul rapoarte'!$C:$C,'Energy Control'!K180,'calcul rapoarte'!$P:$P,'Energy Control'!B186)</f>
        <v>0.4395</v>
      </c>
      <c r="E186" s="219">
        <f>SUMIFS('calcul rapoarte'!$S:$S,'calcul rapoarte'!$C:$C,'Energy Control'!K180,'calcul rapoarte'!$P:$P,'Energy Control'!B186)</f>
        <v>1.32</v>
      </c>
      <c r="F186" s="219">
        <f>SUMIFS('calcul rapoarte'!$T:$T,'calcul rapoarte'!$C:$C,'Energy Control'!K180,'calcul rapoarte'!$P:$P,'Energy Control'!B186)</f>
        <v>0.25</v>
      </c>
      <c r="G186" s="219">
        <f>SUMIFS('calcul rapoarte'!$U:$U,'calcul rapoarte'!$C:$C,'Energy Control'!K180,'calcul rapoarte'!$P:$P,'Energy Control'!B186)</f>
        <v>1.57</v>
      </c>
      <c r="L186" s="211">
        <f t="shared" si="2"/>
        <v>-1.5000000000000568E-3</v>
      </c>
    </row>
    <row r="187" spans="1:12">
      <c r="A187" s="614" t="s">
        <v>1095</v>
      </c>
      <c r="B187" s="219" t="s">
        <v>1412</v>
      </c>
      <c r="C187" s="219">
        <f>SUMIFS('calcul rapoarte'!$Q:$Q,'calcul rapoarte'!$C:$C,'Energy Control'!K180,'calcul rapoarte'!$P:$P,'Energy Control'!B187)</f>
        <v>0</v>
      </c>
      <c r="D187" s="242">
        <f>SUMIFS('calcul rapoarte'!$R:$R,'calcul rapoarte'!$C:$C,'Energy Control'!K180,'calcul rapoarte'!$P:$P,'Energy Control'!B187)</f>
        <v>0</v>
      </c>
      <c r="E187" s="219">
        <f>SUMIFS('calcul rapoarte'!$S:$S,'calcul rapoarte'!$C:$C,'Energy Control'!K180,'calcul rapoarte'!$P:$P,'Energy Control'!B187)</f>
        <v>0</v>
      </c>
      <c r="F187" s="219">
        <f>SUMIFS('calcul rapoarte'!$T:$T,'calcul rapoarte'!$C:$C,'Energy Control'!K180,'calcul rapoarte'!$P:$P,'Energy Control'!B187)</f>
        <v>0</v>
      </c>
      <c r="G187" s="219">
        <f>SUMIFS('calcul rapoarte'!$U:$U,'calcul rapoarte'!$C:$C,'Energy Control'!K180,'calcul rapoarte'!$P:$P,'Energy Control'!B187)</f>
        <v>0</v>
      </c>
      <c r="L187" s="211">
        <f t="shared" si="2"/>
        <v>0</v>
      </c>
    </row>
    <row r="188" spans="1:12">
      <c r="A188" s="612" t="s">
        <v>1293</v>
      </c>
      <c r="B188" s="219" t="s">
        <v>1171</v>
      </c>
      <c r="C188" s="219">
        <f>SUMIFS('calcul rapoarte'!$Q:$Q,'calcul rapoarte'!$C:$C,'Energy Control'!K188,'calcul rapoarte'!$P:$P,'Energy Control'!B188)</f>
        <v>6107</v>
      </c>
      <c r="D188" s="242">
        <f>SUMIFS('calcul rapoarte'!$R:$R,'calcul rapoarte'!$C:$C,'Energy Control'!K188,'calcul rapoarte'!$P:$P,'Energy Control'!B188)</f>
        <v>0.93920700000000001</v>
      </c>
      <c r="E188" s="219">
        <f>SUMIFS('calcul rapoarte'!$S:$S,'calcul rapoarte'!$C:$C,'Energy Control'!K188,'calcul rapoarte'!$P:$P,'Energy Control'!B188)</f>
        <v>5735.74</v>
      </c>
      <c r="F188" s="219">
        <f>SUMIFS('calcul rapoarte'!$T:$T,'calcul rapoarte'!$C:$C,'Energy Control'!K188,'calcul rapoarte'!$P:$P,'Energy Control'!B188)</f>
        <v>1089.79</v>
      </c>
      <c r="G188" s="219">
        <f>SUMIFS('calcul rapoarte'!$U:$U,'calcul rapoarte'!$C:$C,'Energy Control'!K188,'calcul rapoarte'!$P:$P,'Energy Control'!B188)</f>
        <v>6825.53</v>
      </c>
      <c r="K188" s="211" t="s">
        <v>1223</v>
      </c>
      <c r="L188" s="211">
        <f t="shared" si="2"/>
        <v>-2.8509999992820667E-3</v>
      </c>
    </row>
    <row r="189" spans="1:12">
      <c r="A189" s="613" t="s">
        <v>1095</v>
      </c>
      <c r="B189" s="219" t="s">
        <v>1172</v>
      </c>
      <c r="C189" s="219">
        <f>SUMIFS('calcul rapoarte'!$Q:$Q,'calcul rapoarte'!$C:$C,'Energy Control'!K188,'calcul rapoarte'!$P:$P,'Energy Control'!B189)</f>
        <v>0</v>
      </c>
      <c r="D189" s="242">
        <f>SUMIFS('calcul rapoarte'!$R:$R,'calcul rapoarte'!$C:$C,'Energy Control'!K188,'calcul rapoarte'!$P:$P,'Energy Control'!B189)</f>
        <v>0.14649999999999999</v>
      </c>
      <c r="E189" s="219">
        <f>SUMIFS('calcul rapoarte'!$S:$S,'calcul rapoarte'!$C:$C,'Energy Control'!K188,'calcul rapoarte'!$P:$P,'Energy Control'!B189)</f>
        <v>0</v>
      </c>
      <c r="F189" s="219">
        <f>SUMIFS('calcul rapoarte'!$T:$T,'calcul rapoarte'!$C:$C,'Energy Control'!K188,'calcul rapoarte'!$P:$P,'Energy Control'!B189)</f>
        <v>0</v>
      </c>
      <c r="G189" s="219">
        <f>SUMIFS('calcul rapoarte'!$U:$U,'calcul rapoarte'!$C:$C,'Energy Control'!K188,'calcul rapoarte'!$P:$P,'Energy Control'!B189)</f>
        <v>0</v>
      </c>
      <c r="L189" s="211">
        <f t="shared" si="2"/>
        <v>0</v>
      </c>
    </row>
    <row r="190" spans="1:12">
      <c r="A190" s="613" t="s">
        <v>1095</v>
      </c>
      <c r="B190" s="219" t="s">
        <v>1173</v>
      </c>
      <c r="C190" s="219">
        <f>SUMIFS('calcul rapoarte'!$Q:$Q,'calcul rapoarte'!$C:$C,'Energy Control'!K188,'calcul rapoarte'!$P:$P,'Energy Control'!B190)</f>
        <v>0</v>
      </c>
      <c r="D190" s="242">
        <f>SUMIFS('calcul rapoarte'!$R:$R,'calcul rapoarte'!$C:$C,'Energy Control'!K188,'calcul rapoarte'!$P:$P,'Energy Control'!B190)</f>
        <v>0.4395</v>
      </c>
      <c r="E190" s="219">
        <f>SUMIFS('calcul rapoarte'!$S:$S,'calcul rapoarte'!$C:$C,'Energy Control'!K188,'calcul rapoarte'!$P:$P,'Energy Control'!B190)</f>
        <v>0</v>
      </c>
      <c r="F190" s="219">
        <f>SUMIFS('calcul rapoarte'!$T:$T,'calcul rapoarte'!$C:$C,'Energy Control'!K188,'calcul rapoarte'!$P:$P,'Energy Control'!B190)</f>
        <v>0</v>
      </c>
      <c r="G190" s="219">
        <f>SUMIFS('calcul rapoarte'!$U:$U,'calcul rapoarte'!$C:$C,'Energy Control'!K188,'calcul rapoarte'!$P:$P,'Energy Control'!B190)</f>
        <v>0</v>
      </c>
      <c r="L190" s="211">
        <f t="shared" si="2"/>
        <v>0</v>
      </c>
    </row>
    <row r="191" spans="1:12">
      <c r="A191" s="613" t="s">
        <v>1095</v>
      </c>
      <c r="B191" s="219" t="s">
        <v>1410</v>
      </c>
      <c r="C191" s="219">
        <f>SUMIFS('calcul rapoarte'!$Q:$Q,'calcul rapoarte'!$C:$C,'Energy Control'!K188,'calcul rapoarte'!$P:$P,'Energy Control'!B191)</f>
        <v>11000</v>
      </c>
      <c r="D191" s="242">
        <f>SUMIFS('calcul rapoarte'!$R:$R,'calcul rapoarte'!$C:$C,'Energy Control'!K188,'calcul rapoarte'!$P:$P,'Energy Control'!B191)</f>
        <v>0.93920700000000001</v>
      </c>
      <c r="E191" s="219">
        <f>SUMIFS('calcul rapoarte'!$S:$S,'calcul rapoarte'!$C:$C,'Energy Control'!K188,'calcul rapoarte'!$P:$P,'Energy Control'!B191)</f>
        <v>10331.280000000001</v>
      </c>
      <c r="F191" s="219">
        <f>SUMIFS('calcul rapoarte'!$T:$T,'calcul rapoarte'!$C:$C,'Energy Control'!K188,'calcul rapoarte'!$P:$P,'Energy Control'!B191)</f>
        <v>1962.94</v>
      </c>
      <c r="G191" s="219">
        <f>SUMIFS('calcul rapoarte'!$U:$U,'calcul rapoarte'!$C:$C,'Energy Control'!K188,'calcul rapoarte'!$P:$P,'Energy Control'!B191)</f>
        <v>12294.22</v>
      </c>
      <c r="L191" s="211">
        <f t="shared" si="2"/>
        <v>-3.0000000006111804E-3</v>
      </c>
    </row>
    <row r="192" spans="1:12">
      <c r="A192" s="613" t="s">
        <v>1095</v>
      </c>
      <c r="B192" s="219" t="s">
        <v>1411</v>
      </c>
      <c r="C192" s="219">
        <f>SUMIFS('calcul rapoarte'!$Q:$Q,'calcul rapoarte'!$C:$C,'Energy Control'!K188,'calcul rapoarte'!$P:$P,'Energy Control'!B192)</f>
        <v>0</v>
      </c>
      <c r="D192" s="242">
        <f>SUMIFS('calcul rapoarte'!$R:$R,'calcul rapoarte'!$C:$C,'Energy Control'!K188,'calcul rapoarte'!$P:$P,'Energy Control'!B192)</f>
        <v>0</v>
      </c>
      <c r="E192" s="219">
        <f>ROUND(SUMIFS('calcul rapoarte'!$S:$S,'calcul rapoarte'!$C:$C,'Energy Control'!K188,'calcul rapoarte'!$P:$P,'Energy Control'!B192),2)</f>
        <v>0</v>
      </c>
      <c r="F192" s="219">
        <f>ROUND(SUMIFS('calcul rapoarte'!$T:$T,'calcul rapoarte'!$C:$C,'Energy Control'!K188,'calcul rapoarte'!$P:$P,'Energy Control'!B192),2)</f>
        <v>0</v>
      </c>
      <c r="G192" s="219">
        <f>SUMIFS('calcul rapoarte'!$U:$U,'calcul rapoarte'!$C:$C,'Energy Control'!K188,'calcul rapoarte'!$P:$P,'Energy Control'!B192)</f>
        <v>0</v>
      </c>
      <c r="L192" s="211">
        <f t="shared" si="2"/>
        <v>0</v>
      </c>
    </row>
    <row r="193" spans="1:12">
      <c r="A193" s="613" t="s">
        <v>1095</v>
      </c>
      <c r="B193" s="219" t="s">
        <v>1174</v>
      </c>
      <c r="C193" s="219">
        <f>SUMIFS('calcul rapoarte'!$Q:$Q,'calcul rapoarte'!$C:$C,'Energy Control'!K188,'calcul rapoarte'!$P:$P,'Energy Control'!B193)</f>
        <v>10</v>
      </c>
      <c r="D193" s="242">
        <f>SUMIFS('calcul rapoarte'!$R:$R,'calcul rapoarte'!$C:$C,'Energy Control'!K188,'calcul rapoarte'!$P:$P,'Energy Control'!B193)</f>
        <v>0.14649999999999999</v>
      </c>
      <c r="E193" s="219">
        <f>SUMIFS('calcul rapoarte'!$S:$S,'calcul rapoarte'!$C:$C,'Energy Control'!K188,'calcul rapoarte'!$P:$P,'Energy Control'!B193)</f>
        <v>1.47</v>
      </c>
      <c r="F193" s="219">
        <f>SUMIFS('calcul rapoarte'!$T:$T,'calcul rapoarte'!$C:$C,'Energy Control'!K188,'calcul rapoarte'!$P:$P,'Energy Control'!B193)</f>
        <v>0.28000000000000003</v>
      </c>
      <c r="G193" s="219">
        <f>SUMIFS('calcul rapoarte'!$U:$U,'calcul rapoarte'!$C:$C,'Energy Control'!K188,'calcul rapoarte'!$P:$P,'Energy Control'!B193)</f>
        <v>1.75</v>
      </c>
      <c r="L193" s="211">
        <f t="shared" si="2"/>
        <v>-5.0000000000001155E-3</v>
      </c>
    </row>
    <row r="194" spans="1:12">
      <c r="A194" s="613" t="s">
        <v>1095</v>
      </c>
      <c r="B194" s="219" t="s">
        <v>1175</v>
      </c>
      <c r="C194" s="219">
        <f>SUMIFS('calcul rapoarte'!$Q:$Q,'calcul rapoarte'!$C:$C,'Energy Control'!K188,'calcul rapoarte'!$P:$P,'Energy Control'!B194)</f>
        <v>15</v>
      </c>
      <c r="D194" s="242">
        <f>SUMIFS('calcul rapoarte'!$R:$R,'calcul rapoarte'!$C:$C,'Energy Control'!K188,'calcul rapoarte'!$P:$P,'Energy Control'!B194)</f>
        <v>0.4395</v>
      </c>
      <c r="E194" s="219">
        <f>SUMIFS('calcul rapoarte'!$S:$S,'calcul rapoarte'!$C:$C,'Energy Control'!K188,'calcul rapoarte'!$P:$P,'Energy Control'!B194)</f>
        <v>6.59</v>
      </c>
      <c r="F194" s="219">
        <f>SUMIFS('calcul rapoarte'!$T:$T,'calcul rapoarte'!$C:$C,'Energy Control'!K188,'calcul rapoarte'!$P:$P,'Energy Control'!B194)</f>
        <v>1.25</v>
      </c>
      <c r="G194" s="219">
        <f>SUMIFS('calcul rapoarte'!$U:$U,'calcul rapoarte'!$C:$C,'Energy Control'!K188,'calcul rapoarte'!$P:$P,'Energy Control'!B194)</f>
        <v>7.84</v>
      </c>
      <c r="L194" s="211">
        <f t="shared" si="2"/>
        <v>2.5000000000003908E-3</v>
      </c>
    </row>
    <row r="195" spans="1:12">
      <c r="A195" s="614" t="s">
        <v>1095</v>
      </c>
      <c r="B195" s="219" t="s">
        <v>1412</v>
      </c>
      <c r="C195" s="219">
        <f>SUMIFS('calcul rapoarte'!$Q:$Q,'calcul rapoarte'!$C:$C,'Energy Control'!K188,'calcul rapoarte'!$P:$P,'Energy Control'!B195)</f>
        <v>0</v>
      </c>
      <c r="D195" s="242">
        <f>SUMIFS('calcul rapoarte'!$R:$R,'calcul rapoarte'!$C:$C,'Energy Control'!K188,'calcul rapoarte'!$P:$P,'Energy Control'!B195)</f>
        <v>0</v>
      </c>
      <c r="E195" s="219">
        <f>SUMIFS('calcul rapoarte'!$S:$S,'calcul rapoarte'!$C:$C,'Energy Control'!K188,'calcul rapoarte'!$P:$P,'Energy Control'!B195)</f>
        <v>0</v>
      </c>
      <c r="F195" s="219">
        <f>SUMIFS('calcul rapoarte'!$T:$T,'calcul rapoarte'!$C:$C,'Energy Control'!K188,'calcul rapoarte'!$P:$P,'Energy Control'!B195)</f>
        <v>0</v>
      </c>
      <c r="G195" s="219">
        <f>SUMIFS('calcul rapoarte'!$U:$U,'calcul rapoarte'!$C:$C,'Energy Control'!K188,'calcul rapoarte'!$P:$P,'Energy Control'!B195)</f>
        <v>0</v>
      </c>
      <c r="L195" s="211">
        <f t="shared" si="2"/>
        <v>0</v>
      </c>
    </row>
    <row r="196" spans="1:12">
      <c r="A196" s="612" t="s">
        <v>1294</v>
      </c>
      <c r="B196" s="219" t="s">
        <v>1171</v>
      </c>
      <c r="C196" s="219">
        <f>SUMIFS('calcul rapoarte'!$Q:$Q,'calcul rapoarte'!$C:$C,'Energy Control'!K196,'calcul rapoarte'!$P:$P,'Energy Control'!B196)</f>
        <v>10441</v>
      </c>
      <c r="D196" s="242">
        <f>SUMIFS('calcul rapoarte'!$R:$R,'calcul rapoarte'!$C:$C,'Energy Control'!K196,'calcul rapoarte'!$P:$P,'Energy Control'!B196)</f>
        <v>0.93920899999999996</v>
      </c>
      <c r="E196" s="219">
        <f>SUMIFS('calcul rapoarte'!$S:$S,'calcul rapoarte'!$C:$C,'Energy Control'!K196,'calcul rapoarte'!$P:$P,'Energy Control'!B196)</f>
        <v>9806.2800000000007</v>
      </c>
      <c r="F196" s="219">
        <f>SUMIFS('calcul rapoarte'!$T:$T,'calcul rapoarte'!$C:$C,'Energy Control'!K196,'calcul rapoarte'!$P:$P,'Energy Control'!B196)</f>
        <v>1863.21</v>
      </c>
      <c r="G196" s="219">
        <f>SUMIFS('calcul rapoarte'!$U:$U,'calcul rapoarte'!$C:$C,'Energy Control'!K196,'calcul rapoarte'!$P:$P,'Energy Control'!B196)</f>
        <v>11669.49</v>
      </c>
      <c r="K196" s="211" t="s">
        <v>1225</v>
      </c>
      <c r="L196" s="211">
        <f>C196*D196-E196</f>
        <v>1.1689999992086086E-3</v>
      </c>
    </row>
    <row r="197" spans="1:12">
      <c r="A197" s="613" t="s">
        <v>1095</v>
      </c>
      <c r="B197" s="219" t="s">
        <v>1172</v>
      </c>
      <c r="C197" s="219">
        <f>SUMIFS('calcul rapoarte'!$Q:$Q,'calcul rapoarte'!$C:$C,'Energy Control'!K196,'calcul rapoarte'!$P:$P,'Energy Control'!B197)</f>
        <v>0</v>
      </c>
      <c r="D197" s="242">
        <f>SUMIFS('calcul rapoarte'!$R:$R,'calcul rapoarte'!$C:$C,'Energy Control'!K196,'calcul rapoarte'!$P:$P,'Energy Control'!B197)</f>
        <v>0.14649999999999999</v>
      </c>
      <c r="E197" s="219">
        <f>SUMIFS('calcul rapoarte'!$S:$S,'calcul rapoarte'!$C:$C,'Energy Control'!K196,'calcul rapoarte'!$P:$P,'Energy Control'!B197)</f>
        <v>0</v>
      </c>
      <c r="F197" s="219">
        <f>SUMIFS('calcul rapoarte'!$T:$T,'calcul rapoarte'!$C:$C,'Energy Control'!K196,'calcul rapoarte'!$P:$P,'Energy Control'!B197)</f>
        <v>0</v>
      </c>
      <c r="G197" s="219">
        <f>SUMIFS('calcul rapoarte'!$U:$U,'calcul rapoarte'!$C:$C,'Energy Control'!K196,'calcul rapoarte'!$P:$P,'Energy Control'!B197)</f>
        <v>0</v>
      </c>
      <c r="L197" s="211">
        <f t="shared" ref="L197:L235" si="3">C197*D197-E197</f>
        <v>0</v>
      </c>
    </row>
    <row r="198" spans="1:12">
      <c r="A198" s="613" t="s">
        <v>1095</v>
      </c>
      <c r="B198" s="219" t="s">
        <v>1173</v>
      </c>
      <c r="C198" s="219">
        <f>SUMIFS('calcul rapoarte'!$Q:$Q,'calcul rapoarte'!$C:$C,'Energy Control'!K196,'calcul rapoarte'!$P:$P,'Energy Control'!B198)</f>
        <v>0</v>
      </c>
      <c r="D198" s="242">
        <f>SUMIFS('calcul rapoarte'!$R:$R,'calcul rapoarte'!$C:$C,'Energy Control'!K196,'calcul rapoarte'!$P:$P,'Energy Control'!B198)</f>
        <v>0.4395</v>
      </c>
      <c r="E198" s="219">
        <f>SUMIFS('calcul rapoarte'!$S:$S,'calcul rapoarte'!$C:$C,'Energy Control'!K196,'calcul rapoarte'!$P:$P,'Energy Control'!B198)</f>
        <v>0</v>
      </c>
      <c r="F198" s="219">
        <f>SUMIFS('calcul rapoarte'!$T:$T,'calcul rapoarte'!$C:$C,'Energy Control'!K196,'calcul rapoarte'!$P:$P,'Energy Control'!B198)</f>
        <v>0</v>
      </c>
      <c r="G198" s="219">
        <f>SUMIFS('calcul rapoarte'!$U:$U,'calcul rapoarte'!$C:$C,'Energy Control'!K196,'calcul rapoarte'!$P:$P,'Energy Control'!B198)</f>
        <v>0</v>
      </c>
      <c r="L198" s="211">
        <f t="shared" si="3"/>
        <v>0</v>
      </c>
    </row>
    <row r="199" spans="1:12">
      <c r="A199" s="613" t="s">
        <v>1095</v>
      </c>
      <c r="B199" s="219" t="s">
        <v>1410</v>
      </c>
      <c r="C199" s="219">
        <f>SUMIFS('calcul rapoarte'!$Q:$Q,'calcul rapoarte'!$C:$C,'Energy Control'!K196,'calcul rapoarte'!$P:$P,'Energy Control'!B199)</f>
        <v>19977</v>
      </c>
      <c r="D199" s="242">
        <f>SUMIFS('calcul rapoarte'!$R:$R,'calcul rapoarte'!$C:$C,'Energy Control'!K196,'calcul rapoarte'!$P:$P,'Energy Control'!B199)</f>
        <v>0.93920800000000004</v>
      </c>
      <c r="E199" s="219">
        <f>SUMIFS('calcul rapoarte'!$S:$S,'calcul rapoarte'!$C:$C,'Energy Control'!K196,'calcul rapoarte'!$P:$P,'Energy Control'!B199)</f>
        <v>18762.55</v>
      </c>
      <c r="F199" s="219">
        <f>SUMIFS('calcul rapoarte'!$T:$T,'calcul rapoarte'!$C:$C,'Energy Control'!K196,'calcul rapoarte'!$P:$P,'Energy Control'!B199)</f>
        <v>3564.88</v>
      </c>
      <c r="G199" s="219">
        <f>SUMIFS('calcul rapoarte'!$U:$U,'calcul rapoarte'!$C:$C,'Energy Control'!K196,'calcul rapoarte'!$P:$P,'Energy Control'!B199)</f>
        <v>22327.43</v>
      </c>
      <c r="L199" s="211">
        <f t="shared" si="3"/>
        <v>8.2160000019939616E-3</v>
      </c>
    </row>
    <row r="200" spans="1:12">
      <c r="A200" s="613" t="s">
        <v>1095</v>
      </c>
      <c r="B200" s="219" t="s">
        <v>1411</v>
      </c>
      <c r="C200" s="219">
        <f>SUMIFS('calcul rapoarte'!$Q:$Q,'calcul rapoarte'!$C:$C,'Energy Control'!K196,'calcul rapoarte'!$P:$P,'Energy Control'!B200)</f>
        <v>0</v>
      </c>
      <c r="D200" s="242">
        <f>SUMIFS('calcul rapoarte'!$R:$R,'calcul rapoarte'!$C:$C,'Energy Control'!K196,'calcul rapoarte'!$P:$P,'Energy Control'!B200)</f>
        <v>0</v>
      </c>
      <c r="E200" s="219">
        <f>ROUND(SUMIFS('calcul rapoarte'!$S:$S,'calcul rapoarte'!$C:$C,'Energy Control'!K196,'calcul rapoarte'!$P:$P,'Energy Control'!B200),2)</f>
        <v>0</v>
      </c>
      <c r="F200" s="219">
        <f>ROUND(SUMIFS('calcul rapoarte'!$T:$T,'calcul rapoarte'!$C:$C,'Energy Control'!K196,'calcul rapoarte'!$P:$P,'Energy Control'!B200),2)</f>
        <v>0</v>
      </c>
      <c r="G200" s="219">
        <f>SUMIFS('calcul rapoarte'!$U:$U,'calcul rapoarte'!$C:$C,'Energy Control'!K196,'calcul rapoarte'!$P:$P,'Energy Control'!B200)</f>
        <v>0</v>
      </c>
      <c r="L200" s="211">
        <f t="shared" si="3"/>
        <v>0</v>
      </c>
    </row>
    <row r="201" spans="1:12">
      <c r="A201" s="613" t="s">
        <v>1095</v>
      </c>
      <c r="B201" s="219" t="s">
        <v>1174</v>
      </c>
      <c r="C201" s="219">
        <f>SUMIFS('calcul rapoarte'!$Q:$Q,'calcul rapoarte'!$C:$C,'Energy Control'!K196,'calcul rapoarte'!$P:$P,'Energy Control'!B201)</f>
        <v>81</v>
      </c>
      <c r="D201" s="242">
        <f>SUMIFS('calcul rapoarte'!$R:$R,'calcul rapoarte'!$C:$C,'Energy Control'!K196,'calcul rapoarte'!$P:$P,'Energy Control'!B201)</f>
        <v>0.14649999999999999</v>
      </c>
      <c r="E201" s="219">
        <f>SUMIFS('calcul rapoarte'!$S:$S,'calcul rapoarte'!$C:$C,'Energy Control'!K196,'calcul rapoarte'!$P:$P,'Energy Control'!B201)</f>
        <v>11.87</v>
      </c>
      <c r="F201" s="219">
        <f>SUMIFS('calcul rapoarte'!$T:$T,'calcul rapoarte'!$C:$C,'Energy Control'!K196,'calcul rapoarte'!$P:$P,'Energy Control'!B201)</f>
        <v>2.2599999999999998</v>
      </c>
      <c r="G201" s="219">
        <f>SUMIFS('calcul rapoarte'!$U:$U,'calcul rapoarte'!$C:$C,'Energy Control'!K196,'calcul rapoarte'!$P:$P,'Energy Control'!B201)</f>
        <v>14.13</v>
      </c>
      <c r="L201" s="211">
        <f t="shared" si="3"/>
        <v>-3.5000000000007248E-3</v>
      </c>
    </row>
    <row r="202" spans="1:12">
      <c r="A202" s="613" t="s">
        <v>1095</v>
      </c>
      <c r="B202" s="219" t="s">
        <v>1175</v>
      </c>
      <c r="C202" s="219">
        <f>SUMIFS('calcul rapoarte'!$Q:$Q,'calcul rapoarte'!$C:$C,'Energy Control'!K196,'calcul rapoarte'!$P:$P,'Energy Control'!B202)</f>
        <v>78</v>
      </c>
      <c r="D202" s="242">
        <f>SUMIFS('calcul rapoarte'!$R:$R,'calcul rapoarte'!$C:$C,'Energy Control'!K196,'calcul rapoarte'!$P:$P,'Energy Control'!B202)</f>
        <v>0.4395</v>
      </c>
      <c r="E202" s="219">
        <f>SUMIFS('calcul rapoarte'!$S:$S,'calcul rapoarte'!$C:$C,'Energy Control'!K196,'calcul rapoarte'!$P:$P,'Energy Control'!B202)</f>
        <v>34.28</v>
      </c>
      <c r="F202" s="219">
        <f>SUMIFS('calcul rapoarte'!$T:$T,'calcul rapoarte'!$C:$C,'Energy Control'!K196,'calcul rapoarte'!$P:$P,'Energy Control'!B202)</f>
        <v>6.51</v>
      </c>
      <c r="G202" s="219">
        <f>SUMIFS('calcul rapoarte'!$U:$U,'calcul rapoarte'!$C:$C,'Energy Control'!K196,'calcul rapoarte'!$P:$P,'Energy Control'!B202)</f>
        <v>40.79</v>
      </c>
      <c r="L202" s="211">
        <f t="shared" si="3"/>
        <v>9.9999999999766942E-4</v>
      </c>
    </row>
    <row r="203" spans="1:12">
      <c r="A203" s="614" t="s">
        <v>1095</v>
      </c>
      <c r="B203" s="219" t="s">
        <v>1412</v>
      </c>
      <c r="C203" s="219">
        <f>SUMIFS('calcul rapoarte'!$Q:$Q,'calcul rapoarte'!$C:$C,'Energy Control'!K196,'calcul rapoarte'!$P:$P,'Energy Control'!B203)</f>
        <v>0</v>
      </c>
      <c r="D203" s="242">
        <f>SUMIFS('calcul rapoarte'!$R:$R,'calcul rapoarte'!$C:$C,'Energy Control'!K196,'calcul rapoarte'!$P:$P,'Energy Control'!B203)</f>
        <v>0</v>
      </c>
      <c r="E203" s="219">
        <f>SUMIFS('calcul rapoarte'!$S:$S,'calcul rapoarte'!$C:$C,'Energy Control'!K196,'calcul rapoarte'!$P:$P,'Energy Control'!B203)</f>
        <v>0</v>
      </c>
      <c r="F203" s="219">
        <f>SUMIFS('calcul rapoarte'!$T:$T,'calcul rapoarte'!$C:$C,'Energy Control'!K196,'calcul rapoarte'!$P:$P,'Energy Control'!B203)</f>
        <v>0</v>
      </c>
      <c r="G203" s="219">
        <f>SUMIFS('calcul rapoarte'!$U:$U,'calcul rapoarte'!$C:$C,'Energy Control'!K196,'calcul rapoarte'!$P:$P,'Energy Control'!B203)</f>
        <v>0</v>
      </c>
      <c r="L203" s="211">
        <f t="shared" si="3"/>
        <v>0</v>
      </c>
    </row>
    <row r="204" spans="1:12">
      <c r="A204" s="612" t="s">
        <v>1295</v>
      </c>
      <c r="B204" s="219" t="s">
        <v>1171</v>
      </c>
      <c r="C204" s="219">
        <f>SUMIFS('calcul rapoarte'!$Q:$Q,'calcul rapoarte'!$C:$C,'Energy Control'!K204,'calcul rapoarte'!$P:$P,'Energy Control'!B204)</f>
        <v>4793</v>
      </c>
      <c r="D204" s="242">
        <f>SUMIFS('calcul rapoarte'!$R:$R,'calcul rapoarte'!$C:$C,'Energy Control'!K204,'calcul rapoarte'!$P:$P,'Energy Control'!B204)</f>
        <v>0.97511999999999999</v>
      </c>
      <c r="E204" s="219">
        <f>SUMIFS('calcul rapoarte'!$S:$S,'calcul rapoarte'!$C:$C,'Energy Control'!K204,'calcul rapoarte'!$P:$P,'Energy Control'!B204)</f>
        <v>4673.75</v>
      </c>
      <c r="F204" s="219">
        <f>SUMIFS('calcul rapoarte'!$T:$T,'calcul rapoarte'!$C:$C,'Energy Control'!K204,'calcul rapoarte'!$P:$P,'Energy Control'!B204)</f>
        <v>888.02</v>
      </c>
      <c r="G204" s="219">
        <f>SUMIFS('calcul rapoarte'!$U:$U,'calcul rapoarte'!$C:$C,'Energy Control'!K204,'calcul rapoarte'!$P:$P,'Energy Control'!B204)</f>
        <v>5561.77</v>
      </c>
      <c r="K204" s="211" t="s">
        <v>1227</v>
      </c>
      <c r="L204" s="211">
        <f t="shared" si="3"/>
        <v>1.5999999959603883E-4</v>
      </c>
    </row>
    <row r="205" spans="1:12">
      <c r="A205" s="613" t="s">
        <v>1095</v>
      </c>
      <c r="B205" s="219" t="s">
        <v>1172</v>
      </c>
      <c r="C205" s="219">
        <f>SUMIFS('calcul rapoarte'!$Q:$Q,'calcul rapoarte'!$C:$C,'Energy Control'!K204,'calcul rapoarte'!$P:$P,'Energy Control'!B205)</f>
        <v>0</v>
      </c>
      <c r="D205" s="242">
        <f>SUMIFS('calcul rapoarte'!$R:$R,'calcul rapoarte'!$C:$C,'Energy Control'!K204,'calcul rapoarte'!$P:$P,'Energy Control'!B205)</f>
        <v>0.14649999999999999</v>
      </c>
      <c r="E205" s="219">
        <f>SUMIFS('calcul rapoarte'!$S:$S,'calcul rapoarte'!$C:$C,'Energy Control'!K204,'calcul rapoarte'!$P:$P,'Energy Control'!B205)</f>
        <v>0</v>
      </c>
      <c r="F205" s="219">
        <f>SUMIFS('calcul rapoarte'!$T:$T,'calcul rapoarte'!$C:$C,'Energy Control'!K204,'calcul rapoarte'!$P:$P,'Energy Control'!B205)</f>
        <v>0</v>
      </c>
      <c r="G205" s="219">
        <f>SUMIFS('calcul rapoarte'!$U:$U,'calcul rapoarte'!$C:$C,'Energy Control'!K204,'calcul rapoarte'!$P:$P,'Energy Control'!B205)</f>
        <v>0</v>
      </c>
      <c r="L205" s="211">
        <f t="shared" si="3"/>
        <v>0</v>
      </c>
    </row>
    <row r="206" spans="1:12">
      <c r="A206" s="613" t="s">
        <v>1095</v>
      </c>
      <c r="B206" s="219" t="s">
        <v>1173</v>
      </c>
      <c r="C206" s="219">
        <f>SUMIFS('calcul rapoarte'!$Q:$Q,'calcul rapoarte'!$C:$C,'Energy Control'!K204,'calcul rapoarte'!$P:$P,'Energy Control'!B206)</f>
        <v>0</v>
      </c>
      <c r="D206" s="242">
        <f>SUMIFS('calcul rapoarte'!$R:$R,'calcul rapoarte'!$C:$C,'Energy Control'!K204,'calcul rapoarte'!$P:$P,'Energy Control'!B206)</f>
        <v>0.4395</v>
      </c>
      <c r="E206" s="219">
        <f>SUMIFS('calcul rapoarte'!$S:$S,'calcul rapoarte'!$C:$C,'Energy Control'!K204,'calcul rapoarte'!$P:$P,'Energy Control'!B206)</f>
        <v>0</v>
      </c>
      <c r="F206" s="219">
        <f>SUMIFS('calcul rapoarte'!$T:$T,'calcul rapoarte'!$C:$C,'Energy Control'!K204,'calcul rapoarte'!$P:$P,'Energy Control'!B206)</f>
        <v>0</v>
      </c>
      <c r="G206" s="219">
        <f>SUMIFS('calcul rapoarte'!$U:$U,'calcul rapoarte'!$C:$C,'Energy Control'!K204,'calcul rapoarte'!$P:$P,'Energy Control'!B206)</f>
        <v>0</v>
      </c>
      <c r="L206" s="211">
        <f t="shared" si="3"/>
        <v>0</v>
      </c>
    </row>
    <row r="207" spans="1:12">
      <c r="A207" s="613" t="s">
        <v>1095</v>
      </c>
      <c r="B207" s="219" t="s">
        <v>1410</v>
      </c>
      <c r="C207" s="219">
        <f>SUMIFS('calcul rapoarte'!$Q:$Q,'calcul rapoarte'!$C:$C,'Energy Control'!K204,'calcul rapoarte'!$P:$P,'Energy Control'!B207)</f>
        <v>3692</v>
      </c>
      <c r="D207" s="242">
        <f>SUMIFS('calcul rapoarte'!$R:$R,'calcul rapoarte'!$C:$C,'Energy Control'!K204,'calcul rapoarte'!$P:$P,'Energy Control'!B207)</f>
        <v>0.97511599999999998</v>
      </c>
      <c r="E207" s="219">
        <f>SUMIFS('calcul rapoarte'!$S:$S,'calcul rapoarte'!$C:$C,'Energy Control'!K204,'calcul rapoarte'!$P:$P,'Energy Control'!B207)</f>
        <v>3600.13</v>
      </c>
      <c r="F207" s="219">
        <f>SUMIFS('calcul rapoarte'!$T:$T,'calcul rapoarte'!$C:$C,'Energy Control'!K204,'calcul rapoarte'!$P:$P,'Energy Control'!B207)</f>
        <v>684.02</v>
      </c>
      <c r="G207" s="219">
        <f>SUMIFS('calcul rapoarte'!$U:$U,'calcul rapoarte'!$C:$C,'Energy Control'!K204,'calcul rapoarte'!$P:$P,'Energy Control'!B207)</f>
        <v>4284.1499999999996</v>
      </c>
      <c r="L207" s="211">
        <f t="shared" si="3"/>
        <v>-1.7280000001846929E-3</v>
      </c>
    </row>
    <row r="208" spans="1:12">
      <c r="A208" s="613" t="s">
        <v>1095</v>
      </c>
      <c r="B208" s="219" t="s">
        <v>1411</v>
      </c>
      <c r="C208" s="219">
        <f>SUMIFS('calcul rapoarte'!$Q:$Q,'calcul rapoarte'!$C:$C,'Energy Control'!K204,'calcul rapoarte'!$P:$P,'Energy Control'!B208)</f>
        <v>0</v>
      </c>
      <c r="D208" s="242">
        <f>SUMIFS('calcul rapoarte'!$R:$R,'calcul rapoarte'!$C:$C,'Energy Control'!K204,'calcul rapoarte'!$P:$P,'Energy Control'!B208)</f>
        <v>0</v>
      </c>
      <c r="E208" s="219">
        <f>ROUND(SUMIFS('calcul rapoarte'!$S:$S,'calcul rapoarte'!$C:$C,'Energy Control'!K204,'calcul rapoarte'!$P:$P,'Energy Control'!B208),2)</f>
        <v>0</v>
      </c>
      <c r="F208" s="219">
        <f>ROUND(SUMIFS('calcul rapoarte'!$T:$T,'calcul rapoarte'!$C:$C,'Energy Control'!K204,'calcul rapoarte'!$P:$P,'Energy Control'!B208),2)</f>
        <v>0</v>
      </c>
      <c r="G208" s="219">
        <f>SUMIFS('calcul rapoarte'!$U:$U,'calcul rapoarte'!$C:$C,'Energy Control'!K204,'calcul rapoarte'!$P:$P,'Energy Control'!B208)</f>
        <v>0</v>
      </c>
      <c r="L208" s="211">
        <f t="shared" si="3"/>
        <v>0</v>
      </c>
    </row>
    <row r="209" spans="1:12">
      <c r="A209" s="613" t="s">
        <v>1095</v>
      </c>
      <c r="B209" s="219" t="s">
        <v>1174</v>
      </c>
      <c r="C209" s="219">
        <f>SUMIFS('calcul rapoarte'!$Q:$Q,'calcul rapoarte'!$C:$C,'Energy Control'!K204,'calcul rapoarte'!$P:$P,'Energy Control'!B209)</f>
        <v>0</v>
      </c>
      <c r="D209" s="242">
        <f>SUMIFS('calcul rapoarte'!$R:$R,'calcul rapoarte'!$C:$C,'Energy Control'!K204,'calcul rapoarte'!$P:$P,'Energy Control'!B209)</f>
        <v>0.14649999999999999</v>
      </c>
      <c r="E209" s="219">
        <f>SUMIFS('calcul rapoarte'!$S:$S,'calcul rapoarte'!$C:$C,'Energy Control'!K204,'calcul rapoarte'!$P:$P,'Energy Control'!B209)</f>
        <v>0</v>
      </c>
      <c r="F209" s="219">
        <f>SUMIFS('calcul rapoarte'!$T:$T,'calcul rapoarte'!$C:$C,'Energy Control'!K204,'calcul rapoarte'!$P:$P,'Energy Control'!B209)</f>
        <v>0</v>
      </c>
      <c r="G209" s="219">
        <f>SUMIFS('calcul rapoarte'!$U:$U,'calcul rapoarte'!$C:$C,'Energy Control'!K204,'calcul rapoarte'!$P:$P,'Energy Control'!B209)</f>
        <v>0</v>
      </c>
      <c r="L209" s="211">
        <f t="shared" si="3"/>
        <v>0</v>
      </c>
    </row>
    <row r="210" spans="1:12">
      <c r="A210" s="613" t="s">
        <v>1095</v>
      </c>
      <c r="B210" s="219" t="s">
        <v>1175</v>
      </c>
      <c r="C210" s="219">
        <f>SUMIFS('calcul rapoarte'!$Q:$Q,'calcul rapoarte'!$C:$C,'Energy Control'!K204,'calcul rapoarte'!$P:$P,'Energy Control'!B210)</f>
        <v>0</v>
      </c>
      <c r="D210" s="242">
        <f>SUMIFS('calcul rapoarte'!$R:$R,'calcul rapoarte'!$C:$C,'Energy Control'!K204,'calcul rapoarte'!$P:$P,'Energy Control'!B210)</f>
        <v>0.4395</v>
      </c>
      <c r="E210" s="219">
        <f>SUMIFS('calcul rapoarte'!$S:$S,'calcul rapoarte'!$C:$C,'Energy Control'!K204,'calcul rapoarte'!$P:$P,'Energy Control'!B210)</f>
        <v>0</v>
      </c>
      <c r="F210" s="219">
        <f>SUMIFS('calcul rapoarte'!$T:$T,'calcul rapoarte'!$C:$C,'Energy Control'!K204,'calcul rapoarte'!$P:$P,'Energy Control'!B210)</f>
        <v>0</v>
      </c>
      <c r="G210" s="219">
        <f>SUMIFS('calcul rapoarte'!$U:$U,'calcul rapoarte'!$C:$C,'Energy Control'!K204,'calcul rapoarte'!$P:$P,'Energy Control'!B210)</f>
        <v>0</v>
      </c>
      <c r="L210" s="211">
        <f t="shared" si="3"/>
        <v>0</v>
      </c>
    </row>
    <row r="211" spans="1:12">
      <c r="A211" s="614" t="s">
        <v>1095</v>
      </c>
      <c r="B211" s="219" t="s">
        <v>1412</v>
      </c>
      <c r="C211" s="219">
        <f>SUMIFS('calcul rapoarte'!$Q:$Q,'calcul rapoarte'!$C:$C,'Energy Control'!K204,'calcul rapoarte'!$P:$P,'Energy Control'!B211)</f>
        <v>0</v>
      </c>
      <c r="D211" s="242">
        <f>SUMIFS('calcul rapoarte'!$R:$R,'calcul rapoarte'!$C:$C,'Energy Control'!K204,'calcul rapoarte'!$P:$P,'Energy Control'!B211)</f>
        <v>0</v>
      </c>
      <c r="E211" s="219">
        <f>SUMIFS('calcul rapoarte'!$S:$S,'calcul rapoarte'!$C:$C,'Energy Control'!K204,'calcul rapoarte'!$P:$P,'Energy Control'!B211)</f>
        <v>0</v>
      </c>
      <c r="F211" s="219">
        <f>SUMIFS('calcul rapoarte'!$T:$T,'calcul rapoarte'!$C:$C,'Energy Control'!K204,'calcul rapoarte'!$P:$P,'Energy Control'!B211)</f>
        <v>0</v>
      </c>
      <c r="G211" s="219">
        <f>SUMIFS('calcul rapoarte'!$U:$U,'calcul rapoarte'!$C:$C,'Energy Control'!K204,'calcul rapoarte'!$P:$P,'Energy Control'!B211)</f>
        <v>0</v>
      </c>
      <c r="L211" s="211">
        <f t="shared" si="3"/>
        <v>0</v>
      </c>
    </row>
    <row r="212" spans="1:12">
      <c r="A212" s="612" t="s">
        <v>1296</v>
      </c>
      <c r="B212" s="219" t="s">
        <v>1171</v>
      </c>
      <c r="C212" s="219">
        <f>SUMIFS('calcul rapoarte'!$Q:$Q,'calcul rapoarte'!$C:$C,'Energy Control'!K212,'calcul rapoarte'!$P:$P,'Energy Control'!B212)</f>
        <v>18663</v>
      </c>
      <c r="D212" s="242">
        <f>SUMIFS('calcul rapoarte'!$R:$R,'calcul rapoarte'!$C:$C,'Energy Control'!K212,'calcul rapoarte'!$P:$P,'Energy Control'!B212)</f>
        <v>0.94855800000000001</v>
      </c>
      <c r="E212" s="219">
        <f>SUMIFS('calcul rapoarte'!$S:$S,'calcul rapoarte'!$C:$C,'Energy Control'!K212,'calcul rapoarte'!$P:$P,'Energy Control'!B212)</f>
        <v>17702.93</v>
      </c>
      <c r="F212" s="219">
        <f>SUMIFS('calcul rapoarte'!$T:$T,'calcul rapoarte'!$C:$C,'Energy Control'!K212,'calcul rapoarte'!$P:$P,'Energy Control'!B212)</f>
        <v>3363.55</v>
      </c>
      <c r="G212" s="219">
        <f>SUMIFS('calcul rapoarte'!$U:$U,'calcul rapoarte'!$C:$C,'Energy Control'!K212,'calcul rapoarte'!$P:$P,'Energy Control'!B212)</f>
        <v>21066.48</v>
      </c>
      <c r="K212" s="267" t="s">
        <v>1265</v>
      </c>
      <c r="L212" s="211">
        <f t="shared" si="3"/>
        <v>7.954000000609085E-3</v>
      </c>
    </row>
    <row r="213" spans="1:12">
      <c r="A213" s="613" t="s">
        <v>1095</v>
      </c>
      <c r="B213" s="219" t="s">
        <v>1172</v>
      </c>
      <c r="C213" s="219">
        <f>SUMIFS('calcul rapoarte'!$Q:$Q,'calcul rapoarte'!$C:$C,'Energy Control'!K212,'calcul rapoarte'!$P:$P,'Energy Control'!B213)</f>
        <v>0</v>
      </c>
      <c r="D213" s="242">
        <f>SUMIFS('calcul rapoarte'!$R:$R,'calcul rapoarte'!$C:$C,'Energy Control'!K212,'calcul rapoarte'!$P:$P,'Energy Control'!B213)</f>
        <v>0.14660000000000001</v>
      </c>
      <c r="E213" s="219">
        <f>SUMIFS('calcul rapoarte'!$S:$S,'calcul rapoarte'!$C:$C,'Energy Control'!K212,'calcul rapoarte'!$P:$P,'Energy Control'!B213)</f>
        <v>0</v>
      </c>
      <c r="F213" s="219">
        <f>SUMIFS('calcul rapoarte'!$T:$T,'calcul rapoarte'!$C:$C,'Energy Control'!K212,'calcul rapoarte'!$P:$P,'Energy Control'!B213)</f>
        <v>0</v>
      </c>
      <c r="G213" s="219">
        <f>SUMIFS('calcul rapoarte'!$U:$U,'calcul rapoarte'!$C:$C,'Energy Control'!K212,'calcul rapoarte'!$P:$P,'Energy Control'!B213)</f>
        <v>0</v>
      </c>
      <c r="L213" s="211">
        <f t="shared" si="3"/>
        <v>0</v>
      </c>
    </row>
    <row r="214" spans="1:12">
      <c r="A214" s="613" t="s">
        <v>1095</v>
      </c>
      <c r="B214" s="219" t="s">
        <v>1173</v>
      </c>
      <c r="C214" s="219">
        <f>SUMIFS('calcul rapoarte'!$Q:$Q,'calcul rapoarte'!$C:$C,'Energy Control'!K212,'calcul rapoarte'!$P:$P,'Energy Control'!B214)</f>
        <v>0</v>
      </c>
      <c r="D214" s="242">
        <f>SUMIFS('calcul rapoarte'!$R:$R,'calcul rapoarte'!$C:$C,'Energy Control'!K212,'calcul rapoarte'!$P:$P,'Energy Control'!B214)</f>
        <v>0.43980000000000002</v>
      </c>
      <c r="E214" s="219">
        <f>SUMIFS('calcul rapoarte'!$S:$S,'calcul rapoarte'!$C:$C,'Energy Control'!K212,'calcul rapoarte'!$P:$P,'Energy Control'!B214)</f>
        <v>0</v>
      </c>
      <c r="F214" s="219">
        <f>SUMIFS('calcul rapoarte'!$T:$T,'calcul rapoarte'!$C:$C,'Energy Control'!K212,'calcul rapoarte'!$P:$P,'Energy Control'!B214)</f>
        <v>0</v>
      </c>
      <c r="G214" s="219">
        <f>SUMIFS('calcul rapoarte'!$U:$U,'calcul rapoarte'!$C:$C,'Energy Control'!K212,'calcul rapoarte'!$P:$P,'Energy Control'!B214)</f>
        <v>0</v>
      </c>
      <c r="L214" s="211">
        <f t="shared" si="3"/>
        <v>0</v>
      </c>
    </row>
    <row r="215" spans="1:12">
      <c r="A215" s="613" t="s">
        <v>1095</v>
      </c>
      <c r="B215" s="219" t="s">
        <v>1410</v>
      </c>
      <c r="C215" s="219">
        <f>SUMIFS('calcul rapoarte'!$Q:$Q,'calcul rapoarte'!$C:$C,'Energy Control'!K212,'calcul rapoarte'!$P:$P,'Energy Control'!B215)</f>
        <v>16408</v>
      </c>
      <c r="D215" s="242">
        <f>SUMIFS('calcul rapoarte'!$R:$R,'calcul rapoarte'!$C:$C,'Energy Control'!K212,'calcul rapoarte'!$P:$P,'Energy Control'!B215)</f>
        <v>0.94855800000000001</v>
      </c>
      <c r="E215" s="219">
        <f>SUMIFS('calcul rapoarte'!$S:$S,'calcul rapoarte'!$C:$C,'Energy Control'!K212,'calcul rapoarte'!$P:$P,'Energy Control'!B215)</f>
        <v>15563.94</v>
      </c>
      <c r="F215" s="219">
        <f>SUMIFS('calcul rapoarte'!$T:$T,'calcul rapoarte'!$C:$C,'Energy Control'!K212,'calcul rapoarte'!$P:$P,'Energy Control'!B215)</f>
        <v>2957.15</v>
      </c>
      <c r="G215" s="219">
        <f>SUMIFS('calcul rapoarte'!$U:$U,'calcul rapoarte'!$C:$C,'Energy Control'!K212,'calcul rapoarte'!$P:$P,'Energy Control'!B215)</f>
        <v>18521.09</v>
      </c>
      <c r="L215" s="211">
        <f t="shared" si="3"/>
        <v>-3.3600000097067095E-4</v>
      </c>
    </row>
    <row r="216" spans="1:12">
      <c r="A216" s="613" t="s">
        <v>1095</v>
      </c>
      <c r="B216" s="219" t="s">
        <v>1411</v>
      </c>
      <c r="C216" s="219">
        <f>SUMIFS('calcul rapoarte'!$Q:$Q,'calcul rapoarte'!$C:$C,'Energy Control'!K212,'calcul rapoarte'!$P:$P,'Energy Control'!B216)</f>
        <v>0</v>
      </c>
      <c r="D216" s="242">
        <f>SUMIFS('calcul rapoarte'!$R:$R,'calcul rapoarte'!$C:$C,'Energy Control'!K212,'calcul rapoarte'!$P:$P,'Energy Control'!B216)</f>
        <v>0</v>
      </c>
      <c r="E216" s="219">
        <f>ROUND(SUMIFS('calcul rapoarte'!$S:$S,'calcul rapoarte'!$C:$C,'Energy Control'!K212,'calcul rapoarte'!$P:$P,'Energy Control'!B216),2)</f>
        <v>0</v>
      </c>
      <c r="F216" s="219">
        <f>ROUND(SUMIFS('calcul rapoarte'!$T:$T,'calcul rapoarte'!$C:$C,'Energy Control'!K212,'calcul rapoarte'!$P:$P,'Energy Control'!B216),2)</f>
        <v>0</v>
      </c>
      <c r="G216" s="219">
        <f>SUMIFS('calcul rapoarte'!$U:$U,'calcul rapoarte'!$C:$C,'Energy Control'!K212,'calcul rapoarte'!$P:$P,'Energy Control'!B216)</f>
        <v>0</v>
      </c>
      <c r="L216" s="211">
        <f t="shared" si="3"/>
        <v>0</v>
      </c>
    </row>
    <row r="217" spans="1:12">
      <c r="A217" s="613" t="s">
        <v>1095</v>
      </c>
      <c r="B217" s="219" t="s">
        <v>1174</v>
      </c>
      <c r="C217" s="219">
        <f>SUMIFS('calcul rapoarte'!$Q:$Q,'calcul rapoarte'!$C:$C,'Energy Control'!K212,'calcul rapoarte'!$P:$P,'Energy Control'!B217)</f>
        <v>3553</v>
      </c>
      <c r="D217" s="242">
        <f>SUMIFS('calcul rapoarte'!$R:$R,'calcul rapoarte'!$C:$C,'Energy Control'!K212,'calcul rapoarte'!$P:$P,'Energy Control'!B217)</f>
        <v>0.14660000000000001</v>
      </c>
      <c r="E217" s="219">
        <f>SUMIFS('calcul rapoarte'!$S:$S,'calcul rapoarte'!$C:$C,'Energy Control'!K212,'calcul rapoarte'!$P:$P,'Energy Control'!B217)</f>
        <v>520.87</v>
      </c>
      <c r="F217" s="219">
        <f>SUMIFS('calcul rapoarte'!$T:$T,'calcul rapoarte'!$C:$C,'Energy Control'!K212,'calcul rapoarte'!$P:$P,'Energy Control'!B217)</f>
        <v>98.97</v>
      </c>
      <c r="G217" s="219">
        <f>SUMIFS('calcul rapoarte'!$U:$U,'calcul rapoarte'!$C:$C,'Energy Control'!K212,'calcul rapoarte'!$P:$P,'Energy Control'!B217)</f>
        <v>619.84</v>
      </c>
      <c r="L217" s="211">
        <f t="shared" si="3"/>
        <v>-1.9999999994979589E-4</v>
      </c>
    </row>
    <row r="218" spans="1:12">
      <c r="A218" s="613" t="s">
        <v>1095</v>
      </c>
      <c r="B218" s="219" t="s">
        <v>1175</v>
      </c>
      <c r="C218" s="219">
        <f>SUMIFS('calcul rapoarte'!$Q:$Q,'calcul rapoarte'!$C:$C,'Energy Control'!K212,'calcul rapoarte'!$P:$P,'Energy Control'!B218)</f>
        <v>772</v>
      </c>
      <c r="D218" s="242">
        <f>SUMIFS('calcul rapoarte'!$R:$R,'calcul rapoarte'!$C:$C,'Energy Control'!K212,'calcul rapoarte'!$P:$P,'Energy Control'!B218)</f>
        <v>0.43980000000000002</v>
      </c>
      <c r="E218" s="219">
        <f>SUMIFS('calcul rapoarte'!$S:$S,'calcul rapoarte'!$C:$C,'Energy Control'!K212,'calcul rapoarte'!$P:$P,'Energy Control'!B218)</f>
        <v>339.53</v>
      </c>
      <c r="F218" s="219">
        <f>SUMIFS('calcul rapoarte'!$T:$T,'calcul rapoarte'!$C:$C,'Energy Control'!K212,'calcul rapoarte'!$P:$P,'Energy Control'!B218)</f>
        <v>64.510000000000005</v>
      </c>
      <c r="G218" s="219">
        <f>SUMIFS('calcul rapoarte'!$U:$U,'calcul rapoarte'!$C:$C,'Energy Control'!K212,'calcul rapoarte'!$P:$P,'Energy Control'!B218)</f>
        <v>404.04</v>
      </c>
      <c r="L218" s="211">
        <f t="shared" si="3"/>
        <v>-4.3999999999755346E-3</v>
      </c>
    </row>
    <row r="219" spans="1:12">
      <c r="A219" s="614" t="s">
        <v>1095</v>
      </c>
      <c r="B219" s="219" t="s">
        <v>1412</v>
      </c>
      <c r="C219" s="219">
        <f>SUMIFS('calcul rapoarte'!$Q:$Q,'calcul rapoarte'!$C:$C,'Energy Control'!K212,'calcul rapoarte'!$P:$P,'Energy Control'!B219)</f>
        <v>0</v>
      </c>
      <c r="D219" s="242">
        <f>SUMIFS('calcul rapoarte'!$R:$R,'calcul rapoarte'!$C:$C,'Energy Control'!K212,'calcul rapoarte'!$P:$P,'Energy Control'!B219)</f>
        <v>0</v>
      </c>
      <c r="E219" s="219">
        <f>SUMIFS('calcul rapoarte'!$S:$S,'calcul rapoarte'!$C:$C,'Energy Control'!K212,'calcul rapoarte'!$P:$P,'Energy Control'!B219)</f>
        <v>0</v>
      </c>
      <c r="F219" s="219">
        <f>SUMIFS('calcul rapoarte'!$T:$T,'calcul rapoarte'!$C:$C,'Energy Control'!K212,'calcul rapoarte'!$P:$P,'Energy Control'!B219)</f>
        <v>0</v>
      </c>
      <c r="G219" s="219">
        <f>SUMIFS('calcul rapoarte'!$U:$U,'calcul rapoarte'!$C:$C,'Energy Control'!K212,'calcul rapoarte'!$P:$P,'Energy Control'!B219)</f>
        <v>0</v>
      </c>
      <c r="L219" s="211">
        <f t="shared" si="3"/>
        <v>0</v>
      </c>
    </row>
    <row r="220" spans="1:12">
      <c r="A220" s="612" t="s">
        <v>1297</v>
      </c>
      <c r="B220" s="219" t="s">
        <v>1171</v>
      </c>
      <c r="C220" s="219">
        <f>SUMIFS('calcul rapoarte'!$Q:$Q,'calcul rapoarte'!$C:$C,'Energy Control'!K220,'calcul rapoarte'!$P:$P,'Energy Control'!B220)</f>
        <v>13243</v>
      </c>
      <c r="D220" s="242">
        <f>SUMIFS('calcul rapoarte'!$R:$R,'calcul rapoarte'!$C:$C,'Energy Control'!K220,'calcul rapoarte'!$P:$P,'Energy Control'!B220)</f>
        <v>1.0131589999999999</v>
      </c>
      <c r="E220" s="219">
        <f>SUMIFS('calcul rapoarte'!$S:$S,'calcul rapoarte'!$C:$C,'Energy Control'!K220,'calcul rapoarte'!$P:$P,'Energy Control'!B220)</f>
        <v>13417.26</v>
      </c>
      <c r="F220" s="219">
        <f>SUMIFS('calcul rapoarte'!$T:$T,'calcul rapoarte'!$C:$C,'Energy Control'!K220,'calcul rapoarte'!$P:$P,'Energy Control'!B220)</f>
        <v>2549.2800000000002</v>
      </c>
      <c r="G220" s="219">
        <f>SUMIFS('calcul rapoarte'!$U:$U,'calcul rapoarte'!$C:$C,'Energy Control'!K220,'calcul rapoarte'!$P:$P,'Energy Control'!B220)</f>
        <v>15966.54</v>
      </c>
      <c r="K220" s="211" t="s">
        <v>1231</v>
      </c>
      <c r="L220" s="211">
        <f t="shared" si="3"/>
        <v>4.6369999981834553E-3</v>
      </c>
    </row>
    <row r="221" spans="1:12">
      <c r="A221" s="613" t="s">
        <v>1095</v>
      </c>
      <c r="B221" s="219" t="s">
        <v>1172</v>
      </c>
      <c r="C221" s="219">
        <f>SUMIFS('calcul rapoarte'!$Q:$Q,'calcul rapoarte'!$C:$C,'Energy Control'!K220,'calcul rapoarte'!$P:$P,'Energy Control'!B221)</f>
        <v>0</v>
      </c>
      <c r="D221" s="242">
        <f>SUMIFS('calcul rapoarte'!$R:$R,'calcul rapoarte'!$C:$C,'Energy Control'!K220,'calcul rapoarte'!$P:$P,'Energy Control'!B221)</f>
        <v>0.14660000000000001</v>
      </c>
      <c r="E221" s="219">
        <f>SUMIFS('calcul rapoarte'!$S:$S,'calcul rapoarte'!$C:$C,'Energy Control'!K220,'calcul rapoarte'!$P:$P,'Energy Control'!B221)</f>
        <v>0</v>
      </c>
      <c r="F221" s="219">
        <f>SUMIFS('calcul rapoarte'!$T:$T,'calcul rapoarte'!$C:$C,'Energy Control'!K220,'calcul rapoarte'!$P:$P,'Energy Control'!B221)</f>
        <v>0</v>
      </c>
      <c r="G221" s="219">
        <f>SUMIFS('calcul rapoarte'!$U:$U,'calcul rapoarte'!$C:$C,'Energy Control'!K220,'calcul rapoarte'!$P:$P,'Energy Control'!B221)</f>
        <v>0</v>
      </c>
      <c r="L221" s="211">
        <f t="shared" si="3"/>
        <v>0</v>
      </c>
    </row>
    <row r="222" spans="1:12">
      <c r="A222" s="613" t="s">
        <v>1095</v>
      </c>
      <c r="B222" s="219" t="s">
        <v>1173</v>
      </c>
      <c r="C222" s="219">
        <f>SUMIFS('calcul rapoarte'!$Q:$Q,'calcul rapoarte'!$C:$C,'Energy Control'!K220,'calcul rapoarte'!$P:$P,'Energy Control'!B222)</f>
        <v>0</v>
      </c>
      <c r="D222" s="242">
        <f>SUMIFS('calcul rapoarte'!$R:$R,'calcul rapoarte'!$C:$C,'Energy Control'!K220,'calcul rapoarte'!$P:$P,'Energy Control'!B222)</f>
        <v>0.43980000000000002</v>
      </c>
      <c r="E222" s="219">
        <f>SUMIFS('calcul rapoarte'!$S:$S,'calcul rapoarte'!$C:$C,'Energy Control'!K220,'calcul rapoarte'!$P:$P,'Energy Control'!B222)</f>
        <v>0</v>
      </c>
      <c r="F222" s="219">
        <f>SUMIFS('calcul rapoarte'!$T:$T,'calcul rapoarte'!$C:$C,'Energy Control'!K220,'calcul rapoarte'!$P:$P,'Energy Control'!B222)</f>
        <v>0</v>
      </c>
      <c r="G222" s="219">
        <f>SUMIFS('calcul rapoarte'!$U:$U,'calcul rapoarte'!$C:$C,'Energy Control'!K220,'calcul rapoarte'!$P:$P,'Energy Control'!B222)</f>
        <v>0</v>
      </c>
      <c r="L222" s="211">
        <f t="shared" si="3"/>
        <v>0</v>
      </c>
    </row>
    <row r="223" spans="1:12">
      <c r="A223" s="613" t="s">
        <v>1095</v>
      </c>
      <c r="B223" s="219" t="s">
        <v>1410</v>
      </c>
      <c r="C223" s="219">
        <f>SUMIFS('calcul rapoarte'!$Q:$Q,'calcul rapoarte'!$C:$C,'Energy Control'!K220,'calcul rapoarte'!$P:$P,'Energy Control'!B223)</f>
        <v>0</v>
      </c>
      <c r="D223" s="242">
        <f>SUMIFS('calcul rapoarte'!$R:$R,'calcul rapoarte'!$C:$C,'Energy Control'!K220,'calcul rapoarte'!$P:$P,'Energy Control'!B223)</f>
        <v>0</v>
      </c>
      <c r="E223" s="219">
        <f>SUMIFS('calcul rapoarte'!$S:$S,'calcul rapoarte'!$C:$C,'Energy Control'!K220,'calcul rapoarte'!$P:$P,'Energy Control'!B223)</f>
        <v>0</v>
      </c>
      <c r="F223" s="219">
        <f>SUMIFS('calcul rapoarte'!$T:$T,'calcul rapoarte'!$C:$C,'Energy Control'!K220,'calcul rapoarte'!$P:$P,'Energy Control'!B223)</f>
        <v>0</v>
      </c>
      <c r="G223" s="219">
        <f>SUMIFS('calcul rapoarte'!$U:$U,'calcul rapoarte'!$C:$C,'Energy Control'!K220,'calcul rapoarte'!$P:$P,'Energy Control'!B223)</f>
        <v>0</v>
      </c>
      <c r="L223" s="211">
        <f t="shared" si="3"/>
        <v>0</v>
      </c>
    </row>
    <row r="224" spans="1:12">
      <c r="A224" s="613" t="s">
        <v>1095</v>
      </c>
      <c r="B224" s="219" t="s">
        <v>1411</v>
      </c>
      <c r="C224" s="219">
        <f>SUMIFS('calcul rapoarte'!$Q:$Q,'calcul rapoarte'!$C:$C,'Energy Control'!K220,'calcul rapoarte'!$P:$P,'Energy Control'!B224)</f>
        <v>2220</v>
      </c>
      <c r="D224" s="242">
        <f>SUMIFS('calcul rapoarte'!$R:$R,'calcul rapoarte'!$C:$C,'Energy Control'!K220,'calcul rapoarte'!$P:$P,'Energy Control'!B224)</f>
        <v>1.013158</v>
      </c>
      <c r="E224" s="219">
        <f>ROUND(SUMIFS('calcul rapoarte'!$S:$S,'calcul rapoarte'!$C:$C,'Energy Control'!K220,'calcul rapoarte'!$P:$P,'Energy Control'!B224),2)</f>
        <v>2249.21</v>
      </c>
      <c r="F224" s="219">
        <f>ROUND(SUMIFS('calcul rapoarte'!$T:$T,'calcul rapoarte'!$C:$C,'Energy Control'!K220,'calcul rapoarte'!$P:$P,'Energy Control'!B224),2)</f>
        <v>427.35</v>
      </c>
      <c r="G224" s="219">
        <f>SUMIFS('calcul rapoarte'!$U:$U,'calcul rapoarte'!$C:$C,'Energy Control'!K220,'calcul rapoarte'!$P:$P,'Energy Control'!B224)</f>
        <v>2676.56</v>
      </c>
      <c r="L224" s="211">
        <f t="shared" si="3"/>
        <v>7.5999999990017386E-4</v>
      </c>
    </row>
    <row r="225" spans="1:12">
      <c r="A225" s="613" t="s">
        <v>1095</v>
      </c>
      <c r="B225" s="219" t="s">
        <v>1174</v>
      </c>
      <c r="C225" s="219">
        <f>SUMIFS('calcul rapoarte'!$Q:$Q,'calcul rapoarte'!$C:$C,'Energy Control'!K220,'calcul rapoarte'!$P:$P,'Energy Control'!B225)</f>
        <v>0</v>
      </c>
      <c r="D225" s="242">
        <f>SUMIFS('calcul rapoarte'!$R:$R,'calcul rapoarte'!$C:$C,'Energy Control'!K220,'calcul rapoarte'!$P:$P,'Energy Control'!B225)</f>
        <v>0.14660000000000001</v>
      </c>
      <c r="E225" s="219">
        <f>SUMIFS('calcul rapoarte'!$S:$S,'calcul rapoarte'!$C:$C,'Energy Control'!K220,'calcul rapoarte'!$P:$P,'Energy Control'!B225)</f>
        <v>0</v>
      </c>
      <c r="F225" s="219">
        <f>SUMIFS('calcul rapoarte'!$T:$T,'calcul rapoarte'!$C:$C,'Energy Control'!K220,'calcul rapoarte'!$P:$P,'Energy Control'!B225)</f>
        <v>0</v>
      </c>
      <c r="G225" s="219">
        <f>SUMIFS('calcul rapoarte'!$U:$U,'calcul rapoarte'!$C:$C,'Energy Control'!K220,'calcul rapoarte'!$P:$P,'Energy Control'!B225)</f>
        <v>0</v>
      </c>
      <c r="L225" s="211">
        <f t="shared" si="3"/>
        <v>0</v>
      </c>
    </row>
    <row r="226" spans="1:12">
      <c r="A226" s="613" t="s">
        <v>1095</v>
      </c>
      <c r="B226" s="219" t="s">
        <v>1175</v>
      </c>
      <c r="C226" s="219">
        <f>SUMIFS('calcul rapoarte'!$Q:$Q,'calcul rapoarte'!$C:$C,'Energy Control'!K220,'calcul rapoarte'!$P:$P,'Energy Control'!B226)</f>
        <v>0</v>
      </c>
      <c r="D226" s="242">
        <f>SUMIFS('calcul rapoarte'!$R:$R,'calcul rapoarte'!$C:$C,'Energy Control'!K220,'calcul rapoarte'!$P:$P,'Energy Control'!B226)</f>
        <v>0.43980000000000002</v>
      </c>
      <c r="E226" s="219">
        <f>SUMIFS('calcul rapoarte'!$S:$S,'calcul rapoarte'!$C:$C,'Energy Control'!K220,'calcul rapoarte'!$P:$P,'Energy Control'!B226)</f>
        <v>0</v>
      </c>
      <c r="F226" s="219">
        <f>SUMIFS('calcul rapoarte'!$T:$T,'calcul rapoarte'!$C:$C,'Energy Control'!K220,'calcul rapoarte'!$P:$P,'Energy Control'!B226)</f>
        <v>0</v>
      </c>
      <c r="G226" s="219">
        <f>SUMIFS('calcul rapoarte'!$U:$U,'calcul rapoarte'!$C:$C,'Energy Control'!K220,'calcul rapoarte'!$P:$P,'Energy Control'!B226)</f>
        <v>0</v>
      </c>
      <c r="L226" s="211">
        <f t="shared" si="3"/>
        <v>0</v>
      </c>
    </row>
    <row r="227" spans="1:12">
      <c r="A227" s="614" t="s">
        <v>1095</v>
      </c>
      <c r="B227" s="219" t="s">
        <v>1412</v>
      </c>
      <c r="C227" s="219">
        <f>SUMIFS('calcul rapoarte'!$Q:$Q,'calcul rapoarte'!$C:$C,'Energy Control'!K220,'calcul rapoarte'!$P:$P,'Energy Control'!B227)</f>
        <v>0</v>
      </c>
      <c r="D227" s="242">
        <f>SUMIFS('calcul rapoarte'!$R:$R,'calcul rapoarte'!$C:$C,'Energy Control'!K220,'calcul rapoarte'!$P:$P,'Energy Control'!B227)</f>
        <v>0</v>
      </c>
      <c r="E227" s="219">
        <f>SUMIFS('calcul rapoarte'!$S:$S,'calcul rapoarte'!$C:$C,'Energy Control'!K220,'calcul rapoarte'!$P:$P,'Energy Control'!B227)</f>
        <v>0</v>
      </c>
      <c r="F227" s="219">
        <f>SUMIFS('calcul rapoarte'!$T:$T,'calcul rapoarte'!$C:$C,'Energy Control'!K220,'calcul rapoarte'!$P:$P,'Energy Control'!B227)</f>
        <v>0</v>
      </c>
      <c r="G227" s="219">
        <f>SUMIFS('calcul rapoarte'!$U:$U,'calcul rapoarte'!$C:$C,'Energy Control'!K220,'calcul rapoarte'!$P:$P,'Energy Control'!B227)</f>
        <v>0</v>
      </c>
      <c r="L227" s="211">
        <f t="shared" si="3"/>
        <v>0</v>
      </c>
    </row>
    <row r="228" spans="1:12">
      <c r="A228" s="612" t="s">
        <v>1298</v>
      </c>
      <c r="B228" s="219" t="s">
        <v>1171</v>
      </c>
      <c r="C228" s="219">
        <f>SUMIFS('calcul rapoarte'!$Q:$Q,'calcul rapoarte'!$C:$C,'Energy Control'!K228,'calcul rapoarte'!$P:$P,'Energy Control'!B228)</f>
        <v>25058</v>
      </c>
      <c r="D228" s="242">
        <f>SUMIFS('calcul rapoarte'!$R:$R,'calcul rapoarte'!$C:$C,'Energy Control'!K228,'calcul rapoarte'!$P:$P,'Energy Control'!B228)</f>
        <v>0.93920800000000004</v>
      </c>
      <c r="E228" s="219">
        <f>SUMIFS('calcul rapoarte'!$S:$S,'calcul rapoarte'!$C:$C,'Energy Control'!K228,'calcul rapoarte'!$P:$P,'Energy Control'!B228)</f>
        <v>23534.67</v>
      </c>
      <c r="F228" s="219">
        <f>SUMIFS('calcul rapoarte'!$T:$T,'calcul rapoarte'!$C:$C,'Energy Control'!K228,'calcul rapoarte'!$P:$P,'Energy Control'!B228)</f>
        <v>4471.59</v>
      </c>
      <c r="G228" s="219">
        <f>SUMIFS('calcul rapoarte'!$U:$U,'calcul rapoarte'!$C:$C,'Energy Control'!K228,'calcul rapoarte'!$P:$P,'Energy Control'!B228)</f>
        <v>28006.26</v>
      </c>
      <c r="K228" s="211" t="s">
        <v>1272</v>
      </c>
      <c r="L228" s="211">
        <f t="shared" si="3"/>
        <v>4.0640000042913016E-3</v>
      </c>
    </row>
    <row r="229" spans="1:12">
      <c r="A229" s="613" t="s">
        <v>1095</v>
      </c>
      <c r="B229" s="219" t="s">
        <v>1172</v>
      </c>
      <c r="C229" s="219">
        <f>SUMIFS('calcul rapoarte'!$Q:$Q,'calcul rapoarte'!$C:$C,'Energy Control'!K228,'calcul rapoarte'!$P:$P,'Energy Control'!B229)</f>
        <v>0</v>
      </c>
      <c r="D229" s="242">
        <f>SUMIFS('calcul rapoarte'!$R:$R,'calcul rapoarte'!$C:$C,'Energy Control'!K228,'calcul rapoarte'!$P:$P,'Energy Control'!B229)</f>
        <v>0.14649999999999999</v>
      </c>
      <c r="E229" s="219">
        <f>SUMIFS('calcul rapoarte'!$S:$S,'calcul rapoarte'!$C:$C,'Energy Control'!K228,'calcul rapoarte'!$P:$P,'Energy Control'!B229)</f>
        <v>0</v>
      </c>
      <c r="F229" s="219">
        <f>SUMIFS('calcul rapoarte'!$T:$T,'calcul rapoarte'!$C:$C,'Energy Control'!K228,'calcul rapoarte'!$P:$P,'Energy Control'!B229)</f>
        <v>0</v>
      </c>
      <c r="G229" s="219">
        <f>SUMIFS('calcul rapoarte'!$U:$U,'calcul rapoarte'!$C:$C,'Energy Control'!K228,'calcul rapoarte'!$P:$P,'Energy Control'!B229)</f>
        <v>0</v>
      </c>
      <c r="L229" s="211">
        <f t="shared" si="3"/>
        <v>0</v>
      </c>
    </row>
    <row r="230" spans="1:12">
      <c r="A230" s="613" t="s">
        <v>1095</v>
      </c>
      <c r="B230" s="219" t="s">
        <v>1173</v>
      </c>
      <c r="C230" s="219">
        <f>SUMIFS('calcul rapoarte'!$Q:$Q,'calcul rapoarte'!$C:$C,'Energy Control'!K228,'calcul rapoarte'!$P:$P,'Energy Control'!B230)</f>
        <v>0</v>
      </c>
      <c r="D230" s="242">
        <f>SUMIFS('calcul rapoarte'!$R:$R,'calcul rapoarte'!$C:$C,'Energy Control'!K228,'calcul rapoarte'!$P:$P,'Energy Control'!B230)</f>
        <v>0.4395</v>
      </c>
      <c r="E230" s="219">
        <f>SUMIFS('calcul rapoarte'!$S:$S,'calcul rapoarte'!$C:$C,'Energy Control'!K228,'calcul rapoarte'!$P:$P,'Energy Control'!B230)</f>
        <v>0</v>
      </c>
      <c r="F230" s="219">
        <f>SUMIFS('calcul rapoarte'!$T:$T,'calcul rapoarte'!$C:$C,'Energy Control'!K228,'calcul rapoarte'!$P:$P,'Energy Control'!B230)</f>
        <v>0</v>
      </c>
      <c r="G230" s="219">
        <f>SUMIFS('calcul rapoarte'!$U:$U,'calcul rapoarte'!$C:$C,'Energy Control'!K228,'calcul rapoarte'!$P:$P,'Energy Control'!B230)</f>
        <v>0</v>
      </c>
      <c r="L230" s="211">
        <f t="shared" si="3"/>
        <v>0</v>
      </c>
    </row>
    <row r="231" spans="1:12">
      <c r="A231" s="613" t="s">
        <v>1095</v>
      </c>
      <c r="B231" s="219" t="s">
        <v>1410</v>
      </c>
      <c r="C231" s="219">
        <f>SUMIFS('calcul rapoarte'!$Q:$Q,'calcul rapoarte'!$C:$C,'Energy Control'!K228,'calcul rapoarte'!$P:$P,'Energy Control'!B231)</f>
        <v>15338</v>
      </c>
      <c r="D231" s="242">
        <f>SUMIFS('calcul rapoarte'!$R:$R,'calcul rapoarte'!$C:$C,'Energy Control'!K228,'calcul rapoarte'!$P:$P,'Energy Control'!B231)</f>
        <v>0.93920800000000004</v>
      </c>
      <c r="E231" s="219">
        <f>SUMIFS('calcul rapoarte'!$S:$S,'calcul rapoarte'!$C:$C,'Energy Control'!K228,'calcul rapoarte'!$P:$P,'Energy Control'!B231)</f>
        <v>14405.57</v>
      </c>
      <c r="F231" s="219">
        <f>SUMIFS('calcul rapoarte'!$T:$T,'calcul rapoarte'!$C:$C,'Energy Control'!K228,'calcul rapoarte'!$P:$P,'Energy Control'!B231)</f>
        <v>2737.06</v>
      </c>
      <c r="G231" s="219">
        <f>SUMIFS('calcul rapoarte'!$U:$U,'calcul rapoarte'!$C:$C,'Energy Control'!K228,'calcul rapoarte'!$P:$P,'Energy Control'!B231)</f>
        <v>17142.63</v>
      </c>
      <c r="L231" s="211">
        <f t="shared" si="3"/>
        <v>2.3040000014589168E-3</v>
      </c>
    </row>
    <row r="232" spans="1:12">
      <c r="A232" s="613" t="s">
        <v>1095</v>
      </c>
      <c r="B232" s="219" t="s">
        <v>1411</v>
      </c>
      <c r="C232" s="219">
        <f>SUMIFS('calcul rapoarte'!$Q:$Q,'calcul rapoarte'!$C:$C,'Energy Control'!K228,'calcul rapoarte'!$P:$P,'Energy Control'!B232)</f>
        <v>0</v>
      </c>
      <c r="D232" s="242">
        <f>SUMIFS('calcul rapoarte'!$R:$R,'calcul rapoarte'!$C:$C,'Energy Control'!K228,'calcul rapoarte'!$P:$P,'Energy Control'!B232)</f>
        <v>0</v>
      </c>
      <c r="E232" s="219">
        <f>ROUND(SUMIFS('calcul rapoarte'!$S:$S,'calcul rapoarte'!$C:$C,'Energy Control'!K228,'calcul rapoarte'!$P:$P,'Energy Control'!B232),2)</f>
        <v>0</v>
      </c>
      <c r="F232" s="219">
        <f>ROUND(SUMIFS('calcul rapoarte'!$T:$T,'calcul rapoarte'!$C:$C,'Energy Control'!K228,'calcul rapoarte'!$P:$P,'Energy Control'!B232),2)</f>
        <v>0</v>
      </c>
      <c r="G232" s="219">
        <f>SUMIFS('calcul rapoarte'!$U:$U,'calcul rapoarte'!$C:$C,'Energy Control'!K228,'calcul rapoarte'!$P:$P,'Energy Control'!B232)</f>
        <v>0</v>
      </c>
      <c r="L232" s="211">
        <f t="shared" si="3"/>
        <v>0</v>
      </c>
    </row>
    <row r="233" spans="1:12">
      <c r="A233" s="613" t="s">
        <v>1095</v>
      </c>
      <c r="B233" s="219" t="s">
        <v>1174</v>
      </c>
      <c r="C233" s="219">
        <f>SUMIFS('calcul rapoarte'!$Q:$Q,'calcul rapoarte'!$C:$C,'Energy Control'!K228,'calcul rapoarte'!$P:$P,'Energy Control'!B233)</f>
        <v>186</v>
      </c>
      <c r="D233" s="242">
        <f>SUMIFS('calcul rapoarte'!$R:$R,'calcul rapoarte'!$C:$C,'Energy Control'!K228,'calcul rapoarte'!$P:$P,'Energy Control'!B233)</f>
        <v>0.14649999999999999</v>
      </c>
      <c r="E233" s="219">
        <f>SUMIFS('calcul rapoarte'!$S:$S,'calcul rapoarte'!$C:$C,'Energy Control'!K228,'calcul rapoarte'!$P:$P,'Energy Control'!B233)</f>
        <v>27.25</v>
      </c>
      <c r="F233" s="219">
        <f>SUMIFS('calcul rapoarte'!$T:$T,'calcul rapoarte'!$C:$C,'Energy Control'!K228,'calcul rapoarte'!$P:$P,'Energy Control'!B233)</f>
        <v>5.18</v>
      </c>
      <c r="G233" s="219">
        <f>SUMIFS('calcul rapoarte'!$U:$U,'calcul rapoarte'!$C:$C,'Energy Control'!K228,'calcul rapoarte'!$P:$P,'Energy Control'!B233)</f>
        <v>32.43</v>
      </c>
      <c r="L233" s="211">
        <f t="shared" si="3"/>
        <v>-1.0000000000012221E-3</v>
      </c>
    </row>
    <row r="234" spans="1:12">
      <c r="A234" s="613" t="s">
        <v>1095</v>
      </c>
      <c r="B234" s="219" t="s">
        <v>1175</v>
      </c>
      <c r="C234" s="219">
        <f>SUMIFS('calcul rapoarte'!$Q:$Q,'calcul rapoarte'!$C:$C,'Energy Control'!K228,'calcul rapoarte'!$P:$P,'Energy Control'!B234)</f>
        <v>4</v>
      </c>
      <c r="D234" s="242">
        <f>SUMIFS('calcul rapoarte'!$R:$R,'calcul rapoarte'!$C:$C,'Energy Control'!K228,'calcul rapoarte'!$P:$P,'Energy Control'!B234)</f>
        <v>0.4395</v>
      </c>
      <c r="E234" s="219">
        <f>SUMIFS('calcul rapoarte'!$S:$S,'calcul rapoarte'!$C:$C,'Energy Control'!K228,'calcul rapoarte'!$P:$P,'Energy Control'!B234)</f>
        <v>1.76</v>
      </c>
      <c r="F234" s="219">
        <f>SUMIFS('calcul rapoarte'!$T:$T,'calcul rapoarte'!$C:$C,'Energy Control'!K228,'calcul rapoarte'!$P:$P,'Energy Control'!B234)</f>
        <v>0.33</v>
      </c>
      <c r="G234" s="219">
        <f>SUMIFS('calcul rapoarte'!$U:$U,'calcul rapoarte'!$C:$C,'Energy Control'!K228,'calcul rapoarte'!$P:$P,'Energy Control'!B234)</f>
        <v>2.09</v>
      </c>
      <c r="L234" s="211">
        <f t="shared" si="3"/>
        <v>-2.0000000000000018E-3</v>
      </c>
    </row>
    <row r="235" spans="1:12">
      <c r="A235" s="614" t="s">
        <v>1095</v>
      </c>
      <c r="B235" s="219" t="s">
        <v>1412</v>
      </c>
      <c r="C235" s="219">
        <f>SUMIFS('calcul rapoarte'!$Q:$Q,'calcul rapoarte'!$C:$C,'Energy Control'!K228,'calcul rapoarte'!$P:$P,'Energy Control'!B235)</f>
        <v>0</v>
      </c>
      <c r="D235" s="242">
        <f>SUMIFS('calcul rapoarte'!$R:$R,'calcul rapoarte'!$C:$C,'Energy Control'!K228,'calcul rapoarte'!$P:$P,'Energy Control'!B235)</f>
        <v>0</v>
      </c>
      <c r="E235" s="219">
        <f>SUMIFS('calcul rapoarte'!$S:$S,'calcul rapoarte'!$C:$C,'Energy Control'!K228,'calcul rapoarte'!$P:$P,'Energy Control'!B235)</f>
        <v>0</v>
      </c>
      <c r="F235" s="219">
        <f>SUMIFS('calcul rapoarte'!$T:$T,'calcul rapoarte'!$C:$C,'Energy Control'!K228,'calcul rapoarte'!$P:$P,'Energy Control'!B235)</f>
        <v>0</v>
      </c>
      <c r="G235" s="219">
        <f>SUMIFS('calcul rapoarte'!$U:$U,'calcul rapoarte'!$C:$C,'Energy Control'!K228,'calcul rapoarte'!$P:$P,'Energy Control'!B235)</f>
        <v>0</v>
      </c>
      <c r="L235" s="211">
        <f t="shared" si="3"/>
        <v>0</v>
      </c>
    </row>
  </sheetData>
  <autoFilter ref="A3:G179" xr:uid="{613A102B-0E77-438B-8CEF-67ABF04BE113}"/>
  <mergeCells count="29">
    <mergeCell ref="A220:A227"/>
    <mergeCell ref="A228:A235"/>
    <mergeCell ref="A180:A187"/>
    <mergeCell ref="A188:A195"/>
    <mergeCell ref="A196:A203"/>
    <mergeCell ref="A204:A211"/>
    <mergeCell ref="A212:A219"/>
    <mergeCell ref="A148:A155"/>
    <mergeCell ref="A156:A163"/>
    <mergeCell ref="A164:A171"/>
    <mergeCell ref="A172:A179"/>
    <mergeCell ref="A100:A107"/>
    <mergeCell ref="A108:A115"/>
    <mergeCell ref="A116:A123"/>
    <mergeCell ref="A124:A131"/>
    <mergeCell ref="A132:A139"/>
    <mergeCell ref="A140:A147"/>
    <mergeCell ref="A92:A99"/>
    <mergeCell ref="A4:A11"/>
    <mergeCell ref="A12:A19"/>
    <mergeCell ref="A20:A27"/>
    <mergeCell ref="A28:A35"/>
    <mergeCell ref="A36:A43"/>
    <mergeCell ref="A44:A51"/>
    <mergeCell ref="A52:A59"/>
    <mergeCell ref="A60:A67"/>
    <mergeCell ref="A68:A75"/>
    <mergeCell ref="A76:A83"/>
    <mergeCell ref="A84:A9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E150E-F3B4-7844-A6ED-C0530794B1D6}">
  <dimension ref="A1:Y274"/>
  <sheetViews>
    <sheetView topLeftCell="F1" zoomScale="70" zoomScaleNormal="70" workbookViewId="0">
      <selection activeCell="G9" sqref="G9:M14"/>
    </sheetView>
  </sheetViews>
  <sheetFormatPr defaultColWidth="8.875" defaultRowHeight="15.75"/>
  <cols>
    <col min="1" max="1" width="64.625" style="341" bestFit="1" customWidth="1"/>
    <col min="2" max="4" width="8.875" style="341"/>
    <col min="5" max="5" width="11.375" style="341" bestFit="1" customWidth="1"/>
    <col min="6" max="6" width="34.5" style="341" customWidth="1"/>
    <col min="7" max="7" width="38.5" style="341" customWidth="1"/>
    <col min="8" max="8" width="26.125" style="341" customWidth="1"/>
    <col min="9" max="9" width="16.25" style="341" customWidth="1"/>
    <col min="10" max="10" width="18.75" style="341" customWidth="1"/>
    <col min="11" max="11" width="19.25" style="341" customWidth="1"/>
    <col min="12" max="12" width="18.375" style="341" customWidth="1"/>
    <col min="13" max="13" width="17.375" style="341" customWidth="1"/>
    <col min="14" max="16" width="12.5" style="341" bestFit="1" customWidth="1"/>
    <col min="17" max="17" width="13.125" style="341" bestFit="1" customWidth="1"/>
    <col min="18" max="18" width="14" style="341" bestFit="1" customWidth="1"/>
    <col min="19" max="20" width="13.5" style="341" customWidth="1"/>
    <col min="21" max="21" width="16.875" customWidth="1"/>
    <col min="22" max="22" width="17.625" style="387" customWidth="1"/>
    <col min="23" max="23" width="11.625" customWidth="1"/>
    <col min="24" max="24" width="14" customWidth="1"/>
    <col min="25" max="25" width="12.625" customWidth="1"/>
    <col min="26" max="16384" width="8.875" style="341"/>
  </cols>
  <sheetData>
    <row r="1" spans="1:25">
      <c r="A1" s="338" t="s">
        <v>1342</v>
      </c>
      <c r="B1" s="338" t="s">
        <v>1343</v>
      </c>
      <c r="C1" s="338" t="s">
        <v>1344</v>
      </c>
      <c r="D1" s="338" t="s">
        <v>1345</v>
      </c>
      <c r="E1" s="338" t="s">
        <v>1346</v>
      </c>
      <c r="F1" s="338" t="s">
        <v>1347</v>
      </c>
      <c r="G1" s="338" t="s">
        <v>520</v>
      </c>
      <c r="H1" s="338" t="s">
        <v>1196</v>
      </c>
      <c r="I1" s="339">
        <v>45658</v>
      </c>
      <c r="J1" s="339">
        <v>45689</v>
      </c>
      <c r="K1" s="339">
        <v>45717</v>
      </c>
      <c r="L1" s="339">
        <v>45748</v>
      </c>
      <c r="M1" s="339">
        <v>45778</v>
      </c>
      <c r="N1" s="339">
        <v>45809</v>
      </c>
      <c r="O1" s="339">
        <v>45839</v>
      </c>
      <c r="P1" s="339">
        <v>45870</v>
      </c>
      <c r="Q1" s="339">
        <v>45901</v>
      </c>
      <c r="R1" s="339">
        <v>45931</v>
      </c>
      <c r="S1" s="339">
        <v>45962</v>
      </c>
      <c r="T1" s="339">
        <v>45992</v>
      </c>
      <c r="U1" s="511" t="s">
        <v>1348</v>
      </c>
      <c r="V1" s="340" t="s">
        <v>1349</v>
      </c>
      <c r="X1" t="s">
        <v>1350</v>
      </c>
      <c r="Y1" s="512">
        <v>4.97</v>
      </c>
    </row>
    <row r="2" spans="1:25">
      <c r="A2" s="342" t="s">
        <v>26</v>
      </c>
      <c r="B2" s="342" t="s">
        <v>1351</v>
      </c>
      <c r="C2" s="342" t="s">
        <v>1351</v>
      </c>
      <c r="D2" s="342" t="s">
        <v>1352</v>
      </c>
      <c r="E2" s="343">
        <v>45292</v>
      </c>
      <c r="F2" s="344" t="s">
        <v>1353</v>
      </c>
      <c r="G2" s="345" t="s">
        <v>239</v>
      </c>
      <c r="H2" s="342" t="s">
        <v>1354</v>
      </c>
      <c r="I2" s="346">
        <v>12628</v>
      </c>
      <c r="J2" s="346">
        <v>19635</v>
      </c>
      <c r="K2" s="346">
        <v>27706</v>
      </c>
      <c r="L2" s="346">
        <v>38513</v>
      </c>
      <c r="M2" s="346">
        <v>44103</v>
      </c>
      <c r="N2" s="346"/>
      <c r="O2" s="346"/>
      <c r="P2" s="346"/>
      <c r="Q2" s="346"/>
      <c r="R2" s="346"/>
      <c r="S2" s="346"/>
      <c r="T2" s="346"/>
      <c r="U2" s="513">
        <f>SUM(I2:T2)</f>
        <v>142585</v>
      </c>
      <c r="V2" s="514"/>
      <c r="W2" s="514"/>
      <c r="X2" s="514"/>
      <c r="Y2" s="514"/>
    </row>
    <row r="3" spans="1:25">
      <c r="A3" s="347" t="s">
        <v>26</v>
      </c>
      <c r="B3" s="347" t="s">
        <v>1351</v>
      </c>
      <c r="C3" s="347" t="s">
        <v>1351</v>
      </c>
      <c r="D3" s="347" t="s">
        <v>1352</v>
      </c>
      <c r="E3" s="348">
        <v>45292</v>
      </c>
      <c r="F3" s="349" t="s">
        <v>1353</v>
      </c>
      <c r="G3" s="341" t="s">
        <v>239</v>
      </c>
      <c r="H3" s="347" t="s">
        <v>1355</v>
      </c>
      <c r="I3" s="350">
        <v>11857.71</v>
      </c>
      <c r="J3" s="350">
        <v>18437.3</v>
      </c>
      <c r="K3" s="350">
        <v>26015.98</v>
      </c>
      <c r="L3" s="350">
        <v>36170.97</v>
      </c>
      <c r="M3" s="350">
        <v>41421.870000000003</v>
      </c>
      <c r="N3" s="350"/>
      <c r="O3" s="350"/>
      <c r="P3" s="350"/>
      <c r="Q3" s="350"/>
      <c r="R3" s="350"/>
      <c r="S3" s="350"/>
      <c r="T3" s="350"/>
      <c r="U3" s="515">
        <f>SUM(I3:T3)</f>
        <v>133903.82999999999</v>
      </c>
      <c r="V3" s="516">
        <f>U3/$Y$1</f>
        <v>26942.420523138833</v>
      </c>
    </row>
    <row r="4" spans="1:25">
      <c r="A4" s="347" t="s">
        <v>26</v>
      </c>
      <c r="B4" s="347" t="s">
        <v>1351</v>
      </c>
      <c r="C4" s="347" t="s">
        <v>1351</v>
      </c>
      <c r="D4" s="347" t="s">
        <v>1352</v>
      </c>
      <c r="E4" s="348">
        <v>45292</v>
      </c>
      <c r="F4" s="349" t="s">
        <v>1353</v>
      </c>
      <c r="G4" s="341" t="s">
        <v>239</v>
      </c>
      <c r="H4" s="341" t="s">
        <v>1356</v>
      </c>
      <c r="I4" s="352">
        <v>12628</v>
      </c>
      <c r="J4" s="352">
        <v>19635</v>
      </c>
      <c r="K4" s="352">
        <v>27706</v>
      </c>
      <c r="L4" s="352">
        <v>38506</v>
      </c>
      <c r="M4" s="352">
        <v>44103</v>
      </c>
      <c r="N4" s="353"/>
      <c r="O4" s="353"/>
      <c r="P4" s="353"/>
      <c r="Q4" s="353"/>
      <c r="R4" s="353"/>
      <c r="S4" s="353"/>
      <c r="T4" s="353"/>
      <c r="U4" s="517"/>
      <c r="V4"/>
    </row>
    <row r="5" spans="1:25" ht="15">
      <c r="A5" s="347" t="s">
        <v>26</v>
      </c>
      <c r="B5" s="347" t="s">
        <v>1351</v>
      </c>
      <c r="C5" s="347" t="s">
        <v>1351</v>
      </c>
      <c r="D5" s="347" t="s">
        <v>1352</v>
      </c>
      <c r="E5" s="348">
        <v>45292</v>
      </c>
      <c r="F5" s="349" t="s">
        <v>1353</v>
      </c>
      <c r="G5" s="341" t="s">
        <v>239</v>
      </c>
      <c r="H5" s="341" t="s">
        <v>1357</v>
      </c>
      <c r="I5" s="355">
        <v>0.93900159999999999</v>
      </c>
      <c r="J5" s="355">
        <v>0.93900159999999999</v>
      </c>
      <c r="K5" s="355">
        <v>0.93900159999999999</v>
      </c>
      <c r="L5" s="355">
        <v>0.93920760000000003</v>
      </c>
      <c r="M5" s="355">
        <v>0.93920760000000003</v>
      </c>
      <c r="N5" s="355"/>
      <c r="O5" s="355"/>
      <c r="P5" s="355"/>
      <c r="Q5" s="355"/>
      <c r="R5" s="355"/>
      <c r="S5" s="355"/>
      <c r="T5" s="355"/>
      <c r="U5" s="517"/>
      <c r="V5" s="356"/>
      <c r="W5" s="518"/>
      <c r="X5" s="518"/>
      <c r="Y5" s="518"/>
    </row>
    <row r="6" spans="1:25">
      <c r="A6" s="347" t="s">
        <v>26</v>
      </c>
      <c r="B6" s="347" t="s">
        <v>1351</v>
      </c>
      <c r="C6" s="347" t="s">
        <v>1351</v>
      </c>
      <c r="D6" s="347" t="s">
        <v>1352</v>
      </c>
      <c r="E6" s="348">
        <v>45292</v>
      </c>
      <c r="F6" s="349" t="s">
        <v>1353</v>
      </c>
      <c r="G6" s="341" t="s">
        <v>239</v>
      </c>
      <c r="H6" s="341" t="s">
        <v>1358</v>
      </c>
      <c r="I6" s="357">
        <v>0</v>
      </c>
      <c r="J6" s="357">
        <v>0</v>
      </c>
      <c r="K6" s="357">
        <v>0</v>
      </c>
      <c r="L6" s="357">
        <v>7</v>
      </c>
      <c r="M6" s="357">
        <v>0</v>
      </c>
      <c r="N6" s="355"/>
      <c r="O6" s="355"/>
      <c r="P6" s="355"/>
      <c r="Q6" s="355"/>
      <c r="R6" s="357"/>
      <c r="S6" s="357"/>
      <c r="T6" s="357"/>
      <c r="U6" s="517"/>
      <c r="V6"/>
    </row>
    <row r="7" spans="1:25">
      <c r="A7" s="347" t="s">
        <v>26</v>
      </c>
      <c r="B7" s="347" t="s">
        <v>1351</v>
      </c>
      <c r="C7" s="347" t="s">
        <v>1351</v>
      </c>
      <c r="D7" s="347" t="s">
        <v>1352</v>
      </c>
      <c r="E7" s="348">
        <v>45292</v>
      </c>
      <c r="F7" s="349" t="s">
        <v>1353</v>
      </c>
      <c r="G7" s="341" t="s">
        <v>239</v>
      </c>
      <c r="H7" s="341" t="s">
        <v>1357</v>
      </c>
      <c r="I7" s="355">
        <v>0.83370160000000004</v>
      </c>
      <c r="J7" s="355">
        <v>0.83370160000000004</v>
      </c>
      <c r="K7" s="355">
        <v>0.83370160000000004</v>
      </c>
      <c r="L7" s="355">
        <v>0.83390760000000008</v>
      </c>
      <c r="M7" s="355">
        <v>0.83390760000000008</v>
      </c>
      <c r="N7" s="358"/>
      <c r="O7" s="358"/>
      <c r="P7" s="358"/>
      <c r="Q7" s="358"/>
      <c r="R7" s="358"/>
      <c r="S7" s="358"/>
      <c r="T7" s="358"/>
      <c r="U7" s="519"/>
      <c r="V7"/>
    </row>
    <row r="8" spans="1:25">
      <c r="A8" s="342" t="s">
        <v>27</v>
      </c>
      <c r="B8" s="342" t="s">
        <v>1352</v>
      </c>
      <c r="C8" s="342" t="s">
        <v>1359</v>
      </c>
      <c r="D8" s="342" t="s">
        <v>1352</v>
      </c>
      <c r="E8" s="343">
        <v>45323</v>
      </c>
      <c r="F8" s="344" t="s">
        <v>1353</v>
      </c>
      <c r="G8" s="359" t="s">
        <v>261</v>
      </c>
      <c r="H8" s="342" t="s">
        <v>1354</v>
      </c>
      <c r="I8" s="346">
        <v>9838</v>
      </c>
      <c r="J8" s="346">
        <v>18946</v>
      </c>
      <c r="K8" s="346">
        <v>28259</v>
      </c>
      <c r="L8" s="346">
        <v>38588</v>
      </c>
      <c r="M8" s="346">
        <v>42472</v>
      </c>
      <c r="N8" s="346"/>
      <c r="O8" s="346"/>
      <c r="P8" s="346"/>
      <c r="Q8" s="346"/>
      <c r="R8" s="346"/>
      <c r="S8" s="346"/>
      <c r="T8" s="346"/>
      <c r="U8" s="513">
        <f>SUM(I8:T8)</f>
        <v>138103</v>
      </c>
      <c r="V8" s="514"/>
      <c r="W8" s="514"/>
      <c r="X8" s="514"/>
      <c r="Y8" s="514"/>
    </row>
    <row r="9" spans="1:25">
      <c r="A9" s="347" t="s">
        <v>27</v>
      </c>
      <c r="B9" s="347" t="s">
        <v>1352</v>
      </c>
      <c r="C9" s="347" t="s">
        <v>1359</v>
      </c>
      <c r="D9" s="347" t="s">
        <v>1352</v>
      </c>
      <c r="E9" s="348">
        <v>45323</v>
      </c>
      <c r="F9" s="349" t="s">
        <v>1353</v>
      </c>
      <c r="G9" s="341" t="s">
        <v>261</v>
      </c>
      <c r="H9" s="347" t="s">
        <v>1355</v>
      </c>
      <c r="I9" s="350">
        <v>9237.9</v>
      </c>
      <c r="J9" s="350">
        <v>17790.32</v>
      </c>
      <c r="K9" s="350">
        <v>26535.25</v>
      </c>
      <c r="L9" s="350">
        <v>36241.72</v>
      </c>
      <c r="M9" s="350">
        <v>39890.03</v>
      </c>
      <c r="N9" s="350"/>
      <c r="O9" s="350"/>
      <c r="P9" s="350"/>
      <c r="Q9" s="350"/>
      <c r="R9" s="350"/>
      <c r="S9" s="350"/>
      <c r="T9" s="350"/>
      <c r="U9" s="515">
        <f>SUM(I9:T9)</f>
        <v>129695.22</v>
      </c>
      <c r="V9" s="516">
        <f>U9/$Y$1</f>
        <v>26095.617706237426</v>
      </c>
    </row>
    <row r="10" spans="1:25">
      <c r="A10" s="347" t="s">
        <v>27</v>
      </c>
      <c r="B10" s="347" t="s">
        <v>1352</v>
      </c>
      <c r="C10" s="347" t="s">
        <v>1359</v>
      </c>
      <c r="D10" s="347" t="s">
        <v>1352</v>
      </c>
      <c r="E10" s="348">
        <v>45323</v>
      </c>
      <c r="F10" s="349" t="s">
        <v>1353</v>
      </c>
      <c r="G10" s="341" t="s">
        <v>261</v>
      </c>
      <c r="H10" s="341" t="s">
        <v>1356</v>
      </c>
      <c r="I10" s="352">
        <v>9838</v>
      </c>
      <c r="J10" s="352">
        <v>18946</v>
      </c>
      <c r="K10" s="352">
        <v>28259</v>
      </c>
      <c r="L10" s="352">
        <v>38584</v>
      </c>
      <c r="M10" s="352">
        <v>42472</v>
      </c>
      <c r="N10" s="354"/>
      <c r="O10" s="354"/>
      <c r="P10" s="354"/>
      <c r="Q10" s="354"/>
      <c r="R10" s="354"/>
      <c r="S10" s="354"/>
      <c r="T10" s="354"/>
      <c r="U10" s="517"/>
      <c r="V10"/>
    </row>
    <row r="11" spans="1:25">
      <c r="A11" s="347" t="s">
        <v>27</v>
      </c>
      <c r="B11" s="347" t="s">
        <v>1352</v>
      </c>
      <c r="C11" s="347" t="s">
        <v>1359</v>
      </c>
      <c r="D11" s="347" t="s">
        <v>1352</v>
      </c>
      <c r="E11" s="348">
        <v>45323</v>
      </c>
      <c r="F11" s="349" t="s">
        <v>1353</v>
      </c>
      <c r="G11" s="341" t="s">
        <v>261</v>
      </c>
      <c r="H11" s="341" t="s">
        <v>1357</v>
      </c>
      <c r="I11" s="355">
        <v>0.93900159999999999</v>
      </c>
      <c r="J11" s="355">
        <v>0.93900159999999999</v>
      </c>
      <c r="K11" s="355">
        <v>0.93900159999999999</v>
      </c>
      <c r="L11" s="355">
        <v>0.93920760000000003</v>
      </c>
      <c r="M11" s="355">
        <v>0.93920760000000003</v>
      </c>
      <c r="N11" s="355"/>
      <c r="O11" s="355"/>
      <c r="P11" s="355"/>
      <c r="Q11" s="355"/>
      <c r="R11" s="355"/>
      <c r="S11" s="355"/>
      <c r="T11" s="355"/>
      <c r="U11" s="517"/>
      <c r="V11"/>
    </row>
    <row r="12" spans="1:25">
      <c r="A12" s="347" t="s">
        <v>27</v>
      </c>
      <c r="B12" s="347" t="s">
        <v>1352</v>
      </c>
      <c r="C12" s="347" t="s">
        <v>1359</v>
      </c>
      <c r="D12" s="347" t="s">
        <v>1352</v>
      </c>
      <c r="E12" s="348">
        <v>45323</v>
      </c>
      <c r="F12" s="349" t="s">
        <v>1353</v>
      </c>
      <c r="G12" s="341" t="s">
        <v>261</v>
      </c>
      <c r="H12" s="341" t="s">
        <v>1358</v>
      </c>
      <c r="I12" s="357">
        <v>0</v>
      </c>
      <c r="J12" s="357">
        <v>0</v>
      </c>
      <c r="K12" s="357">
        <v>0</v>
      </c>
      <c r="L12" s="357">
        <v>4</v>
      </c>
      <c r="M12" s="357">
        <v>0</v>
      </c>
      <c r="N12" s="355"/>
      <c r="O12" s="355"/>
      <c r="P12" s="355"/>
      <c r="Q12" s="355"/>
      <c r="R12" s="357"/>
      <c r="S12" s="357"/>
      <c r="T12" s="357"/>
      <c r="U12" s="519"/>
      <c r="V12"/>
    </row>
    <row r="13" spans="1:25">
      <c r="A13" s="347" t="s">
        <v>27</v>
      </c>
      <c r="B13" s="347" t="s">
        <v>1352</v>
      </c>
      <c r="C13" s="347" t="s">
        <v>1359</v>
      </c>
      <c r="D13" s="347" t="s">
        <v>1352</v>
      </c>
      <c r="E13" s="348">
        <v>45323</v>
      </c>
      <c r="F13" s="349" t="s">
        <v>1353</v>
      </c>
      <c r="G13" s="341" t="s">
        <v>261</v>
      </c>
      <c r="H13" s="341" t="s">
        <v>1357</v>
      </c>
      <c r="I13" s="355">
        <v>0.83370160000000004</v>
      </c>
      <c r="J13" s="355">
        <v>0.83370160000000004</v>
      </c>
      <c r="K13" s="355">
        <v>0.83370160000000004</v>
      </c>
      <c r="L13" s="355">
        <v>0.83390760000000008</v>
      </c>
      <c r="M13" s="355">
        <v>0.83390760000000008</v>
      </c>
      <c r="N13" s="358"/>
      <c r="O13" s="358"/>
      <c r="P13" s="358"/>
      <c r="Q13" s="358"/>
      <c r="R13" s="358"/>
      <c r="S13" s="358"/>
      <c r="T13" s="358"/>
      <c r="U13" s="517"/>
      <c r="V13" s="356"/>
    </row>
    <row r="14" spans="1:25">
      <c r="A14" s="347" t="s">
        <v>27</v>
      </c>
      <c r="B14" s="347" t="s">
        <v>1352</v>
      </c>
      <c r="C14" s="347" t="s">
        <v>1359</v>
      </c>
      <c r="D14" s="347" t="s">
        <v>1352</v>
      </c>
      <c r="E14" s="348">
        <v>45323</v>
      </c>
      <c r="F14" s="349" t="s">
        <v>1353</v>
      </c>
      <c r="G14" s="341" t="s">
        <v>261</v>
      </c>
      <c r="H14" s="341" t="s">
        <v>1360</v>
      </c>
      <c r="I14" s="355">
        <v>0</v>
      </c>
      <c r="J14" s="355">
        <v>0</v>
      </c>
      <c r="K14" s="355">
        <v>0</v>
      </c>
      <c r="L14" s="355">
        <v>0</v>
      </c>
      <c r="M14" s="355">
        <v>0</v>
      </c>
      <c r="N14" s="355"/>
      <c r="O14" s="355"/>
      <c r="P14" s="355"/>
      <c r="Q14" s="355"/>
      <c r="R14" s="355"/>
      <c r="S14" s="355"/>
      <c r="T14" s="355"/>
      <c r="U14" s="517"/>
      <c r="V14" s="356"/>
    </row>
    <row r="15" spans="1:25">
      <c r="A15" s="347" t="s">
        <v>27</v>
      </c>
      <c r="B15" s="347" t="s">
        <v>1352</v>
      </c>
      <c r="C15" s="347" t="s">
        <v>1359</v>
      </c>
      <c r="D15" s="347" t="s">
        <v>1352</v>
      </c>
      <c r="E15" s="348">
        <v>45323</v>
      </c>
      <c r="F15" s="349" t="s">
        <v>1353</v>
      </c>
      <c r="G15" s="341" t="s">
        <v>261</v>
      </c>
      <c r="H15" s="341" t="s">
        <v>1357</v>
      </c>
      <c r="I15" s="355">
        <v>0.59499999999999997</v>
      </c>
      <c r="J15" s="355">
        <v>0.59499999999999997</v>
      </c>
      <c r="K15" s="355">
        <v>0.59499999999999997</v>
      </c>
      <c r="L15" s="355">
        <v>0.59499999999999997</v>
      </c>
      <c r="M15" s="355">
        <v>0.59499999999999997</v>
      </c>
      <c r="N15" s="355"/>
      <c r="O15" s="355"/>
      <c r="P15" s="355"/>
      <c r="Q15" s="355"/>
      <c r="R15" s="355"/>
      <c r="S15" s="355"/>
      <c r="T15" s="355"/>
      <c r="U15" s="517"/>
      <c r="V15" s="356"/>
    </row>
    <row r="16" spans="1:25">
      <c r="A16" s="360" t="s">
        <v>1361</v>
      </c>
      <c r="B16" s="342" t="s">
        <v>1352</v>
      </c>
      <c r="C16" s="342" t="s">
        <v>1359</v>
      </c>
      <c r="D16" s="342" t="s">
        <v>1351</v>
      </c>
      <c r="E16" s="342"/>
      <c r="F16" s="344" t="s">
        <v>1353</v>
      </c>
      <c r="G16" s="359" t="s">
        <v>1224</v>
      </c>
      <c r="H16" s="342" t="s">
        <v>1354</v>
      </c>
      <c r="I16" s="346">
        <v>7524</v>
      </c>
      <c r="J16" s="346">
        <v>17796</v>
      </c>
      <c r="K16" s="346">
        <v>26586</v>
      </c>
      <c r="L16" s="346">
        <v>37074</v>
      </c>
      <c r="M16" s="346">
        <v>41728</v>
      </c>
      <c r="N16" s="346"/>
      <c r="O16" s="346"/>
      <c r="P16" s="346"/>
      <c r="Q16" s="346"/>
      <c r="R16" s="346"/>
      <c r="S16" s="346"/>
      <c r="T16" s="346"/>
      <c r="U16" s="513">
        <f>SUM(I16:T16)</f>
        <v>130708</v>
      </c>
      <c r="V16" s="514"/>
      <c r="W16" s="514"/>
      <c r="X16" s="514"/>
      <c r="Y16" s="514"/>
    </row>
    <row r="17" spans="1:25">
      <c r="A17" s="361" t="s">
        <v>1361</v>
      </c>
      <c r="B17" s="347" t="s">
        <v>1352</v>
      </c>
      <c r="C17" s="347" t="s">
        <v>1359</v>
      </c>
      <c r="D17" s="347" t="s">
        <v>1351</v>
      </c>
      <c r="E17" s="347"/>
      <c r="F17" s="349" t="s">
        <v>1353</v>
      </c>
      <c r="G17" s="362" t="s">
        <v>1224</v>
      </c>
      <c r="H17" s="347" t="s">
        <v>1355</v>
      </c>
      <c r="I17" s="350">
        <v>6752.69</v>
      </c>
      <c r="J17" s="350">
        <v>15210.63</v>
      </c>
      <c r="K17" s="350">
        <v>21064.35</v>
      </c>
      <c r="L17" s="350">
        <v>28070.959999999999</v>
      </c>
      <c r="M17" s="350">
        <v>31704.400000000001</v>
      </c>
      <c r="N17" s="350"/>
      <c r="O17" s="350"/>
      <c r="P17" s="350"/>
      <c r="Q17" s="350"/>
      <c r="R17" s="350"/>
      <c r="S17" s="350"/>
      <c r="T17" s="350"/>
      <c r="U17" s="515">
        <f>SUM(I17:T17)</f>
        <v>102803.03</v>
      </c>
      <c r="V17" s="516">
        <f>U17/$Y$1</f>
        <v>20684.714285714286</v>
      </c>
    </row>
    <row r="18" spans="1:25">
      <c r="A18" s="361" t="s">
        <v>1361</v>
      </c>
      <c r="B18" s="347" t="s">
        <v>1352</v>
      </c>
      <c r="C18" s="347" t="s">
        <v>1359</v>
      </c>
      <c r="D18" s="347" t="s">
        <v>1351</v>
      </c>
      <c r="E18" s="347"/>
      <c r="F18" s="349" t="s">
        <v>1353</v>
      </c>
      <c r="G18" s="362" t="s">
        <v>1224</v>
      </c>
      <c r="H18" s="341" t="s">
        <v>1362</v>
      </c>
      <c r="I18" s="352">
        <v>6616</v>
      </c>
      <c r="J18" s="352">
        <v>13436</v>
      </c>
      <c r="K18" s="352">
        <v>15249</v>
      </c>
      <c r="L18" s="352">
        <v>17466</v>
      </c>
      <c r="M18" s="352">
        <v>19977</v>
      </c>
      <c r="N18" s="354"/>
      <c r="O18" s="354"/>
      <c r="P18" s="354"/>
      <c r="Q18" s="354"/>
      <c r="R18" s="354"/>
      <c r="S18" s="354"/>
      <c r="T18" s="354"/>
      <c r="U18" s="517"/>
      <c r="V18"/>
    </row>
    <row r="19" spans="1:25">
      <c r="A19" s="361" t="s">
        <v>1361</v>
      </c>
      <c r="B19" s="347" t="s">
        <v>1352</v>
      </c>
      <c r="C19" s="347" t="s">
        <v>1359</v>
      </c>
      <c r="D19" s="347" t="s">
        <v>1351</v>
      </c>
      <c r="E19" s="347"/>
      <c r="F19" s="349" t="s">
        <v>1353</v>
      </c>
      <c r="G19" s="362" t="s">
        <v>1224</v>
      </c>
      <c r="H19" s="341" t="s">
        <v>1357</v>
      </c>
      <c r="I19" s="355">
        <v>0.93900159999999999</v>
      </c>
      <c r="J19" s="355">
        <v>0.93900159999999999</v>
      </c>
      <c r="K19" s="355">
        <v>0.93900159999999999</v>
      </c>
      <c r="L19" s="355">
        <v>0.93920760000000003</v>
      </c>
      <c r="M19" s="355">
        <v>0.93920760000000003</v>
      </c>
      <c r="N19" s="355"/>
      <c r="O19" s="355"/>
      <c r="P19" s="355"/>
      <c r="Q19" s="355"/>
      <c r="R19" s="355"/>
      <c r="S19" s="355"/>
      <c r="T19" s="355"/>
      <c r="U19" s="517"/>
      <c r="V19"/>
    </row>
    <row r="20" spans="1:25">
      <c r="A20" s="361" t="s">
        <v>1361</v>
      </c>
      <c r="B20" s="347" t="s">
        <v>1352</v>
      </c>
      <c r="C20" s="347" t="s">
        <v>1359</v>
      </c>
      <c r="D20" s="347" t="s">
        <v>1351</v>
      </c>
      <c r="E20" s="347"/>
      <c r="F20" s="349" t="s">
        <v>1353</v>
      </c>
      <c r="G20" s="362" t="s">
        <v>1224</v>
      </c>
      <c r="H20" s="341" t="s">
        <v>1360</v>
      </c>
      <c r="I20" s="357">
        <v>908</v>
      </c>
      <c r="J20" s="357">
        <v>4360</v>
      </c>
      <c r="K20" s="357">
        <v>11337</v>
      </c>
      <c r="L20" s="357">
        <v>19608</v>
      </c>
      <c r="M20" s="357">
        <v>21751</v>
      </c>
      <c r="N20" s="353"/>
      <c r="O20" s="353"/>
      <c r="P20" s="353"/>
      <c r="Q20" s="353"/>
      <c r="R20" s="353"/>
      <c r="S20" s="353"/>
      <c r="T20" s="353"/>
      <c r="U20" s="517"/>
      <c r="V20"/>
    </row>
    <row r="21" spans="1:25">
      <c r="A21" s="361" t="s">
        <v>1361</v>
      </c>
      <c r="B21" s="347" t="s">
        <v>1352</v>
      </c>
      <c r="C21" s="347" t="s">
        <v>1359</v>
      </c>
      <c r="D21" s="347" t="s">
        <v>1351</v>
      </c>
      <c r="E21" s="347"/>
      <c r="F21" s="349" t="s">
        <v>1353</v>
      </c>
      <c r="G21" s="362" t="s">
        <v>1224</v>
      </c>
      <c r="H21" s="341" t="s">
        <v>1357</v>
      </c>
      <c r="I21" s="363">
        <v>0.59499999999999997</v>
      </c>
      <c r="J21" s="363">
        <v>0.59499999999999997</v>
      </c>
      <c r="K21" s="363">
        <v>0.59499999999999997</v>
      </c>
      <c r="L21" s="363">
        <v>0.59499999999999997</v>
      </c>
      <c r="M21" s="363">
        <v>0.59499999999999997</v>
      </c>
      <c r="N21" s="355"/>
      <c r="O21" s="355"/>
      <c r="P21" s="355"/>
      <c r="Q21" s="355"/>
      <c r="R21" s="355"/>
      <c r="S21" s="355"/>
      <c r="T21" s="355"/>
      <c r="U21" s="517"/>
      <c r="V21" s="356"/>
    </row>
    <row r="22" spans="1:25">
      <c r="A22" s="360" t="s">
        <v>1363</v>
      </c>
      <c r="B22" s="342" t="s">
        <v>1352</v>
      </c>
      <c r="C22" s="342" t="s">
        <v>1359</v>
      </c>
      <c r="D22" s="342" t="s">
        <v>1351</v>
      </c>
      <c r="E22" s="342"/>
      <c r="F22" s="344" t="s">
        <v>1353</v>
      </c>
      <c r="G22" s="364" t="s">
        <v>1220</v>
      </c>
      <c r="H22" s="342" t="s">
        <v>1354</v>
      </c>
      <c r="I22" s="346">
        <v>7145</v>
      </c>
      <c r="J22" s="346">
        <v>12432</v>
      </c>
      <c r="K22" s="346">
        <v>18858</v>
      </c>
      <c r="L22" s="346">
        <v>25278</v>
      </c>
      <c r="M22" s="346">
        <v>28164</v>
      </c>
      <c r="N22" s="346"/>
      <c r="O22" s="346"/>
      <c r="P22" s="346"/>
      <c r="Q22" s="346"/>
      <c r="R22" s="346"/>
      <c r="S22" s="346"/>
      <c r="T22" s="346"/>
      <c r="U22" s="513">
        <f>SUM(I22:T22)</f>
        <v>91877</v>
      </c>
      <c r="V22" s="514"/>
      <c r="W22" s="514"/>
      <c r="X22" s="514"/>
      <c r="Y22" s="514"/>
    </row>
    <row r="23" spans="1:25">
      <c r="A23" s="361" t="s">
        <v>1363</v>
      </c>
      <c r="B23" s="347" t="s">
        <v>1352</v>
      </c>
      <c r="C23" s="347" t="s">
        <v>1359</v>
      </c>
      <c r="D23" s="347" t="s">
        <v>1351</v>
      </c>
      <c r="E23" s="347"/>
      <c r="F23" s="349" t="s">
        <v>1353</v>
      </c>
      <c r="G23" s="365" t="s">
        <v>1220</v>
      </c>
      <c r="H23" s="341" t="s">
        <v>1355</v>
      </c>
      <c r="I23" s="350">
        <v>6685.43</v>
      </c>
      <c r="J23" s="350">
        <v>11600.4</v>
      </c>
      <c r="K23" s="350">
        <v>15980.8</v>
      </c>
      <c r="L23" s="350">
        <v>19889.61</v>
      </c>
      <c r="M23" s="350">
        <v>21913.119999999999</v>
      </c>
      <c r="N23" s="350"/>
      <c r="O23" s="350"/>
      <c r="P23" s="350"/>
      <c r="Q23" s="350"/>
      <c r="R23" s="350"/>
      <c r="S23" s="350"/>
      <c r="T23" s="350"/>
      <c r="U23" s="515">
        <f>SUM(I23:T23)</f>
        <v>76069.36</v>
      </c>
      <c r="V23" s="516">
        <f>U23/$Y$1</f>
        <v>15305.706237424549</v>
      </c>
    </row>
    <row r="24" spans="1:25">
      <c r="A24" s="361" t="s">
        <v>1363</v>
      </c>
      <c r="B24" s="347" t="s">
        <v>1352</v>
      </c>
      <c r="C24" s="347" t="s">
        <v>1359</v>
      </c>
      <c r="D24" s="347" t="s">
        <v>1351</v>
      </c>
      <c r="E24" s="347"/>
      <c r="F24" s="349" t="s">
        <v>1353</v>
      </c>
      <c r="G24" s="365" t="s">
        <v>1220</v>
      </c>
      <c r="H24" s="347" t="s">
        <v>1362</v>
      </c>
      <c r="I24" s="352">
        <v>7076</v>
      </c>
      <c r="J24" s="352">
        <v>12219</v>
      </c>
      <c r="K24" s="352">
        <v>13838</v>
      </c>
      <c r="L24" s="352">
        <v>14088</v>
      </c>
      <c r="M24" s="352">
        <v>14978</v>
      </c>
      <c r="N24" s="354"/>
      <c r="O24" s="354"/>
      <c r="P24" s="354"/>
      <c r="Q24" s="354"/>
      <c r="R24" s="354"/>
      <c r="S24" s="354"/>
      <c r="T24" s="354"/>
      <c r="U24" s="517"/>
      <c r="V24"/>
    </row>
    <row r="25" spans="1:25">
      <c r="A25" s="361" t="s">
        <v>1363</v>
      </c>
      <c r="B25" s="347" t="s">
        <v>1352</v>
      </c>
      <c r="C25" s="347" t="s">
        <v>1359</v>
      </c>
      <c r="D25" s="347" t="s">
        <v>1351</v>
      </c>
      <c r="E25" s="347"/>
      <c r="F25" s="349" t="s">
        <v>1353</v>
      </c>
      <c r="G25" s="365" t="s">
        <v>1220</v>
      </c>
      <c r="H25" s="341" t="s">
        <v>1357</v>
      </c>
      <c r="I25" s="355">
        <v>0.93900159999999999</v>
      </c>
      <c r="J25" s="355">
        <v>0.93900159999999999</v>
      </c>
      <c r="K25" s="355">
        <v>0.93900159999999999</v>
      </c>
      <c r="L25" s="355">
        <v>0.93920760000000003</v>
      </c>
      <c r="M25" s="355">
        <v>0.93920760000000003</v>
      </c>
      <c r="N25" s="355"/>
      <c r="O25" s="355"/>
      <c r="P25" s="355"/>
      <c r="Q25" s="355"/>
      <c r="R25" s="355"/>
      <c r="S25" s="355"/>
      <c r="T25" s="355"/>
      <c r="U25" s="519"/>
      <c r="V25"/>
    </row>
    <row r="26" spans="1:25">
      <c r="A26" s="361" t="s">
        <v>1363</v>
      </c>
      <c r="B26" s="347" t="s">
        <v>1352</v>
      </c>
      <c r="C26" s="347" t="s">
        <v>1359</v>
      </c>
      <c r="D26" s="347" t="s">
        <v>1351</v>
      </c>
      <c r="E26" s="347"/>
      <c r="F26" s="349" t="s">
        <v>1353</v>
      </c>
      <c r="G26" s="365" t="s">
        <v>1220</v>
      </c>
      <c r="H26" s="347" t="s">
        <v>1360</v>
      </c>
      <c r="I26" s="357">
        <v>69</v>
      </c>
      <c r="J26" s="357">
        <v>213</v>
      </c>
      <c r="K26" s="357">
        <v>5020</v>
      </c>
      <c r="L26" s="357">
        <v>11190</v>
      </c>
      <c r="M26" s="357">
        <v>13186</v>
      </c>
      <c r="N26" s="354"/>
      <c r="O26" s="354"/>
      <c r="P26" s="354"/>
      <c r="Q26" s="354"/>
      <c r="R26" s="354"/>
      <c r="S26" s="354"/>
      <c r="T26" s="354"/>
      <c r="U26" s="517"/>
      <c r="V26" s="356"/>
    </row>
    <row r="27" spans="1:25">
      <c r="A27" s="361" t="s">
        <v>1363</v>
      </c>
      <c r="B27" s="347" t="s">
        <v>1352</v>
      </c>
      <c r="C27" s="347" t="s">
        <v>1359</v>
      </c>
      <c r="D27" s="347" t="s">
        <v>1351</v>
      </c>
      <c r="E27" s="347"/>
      <c r="F27" s="349" t="s">
        <v>1353</v>
      </c>
      <c r="G27" s="365" t="s">
        <v>1220</v>
      </c>
      <c r="H27" s="347" t="s">
        <v>1357</v>
      </c>
      <c r="I27" s="363">
        <v>0.59499999999999997</v>
      </c>
      <c r="J27" s="363">
        <v>0.59499999999999997</v>
      </c>
      <c r="K27" s="363">
        <v>0.59499999999999997</v>
      </c>
      <c r="L27" s="363">
        <v>0.59499999999999997</v>
      </c>
      <c r="M27" s="363">
        <v>0.59499999999999997</v>
      </c>
      <c r="N27" s="355"/>
      <c r="O27" s="355"/>
      <c r="P27" s="355"/>
      <c r="Q27" s="355"/>
      <c r="R27" s="355"/>
      <c r="S27" s="355"/>
      <c r="T27" s="355"/>
      <c r="U27" s="517"/>
      <c r="V27" s="356"/>
    </row>
    <row r="28" spans="1:25">
      <c r="A28" s="360" t="s">
        <v>1364</v>
      </c>
      <c r="B28" s="342" t="s">
        <v>1352</v>
      </c>
      <c r="C28" s="342" t="s">
        <v>1365</v>
      </c>
      <c r="D28" s="342" t="s">
        <v>1351</v>
      </c>
      <c r="E28" s="342"/>
      <c r="F28" s="344" t="s">
        <v>1366</v>
      </c>
      <c r="G28" s="366">
        <v>51663737</v>
      </c>
      <c r="H28" s="342" t="s">
        <v>1354</v>
      </c>
      <c r="I28" s="346">
        <v>7130</v>
      </c>
      <c r="J28" s="346">
        <v>5067</v>
      </c>
      <c r="K28" s="346">
        <v>16135</v>
      </c>
      <c r="L28" s="346">
        <v>22071</v>
      </c>
      <c r="M28" s="346">
        <v>26277</v>
      </c>
      <c r="N28" s="346"/>
      <c r="O28" s="346"/>
      <c r="P28" s="346"/>
      <c r="Q28" s="346"/>
      <c r="R28" s="346"/>
      <c r="S28" s="346"/>
      <c r="T28" s="346"/>
      <c r="U28" s="513">
        <f>SUM(I28:T28)</f>
        <v>76680</v>
      </c>
      <c r="V28" s="514"/>
      <c r="W28" s="514"/>
      <c r="X28" s="514"/>
      <c r="Y28" s="514"/>
    </row>
    <row r="29" spans="1:25">
      <c r="A29" s="361" t="s">
        <v>1364</v>
      </c>
      <c r="B29" s="347" t="s">
        <v>1352</v>
      </c>
      <c r="C29" s="347" t="s">
        <v>1365</v>
      </c>
      <c r="D29" s="347" t="s">
        <v>1351</v>
      </c>
      <c r="E29" s="347"/>
      <c r="F29" s="349" t="s">
        <v>1366</v>
      </c>
      <c r="G29" s="367">
        <v>51663737</v>
      </c>
      <c r="H29" s="341" t="s">
        <v>1355</v>
      </c>
      <c r="I29" s="350">
        <v>6601.98</v>
      </c>
      <c r="J29" s="350">
        <v>4675.08</v>
      </c>
      <c r="K29" s="350">
        <v>11707.31</v>
      </c>
      <c r="L29" s="350">
        <v>14812.36</v>
      </c>
      <c r="M29" s="350">
        <v>17038.21</v>
      </c>
      <c r="N29" s="350"/>
      <c r="O29" s="350"/>
      <c r="P29" s="350"/>
      <c r="Q29" s="350"/>
      <c r="R29" s="350"/>
      <c r="S29" s="350"/>
      <c r="T29" s="350"/>
      <c r="U29" s="515">
        <f>SUM(I29:T29)</f>
        <v>54834.939999999995</v>
      </c>
      <c r="V29" s="516">
        <f>U29/$Y$1</f>
        <v>11033.187122736417</v>
      </c>
    </row>
    <row r="30" spans="1:25">
      <c r="A30" s="361" t="s">
        <v>1364</v>
      </c>
      <c r="B30" s="347" t="s">
        <v>1352</v>
      </c>
      <c r="C30" s="347" t="s">
        <v>1365</v>
      </c>
      <c r="D30" s="347" t="s">
        <v>1351</v>
      </c>
      <c r="E30" s="347"/>
      <c r="F30" s="349" t="s">
        <v>1366</v>
      </c>
      <c r="G30" s="367">
        <v>51663737</v>
      </c>
      <c r="H30" s="347" t="s">
        <v>1362</v>
      </c>
      <c r="I30" s="352">
        <v>6211</v>
      </c>
      <c r="J30" s="352">
        <v>4370</v>
      </c>
      <c r="K30" s="352">
        <v>5546</v>
      </c>
      <c r="L30" s="352">
        <v>4420</v>
      </c>
      <c r="M30" s="352">
        <v>3692</v>
      </c>
      <c r="N30" s="354"/>
      <c r="O30" s="354"/>
      <c r="P30" s="354"/>
      <c r="Q30" s="354"/>
      <c r="R30" s="354"/>
      <c r="S30" s="354"/>
      <c r="T30" s="354"/>
      <c r="U30" s="517"/>
      <c r="V30"/>
    </row>
    <row r="31" spans="1:25">
      <c r="A31" s="361" t="s">
        <v>1364</v>
      </c>
      <c r="B31" s="347" t="s">
        <v>1352</v>
      </c>
      <c r="C31" s="347" t="s">
        <v>1365</v>
      </c>
      <c r="D31" s="347" t="s">
        <v>1351</v>
      </c>
      <c r="E31" s="347"/>
      <c r="F31" s="349" t="s">
        <v>1366</v>
      </c>
      <c r="G31" s="367">
        <v>51663737</v>
      </c>
      <c r="H31" s="341" t="s">
        <v>1357</v>
      </c>
      <c r="I31" s="355">
        <v>0.97491159999999999</v>
      </c>
      <c r="J31" s="355">
        <v>0.97491159999999999</v>
      </c>
      <c r="K31" s="355">
        <v>0.97491159999999999</v>
      </c>
      <c r="L31" s="355">
        <v>0.97511760000000003</v>
      </c>
      <c r="M31" s="355">
        <v>0.97511760000000003</v>
      </c>
      <c r="N31" s="355"/>
      <c r="O31" s="355"/>
      <c r="P31" s="355"/>
      <c r="Q31" s="355"/>
      <c r="R31" s="355"/>
      <c r="S31" s="355"/>
      <c r="T31" s="355"/>
      <c r="U31" s="517"/>
      <c r="V31"/>
    </row>
    <row r="32" spans="1:25">
      <c r="A32" s="361" t="s">
        <v>1364</v>
      </c>
      <c r="B32" s="347" t="s">
        <v>1352</v>
      </c>
      <c r="C32" s="347" t="s">
        <v>1365</v>
      </c>
      <c r="D32" s="347" t="s">
        <v>1351</v>
      </c>
      <c r="E32" s="347"/>
      <c r="F32" s="349" t="s">
        <v>1366</v>
      </c>
      <c r="G32" s="367">
        <v>51663737</v>
      </c>
      <c r="H32" s="347" t="s">
        <v>1360</v>
      </c>
      <c r="I32" s="363">
        <v>919</v>
      </c>
      <c r="J32" s="363">
        <v>697</v>
      </c>
      <c r="K32" s="363">
        <v>10589</v>
      </c>
      <c r="L32" s="363">
        <v>17651</v>
      </c>
      <c r="M32" s="363">
        <v>22585</v>
      </c>
      <c r="N32" s="353"/>
      <c r="O32" s="353"/>
      <c r="P32" s="353"/>
      <c r="Q32" s="353"/>
      <c r="R32" s="353"/>
      <c r="S32" s="353"/>
      <c r="T32" s="353"/>
      <c r="U32" s="519"/>
      <c r="V32"/>
    </row>
    <row r="33" spans="1:25">
      <c r="A33" s="361" t="s">
        <v>1364</v>
      </c>
      <c r="B33" s="347" t="s">
        <v>1352</v>
      </c>
      <c r="C33" s="347" t="s">
        <v>1365</v>
      </c>
      <c r="D33" s="347" t="s">
        <v>1351</v>
      </c>
      <c r="E33" s="347"/>
      <c r="F33" s="349" t="s">
        <v>1366</v>
      </c>
      <c r="G33" s="367">
        <v>51663737</v>
      </c>
      <c r="H33" s="347" t="s">
        <v>1357</v>
      </c>
      <c r="I33" s="363">
        <v>0.59499999999999997</v>
      </c>
      <c r="J33" s="363">
        <v>0.59499999999999997</v>
      </c>
      <c r="K33" s="363">
        <v>0.59499999999999997</v>
      </c>
      <c r="L33" s="363">
        <v>0.59499999999999997</v>
      </c>
      <c r="M33" s="363">
        <v>0.59499999999999997</v>
      </c>
      <c r="N33" s="355"/>
      <c r="O33" s="355"/>
      <c r="P33" s="355"/>
      <c r="Q33" s="355"/>
      <c r="R33" s="355"/>
      <c r="S33" s="355"/>
      <c r="T33" s="355"/>
      <c r="U33" s="517"/>
      <c r="V33" s="356"/>
    </row>
    <row r="34" spans="1:25">
      <c r="A34" s="360" t="s">
        <v>1367</v>
      </c>
      <c r="B34" s="342" t="s">
        <v>1352</v>
      </c>
      <c r="C34" s="342" t="s">
        <v>1359</v>
      </c>
      <c r="D34" s="342" t="s">
        <v>1351</v>
      </c>
      <c r="E34" s="342"/>
      <c r="F34" s="344" t="s">
        <v>1353</v>
      </c>
      <c r="G34" s="368" t="s">
        <v>1222</v>
      </c>
      <c r="H34" s="342" t="s">
        <v>1354</v>
      </c>
      <c r="I34" s="346">
        <v>7278</v>
      </c>
      <c r="J34" s="346">
        <v>11456</v>
      </c>
      <c r="K34" s="346">
        <v>20375</v>
      </c>
      <c r="L34" s="346">
        <v>29288</v>
      </c>
      <c r="M34" s="346">
        <v>31304</v>
      </c>
      <c r="N34" s="346"/>
      <c r="O34" s="346"/>
      <c r="P34" s="346"/>
      <c r="Q34" s="346"/>
      <c r="R34" s="346"/>
      <c r="S34" s="346"/>
      <c r="T34" s="346"/>
      <c r="U34" s="513">
        <f>SUM(I34:T34)</f>
        <v>99701</v>
      </c>
      <c r="V34" s="514"/>
      <c r="W34" s="514"/>
      <c r="X34" s="514"/>
      <c r="Y34" s="514"/>
    </row>
    <row r="35" spans="1:25">
      <c r="A35" s="361" t="s">
        <v>1367</v>
      </c>
      <c r="B35" s="347" t="s">
        <v>1352</v>
      </c>
      <c r="C35" s="347" t="s">
        <v>1359</v>
      </c>
      <c r="D35" s="347" t="s">
        <v>1351</v>
      </c>
      <c r="E35" s="347"/>
      <c r="F35" s="349" t="s">
        <v>1353</v>
      </c>
      <c r="G35" s="369" t="s">
        <v>1222</v>
      </c>
      <c r="H35" s="341" t="s">
        <v>1355</v>
      </c>
      <c r="I35" s="350">
        <v>6351.42</v>
      </c>
      <c r="J35" s="350">
        <v>9684.9500000000007</v>
      </c>
      <c r="K35" s="350">
        <v>15588.25</v>
      </c>
      <c r="L35" s="350">
        <v>21006.46</v>
      </c>
      <c r="M35" s="350">
        <v>22412.16</v>
      </c>
      <c r="N35" s="350"/>
      <c r="O35" s="350"/>
      <c r="P35" s="350"/>
      <c r="Q35" s="350"/>
      <c r="R35" s="350"/>
      <c r="S35" s="350"/>
      <c r="T35" s="350"/>
      <c r="U35" s="515">
        <f>SUM(I35:T35)</f>
        <v>75043.240000000005</v>
      </c>
      <c r="V35" s="516">
        <f>U35/$Y$1</f>
        <v>15099.24346076459</v>
      </c>
    </row>
    <row r="36" spans="1:25">
      <c r="A36" s="361" t="s">
        <v>1367</v>
      </c>
      <c r="B36" s="347" t="s">
        <v>1352</v>
      </c>
      <c r="C36" s="347" t="s">
        <v>1359</v>
      </c>
      <c r="D36" s="347" t="s">
        <v>1351</v>
      </c>
      <c r="E36" s="347"/>
      <c r="F36" s="349" t="s">
        <v>1353</v>
      </c>
      <c r="G36" s="369" t="s">
        <v>1222</v>
      </c>
      <c r="H36" s="347" t="s">
        <v>1362</v>
      </c>
      <c r="I36" s="354">
        <v>5875</v>
      </c>
      <c r="J36" s="354">
        <v>8339</v>
      </c>
      <c r="K36" s="354">
        <v>10073</v>
      </c>
      <c r="L36" s="354">
        <v>10401</v>
      </c>
      <c r="M36" s="354">
        <v>11000</v>
      </c>
      <c r="N36" s="354"/>
      <c r="O36" s="354"/>
      <c r="P36" s="354"/>
      <c r="Q36" s="354"/>
      <c r="R36" s="354"/>
      <c r="S36" s="354"/>
      <c r="T36" s="354"/>
      <c r="U36" s="517"/>
      <c r="V36"/>
    </row>
    <row r="37" spans="1:25">
      <c r="A37" s="361" t="s">
        <v>1367</v>
      </c>
      <c r="B37" s="347" t="s">
        <v>1352</v>
      </c>
      <c r="C37" s="347" t="s">
        <v>1359</v>
      </c>
      <c r="D37" s="347" t="s">
        <v>1351</v>
      </c>
      <c r="E37" s="347"/>
      <c r="F37" s="349" t="s">
        <v>1353</v>
      </c>
      <c r="G37" s="369" t="s">
        <v>1222</v>
      </c>
      <c r="H37" s="341" t="s">
        <v>1357</v>
      </c>
      <c r="I37" s="355">
        <v>0.93900159999999999</v>
      </c>
      <c r="J37" s="355">
        <v>0.93900159999999999</v>
      </c>
      <c r="K37" s="355">
        <v>0.93900159999999999</v>
      </c>
      <c r="L37" s="355">
        <v>0.93920760000000003</v>
      </c>
      <c r="M37" s="355">
        <v>0.93920760000000003</v>
      </c>
      <c r="N37" s="355"/>
      <c r="O37" s="355"/>
      <c r="P37" s="355"/>
      <c r="Q37" s="355"/>
      <c r="R37" s="355"/>
      <c r="S37" s="355"/>
      <c r="T37" s="355"/>
      <c r="U37" s="517"/>
      <c r="V37"/>
    </row>
    <row r="38" spans="1:25">
      <c r="A38" s="361" t="s">
        <v>1367</v>
      </c>
      <c r="B38" s="347" t="s">
        <v>1352</v>
      </c>
      <c r="C38" s="347" t="s">
        <v>1359</v>
      </c>
      <c r="D38" s="347" t="s">
        <v>1351</v>
      </c>
      <c r="E38" s="347"/>
      <c r="F38" s="349" t="s">
        <v>1353</v>
      </c>
      <c r="G38" s="369" t="s">
        <v>1222</v>
      </c>
      <c r="H38" s="347" t="s">
        <v>1360</v>
      </c>
      <c r="I38" s="357">
        <v>1403</v>
      </c>
      <c r="J38" s="357">
        <v>3117</v>
      </c>
      <c r="K38" s="357">
        <v>10302</v>
      </c>
      <c r="L38" s="357">
        <v>18887</v>
      </c>
      <c r="M38" s="357">
        <v>20304</v>
      </c>
      <c r="N38" s="353"/>
      <c r="O38" s="353"/>
      <c r="P38" s="353"/>
      <c r="Q38" s="353"/>
      <c r="R38" s="353"/>
      <c r="S38" s="353"/>
      <c r="T38" s="353"/>
      <c r="U38" s="519"/>
      <c r="V38"/>
    </row>
    <row r="39" spans="1:25">
      <c r="A39" s="361" t="s">
        <v>1367</v>
      </c>
      <c r="B39" s="347" t="s">
        <v>1352</v>
      </c>
      <c r="C39" s="347" t="s">
        <v>1359</v>
      </c>
      <c r="D39" s="347" t="s">
        <v>1351</v>
      </c>
      <c r="E39" s="347"/>
      <c r="F39" s="349" t="s">
        <v>1353</v>
      </c>
      <c r="G39" s="369" t="s">
        <v>1222</v>
      </c>
      <c r="H39" s="347" t="s">
        <v>1357</v>
      </c>
      <c r="I39" s="546">
        <v>0.59499999999999997</v>
      </c>
      <c r="J39" s="546">
        <v>0.59499999999999997</v>
      </c>
      <c r="K39" s="546">
        <v>0.59499999999999997</v>
      </c>
      <c r="L39" s="546">
        <v>0.59499999999999997</v>
      </c>
      <c r="M39" s="546">
        <v>0.59499999999999997</v>
      </c>
      <c r="N39" s="355"/>
      <c r="O39" s="355"/>
      <c r="P39" s="355"/>
      <c r="Q39" s="355"/>
      <c r="R39" s="355"/>
      <c r="S39" s="355"/>
      <c r="T39" s="355"/>
      <c r="U39" s="517"/>
      <c r="V39" s="356"/>
    </row>
    <row r="40" spans="1:25">
      <c r="A40" s="360" t="s">
        <v>1368</v>
      </c>
      <c r="B40" s="342" t="s">
        <v>1352</v>
      </c>
      <c r="C40" s="342" t="s">
        <v>1359</v>
      </c>
      <c r="D40" s="342" t="s">
        <v>1351</v>
      </c>
      <c r="E40" s="342"/>
      <c r="F40" s="344" t="s">
        <v>1353</v>
      </c>
      <c r="G40" s="368" t="s">
        <v>1239</v>
      </c>
      <c r="H40" s="342" t="s">
        <v>1354</v>
      </c>
      <c r="I40" s="346">
        <v>5460</v>
      </c>
      <c r="J40" s="346">
        <v>5518</v>
      </c>
      <c r="K40" s="346">
        <v>12007</v>
      </c>
      <c r="L40" s="346">
        <v>14281</v>
      </c>
      <c r="M40" s="346">
        <v>15997</v>
      </c>
      <c r="N40" s="346"/>
      <c r="O40" s="346"/>
      <c r="P40" s="346"/>
      <c r="Q40" s="346"/>
      <c r="R40" s="346"/>
      <c r="S40" s="346"/>
      <c r="T40" s="346"/>
      <c r="U40" s="513">
        <f>SUM(I40:T40)</f>
        <v>53263</v>
      </c>
      <c r="V40" s="514"/>
      <c r="W40" s="514"/>
      <c r="X40" s="514"/>
      <c r="Y40" s="514"/>
    </row>
    <row r="41" spans="1:25">
      <c r="A41" s="361" t="s">
        <v>1368</v>
      </c>
      <c r="B41" s="347" t="s">
        <v>1352</v>
      </c>
      <c r="C41" s="347" t="s">
        <v>1359</v>
      </c>
      <c r="D41" s="347" t="s">
        <v>1351</v>
      </c>
      <c r="E41" s="347"/>
      <c r="F41" s="349" t="s">
        <v>1353</v>
      </c>
      <c r="G41" s="369" t="s">
        <v>1239</v>
      </c>
      <c r="H41" s="341" t="s">
        <v>1355</v>
      </c>
      <c r="I41" s="350">
        <v>5076.72</v>
      </c>
      <c r="J41" s="350">
        <v>5181.41</v>
      </c>
      <c r="K41" s="350">
        <v>11226.78</v>
      </c>
      <c r="L41" s="350">
        <v>13209.4</v>
      </c>
      <c r="M41" s="350">
        <v>14797.67</v>
      </c>
      <c r="N41" s="350"/>
      <c r="O41" s="350"/>
      <c r="P41" s="350"/>
      <c r="Q41" s="350"/>
      <c r="R41" s="350"/>
      <c r="S41" s="350"/>
      <c r="T41" s="350"/>
      <c r="U41" s="515">
        <f>SUM(I41:T41)</f>
        <v>49491.98</v>
      </c>
      <c r="V41" s="516">
        <f>U41/$Y$1</f>
        <v>9958.1448692152935</v>
      </c>
    </row>
    <row r="42" spans="1:25">
      <c r="A42" s="361" t="s">
        <v>1368</v>
      </c>
      <c r="B42" s="347" t="s">
        <v>1352</v>
      </c>
      <c r="C42" s="347" t="s">
        <v>1359</v>
      </c>
      <c r="D42" s="347" t="s">
        <v>1351</v>
      </c>
      <c r="E42" s="347"/>
      <c r="F42" s="349" t="s">
        <v>1353</v>
      </c>
      <c r="G42" s="369" t="s">
        <v>1239</v>
      </c>
      <c r="H42" s="347" t="s">
        <v>1362</v>
      </c>
      <c r="I42" s="354">
        <v>5314</v>
      </c>
      <c r="J42" s="354">
        <v>5518</v>
      </c>
      <c r="K42" s="354">
        <v>11868</v>
      </c>
      <c r="L42" s="354">
        <v>13690</v>
      </c>
      <c r="M42" s="354">
        <v>15338</v>
      </c>
      <c r="N42" s="354"/>
      <c r="O42" s="354"/>
      <c r="P42" s="354"/>
      <c r="Q42" s="354"/>
      <c r="R42" s="354"/>
      <c r="S42" s="354"/>
      <c r="T42" s="354"/>
      <c r="U42" s="517"/>
      <c r="V42"/>
    </row>
    <row r="43" spans="1:25">
      <c r="A43" s="361" t="s">
        <v>1368</v>
      </c>
      <c r="B43" s="347" t="s">
        <v>1352</v>
      </c>
      <c r="C43" s="347" t="s">
        <v>1359</v>
      </c>
      <c r="D43" s="347" t="s">
        <v>1351</v>
      </c>
      <c r="E43" s="347"/>
      <c r="F43" s="349" t="s">
        <v>1353</v>
      </c>
      <c r="G43" s="369" t="s">
        <v>1239</v>
      </c>
      <c r="H43" s="341" t="s">
        <v>1357</v>
      </c>
      <c r="I43" s="355">
        <v>0.93900159999999999</v>
      </c>
      <c r="J43" s="355">
        <v>0.93900159999999999</v>
      </c>
      <c r="K43" s="355">
        <v>0.93900159999999999</v>
      </c>
      <c r="L43" s="355">
        <v>0.93920760000000003</v>
      </c>
      <c r="M43" s="355">
        <v>0.93920760000000003</v>
      </c>
      <c r="N43" s="355"/>
      <c r="O43" s="355"/>
      <c r="P43" s="355"/>
      <c r="Q43" s="355"/>
      <c r="R43" s="355"/>
      <c r="S43" s="355"/>
      <c r="T43" s="355"/>
      <c r="U43" s="517"/>
      <c r="V43"/>
    </row>
    <row r="44" spans="1:25">
      <c r="A44" s="361" t="s">
        <v>1368</v>
      </c>
      <c r="B44" s="347" t="s">
        <v>1352</v>
      </c>
      <c r="C44" s="347" t="s">
        <v>1359</v>
      </c>
      <c r="D44" s="347" t="s">
        <v>1351</v>
      </c>
      <c r="E44" s="347"/>
      <c r="F44" s="349" t="s">
        <v>1353</v>
      </c>
      <c r="G44" s="369" t="s">
        <v>1239</v>
      </c>
      <c r="H44" s="347" t="s">
        <v>1360</v>
      </c>
      <c r="I44" s="357">
        <v>146</v>
      </c>
      <c r="J44" s="357">
        <v>0</v>
      </c>
      <c r="K44" s="357">
        <v>139</v>
      </c>
      <c r="L44" s="357">
        <v>591</v>
      </c>
      <c r="M44" s="357">
        <v>659</v>
      </c>
      <c r="N44" s="353"/>
      <c r="O44" s="353"/>
      <c r="P44" s="353"/>
      <c r="Q44" s="353"/>
      <c r="R44" s="353"/>
      <c r="S44" s="353"/>
      <c r="T44" s="353"/>
      <c r="U44" s="519"/>
      <c r="V44"/>
    </row>
    <row r="45" spans="1:25">
      <c r="A45" s="361" t="s">
        <v>1368</v>
      </c>
      <c r="B45" s="347" t="s">
        <v>1352</v>
      </c>
      <c r="C45" s="347" t="s">
        <v>1359</v>
      </c>
      <c r="D45" s="347" t="s">
        <v>1351</v>
      </c>
      <c r="E45" s="347"/>
      <c r="F45" s="349" t="s">
        <v>1353</v>
      </c>
      <c r="G45" s="369" t="s">
        <v>1239</v>
      </c>
      <c r="H45" s="347" t="s">
        <v>1357</v>
      </c>
      <c r="I45" s="546">
        <v>0.59499999999999997</v>
      </c>
      <c r="J45" s="546">
        <v>0.59499999999999997</v>
      </c>
      <c r="K45" s="546">
        <v>0.59499999999999997</v>
      </c>
      <c r="L45" s="546">
        <v>0.59499999999999997</v>
      </c>
      <c r="M45" s="546">
        <v>0.59499999999999997</v>
      </c>
      <c r="N45" s="355"/>
      <c r="O45" s="355"/>
      <c r="P45" s="355"/>
      <c r="Q45" s="355"/>
      <c r="R45" s="355"/>
      <c r="S45" s="355"/>
      <c r="T45" s="355"/>
      <c r="U45" s="517"/>
      <c r="V45" s="356"/>
    </row>
    <row r="46" spans="1:25">
      <c r="A46" s="342" t="s">
        <v>63</v>
      </c>
      <c r="B46" s="342" t="s">
        <v>1351</v>
      </c>
      <c r="C46" s="342" t="s">
        <v>1351</v>
      </c>
      <c r="D46" s="342" t="s">
        <v>1352</v>
      </c>
      <c r="E46" s="343">
        <v>45323</v>
      </c>
      <c r="F46" s="344" t="s">
        <v>1369</v>
      </c>
      <c r="G46" s="368" t="s">
        <v>309</v>
      </c>
      <c r="H46" s="342" t="s">
        <v>1354</v>
      </c>
      <c r="I46" s="346">
        <v>4088</v>
      </c>
      <c r="J46" s="346">
        <v>2492</v>
      </c>
      <c r="K46" s="346">
        <v>9693</v>
      </c>
      <c r="L46" s="346">
        <v>12244</v>
      </c>
      <c r="M46" s="346">
        <v>13904</v>
      </c>
      <c r="N46" s="346"/>
      <c r="O46" s="346"/>
      <c r="P46" s="346"/>
      <c r="Q46" s="346"/>
      <c r="R46" s="346"/>
      <c r="S46" s="346"/>
      <c r="T46" s="346"/>
      <c r="U46" s="513">
        <f>SUM(I46:T46)</f>
        <v>42421</v>
      </c>
      <c r="V46" s="514"/>
      <c r="W46" s="514"/>
      <c r="X46" s="514"/>
      <c r="Y46" s="514"/>
    </row>
    <row r="47" spans="1:25">
      <c r="A47" s="347" t="s">
        <v>63</v>
      </c>
      <c r="B47" s="347" t="s">
        <v>1351</v>
      </c>
      <c r="C47" s="347" t="s">
        <v>1351</v>
      </c>
      <c r="D47" s="347" t="s">
        <v>1352</v>
      </c>
      <c r="E47" s="348">
        <v>45323</v>
      </c>
      <c r="F47" s="349" t="s">
        <v>1369</v>
      </c>
      <c r="G47" s="369" t="s">
        <v>309</v>
      </c>
      <c r="H47" s="347" t="s">
        <v>1355</v>
      </c>
      <c r="I47" s="350">
        <v>3681.05</v>
      </c>
      <c r="J47" s="350">
        <v>2243.9299999999998</v>
      </c>
      <c r="K47" s="350">
        <v>8728.08</v>
      </c>
      <c r="L47" s="350">
        <v>11027.65</v>
      </c>
      <c r="M47" s="350">
        <v>12522.74</v>
      </c>
      <c r="N47" s="350"/>
      <c r="O47" s="350"/>
      <c r="P47" s="350"/>
      <c r="Q47" s="350"/>
      <c r="R47" s="350"/>
      <c r="S47" s="350"/>
      <c r="T47" s="350"/>
      <c r="U47" s="515">
        <f>SUM(I47:T47)</f>
        <v>38203.449999999997</v>
      </c>
      <c r="V47" s="516">
        <f>U47/$Y$1</f>
        <v>7686.8108651911471</v>
      </c>
    </row>
    <row r="48" spans="1:25">
      <c r="A48" s="347" t="s">
        <v>63</v>
      </c>
      <c r="B48" s="347" t="s">
        <v>1351</v>
      </c>
      <c r="C48" s="347" t="s">
        <v>1351</v>
      </c>
      <c r="D48" s="347" t="s">
        <v>1352</v>
      </c>
      <c r="E48" s="348">
        <v>45323</v>
      </c>
      <c r="F48" s="349" t="s">
        <v>1369</v>
      </c>
      <c r="G48" s="369" t="s">
        <v>309</v>
      </c>
      <c r="H48" s="341" t="s">
        <v>1356</v>
      </c>
      <c r="I48" s="352">
        <v>4088</v>
      </c>
      <c r="J48" s="352">
        <v>2492</v>
      </c>
      <c r="K48" s="352">
        <v>9693</v>
      </c>
      <c r="L48" s="352">
        <v>12244</v>
      </c>
      <c r="M48" s="352">
        <v>13904</v>
      </c>
      <c r="N48" s="354"/>
      <c r="O48" s="354"/>
      <c r="P48" s="354"/>
      <c r="Q48" s="354"/>
      <c r="R48" s="354"/>
      <c r="S48" s="354"/>
      <c r="T48" s="354"/>
      <c r="U48" s="517"/>
      <c r="V48" s="356"/>
    </row>
    <row r="49" spans="1:25">
      <c r="A49" s="347" t="s">
        <v>63</v>
      </c>
      <c r="B49" s="347" t="s">
        <v>1351</v>
      </c>
      <c r="C49" s="347" t="s">
        <v>1351</v>
      </c>
      <c r="D49" s="347" t="s">
        <v>1352</v>
      </c>
      <c r="E49" s="348">
        <v>45323</v>
      </c>
      <c r="F49" s="349" t="s">
        <v>1369</v>
      </c>
      <c r="G49" s="369" t="s">
        <v>309</v>
      </c>
      <c r="H49" s="341" t="s">
        <v>1357</v>
      </c>
      <c r="I49" s="355">
        <v>0.90045160000000002</v>
      </c>
      <c r="J49" s="355">
        <v>0.90045160000000002</v>
      </c>
      <c r="K49" s="355">
        <v>0.90045160000000002</v>
      </c>
      <c r="L49" s="355">
        <v>0.90065760000000006</v>
      </c>
      <c r="M49" s="355">
        <v>0.90065760000000006</v>
      </c>
      <c r="N49" s="355"/>
      <c r="O49" s="355"/>
      <c r="P49" s="355"/>
      <c r="Q49" s="355"/>
      <c r="R49" s="355"/>
      <c r="S49" s="355"/>
      <c r="T49" s="355"/>
      <c r="U49" s="517"/>
      <c r="V49"/>
    </row>
    <row r="50" spans="1:25">
      <c r="A50" s="347" t="s">
        <v>63</v>
      </c>
      <c r="B50" s="347" t="s">
        <v>1351</v>
      </c>
      <c r="C50" s="347" t="s">
        <v>1351</v>
      </c>
      <c r="D50" s="347" t="s">
        <v>1352</v>
      </c>
      <c r="E50" s="348">
        <v>45323</v>
      </c>
      <c r="F50" s="349" t="s">
        <v>1369</v>
      </c>
      <c r="G50" s="369" t="s">
        <v>309</v>
      </c>
      <c r="H50" s="341" t="s">
        <v>1358</v>
      </c>
      <c r="I50" s="357">
        <v>0</v>
      </c>
      <c r="J50" s="357">
        <v>0</v>
      </c>
      <c r="K50" s="357">
        <v>0</v>
      </c>
      <c r="L50" s="357">
        <v>0</v>
      </c>
      <c r="M50" s="357">
        <v>0</v>
      </c>
      <c r="N50" s="351"/>
      <c r="O50" s="351"/>
      <c r="P50" s="351"/>
      <c r="Q50" s="351"/>
      <c r="R50" s="351"/>
      <c r="S50" s="351"/>
      <c r="T50" s="351"/>
      <c r="U50" s="519"/>
      <c r="V50"/>
    </row>
    <row r="51" spans="1:25">
      <c r="A51" s="347" t="s">
        <v>63</v>
      </c>
      <c r="B51" s="347" t="s">
        <v>1351</v>
      </c>
      <c r="C51" s="347" t="s">
        <v>1351</v>
      </c>
      <c r="D51" s="347" t="s">
        <v>1352</v>
      </c>
      <c r="E51" s="348">
        <v>45323</v>
      </c>
      <c r="F51" s="349" t="s">
        <v>1369</v>
      </c>
      <c r="G51" s="369" t="s">
        <v>309</v>
      </c>
      <c r="H51" s="341" t="s">
        <v>1357</v>
      </c>
      <c r="I51" s="355">
        <v>0.80505159999999998</v>
      </c>
      <c r="J51" s="355">
        <v>0.80505159999999998</v>
      </c>
      <c r="K51" s="355">
        <v>0.80505159999999998</v>
      </c>
      <c r="L51" s="355">
        <v>0.80525760000000002</v>
      </c>
      <c r="M51" s="355">
        <v>0.80525760000000002</v>
      </c>
      <c r="N51" s="355"/>
      <c r="O51" s="355"/>
      <c r="P51" s="355"/>
      <c r="Q51" s="355"/>
      <c r="R51" s="355"/>
      <c r="S51" s="355"/>
      <c r="T51" s="355"/>
      <c r="U51" s="517"/>
      <c r="V51" s="356"/>
    </row>
    <row r="52" spans="1:25">
      <c r="A52" s="342" t="s">
        <v>60</v>
      </c>
      <c r="B52" s="342" t="s">
        <v>1351</v>
      </c>
      <c r="C52" s="342" t="s">
        <v>1351</v>
      </c>
      <c r="D52" s="342" t="s">
        <v>1352</v>
      </c>
      <c r="E52" s="343">
        <v>45323</v>
      </c>
      <c r="F52" s="344" t="s">
        <v>1369</v>
      </c>
      <c r="G52" s="368" t="s">
        <v>250</v>
      </c>
      <c r="H52" s="342" t="s">
        <v>1354</v>
      </c>
      <c r="I52" s="346">
        <v>22979</v>
      </c>
      <c r="J52" s="346">
        <v>11299</v>
      </c>
      <c r="K52" s="346">
        <v>44807</v>
      </c>
      <c r="L52" s="346">
        <v>56688</v>
      </c>
      <c r="M52" s="346">
        <v>64628</v>
      </c>
      <c r="N52" s="346"/>
      <c r="O52" s="346"/>
      <c r="P52" s="346"/>
      <c r="Q52" s="346"/>
      <c r="R52" s="346"/>
      <c r="S52" s="346"/>
      <c r="T52" s="346"/>
      <c r="U52" s="513">
        <f>SUM(I52:T52)</f>
        <v>200401</v>
      </c>
      <c r="V52" s="514"/>
      <c r="W52" s="514"/>
      <c r="X52" s="514"/>
      <c r="Y52" s="514"/>
    </row>
    <row r="53" spans="1:25">
      <c r="A53" s="347" t="s">
        <v>60</v>
      </c>
      <c r="B53" s="347" t="s">
        <v>1351</v>
      </c>
      <c r="C53" s="347" t="s">
        <v>1351</v>
      </c>
      <c r="D53" s="347" t="s">
        <v>1352</v>
      </c>
      <c r="E53" s="348">
        <v>45323</v>
      </c>
      <c r="F53" s="349" t="s">
        <v>1369</v>
      </c>
      <c r="G53" s="369" t="s">
        <v>250</v>
      </c>
      <c r="H53" s="347" t="s">
        <v>1355</v>
      </c>
      <c r="I53" s="350">
        <v>20691.48</v>
      </c>
      <c r="J53" s="350">
        <v>10174.200000000001</v>
      </c>
      <c r="K53" s="350">
        <v>40346.53</v>
      </c>
      <c r="L53" s="350">
        <v>51056.480000000003</v>
      </c>
      <c r="M53" s="350">
        <v>58207.7</v>
      </c>
      <c r="N53" s="350"/>
      <c r="O53" s="350"/>
      <c r="P53" s="350"/>
      <c r="Q53" s="350"/>
      <c r="R53" s="350"/>
      <c r="S53" s="350"/>
      <c r="T53" s="350"/>
      <c r="U53" s="515">
        <f>SUM(I53:T53)</f>
        <v>180476.39</v>
      </c>
      <c r="V53" s="516">
        <f>U53/$Y$1</f>
        <v>36313.156941649904</v>
      </c>
    </row>
    <row r="54" spans="1:25">
      <c r="A54" s="347" t="s">
        <v>60</v>
      </c>
      <c r="B54" s="347" t="s">
        <v>1351</v>
      </c>
      <c r="C54" s="347" t="s">
        <v>1351</v>
      </c>
      <c r="D54" s="347" t="s">
        <v>1352</v>
      </c>
      <c r="E54" s="348">
        <v>45323</v>
      </c>
      <c r="F54" s="349" t="s">
        <v>1369</v>
      </c>
      <c r="G54" s="369" t="s">
        <v>250</v>
      </c>
      <c r="H54" s="341" t="s">
        <v>1356</v>
      </c>
      <c r="I54" s="352">
        <v>22979</v>
      </c>
      <c r="J54" s="352">
        <v>11299</v>
      </c>
      <c r="K54" s="352">
        <v>44807</v>
      </c>
      <c r="L54" s="352">
        <v>56688</v>
      </c>
      <c r="M54" s="352">
        <v>64628</v>
      </c>
      <c r="N54" s="354"/>
      <c r="O54" s="354"/>
      <c r="P54" s="354"/>
      <c r="Q54" s="354"/>
      <c r="R54" s="354"/>
      <c r="S54" s="354"/>
      <c r="T54" s="354"/>
      <c r="U54" s="517"/>
      <c r="V54" s="356"/>
    </row>
    <row r="55" spans="1:25">
      <c r="A55" s="347" t="s">
        <v>60</v>
      </c>
      <c r="B55" s="347" t="s">
        <v>1351</v>
      </c>
      <c r="C55" s="347" t="s">
        <v>1351</v>
      </c>
      <c r="D55" s="347" t="s">
        <v>1352</v>
      </c>
      <c r="E55" s="348">
        <v>45323</v>
      </c>
      <c r="F55" s="349" t="s">
        <v>1369</v>
      </c>
      <c r="G55" s="369" t="s">
        <v>250</v>
      </c>
      <c r="H55" s="341" t="s">
        <v>1357</v>
      </c>
      <c r="I55" s="355">
        <v>0.90045160000000002</v>
      </c>
      <c r="J55" s="355">
        <v>0.90045160000000002</v>
      </c>
      <c r="K55" s="355">
        <v>0.90045160000000002</v>
      </c>
      <c r="L55" s="355">
        <v>0.90065760000000006</v>
      </c>
      <c r="M55" s="355">
        <v>0.90065760000000006</v>
      </c>
      <c r="N55" s="355"/>
      <c r="O55" s="355"/>
      <c r="P55" s="355"/>
      <c r="Q55" s="355"/>
      <c r="R55" s="355"/>
      <c r="S55" s="355"/>
      <c r="T55" s="355"/>
      <c r="U55" s="517"/>
      <c r="V55"/>
    </row>
    <row r="56" spans="1:25">
      <c r="A56" s="347" t="s">
        <v>60</v>
      </c>
      <c r="B56" s="347" t="s">
        <v>1351</v>
      </c>
      <c r="C56" s="347" t="s">
        <v>1351</v>
      </c>
      <c r="D56" s="347" t="s">
        <v>1352</v>
      </c>
      <c r="E56" s="348">
        <v>45323</v>
      </c>
      <c r="F56" s="349" t="s">
        <v>1369</v>
      </c>
      <c r="G56" s="369" t="s">
        <v>250</v>
      </c>
      <c r="H56" s="341" t="s">
        <v>1358</v>
      </c>
      <c r="I56" s="357">
        <v>0</v>
      </c>
      <c r="J56" s="357">
        <v>0</v>
      </c>
      <c r="K56" s="357">
        <v>0</v>
      </c>
      <c r="L56" s="357">
        <v>0</v>
      </c>
      <c r="M56" s="357">
        <v>0</v>
      </c>
      <c r="N56" s="357"/>
      <c r="O56" s="357"/>
      <c r="P56" s="357"/>
      <c r="Q56" s="357"/>
      <c r="R56" s="357"/>
      <c r="S56" s="357"/>
      <c r="T56" s="357"/>
      <c r="U56" s="519"/>
      <c r="V56"/>
    </row>
    <row r="57" spans="1:25">
      <c r="A57" s="347" t="s">
        <v>60</v>
      </c>
      <c r="B57" s="347" t="s">
        <v>1351</v>
      </c>
      <c r="C57" s="347" t="s">
        <v>1351</v>
      </c>
      <c r="D57" s="347" t="s">
        <v>1352</v>
      </c>
      <c r="E57" s="348">
        <v>45323</v>
      </c>
      <c r="F57" s="349" t="s">
        <v>1369</v>
      </c>
      <c r="G57" s="369" t="s">
        <v>250</v>
      </c>
      <c r="H57" s="341" t="s">
        <v>1357</v>
      </c>
      <c r="I57" s="355">
        <v>0.80505159999999998</v>
      </c>
      <c r="J57" s="355">
        <v>0.80505159999999998</v>
      </c>
      <c r="K57" s="355">
        <v>0.80505159999999998</v>
      </c>
      <c r="L57" s="355">
        <v>0.80525760000000002</v>
      </c>
      <c r="M57" s="355">
        <v>0.80525760000000002</v>
      </c>
      <c r="N57" s="355"/>
      <c r="O57" s="355"/>
      <c r="P57" s="355"/>
      <c r="Q57" s="355"/>
      <c r="R57" s="355"/>
      <c r="S57" s="355"/>
      <c r="T57" s="355"/>
      <c r="U57" s="517"/>
      <c r="V57" s="356"/>
    </row>
    <row r="58" spans="1:25">
      <c r="A58" s="342" t="s">
        <v>1370</v>
      </c>
      <c r="B58" s="342" t="s">
        <v>1351</v>
      </c>
      <c r="C58" s="342" t="s">
        <v>1351</v>
      </c>
      <c r="D58" s="342" t="s">
        <v>1352</v>
      </c>
      <c r="E58" s="343">
        <v>45292</v>
      </c>
      <c r="F58" s="344" t="s">
        <v>1366</v>
      </c>
      <c r="G58" s="370" t="s">
        <v>219</v>
      </c>
      <c r="H58" s="342" t="s">
        <v>1354</v>
      </c>
      <c r="I58" s="346">
        <v>38768</v>
      </c>
      <c r="J58" s="346">
        <v>43308</v>
      </c>
      <c r="K58" s="346">
        <v>66734</v>
      </c>
      <c r="L58" s="346">
        <v>102827</v>
      </c>
      <c r="M58" s="346">
        <v>120033</v>
      </c>
      <c r="N58" s="346"/>
      <c r="O58" s="346"/>
      <c r="P58" s="346"/>
      <c r="Q58" s="346"/>
      <c r="R58" s="346"/>
      <c r="S58" s="346"/>
      <c r="T58" s="346"/>
      <c r="U58" s="513">
        <f>SUM(I58:T58)</f>
        <v>371670</v>
      </c>
      <c r="V58" s="514"/>
      <c r="W58" s="514"/>
      <c r="X58" s="514"/>
      <c r="Y58" s="514"/>
    </row>
    <row r="59" spans="1:25">
      <c r="A59" s="347" t="s">
        <v>1370</v>
      </c>
      <c r="B59" s="347" t="s">
        <v>1351</v>
      </c>
      <c r="C59" s="347" t="s">
        <v>1351</v>
      </c>
      <c r="D59" s="347" t="s">
        <v>1352</v>
      </c>
      <c r="E59" s="348">
        <v>45292</v>
      </c>
      <c r="F59" s="349" t="s">
        <v>1366</v>
      </c>
      <c r="G59" s="351" t="s">
        <v>219</v>
      </c>
      <c r="H59" s="347" t="s">
        <v>1355</v>
      </c>
      <c r="I59" s="350">
        <v>37772.230000000003</v>
      </c>
      <c r="J59" s="350">
        <v>42221.47</v>
      </c>
      <c r="K59" s="350">
        <v>64970.43</v>
      </c>
      <c r="L59" s="350">
        <v>99705.01</v>
      </c>
      <c r="M59" s="350">
        <v>116077.14</v>
      </c>
      <c r="N59" s="350"/>
      <c r="O59" s="350"/>
      <c r="P59" s="350"/>
      <c r="Q59" s="350"/>
      <c r="R59" s="350"/>
      <c r="S59" s="350"/>
      <c r="T59" s="350"/>
      <c r="U59" s="515">
        <f>SUM(I59:T59)</f>
        <v>360746.28</v>
      </c>
      <c r="V59" s="516">
        <f>U59/$Y$1</f>
        <v>72584.764587525162</v>
      </c>
    </row>
    <row r="60" spans="1:25">
      <c r="A60" s="347" t="s">
        <v>1370</v>
      </c>
      <c r="B60" s="347" t="s">
        <v>1351</v>
      </c>
      <c r="C60" s="347" t="s">
        <v>1351</v>
      </c>
      <c r="D60" s="347" t="s">
        <v>1352</v>
      </c>
      <c r="E60" s="348">
        <v>45292</v>
      </c>
      <c r="F60" s="349" t="s">
        <v>1366</v>
      </c>
      <c r="G60" s="351" t="s">
        <v>224</v>
      </c>
      <c r="H60" s="341" t="s">
        <v>1356</v>
      </c>
      <c r="I60" s="352">
        <v>38575</v>
      </c>
      <c r="J60" s="352">
        <v>43308</v>
      </c>
      <c r="K60" s="352">
        <v>65989</v>
      </c>
      <c r="L60" s="352">
        <v>98128</v>
      </c>
      <c r="M60" s="352">
        <v>111950</v>
      </c>
      <c r="N60" s="354"/>
      <c r="O60" s="354"/>
      <c r="P60" s="354"/>
      <c r="Q60" s="354"/>
      <c r="R60" s="354"/>
      <c r="S60" s="354"/>
      <c r="T60" s="354"/>
      <c r="U60" s="517"/>
      <c r="V60" s="356"/>
      <c r="X60" s="519"/>
      <c r="Y60" s="519"/>
    </row>
    <row r="61" spans="1:25">
      <c r="A61" s="347" t="s">
        <v>1370</v>
      </c>
      <c r="B61" s="347" t="s">
        <v>1351</v>
      </c>
      <c r="C61" s="347" t="s">
        <v>1351</v>
      </c>
      <c r="D61" s="347" t="s">
        <v>1352</v>
      </c>
      <c r="E61" s="348">
        <v>45292</v>
      </c>
      <c r="F61" s="349" t="s">
        <v>1366</v>
      </c>
      <c r="G61" s="351" t="s">
        <v>224</v>
      </c>
      <c r="H61" s="341" t="s">
        <v>1357</v>
      </c>
      <c r="I61" s="355">
        <v>0.97491159999999999</v>
      </c>
      <c r="J61" s="355">
        <v>0.97491159999999999</v>
      </c>
      <c r="K61" s="355">
        <v>0.97491159999999999</v>
      </c>
      <c r="L61" s="355">
        <v>0.97511760000000003</v>
      </c>
      <c r="M61" s="355">
        <v>0.97511760000000003</v>
      </c>
      <c r="N61" s="355"/>
      <c r="O61" s="355"/>
      <c r="P61" s="355"/>
      <c r="Q61" s="355"/>
      <c r="R61" s="355"/>
      <c r="S61" s="355"/>
      <c r="T61" s="355"/>
      <c r="U61" s="517"/>
      <c r="V61"/>
    </row>
    <row r="62" spans="1:25">
      <c r="A62" s="347" t="s">
        <v>1370</v>
      </c>
      <c r="B62" s="347" t="s">
        <v>1351</v>
      </c>
      <c r="C62" s="347" t="s">
        <v>1351</v>
      </c>
      <c r="D62" s="347" t="s">
        <v>1352</v>
      </c>
      <c r="E62" s="348">
        <v>45292</v>
      </c>
      <c r="F62" s="349" t="s">
        <v>1366</v>
      </c>
      <c r="G62" s="351" t="s">
        <v>222</v>
      </c>
      <c r="H62" s="341" t="s">
        <v>1358</v>
      </c>
      <c r="I62" s="354">
        <v>193</v>
      </c>
      <c r="J62" s="354">
        <v>0</v>
      </c>
      <c r="K62" s="354">
        <v>745</v>
      </c>
      <c r="L62" s="354">
        <v>4699</v>
      </c>
      <c r="M62" s="354">
        <v>8083</v>
      </c>
      <c r="N62" s="354"/>
      <c r="O62" s="354"/>
      <c r="P62" s="354"/>
      <c r="Q62" s="354"/>
      <c r="R62" s="354"/>
      <c r="S62" s="354"/>
      <c r="T62" s="354"/>
      <c r="U62" s="519"/>
      <c r="V62"/>
    </row>
    <row r="63" spans="1:25">
      <c r="A63" s="347" t="s">
        <v>1370</v>
      </c>
      <c r="B63" s="347" t="s">
        <v>1351</v>
      </c>
      <c r="C63" s="347" t="s">
        <v>1351</v>
      </c>
      <c r="D63" s="347" t="s">
        <v>1352</v>
      </c>
      <c r="E63" s="348">
        <v>45292</v>
      </c>
      <c r="F63" s="349" t="s">
        <v>1366</v>
      </c>
      <c r="G63" s="351" t="s">
        <v>222</v>
      </c>
      <c r="H63" s="341" t="s">
        <v>1357</v>
      </c>
      <c r="I63" s="355">
        <v>0.85501159999999998</v>
      </c>
      <c r="J63" s="355">
        <v>0.85501159999999998</v>
      </c>
      <c r="K63" s="355">
        <v>0.85501159999999998</v>
      </c>
      <c r="L63" s="355">
        <v>0.85521760000000002</v>
      </c>
      <c r="M63" s="355">
        <v>0.85521760000000002</v>
      </c>
      <c r="N63" s="355"/>
      <c r="O63" s="355"/>
      <c r="P63" s="355"/>
      <c r="Q63" s="355"/>
      <c r="R63" s="355"/>
      <c r="S63" s="355"/>
      <c r="T63" s="355"/>
      <c r="U63" s="517"/>
      <c r="V63" s="356"/>
      <c r="X63" s="519"/>
      <c r="Y63" s="519"/>
    </row>
    <row r="64" spans="1:25">
      <c r="A64" s="342" t="s">
        <v>1371</v>
      </c>
      <c r="B64" s="342" t="s">
        <v>1352</v>
      </c>
      <c r="C64" s="347" t="s">
        <v>1351</v>
      </c>
      <c r="D64" s="342" t="s">
        <v>1352</v>
      </c>
      <c r="E64" s="343">
        <v>45292</v>
      </c>
      <c r="F64" s="344" t="s">
        <v>1369</v>
      </c>
      <c r="G64" s="370" t="s">
        <v>226</v>
      </c>
      <c r="H64" s="342" t="s">
        <v>1354</v>
      </c>
      <c r="I64" s="346">
        <v>68741</v>
      </c>
      <c r="J64" s="346">
        <v>36162</v>
      </c>
      <c r="K64" s="346">
        <v>107318</v>
      </c>
      <c r="L64" s="346">
        <v>118502</v>
      </c>
      <c r="M64" s="346">
        <v>141902</v>
      </c>
      <c r="N64" s="346"/>
      <c r="O64" s="346"/>
      <c r="P64" s="346"/>
      <c r="Q64" s="346"/>
      <c r="R64" s="346"/>
      <c r="S64" s="346"/>
      <c r="T64" s="346"/>
      <c r="U64" s="513">
        <f>SUM(I64:T64)</f>
        <v>472625</v>
      </c>
      <c r="V64" s="514"/>
      <c r="W64" s="514"/>
      <c r="X64" s="514"/>
      <c r="Y64" s="514"/>
    </row>
    <row r="65" spans="1:25">
      <c r="A65" s="347" t="s">
        <v>1371</v>
      </c>
      <c r="B65" s="342" t="s">
        <v>1352</v>
      </c>
      <c r="C65" s="347" t="s">
        <v>1351</v>
      </c>
      <c r="D65" s="347" t="s">
        <v>1352</v>
      </c>
      <c r="E65" s="348">
        <v>45292</v>
      </c>
      <c r="F65" s="349" t="s">
        <v>1369</v>
      </c>
      <c r="G65" s="351" t="s">
        <v>226</v>
      </c>
      <c r="H65" s="347" t="s">
        <v>1355</v>
      </c>
      <c r="I65" s="350">
        <v>61764.67</v>
      </c>
      <c r="J65" s="350">
        <v>32459.86</v>
      </c>
      <c r="K65" s="350">
        <v>96433.56</v>
      </c>
      <c r="L65" s="350">
        <v>106459.74</v>
      </c>
      <c r="M65" s="350">
        <v>127448.13</v>
      </c>
      <c r="N65" s="350"/>
      <c r="O65" s="350"/>
      <c r="P65" s="350"/>
      <c r="Q65" s="350"/>
      <c r="R65" s="350"/>
      <c r="S65" s="350"/>
      <c r="T65" s="350"/>
      <c r="U65" s="515">
        <f>SUM(I65:T65)</f>
        <v>424565.96</v>
      </c>
      <c r="V65" s="516">
        <f>U65/$Y$1</f>
        <v>85425.746478873247</v>
      </c>
    </row>
    <row r="66" spans="1:25">
      <c r="A66" s="347" t="s">
        <v>1371</v>
      </c>
      <c r="B66" s="342" t="s">
        <v>1352</v>
      </c>
      <c r="C66" s="347" t="s">
        <v>1351</v>
      </c>
      <c r="D66" s="347" t="s">
        <v>1352</v>
      </c>
      <c r="E66" s="348">
        <v>45292</v>
      </c>
      <c r="F66" s="349" t="s">
        <v>1369</v>
      </c>
      <c r="G66" s="351" t="s">
        <v>228</v>
      </c>
      <c r="H66" s="341" t="s">
        <v>1356</v>
      </c>
      <c r="I66" s="352">
        <v>39444</v>
      </c>
      <c r="J66" s="352">
        <v>20297</v>
      </c>
      <c r="K66" s="352">
        <v>61440</v>
      </c>
      <c r="L66" s="352">
        <v>67996</v>
      </c>
      <c r="M66" s="352">
        <v>81458</v>
      </c>
      <c r="N66" s="354"/>
      <c r="O66" s="354"/>
      <c r="P66" s="354"/>
      <c r="Q66" s="354"/>
      <c r="R66" s="354"/>
      <c r="S66" s="354"/>
      <c r="T66" s="354"/>
      <c r="U66" s="517"/>
      <c r="V66" s="356"/>
    </row>
    <row r="67" spans="1:25">
      <c r="A67" s="347" t="s">
        <v>1371</v>
      </c>
      <c r="B67" s="342" t="s">
        <v>1352</v>
      </c>
      <c r="C67" s="347" t="s">
        <v>1351</v>
      </c>
      <c r="D67" s="347" t="s">
        <v>1352</v>
      </c>
      <c r="E67" s="348">
        <v>45292</v>
      </c>
      <c r="F67" s="349" t="s">
        <v>1369</v>
      </c>
      <c r="G67" s="351" t="s">
        <v>228</v>
      </c>
      <c r="H67" s="341" t="s">
        <v>1357</v>
      </c>
      <c r="I67" s="355">
        <v>0.90045160000000002</v>
      </c>
      <c r="J67" s="355">
        <v>0.90045160000000002</v>
      </c>
      <c r="K67" s="355">
        <v>0.90045160000000002</v>
      </c>
      <c r="L67" s="355">
        <v>0.90065760000000006</v>
      </c>
      <c r="M67" s="355">
        <v>0.90065760000000006</v>
      </c>
      <c r="N67" s="355"/>
      <c r="O67" s="355"/>
      <c r="P67" s="355"/>
      <c r="Q67" s="355"/>
      <c r="R67" s="355"/>
      <c r="S67" s="355"/>
      <c r="T67" s="355"/>
      <c r="U67" s="517"/>
      <c r="V67"/>
    </row>
    <row r="68" spans="1:25">
      <c r="A68" s="347" t="s">
        <v>1371</v>
      </c>
      <c r="B68" s="342" t="s">
        <v>1352</v>
      </c>
      <c r="C68" s="347" t="s">
        <v>1351</v>
      </c>
      <c r="D68" s="347" t="s">
        <v>1352</v>
      </c>
      <c r="E68" s="348">
        <v>45292</v>
      </c>
      <c r="F68" s="349" t="s">
        <v>1369</v>
      </c>
      <c r="G68" s="351" t="s">
        <v>228</v>
      </c>
      <c r="H68" s="341" t="s">
        <v>1358</v>
      </c>
      <c r="I68" s="354">
        <v>845</v>
      </c>
      <c r="J68" s="354">
        <v>137</v>
      </c>
      <c r="K68" s="354">
        <v>1091</v>
      </c>
      <c r="L68" s="354">
        <v>1785</v>
      </c>
      <c r="M68" s="354">
        <v>2318</v>
      </c>
      <c r="N68" s="355"/>
      <c r="O68" s="355"/>
      <c r="P68" s="355"/>
      <c r="Q68" s="355"/>
      <c r="R68" s="354"/>
      <c r="S68" s="354"/>
      <c r="T68" s="354"/>
      <c r="U68" s="519"/>
      <c r="V68"/>
    </row>
    <row r="69" spans="1:25">
      <c r="A69" s="347" t="s">
        <v>1371</v>
      </c>
      <c r="B69" s="342" t="s">
        <v>1352</v>
      </c>
      <c r="C69" s="347" t="s">
        <v>1351</v>
      </c>
      <c r="D69" s="347" t="s">
        <v>1352</v>
      </c>
      <c r="E69" s="348">
        <v>45292</v>
      </c>
      <c r="F69" s="349" t="s">
        <v>1369</v>
      </c>
      <c r="G69" s="351" t="s">
        <v>228</v>
      </c>
      <c r="H69" s="341" t="s">
        <v>1357</v>
      </c>
      <c r="I69" s="355">
        <v>0.80505159999999998</v>
      </c>
      <c r="J69" s="355">
        <v>0.80505159999999998</v>
      </c>
      <c r="K69" s="355">
        <v>0.80505159999999998</v>
      </c>
      <c r="L69" s="355">
        <v>0.80525760000000002</v>
      </c>
      <c r="M69" s="355">
        <v>0.80525760000000002</v>
      </c>
      <c r="N69" s="355"/>
      <c r="O69" s="355"/>
      <c r="P69" s="355"/>
      <c r="Q69" s="355"/>
      <c r="R69" s="355"/>
      <c r="S69" s="355"/>
      <c r="T69" s="355"/>
      <c r="U69" s="517"/>
      <c r="V69" s="356"/>
    </row>
    <row r="70" spans="1:25">
      <c r="A70" s="347" t="s">
        <v>1371</v>
      </c>
      <c r="B70" s="342" t="s">
        <v>1352</v>
      </c>
      <c r="C70" s="347" t="s">
        <v>1351</v>
      </c>
      <c r="D70" s="347" t="s">
        <v>1352</v>
      </c>
      <c r="E70" s="348">
        <v>45292</v>
      </c>
      <c r="F70" s="349" t="s">
        <v>1369</v>
      </c>
      <c r="G70" s="351" t="s">
        <v>230</v>
      </c>
      <c r="H70" s="341" t="s">
        <v>1356</v>
      </c>
      <c r="I70" s="352">
        <v>27900</v>
      </c>
      <c r="J70" s="352">
        <v>14793</v>
      </c>
      <c r="K70" s="352">
        <v>43770</v>
      </c>
      <c r="L70" s="352">
        <v>47676</v>
      </c>
      <c r="M70" s="352">
        <v>56702</v>
      </c>
      <c r="N70" s="354"/>
      <c r="O70" s="354"/>
      <c r="P70" s="354"/>
      <c r="Q70" s="354"/>
      <c r="R70" s="354"/>
      <c r="S70" s="354"/>
      <c r="T70" s="354"/>
      <c r="U70" s="517"/>
      <c r="V70" s="356"/>
    </row>
    <row r="71" spans="1:25">
      <c r="A71" s="347" t="s">
        <v>1371</v>
      </c>
      <c r="B71" s="342" t="s">
        <v>1352</v>
      </c>
      <c r="C71" s="347" t="s">
        <v>1351</v>
      </c>
      <c r="D71" s="347" t="s">
        <v>1352</v>
      </c>
      <c r="E71" s="348">
        <v>45292</v>
      </c>
      <c r="F71" s="349" t="s">
        <v>1369</v>
      </c>
      <c r="G71" s="351" t="s">
        <v>230</v>
      </c>
      <c r="H71" s="341" t="s">
        <v>1357</v>
      </c>
      <c r="I71" s="355">
        <v>0.90045160000000002</v>
      </c>
      <c r="J71" s="355">
        <v>0.90045160000000002</v>
      </c>
      <c r="K71" s="355">
        <v>0.90045160000000002</v>
      </c>
      <c r="L71" s="355">
        <v>0.90065760000000006</v>
      </c>
      <c r="M71" s="355">
        <v>0.90065760000000006</v>
      </c>
      <c r="N71" s="355"/>
      <c r="O71" s="355"/>
      <c r="P71" s="355"/>
      <c r="Q71" s="355"/>
      <c r="R71" s="355"/>
      <c r="S71" s="355"/>
      <c r="T71" s="355"/>
      <c r="U71" s="517"/>
      <c r="V71"/>
    </row>
    <row r="72" spans="1:25">
      <c r="A72" s="347" t="s">
        <v>1371</v>
      </c>
      <c r="B72" s="342" t="s">
        <v>1352</v>
      </c>
      <c r="C72" s="347" t="s">
        <v>1351</v>
      </c>
      <c r="D72" s="347" t="s">
        <v>1352</v>
      </c>
      <c r="E72" s="348">
        <v>45292</v>
      </c>
      <c r="F72" s="349" t="s">
        <v>1369</v>
      </c>
      <c r="G72" s="351" t="s">
        <v>230</v>
      </c>
      <c r="H72" s="341" t="s">
        <v>1358</v>
      </c>
      <c r="I72" s="357">
        <v>552</v>
      </c>
      <c r="J72" s="357">
        <v>935</v>
      </c>
      <c r="K72" s="357">
        <v>1017</v>
      </c>
      <c r="L72" s="357">
        <v>1045</v>
      </c>
      <c r="M72" s="357">
        <v>1424</v>
      </c>
      <c r="N72" s="357"/>
      <c r="O72" s="357"/>
      <c r="P72" s="357"/>
      <c r="Q72" s="357"/>
      <c r="R72" s="354"/>
      <c r="S72" s="354"/>
      <c r="T72" s="354"/>
      <c r="U72" s="519"/>
      <c r="V72"/>
    </row>
    <row r="73" spans="1:25">
      <c r="A73" s="347" t="s">
        <v>1371</v>
      </c>
      <c r="B73" s="342" t="s">
        <v>1352</v>
      </c>
      <c r="C73" s="347" t="s">
        <v>1351</v>
      </c>
      <c r="D73" s="347" t="s">
        <v>1352</v>
      </c>
      <c r="E73" s="348">
        <v>45292</v>
      </c>
      <c r="F73" s="349" t="s">
        <v>1369</v>
      </c>
      <c r="G73" s="351" t="s">
        <v>230</v>
      </c>
      <c r="H73" s="341" t="s">
        <v>1357</v>
      </c>
      <c r="I73" s="355">
        <v>0.80505159999999998</v>
      </c>
      <c r="J73" s="355">
        <v>0.80505159999999998</v>
      </c>
      <c r="K73" s="355">
        <v>0.80505159999999998</v>
      </c>
      <c r="L73" s="355">
        <v>0.80525760000000002</v>
      </c>
      <c r="M73" s="355">
        <v>0.80525760000000002</v>
      </c>
      <c r="N73" s="355"/>
      <c r="O73" s="355"/>
      <c r="P73" s="355"/>
      <c r="Q73" s="355"/>
      <c r="R73" s="355"/>
      <c r="S73" s="355"/>
      <c r="T73" s="355"/>
      <c r="U73" s="517"/>
      <c r="V73" s="356"/>
    </row>
    <row r="74" spans="1:25">
      <c r="A74" s="347" t="s">
        <v>1371</v>
      </c>
      <c r="B74" s="342" t="s">
        <v>1352</v>
      </c>
      <c r="C74" s="615" t="s">
        <v>1419</v>
      </c>
      <c r="D74" s="347"/>
      <c r="E74" s="348"/>
      <c r="F74" s="349"/>
      <c r="G74" s="351" t="s">
        <v>226</v>
      </c>
      <c r="H74" s="347" t="s">
        <v>1360</v>
      </c>
      <c r="I74" s="355">
        <v>0</v>
      </c>
      <c r="J74" s="355">
        <v>0</v>
      </c>
      <c r="K74" s="355">
        <v>0</v>
      </c>
      <c r="L74" s="355">
        <v>0</v>
      </c>
      <c r="M74" s="355">
        <v>0</v>
      </c>
      <c r="N74" s="355"/>
      <c r="O74" s="355"/>
      <c r="P74" s="357"/>
      <c r="Q74" s="357"/>
      <c r="R74" s="353"/>
      <c r="S74" s="353"/>
      <c r="T74" s="353"/>
      <c r="U74" s="517"/>
      <c r="V74" s="356"/>
    </row>
    <row r="75" spans="1:25">
      <c r="A75" s="347" t="s">
        <v>1371</v>
      </c>
      <c r="B75" s="342" t="s">
        <v>1352</v>
      </c>
      <c r="C75" s="615"/>
      <c r="D75" s="347"/>
      <c r="E75" s="348"/>
      <c r="F75" s="349"/>
      <c r="G75" s="351" t="s">
        <v>226</v>
      </c>
      <c r="H75" s="347" t="s">
        <v>1357</v>
      </c>
      <c r="I75" s="355">
        <v>0.59499999999999997</v>
      </c>
      <c r="J75" s="355">
        <v>0.59499999999999997</v>
      </c>
      <c r="K75" s="355">
        <v>0.59499999999999997</v>
      </c>
      <c r="L75" s="355">
        <v>0.59499999999999997</v>
      </c>
      <c r="M75" s="355">
        <v>0.59499999999999997</v>
      </c>
      <c r="N75" s="355"/>
      <c r="O75" s="355"/>
      <c r="P75" s="355"/>
      <c r="Q75" s="355"/>
      <c r="R75" s="355"/>
      <c r="S75" s="355"/>
      <c r="T75" s="355"/>
      <c r="U75" s="517"/>
      <c r="V75" s="356"/>
    </row>
    <row r="76" spans="1:25">
      <c r="A76" s="342" t="s">
        <v>54</v>
      </c>
      <c r="B76" s="342" t="s">
        <v>1352</v>
      </c>
      <c r="C76" s="342" t="s">
        <v>1359</v>
      </c>
      <c r="D76" s="342" t="s">
        <v>1352</v>
      </c>
      <c r="E76" s="343">
        <v>45292</v>
      </c>
      <c r="F76" s="344" t="s">
        <v>1372</v>
      </c>
      <c r="G76" s="370" t="s">
        <v>157</v>
      </c>
      <c r="H76" s="342" t="s">
        <v>1354</v>
      </c>
      <c r="I76" s="346">
        <v>5796</v>
      </c>
      <c r="J76" s="346">
        <v>13973</v>
      </c>
      <c r="K76" s="346">
        <v>22235</v>
      </c>
      <c r="L76" s="346">
        <v>33576</v>
      </c>
      <c r="M76" s="346">
        <v>39479</v>
      </c>
      <c r="N76" s="346"/>
      <c r="O76" s="346"/>
      <c r="P76" s="346"/>
      <c r="Q76" s="346"/>
      <c r="R76" s="346"/>
      <c r="S76" s="346"/>
      <c r="T76" s="346"/>
      <c r="U76" s="513">
        <f>SUM(I76:T76)</f>
        <v>115059</v>
      </c>
      <c r="V76" s="514"/>
      <c r="W76" s="514"/>
      <c r="X76" s="514"/>
      <c r="Y76" s="514"/>
    </row>
    <row r="77" spans="1:25">
      <c r="A77" s="347" t="s">
        <v>54</v>
      </c>
      <c r="B77" s="347" t="s">
        <v>1352</v>
      </c>
      <c r="C77" s="347" t="s">
        <v>1359</v>
      </c>
      <c r="D77" s="347" t="s">
        <v>1352</v>
      </c>
      <c r="E77" s="348">
        <v>45292</v>
      </c>
      <c r="F77" s="349" t="s">
        <v>1372</v>
      </c>
      <c r="G77" s="351" t="s">
        <v>157</v>
      </c>
      <c r="H77" s="347" t="s">
        <v>1355</v>
      </c>
      <c r="I77" s="350">
        <v>5469.11</v>
      </c>
      <c r="J77" s="350">
        <v>13184.95</v>
      </c>
      <c r="K77" s="350">
        <v>20980.98</v>
      </c>
      <c r="L77" s="350">
        <v>31687.75</v>
      </c>
      <c r="M77" s="350">
        <v>37260.58</v>
      </c>
      <c r="N77" s="350"/>
      <c r="O77" s="350"/>
      <c r="P77" s="350"/>
      <c r="Q77" s="350"/>
      <c r="R77" s="350"/>
      <c r="S77" s="350"/>
      <c r="T77" s="350"/>
      <c r="U77" s="515">
        <f>SUM(I77:T77)</f>
        <v>108583.37000000001</v>
      </c>
      <c r="V77" s="516">
        <f>U77/$Y$1</f>
        <v>21847.760563380285</v>
      </c>
    </row>
    <row r="78" spans="1:25">
      <c r="A78" s="347" t="s">
        <v>54</v>
      </c>
      <c r="B78" s="347" t="s">
        <v>1352</v>
      </c>
      <c r="C78" s="347" t="s">
        <v>1359</v>
      </c>
      <c r="D78" s="347" t="s">
        <v>1352</v>
      </c>
      <c r="E78" s="348">
        <v>45292</v>
      </c>
      <c r="F78" s="349" t="s">
        <v>1372</v>
      </c>
      <c r="G78" s="351" t="s">
        <v>157</v>
      </c>
      <c r="H78" s="341" t="s">
        <v>1356</v>
      </c>
      <c r="I78" s="352">
        <v>5796</v>
      </c>
      <c r="J78" s="352">
        <v>13973</v>
      </c>
      <c r="K78" s="352">
        <v>22235</v>
      </c>
      <c r="L78" s="352">
        <v>33562</v>
      </c>
      <c r="M78" s="352">
        <v>39479</v>
      </c>
      <c r="N78" s="354"/>
      <c r="O78" s="354"/>
      <c r="P78" s="354"/>
      <c r="Q78" s="354"/>
      <c r="R78" s="354"/>
      <c r="S78" s="354"/>
      <c r="T78" s="354"/>
      <c r="U78" s="517"/>
      <c r="V78" s="356"/>
    </row>
    <row r="79" spans="1:25">
      <c r="A79" s="347" t="s">
        <v>54</v>
      </c>
      <c r="B79" s="347" t="s">
        <v>1352</v>
      </c>
      <c r="C79" s="347" t="s">
        <v>1359</v>
      </c>
      <c r="D79" s="347" t="s">
        <v>1352</v>
      </c>
      <c r="E79" s="348">
        <v>45292</v>
      </c>
      <c r="F79" s="349" t="s">
        <v>1372</v>
      </c>
      <c r="G79" s="351" t="s">
        <v>157</v>
      </c>
      <c r="H79" s="341" t="s">
        <v>1357</v>
      </c>
      <c r="I79" s="355">
        <v>0.94360160000000004</v>
      </c>
      <c r="J79" s="355">
        <v>0.94360160000000004</v>
      </c>
      <c r="K79" s="355">
        <v>0.94360160000000004</v>
      </c>
      <c r="L79" s="355">
        <v>0.94380760000000008</v>
      </c>
      <c r="M79" s="355">
        <v>0.94380760000000008</v>
      </c>
      <c r="N79" s="355"/>
      <c r="O79" s="355"/>
      <c r="P79" s="355"/>
      <c r="Q79" s="355"/>
      <c r="R79" s="355"/>
      <c r="S79" s="355"/>
      <c r="T79" s="355"/>
      <c r="U79" s="517"/>
      <c r="V79"/>
    </row>
    <row r="80" spans="1:25">
      <c r="A80" s="347" t="s">
        <v>54</v>
      </c>
      <c r="B80" s="347" t="s">
        <v>1352</v>
      </c>
      <c r="C80" s="347" t="s">
        <v>1359</v>
      </c>
      <c r="D80" s="347" t="s">
        <v>1352</v>
      </c>
      <c r="E80" s="348">
        <v>45292</v>
      </c>
      <c r="F80" s="349" t="s">
        <v>1372</v>
      </c>
      <c r="G80" s="351" t="s">
        <v>157</v>
      </c>
      <c r="H80" s="341" t="s">
        <v>1358</v>
      </c>
      <c r="I80" s="357">
        <v>0</v>
      </c>
      <c r="J80" s="357">
        <v>0</v>
      </c>
      <c r="K80" s="357">
        <v>0</v>
      </c>
      <c r="L80" s="357">
        <v>14</v>
      </c>
      <c r="M80" s="357">
        <v>0</v>
      </c>
      <c r="N80" s="357"/>
      <c r="O80" s="357"/>
      <c r="P80" s="357"/>
      <c r="Q80" s="357"/>
      <c r="R80" s="357"/>
      <c r="S80" s="357"/>
      <c r="T80" s="357"/>
      <c r="U80" s="519"/>
      <c r="V80"/>
    </row>
    <row r="81" spans="1:25">
      <c r="A81" s="347" t="s">
        <v>54</v>
      </c>
      <c r="B81" s="347" t="s">
        <v>1352</v>
      </c>
      <c r="C81" s="347" t="s">
        <v>1359</v>
      </c>
      <c r="D81" s="347" t="s">
        <v>1352</v>
      </c>
      <c r="E81" s="348">
        <v>45292</v>
      </c>
      <c r="F81" s="349" t="s">
        <v>1372</v>
      </c>
      <c r="G81" s="351" t="s">
        <v>157</v>
      </c>
      <c r="H81" s="341" t="s">
        <v>1357</v>
      </c>
      <c r="I81" s="355">
        <v>0.83370160000000004</v>
      </c>
      <c r="J81" s="355">
        <v>0.83370160000000004</v>
      </c>
      <c r="K81" s="355">
        <v>0.83370160000000004</v>
      </c>
      <c r="L81" s="355">
        <v>0.83390760000000008</v>
      </c>
      <c r="M81" s="355">
        <v>0.83390760000000008</v>
      </c>
      <c r="N81" s="355"/>
      <c r="O81" s="355"/>
      <c r="P81" s="355"/>
      <c r="Q81" s="355"/>
      <c r="R81" s="355"/>
      <c r="S81" s="355"/>
      <c r="T81" s="355"/>
      <c r="U81" s="517"/>
      <c r="V81" s="356"/>
    </row>
    <row r="82" spans="1:25">
      <c r="A82" s="347" t="s">
        <v>54</v>
      </c>
      <c r="B82" s="347" t="s">
        <v>1352</v>
      </c>
      <c r="C82" s="347" t="s">
        <v>1359</v>
      </c>
      <c r="D82" s="347" t="s">
        <v>1352</v>
      </c>
      <c r="E82" s="348">
        <v>45323</v>
      </c>
      <c r="F82" s="349" t="s">
        <v>1353</v>
      </c>
      <c r="G82" s="351" t="s">
        <v>157</v>
      </c>
      <c r="H82" s="341" t="s">
        <v>1360</v>
      </c>
      <c r="I82" s="355">
        <v>0</v>
      </c>
      <c r="J82" s="355">
        <v>0</v>
      </c>
      <c r="K82" s="355">
        <v>0</v>
      </c>
      <c r="L82" s="355">
        <v>0</v>
      </c>
      <c r="M82" s="355">
        <v>0</v>
      </c>
      <c r="N82" s="354"/>
      <c r="O82" s="354"/>
      <c r="P82" s="354"/>
      <c r="Q82" s="354"/>
      <c r="R82" s="354"/>
      <c r="S82" s="354"/>
      <c r="T82" s="354"/>
      <c r="U82" s="517"/>
      <c r="V82" s="356"/>
    </row>
    <row r="83" spans="1:25">
      <c r="A83" s="347" t="s">
        <v>54</v>
      </c>
      <c r="B83" s="347" t="s">
        <v>1352</v>
      </c>
      <c r="C83" s="347" t="s">
        <v>1359</v>
      </c>
      <c r="D83" s="347" t="s">
        <v>1352</v>
      </c>
      <c r="E83" s="348">
        <v>45323</v>
      </c>
      <c r="F83" s="349" t="s">
        <v>1353</v>
      </c>
      <c r="G83" s="351" t="s">
        <v>157</v>
      </c>
      <c r="H83" s="341" t="s">
        <v>1357</v>
      </c>
      <c r="I83" s="546">
        <v>0.59499999999999997</v>
      </c>
      <c r="J83" s="546">
        <v>0.59499999999999997</v>
      </c>
      <c r="K83" s="546">
        <v>0.59499999999999997</v>
      </c>
      <c r="L83" s="546">
        <v>0.59499999999999997</v>
      </c>
      <c r="M83" s="546">
        <v>0.59499999999999997</v>
      </c>
      <c r="N83" s="355"/>
      <c r="O83" s="355"/>
      <c r="P83" s="355"/>
      <c r="Q83" s="355"/>
      <c r="R83" s="355"/>
      <c r="S83" s="355"/>
      <c r="T83" s="355"/>
      <c r="U83" s="517"/>
      <c r="V83" s="356"/>
    </row>
    <row r="84" spans="1:25">
      <c r="A84" s="342" t="s">
        <v>50</v>
      </c>
      <c r="B84" s="342" t="s">
        <v>1351</v>
      </c>
      <c r="C84" s="342" t="s">
        <v>1351</v>
      </c>
      <c r="D84" s="342" t="s">
        <v>1352</v>
      </c>
      <c r="E84" s="343">
        <v>45292</v>
      </c>
      <c r="F84" s="344" t="s">
        <v>1366</v>
      </c>
      <c r="G84" s="370" t="s">
        <v>429</v>
      </c>
      <c r="H84" s="342" t="s">
        <v>1354</v>
      </c>
      <c r="I84" s="346">
        <v>68838</v>
      </c>
      <c r="J84" s="346">
        <v>70691</v>
      </c>
      <c r="K84" s="346">
        <v>111218</v>
      </c>
      <c r="L84" s="346">
        <v>155520</v>
      </c>
      <c r="M84" s="346">
        <v>164697</v>
      </c>
      <c r="N84" s="346"/>
      <c r="O84" s="346"/>
      <c r="P84" s="346"/>
      <c r="Q84" s="346"/>
      <c r="R84" s="346"/>
      <c r="S84" s="346"/>
      <c r="T84" s="346"/>
      <c r="U84" s="513">
        <f>SUM(I84:T84)</f>
        <v>570964</v>
      </c>
      <c r="V84" s="514"/>
      <c r="W84" s="514"/>
      <c r="X84" s="514"/>
      <c r="Y84" s="514"/>
    </row>
    <row r="85" spans="1:25">
      <c r="A85" s="347" t="s">
        <v>50</v>
      </c>
      <c r="B85" s="347" t="s">
        <v>1351</v>
      </c>
      <c r="C85" s="347" t="s">
        <v>1351</v>
      </c>
      <c r="D85" s="347" t="s">
        <v>1352</v>
      </c>
      <c r="E85" s="348">
        <v>45292</v>
      </c>
      <c r="F85" s="349" t="s">
        <v>1366</v>
      </c>
      <c r="G85" s="351" t="s">
        <v>429</v>
      </c>
      <c r="H85" s="347" t="s">
        <v>1355</v>
      </c>
      <c r="I85" s="350">
        <v>64094.04</v>
      </c>
      <c r="J85" s="350">
        <v>65717.34</v>
      </c>
      <c r="K85" s="350">
        <v>102400.11</v>
      </c>
      <c r="L85" s="350">
        <v>143144.1</v>
      </c>
      <c r="M85" s="350">
        <v>152034.37</v>
      </c>
      <c r="N85" s="350"/>
      <c r="O85" s="350"/>
      <c r="P85" s="350"/>
      <c r="Q85" s="350"/>
      <c r="R85" s="350"/>
      <c r="S85" s="350"/>
      <c r="T85" s="350"/>
      <c r="U85" s="515">
        <f>SUM(I85:T85)</f>
        <v>527389.96</v>
      </c>
      <c r="V85" s="516">
        <f>U85/$Y$1</f>
        <v>106114.6800804829</v>
      </c>
    </row>
    <row r="86" spans="1:25">
      <c r="A86" s="347" t="s">
        <v>50</v>
      </c>
      <c r="B86" s="347" t="s">
        <v>1351</v>
      </c>
      <c r="C86" s="347" t="s">
        <v>1351</v>
      </c>
      <c r="D86" s="347" t="s">
        <v>1352</v>
      </c>
      <c r="E86" s="348">
        <v>45292</v>
      </c>
      <c r="F86" s="349" t="s">
        <v>1366</v>
      </c>
      <c r="G86" s="351" t="s">
        <v>127</v>
      </c>
      <c r="H86" s="341" t="s">
        <v>1356</v>
      </c>
      <c r="I86" s="352">
        <v>28546</v>
      </c>
      <c r="J86" s="352">
        <v>27500</v>
      </c>
      <c r="K86" s="352">
        <v>33666</v>
      </c>
      <c r="L86" s="352">
        <v>46342</v>
      </c>
      <c r="M86" s="352">
        <v>52535</v>
      </c>
      <c r="N86" s="354"/>
      <c r="O86" s="354"/>
      <c r="P86" s="354"/>
      <c r="Q86" s="354"/>
      <c r="R86" s="354"/>
      <c r="S86" s="354"/>
      <c r="T86" s="354"/>
      <c r="U86" s="517"/>
      <c r="V86" s="356"/>
    </row>
    <row r="87" spans="1:25">
      <c r="A87" s="347" t="s">
        <v>50</v>
      </c>
      <c r="B87" s="347" t="s">
        <v>1351</v>
      </c>
      <c r="C87" s="347" t="s">
        <v>1351</v>
      </c>
      <c r="D87" s="347" t="s">
        <v>1352</v>
      </c>
      <c r="E87" s="348">
        <v>45292</v>
      </c>
      <c r="F87" s="349" t="s">
        <v>1366</v>
      </c>
      <c r="G87" s="351" t="s">
        <v>127</v>
      </c>
      <c r="H87" s="341" t="s">
        <v>1357</v>
      </c>
      <c r="I87" s="355">
        <v>0.97491159999999999</v>
      </c>
      <c r="J87" s="355">
        <v>0.97491159999999999</v>
      </c>
      <c r="K87" s="355">
        <v>0.97491159999999999</v>
      </c>
      <c r="L87" s="355">
        <v>0.97511760000000003</v>
      </c>
      <c r="M87" s="355">
        <v>0.97511760000000003</v>
      </c>
      <c r="N87" s="355"/>
      <c r="O87" s="355"/>
      <c r="P87" s="355"/>
      <c r="Q87" s="355"/>
      <c r="R87" s="355"/>
      <c r="S87" s="355"/>
      <c r="T87" s="355"/>
      <c r="U87" s="517"/>
      <c r="V87"/>
    </row>
    <row r="88" spans="1:25">
      <c r="A88" s="347" t="s">
        <v>50</v>
      </c>
      <c r="B88" s="347" t="s">
        <v>1351</v>
      </c>
      <c r="C88" s="347" t="s">
        <v>1351</v>
      </c>
      <c r="D88" s="347" t="s">
        <v>1352</v>
      </c>
      <c r="E88" s="348">
        <v>45292</v>
      </c>
      <c r="F88" s="349" t="s">
        <v>1366</v>
      </c>
      <c r="G88" s="351" t="s">
        <v>127</v>
      </c>
      <c r="H88" s="341" t="s">
        <v>1358</v>
      </c>
      <c r="I88" s="354">
        <v>12581</v>
      </c>
      <c r="J88" s="354">
        <v>13345</v>
      </c>
      <c r="K88" s="354">
        <v>25136</v>
      </c>
      <c r="L88" s="354">
        <v>35472</v>
      </c>
      <c r="M88" s="354">
        <v>35716</v>
      </c>
      <c r="N88" s="354"/>
      <c r="O88" s="354"/>
      <c r="P88" s="354"/>
      <c r="Q88" s="354"/>
      <c r="R88" s="354"/>
      <c r="S88" s="354"/>
      <c r="T88" s="354"/>
      <c r="U88" s="519"/>
      <c r="V88"/>
    </row>
    <row r="89" spans="1:25">
      <c r="A89" s="347" t="s">
        <v>50</v>
      </c>
      <c r="B89" s="347" t="s">
        <v>1351</v>
      </c>
      <c r="C89" s="347" t="s">
        <v>1351</v>
      </c>
      <c r="D89" s="347" t="s">
        <v>1352</v>
      </c>
      <c r="E89" s="348">
        <v>45292</v>
      </c>
      <c r="F89" s="349" t="s">
        <v>1366</v>
      </c>
      <c r="G89" s="351" t="s">
        <v>127</v>
      </c>
      <c r="H89" s="341" t="s">
        <v>1357</v>
      </c>
      <c r="I89" s="355">
        <v>0.85501159999999998</v>
      </c>
      <c r="J89" s="355">
        <v>0.85501159999999998</v>
      </c>
      <c r="K89" s="355">
        <v>0.85501159999999998</v>
      </c>
      <c r="L89" s="355">
        <v>0.85521760000000002</v>
      </c>
      <c r="M89" s="355">
        <v>0.85521760000000002</v>
      </c>
      <c r="N89" s="355"/>
      <c r="O89" s="355"/>
      <c r="P89" s="355"/>
      <c r="Q89" s="355"/>
      <c r="R89" s="355"/>
      <c r="S89" s="355"/>
      <c r="T89" s="355"/>
      <c r="U89" s="517"/>
      <c r="V89" s="356"/>
    </row>
    <row r="90" spans="1:25">
      <c r="A90" s="347" t="s">
        <v>50</v>
      </c>
      <c r="B90" s="347" t="s">
        <v>1351</v>
      </c>
      <c r="C90" s="347" t="s">
        <v>1351</v>
      </c>
      <c r="D90" s="347" t="s">
        <v>1352</v>
      </c>
      <c r="E90" s="348">
        <v>45292</v>
      </c>
      <c r="F90" s="349" t="s">
        <v>1366</v>
      </c>
      <c r="G90" s="351" t="s">
        <v>129</v>
      </c>
      <c r="H90" s="341" t="s">
        <v>1356</v>
      </c>
      <c r="I90" s="352">
        <v>15130</v>
      </c>
      <c r="J90" s="352">
        <v>16501</v>
      </c>
      <c r="K90" s="352">
        <v>27280</v>
      </c>
      <c r="L90" s="352">
        <v>38234</v>
      </c>
      <c r="M90" s="352">
        <v>40731</v>
      </c>
      <c r="N90" s="354"/>
      <c r="O90" s="354"/>
      <c r="P90" s="354"/>
      <c r="Q90" s="354"/>
      <c r="R90" s="354"/>
      <c r="S90" s="354"/>
      <c r="T90" s="354"/>
      <c r="U90" s="517"/>
      <c r="V90"/>
    </row>
    <row r="91" spans="1:25">
      <c r="A91" s="347" t="s">
        <v>50</v>
      </c>
      <c r="B91" s="347" t="s">
        <v>1351</v>
      </c>
      <c r="C91" s="347" t="s">
        <v>1351</v>
      </c>
      <c r="D91" s="347" t="s">
        <v>1352</v>
      </c>
      <c r="E91" s="348">
        <v>45292</v>
      </c>
      <c r="F91" s="349" t="s">
        <v>1366</v>
      </c>
      <c r="G91" s="351" t="s">
        <v>129</v>
      </c>
      <c r="H91" s="341" t="s">
        <v>1357</v>
      </c>
      <c r="I91" s="355">
        <v>0.97491159999999999</v>
      </c>
      <c r="J91" s="355">
        <v>0.97491159999999999</v>
      </c>
      <c r="K91" s="355">
        <v>0.97491159999999999</v>
      </c>
      <c r="L91" s="355">
        <v>0.97511760000000003</v>
      </c>
      <c r="M91" s="355">
        <v>0.97511760000000003</v>
      </c>
      <c r="N91" s="355"/>
      <c r="O91" s="355"/>
      <c r="P91" s="355"/>
      <c r="Q91" s="355"/>
      <c r="R91" s="355"/>
      <c r="S91" s="355"/>
      <c r="T91" s="355"/>
      <c r="U91" s="519"/>
      <c r="V91"/>
    </row>
    <row r="92" spans="1:25">
      <c r="A92" s="347" t="s">
        <v>50</v>
      </c>
      <c r="B92" s="347" t="s">
        <v>1351</v>
      </c>
      <c r="C92" s="347" t="s">
        <v>1351</v>
      </c>
      <c r="D92" s="347" t="s">
        <v>1352</v>
      </c>
      <c r="E92" s="348">
        <v>45292</v>
      </c>
      <c r="F92" s="349" t="s">
        <v>1366</v>
      </c>
      <c r="G92" s="351" t="s">
        <v>129</v>
      </c>
      <c r="H92" s="341" t="s">
        <v>1358</v>
      </c>
      <c r="I92" s="357">
        <v>12581</v>
      </c>
      <c r="J92" s="357">
        <v>13345</v>
      </c>
      <c r="K92" s="357">
        <v>25136</v>
      </c>
      <c r="L92" s="357">
        <v>35472</v>
      </c>
      <c r="M92" s="357">
        <v>35715</v>
      </c>
      <c r="N92" s="354"/>
      <c r="O92" s="354"/>
      <c r="P92" s="354"/>
      <c r="Q92" s="354"/>
      <c r="R92" s="354"/>
      <c r="S92" s="354"/>
      <c r="T92" s="354"/>
      <c r="U92" s="517"/>
      <c r="V92" s="356"/>
    </row>
    <row r="93" spans="1:25">
      <c r="A93" s="347" t="s">
        <v>50</v>
      </c>
      <c r="B93" s="347" t="s">
        <v>1351</v>
      </c>
      <c r="C93" s="347" t="s">
        <v>1351</v>
      </c>
      <c r="D93" s="347" t="s">
        <v>1352</v>
      </c>
      <c r="E93" s="348">
        <v>45292</v>
      </c>
      <c r="F93" s="349" t="s">
        <v>1366</v>
      </c>
      <c r="G93" s="351" t="s">
        <v>129</v>
      </c>
      <c r="H93" s="341" t="s">
        <v>1357</v>
      </c>
      <c r="I93" s="355">
        <v>0.85501159999999998</v>
      </c>
      <c r="J93" s="355">
        <v>0.85501159999999998</v>
      </c>
      <c r="K93" s="355">
        <v>0.85501159999999998</v>
      </c>
      <c r="L93" s="355">
        <v>0.85521760000000002</v>
      </c>
      <c r="M93" s="355">
        <v>0.85521760000000002</v>
      </c>
      <c r="N93" s="355"/>
      <c r="O93" s="355"/>
      <c r="P93" s="355"/>
      <c r="Q93" s="355"/>
      <c r="R93" s="355"/>
      <c r="S93" s="355"/>
      <c r="T93" s="355"/>
      <c r="U93" s="517"/>
      <c r="V93"/>
    </row>
    <row r="94" spans="1:25">
      <c r="A94" s="342" t="s">
        <v>1373</v>
      </c>
      <c r="B94" s="342" t="s">
        <v>1351</v>
      </c>
      <c r="C94" s="342" t="s">
        <v>1351</v>
      </c>
      <c r="D94" s="342" t="s">
        <v>1352</v>
      </c>
      <c r="E94" s="343">
        <v>45292</v>
      </c>
      <c r="F94" s="344" t="s">
        <v>1374</v>
      </c>
      <c r="G94" s="370" t="s">
        <v>182</v>
      </c>
      <c r="H94" s="342" t="s">
        <v>1354</v>
      </c>
      <c r="I94" s="346">
        <v>94118</v>
      </c>
      <c r="J94" s="346">
        <v>116866</v>
      </c>
      <c r="K94" s="346">
        <v>207764</v>
      </c>
      <c r="L94" s="346">
        <v>305057</v>
      </c>
      <c r="M94" s="346">
        <v>281637</v>
      </c>
      <c r="N94" s="346"/>
      <c r="O94" s="346"/>
      <c r="P94" s="346"/>
      <c r="Q94" s="346"/>
      <c r="R94" s="346"/>
      <c r="S94" s="346"/>
      <c r="T94" s="346"/>
      <c r="U94" s="513">
        <f>SUM(I94:T94)</f>
        <v>1005442</v>
      </c>
      <c r="V94" s="514"/>
      <c r="W94" s="514"/>
      <c r="X94" s="514"/>
      <c r="Y94" s="514"/>
    </row>
    <row r="95" spans="1:25">
      <c r="A95" s="347" t="s">
        <v>1373</v>
      </c>
      <c r="B95" s="347" t="s">
        <v>1351</v>
      </c>
      <c r="C95" s="347" t="s">
        <v>1351</v>
      </c>
      <c r="D95" s="347" t="s">
        <v>1352</v>
      </c>
      <c r="E95" s="348">
        <v>45292</v>
      </c>
      <c r="F95" s="349" t="s">
        <v>1374</v>
      </c>
      <c r="G95" s="351" t="s">
        <v>182</v>
      </c>
      <c r="H95" s="347" t="s">
        <v>1355</v>
      </c>
      <c r="I95" s="350">
        <v>91039.14</v>
      </c>
      <c r="J95" s="350">
        <v>112439.31</v>
      </c>
      <c r="K95" s="350">
        <v>196732.44</v>
      </c>
      <c r="L95" s="350">
        <v>286188.21999999997</v>
      </c>
      <c r="M95" s="350">
        <v>270211.48</v>
      </c>
      <c r="N95" s="350"/>
      <c r="O95" s="350"/>
      <c r="P95" s="350"/>
      <c r="Q95" s="350"/>
      <c r="R95" s="350"/>
      <c r="S95" s="350"/>
      <c r="T95" s="350"/>
      <c r="U95" s="515">
        <f>SUM(I95:T95)</f>
        <v>956610.59</v>
      </c>
      <c r="V95" s="516">
        <f>U95/$Y$1</f>
        <v>192476.97987927566</v>
      </c>
    </row>
    <row r="96" spans="1:25">
      <c r="A96" s="347" t="s">
        <v>1373</v>
      </c>
      <c r="B96" s="347" t="s">
        <v>1351</v>
      </c>
      <c r="C96" s="347" t="s">
        <v>1351</v>
      </c>
      <c r="D96" s="347" t="s">
        <v>1352</v>
      </c>
      <c r="E96" s="348">
        <v>45292</v>
      </c>
      <c r="F96" s="349" t="s">
        <v>1374</v>
      </c>
      <c r="G96" s="351" t="s">
        <v>186</v>
      </c>
      <c r="H96" s="341" t="s">
        <v>1356</v>
      </c>
      <c r="I96" s="352">
        <v>56602</v>
      </c>
      <c r="J96" s="352">
        <v>69382</v>
      </c>
      <c r="K96" s="352">
        <v>104739</v>
      </c>
      <c r="L96" s="352">
        <v>138717</v>
      </c>
      <c r="M96" s="352">
        <v>157386</v>
      </c>
      <c r="N96" s="354"/>
      <c r="O96" s="354"/>
      <c r="P96" s="354"/>
      <c r="Q96" s="354"/>
      <c r="R96" s="354"/>
      <c r="S96" s="354"/>
      <c r="T96" s="354"/>
      <c r="U96" s="517"/>
      <c r="V96" s="356"/>
      <c r="W96" s="519"/>
      <c r="Y96" s="519"/>
    </row>
    <row r="97" spans="1:25">
      <c r="A97" s="347" t="s">
        <v>1373</v>
      </c>
      <c r="B97" s="347" t="s">
        <v>1351</v>
      </c>
      <c r="C97" s="347" t="s">
        <v>1351</v>
      </c>
      <c r="D97" s="347" t="s">
        <v>1352</v>
      </c>
      <c r="E97" s="348">
        <v>45292</v>
      </c>
      <c r="F97" s="349" t="s">
        <v>1374</v>
      </c>
      <c r="G97" s="351" t="s">
        <v>186</v>
      </c>
      <c r="H97" s="341" t="s">
        <v>1357</v>
      </c>
      <c r="I97" s="355">
        <v>0.96780160000000004</v>
      </c>
      <c r="J97" s="355">
        <v>0.96780160000000004</v>
      </c>
      <c r="K97" s="355">
        <v>0.96780160000000004</v>
      </c>
      <c r="L97" s="355">
        <v>0.96800760000000008</v>
      </c>
      <c r="M97" s="355">
        <v>0.96800760000000008</v>
      </c>
      <c r="N97" s="355"/>
      <c r="O97" s="355"/>
      <c r="P97" s="355"/>
      <c r="Q97" s="355"/>
      <c r="R97" s="355"/>
      <c r="S97" s="355"/>
      <c r="T97" s="355"/>
      <c r="U97" s="517"/>
      <c r="V97"/>
    </row>
    <row r="98" spans="1:25">
      <c r="A98" s="347" t="s">
        <v>1373</v>
      </c>
      <c r="B98" s="347" t="s">
        <v>1351</v>
      </c>
      <c r="C98" s="347" t="s">
        <v>1351</v>
      </c>
      <c r="D98" s="347" t="s">
        <v>1352</v>
      </c>
      <c r="E98" s="348">
        <v>45292</v>
      </c>
      <c r="F98" s="349" t="s">
        <v>1374</v>
      </c>
      <c r="G98" s="351" t="s">
        <v>184</v>
      </c>
      <c r="H98" s="341" t="s">
        <v>1358</v>
      </c>
      <c r="I98" s="354">
        <v>140</v>
      </c>
      <c r="J98" s="354">
        <v>815</v>
      </c>
      <c r="K98" s="354">
        <v>18300</v>
      </c>
      <c r="L98" s="354">
        <v>40823</v>
      </c>
      <c r="M98" s="354">
        <v>11181</v>
      </c>
      <c r="N98" s="354"/>
      <c r="O98" s="354"/>
      <c r="P98" s="354"/>
      <c r="Q98" s="354"/>
      <c r="R98" s="354"/>
      <c r="S98" s="354"/>
      <c r="T98" s="354"/>
      <c r="U98" s="519"/>
      <c r="V98"/>
    </row>
    <row r="99" spans="1:25">
      <c r="A99" s="347" t="s">
        <v>1373</v>
      </c>
      <c r="B99" s="347" t="s">
        <v>1351</v>
      </c>
      <c r="C99" s="347" t="s">
        <v>1351</v>
      </c>
      <c r="D99" s="347" t="s">
        <v>1352</v>
      </c>
      <c r="E99" s="348">
        <v>45292</v>
      </c>
      <c r="F99" s="349" t="s">
        <v>1374</v>
      </c>
      <c r="G99" s="351" t="s">
        <v>184</v>
      </c>
      <c r="H99" s="341" t="s">
        <v>1357</v>
      </c>
      <c r="I99" s="355">
        <v>0.83370160000000004</v>
      </c>
      <c r="J99" s="355">
        <v>0.83370160000000004</v>
      </c>
      <c r="K99" s="355">
        <v>0.83370160000000004</v>
      </c>
      <c r="L99" s="355">
        <v>0.83390760000000008</v>
      </c>
      <c r="M99" s="355">
        <v>0.83390760000000008</v>
      </c>
      <c r="N99" s="355"/>
      <c r="O99" s="355"/>
      <c r="P99" s="355"/>
      <c r="Q99" s="355"/>
      <c r="R99" s="355"/>
      <c r="S99" s="355"/>
      <c r="T99" s="355"/>
      <c r="U99" s="517"/>
      <c r="V99" s="356"/>
      <c r="W99" s="519"/>
      <c r="Y99" s="519"/>
    </row>
    <row r="100" spans="1:25">
      <c r="A100" s="347" t="s">
        <v>1373</v>
      </c>
      <c r="B100" s="347" t="s">
        <v>1351</v>
      </c>
      <c r="C100" s="347" t="s">
        <v>1351</v>
      </c>
      <c r="D100" s="347" t="s">
        <v>1352</v>
      </c>
      <c r="E100" s="348">
        <v>45292</v>
      </c>
      <c r="F100" s="349" t="s">
        <v>1374</v>
      </c>
      <c r="G100" s="351" t="s">
        <v>191</v>
      </c>
      <c r="H100" s="341" t="s">
        <v>1356</v>
      </c>
      <c r="I100" s="352">
        <v>37155</v>
      </c>
      <c r="J100" s="352">
        <v>42534</v>
      </c>
      <c r="K100" s="352">
        <v>70647</v>
      </c>
      <c r="L100" s="352">
        <v>98411</v>
      </c>
      <c r="M100" s="352">
        <v>106240</v>
      </c>
      <c r="N100" s="354"/>
      <c r="O100" s="354"/>
      <c r="P100" s="354"/>
      <c r="Q100" s="354"/>
      <c r="R100" s="354"/>
      <c r="S100" s="354"/>
      <c r="T100" s="354"/>
      <c r="U100" s="517"/>
      <c r="V100"/>
    </row>
    <row r="101" spans="1:25">
      <c r="A101" s="347" t="s">
        <v>1373</v>
      </c>
      <c r="B101" s="347" t="s">
        <v>1351</v>
      </c>
      <c r="C101" s="347" t="s">
        <v>1351</v>
      </c>
      <c r="D101" s="347" t="s">
        <v>1352</v>
      </c>
      <c r="E101" s="348">
        <v>45292</v>
      </c>
      <c r="F101" s="349" t="s">
        <v>1374</v>
      </c>
      <c r="G101" s="351" t="s">
        <v>191</v>
      </c>
      <c r="H101" s="341" t="s">
        <v>1357</v>
      </c>
      <c r="I101" s="355">
        <v>0.96780160000000004</v>
      </c>
      <c r="J101" s="355">
        <v>0.96780160000000004</v>
      </c>
      <c r="K101" s="355">
        <v>0.96780160000000004</v>
      </c>
      <c r="L101" s="355">
        <v>0.96800760000000008</v>
      </c>
      <c r="M101" s="355">
        <v>0.96800760000000008</v>
      </c>
      <c r="N101" s="355"/>
      <c r="O101" s="355"/>
      <c r="P101" s="355"/>
      <c r="Q101" s="355"/>
      <c r="R101" s="355"/>
      <c r="S101" s="355"/>
      <c r="T101" s="355"/>
      <c r="U101" s="519"/>
      <c r="V101"/>
    </row>
    <row r="102" spans="1:25">
      <c r="A102" s="347" t="s">
        <v>1373</v>
      </c>
      <c r="B102" s="347" t="s">
        <v>1351</v>
      </c>
      <c r="C102" s="347" t="s">
        <v>1351</v>
      </c>
      <c r="D102" s="347" t="s">
        <v>1352</v>
      </c>
      <c r="E102" s="348">
        <v>45292</v>
      </c>
      <c r="F102" s="349" t="s">
        <v>1374</v>
      </c>
      <c r="G102" s="351" t="s">
        <v>189</v>
      </c>
      <c r="H102" s="341" t="s">
        <v>1358</v>
      </c>
      <c r="I102" s="354">
        <v>221</v>
      </c>
      <c r="J102" s="354">
        <v>4135</v>
      </c>
      <c r="K102" s="354">
        <v>14078</v>
      </c>
      <c r="L102" s="354">
        <v>27106</v>
      </c>
      <c r="M102" s="354">
        <v>6830</v>
      </c>
      <c r="N102" s="354"/>
      <c r="O102" s="354"/>
      <c r="P102" s="354"/>
      <c r="Q102" s="354"/>
      <c r="R102" s="354"/>
      <c r="S102" s="354"/>
      <c r="T102" s="354"/>
      <c r="U102" s="517"/>
      <c r="V102" s="356"/>
      <c r="W102" s="519"/>
      <c r="Y102" s="519"/>
    </row>
    <row r="103" spans="1:25">
      <c r="A103" s="347" t="s">
        <v>1373</v>
      </c>
      <c r="B103" s="347" t="s">
        <v>1351</v>
      </c>
      <c r="C103" s="347" t="s">
        <v>1351</v>
      </c>
      <c r="D103" s="347" t="s">
        <v>1352</v>
      </c>
      <c r="E103" s="348">
        <v>45292</v>
      </c>
      <c r="F103" s="349" t="s">
        <v>1374</v>
      </c>
      <c r="G103" s="351" t="s">
        <v>189</v>
      </c>
      <c r="H103" s="341" t="s">
        <v>1357</v>
      </c>
      <c r="I103" s="355">
        <v>0.83370160000000004</v>
      </c>
      <c r="J103" s="355">
        <v>0.83370160000000004</v>
      </c>
      <c r="K103" s="355">
        <v>0.83370160000000004</v>
      </c>
      <c r="L103" s="355">
        <v>0.83390760000000008</v>
      </c>
      <c r="M103" s="355">
        <v>0.83390760000000008</v>
      </c>
      <c r="N103" s="355"/>
      <c r="O103" s="355"/>
      <c r="P103" s="355"/>
      <c r="Q103" s="355"/>
      <c r="R103" s="355"/>
      <c r="S103" s="355"/>
      <c r="T103" s="355"/>
      <c r="U103" s="517"/>
      <c r="V103"/>
    </row>
    <row r="104" spans="1:25">
      <c r="A104" s="360" t="s">
        <v>1375</v>
      </c>
      <c r="B104" s="342" t="s">
        <v>1351</v>
      </c>
      <c r="C104" s="342" t="s">
        <v>1351</v>
      </c>
      <c r="D104" s="342" t="s">
        <v>1351</v>
      </c>
      <c r="E104" s="342"/>
      <c r="F104" s="344" t="s">
        <v>1376</v>
      </c>
      <c r="G104" s="370" t="s">
        <v>1146</v>
      </c>
      <c r="H104" s="342" t="s">
        <v>1354</v>
      </c>
      <c r="I104" s="346">
        <v>12128</v>
      </c>
      <c r="J104" s="346">
        <v>16097</v>
      </c>
      <c r="K104" s="346">
        <v>15312</v>
      </c>
      <c r="L104" s="346">
        <v>17517</v>
      </c>
      <c r="M104" s="346">
        <v>16408</v>
      </c>
      <c r="N104" s="346"/>
      <c r="O104" s="346"/>
      <c r="P104" s="346"/>
      <c r="Q104" s="346"/>
      <c r="R104" s="346"/>
      <c r="S104" s="346"/>
      <c r="T104" s="346"/>
      <c r="U104" s="513">
        <f>SUM(I104:T104)</f>
        <v>77462</v>
      </c>
      <c r="V104" s="514"/>
      <c r="W104" s="514"/>
      <c r="X104" s="514"/>
      <c r="Y104" s="514"/>
    </row>
    <row r="105" spans="1:25">
      <c r="A105" s="361" t="s">
        <v>1375</v>
      </c>
      <c r="B105" s="347" t="s">
        <v>1351</v>
      </c>
      <c r="C105" s="347" t="s">
        <v>1351</v>
      </c>
      <c r="D105" s="347" t="s">
        <v>1351</v>
      </c>
      <c r="E105" s="347"/>
      <c r="F105" s="349" t="s">
        <v>1376</v>
      </c>
      <c r="G105" s="351" t="s">
        <v>1146</v>
      </c>
      <c r="H105" s="347" t="s">
        <v>1355</v>
      </c>
      <c r="I105" s="350">
        <v>11113.36</v>
      </c>
      <c r="J105" s="350">
        <v>14738.4</v>
      </c>
      <c r="K105" s="350">
        <v>13842.21</v>
      </c>
      <c r="L105" s="350">
        <v>15754.12</v>
      </c>
      <c r="M105" s="350">
        <v>14809.24</v>
      </c>
      <c r="N105" s="350"/>
      <c r="O105" s="350"/>
      <c r="P105" s="350"/>
      <c r="Q105" s="350"/>
      <c r="R105" s="350"/>
      <c r="S105" s="350"/>
      <c r="T105" s="350"/>
      <c r="U105" s="515">
        <f>SUM(I105:T105)</f>
        <v>70257.33</v>
      </c>
      <c r="V105" s="516">
        <f>U105/$Y$1</f>
        <v>14136.283702213281</v>
      </c>
    </row>
    <row r="106" spans="1:25">
      <c r="A106" s="361" t="s">
        <v>1375</v>
      </c>
      <c r="B106" s="347" t="s">
        <v>1351</v>
      </c>
      <c r="C106" s="347" t="s">
        <v>1351</v>
      </c>
      <c r="D106" s="347" t="s">
        <v>1351</v>
      </c>
      <c r="E106" s="347"/>
      <c r="F106" s="349" t="s">
        <v>1376</v>
      </c>
      <c r="G106" s="351" t="s">
        <v>1146</v>
      </c>
      <c r="H106" s="341" t="s">
        <v>1362</v>
      </c>
      <c r="I106" s="352">
        <v>8781</v>
      </c>
      <c r="J106" s="352">
        <v>11552</v>
      </c>
      <c r="K106" s="352">
        <v>9459</v>
      </c>
      <c r="L106" s="352">
        <v>10088</v>
      </c>
      <c r="M106" s="352">
        <v>9902</v>
      </c>
      <c r="N106" s="354"/>
      <c r="O106" s="354"/>
      <c r="P106" s="354"/>
      <c r="Q106" s="354"/>
      <c r="R106" s="354"/>
      <c r="S106" s="354"/>
      <c r="T106" s="354"/>
      <c r="U106" s="517"/>
      <c r="V106" s="356"/>
    </row>
    <row r="107" spans="1:25">
      <c r="A107" s="361" t="s">
        <v>1375</v>
      </c>
      <c r="B107" s="347" t="s">
        <v>1351</v>
      </c>
      <c r="C107" s="347" t="s">
        <v>1351</v>
      </c>
      <c r="D107" s="347" t="s">
        <v>1351</v>
      </c>
      <c r="E107" s="347"/>
      <c r="F107" s="349" t="s">
        <v>1376</v>
      </c>
      <c r="G107" s="351" t="s">
        <v>1146</v>
      </c>
      <c r="H107" s="341" t="s">
        <v>1357</v>
      </c>
      <c r="I107" s="355">
        <v>0.94835159999999996</v>
      </c>
      <c r="J107" s="355">
        <v>0.94835159999999996</v>
      </c>
      <c r="K107" s="355">
        <v>0.94835159999999996</v>
      </c>
      <c r="L107" s="355">
        <v>0.9485576</v>
      </c>
      <c r="M107" s="355">
        <v>0.9485576</v>
      </c>
      <c r="N107" s="354"/>
      <c r="O107" s="354"/>
      <c r="P107" s="354"/>
      <c r="Q107" s="354"/>
      <c r="R107" s="355"/>
      <c r="S107" s="355"/>
      <c r="T107" s="355"/>
      <c r="U107" s="517"/>
      <c r="V107"/>
    </row>
    <row r="108" spans="1:25">
      <c r="A108" s="361" t="s">
        <v>1375</v>
      </c>
      <c r="B108" s="347" t="s">
        <v>1351</v>
      </c>
      <c r="C108" s="347" t="s">
        <v>1351</v>
      </c>
      <c r="D108" s="347" t="s">
        <v>1351</v>
      </c>
      <c r="E108" s="347"/>
      <c r="F108" s="349" t="s">
        <v>1376</v>
      </c>
      <c r="G108" s="351" t="s">
        <v>1146</v>
      </c>
      <c r="H108" s="341" t="s">
        <v>1358</v>
      </c>
      <c r="I108" s="363">
        <v>3347</v>
      </c>
      <c r="J108" s="363">
        <v>4545</v>
      </c>
      <c r="K108" s="363">
        <v>5853</v>
      </c>
      <c r="L108" s="363">
        <v>7429</v>
      </c>
      <c r="M108" s="363">
        <v>6506</v>
      </c>
      <c r="N108" s="354"/>
      <c r="O108" s="354"/>
      <c r="P108" s="354"/>
      <c r="Q108" s="354"/>
      <c r="R108" s="354"/>
      <c r="S108" s="354"/>
      <c r="T108" s="354"/>
      <c r="U108" s="519"/>
      <c r="V108"/>
    </row>
    <row r="109" spans="1:25">
      <c r="A109" s="361" t="s">
        <v>1375</v>
      </c>
      <c r="B109" s="347" t="s">
        <v>1351</v>
      </c>
      <c r="C109" s="347" t="s">
        <v>1351</v>
      </c>
      <c r="D109" s="347" t="s">
        <v>1351</v>
      </c>
      <c r="E109" s="347"/>
      <c r="F109" s="349" t="s">
        <v>1376</v>
      </c>
      <c r="G109" s="351" t="s">
        <v>1146</v>
      </c>
      <c r="H109" s="341" t="s">
        <v>1357</v>
      </c>
      <c r="I109" s="363">
        <v>0.83235159999999997</v>
      </c>
      <c r="J109" s="363">
        <v>0.83235159999999997</v>
      </c>
      <c r="K109" s="363">
        <v>0.83235159999999997</v>
      </c>
      <c r="L109" s="363">
        <v>0.83255760000000001</v>
      </c>
      <c r="M109" s="363">
        <v>0.83255760000000001</v>
      </c>
      <c r="N109" s="363"/>
      <c r="O109" s="363"/>
      <c r="P109" s="363"/>
      <c r="Q109" s="363"/>
      <c r="R109" s="363"/>
      <c r="S109" s="363"/>
      <c r="T109" s="363"/>
      <c r="U109" s="517"/>
      <c r="V109" s="356"/>
    </row>
    <row r="110" spans="1:25">
      <c r="A110" s="344" t="s">
        <v>1377</v>
      </c>
      <c r="B110" s="342" t="s">
        <v>1351</v>
      </c>
      <c r="C110" s="342" t="s">
        <v>1351</v>
      </c>
      <c r="D110" s="342" t="s">
        <v>1352</v>
      </c>
      <c r="E110" s="343">
        <v>45323</v>
      </c>
      <c r="F110" s="344" t="s">
        <v>1378</v>
      </c>
      <c r="G110" s="368" t="s">
        <v>267</v>
      </c>
      <c r="H110" s="342" t="s">
        <v>1354</v>
      </c>
      <c r="I110" s="346">
        <v>18028</v>
      </c>
      <c r="J110" s="346">
        <v>16658</v>
      </c>
      <c r="K110" s="346">
        <v>40723</v>
      </c>
      <c r="L110" s="346">
        <v>55141</v>
      </c>
      <c r="M110" s="346">
        <v>69144</v>
      </c>
      <c r="N110" s="346"/>
      <c r="O110" s="346"/>
      <c r="P110" s="346"/>
      <c r="Q110" s="346"/>
      <c r="R110" s="346"/>
      <c r="S110" s="346"/>
      <c r="T110" s="346"/>
      <c r="U110" s="513">
        <f>SUM(I110:T110)</f>
        <v>199694</v>
      </c>
      <c r="V110" s="514"/>
      <c r="W110" s="514"/>
      <c r="X110" s="514"/>
      <c r="Y110" s="514"/>
    </row>
    <row r="111" spans="1:25">
      <c r="A111" s="349" t="s">
        <v>1377</v>
      </c>
      <c r="B111" s="347" t="s">
        <v>1351</v>
      </c>
      <c r="C111" s="347" t="s">
        <v>1351</v>
      </c>
      <c r="D111" s="347" t="s">
        <v>1352</v>
      </c>
      <c r="E111" s="348">
        <v>45323</v>
      </c>
      <c r="F111" s="349" t="s">
        <v>1378</v>
      </c>
      <c r="G111" s="351" t="s">
        <v>267</v>
      </c>
      <c r="H111" s="347" t="s">
        <v>1355</v>
      </c>
      <c r="I111" s="350">
        <v>16541.62</v>
      </c>
      <c r="J111" s="350">
        <v>15284.57</v>
      </c>
      <c r="K111" s="350">
        <v>37365.449999999997</v>
      </c>
      <c r="L111" s="350">
        <v>50582.22</v>
      </c>
      <c r="M111" s="350">
        <v>63457.43</v>
      </c>
      <c r="N111" s="350"/>
      <c r="O111" s="350"/>
      <c r="P111" s="350"/>
      <c r="Q111" s="350"/>
      <c r="R111" s="350"/>
      <c r="S111" s="350"/>
      <c r="T111" s="350"/>
      <c r="U111" s="515">
        <f>SUM(I111:T111)</f>
        <v>183231.29</v>
      </c>
      <c r="V111" s="516">
        <f>U111/$Y$1</f>
        <v>36867.462776659966</v>
      </c>
    </row>
    <row r="112" spans="1:25">
      <c r="A112" s="349" t="s">
        <v>1377</v>
      </c>
      <c r="B112" s="347" t="s">
        <v>1351</v>
      </c>
      <c r="C112" s="347" t="s">
        <v>1351</v>
      </c>
      <c r="D112" s="347" t="s">
        <v>1352</v>
      </c>
      <c r="E112" s="348">
        <v>45323</v>
      </c>
      <c r="F112" s="349" t="s">
        <v>1378</v>
      </c>
      <c r="G112" s="351" t="s">
        <v>272</v>
      </c>
      <c r="H112" s="341" t="s">
        <v>1356</v>
      </c>
      <c r="I112" s="352">
        <v>18028</v>
      </c>
      <c r="J112" s="352">
        <v>16658</v>
      </c>
      <c r="K112" s="352">
        <v>40723</v>
      </c>
      <c r="L112" s="352">
        <v>54929</v>
      </c>
      <c r="M112" s="352">
        <v>69144</v>
      </c>
      <c r="N112" s="354"/>
      <c r="O112" s="354"/>
      <c r="P112" s="354"/>
      <c r="Q112" s="354"/>
      <c r="R112" s="354"/>
      <c r="S112" s="354"/>
      <c r="T112" s="354"/>
      <c r="U112" s="517"/>
      <c r="V112" s="356"/>
    </row>
    <row r="113" spans="1:25">
      <c r="A113" s="349" t="s">
        <v>1377</v>
      </c>
      <c r="B113" s="347" t="s">
        <v>1351</v>
      </c>
      <c r="C113" s="347" t="s">
        <v>1351</v>
      </c>
      <c r="D113" s="347" t="s">
        <v>1352</v>
      </c>
      <c r="E113" s="348">
        <v>45323</v>
      </c>
      <c r="F113" s="349" t="s">
        <v>1378</v>
      </c>
      <c r="G113" s="351" t="s">
        <v>272</v>
      </c>
      <c r="H113" s="341" t="s">
        <v>1357</v>
      </c>
      <c r="I113" s="355">
        <v>0.91755160000000002</v>
      </c>
      <c r="J113" s="355">
        <v>0.91755160000000002</v>
      </c>
      <c r="K113" s="355">
        <v>0.91755160000000002</v>
      </c>
      <c r="L113" s="355">
        <v>0.91775760000000006</v>
      </c>
      <c r="M113" s="355">
        <v>0.91775760000000006</v>
      </c>
      <c r="N113" s="355"/>
      <c r="O113" s="355"/>
      <c r="P113" s="355"/>
      <c r="Q113" s="355"/>
      <c r="R113" s="355"/>
      <c r="S113" s="355"/>
      <c r="T113" s="355"/>
      <c r="U113" s="517"/>
      <c r="V113"/>
    </row>
    <row r="114" spans="1:25">
      <c r="A114" s="349" t="s">
        <v>1377</v>
      </c>
      <c r="B114" s="347" t="s">
        <v>1351</v>
      </c>
      <c r="C114" s="347" t="s">
        <v>1351</v>
      </c>
      <c r="D114" s="347" t="s">
        <v>1352</v>
      </c>
      <c r="E114" s="348">
        <v>45323</v>
      </c>
      <c r="F114" s="349" t="s">
        <v>1378</v>
      </c>
      <c r="G114" s="351" t="s">
        <v>270</v>
      </c>
      <c r="H114" s="341" t="s">
        <v>1358</v>
      </c>
      <c r="I114" s="357">
        <v>0</v>
      </c>
      <c r="J114" s="357">
        <v>0</v>
      </c>
      <c r="K114" s="357">
        <v>0</v>
      </c>
      <c r="L114" s="357">
        <v>212</v>
      </c>
      <c r="M114" s="357">
        <v>0</v>
      </c>
      <c r="N114" s="357"/>
      <c r="O114" s="357"/>
      <c r="P114" s="357"/>
      <c r="Q114" s="357"/>
      <c r="R114" s="357"/>
      <c r="S114" s="357"/>
      <c r="T114" s="357"/>
      <c r="U114" s="519"/>
      <c r="V114"/>
    </row>
    <row r="115" spans="1:25">
      <c r="A115" s="349" t="s">
        <v>1377</v>
      </c>
      <c r="B115" s="347" t="s">
        <v>1351</v>
      </c>
      <c r="C115" s="347" t="s">
        <v>1351</v>
      </c>
      <c r="D115" s="347" t="s">
        <v>1352</v>
      </c>
      <c r="E115" s="348">
        <v>45323</v>
      </c>
      <c r="F115" s="349" t="s">
        <v>1378</v>
      </c>
      <c r="G115" s="351" t="s">
        <v>270</v>
      </c>
      <c r="H115" s="341" t="s">
        <v>1357</v>
      </c>
      <c r="I115" s="355">
        <v>0.80505159999999998</v>
      </c>
      <c r="J115" s="355">
        <v>0.80505159999999998</v>
      </c>
      <c r="K115" s="355">
        <v>0.80505159999999998</v>
      </c>
      <c r="L115" s="355">
        <v>0.80525760000000002</v>
      </c>
      <c r="M115" s="355">
        <v>0.80525760000000002</v>
      </c>
      <c r="N115" s="355"/>
      <c r="O115" s="355"/>
      <c r="P115" s="355"/>
      <c r="Q115" s="355"/>
      <c r="R115" s="355"/>
      <c r="S115" s="355"/>
      <c r="T115" s="355"/>
      <c r="U115" s="517"/>
      <c r="V115" s="356"/>
    </row>
    <row r="116" spans="1:25">
      <c r="A116" s="349" t="s">
        <v>1377</v>
      </c>
      <c r="B116" s="347" t="s">
        <v>1351</v>
      </c>
      <c r="C116" s="347" t="s">
        <v>1351</v>
      </c>
      <c r="D116" s="347" t="s">
        <v>1352</v>
      </c>
      <c r="E116" s="348">
        <v>45323</v>
      </c>
      <c r="F116" s="349" t="s">
        <v>1378</v>
      </c>
      <c r="G116" s="351" t="s">
        <v>267</v>
      </c>
      <c r="H116" s="341" t="s">
        <v>1360</v>
      </c>
      <c r="I116" s="355">
        <v>0</v>
      </c>
      <c r="J116" s="355">
        <v>0</v>
      </c>
      <c r="K116" s="355">
        <v>0</v>
      </c>
      <c r="L116" s="355">
        <v>0</v>
      </c>
      <c r="M116" s="355">
        <v>0</v>
      </c>
      <c r="N116" s="354"/>
      <c r="O116" s="354"/>
      <c r="P116" s="354"/>
      <c r="Q116" s="354"/>
      <c r="R116" s="354"/>
      <c r="S116" s="354"/>
      <c r="T116" s="354"/>
      <c r="U116" s="517"/>
      <c r="V116" s="356"/>
    </row>
    <row r="117" spans="1:25">
      <c r="A117" s="349" t="s">
        <v>1377</v>
      </c>
      <c r="B117" s="347" t="s">
        <v>1351</v>
      </c>
      <c r="C117" s="347" t="s">
        <v>1351</v>
      </c>
      <c r="D117" s="347" t="s">
        <v>1352</v>
      </c>
      <c r="E117" s="348">
        <v>45323</v>
      </c>
      <c r="F117" s="349" t="s">
        <v>1378</v>
      </c>
      <c r="G117" s="351" t="s">
        <v>267</v>
      </c>
      <c r="H117" s="341" t="s">
        <v>1357</v>
      </c>
      <c r="I117" s="355">
        <v>0.59499999999999997</v>
      </c>
      <c r="J117" s="355">
        <v>0.59499999999999997</v>
      </c>
      <c r="K117" s="355">
        <v>0.59499999999999997</v>
      </c>
      <c r="L117" s="355">
        <v>0.59499999999999997</v>
      </c>
      <c r="M117" s="355">
        <v>0.59499999999999997</v>
      </c>
      <c r="N117" s="355"/>
      <c r="O117" s="355"/>
      <c r="P117" s="355"/>
      <c r="Q117" s="355"/>
      <c r="R117" s="355"/>
      <c r="S117" s="355"/>
      <c r="T117" s="355"/>
      <c r="U117" s="517"/>
      <c r="V117"/>
    </row>
    <row r="118" spans="1:25">
      <c r="A118" s="344" t="s">
        <v>1379</v>
      </c>
      <c r="B118" s="344" t="s">
        <v>1351</v>
      </c>
      <c r="C118" s="344" t="s">
        <v>1351</v>
      </c>
      <c r="D118" s="344" t="s">
        <v>1352</v>
      </c>
      <c r="E118" s="343">
        <v>45323</v>
      </c>
      <c r="F118" s="370" t="s">
        <v>1366</v>
      </c>
      <c r="G118" s="372" t="s">
        <v>292</v>
      </c>
      <c r="H118" s="342" t="s">
        <v>1354</v>
      </c>
      <c r="I118" s="346">
        <v>192460</v>
      </c>
      <c r="J118" s="346">
        <v>194609</v>
      </c>
      <c r="K118" s="346">
        <v>291411</v>
      </c>
      <c r="L118" s="346">
        <v>431250</v>
      </c>
      <c r="M118" s="346">
        <v>431385</v>
      </c>
      <c r="N118" s="346"/>
      <c r="O118" s="346"/>
      <c r="P118" s="346"/>
      <c r="Q118" s="346"/>
      <c r="R118" s="346"/>
      <c r="S118" s="346"/>
      <c r="T118" s="346"/>
      <c r="U118" s="513">
        <f>SUM(I118:T118)</f>
        <v>1541115</v>
      </c>
      <c r="V118" s="514"/>
      <c r="W118" s="514"/>
      <c r="X118" s="514"/>
      <c r="Y118" s="514"/>
    </row>
    <row r="119" spans="1:25">
      <c r="A119" s="349" t="s">
        <v>1379</v>
      </c>
      <c r="B119" s="349" t="s">
        <v>1351</v>
      </c>
      <c r="C119" s="349" t="s">
        <v>1351</v>
      </c>
      <c r="D119" s="349" t="s">
        <v>1352</v>
      </c>
      <c r="E119" s="348">
        <v>45323</v>
      </c>
      <c r="F119" s="351" t="s">
        <v>1366</v>
      </c>
      <c r="G119" s="373" t="s">
        <v>292</v>
      </c>
      <c r="H119" s="347" t="s">
        <v>1355</v>
      </c>
      <c r="I119" s="350">
        <v>187457.03</v>
      </c>
      <c r="J119" s="350">
        <v>189663.74</v>
      </c>
      <c r="K119" s="350">
        <v>283427.92</v>
      </c>
      <c r="L119" s="350">
        <v>410058.19</v>
      </c>
      <c r="M119" s="350">
        <v>405507.38</v>
      </c>
      <c r="N119" s="350"/>
      <c r="O119" s="350"/>
      <c r="P119" s="350"/>
      <c r="Q119" s="350"/>
      <c r="R119" s="350"/>
      <c r="S119" s="350"/>
      <c r="T119" s="350"/>
      <c r="U119" s="515">
        <f>SUM(I119:T119)</f>
        <v>1476114.2599999998</v>
      </c>
      <c r="V119" s="516">
        <f>U119/$Y$1</f>
        <v>297004.88128772634</v>
      </c>
    </row>
    <row r="120" spans="1:25">
      <c r="A120" s="349" t="s">
        <v>1379</v>
      </c>
      <c r="B120" s="349" t="s">
        <v>1351</v>
      </c>
      <c r="C120" s="349" t="s">
        <v>1351</v>
      </c>
      <c r="D120" s="349" t="s">
        <v>1352</v>
      </c>
      <c r="E120" s="348">
        <v>45323</v>
      </c>
      <c r="F120" s="351" t="s">
        <v>1366</v>
      </c>
      <c r="G120" s="373" t="s">
        <v>294</v>
      </c>
      <c r="H120" s="341" t="s">
        <v>1356</v>
      </c>
      <c r="I120" s="352">
        <v>50278</v>
      </c>
      <c r="J120" s="352">
        <v>55155</v>
      </c>
      <c r="K120" s="352">
        <v>97895</v>
      </c>
      <c r="L120" s="352">
        <v>81964</v>
      </c>
      <c r="M120" s="352">
        <v>37745</v>
      </c>
      <c r="N120" s="354"/>
      <c r="O120" s="354"/>
      <c r="P120" s="354"/>
      <c r="Q120" s="354"/>
      <c r="R120" s="354"/>
      <c r="S120" s="354"/>
      <c r="T120" s="354"/>
      <c r="U120" s="517"/>
      <c r="V120" s="356"/>
    </row>
    <row r="121" spans="1:25">
      <c r="A121" s="349" t="s">
        <v>1379</v>
      </c>
      <c r="B121" s="349" t="s">
        <v>1351</v>
      </c>
      <c r="C121" s="349" t="s">
        <v>1351</v>
      </c>
      <c r="D121" s="349" t="s">
        <v>1352</v>
      </c>
      <c r="E121" s="348">
        <v>45323</v>
      </c>
      <c r="F121" s="351" t="s">
        <v>1366</v>
      </c>
      <c r="G121" s="373" t="s">
        <v>294</v>
      </c>
      <c r="H121" s="341" t="s">
        <v>1357</v>
      </c>
      <c r="I121" s="355">
        <v>0.97491159999999999</v>
      </c>
      <c r="J121" s="355">
        <v>0.97491159999999999</v>
      </c>
      <c r="K121" s="355">
        <v>0.97491159999999999</v>
      </c>
      <c r="L121" s="355">
        <v>0.97511760000000003</v>
      </c>
      <c r="M121" s="355">
        <v>0.97511760000000003</v>
      </c>
      <c r="N121" s="355"/>
      <c r="O121" s="355"/>
      <c r="P121" s="355"/>
      <c r="Q121" s="355"/>
      <c r="R121" s="355"/>
      <c r="S121" s="355"/>
      <c r="T121" s="355"/>
      <c r="U121" s="519"/>
      <c r="V121"/>
    </row>
    <row r="122" spans="1:25">
      <c r="A122" s="349" t="s">
        <v>1379</v>
      </c>
      <c r="B122" s="349" t="s">
        <v>1351</v>
      </c>
      <c r="C122" s="349" t="s">
        <v>1351</v>
      </c>
      <c r="D122" s="349" t="s">
        <v>1352</v>
      </c>
      <c r="E122" s="348">
        <v>45323</v>
      </c>
      <c r="F122" s="351" t="s">
        <v>1366</v>
      </c>
      <c r="G122" s="373" t="s">
        <v>294</v>
      </c>
      <c r="H122" s="341" t="s">
        <v>1358</v>
      </c>
      <c r="I122" s="357">
        <v>111</v>
      </c>
      <c r="J122" s="357">
        <v>62</v>
      </c>
      <c r="K122" s="357">
        <v>348</v>
      </c>
      <c r="L122" s="357">
        <v>482</v>
      </c>
      <c r="M122" s="357">
        <v>0</v>
      </c>
      <c r="N122" s="354"/>
      <c r="O122" s="354"/>
      <c r="P122" s="354"/>
      <c r="Q122" s="354"/>
      <c r="R122" s="354"/>
      <c r="S122" s="354"/>
      <c r="T122" s="354"/>
      <c r="U122" s="517"/>
      <c r="V122" s="356"/>
    </row>
    <row r="123" spans="1:25">
      <c r="A123" s="349" t="s">
        <v>1379</v>
      </c>
      <c r="B123" s="349" t="s">
        <v>1351</v>
      </c>
      <c r="C123" s="349" t="s">
        <v>1351</v>
      </c>
      <c r="D123" s="349" t="s">
        <v>1352</v>
      </c>
      <c r="E123" s="348">
        <v>45323</v>
      </c>
      <c r="F123" s="351" t="s">
        <v>1366</v>
      </c>
      <c r="G123" s="373" t="s">
        <v>294</v>
      </c>
      <c r="H123" s="341" t="s">
        <v>1357</v>
      </c>
      <c r="I123" s="355">
        <v>0.85501159999999998</v>
      </c>
      <c r="J123" s="355">
        <v>0.85501159999999998</v>
      </c>
      <c r="K123" s="355">
        <v>0.85501159999999998</v>
      </c>
      <c r="L123" s="355">
        <v>0.85521760000000002</v>
      </c>
      <c r="M123" s="355">
        <v>0.85521760000000002</v>
      </c>
      <c r="N123" s="355"/>
      <c r="O123" s="355"/>
      <c r="P123" s="355"/>
      <c r="Q123" s="355"/>
      <c r="R123" s="355"/>
      <c r="S123" s="355"/>
      <c r="T123" s="355"/>
      <c r="U123" s="519"/>
      <c r="V123"/>
    </row>
    <row r="124" spans="1:25">
      <c r="A124" s="349" t="s">
        <v>1379</v>
      </c>
      <c r="B124" s="349" t="s">
        <v>1351</v>
      </c>
      <c r="C124" s="349" t="s">
        <v>1351</v>
      </c>
      <c r="D124" s="349" t="s">
        <v>1352</v>
      </c>
      <c r="E124" s="348">
        <v>45323</v>
      </c>
      <c r="F124" s="351" t="s">
        <v>1366</v>
      </c>
      <c r="G124" s="373" t="s">
        <v>296</v>
      </c>
      <c r="H124" s="341" t="s">
        <v>1356</v>
      </c>
      <c r="I124" s="352">
        <v>77325</v>
      </c>
      <c r="J124" s="352">
        <v>80953</v>
      </c>
      <c r="K124" s="352">
        <v>110515</v>
      </c>
      <c r="L124" s="352">
        <v>138855</v>
      </c>
      <c r="M124" s="352">
        <v>113990</v>
      </c>
      <c r="N124" s="354"/>
      <c r="O124" s="354"/>
      <c r="P124" s="354"/>
      <c r="Q124" s="354"/>
      <c r="R124" s="354"/>
      <c r="S124" s="354"/>
      <c r="T124" s="354"/>
      <c r="U124" s="517"/>
      <c r="V124" s="356"/>
    </row>
    <row r="125" spans="1:25">
      <c r="A125" s="349" t="s">
        <v>1379</v>
      </c>
      <c r="B125" s="349" t="s">
        <v>1351</v>
      </c>
      <c r="C125" s="349" t="s">
        <v>1351</v>
      </c>
      <c r="D125" s="349" t="s">
        <v>1352</v>
      </c>
      <c r="E125" s="348">
        <v>45323</v>
      </c>
      <c r="F125" s="351" t="s">
        <v>1366</v>
      </c>
      <c r="G125" s="373" t="s">
        <v>296</v>
      </c>
      <c r="H125" s="341" t="s">
        <v>1357</v>
      </c>
      <c r="I125" s="355">
        <v>0.97491159999999999</v>
      </c>
      <c r="J125" s="355">
        <v>0.97491159999999999</v>
      </c>
      <c r="K125" s="355">
        <v>0.97491159999999999</v>
      </c>
      <c r="L125" s="355">
        <v>0.97511760000000003</v>
      </c>
      <c r="M125" s="355">
        <v>0.97511760000000003</v>
      </c>
      <c r="N125" s="355"/>
      <c r="O125" s="355"/>
      <c r="P125" s="355"/>
      <c r="Q125" s="355"/>
      <c r="R125" s="355"/>
      <c r="S125" s="355"/>
      <c r="T125" s="355"/>
      <c r="U125" s="519"/>
      <c r="V125"/>
    </row>
    <row r="126" spans="1:25">
      <c r="A126" s="349" t="s">
        <v>1379</v>
      </c>
      <c r="B126" s="349" t="s">
        <v>1351</v>
      </c>
      <c r="C126" s="349" t="s">
        <v>1351</v>
      </c>
      <c r="D126" s="349" t="s">
        <v>1352</v>
      </c>
      <c r="E126" s="348">
        <v>45323</v>
      </c>
      <c r="F126" s="351" t="s">
        <v>1366</v>
      </c>
      <c r="G126" s="373" t="s">
        <v>296</v>
      </c>
      <c r="H126" s="341" t="s">
        <v>1358</v>
      </c>
      <c r="I126" s="357">
        <v>1344</v>
      </c>
      <c r="J126" s="357">
        <v>462</v>
      </c>
      <c r="K126" s="357">
        <v>5220</v>
      </c>
      <c r="L126" s="357">
        <v>86727</v>
      </c>
      <c r="M126" s="357">
        <v>126303</v>
      </c>
      <c r="N126" s="355"/>
      <c r="O126" s="355"/>
      <c r="P126" s="355"/>
      <c r="Q126" s="355"/>
      <c r="R126" s="354"/>
      <c r="S126" s="354"/>
      <c r="T126" s="354"/>
      <c r="U126" s="517"/>
      <c r="V126" s="356"/>
    </row>
    <row r="127" spans="1:25">
      <c r="A127" s="349" t="s">
        <v>1379</v>
      </c>
      <c r="B127" s="349" t="s">
        <v>1351</v>
      </c>
      <c r="C127" s="349" t="s">
        <v>1351</v>
      </c>
      <c r="D127" s="349" t="s">
        <v>1352</v>
      </c>
      <c r="E127" s="348">
        <v>45323</v>
      </c>
      <c r="F127" s="351" t="s">
        <v>1366</v>
      </c>
      <c r="G127" s="373" t="s">
        <v>296</v>
      </c>
      <c r="H127" s="341" t="s">
        <v>1357</v>
      </c>
      <c r="I127" s="355">
        <v>0.85501159999999998</v>
      </c>
      <c r="J127" s="355">
        <v>0.85501159999999998</v>
      </c>
      <c r="K127" s="355">
        <v>0.85501159999999998</v>
      </c>
      <c r="L127" s="355">
        <v>0.85521760000000002</v>
      </c>
      <c r="M127" s="355">
        <v>0.85521760000000002</v>
      </c>
      <c r="N127" s="355"/>
      <c r="O127" s="355"/>
      <c r="P127" s="355"/>
      <c r="Q127" s="355"/>
      <c r="R127" s="355"/>
      <c r="S127" s="355"/>
      <c r="T127" s="355"/>
      <c r="U127" s="519"/>
      <c r="V127"/>
    </row>
    <row r="128" spans="1:25">
      <c r="A128" s="349" t="s">
        <v>1379</v>
      </c>
      <c r="B128" s="349" t="s">
        <v>1351</v>
      </c>
      <c r="C128" s="349" t="s">
        <v>1351</v>
      </c>
      <c r="D128" s="349" t="s">
        <v>1352</v>
      </c>
      <c r="E128" s="348">
        <v>45323</v>
      </c>
      <c r="F128" s="351" t="s">
        <v>1366</v>
      </c>
      <c r="G128" s="373" t="s">
        <v>298</v>
      </c>
      <c r="H128" s="341" t="s">
        <v>1356</v>
      </c>
      <c r="I128" s="352">
        <v>63402</v>
      </c>
      <c r="J128" s="352">
        <v>57977</v>
      </c>
      <c r="K128" s="352">
        <v>77396</v>
      </c>
      <c r="L128" s="352">
        <v>123181</v>
      </c>
      <c r="M128" s="352">
        <v>153347</v>
      </c>
      <c r="N128" s="354"/>
      <c r="O128" s="354"/>
      <c r="P128" s="354"/>
      <c r="Q128" s="354"/>
      <c r="R128" s="354"/>
      <c r="S128" s="354"/>
      <c r="T128" s="354"/>
      <c r="U128" s="517"/>
      <c r="V128" s="356"/>
    </row>
    <row r="129" spans="1:25">
      <c r="A129" s="349" t="s">
        <v>1379</v>
      </c>
      <c r="B129" s="349" t="s">
        <v>1351</v>
      </c>
      <c r="C129" s="349" t="s">
        <v>1351</v>
      </c>
      <c r="D129" s="349" t="s">
        <v>1352</v>
      </c>
      <c r="E129" s="348">
        <v>45323</v>
      </c>
      <c r="F129" s="351" t="s">
        <v>1366</v>
      </c>
      <c r="G129" s="373" t="s">
        <v>298</v>
      </c>
      <c r="H129" s="341" t="s">
        <v>1357</v>
      </c>
      <c r="I129" s="355">
        <v>0.97491159999999999</v>
      </c>
      <c r="J129" s="355">
        <v>0.97491159999999999</v>
      </c>
      <c r="K129" s="355">
        <v>0.97491159999999999</v>
      </c>
      <c r="L129" s="355">
        <v>0.97511760000000003</v>
      </c>
      <c r="M129" s="355">
        <v>0.97511760000000003</v>
      </c>
      <c r="N129" s="355"/>
      <c r="O129" s="355"/>
      <c r="P129" s="355"/>
      <c r="Q129" s="355"/>
      <c r="R129" s="355"/>
      <c r="S129" s="355"/>
      <c r="T129" s="355"/>
      <c r="U129" s="519"/>
      <c r="V129"/>
    </row>
    <row r="130" spans="1:25">
      <c r="A130" s="349" t="s">
        <v>1379</v>
      </c>
      <c r="B130" s="349" t="s">
        <v>1351</v>
      </c>
      <c r="C130" s="349" t="s">
        <v>1351</v>
      </c>
      <c r="D130" s="349" t="s">
        <v>1352</v>
      </c>
      <c r="E130" s="348">
        <v>45323</v>
      </c>
      <c r="F130" s="351" t="s">
        <v>1366</v>
      </c>
      <c r="G130" s="373" t="s">
        <v>298</v>
      </c>
      <c r="H130" s="341" t="s">
        <v>1358</v>
      </c>
      <c r="I130" s="357">
        <v>0</v>
      </c>
      <c r="J130" s="357">
        <v>0</v>
      </c>
      <c r="K130" s="357">
        <v>37</v>
      </c>
      <c r="L130" s="357">
        <v>41</v>
      </c>
      <c r="M130" s="357">
        <v>0</v>
      </c>
      <c r="N130" s="354"/>
      <c r="O130" s="354"/>
      <c r="P130" s="354"/>
      <c r="Q130" s="354"/>
      <c r="R130" s="354"/>
      <c r="S130" s="354"/>
      <c r="T130" s="354"/>
      <c r="U130" s="517"/>
      <c r="V130" s="356"/>
    </row>
    <row r="131" spans="1:25">
      <c r="A131" s="349" t="s">
        <v>1379</v>
      </c>
      <c r="B131" s="349" t="s">
        <v>1351</v>
      </c>
      <c r="C131" s="349" t="s">
        <v>1351</v>
      </c>
      <c r="D131" s="349" t="s">
        <v>1352</v>
      </c>
      <c r="E131" s="348">
        <v>45323</v>
      </c>
      <c r="F131" s="351" t="s">
        <v>1366</v>
      </c>
      <c r="G131" s="373" t="s">
        <v>298</v>
      </c>
      <c r="H131" s="341" t="s">
        <v>1357</v>
      </c>
      <c r="I131" s="355">
        <v>0.85501159999999998</v>
      </c>
      <c r="J131" s="355">
        <v>0.85501159999999998</v>
      </c>
      <c r="K131" s="355">
        <v>0.85501159999999998</v>
      </c>
      <c r="L131" s="355">
        <v>0.85521760000000002</v>
      </c>
      <c r="M131" s="355">
        <v>0.85521760000000002</v>
      </c>
      <c r="N131" s="355"/>
      <c r="O131" s="355"/>
      <c r="P131" s="355"/>
      <c r="Q131" s="355"/>
      <c r="R131" s="355"/>
      <c r="S131" s="355"/>
      <c r="T131" s="355"/>
      <c r="U131" s="519"/>
      <c r="V131"/>
    </row>
    <row r="132" spans="1:25" ht="15.95" customHeight="1">
      <c r="A132" s="349" t="s">
        <v>1379</v>
      </c>
      <c r="B132" s="349"/>
      <c r="C132" s="615" t="s">
        <v>1419</v>
      </c>
      <c r="D132" s="347"/>
      <c r="E132" s="348"/>
      <c r="F132" s="349"/>
      <c r="G132" s="372" t="s">
        <v>292</v>
      </c>
      <c r="H132" s="347" t="s">
        <v>1360</v>
      </c>
      <c r="I132" s="355">
        <v>0</v>
      </c>
      <c r="J132" s="355">
        <v>0</v>
      </c>
      <c r="K132" s="355">
        <v>0</v>
      </c>
      <c r="L132" s="355">
        <v>0</v>
      </c>
      <c r="M132" s="355">
        <v>0</v>
      </c>
      <c r="N132" s="355"/>
      <c r="O132" s="355"/>
      <c r="P132" s="357"/>
      <c r="Q132" s="357"/>
      <c r="R132" s="354"/>
      <c r="S132" s="354"/>
      <c r="T132" s="354"/>
      <c r="U132" s="519"/>
      <c r="V132"/>
    </row>
    <row r="133" spans="1:25">
      <c r="A133" s="349" t="s">
        <v>1379</v>
      </c>
      <c r="B133" s="349"/>
      <c r="C133" s="615"/>
      <c r="D133" s="347"/>
      <c r="E133" s="348"/>
      <c r="F133" s="349"/>
      <c r="G133" s="372" t="s">
        <v>292</v>
      </c>
      <c r="H133" s="347" t="s">
        <v>1357</v>
      </c>
      <c r="I133" s="355">
        <v>0.59499999999999997</v>
      </c>
      <c r="J133" s="355">
        <v>0.59499999999999997</v>
      </c>
      <c r="K133" s="355">
        <v>0.59499999999999997</v>
      </c>
      <c r="L133" s="355">
        <v>0.59499999999999997</v>
      </c>
      <c r="M133" s="355">
        <v>0.59499999999999997</v>
      </c>
      <c r="N133" s="355"/>
      <c r="O133" s="355"/>
      <c r="P133" s="355"/>
      <c r="Q133" s="355"/>
      <c r="R133" s="355"/>
      <c r="S133" s="355"/>
      <c r="T133" s="355"/>
      <c r="U133" s="519"/>
      <c r="V133"/>
    </row>
    <row r="134" spans="1:25">
      <c r="A134" s="374" t="s">
        <v>1380</v>
      </c>
      <c r="B134" s="375" t="s">
        <v>1351</v>
      </c>
      <c r="C134" s="375" t="s">
        <v>1351</v>
      </c>
      <c r="D134" s="375" t="s">
        <v>1352</v>
      </c>
      <c r="E134" s="376">
        <v>45292</v>
      </c>
      <c r="F134" s="374" t="s">
        <v>1374</v>
      </c>
      <c r="G134" s="377" t="s">
        <v>437</v>
      </c>
      <c r="H134" s="375" t="s">
        <v>1354</v>
      </c>
      <c r="I134" s="378">
        <v>93001</v>
      </c>
      <c r="J134" s="378">
        <v>78627.5</v>
      </c>
      <c r="K134" s="378">
        <v>157125</v>
      </c>
      <c r="L134" s="378">
        <v>292978</v>
      </c>
      <c r="M134" s="378">
        <v>220510.50000000003</v>
      </c>
      <c r="N134" s="378"/>
      <c r="O134" s="378"/>
      <c r="P134" s="378"/>
      <c r="Q134" s="378"/>
      <c r="R134" s="378"/>
      <c r="S134" s="378"/>
      <c r="T134" s="378"/>
      <c r="U134" s="513">
        <f>SUM(I134:T134)</f>
        <v>842242</v>
      </c>
      <c r="V134" s="514"/>
      <c r="W134" s="520"/>
      <c r="X134" s="520"/>
      <c r="Y134" s="520"/>
    </row>
    <row r="135" spans="1:25">
      <c r="A135" s="349" t="s">
        <v>1380</v>
      </c>
      <c r="B135" s="347" t="s">
        <v>1351</v>
      </c>
      <c r="C135" s="347" t="s">
        <v>1351</v>
      </c>
      <c r="D135" s="347" t="s">
        <v>1352</v>
      </c>
      <c r="E135" s="348">
        <v>45292</v>
      </c>
      <c r="F135" s="349" t="s">
        <v>1374</v>
      </c>
      <c r="G135" s="351" t="s">
        <v>146</v>
      </c>
      <c r="H135" s="347" t="s">
        <v>1355</v>
      </c>
      <c r="I135" s="350">
        <v>89952.07</v>
      </c>
      <c r="J135" s="350">
        <v>76053.58</v>
      </c>
      <c r="K135" s="350">
        <v>149087.73000000001</v>
      </c>
      <c r="L135" s="350">
        <v>279140.61</v>
      </c>
      <c r="M135" s="350">
        <v>208451.5</v>
      </c>
      <c r="N135" s="350"/>
      <c r="O135" s="350"/>
      <c r="P135" s="350"/>
      <c r="Q135" s="350"/>
      <c r="R135" s="350"/>
      <c r="S135" s="350"/>
      <c r="T135" s="350"/>
      <c r="U135" s="515">
        <f>SUM(I135:T135)</f>
        <v>802685.49</v>
      </c>
      <c r="V135" s="516">
        <f>U135/$Y$1</f>
        <v>161506.13480885312</v>
      </c>
    </row>
    <row r="136" spans="1:25">
      <c r="A136" s="349" t="s">
        <v>1380</v>
      </c>
      <c r="B136" s="347" t="s">
        <v>1351</v>
      </c>
      <c r="C136" s="347" t="s">
        <v>1351</v>
      </c>
      <c r="D136" s="347" t="s">
        <v>1352</v>
      </c>
      <c r="E136" s="348">
        <v>45292</v>
      </c>
      <c r="F136" s="349" t="s">
        <v>1374</v>
      </c>
      <c r="G136" s="351" t="s">
        <v>146</v>
      </c>
      <c r="H136" s="341" t="s">
        <v>1356</v>
      </c>
      <c r="I136" s="352">
        <v>59388</v>
      </c>
      <c r="J136" s="352">
        <v>34965</v>
      </c>
      <c r="K136" s="352">
        <v>101673</v>
      </c>
      <c r="L136" s="352">
        <v>114102</v>
      </c>
      <c r="M136" s="352">
        <v>133343</v>
      </c>
      <c r="N136" s="354"/>
      <c r="O136" s="354"/>
      <c r="P136" s="354"/>
      <c r="Q136" s="354"/>
      <c r="R136" s="354"/>
      <c r="S136" s="354"/>
      <c r="T136" s="354"/>
      <c r="U136" s="517"/>
      <c r="V136" s="356"/>
    </row>
    <row r="137" spans="1:25">
      <c r="A137" s="349" t="s">
        <v>1380</v>
      </c>
      <c r="B137" s="347" t="s">
        <v>1351</v>
      </c>
      <c r="C137" s="347" t="s">
        <v>1351</v>
      </c>
      <c r="D137" s="347" t="s">
        <v>1352</v>
      </c>
      <c r="E137" s="348">
        <v>45292</v>
      </c>
      <c r="F137" s="349" t="s">
        <v>1374</v>
      </c>
      <c r="G137" s="351" t="s">
        <v>146</v>
      </c>
      <c r="H137" s="341" t="s">
        <v>1357</v>
      </c>
      <c r="I137" s="355">
        <v>0.96780160000000004</v>
      </c>
      <c r="J137" s="355">
        <v>0.96780160000000004</v>
      </c>
      <c r="K137" s="355">
        <v>0.96780160000000004</v>
      </c>
      <c r="L137" s="355">
        <v>0.96800760000000008</v>
      </c>
      <c r="M137" s="355">
        <v>0.96800760000000008</v>
      </c>
      <c r="N137" s="355"/>
      <c r="O137" s="355"/>
      <c r="P137" s="355"/>
      <c r="Q137" s="355"/>
      <c r="R137" s="355"/>
      <c r="S137" s="355"/>
      <c r="T137" s="355"/>
      <c r="U137" s="517"/>
      <c r="V137"/>
    </row>
    <row r="138" spans="1:25">
      <c r="A138" s="349" t="s">
        <v>1380</v>
      </c>
      <c r="B138" s="347" t="s">
        <v>1351</v>
      </c>
      <c r="C138" s="347" t="s">
        <v>1351</v>
      </c>
      <c r="D138" s="347" t="s">
        <v>1352</v>
      </c>
      <c r="E138" s="348">
        <v>45292</v>
      </c>
      <c r="F138" s="349" t="s">
        <v>1374</v>
      </c>
      <c r="G138" s="351" t="s">
        <v>145</v>
      </c>
      <c r="H138" s="341" t="s">
        <v>1358</v>
      </c>
      <c r="I138" s="354">
        <v>406</v>
      </c>
      <c r="J138" s="354">
        <v>315</v>
      </c>
      <c r="K138" s="354">
        <v>22208</v>
      </c>
      <c r="L138" s="354">
        <v>33291</v>
      </c>
      <c r="M138" s="354">
        <v>37318</v>
      </c>
      <c r="N138" s="354"/>
      <c r="O138" s="354"/>
      <c r="P138" s="354"/>
      <c r="Q138" s="354"/>
      <c r="R138" s="354"/>
      <c r="S138" s="354"/>
      <c r="T138" s="354"/>
      <c r="U138" s="519"/>
      <c r="V138"/>
    </row>
    <row r="139" spans="1:25">
      <c r="A139" s="349" t="s">
        <v>1380</v>
      </c>
      <c r="B139" s="347" t="s">
        <v>1351</v>
      </c>
      <c r="C139" s="347" t="s">
        <v>1351</v>
      </c>
      <c r="D139" s="347" t="s">
        <v>1352</v>
      </c>
      <c r="E139" s="348">
        <v>45292</v>
      </c>
      <c r="F139" s="349" t="s">
        <v>1374</v>
      </c>
      <c r="G139" s="351" t="s">
        <v>145</v>
      </c>
      <c r="H139" s="341" t="s">
        <v>1357</v>
      </c>
      <c r="I139" s="355">
        <v>0.83370160000000004</v>
      </c>
      <c r="J139" s="355">
        <v>0.83370160000000004</v>
      </c>
      <c r="K139" s="355">
        <v>0.83370160000000004</v>
      </c>
      <c r="L139" s="355">
        <v>0.83390760000000008</v>
      </c>
      <c r="M139" s="355">
        <v>0.83390760000000008</v>
      </c>
      <c r="N139" s="355"/>
      <c r="O139" s="355"/>
      <c r="P139" s="355"/>
      <c r="Q139" s="355"/>
      <c r="R139" s="355"/>
      <c r="S139" s="355"/>
      <c r="T139" s="355"/>
      <c r="U139" s="517"/>
      <c r="V139" s="356"/>
    </row>
    <row r="140" spans="1:25">
      <c r="A140" s="349" t="s">
        <v>1380</v>
      </c>
      <c r="B140" s="347" t="s">
        <v>1351</v>
      </c>
      <c r="C140" s="347" t="s">
        <v>1351</v>
      </c>
      <c r="D140" s="347" t="s">
        <v>1352</v>
      </c>
      <c r="E140" s="348">
        <v>45292</v>
      </c>
      <c r="F140" s="349" t="s">
        <v>1374</v>
      </c>
      <c r="G140" s="351" t="s">
        <v>147</v>
      </c>
      <c r="H140" s="341" t="s">
        <v>1356</v>
      </c>
      <c r="I140" s="352">
        <v>33207</v>
      </c>
      <c r="J140" s="352">
        <v>43347.5</v>
      </c>
      <c r="K140" s="352">
        <v>33244</v>
      </c>
      <c r="L140" s="352">
        <v>145584.99999999997</v>
      </c>
      <c r="M140" s="352">
        <v>49849.500000000036</v>
      </c>
      <c r="N140" s="354"/>
      <c r="O140" s="354"/>
      <c r="P140" s="354"/>
      <c r="Q140" s="354"/>
      <c r="R140" s="354"/>
      <c r="S140" s="354"/>
      <c r="T140" s="354"/>
      <c r="U140" s="517"/>
      <c r="V140" s="356"/>
    </row>
    <row r="141" spans="1:25">
      <c r="A141" s="349" t="s">
        <v>1380</v>
      </c>
      <c r="B141" s="347" t="s">
        <v>1351</v>
      </c>
      <c r="C141" s="347" t="s">
        <v>1351</v>
      </c>
      <c r="D141" s="347" t="s">
        <v>1352</v>
      </c>
      <c r="E141" s="348">
        <v>45292</v>
      </c>
      <c r="F141" s="349" t="s">
        <v>1374</v>
      </c>
      <c r="G141" s="351" t="s">
        <v>147</v>
      </c>
      <c r="H141" s="341" t="s">
        <v>1357</v>
      </c>
      <c r="I141" s="355">
        <v>0.96780160000000004</v>
      </c>
      <c r="J141" s="355">
        <v>0.96780160000000004</v>
      </c>
      <c r="K141" s="355">
        <v>0.96780160000000004</v>
      </c>
      <c r="L141" s="355">
        <v>0.96800760000000008</v>
      </c>
      <c r="M141" s="355">
        <v>0.96800760000000008</v>
      </c>
      <c r="N141" s="355"/>
      <c r="O141" s="355"/>
      <c r="P141" s="355"/>
      <c r="Q141" s="355"/>
      <c r="R141" s="355"/>
      <c r="S141" s="355"/>
      <c r="T141" s="355"/>
      <c r="U141" s="517"/>
      <c r="V141"/>
    </row>
    <row r="142" spans="1:25">
      <c r="A142" s="349" t="s">
        <v>1380</v>
      </c>
      <c r="B142" s="347" t="s">
        <v>1351</v>
      </c>
      <c r="C142" s="347" t="s">
        <v>1351</v>
      </c>
      <c r="D142" s="347" t="s">
        <v>1352</v>
      </c>
      <c r="E142" s="348">
        <v>45292</v>
      </c>
      <c r="F142" s="349" t="s">
        <v>1374</v>
      </c>
      <c r="G142" s="351" t="s">
        <v>147</v>
      </c>
      <c r="H142" s="341" t="s">
        <v>1358</v>
      </c>
      <c r="I142" s="354">
        <v>0</v>
      </c>
      <c r="J142" s="354">
        <v>0</v>
      </c>
      <c r="K142" s="354">
        <v>0</v>
      </c>
      <c r="L142" s="354">
        <v>0</v>
      </c>
      <c r="M142" s="354">
        <v>0</v>
      </c>
      <c r="N142" s="354"/>
      <c r="O142" s="354"/>
      <c r="P142" s="354"/>
      <c r="Q142" s="354"/>
      <c r="R142" s="354"/>
      <c r="S142" s="354"/>
      <c r="T142" s="354"/>
      <c r="U142" s="519"/>
      <c r="V142"/>
    </row>
    <row r="143" spans="1:25">
      <c r="A143" s="349" t="s">
        <v>1380</v>
      </c>
      <c r="B143" s="347" t="s">
        <v>1351</v>
      </c>
      <c r="C143" s="347" t="s">
        <v>1351</v>
      </c>
      <c r="D143" s="347" t="s">
        <v>1352</v>
      </c>
      <c r="E143" s="348">
        <v>45292</v>
      </c>
      <c r="F143" s="349" t="s">
        <v>1374</v>
      </c>
      <c r="G143" s="351" t="s">
        <v>147</v>
      </c>
      <c r="H143" s="341" t="s">
        <v>1357</v>
      </c>
      <c r="I143" s="355">
        <v>0.83370160000000004</v>
      </c>
      <c r="J143" s="355">
        <v>0.83370160000000004</v>
      </c>
      <c r="K143" s="355">
        <v>0.83370160000000004</v>
      </c>
      <c r="L143" s="355">
        <v>0.83390760000000008</v>
      </c>
      <c r="M143" s="355">
        <v>0.83390760000000008</v>
      </c>
      <c r="N143" s="355"/>
      <c r="O143" s="355"/>
      <c r="P143" s="355"/>
      <c r="Q143" s="355"/>
      <c r="R143" s="355"/>
      <c r="S143" s="355"/>
      <c r="T143" s="355"/>
      <c r="U143" s="517"/>
      <c r="V143" s="356"/>
    </row>
    <row r="144" spans="1:25">
      <c r="A144" s="374" t="s">
        <v>1381</v>
      </c>
      <c r="B144" s="375" t="s">
        <v>1351</v>
      </c>
      <c r="C144" s="375" t="s">
        <v>1351</v>
      </c>
      <c r="D144" s="375" t="s">
        <v>1352</v>
      </c>
      <c r="E144" s="343">
        <v>45323</v>
      </c>
      <c r="F144" s="377" t="s">
        <v>1366</v>
      </c>
      <c r="G144" s="377" t="s">
        <v>1382</v>
      </c>
      <c r="H144" s="342" t="s">
        <v>1354</v>
      </c>
      <c r="I144" s="346">
        <v>64642</v>
      </c>
      <c r="J144" s="346">
        <v>66264</v>
      </c>
      <c r="K144" s="346">
        <v>56346</v>
      </c>
      <c r="L144" s="346">
        <v>105117</v>
      </c>
      <c r="M144" s="346">
        <v>157661</v>
      </c>
      <c r="N144" s="346"/>
      <c r="O144" s="346"/>
      <c r="P144" s="346"/>
      <c r="Q144" s="346"/>
      <c r="R144" s="346"/>
      <c r="S144" s="346"/>
      <c r="T144" s="346"/>
      <c r="U144" s="513">
        <f>SUM(I144:T144)</f>
        <v>450030</v>
      </c>
      <c r="V144" s="514"/>
      <c r="W144" s="520"/>
      <c r="X144" s="520"/>
      <c r="Y144" s="520"/>
    </row>
    <row r="145" spans="1:25">
      <c r="A145" s="349" t="s">
        <v>1381</v>
      </c>
      <c r="B145" s="347" t="s">
        <v>1351</v>
      </c>
      <c r="C145" s="347" t="s">
        <v>1351</v>
      </c>
      <c r="D145" s="347" t="s">
        <v>1352</v>
      </c>
      <c r="E145" s="348">
        <v>45323</v>
      </c>
      <c r="F145" s="351" t="s">
        <v>1366</v>
      </c>
      <c r="G145" s="351" t="s">
        <v>1382</v>
      </c>
      <c r="H145" s="347" t="s">
        <v>1355</v>
      </c>
      <c r="I145" s="350">
        <v>63020.24</v>
      </c>
      <c r="J145" s="350">
        <v>64601.54</v>
      </c>
      <c r="K145" s="350">
        <v>54932.37</v>
      </c>
      <c r="L145" s="350">
        <v>102501.44</v>
      </c>
      <c r="M145" s="350">
        <v>153738.01999999999</v>
      </c>
      <c r="N145" s="350"/>
      <c r="O145" s="350"/>
      <c r="P145" s="350"/>
      <c r="Q145" s="350"/>
      <c r="R145" s="350"/>
      <c r="S145" s="350"/>
      <c r="T145" s="350"/>
      <c r="U145" s="515">
        <f>SUM(I145:T145)</f>
        <v>438793.61</v>
      </c>
      <c r="V145" s="516">
        <f>U145/$Y$1</f>
        <v>88288.45271629779</v>
      </c>
    </row>
    <row r="146" spans="1:25">
      <c r="A146" s="349" t="s">
        <v>1381</v>
      </c>
      <c r="B146" s="347" t="s">
        <v>1351</v>
      </c>
      <c r="C146" s="347" t="s">
        <v>1351</v>
      </c>
      <c r="D146" s="347" t="s">
        <v>1352</v>
      </c>
      <c r="E146" s="348">
        <v>45323</v>
      </c>
      <c r="F146" s="351" t="s">
        <v>1366</v>
      </c>
      <c r="G146" s="373" t="s">
        <v>340</v>
      </c>
      <c r="H146" s="341" t="s">
        <v>1356</v>
      </c>
      <c r="I146" s="352">
        <v>33275</v>
      </c>
      <c r="J146" s="352">
        <v>33473</v>
      </c>
      <c r="K146" s="352">
        <v>24759</v>
      </c>
      <c r="L146" s="352">
        <v>56756</v>
      </c>
      <c r="M146" s="352">
        <v>83063</v>
      </c>
      <c r="N146" s="354"/>
      <c r="O146" s="354"/>
      <c r="P146" s="354"/>
      <c r="Q146" s="354"/>
      <c r="R146" s="354"/>
      <c r="S146" s="354"/>
      <c r="T146" s="354"/>
      <c r="U146" s="519"/>
      <c r="V146"/>
    </row>
    <row r="147" spans="1:25">
      <c r="A147" s="349" t="s">
        <v>1381</v>
      </c>
      <c r="B147" s="347" t="s">
        <v>1351</v>
      </c>
      <c r="C147" s="347" t="s">
        <v>1351</v>
      </c>
      <c r="D147" s="347" t="s">
        <v>1352</v>
      </c>
      <c r="E147" s="348">
        <v>45323</v>
      </c>
      <c r="F147" s="351" t="s">
        <v>1366</v>
      </c>
      <c r="G147" s="373" t="s">
        <v>340</v>
      </c>
      <c r="H147" s="341" t="s">
        <v>1357</v>
      </c>
      <c r="I147" s="355">
        <v>0.97491159999999999</v>
      </c>
      <c r="J147" s="355">
        <v>0.97491159999999999</v>
      </c>
      <c r="K147" s="355">
        <v>0.97491159999999999</v>
      </c>
      <c r="L147" s="355">
        <v>0.97511760000000003</v>
      </c>
      <c r="M147" s="355">
        <v>0.97511760000000003</v>
      </c>
      <c r="N147" s="355"/>
      <c r="O147" s="355"/>
      <c r="P147" s="355"/>
      <c r="Q147" s="355"/>
      <c r="R147" s="355"/>
      <c r="S147" s="355"/>
      <c r="T147" s="355"/>
      <c r="U147" s="517"/>
      <c r="V147" s="356"/>
    </row>
    <row r="148" spans="1:25">
      <c r="A148" s="349" t="s">
        <v>1381</v>
      </c>
      <c r="B148" s="347" t="s">
        <v>1351</v>
      </c>
      <c r="C148" s="347" t="s">
        <v>1351</v>
      </c>
      <c r="D148" s="347" t="s">
        <v>1352</v>
      </c>
      <c r="E148" s="348">
        <v>45323</v>
      </c>
      <c r="F148" s="351" t="s">
        <v>1366</v>
      </c>
      <c r="G148" s="373" t="s">
        <v>344</v>
      </c>
      <c r="H148" s="341" t="s">
        <v>1356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4"/>
      <c r="O148" s="354"/>
      <c r="P148" s="354"/>
      <c r="Q148" s="354"/>
      <c r="R148" s="354"/>
      <c r="S148" s="354"/>
      <c r="T148" s="354"/>
      <c r="U148" s="519"/>
      <c r="V148"/>
    </row>
    <row r="149" spans="1:25">
      <c r="A149" s="349" t="s">
        <v>1381</v>
      </c>
      <c r="B149" s="347" t="s">
        <v>1351</v>
      </c>
      <c r="C149" s="347" t="s">
        <v>1351</v>
      </c>
      <c r="D149" s="347" t="s">
        <v>1352</v>
      </c>
      <c r="E149" s="348">
        <v>45323</v>
      </c>
      <c r="F149" s="351" t="s">
        <v>1366</v>
      </c>
      <c r="G149" s="373" t="s">
        <v>344</v>
      </c>
      <c r="H149" s="341" t="s">
        <v>1357</v>
      </c>
      <c r="I149" s="355">
        <v>0.85501159999999998</v>
      </c>
      <c r="J149" s="355">
        <v>0.85501159999999998</v>
      </c>
      <c r="K149" s="355">
        <v>0.85501159999999998</v>
      </c>
      <c r="L149" s="355">
        <v>0.85521760000000002</v>
      </c>
      <c r="M149" s="355">
        <v>0.85521760000000002</v>
      </c>
      <c r="N149" s="355"/>
      <c r="O149" s="355"/>
      <c r="P149" s="355"/>
      <c r="Q149" s="355"/>
      <c r="R149" s="355"/>
      <c r="S149" s="355"/>
      <c r="T149" s="355"/>
      <c r="U149" s="517"/>
      <c r="V149" s="356"/>
    </row>
    <row r="150" spans="1:25">
      <c r="A150" s="374" t="s">
        <v>1383</v>
      </c>
      <c r="B150" s="375" t="s">
        <v>1351</v>
      </c>
      <c r="C150" s="375" t="s">
        <v>1351</v>
      </c>
      <c r="D150" s="375" t="s">
        <v>1352</v>
      </c>
      <c r="E150" s="376">
        <v>45292</v>
      </c>
      <c r="F150" s="374" t="s">
        <v>1376</v>
      </c>
      <c r="G150" s="377" t="s">
        <v>153</v>
      </c>
      <c r="H150" s="342" t="s">
        <v>1354</v>
      </c>
      <c r="I150" s="346">
        <v>50304</v>
      </c>
      <c r="J150" s="346">
        <v>48683</v>
      </c>
      <c r="K150" s="346">
        <v>95581</v>
      </c>
      <c r="L150" s="346">
        <v>135589</v>
      </c>
      <c r="M150" s="346">
        <v>125962</v>
      </c>
      <c r="N150" s="346"/>
      <c r="O150" s="346"/>
      <c r="P150" s="346"/>
      <c r="Q150" s="346"/>
      <c r="R150" s="346"/>
      <c r="S150" s="346"/>
      <c r="T150" s="346"/>
      <c r="U150" s="513">
        <f>SUM(I150:T150)</f>
        <v>456119</v>
      </c>
      <c r="V150" s="514"/>
      <c r="W150" s="520"/>
      <c r="X150" s="520"/>
      <c r="Y150" s="520"/>
    </row>
    <row r="151" spans="1:25">
      <c r="A151" s="349" t="s">
        <v>1383</v>
      </c>
      <c r="B151" s="347" t="s">
        <v>1351</v>
      </c>
      <c r="C151" s="347" t="s">
        <v>1351</v>
      </c>
      <c r="D151" s="347" t="s">
        <v>1352</v>
      </c>
      <c r="E151" s="348">
        <v>45292</v>
      </c>
      <c r="F151" s="349" t="s">
        <v>1376</v>
      </c>
      <c r="G151" s="351" t="s">
        <v>151</v>
      </c>
      <c r="H151" s="347" t="s">
        <v>1355</v>
      </c>
      <c r="I151" s="350">
        <v>47635.35</v>
      </c>
      <c r="J151" s="350">
        <v>45851.46</v>
      </c>
      <c r="K151" s="350">
        <v>89032.57</v>
      </c>
      <c r="L151" s="350">
        <v>125352.98</v>
      </c>
      <c r="M151" s="350">
        <v>117546.87</v>
      </c>
      <c r="N151" s="350"/>
      <c r="O151" s="350"/>
      <c r="P151" s="350"/>
      <c r="Q151" s="350"/>
      <c r="R151" s="350"/>
      <c r="S151" s="350"/>
      <c r="T151" s="350"/>
      <c r="U151" s="515">
        <f>SUM(I151:T151)</f>
        <v>425419.23</v>
      </c>
      <c r="V151" s="516">
        <f>U151/$Y$1</f>
        <v>85597.430583501002</v>
      </c>
    </row>
    <row r="152" spans="1:25">
      <c r="A152" s="349" t="s">
        <v>1383</v>
      </c>
      <c r="B152" s="347" t="s">
        <v>1351</v>
      </c>
      <c r="C152" s="347" t="s">
        <v>1351</v>
      </c>
      <c r="D152" s="347" t="s">
        <v>1352</v>
      </c>
      <c r="E152" s="348">
        <v>45292</v>
      </c>
      <c r="F152" s="349" t="s">
        <v>1376</v>
      </c>
      <c r="G152" s="351" t="s">
        <v>151</v>
      </c>
      <c r="H152" s="341" t="s">
        <v>1356</v>
      </c>
      <c r="I152" s="352">
        <v>49696</v>
      </c>
      <c r="J152" s="352">
        <v>45949</v>
      </c>
      <c r="K152" s="352">
        <v>81686</v>
      </c>
      <c r="L152" s="352">
        <v>107477</v>
      </c>
      <c r="M152" s="352">
        <v>109278</v>
      </c>
      <c r="N152" s="354"/>
      <c r="O152" s="354"/>
      <c r="P152" s="354"/>
      <c r="Q152" s="354"/>
      <c r="R152" s="354"/>
      <c r="S152" s="354"/>
      <c r="T152" s="354"/>
      <c r="U152" s="517"/>
      <c r="V152" s="356"/>
    </row>
    <row r="153" spans="1:25">
      <c r="A153" s="349" t="s">
        <v>1383</v>
      </c>
      <c r="B153" s="347" t="s">
        <v>1351</v>
      </c>
      <c r="C153" s="347" t="s">
        <v>1351</v>
      </c>
      <c r="D153" s="347" t="s">
        <v>1352</v>
      </c>
      <c r="E153" s="348">
        <v>45292</v>
      </c>
      <c r="F153" s="349" t="s">
        <v>1376</v>
      </c>
      <c r="G153" s="351" t="s">
        <v>151</v>
      </c>
      <c r="H153" s="341" t="s">
        <v>1357</v>
      </c>
      <c r="I153" s="355">
        <v>0.94835159999999996</v>
      </c>
      <c r="J153" s="355">
        <v>0.94835159999999996</v>
      </c>
      <c r="K153" s="355">
        <v>0.94835159999999996</v>
      </c>
      <c r="L153" s="355">
        <v>0.9485576</v>
      </c>
      <c r="M153" s="355">
        <v>0.9485576</v>
      </c>
      <c r="N153" s="355"/>
      <c r="O153" s="355"/>
      <c r="P153" s="355"/>
      <c r="Q153" s="355"/>
      <c r="R153" s="355"/>
      <c r="S153" s="355"/>
      <c r="T153" s="355"/>
      <c r="U153" s="517"/>
      <c r="V153"/>
    </row>
    <row r="154" spans="1:25">
      <c r="A154" s="349" t="s">
        <v>1383</v>
      </c>
      <c r="B154" s="347" t="s">
        <v>1351</v>
      </c>
      <c r="C154" s="347" t="s">
        <v>1351</v>
      </c>
      <c r="D154" s="347" t="s">
        <v>1352</v>
      </c>
      <c r="E154" s="348">
        <v>45292</v>
      </c>
      <c r="F154" s="349" t="s">
        <v>1376</v>
      </c>
      <c r="G154" s="351" t="s">
        <v>150</v>
      </c>
      <c r="H154" s="341" t="s">
        <v>1358</v>
      </c>
      <c r="I154" s="354">
        <v>608</v>
      </c>
      <c r="J154" s="354">
        <v>2734</v>
      </c>
      <c r="K154" s="354">
        <v>13895</v>
      </c>
      <c r="L154" s="354">
        <v>28112</v>
      </c>
      <c r="M154" s="354">
        <v>16684</v>
      </c>
      <c r="N154" s="354"/>
      <c r="O154" s="354"/>
      <c r="P154" s="354"/>
      <c r="Q154" s="354"/>
      <c r="R154" s="354"/>
      <c r="S154" s="354"/>
      <c r="T154" s="354"/>
      <c r="U154" s="519"/>
      <c r="V154"/>
    </row>
    <row r="155" spans="1:25">
      <c r="A155" s="349" t="s">
        <v>1383</v>
      </c>
      <c r="B155" s="347" t="s">
        <v>1351</v>
      </c>
      <c r="C155" s="347" t="s">
        <v>1351</v>
      </c>
      <c r="D155" s="347" t="s">
        <v>1352</v>
      </c>
      <c r="E155" s="348">
        <v>45292</v>
      </c>
      <c r="F155" s="349" t="s">
        <v>1376</v>
      </c>
      <c r="G155" s="351" t="s">
        <v>150</v>
      </c>
      <c r="H155" s="341" t="s">
        <v>1357</v>
      </c>
      <c r="I155" s="355">
        <v>0.83235159999999997</v>
      </c>
      <c r="J155" s="355">
        <v>0.83235159999999997</v>
      </c>
      <c r="K155" s="355">
        <v>0.83235159999999997</v>
      </c>
      <c r="L155" s="355">
        <v>0.83255760000000001</v>
      </c>
      <c r="M155" s="355">
        <v>0.83255760000000001</v>
      </c>
      <c r="N155" s="355"/>
      <c r="O155" s="355"/>
      <c r="P155" s="355"/>
      <c r="Q155" s="355"/>
      <c r="R155" s="355"/>
      <c r="S155" s="355"/>
      <c r="T155" s="355"/>
      <c r="U155" s="517"/>
      <c r="V155" s="356"/>
    </row>
    <row r="156" spans="1:25">
      <c r="A156" s="374" t="s">
        <v>1384</v>
      </c>
      <c r="B156" s="375" t="s">
        <v>1351</v>
      </c>
      <c r="C156" s="375" t="s">
        <v>1351</v>
      </c>
      <c r="D156" s="375" t="s">
        <v>1352</v>
      </c>
      <c r="E156" s="376">
        <v>45292</v>
      </c>
      <c r="F156" s="374" t="s">
        <v>1385</v>
      </c>
      <c r="G156" s="374" t="s">
        <v>175</v>
      </c>
      <c r="H156" s="375" t="s">
        <v>1354</v>
      </c>
      <c r="I156" s="378">
        <v>36121</v>
      </c>
      <c r="J156" s="378">
        <v>64426</v>
      </c>
      <c r="K156" s="378">
        <v>73484</v>
      </c>
      <c r="L156" s="378">
        <v>91479</v>
      </c>
      <c r="M156" s="378">
        <v>81464</v>
      </c>
      <c r="N156" s="378"/>
      <c r="O156" s="378"/>
      <c r="P156" s="378"/>
      <c r="Q156" s="378"/>
      <c r="R156" s="378"/>
      <c r="S156" s="378"/>
      <c r="T156" s="378"/>
      <c r="U156" s="513">
        <f>SUM(I156:T156)</f>
        <v>346974</v>
      </c>
      <c r="V156" s="514"/>
      <c r="W156" s="520"/>
      <c r="X156" s="520"/>
      <c r="Y156" s="520"/>
    </row>
    <row r="157" spans="1:25">
      <c r="A157" s="349" t="s">
        <v>1384</v>
      </c>
      <c r="B157" s="347" t="s">
        <v>1351</v>
      </c>
      <c r="C157" s="347" t="s">
        <v>1351</v>
      </c>
      <c r="D157" s="347" t="s">
        <v>1352</v>
      </c>
      <c r="E157" s="348">
        <v>45292</v>
      </c>
      <c r="F157" s="349" t="s">
        <v>1385</v>
      </c>
      <c r="G157" s="351" t="s">
        <v>175</v>
      </c>
      <c r="H157" s="347" t="s">
        <v>1355</v>
      </c>
      <c r="I157" s="350">
        <v>32503.54</v>
      </c>
      <c r="J157" s="350">
        <v>57973.84</v>
      </c>
      <c r="K157" s="350">
        <v>66124.69</v>
      </c>
      <c r="L157" s="350">
        <v>82336.37</v>
      </c>
      <c r="M157" s="350">
        <v>73322.289999999994</v>
      </c>
      <c r="N157" s="350"/>
      <c r="O157" s="350"/>
      <c r="P157" s="350"/>
      <c r="Q157" s="350"/>
      <c r="R157" s="350"/>
      <c r="S157" s="350"/>
      <c r="T157" s="350"/>
      <c r="U157" s="515">
        <f>SUM(I157:T157)</f>
        <v>312260.73</v>
      </c>
      <c r="V157" s="516">
        <f>U157/$Y$1</f>
        <v>62829.120724346074</v>
      </c>
    </row>
    <row r="158" spans="1:25">
      <c r="A158" s="349" t="s">
        <v>1384</v>
      </c>
      <c r="B158" s="347" t="s">
        <v>1351</v>
      </c>
      <c r="C158" s="347" t="s">
        <v>1351</v>
      </c>
      <c r="D158" s="347" t="s">
        <v>1352</v>
      </c>
      <c r="E158" s="348">
        <v>45292</v>
      </c>
      <c r="F158" s="349" t="s">
        <v>1385</v>
      </c>
      <c r="G158" s="351" t="s">
        <v>175</v>
      </c>
      <c r="H158" s="341" t="s">
        <v>1356</v>
      </c>
      <c r="I158" s="352">
        <v>36121</v>
      </c>
      <c r="J158" s="352">
        <v>64426</v>
      </c>
      <c r="K158" s="352">
        <v>73484</v>
      </c>
      <c r="L158" s="352">
        <v>91479</v>
      </c>
      <c r="M158" s="352">
        <v>81464</v>
      </c>
      <c r="N158" s="354"/>
      <c r="O158" s="354"/>
      <c r="P158" s="354"/>
      <c r="Q158" s="354"/>
      <c r="R158" s="354"/>
      <c r="S158" s="354"/>
      <c r="T158" s="354"/>
      <c r="U158" s="517"/>
      <c r="V158" s="356"/>
    </row>
    <row r="159" spans="1:25">
      <c r="A159" s="349" t="s">
        <v>1384</v>
      </c>
      <c r="B159" s="347" t="s">
        <v>1351</v>
      </c>
      <c r="C159" s="347" t="s">
        <v>1351</v>
      </c>
      <c r="D159" s="347" t="s">
        <v>1352</v>
      </c>
      <c r="E159" s="348">
        <v>45292</v>
      </c>
      <c r="F159" s="349" t="s">
        <v>1385</v>
      </c>
      <c r="G159" s="351" t="s">
        <v>175</v>
      </c>
      <c r="H159" s="341" t="s">
        <v>1357</v>
      </c>
      <c r="I159" s="355">
        <v>0.89985159999999997</v>
      </c>
      <c r="J159" s="355">
        <v>0.89985159999999997</v>
      </c>
      <c r="K159" s="355">
        <v>0.89985159999999997</v>
      </c>
      <c r="L159" s="355">
        <v>0.90005760000000001</v>
      </c>
      <c r="M159" s="355">
        <v>0.90005760000000001</v>
      </c>
      <c r="N159" s="355"/>
      <c r="O159" s="355"/>
      <c r="P159" s="355"/>
      <c r="Q159" s="355"/>
      <c r="R159" s="355"/>
      <c r="S159" s="355"/>
      <c r="T159" s="355"/>
      <c r="U159" s="517"/>
      <c r="V159" s="356"/>
    </row>
    <row r="160" spans="1:25">
      <c r="A160" s="349" t="s">
        <v>1384</v>
      </c>
      <c r="B160" s="347" t="s">
        <v>1351</v>
      </c>
      <c r="C160" s="347" t="s">
        <v>1351</v>
      </c>
      <c r="D160" s="347" t="s">
        <v>1352</v>
      </c>
      <c r="E160" s="348">
        <v>45292</v>
      </c>
      <c r="F160" s="349" t="s">
        <v>1385</v>
      </c>
      <c r="G160" s="351" t="s">
        <v>175</v>
      </c>
      <c r="H160" s="341" t="s">
        <v>1358</v>
      </c>
      <c r="I160" s="354">
        <v>0</v>
      </c>
      <c r="J160" s="354">
        <v>0</v>
      </c>
      <c r="K160" s="354">
        <v>0</v>
      </c>
      <c r="L160" s="354">
        <v>0</v>
      </c>
      <c r="M160" s="354">
        <v>0</v>
      </c>
      <c r="N160" s="354"/>
      <c r="O160" s="354"/>
      <c r="P160" s="354"/>
      <c r="Q160" s="354"/>
      <c r="R160" s="354"/>
      <c r="S160" s="354"/>
      <c r="T160" s="354"/>
      <c r="U160" s="517"/>
      <c r="V160" s="356"/>
    </row>
    <row r="161" spans="1:25">
      <c r="A161" s="349" t="s">
        <v>1384</v>
      </c>
      <c r="B161" s="347" t="s">
        <v>1351</v>
      </c>
      <c r="C161" s="347" t="s">
        <v>1351</v>
      </c>
      <c r="D161" s="347" t="s">
        <v>1352</v>
      </c>
      <c r="E161" s="348">
        <v>45292</v>
      </c>
      <c r="F161" s="349" t="s">
        <v>1385</v>
      </c>
      <c r="G161" s="351" t="s">
        <v>175</v>
      </c>
      <c r="H161" s="341" t="s">
        <v>1357</v>
      </c>
      <c r="I161" s="355">
        <v>0.80505159999999998</v>
      </c>
      <c r="J161" s="355">
        <v>0.80505159999999998</v>
      </c>
      <c r="K161" s="355">
        <v>0.80505159999999998</v>
      </c>
      <c r="L161" s="355">
        <v>0.80525760000000002</v>
      </c>
      <c r="M161" s="355">
        <v>0.80525760000000002</v>
      </c>
      <c r="N161" s="355"/>
      <c r="O161" s="355"/>
      <c r="P161" s="355"/>
      <c r="Q161" s="355"/>
      <c r="R161" s="355"/>
      <c r="S161" s="355"/>
      <c r="T161" s="355"/>
      <c r="U161" s="517"/>
      <c r="V161" s="356"/>
    </row>
    <row r="162" spans="1:25">
      <c r="A162" s="374" t="s">
        <v>1386</v>
      </c>
      <c r="B162" s="375" t="s">
        <v>1351</v>
      </c>
      <c r="C162" s="375" t="s">
        <v>1351</v>
      </c>
      <c r="D162" s="375" t="s">
        <v>1352</v>
      </c>
      <c r="E162" s="376">
        <v>45292</v>
      </c>
      <c r="F162" s="374" t="s">
        <v>1385</v>
      </c>
      <c r="G162" s="374" t="s">
        <v>165</v>
      </c>
      <c r="H162" s="375" t="s">
        <v>1354</v>
      </c>
      <c r="I162" s="378">
        <v>34864</v>
      </c>
      <c r="J162" s="378">
        <v>67798</v>
      </c>
      <c r="K162" s="378">
        <v>78073</v>
      </c>
      <c r="L162" s="378">
        <v>124742</v>
      </c>
      <c r="M162" s="378">
        <v>127365</v>
      </c>
      <c r="N162" s="378"/>
      <c r="O162" s="378"/>
      <c r="P162" s="378"/>
      <c r="Q162" s="378"/>
      <c r="R162" s="378"/>
      <c r="S162" s="378"/>
      <c r="T162" s="378"/>
      <c r="U162" s="513">
        <f>SUM(I162:T162)</f>
        <v>432842</v>
      </c>
      <c r="V162" s="514"/>
      <c r="W162" s="520"/>
      <c r="X162" s="520"/>
      <c r="Y162" s="520"/>
    </row>
    <row r="163" spans="1:25">
      <c r="A163" s="349" t="s">
        <v>1386</v>
      </c>
      <c r="B163" s="347" t="s">
        <v>1351</v>
      </c>
      <c r="C163" s="347" t="s">
        <v>1351</v>
      </c>
      <c r="D163" s="347" t="s">
        <v>1352</v>
      </c>
      <c r="E163" s="348">
        <v>45292</v>
      </c>
      <c r="F163" s="349" t="s">
        <v>1385</v>
      </c>
      <c r="G163" s="351" t="s">
        <v>165</v>
      </c>
      <c r="H163" s="347" t="s">
        <v>1355</v>
      </c>
      <c r="I163" s="350">
        <v>30968.67</v>
      </c>
      <c r="J163" s="350">
        <v>58900.55</v>
      </c>
      <c r="K163" s="350">
        <v>66879.61</v>
      </c>
      <c r="L163" s="350">
        <v>107442.08</v>
      </c>
      <c r="M163" s="350">
        <v>109256.6</v>
      </c>
      <c r="N163" s="350"/>
      <c r="O163" s="350"/>
      <c r="P163" s="350"/>
      <c r="Q163" s="350"/>
      <c r="R163" s="350"/>
      <c r="S163" s="350"/>
      <c r="T163" s="350"/>
      <c r="U163" s="515">
        <f>SUM(I163:T163)</f>
        <v>373447.51</v>
      </c>
      <c r="V163" s="516">
        <f>U163/$Y$1</f>
        <v>75140.344064386329</v>
      </c>
    </row>
    <row r="164" spans="1:25">
      <c r="A164" s="349" t="s">
        <v>1386</v>
      </c>
      <c r="B164" s="347" t="s">
        <v>1351</v>
      </c>
      <c r="C164" s="347" t="s">
        <v>1351</v>
      </c>
      <c r="D164" s="347" t="s">
        <v>1352</v>
      </c>
      <c r="E164" s="348">
        <v>45292</v>
      </c>
      <c r="F164" s="349" t="s">
        <v>1385</v>
      </c>
      <c r="G164" s="351" t="s">
        <v>178</v>
      </c>
      <c r="H164" s="341" t="s">
        <v>1356</v>
      </c>
      <c r="I164" s="352">
        <v>30605</v>
      </c>
      <c r="J164" s="352">
        <v>45566</v>
      </c>
      <c r="K164" s="352">
        <v>42477</v>
      </c>
      <c r="L164" s="352">
        <v>73762</v>
      </c>
      <c r="M164" s="352">
        <v>70622</v>
      </c>
      <c r="N164" s="354"/>
      <c r="O164" s="354"/>
      <c r="P164" s="354"/>
      <c r="Q164" s="354"/>
      <c r="R164" s="354"/>
      <c r="S164" s="354"/>
      <c r="T164" s="354"/>
      <c r="U164" s="517"/>
      <c r="V164" s="356"/>
    </row>
    <row r="165" spans="1:25">
      <c r="A165" s="349" t="s">
        <v>1386</v>
      </c>
      <c r="B165" s="347" t="s">
        <v>1351</v>
      </c>
      <c r="C165" s="347" t="s">
        <v>1351</v>
      </c>
      <c r="D165" s="347" t="s">
        <v>1352</v>
      </c>
      <c r="E165" s="348">
        <v>45292</v>
      </c>
      <c r="F165" s="349" t="s">
        <v>1385</v>
      </c>
      <c r="G165" s="351" t="s">
        <v>178</v>
      </c>
      <c r="H165" s="341" t="s">
        <v>1357</v>
      </c>
      <c r="I165" s="355">
        <v>0.89985159999999997</v>
      </c>
      <c r="J165" s="355">
        <v>0.89985159999999997</v>
      </c>
      <c r="K165" s="355">
        <v>0.89985159999999997</v>
      </c>
      <c r="L165" s="355">
        <v>0.90005760000000001</v>
      </c>
      <c r="M165" s="355">
        <v>0.90005760000000001</v>
      </c>
      <c r="N165" s="355"/>
      <c r="O165" s="355"/>
      <c r="P165" s="355"/>
      <c r="Q165" s="355"/>
      <c r="R165" s="355"/>
      <c r="S165" s="355"/>
      <c r="T165" s="355"/>
      <c r="U165" s="517"/>
      <c r="V165"/>
    </row>
    <row r="166" spans="1:25">
      <c r="A166" s="349" t="s">
        <v>1386</v>
      </c>
      <c r="B166" s="347" t="s">
        <v>1351</v>
      </c>
      <c r="C166" s="347" t="s">
        <v>1351</v>
      </c>
      <c r="D166" s="347" t="s">
        <v>1352</v>
      </c>
      <c r="E166" s="348">
        <v>45292</v>
      </c>
      <c r="F166" s="349" t="s">
        <v>1385</v>
      </c>
      <c r="G166" s="351" t="s">
        <v>179</v>
      </c>
      <c r="H166" s="341" t="s">
        <v>1358</v>
      </c>
      <c r="I166" s="354">
        <v>4259</v>
      </c>
      <c r="J166" s="354">
        <v>22232</v>
      </c>
      <c r="K166" s="354">
        <v>35596</v>
      </c>
      <c r="L166" s="354">
        <v>50980</v>
      </c>
      <c r="M166" s="354">
        <v>56743</v>
      </c>
      <c r="N166" s="354"/>
      <c r="O166" s="354"/>
      <c r="P166" s="354"/>
      <c r="Q166" s="354"/>
      <c r="R166" s="354"/>
      <c r="S166" s="354"/>
      <c r="T166" s="354"/>
      <c r="U166" s="519"/>
      <c r="V166"/>
    </row>
    <row r="167" spans="1:25">
      <c r="A167" s="349" t="s">
        <v>1386</v>
      </c>
      <c r="B167" s="347" t="s">
        <v>1351</v>
      </c>
      <c r="C167" s="347" t="s">
        <v>1351</v>
      </c>
      <c r="D167" s="347" t="s">
        <v>1352</v>
      </c>
      <c r="E167" s="348">
        <v>45292</v>
      </c>
      <c r="F167" s="349" t="s">
        <v>1385</v>
      </c>
      <c r="G167" s="351" t="s">
        <v>179</v>
      </c>
      <c r="H167" s="341" t="s">
        <v>1357</v>
      </c>
      <c r="I167" s="355">
        <v>0.80505159999999998</v>
      </c>
      <c r="J167" s="355">
        <v>0.80505159999999998</v>
      </c>
      <c r="K167" s="355">
        <v>0.80505159999999998</v>
      </c>
      <c r="L167" s="355">
        <v>0.80525760000000002</v>
      </c>
      <c r="M167" s="355">
        <v>0.80525760000000002</v>
      </c>
      <c r="N167" s="355"/>
      <c r="O167" s="355"/>
      <c r="P167" s="355"/>
      <c r="Q167" s="355"/>
      <c r="R167" s="355"/>
      <c r="S167" s="355"/>
      <c r="T167" s="355"/>
      <c r="U167" s="517"/>
      <c r="V167" s="356"/>
    </row>
    <row r="168" spans="1:25">
      <c r="A168" s="374" t="s">
        <v>1387</v>
      </c>
      <c r="B168" s="375" t="s">
        <v>1351</v>
      </c>
      <c r="C168" s="375" t="s">
        <v>1351</v>
      </c>
      <c r="D168" s="375" t="s">
        <v>1352</v>
      </c>
      <c r="E168" s="376">
        <v>45292</v>
      </c>
      <c r="F168" s="374" t="s">
        <v>1385</v>
      </c>
      <c r="G168" s="374" t="s">
        <v>161</v>
      </c>
      <c r="H168" s="375" t="s">
        <v>1354</v>
      </c>
      <c r="I168" s="378">
        <v>24784</v>
      </c>
      <c r="J168" s="378">
        <v>32528</v>
      </c>
      <c r="K168" s="378">
        <v>38718</v>
      </c>
      <c r="L168" s="378">
        <v>50830</v>
      </c>
      <c r="M168" s="378">
        <v>58739</v>
      </c>
      <c r="N168" s="378"/>
      <c r="O168" s="378"/>
      <c r="P168" s="378"/>
      <c r="Q168" s="378"/>
      <c r="R168" s="378"/>
      <c r="S168" s="378"/>
      <c r="T168" s="378"/>
      <c r="U168" s="513">
        <f>SUM(I168:T168)</f>
        <v>205599</v>
      </c>
      <c r="V168" s="514"/>
      <c r="W168" s="520"/>
      <c r="X168" s="520"/>
      <c r="Y168" s="520"/>
    </row>
    <row r="169" spans="1:25">
      <c r="A169" s="349" t="s">
        <v>1387</v>
      </c>
      <c r="B169" s="347" t="s">
        <v>1351</v>
      </c>
      <c r="C169" s="347" t="s">
        <v>1351</v>
      </c>
      <c r="D169" s="347" t="s">
        <v>1352</v>
      </c>
      <c r="E169" s="348">
        <v>45292</v>
      </c>
      <c r="F169" s="349" t="s">
        <v>1385</v>
      </c>
      <c r="G169" s="351" t="s">
        <v>161</v>
      </c>
      <c r="H169" s="347" t="s">
        <v>1355</v>
      </c>
      <c r="I169" s="350">
        <v>22301.919999999998</v>
      </c>
      <c r="J169" s="350">
        <v>29270.37</v>
      </c>
      <c r="K169" s="350">
        <v>34840.449999999997</v>
      </c>
      <c r="L169" s="350">
        <v>45749.93</v>
      </c>
      <c r="M169" s="350">
        <v>52868.480000000003</v>
      </c>
      <c r="N169" s="350"/>
      <c r="O169" s="350"/>
      <c r="P169" s="350"/>
      <c r="Q169" s="350"/>
      <c r="R169" s="350"/>
      <c r="S169" s="350"/>
      <c r="T169" s="350"/>
      <c r="U169" s="515">
        <f>SUM(I169:T169)</f>
        <v>185031.15</v>
      </c>
      <c r="V169" s="516">
        <f>U169/$Y$1</f>
        <v>37229.60764587525</v>
      </c>
    </row>
    <row r="170" spans="1:25">
      <c r="A170" s="349" t="s">
        <v>1387</v>
      </c>
      <c r="B170" s="347" t="s">
        <v>1351</v>
      </c>
      <c r="C170" s="347" t="s">
        <v>1351</v>
      </c>
      <c r="D170" s="347" t="s">
        <v>1352</v>
      </c>
      <c r="E170" s="348">
        <v>45292</v>
      </c>
      <c r="F170" s="349" t="s">
        <v>1385</v>
      </c>
      <c r="G170" s="351" t="s">
        <v>181</v>
      </c>
      <c r="H170" s="341" t="s">
        <v>1356</v>
      </c>
      <c r="I170" s="352">
        <v>14726</v>
      </c>
      <c r="J170" s="352">
        <v>19173</v>
      </c>
      <c r="K170" s="352">
        <v>24609</v>
      </c>
      <c r="L170" s="352">
        <v>28112</v>
      </c>
      <c r="M170" s="352">
        <v>34586</v>
      </c>
      <c r="N170" s="354"/>
      <c r="O170" s="354"/>
      <c r="P170" s="354"/>
      <c r="Q170" s="354"/>
      <c r="R170" s="354"/>
      <c r="S170" s="354"/>
      <c r="T170" s="354"/>
      <c r="U170" s="517"/>
      <c r="V170" s="356"/>
    </row>
    <row r="171" spans="1:25">
      <c r="A171" s="349" t="s">
        <v>1387</v>
      </c>
      <c r="B171" s="347" t="s">
        <v>1351</v>
      </c>
      <c r="C171" s="347" t="s">
        <v>1351</v>
      </c>
      <c r="D171" s="347" t="s">
        <v>1352</v>
      </c>
      <c r="E171" s="348">
        <v>45292</v>
      </c>
      <c r="F171" s="349" t="s">
        <v>1385</v>
      </c>
      <c r="G171" s="351" t="s">
        <v>181</v>
      </c>
      <c r="H171" s="341" t="s">
        <v>1357</v>
      </c>
      <c r="I171" s="355">
        <v>0.89985159999999997</v>
      </c>
      <c r="J171" s="355">
        <v>0.89985159999999997</v>
      </c>
      <c r="K171" s="355">
        <v>0.89985159999999997</v>
      </c>
      <c r="L171" s="355">
        <v>0.90005760000000001</v>
      </c>
      <c r="M171" s="355">
        <v>0.90005760000000001</v>
      </c>
      <c r="N171" s="355"/>
      <c r="O171" s="355"/>
      <c r="P171" s="355"/>
      <c r="Q171" s="355"/>
      <c r="R171" s="355"/>
      <c r="S171" s="355"/>
      <c r="T171" s="355"/>
      <c r="U171" s="517"/>
      <c r="V171"/>
    </row>
    <row r="172" spans="1:25">
      <c r="A172" s="349" t="s">
        <v>1387</v>
      </c>
      <c r="B172" s="347" t="s">
        <v>1351</v>
      </c>
      <c r="C172" s="347" t="s">
        <v>1351</v>
      </c>
      <c r="D172" s="347" t="s">
        <v>1352</v>
      </c>
      <c r="E172" s="348">
        <v>45292</v>
      </c>
      <c r="F172" s="349" t="s">
        <v>1385</v>
      </c>
      <c r="G172" s="351" t="s">
        <v>181</v>
      </c>
      <c r="H172" s="341" t="s">
        <v>1358</v>
      </c>
      <c r="I172" s="354">
        <v>0</v>
      </c>
      <c r="J172" s="354">
        <v>0</v>
      </c>
      <c r="K172" s="354">
        <v>0</v>
      </c>
      <c r="L172" s="354">
        <v>0</v>
      </c>
      <c r="M172" s="354">
        <v>0</v>
      </c>
      <c r="N172" s="354"/>
      <c r="O172" s="354"/>
      <c r="P172" s="354"/>
      <c r="Q172" s="354"/>
      <c r="R172" s="354"/>
      <c r="S172" s="354"/>
      <c r="T172" s="354"/>
      <c r="U172" s="519"/>
      <c r="V172"/>
    </row>
    <row r="173" spans="1:25">
      <c r="A173" s="349" t="s">
        <v>1387</v>
      </c>
      <c r="B173" s="347" t="s">
        <v>1351</v>
      </c>
      <c r="C173" s="347" t="s">
        <v>1351</v>
      </c>
      <c r="D173" s="347" t="s">
        <v>1352</v>
      </c>
      <c r="E173" s="348">
        <v>45292</v>
      </c>
      <c r="F173" s="349" t="s">
        <v>1385</v>
      </c>
      <c r="G173" s="351" t="s">
        <v>181</v>
      </c>
      <c r="H173" s="341" t="s">
        <v>1357</v>
      </c>
      <c r="I173" s="355">
        <v>0.80505159999999998</v>
      </c>
      <c r="J173" s="355">
        <v>0.80505159999999998</v>
      </c>
      <c r="K173" s="355">
        <v>0.80505159999999998</v>
      </c>
      <c r="L173" s="355">
        <v>0.80525760000000002</v>
      </c>
      <c r="M173" s="355">
        <v>0.80525760000000002</v>
      </c>
      <c r="N173" s="355"/>
      <c r="O173" s="355"/>
      <c r="P173" s="355"/>
      <c r="Q173" s="355"/>
      <c r="R173" s="355"/>
      <c r="S173" s="355"/>
      <c r="T173" s="355"/>
      <c r="U173" s="517"/>
      <c r="V173" s="356"/>
    </row>
    <row r="174" spans="1:25">
      <c r="A174" s="349" t="s">
        <v>1387</v>
      </c>
      <c r="B174" s="347" t="s">
        <v>1351</v>
      </c>
      <c r="C174" s="347" t="s">
        <v>1351</v>
      </c>
      <c r="D174" s="347" t="s">
        <v>1352</v>
      </c>
      <c r="E174" s="348">
        <v>45292</v>
      </c>
      <c r="F174" s="349" t="s">
        <v>1385</v>
      </c>
      <c r="G174" s="351" t="s">
        <v>173</v>
      </c>
      <c r="H174" s="341" t="s">
        <v>1356</v>
      </c>
      <c r="I174" s="352">
        <v>10058</v>
      </c>
      <c r="J174" s="352">
        <v>13355</v>
      </c>
      <c r="K174" s="352">
        <v>14109</v>
      </c>
      <c r="L174" s="352">
        <v>22718</v>
      </c>
      <c r="M174" s="352">
        <v>24153</v>
      </c>
      <c r="N174" s="354"/>
      <c r="O174" s="354"/>
      <c r="P174" s="354"/>
      <c r="Q174" s="354"/>
      <c r="R174" s="354"/>
      <c r="S174" s="354"/>
      <c r="T174" s="354"/>
      <c r="U174" s="517"/>
      <c r="V174" s="356"/>
    </row>
    <row r="175" spans="1:25">
      <c r="A175" s="349" t="s">
        <v>1387</v>
      </c>
      <c r="B175" s="347" t="s">
        <v>1351</v>
      </c>
      <c r="C175" s="347" t="s">
        <v>1351</v>
      </c>
      <c r="D175" s="347" t="s">
        <v>1352</v>
      </c>
      <c r="E175" s="348">
        <v>45292</v>
      </c>
      <c r="F175" s="349" t="s">
        <v>1385</v>
      </c>
      <c r="G175" s="351" t="s">
        <v>173</v>
      </c>
      <c r="H175" s="341" t="s">
        <v>1357</v>
      </c>
      <c r="I175" s="355">
        <v>0.89985159999999997</v>
      </c>
      <c r="J175" s="355">
        <v>0.89985159999999997</v>
      </c>
      <c r="K175" s="355">
        <v>0.89985159999999997</v>
      </c>
      <c r="L175" s="355">
        <v>0.90005760000000001</v>
      </c>
      <c r="M175" s="355">
        <v>0.90005760000000001</v>
      </c>
      <c r="N175" s="355"/>
      <c r="O175" s="355"/>
      <c r="P175" s="355"/>
      <c r="Q175" s="355"/>
      <c r="R175" s="355"/>
      <c r="S175" s="355"/>
      <c r="T175" s="355"/>
      <c r="U175" s="517"/>
      <c r="V175"/>
    </row>
    <row r="176" spans="1:25">
      <c r="A176" s="349" t="s">
        <v>1387</v>
      </c>
      <c r="B176" s="347" t="s">
        <v>1351</v>
      </c>
      <c r="C176" s="347" t="s">
        <v>1351</v>
      </c>
      <c r="D176" s="347" t="s">
        <v>1352</v>
      </c>
      <c r="E176" s="348">
        <v>45292</v>
      </c>
      <c r="F176" s="349" t="s">
        <v>1385</v>
      </c>
      <c r="G176" s="351" t="s">
        <v>173</v>
      </c>
      <c r="H176" s="341" t="s">
        <v>1358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7"/>
      <c r="O176" s="357"/>
      <c r="P176" s="357"/>
      <c r="Q176" s="357"/>
      <c r="R176" s="357"/>
      <c r="S176" s="357"/>
      <c r="T176" s="357"/>
      <c r="U176" s="519"/>
      <c r="V176"/>
    </row>
    <row r="177" spans="1:25">
      <c r="A177" s="349" t="s">
        <v>1387</v>
      </c>
      <c r="B177" s="347" t="s">
        <v>1351</v>
      </c>
      <c r="C177" s="347" t="s">
        <v>1351</v>
      </c>
      <c r="D177" s="347" t="s">
        <v>1352</v>
      </c>
      <c r="E177" s="348">
        <v>45292</v>
      </c>
      <c r="F177" s="349" t="s">
        <v>1385</v>
      </c>
      <c r="G177" s="351" t="s">
        <v>173</v>
      </c>
      <c r="H177" s="341" t="s">
        <v>1357</v>
      </c>
      <c r="I177" s="355">
        <v>0.80505159999999998</v>
      </c>
      <c r="J177" s="355">
        <v>0.80505159999999998</v>
      </c>
      <c r="K177" s="355">
        <v>0.80505159999999998</v>
      </c>
      <c r="L177" s="355">
        <v>0.80525760000000002</v>
      </c>
      <c r="M177" s="355">
        <v>0.80525760000000002</v>
      </c>
      <c r="N177" s="355"/>
      <c r="O177" s="355"/>
      <c r="P177" s="355"/>
      <c r="Q177" s="355"/>
      <c r="R177" s="355"/>
      <c r="S177" s="355"/>
      <c r="T177" s="355"/>
      <c r="U177" s="517"/>
      <c r="V177" s="356"/>
    </row>
    <row r="178" spans="1:25">
      <c r="A178" s="374" t="s">
        <v>1388</v>
      </c>
      <c r="B178" s="374" t="s">
        <v>1351</v>
      </c>
      <c r="C178" s="374" t="s">
        <v>1351</v>
      </c>
      <c r="D178" s="374" t="s">
        <v>1352</v>
      </c>
      <c r="E178" s="379">
        <v>45352</v>
      </c>
      <c r="F178" s="344" t="s">
        <v>1353</v>
      </c>
      <c r="G178" s="374" t="s">
        <v>1389</v>
      </c>
      <c r="H178" s="375" t="s">
        <v>1354</v>
      </c>
      <c r="I178" s="378">
        <v>35017</v>
      </c>
      <c r="J178" s="378">
        <v>39501</v>
      </c>
      <c r="K178" s="378">
        <v>43686</v>
      </c>
      <c r="L178" s="378">
        <v>45964</v>
      </c>
      <c r="M178" s="378">
        <v>41497</v>
      </c>
      <c r="N178" s="378"/>
      <c r="O178" s="378"/>
      <c r="P178" s="378"/>
      <c r="Q178" s="378"/>
      <c r="R178" s="378"/>
      <c r="S178" s="378"/>
      <c r="T178" s="378"/>
      <c r="U178" s="513">
        <f>SUM(I178:T178)</f>
        <v>205665</v>
      </c>
      <c r="V178" s="514"/>
      <c r="W178" s="520"/>
      <c r="X178" s="520"/>
      <c r="Y178" s="520"/>
    </row>
    <row r="179" spans="1:25">
      <c r="A179" s="349" t="s">
        <v>1390</v>
      </c>
      <c r="B179" s="349" t="s">
        <v>1351</v>
      </c>
      <c r="C179" s="349" t="s">
        <v>1351</v>
      </c>
      <c r="D179" s="349" t="s">
        <v>1352</v>
      </c>
      <c r="E179" s="348">
        <v>45352</v>
      </c>
      <c r="F179" s="349" t="s">
        <v>1353</v>
      </c>
      <c r="G179" s="351" t="s">
        <v>1389</v>
      </c>
      <c r="H179" s="347" t="s">
        <v>1355</v>
      </c>
      <c r="I179" s="550">
        <v>31082.5</v>
      </c>
      <c r="J179" s="350">
        <v>35001.82</v>
      </c>
      <c r="K179" s="350">
        <v>38791.08</v>
      </c>
      <c r="L179" s="350">
        <v>42022.28</v>
      </c>
      <c r="M179" s="350">
        <v>38411.57</v>
      </c>
      <c r="N179" s="350"/>
      <c r="O179" s="350"/>
      <c r="P179" s="350"/>
      <c r="Q179" s="350"/>
      <c r="R179" s="350"/>
      <c r="S179" s="350"/>
      <c r="T179" s="350"/>
      <c r="U179" s="515">
        <f>SUM(I179:T179)</f>
        <v>185309.25</v>
      </c>
      <c r="V179" s="516">
        <f>U179/$Y$1</f>
        <v>37285.563380281696</v>
      </c>
    </row>
    <row r="180" spans="1:25">
      <c r="A180" s="349" t="s">
        <v>1390</v>
      </c>
      <c r="B180" s="349" t="s">
        <v>1351</v>
      </c>
      <c r="C180" s="349" t="s">
        <v>1351</v>
      </c>
      <c r="D180" s="349" t="s">
        <v>1352</v>
      </c>
      <c r="E180" s="348">
        <v>45352</v>
      </c>
      <c r="F180" s="349" t="s">
        <v>1353</v>
      </c>
      <c r="G180" s="369" t="s">
        <v>381</v>
      </c>
      <c r="H180" s="341" t="s">
        <v>1356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4"/>
      <c r="O180" s="354"/>
      <c r="P180" s="354"/>
      <c r="Q180" s="354"/>
      <c r="R180" s="354"/>
      <c r="S180" s="354"/>
      <c r="T180" s="354"/>
      <c r="U180" s="517"/>
      <c r="V180" s="356"/>
    </row>
    <row r="181" spans="1:25">
      <c r="A181" s="349" t="s">
        <v>1390</v>
      </c>
      <c r="B181" s="349" t="s">
        <v>1351</v>
      </c>
      <c r="C181" s="349" t="s">
        <v>1351</v>
      </c>
      <c r="D181" s="349" t="s">
        <v>1352</v>
      </c>
      <c r="E181" s="348">
        <v>45352</v>
      </c>
      <c r="F181" s="349" t="s">
        <v>1353</v>
      </c>
      <c r="G181" s="369" t="s">
        <v>381</v>
      </c>
      <c r="H181" s="341" t="s">
        <v>1357</v>
      </c>
      <c r="I181" s="355">
        <v>0.93900159999999999</v>
      </c>
      <c r="J181" s="355">
        <v>0.93900159999999999</v>
      </c>
      <c r="K181" s="355">
        <v>0.93900159999999999</v>
      </c>
      <c r="L181" s="355">
        <v>0.93920760000000003</v>
      </c>
      <c r="M181" s="355">
        <v>0.93920760000000003</v>
      </c>
      <c r="N181" s="355"/>
      <c r="O181" s="355"/>
      <c r="P181" s="355"/>
      <c r="Q181" s="355"/>
      <c r="R181" s="355"/>
      <c r="S181" s="355"/>
      <c r="T181" s="355"/>
      <c r="U181" s="517"/>
      <c r="V181"/>
    </row>
    <row r="182" spans="1:25">
      <c r="A182" s="349" t="s">
        <v>1390</v>
      </c>
      <c r="B182" s="349" t="s">
        <v>1351</v>
      </c>
      <c r="C182" s="349" t="s">
        <v>1351</v>
      </c>
      <c r="D182" s="349" t="s">
        <v>1352</v>
      </c>
      <c r="E182" s="348">
        <v>45352</v>
      </c>
      <c r="F182" s="349" t="s">
        <v>1353</v>
      </c>
      <c r="G182" s="369" t="s">
        <v>381</v>
      </c>
      <c r="H182" s="341" t="s">
        <v>1358</v>
      </c>
      <c r="I182" s="354">
        <v>17080</v>
      </c>
      <c r="J182" s="354">
        <v>19845</v>
      </c>
      <c r="K182" s="354">
        <v>21179</v>
      </c>
      <c r="L182" s="354">
        <v>10897</v>
      </c>
      <c r="M182" s="354">
        <v>5344</v>
      </c>
      <c r="N182" s="354"/>
      <c r="O182" s="354"/>
      <c r="P182" s="354"/>
      <c r="Q182" s="354"/>
      <c r="R182" s="354"/>
      <c r="S182" s="354"/>
      <c r="T182" s="354"/>
      <c r="U182" s="519"/>
      <c r="V182"/>
    </row>
    <row r="183" spans="1:25">
      <c r="A183" s="349" t="s">
        <v>1390</v>
      </c>
      <c r="B183" s="349" t="s">
        <v>1351</v>
      </c>
      <c r="C183" s="349" t="s">
        <v>1351</v>
      </c>
      <c r="D183" s="349" t="s">
        <v>1352</v>
      </c>
      <c r="E183" s="348">
        <v>45352</v>
      </c>
      <c r="F183" s="349" t="s">
        <v>1353</v>
      </c>
      <c r="G183" s="369" t="s">
        <v>381</v>
      </c>
      <c r="H183" s="341" t="s">
        <v>1357</v>
      </c>
      <c r="I183" s="355">
        <v>0.83370160000000004</v>
      </c>
      <c r="J183" s="355">
        <v>0.83370160000000004</v>
      </c>
      <c r="K183" s="355">
        <v>0.83370160000000004</v>
      </c>
      <c r="L183" s="355">
        <v>0.83390760000000008</v>
      </c>
      <c r="M183" s="355">
        <v>0.83390760000000008</v>
      </c>
      <c r="N183" s="355"/>
      <c r="O183" s="355"/>
      <c r="P183" s="355"/>
      <c r="Q183" s="355"/>
      <c r="R183" s="355"/>
      <c r="S183" s="355"/>
      <c r="T183" s="355"/>
      <c r="U183" s="517"/>
      <c r="V183" s="356"/>
    </row>
    <row r="184" spans="1:25">
      <c r="A184" s="349" t="s">
        <v>1391</v>
      </c>
      <c r="B184" s="349" t="s">
        <v>1351</v>
      </c>
      <c r="C184" s="349" t="s">
        <v>1351</v>
      </c>
      <c r="D184" s="349" t="s">
        <v>1352</v>
      </c>
      <c r="E184" s="348">
        <v>45352</v>
      </c>
      <c r="F184" s="349" t="s">
        <v>1353</v>
      </c>
      <c r="G184" s="369" t="s">
        <v>385</v>
      </c>
      <c r="H184" s="341" t="s">
        <v>1356</v>
      </c>
      <c r="I184" s="352">
        <v>17937</v>
      </c>
      <c r="J184" s="352">
        <v>19656</v>
      </c>
      <c r="K184" s="352">
        <v>22507</v>
      </c>
      <c r="L184" s="352">
        <v>35067</v>
      </c>
      <c r="M184" s="352">
        <v>36153</v>
      </c>
      <c r="N184" s="354"/>
      <c r="O184" s="354"/>
      <c r="P184" s="354"/>
      <c r="Q184" s="354"/>
      <c r="R184" s="354"/>
      <c r="S184" s="354"/>
      <c r="T184" s="354"/>
      <c r="U184" s="517"/>
      <c r="V184"/>
    </row>
    <row r="185" spans="1:25">
      <c r="A185" s="349" t="s">
        <v>1391</v>
      </c>
      <c r="B185" s="349" t="s">
        <v>1351</v>
      </c>
      <c r="C185" s="349" t="s">
        <v>1351</v>
      </c>
      <c r="D185" s="349" t="s">
        <v>1352</v>
      </c>
      <c r="E185" s="348">
        <v>45352</v>
      </c>
      <c r="F185" s="349" t="s">
        <v>1353</v>
      </c>
      <c r="G185" s="369" t="s">
        <v>385</v>
      </c>
      <c r="H185" s="341" t="s">
        <v>1357</v>
      </c>
      <c r="I185" s="355">
        <v>0.93900159999999999</v>
      </c>
      <c r="J185" s="355">
        <v>0.93900159999999999</v>
      </c>
      <c r="K185" s="355">
        <v>0.93900159999999999</v>
      </c>
      <c r="L185" s="355">
        <v>0.93920760000000003</v>
      </c>
      <c r="M185" s="355">
        <v>0.93920760000000003</v>
      </c>
      <c r="N185" s="355"/>
      <c r="O185" s="355"/>
      <c r="P185" s="355"/>
      <c r="Q185" s="355"/>
      <c r="R185" s="355"/>
      <c r="S185" s="355"/>
      <c r="T185" s="355"/>
      <c r="U185" s="517"/>
      <c r="V185"/>
    </row>
    <row r="186" spans="1:25">
      <c r="A186" s="349" t="s">
        <v>1391</v>
      </c>
      <c r="B186" s="349" t="s">
        <v>1351</v>
      </c>
      <c r="C186" s="349" t="s">
        <v>1351</v>
      </c>
      <c r="D186" s="349" t="s">
        <v>1352</v>
      </c>
      <c r="E186" s="348">
        <v>45352</v>
      </c>
      <c r="F186" s="349" t="s">
        <v>1353</v>
      </c>
      <c r="G186" s="369" t="s">
        <v>385</v>
      </c>
      <c r="H186" s="341" t="s">
        <v>1358</v>
      </c>
      <c r="I186" s="354">
        <v>0</v>
      </c>
      <c r="J186" s="354">
        <v>0</v>
      </c>
      <c r="K186" s="354">
        <v>0</v>
      </c>
      <c r="L186" s="354">
        <v>0</v>
      </c>
      <c r="M186" s="354">
        <v>0</v>
      </c>
      <c r="N186" s="354"/>
      <c r="O186" s="354"/>
      <c r="P186" s="354"/>
      <c r="Q186" s="354"/>
      <c r="R186" s="354"/>
      <c r="S186" s="354"/>
      <c r="T186" s="354"/>
      <c r="U186" s="519"/>
      <c r="V186"/>
    </row>
    <row r="187" spans="1:25">
      <c r="A187" s="349" t="s">
        <v>1391</v>
      </c>
      <c r="B187" s="349" t="s">
        <v>1351</v>
      </c>
      <c r="C187" s="349" t="s">
        <v>1351</v>
      </c>
      <c r="D187" s="349" t="s">
        <v>1352</v>
      </c>
      <c r="E187" s="348">
        <v>45352</v>
      </c>
      <c r="F187" s="349" t="s">
        <v>1353</v>
      </c>
      <c r="G187" s="369" t="s">
        <v>385</v>
      </c>
      <c r="H187" s="341" t="s">
        <v>1357</v>
      </c>
      <c r="I187" s="355">
        <v>0.83370160000000004</v>
      </c>
      <c r="J187" s="355">
        <v>0.83370160000000004</v>
      </c>
      <c r="K187" s="355">
        <v>0.83370160000000004</v>
      </c>
      <c r="L187" s="355">
        <v>0.83390760000000008</v>
      </c>
      <c r="M187" s="355">
        <v>0.83390760000000008</v>
      </c>
      <c r="N187" s="355"/>
      <c r="O187" s="355"/>
      <c r="P187" s="355"/>
      <c r="Q187" s="355"/>
      <c r="R187" s="355"/>
      <c r="S187" s="355"/>
      <c r="T187" s="355"/>
      <c r="U187" s="517"/>
      <c r="V187" s="356"/>
    </row>
    <row r="188" spans="1:25">
      <c r="A188" s="374" t="s">
        <v>1392</v>
      </c>
      <c r="B188" s="374" t="s">
        <v>1351</v>
      </c>
      <c r="C188" s="374" t="s">
        <v>1351</v>
      </c>
      <c r="D188" s="374" t="s">
        <v>1352</v>
      </c>
      <c r="E188" s="376">
        <v>45352</v>
      </c>
      <c r="F188" s="374" t="s">
        <v>1353</v>
      </c>
      <c r="G188" s="377" t="s">
        <v>365</v>
      </c>
      <c r="H188" s="375" t="s">
        <v>1354</v>
      </c>
      <c r="I188" s="378">
        <v>72269</v>
      </c>
      <c r="J188" s="378">
        <v>106333</v>
      </c>
      <c r="K188" s="378">
        <v>156130</v>
      </c>
      <c r="L188" s="378">
        <v>207082</v>
      </c>
      <c r="M188" s="378">
        <v>188035</v>
      </c>
      <c r="N188" s="378"/>
      <c r="O188" s="378"/>
      <c r="P188" s="378"/>
      <c r="Q188" s="378"/>
      <c r="R188" s="378"/>
      <c r="S188" s="378"/>
      <c r="T188" s="378"/>
      <c r="U188" s="513">
        <f>SUM(I188:T188)</f>
        <v>729849</v>
      </c>
      <c r="V188" s="514"/>
      <c r="W188" s="520"/>
      <c r="X188" s="520"/>
      <c r="Y188" s="520"/>
    </row>
    <row r="189" spans="1:25">
      <c r="A189" s="349" t="s">
        <v>1392</v>
      </c>
      <c r="B189" s="349" t="s">
        <v>1351</v>
      </c>
      <c r="C189" s="349" t="s">
        <v>1351</v>
      </c>
      <c r="D189" s="349" t="s">
        <v>1352</v>
      </c>
      <c r="E189" s="348">
        <v>45352</v>
      </c>
      <c r="F189" s="349" t="s">
        <v>1353</v>
      </c>
      <c r="G189" s="351" t="s">
        <v>365</v>
      </c>
      <c r="H189" s="347" t="s">
        <v>1355</v>
      </c>
      <c r="I189" s="350">
        <v>67860.710000000006</v>
      </c>
      <c r="J189" s="350">
        <v>99846.86</v>
      </c>
      <c r="K189" s="350">
        <v>146606.32</v>
      </c>
      <c r="L189" s="350">
        <v>194492.99</v>
      </c>
      <c r="M189" s="350">
        <v>176603.9</v>
      </c>
      <c r="N189" s="350"/>
      <c r="O189" s="350"/>
      <c r="P189" s="350"/>
      <c r="Q189" s="350"/>
      <c r="R189" s="350"/>
      <c r="S189" s="350"/>
      <c r="T189" s="350"/>
      <c r="U189" s="515">
        <f>SUM(I189:T189)</f>
        <v>685410.78</v>
      </c>
      <c r="V189" s="516">
        <f>U189/$Y$1</f>
        <v>137909.61368209257</v>
      </c>
    </row>
    <row r="190" spans="1:25">
      <c r="A190" s="349" t="s">
        <v>1392</v>
      </c>
      <c r="B190" s="349" t="s">
        <v>1351</v>
      </c>
      <c r="C190" s="349" t="s">
        <v>1351</v>
      </c>
      <c r="D190" s="349" t="s">
        <v>1352</v>
      </c>
      <c r="E190" s="348">
        <v>45352</v>
      </c>
      <c r="F190" s="349" t="s">
        <v>1353</v>
      </c>
      <c r="G190" s="369" t="s">
        <v>367</v>
      </c>
      <c r="H190" s="341" t="s">
        <v>1356</v>
      </c>
      <c r="I190" s="352">
        <v>37395</v>
      </c>
      <c r="J190" s="352">
        <v>55257</v>
      </c>
      <c r="K190" s="352">
        <v>76124</v>
      </c>
      <c r="L190" s="352">
        <v>96959</v>
      </c>
      <c r="M190" s="352">
        <v>93169</v>
      </c>
      <c r="N190" s="354"/>
      <c r="O190" s="354"/>
      <c r="P190" s="354"/>
      <c r="Q190" s="354"/>
      <c r="R190" s="354"/>
      <c r="S190" s="354"/>
      <c r="T190" s="354"/>
      <c r="U190" s="517"/>
      <c r="V190"/>
    </row>
    <row r="191" spans="1:25">
      <c r="A191" s="349" t="s">
        <v>1392</v>
      </c>
      <c r="B191" s="349" t="s">
        <v>1351</v>
      </c>
      <c r="C191" s="349" t="s">
        <v>1351</v>
      </c>
      <c r="D191" s="349" t="s">
        <v>1352</v>
      </c>
      <c r="E191" s="348">
        <v>45352</v>
      </c>
      <c r="F191" s="349" t="s">
        <v>1353</v>
      </c>
      <c r="G191" s="369" t="s">
        <v>367</v>
      </c>
      <c r="H191" s="341" t="s">
        <v>1357</v>
      </c>
      <c r="I191" s="355">
        <v>0.93900159999999999</v>
      </c>
      <c r="J191" s="355">
        <v>0.93900159999999999</v>
      </c>
      <c r="K191" s="355">
        <v>0.93900159999999999</v>
      </c>
      <c r="L191" s="355">
        <v>0.93920760000000003</v>
      </c>
      <c r="M191" s="355">
        <v>0.93920760000000003</v>
      </c>
      <c r="N191" s="355"/>
      <c r="O191" s="355"/>
      <c r="P191" s="355"/>
      <c r="Q191" s="355"/>
      <c r="R191" s="355"/>
      <c r="S191" s="355"/>
      <c r="T191" s="355"/>
      <c r="U191" s="517"/>
      <c r="V191"/>
    </row>
    <row r="192" spans="1:25">
      <c r="A192" s="349" t="s">
        <v>1392</v>
      </c>
      <c r="B192" s="349" t="s">
        <v>1351</v>
      </c>
      <c r="C192" s="349" t="s">
        <v>1351</v>
      </c>
      <c r="D192" s="349" t="s">
        <v>1352</v>
      </c>
      <c r="E192" s="348">
        <v>45352</v>
      </c>
      <c r="F192" s="349" t="s">
        <v>1353</v>
      </c>
      <c r="G192" s="369" t="s">
        <v>367</v>
      </c>
      <c r="H192" s="341" t="s">
        <v>1358</v>
      </c>
      <c r="I192" s="354">
        <v>0</v>
      </c>
      <c r="J192" s="354">
        <v>0</v>
      </c>
      <c r="K192" s="354">
        <v>0</v>
      </c>
      <c r="L192" s="354">
        <v>0</v>
      </c>
      <c r="M192" s="354">
        <v>0</v>
      </c>
      <c r="N192" s="354"/>
      <c r="O192" s="354"/>
      <c r="P192" s="354"/>
      <c r="Q192" s="354"/>
      <c r="R192" s="354"/>
      <c r="S192" s="354"/>
      <c r="T192" s="354"/>
      <c r="U192" s="517"/>
      <c r="V192"/>
    </row>
    <row r="193" spans="1:25">
      <c r="A193" s="349" t="s">
        <v>1392</v>
      </c>
      <c r="B193" s="349" t="s">
        <v>1351</v>
      </c>
      <c r="C193" s="349" t="s">
        <v>1351</v>
      </c>
      <c r="D193" s="349" t="s">
        <v>1352</v>
      </c>
      <c r="E193" s="348">
        <v>45352</v>
      </c>
      <c r="F193" s="349" t="s">
        <v>1353</v>
      </c>
      <c r="G193" s="369" t="s">
        <v>367</v>
      </c>
      <c r="H193" s="341" t="s">
        <v>1357</v>
      </c>
      <c r="I193" s="355">
        <v>0.83370160000000004</v>
      </c>
      <c r="J193" s="355">
        <v>0.83370160000000004</v>
      </c>
      <c r="K193" s="355">
        <v>0.83370160000000004</v>
      </c>
      <c r="L193" s="355">
        <v>0.83390760000000008</v>
      </c>
      <c r="M193" s="355">
        <v>0.83390760000000008</v>
      </c>
      <c r="N193" s="355"/>
      <c r="O193" s="355"/>
      <c r="P193" s="355"/>
      <c r="Q193" s="355"/>
      <c r="R193" s="355"/>
      <c r="S193" s="355"/>
      <c r="T193" s="355"/>
      <c r="U193" s="517"/>
      <c r="V193"/>
    </row>
    <row r="194" spans="1:25">
      <c r="A194" s="374" t="s">
        <v>1393</v>
      </c>
      <c r="B194" s="374" t="s">
        <v>1351</v>
      </c>
      <c r="C194" s="374" t="s">
        <v>1351</v>
      </c>
      <c r="D194" s="374" t="s">
        <v>1352</v>
      </c>
      <c r="E194" s="376">
        <v>45352</v>
      </c>
      <c r="F194" s="374" t="s">
        <v>1353</v>
      </c>
      <c r="G194" s="377" t="s">
        <v>365</v>
      </c>
      <c r="H194" s="375" t="s">
        <v>1354</v>
      </c>
      <c r="I194" s="378">
        <v>0</v>
      </c>
      <c r="J194" s="378">
        <v>0</v>
      </c>
      <c r="K194" s="378">
        <v>0</v>
      </c>
      <c r="L194" s="378">
        <v>0</v>
      </c>
      <c r="M194" s="378">
        <v>0</v>
      </c>
      <c r="N194" s="378"/>
      <c r="O194" s="378"/>
      <c r="P194" s="378"/>
      <c r="Q194" s="378"/>
      <c r="R194" s="378"/>
      <c r="S194" s="378"/>
      <c r="T194" s="378"/>
      <c r="U194" s="513">
        <f>SUM(I194:T194)</f>
        <v>0</v>
      </c>
      <c r="V194" s="514"/>
      <c r="W194" s="520"/>
      <c r="X194" s="520"/>
      <c r="Y194" s="520"/>
    </row>
    <row r="195" spans="1:25">
      <c r="A195" s="349" t="s">
        <v>1393</v>
      </c>
      <c r="B195" s="349" t="s">
        <v>1351</v>
      </c>
      <c r="C195" s="349" t="s">
        <v>1351</v>
      </c>
      <c r="D195" s="349" t="s">
        <v>1352</v>
      </c>
      <c r="E195" s="348">
        <v>45352</v>
      </c>
      <c r="F195" s="349" t="s">
        <v>1353</v>
      </c>
      <c r="G195" s="351" t="s">
        <v>365</v>
      </c>
      <c r="H195" s="347" t="s">
        <v>1355</v>
      </c>
      <c r="I195" s="350">
        <v>0</v>
      </c>
      <c r="J195" s="350">
        <v>0</v>
      </c>
      <c r="K195" s="350">
        <v>0</v>
      </c>
      <c r="L195" s="350">
        <v>0</v>
      </c>
      <c r="M195" s="350">
        <v>0</v>
      </c>
      <c r="N195" s="350"/>
      <c r="O195" s="350"/>
      <c r="P195" s="350"/>
      <c r="Q195" s="350"/>
      <c r="R195" s="350"/>
      <c r="S195" s="350"/>
      <c r="T195" s="350"/>
      <c r="U195" s="515">
        <f>SUM(I195:T195)</f>
        <v>0</v>
      </c>
      <c r="V195" s="516">
        <f>U195/$Y$1</f>
        <v>0</v>
      </c>
    </row>
    <row r="196" spans="1:25">
      <c r="A196" s="349" t="s">
        <v>1393</v>
      </c>
      <c r="B196" s="349" t="s">
        <v>1351</v>
      </c>
      <c r="C196" s="349" t="s">
        <v>1351</v>
      </c>
      <c r="D196" s="349" t="s">
        <v>1352</v>
      </c>
      <c r="E196" s="348">
        <v>45352</v>
      </c>
      <c r="F196" s="349" t="s">
        <v>1353</v>
      </c>
      <c r="G196" s="369" t="s">
        <v>369</v>
      </c>
      <c r="H196" s="341" t="s">
        <v>1356</v>
      </c>
      <c r="I196" s="352">
        <v>34874</v>
      </c>
      <c r="J196" s="352">
        <v>51076</v>
      </c>
      <c r="K196" s="352">
        <v>80006</v>
      </c>
      <c r="L196" s="352">
        <v>110123</v>
      </c>
      <c r="M196" s="352">
        <v>94866</v>
      </c>
      <c r="N196" s="354"/>
      <c r="O196" s="354"/>
      <c r="P196" s="354"/>
      <c r="Q196" s="354"/>
      <c r="R196" s="354"/>
      <c r="S196" s="354"/>
      <c r="T196" s="354"/>
      <c r="U196" s="517"/>
      <c r="V196"/>
    </row>
    <row r="197" spans="1:25">
      <c r="A197" s="349" t="s">
        <v>1393</v>
      </c>
      <c r="B197" s="349" t="s">
        <v>1351</v>
      </c>
      <c r="C197" s="349" t="s">
        <v>1351</v>
      </c>
      <c r="D197" s="349" t="s">
        <v>1352</v>
      </c>
      <c r="E197" s="348">
        <v>45352</v>
      </c>
      <c r="F197" s="349" t="s">
        <v>1353</v>
      </c>
      <c r="G197" s="369" t="s">
        <v>369</v>
      </c>
      <c r="H197" s="341" t="s">
        <v>1357</v>
      </c>
      <c r="I197" s="355">
        <v>0.93900159999999999</v>
      </c>
      <c r="J197" s="355">
        <v>0.93900159999999999</v>
      </c>
      <c r="K197" s="355">
        <v>0.93900159999999999</v>
      </c>
      <c r="L197" s="355">
        <v>0.93920760000000003</v>
      </c>
      <c r="M197" s="355">
        <v>0.93920760000000003</v>
      </c>
      <c r="N197" s="355"/>
      <c r="O197" s="355"/>
      <c r="P197" s="355"/>
      <c r="Q197" s="355"/>
      <c r="R197" s="355"/>
      <c r="S197" s="355"/>
      <c r="T197" s="355"/>
      <c r="U197" s="517"/>
      <c r="V197"/>
    </row>
    <row r="198" spans="1:25">
      <c r="A198" s="349" t="s">
        <v>1393</v>
      </c>
      <c r="B198" s="349" t="s">
        <v>1351</v>
      </c>
      <c r="C198" s="349" t="s">
        <v>1351</v>
      </c>
      <c r="D198" s="349" t="s">
        <v>1352</v>
      </c>
      <c r="E198" s="348">
        <v>45352</v>
      </c>
      <c r="F198" s="349" t="s">
        <v>1353</v>
      </c>
      <c r="G198" s="369" t="s">
        <v>369</v>
      </c>
      <c r="H198" s="341" t="s">
        <v>1358</v>
      </c>
      <c r="I198" s="354">
        <v>0</v>
      </c>
      <c r="J198" s="354">
        <v>0</v>
      </c>
      <c r="K198" s="354">
        <v>0</v>
      </c>
      <c r="L198" s="354">
        <v>0</v>
      </c>
      <c r="M198" s="354">
        <v>0</v>
      </c>
      <c r="N198" s="354"/>
      <c r="O198" s="354"/>
      <c r="P198" s="354"/>
      <c r="Q198" s="354"/>
      <c r="R198" s="354"/>
      <c r="S198" s="354"/>
      <c r="T198" s="354"/>
      <c r="U198" s="517"/>
      <c r="V198"/>
    </row>
    <row r="199" spans="1:25">
      <c r="A199" s="349" t="s">
        <v>1393</v>
      </c>
      <c r="B199" s="349" t="s">
        <v>1351</v>
      </c>
      <c r="C199" s="349" t="s">
        <v>1351</v>
      </c>
      <c r="D199" s="349" t="s">
        <v>1352</v>
      </c>
      <c r="E199" s="348">
        <v>45352</v>
      </c>
      <c r="F199" s="349" t="s">
        <v>1353</v>
      </c>
      <c r="G199" s="369" t="s">
        <v>369</v>
      </c>
      <c r="H199" s="341" t="s">
        <v>1357</v>
      </c>
      <c r="I199" s="355">
        <v>0.83370160000000004</v>
      </c>
      <c r="J199" s="355">
        <v>0.83370160000000004</v>
      </c>
      <c r="K199" s="355">
        <v>0.83370160000000004</v>
      </c>
      <c r="L199" s="355">
        <v>0.83390760000000008</v>
      </c>
      <c r="M199" s="355">
        <v>0.83390760000000008</v>
      </c>
      <c r="N199" s="355"/>
      <c r="O199" s="355"/>
      <c r="P199" s="355"/>
      <c r="Q199" s="355"/>
      <c r="R199" s="355"/>
      <c r="S199" s="355"/>
      <c r="T199" s="355"/>
      <c r="U199" s="517"/>
      <c r="V199"/>
    </row>
    <row r="200" spans="1:25">
      <c r="A200" s="374" t="s">
        <v>1394</v>
      </c>
      <c r="B200" s="374" t="s">
        <v>1351</v>
      </c>
      <c r="C200" s="374" t="s">
        <v>1351</v>
      </c>
      <c r="D200" s="374" t="s">
        <v>1352</v>
      </c>
      <c r="E200" s="376">
        <v>45292</v>
      </c>
      <c r="F200" s="374" t="s">
        <v>1385</v>
      </c>
      <c r="G200" s="377" t="s">
        <v>193</v>
      </c>
      <c r="H200" s="375" t="s">
        <v>1354</v>
      </c>
      <c r="I200" s="378">
        <v>30257</v>
      </c>
      <c r="J200" s="378">
        <v>61688</v>
      </c>
      <c r="K200" s="378">
        <v>92800</v>
      </c>
      <c r="L200" s="378">
        <v>146298</v>
      </c>
      <c r="M200" s="378">
        <v>159886</v>
      </c>
      <c r="N200" s="378"/>
      <c r="O200" s="378"/>
      <c r="P200" s="378"/>
      <c r="Q200" s="378"/>
      <c r="R200" s="378"/>
      <c r="S200" s="378"/>
      <c r="T200" s="378"/>
      <c r="U200" s="513">
        <f>SUM(I200:T200)</f>
        <v>490929</v>
      </c>
      <c r="V200" s="514"/>
      <c r="W200" s="520"/>
      <c r="X200" s="520"/>
      <c r="Y200" s="520"/>
    </row>
    <row r="201" spans="1:25">
      <c r="A201" s="349" t="s">
        <v>1394</v>
      </c>
      <c r="B201" s="349" t="s">
        <v>1351</v>
      </c>
      <c r="C201" s="349" t="s">
        <v>1351</v>
      </c>
      <c r="D201" s="349" t="s">
        <v>1352</v>
      </c>
      <c r="E201" s="348">
        <v>45292</v>
      </c>
      <c r="F201" s="349" t="s">
        <v>1385</v>
      </c>
      <c r="G201" s="351" t="s">
        <v>193</v>
      </c>
      <c r="H201" s="347" t="s">
        <v>1355</v>
      </c>
      <c r="I201" s="350">
        <v>27220.17</v>
      </c>
      <c r="J201" s="350">
        <v>55508.81</v>
      </c>
      <c r="K201" s="350">
        <v>83181.25</v>
      </c>
      <c r="L201" s="350">
        <v>130382.32</v>
      </c>
      <c r="M201" s="350">
        <v>142770.72</v>
      </c>
      <c r="N201" s="350"/>
      <c r="O201" s="350"/>
      <c r="P201" s="350"/>
      <c r="Q201" s="350"/>
      <c r="R201" s="350"/>
      <c r="S201" s="350"/>
      <c r="T201" s="350"/>
      <c r="U201" s="515">
        <f>SUM(I201:T201)</f>
        <v>439063.27</v>
      </c>
      <c r="V201" s="516">
        <f>U201/$Y$1</f>
        <v>88342.710261569431</v>
      </c>
    </row>
    <row r="202" spans="1:25">
      <c r="A202" s="349" t="s">
        <v>1394</v>
      </c>
      <c r="B202" s="349" t="s">
        <v>1351</v>
      </c>
      <c r="C202" s="349" t="s">
        <v>1351</v>
      </c>
      <c r="D202" s="349" t="s">
        <v>1352</v>
      </c>
      <c r="E202" s="348">
        <v>45292</v>
      </c>
      <c r="F202" s="349" t="s">
        <v>1385</v>
      </c>
      <c r="G202" s="351" t="s">
        <v>209</v>
      </c>
      <c r="H202" s="341" t="s">
        <v>1356</v>
      </c>
      <c r="I202" s="352">
        <v>30187</v>
      </c>
      <c r="J202" s="352">
        <v>61675</v>
      </c>
      <c r="K202" s="352">
        <v>89372</v>
      </c>
      <c r="L202" s="352">
        <v>132645</v>
      </c>
      <c r="M202" s="352">
        <v>147904</v>
      </c>
      <c r="N202" s="354"/>
      <c r="O202" s="354"/>
      <c r="P202" s="354"/>
      <c r="Q202" s="354"/>
      <c r="R202" s="354"/>
      <c r="S202" s="354"/>
      <c r="T202" s="354"/>
      <c r="U202" s="517"/>
      <c r="V202" s="356"/>
    </row>
    <row r="203" spans="1:25">
      <c r="A203" s="349" t="s">
        <v>1394</v>
      </c>
      <c r="B203" s="349" t="s">
        <v>1351</v>
      </c>
      <c r="C203" s="349" t="s">
        <v>1351</v>
      </c>
      <c r="D203" s="349" t="s">
        <v>1352</v>
      </c>
      <c r="E203" s="348">
        <v>45292</v>
      </c>
      <c r="F203" s="349" t="s">
        <v>1385</v>
      </c>
      <c r="G203" s="351" t="s">
        <v>209</v>
      </c>
      <c r="H203" s="341" t="s">
        <v>1357</v>
      </c>
      <c r="I203" s="355">
        <v>0.89985159999999997</v>
      </c>
      <c r="J203" s="355">
        <v>0.89985159999999997</v>
      </c>
      <c r="K203" s="355">
        <v>0.89985159999999997</v>
      </c>
      <c r="L203" s="355">
        <v>0.90005760000000001</v>
      </c>
      <c r="M203" s="355">
        <v>0.90005760000000001</v>
      </c>
      <c r="N203" s="355"/>
      <c r="O203" s="355"/>
      <c r="P203" s="355"/>
      <c r="Q203" s="355"/>
      <c r="R203" s="355"/>
      <c r="S203" s="355"/>
      <c r="T203" s="355"/>
      <c r="U203" s="517"/>
      <c r="V203"/>
    </row>
    <row r="204" spans="1:25">
      <c r="A204" s="349" t="s">
        <v>1394</v>
      </c>
      <c r="B204" s="349" t="s">
        <v>1351</v>
      </c>
      <c r="C204" s="349" t="s">
        <v>1351</v>
      </c>
      <c r="D204" s="349" t="s">
        <v>1352</v>
      </c>
      <c r="E204" s="348">
        <v>45292</v>
      </c>
      <c r="F204" s="349" t="s">
        <v>1385</v>
      </c>
      <c r="G204" s="351" t="s">
        <v>207</v>
      </c>
      <c r="H204" s="341" t="s">
        <v>1358</v>
      </c>
      <c r="I204" s="354">
        <v>70</v>
      </c>
      <c r="J204" s="354">
        <v>13</v>
      </c>
      <c r="K204" s="354">
        <v>3428</v>
      </c>
      <c r="L204" s="354">
        <v>13653</v>
      </c>
      <c r="M204" s="354">
        <v>11982</v>
      </c>
      <c r="N204" s="354"/>
      <c r="O204" s="354"/>
      <c r="P204" s="354"/>
      <c r="Q204" s="354"/>
      <c r="R204" s="354"/>
      <c r="S204" s="354"/>
      <c r="T204" s="354"/>
      <c r="U204" s="519"/>
      <c r="V204"/>
    </row>
    <row r="205" spans="1:25">
      <c r="A205" s="349" t="s">
        <v>1394</v>
      </c>
      <c r="B205" s="349" t="s">
        <v>1351</v>
      </c>
      <c r="C205" s="349" t="s">
        <v>1351</v>
      </c>
      <c r="D205" s="349" t="s">
        <v>1352</v>
      </c>
      <c r="E205" s="348">
        <v>45292</v>
      </c>
      <c r="F205" s="349" t="s">
        <v>1385</v>
      </c>
      <c r="G205" s="351" t="s">
        <v>207</v>
      </c>
      <c r="H205" s="341" t="s">
        <v>1357</v>
      </c>
      <c r="I205" s="355">
        <v>0.80505159999999998</v>
      </c>
      <c r="J205" s="355">
        <v>0.80505159999999998</v>
      </c>
      <c r="K205" s="355">
        <v>0.80505159999999998</v>
      </c>
      <c r="L205" s="355">
        <v>0.80525760000000002</v>
      </c>
      <c r="M205" s="355">
        <v>0.80525760000000002</v>
      </c>
      <c r="N205" s="355"/>
      <c r="O205" s="355"/>
      <c r="P205" s="355"/>
      <c r="Q205" s="355"/>
      <c r="R205" s="355"/>
      <c r="S205" s="355"/>
      <c r="T205" s="355"/>
      <c r="U205" s="517"/>
      <c r="V205" s="356"/>
    </row>
    <row r="206" spans="1:25">
      <c r="A206" s="374" t="s">
        <v>1395</v>
      </c>
      <c r="B206" s="374" t="s">
        <v>1351</v>
      </c>
      <c r="C206" s="374" t="s">
        <v>1351</v>
      </c>
      <c r="D206" s="374" t="s">
        <v>1352</v>
      </c>
      <c r="E206" s="379">
        <v>45323</v>
      </c>
      <c r="F206" s="374" t="s">
        <v>1374</v>
      </c>
      <c r="G206" s="374" t="s">
        <v>281</v>
      </c>
      <c r="H206" s="375" t="s">
        <v>1354</v>
      </c>
      <c r="I206" s="378">
        <v>42839</v>
      </c>
      <c r="J206" s="378">
        <v>40600</v>
      </c>
      <c r="K206" s="378">
        <v>84722</v>
      </c>
      <c r="L206" s="378">
        <v>113957</v>
      </c>
      <c r="M206" s="378">
        <v>142101</v>
      </c>
      <c r="N206" s="378"/>
      <c r="O206" s="378"/>
      <c r="P206" s="378"/>
      <c r="Q206" s="378"/>
      <c r="R206" s="378"/>
      <c r="S206" s="378"/>
      <c r="T206" s="378"/>
      <c r="U206" s="513">
        <f>SUM(I206:T206)</f>
        <v>424219</v>
      </c>
      <c r="V206" s="514"/>
      <c r="W206" s="520"/>
      <c r="X206" s="520"/>
      <c r="Y206" s="520"/>
    </row>
    <row r="207" spans="1:25">
      <c r="A207" s="349" t="s">
        <v>1395</v>
      </c>
      <c r="B207" s="349" t="s">
        <v>1351</v>
      </c>
      <c r="C207" s="349" t="s">
        <v>1351</v>
      </c>
      <c r="D207" s="349" t="s">
        <v>1352</v>
      </c>
      <c r="E207" s="380">
        <v>45323</v>
      </c>
      <c r="F207" s="349" t="s">
        <v>1374</v>
      </c>
      <c r="G207" s="351" t="s">
        <v>281</v>
      </c>
      <c r="H207" s="347" t="s">
        <v>1355</v>
      </c>
      <c r="I207" s="350">
        <v>40614.69</v>
      </c>
      <c r="J207" s="350">
        <v>38389.980000000003</v>
      </c>
      <c r="K207" s="350">
        <v>80132.649999999994</v>
      </c>
      <c r="L207" s="350">
        <v>106938.49</v>
      </c>
      <c r="M207" s="350">
        <v>135773.32999999999</v>
      </c>
      <c r="N207" s="350"/>
      <c r="O207" s="350"/>
      <c r="P207" s="350"/>
      <c r="Q207" s="350"/>
      <c r="R207" s="350"/>
      <c r="S207" s="350"/>
      <c r="T207" s="350"/>
      <c r="U207" s="515">
        <f>SUM(I207:T207)</f>
        <v>401849.14</v>
      </c>
      <c r="V207" s="516">
        <f>U207/$Y$1</f>
        <v>80854.957746478874</v>
      </c>
    </row>
    <row r="208" spans="1:25">
      <c r="A208" s="349" t="s">
        <v>1395</v>
      </c>
      <c r="B208" s="349" t="s">
        <v>1351</v>
      </c>
      <c r="C208" s="349" t="s">
        <v>1351</v>
      </c>
      <c r="D208" s="349" t="s">
        <v>1352</v>
      </c>
      <c r="E208" s="380">
        <v>45323</v>
      </c>
      <c r="F208" s="349" t="s">
        <v>1374</v>
      </c>
      <c r="G208" s="351" t="s">
        <v>285</v>
      </c>
      <c r="H208" s="341" t="s">
        <v>1356</v>
      </c>
      <c r="I208" s="352">
        <v>14544</v>
      </c>
      <c r="J208" s="352">
        <v>13009</v>
      </c>
      <c r="K208" s="352">
        <v>19942</v>
      </c>
      <c r="L208" s="352">
        <v>23460</v>
      </c>
      <c r="M208" s="352">
        <v>54421</v>
      </c>
      <c r="N208" s="354"/>
      <c r="O208" s="354"/>
      <c r="P208" s="354"/>
      <c r="Q208" s="354"/>
      <c r="R208" s="354"/>
      <c r="S208" s="354"/>
      <c r="T208" s="354"/>
      <c r="U208" s="517"/>
      <c r="V208" s="356"/>
    </row>
    <row r="209" spans="1:25">
      <c r="A209" s="349" t="s">
        <v>1395</v>
      </c>
      <c r="B209" s="349" t="s">
        <v>1351</v>
      </c>
      <c r="C209" s="349" t="s">
        <v>1351</v>
      </c>
      <c r="D209" s="349" t="s">
        <v>1352</v>
      </c>
      <c r="E209" s="380">
        <v>45323</v>
      </c>
      <c r="F209" s="349" t="s">
        <v>1374</v>
      </c>
      <c r="G209" s="351" t="s">
        <v>285</v>
      </c>
      <c r="H209" s="341" t="s">
        <v>1357</v>
      </c>
      <c r="I209" s="355">
        <v>0.96780160000000004</v>
      </c>
      <c r="J209" s="355">
        <v>0.96780160000000004</v>
      </c>
      <c r="K209" s="355">
        <v>0.96780160000000004</v>
      </c>
      <c r="L209" s="355">
        <v>0.96800760000000008</v>
      </c>
      <c r="M209" s="355">
        <v>0.96800760000000008</v>
      </c>
      <c r="N209" s="355"/>
      <c r="O209" s="355"/>
      <c r="P209" s="355"/>
      <c r="Q209" s="355"/>
      <c r="R209" s="355"/>
      <c r="S209" s="355"/>
      <c r="T209" s="355"/>
      <c r="U209" s="517"/>
      <c r="V209"/>
    </row>
    <row r="210" spans="1:25">
      <c r="A210" s="349" t="s">
        <v>1395</v>
      </c>
      <c r="B210" s="349" t="s">
        <v>1351</v>
      </c>
      <c r="C210" s="349" t="s">
        <v>1351</v>
      </c>
      <c r="D210" s="349" t="s">
        <v>1352</v>
      </c>
      <c r="E210" s="380">
        <v>45323</v>
      </c>
      <c r="F210" s="349" t="s">
        <v>1374</v>
      </c>
      <c r="G210" s="351" t="s">
        <v>283</v>
      </c>
      <c r="H210" s="341" t="s">
        <v>1358</v>
      </c>
      <c r="I210" s="354">
        <v>6152</v>
      </c>
      <c r="J210" s="354">
        <v>6732</v>
      </c>
      <c r="K210" s="354">
        <v>13745</v>
      </c>
      <c r="L210" s="354">
        <v>24227</v>
      </c>
      <c r="M210" s="354">
        <v>11931</v>
      </c>
      <c r="N210" s="354"/>
      <c r="O210" s="354"/>
      <c r="P210" s="354"/>
      <c r="Q210" s="354"/>
      <c r="R210" s="354"/>
      <c r="S210" s="354"/>
      <c r="T210" s="354"/>
      <c r="U210" s="519"/>
      <c r="V210"/>
    </row>
    <row r="211" spans="1:25">
      <c r="A211" s="349" t="s">
        <v>1395</v>
      </c>
      <c r="B211" s="349" t="s">
        <v>1351</v>
      </c>
      <c r="C211" s="349" t="s">
        <v>1351</v>
      </c>
      <c r="D211" s="349" t="s">
        <v>1352</v>
      </c>
      <c r="E211" s="380">
        <v>45323</v>
      </c>
      <c r="F211" s="349" t="s">
        <v>1374</v>
      </c>
      <c r="G211" s="351" t="s">
        <v>283</v>
      </c>
      <c r="H211" s="341" t="s">
        <v>1357</v>
      </c>
      <c r="I211" s="355">
        <v>0.83370160000000004</v>
      </c>
      <c r="J211" s="355">
        <v>0.83370160000000004</v>
      </c>
      <c r="K211" s="355">
        <v>0.83370160000000004</v>
      </c>
      <c r="L211" s="355">
        <v>0.83390760000000008</v>
      </c>
      <c r="M211" s="355">
        <v>0.83390760000000008</v>
      </c>
      <c r="N211" s="355"/>
      <c r="O211" s="355"/>
      <c r="P211" s="355"/>
      <c r="Q211" s="355"/>
      <c r="R211" s="355"/>
      <c r="S211" s="355"/>
      <c r="T211" s="355"/>
      <c r="U211" s="517"/>
      <c r="V211" s="356"/>
    </row>
    <row r="212" spans="1:25">
      <c r="A212" s="374" t="s">
        <v>1396</v>
      </c>
      <c r="B212" s="374" t="s">
        <v>1351</v>
      </c>
      <c r="C212" s="374" t="s">
        <v>1351</v>
      </c>
      <c r="D212" s="374" t="s">
        <v>1352</v>
      </c>
      <c r="E212" s="379">
        <v>45323</v>
      </c>
      <c r="F212" s="374" t="s">
        <v>1374</v>
      </c>
      <c r="G212" s="374" t="s">
        <v>281</v>
      </c>
      <c r="H212" s="375" t="s">
        <v>1354</v>
      </c>
      <c r="I212" s="378">
        <v>0</v>
      </c>
      <c r="J212" s="378">
        <v>0</v>
      </c>
      <c r="K212" s="378">
        <v>0</v>
      </c>
      <c r="L212" s="378">
        <v>0</v>
      </c>
      <c r="M212" s="378">
        <v>0</v>
      </c>
      <c r="N212" s="378"/>
      <c r="O212" s="378"/>
      <c r="P212" s="378"/>
      <c r="Q212" s="378"/>
      <c r="R212" s="378"/>
      <c r="S212" s="378"/>
      <c r="T212" s="378"/>
      <c r="U212" s="513">
        <f>SUM(I212:T212)</f>
        <v>0</v>
      </c>
      <c r="V212" s="514"/>
      <c r="W212" s="520"/>
      <c r="X212" s="520"/>
      <c r="Y212" s="520"/>
    </row>
    <row r="213" spans="1:25">
      <c r="A213" s="349" t="s">
        <v>1396</v>
      </c>
      <c r="B213" s="349" t="s">
        <v>1351</v>
      </c>
      <c r="C213" s="349" t="s">
        <v>1351</v>
      </c>
      <c r="D213" s="349" t="s">
        <v>1352</v>
      </c>
      <c r="E213" s="380">
        <v>45323</v>
      </c>
      <c r="F213" s="349" t="s">
        <v>1374</v>
      </c>
      <c r="G213" s="351" t="s">
        <v>281</v>
      </c>
      <c r="H213" s="347" t="s">
        <v>1355</v>
      </c>
      <c r="I213" s="350">
        <v>0</v>
      </c>
      <c r="J213" s="350">
        <v>0</v>
      </c>
      <c r="K213" s="350">
        <v>0</v>
      </c>
      <c r="L213" s="350">
        <v>0</v>
      </c>
      <c r="M213" s="350">
        <v>0</v>
      </c>
      <c r="N213" s="350"/>
      <c r="O213" s="350"/>
      <c r="P213" s="350"/>
      <c r="Q213" s="350"/>
      <c r="R213" s="350"/>
      <c r="S213" s="350"/>
      <c r="T213" s="350"/>
      <c r="U213" s="515">
        <f>SUM(I213:T213)</f>
        <v>0</v>
      </c>
      <c r="V213" s="516">
        <f>U213/$Y$1</f>
        <v>0</v>
      </c>
    </row>
    <row r="214" spans="1:25">
      <c r="A214" s="349" t="s">
        <v>1396</v>
      </c>
      <c r="B214" s="349" t="s">
        <v>1351</v>
      </c>
      <c r="C214" s="349" t="s">
        <v>1351</v>
      </c>
      <c r="D214" s="349" t="s">
        <v>1352</v>
      </c>
      <c r="E214" s="380">
        <v>45323</v>
      </c>
      <c r="F214" s="349" t="s">
        <v>1374</v>
      </c>
      <c r="G214" s="351" t="s">
        <v>290</v>
      </c>
      <c r="H214" s="341" t="s">
        <v>1356</v>
      </c>
      <c r="I214" s="352">
        <v>21994</v>
      </c>
      <c r="J214" s="352">
        <v>20859</v>
      </c>
      <c r="K214" s="352">
        <v>50899</v>
      </c>
      <c r="L214" s="352">
        <v>65346</v>
      </c>
      <c r="M214" s="352">
        <v>74395</v>
      </c>
      <c r="N214" s="354"/>
      <c r="O214" s="354"/>
      <c r="P214" s="354"/>
      <c r="Q214" s="354"/>
      <c r="R214" s="354"/>
      <c r="S214" s="354"/>
      <c r="T214" s="354"/>
      <c r="U214" s="517"/>
      <c r="V214" s="356"/>
    </row>
    <row r="215" spans="1:25">
      <c r="A215" s="349" t="s">
        <v>1396</v>
      </c>
      <c r="B215" s="349" t="s">
        <v>1351</v>
      </c>
      <c r="C215" s="349" t="s">
        <v>1351</v>
      </c>
      <c r="D215" s="349" t="s">
        <v>1352</v>
      </c>
      <c r="E215" s="380">
        <v>45323</v>
      </c>
      <c r="F215" s="349" t="s">
        <v>1374</v>
      </c>
      <c r="G215" s="351" t="s">
        <v>290</v>
      </c>
      <c r="H215" s="341" t="s">
        <v>1357</v>
      </c>
      <c r="I215" s="355">
        <v>0.96780160000000004</v>
      </c>
      <c r="J215" s="355">
        <v>0.96780160000000004</v>
      </c>
      <c r="K215" s="355">
        <v>0.96780160000000004</v>
      </c>
      <c r="L215" s="355">
        <v>0.96800760000000008</v>
      </c>
      <c r="M215" s="355">
        <v>0.96800760000000008</v>
      </c>
      <c r="N215" s="355"/>
      <c r="O215" s="355"/>
      <c r="P215" s="355"/>
      <c r="Q215" s="355"/>
      <c r="R215" s="355"/>
      <c r="S215" s="355"/>
      <c r="T215" s="355"/>
      <c r="U215" s="517"/>
      <c r="V215"/>
    </row>
    <row r="216" spans="1:25">
      <c r="A216" s="349" t="s">
        <v>1396</v>
      </c>
      <c r="B216" s="349" t="s">
        <v>1351</v>
      </c>
      <c r="C216" s="349" t="s">
        <v>1351</v>
      </c>
      <c r="D216" s="349" t="s">
        <v>1352</v>
      </c>
      <c r="E216" s="380">
        <v>45323</v>
      </c>
      <c r="F216" s="349" t="s">
        <v>1374</v>
      </c>
      <c r="G216" s="351" t="s">
        <v>288</v>
      </c>
      <c r="H216" s="341" t="s">
        <v>1358</v>
      </c>
      <c r="I216" s="354">
        <v>149</v>
      </c>
      <c r="J216" s="354">
        <v>0</v>
      </c>
      <c r="K216" s="354">
        <v>136</v>
      </c>
      <c r="L216" s="354">
        <v>924</v>
      </c>
      <c r="M216" s="354">
        <v>1354</v>
      </c>
      <c r="N216" s="357"/>
      <c r="O216" s="357"/>
      <c r="P216" s="357"/>
      <c r="Q216" s="357"/>
      <c r="R216" s="354"/>
      <c r="S216" s="354"/>
      <c r="T216" s="354"/>
      <c r="U216" s="519"/>
      <c r="V216"/>
    </row>
    <row r="217" spans="1:25">
      <c r="A217" s="349" t="s">
        <v>1396</v>
      </c>
      <c r="B217" s="349" t="s">
        <v>1351</v>
      </c>
      <c r="C217" s="349" t="s">
        <v>1351</v>
      </c>
      <c r="D217" s="349" t="s">
        <v>1352</v>
      </c>
      <c r="E217" s="380">
        <v>45323</v>
      </c>
      <c r="F217" s="349" t="s">
        <v>1374</v>
      </c>
      <c r="G217" s="351" t="s">
        <v>288</v>
      </c>
      <c r="H217" s="341" t="s">
        <v>1357</v>
      </c>
      <c r="I217" s="355">
        <v>0.83370160000000004</v>
      </c>
      <c r="J217" s="355">
        <v>0.83370160000000004</v>
      </c>
      <c r="K217" s="355">
        <v>0.83370160000000004</v>
      </c>
      <c r="L217" s="355">
        <v>0.83390760000000008</v>
      </c>
      <c r="M217" s="355">
        <v>0.83390760000000008</v>
      </c>
      <c r="N217" s="355"/>
      <c r="O217" s="355"/>
      <c r="P217" s="355"/>
      <c r="Q217" s="355"/>
      <c r="R217" s="355"/>
      <c r="S217" s="355"/>
      <c r="T217" s="355"/>
      <c r="U217" s="517"/>
      <c r="V217" s="356"/>
    </row>
    <row r="218" spans="1:25">
      <c r="A218" s="374" t="s">
        <v>1397</v>
      </c>
      <c r="B218" s="374" t="s">
        <v>1351</v>
      </c>
      <c r="C218" s="374" t="s">
        <v>1351</v>
      </c>
      <c r="D218" s="374" t="s">
        <v>1352</v>
      </c>
      <c r="E218" s="379">
        <v>45323</v>
      </c>
      <c r="F218" s="374" t="s">
        <v>1374</v>
      </c>
      <c r="G218" s="374" t="s">
        <v>433</v>
      </c>
      <c r="H218" s="375" t="s">
        <v>1354</v>
      </c>
      <c r="I218" s="378">
        <v>91042</v>
      </c>
      <c r="J218" s="378">
        <v>115608</v>
      </c>
      <c r="K218" s="378">
        <v>161306</v>
      </c>
      <c r="L218" s="378">
        <v>179064</v>
      </c>
      <c r="M218" s="378">
        <v>216337</v>
      </c>
      <c r="N218" s="378"/>
      <c r="O218" s="378"/>
      <c r="P218" s="378"/>
      <c r="Q218" s="378"/>
      <c r="R218" s="378"/>
      <c r="S218" s="378"/>
      <c r="T218" s="378"/>
      <c r="U218" s="513">
        <f>SUM(I218:T218)</f>
        <v>763357</v>
      </c>
      <c r="V218" s="514"/>
      <c r="W218" s="520"/>
      <c r="X218" s="520"/>
      <c r="Y218" s="520"/>
    </row>
    <row r="219" spans="1:25">
      <c r="A219" s="349" t="s">
        <v>1398</v>
      </c>
      <c r="B219" s="349" t="s">
        <v>1351</v>
      </c>
      <c r="C219" s="349" t="s">
        <v>1351</v>
      </c>
      <c r="D219" s="349" t="s">
        <v>1352</v>
      </c>
      <c r="E219" s="348">
        <v>45323</v>
      </c>
      <c r="F219" s="349" t="s">
        <v>1374</v>
      </c>
      <c r="G219" s="351" t="s">
        <v>433</v>
      </c>
      <c r="H219" s="347" t="s">
        <v>1355</v>
      </c>
      <c r="I219" s="350">
        <v>87620.99</v>
      </c>
      <c r="J219" s="350">
        <v>111157.04</v>
      </c>
      <c r="K219" s="350">
        <v>155985.60999999999</v>
      </c>
      <c r="L219" s="350">
        <v>170254.9</v>
      </c>
      <c r="M219" s="350">
        <v>205495.18</v>
      </c>
      <c r="N219" s="350"/>
      <c r="O219" s="350"/>
      <c r="P219" s="350"/>
      <c r="Q219" s="350"/>
      <c r="R219" s="350"/>
      <c r="S219" s="350"/>
      <c r="T219" s="350"/>
      <c r="U219" s="515">
        <f>SUM(I219:T219)</f>
        <v>730513.72</v>
      </c>
      <c r="V219" s="516">
        <f>U219/$Y$1</f>
        <v>146984.65191146883</v>
      </c>
    </row>
    <row r="220" spans="1:25">
      <c r="A220" s="349" t="s">
        <v>1398</v>
      </c>
      <c r="B220" s="349" t="s">
        <v>1351</v>
      </c>
      <c r="C220" s="349" t="s">
        <v>1351</v>
      </c>
      <c r="D220" s="349" t="s">
        <v>1352</v>
      </c>
      <c r="E220" s="348">
        <v>45323</v>
      </c>
      <c r="F220" s="349" t="s">
        <v>1374</v>
      </c>
      <c r="G220" s="369" t="s">
        <v>138</v>
      </c>
      <c r="H220" s="341" t="s">
        <v>1356</v>
      </c>
      <c r="I220" s="352">
        <v>40186</v>
      </c>
      <c r="J220" s="352">
        <v>43658</v>
      </c>
      <c r="K220" s="352">
        <v>40730</v>
      </c>
      <c r="L220" s="352">
        <v>84457</v>
      </c>
      <c r="M220" s="352">
        <v>76578</v>
      </c>
      <c r="N220" s="354"/>
      <c r="O220" s="354"/>
      <c r="P220" s="354"/>
      <c r="Q220" s="354"/>
      <c r="R220" s="354"/>
      <c r="S220" s="354"/>
      <c r="T220" s="354"/>
      <c r="U220" s="517"/>
      <c r="V220" s="356"/>
    </row>
    <row r="221" spans="1:25">
      <c r="A221" s="349" t="s">
        <v>1398</v>
      </c>
      <c r="B221" s="349" t="s">
        <v>1351</v>
      </c>
      <c r="C221" s="349" t="s">
        <v>1351</v>
      </c>
      <c r="D221" s="349" t="s">
        <v>1352</v>
      </c>
      <c r="E221" s="348">
        <v>45323</v>
      </c>
      <c r="F221" s="349" t="s">
        <v>1374</v>
      </c>
      <c r="G221" s="369" t="s">
        <v>138</v>
      </c>
      <c r="H221" s="341" t="s">
        <v>1357</v>
      </c>
      <c r="I221" s="355">
        <v>0.96780160000000004</v>
      </c>
      <c r="J221" s="355">
        <v>0.96780160000000004</v>
      </c>
      <c r="K221" s="355">
        <v>0.96780160000000004</v>
      </c>
      <c r="L221" s="355">
        <v>0.96800760000000008</v>
      </c>
      <c r="M221" s="355">
        <v>0.96800760000000008</v>
      </c>
      <c r="N221" s="355"/>
      <c r="O221" s="355"/>
      <c r="P221" s="355"/>
      <c r="Q221" s="355"/>
      <c r="R221" s="355"/>
      <c r="S221" s="355"/>
      <c r="T221" s="355"/>
      <c r="U221" s="517"/>
      <c r="V221"/>
    </row>
    <row r="222" spans="1:25">
      <c r="A222" s="349" t="s">
        <v>1398</v>
      </c>
      <c r="B222" s="349" t="s">
        <v>1351</v>
      </c>
      <c r="C222" s="349" t="s">
        <v>1351</v>
      </c>
      <c r="D222" s="349" t="s">
        <v>1352</v>
      </c>
      <c r="E222" s="348">
        <v>45323</v>
      </c>
      <c r="F222" s="349" t="s">
        <v>1374</v>
      </c>
      <c r="G222" s="369" t="s">
        <v>138</v>
      </c>
      <c r="H222" s="341" t="s">
        <v>1358</v>
      </c>
      <c r="I222" s="354">
        <v>3651</v>
      </c>
      <c r="J222" s="354">
        <v>5433</v>
      </c>
      <c r="K222" s="354">
        <v>934</v>
      </c>
      <c r="L222" s="354">
        <v>19595</v>
      </c>
      <c r="M222" s="354">
        <v>29203</v>
      </c>
      <c r="N222" s="357"/>
      <c r="O222" s="357"/>
      <c r="P222" s="357"/>
      <c r="Q222" s="357"/>
      <c r="R222" s="354"/>
      <c r="S222" s="354"/>
      <c r="T222" s="354"/>
      <c r="U222" s="519"/>
      <c r="V222"/>
    </row>
    <row r="223" spans="1:25">
      <c r="A223" s="349" t="s">
        <v>1398</v>
      </c>
      <c r="B223" s="349" t="s">
        <v>1351</v>
      </c>
      <c r="C223" s="349" t="s">
        <v>1351</v>
      </c>
      <c r="D223" s="349" t="s">
        <v>1352</v>
      </c>
      <c r="E223" s="348">
        <v>45323</v>
      </c>
      <c r="F223" s="349" t="s">
        <v>1374</v>
      </c>
      <c r="G223" s="369" t="s">
        <v>138</v>
      </c>
      <c r="H223" s="341" t="s">
        <v>1357</v>
      </c>
      <c r="I223" s="355">
        <v>0.83370160000000004</v>
      </c>
      <c r="J223" s="355">
        <v>0.83370160000000004</v>
      </c>
      <c r="K223" s="355">
        <v>0.83370160000000004</v>
      </c>
      <c r="L223" s="355">
        <v>0.83390760000000008</v>
      </c>
      <c r="M223" s="355">
        <v>0.83390760000000008</v>
      </c>
      <c r="N223" s="355"/>
      <c r="O223" s="355"/>
      <c r="P223" s="355"/>
      <c r="Q223" s="355"/>
      <c r="R223" s="355"/>
      <c r="S223" s="355"/>
      <c r="T223" s="355"/>
      <c r="U223" s="517"/>
      <c r="V223" s="356"/>
    </row>
    <row r="224" spans="1:25">
      <c r="A224" s="349" t="s">
        <v>1398</v>
      </c>
      <c r="B224" s="349" t="s">
        <v>1351</v>
      </c>
      <c r="C224" s="349" t="s">
        <v>1351</v>
      </c>
      <c r="D224" s="349" t="s">
        <v>1352</v>
      </c>
      <c r="E224" s="348">
        <v>45323</v>
      </c>
      <c r="F224" s="349" t="s">
        <v>1374</v>
      </c>
      <c r="G224" s="369" t="s">
        <v>139</v>
      </c>
      <c r="H224" s="341" t="s">
        <v>1356</v>
      </c>
      <c r="I224" s="352">
        <v>47205</v>
      </c>
      <c r="J224" s="352">
        <v>66517</v>
      </c>
      <c r="K224" s="352">
        <v>119632</v>
      </c>
      <c r="L224" s="352">
        <v>71636</v>
      </c>
      <c r="M224" s="352">
        <v>110522</v>
      </c>
      <c r="N224" s="354"/>
      <c r="O224" s="354"/>
      <c r="P224" s="354"/>
      <c r="Q224" s="354"/>
      <c r="R224" s="354"/>
      <c r="S224" s="354"/>
      <c r="T224" s="354"/>
      <c r="U224" s="517"/>
      <c r="V224"/>
    </row>
    <row r="225" spans="1:25">
      <c r="A225" s="349" t="s">
        <v>1398</v>
      </c>
      <c r="B225" s="349" t="s">
        <v>1351</v>
      </c>
      <c r="C225" s="349" t="s">
        <v>1351</v>
      </c>
      <c r="D225" s="349" t="s">
        <v>1352</v>
      </c>
      <c r="E225" s="348">
        <v>45323</v>
      </c>
      <c r="F225" s="349" t="s">
        <v>1374</v>
      </c>
      <c r="G225" s="369" t="s">
        <v>139</v>
      </c>
      <c r="H225" s="341" t="s">
        <v>1357</v>
      </c>
      <c r="I225" s="355">
        <v>0.96780160000000004</v>
      </c>
      <c r="J225" s="355">
        <v>0.96780160000000004</v>
      </c>
      <c r="K225" s="355">
        <v>0.96780160000000004</v>
      </c>
      <c r="L225" s="355">
        <v>0.96800760000000008</v>
      </c>
      <c r="M225" s="355">
        <v>0.96800760000000008</v>
      </c>
      <c r="N225" s="355"/>
      <c r="O225" s="355"/>
      <c r="P225" s="355"/>
      <c r="Q225" s="355"/>
      <c r="R225" s="355"/>
      <c r="S225" s="355"/>
      <c r="T225" s="355"/>
      <c r="U225" s="517"/>
      <c r="V225"/>
    </row>
    <row r="226" spans="1:25">
      <c r="A226" s="349" t="s">
        <v>1398</v>
      </c>
      <c r="B226" s="349" t="s">
        <v>1351</v>
      </c>
      <c r="C226" s="349" t="s">
        <v>1351</v>
      </c>
      <c r="D226" s="349" t="s">
        <v>1352</v>
      </c>
      <c r="E226" s="348">
        <v>45323</v>
      </c>
      <c r="F226" s="349" t="s">
        <v>1374</v>
      </c>
      <c r="G226" s="369" t="s">
        <v>139</v>
      </c>
      <c r="H226" s="341" t="s">
        <v>1358</v>
      </c>
      <c r="I226" s="354">
        <v>0</v>
      </c>
      <c r="J226" s="354">
        <v>0</v>
      </c>
      <c r="K226" s="354">
        <v>10</v>
      </c>
      <c r="L226" s="354">
        <v>3376</v>
      </c>
      <c r="M226" s="354">
        <v>34</v>
      </c>
      <c r="N226" s="357"/>
      <c r="O226" s="357"/>
      <c r="P226" s="357"/>
      <c r="Q226" s="357"/>
      <c r="R226" s="354"/>
      <c r="S226" s="354"/>
      <c r="T226" s="354"/>
      <c r="U226" s="519"/>
      <c r="V226"/>
    </row>
    <row r="227" spans="1:25">
      <c r="A227" s="349" t="s">
        <v>1398</v>
      </c>
      <c r="B227" s="349" t="s">
        <v>1351</v>
      </c>
      <c r="C227" s="349" t="s">
        <v>1351</v>
      </c>
      <c r="D227" s="349" t="s">
        <v>1352</v>
      </c>
      <c r="E227" s="348">
        <v>45323</v>
      </c>
      <c r="F227" s="349" t="s">
        <v>1374</v>
      </c>
      <c r="G227" s="369" t="s">
        <v>139</v>
      </c>
      <c r="H227" s="341" t="s">
        <v>1357</v>
      </c>
      <c r="I227" s="355">
        <v>0.83370160000000004</v>
      </c>
      <c r="J227" s="355">
        <v>0.83370160000000004</v>
      </c>
      <c r="K227" s="355">
        <v>0.83370160000000004</v>
      </c>
      <c r="L227" s="355">
        <v>0.83390760000000008</v>
      </c>
      <c r="M227" s="355">
        <v>0.83390760000000008</v>
      </c>
      <c r="N227" s="355"/>
      <c r="O227" s="355"/>
      <c r="P227" s="355"/>
      <c r="Q227" s="355"/>
      <c r="R227" s="355"/>
      <c r="S227" s="355"/>
      <c r="T227" s="355"/>
      <c r="U227" s="517"/>
      <c r="V227" s="356"/>
    </row>
    <row r="228" spans="1:25" ht="45">
      <c r="A228" s="374" t="s">
        <v>66</v>
      </c>
      <c r="B228" s="374" t="s">
        <v>1351</v>
      </c>
      <c r="C228" s="374" t="s">
        <v>1351</v>
      </c>
      <c r="D228" s="374" t="s">
        <v>1352</v>
      </c>
      <c r="E228" s="379">
        <v>45413</v>
      </c>
      <c r="F228" s="374" t="s">
        <v>1366</v>
      </c>
      <c r="G228" s="558" t="s">
        <v>1442</v>
      </c>
      <c r="H228" s="375" t="s">
        <v>1354</v>
      </c>
      <c r="I228" s="378">
        <v>37865</v>
      </c>
      <c r="J228" s="378">
        <v>21189</v>
      </c>
      <c r="K228" s="378">
        <v>42093</v>
      </c>
      <c r="L228" s="378">
        <v>121454</v>
      </c>
      <c r="M228" s="378">
        <v>110433</v>
      </c>
      <c r="N228" s="378"/>
      <c r="O228" s="378"/>
      <c r="P228" s="378"/>
      <c r="Q228" s="378"/>
      <c r="R228" s="378"/>
      <c r="S228" s="378"/>
      <c r="T228" s="378"/>
      <c r="U228" s="513">
        <f>SUM(I228:T228)</f>
        <v>333034</v>
      </c>
      <c r="V228" s="514"/>
      <c r="W228" s="520"/>
      <c r="X228" s="520"/>
      <c r="Y228" s="520"/>
    </row>
    <row r="229" spans="1:25" ht="45">
      <c r="A229" s="349" t="s">
        <v>66</v>
      </c>
      <c r="B229" s="349" t="s">
        <v>1351</v>
      </c>
      <c r="C229" s="349" t="s">
        <v>1351</v>
      </c>
      <c r="D229" s="349" t="s">
        <v>1352</v>
      </c>
      <c r="E229" s="348">
        <v>45413</v>
      </c>
      <c r="F229" s="349" t="s">
        <v>1366</v>
      </c>
      <c r="G229" s="558" t="s">
        <v>1442</v>
      </c>
      <c r="H229" s="347" t="s">
        <v>1355</v>
      </c>
      <c r="I229" s="350">
        <v>36915.03</v>
      </c>
      <c r="J229" s="350">
        <v>20657.400000000001</v>
      </c>
      <c r="K229" s="350">
        <v>41036.949999999997</v>
      </c>
      <c r="L229" s="350">
        <v>113654.88</v>
      </c>
      <c r="M229" s="350">
        <v>105502.62</v>
      </c>
      <c r="N229" s="350"/>
      <c r="O229" s="350"/>
      <c r="P229" s="350"/>
      <c r="Q229" s="350"/>
      <c r="R229" s="350"/>
      <c r="S229" s="350"/>
      <c r="T229" s="350"/>
      <c r="U229" s="515">
        <f>SUM(I229:T229)</f>
        <v>317766.88</v>
      </c>
      <c r="V229" s="516">
        <f>U229/$Y$1</f>
        <v>63936.997987927571</v>
      </c>
    </row>
    <row r="230" spans="1:25">
      <c r="A230" s="349" t="s">
        <v>66</v>
      </c>
      <c r="B230" s="349" t="s">
        <v>1351</v>
      </c>
      <c r="C230" s="349" t="s">
        <v>1351</v>
      </c>
      <c r="D230" s="349" t="s">
        <v>1352</v>
      </c>
      <c r="E230" s="348">
        <v>45413</v>
      </c>
      <c r="F230" s="349" t="s">
        <v>1366</v>
      </c>
      <c r="G230" s="369" t="s">
        <v>400</v>
      </c>
      <c r="H230" s="341" t="s">
        <v>1356</v>
      </c>
      <c r="I230" s="352">
        <v>37865</v>
      </c>
      <c r="J230" s="352">
        <v>21189</v>
      </c>
      <c r="K230" s="352">
        <v>42093</v>
      </c>
      <c r="L230" s="352">
        <v>24584</v>
      </c>
      <c r="M230" s="352">
        <v>30925</v>
      </c>
      <c r="N230" s="357"/>
      <c r="O230" s="357"/>
      <c r="P230" s="357"/>
      <c r="Q230" s="354"/>
      <c r="R230" s="354"/>
      <c r="S230" s="354"/>
      <c r="T230" s="354"/>
      <c r="U230" s="517"/>
      <c r="V230" s="356"/>
    </row>
    <row r="231" spans="1:25">
      <c r="A231" s="349" t="s">
        <v>66</v>
      </c>
      <c r="B231" s="349" t="s">
        <v>1351</v>
      </c>
      <c r="C231" s="349" t="s">
        <v>1351</v>
      </c>
      <c r="D231" s="349" t="s">
        <v>1352</v>
      </c>
      <c r="E231" s="348">
        <v>45413</v>
      </c>
      <c r="F231" s="349" t="s">
        <v>1366</v>
      </c>
      <c r="G231" s="369" t="s">
        <v>400</v>
      </c>
      <c r="H231" s="341" t="s">
        <v>1357</v>
      </c>
      <c r="I231" s="355">
        <v>0.97491159999999999</v>
      </c>
      <c r="J231" s="355">
        <v>0.97491159999999999</v>
      </c>
      <c r="K231" s="355">
        <v>0.97491159999999999</v>
      </c>
      <c r="L231" s="355">
        <v>0.97511760000000003</v>
      </c>
      <c r="M231" s="355">
        <v>0.97511760000000003</v>
      </c>
      <c r="N231" s="355"/>
      <c r="O231" s="355"/>
      <c r="P231" s="355"/>
      <c r="Q231" s="355"/>
      <c r="R231" s="355"/>
      <c r="S231" s="355"/>
      <c r="T231" s="355"/>
      <c r="U231" s="517"/>
      <c r="V231" s="356"/>
    </row>
    <row r="232" spans="1:25">
      <c r="A232" s="349" t="s">
        <v>66</v>
      </c>
      <c r="B232" s="349" t="s">
        <v>1351</v>
      </c>
      <c r="C232" s="349" t="s">
        <v>1351</v>
      </c>
      <c r="D232" s="349" t="s">
        <v>1352</v>
      </c>
      <c r="E232" s="348">
        <v>45413</v>
      </c>
      <c r="F232" s="349" t="s">
        <v>1366</v>
      </c>
      <c r="G232" s="369" t="s">
        <v>400</v>
      </c>
      <c r="H232" s="341" t="s">
        <v>1358</v>
      </c>
      <c r="I232" s="352">
        <v>0</v>
      </c>
      <c r="J232" s="352">
        <v>0</v>
      </c>
      <c r="K232" s="352">
        <v>0</v>
      </c>
      <c r="L232" s="352">
        <v>14404</v>
      </c>
      <c r="M232" s="352">
        <v>17996</v>
      </c>
      <c r="N232" s="357"/>
      <c r="O232" s="357"/>
      <c r="P232" s="357"/>
      <c r="Q232" s="357"/>
      <c r="R232" s="354"/>
      <c r="S232" s="354"/>
      <c r="T232" s="354"/>
      <c r="U232" s="517"/>
      <c r="V232" s="356"/>
    </row>
    <row r="233" spans="1:25">
      <c r="A233" s="349" t="s">
        <v>66</v>
      </c>
      <c r="B233" s="349" t="s">
        <v>1351</v>
      </c>
      <c r="C233" s="349" t="s">
        <v>1351</v>
      </c>
      <c r="D233" s="349" t="s">
        <v>1352</v>
      </c>
      <c r="E233" s="348">
        <v>45413</v>
      </c>
      <c r="F233" s="349" t="s">
        <v>1366</v>
      </c>
      <c r="G233" s="369" t="s">
        <v>400</v>
      </c>
      <c r="H233" s="341" t="s">
        <v>1357</v>
      </c>
      <c r="I233" s="355">
        <v>0.85501159999999998</v>
      </c>
      <c r="J233" s="355">
        <v>0.85501159999999998</v>
      </c>
      <c r="K233" s="355">
        <v>0.85501159999999998</v>
      </c>
      <c r="L233" s="355">
        <v>0.85521760000000002</v>
      </c>
      <c r="M233" s="355">
        <v>0.85521760000000002</v>
      </c>
      <c r="N233" s="355"/>
      <c r="O233" s="355"/>
      <c r="P233" s="355"/>
      <c r="Q233" s="355"/>
      <c r="R233" s="355"/>
      <c r="S233" s="355"/>
      <c r="T233" s="355"/>
      <c r="U233" s="517"/>
      <c r="V233" s="356"/>
    </row>
    <row r="234" spans="1:25">
      <c r="A234" s="349" t="s">
        <v>66</v>
      </c>
      <c r="B234" s="349" t="s">
        <v>1351</v>
      </c>
      <c r="C234" s="349" t="s">
        <v>1351</v>
      </c>
      <c r="D234" s="349" t="s">
        <v>1352</v>
      </c>
      <c r="E234" s="348">
        <v>45413</v>
      </c>
      <c r="F234" s="349" t="s">
        <v>1366</v>
      </c>
      <c r="G234" s="369" t="s">
        <v>401</v>
      </c>
      <c r="H234" s="341" t="s">
        <v>1356</v>
      </c>
      <c r="I234" s="352">
        <v>0</v>
      </c>
      <c r="J234" s="352">
        <v>0</v>
      </c>
      <c r="K234" s="352">
        <v>0</v>
      </c>
      <c r="L234" s="352">
        <v>38942</v>
      </c>
      <c r="M234" s="352">
        <v>56711</v>
      </c>
      <c r="N234" s="357"/>
      <c r="O234" s="357"/>
      <c r="P234" s="357"/>
      <c r="Q234" s="354"/>
      <c r="R234" s="354"/>
      <c r="S234" s="354"/>
      <c r="T234" s="354"/>
      <c r="U234" s="517"/>
      <c r="V234" s="356"/>
    </row>
    <row r="235" spans="1:25">
      <c r="A235" s="349" t="s">
        <v>66</v>
      </c>
      <c r="B235" s="349" t="s">
        <v>1351</v>
      </c>
      <c r="C235" s="349" t="s">
        <v>1351</v>
      </c>
      <c r="D235" s="349" t="s">
        <v>1352</v>
      </c>
      <c r="E235" s="348">
        <v>45413</v>
      </c>
      <c r="F235" s="349" t="s">
        <v>1366</v>
      </c>
      <c r="G235" s="369" t="s">
        <v>401</v>
      </c>
      <c r="H235" s="341" t="s">
        <v>1357</v>
      </c>
      <c r="I235" s="355">
        <v>0.97491159999999999</v>
      </c>
      <c r="J235" s="355">
        <v>0.97491159999999999</v>
      </c>
      <c r="K235" s="355">
        <v>0.97491159999999999</v>
      </c>
      <c r="L235" s="355">
        <v>0.97511760000000003</v>
      </c>
      <c r="M235" s="355">
        <v>0.97511760000000003</v>
      </c>
      <c r="N235" s="355"/>
      <c r="O235" s="355"/>
      <c r="P235" s="355"/>
      <c r="Q235" s="355"/>
      <c r="R235" s="355"/>
      <c r="S235" s="355"/>
      <c r="T235" s="355"/>
      <c r="U235" s="517"/>
      <c r="V235" s="356"/>
    </row>
    <row r="236" spans="1:25">
      <c r="A236" s="349" t="s">
        <v>66</v>
      </c>
      <c r="B236" s="349" t="s">
        <v>1351</v>
      </c>
      <c r="C236" s="349" t="s">
        <v>1351</v>
      </c>
      <c r="D236" s="349" t="s">
        <v>1352</v>
      </c>
      <c r="E236" s="348">
        <v>45413</v>
      </c>
      <c r="F236" s="349" t="s">
        <v>1366</v>
      </c>
      <c r="G236" s="369" t="s">
        <v>401</v>
      </c>
      <c r="H236" s="341" t="s">
        <v>1358</v>
      </c>
      <c r="I236" s="352">
        <v>0</v>
      </c>
      <c r="J236" s="352">
        <v>0</v>
      </c>
      <c r="K236" s="352">
        <v>0</v>
      </c>
      <c r="L236" s="352">
        <v>25438</v>
      </c>
      <c r="M236" s="352">
        <v>207</v>
      </c>
      <c r="N236" s="357"/>
      <c r="O236" s="357"/>
      <c r="P236" s="357"/>
      <c r="Q236" s="357"/>
      <c r="R236" s="354"/>
      <c r="S236" s="354"/>
      <c r="T236" s="354"/>
      <c r="U236" s="517"/>
      <c r="V236" s="356"/>
    </row>
    <row r="237" spans="1:25">
      <c r="A237" s="349" t="s">
        <v>66</v>
      </c>
      <c r="B237" s="349" t="s">
        <v>1351</v>
      </c>
      <c r="C237" s="349" t="s">
        <v>1351</v>
      </c>
      <c r="D237" s="349" t="s">
        <v>1352</v>
      </c>
      <c r="E237" s="348">
        <v>45413</v>
      </c>
      <c r="F237" s="349" t="s">
        <v>1366</v>
      </c>
      <c r="G237" s="369" t="s">
        <v>401</v>
      </c>
      <c r="H237" s="341" t="s">
        <v>1357</v>
      </c>
      <c r="I237" s="355">
        <v>0.85501159999999998</v>
      </c>
      <c r="J237" s="355">
        <v>0.85501159999999998</v>
      </c>
      <c r="K237" s="355">
        <v>0.85501159999999998</v>
      </c>
      <c r="L237" s="355">
        <v>0.85521760000000002</v>
      </c>
      <c r="M237" s="355">
        <v>0.85521760000000002</v>
      </c>
      <c r="N237" s="355"/>
      <c r="O237" s="355"/>
      <c r="P237" s="355"/>
      <c r="Q237" s="355"/>
      <c r="R237" s="355"/>
      <c r="S237" s="355"/>
      <c r="T237" s="355"/>
      <c r="U237" s="517"/>
      <c r="V237" s="356"/>
    </row>
    <row r="238" spans="1:25">
      <c r="A238" s="349" t="s">
        <v>66</v>
      </c>
      <c r="B238" s="349" t="s">
        <v>1351</v>
      </c>
      <c r="C238" s="349" t="s">
        <v>1351</v>
      </c>
      <c r="D238" s="349" t="s">
        <v>1352</v>
      </c>
      <c r="E238" s="348">
        <v>45413</v>
      </c>
      <c r="F238" s="349" t="s">
        <v>1366</v>
      </c>
      <c r="G238" s="369" t="s">
        <v>403</v>
      </c>
      <c r="H238" s="341" t="s">
        <v>1356</v>
      </c>
      <c r="I238" s="352">
        <v>0</v>
      </c>
      <c r="J238" s="352">
        <v>0</v>
      </c>
      <c r="K238" s="352">
        <v>0</v>
      </c>
      <c r="L238" s="352">
        <v>18086</v>
      </c>
      <c r="M238" s="352">
        <v>4594</v>
      </c>
      <c r="N238" s="357"/>
      <c r="O238" s="357"/>
      <c r="P238" s="357"/>
      <c r="Q238" s="354"/>
      <c r="R238" s="354"/>
      <c r="S238" s="354"/>
      <c r="T238" s="354"/>
      <c r="U238" s="517"/>
      <c r="V238" s="356"/>
    </row>
    <row r="239" spans="1:25">
      <c r="A239" s="349" t="s">
        <v>66</v>
      </c>
      <c r="B239" s="349" t="s">
        <v>1351</v>
      </c>
      <c r="C239" s="349" t="s">
        <v>1351</v>
      </c>
      <c r="D239" s="349" t="s">
        <v>1352</v>
      </c>
      <c r="E239" s="348">
        <v>45413</v>
      </c>
      <c r="F239" s="349" t="s">
        <v>1366</v>
      </c>
      <c r="G239" s="369" t="s">
        <v>403</v>
      </c>
      <c r="H239" s="341" t="s">
        <v>1357</v>
      </c>
      <c r="I239" s="355">
        <v>0.97491159999999999</v>
      </c>
      <c r="J239" s="355">
        <v>0.97491159999999999</v>
      </c>
      <c r="K239" s="355">
        <v>0.97491159999999999</v>
      </c>
      <c r="L239" s="355">
        <v>0.97511760000000003</v>
      </c>
      <c r="M239" s="355">
        <v>0.97511760000000003</v>
      </c>
      <c r="N239" s="355"/>
      <c r="O239" s="355"/>
      <c r="P239" s="355"/>
      <c r="Q239" s="355"/>
      <c r="R239" s="355"/>
      <c r="S239" s="355"/>
      <c r="T239" s="355"/>
      <c r="U239" s="517"/>
      <c r="V239" s="356"/>
    </row>
    <row r="240" spans="1:25">
      <c r="A240" s="349" t="s">
        <v>66</v>
      </c>
      <c r="B240" s="349" t="s">
        <v>1351</v>
      </c>
      <c r="C240" s="349" t="s">
        <v>1351</v>
      </c>
      <c r="D240" s="349" t="s">
        <v>1352</v>
      </c>
      <c r="E240" s="348">
        <v>45413</v>
      </c>
      <c r="F240" s="349" t="s">
        <v>1366</v>
      </c>
      <c r="G240" s="369" t="s">
        <v>403</v>
      </c>
      <c r="H240" s="341" t="s">
        <v>1358</v>
      </c>
      <c r="I240" s="352">
        <v>0</v>
      </c>
      <c r="J240" s="352">
        <v>0</v>
      </c>
      <c r="K240" s="352">
        <v>0</v>
      </c>
      <c r="L240" s="352">
        <v>0</v>
      </c>
      <c r="M240" s="352">
        <v>0</v>
      </c>
      <c r="N240" s="357"/>
      <c r="O240" s="357"/>
      <c r="P240" s="357"/>
      <c r="Q240" s="357"/>
      <c r="R240" s="354"/>
      <c r="S240" s="354"/>
      <c r="T240" s="354"/>
      <c r="U240" s="517"/>
      <c r="V240" s="356"/>
    </row>
    <row r="241" spans="1:22">
      <c r="A241" s="349" t="s">
        <v>66</v>
      </c>
      <c r="B241" s="349" t="s">
        <v>1351</v>
      </c>
      <c r="C241" s="349" t="s">
        <v>1351</v>
      </c>
      <c r="D241" s="349" t="s">
        <v>1352</v>
      </c>
      <c r="E241" s="348">
        <v>45413</v>
      </c>
      <c r="F241" s="349" t="s">
        <v>1366</v>
      </c>
      <c r="G241" s="369" t="s">
        <v>403</v>
      </c>
      <c r="H241" s="341" t="s">
        <v>1357</v>
      </c>
      <c r="I241" s="355">
        <v>0.85501159999999998</v>
      </c>
      <c r="J241" s="355">
        <v>0.85501159999999998</v>
      </c>
      <c r="K241" s="355">
        <v>0.85501159999999998</v>
      </c>
      <c r="L241" s="355">
        <v>0.85521760000000002</v>
      </c>
      <c r="M241" s="355">
        <v>0.85521760000000002</v>
      </c>
      <c r="N241" s="355"/>
      <c r="O241" s="355"/>
      <c r="P241" s="355"/>
      <c r="Q241" s="355"/>
      <c r="R241" s="355"/>
      <c r="S241" s="355"/>
      <c r="T241" s="355"/>
      <c r="U241" s="517"/>
      <c r="V241" s="356"/>
    </row>
    <row r="242" spans="1:22">
      <c r="A242" s="374" t="s">
        <v>1399</v>
      </c>
      <c r="B242" s="374" t="s">
        <v>1351</v>
      </c>
      <c r="C242" s="374" t="s">
        <v>1351</v>
      </c>
      <c r="D242" s="374" t="s">
        <v>1352</v>
      </c>
      <c r="E242" s="379"/>
      <c r="F242" s="374" t="s">
        <v>1366</v>
      </c>
      <c r="G242" s="374" t="s">
        <v>1184</v>
      </c>
      <c r="H242" s="375" t="s">
        <v>1354</v>
      </c>
      <c r="I242" s="381">
        <v>22033</v>
      </c>
      <c r="J242" s="381">
        <v>23607</v>
      </c>
      <c r="K242" s="381">
        <v>30516</v>
      </c>
      <c r="L242" s="381">
        <v>40715</v>
      </c>
      <c r="M242" s="381">
        <v>44270</v>
      </c>
      <c r="N242" s="381"/>
      <c r="O242" s="378"/>
      <c r="P242" s="378"/>
      <c r="Q242" s="378"/>
      <c r="R242" s="378"/>
      <c r="S242" s="378"/>
      <c r="T242" s="378"/>
      <c r="U242" s="513">
        <f>SUM(I242:T242)</f>
        <v>161141</v>
      </c>
      <c r="V242" s="514"/>
    </row>
    <row r="243" spans="1:22">
      <c r="A243" s="349" t="s">
        <v>1399</v>
      </c>
      <c r="B243" s="349" t="s">
        <v>1351</v>
      </c>
      <c r="C243" s="349" t="s">
        <v>1351</v>
      </c>
      <c r="D243" s="349" t="s">
        <v>1352</v>
      </c>
      <c r="E243" s="348"/>
      <c r="F243" s="349" t="s">
        <v>1366</v>
      </c>
      <c r="G243" s="341" t="s">
        <v>1184</v>
      </c>
      <c r="H243" s="347" t="s">
        <v>1355</v>
      </c>
      <c r="I243" s="382">
        <v>21480.23</v>
      </c>
      <c r="J243" s="382">
        <v>23014.74</v>
      </c>
      <c r="K243" s="382">
        <v>29750.400000000001</v>
      </c>
      <c r="L243" s="382">
        <v>39701.910000000003</v>
      </c>
      <c r="M243" s="382">
        <v>43168.46</v>
      </c>
      <c r="N243" s="382"/>
      <c r="O243" s="350"/>
      <c r="P243" s="350"/>
      <c r="Q243" s="350"/>
      <c r="R243" s="350"/>
      <c r="S243" s="350"/>
      <c r="T243" s="350"/>
      <c r="U243" s="515">
        <f>SUM(I243:T243)</f>
        <v>157115.74</v>
      </c>
      <c r="V243" s="516">
        <f>U243/$Y$1</f>
        <v>31612.824949698188</v>
      </c>
    </row>
    <row r="244" spans="1:22">
      <c r="A244" s="349" t="s">
        <v>1399</v>
      </c>
      <c r="B244" s="349" t="s">
        <v>1351</v>
      </c>
      <c r="C244" s="349" t="s">
        <v>1351</v>
      </c>
      <c r="D244" s="349" t="s">
        <v>1352</v>
      </c>
      <c r="E244" s="348"/>
      <c r="F244" s="349" t="s">
        <v>1366</v>
      </c>
      <c r="G244" s="341" t="s">
        <v>1184</v>
      </c>
      <c r="H244" s="341" t="s">
        <v>1356</v>
      </c>
      <c r="I244" s="383">
        <v>22033</v>
      </c>
      <c r="J244" s="383">
        <v>23607</v>
      </c>
      <c r="K244" s="383">
        <v>30516</v>
      </c>
      <c r="L244" s="383">
        <v>40715</v>
      </c>
      <c r="M244" s="383">
        <v>44270</v>
      </c>
      <c r="N244" s="383"/>
      <c r="O244" s="357"/>
      <c r="P244" s="357"/>
      <c r="Q244" s="357"/>
      <c r="R244" s="354"/>
      <c r="S244" s="354"/>
      <c r="T244" s="354"/>
      <c r="U244" s="517"/>
      <c r="V244" s="356"/>
    </row>
    <row r="245" spans="1:22">
      <c r="A245" s="349" t="s">
        <v>1399</v>
      </c>
      <c r="B245" s="349" t="s">
        <v>1351</v>
      </c>
      <c r="C245" s="349" t="s">
        <v>1351</v>
      </c>
      <c r="D245" s="349" t="s">
        <v>1352</v>
      </c>
      <c r="E245" s="348"/>
      <c r="F245" s="349" t="s">
        <v>1366</v>
      </c>
      <c r="G245" s="341" t="s">
        <v>1184</v>
      </c>
      <c r="H245" s="341" t="s">
        <v>1357</v>
      </c>
      <c r="I245" s="384">
        <v>0.97491159999999999</v>
      </c>
      <c r="J245" s="384">
        <v>0.97491159999999999</v>
      </c>
      <c r="K245" s="384">
        <v>0.97491159999999999</v>
      </c>
      <c r="L245" s="384">
        <v>0.97511760000000003</v>
      </c>
      <c r="M245" s="384">
        <v>0.97511760000000003</v>
      </c>
      <c r="N245" s="384"/>
      <c r="O245" s="355"/>
      <c r="P245" s="355"/>
      <c r="Q245" s="355"/>
      <c r="R245" s="355"/>
      <c r="S245" s="355"/>
      <c r="T245" s="355"/>
      <c r="U245" s="517"/>
      <c r="V245" s="356"/>
    </row>
    <row r="246" spans="1:22">
      <c r="A246" s="349" t="s">
        <v>1399</v>
      </c>
      <c r="B246" s="349" t="s">
        <v>1351</v>
      </c>
      <c r="C246" s="349" t="s">
        <v>1351</v>
      </c>
      <c r="D246" s="349" t="s">
        <v>1352</v>
      </c>
      <c r="E246" s="348"/>
      <c r="F246" s="349" t="s">
        <v>1366</v>
      </c>
      <c r="G246" s="341" t="s">
        <v>1184</v>
      </c>
      <c r="H246" s="341" t="s">
        <v>1358</v>
      </c>
      <c r="I246" s="385">
        <v>0</v>
      </c>
      <c r="J246" s="385">
        <v>0</v>
      </c>
      <c r="K246" s="385">
        <v>0</v>
      </c>
      <c r="L246" s="385">
        <v>0</v>
      </c>
      <c r="M246" s="385">
        <v>0</v>
      </c>
      <c r="N246" s="385"/>
      <c r="O246" s="357"/>
      <c r="P246" s="357"/>
      <c r="Q246" s="357"/>
      <c r="R246" s="354"/>
      <c r="S246" s="354"/>
      <c r="T246" s="354"/>
      <c r="U246" s="517"/>
      <c r="V246" s="356"/>
    </row>
    <row r="247" spans="1:22">
      <c r="A247" s="349" t="s">
        <v>1399</v>
      </c>
      <c r="B247" s="349" t="s">
        <v>1351</v>
      </c>
      <c r="C247" s="349" t="s">
        <v>1351</v>
      </c>
      <c r="D247" s="349" t="s">
        <v>1352</v>
      </c>
      <c r="E247" s="348"/>
      <c r="F247" s="349" t="s">
        <v>1366</v>
      </c>
      <c r="G247" s="341" t="s">
        <v>1184</v>
      </c>
      <c r="H247" s="341" t="s">
        <v>1357</v>
      </c>
      <c r="I247" s="384">
        <v>0.85501159999999998</v>
      </c>
      <c r="J247" s="384">
        <v>0.85501159999999998</v>
      </c>
      <c r="K247" s="384">
        <v>0.85501159999999998</v>
      </c>
      <c r="L247" s="384">
        <v>0.85521760000000002</v>
      </c>
      <c r="M247" s="384">
        <v>0.85521760000000002</v>
      </c>
      <c r="N247" s="384"/>
      <c r="O247" s="355"/>
      <c r="P247" s="355"/>
      <c r="Q247" s="355"/>
      <c r="R247" s="355"/>
      <c r="S247" s="355"/>
      <c r="T247" s="355"/>
      <c r="U247" s="517"/>
      <c r="V247" s="356"/>
    </row>
    <row r="248" spans="1:22">
      <c r="A248" s="374" t="s">
        <v>1400</v>
      </c>
      <c r="B248" s="374" t="s">
        <v>1351</v>
      </c>
      <c r="C248" s="374" t="s">
        <v>1351</v>
      </c>
      <c r="D248" s="374" t="s">
        <v>1352</v>
      </c>
      <c r="E248" s="379"/>
      <c r="F248" s="349" t="s">
        <v>1369</v>
      </c>
      <c r="G248" s="341" t="s">
        <v>352</v>
      </c>
      <c r="H248" s="375" t="s">
        <v>1354</v>
      </c>
      <c r="I248" s="381">
        <v>54539</v>
      </c>
      <c r="J248" s="381">
        <v>26312</v>
      </c>
      <c r="K248" s="381">
        <v>75847</v>
      </c>
      <c r="L248" s="381">
        <v>81700</v>
      </c>
      <c r="M248" s="381">
        <v>95534</v>
      </c>
      <c r="N248" s="381"/>
      <c r="O248" s="378"/>
      <c r="P248" s="378"/>
      <c r="Q248" s="378"/>
      <c r="R248" s="378"/>
      <c r="S248" s="378"/>
      <c r="T248" s="378"/>
      <c r="U248" s="513">
        <f>SUM(I248:T248)</f>
        <v>333932</v>
      </c>
      <c r="V248" s="514"/>
    </row>
    <row r="249" spans="1:22">
      <c r="A249" s="349" t="s">
        <v>1400</v>
      </c>
      <c r="B249" s="349" t="s">
        <v>1351</v>
      </c>
      <c r="C249" s="349" t="s">
        <v>1351</v>
      </c>
      <c r="D249" s="349" t="s">
        <v>1352</v>
      </c>
      <c r="E249" s="348"/>
      <c r="F249" s="349" t="s">
        <v>1369</v>
      </c>
      <c r="G249" s="341" t="s">
        <v>352</v>
      </c>
      <c r="H249" s="347" t="s">
        <v>1355</v>
      </c>
      <c r="I249" s="382">
        <v>48450.61</v>
      </c>
      <c r="J249" s="382">
        <v>23391.5</v>
      </c>
      <c r="K249" s="382">
        <v>66616.37</v>
      </c>
      <c r="L249" s="382">
        <v>71139.77</v>
      </c>
      <c r="M249" s="382">
        <v>83541.460000000006</v>
      </c>
      <c r="N249" s="382"/>
      <c r="O249" s="350"/>
      <c r="P249" s="350"/>
      <c r="Q249" s="350"/>
      <c r="R249" s="350"/>
      <c r="S249" s="350"/>
      <c r="T249" s="350"/>
      <c r="U249" s="515">
        <f>SUM(I249:T249)</f>
        <v>293139.71000000002</v>
      </c>
      <c r="V249" s="516">
        <f>U249/$Y$1</f>
        <v>58981.832997987935</v>
      </c>
    </row>
    <row r="250" spans="1:22">
      <c r="A250" s="349" t="s">
        <v>1400</v>
      </c>
      <c r="B250" s="349" t="s">
        <v>1351</v>
      </c>
      <c r="C250" s="349" t="s">
        <v>1351</v>
      </c>
      <c r="D250" s="349" t="s">
        <v>1352</v>
      </c>
      <c r="E250" s="348"/>
      <c r="F250" s="349" t="s">
        <v>1369</v>
      </c>
      <c r="G250" s="341" t="s">
        <v>352</v>
      </c>
      <c r="H250" s="341" t="s">
        <v>1356</v>
      </c>
      <c r="I250" s="383">
        <v>28731</v>
      </c>
      <c r="J250" s="383">
        <v>13796</v>
      </c>
      <c r="K250" s="383">
        <v>33952</v>
      </c>
      <c r="L250" s="383">
        <v>28835</v>
      </c>
      <c r="M250" s="383">
        <v>29034</v>
      </c>
      <c r="N250" s="383"/>
      <c r="O250" s="357"/>
      <c r="P250" s="357"/>
      <c r="Q250" s="354"/>
      <c r="R250" s="354"/>
      <c r="S250" s="354"/>
      <c r="T250" s="354"/>
      <c r="U250" s="517"/>
      <c r="V250" s="356"/>
    </row>
    <row r="251" spans="1:22">
      <c r="A251" s="349" t="s">
        <v>1400</v>
      </c>
      <c r="B251" s="349" t="s">
        <v>1351</v>
      </c>
      <c r="C251" s="349" t="s">
        <v>1351</v>
      </c>
      <c r="D251" s="349" t="s">
        <v>1352</v>
      </c>
      <c r="E251" s="348"/>
      <c r="F251" s="349" t="s">
        <v>1369</v>
      </c>
      <c r="G251" s="341" t="s">
        <v>352</v>
      </c>
      <c r="H251" s="341" t="s">
        <v>1357</v>
      </c>
      <c r="I251" s="384">
        <v>0.90045160000000002</v>
      </c>
      <c r="J251" s="384">
        <v>0.90045160000000002</v>
      </c>
      <c r="K251" s="384">
        <v>0.90045160000000002</v>
      </c>
      <c r="L251" s="384">
        <v>0.90065760000000006</v>
      </c>
      <c r="M251" s="384">
        <v>0.90065760000000006</v>
      </c>
      <c r="N251" s="384"/>
      <c r="O251" s="355"/>
      <c r="P251" s="355"/>
      <c r="Q251" s="355"/>
      <c r="R251" s="355"/>
      <c r="S251" s="355"/>
      <c r="T251" s="355"/>
      <c r="U251" s="517"/>
      <c r="V251" s="356"/>
    </row>
    <row r="252" spans="1:22">
      <c r="A252" s="349" t="s">
        <v>1400</v>
      </c>
      <c r="B252" s="349" t="s">
        <v>1351</v>
      </c>
      <c r="C252" s="349" t="s">
        <v>1351</v>
      </c>
      <c r="D252" s="349" t="s">
        <v>1352</v>
      </c>
      <c r="E252" s="348"/>
      <c r="F252" s="349" t="s">
        <v>1369</v>
      </c>
      <c r="G252" s="341" t="s">
        <v>352</v>
      </c>
      <c r="H252" s="341" t="s">
        <v>1358</v>
      </c>
      <c r="I252" s="383">
        <v>6909</v>
      </c>
      <c r="J252" s="383">
        <v>3157</v>
      </c>
      <c r="K252" s="383">
        <v>17603</v>
      </c>
      <c r="L252" s="383">
        <v>25260</v>
      </c>
      <c r="M252" s="383">
        <v>26203</v>
      </c>
      <c r="N252" s="385"/>
      <c r="O252" s="357"/>
      <c r="P252" s="357"/>
      <c r="Q252" s="357"/>
      <c r="R252" s="354"/>
      <c r="S252" s="354"/>
      <c r="T252" s="354"/>
      <c r="U252" s="517"/>
      <c r="V252" s="356"/>
    </row>
    <row r="253" spans="1:22">
      <c r="A253" s="349" t="s">
        <v>1400</v>
      </c>
      <c r="B253" s="349" t="s">
        <v>1351</v>
      </c>
      <c r="C253" s="349" t="s">
        <v>1351</v>
      </c>
      <c r="D253" s="349" t="s">
        <v>1352</v>
      </c>
      <c r="E253" s="348"/>
      <c r="F253" s="349" t="s">
        <v>1369</v>
      </c>
      <c r="G253" s="341" t="s">
        <v>352</v>
      </c>
      <c r="H253" s="341" t="s">
        <v>1357</v>
      </c>
      <c r="I253" s="384">
        <v>0.80505159999999998</v>
      </c>
      <c r="J253" s="384">
        <v>0.80505159999999998</v>
      </c>
      <c r="K253" s="384">
        <v>0.80505159999999998</v>
      </c>
      <c r="L253" s="384">
        <v>0.80525760000000002</v>
      </c>
      <c r="M253" s="384">
        <v>0.80525760000000002</v>
      </c>
      <c r="N253" s="384"/>
      <c r="O253" s="355"/>
      <c r="P253" s="355"/>
      <c r="Q253" s="355"/>
      <c r="R253" s="355"/>
      <c r="S253" s="355"/>
      <c r="T253" s="355"/>
      <c r="U253" s="517"/>
      <c r="V253" s="356"/>
    </row>
    <row r="254" spans="1:22">
      <c r="A254" s="374" t="s">
        <v>1400</v>
      </c>
      <c r="B254" s="349" t="s">
        <v>1351</v>
      </c>
      <c r="C254" s="349" t="s">
        <v>1351</v>
      </c>
      <c r="D254" s="349"/>
      <c r="E254" s="348"/>
      <c r="F254" s="349"/>
      <c r="G254" s="341" t="s">
        <v>353</v>
      </c>
      <c r="H254" s="375" t="s">
        <v>1354</v>
      </c>
      <c r="I254" s="381">
        <v>0</v>
      </c>
      <c r="J254" s="381">
        <v>0</v>
      </c>
      <c r="K254" s="381">
        <v>0</v>
      </c>
      <c r="L254" s="381">
        <v>0</v>
      </c>
      <c r="M254" s="381">
        <v>0</v>
      </c>
      <c r="N254" s="381"/>
      <c r="O254" s="378"/>
      <c r="P254" s="378"/>
      <c r="Q254" s="378"/>
      <c r="R254" s="378"/>
      <c r="S254" s="378"/>
      <c r="T254" s="378"/>
      <c r="U254" s="513">
        <f>SUM(I254:T254)</f>
        <v>0</v>
      </c>
      <c r="V254" s="514"/>
    </row>
    <row r="255" spans="1:22">
      <c r="A255" s="349" t="s">
        <v>1400</v>
      </c>
      <c r="B255" s="349" t="s">
        <v>1351</v>
      </c>
      <c r="C255" s="349" t="s">
        <v>1351</v>
      </c>
      <c r="D255" s="349"/>
      <c r="E255" s="348"/>
      <c r="F255" s="349"/>
      <c r="G255" s="341" t="s">
        <v>353</v>
      </c>
      <c r="H255" s="347" t="s">
        <v>1355</v>
      </c>
      <c r="I255" s="384">
        <v>0</v>
      </c>
      <c r="J255" s="384">
        <v>0</v>
      </c>
      <c r="K255" s="384">
        <v>0</v>
      </c>
      <c r="L255" s="384">
        <v>0</v>
      </c>
      <c r="M255" s="384">
        <v>0</v>
      </c>
      <c r="N255" s="384"/>
      <c r="O255" s="384"/>
      <c r="P255" s="350"/>
      <c r="Q255" s="350"/>
      <c r="R255" s="350"/>
      <c r="S255" s="350"/>
      <c r="T255" s="350"/>
      <c r="U255" s="515">
        <f>SUM(I255:T255)</f>
        <v>0</v>
      </c>
      <c r="V255" s="516">
        <f>U255/$Y$1</f>
        <v>0</v>
      </c>
    </row>
    <row r="256" spans="1:22">
      <c r="A256" s="349" t="s">
        <v>1400</v>
      </c>
      <c r="B256" s="349" t="s">
        <v>1351</v>
      </c>
      <c r="C256" s="349" t="s">
        <v>1351</v>
      </c>
      <c r="D256" s="349"/>
      <c r="E256" s="348"/>
      <c r="F256" s="349"/>
      <c r="G256" s="341" t="s">
        <v>353</v>
      </c>
      <c r="H256" s="341" t="s">
        <v>1356</v>
      </c>
      <c r="I256" s="383">
        <v>18899</v>
      </c>
      <c r="J256" s="383">
        <v>9359</v>
      </c>
      <c r="K256" s="383">
        <v>24283</v>
      </c>
      <c r="L256" s="383">
        <v>27247</v>
      </c>
      <c r="M256" s="383">
        <v>40274</v>
      </c>
      <c r="N256" s="384"/>
      <c r="O256" s="384"/>
      <c r="P256" s="357"/>
      <c r="Q256" s="354"/>
      <c r="R256" s="354"/>
      <c r="S256" s="354"/>
      <c r="T256" s="354"/>
      <c r="U256" s="517"/>
      <c r="V256" s="356"/>
    </row>
    <row r="257" spans="1:23">
      <c r="A257" s="349" t="s">
        <v>1400</v>
      </c>
      <c r="B257" s="349" t="s">
        <v>1351</v>
      </c>
      <c r="C257" s="349" t="s">
        <v>1351</v>
      </c>
      <c r="D257" s="349"/>
      <c r="E257" s="348"/>
      <c r="F257" s="349"/>
      <c r="G257" s="341" t="s">
        <v>353</v>
      </c>
      <c r="H257" s="341" t="s">
        <v>1357</v>
      </c>
      <c r="I257" s="384">
        <v>0.90045160000000002</v>
      </c>
      <c r="J257" s="384">
        <v>0.90045160000000002</v>
      </c>
      <c r="K257" s="384">
        <v>0.90045160000000002</v>
      </c>
      <c r="L257" s="384">
        <v>0.90065760000000006</v>
      </c>
      <c r="M257" s="384">
        <v>0.90065760000000006</v>
      </c>
      <c r="N257" s="384"/>
      <c r="O257" s="384"/>
      <c r="P257" s="355"/>
      <c r="Q257" s="355"/>
      <c r="R257" s="355"/>
      <c r="S257" s="355"/>
      <c r="T257" s="355"/>
      <c r="U257" s="517"/>
      <c r="V257" s="356"/>
    </row>
    <row r="258" spans="1:23">
      <c r="A258" s="349" t="s">
        <v>1400</v>
      </c>
      <c r="B258" s="349" t="s">
        <v>1351</v>
      </c>
      <c r="C258" s="349" t="s">
        <v>1351</v>
      </c>
      <c r="D258" s="349"/>
      <c r="E258" s="348"/>
      <c r="F258" s="349"/>
      <c r="G258" s="341" t="s">
        <v>353</v>
      </c>
      <c r="H258" s="341" t="s">
        <v>1358</v>
      </c>
      <c r="I258" s="383">
        <v>0</v>
      </c>
      <c r="J258" s="383">
        <v>0</v>
      </c>
      <c r="K258" s="383">
        <v>9</v>
      </c>
      <c r="L258" s="383">
        <v>358</v>
      </c>
      <c r="M258" s="383">
        <v>23</v>
      </c>
      <c r="N258" s="384"/>
      <c r="O258" s="384"/>
      <c r="P258" s="357"/>
      <c r="Q258" s="357"/>
      <c r="R258" s="354"/>
      <c r="S258" s="354"/>
      <c r="T258" s="354"/>
      <c r="U258" s="517"/>
      <c r="V258" s="356"/>
    </row>
    <row r="259" spans="1:23">
      <c r="A259" s="349" t="s">
        <v>1400</v>
      </c>
      <c r="B259" s="349" t="s">
        <v>1351</v>
      </c>
      <c r="C259" s="349" t="s">
        <v>1351</v>
      </c>
      <c r="D259" s="349"/>
      <c r="E259" s="348"/>
      <c r="F259" s="349"/>
      <c r="G259" s="341" t="s">
        <v>353</v>
      </c>
      <c r="H259" s="341" t="s">
        <v>1357</v>
      </c>
      <c r="I259" s="384">
        <v>0.80505159999999998</v>
      </c>
      <c r="J259" s="384">
        <v>0.80505159999999998</v>
      </c>
      <c r="K259" s="384">
        <v>0.80505159999999998</v>
      </c>
      <c r="L259" s="384">
        <v>0.80525760000000002</v>
      </c>
      <c r="M259" s="384">
        <v>0.80525760000000002</v>
      </c>
      <c r="N259" s="384"/>
      <c r="O259" s="384"/>
      <c r="P259" s="355"/>
      <c r="Q259" s="355"/>
      <c r="R259" s="355"/>
      <c r="S259" s="355"/>
      <c r="T259" s="355"/>
      <c r="U259" s="517"/>
      <c r="V259" s="356"/>
    </row>
    <row r="260" spans="1:23" s="521" customFormat="1" ht="15">
      <c r="A260" s="521" t="s">
        <v>1401</v>
      </c>
      <c r="H260" s="521" t="s">
        <v>1402</v>
      </c>
      <c r="I260" s="386">
        <f>SUM(I2,I8,I16,I22,I28,I34,I40,I46,I52,I58,I64,I76,I84,I94,I104,I110,I118,I134,I144,I150,I156,I162,I168,I178,I188,I194,I200,I206,I218,I228,I242,I248,I254,I212)</f>
        <v>1272524</v>
      </c>
      <c r="J260" s="386">
        <f t="shared" ref="J260:T260" si="0">SUM(J2,J8,J16,J22,J28,J34,J40,J46,J52,J58,J64,J76,J84,J94,J104,J110,J118,J134,J144,J150,J156,J162,J168,J178,J188,J194,J200,J206,J218,J228,J242,J248,J254,J212)</f>
        <v>1406169.5</v>
      </c>
      <c r="K260" s="386">
        <f>SUM(K2,K8,K16,K22,K28,K34,K40,K46,K52,K58,K64,K76,K84,K94,K104,K110,K118,K134,K144,K150,K156,K162,K168,K178,K188,K194,K200,K206,K218,K228,K242,K248,K254,K212)</f>
        <v>2253568</v>
      </c>
      <c r="L260" s="386">
        <f t="shared" si="0"/>
        <v>3230384</v>
      </c>
      <c r="M260" s="386">
        <f t="shared" si="0"/>
        <v>3343056.5</v>
      </c>
      <c r="N260" s="386">
        <f t="shared" si="0"/>
        <v>0</v>
      </c>
      <c r="O260" s="386">
        <f t="shared" si="0"/>
        <v>0</v>
      </c>
      <c r="P260" s="386">
        <f t="shared" si="0"/>
        <v>0</v>
      </c>
      <c r="Q260" s="386">
        <f t="shared" si="0"/>
        <v>0</v>
      </c>
      <c r="R260" s="386">
        <f t="shared" si="0"/>
        <v>0</v>
      </c>
      <c r="S260" s="386">
        <f>SUM(S2,S8,S16,S22,S28,S34,S40,S46,S52,S58,S64,S76,S84,S94,S104,S110,S118,S134,S144,S150,S156,S162,S168,S178,S188,S194,S200,S206,S218,S228,S242,S248,S254,S212)</f>
        <v>0</v>
      </c>
      <c r="T260" s="386">
        <f t="shared" si="0"/>
        <v>0</v>
      </c>
      <c r="U260" s="386">
        <f>SUM(U2,U8,U16,U22,U28,U34,U40,U46,U52,U58,U64,U76,U84,U94,U104,U110,U118,U134,U144,U150,U156,U162,U168,U178,U188,U194,U200,U206,U218,U228,U242,U248,U254,U212)</f>
        <v>11505702</v>
      </c>
    </row>
    <row r="261" spans="1:23" s="403" customFormat="1">
      <c r="A261" s="525" t="s">
        <v>1401</v>
      </c>
      <c r="B261" s="525"/>
      <c r="C261" s="525"/>
      <c r="D261" s="525"/>
      <c r="E261" s="525"/>
      <c r="F261" s="525"/>
      <c r="G261" s="525"/>
      <c r="H261" s="525" t="s">
        <v>1403</v>
      </c>
      <c r="I261" s="522">
        <f>SUM(I3,I9,I17,I23,I29,I35,I41,I53,I59,I65,I77,I85,I95,I105,I111,I119,I135,I145,I151,I157,I163,I169,I179,I189,I195,I201,I207,I213,I219,I229,I243,I249,I255,I47)</f>
        <v>1199814.3</v>
      </c>
      <c r="J261" s="522">
        <f t="shared" ref="J261:T261" si="1">SUM(J3,J9,J17,J23,J29,J35,J41,J53,J59,J65,J77,J85,J95,J105,J111,J119,J135,J145,J151,J157,J163,J169,J179,J189,J195,J201,J207,J213,J219,J229,J243,J249,J255,J47)</f>
        <v>1320327.3499999996</v>
      </c>
      <c r="K261" s="522">
        <f>SUM(K3,K9,K17,K23,K29,K35,K41,K53,K59,K65,K77,K85,K95,K105,K111,K119,K135,K145,K151,K157,K163,K169,K179,K189,K195,K201,K207,K213,K219,K229,K243,K249,K255,K47)</f>
        <v>2096344.48</v>
      </c>
      <c r="L261" s="522">
        <f t="shared" si="1"/>
        <v>2986175.91</v>
      </c>
      <c r="M261" s="522">
        <f t="shared" si="1"/>
        <v>3093164.6500000008</v>
      </c>
      <c r="N261" s="522">
        <f t="shared" si="1"/>
        <v>0</v>
      </c>
      <c r="O261" s="522">
        <f t="shared" si="1"/>
        <v>0</v>
      </c>
      <c r="P261" s="522">
        <f t="shared" si="1"/>
        <v>0</v>
      </c>
      <c r="Q261" s="522">
        <f t="shared" si="1"/>
        <v>0</v>
      </c>
      <c r="R261" s="522">
        <f t="shared" si="1"/>
        <v>0</v>
      </c>
      <c r="S261" s="522">
        <f t="shared" si="1"/>
        <v>0</v>
      </c>
      <c r="T261" s="522">
        <f t="shared" si="1"/>
        <v>0</v>
      </c>
      <c r="U261" s="522">
        <f>SUM(U3,U9,U17,U23,U29,U35,U41,U53,U59,U65,U77,U85,U95,U105,U111,U119,U135,U145,U151,U157,U163,U169,U179,U189,U195,U201,U207,U213,U219,U229,U243,U249,U255,U47)</f>
        <v>10695826.690000003</v>
      </c>
      <c r="V261" s="522"/>
    </row>
    <row r="262" spans="1:23" s="524" customFormat="1">
      <c r="A262" s="526" t="s">
        <v>1401</v>
      </c>
      <c r="B262" s="526"/>
      <c r="C262" s="526"/>
      <c r="D262" s="526"/>
      <c r="E262" s="526"/>
      <c r="F262" s="526"/>
      <c r="G262" s="526"/>
      <c r="H262" s="526" t="s">
        <v>1404</v>
      </c>
      <c r="I262" s="527">
        <f>I261/$Y$1</f>
        <v>241411.32796780686</v>
      </c>
      <c r="J262" s="527">
        <f>J261/$Y$1</f>
        <v>265659.4265593561</v>
      </c>
      <c r="K262" s="527">
        <f>K261/$Y$1</f>
        <v>421799.69416498998</v>
      </c>
      <c r="L262" s="527">
        <f>L261/$Y$1</f>
        <v>600840.22334004031</v>
      </c>
      <c r="M262" s="527">
        <f>M261/$Y$1</f>
        <v>622367.1327967809</v>
      </c>
      <c r="N262" s="527">
        <f t="shared" ref="N262:T262" si="2">N261/$Y$1</f>
        <v>0</v>
      </c>
      <c r="O262" s="527">
        <f t="shared" si="2"/>
        <v>0</v>
      </c>
      <c r="P262" s="527">
        <f t="shared" si="2"/>
        <v>0</v>
      </c>
      <c r="Q262" s="527">
        <f t="shared" si="2"/>
        <v>0</v>
      </c>
      <c r="R262" s="527">
        <f t="shared" si="2"/>
        <v>0</v>
      </c>
      <c r="S262" s="527">
        <f t="shared" si="2"/>
        <v>0</v>
      </c>
      <c r="T262" s="527">
        <f t="shared" si="2"/>
        <v>0</v>
      </c>
      <c r="U262" s="523">
        <f>U261/$Y$1</f>
        <v>2152077.8048289744</v>
      </c>
      <c r="V262" s="524" t="s">
        <v>1409</v>
      </c>
    </row>
    <row r="263" spans="1:23" customFormat="1" ht="15" customHeight="1">
      <c r="H263" s="518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523"/>
      <c r="V263" s="387"/>
    </row>
    <row r="264" spans="1:23" customFormat="1" ht="15" customHeight="1">
      <c r="H264" s="518"/>
      <c r="I264" s="518"/>
      <c r="J264" s="518"/>
      <c r="K264" s="518"/>
      <c r="L264" s="518"/>
      <c r="M264" s="518"/>
      <c r="N264" s="518"/>
      <c r="O264" s="518"/>
      <c r="P264" s="518"/>
      <c r="Q264" s="528"/>
      <c r="R264" s="387"/>
      <c r="S264" s="387"/>
      <c r="T264" s="387"/>
      <c r="U264" s="387"/>
      <c r="V264" s="387"/>
    </row>
    <row r="265" spans="1:23" customFormat="1">
      <c r="A265" t="s">
        <v>1409</v>
      </c>
      <c r="Q265" s="528"/>
      <c r="R265" s="528"/>
      <c r="S265" s="528"/>
      <c r="T265" s="528"/>
      <c r="U265" s="528"/>
      <c r="V265" s="528"/>
      <c r="W265" s="528"/>
    </row>
    <row r="266" spans="1:23" customFormat="1"/>
    <row r="267" spans="1:23" customFormat="1" ht="15" customHeight="1"/>
    <row r="268" spans="1:23" customFormat="1" ht="15" customHeight="1">
      <c r="V268" s="387"/>
    </row>
    <row r="269" spans="1:23" customFormat="1" ht="15" customHeight="1">
      <c r="V269" s="387"/>
    </row>
    <row r="270" spans="1:23" customFormat="1" ht="15" customHeight="1">
      <c r="V270" s="387"/>
    </row>
    <row r="271" spans="1:23" customFormat="1" ht="15" customHeight="1">
      <c r="V271" s="387"/>
    </row>
    <row r="272" spans="1:23" customFormat="1" ht="15" customHeight="1">
      <c r="V272" s="387"/>
    </row>
    <row r="273" spans="22:22" customFormat="1" ht="15" customHeight="1">
      <c r="V273" s="387"/>
    </row>
    <row r="274" spans="22:22" customFormat="1" ht="15" customHeight="1">
      <c r="V274" s="387"/>
    </row>
  </sheetData>
  <mergeCells count="2">
    <mergeCell ref="C74:C75"/>
    <mergeCell ref="C132:C133"/>
  </mergeCells>
  <phoneticPr fontId="9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600B-2BF1-46DB-B649-D74434DA38BB}">
  <dimension ref="A1:AP1229"/>
  <sheetViews>
    <sheetView topLeftCell="K342" zoomScaleNormal="100" workbookViewId="0">
      <selection activeCell="V364" sqref="V364"/>
    </sheetView>
  </sheetViews>
  <sheetFormatPr defaultColWidth="8" defaultRowHeight="15"/>
  <cols>
    <col min="1" max="1" width="8" style="211"/>
    <col min="2" max="2" width="29.375" style="211" bestFit="1" customWidth="1"/>
    <col min="3" max="3" width="21.375" style="211" customWidth="1"/>
    <col min="4" max="4" width="41.625" style="211" bestFit="1" customWidth="1"/>
    <col min="5" max="5" width="15" style="211" customWidth="1"/>
    <col min="6" max="6" width="12.125" style="227" customWidth="1"/>
    <col min="7" max="9" width="12.625" style="211" customWidth="1"/>
    <col min="10" max="10" width="30" style="238" customWidth="1"/>
    <col min="11" max="11" width="22.875" style="238" customWidth="1"/>
    <col min="12" max="12" width="10" style="238" bestFit="1" customWidth="1"/>
    <col min="13" max="13" width="10" style="238" customWidth="1"/>
    <col min="14" max="14" width="10" style="238" bestFit="1" customWidth="1"/>
    <col min="15" max="15" width="30.875" style="219" bestFit="1" customWidth="1"/>
    <col min="16" max="16" width="33.375" style="219" customWidth="1"/>
    <col min="17" max="17" width="10" style="219" bestFit="1" customWidth="1"/>
    <col min="18" max="18" width="10" style="219" customWidth="1"/>
    <col min="19" max="19" width="16" style="219" bestFit="1" customWidth="1"/>
    <col min="20" max="20" width="12.5" style="219" bestFit="1" customWidth="1"/>
    <col min="21" max="21" width="14.875" style="219" bestFit="1" customWidth="1"/>
    <col min="22" max="22" width="8" style="211"/>
    <col min="23" max="23" width="12.625" style="211" bestFit="1" customWidth="1"/>
    <col min="24" max="24" width="8" style="211"/>
    <col min="25" max="25" width="19.125" style="211" bestFit="1" customWidth="1"/>
    <col min="26" max="26" width="13.375" style="211" bestFit="1" customWidth="1"/>
    <col min="27" max="32" width="10.625" style="211" customWidth="1"/>
    <col min="33" max="33" width="14.125" style="211" customWidth="1"/>
    <col min="34" max="34" width="18.625" style="211" customWidth="1"/>
    <col min="35" max="35" width="21.625" style="211" customWidth="1"/>
    <col min="36" max="39" width="10.625" style="211" customWidth="1"/>
    <col min="40" max="40" width="17.5" style="211" customWidth="1"/>
    <col min="41" max="41" width="17.375" style="211" bestFit="1" customWidth="1"/>
    <col min="42" max="42" width="12" style="211" customWidth="1"/>
    <col min="43" max="16384" width="8" style="211"/>
  </cols>
  <sheetData>
    <row r="1" spans="1:42">
      <c r="Z1" s="616" t="s">
        <v>1163</v>
      </c>
      <c r="AA1" s="616"/>
      <c r="AB1" s="616"/>
      <c r="AC1" s="228"/>
      <c r="AD1" s="616" t="s">
        <v>1164</v>
      </c>
      <c r="AE1" s="616"/>
      <c r="AF1" s="616"/>
      <c r="AG1" s="616"/>
      <c r="AH1" s="616"/>
      <c r="AI1" s="616"/>
      <c r="AJ1" s="617" t="s">
        <v>1165</v>
      </c>
      <c r="AK1" s="617"/>
      <c r="AL1" s="617"/>
      <c r="AM1" s="617"/>
    </row>
    <row r="2" spans="1:42" ht="15.75" thickBot="1">
      <c r="B2" s="211" t="s">
        <v>65</v>
      </c>
      <c r="C2" s="211" t="s">
        <v>870</v>
      </c>
      <c r="D2" s="211" t="s">
        <v>876</v>
      </c>
      <c r="E2" s="211" t="s">
        <v>879</v>
      </c>
      <c r="F2" s="211" t="s">
        <v>880</v>
      </c>
      <c r="G2" s="211" t="s">
        <v>724</v>
      </c>
      <c r="H2" s="211" t="s">
        <v>725</v>
      </c>
      <c r="I2" s="211" t="s">
        <v>1159</v>
      </c>
      <c r="J2" s="234" t="s">
        <v>65</v>
      </c>
      <c r="K2" s="234" t="s">
        <v>1160</v>
      </c>
      <c r="L2" s="234" t="s">
        <v>756</v>
      </c>
      <c r="M2" s="234" t="s">
        <v>1161</v>
      </c>
      <c r="N2" s="234"/>
      <c r="O2" s="212" t="s">
        <v>65</v>
      </c>
      <c r="P2" s="212" t="s">
        <v>1160</v>
      </c>
      <c r="Q2" s="212" t="s">
        <v>756</v>
      </c>
      <c r="R2" s="212" t="s">
        <v>1161</v>
      </c>
      <c r="S2" s="212" t="s">
        <v>724</v>
      </c>
      <c r="T2" s="212" t="s">
        <v>725</v>
      </c>
      <c r="U2" s="212" t="s">
        <v>1159</v>
      </c>
      <c r="Z2" s="229" t="s">
        <v>724</v>
      </c>
      <c r="AA2" s="229" t="s">
        <v>725</v>
      </c>
      <c r="AB2" s="229" t="s">
        <v>1159</v>
      </c>
      <c r="AC2" s="229" t="s">
        <v>1166</v>
      </c>
      <c r="AD2" s="229" t="s">
        <v>724</v>
      </c>
      <c r="AE2" s="229" t="s">
        <v>725</v>
      </c>
      <c r="AF2" s="229" t="s">
        <v>1159</v>
      </c>
      <c r="AG2" s="229" t="s">
        <v>1167</v>
      </c>
      <c r="AH2" s="229" t="s">
        <v>1168</v>
      </c>
      <c r="AI2" s="229" t="s">
        <v>1169</v>
      </c>
      <c r="AJ2" s="618"/>
      <c r="AK2" s="618"/>
      <c r="AL2" s="618"/>
      <c r="AM2" s="618"/>
      <c r="AN2" s="229" t="s">
        <v>1167</v>
      </c>
      <c r="AO2" s="229" t="s">
        <v>1168</v>
      </c>
      <c r="AP2" s="229" t="s">
        <v>1169</v>
      </c>
    </row>
    <row r="3" spans="1:42" ht="107.1" customHeight="1" thickBot="1">
      <c r="F3" s="226"/>
      <c r="J3" s="234" t="s">
        <v>69</v>
      </c>
      <c r="K3" s="235" t="s">
        <v>1148</v>
      </c>
      <c r="L3" s="235" t="s">
        <v>1149</v>
      </c>
      <c r="M3" s="236" t="s">
        <v>1150</v>
      </c>
      <c r="N3" s="235" t="s">
        <v>1162</v>
      </c>
      <c r="O3" s="212" t="s">
        <v>69</v>
      </c>
      <c r="P3" s="212" t="s">
        <v>69</v>
      </c>
      <c r="Q3" s="212" t="s">
        <v>1170</v>
      </c>
      <c r="R3" s="212" t="s">
        <v>897</v>
      </c>
      <c r="S3" s="212" t="s">
        <v>897</v>
      </c>
      <c r="T3" s="212" t="s">
        <v>897</v>
      </c>
      <c r="U3" s="212" t="s">
        <v>897</v>
      </c>
      <c r="Y3" s="219" t="s">
        <v>0</v>
      </c>
      <c r="Z3" s="230">
        <f t="shared" ref="Z3:Z31" si="0">SUMIF(C:C,Y3,G:G)</f>
        <v>639372.33999999985</v>
      </c>
      <c r="AA3" s="230">
        <f t="shared" ref="AA3:AA31" si="1">SUMIF(C:C,Y3,H:H)</f>
        <v>121480.74999999999</v>
      </c>
      <c r="AB3" s="230">
        <f t="shared" ref="AB3:AB31" si="2">SUMIF(C:C,Y3,I:I)</f>
        <v>760853.09000000008</v>
      </c>
      <c r="AC3" s="240">
        <f>HLOOKUP(VLOOKUP(Y3,'Date SPV'!$B$4:$F$34,5,FALSE),'Preturi si tarife'!$C$2:$J$39,17,FALSE)</f>
        <v>0.90005760000000001</v>
      </c>
      <c r="AD3" s="231">
        <f t="shared" ref="AD3:AD31" si="3">SUMIF(C:C,Y3,S:S)</f>
        <v>639372.34</v>
      </c>
      <c r="AE3" s="231">
        <f t="shared" ref="AE3:AE31" si="4">SUMIF(C:C,Y3,T:T)</f>
        <v>121480.75</v>
      </c>
      <c r="AF3" s="231">
        <f t="shared" ref="AF3:AF31" si="5">SUMIF(C:C,Y3,U:U)</f>
        <v>760853.09</v>
      </c>
      <c r="AG3" s="239">
        <f>SUMIFS(R:R,C:C,Y3,$A:$A,"=1")</f>
        <v>0.90005800000000002</v>
      </c>
      <c r="AH3" s="239">
        <f>SUMIFS(R:R,C:C,Y3,$A:$A,"=19")</f>
        <v>0</v>
      </c>
      <c r="AI3" s="239">
        <f>SUMIFS(R:R,C:C,Y3,$A:$A,"=18")</f>
        <v>0.90005800000000002</v>
      </c>
      <c r="AJ3" s="219" t="str">
        <f>IF(Z3=AD3,"ok","not ok")</f>
        <v>ok</v>
      </c>
      <c r="AK3" s="219" t="str">
        <f>IF(AA3=AE3,"ok","not ok")</f>
        <v>ok</v>
      </c>
      <c r="AL3" s="219" t="str">
        <f>IF(AB3=AF3,"ok","not ok")</f>
        <v>ok</v>
      </c>
      <c r="AM3" s="219" t="str">
        <f>IF(AND(ROUND(AC3,6)=AG3,ROUND(AC3,6)=AH3,ROUND(AC3,6)=AI3),"ok","not ok")</f>
        <v>not ok</v>
      </c>
      <c r="AN3" s="241">
        <f>AG3-AC3</f>
        <v>4.0000000001150227E-7</v>
      </c>
      <c r="AO3" s="241">
        <f>IF(AH3=0,0,AH3-AC3)</f>
        <v>0</v>
      </c>
      <c r="AP3" s="241">
        <f>AI3-AC3</f>
        <v>4.0000000001150227E-7</v>
      </c>
    </row>
    <row r="4" spans="1:42" ht="15.95" customHeight="1">
      <c r="A4" s="211">
        <f>IF(COUNTBLANK('RNEW import'!B2)=1,"",'RNEW import'!B2)</f>
        <v>1</v>
      </c>
      <c r="B4" s="211" t="str">
        <f>IF(COUNTBLANK('RNEW import'!D2)=1,"",'RNEW import'!D2)</f>
        <v>Ramnicu Valcea Shopping City SRL</v>
      </c>
      <c r="C4" s="211" t="str">
        <f>IF(COUNTBLANK('RNEW import'!E2)=1,"",'RNEW import'!E2)</f>
        <v>RRVS</v>
      </c>
      <c r="D4" s="216" t="str">
        <f>IF(COUNTBLANK('RNEW import'!K2)=1,"",'RNEW import'!K2)</f>
        <v>Energie activa 1</v>
      </c>
      <c r="E4" s="211">
        <f>IF(COUNTBLANK('RNEW import'!L2)=1,"",'RNEW import'!N2)</f>
        <v>239837</v>
      </c>
      <c r="F4" s="211">
        <f>IF(COUNTBLANK('RNEW import'!M2)=1,"",'RNEW import'!O2/10000)</f>
        <v>0.59499999999999997</v>
      </c>
      <c r="G4" s="217">
        <f>ROUND(E4*F4,2)</f>
        <v>142703.01999999999</v>
      </c>
      <c r="H4" s="217">
        <f>ROUND(G4*19%,2)</f>
        <v>27113.57</v>
      </c>
      <c r="I4" s="329">
        <f>G4+H4</f>
        <v>169816.59</v>
      </c>
      <c r="J4" s="237" t="str">
        <f>IF(A4=1,B4,"")</f>
        <v>Ramnicu Valcea Shopping City SRL</v>
      </c>
      <c r="K4" s="238">
        <f t="shared" ref="K4:K67" si="6">IF(COUNTBLANK(J4)=1,"",IF(A4=1,SUMIFS(G:G,$C:$C,C4,$A:$A,"=13")+SUMIFS(G:G,$C:$C,C4,$A:$A,"=14")+SUMIFS(G:G,$C:$C,C4,$A:$A,"=17")+SUMIFS(G:G,$C:$C,C4,$A:$A,"=18")+SUMIFS(G:G,$C:$C,C4,$A:$A,"=31")+SUMIFS(G:G,$C:$C,C4,$A:$A,"=32")+SUMIFS(G:G,$C:$C,C4,$A:$A,"=35")+SUMIFS(G:G,$C:$C,C4,$A:$A,"=36"),""))</f>
        <v>37321.040000000001</v>
      </c>
      <c r="L4" s="238">
        <f t="shared" ref="L4:L67" si="7">IF(COUNTBLANK(J4)=1,"",IF(A4=1,SUMIFS(G:G,$C:$C,C4,$A:$A,"&lt;13")+SUMIFS(G:G,$C:$C,C4,$A:$A,"&gt;18",$A:$A,"&lt;31")))</f>
        <v>208891.06999999998</v>
      </c>
      <c r="M4" s="238">
        <f t="shared" ref="M4:M67" si="8">IF(COUNTBLANK(J4)=1,"",IF(A4=1,SUMIFS(G:G,$C:$C,C4,$A:$A,"=15")+SUMIFS(G:G,$C:$C,C4,$A:$A,"=16")+SUMIFS(G:G,$C:$C,C4,$A:$A,"=33")+SUMIFS(G:G,$C:$C,C4,$A:$A,"=34"),""))</f>
        <v>152034.37</v>
      </c>
      <c r="N4" s="238">
        <f t="shared" ref="N4:N67" si="9">IF(COUNTBLANK(J4)=1,"",IF(A4=1,SUMIFS(E:E,$C:$C,C4,$A:$A,"=13")+SUMIFS(E:E,$C:$C,C4,$A:$A,"=17")+SUMIFS(E:E,$C:$C,C4,$A:$A,"=31")+SUMIFS(E:E,$C:$C,C4,$A:$A,"=35"),""))</f>
        <v>311268</v>
      </c>
      <c r="O4" s="218" t="str">
        <f>IF(A4=1,B4,"")</f>
        <v>Ramnicu Valcea Shopping City SRL</v>
      </c>
      <c r="P4" s="219" t="str">
        <f>IF(A4=1,"Enegie activa",IF(OR(A4=18),"Energie consumata din PV",IF(OR(A4=2),"Energie reactiva 1x",IF(OR(A4=3),"Energie reactiva 3x",IF(A4=19,"Energie activa regularizare",IF(OR(A4=36),"Energie consumata din PV regularizare",IF(OR(A4=20),"Energie reactiva 1x regularizare",IF(OR(A4=21),"Energie reactiva 3x regularizare",""))))))))</f>
        <v>Enegie activa</v>
      </c>
      <c r="Q4" s="219">
        <f>IF(COUNTBLANK(P4)=0,IF(OR(A4=1,A4=2,A4=3,A4=19,A4=20,A4=21),E4,IF(OR(A4=18,A4=36),E1+E2,"")),"")</f>
        <v>239837</v>
      </c>
      <c r="R4" s="219">
        <f>IF(COUNTBLANK(P4)=1,"",IF(OR(A4=2,A4=3,A4=20,A4=21),F4,IF(Q4=0,0,ROUND(S4/Q4,6))))</f>
        <v>0.97511800000000004</v>
      </c>
      <c r="S4" s="219">
        <f t="shared" ref="S4:S20" si="10">IF(COUNTBLANK(P4)=1,"",IF(P4=$P$5,G4,IF(P4=$P$6,G4,IF(P4=$P$21,G4+G3+G2+G1,IF(P4=$P$23,G4,IF(P4=$P$24,G4,IF(P4=$P$4,SUMIFS(G:G,$B:$B,J4,A:A,"&lt;15"),"eroare")))))))</f>
        <v>233869.29</v>
      </c>
      <c r="T4" s="219">
        <f>IF(COUNTBLANK(P4)=1,"",IF(P4=$P$5,H4,IF(P4=$P$6,H4,IF(P4=$P$21,H4+H3+H2+H1,IF(P4=$P$23,H4,IF(P4=$P$24,H4,IF(P4=$P$4,SUMIFS(H:H,$B:$B,J4,A:A,"&lt;15"),"eroare")))))))</f>
        <v>44435.159999999996</v>
      </c>
      <c r="U4" s="219">
        <f>IF(COUNTBLANK(P4)=1,"",IF(P4=$P$5,I4,IF(P4=$P$6,I4,IF(P4=$P$21,I4+I3+I2+I1,IF(P4=$P$23,I4,IF(P4=$P$24,I4,IF(P4=$P$4,SUMIFS(I:I,$B:$B,J4,A:A,"&lt;15"),"eroare")))))))</f>
        <v>278304.44999999995</v>
      </c>
      <c r="Y4" s="219" t="s">
        <v>1</v>
      </c>
      <c r="Z4" s="230">
        <f t="shared" si="0"/>
        <v>1391966.2999999998</v>
      </c>
      <c r="AA4" s="230">
        <f t="shared" si="1"/>
        <v>264473.59999999998</v>
      </c>
      <c r="AB4" s="230">
        <f t="shared" si="2"/>
        <v>1656439.9000000001</v>
      </c>
      <c r="AC4" s="240">
        <f>HLOOKUP(VLOOKUP(Y4,'Date SPV'!$B$4:$F$34,5,FALSE),'Preturi si tarife'!$C$2:$J$39,17,FALSE)</f>
        <v>0.91775760000000006</v>
      </c>
      <c r="AD4" s="231">
        <f t="shared" si="3"/>
        <v>1391966.3</v>
      </c>
      <c r="AE4" s="231">
        <f t="shared" si="4"/>
        <v>264473.59999999998</v>
      </c>
      <c r="AF4" s="231">
        <f t="shared" si="5"/>
        <v>1656439.9000000001</v>
      </c>
      <c r="AG4" s="239">
        <f t="shared" ref="AG4:AG31" si="11">SUMIFS(R:R,C:C,Y4,$A:$A,"=1")</f>
        <v>0.91775799999999996</v>
      </c>
      <c r="AH4" s="239">
        <f t="shared" ref="AH4:AH31" si="12">SUMIFS(R:R,C:C,Y4,$A:$A,"=19")</f>
        <v>0</v>
      </c>
      <c r="AI4" s="239">
        <f t="shared" ref="AI4:AI31" si="13">SUMIFS(R:R,C:C,Y4,$A:$A,"=18")</f>
        <v>0.91775799999999996</v>
      </c>
      <c r="AJ4" s="219" t="str">
        <f t="shared" ref="AJ4:AL23" si="14">IF(Z4=AD4,"ok","not ok")</f>
        <v>ok</v>
      </c>
      <c r="AK4" s="219" t="str">
        <f t="shared" si="14"/>
        <v>ok</v>
      </c>
      <c r="AL4" s="219" t="str">
        <f t="shared" si="14"/>
        <v>ok</v>
      </c>
      <c r="AM4" s="219" t="str">
        <f t="shared" ref="AM4:AM23" si="15">IF(AND(ROUND(AC4,6)=AG4,ROUND(AC4,6)=AH4,ROUND(AC4,6)=AI4),"ok","not ok")</f>
        <v>not ok</v>
      </c>
      <c r="AN4" s="241">
        <f t="shared" ref="AN4:AN23" si="16">AG4-AC4</f>
        <v>3.9999999990047996E-7</v>
      </c>
      <c r="AO4" s="241">
        <f t="shared" ref="AO4:AO31" si="17">IF(AH4=0,0,AH4-AC4)</f>
        <v>0</v>
      </c>
      <c r="AP4" s="241">
        <f t="shared" ref="AP4:AP23" si="18">AI4-AC4</f>
        <v>3.9999999990047996E-7</v>
      </c>
    </row>
    <row r="5" spans="1:42" ht="15.95" customHeight="1">
      <c r="A5" s="211">
        <f>IF(COUNTBLANK('RNEW import'!B3)=1,"",'RNEW import'!B3)</f>
        <v>2</v>
      </c>
      <c r="B5" s="211" t="str">
        <f>IF(COUNTBLANK('RNEW import'!D3)=1,"",'RNEW import'!D3)</f>
        <v>Ramnicu Valcea Shopping City SRL</v>
      </c>
      <c r="C5" s="211" t="str">
        <f>IF(COUNTBLANK('RNEW import'!E3)=1,"",'RNEW import'!E3)</f>
        <v>RRVS</v>
      </c>
      <c r="D5" s="216" t="str">
        <f>IF(COUNTBLANK('RNEW import'!K3)=1,"",'RNEW import'!K3)</f>
        <v>Energie reactiva  1X</v>
      </c>
      <c r="E5" s="211">
        <f>IF(COUNTBLANK('RNEW import'!L3)=1,"",'RNEW import'!N3)</f>
        <v>0</v>
      </c>
      <c r="F5" s="211">
        <f>IF(COUNTBLANK('RNEW import'!M3)=1,"",'RNEW import'!O3/10000)</f>
        <v>0.14649999999999999</v>
      </c>
      <c r="G5" s="217">
        <f t="shared" ref="G5:G36" si="19">ROUND(E5*F5,2)</f>
        <v>0</v>
      </c>
      <c r="H5" s="217">
        <f t="shared" ref="H5:H68" si="20">ROUND(G5*19%,2)</f>
        <v>0</v>
      </c>
      <c r="I5" s="329">
        <f t="shared" ref="I5:I36" si="21">G5+H5</f>
        <v>0</v>
      </c>
      <c r="J5" s="237" t="str">
        <f t="shared" ref="J5:J67" si="22">IF(A5=1,B5,"")</f>
        <v/>
      </c>
      <c r="K5" s="238" t="str">
        <f t="shared" si="6"/>
        <v/>
      </c>
      <c r="L5" s="238" t="str">
        <f t="shared" si="7"/>
        <v/>
      </c>
      <c r="M5" s="238" t="str">
        <f t="shared" si="8"/>
        <v/>
      </c>
      <c r="N5" s="238" t="str">
        <f t="shared" si="9"/>
        <v/>
      </c>
      <c r="O5" s="232"/>
      <c r="P5" s="219" t="str">
        <f t="shared" ref="P5:P68" si="23">IF(A5=1,"Enegie activa",IF(OR(A5=18),"Energie consumata din PV",IF(OR(A5=2),"Energie reactiva 1x",IF(OR(A5=3),"Energie reactiva 3x",IF(A5=19,"Energie activa regularizare",IF(OR(A5=36),"Energie consumata din PV regularizare",IF(OR(A5=20),"Energie reactiva 1x regularizare",IF(OR(A5=21),"Energie reactiva 3x regularizare",""))))))))</f>
        <v>Energie reactiva 1x</v>
      </c>
      <c r="Q5" s="219">
        <f t="shared" ref="Q5:Q68" si="24">IF(COUNTBLANK(P5)=0,IF(OR(A5=1,A5=2,A5=3,A5=19,A5=20,A5=21),E5,IF(OR(A5=18,A5=36),E2+E3,"")),"")</f>
        <v>0</v>
      </c>
      <c r="R5" s="219">
        <f t="shared" ref="R5:R68" si="25">IF(COUNTBLANK(P5)=1,"",IF(OR(A5=2,A5=3,A5=20,A5=21),F5,IF(Q5=0,0,ROUND(S5/Q5,6))))</f>
        <v>0.14649999999999999</v>
      </c>
      <c r="S5" s="219">
        <f t="shared" si="10"/>
        <v>0</v>
      </c>
      <c r="T5" s="219">
        <f t="shared" ref="T5:T20" si="26">IF(COUNTBLANK(P5)=1,"",IF(P5=$P$5,H5,IF(P5=$P$6,H5,IF(P5=$P$21,H5+H4+H3+H2,IF(P5=$P$23,H5,IF(P5=$P$24,H5,IF(P5=$P$4,SUMIFS(H:H,$B:$B,J5,A:A,"&lt;15"),"eroare")))))))</f>
        <v>0</v>
      </c>
      <c r="U5" s="219">
        <f t="shared" ref="U5:U20" si="27">IF(COUNTBLANK(P5)=1,"",IF(P5=$P$5,I5,IF(P5=$P$6,I5,IF(P5=$P$21,I5+I4+I3+I2,IF(P5=$P$23,I5,IF(P5=$P$24,I5,IF(P5=$P$4,SUMIFS(I:I,$B:$B,J5,A:A,"&lt;15"),"eroare")))))))</f>
        <v>0</v>
      </c>
      <c r="Y5" s="219" t="s">
        <v>2</v>
      </c>
      <c r="Z5" s="230">
        <f t="shared" si="0"/>
        <v>510136.44000000006</v>
      </c>
      <c r="AA5" s="230">
        <f t="shared" si="1"/>
        <v>96925.91</v>
      </c>
      <c r="AB5" s="230">
        <f t="shared" si="2"/>
        <v>607062.35000000009</v>
      </c>
      <c r="AC5" s="240">
        <f>HLOOKUP(VLOOKUP(Y5,'Date SPV'!$B$4:$F$34,5,FALSE),'Preturi si tarife'!$C$2:$J$39,17,FALSE)</f>
        <v>0.96800760000000008</v>
      </c>
      <c r="AD5" s="231">
        <f t="shared" si="3"/>
        <v>510136.44000000006</v>
      </c>
      <c r="AE5" s="231">
        <f t="shared" si="4"/>
        <v>96925.91</v>
      </c>
      <c r="AF5" s="231">
        <f t="shared" si="5"/>
        <v>607062.35</v>
      </c>
      <c r="AG5" s="239">
        <f t="shared" si="11"/>
        <v>0.96634299999999995</v>
      </c>
      <c r="AH5" s="239">
        <f t="shared" si="12"/>
        <v>0.83392500000000003</v>
      </c>
      <c r="AI5" s="239">
        <f t="shared" si="13"/>
        <v>0.96800799999999998</v>
      </c>
      <c r="AJ5" s="219" t="str">
        <f t="shared" si="14"/>
        <v>ok</v>
      </c>
      <c r="AK5" s="219" t="str">
        <f t="shared" si="14"/>
        <v>ok</v>
      </c>
      <c r="AL5" s="219" t="str">
        <f t="shared" si="14"/>
        <v>ok</v>
      </c>
      <c r="AM5" s="219" t="str">
        <f>IF(AND(ROUND(AC5,6)=AG5,ROUND(AC5,6)=AH5,ROUND(AC5,6)=AI5),"ok","not ok")</f>
        <v>not ok</v>
      </c>
      <c r="AN5" s="241">
        <f>AG5-AC5</f>
        <v>-1.6646000000001271E-3</v>
      </c>
      <c r="AO5" s="241">
        <f t="shared" si="17"/>
        <v>-0.13408260000000005</v>
      </c>
      <c r="AP5" s="241">
        <f t="shared" si="18"/>
        <v>3.9999999990047996E-7</v>
      </c>
    </row>
    <row r="6" spans="1:42" ht="15.95" customHeight="1">
      <c r="A6" s="211">
        <f>IF(COUNTBLANK('RNEW import'!B4)=1,"",'RNEW import'!B4)</f>
        <v>3</v>
      </c>
      <c r="B6" s="211" t="str">
        <f>IF(COUNTBLANK('RNEW import'!D4)=1,"",'RNEW import'!D4)</f>
        <v>Ramnicu Valcea Shopping City SRL</v>
      </c>
      <c r="C6" s="211" t="str">
        <f>IF(COUNTBLANK('RNEW import'!E4)=1,"",'RNEW import'!E4)</f>
        <v>RRVS</v>
      </c>
      <c r="D6" s="216" t="str">
        <f>IF(COUNTBLANK('RNEW import'!K4)=1,"",'RNEW import'!K4)</f>
        <v>Energie reactiva  3X</v>
      </c>
      <c r="E6" s="211">
        <f>IF(COUNTBLANK('RNEW import'!L4)=1,"",'RNEW import'!N4)</f>
        <v>0</v>
      </c>
      <c r="F6" s="211">
        <f>IF(COUNTBLANK('RNEW import'!M4)=1,"",'RNEW import'!O4/10000)</f>
        <v>0.4395</v>
      </c>
      <c r="G6" s="217">
        <f t="shared" si="19"/>
        <v>0</v>
      </c>
      <c r="H6" s="217">
        <f t="shared" si="20"/>
        <v>0</v>
      </c>
      <c r="I6" s="329">
        <f t="shared" si="21"/>
        <v>0</v>
      </c>
      <c r="J6" s="237" t="str">
        <f t="shared" si="22"/>
        <v/>
      </c>
      <c r="K6" s="238" t="str">
        <f t="shared" si="6"/>
        <v/>
      </c>
      <c r="L6" s="238" t="str">
        <f t="shared" si="7"/>
        <v/>
      </c>
      <c r="M6" s="238" t="str">
        <f t="shared" si="8"/>
        <v/>
      </c>
      <c r="N6" s="238" t="str">
        <f t="shared" si="9"/>
        <v/>
      </c>
      <c r="O6" s="232"/>
      <c r="P6" s="219" t="str">
        <f t="shared" si="23"/>
        <v>Energie reactiva 3x</v>
      </c>
      <c r="Q6" s="219">
        <f t="shared" si="24"/>
        <v>0</v>
      </c>
      <c r="R6" s="219">
        <f t="shared" si="25"/>
        <v>0.4395</v>
      </c>
      <c r="S6" s="219">
        <f t="shared" si="10"/>
        <v>0</v>
      </c>
      <c r="T6" s="219">
        <f t="shared" si="26"/>
        <v>0</v>
      </c>
      <c r="U6" s="219">
        <f t="shared" si="27"/>
        <v>0</v>
      </c>
      <c r="Y6" s="219" t="s">
        <v>3</v>
      </c>
      <c r="Z6" s="230">
        <f t="shared" si="0"/>
        <v>1754737.6800000002</v>
      </c>
      <c r="AA6" s="230">
        <f t="shared" si="1"/>
        <v>333400.14999999997</v>
      </c>
      <c r="AB6" s="230">
        <f t="shared" si="2"/>
        <v>2088137.8299999996</v>
      </c>
      <c r="AC6" s="240">
        <f>HLOOKUP(VLOOKUP(Y6,'Date SPV'!$B$4:$F$34,5,FALSE),'Preturi si tarife'!$C$2:$J$39,17,FALSE)</f>
        <v>0.90065760000000006</v>
      </c>
      <c r="AD6" s="231">
        <f t="shared" si="3"/>
        <v>1754737.68</v>
      </c>
      <c r="AE6" s="231">
        <f t="shared" si="4"/>
        <v>333400.15000000002</v>
      </c>
      <c r="AF6" s="231">
        <f t="shared" si="5"/>
        <v>2088137.83</v>
      </c>
      <c r="AG6" s="239">
        <f t="shared" si="11"/>
        <v>0.90065799999999996</v>
      </c>
      <c r="AH6" s="239">
        <f t="shared" si="12"/>
        <v>0</v>
      </c>
      <c r="AI6" s="239">
        <f t="shared" si="13"/>
        <v>0.90065700000000004</v>
      </c>
      <c r="AJ6" s="219" t="str">
        <f t="shared" si="14"/>
        <v>ok</v>
      </c>
      <c r="AK6" s="219" t="str">
        <f t="shared" si="14"/>
        <v>ok</v>
      </c>
      <c r="AL6" s="219" t="str">
        <f t="shared" si="14"/>
        <v>ok</v>
      </c>
      <c r="AM6" s="219" t="str">
        <f t="shared" si="15"/>
        <v>not ok</v>
      </c>
      <c r="AN6" s="241">
        <f t="shared" si="16"/>
        <v>3.9999999990047996E-7</v>
      </c>
      <c r="AO6" s="241">
        <f t="shared" si="17"/>
        <v>0</v>
      </c>
      <c r="AP6" s="241">
        <f t="shared" si="18"/>
        <v>-6.000000000172534E-7</v>
      </c>
    </row>
    <row r="7" spans="1:42" ht="15.95" customHeight="1">
      <c r="A7" s="211">
        <f>IF(COUNTBLANK('RNEW import'!B5)=1,"",'RNEW import'!B5)</f>
        <v>4</v>
      </c>
      <c r="B7" s="211" t="str">
        <f>IF(COUNTBLANK('RNEW import'!D5)=1,"",'RNEW import'!D5)</f>
        <v>Ramnicu Valcea Shopping City SRL</v>
      </c>
      <c r="C7" s="211" t="str">
        <f>IF(COUNTBLANK('RNEW import'!E5)=1,"",'RNEW import'!E5)</f>
        <v>RRVS</v>
      </c>
      <c r="D7" s="216" t="str">
        <f>IF(COUNTBLANK('RNEW import'!K5)=1,"",'RNEW import'!K5)</f>
        <v>Tarife distributie en. El IT+MT</v>
      </c>
      <c r="E7" s="211">
        <f>IF(COUNTBLANK('RNEW import'!L5)=1,"",'RNEW import'!N5)</f>
        <v>239837</v>
      </c>
      <c r="F7" s="211">
        <f>IF(COUNTBLANK('RNEW import'!M5)=1,"",'RNEW import'!O5/10000)</f>
        <v>0.13613999999999998</v>
      </c>
      <c r="G7" s="217">
        <f t="shared" si="19"/>
        <v>32651.41</v>
      </c>
      <c r="H7" s="217">
        <f t="shared" si="20"/>
        <v>6203.77</v>
      </c>
      <c r="I7" s="329">
        <f t="shared" si="21"/>
        <v>38855.18</v>
      </c>
      <c r="J7" s="237" t="str">
        <f t="shared" si="22"/>
        <v/>
      </c>
      <c r="K7" s="238" t="str">
        <f t="shared" si="6"/>
        <v/>
      </c>
      <c r="L7" s="238" t="str">
        <f t="shared" si="7"/>
        <v/>
      </c>
      <c r="M7" s="238" t="str">
        <f t="shared" si="8"/>
        <v/>
      </c>
      <c r="N7" s="238" t="str">
        <f t="shared" si="9"/>
        <v/>
      </c>
      <c r="O7" s="232"/>
      <c r="P7" s="219" t="str">
        <f t="shared" si="23"/>
        <v/>
      </c>
      <c r="Q7" s="219" t="str">
        <f t="shared" si="24"/>
        <v/>
      </c>
      <c r="R7" s="219" t="str">
        <f t="shared" si="25"/>
        <v/>
      </c>
      <c r="S7" s="219" t="str">
        <f t="shared" si="10"/>
        <v/>
      </c>
      <c r="T7" s="219" t="str">
        <f t="shared" si="26"/>
        <v/>
      </c>
      <c r="U7" s="219" t="str">
        <f t="shared" si="27"/>
        <v/>
      </c>
      <c r="Y7" s="219" t="s">
        <v>4</v>
      </c>
      <c r="Z7" s="230">
        <f t="shared" si="0"/>
        <v>1305195.7299999997</v>
      </c>
      <c r="AA7" s="230">
        <f t="shared" si="1"/>
        <v>247987.18999999997</v>
      </c>
      <c r="AB7" s="230">
        <f t="shared" si="2"/>
        <v>1553182.92</v>
      </c>
      <c r="AC7" s="240">
        <f>HLOOKUP(VLOOKUP(Y7,'Date SPV'!$B$4:$F$34,5,FALSE),'Preturi si tarife'!$C$2:$J$39,17,FALSE)</f>
        <v>0.90065760000000006</v>
      </c>
      <c r="AD7" s="231">
        <f t="shared" si="3"/>
        <v>1305195.73</v>
      </c>
      <c r="AE7" s="231">
        <f t="shared" si="4"/>
        <v>247987.19</v>
      </c>
      <c r="AF7" s="231">
        <f t="shared" si="5"/>
        <v>1553182.92</v>
      </c>
      <c r="AG7" s="239">
        <f t="shared" si="11"/>
        <v>0.89664699999999997</v>
      </c>
      <c r="AH7" s="239">
        <f t="shared" si="12"/>
        <v>0</v>
      </c>
      <c r="AI7" s="239">
        <f t="shared" si="13"/>
        <v>0.90065799999999996</v>
      </c>
      <c r="AJ7" s="219" t="str">
        <f t="shared" si="14"/>
        <v>ok</v>
      </c>
      <c r="AK7" s="219" t="str">
        <f t="shared" si="14"/>
        <v>ok</v>
      </c>
      <c r="AL7" s="219" t="str">
        <f t="shared" si="14"/>
        <v>ok</v>
      </c>
      <c r="AM7" s="219" t="str">
        <f t="shared" si="15"/>
        <v>not ok</v>
      </c>
      <c r="AN7" s="241">
        <f t="shared" si="16"/>
        <v>-4.0106000000000863E-3</v>
      </c>
      <c r="AO7" s="241">
        <f t="shared" si="17"/>
        <v>0</v>
      </c>
      <c r="AP7" s="241">
        <f t="shared" si="18"/>
        <v>3.9999999990047996E-7</v>
      </c>
    </row>
    <row r="8" spans="1:42" ht="15.95" customHeight="1">
      <c r="A8" s="211">
        <f>IF(COUNTBLANK('RNEW import'!B6)=1,"",'RNEW import'!B6)</f>
        <v>5</v>
      </c>
      <c r="B8" s="211" t="str">
        <f>IF(COUNTBLANK('RNEW import'!D6)=1,"",'RNEW import'!D6)</f>
        <v>Ramnicu Valcea Shopping City SRL</v>
      </c>
      <c r="C8" s="211" t="str">
        <f>IF(COUNTBLANK('RNEW import'!E6)=1,"",'RNEW import'!E6)</f>
        <v>RRVS</v>
      </c>
      <c r="D8" s="216" t="str">
        <f>IF(COUNTBLANK('RNEW import'!K6)=1,"",'RNEW import'!K6)</f>
        <v>Tarife distributie en. El JT</v>
      </c>
      <c r="E8" s="211">
        <f>IF(COUNTBLANK('RNEW import'!L6)=1,"",'RNEW import'!N6)</f>
        <v>0</v>
      </c>
      <c r="F8" s="211">
        <f>IF(COUNTBLANK('RNEW import'!M6)=1,"",'RNEW import'!O6/10000)</f>
        <v>0.22738999999999995</v>
      </c>
      <c r="G8" s="217">
        <f t="shared" si="19"/>
        <v>0</v>
      </c>
      <c r="H8" s="217">
        <f t="shared" si="20"/>
        <v>0</v>
      </c>
      <c r="I8" s="329">
        <f t="shared" si="21"/>
        <v>0</v>
      </c>
      <c r="J8" s="237" t="str">
        <f t="shared" si="22"/>
        <v/>
      </c>
      <c r="K8" s="238" t="str">
        <f t="shared" si="6"/>
        <v/>
      </c>
      <c r="L8" s="238" t="str">
        <f t="shared" si="7"/>
        <v/>
      </c>
      <c r="M8" s="238" t="str">
        <f t="shared" si="8"/>
        <v/>
      </c>
      <c r="N8" s="238" t="str">
        <f t="shared" si="9"/>
        <v/>
      </c>
      <c r="O8" s="232"/>
      <c r="P8" s="219" t="str">
        <f t="shared" si="23"/>
        <v/>
      </c>
      <c r="Q8" s="219" t="str">
        <f t="shared" si="24"/>
        <v/>
      </c>
      <c r="R8" s="219" t="str">
        <f t="shared" si="25"/>
        <v/>
      </c>
      <c r="S8" s="219" t="str">
        <f t="shared" si="10"/>
        <v/>
      </c>
      <c r="T8" s="219" t="str">
        <f t="shared" si="26"/>
        <v/>
      </c>
      <c r="U8" s="219" t="str">
        <f t="shared" si="27"/>
        <v/>
      </c>
      <c r="Y8" s="219" t="s">
        <v>5</v>
      </c>
      <c r="Z8" s="230">
        <f t="shared" si="0"/>
        <v>949768.6</v>
      </c>
      <c r="AA8" s="230">
        <f t="shared" si="1"/>
        <v>180456.03</v>
      </c>
      <c r="AB8" s="230">
        <f t="shared" si="2"/>
        <v>1130224.6300000004</v>
      </c>
      <c r="AC8" s="240">
        <f>HLOOKUP(VLOOKUP(Y8,'Date SPV'!$B$4:$F$34,5,FALSE),'Preturi si tarife'!$C$2:$J$39,17,FALSE)</f>
        <v>0.96800760000000008</v>
      </c>
      <c r="AD8" s="231">
        <f t="shared" si="3"/>
        <v>949768.60000000009</v>
      </c>
      <c r="AE8" s="231">
        <f t="shared" si="4"/>
        <v>180456.03000000003</v>
      </c>
      <c r="AF8" s="231">
        <f t="shared" si="5"/>
        <v>1130224.6300000001</v>
      </c>
      <c r="AG8" s="239">
        <f t="shared" si="11"/>
        <v>0.96800799999999998</v>
      </c>
      <c r="AH8" s="239">
        <f t="shared" si="12"/>
        <v>0</v>
      </c>
      <c r="AI8" s="239">
        <f t="shared" si="13"/>
        <v>0.96800799999999998</v>
      </c>
      <c r="AJ8" s="219" t="str">
        <f t="shared" si="14"/>
        <v>ok</v>
      </c>
      <c r="AK8" s="219" t="str">
        <f t="shared" si="14"/>
        <v>ok</v>
      </c>
      <c r="AL8" s="219" t="str">
        <f t="shared" si="14"/>
        <v>ok</v>
      </c>
      <c r="AM8" s="219" t="str">
        <f t="shared" si="15"/>
        <v>not ok</v>
      </c>
      <c r="AN8" s="241">
        <f t="shared" si="16"/>
        <v>3.9999999990047996E-7</v>
      </c>
      <c r="AO8" s="241">
        <f t="shared" si="17"/>
        <v>0</v>
      </c>
      <c r="AP8" s="241">
        <f t="shared" si="18"/>
        <v>3.9999999990047996E-7</v>
      </c>
    </row>
    <row r="9" spans="1:42" ht="15.95" customHeight="1">
      <c r="A9" s="211">
        <f>IF(COUNTBLANK('RNEW import'!B7)=1,"",'RNEW import'!B7)</f>
        <v>6</v>
      </c>
      <c r="B9" s="211" t="str">
        <f>IF(COUNTBLANK('RNEW import'!D7)=1,"",'RNEW import'!D7)</f>
        <v>Ramnicu Valcea Shopping City SRL</v>
      </c>
      <c r="C9" s="211" t="str">
        <f>IF(COUNTBLANK('RNEW import'!E7)=1,"",'RNEW import'!E7)</f>
        <v>RRVS</v>
      </c>
      <c r="D9" s="216" t="str">
        <f>IF(COUNTBLANK('RNEW import'!K7)=1,"",'RNEW import'!K7)</f>
        <v xml:space="preserve">Servicii Sistem </v>
      </c>
      <c r="E9" s="211">
        <f>IF(COUNTBLANK('RNEW import'!L7)=1,"",'RNEW import'!N7)</f>
        <v>239837</v>
      </c>
      <c r="F9" s="211">
        <f>IF(COUNTBLANK('RNEW import'!M7)=1,"",'RNEW import'!O7/10000)</f>
        <v>1.1509999999999999E-2</v>
      </c>
      <c r="G9" s="217">
        <f t="shared" si="19"/>
        <v>2760.52</v>
      </c>
      <c r="H9" s="217">
        <f t="shared" si="20"/>
        <v>524.5</v>
      </c>
      <c r="I9" s="329">
        <f t="shared" si="21"/>
        <v>3285.02</v>
      </c>
      <c r="J9" s="237" t="str">
        <f t="shared" si="22"/>
        <v/>
      </c>
      <c r="K9" s="238" t="str">
        <f t="shared" si="6"/>
        <v/>
      </c>
      <c r="L9" s="238" t="str">
        <f t="shared" si="7"/>
        <v/>
      </c>
      <c r="M9" s="238" t="str">
        <f t="shared" si="8"/>
        <v/>
      </c>
      <c r="N9" s="238" t="str">
        <f t="shared" si="9"/>
        <v/>
      </c>
      <c r="O9" s="232"/>
      <c r="P9" s="219" t="str">
        <f t="shared" si="23"/>
        <v/>
      </c>
      <c r="Q9" s="219" t="str">
        <f t="shared" si="24"/>
        <v/>
      </c>
      <c r="R9" s="219" t="str">
        <f t="shared" si="25"/>
        <v/>
      </c>
      <c r="S9" s="219" t="str">
        <f t="shared" si="10"/>
        <v/>
      </c>
      <c r="T9" s="219" t="str">
        <f t="shared" si="26"/>
        <v/>
      </c>
      <c r="U9" s="219" t="str">
        <f t="shared" si="27"/>
        <v/>
      </c>
      <c r="Y9" s="219" t="s">
        <v>6</v>
      </c>
      <c r="Z9" s="230">
        <f t="shared" si="0"/>
        <v>453932.20999999996</v>
      </c>
      <c r="AA9" s="230">
        <f t="shared" si="1"/>
        <v>86247.12000000001</v>
      </c>
      <c r="AB9" s="230">
        <f t="shared" si="2"/>
        <v>540179.32999999996</v>
      </c>
      <c r="AC9" s="240">
        <f>HLOOKUP(VLOOKUP(Y9,'Date SPV'!$B$4:$F$34,5,FALSE),'Preturi si tarife'!$C$2:$J$39,17,FALSE)</f>
        <v>0.96800760000000008</v>
      </c>
      <c r="AD9" s="231">
        <f t="shared" si="3"/>
        <v>453932.21</v>
      </c>
      <c r="AE9" s="231">
        <f t="shared" si="4"/>
        <v>86247.12000000001</v>
      </c>
      <c r="AF9" s="231">
        <f t="shared" si="5"/>
        <v>540179.32999999996</v>
      </c>
      <c r="AG9" s="239">
        <f t="shared" si="11"/>
        <v>0.96800799999999998</v>
      </c>
      <c r="AH9" s="239">
        <f t="shared" si="12"/>
        <v>0</v>
      </c>
      <c r="AI9" s="239">
        <f t="shared" si="13"/>
        <v>0.96800799999999998</v>
      </c>
      <c r="AJ9" s="219" t="str">
        <f t="shared" si="14"/>
        <v>ok</v>
      </c>
      <c r="AK9" s="219" t="str">
        <f t="shared" si="14"/>
        <v>ok</v>
      </c>
      <c r="AL9" s="219" t="str">
        <f t="shared" si="14"/>
        <v>ok</v>
      </c>
      <c r="AM9" s="219" t="str">
        <f t="shared" si="15"/>
        <v>not ok</v>
      </c>
      <c r="AN9" s="241">
        <f t="shared" si="16"/>
        <v>3.9999999990047996E-7</v>
      </c>
      <c r="AO9" s="241">
        <f t="shared" si="17"/>
        <v>0</v>
      </c>
      <c r="AP9" s="241">
        <f t="shared" si="18"/>
        <v>3.9999999990047996E-7</v>
      </c>
    </row>
    <row r="10" spans="1:42" ht="15.95" customHeight="1">
      <c r="A10" s="211">
        <f>IF(COUNTBLANK('RNEW import'!B8)=1,"",'RNEW import'!B8)</f>
        <v>7</v>
      </c>
      <c r="B10" s="211" t="str">
        <f>IF(COUNTBLANK('RNEW import'!D8)=1,"",'RNEW import'!D8)</f>
        <v>Ramnicu Valcea Shopping City SRL</v>
      </c>
      <c r="C10" s="211" t="str">
        <f>IF(COUNTBLANK('RNEW import'!E8)=1,"",'RNEW import'!E8)</f>
        <v>RRVS</v>
      </c>
      <c r="D10" s="216" t="str">
        <f>IF(COUNTBLANK('RNEW import'!K8)=1,"",'RNEW import'!K8)</f>
        <v>Tarif de introducere en. el in retea (TL)</v>
      </c>
      <c r="E10" s="211">
        <f>IF(COUNTBLANK('RNEW import'!L8)=1,"",'RNEW import'!N8)</f>
        <v>239837</v>
      </c>
      <c r="F10" s="211">
        <f>IF(COUNTBLANK('RNEW import'!M8)=1,"",'RNEW import'!O8/10000)</f>
        <v>3.3030000000000004E-2</v>
      </c>
      <c r="G10" s="217">
        <f t="shared" si="19"/>
        <v>7921.82</v>
      </c>
      <c r="H10" s="217">
        <f t="shared" si="20"/>
        <v>1505.15</v>
      </c>
      <c r="I10" s="329">
        <f t="shared" si="21"/>
        <v>9426.9699999999993</v>
      </c>
      <c r="J10" s="237" t="str">
        <f t="shared" si="22"/>
        <v/>
      </c>
      <c r="K10" s="238" t="str">
        <f t="shared" si="6"/>
        <v/>
      </c>
      <c r="L10" s="238" t="str">
        <f t="shared" si="7"/>
        <v/>
      </c>
      <c r="M10" s="238" t="str">
        <f t="shared" si="8"/>
        <v/>
      </c>
      <c r="N10" s="238" t="str">
        <f t="shared" si="9"/>
        <v/>
      </c>
      <c r="O10" s="232"/>
      <c r="P10" s="219" t="str">
        <f t="shared" si="23"/>
        <v/>
      </c>
      <c r="Q10" s="219" t="str">
        <f t="shared" si="24"/>
        <v/>
      </c>
      <c r="R10" s="219" t="str">
        <f t="shared" si="25"/>
        <v/>
      </c>
      <c r="S10" s="219" t="str">
        <f t="shared" si="10"/>
        <v/>
      </c>
      <c r="T10" s="219" t="str">
        <f t="shared" si="26"/>
        <v/>
      </c>
      <c r="U10" s="219" t="str">
        <f t="shared" si="27"/>
        <v/>
      </c>
      <c r="Y10" s="219" t="s">
        <v>7</v>
      </c>
      <c r="Z10" s="230">
        <f t="shared" si="0"/>
        <v>392795.73999999993</v>
      </c>
      <c r="AA10" s="230">
        <f t="shared" si="1"/>
        <v>74631.199999999997</v>
      </c>
      <c r="AB10" s="230">
        <f t="shared" si="2"/>
        <v>467426.94</v>
      </c>
      <c r="AC10" s="240">
        <f>HLOOKUP(VLOOKUP(Y10,'Date SPV'!$B$4:$F$34,5,FALSE),'Preturi si tarife'!$C$2:$J$39,17,FALSE)</f>
        <v>0.94380760000000008</v>
      </c>
      <c r="AD10" s="231">
        <f t="shared" si="3"/>
        <v>392795.74</v>
      </c>
      <c r="AE10" s="231">
        <f t="shared" si="4"/>
        <v>74631.199999999997</v>
      </c>
      <c r="AF10" s="231">
        <f t="shared" si="5"/>
        <v>467426.93999999994</v>
      </c>
      <c r="AG10" s="239">
        <f t="shared" si="11"/>
        <v>0.94380799999999998</v>
      </c>
      <c r="AH10" s="239">
        <f t="shared" si="12"/>
        <v>0</v>
      </c>
      <c r="AI10" s="239">
        <f t="shared" si="13"/>
        <v>0.94380799999999998</v>
      </c>
      <c r="AJ10" s="219" t="str">
        <f t="shared" si="14"/>
        <v>ok</v>
      </c>
      <c r="AK10" s="219" t="str">
        <f t="shared" si="14"/>
        <v>ok</v>
      </c>
      <c r="AL10" s="219" t="str">
        <f t="shared" si="14"/>
        <v>ok</v>
      </c>
      <c r="AM10" s="219" t="str">
        <f t="shared" si="15"/>
        <v>not ok</v>
      </c>
      <c r="AN10" s="241">
        <f t="shared" si="16"/>
        <v>3.9999999990047996E-7</v>
      </c>
      <c r="AO10" s="241">
        <f t="shared" si="17"/>
        <v>0</v>
      </c>
      <c r="AP10" s="241">
        <f t="shared" si="18"/>
        <v>3.9999999990047996E-7</v>
      </c>
    </row>
    <row r="11" spans="1:42" ht="15.95" customHeight="1">
      <c r="A11" s="211">
        <f>IF(COUNTBLANK('RNEW import'!B9)=1,"",'RNEW import'!B9)</f>
        <v>8</v>
      </c>
      <c r="B11" s="211" t="str">
        <f>IF(COUNTBLANK('RNEW import'!D9)=1,"",'RNEW import'!D9)</f>
        <v>Ramnicu Valcea Shopping City SRL</v>
      </c>
      <c r="C11" s="211" t="str">
        <f>IF(COUNTBLANK('RNEW import'!E9)=1,"",'RNEW import'!E9)</f>
        <v>RRVS</v>
      </c>
      <c r="D11" s="216" t="str">
        <f>IF(COUNTBLANK('RNEW import'!K9)=1,"",'RNEW import'!K9)</f>
        <v>Tarif de introducere en.el in retea (TG)</v>
      </c>
      <c r="E11" s="211">
        <f>IF(COUNTBLANK('RNEW import'!L9)=1,"",'RNEW import'!N9)</f>
        <v>239837</v>
      </c>
      <c r="F11" s="211">
        <f>IF(COUNTBLANK('RNEW import'!M9)=1,"",'RNEW import'!O9/10000)</f>
        <v>3.29E-3</v>
      </c>
      <c r="G11" s="217">
        <f t="shared" si="19"/>
        <v>789.06</v>
      </c>
      <c r="H11" s="217">
        <f t="shared" si="20"/>
        <v>149.91999999999999</v>
      </c>
      <c r="I11" s="329">
        <f t="shared" si="21"/>
        <v>938.9799999999999</v>
      </c>
      <c r="J11" s="237" t="str">
        <f t="shared" si="22"/>
        <v/>
      </c>
      <c r="K11" s="238" t="str">
        <f t="shared" si="6"/>
        <v/>
      </c>
      <c r="L11" s="238" t="str">
        <f t="shared" si="7"/>
        <v/>
      </c>
      <c r="M11" s="238" t="str">
        <f t="shared" si="8"/>
        <v/>
      </c>
      <c r="N11" s="238" t="str">
        <f t="shared" si="9"/>
        <v/>
      </c>
      <c r="O11" s="232"/>
      <c r="P11" s="219" t="str">
        <f t="shared" si="23"/>
        <v/>
      </c>
      <c r="Q11" s="219" t="str">
        <f t="shared" si="24"/>
        <v/>
      </c>
      <c r="R11" s="219" t="str">
        <f t="shared" si="25"/>
        <v/>
      </c>
      <c r="S11" s="219" t="str">
        <f t="shared" si="10"/>
        <v/>
      </c>
      <c r="T11" s="219" t="str">
        <f t="shared" si="26"/>
        <v/>
      </c>
      <c r="U11" s="219" t="str">
        <f t="shared" si="27"/>
        <v/>
      </c>
      <c r="Y11" s="219" t="s">
        <v>8</v>
      </c>
      <c r="Z11" s="230">
        <f t="shared" si="0"/>
        <v>1113692.3600000001</v>
      </c>
      <c r="AA11" s="230">
        <f t="shared" si="1"/>
        <v>211601.54000000004</v>
      </c>
      <c r="AB11" s="230">
        <f t="shared" si="2"/>
        <v>1325293.9000000001</v>
      </c>
      <c r="AC11" s="240">
        <f>HLOOKUP(VLOOKUP(Y11,'Date SPV'!$B$4:$F$34,5,FALSE),'Preturi si tarife'!$C$2:$J$39,17,FALSE)</f>
        <v>0.90005760000000001</v>
      </c>
      <c r="AD11" s="231">
        <f t="shared" si="3"/>
        <v>1113692.3599999999</v>
      </c>
      <c r="AE11" s="231">
        <f t="shared" si="4"/>
        <v>211601.54</v>
      </c>
      <c r="AF11" s="231">
        <f t="shared" si="5"/>
        <v>1325293.8999999997</v>
      </c>
      <c r="AG11" s="239">
        <f t="shared" si="11"/>
        <v>0.90005800000000002</v>
      </c>
      <c r="AH11" s="239">
        <f t="shared" si="12"/>
        <v>0</v>
      </c>
      <c r="AI11" s="239">
        <f t="shared" si="13"/>
        <v>0.90005800000000002</v>
      </c>
      <c r="AJ11" s="219" t="str">
        <f t="shared" si="14"/>
        <v>ok</v>
      </c>
      <c r="AK11" s="219" t="str">
        <f t="shared" si="14"/>
        <v>ok</v>
      </c>
      <c r="AL11" s="219" t="str">
        <f t="shared" si="14"/>
        <v>ok</v>
      </c>
      <c r="AM11" s="219" t="str">
        <f t="shared" si="15"/>
        <v>not ok</v>
      </c>
      <c r="AN11" s="241">
        <f t="shared" si="16"/>
        <v>4.0000000001150227E-7</v>
      </c>
      <c r="AO11" s="241">
        <f t="shared" si="17"/>
        <v>0</v>
      </c>
      <c r="AP11" s="241">
        <f t="shared" si="18"/>
        <v>4.0000000001150227E-7</v>
      </c>
    </row>
    <row r="12" spans="1:42" ht="15.95" customHeight="1">
      <c r="A12" s="211">
        <f>IF(COUNTBLANK('RNEW import'!B10)=1,"",'RNEW import'!B10)</f>
        <v>9</v>
      </c>
      <c r="B12" s="211" t="str">
        <f>IF(COUNTBLANK('RNEW import'!D10)=1,"",'RNEW import'!D10)</f>
        <v>Ramnicu Valcea Shopping City SRL</v>
      </c>
      <c r="C12" s="211" t="str">
        <f>IF(COUNTBLANK('RNEW import'!E10)=1,"",'RNEW import'!E10)</f>
        <v>RRVS</v>
      </c>
      <c r="D12" s="216" t="str">
        <f>IF(COUNTBLANK('RNEW import'!K10)=1,"",'RNEW import'!K10)</f>
        <v>Contributie pentru cogenerare</v>
      </c>
      <c r="E12" s="211">
        <f>IF(COUNTBLANK('RNEW import'!L10)=1,"",'RNEW import'!N10)</f>
        <v>239837</v>
      </c>
      <c r="F12" s="211">
        <f>IF(COUNTBLANK('RNEW import'!M10)=1,"",'RNEW import'!O10/10000)</f>
        <v>3.5000000000000001E-3</v>
      </c>
      <c r="G12" s="217">
        <f t="shared" si="19"/>
        <v>839.43</v>
      </c>
      <c r="H12" s="217">
        <f t="shared" si="20"/>
        <v>159.49</v>
      </c>
      <c r="I12" s="329">
        <f t="shared" si="21"/>
        <v>998.92</v>
      </c>
      <c r="J12" s="237" t="str">
        <f t="shared" si="22"/>
        <v/>
      </c>
      <c r="K12" s="238" t="str">
        <f t="shared" si="6"/>
        <v/>
      </c>
      <c r="L12" s="238" t="str">
        <f t="shared" si="7"/>
        <v/>
      </c>
      <c r="M12" s="238" t="str">
        <f t="shared" si="8"/>
        <v/>
      </c>
      <c r="N12" s="238" t="str">
        <f t="shared" si="9"/>
        <v/>
      </c>
      <c r="O12" s="232"/>
      <c r="P12" s="219" t="str">
        <f t="shared" si="23"/>
        <v/>
      </c>
      <c r="Q12" s="219" t="str">
        <f t="shared" si="24"/>
        <v/>
      </c>
      <c r="R12" s="219" t="str">
        <f t="shared" si="25"/>
        <v/>
      </c>
      <c r="S12" s="219" t="str">
        <f t="shared" si="10"/>
        <v/>
      </c>
      <c r="T12" s="219" t="str">
        <f t="shared" si="26"/>
        <v/>
      </c>
      <c r="U12" s="219" t="str">
        <f t="shared" si="27"/>
        <v/>
      </c>
      <c r="Y12" s="219" t="s">
        <v>9</v>
      </c>
      <c r="Z12" s="230">
        <f t="shared" si="0"/>
        <v>813638.92999999993</v>
      </c>
      <c r="AA12" s="230">
        <f t="shared" si="1"/>
        <v>154591.38999999998</v>
      </c>
      <c r="AB12" s="230">
        <f t="shared" si="2"/>
        <v>968230.32</v>
      </c>
      <c r="AC12" s="240">
        <f>HLOOKUP(VLOOKUP(Y12,'Date SPV'!$B$4:$F$34,5,FALSE),'Preturi si tarife'!$C$2:$J$39,17,FALSE)</f>
        <v>0.96800760000000008</v>
      </c>
      <c r="AD12" s="231">
        <f t="shared" si="3"/>
        <v>813638.92999999993</v>
      </c>
      <c r="AE12" s="231">
        <f t="shared" si="4"/>
        <v>154591.39000000001</v>
      </c>
      <c r="AF12" s="231">
        <f t="shared" si="5"/>
        <v>968230.32</v>
      </c>
      <c r="AG12" s="239">
        <f t="shared" si="11"/>
        <v>0.96800799999999998</v>
      </c>
      <c r="AH12" s="239">
        <f t="shared" si="12"/>
        <v>0.95</v>
      </c>
      <c r="AI12" s="239">
        <f t="shared" si="13"/>
        <v>0.96800799999999998</v>
      </c>
      <c r="AJ12" s="219" t="str">
        <f t="shared" si="14"/>
        <v>ok</v>
      </c>
      <c r="AK12" s="219" t="str">
        <f t="shared" si="14"/>
        <v>ok</v>
      </c>
      <c r="AL12" s="219" t="str">
        <f t="shared" si="14"/>
        <v>ok</v>
      </c>
      <c r="AM12" s="219" t="str">
        <f t="shared" si="15"/>
        <v>not ok</v>
      </c>
      <c r="AN12" s="241">
        <f t="shared" si="16"/>
        <v>3.9999999990047996E-7</v>
      </c>
      <c r="AO12" s="241">
        <f t="shared" si="17"/>
        <v>-1.8007600000000124E-2</v>
      </c>
      <c r="AP12" s="241">
        <f t="shared" si="18"/>
        <v>3.9999999990047996E-7</v>
      </c>
    </row>
    <row r="13" spans="1:42" ht="15.95" customHeight="1">
      <c r="A13" s="211">
        <f>IF(COUNTBLANK('RNEW import'!B11)=1,"",'RNEW import'!B11)</f>
        <v>10</v>
      </c>
      <c r="B13" s="211" t="str">
        <f>IF(COUNTBLANK('RNEW import'!D11)=1,"",'RNEW import'!D11)</f>
        <v>Ramnicu Valcea Shopping City SRL</v>
      </c>
      <c r="C13" s="211" t="str">
        <f>IF(COUNTBLANK('RNEW import'!E11)=1,"",'RNEW import'!E11)</f>
        <v>RRVS</v>
      </c>
      <c r="D13" s="216" t="str">
        <f>IF(COUNTBLANK('RNEW import'!K11)=1,"",'RNEW import'!K11)</f>
        <v xml:space="preserve">Certificate verzi </v>
      </c>
      <c r="E13" s="211">
        <f>IF(COUNTBLANK('RNEW import'!L11)=1,"",'RNEW import'!N11)</f>
        <v>239837</v>
      </c>
      <c r="F13" s="211">
        <f>IF(COUNTBLANK('RNEW import'!M11)=1,"",'RNEW import'!O11/10000)</f>
        <v>7.2541599999999998E-2</v>
      </c>
      <c r="G13" s="217">
        <f t="shared" si="19"/>
        <v>17398.16</v>
      </c>
      <c r="H13" s="217">
        <f t="shared" si="20"/>
        <v>3305.65</v>
      </c>
      <c r="I13" s="329">
        <f t="shared" si="21"/>
        <v>20703.810000000001</v>
      </c>
      <c r="J13" s="237" t="str">
        <f t="shared" si="22"/>
        <v/>
      </c>
      <c r="K13" s="238" t="str">
        <f t="shared" si="6"/>
        <v/>
      </c>
      <c r="L13" s="238" t="str">
        <f t="shared" si="7"/>
        <v/>
      </c>
      <c r="M13" s="238" t="str">
        <f t="shared" si="8"/>
        <v/>
      </c>
      <c r="N13" s="238" t="str">
        <f t="shared" si="9"/>
        <v/>
      </c>
      <c r="O13" s="232"/>
      <c r="P13" s="219" t="str">
        <f t="shared" si="23"/>
        <v/>
      </c>
      <c r="Q13" s="219" t="str">
        <f t="shared" si="24"/>
        <v/>
      </c>
      <c r="R13" s="219" t="str">
        <f t="shared" si="25"/>
        <v/>
      </c>
      <c r="S13" s="219" t="str">
        <f t="shared" si="10"/>
        <v/>
      </c>
      <c r="T13" s="219" t="str">
        <f t="shared" si="26"/>
        <v/>
      </c>
      <c r="U13" s="219" t="str">
        <f t="shared" si="27"/>
        <v/>
      </c>
      <c r="Y13" s="219" t="s">
        <v>10</v>
      </c>
      <c r="Z13" s="230">
        <f t="shared" si="0"/>
        <v>243520.54000000004</v>
      </c>
      <c r="AA13" s="230">
        <f t="shared" si="1"/>
        <v>46268.909999999996</v>
      </c>
      <c r="AB13" s="230">
        <f t="shared" si="2"/>
        <v>289789.45</v>
      </c>
      <c r="AC13" s="240">
        <f>HLOOKUP(VLOOKUP(Y13,'Date SPV'!$B$4:$F$34,5,FALSE),'Preturi si tarife'!$C$2:$J$39,17,FALSE)</f>
        <v>0.97511760000000003</v>
      </c>
      <c r="AD13" s="231">
        <f t="shared" si="3"/>
        <v>243520.54000000004</v>
      </c>
      <c r="AE13" s="231">
        <f t="shared" si="4"/>
        <v>46268.909999999996</v>
      </c>
      <c r="AF13" s="231">
        <f t="shared" si="5"/>
        <v>289789.45</v>
      </c>
      <c r="AG13" s="239">
        <f t="shared" si="11"/>
        <v>0.97511800000000004</v>
      </c>
      <c r="AH13" s="239">
        <f t="shared" si="12"/>
        <v>0</v>
      </c>
      <c r="AI13" s="239">
        <f t="shared" si="13"/>
        <v>0.97511800000000004</v>
      </c>
      <c r="AJ13" s="219" t="str">
        <f t="shared" si="14"/>
        <v>ok</v>
      </c>
      <c r="AK13" s="219" t="str">
        <f t="shared" si="14"/>
        <v>ok</v>
      </c>
      <c r="AL13" s="219" t="str">
        <f t="shared" si="14"/>
        <v>ok</v>
      </c>
      <c r="AM13" s="219" t="str">
        <f t="shared" si="15"/>
        <v>not ok</v>
      </c>
      <c r="AN13" s="241">
        <f t="shared" ref="AN13:AN21" si="28">AG13-AC13</f>
        <v>4.0000000001150227E-7</v>
      </c>
      <c r="AO13" s="241">
        <f t="shared" si="17"/>
        <v>0</v>
      </c>
      <c r="AP13" s="241">
        <f t="shared" ref="AP13:AP21" si="29">AI13-AC13</f>
        <v>4.0000000001150227E-7</v>
      </c>
    </row>
    <row r="14" spans="1:42" ht="15.95" customHeight="1">
      <c r="A14" s="211">
        <f>IF(COUNTBLANK('RNEW import'!B12)=1,"",'RNEW import'!B12)</f>
        <v>11</v>
      </c>
      <c r="B14" s="211" t="str">
        <f>IF(COUNTBLANK('RNEW import'!D12)=1,"",'RNEW import'!D12)</f>
        <v>Ramnicu Valcea Shopping City SRL</v>
      </c>
      <c r="C14" s="211" t="str">
        <f>IF(COUNTBLANK('RNEW import'!E12)=1,"",'RNEW import'!E12)</f>
        <v>RRVS</v>
      </c>
      <c r="D14" s="216" t="str">
        <f>IF(COUNTBLANK('RNEW import'!K12)=1,"",'RNEW import'!K12)</f>
        <v>Contributie CFD</v>
      </c>
      <c r="E14" s="211">
        <f>IF(COUNTBLANK('RNEW import'!L12)=1,"",'RNEW import'!N12)</f>
        <v>239837</v>
      </c>
      <c r="F14" s="211">
        <f>IF(COUNTBLANK('RNEW import'!M12)=1,"",'RNEW import'!O12/10000)</f>
        <v>2.0599999999999999E-4</v>
      </c>
      <c r="G14" s="217">
        <f t="shared" si="19"/>
        <v>49.41</v>
      </c>
      <c r="H14" s="217">
        <f t="shared" si="20"/>
        <v>9.39</v>
      </c>
      <c r="I14" s="329">
        <f t="shared" si="21"/>
        <v>58.8</v>
      </c>
      <c r="J14" s="237" t="str">
        <f t="shared" si="22"/>
        <v/>
      </c>
      <c r="K14" s="238" t="str">
        <f t="shared" si="6"/>
        <v/>
      </c>
      <c r="L14" s="238" t="str">
        <f t="shared" si="7"/>
        <v/>
      </c>
      <c r="M14" s="238" t="str">
        <f t="shared" si="8"/>
        <v/>
      </c>
      <c r="N14" s="238" t="str">
        <f t="shared" si="9"/>
        <v/>
      </c>
      <c r="O14" s="232"/>
      <c r="P14" s="219" t="str">
        <f t="shared" si="23"/>
        <v/>
      </c>
      <c r="Q14" s="219" t="str">
        <f t="shared" si="24"/>
        <v/>
      </c>
      <c r="R14" s="219" t="str">
        <f t="shared" si="25"/>
        <v/>
      </c>
      <c r="S14" s="219" t="str">
        <f t="shared" si="10"/>
        <v/>
      </c>
      <c r="T14" s="219" t="str">
        <f t="shared" si="26"/>
        <v/>
      </c>
      <c r="U14" s="219" t="str">
        <f t="shared" si="27"/>
        <v/>
      </c>
      <c r="Y14" s="219" t="s">
        <v>11</v>
      </c>
      <c r="Z14" s="230">
        <f t="shared" si="0"/>
        <v>398246.48</v>
      </c>
      <c r="AA14" s="230">
        <f t="shared" si="1"/>
        <v>75666.83</v>
      </c>
      <c r="AB14" s="230">
        <f t="shared" si="2"/>
        <v>473913.30999999994</v>
      </c>
      <c r="AC14" s="240">
        <f>HLOOKUP(VLOOKUP(Y14,'Date SPV'!$B$4:$F$34,5,FALSE),'Preturi si tarife'!$C$2:$J$39,17,FALSE)</f>
        <v>0.97511760000000003</v>
      </c>
      <c r="AD14" s="231">
        <f t="shared" si="3"/>
        <v>398246.48</v>
      </c>
      <c r="AE14" s="231">
        <f t="shared" si="4"/>
        <v>75666.829999999987</v>
      </c>
      <c r="AF14" s="231">
        <f t="shared" si="5"/>
        <v>473913.30999999994</v>
      </c>
      <c r="AG14" s="239">
        <f t="shared" si="11"/>
        <v>0.97511800000000004</v>
      </c>
      <c r="AH14" s="239">
        <f t="shared" si="12"/>
        <v>0</v>
      </c>
      <c r="AI14" s="239">
        <f t="shared" si="13"/>
        <v>0.97511800000000004</v>
      </c>
      <c r="AJ14" s="219" t="str">
        <f t="shared" si="14"/>
        <v>ok</v>
      </c>
      <c r="AK14" s="219" t="str">
        <f t="shared" si="14"/>
        <v>ok</v>
      </c>
      <c r="AL14" s="219" t="str">
        <f t="shared" si="14"/>
        <v>ok</v>
      </c>
      <c r="AM14" s="219" t="str">
        <f t="shared" si="15"/>
        <v>not ok</v>
      </c>
      <c r="AN14" s="241">
        <f t="shared" si="28"/>
        <v>4.0000000001150227E-7</v>
      </c>
      <c r="AO14" s="241">
        <f t="shared" si="17"/>
        <v>0</v>
      </c>
      <c r="AP14" s="241">
        <f t="shared" si="29"/>
        <v>4.0000000001150227E-7</v>
      </c>
    </row>
    <row r="15" spans="1:42" ht="15.95" customHeight="1">
      <c r="A15" s="211">
        <f>IF(COUNTBLANK('RNEW import'!B13)=1,"",'RNEW import'!B13)</f>
        <v>12</v>
      </c>
      <c r="B15" s="211" t="str">
        <f>IF(COUNTBLANK('RNEW import'!D13)=1,"",'RNEW import'!D13)</f>
        <v>Ramnicu Valcea Shopping City SRL</v>
      </c>
      <c r="C15" s="211" t="str">
        <f>IF(COUNTBLANK('RNEW import'!E13)=1,"",'RNEW import'!E13)</f>
        <v>RRVS</v>
      </c>
      <c r="D15" s="216" t="str">
        <f>IF(COUNTBLANK('RNEW import'!K13)=1,"",'RNEW import'!K13)</f>
        <v>Acciza</v>
      </c>
      <c r="E15" s="211">
        <f>IF(COUNTBLANK('RNEW import'!L13)=1,"",'RNEW import'!N13)</f>
        <v>239837</v>
      </c>
      <c r="F15" s="211">
        <f>IF(COUNTBLANK('RNEW import'!M13)=1,"",'RNEW import'!O13/10000)</f>
        <v>0</v>
      </c>
      <c r="G15" s="217">
        <f t="shared" si="19"/>
        <v>0</v>
      </c>
      <c r="H15" s="217">
        <f t="shared" si="20"/>
        <v>0</v>
      </c>
      <c r="I15" s="329">
        <f t="shared" si="21"/>
        <v>0</v>
      </c>
      <c r="J15" s="237" t="str">
        <f t="shared" si="22"/>
        <v/>
      </c>
      <c r="K15" s="238" t="str">
        <f t="shared" si="6"/>
        <v/>
      </c>
      <c r="L15" s="238" t="str">
        <f t="shared" si="7"/>
        <v/>
      </c>
      <c r="M15" s="238" t="str">
        <f t="shared" si="8"/>
        <v/>
      </c>
      <c r="N15" s="238" t="str">
        <f t="shared" si="9"/>
        <v/>
      </c>
      <c r="O15" s="232"/>
      <c r="P15" s="219" t="str">
        <f t="shared" si="23"/>
        <v/>
      </c>
      <c r="Q15" s="219" t="str">
        <f t="shared" si="24"/>
        <v/>
      </c>
      <c r="R15" s="219" t="str">
        <f t="shared" si="25"/>
        <v/>
      </c>
      <c r="S15" s="219" t="str">
        <f t="shared" si="10"/>
        <v/>
      </c>
      <c r="T15" s="219" t="str">
        <f t="shared" si="26"/>
        <v/>
      </c>
      <c r="U15" s="219" t="str">
        <f t="shared" si="27"/>
        <v/>
      </c>
      <c r="Y15" s="219" t="s">
        <v>12</v>
      </c>
      <c r="Z15" s="230">
        <f t="shared" si="0"/>
        <v>352708.21999999991</v>
      </c>
      <c r="AA15" s="230">
        <f t="shared" si="1"/>
        <v>67014.539999999979</v>
      </c>
      <c r="AB15" s="230">
        <f t="shared" si="2"/>
        <v>419722.75999999989</v>
      </c>
      <c r="AC15" s="240">
        <f>HLOOKUP(VLOOKUP(Y15,'Date SPV'!$B$4:$F$34,5,FALSE),'Preturi si tarife'!$C$2:$J$39,17,FALSE)</f>
        <v>0.97511760000000003</v>
      </c>
      <c r="AD15" s="231">
        <f t="shared" si="3"/>
        <v>352708.22</v>
      </c>
      <c r="AE15" s="231">
        <f t="shared" si="4"/>
        <v>67014.539999999994</v>
      </c>
      <c r="AF15" s="231">
        <f t="shared" si="5"/>
        <v>419722.75999999995</v>
      </c>
      <c r="AG15" s="239">
        <f t="shared" si="11"/>
        <v>0.95244499999999999</v>
      </c>
      <c r="AH15" s="239">
        <f t="shared" si="12"/>
        <v>0.85522100000000001</v>
      </c>
      <c r="AI15" s="239">
        <f t="shared" si="13"/>
        <v>0.97511800000000004</v>
      </c>
      <c r="AJ15" s="219" t="str">
        <f t="shared" si="14"/>
        <v>ok</v>
      </c>
      <c r="AK15" s="219" t="str">
        <f t="shared" si="14"/>
        <v>ok</v>
      </c>
      <c r="AL15" s="219" t="str">
        <f t="shared" si="14"/>
        <v>ok</v>
      </c>
      <c r="AM15" s="219" t="str">
        <f t="shared" si="15"/>
        <v>not ok</v>
      </c>
      <c r="AN15" s="241">
        <f t="shared" si="28"/>
        <v>-2.2672600000000043E-2</v>
      </c>
      <c r="AO15" s="241">
        <f t="shared" si="17"/>
        <v>-0.11989660000000002</v>
      </c>
      <c r="AP15" s="241">
        <f t="shared" si="29"/>
        <v>4.0000000001150227E-7</v>
      </c>
    </row>
    <row r="16" spans="1:42" ht="15.95" customHeight="1">
      <c r="A16" s="211">
        <f>IF(COUNTBLANK('RNEW import'!B14)=1,"",'RNEW import'!B14)</f>
        <v>13</v>
      </c>
      <c r="B16" s="211" t="str">
        <f>IF(COUNTBLANK('RNEW import'!D14)=1,"",'RNEW import'!D14)</f>
        <v>Ramnicu Valcea Shopping City SRL</v>
      </c>
      <c r="C16" s="211" t="str">
        <f>IF(COUNTBLANK('RNEW import'!E14)=1,"",'RNEW import'!E14)</f>
        <v>RRVS</v>
      </c>
      <c r="D16" s="223" t="str">
        <f>IF(COUNTBLANK('RNEW import'!K14)=1,"",'RNEW import'!K14)</f>
        <v>Tarif distributie SDI MT</v>
      </c>
      <c r="E16" s="211">
        <f>IF(COUNTBLANK('RNEW import'!L14)=1,"",'RNEW import'!N14)</f>
        <v>239837</v>
      </c>
      <c r="F16" s="211">
        <f>IF(COUNTBLANK('RNEW import'!M14)=1,"",'RNEW import'!O14/10000)</f>
        <v>1.7000000000000001E-2</v>
      </c>
      <c r="G16" s="217">
        <f t="shared" si="19"/>
        <v>4077.23</v>
      </c>
      <c r="H16" s="217">
        <f t="shared" si="20"/>
        <v>774.67</v>
      </c>
      <c r="I16" s="329">
        <f t="shared" si="21"/>
        <v>4851.8999999999996</v>
      </c>
      <c r="J16" s="237" t="str">
        <f t="shared" si="22"/>
        <v/>
      </c>
      <c r="K16" s="238" t="str">
        <f t="shared" si="6"/>
        <v/>
      </c>
      <c r="L16" s="238" t="str">
        <f t="shared" si="7"/>
        <v/>
      </c>
      <c r="M16" s="238" t="str">
        <f t="shared" si="8"/>
        <v/>
      </c>
      <c r="N16" s="238" t="str">
        <f t="shared" si="9"/>
        <v/>
      </c>
      <c r="O16" s="232"/>
      <c r="P16" s="219" t="str">
        <f t="shared" si="23"/>
        <v/>
      </c>
      <c r="Q16" s="219" t="str">
        <f t="shared" si="24"/>
        <v/>
      </c>
      <c r="R16" s="219" t="str">
        <f t="shared" si="25"/>
        <v/>
      </c>
      <c r="S16" s="219" t="str">
        <f t="shared" si="10"/>
        <v/>
      </c>
      <c r="T16" s="219" t="str">
        <f t="shared" si="26"/>
        <v/>
      </c>
      <c r="U16" s="219" t="str">
        <f t="shared" si="27"/>
        <v/>
      </c>
      <c r="Y16" s="219" t="s">
        <v>13</v>
      </c>
      <c r="Z16" s="230">
        <f t="shared" si="0"/>
        <v>391584.56</v>
      </c>
      <c r="AA16" s="230">
        <f t="shared" si="1"/>
        <v>74401.06</v>
      </c>
      <c r="AB16" s="230">
        <f t="shared" si="2"/>
        <v>465985.62000000011</v>
      </c>
      <c r="AC16" s="240">
        <f>HLOOKUP(VLOOKUP(Y16,'Date SPV'!$B$4:$F$34,5,FALSE),'Preturi si tarife'!$C$2:$J$39,17,FALSE)</f>
        <v>0.97511760000000003</v>
      </c>
      <c r="AD16" s="231">
        <f t="shared" si="3"/>
        <v>391584.55999999994</v>
      </c>
      <c r="AE16" s="231">
        <f t="shared" si="4"/>
        <v>74401.06</v>
      </c>
      <c r="AF16" s="231">
        <f t="shared" si="5"/>
        <v>465985.62</v>
      </c>
      <c r="AG16" s="239">
        <f t="shared" si="11"/>
        <v>0.97515600000000002</v>
      </c>
      <c r="AH16" s="239">
        <f t="shared" si="12"/>
        <v>1.0827850000000001</v>
      </c>
      <c r="AI16" s="239">
        <f t="shared" si="13"/>
        <v>0.97511800000000004</v>
      </c>
      <c r="AJ16" s="219" t="str">
        <f t="shared" si="14"/>
        <v>ok</v>
      </c>
      <c r="AK16" s="219" t="str">
        <f t="shared" si="14"/>
        <v>ok</v>
      </c>
      <c r="AL16" s="219" t="str">
        <f t="shared" si="14"/>
        <v>ok</v>
      </c>
      <c r="AM16" s="219" t="str">
        <f t="shared" si="15"/>
        <v>not ok</v>
      </c>
      <c r="AN16" s="241">
        <f t="shared" si="28"/>
        <v>3.8399999999993994E-5</v>
      </c>
      <c r="AO16" s="241">
        <f t="shared" si="17"/>
        <v>0.10766740000000008</v>
      </c>
      <c r="AP16" s="241">
        <f t="shared" si="29"/>
        <v>4.0000000001150227E-7</v>
      </c>
    </row>
    <row r="17" spans="1:42" ht="15.95" customHeight="1">
      <c r="A17" s="211">
        <f>IF(COUNTBLANK('RNEW import'!B15)=1,"",'RNEW import'!B15)</f>
        <v>14</v>
      </c>
      <c r="B17" s="211" t="str">
        <f>IF(COUNTBLANK('RNEW import'!D15)=1,"",'RNEW import'!D15)</f>
        <v>Ramnicu Valcea Shopping City SRL</v>
      </c>
      <c r="C17" s="211" t="str">
        <f>IF(COUNTBLANK('RNEW import'!E15)=1,"",'RNEW import'!E15)</f>
        <v>RRVS</v>
      </c>
      <c r="D17" s="223" t="str">
        <f>IF(COUNTBLANK('RNEW import'!K15)=1,"",'RNEW import'!K15)</f>
        <v>Tarif distributie SDI JT</v>
      </c>
      <c r="E17" s="211">
        <f>IF(COUNTBLANK('RNEW import'!L15)=1,"",'RNEW import'!N15)</f>
        <v>239837</v>
      </c>
      <c r="F17" s="211">
        <f>IF(COUNTBLANK('RNEW import'!M15)=1,"",'RNEW import'!O15/10000)</f>
        <v>0.10290000000000001</v>
      </c>
      <c r="G17" s="217">
        <f t="shared" si="19"/>
        <v>24679.23</v>
      </c>
      <c r="H17" s="217">
        <f t="shared" si="20"/>
        <v>4689.05</v>
      </c>
      <c r="I17" s="329">
        <f t="shared" si="21"/>
        <v>29368.28</v>
      </c>
      <c r="J17" s="237" t="str">
        <f t="shared" si="22"/>
        <v/>
      </c>
      <c r="K17" s="238" t="str">
        <f t="shared" si="6"/>
        <v/>
      </c>
      <c r="L17" s="238" t="str">
        <f t="shared" si="7"/>
        <v/>
      </c>
      <c r="M17" s="238" t="str">
        <f t="shared" si="8"/>
        <v/>
      </c>
      <c r="N17" s="238" t="str">
        <f t="shared" si="9"/>
        <v/>
      </c>
      <c r="O17" s="232"/>
      <c r="P17" s="219" t="str">
        <f t="shared" si="23"/>
        <v/>
      </c>
      <c r="Q17" s="219" t="str">
        <f t="shared" si="24"/>
        <v/>
      </c>
      <c r="R17" s="219" t="str">
        <f t="shared" si="25"/>
        <v/>
      </c>
      <c r="S17" s="219" t="str">
        <f t="shared" si="10"/>
        <v/>
      </c>
      <c r="T17" s="219" t="str">
        <f t="shared" si="26"/>
        <v/>
      </c>
      <c r="U17" s="219" t="str">
        <f t="shared" si="27"/>
        <v/>
      </c>
      <c r="Y17" s="219" t="s">
        <v>14</v>
      </c>
      <c r="Z17" s="230">
        <f t="shared" si="0"/>
        <v>298137.46000000008</v>
      </c>
      <c r="AA17" s="230">
        <f t="shared" si="1"/>
        <v>56646.11</v>
      </c>
      <c r="AB17" s="230">
        <f t="shared" si="2"/>
        <v>354783.56999999995</v>
      </c>
      <c r="AC17" s="240">
        <f>HLOOKUP(VLOOKUP(Y17,'Date SPV'!$B$4:$F$34,5,FALSE),'Preturi si tarife'!$C$2:$J$39,17,FALSE)</f>
        <v>0.90065760000000006</v>
      </c>
      <c r="AD17" s="231">
        <f t="shared" si="3"/>
        <v>298137.45999999996</v>
      </c>
      <c r="AE17" s="231">
        <f t="shared" si="4"/>
        <v>56646.11</v>
      </c>
      <c r="AF17" s="231">
        <f t="shared" si="5"/>
        <v>354783.57</v>
      </c>
      <c r="AG17" s="239">
        <f t="shared" si="11"/>
        <v>0.90065799999999996</v>
      </c>
      <c r="AH17" s="239">
        <f t="shared" si="12"/>
        <v>0</v>
      </c>
      <c r="AI17" s="239">
        <f t="shared" si="13"/>
        <v>0.90065700000000004</v>
      </c>
      <c r="AJ17" s="219" t="str">
        <f t="shared" si="14"/>
        <v>ok</v>
      </c>
      <c r="AK17" s="219" t="str">
        <f t="shared" si="14"/>
        <v>ok</v>
      </c>
      <c r="AL17" s="219" t="str">
        <f t="shared" si="14"/>
        <v>ok</v>
      </c>
      <c r="AM17" s="219" t="str">
        <f t="shared" si="15"/>
        <v>not ok</v>
      </c>
      <c r="AN17" s="241">
        <f t="shared" si="28"/>
        <v>3.9999999990047996E-7</v>
      </c>
      <c r="AO17" s="241">
        <f t="shared" si="17"/>
        <v>0</v>
      </c>
      <c r="AP17" s="241">
        <f t="shared" si="29"/>
        <v>-6.000000000172534E-7</v>
      </c>
    </row>
    <row r="18" spans="1:42" ht="15.95" customHeight="1">
      <c r="A18" s="211">
        <f>IF(COUNTBLANK('RNEW import'!B16)=1,"",'RNEW import'!B16)</f>
        <v>15</v>
      </c>
      <c r="B18" s="211" t="str">
        <f>IF(COUNTBLANK('RNEW import'!D16)=1,"",'RNEW import'!D16)</f>
        <v>Ramnicu Valcea Shopping City SRL</v>
      </c>
      <c r="C18" s="211" t="str">
        <f>IF(COUNTBLANK('RNEW import'!E16)=1,"",'RNEW import'!E16)</f>
        <v>RRVS</v>
      </c>
      <c r="D18" s="224" t="str">
        <f>IF(COUNTBLANK('RNEW import'!K16)=1,"",'RNEW import'!K16)</f>
        <v>Energie activa 2</v>
      </c>
      <c r="E18" s="211">
        <f>IF(COUNTBLANK('RNEW import'!L16)=1,"",'RNEW import'!N16)</f>
        <v>93266</v>
      </c>
      <c r="F18" s="211">
        <f>IF(COUNTBLANK('RNEW import'!M16)=1,"",'RNEW import'!O16/10000)</f>
        <v>0.97511759999999992</v>
      </c>
      <c r="G18" s="217">
        <f t="shared" si="19"/>
        <v>90945.32</v>
      </c>
      <c r="H18" s="217">
        <f t="shared" si="20"/>
        <v>17279.61</v>
      </c>
      <c r="I18" s="329">
        <f t="shared" si="21"/>
        <v>108224.93000000001</v>
      </c>
      <c r="J18" s="237" t="str">
        <f t="shared" si="22"/>
        <v/>
      </c>
      <c r="K18" s="238" t="str">
        <f t="shared" si="6"/>
        <v/>
      </c>
      <c r="L18" s="238" t="str">
        <f t="shared" si="7"/>
        <v/>
      </c>
      <c r="M18" s="238" t="str">
        <f t="shared" si="8"/>
        <v/>
      </c>
      <c r="N18" s="238" t="str">
        <f t="shared" si="9"/>
        <v/>
      </c>
      <c r="O18" s="232"/>
      <c r="P18" s="219" t="str">
        <f t="shared" si="23"/>
        <v/>
      </c>
      <c r="Q18" s="219" t="str">
        <f t="shared" si="24"/>
        <v/>
      </c>
      <c r="R18" s="219" t="str">
        <f t="shared" si="25"/>
        <v/>
      </c>
      <c r="S18" s="219" t="str">
        <f t="shared" si="10"/>
        <v/>
      </c>
      <c r="T18" s="219" t="str">
        <f t="shared" si="26"/>
        <v/>
      </c>
      <c r="U18" s="219" t="str">
        <f t="shared" si="27"/>
        <v/>
      </c>
      <c r="Y18" s="219" t="s">
        <v>15</v>
      </c>
      <c r="Z18" s="230">
        <f t="shared" si="0"/>
        <v>416608.58000000007</v>
      </c>
      <c r="AA18" s="230">
        <f t="shared" si="1"/>
        <v>79155.62999999999</v>
      </c>
      <c r="AB18" s="230">
        <f t="shared" si="2"/>
        <v>495764.21000000008</v>
      </c>
      <c r="AC18" s="240">
        <f>HLOOKUP(VLOOKUP(Y18,'Date SPV'!$B$4:$F$34,5,FALSE),'Preturi si tarife'!$C$2:$J$39,17,FALSE)</f>
        <v>0.9485576</v>
      </c>
      <c r="AD18" s="231">
        <f t="shared" si="3"/>
        <v>416608.58000000007</v>
      </c>
      <c r="AE18" s="231">
        <f t="shared" si="4"/>
        <v>79155.62999999999</v>
      </c>
      <c r="AF18" s="231">
        <f t="shared" si="5"/>
        <v>495764.20999999996</v>
      </c>
      <c r="AG18" s="239">
        <f t="shared" si="11"/>
        <v>0.94855800000000001</v>
      </c>
      <c r="AH18" s="239">
        <f t="shared" si="12"/>
        <v>0</v>
      </c>
      <c r="AI18" s="239">
        <f t="shared" si="13"/>
        <v>0.94855800000000001</v>
      </c>
      <c r="AJ18" s="219" t="str">
        <f t="shared" si="14"/>
        <v>ok</v>
      </c>
      <c r="AK18" s="219" t="str">
        <f t="shared" si="14"/>
        <v>ok</v>
      </c>
      <c r="AL18" s="219" t="str">
        <f t="shared" si="14"/>
        <v>ok</v>
      </c>
      <c r="AM18" s="219" t="str">
        <f t="shared" si="15"/>
        <v>not ok</v>
      </c>
      <c r="AN18" s="241">
        <f t="shared" si="28"/>
        <v>4.0000000001150227E-7</v>
      </c>
      <c r="AO18" s="241">
        <f t="shared" si="17"/>
        <v>0</v>
      </c>
      <c r="AP18" s="241">
        <f t="shared" si="29"/>
        <v>4.0000000001150227E-7</v>
      </c>
    </row>
    <row r="19" spans="1:42" ht="15.95" customHeight="1">
      <c r="A19" s="211">
        <f>IF(COUNTBLANK('RNEW import'!B17)=1,"",'RNEW import'!B17)</f>
        <v>16</v>
      </c>
      <c r="B19" s="211" t="str">
        <f>IF(COUNTBLANK('RNEW import'!D17)=1,"",'RNEW import'!D17)</f>
        <v>Ramnicu Valcea Shopping City SRL</v>
      </c>
      <c r="C19" s="211" t="str">
        <f>IF(COUNTBLANK('RNEW import'!E17)=1,"",'RNEW import'!E17)</f>
        <v>RRVS</v>
      </c>
      <c r="D19" s="224" t="str">
        <f>IF(COUNTBLANK('RNEW import'!K17)=1,"",'RNEW import'!K17)</f>
        <v>Energie activa 3</v>
      </c>
      <c r="E19" s="211">
        <f>IF(COUNTBLANK('RNEW import'!L17)=1,"",'RNEW import'!N17)</f>
        <v>71431</v>
      </c>
      <c r="F19" s="211">
        <f>IF(COUNTBLANK('RNEW import'!M17)=1,"",'RNEW import'!O17/10000)</f>
        <v>0.85521759999999991</v>
      </c>
      <c r="G19" s="217">
        <f t="shared" si="19"/>
        <v>61089.05</v>
      </c>
      <c r="H19" s="217">
        <f t="shared" si="20"/>
        <v>11606.92</v>
      </c>
      <c r="I19" s="329">
        <f t="shared" si="21"/>
        <v>72695.97</v>
      </c>
      <c r="J19" s="237" t="str">
        <f t="shared" si="22"/>
        <v/>
      </c>
      <c r="K19" s="238" t="str">
        <f t="shared" si="6"/>
        <v/>
      </c>
      <c r="L19" s="238" t="str">
        <f t="shared" si="7"/>
        <v/>
      </c>
      <c r="M19" s="238" t="str">
        <f t="shared" si="8"/>
        <v/>
      </c>
      <c r="N19" s="238" t="str">
        <f t="shared" si="9"/>
        <v/>
      </c>
      <c r="O19" s="232"/>
      <c r="P19" s="219" t="str">
        <f t="shared" si="23"/>
        <v/>
      </c>
      <c r="Q19" s="219" t="str">
        <f t="shared" si="24"/>
        <v/>
      </c>
      <c r="R19" s="219" t="str">
        <f t="shared" si="25"/>
        <v/>
      </c>
      <c r="S19" s="219" t="str">
        <f t="shared" si="10"/>
        <v/>
      </c>
      <c r="T19" s="219" t="str">
        <f t="shared" si="26"/>
        <v/>
      </c>
      <c r="U19" s="219" t="str">
        <f t="shared" si="27"/>
        <v/>
      </c>
      <c r="Y19" s="219" t="s">
        <v>16</v>
      </c>
      <c r="Z19" s="230">
        <f t="shared" si="0"/>
        <v>802185.87999999977</v>
      </c>
      <c r="AA19" s="230">
        <f t="shared" si="1"/>
        <v>152415.32</v>
      </c>
      <c r="AB19" s="230">
        <f t="shared" si="2"/>
        <v>954601.20000000007</v>
      </c>
      <c r="AC19" s="240">
        <f>HLOOKUP(VLOOKUP(Y19,'Date SPV'!$B$4:$F$34,5,FALSE),'Preturi si tarife'!$C$2:$J$39,17,FALSE)</f>
        <v>0.90065760000000006</v>
      </c>
      <c r="AD19" s="231">
        <f t="shared" si="3"/>
        <v>802185.88</v>
      </c>
      <c r="AE19" s="231">
        <f t="shared" si="4"/>
        <v>152415.32</v>
      </c>
      <c r="AF19" s="231">
        <f t="shared" si="5"/>
        <v>954601.2</v>
      </c>
      <c r="AG19" s="239">
        <f t="shared" si="11"/>
        <v>0.90065799999999996</v>
      </c>
      <c r="AH19" s="239">
        <f t="shared" si="12"/>
        <v>0</v>
      </c>
      <c r="AI19" s="239">
        <f t="shared" si="13"/>
        <v>0.90065799999999996</v>
      </c>
      <c r="AJ19" s="219" t="str">
        <f t="shared" si="14"/>
        <v>ok</v>
      </c>
      <c r="AK19" s="219" t="str">
        <f t="shared" si="14"/>
        <v>ok</v>
      </c>
      <c r="AL19" s="219" t="str">
        <f t="shared" si="14"/>
        <v>ok</v>
      </c>
      <c r="AM19" s="219" t="str">
        <f t="shared" si="15"/>
        <v>not ok</v>
      </c>
      <c r="AN19" s="241">
        <f t="shared" si="28"/>
        <v>3.9999999990047996E-7</v>
      </c>
      <c r="AO19" s="241">
        <f t="shared" si="17"/>
        <v>0</v>
      </c>
      <c r="AP19" s="241">
        <f t="shared" si="29"/>
        <v>3.9999999990047996E-7</v>
      </c>
    </row>
    <row r="20" spans="1:42" ht="15.95" customHeight="1">
      <c r="A20" s="211">
        <f>IF(COUNTBLANK('RNEW import'!B18)=1,"",'RNEW import'!B18)</f>
        <v>17</v>
      </c>
      <c r="B20" s="211" t="str">
        <f>IF(COUNTBLANK('RNEW import'!D18)=1,"",'RNEW import'!D18)</f>
        <v>Ramnicu Valcea Shopping City SRL</v>
      </c>
      <c r="C20" s="211" t="str">
        <f>IF(COUNTBLANK('RNEW import'!E18)=1,"",'RNEW import'!E18)</f>
        <v>RRVS</v>
      </c>
      <c r="D20" s="223" t="str">
        <f>IF(COUNTBLANK('RNEW import'!K18)=1,"",'RNEW import'!K18)</f>
        <v>Tarif distributie SDI MT_</v>
      </c>
      <c r="E20" s="211">
        <f>IF(COUNTBLANK('RNEW import'!L18)=1,"",'RNEW import'!N18)</f>
        <v>71431</v>
      </c>
      <c r="F20" s="211">
        <f>IF(COUNTBLANK('RNEW import'!M18)=1,"",'RNEW import'!O18/10000)</f>
        <v>1.7000000000000001E-2</v>
      </c>
      <c r="G20" s="217">
        <f t="shared" si="19"/>
        <v>1214.33</v>
      </c>
      <c r="H20" s="217">
        <f t="shared" si="20"/>
        <v>230.72</v>
      </c>
      <c r="I20" s="329">
        <f t="shared" si="21"/>
        <v>1445.05</v>
      </c>
      <c r="J20" s="237" t="str">
        <f t="shared" si="22"/>
        <v/>
      </c>
      <c r="K20" s="238" t="str">
        <f t="shared" si="6"/>
        <v/>
      </c>
      <c r="L20" s="238" t="str">
        <f t="shared" si="7"/>
        <v/>
      </c>
      <c r="M20" s="238" t="str">
        <f t="shared" si="8"/>
        <v/>
      </c>
      <c r="N20" s="238" t="str">
        <f t="shared" si="9"/>
        <v/>
      </c>
      <c r="O20" s="232"/>
      <c r="P20" s="219" t="str">
        <f t="shared" si="23"/>
        <v/>
      </c>
      <c r="Q20" s="219" t="str">
        <f t="shared" si="24"/>
        <v/>
      </c>
      <c r="R20" s="219" t="str">
        <f t="shared" si="25"/>
        <v/>
      </c>
      <c r="S20" s="219" t="str">
        <f t="shared" si="10"/>
        <v/>
      </c>
      <c r="T20" s="219" t="str">
        <f t="shared" si="26"/>
        <v/>
      </c>
      <c r="U20" s="219" t="str">
        <f t="shared" si="27"/>
        <v/>
      </c>
      <c r="Y20" s="219" t="s">
        <v>17</v>
      </c>
      <c r="Z20" s="230">
        <f t="shared" si="0"/>
        <v>123778.7</v>
      </c>
      <c r="AA20" s="230">
        <f t="shared" si="1"/>
        <v>23517.940000000002</v>
      </c>
      <c r="AB20" s="230">
        <f t="shared" si="2"/>
        <v>147296.63999999998</v>
      </c>
      <c r="AC20" s="240">
        <f>HLOOKUP(VLOOKUP(Y20,'Date SPV'!$B$4:$F$34,5,FALSE),'Preturi si tarife'!$C$2:$J$39,17,FALSE)</f>
        <v>0.93920760000000003</v>
      </c>
      <c r="AD20" s="231">
        <f t="shared" si="3"/>
        <v>123778.70000000001</v>
      </c>
      <c r="AE20" s="231">
        <f t="shared" si="4"/>
        <v>23517.94</v>
      </c>
      <c r="AF20" s="231">
        <f t="shared" si="5"/>
        <v>147296.63999999998</v>
      </c>
      <c r="AG20" s="239">
        <f t="shared" si="11"/>
        <v>0.94446099999999999</v>
      </c>
      <c r="AH20" s="239">
        <f t="shared" si="12"/>
        <v>0</v>
      </c>
      <c r="AI20" s="239">
        <f t="shared" si="13"/>
        <v>0.93920700000000001</v>
      </c>
      <c r="AJ20" s="219" t="str">
        <f t="shared" si="14"/>
        <v>ok</v>
      </c>
      <c r="AK20" s="219" t="str">
        <f t="shared" si="14"/>
        <v>ok</v>
      </c>
      <c r="AL20" s="219" t="str">
        <f t="shared" si="14"/>
        <v>ok</v>
      </c>
      <c r="AM20" s="219" t="str">
        <f t="shared" si="15"/>
        <v>not ok</v>
      </c>
      <c r="AN20" s="241">
        <f t="shared" si="28"/>
        <v>5.2533999999999637E-3</v>
      </c>
      <c r="AO20" s="241">
        <f t="shared" si="17"/>
        <v>0</v>
      </c>
      <c r="AP20" s="241">
        <f t="shared" si="29"/>
        <v>-6.000000000172534E-7</v>
      </c>
    </row>
    <row r="21" spans="1:42" ht="15.95" customHeight="1">
      <c r="A21" s="211">
        <f>IF(COUNTBLANK('RNEW import'!B19)=1,"",'RNEW import'!B19)</f>
        <v>18</v>
      </c>
      <c r="B21" s="211" t="str">
        <f>IF(COUNTBLANK('RNEW import'!D19)=1,"",'RNEW import'!D19)</f>
        <v>Ramnicu Valcea Shopping City SRL</v>
      </c>
      <c r="C21" s="211" t="str">
        <f>IF(COUNTBLANK('RNEW import'!E19)=1,"",'RNEW import'!E19)</f>
        <v>RRVS</v>
      </c>
      <c r="D21" s="223" t="str">
        <f>IF(COUNTBLANK('RNEW import'!K19)=1,"",'RNEW import'!K19)</f>
        <v>Tarif distributie SDI JT_</v>
      </c>
      <c r="E21" s="211">
        <f>IF(COUNTBLANK('RNEW import'!L19)=1,"",'RNEW import'!N19)</f>
        <v>71431</v>
      </c>
      <c r="F21" s="211">
        <f>IF(COUNTBLANK('RNEW import'!M19)=1,"",'RNEW import'!O19/10000)</f>
        <v>0.10290000000000001</v>
      </c>
      <c r="G21" s="217">
        <f t="shared" si="19"/>
        <v>7350.25</v>
      </c>
      <c r="H21" s="217">
        <f t="shared" si="20"/>
        <v>1396.55</v>
      </c>
      <c r="I21" s="329">
        <f t="shared" si="21"/>
        <v>8746.7999999999993</v>
      </c>
      <c r="J21" s="237" t="str">
        <f t="shared" si="22"/>
        <v/>
      </c>
      <c r="K21" s="238" t="str">
        <f t="shared" si="6"/>
        <v/>
      </c>
      <c r="L21" s="238" t="str">
        <f t="shared" si="7"/>
        <v/>
      </c>
      <c r="M21" s="238" t="str">
        <f t="shared" si="8"/>
        <v/>
      </c>
      <c r="N21" s="238" t="str">
        <f t="shared" si="9"/>
        <v/>
      </c>
      <c r="O21" s="232"/>
      <c r="P21" s="219" t="str">
        <f t="shared" si="23"/>
        <v>Energie consumata din PV</v>
      </c>
      <c r="Q21" s="219">
        <f t="shared" si="24"/>
        <v>164697</v>
      </c>
      <c r="R21" s="219">
        <f t="shared" si="25"/>
        <v>0.97511800000000004</v>
      </c>
      <c r="S21" s="331">
        <f>IF(COUNTBLANK(P21)=1,"",ROUND(IF(P21=$P$5,G21,IF(P21=$P$6,G21,IF(P21=$P$21,G21+G20+G19+G18,IF(P21=$P$23,G21,IF(P21=$P$24,G21,IF(P21=$P$4,SUMIFS(G:G,$B:$B,J21,A:A,"&lt;15"),IF(P21=$P$22,SUMIFS(G:G,$B:$B,J3,A:A,"&gt;18",A:A,"&lt;33")-S22-S23,IF(P21=$P$39,G21+G20+G19+G18,"eroare")))))))),2))</f>
        <v>160598.95000000001</v>
      </c>
      <c r="T21" s="331">
        <f>IF(COUNTBLANK(P21)=1,"",ROUND(IF(P21=$P$5,H21,IF(P21=$P$6,H21,IF(P21=$P$21,H21+H20+H19+H18,IF(P21=$P$23,H21,IF(P21=$P$24,H21,IF(P21=$P$4,SUMIFS(H:H,$B:$B,J21,A:A,"&lt;15"),IF(P21=$P$22,SUMIFS(H:H,$B:$B,J3,A:A,"&gt;18",A:A,"&lt;33")-T22-T23,IF(P21=$P$39,H21+H20+H19+H18,"eroare")))))))),2))</f>
        <v>30513.8</v>
      </c>
      <c r="U21" s="331">
        <f>IF(COUNTBLANK(P21)=1,"",ROUND(IF(P21=$P$5,I21,IF(P21=$P$6,I21,IF(P21=$P$21,I21+I20+I19+I18,IF(P21=$P$23,I21,IF(P21=$P$24,I21,IF(P21=$P$4,SUMIFS(I:I,$B:$B,J21,A:A,"&lt;15"),IF(P21=$P$22,SUMIFS(I:I,$B:$B,J3,A:A,"&gt;18",A:A,"&lt;33")-U22-U23,IF(P21=$P$39,I21+I20+I19+I18,"eroare")))))))),2))</f>
        <v>191112.75</v>
      </c>
      <c r="Y21" s="219" t="s">
        <v>18</v>
      </c>
      <c r="Z21" s="230">
        <f t="shared" si="0"/>
        <v>470820.21000000008</v>
      </c>
      <c r="AA21" s="230">
        <f t="shared" si="1"/>
        <v>89455.83</v>
      </c>
      <c r="AB21" s="230">
        <f t="shared" si="2"/>
        <v>560276.03999999992</v>
      </c>
      <c r="AC21" s="240">
        <f>HLOOKUP(VLOOKUP(Y21,'Date SPV'!$B$4:$F$34,5,FALSE),'Preturi si tarife'!$C$2:$J$39,17,FALSE)</f>
        <v>0.93920760000000003</v>
      </c>
      <c r="AD21" s="231">
        <f t="shared" si="3"/>
        <v>470820.20999999996</v>
      </c>
      <c r="AE21" s="231">
        <f t="shared" si="4"/>
        <v>89455.83</v>
      </c>
      <c r="AF21" s="231">
        <f t="shared" si="5"/>
        <v>560276.03999999992</v>
      </c>
      <c r="AG21" s="239">
        <f t="shared" si="11"/>
        <v>0.94044300000000003</v>
      </c>
      <c r="AH21" s="239">
        <f t="shared" si="12"/>
        <v>0</v>
      </c>
      <c r="AI21" s="239">
        <f t="shared" si="13"/>
        <v>0.93920800000000004</v>
      </c>
      <c r="AJ21" s="219" t="str">
        <f t="shared" si="14"/>
        <v>ok</v>
      </c>
      <c r="AK21" s="219" t="str">
        <f t="shared" si="14"/>
        <v>ok</v>
      </c>
      <c r="AL21" s="219" t="str">
        <f t="shared" si="14"/>
        <v>ok</v>
      </c>
      <c r="AM21" s="219" t="str">
        <f t="shared" si="15"/>
        <v>not ok</v>
      </c>
      <c r="AN21" s="241">
        <f t="shared" si="28"/>
        <v>1.2353999999999976E-3</v>
      </c>
      <c r="AO21" s="241">
        <f t="shared" si="17"/>
        <v>0</v>
      </c>
      <c r="AP21" s="241">
        <f t="shared" si="29"/>
        <v>4.0000000001150227E-7</v>
      </c>
    </row>
    <row r="22" spans="1:42" ht="15.95" customHeight="1">
      <c r="A22" s="211">
        <f>IF(COUNTBLANK('RNEW import'!B20)=1,"",'RNEW import'!B20)</f>
        <v>19</v>
      </c>
      <c r="B22" s="211" t="str">
        <f>IF(COUNTBLANK('RNEW import'!D20)=1,"",'RNEW import'!D20)</f>
        <v>Ramnicu Valcea Shopping City SRL</v>
      </c>
      <c r="C22" s="211" t="str">
        <f>IF(COUNTBLANK('RNEW import'!E20)=1,"",'RNEW import'!E20)</f>
        <v>RRVS</v>
      </c>
      <c r="D22" s="216" t="str">
        <f>IF(COUNTBLANK('RNEW import'!K20)=1,"",'RNEW import'!K20)</f>
        <v>Regularizare Energie activa 1</v>
      </c>
      <c r="E22" s="211">
        <f>IF(COUNTBLANK('RNEW import'!L20)=1,"",'RNEW import'!N20)</f>
        <v>0</v>
      </c>
      <c r="F22" s="211">
        <f>IF(COUNTBLANK('RNEW import'!M20)=1,"",'RNEW import'!O20/10000)</f>
        <v>0.59499999999999997</v>
      </c>
      <c r="G22" s="217">
        <f t="shared" si="19"/>
        <v>0</v>
      </c>
      <c r="H22" s="217">
        <f t="shared" si="20"/>
        <v>0</v>
      </c>
      <c r="I22" s="329">
        <f t="shared" si="21"/>
        <v>0</v>
      </c>
      <c r="J22" s="237" t="str">
        <f t="shared" si="22"/>
        <v/>
      </c>
      <c r="K22" s="238" t="str">
        <f t="shared" si="6"/>
        <v/>
      </c>
      <c r="L22" s="238" t="str">
        <f t="shared" si="7"/>
        <v/>
      </c>
      <c r="M22" s="238" t="str">
        <f t="shared" si="8"/>
        <v/>
      </c>
      <c r="N22" s="238" t="str">
        <f t="shared" si="9"/>
        <v/>
      </c>
      <c r="O22" s="232"/>
      <c r="P22" s="219" t="str">
        <f t="shared" si="23"/>
        <v>Energie activa regularizare</v>
      </c>
      <c r="Q22" s="219">
        <f t="shared" si="24"/>
        <v>0</v>
      </c>
      <c r="R22" s="219">
        <f t="shared" si="25"/>
        <v>0</v>
      </c>
      <c r="S22" s="331">
        <f t="shared" ref="S22:S85" si="30">IF(COUNTBLANK(P22)=1,"",ROUND(IF(P22=$P$5,G22,IF(P22=$P$6,G22,IF(P22=$P$21,G22+G21+G20+G19,IF(P22=$P$23,G22,IF(P22=$P$24,G22,IF(P22=$P$4,SUMIFS(G:G,$B:$B,J22,A:A,"&lt;15"),IF(P22=$P$22,SUMIFS(G:G,$B:$B,J4,A:A,"&gt;18",A:A,"&lt;33")-S23-S24,IF(P22=$P$39,G22+G21+G20+G19,"eroare")))))))),2))</f>
        <v>0</v>
      </c>
      <c r="T22" s="331">
        <f t="shared" ref="T22:T85" si="31">IF(COUNTBLANK(P22)=1,"",ROUND(IF(P22=$P$5,H22,IF(P22=$P$6,H22,IF(P22=$P$21,H22+H21+H20+H19,IF(P22=$P$23,H22,IF(P22=$P$24,H22,IF(P22=$P$4,SUMIFS(H:H,$B:$B,J22,A:A,"&lt;15"),IF(P22=$P$22,SUMIFS(H:H,$B:$B,J4,A:A,"&gt;18",A:A,"&lt;33")-T23-T24,IF(P22=$P$39,H22+H21+H20+H19,"eroare")))))))),2))</f>
        <v>0</v>
      </c>
      <c r="U22" s="331">
        <f t="shared" ref="U22:U85" si="32">IF(COUNTBLANK(P22)=1,"",ROUND(IF(P22=$P$5,I22,IF(P22=$P$6,I22,IF(P22=$P$21,I22+I21+I20+I19,IF(P22=$P$23,I22,IF(P22=$P$24,I22,IF(P22=$P$4,SUMIFS(I:I,$B:$B,J22,A:A,"&lt;15"),IF(P22=$P$22,SUMIFS(I:I,$B:$B,J4,A:A,"&gt;18",A:A,"&lt;33")-U23-U24,IF(P22=$P$39,I22+I21+I20+I19,"eroare")))))))),2))</f>
        <v>0</v>
      </c>
      <c r="Y22" s="219" t="s">
        <v>19</v>
      </c>
      <c r="Z22" s="230">
        <f t="shared" si="0"/>
        <v>831302.98999999987</v>
      </c>
      <c r="AA22" s="230">
        <f t="shared" si="1"/>
        <v>157947.56</v>
      </c>
      <c r="AB22" s="230">
        <f t="shared" si="2"/>
        <v>989250.54999999981</v>
      </c>
      <c r="AC22" s="240">
        <f>HLOOKUP(VLOOKUP(Y22,'Date SPV'!$B$4:$F$34,5,FALSE),'Preturi si tarife'!$C$2:$J$39,17,FALSE)</f>
        <v>0.93920760000000003</v>
      </c>
      <c r="AD22" s="231">
        <f t="shared" si="3"/>
        <v>831302.99</v>
      </c>
      <c r="AE22" s="231">
        <f t="shared" si="4"/>
        <v>157947.56</v>
      </c>
      <c r="AF22" s="231">
        <f t="shared" si="5"/>
        <v>989250.55</v>
      </c>
      <c r="AG22" s="239">
        <f t="shared" si="11"/>
        <v>0.907385</v>
      </c>
      <c r="AH22" s="239">
        <f t="shared" si="12"/>
        <v>0</v>
      </c>
      <c r="AI22" s="239">
        <f t="shared" si="13"/>
        <v>0.93920800000000004</v>
      </c>
      <c r="AJ22" s="219" t="str">
        <f t="shared" si="14"/>
        <v>ok</v>
      </c>
      <c r="AK22" s="219" t="str">
        <f t="shared" si="14"/>
        <v>ok</v>
      </c>
      <c r="AL22" s="219" t="str">
        <f t="shared" si="14"/>
        <v>ok</v>
      </c>
      <c r="AM22" s="219" t="str">
        <f t="shared" si="15"/>
        <v>not ok</v>
      </c>
      <c r="AN22" s="241">
        <f t="shared" si="16"/>
        <v>-3.1822600000000034E-2</v>
      </c>
      <c r="AO22" s="241">
        <f t="shared" si="17"/>
        <v>0</v>
      </c>
      <c r="AP22" s="241">
        <f t="shared" si="18"/>
        <v>4.0000000001150227E-7</v>
      </c>
    </row>
    <row r="23" spans="1:42" ht="15.95" customHeight="1">
      <c r="A23" s="211">
        <f>IF(COUNTBLANK('RNEW import'!B21)=1,"",'RNEW import'!B21)</f>
        <v>20</v>
      </c>
      <c r="B23" s="211" t="str">
        <f>IF(COUNTBLANK('RNEW import'!D21)=1,"",'RNEW import'!D21)</f>
        <v>Ramnicu Valcea Shopping City SRL</v>
      </c>
      <c r="C23" s="211" t="str">
        <f>IF(COUNTBLANK('RNEW import'!E21)=1,"",'RNEW import'!E21)</f>
        <v>RRVS</v>
      </c>
      <c r="D23" s="216" t="str">
        <f>IF(COUNTBLANK('RNEW import'!K21)=1,"",'RNEW import'!K21)</f>
        <v>Regularizare Energie reactiva  1X</v>
      </c>
      <c r="E23" s="211">
        <f>IF(COUNTBLANK('RNEW import'!L21)=1,"",'RNEW import'!N21)</f>
        <v>1880</v>
      </c>
      <c r="F23" s="211">
        <f>IF(COUNTBLANK('RNEW import'!M21)=1,"",'RNEW import'!O21/10000)</f>
        <v>0.14649999999999999</v>
      </c>
      <c r="G23" s="217">
        <f t="shared" si="19"/>
        <v>275.42</v>
      </c>
      <c r="H23" s="217">
        <f t="shared" si="20"/>
        <v>52.33</v>
      </c>
      <c r="I23" s="329">
        <f t="shared" si="21"/>
        <v>327.75</v>
      </c>
      <c r="J23" s="237" t="str">
        <f t="shared" si="22"/>
        <v/>
      </c>
      <c r="K23" s="238" t="str">
        <f t="shared" si="6"/>
        <v/>
      </c>
      <c r="L23" s="238" t="str">
        <f t="shared" si="7"/>
        <v/>
      </c>
      <c r="M23" s="238" t="str">
        <f t="shared" si="8"/>
        <v/>
      </c>
      <c r="N23" s="238" t="str">
        <f t="shared" si="9"/>
        <v/>
      </c>
      <c r="O23" s="232"/>
      <c r="P23" s="219" t="str">
        <f t="shared" si="23"/>
        <v>Energie reactiva 1x regularizare</v>
      </c>
      <c r="Q23" s="219">
        <f t="shared" si="24"/>
        <v>1880</v>
      </c>
      <c r="R23" s="219">
        <f t="shared" si="25"/>
        <v>0.14649999999999999</v>
      </c>
      <c r="S23" s="331">
        <f t="shared" si="30"/>
        <v>275.42</v>
      </c>
      <c r="T23" s="331">
        <f t="shared" si="31"/>
        <v>52.33</v>
      </c>
      <c r="U23" s="331">
        <f t="shared" si="32"/>
        <v>327.75</v>
      </c>
      <c r="Y23" s="219" t="s">
        <v>20</v>
      </c>
      <c r="Z23" s="230">
        <f t="shared" si="0"/>
        <v>669174.14</v>
      </c>
      <c r="AA23" s="230">
        <f t="shared" si="1"/>
        <v>127143.09999999999</v>
      </c>
      <c r="AB23" s="230">
        <f t="shared" si="2"/>
        <v>796317.24</v>
      </c>
      <c r="AC23" s="240">
        <f>HLOOKUP(VLOOKUP(Y23,'Date SPV'!$B$4:$F$34,5,FALSE),'Preturi si tarife'!$C$2:$J$39,17,FALSE)</f>
        <v>0.93920760000000003</v>
      </c>
      <c r="AD23" s="231">
        <f t="shared" si="3"/>
        <v>669174.14</v>
      </c>
      <c r="AE23" s="231">
        <f t="shared" si="4"/>
        <v>127143.1</v>
      </c>
      <c r="AF23" s="231">
        <f t="shared" si="5"/>
        <v>796317.24</v>
      </c>
      <c r="AG23" s="239">
        <f t="shared" si="11"/>
        <v>0.93920800000000004</v>
      </c>
      <c r="AH23" s="239">
        <f t="shared" si="12"/>
        <v>0</v>
      </c>
      <c r="AI23" s="239">
        <f t="shared" si="13"/>
        <v>0.93920800000000004</v>
      </c>
      <c r="AJ23" s="219" t="str">
        <f t="shared" si="14"/>
        <v>ok</v>
      </c>
      <c r="AK23" s="219" t="str">
        <f t="shared" si="14"/>
        <v>ok</v>
      </c>
      <c r="AL23" s="219" t="str">
        <f t="shared" si="14"/>
        <v>ok</v>
      </c>
      <c r="AM23" s="219" t="str">
        <f t="shared" si="15"/>
        <v>not ok</v>
      </c>
      <c r="AN23" s="241">
        <f t="shared" si="16"/>
        <v>4.0000000001150227E-7</v>
      </c>
      <c r="AO23" s="241">
        <f t="shared" si="17"/>
        <v>0</v>
      </c>
      <c r="AP23" s="241">
        <f t="shared" si="18"/>
        <v>4.0000000001150227E-7</v>
      </c>
    </row>
    <row r="24" spans="1:42" ht="15.95" customHeight="1">
      <c r="A24" s="211">
        <f>IF(COUNTBLANK('RNEW import'!B22)=1,"",'RNEW import'!B22)</f>
        <v>21</v>
      </c>
      <c r="B24" s="211" t="str">
        <f>IF(COUNTBLANK('RNEW import'!D22)=1,"",'RNEW import'!D22)</f>
        <v>Ramnicu Valcea Shopping City SRL</v>
      </c>
      <c r="C24" s="211" t="str">
        <f>IF(COUNTBLANK('RNEW import'!E22)=1,"",'RNEW import'!E22)</f>
        <v>RRVS</v>
      </c>
      <c r="D24" s="216" t="str">
        <f>IF(COUNTBLANK('RNEW import'!K22)=1,"",'RNEW import'!K22)</f>
        <v>Regularizare Energie reactiva  3X</v>
      </c>
      <c r="E24" s="211">
        <f>IF(COUNTBLANK('RNEW import'!L22)=1,"",'RNEW import'!N22)</f>
        <v>7970</v>
      </c>
      <c r="F24" s="211">
        <f>IF(COUNTBLANK('RNEW import'!M22)=1,"",'RNEW import'!O22/10000)</f>
        <v>0.4395</v>
      </c>
      <c r="G24" s="217">
        <f t="shared" si="19"/>
        <v>3502.82</v>
      </c>
      <c r="H24" s="217">
        <f t="shared" si="20"/>
        <v>665.54</v>
      </c>
      <c r="I24" s="329">
        <f t="shared" si="21"/>
        <v>4168.3600000000006</v>
      </c>
      <c r="J24" s="237" t="str">
        <f t="shared" si="22"/>
        <v/>
      </c>
      <c r="K24" s="238" t="str">
        <f t="shared" si="6"/>
        <v/>
      </c>
      <c r="L24" s="238" t="str">
        <f t="shared" si="7"/>
        <v/>
      </c>
      <c r="M24" s="238" t="str">
        <f t="shared" si="8"/>
        <v/>
      </c>
      <c r="N24" s="238" t="str">
        <f t="shared" si="9"/>
        <v/>
      </c>
      <c r="O24" s="232"/>
      <c r="P24" s="219" t="str">
        <f t="shared" si="23"/>
        <v>Energie reactiva 3x regularizare</v>
      </c>
      <c r="Q24" s="219">
        <f t="shared" si="24"/>
        <v>7970</v>
      </c>
      <c r="R24" s="219">
        <f t="shared" si="25"/>
        <v>0.4395</v>
      </c>
      <c r="S24" s="331">
        <f t="shared" si="30"/>
        <v>3502.82</v>
      </c>
      <c r="T24" s="331">
        <f t="shared" si="31"/>
        <v>665.54</v>
      </c>
      <c r="U24" s="331">
        <f t="shared" si="32"/>
        <v>4168.3599999999997</v>
      </c>
      <c r="Y24" s="219" t="s">
        <v>21</v>
      </c>
      <c r="Z24" s="230">
        <f t="shared" si="0"/>
        <v>1286143.47</v>
      </c>
      <c r="AA24" s="230">
        <f t="shared" si="1"/>
        <v>244367.26000000004</v>
      </c>
      <c r="AB24" s="230">
        <f t="shared" si="2"/>
        <v>1530510.7299999997</v>
      </c>
      <c r="AC24" s="240">
        <f>HLOOKUP(VLOOKUP(Y24,'Date SPV'!$B$4:$F$34,5,FALSE),'Preturi si tarife'!$C$2:$J$39,17,FALSE)</f>
        <v>0.97511760000000003</v>
      </c>
      <c r="AD24" s="231">
        <f t="shared" si="3"/>
        <v>1286143.47</v>
      </c>
      <c r="AE24" s="231">
        <f t="shared" si="4"/>
        <v>244367.26000000004</v>
      </c>
      <c r="AF24" s="231">
        <f t="shared" si="5"/>
        <v>1530510.73</v>
      </c>
      <c r="AG24" s="239">
        <f t="shared" si="11"/>
        <v>0.97511800000000004</v>
      </c>
      <c r="AH24" s="239">
        <f t="shared" si="12"/>
        <v>0</v>
      </c>
      <c r="AI24" s="239">
        <f t="shared" si="13"/>
        <v>0.97511800000000004</v>
      </c>
      <c r="AJ24" s="219" t="str">
        <f t="shared" ref="AJ24:AJ31" si="33">IF(Z24=AD24,"ok","not ok")</f>
        <v>ok</v>
      </c>
      <c r="AK24" s="219" t="str">
        <f t="shared" ref="AK24:AK31" si="34">IF(AA24=AE24,"ok","not ok")</f>
        <v>ok</v>
      </c>
      <c r="AL24" s="219" t="str">
        <f t="shared" ref="AL24:AL31" si="35">IF(AB24=AF24,"ok","not ok")</f>
        <v>ok</v>
      </c>
      <c r="AM24" s="219" t="str">
        <f t="shared" ref="AM24:AM31" si="36">IF(AND(ROUND(AC24,6)=AG24,ROUND(AC24,6)=AH24,ROUND(AC24,6)=AI24),"ok","not ok")</f>
        <v>not ok</v>
      </c>
      <c r="AN24" s="241">
        <f t="shared" ref="AN24:AN31" si="37">AG24-AC24</f>
        <v>4.0000000001150227E-7</v>
      </c>
      <c r="AO24" s="241">
        <f t="shared" si="17"/>
        <v>0</v>
      </c>
      <c r="AP24" s="241">
        <f t="shared" ref="AP24:AP31" si="38">AI24-AC24</f>
        <v>4.0000000001150227E-7</v>
      </c>
    </row>
    <row r="25" spans="1:42" ht="15.95" customHeight="1">
      <c r="A25" s="211">
        <f>IF(COUNTBLANK('RNEW import'!B23)=1,"",'RNEW import'!B23)</f>
        <v>22</v>
      </c>
      <c r="B25" s="211" t="str">
        <f>IF(COUNTBLANK('RNEW import'!D23)=1,"",'RNEW import'!D23)</f>
        <v>Ramnicu Valcea Shopping City SRL</v>
      </c>
      <c r="C25" s="211" t="str">
        <f>IF(COUNTBLANK('RNEW import'!E23)=1,"",'RNEW import'!E23)</f>
        <v>RRVS</v>
      </c>
      <c r="D25" s="216" t="str">
        <f>IF(COUNTBLANK('RNEW import'!K23)=1,"",'RNEW import'!K23)</f>
        <v>Regularizare Tarife distributie en. El IT+MT</v>
      </c>
      <c r="E25" s="211">
        <f>IF(COUNTBLANK('RNEW import'!L23)=1,"",'RNEW import'!N23)</f>
        <v>0</v>
      </c>
      <c r="F25" s="211">
        <f>IF(COUNTBLANK('RNEW import'!M23)=1,"",'RNEW import'!O23/10000)</f>
        <v>0.13613999999999998</v>
      </c>
      <c r="G25" s="217">
        <f t="shared" si="19"/>
        <v>0</v>
      </c>
      <c r="H25" s="217">
        <f t="shared" si="20"/>
        <v>0</v>
      </c>
      <c r="I25" s="329">
        <f t="shared" si="21"/>
        <v>0</v>
      </c>
      <c r="J25" s="237" t="str">
        <f t="shared" si="22"/>
        <v/>
      </c>
      <c r="K25" s="238" t="str">
        <f t="shared" si="6"/>
        <v/>
      </c>
      <c r="L25" s="238" t="str">
        <f t="shared" si="7"/>
        <v/>
      </c>
      <c r="M25" s="238" t="str">
        <f t="shared" si="8"/>
        <v/>
      </c>
      <c r="N25" s="238" t="str">
        <f t="shared" si="9"/>
        <v/>
      </c>
      <c r="O25" s="232"/>
      <c r="P25" s="219" t="str">
        <f t="shared" si="23"/>
        <v/>
      </c>
      <c r="Q25" s="219" t="str">
        <f t="shared" si="24"/>
        <v/>
      </c>
      <c r="R25" s="219" t="str">
        <f t="shared" si="25"/>
        <v/>
      </c>
      <c r="S25" s="331" t="str">
        <f t="shared" si="30"/>
        <v/>
      </c>
      <c r="T25" s="331" t="str">
        <f t="shared" si="31"/>
        <v/>
      </c>
      <c r="U25" s="331" t="str">
        <f t="shared" si="32"/>
        <v/>
      </c>
      <c r="Y25" s="219" t="s">
        <v>1221</v>
      </c>
      <c r="Z25" s="230">
        <f t="shared" si="0"/>
        <v>26588.81</v>
      </c>
      <c r="AA25" s="230">
        <f t="shared" si="1"/>
        <v>5051.8600000000006</v>
      </c>
      <c r="AB25" s="230">
        <f t="shared" si="2"/>
        <v>31640.670000000002</v>
      </c>
      <c r="AC25" s="240">
        <f>HLOOKUP(VLOOKUP(Y25,'Date SPV'!$B$4:$F$34,5,FALSE),'Preturi si tarife'!$C$2:$J$39,17,FALSE)</f>
        <v>0.93920760000000003</v>
      </c>
      <c r="AD25" s="231">
        <f t="shared" si="3"/>
        <v>26588.809999999998</v>
      </c>
      <c r="AE25" s="231">
        <f t="shared" si="4"/>
        <v>5051.8600000000006</v>
      </c>
      <c r="AF25" s="231">
        <f t="shared" si="5"/>
        <v>31640.67</v>
      </c>
      <c r="AG25" s="239">
        <f t="shared" si="11"/>
        <v>0.93920899999999996</v>
      </c>
      <c r="AH25" s="239">
        <f t="shared" si="12"/>
        <v>0</v>
      </c>
      <c r="AI25" s="239">
        <f t="shared" si="13"/>
        <v>0.93920800000000004</v>
      </c>
      <c r="AJ25" s="219" t="str">
        <f t="shared" si="33"/>
        <v>ok</v>
      </c>
      <c r="AK25" s="219" t="str">
        <f t="shared" si="34"/>
        <v>ok</v>
      </c>
      <c r="AL25" s="219" t="str">
        <f t="shared" si="35"/>
        <v>ok</v>
      </c>
      <c r="AM25" s="219" t="str">
        <f t="shared" si="36"/>
        <v>not ok</v>
      </c>
      <c r="AN25" s="241">
        <f t="shared" si="37"/>
        <v>1.3999999999292356E-6</v>
      </c>
      <c r="AO25" s="241">
        <f t="shared" si="17"/>
        <v>0</v>
      </c>
      <c r="AP25" s="241">
        <f t="shared" si="38"/>
        <v>4.0000000001150227E-7</v>
      </c>
    </row>
    <row r="26" spans="1:42" ht="15.95" customHeight="1">
      <c r="A26" s="211">
        <f>IF(COUNTBLANK('RNEW import'!B24)=1,"",'RNEW import'!B24)</f>
        <v>23</v>
      </c>
      <c r="B26" s="211" t="str">
        <f>IF(COUNTBLANK('RNEW import'!D24)=1,"",'RNEW import'!D24)</f>
        <v>Ramnicu Valcea Shopping City SRL</v>
      </c>
      <c r="C26" s="211" t="str">
        <f>IF(COUNTBLANK('RNEW import'!E24)=1,"",'RNEW import'!E24)</f>
        <v>RRVS</v>
      </c>
      <c r="D26" s="216" t="str">
        <f>IF(COUNTBLANK('RNEW import'!K24)=1,"",'RNEW import'!K24)</f>
        <v>Regularizare Tarife distributie en. El JT</v>
      </c>
      <c r="E26" s="211">
        <f>IF(COUNTBLANK('RNEW import'!L24)=1,"",'RNEW import'!N24)</f>
        <v>0</v>
      </c>
      <c r="F26" s="211">
        <f>IF(COUNTBLANK('RNEW import'!M24)=1,"",'RNEW import'!O24/10000)</f>
        <v>0.22738999999999995</v>
      </c>
      <c r="G26" s="217">
        <f t="shared" si="19"/>
        <v>0</v>
      </c>
      <c r="H26" s="217">
        <f t="shared" si="20"/>
        <v>0</v>
      </c>
      <c r="I26" s="329">
        <f t="shared" si="21"/>
        <v>0</v>
      </c>
      <c r="J26" s="237" t="str">
        <f t="shared" si="22"/>
        <v/>
      </c>
      <c r="K26" s="238" t="str">
        <f t="shared" si="6"/>
        <v/>
      </c>
      <c r="L26" s="238" t="str">
        <f t="shared" si="7"/>
        <v/>
      </c>
      <c r="M26" s="238" t="str">
        <f t="shared" si="8"/>
        <v/>
      </c>
      <c r="N26" s="238" t="str">
        <f t="shared" si="9"/>
        <v/>
      </c>
      <c r="O26" s="232"/>
      <c r="P26" s="219" t="str">
        <f t="shared" si="23"/>
        <v/>
      </c>
      <c r="Q26" s="219" t="str">
        <f t="shared" si="24"/>
        <v/>
      </c>
      <c r="R26" s="219" t="str">
        <f t="shared" si="25"/>
        <v/>
      </c>
      <c r="S26" s="331" t="str">
        <f t="shared" si="30"/>
        <v/>
      </c>
      <c r="T26" s="331" t="str">
        <f t="shared" si="31"/>
        <v/>
      </c>
      <c r="U26" s="331" t="str">
        <f t="shared" si="32"/>
        <v/>
      </c>
      <c r="Y26" s="219" t="s">
        <v>1223</v>
      </c>
      <c r="Z26" s="230">
        <f t="shared" si="0"/>
        <v>16075.08</v>
      </c>
      <c r="AA26" s="230">
        <f t="shared" si="1"/>
        <v>3054.26</v>
      </c>
      <c r="AB26" s="230">
        <f t="shared" si="2"/>
        <v>19129.34</v>
      </c>
      <c r="AC26" s="240">
        <f>HLOOKUP(VLOOKUP(Y26,'Date SPV'!$B$4:$F$34,5,FALSE),'Preturi si tarife'!$C$2:$J$39,17,FALSE)</f>
        <v>0.93920760000000003</v>
      </c>
      <c r="AD26" s="231">
        <f t="shared" si="3"/>
        <v>16075.08</v>
      </c>
      <c r="AE26" s="231">
        <f t="shared" si="4"/>
        <v>3054.26</v>
      </c>
      <c r="AF26" s="231">
        <f t="shared" si="5"/>
        <v>19129.34</v>
      </c>
      <c r="AG26" s="239">
        <f t="shared" si="11"/>
        <v>0.93920700000000001</v>
      </c>
      <c r="AH26" s="239">
        <f t="shared" si="12"/>
        <v>0</v>
      </c>
      <c r="AI26" s="239">
        <f t="shared" si="13"/>
        <v>0.93920700000000001</v>
      </c>
      <c r="AJ26" s="219" t="str">
        <f t="shared" si="33"/>
        <v>ok</v>
      </c>
      <c r="AK26" s="219" t="str">
        <f t="shared" si="34"/>
        <v>ok</v>
      </c>
      <c r="AL26" s="219" t="str">
        <f t="shared" si="35"/>
        <v>ok</v>
      </c>
      <c r="AM26" s="219" t="str">
        <f t="shared" si="36"/>
        <v>not ok</v>
      </c>
      <c r="AN26" s="241">
        <f t="shared" si="37"/>
        <v>-6.000000000172534E-7</v>
      </c>
      <c r="AO26" s="241">
        <f t="shared" si="17"/>
        <v>0</v>
      </c>
      <c r="AP26" s="241">
        <f t="shared" si="38"/>
        <v>-6.000000000172534E-7</v>
      </c>
    </row>
    <row r="27" spans="1:42" ht="15.95" customHeight="1">
      <c r="A27" s="211">
        <f>IF(COUNTBLANK('RNEW import'!B25)=1,"",'RNEW import'!B25)</f>
        <v>24</v>
      </c>
      <c r="B27" s="211" t="str">
        <f>IF(COUNTBLANK('RNEW import'!D25)=1,"",'RNEW import'!D25)</f>
        <v>Ramnicu Valcea Shopping City SRL</v>
      </c>
      <c r="C27" s="211" t="str">
        <f>IF(COUNTBLANK('RNEW import'!E25)=1,"",'RNEW import'!E25)</f>
        <v>RRVS</v>
      </c>
      <c r="D27" s="216" t="str">
        <f>IF(COUNTBLANK('RNEW import'!K25)=1,"",'RNEW import'!K25)</f>
        <v xml:space="preserve">Regularizare Servicii Sistem </v>
      </c>
      <c r="E27" s="211">
        <f>IF(COUNTBLANK('RNEW import'!L25)=1,"",'RNEW import'!N25)</f>
        <v>0</v>
      </c>
      <c r="F27" s="211">
        <f>IF(COUNTBLANK('RNEW import'!M25)=1,"",'RNEW import'!O25/10000)</f>
        <v>1.1509999999999999E-2</v>
      </c>
      <c r="G27" s="217">
        <f t="shared" si="19"/>
        <v>0</v>
      </c>
      <c r="H27" s="217">
        <f t="shared" si="20"/>
        <v>0</v>
      </c>
      <c r="I27" s="329">
        <f t="shared" si="21"/>
        <v>0</v>
      </c>
      <c r="J27" s="237" t="str">
        <f t="shared" si="22"/>
        <v/>
      </c>
      <c r="K27" s="238" t="str">
        <f t="shared" si="6"/>
        <v/>
      </c>
      <c r="L27" s="238" t="str">
        <f t="shared" si="7"/>
        <v/>
      </c>
      <c r="M27" s="238" t="str">
        <f t="shared" si="8"/>
        <v/>
      </c>
      <c r="N27" s="238" t="str">
        <f t="shared" si="9"/>
        <v/>
      </c>
      <c r="O27" s="232"/>
      <c r="P27" s="219" t="str">
        <f t="shared" si="23"/>
        <v/>
      </c>
      <c r="Q27" s="219" t="str">
        <f t="shared" si="24"/>
        <v/>
      </c>
      <c r="R27" s="219" t="str">
        <f t="shared" si="25"/>
        <v/>
      </c>
      <c r="S27" s="331" t="str">
        <f t="shared" si="30"/>
        <v/>
      </c>
      <c r="T27" s="331" t="str">
        <f t="shared" si="31"/>
        <v/>
      </c>
      <c r="U27" s="331" t="str">
        <f t="shared" si="32"/>
        <v/>
      </c>
      <c r="Y27" s="219" t="s">
        <v>1225</v>
      </c>
      <c r="Z27" s="230">
        <f t="shared" si="0"/>
        <v>28614.979999999996</v>
      </c>
      <c r="AA27" s="230">
        <f t="shared" si="1"/>
        <v>5436.8600000000006</v>
      </c>
      <c r="AB27" s="230">
        <f t="shared" si="2"/>
        <v>34051.839999999997</v>
      </c>
      <c r="AC27" s="240">
        <f>HLOOKUP(VLOOKUP(Y27,'Date SPV'!$B$4:$F$34,5,FALSE),'Preturi si tarife'!$C$2:$J$39,17,FALSE)</f>
        <v>0.93920760000000003</v>
      </c>
      <c r="AD27" s="231">
        <f t="shared" si="3"/>
        <v>28614.98</v>
      </c>
      <c r="AE27" s="231">
        <f t="shared" si="4"/>
        <v>5436.8600000000006</v>
      </c>
      <c r="AF27" s="231">
        <f t="shared" si="5"/>
        <v>34051.839999999997</v>
      </c>
      <c r="AG27" s="239">
        <f t="shared" si="11"/>
        <v>0.93920899999999996</v>
      </c>
      <c r="AH27" s="239">
        <f t="shared" si="12"/>
        <v>0</v>
      </c>
      <c r="AI27" s="239">
        <f t="shared" si="13"/>
        <v>0.93920800000000004</v>
      </c>
      <c r="AJ27" s="219" t="str">
        <f t="shared" si="33"/>
        <v>ok</v>
      </c>
      <c r="AK27" s="219" t="str">
        <f t="shared" si="34"/>
        <v>ok</v>
      </c>
      <c r="AL27" s="219" t="str">
        <f t="shared" si="35"/>
        <v>ok</v>
      </c>
      <c r="AM27" s="219" t="str">
        <f t="shared" si="36"/>
        <v>not ok</v>
      </c>
      <c r="AN27" s="241">
        <f t="shared" si="37"/>
        <v>1.3999999999292356E-6</v>
      </c>
      <c r="AO27" s="241">
        <f t="shared" si="17"/>
        <v>0</v>
      </c>
      <c r="AP27" s="241">
        <f t="shared" si="38"/>
        <v>4.0000000001150227E-7</v>
      </c>
    </row>
    <row r="28" spans="1:42" ht="15.95" customHeight="1">
      <c r="A28" s="211">
        <f>IF(COUNTBLANK('RNEW import'!B26)=1,"",'RNEW import'!B26)</f>
        <v>25</v>
      </c>
      <c r="B28" s="211" t="str">
        <f>IF(COUNTBLANK('RNEW import'!D26)=1,"",'RNEW import'!D26)</f>
        <v>Ramnicu Valcea Shopping City SRL</v>
      </c>
      <c r="C28" s="211" t="str">
        <f>IF(COUNTBLANK('RNEW import'!E26)=1,"",'RNEW import'!E26)</f>
        <v>RRVS</v>
      </c>
      <c r="D28" s="216" t="str">
        <f>IF(COUNTBLANK('RNEW import'!K26)=1,"",'RNEW import'!K26)</f>
        <v>Regularizare Tarif de introducere en. el in retea (TL)</v>
      </c>
      <c r="E28" s="211">
        <f>IF(COUNTBLANK('RNEW import'!L26)=1,"",'RNEW import'!N26)</f>
        <v>0</v>
      </c>
      <c r="F28" s="211">
        <f>IF(COUNTBLANK('RNEW import'!M26)=1,"",'RNEW import'!O26/10000)</f>
        <v>3.3030000000000004E-2</v>
      </c>
      <c r="G28" s="217">
        <f t="shared" si="19"/>
        <v>0</v>
      </c>
      <c r="H28" s="217">
        <f t="shared" si="20"/>
        <v>0</v>
      </c>
      <c r="I28" s="329">
        <f t="shared" si="21"/>
        <v>0</v>
      </c>
      <c r="J28" s="237" t="str">
        <f t="shared" si="22"/>
        <v/>
      </c>
      <c r="K28" s="238" t="str">
        <f t="shared" si="6"/>
        <v/>
      </c>
      <c r="L28" s="238" t="str">
        <f t="shared" si="7"/>
        <v/>
      </c>
      <c r="M28" s="238" t="str">
        <f t="shared" si="8"/>
        <v/>
      </c>
      <c r="N28" s="238" t="str">
        <f t="shared" si="9"/>
        <v/>
      </c>
      <c r="O28" s="232"/>
      <c r="P28" s="219" t="str">
        <f t="shared" si="23"/>
        <v/>
      </c>
      <c r="Q28" s="219" t="str">
        <f t="shared" si="24"/>
        <v/>
      </c>
      <c r="R28" s="219" t="str">
        <f t="shared" si="25"/>
        <v/>
      </c>
      <c r="S28" s="331" t="str">
        <f t="shared" si="30"/>
        <v/>
      </c>
      <c r="T28" s="331" t="str">
        <f t="shared" si="31"/>
        <v/>
      </c>
      <c r="U28" s="331" t="str">
        <f t="shared" si="32"/>
        <v/>
      </c>
      <c r="Y28" s="219" t="s">
        <v>1227</v>
      </c>
      <c r="Z28" s="230">
        <f t="shared" si="0"/>
        <v>8273.8799999999992</v>
      </c>
      <c r="AA28" s="230">
        <f t="shared" si="1"/>
        <v>1572.0400000000002</v>
      </c>
      <c r="AB28" s="230">
        <f t="shared" si="2"/>
        <v>9845.9200000000019</v>
      </c>
      <c r="AC28" s="240">
        <f>HLOOKUP(VLOOKUP(Y28,'Date SPV'!$B$4:$F$34,5,FALSE),'Preturi si tarife'!$C$2:$J$39,17,FALSE)</f>
        <v>0.97511760000000003</v>
      </c>
      <c r="AD28" s="231">
        <f t="shared" si="3"/>
        <v>8273.880000000001</v>
      </c>
      <c r="AE28" s="231">
        <f t="shared" si="4"/>
        <v>1572.04</v>
      </c>
      <c r="AF28" s="231">
        <f t="shared" si="5"/>
        <v>9845.92</v>
      </c>
      <c r="AG28" s="239">
        <f t="shared" si="11"/>
        <v>0.97511999999999999</v>
      </c>
      <c r="AH28" s="239">
        <f t="shared" si="12"/>
        <v>0</v>
      </c>
      <c r="AI28" s="239">
        <f t="shared" si="13"/>
        <v>0.97511599999999998</v>
      </c>
      <c r="AJ28" s="219" t="str">
        <f t="shared" si="33"/>
        <v>ok</v>
      </c>
      <c r="AK28" s="219" t="str">
        <f t="shared" si="34"/>
        <v>ok</v>
      </c>
      <c r="AL28" s="219" t="str">
        <f t="shared" si="35"/>
        <v>ok</v>
      </c>
      <c r="AM28" s="219" t="str">
        <f t="shared" si="36"/>
        <v>not ok</v>
      </c>
      <c r="AN28" s="241">
        <f t="shared" si="37"/>
        <v>2.3999999999579913E-6</v>
      </c>
      <c r="AO28" s="241">
        <f t="shared" si="17"/>
        <v>0</v>
      </c>
      <c r="AP28" s="241">
        <f t="shared" si="38"/>
        <v>-1.6000000000460091E-6</v>
      </c>
    </row>
    <row r="29" spans="1:42" ht="15.95" customHeight="1">
      <c r="A29" s="211">
        <f>IF(COUNTBLANK('RNEW import'!B27)=1,"",'RNEW import'!B27)</f>
        <v>26</v>
      </c>
      <c r="B29" s="211" t="str">
        <f>IF(COUNTBLANK('RNEW import'!D27)=1,"",'RNEW import'!D27)</f>
        <v>Ramnicu Valcea Shopping City SRL</v>
      </c>
      <c r="C29" s="211" t="str">
        <f>IF(COUNTBLANK('RNEW import'!E27)=1,"",'RNEW import'!E27)</f>
        <v>RRVS</v>
      </c>
      <c r="D29" s="216" t="str">
        <f>IF(COUNTBLANK('RNEW import'!K27)=1,"",'RNEW import'!K27)</f>
        <v>Regularizare Tarif de introducere en.el in retea (TG)</v>
      </c>
      <c r="E29" s="211">
        <f>IF(COUNTBLANK('RNEW import'!L27)=1,"",'RNEW import'!N27)</f>
        <v>0</v>
      </c>
      <c r="F29" s="211">
        <f>IF(COUNTBLANK('RNEW import'!M27)=1,"",'RNEW import'!O27/10000)</f>
        <v>3.29E-3</v>
      </c>
      <c r="G29" s="217">
        <f t="shared" si="19"/>
        <v>0</v>
      </c>
      <c r="H29" s="217">
        <f t="shared" si="20"/>
        <v>0</v>
      </c>
      <c r="I29" s="329">
        <f t="shared" si="21"/>
        <v>0</v>
      </c>
      <c r="J29" s="237" t="str">
        <f t="shared" si="22"/>
        <v/>
      </c>
      <c r="K29" s="238" t="str">
        <f t="shared" si="6"/>
        <v/>
      </c>
      <c r="L29" s="238" t="str">
        <f t="shared" si="7"/>
        <v/>
      </c>
      <c r="M29" s="238" t="str">
        <f t="shared" si="8"/>
        <v/>
      </c>
      <c r="N29" s="238" t="str">
        <f t="shared" si="9"/>
        <v/>
      </c>
      <c r="O29" s="232"/>
      <c r="P29" s="219" t="str">
        <f t="shared" si="23"/>
        <v/>
      </c>
      <c r="Q29" s="219" t="str">
        <f t="shared" si="24"/>
        <v/>
      </c>
      <c r="R29" s="219" t="str">
        <f t="shared" si="25"/>
        <v/>
      </c>
      <c r="S29" s="331" t="str">
        <f t="shared" si="30"/>
        <v/>
      </c>
      <c r="T29" s="331" t="str">
        <f t="shared" si="31"/>
        <v/>
      </c>
      <c r="U29" s="331" t="str">
        <f t="shared" si="32"/>
        <v/>
      </c>
      <c r="Y29" s="219" t="s">
        <v>1265</v>
      </c>
      <c r="Z29" s="230">
        <f t="shared" si="0"/>
        <v>34127.270000000004</v>
      </c>
      <c r="AA29" s="230">
        <f t="shared" si="1"/>
        <v>6484.1799999999994</v>
      </c>
      <c r="AB29" s="230">
        <f t="shared" si="2"/>
        <v>40611.449999999997</v>
      </c>
      <c r="AC29" s="240">
        <f>HLOOKUP(VLOOKUP(Y29,'Date SPV'!$B$4:$F$34,5,FALSE),'Preturi si tarife'!$C$2:$J$39,17,FALSE)</f>
        <v>0.9485576</v>
      </c>
      <c r="AD29" s="231">
        <f t="shared" si="3"/>
        <v>34127.270000000004</v>
      </c>
      <c r="AE29" s="231">
        <f t="shared" si="4"/>
        <v>6484.1800000000012</v>
      </c>
      <c r="AF29" s="231">
        <f t="shared" si="5"/>
        <v>40611.449999999997</v>
      </c>
      <c r="AG29" s="239">
        <f t="shared" si="11"/>
        <v>0.94855800000000001</v>
      </c>
      <c r="AH29" s="239">
        <f t="shared" si="12"/>
        <v>0</v>
      </c>
      <c r="AI29" s="239">
        <f t="shared" si="13"/>
        <v>0.94855800000000001</v>
      </c>
      <c r="AJ29" s="219" t="str">
        <f t="shared" si="33"/>
        <v>ok</v>
      </c>
      <c r="AK29" s="219" t="str">
        <f t="shared" si="34"/>
        <v>ok</v>
      </c>
      <c r="AL29" s="219" t="str">
        <f t="shared" si="35"/>
        <v>ok</v>
      </c>
      <c r="AM29" s="219" t="str">
        <f>IF(AND(ROUND(AC29,6)=AG29,ROUND(AC29,6)=AH29,ROUND(AC29,6)=AI29),"ok","not ok")</f>
        <v>not ok</v>
      </c>
      <c r="AN29" s="241">
        <f t="shared" si="37"/>
        <v>4.0000000001150227E-7</v>
      </c>
      <c r="AO29" s="241">
        <f t="shared" si="17"/>
        <v>0</v>
      </c>
      <c r="AP29" s="241">
        <f t="shared" si="38"/>
        <v>4.0000000001150227E-7</v>
      </c>
    </row>
    <row r="30" spans="1:42" ht="15.95" customHeight="1">
      <c r="A30" s="211">
        <f>IF(COUNTBLANK('RNEW import'!B28)=1,"",'RNEW import'!B28)</f>
        <v>27</v>
      </c>
      <c r="B30" s="211" t="str">
        <f>IF(COUNTBLANK('RNEW import'!D28)=1,"",'RNEW import'!D28)</f>
        <v>Ramnicu Valcea Shopping City SRL</v>
      </c>
      <c r="C30" s="211" t="str">
        <f>IF(COUNTBLANK('RNEW import'!E28)=1,"",'RNEW import'!E28)</f>
        <v>RRVS</v>
      </c>
      <c r="D30" s="216" t="str">
        <f>IF(COUNTBLANK('RNEW import'!K28)=1,"",'RNEW import'!K28)</f>
        <v>Regularizare Contributie pentru cogenerare</v>
      </c>
      <c r="E30" s="211">
        <f>IF(COUNTBLANK('RNEW import'!L28)=1,"",'RNEW import'!N28)</f>
        <v>0</v>
      </c>
      <c r="F30" s="211">
        <f>IF(COUNTBLANK('RNEW import'!M28)=1,"",'RNEW import'!O28/10000)</f>
        <v>3.5000000000000001E-3</v>
      </c>
      <c r="G30" s="217">
        <f t="shared" si="19"/>
        <v>0</v>
      </c>
      <c r="H30" s="217">
        <f t="shared" si="20"/>
        <v>0</v>
      </c>
      <c r="I30" s="329">
        <f t="shared" si="21"/>
        <v>0</v>
      </c>
      <c r="J30" s="237" t="str">
        <f t="shared" si="22"/>
        <v/>
      </c>
      <c r="K30" s="238" t="str">
        <f t="shared" si="6"/>
        <v/>
      </c>
      <c r="L30" s="238" t="str">
        <f t="shared" si="7"/>
        <v/>
      </c>
      <c r="M30" s="238" t="str">
        <f t="shared" si="8"/>
        <v/>
      </c>
      <c r="N30" s="238" t="str">
        <f t="shared" si="9"/>
        <v/>
      </c>
      <c r="O30" s="232"/>
      <c r="P30" s="219" t="str">
        <f t="shared" si="23"/>
        <v/>
      </c>
      <c r="Q30" s="219" t="str">
        <f t="shared" si="24"/>
        <v/>
      </c>
      <c r="R30" s="219" t="str">
        <f t="shared" si="25"/>
        <v/>
      </c>
      <c r="S30" s="331" t="str">
        <f t="shared" si="30"/>
        <v/>
      </c>
      <c r="T30" s="331" t="str">
        <f t="shared" si="31"/>
        <v/>
      </c>
      <c r="U30" s="331" t="str">
        <f t="shared" si="32"/>
        <v/>
      </c>
      <c r="Y30" s="219" t="s">
        <v>1231</v>
      </c>
      <c r="Z30" s="230">
        <f t="shared" si="0"/>
        <v>15666.47</v>
      </c>
      <c r="AA30" s="230">
        <f t="shared" si="1"/>
        <v>2976.6299999999997</v>
      </c>
      <c r="AB30" s="230">
        <f t="shared" si="2"/>
        <v>18643.099999999995</v>
      </c>
      <c r="AC30" s="240">
        <f>HLOOKUP(VLOOKUP(Y30,'Date SPV'!$B$4:$F$34,5,FALSE),'Preturi si tarife'!$C$2:$J$39,17,FALSE)</f>
        <v>0.90005760000000001</v>
      </c>
      <c r="AD30" s="231">
        <f t="shared" si="3"/>
        <v>15666.470000000001</v>
      </c>
      <c r="AE30" s="231">
        <f t="shared" si="4"/>
        <v>2976.63</v>
      </c>
      <c r="AF30" s="231">
        <f t="shared" si="5"/>
        <v>18643.100000000002</v>
      </c>
      <c r="AG30" s="239">
        <f t="shared" si="11"/>
        <v>1.0131589999999999</v>
      </c>
      <c r="AH30" s="239">
        <f t="shared" si="12"/>
        <v>1.013158</v>
      </c>
      <c r="AI30" s="239">
        <f t="shared" si="13"/>
        <v>0</v>
      </c>
      <c r="AJ30" s="219" t="str">
        <f t="shared" si="33"/>
        <v>ok</v>
      </c>
      <c r="AK30" s="219" t="str">
        <f t="shared" si="34"/>
        <v>ok</v>
      </c>
      <c r="AL30" s="219" t="str">
        <f t="shared" si="35"/>
        <v>ok</v>
      </c>
      <c r="AM30" s="219" t="str">
        <f t="shared" si="36"/>
        <v>not ok</v>
      </c>
      <c r="AN30" s="241">
        <f t="shared" si="37"/>
        <v>0.11310139999999991</v>
      </c>
      <c r="AO30" s="241">
        <f t="shared" si="17"/>
        <v>0.11310039999999999</v>
      </c>
      <c r="AP30" s="241">
        <f t="shared" si="38"/>
        <v>-0.90005760000000001</v>
      </c>
    </row>
    <row r="31" spans="1:42" ht="15.95" customHeight="1">
      <c r="A31" s="211">
        <f>IF(COUNTBLANK('RNEW import'!B29)=1,"",'RNEW import'!B29)</f>
        <v>28</v>
      </c>
      <c r="B31" s="211" t="str">
        <f>IF(COUNTBLANK('RNEW import'!D29)=1,"",'RNEW import'!D29)</f>
        <v>Ramnicu Valcea Shopping City SRL</v>
      </c>
      <c r="C31" s="211" t="str">
        <f>IF(COUNTBLANK('RNEW import'!E29)=1,"",'RNEW import'!E29)</f>
        <v>RRVS</v>
      </c>
      <c r="D31" s="216" t="str">
        <f>IF(COUNTBLANK('RNEW import'!K29)=1,"",'RNEW import'!K29)</f>
        <v xml:space="preserve">Regularizare Certificate verzi </v>
      </c>
      <c r="E31" s="211">
        <f>IF(COUNTBLANK('RNEW import'!L29)=1,"",'RNEW import'!N29)</f>
        <v>0</v>
      </c>
      <c r="F31" s="211">
        <f>IF(COUNTBLANK('RNEW import'!M29)=1,"",'RNEW import'!O29/10000)</f>
        <v>7.2541599999999998E-2</v>
      </c>
      <c r="G31" s="217">
        <f t="shared" si="19"/>
        <v>0</v>
      </c>
      <c r="H31" s="217">
        <f t="shared" si="20"/>
        <v>0</v>
      </c>
      <c r="I31" s="329">
        <f t="shared" si="21"/>
        <v>0</v>
      </c>
      <c r="J31" s="237" t="str">
        <f t="shared" si="22"/>
        <v/>
      </c>
      <c r="K31" s="238" t="str">
        <f t="shared" si="6"/>
        <v/>
      </c>
      <c r="L31" s="238" t="str">
        <f t="shared" si="7"/>
        <v/>
      </c>
      <c r="M31" s="238" t="str">
        <f t="shared" si="8"/>
        <v/>
      </c>
      <c r="N31" s="238" t="str">
        <f t="shared" si="9"/>
        <v/>
      </c>
      <c r="O31" s="232"/>
      <c r="P31" s="219" t="str">
        <f t="shared" si="23"/>
        <v/>
      </c>
      <c r="Q31" s="219" t="str">
        <f t="shared" si="24"/>
        <v/>
      </c>
      <c r="R31" s="219" t="str">
        <f t="shared" si="25"/>
        <v/>
      </c>
      <c r="S31" s="331" t="str">
        <f t="shared" si="30"/>
        <v/>
      </c>
      <c r="T31" s="331" t="str">
        <f t="shared" si="31"/>
        <v/>
      </c>
      <c r="U31" s="331" t="str">
        <f t="shared" si="32"/>
        <v/>
      </c>
      <c r="Y31" s="219" t="s">
        <v>1272</v>
      </c>
      <c r="Z31" s="230">
        <f t="shared" si="0"/>
        <v>37969.249999999993</v>
      </c>
      <c r="AA31" s="230">
        <f t="shared" si="1"/>
        <v>7214.16</v>
      </c>
      <c r="AB31" s="230">
        <f t="shared" si="2"/>
        <v>45183.409999999996</v>
      </c>
      <c r="AC31" s="240">
        <f>HLOOKUP(VLOOKUP(Y31,'Date SPV'!$B$4:$F$34,5,FALSE),'Preturi si tarife'!$C$2:$J$39,17,FALSE)</f>
        <v>0.93920760000000003</v>
      </c>
      <c r="AD31" s="231">
        <f t="shared" si="3"/>
        <v>37969.25</v>
      </c>
      <c r="AE31" s="231">
        <f t="shared" si="4"/>
        <v>7214.16</v>
      </c>
      <c r="AF31" s="231">
        <f t="shared" si="5"/>
        <v>45183.409999999996</v>
      </c>
      <c r="AG31" s="239">
        <f t="shared" si="11"/>
        <v>0.93920800000000004</v>
      </c>
      <c r="AH31" s="239">
        <f t="shared" si="12"/>
        <v>0</v>
      </c>
      <c r="AI31" s="239">
        <f t="shared" si="13"/>
        <v>0.93920800000000004</v>
      </c>
      <c r="AJ31" s="219" t="str">
        <f t="shared" si="33"/>
        <v>ok</v>
      </c>
      <c r="AK31" s="219" t="str">
        <f t="shared" si="34"/>
        <v>ok</v>
      </c>
      <c r="AL31" s="219" t="str">
        <f t="shared" si="35"/>
        <v>ok</v>
      </c>
      <c r="AM31" s="219" t="str">
        <f t="shared" si="36"/>
        <v>not ok</v>
      </c>
      <c r="AN31" s="241">
        <f t="shared" si="37"/>
        <v>4.0000000001150227E-7</v>
      </c>
      <c r="AO31" s="241">
        <f t="shared" si="17"/>
        <v>0</v>
      </c>
      <c r="AP31" s="241">
        <f t="shared" si="38"/>
        <v>4.0000000001150227E-7</v>
      </c>
    </row>
    <row r="32" spans="1:42" ht="15.95" customHeight="1">
      <c r="A32" s="211">
        <f>IF(COUNTBLANK('RNEW import'!B30)=1,"",'RNEW import'!B30)</f>
        <v>29</v>
      </c>
      <c r="B32" s="211" t="str">
        <f>IF(COUNTBLANK('RNEW import'!D30)=1,"",'RNEW import'!D30)</f>
        <v>Ramnicu Valcea Shopping City SRL</v>
      </c>
      <c r="C32" s="211" t="str">
        <f>IF(COUNTBLANK('RNEW import'!E30)=1,"",'RNEW import'!E30)</f>
        <v>RRVS</v>
      </c>
      <c r="D32" s="216" t="str">
        <f>IF(COUNTBLANK('RNEW import'!K30)=1,"",'RNEW import'!K30)</f>
        <v>Regularizare Contributie CFD</v>
      </c>
      <c r="E32" s="211">
        <f>IF(COUNTBLANK('RNEW import'!L30)=1,"",'RNEW import'!N30)</f>
        <v>0</v>
      </c>
      <c r="F32" s="211">
        <f>IF(COUNTBLANK('RNEW import'!M30)=1,"",'RNEW import'!O30/10000)</f>
        <v>2.0599999999999999E-4</v>
      </c>
      <c r="G32" s="217">
        <f t="shared" si="19"/>
        <v>0</v>
      </c>
      <c r="H32" s="217">
        <f t="shared" si="20"/>
        <v>0</v>
      </c>
      <c r="I32" s="329">
        <f t="shared" si="21"/>
        <v>0</v>
      </c>
      <c r="J32" s="237" t="str">
        <f t="shared" si="22"/>
        <v/>
      </c>
      <c r="K32" s="238" t="str">
        <f t="shared" si="6"/>
        <v/>
      </c>
      <c r="L32" s="238" t="str">
        <f t="shared" si="7"/>
        <v/>
      </c>
      <c r="M32" s="238" t="str">
        <f t="shared" si="8"/>
        <v/>
      </c>
      <c r="N32" s="238" t="str">
        <f t="shared" si="9"/>
        <v/>
      </c>
      <c r="O32" s="232"/>
      <c r="P32" s="219" t="str">
        <f t="shared" si="23"/>
        <v/>
      </c>
      <c r="Q32" s="219" t="str">
        <f t="shared" si="24"/>
        <v/>
      </c>
      <c r="R32" s="219" t="str">
        <f t="shared" si="25"/>
        <v/>
      </c>
      <c r="S32" s="331" t="str">
        <f t="shared" si="30"/>
        <v/>
      </c>
      <c r="T32" s="331" t="str">
        <f t="shared" si="31"/>
        <v/>
      </c>
      <c r="U32" s="331" t="str">
        <f t="shared" si="32"/>
        <v/>
      </c>
    </row>
    <row r="33" spans="1:26" ht="15.95" customHeight="1">
      <c r="A33" s="211">
        <f>IF(COUNTBLANK('RNEW import'!B31)=1,"",'RNEW import'!B31)</f>
        <v>30</v>
      </c>
      <c r="B33" s="211" t="str">
        <f>IF(COUNTBLANK('RNEW import'!D31)=1,"",'RNEW import'!D31)</f>
        <v>Ramnicu Valcea Shopping City SRL</v>
      </c>
      <c r="C33" s="211" t="str">
        <f>IF(COUNTBLANK('RNEW import'!E31)=1,"",'RNEW import'!E31)</f>
        <v>RRVS</v>
      </c>
      <c r="D33" s="216" t="str">
        <f>IF(COUNTBLANK('RNEW import'!K31)=1,"",'RNEW import'!K31)</f>
        <v>Regularizare Acciza</v>
      </c>
      <c r="E33" s="211">
        <f>IF(COUNTBLANK('RNEW import'!L31)=1,"",'RNEW import'!N31)</f>
        <v>0</v>
      </c>
      <c r="F33" s="211">
        <f>IF(COUNTBLANK('RNEW import'!M31)=1,"",'RNEW import'!O31/10000)</f>
        <v>0</v>
      </c>
      <c r="G33" s="217">
        <f t="shared" si="19"/>
        <v>0</v>
      </c>
      <c r="H33" s="217">
        <f t="shared" si="20"/>
        <v>0</v>
      </c>
      <c r="I33" s="329">
        <f t="shared" si="21"/>
        <v>0</v>
      </c>
      <c r="J33" s="237" t="str">
        <f t="shared" si="22"/>
        <v/>
      </c>
      <c r="K33" s="238" t="str">
        <f t="shared" si="6"/>
        <v/>
      </c>
      <c r="L33" s="238" t="str">
        <f t="shared" si="7"/>
        <v/>
      </c>
      <c r="M33" s="238" t="str">
        <f t="shared" si="8"/>
        <v/>
      </c>
      <c r="N33" s="238" t="str">
        <f t="shared" si="9"/>
        <v/>
      </c>
      <c r="O33" s="232"/>
      <c r="P33" s="219" t="str">
        <f t="shared" si="23"/>
        <v/>
      </c>
      <c r="Q33" s="219" t="str">
        <f t="shared" si="24"/>
        <v/>
      </c>
      <c r="R33" s="219" t="str">
        <f t="shared" si="25"/>
        <v/>
      </c>
      <c r="S33" s="331" t="str">
        <f t="shared" si="30"/>
        <v/>
      </c>
      <c r="T33" s="331" t="str">
        <f t="shared" si="31"/>
        <v/>
      </c>
      <c r="U33" s="331" t="str">
        <f t="shared" si="32"/>
        <v/>
      </c>
      <c r="Z33" s="269">
        <f>SUM(Z3:Z31)</f>
        <v>15776763.300000003</v>
      </c>
    </row>
    <row r="34" spans="1:26" ht="15.95" customHeight="1">
      <c r="A34" s="211">
        <f>IF(COUNTBLANK('RNEW import'!B32)=1,"",'RNEW import'!B32)</f>
        <v>31</v>
      </c>
      <c r="B34" s="211" t="str">
        <f>IF(COUNTBLANK('RNEW import'!D32)=1,"",'RNEW import'!D32)</f>
        <v>Ramnicu Valcea Shopping City SRL</v>
      </c>
      <c r="C34" s="211" t="str">
        <f>IF(COUNTBLANK('RNEW import'!E32)=1,"",'RNEW import'!E32)</f>
        <v>RRVS</v>
      </c>
      <c r="D34" s="223" t="str">
        <f>IF(COUNTBLANK('RNEW import'!K32)=1,"",'RNEW import'!K32)</f>
        <v>Regularizare Tarif distributie SDI MT Ea1</v>
      </c>
      <c r="E34" s="211">
        <f>IF(COUNTBLANK('RNEW import'!L32)=1,"",'RNEW import'!N32)</f>
        <v>0</v>
      </c>
      <c r="F34" s="211">
        <f>IF(COUNTBLANK('RNEW import'!M32)=1,"",'RNEW import'!O32/10000)</f>
        <v>1.7000000000000001E-2</v>
      </c>
      <c r="G34" s="217">
        <f t="shared" si="19"/>
        <v>0</v>
      </c>
      <c r="H34" s="217">
        <f t="shared" si="20"/>
        <v>0</v>
      </c>
      <c r="I34" s="329">
        <f t="shared" si="21"/>
        <v>0</v>
      </c>
      <c r="J34" s="237" t="str">
        <f t="shared" si="22"/>
        <v/>
      </c>
      <c r="K34" s="238" t="str">
        <f t="shared" si="6"/>
        <v/>
      </c>
      <c r="L34" s="238" t="str">
        <f t="shared" si="7"/>
        <v/>
      </c>
      <c r="M34" s="238" t="str">
        <f t="shared" si="8"/>
        <v/>
      </c>
      <c r="N34" s="238" t="str">
        <f t="shared" si="9"/>
        <v/>
      </c>
      <c r="O34" s="232"/>
      <c r="P34" s="219" t="str">
        <f t="shared" si="23"/>
        <v/>
      </c>
      <c r="Q34" s="219" t="str">
        <f t="shared" si="24"/>
        <v/>
      </c>
      <c r="R34" s="219" t="str">
        <f t="shared" si="25"/>
        <v/>
      </c>
      <c r="S34" s="331" t="str">
        <f t="shared" si="30"/>
        <v/>
      </c>
      <c r="T34" s="331" t="str">
        <f t="shared" si="31"/>
        <v/>
      </c>
      <c r="U34" s="331" t="str">
        <f t="shared" si="32"/>
        <v/>
      </c>
    </row>
    <row r="35" spans="1:26" ht="15.95" customHeight="1">
      <c r="A35" s="211">
        <f>IF(COUNTBLANK('RNEW import'!B33)=1,"",'RNEW import'!B33)</f>
        <v>32</v>
      </c>
      <c r="B35" s="211" t="str">
        <f>IF(COUNTBLANK('RNEW import'!D33)=1,"",'RNEW import'!D33)</f>
        <v>Ramnicu Valcea Shopping City SRL</v>
      </c>
      <c r="C35" s="211" t="str">
        <f>IF(COUNTBLANK('RNEW import'!E33)=1,"",'RNEW import'!E33)</f>
        <v>RRVS</v>
      </c>
      <c r="D35" s="223" t="str">
        <f>IF(COUNTBLANK('RNEW import'!K33)=1,"",'RNEW import'!K33)</f>
        <v>Regularizare Tarif distributie SDI JT Ea1</v>
      </c>
      <c r="E35" s="211">
        <f>IF(COUNTBLANK('RNEW import'!L33)=1,"",'RNEW import'!N33)</f>
        <v>0</v>
      </c>
      <c r="F35" s="211">
        <f>IF(COUNTBLANK('RNEW import'!M33)=1,"",'RNEW import'!O33/10000)</f>
        <v>0.10290000000000001</v>
      </c>
      <c r="G35" s="217">
        <f t="shared" si="19"/>
        <v>0</v>
      </c>
      <c r="H35" s="217">
        <f t="shared" si="20"/>
        <v>0</v>
      </c>
      <c r="I35" s="329">
        <f t="shared" si="21"/>
        <v>0</v>
      </c>
      <c r="J35" s="237" t="str">
        <f t="shared" si="22"/>
        <v/>
      </c>
      <c r="K35" s="238" t="str">
        <f t="shared" si="6"/>
        <v/>
      </c>
      <c r="L35" s="238" t="str">
        <f t="shared" si="7"/>
        <v/>
      </c>
      <c r="M35" s="238" t="str">
        <f t="shared" si="8"/>
        <v/>
      </c>
      <c r="N35" s="238" t="str">
        <f t="shared" si="9"/>
        <v/>
      </c>
      <c r="O35" s="232"/>
      <c r="P35" s="219" t="str">
        <f t="shared" si="23"/>
        <v/>
      </c>
      <c r="Q35" s="219" t="str">
        <f t="shared" si="24"/>
        <v/>
      </c>
      <c r="R35" s="219" t="str">
        <f t="shared" si="25"/>
        <v/>
      </c>
      <c r="S35" s="331" t="str">
        <f t="shared" si="30"/>
        <v/>
      </c>
      <c r="T35" s="331" t="str">
        <f t="shared" si="31"/>
        <v/>
      </c>
      <c r="U35" s="331" t="str">
        <f t="shared" si="32"/>
        <v/>
      </c>
    </row>
    <row r="36" spans="1:26" ht="15.95" customHeight="1">
      <c r="A36" s="211">
        <f>IF(COUNTBLANK('RNEW import'!B34)=1,"",'RNEW import'!B34)</f>
        <v>33</v>
      </c>
      <c r="B36" s="211" t="str">
        <f>IF(COUNTBLANK('RNEW import'!D34)=1,"",'RNEW import'!D34)</f>
        <v>Ramnicu Valcea Shopping City SRL</v>
      </c>
      <c r="C36" s="211" t="str">
        <f>IF(COUNTBLANK('RNEW import'!E34)=1,"",'RNEW import'!E34)</f>
        <v>RRVS</v>
      </c>
      <c r="D36" s="224" t="str">
        <f>IF(COUNTBLANK('RNEW import'!K34)=1,"",'RNEW import'!K34)</f>
        <v>Regularizare Energie activa 2</v>
      </c>
      <c r="E36" s="211">
        <f>IF(COUNTBLANK('RNEW import'!L34)=1,"",'RNEW import'!N34)</f>
        <v>0</v>
      </c>
      <c r="F36" s="211">
        <f>IF(COUNTBLANK('RNEW import'!M34)=1,"",'RNEW import'!O34/10000)</f>
        <v>0.97511759999999992</v>
      </c>
      <c r="G36" s="217">
        <f t="shared" si="19"/>
        <v>0</v>
      </c>
      <c r="H36" s="217">
        <f t="shared" si="20"/>
        <v>0</v>
      </c>
      <c r="I36" s="329">
        <f t="shared" si="21"/>
        <v>0</v>
      </c>
      <c r="J36" s="237" t="str">
        <f t="shared" si="22"/>
        <v/>
      </c>
      <c r="K36" s="238" t="str">
        <f t="shared" si="6"/>
        <v/>
      </c>
      <c r="L36" s="238" t="str">
        <f t="shared" si="7"/>
        <v/>
      </c>
      <c r="M36" s="238" t="str">
        <f t="shared" si="8"/>
        <v/>
      </c>
      <c r="N36" s="238" t="str">
        <f t="shared" si="9"/>
        <v/>
      </c>
      <c r="O36" s="232"/>
      <c r="P36" s="219" t="str">
        <f t="shared" si="23"/>
        <v/>
      </c>
      <c r="Q36" s="219" t="str">
        <f t="shared" si="24"/>
        <v/>
      </c>
      <c r="R36" s="219" t="str">
        <f t="shared" si="25"/>
        <v/>
      </c>
      <c r="S36" s="331" t="str">
        <f t="shared" si="30"/>
        <v/>
      </c>
      <c r="T36" s="331" t="str">
        <f t="shared" si="31"/>
        <v/>
      </c>
      <c r="U36" s="331" t="str">
        <f t="shared" si="32"/>
        <v/>
      </c>
    </row>
    <row r="37" spans="1:26" ht="15.95" customHeight="1">
      <c r="A37" s="211">
        <f>IF(COUNTBLANK('RNEW import'!B35)=1,"",'RNEW import'!B35)</f>
        <v>34</v>
      </c>
      <c r="B37" s="211" t="str">
        <f>IF(COUNTBLANK('RNEW import'!D35)=1,"",'RNEW import'!D35)</f>
        <v>Ramnicu Valcea Shopping City SRL</v>
      </c>
      <c r="C37" s="211" t="str">
        <f>IF(COUNTBLANK('RNEW import'!E35)=1,"",'RNEW import'!E35)</f>
        <v>RRVS</v>
      </c>
      <c r="D37" s="224" t="str">
        <f>IF(COUNTBLANK('RNEW import'!K35)=1,"",'RNEW import'!K35)</f>
        <v>Regularizare Energie activa 3</v>
      </c>
      <c r="E37" s="211">
        <f>IF(COUNTBLANK('RNEW import'!L35)=1,"",'RNEW import'!N35)</f>
        <v>0</v>
      </c>
      <c r="F37" s="211">
        <f>IF(COUNTBLANK('RNEW import'!M35)=1,"",'RNEW import'!O35/10000)</f>
        <v>0.85521759999999991</v>
      </c>
      <c r="G37" s="217">
        <f t="shared" ref="G37:G100" si="39">ROUND(E37*F37,2)</f>
        <v>0</v>
      </c>
      <c r="H37" s="217">
        <f t="shared" si="20"/>
        <v>0</v>
      </c>
      <c r="I37" s="329">
        <f t="shared" ref="I37:I100" si="40">G37+H37</f>
        <v>0</v>
      </c>
      <c r="J37" s="237" t="str">
        <f t="shared" si="22"/>
        <v/>
      </c>
      <c r="K37" s="238" t="str">
        <f t="shared" si="6"/>
        <v/>
      </c>
      <c r="L37" s="238" t="str">
        <f t="shared" si="7"/>
        <v/>
      </c>
      <c r="M37" s="238" t="str">
        <f t="shared" si="8"/>
        <v/>
      </c>
      <c r="N37" s="238" t="str">
        <f t="shared" si="9"/>
        <v/>
      </c>
      <c r="O37" s="233"/>
      <c r="P37" s="219" t="str">
        <f t="shared" si="23"/>
        <v/>
      </c>
      <c r="Q37" s="219" t="str">
        <f t="shared" si="24"/>
        <v/>
      </c>
      <c r="R37" s="219" t="str">
        <f t="shared" si="25"/>
        <v/>
      </c>
      <c r="S37" s="331" t="str">
        <f t="shared" si="30"/>
        <v/>
      </c>
      <c r="T37" s="331" t="str">
        <f t="shared" si="31"/>
        <v/>
      </c>
      <c r="U37" s="331" t="str">
        <f t="shared" si="32"/>
        <v/>
      </c>
    </row>
    <row r="38" spans="1:26" ht="15.95" customHeight="1">
      <c r="A38" s="211">
        <f>IF(COUNTBLANK('RNEW import'!B36)=1,"",'RNEW import'!B36)</f>
        <v>35</v>
      </c>
      <c r="B38" s="211" t="str">
        <f>IF(COUNTBLANK('RNEW import'!D36)=1,"",'RNEW import'!D36)</f>
        <v>Ramnicu Valcea Shopping City SRL</v>
      </c>
      <c r="C38" s="211" t="str">
        <f>IF(COUNTBLANK('RNEW import'!E36)=1,"",'RNEW import'!E36)</f>
        <v>RRVS</v>
      </c>
      <c r="D38" s="223" t="str">
        <f>IF(COUNTBLANK('RNEW import'!K36)=1,"",'RNEW import'!K36)</f>
        <v>Regularizare Tarif distributie SDI MT Ea3</v>
      </c>
      <c r="E38" s="211">
        <f>IF(COUNTBLANK('RNEW import'!L36)=1,"",'RNEW import'!N36)</f>
        <v>0</v>
      </c>
      <c r="F38" s="211">
        <f>IF(COUNTBLANK('RNEW import'!M36)=1,"",'RNEW import'!O36/10000)</f>
        <v>1.7000000000000001E-2</v>
      </c>
      <c r="G38" s="217">
        <f t="shared" si="39"/>
        <v>0</v>
      </c>
      <c r="H38" s="217">
        <f t="shared" si="20"/>
        <v>0</v>
      </c>
      <c r="I38" s="329">
        <f t="shared" si="40"/>
        <v>0</v>
      </c>
      <c r="J38" s="237" t="str">
        <f t="shared" si="22"/>
        <v/>
      </c>
      <c r="K38" s="238" t="str">
        <f t="shared" si="6"/>
        <v/>
      </c>
      <c r="L38" s="238" t="str">
        <f t="shared" si="7"/>
        <v/>
      </c>
      <c r="M38" s="238" t="str">
        <f t="shared" si="8"/>
        <v/>
      </c>
      <c r="N38" s="238" t="str">
        <f t="shared" si="9"/>
        <v/>
      </c>
      <c r="O38" s="218" t="str">
        <f t="shared" ref="O38:O101" si="41">IF(A38=1,B38,"")</f>
        <v/>
      </c>
      <c r="P38" s="219" t="str">
        <f t="shared" si="23"/>
        <v/>
      </c>
      <c r="Q38" s="219" t="str">
        <f t="shared" si="24"/>
        <v/>
      </c>
      <c r="R38" s="219" t="str">
        <f t="shared" si="25"/>
        <v/>
      </c>
      <c r="S38" s="331" t="str">
        <f t="shared" si="30"/>
        <v/>
      </c>
      <c r="T38" s="331" t="str">
        <f t="shared" si="31"/>
        <v/>
      </c>
      <c r="U38" s="331" t="str">
        <f t="shared" si="32"/>
        <v/>
      </c>
    </row>
    <row r="39" spans="1:26" ht="15.95" customHeight="1">
      <c r="A39" s="211">
        <f>IF(COUNTBLANK('RNEW import'!B37)=1,"",'RNEW import'!B37)</f>
        <v>36</v>
      </c>
      <c r="B39" s="211" t="str">
        <f>IF(COUNTBLANK('RNEW import'!D37)=1,"",'RNEW import'!D37)</f>
        <v>Ramnicu Valcea Shopping City SRL</v>
      </c>
      <c r="C39" s="211" t="str">
        <f>IF(COUNTBLANK('RNEW import'!E37)=1,"",'RNEW import'!E37)</f>
        <v>RRVS</v>
      </c>
      <c r="D39" s="223" t="str">
        <f>IF(COUNTBLANK('RNEW import'!K37)=1,"",'RNEW import'!K37)</f>
        <v>Regularizare Tarif distributie SDI JT Ea3</v>
      </c>
      <c r="E39" s="211">
        <f>IF(COUNTBLANK('RNEW import'!L37)=1,"",'RNEW import'!N37)</f>
        <v>0</v>
      </c>
      <c r="F39" s="211">
        <f>IF(COUNTBLANK('RNEW import'!M37)=1,"",'RNEW import'!O37/10000)</f>
        <v>0.10290000000000001</v>
      </c>
      <c r="G39" s="217">
        <f t="shared" si="39"/>
        <v>0</v>
      </c>
      <c r="H39" s="217">
        <f t="shared" si="20"/>
        <v>0</v>
      </c>
      <c r="I39" s="329">
        <f t="shared" si="40"/>
        <v>0</v>
      </c>
      <c r="J39" s="237" t="str">
        <f t="shared" si="22"/>
        <v/>
      </c>
      <c r="K39" s="238" t="str">
        <f t="shared" si="6"/>
        <v/>
      </c>
      <c r="L39" s="238" t="str">
        <f t="shared" si="7"/>
        <v/>
      </c>
      <c r="M39" s="238" t="str">
        <f t="shared" si="8"/>
        <v/>
      </c>
      <c r="N39" s="238" t="str">
        <f t="shared" si="9"/>
        <v/>
      </c>
      <c r="O39" s="232" t="str">
        <f t="shared" si="41"/>
        <v/>
      </c>
      <c r="P39" s="219" t="str">
        <f t="shared" si="23"/>
        <v>Energie consumata din PV regularizare</v>
      </c>
      <c r="Q39" s="219">
        <f t="shared" si="24"/>
        <v>0</v>
      </c>
      <c r="R39" s="219">
        <f t="shared" si="25"/>
        <v>0</v>
      </c>
      <c r="S39" s="331">
        <f t="shared" si="30"/>
        <v>0</v>
      </c>
      <c r="T39" s="331">
        <f t="shared" si="31"/>
        <v>0</v>
      </c>
      <c r="U39" s="331">
        <f t="shared" si="32"/>
        <v>0</v>
      </c>
    </row>
    <row r="40" spans="1:26" ht="15.95" customHeight="1">
      <c r="A40" s="211">
        <f>IF(COUNTBLANK('RNEW import'!B38)=1,"",'RNEW import'!B38)</f>
        <v>1</v>
      </c>
      <c r="B40" s="211" t="str">
        <f>IF(COUNTBLANK('RNEW import'!D38)=1,"",'RNEW import'!D38)</f>
        <v>Braila Promenada Mall SRL</v>
      </c>
      <c r="C40" s="211" t="str">
        <f>IF(COUNTBLANK('RNEW import'!E38)=1,"",'RNEW import'!E38)</f>
        <v>RBPM</v>
      </c>
      <c r="D40" s="211" t="str">
        <f>IF(COUNTBLANK('RNEW import'!K38)=1,"",'RNEW import'!K38)</f>
        <v>Energie activa 1</v>
      </c>
      <c r="E40" s="211">
        <f>IF(COUNTBLANK('RNEW import'!L38)=1,"",'RNEW import'!N38)</f>
        <v>281670</v>
      </c>
      <c r="F40" s="211">
        <f>IF(COUNTBLANK('RNEW import'!M38)=1,"",'RNEW import'!O38/10000)</f>
        <v>0.59499999999999997</v>
      </c>
      <c r="G40" s="217">
        <f t="shared" si="39"/>
        <v>167593.65</v>
      </c>
      <c r="H40" s="217">
        <f t="shared" si="20"/>
        <v>31842.79</v>
      </c>
      <c r="I40" s="329">
        <f t="shared" si="40"/>
        <v>199436.44</v>
      </c>
      <c r="J40" s="237" t="str">
        <f t="shared" si="22"/>
        <v>Braila Promenada Mall SRL</v>
      </c>
      <c r="K40" s="238">
        <f t="shared" si="6"/>
        <v>41223.68</v>
      </c>
      <c r="L40" s="238">
        <f t="shared" si="7"/>
        <v>263417.58</v>
      </c>
      <c r="M40" s="238">
        <f t="shared" si="8"/>
        <v>205495.18</v>
      </c>
      <c r="N40" s="238">
        <f t="shared" si="9"/>
        <v>307410</v>
      </c>
      <c r="O40" s="232" t="str">
        <f t="shared" si="41"/>
        <v>Braila Promenada Mall SRL</v>
      </c>
      <c r="P40" s="219" t="str">
        <f t="shared" si="23"/>
        <v>Enegie activa</v>
      </c>
      <c r="Q40" s="219">
        <f t="shared" si="24"/>
        <v>281670</v>
      </c>
      <c r="R40" s="219">
        <f t="shared" si="25"/>
        <v>0.96634299999999995</v>
      </c>
      <c r="S40" s="331">
        <f t="shared" si="30"/>
        <v>272189.75</v>
      </c>
      <c r="T40" s="331">
        <f t="shared" si="31"/>
        <v>51716.04</v>
      </c>
      <c r="U40" s="331">
        <f t="shared" si="32"/>
        <v>323905.78999999998</v>
      </c>
    </row>
    <row r="41" spans="1:26" ht="15.95" customHeight="1">
      <c r="A41" s="211">
        <f>IF(COUNTBLANK('RNEW import'!B39)=1,"",'RNEW import'!B39)</f>
        <v>2</v>
      </c>
      <c r="B41" s="211" t="str">
        <f>IF(COUNTBLANK('RNEW import'!D39)=1,"",'RNEW import'!D39)</f>
        <v>Braila Promenada Mall SRL</v>
      </c>
      <c r="C41" s="211" t="str">
        <f>IF(COUNTBLANK('RNEW import'!E39)=1,"",'RNEW import'!E39)</f>
        <v>RBPM</v>
      </c>
      <c r="D41" s="211" t="str">
        <f>IF(COUNTBLANK('RNEW import'!K39)=1,"",'RNEW import'!K39)</f>
        <v>Energie reactiva  1X</v>
      </c>
      <c r="E41" s="211">
        <f>IF(COUNTBLANK('RNEW import'!L39)=1,"",'RNEW import'!N39)</f>
        <v>0</v>
      </c>
      <c r="F41" s="211">
        <f>IF(COUNTBLANK('RNEW import'!M39)=1,"",'RNEW import'!O39/10000)</f>
        <v>0.14649999999999999</v>
      </c>
      <c r="G41" s="217">
        <f t="shared" si="39"/>
        <v>0</v>
      </c>
      <c r="H41" s="217">
        <f t="shared" si="20"/>
        <v>0</v>
      </c>
      <c r="I41" s="329">
        <f t="shared" si="40"/>
        <v>0</v>
      </c>
      <c r="J41" s="237" t="str">
        <f t="shared" si="22"/>
        <v/>
      </c>
      <c r="K41" s="238" t="str">
        <f t="shared" si="6"/>
        <v/>
      </c>
      <c r="L41" s="238" t="str">
        <f t="shared" si="7"/>
        <v/>
      </c>
      <c r="M41" s="238" t="str">
        <f t="shared" si="8"/>
        <v/>
      </c>
      <c r="N41" s="238" t="str">
        <f t="shared" si="9"/>
        <v/>
      </c>
      <c r="O41" s="232" t="str">
        <f t="shared" si="41"/>
        <v/>
      </c>
      <c r="P41" s="219" t="str">
        <f t="shared" si="23"/>
        <v>Energie reactiva 1x</v>
      </c>
      <c r="Q41" s="219">
        <f t="shared" si="24"/>
        <v>0</v>
      </c>
      <c r="R41" s="219">
        <f t="shared" si="25"/>
        <v>0.14649999999999999</v>
      </c>
      <c r="S41" s="331">
        <f t="shared" si="30"/>
        <v>0</v>
      </c>
      <c r="T41" s="331">
        <f t="shared" si="31"/>
        <v>0</v>
      </c>
      <c r="U41" s="331">
        <f t="shared" si="32"/>
        <v>0</v>
      </c>
    </row>
    <row r="42" spans="1:26" ht="15.95" customHeight="1">
      <c r="A42" s="211">
        <f>IF(COUNTBLANK('RNEW import'!B40)=1,"",'RNEW import'!B40)</f>
        <v>3</v>
      </c>
      <c r="B42" s="211" t="str">
        <f>IF(COUNTBLANK('RNEW import'!D40)=1,"",'RNEW import'!D40)</f>
        <v>Braila Promenada Mall SRL</v>
      </c>
      <c r="C42" s="211" t="str">
        <f>IF(COUNTBLANK('RNEW import'!E40)=1,"",'RNEW import'!E40)</f>
        <v>RBPM</v>
      </c>
      <c r="D42" s="211" t="str">
        <f>IF(COUNTBLANK('RNEW import'!K40)=1,"",'RNEW import'!K40)</f>
        <v>Energie reactiva  3X</v>
      </c>
      <c r="E42" s="211">
        <f>IF(COUNTBLANK('RNEW import'!L40)=1,"",'RNEW import'!N40)</f>
        <v>0</v>
      </c>
      <c r="F42" s="211">
        <f>IF(COUNTBLANK('RNEW import'!M40)=1,"",'RNEW import'!O40/10000)</f>
        <v>0.4395</v>
      </c>
      <c r="G42" s="217">
        <f t="shared" si="39"/>
        <v>0</v>
      </c>
      <c r="H42" s="217">
        <f t="shared" si="20"/>
        <v>0</v>
      </c>
      <c r="I42" s="329">
        <f t="shared" si="40"/>
        <v>0</v>
      </c>
      <c r="J42" s="237" t="str">
        <f t="shared" si="22"/>
        <v/>
      </c>
      <c r="K42" s="238" t="str">
        <f t="shared" si="6"/>
        <v/>
      </c>
      <c r="L42" s="238" t="str">
        <f t="shared" si="7"/>
        <v/>
      </c>
      <c r="M42" s="238" t="str">
        <f t="shared" si="8"/>
        <v/>
      </c>
      <c r="N42" s="238" t="str">
        <f t="shared" si="9"/>
        <v/>
      </c>
      <c r="O42" s="232" t="str">
        <f t="shared" si="41"/>
        <v/>
      </c>
      <c r="P42" s="219" t="str">
        <f t="shared" si="23"/>
        <v>Energie reactiva 3x</v>
      </c>
      <c r="Q42" s="219">
        <f t="shared" si="24"/>
        <v>0</v>
      </c>
      <c r="R42" s="219">
        <f t="shared" si="25"/>
        <v>0.4395</v>
      </c>
      <c r="S42" s="331">
        <f t="shared" si="30"/>
        <v>0</v>
      </c>
      <c r="T42" s="331">
        <f t="shared" si="31"/>
        <v>0</v>
      </c>
      <c r="U42" s="331">
        <f t="shared" si="32"/>
        <v>0</v>
      </c>
    </row>
    <row r="43" spans="1:26" ht="15.95" customHeight="1">
      <c r="A43" s="211">
        <f>IF(COUNTBLANK('RNEW import'!B41)=1,"",'RNEW import'!B41)</f>
        <v>4</v>
      </c>
      <c r="B43" s="211" t="str">
        <f>IF(COUNTBLANK('RNEW import'!D41)=1,"",'RNEW import'!D41)</f>
        <v>Braila Promenada Mall SRL</v>
      </c>
      <c r="C43" s="211" t="str">
        <f>IF(COUNTBLANK('RNEW import'!E41)=1,"",'RNEW import'!E41)</f>
        <v>RBPM</v>
      </c>
      <c r="D43" s="211" t="str">
        <f>IF(COUNTBLANK('RNEW import'!K41)=1,"",'RNEW import'!K41)</f>
        <v>Tarife distributie en. El IT+MT</v>
      </c>
      <c r="E43" s="211">
        <f>IF(COUNTBLANK('RNEW import'!L41)=1,"",'RNEW import'!N41)</f>
        <v>281670</v>
      </c>
      <c r="F43" s="211">
        <f>IF(COUNTBLANK('RNEW import'!M41)=1,"",'RNEW import'!O41/10000)</f>
        <v>0.11483</v>
      </c>
      <c r="G43" s="217">
        <f t="shared" si="39"/>
        <v>32344.17</v>
      </c>
      <c r="H43" s="217">
        <f t="shared" si="20"/>
        <v>6145.39</v>
      </c>
      <c r="I43" s="329">
        <f t="shared" si="40"/>
        <v>38489.56</v>
      </c>
      <c r="J43" s="237" t="str">
        <f t="shared" si="22"/>
        <v/>
      </c>
      <c r="K43" s="238" t="str">
        <f t="shared" si="6"/>
        <v/>
      </c>
      <c r="L43" s="238" t="str">
        <f t="shared" si="7"/>
        <v/>
      </c>
      <c r="M43" s="238" t="str">
        <f t="shared" si="8"/>
        <v/>
      </c>
      <c r="N43" s="238" t="str">
        <f t="shared" si="9"/>
        <v/>
      </c>
      <c r="O43" s="232" t="str">
        <f t="shared" si="41"/>
        <v/>
      </c>
      <c r="P43" s="219" t="str">
        <f t="shared" si="23"/>
        <v/>
      </c>
      <c r="Q43" s="219" t="str">
        <f t="shared" si="24"/>
        <v/>
      </c>
      <c r="R43" s="219" t="str">
        <f t="shared" si="25"/>
        <v/>
      </c>
      <c r="S43" s="331" t="str">
        <f t="shared" si="30"/>
        <v/>
      </c>
      <c r="T43" s="331" t="str">
        <f t="shared" si="31"/>
        <v/>
      </c>
      <c r="U43" s="331" t="str">
        <f t="shared" si="32"/>
        <v/>
      </c>
    </row>
    <row r="44" spans="1:26" ht="15.95" customHeight="1">
      <c r="A44" s="211">
        <f>IF(COUNTBLANK('RNEW import'!B42)=1,"",'RNEW import'!B42)</f>
        <v>5</v>
      </c>
      <c r="B44" s="211" t="str">
        <f>IF(COUNTBLANK('RNEW import'!D42)=1,"",'RNEW import'!D42)</f>
        <v>Braila Promenada Mall SRL</v>
      </c>
      <c r="C44" s="211" t="str">
        <f>IF(COUNTBLANK('RNEW import'!E42)=1,"",'RNEW import'!E42)</f>
        <v>RBPM</v>
      </c>
      <c r="D44" s="211" t="str">
        <f>IF(COUNTBLANK('RNEW import'!K42)=1,"",'RNEW import'!K42)</f>
        <v>Tarife distributie en. El JT</v>
      </c>
      <c r="E44" s="211">
        <f>IF(COUNTBLANK('RNEW import'!L42)=1,"",'RNEW import'!N42)</f>
        <v>0</v>
      </c>
      <c r="F44" s="211">
        <f>IF(COUNTBLANK('RNEW import'!M42)=1,"",'RNEW import'!O42/10000)</f>
        <v>0.2361</v>
      </c>
      <c r="G44" s="217">
        <f t="shared" si="39"/>
        <v>0</v>
      </c>
      <c r="H44" s="217">
        <f t="shared" si="20"/>
        <v>0</v>
      </c>
      <c r="I44" s="329">
        <f t="shared" si="40"/>
        <v>0</v>
      </c>
      <c r="J44" s="237" t="str">
        <f t="shared" si="22"/>
        <v/>
      </c>
      <c r="K44" s="238" t="str">
        <f t="shared" si="6"/>
        <v/>
      </c>
      <c r="L44" s="238" t="str">
        <f t="shared" si="7"/>
        <v/>
      </c>
      <c r="M44" s="238" t="str">
        <f t="shared" si="8"/>
        <v/>
      </c>
      <c r="N44" s="238" t="str">
        <f t="shared" si="9"/>
        <v/>
      </c>
      <c r="O44" s="232" t="str">
        <f t="shared" si="41"/>
        <v/>
      </c>
      <c r="P44" s="219" t="str">
        <f t="shared" si="23"/>
        <v/>
      </c>
      <c r="Q44" s="219" t="str">
        <f t="shared" si="24"/>
        <v/>
      </c>
      <c r="R44" s="219" t="str">
        <f t="shared" si="25"/>
        <v/>
      </c>
      <c r="S44" s="331" t="str">
        <f t="shared" si="30"/>
        <v/>
      </c>
      <c r="T44" s="331" t="str">
        <f t="shared" si="31"/>
        <v/>
      </c>
      <c r="U44" s="331" t="str">
        <f t="shared" si="32"/>
        <v/>
      </c>
    </row>
    <row r="45" spans="1:26" ht="15.95" customHeight="1">
      <c r="A45" s="211">
        <f>IF(COUNTBLANK('RNEW import'!B43)=1,"",'RNEW import'!B43)</f>
        <v>6</v>
      </c>
      <c r="B45" s="211" t="str">
        <f>IF(COUNTBLANK('RNEW import'!D43)=1,"",'RNEW import'!D43)</f>
        <v>Braila Promenada Mall SRL</v>
      </c>
      <c r="C45" s="211" t="str">
        <f>IF(COUNTBLANK('RNEW import'!E43)=1,"",'RNEW import'!E43)</f>
        <v>RBPM</v>
      </c>
      <c r="D45" s="211" t="str">
        <f>IF(COUNTBLANK('RNEW import'!K43)=1,"",'RNEW import'!K43)</f>
        <v xml:space="preserve">Servicii Sistem </v>
      </c>
      <c r="E45" s="211">
        <f>IF(COUNTBLANK('RNEW import'!L43)=1,"",'RNEW import'!N43)</f>
        <v>281670</v>
      </c>
      <c r="F45" s="211">
        <f>IF(COUNTBLANK('RNEW import'!M43)=1,"",'RNEW import'!O43/10000)</f>
        <v>1.1509999999999999E-2</v>
      </c>
      <c r="G45" s="217">
        <f t="shared" si="39"/>
        <v>3242.02</v>
      </c>
      <c r="H45" s="217">
        <f t="shared" si="20"/>
        <v>615.98</v>
      </c>
      <c r="I45" s="329">
        <f t="shared" si="40"/>
        <v>3858</v>
      </c>
      <c r="J45" s="237" t="str">
        <f t="shared" si="22"/>
        <v/>
      </c>
      <c r="K45" s="238" t="str">
        <f t="shared" si="6"/>
        <v/>
      </c>
      <c r="L45" s="238" t="str">
        <f t="shared" si="7"/>
        <v/>
      </c>
      <c r="M45" s="238" t="str">
        <f t="shared" si="8"/>
        <v/>
      </c>
      <c r="N45" s="238" t="str">
        <f t="shared" si="9"/>
        <v/>
      </c>
      <c r="O45" s="232" t="str">
        <f t="shared" si="41"/>
        <v/>
      </c>
      <c r="P45" s="219" t="str">
        <f t="shared" si="23"/>
        <v/>
      </c>
      <c r="Q45" s="219" t="str">
        <f t="shared" si="24"/>
        <v/>
      </c>
      <c r="R45" s="219" t="str">
        <f t="shared" si="25"/>
        <v/>
      </c>
      <c r="S45" s="331" t="str">
        <f t="shared" si="30"/>
        <v/>
      </c>
      <c r="T45" s="331" t="str">
        <f t="shared" si="31"/>
        <v/>
      </c>
      <c r="U45" s="331" t="str">
        <f t="shared" si="32"/>
        <v/>
      </c>
    </row>
    <row r="46" spans="1:26" ht="15.95" customHeight="1">
      <c r="A46" s="211">
        <f>IF(COUNTBLANK('RNEW import'!B44)=1,"",'RNEW import'!B44)</f>
        <v>7</v>
      </c>
      <c r="B46" s="211" t="str">
        <f>IF(COUNTBLANK('RNEW import'!D44)=1,"",'RNEW import'!D44)</f>
        <v>Braila Promenada Mall SRL</v>
      </c>
      <c r="C46" s="211" t="str">
        <f>IF(COUNTBLANK('RNEW import'!E44)=1,"",'RNEW import'!E44)</f>
        <v>RBPM</v>
      </c>
      <c r="D46" s="211" t="str">
        <f>IF(COUNTBLANK('RNEW import'!K44)=1,"",'RNEW import'!K44)</f>
        <v>Tarif de introducere en. el in retea (TL)</v>
      </c>
      <c r="E46" s="211">
        <f>IF(COUNTBLANK('RNEW import'!L44)=1,"",'RNEW import'!N44)</f>
        <v>281670</v>
      </c>
      <c r="F46" s="211">
        <f>IF(COUNTBLANK('RNEW import'!M44)=1,"",'RNEW import'!O44/10000)</f>
        <v>3.3030000000000004E-2</v>
      </c>
      <c r="G46" s="217">
        <f t="shared" si="39"/>
        <v>9303.56</v>
      </c>
      <c r="H46" s="217">
        <f t="shared" si="20"/>
        <v>1767.68</v>
      </c>
      <c r="I46" s="329">
        <f t="shared" si="40"/>
        <v>11071.24</v>
      </c>
      <c r="J46" s="237" t="str">
        <f t="shared" si="22"/>
        <v/>
      </c>
      <c r="K46" s="238" t="str">
        <f t="shared" si="6"/>
        <v/>
      </c>
      <c r="L46" s="238" t="str">
        <f t="shared" si="7"/>
        <v/>
      </c>
      <c r="M46" s="238" t="str">
        <f t="shared" si="8"/>
        <v/>
      </c>
      <c r="N46" s="238" t="str">
        <f t="shared" si="9"/>
        <v/>
      </c>
      <c r="O46" s="232" t="str">
        <f t="shared" si="41"/>
        <v/>
      </c>
      <c r="P46" s="219" t="str">
        <f t="shared" si="23"/>
        <v/>
      </c>
      <c r="Q46" s="219" t="str">
        <f t="shared" si="24"/>
        <v/>
      </c>
      <c r="R46" s="219" t="str">
        <f t="shared" si="25"/>
        <v/>
      </c>
      <c r="S46" s="331" t="str">
        <f t="shared" si="30"/>
        <v/>
      </c>
      <c r="T46" s="331" t="str">
        <f t="shared" si="31"/>
        <v/>
      </c>
      <c r="U46" s="331" t="str">
        <f t="shared" si="32"/>
        <v/>
      </c>
    </row>
    <row r="47" spans="1:26" ht="15.95" customHeight="1">
      <c r="A47" s="211">
        <f>IF(COUNTBLANK('RNEW import'!B45)=1,"",'RNEW import'!B45)</f>
        <v>8</v>
      </c>
      <c r="B47" s="211" t="str">
        <f>IF(COUNTBLANK('RNEW import'!D45)=1,"",'RNEW import'!D45)</f>
        <v>Braila Promenada Mall SRL</v>
      </c>
      <c r="C47" s="211" t="str">
        <f>IF(COUNTBLANK('RNEW import'!E45)=1,"",'RNEW import'!E45)</f>
        <v>RBPM</v>
      </c>
      <c r="D47" s="211" t="str">
        <f>IF(COUNTBLANK('RNEW import'!K45)=1,"",'RNEW import'!K45)</f>
        <v>Tarif de introducere en.el in retea (TG)</v>
      </c>
      <c r="E47" s="211">
        <f>IF(COUNTBLANK('RNEW import'!L45)=1,"",'RNEW import'!N45)</f>
        <v>281670</v>
      </c>
      <c r="F47" s="211">
        <f>IF(COUNTBLANK('RNEW import'!M45)=1,"",'RNEW import'!O45/10000)</f>
        <v>3.29E-3</v>
      </c>
      <c r="G47" s="217">
        <f t="shared" si="39"/>
        <v>926.69</v>
      </c>
      <c r="H47" s="217">
        <f t="shared" si="20"/>
        <v>176.07</v>
      </c>
      <c r="I47" s="329">
        <f t="shared" si="40"/>
        <v>1102.76</v>
      </c>
      <c r="J47" s="237" t="str">
        <f t="shared" si="22"/>
        <v/>
      </c>
      <c r="K47" s="238" t="str">
        <f t="shared" si="6"/>
        <v/>
      </c>
      <c r="L47" s="238" t="str">
        <f t="shared" si="7"/>
        <v/>
      </c>
      <c r="M47" s="238" t="str">
        <f t="shared" si="8"/>
        <v/>
      </c>
      <c r="N47" s="238" t="str">
        <f t="shared" si="9"/>
        <v/>
      </c>
      <c r="O47" s="232" t="str">
        <f t="shared" si="41"/>
        <v/>
      </c>
      <c r="P47" s="219" t="str">
        <f t="shared" si="23"/>
        <v/>
      </c>
      <c r="Q47" s="219" t="str">
        <f t="shared" si="24"/>
        <v/>
      </c>
      <c r="R47" s="219" t="str">
        <f t="shared" si="25"/>
        <v/>
      </c>
      <c r="S47" s="331" t="str">
        <f t="shared" si="30"/>
        <v/>
      </c>
      <c r="T47" s="331" t="str">
        <f t="shared" si="31"/>
        <v/>
      </c>
      <c r="U47" s="331" t="str">
        <f t="shared" si="32"/>
        <v/>
      </c>
    </row>
    <row r="48" spans="1:26" ht="15.95" customHeight="1">
      <c r="A48" s="211">
        <f>IF(COUNTBLANK('RNEW import'!B46)=1,"",'RNEW import'!B46)</f>
        <v>9</v>
      </c>
      <c r="B48" s="211" t="str">
        <f>IF(COUNTBLANK('RNEW import'!D46)=1,"",'RNEW import'!D46)</f>
        <v>Braila Promenada Mall SRL</v>
      </c>
      <c r="C48" s="211" t="str">
        <f>IF(COUNTBLANK('RNEW import'!E46)=1,"",'RNEW import'!E46)</f>
        <v>RBPM</v>
      </c>
      <c r="D48" s="211" t="str">
        <f>IF(COUNTBLANK('RNEW import'!K46)=1,"",'RNEW import'!K46)</f>
        <v>Contributie pentru cogenerare</v>
      </c>
      <c r="E48" s="211">
        <f>IF(COUNTBLANK('RNEW import'!L46)=1,"",'RNEW import'!N46)</f>
        <v>281670</v>
      </c>
      <c r="F48" s="211">
        <f>IF(COUNTBLANK('RNEW import'!M46)=1,"",'RNEW import'!O46/10000)</f>
        <v>3.5000000000000001E-3</v>
      </c>
      <c r="G48" s="217">
        <f t="shared" si="39"/>
        <v>985.85</v>
      </c>
      <c r="H48" s="217">
        <f t="shared" si="20"/>
        <v>187.31</v>
      </c>
      <c r="I48" s="329">
        <f t="shared" si="40"/>
        <v>1173.1600000000001</v>
      </c>
      <c r="J48" s="237" t="str">
        <f t="shared" si="22"/>
        <v/>
      </c>
      <c r="K48" s="238" t="str">
        <f t="shared" si="6"/>
        <v/>
      </c>
      <c r="L48" s="238" t="str">
        <f t="shared" si="7"/>
        <v/>
      </c>
      <c r="M48" s="238" t="str">
        <f t="shared" si="8"/>
        <v/>
      </c>
      <c r="N48" s="238" t="str">
        <f t="shared" si="9"/>
        <v/>
      </c>
      <c r="O48" s="232" t="str">
        <f t="shared" si="41"/>
        <v/>
      </c>
      <c r="P48" s="219" t="str">
        <f t="shared" si="23"/>
        <v/>
      </c>
      <c r="Q48" s="219" t="str">
        <f t="shared" si="24"/>
        <v/>
      </c>
      <c r="R48" s="219" t="str">
        <f t="shared" si="25"/>
        <v/>
      </c>
      <c r="S48" s="331" t="str">
        <f t="shared" si="30"/>
        <v/>
      </c>
      <c r="T48" s="331" t="str">
        <f t="shared" si="31"/>
        <v/>
      </c>
      <c r="U48" s="331" t="str">
        <f t="shared" si="32"/>
        <v/>
      </c>
    </row>
    <row r="49" spans="1:21" ht="15.95" customHeight="1">
      <c r="A49" s="211">
        <f>IF(COUNTBLANK('RNEW import'!B47)=1,"",'RNEW import'!B47)</f>
        <v>10</v>
      </c>
      <c r="B49" s="211" t="str">
        <f>IF(COUNTBLANK('RNEW import'!D47)=1,"",'RNEW import'!D47)</f>
        <v>Braila Promenada Mall SRL</v>
      </c>
      <c r="C49" s="211" t="str">
        <f>IF(COUNTBLANK('RNEW import'!E47)=1,"",'RNEW import'!E47)</f>
        <v>RBPM</v>
      </c>
      <c r="D49" s="211" t="str">
        <f>IF(COUNTBLANK('RNEW import'!K47)=1,"",'RNEW import'!K47)</f>
        <v xml:space="preserve">Certificate verzi </v>
      </c>
      <c r="E49" s="211">
        <f>IF(COUNTBLANK('RNEW import'!L47)=1,"",'RNEW import'!N47)</f>
        <v>281670</v>
      </c>
      <c r="F49" s="211">
        <f>IF(COUNTBLANK('RNEW import'!M47)=1,"",'RNEW import'!O47/10000)</f>
        <v>7.2541599999999998E-2</v>
      </c>
      <c r="G49" s="217">
        <f t="shared" si="39"/>
        <v>20432.79</v>
      </c>
      <c r="H49" s="217">
        <f t="shared" si="20"/>
        <v>3882.23</v>
      </c>
      <c r="I49" s="329">
        <f t="shared" si="40"/>
        <v>24315.02</v>
      </c>
      <c r="J49" s="237" t="str">
        <f t="shared" si="22"/>
        <v/>
      </c>
      <c r="K49" s="238" t="str">
        <f t="shared" si="6"/>
        <v/>
      </c>
      <c r="L49" s="238" t="str">
        <f t="shared" si="7"/>
        <v/>
      </c>
      <c r="M49" s="238" t="str">
        <f t="shared" si="8"/>
        <v/>
      </c>
      <c r="N49" s="238" t="str">
        <f t="shared" si="9"/>
        <v/>
      </c>
      <c r="O49" s="232" t="str">
        <f t="shared" si="41"/>
        <v/>
      </c>
      <c r="P49" s="219" t="str">
        <f t="shared" si="23"/>
        <v/>
      </c>
      <c r="Q49" s="219" t="str">
        <f t="shared" si="24"/>
        <v/>
      </c>
      <c r="R49" s="219" t="str">
        <f t="shared" si="25"/>
        <v/>
      </c>
      <c r="S49" s="331" t="str">
        <f t="shared" si="30"/>
        <v/>
      </c>
      <c r="T49" s="331" t="str">
        <f t="shared" si="31"/>
        <v/>
      </c>
      <c r="U49" s="331" t="str">
        <f t="shared" si="32"/>
        <v/>
      </c>
    </row>
    <row r="50" spans="1:21" ht="15.95" customHeight="1">
      <c r="A50" s="211">
        <f>IF(COUNTBLANK('RNEW import'!B48)=1,"",'RNEW import'!B48)</f>
        <v>11</v>
      </c>
      <c r="B50" s="211" t="str">
        <f>IF(COUNTBLANK('RNEW import'!D48)=1,"",'RNEW import'!D48)</f>
        <v>Braila Promenada Mall SRL</v>
      </c>
      <c r="C50" s="211" t="str">
        <f>IF(COUNTBLANK('RNEW import'!E48)=1,"",'RNEW import'!E48)</f>
        <v>RBPM</v>
      </c>
      <c r="D50" s="211" t="str">
        <f>IF(COUNTBLANK('RNEW import'!K48)=1,"",'RNEW import'!K48)</f>
        <v>Contributie CFD</v>
      </c>
      <c r="E50" s="211">
        <f>IF(COUNTBLANK('RNEW import'!L48)=1,"",'RNEW import'!N48)</f>
        <v>281670</v>
      </c>
      <c r="F50" s="211">
        <f>IF(COUNTBLANK('RNEW import'!M48)=1,"",'RNEW import'!O48/10000)</f>
        <v>2.0599999999999999E-4</v>
      </c>
      <c r="G50" s="217">
        <f t="shared" si="39"/>
        <v>58.02</v>
      </c>
      <c r="H50" s="217">
        <f t="shared" si="20"/>
        <v>11.02</v>
      </c>
      <c r="I50" s="329">
        <f t="shared" si="40"/>
        <v>69.040000000000006</v>
      </c>
      <c r="J50" s="237" t="str">
        <f t="shared" si="22"/>
        <v/>
      </c>
      <c r="K50" s="238" t="str">
        <f t="shared" si="6"/>
        <v/>
      </c>
      <c r="L50" s="238" t="str">
        <f t="shared" si="7"/>
        <v/>
      </c>
      <c r="M50" s="238" t="str">
        <f t="shared" si="8"/>
        <v/>
      </c>
      <c r="N50" s="238" t="str">
        <f t="shared" si="9"/>
        <v/>
      </c>
      <c r="O50" s="232" t="str">
        <f t="shared" si="41"/>
        <v/>
      </c>
      <c r="P50" s="219" t="str">
        <f t="shared" si="23"/>
        <v/>
      </c>
      <c r="Q50" s="219" t="str">
        <f t="shared" si="24"/>
        <v/>
      </c>
      <c r="R50" s="219" t="str">
        <f t="shared" si="25"/>
        <v/>
      </c>
      <c r="S50" s="331" t="str">
        <f t="shared" si="30"/>
        <v/>
      </c>
      <c r="T50" s="331" t="str">
        <f t="shared" si="31"/>
        <v/>
      </c>
      <c r="U50" s="331" t="str">
        <f t="shared" si="32"/>
        <v/>
      </c>
    </row>
    <row r="51" spans="1:21" ht="15.95" customHeight="1">
      <c r="A51" s="211">
        <f>IF(COUNTBLANK('RNEW import'!B49)=1,"",'RNEW import'!B49)</f>
        <v>12</v>
      </c>
      <c r="B51" s="211" t="str">
        <f>IF(COUNTBLANK('RNEW import'!D49)=1,"",'RNEW import'!D49)</f>
        <v>Braila Promenada Mall SRL</v>
      </c>
      <c r="C51" s="211" t="str">
        <f>IF(COUNTBLANK('RNEW import'!E49)=1,"",'RNEW import'!E49)</f>
        <v>RBPM</v>
      </c>
      <c r="D51" s="211" t="str">
        <f>IF(COUNTBLANK('RNEW import'!K49)=1,"",'RNEW import'!K49)</f>
        <v>Acciza</v>
      </c>
      <c r="E51" s="211">
        <f>IF(COUNTBLANK('RNEW import'!L49)=1,"",'RNEW import'!N49)</f>
        <v>281670</v>
      </c>
      <c r="F51" s="211">
        <f>IF(COUNTBLANK('RNEW import'!M49)=1,"",'RNEW import'!O49/10000)</f>
        <v>0</v>
      </c>
      <c r="G51" s="217">
        <f t="shared" si="39"/>
        <v>0</v>
      </c>
      <c r="H51" s="217">
        <f t="shared" si="20"/>
        <v>0</v>
      </c>
      <c r="I51" s="329">
        <f t="shared" si="40"/>
        <v>0</v>
      </c>
      <c r="J51" s="237" t="str">
        <f t="shared" si="22"/>
        <v/>
      </c>
      <c r="K51" s="238" t="str">
        <f t="shared" si="6"/>
        <v/>
      </c>
      <c r="L51" s="238" t="str">
        <f t="shared" si="7"/>
        <v/>
      </c>
      <c r="M51" s="238" t="str">
        <f t="shared" si="8"/>
        <v/>
      </c>
      <c r="N51" s="238" t="str">
        <f t="shared" si="9"/>
        <v/>
      </c>
      <c r="O51" s="232" t="str">
        <f t="shared" si="41"/>
        <v/>
      </c>
      <c r="P51" s="219" t="str">
        <f t="shared" si="23"/>
        <v/>
      </c>
      <c r="Q51" s="219" t="str">
        <f t="shared" si="24"/>
        <v/>
      </c>
      <c r="R51" s="219" t="str">
        <f t="shared" si="25"/>
        <v/>
      </c>
      <c r="S51" s="331" t="str">
        <f t="shared" si="30"/>
        <v/>
      </c>
      <c r="T51" s="331" t="str">
        <f t="shared" si="31"/>
        <v/>
      </c>
      <c r="U51" s="331" t="str">
        <f t="shared" si="32"/>
        <v/>
      </c>
    </row>
    <row r="52" spans="1:21" ht="15.95" customHeight="1">
      <c r="A52" s="211">
        <f>IF(COUNTBLANK('RNEW import'!B50)=1,"",'RNEW import'!B50)</f>
        <v>13</v>
      </c>
      <c r="B52" s="211" t="str">
        <f>IF(COUNTBLANK('RNEW import'!D50)=1,"",'RNEW import'!D50)</f>
        <v>Braila Promenada Mall SRL</v>
      </c>
      <c r="C52" s="211" t="str">
        <f>IF(COUNTBLANK('RNEW import'!E50)=1,"",'RNEW import'!E50)</f>
        <v>RBPM</v>
      </c>
      <c r="D52" s="211" t="str">
        <f>IF(COUNTBLANK('RNEW import'!K50)=1,"",'RNEW import'!K50)</f>
        <v>Tarif distributie SDI MT</v>
      </c>
      <c r="E52" s="211">
        <f>IF(COUNTBLANK('RNEW import'!L50)=1,"",'RNEW import'!N50)</f>
        <v>278173</v>
      </c>
      <c r="F52" s="211">
        <f>IF(COUNTBLANK('RNEW import'!M50)=1,"",'RNEW import'!O50/10000)</f>
        <v>1.49E-2</v>
      </c>
      <c r="G52" s="217">
        <f t="shared" si="39"/>
        <v>4144.78</v>
      </c>
      <c r="H52" s="217">
        <f t="shared" si="20"/>
        <v>787.51</v>
      </c>
      <c r="I52" s="329">
        <f t="shared" si="40"/>
        <v>4932.29</v>
      </c>
      <c r="J52" s="237" t="str">
        <f t="shared" si="22"/>
        <v/>
      </c>
      <c r="K52" s="238" t="str">
        <f t="shared" si="6"/>
        <v/>
      </c>
      <c r="L52" s="238" t="str">
        <f t="shared" si="7"/>
        <v/>
      </c>
      <c r="M52" s="238" t="str">
        <f t="shared" si="8"/>
        <v/>
      </c>
      <c r="N52" s="238" t="str">
        <f t="shared" si="9"/>
        <v/>
      </c>
      <c r="O52" s="232" t="str">
        <f t="shared" si="41"/>
        <v/>
      </c>
      <c r="P52" s="219" t="str">
        <f t="shared" si="23"/>
        <v/>
      </c>
      <c r="Q52" s="219" t="str">
        <f t="shared" si="24"/>
        <v/>
      </c>
      <c r="R52" s="219" t="str">
        <f t="shared" si="25"/>
        <v/>
      </c>
      <c r="S52" s="331" t="str">
        <f t="shared" si="30"/>
        <v/>
      </c>
      <c r="T52" s="331" t="str">
        <f t="shared" si="31"/>
        <v/>
      </c>
      <c r="U52" s="331" t="str">
        <f t="shared" si="32"/>
        <v/>
      </c>
    </row>
    <row r="53" spans="1:21" ht="15.95" customHeight="1">
      <c r="A53" s="211">
        <f>IF(COUNTBLANK('RNEW import'!B51)=1,"",'RNEW import'!B51)</f>
        <v>14</v>
      </c>
      <c r="B53" s="211" t="str">
        <f>IF(COUNTBLANK('RNEW import'!D51)=1,"",'RNEW import'!D51)</f>
        <v>Braila Promenada Mall SRL</v>
      </c>
      <c r="C53" s="211" t="str">
        <f>IF(COUNTBLANK('RNEW import'!E51)=1,"",'RNEW import'!E51)</f>
        <v>RBPM</v>
      </c>
      <c r="D53" s="211" t="str">
        <f>IF(COUNTBLANK('RNEW import'!K51)=1,"",'RNEW import'!K51)</f>
        <v>Tarif distributie SDI JT</v>
      </c>
      <c r="E53" s="211">
        <f>IF(COUNTBLANK('RNEW import'!L51)=1,"",'RNEW import'!N51)</f>
        <v>278173</v>
      </c>
      <c r="F53" s="211">
        <f>IF(COUNTBLANK('RNEW import'!M51)=1,"",'RNEW import'!O51/10000)</f>
        <v>0.1192</v>
      </c>
      <c r="G53" s="217">
        <f t="shared" si="39"/>
        <v>33158.22</v>
      </c>
      <c r="H53" s="217">
        <f t="shared" si="20"/>
        <v>6300.06</v>
      </c>
      <c r="I53" s="329">
        <f t="shared" si="40"/>
        <v>39458.28</v>
      </c>
      <c r="J53" s="237" t="str">
        <f t="shared" si="22"/>
        <v/>
      </c>
      <c r="K53" s="238" t="str">
        <f t="shared" si="6"/>
        <v/>
      </c>
      <c r="L53" s="238" t="str">
        <f t="shared" si="7"/>
        <v/>
      </c>
      <c r="M53" s="238" t="str">
        <f t="shared" si="8"/>
        <v/>
      </c>
      <c r="N53" s="238" t="str">
        <f t="shared" si="9"/>
        <v/>
      </c>
      <c r="O53" s="232" t="str">
        <f t="shared" si="41"/>
        <v/>
      </c>
      <c r="P53" s="219" t="str">
        <f t="shared" si="23"/>
        <v/>
      </c>
      <c r="Q53" s="219" t="str">
        <f t="shared" si="24"/>
        <v/>
      </c>
      <c r="R53" s="219" t="str">
        <f t="shared" si="25"/>
        <v/>
      </c>
      <c r="S53" s="331" t="str">
        <f t="shared" si="30"/>
        <v/>
      </c>
      <c r="T53" s="331" t="str">
        <f t="shared" si="31"/>
        <v/>
      </c>
      <c r="U53" s="331" t="str">
        <f t="shared" si="32"/>
        <v/>
      </c>
    </row>
    <row r="54" spans="1:21" ht="15.95" customHeight="1">
      <c r="A54" s="211">
        <f>IF(COUNTBLANK('RNEW import'!B52)=1,"",'RNEW import'!B52)</f>
        <v>15</v>
      </c>
      <c r="B54" s="211" t="str">
        <f>IF(COUNTBLANK('RNEW import'!D52)=1,"",'RNEW import'!D52)</f>
        <v>Braila Promenada Mall SRL</v>
      </c>
      <c r="C54" s="211" t="str">
        <f>IF(COUNTBLANK('RNEW import'!E52)=1,"",'RNEW import'!E52)</f>
        <v>RBPM</v>
      </c>
      <c r="D54" s="211" t="str">
        <f>IF(COUNTBLANK('RNEW import'!K52)=1,"",'RNEW import'!K52)</f>
        <v>Energie activa 2</v>
      </c>
      <c r="E54" s="211">
        <f>IF(COUNTBLANK('RNEW import'!L52)=1,"",'RNEW import'!N52)</f>
        <v>187100</v>
      </c>
      <c r="F54" s="211">
        <f>IF(COUNTBLANK('RNEW import'!M52)=1,"",'RNEW import'!O52/10000)</f>
        <v>0.96800760000000008</v>
      </c>
      <c r="G54" s="217">
        <f t="shared" si="39"/>
        <v>181114.22</v>
      </c>
      <c r="H54" s="217">
        <f t="shared" si="20"/>
        <v>34411.699999999997</v>
      </c>
      <c r="I54" s="329">
        <f t="shared" si="40"/>
        <v>215525.91999999998</v>
      </c>
      <c r="J54" s="237" t="str">
        <f t="shared" si="22"/>
        <v/>
      </c>
      <c r="K54" s="238" t="str">
        <f t="shared" si="6"/>
        <v/>
      </c>
      <c r="L54" s="238" t="str">
        <f t="shared" si="7"/>
        <v/>
      </c>
      <c r="M54" s="238" t="str">
        <f t="shared" si="8"/>
        <v/>
      </c>
      <c r="N54" s="238" t="str">
        <f t="shared" si="9"/>
        <v/>
      </c>
      <c r="O54" s="232" t="str">
        <f t="shared" si="41"/>
        <v/>
      </c>
      <c r="P54" s="219" t="str">
        <f t="shared" si="23"/>
        <v/>
      </c>
      <c r="Q54" s="219" t="str">
        <f t="shared" si="24"/>
        <v/>
      </c>
      <c r="R54" s="219" t="str">
        <f t="shared" si="25"/>
        <v/>
      </c>
      <c r="S54" s="331" t="str">
        <f t="shared" si="30"/>
        <v/>
      </c>
      <c r="T54" s="331" t="str">
        <f t="shared" si="31"/>
        <v/>
      </c>
      <c r="U54" s="331" t="str">
        <f t="shared" si="32"/>
        <v/>
      </c>
    </row>
    <row r="55" spans="1:21" ht="15.95" customHeight="1">
      <c r="A55" s="211">
        <f>IF(COUNTBLANK('RNEW import'!B53)=1,"",'RNEW import'!B53)</f>
        <v>16</v>
      </c>
      <c r="B55" s="211" t="str">
        <f>IF(COUNTBLANK('RNEW import'!D53)=1,"",'RNEW import'!D53)</f>
        <v>Braila Promenada Mall SRL</v>
      </c>
      <c r="C55" s="211" t="str">
        <f>IF(COUNTBLANK('RNEW import'!E53)=1,"",'RNEW import'!E53)</f>
        <v>RBPM</v>
      </c>
      <c r="D55" s="211" t="str">
        <f>IF(COUNTBLANK('RNEW import'!K53)=1,"",'RNEW import'!K53)</f>
        <v>Energie activa 3</v>
      </c>
      <c r="E55" s="211">
        <f>IF(COUNTBLANK('RNEW import'!L53)=1,"",'RNEW import'!N53)</f>
        <v>29237</v>
      </c>
      <c r="F55" s="211">
        <f>IF(COUNTBLANK('RNEW import'!M53)=1,"",'RNEW import'!O53/10000)</f>
        <v>0.83390760000000008</v>
      </c>
      <c r="G55" s="217">
        <f t="shared" si="39"/>
        <v>24380.959999999999</v>
      </c>
      <c r="H55" s="217">
        <f t="shared" si="20"/>
        <v>4632.38</v>
      </c>
      <c r="I55" s="329">
        <f t="shared" si="40"/>
        <v>29013.34</v>
      </c>
      <c r="J55" s="237" t="str">
        <f t="shared" si="22"/>
        <v/>
      </c>
      <c r="K55" s="238" t="str">
        <f t="shared" si="6"/>
        <v/>
      </c>
      <c r="L55" s="238" t="str">
        <f t="shared" si="7"/>
        <v/>
      </c>
      <c r="M55" s="238" t="str">
        <f t="shared" si="8"/>
        <v/>
      </c>
      <c r="N55" s="238" t="str">
        <f t="shared" si="9"/>
        <v/>
      </c>
      <c r="O55" s="232" t="str">
        <f t="shared" si="41"/>
        <v/>
      </c>
      <c r="P55" s="219" t="str">
        <f t="shared" si="23"/>
        <v/>
      </c>
      <c r="Q55" s="219" t="str">
        <f t="shared" si="24"/>
        <v/>
      </c>
      <c r="R55" s="219" t="str">
        <f t="shared" si="25"/>
        <v/>
      </c>
      <c r="S55" s="331" t="str">
        <f t="shared" si="30"/>
        <v/>
      </c>
      <c r="T55" s="331" t="str">
        <f t="shared" si="31"/>
        <v/>
      </c>
      <c r="U55" s="331" t="str">
        <f t="shared" si="32"/>
        <v/>
      </c>
    </row>
    <row r="56" spans="1:21" ht="15.95" customHeight="1">
      <c r="A56" s="211">
        <f>IF(COUNTBLANK('RNEW import'!B54)=1,"",'RNEW import'!B54)</f>
        <v>17</v>
      </c>
      <c r="B56" s="211" t="str">
        <f>IF(COUNTBLANK('RNEW import'!D54)=1,"",'RNEW import'!D54)</f>
        <v>Braila Promenada Mall SRL</v>
      </c>
      <c r="C56" s="211" t="str">
        <f>IF(COUNTBLANK('RNEW import'!E54)=1,"",'RNEW import'!E54)</f>
        <v>RBPM</v>
      </c>
      <c r="D56" s="211" t="str">
        <f>IF(COUNTBLANK('RNEW import'!K54)=1,"",'RNEW import'!K54)</f>
        <v>Tarif distributie SDI MT_</v>
      </c>
      <c r="E56" s="211">
        <f>IF(COUNTBLANK('RNEW import'!L54)=1,"",'RNEW import'!N54)</f>
        <v>29237</v>
      </c>
      <c r="F56" s="211">
        <f>IF(COUNTBLANK('RNEW import'!M54)=1,"",'RNEW import'!O54/10000)</f>
        <v>1.49E-2</v>
      </c>
      <c r="G56" s="217">
        <f t="shared" si="39"/>
        <v>435.63</v>
      </c>
      <c r="H56" s="217">
        <f t="shared" si="20"/>
        <v>82.77</v>
      </c>
      <c r="I56" s="329">
        <f t="shared" si="40"/>
        <v>518.4</v>
      </c>
      <c r="J56" s="237" t="str">
        <f t="shared" si="22"/>
        <v/>
      </c>
      <c r="K56" s="238" t="str">
        <f t="shared" si="6"/>
        <v/>
      </c>
      <c r="L56" s="238" t="str">
        <f t="shared" si="7"/>
        <v/>
      </c>
      <c r="M56" s="238" t="str">
        <f t="shared" si="8"/>
        <v/>
      </c>
      <c r="N56" s="238" t="str">
        <f t="shared" si="9"/>
        <v/>
      </c>
      <c r="O56" s="232" t="str">
        <f t="shared" si="41"/>
        <v/>
      </c>
      <c r="P56" s="219" t="str">
        <f t="shared" si="23"/>
        <v/>
      </c>
      <c r="Q56" s="219" t="str">
        <f t="shared" si="24"/>
        <v/>
      </c>
      <c r="R56" s="219" t="str">
        <f t="shared" si="25"/>
        <v/>
      </c>
      <c r="S56" s="331" t="str">
        <f t="shared" si="30"/>
        <v/>
      </c>
      <c r="T56" s="331" t="str">
        <f t="shared" si="31"/>
        <v/>
      </c>
      <c r="U56" s="331" t="str">
        <f t="shared" si="32"/>
        <v/>
      </c>
    </row>
    <row r="57" spans="1:21" ht="15.95" customHeight="1">
      <c r="A57" s="211">
        <f>IF(COUNTBLANK('RNEW import'!B55)=1,"",'RNEW import'!B55)</f>
        <v>18</v>
      </c>
      <c r="B57" s="211" t="str">
        <f>IF(COUNTBLANK('RNEW import'!D55)=1,"",'RNEW import'!D55)</f>
        <v>Braila Promenada Mall SRL</v>
      </c>
      <c r="C57" s="211" t="str">
        <f>IF(COUNTBLANK('RNEW import'!E55)=1,"",'RNEW import'!E55)</f>
        <v>RBPM</v>
      </c>
      <c r="D57" s="211" t="str">
        <f>IF(COUNTBLANK('RNEW import'!K55)=1,"",'RNEW import'!K55)</f>
        <v>Tarif distributie SDI JT_</v>
      </c>
      <c r="E57" s="211">
        <f>IF(COUNTBLANK('RNEW import'!L55)=1,"",'RNEW import'!N55)</f>
        <v>29237</v>
      </c>
      <c r="F57" s="211">
        <f>IF(COUNTBLANK('RNEW import'!M55)=1,"",'RNEW import'!O55/10000)</f>
        <v>0.1192</v>
      </c>
      <c r="G57" s="217">
        <f t="shared" si="39"/>
        <v>3485.05</v>
      </c>
      <c r="H57" s="217">
        <f t="shared" si="20"/>
        <v>662.16</v>
      </c>
      <c r="I57" s="329">
        <f t="shared" si="40"/>
        <v>4147.21</v>
      </c>
      <c r="J57" s="237" t="str">
        <f t="shared" si="22"/>
        <v/>
      </c>
      <c r="K57" s="238" t="str">
        <f t="shared" si="6"/>
        <v/>
      </c>
      <c r="L57" s="238" t="str">
        <f t="shared" si="7"/>
        <v/>
      </c>
      <c r="M57" s="238" t="str">
        <f t="shared" si="8"/>
        <v/>
      </c>
      <c r="N57" s="238" t="str">
        <f t="shared" si="9"/>
        <v/>
      </c>
      <c r="O57" s="232" t="str">
        <f t="shared" si="41"/>
        <v/>
      </c>
      <c r="P57" s="219" t="str">
        <f t="shared" si="23"/>
        <v>Energie consumata din PV</v>
      </c>
      <c r="Q57" s="219">
        <f t="shared" si="24"/>
        <v>216337</v>
      </c>
      <c r="R57" s="219">
        <f t="shared" si="25"/>
        <v>0.96800799999999998</v>
      </c>
      <c r="S57" s="331">
        <f t="shared" si="30"/>
        <v>209415.86</v>
      </c>
      <c r="T57" s="331">
        <f t="shared" si="31"/>
        <v>39789.01</v>
      </c>
      <c r="U57" s="331">
        <f t="shared" si="32"/>
        <v>249204.87</v>
      </c>
    </row>
    <row r="58" spans="1:21" ht="15.95" customHeight="1">
      <c r="A58" s="211">
        <f>IF(COUNTBLANK('RNEW import'!B56)=1,"",'RNEW import'!B56)</f>
        <v>19</v>
      </c>
      <c r="B58" s="211" t="str">
        <f>IF(COUNTBLANK('RNEW import'!D56)=1,"",'RNEW import'!D56)</f>
        <v>Braila Promenada Mall SRL</v>
      </c>
      <c r="C58" s="211" t="str">
        <f>IF(COUNTBLANK('RNEW import'!E56)=1,"",'RNEW import'!E56)</f>
        <v>RBPM</v>
      </c>
      <c r="D58" s="211" t="str">
        <f>IF(COUNTBLANK('RNEW import'!K56)=1,"",'RNEW import'!K56)</f>
        <v>Regularizare Energie activa 1</v>
      </c>
      <c r="E58" s="211">
        <f>IF(COUNTBLANK('RNEW import'!L56)=1,"",'RNEW import'!N56)</f>
        <v>716</v>
      </c>
      <c r="F58" s="211">
        <f>IF(COUNTBLANK('RNEW import'!M56)=1,"",'RNEW import'!O56/10000)</f>
        <v>0.59499999999999997</v>
      </c>
      <c r="G58" s="217">
        <f t="shared" si="39"/>
        <v>426.02</v>
      </c>
      <c r="H58" s="217">
        <f t="shared" si="20"/>
        <v>80.94</v>
      </c>
      <c r="I58" s="329">
        <f t="shared" si="40"/>
        <v>506.96</v>
      </c>
      <c r="J58" s="237" t="str">
        <f t="shared" si="22"/>
        <v/>
      </c>
      <c r="K58" s="238" t="str">
        <f t="shared" si="6"/>
        <v/>
      </c>
      <c r="L58" s="238" t="str">
        <f t="shared" si="7"/>
        <v/>
      </c>
      <c r="M58" s="238" t="str">
        <f t="shared" si="8"/>
        <v/>
      </c>
      <c r="N58" s="238" t="str">
        <f t="shared" si="9"/>
        <v/>
      </c>
      <c r="O58" s="232" t="str">
        <f t="shared" si="41"/>
        <v/>
      </c>
      <c r="P58" s="219" t="str">
        <f t="shared" si="23"/>
        <v>Energie activa regularizare</v>
      </c>
      <c r="Q58" s="219">
        <f t="shared" si="24"/>
        <v>716</v>
      </c>
      <c r="R58" s="219">
        <f t="shared" si="25"/>
        <v>0.83392500000000003</v>
      </c>
      <c r="S58" s="331">
        <f t="shared" si="30"/>
        <v>597.09</v>
      </c>
      <c r="T58" s="331">
        <f t="shared" si="31"/>
        <v>113.45</v>
      </c>
      <c r="U58" s="331">
        <f t="shared" si="32"/>
        <v>710.54</v>
      </c>
    </row>
    <row r="59" spans="1:21" ht="15.95" customHeight="1">
      <c r="A59" s="211">
        <f>IF(COUNTBLANK('RNEW import'!B57)=1,"",'RNEW import'!B57)</f>
        <v>20</v>
      </c>
      <c r="B59" s="211" t="str">
        <f>IF(COUNTBLANK('RNEW import'!D57)=1,"",'RNEW import'!D57)</f>
        <v>Braila Promenada Mall SRL</v>
      </c>
      <c r="C59" s="211" t="str">
        <f>IF(COUNTBLANK('RNEW import'!E57)=1,"",'RNEW import'!E57)</f>
        <v>RBPM</v>
      </c>
      <c r="D59" s="211" t="str">
        <f>IF(COUNTBLANK('RNEW import'!K57)=1,"",'RNEW import'!K57)</f>
        <v>Regularizare Energie reactiva  1X</v>
      </c>
      <c r="E59" s="211">
        <f>IF(COUNTBLANK('RNEW import'!L57)=1,"",'RNEW import'!N57)</f>
        <v>11676</v>
      </c>
      <c r="F59" s="211">
        <f>IF(COUNTBLANK('RNEW import'!M57)=1,"",'RNEW import'!O57/10000)</f>
        <v>0.14649999999999999</v>
      </c>
      <c r="G59" s="217">
        <f t="shared" si="39"/>
        <v>1710.53</v>
      </c>
      <c r="H59" s="217">
        <f t="shared" si="20"/>
        <v>325</v>
      </c>
      <c r="I59" s="329">
        <f t="shared" si="40"/>
        <v>2035.53</v>
      </c>
      <c r="J59" s="237" t="str">
        <f t="shared" si="22"/>
        <v/>
      </c>
      <c r="K59" s="238" t="str">
        <f t="shared" si="6"/>
        <v/>
      </c>
      <c r="L59" s="238" t="str">
        <f t="shared" si="7"/>
        <v/>
      </c>
      <c r="M59" s="238" t="str">
        <f t="shared" si="8"/>
        <v/>
      </c>
      <c r="N59" s="238" t="str">
        <f t="shared" si="9"/>
        <v/>
      </c>
      <c r="O59" s="232" t="str">
        <f t="shared" si="41"/>
        <v/>
      </c>
      <c r="P59" s="219" t="str">
        <f t="shared" si="23"/>
        <v>Energie reactiva 1x regularizare</v>
      </c>
      <c r="Q59" s="219">
        <f t="shared" si="24"/>
        <v>11676</v>
      </c>
      <c r="R59" s="219">
        <f t="shared" si="25"/>
        <v>0.14649999999999999</v>
      </c>
      <c r="S59" s="331">
        <f t="shared" si="30"/>
        <v>1710.53</v>
      </c>
      <c r="T59" s="331">
        <f t="shared" si="31"/>
        <v>325</v>
      </c>
      <c r="U59" s="331">
        <f t="shared" si="32"/>
        <v>2035.53</v>
      </c>
    </row>
    <row r="60" spans="1:21" ht="15.95" customHeight="1">
      <c r="A60" s="211">
        <f>IF(COUNTBLANK('RNEW import'!B58)=1,"",'RNEW import'!B58)</f>
        <v>21</v>
      </c>
      <c r="B60" s="211" t="str">
        <f>IF(COUNTBLANK('RNEW import'!D58)=1,"",'RNEW import'!D58)</f>
        <v>Braila Promenada Mall SRL</v>
      </c>
      <c r="C60" s="211" t="str">
        <f>IF(COUNTBLANK('RNEW import'!E58)=1,"",'RNEW import'!E58)</f>
        <v>RBPM</v>
      </c>
      <c r="D60" s="211" t="str">
        <f>IF(COUNTBLANK('RNEW import'!K58)=1,"",'RNEW import'!K58)</f>
        <v>Regularizare Energie reactiva  3X</v>
      </c>
      <c r="E60" s="211">
        <f>IF(COUNTBLANK('RNEW import'!L58)=1,"",'RNEW import'!N58)</f>
        <v>59666</v>
      </c>
      <c r="F60" s="211">
        <f>IF(COUNTBLANK('RNEW import'!M58)=1,"",'RNEW import'!O58/10000)</f>
        <v>0.4395</v>
      </c>
      <c r="G60" s="217">
        <f t="shared" si="39"/>
        <v>26223.21</v>
      </c>
      <c r="H60" s="217">
        <f t="shared" si="20"/>
        <v>4982.41</v>
      </c>
      <c r="I60" s="329">
        <f t="shared" si="40"/>
        <v>31205.62</v>
      </c>
      <c r="J60" s="237" t="str">
        <f t="shared" si="22"/>
        <v/>
      </c>
      <c r="K60" s="238" t="str">
        <f t="shared" si="6"/>
        <v/>
      </c>
      <c r="L60" s="238" t="str">
        <f t="shared" si="7"/>
        <v/>
      </c>
      <c r="M60" s="238" t="str">
        <f t="shared" si="8"/>
        <v/>
      </c>
      <c r="N60" s="238" t="str">
        <f t="shared" si="9"/>
        <v/>
      </c>
      <c r="O60" s="232" t="str">
        <f t="shared" si="41"/>
        <v/>
      </c>
      <c r="P60" s="219" t="str">
        <f t="shared" si="23"/>
        <v>Energie reactiva 3x regularizare</v>
      </c>
      <c r="Q60" s="219">
        <f t="shared" si="24"/>
        <v>59666</v>
      </c>
      <c r="R60" s="219">
        <f t="shared" si="25"/>
        <v>0.4395</v>
      </c>
      <c r="S60" s="331">
        <f t="shared" si="30"/>
        <v>26223.21</v>
      </c>
      <c r="T60" s="331">
        <f t="shared" si="31"/>
        <v>4982.41</v>
      </c>
      <c r="U60" s="331">
        <f t="shared" si="32"/>
        <v>31205.62</v>
      </c>
    </row>
    <row r="61" spans="1:21" ht="15.95" customHeight="1">
      <c r="A61" s="211">
        <f>IF(COUNTBLANK('RNEW import'!B59)=1,"",'RNEW import'!B59)</f>
        <v>22</v>
      </c>
      <c r="B61" s="211" t="str">
        <f>IF(COUNTBLANK('RNEW import'!D59)=1,"",'RNEW import'!D59)</f>
        <v>Braila Promenada Mall SRL</v>
      </c>
      <c r="C61" s="211" t="str">
        <f>IF(COUNTBLANK('RNEW import'!E59)=1,"",'RNEW import'!E59)</f>
        <v>RBPM</v>
      </c>
      <c r="D61" s="211" t="str">
        <f>IF(COUNTBLANK('RNEW import'!K59)=1,"",'RNEW import'!K59)</f>
        <v>Regularizare Tarife distributie en. El IT+MT</v>
      </c>
      <c r="E61" s="211">
        <f>IF(COUNTBLANK('RNEW import'!L59)=1,"",'RNEW import'!N59)</f>
        <v>716</v>
      </c>
      <c r="F61" s="211">
        <f>IF(COUNTBLANK('RNEW import'!M59)=1,"",'RNEW import'!O59/10000)</f>
        <v>0.11483</v>
      </c>
      <c r="G61" s="217">
        <f t="shared" si="39"/>
        <v>82.22</v>
      </c>
      <c r="H61" s="217">
        <f t="shared" si="20"/>
        <v>15.62</v>
      </c>
      <c r="I61" s="329">
        <f t="shared" si="40"/>
        <v>97.84</v>
      </c>
      <c r="J61" s="237" t="str">
        <f t="shared" si="22"/>
        <v/>
      </c>
      <c r="K61" s="238" t="str">
        <f t="shared" si="6"/>
        <v/>
      </c>
      <c r="L61" s="238" t="str">
        <f t="shared" si="7"/>
        <v/>
      </c>
      <c r="M61" s="238" t="str">
        <f t="shared" si="8"/>
        <v/>
      </c>
      <c r="N61" s="238" t="str">
        <f t="shared" si="9"/>
        <v/>
      </c>
      <c r="O61" s="232" t="str">
        <f t="shared" si="41"/>
        <v/>
      </c>
      <c r="P61" s="219" t="str">
        <f t="shared" si="23"/>
        <v/>
      </c>
      <c r="Q61" s="219" t="str">
        <f t="shared" si="24"/>
        <v/>
      </c>
      <c r="R61" s="219" t="str">
        <f t="shared" si="25"/>
        <v/>
      </c>
      <c r="S61" s="331" t="str">
        <f t="shared" si="30"/>
        <v/>
      </c>
      <c r="T61" s="331" t="str">
        <f t="shared" si="31"/>
        <v/>
      </c>
      <c r="U61" s="331" t="str">
        <f t="shared" si="32"/>
        <v/>
      </c>
    </row>
    <row r="62" spans="1:21" ht="15.95" customHeight="1">
      <c r="A62" s="211">
        <f>IF(COUNTBLANK('RNEW import'!B60)=1,"",'RNEW import'!B60)</f>
        <v>23</v>
      </c>
      <c r="B62" s="211" t="str">
        <f>IF(COUNTBLANK('RNEW import'!D60)=1,"",'RNEW import'!D60)</f>
        <v>Braila Promenada Mall SRL</v>
      </c>
      <c r="C62" s="211" t="str">
        <f>IF(COUNTBLANK('RNEW import'!E60)=1,"",'RNEW import'!E60)</f>
        <v>RBPM</v>
      </c>
      <c r="D62" s="211" t="str">
        <f>IF(COUNTBLANK('RNEW import'!K60)=1,"",'RNEW import'!K60)</f>
        <v>Regularizare Tarife distributie en. El JT</v>
      </c>
      <c r="E62" s="211">
        <f>IF(COUNTBLANK('RNEW import'!L60)=1,"",'RNEW import'!N60)</f>
        <v>0</v>
      </c>
      <c r="F62" s="211">
        <f>IF(COUNTBLANK('RNEW import'!M60)=1,"",'RNEW import'!O60/10000)</f>
        <v>0.2361</v>
      </c>
      <c r="G62" s="217">
        <f t="shared" si="39"/>
        <v>0</v>
      </c>
      <c r="H62" s="217">
        <f t="shared" si="20"/>
        <v>0</v>
      </c>
      <c r="I62" s="329">
        <f t="shared" si="40"/>
        <v>0</v>
      </c>
      <c r="J62" s="237" t="str">
        <f t="shared" si="22"/>
        <v/>
      </c>
      <c r="K62" s="238" t="str">
        <f t="shared" si="6"/>
        <v/>
      </c>
      <c r="L62" s="238" t="str">
        <f t="shared" si="7"/>
        <v/>
      </c>
      <c r="M62" s="238" t="str">
        <f t="shared" si="8"/>
        <v/>
      </c>
      <c r="N62" s="238" t="str">
        <f t="shared" si="9"/>
        <v/>
      </c>
      <c r="O62" s="232" t="str">
        <f t="shared" si="41"/>
        <v/>
      </c>
      <c r="P62" s="219" t="str">
        <f t="shared" si="23"/>
        <v/>
      </c>
      <c r="Q62" s="219" t="str">
        <f t="shared" si="24"/>
        <v/>
      </c>
      <c r="R62" s="219" t="str">
        <f t="shared" si="25"/>
        <v/>
      </c>
      <c r="S62" s="331" t="str">
        <f t="shared" si="30"/>
        <v/>
      </c>
      <c r="T62" s="331" t="str">
        <f t="shared" si="31"/>
        <v/>
      </c>
      <c r="U62" s="331" t="str">
        <f t="shared" si="32"/>
        <v/>
      </c>
    </row>
    <row r="63" spans="1:21" ht="15.95" customHeight="1">
      <c r="A63" s="211">
        <f>IF(COUNTBLANK('RNEW import'!B61)=1,"",'RNEW import'!B61)</f>
        <v>24</v>
      </c>
      <c r="B63" s="211" t="str">
        <f>IF(COUNTBLANK('RNEW import'!D61)=1,"",'RNEW import'!D61)</f>
        <v>Braila Promenada Mall SRL</v>
      </c>
      <c r="C63" s="211" t="str">
        <f>IF(COUNTBLANK('RNEW import'!E61)=1,"",'RNEW import'!E61)</f>
        <v>RBPM</v>
      </c>
      <c r="D63" s="211" t="str">
        <f>IF(COUNTBLANK('RNEW import'!K61)=1,"",'RNEW import'!K61)</f>
        <v xml:space="preserve">Regularizare Servicii Sistem </v>
      </c>
      <c r="E63" s="211">
        <f>IF(COUNTBLANK('RNEW import'!L61)=1,"",'RNEW import'!N61)</f>
        <v>716</v>
      </c>
      <c r="F63" s="211">
        <f>IF(COUNTBLANK('RNEW import'!M61)=1,"",'RNEW import'!O61/10000)</f>
        <v>1.1509999999999999E-2</v>
      </c>
      <c r="G63" s="217">
        <f t="shared" si="39"/>
        <v>8.24</v>
      </c>
      <c r="H63" s="217">
        <f t="shared" si="20"/>
        <v>1.57</v>
      </c>
      <c r="I63" s="329">
        <f t="shared" si="40"/>
        <v>9.81</v>
      </c>
      <c r="J63" s="237" t="str">
        <f t="shared" si="22"/>
        <v/>
      </c>
      <c r="K63" s="238" t="str">
        <f t="shared" si="6"/>
        <v/>
      </c>
      <c r="L63" s="238" t="str">
        <f t="shared" si="7"/>
        <v/>
      </c>
      <c r="M63" s="238" t="str">
        <f t="shared" si="8"/>
        <v/>
      </c>
      <c r="N63" s="238" t="str">
        <f t="shared" si="9"/>
        <v/>
      </c>
      <c r="O63" s="232" t="str">
        <f t="shared" si="41"/>
        <v/>
      </c>
      <c r="P63" s="219" t="str">
        <f t="shared" si="23"/>
        <v/>
      </c>
      <c r="Q63" s="219" t="str">
        <f t="shared" si="24"/>
        <v/>
      </c>
      <c r="R63" s="219" t="str">
        <f t="shared" si="25"/>
        <v/>
      </c>
      <c r="S63" s="331" t="str">
        <f t="shared" si="30"/>
        <v/>
      </c>
      <c r="T63" s="331" t="str">
        <f t="shared" si="31"/>
        <v/>
      </c>
      <c r="U63" s="331" t="str">
        <f t="shared" si="32"/>
        <v/>
      </c>
    </row>
    <row r="64" spans="1:21" ht="15.95" customHeight="1">
      <c r="A64" s="211">
        <f>IF(COUNTBLANK('RNEW import'!B62)=1,"",'RNEW import'!B62)</f>
        <v>25</v>
      </c>
      <c r="B64" s="211" t="str">
        <f>IF(COUNTBLANK('RNEW import'!D62)=1,"",'RNEW import'!D62)</f>
        <v>Braila Promenada Mall SRL</v>
      </c>
      <c r="C64" s="211" t="str">
        <f>IF(COUNTBLANK('RNEW import'!E62)=1,"",'RNEW import'!E62)</f>
        <v>RBPM</v>
      </c>
      <c r="D64" s="211" t="str">
        <f>IF(COUNTBLANK('RNEW import'!K62)=1,"",'RNEW import'!K62)</f>
        <v>Regularizare Tarif de introducere en. el in retea (TL)</v>
      </c>
      <c r="E64" s="211">
        <f>IF(COUNTBLANK('RNEW import'!L62)=1,"",'RNEW import'!N62)</f>
        <v>716</v>
      </c>
      <c r="F64" s="211">
        <f>IF(COUNTBLANK('RNEW import'!M62)=1,"",'RNEW import'!O62/10000)</f>
        <v>3.3030000000000004E-2</v>
      </c>
      <c r="G64" s="217">
        <f t="shared" si="39"/>
        <v>23.65</v>
      </c>
      <c r="H64" s="217">
        <f t="shared" si="20"/>
        <v>4.49</v>
      </c>
      <c r="I64" s="329">
        <f t="shared" si="40"/>
        <v>28.14</v>
      </c>
      <c r="J64" s="237" t="str">
        <f t="shared" si="22"/>
        <v/>
      </c>
      <c r="K64" s="238" t="str">
        <f t="shared" si="6"/>
        <v/>
      </c>
      <c r="L64" s="238" t="str">
        <f t="shared" si="7"/>
        <v/>
      </c>
      <c r="M64" s="238" t="str">
        <f t="shared" si="8"/>
        <v/>
      </c>
      <c r="N64" s="238" t="str">
        <f t="shared" si="9"/>
        <v/>
      </c>
      <c r="O64" s="232" t="str">
        <f t="shared" si="41"/>
        <v/>
      </c>
      <c r="P64" s="219" t="str">
        <f t="shared" si="23"/>
        <v/>
      </c>
      <c r="Q64" s="219" t="str">
        <f t="shared" si="24"/>
        <v/>
      </c>
      <c r="R64" s="219" t="str">
        <f t="shared" si="25"/>
        <v/>
      </c>
      <c r="S64" s="331" t="str">
        <f t="shared" si="30"/>
        <v/>
      </c>
      <c r="T64" s="331" t="str">
        <f t="shared" si="31"/>
        <v/>
      </c>
      <c r="U64" s="331" t="str">
        <f t="shared" si="32"/>
        <v/>
      </c>
    </row>
    <row r="65" spans="1:21" ht="15.95" customHeight="1">
      <c r="A65" s="211">
        <f>IF(COUNTBLANK('RNEW import'!B63)=1,"",'RNEW import'!B63)</f>
        <v>26</v>
      </c>
      <c r="B65" s="211" t="str">
        <f>IF(COUNTBLANK('RNEW import'!D63)=1,"",'RNEW import'!D63)</f>
        <v>Braila Promenada Mall SRL</v>
      </c>
      <c r="C65" s="211" t="str">
        <f>IF(COUNTBLANK('RNEW import'!E63)=1,"",'RNEW import'!E63)</f>
        <v>RBPM</v>
      </c>
      <c r="D65" s="211" t="str">
        <f>IF(COUNTBLANK('RNEW import'!K63)=1,"",'RNEW import'!K63)</f>
        <v>Regularizare Tarif de introducere en.el in retea (TG)</v>
      </c>
      <c r="E65" s="211">
        <f>IF(COUNTBLANK('RNEW import'!L63)=1,"",'RNEW import'!N63)</f>
        <v>716</v>
      </c>
      <c r="F65" s="211">
        <f>IF(COUNTBLANK('RNEW import'!M63)=1,"",'RNEW import'!O63/10000)</f>
        <v>3.29E-3</v>
      </c>
      <c r="G65" s="217">
        <f t="shared" si="39"/>
        <v>2.36</v>
      </c>
      <c r="H65" s="217">
        <f t="shared" si="20"/>
        <v>0.45</v>
      </c>
      <c r="I65" s="329">
        <f t="shared" si="40"/>
        <v>2.81</v>
      </c>
      <c r="J65" s="237" t="str">
        <f t="shared" si="22"/>
        <v/>
      </c>
      <c r="K65" s="238" t="str">
        <f t="shared" si="6"/>
        <v/>
      </c>
      <c r="L65" s="238" t="str">
        <f t="shared" si="7"/>
        <v/>
      </c>
      <c r="M65" s="238" t="str">
        <f t="shared" si="8"/>
        <v/>
      </c>
      <c r="N65" s="238" t="str">
        <f t="shared" si="9"/>
        <v/>
      </c>
      <c r="O65" s="232" t="str">
        <f t="shared" si="41"/>
        <v/>
      </c>
      <c r="P65" s="219" t="str">
        <f t="shared" si="23"/>
        <v/>
      </c>
      <c r="Q65" s="219" t="str">
        <f t="shared" si="24"/>
        <v/>
      </c>
      <c r="R65" s="219" t="str">
        <f t="shared" si="25"/>
        <v/>
      </c>
      <c r="S65" s="331" t="str">
        <f t="shared" si="30"/>
        <v/>
      </c>
      <c r="T65" s="331" t="str">
        <f t="shared" si="31"/>
        <v/>
      </c>
      <c r="U65" s="331" t="str">
        <f t="shared" si="32"/>
        <v/>
      </c>
    </row>
    <row r="66" spans="1:21" ht="15.95" customHeight="1">
      <c r="A66" s="211">
        <f>IF(COUNTBLANK('RNEW import'!B64)=1,"",'RNEW import'!B64)</f>
        <v>27</v>
      </c>
      <c r="B66" s="211" t="str">
        <f>IF(COUNTBLANK('RNEW import'!D64)=1,"",'RNEW import'!D64)</f>
        <v>Braila Promenada Mall SRL</v>
      </c>
      <c r="C66" s="211" t="str">
        <f>IF(COUNTBLANK('RNEW import'!E64)=1,"",'RNEW import'!E64)</f>
        <v>RBPM</v>
      </c>
      <c r="D66" s="211" t="str">
        <f>IF(COUNTBLANK('RNEW import'!K64)=1,"",'RNEW import'!K64)</f>
        <v>Regularizare Contributie pentru cogenerare</v>
      </c>
      <c r="E66" s="211">
        <f>IF(COUNTBLANK('RNEW import'!L64)=1,"",'RNEW import'!N64)</f>
        <v>716</v>
      </c>
      <c r="F66" s="211">
        <f>IF(COUNTBLANK('RNEW import'!M64)=1,"",'RNEW import'!O64/10000)</f>
        <v>3.5000000000000001E-3</v>
      </c>
      <c r="G66" s="217">
        <f t="shared" si="39"/>
        <v>2.5099999999999998</v>
      </c>
      <c r="H66" s="217">
        <f t="shared" si="20"/>
        <v>0.48</v>
      </c>
      <c r="I66" s="329">
        <f t="shared" si="40"/>
        <v>2.9899999999999998</v>
      </c>
      <c r="J66" s="237" t="str">
        <f t="shared" si="22"/>
        <v/>
      </c>
      <c r="K66" s="238" t="str">
        <f t="shared" si="6"/>
        <v/>
      </c>
      <c r="L66" s="238" t="str">
        <f t="shared" si="7"/>
        <v/>
      </c>
      <c r="M66" s="238" t="str">
        <f t="shared" si="8"/>
        <v/>
      </c>
      <c r="N66" s="238" t="str">
        <f t="shared" si="9"/>
        <v/>
      </c>
      <c r="O66" s="232" t="str">
        <f t="shared" si="41"/>
        <v/>
      </c>
      <c r="P66" s="219" t="str">
        <f t="shared" si="23"/>
        <v/>
      </c>
      <c r="Q66" s="219" t="str">
        <f t="shared" si="24"/>
        <v/>
      </c>
      <c r="R66" s="219" t="str">
        <f t="shared" si="25"/>
        <v/>
      </c>
      <c r="S66" s="331" t="str">
        <f t="shared" si="30"/>
        <v/>
      </c>
      <c r="T66" s="331" t="str">
        <f t="shared" si="31"/>
        <v/>
      </c>
      <c r="U66" s="331" t="str">
        <f t="shared" si="32"/>
        <v/>
      </c>
    </row>
    <row r="67" spans="1:21" ht="15.95" customHeight="1">
      <c r="A67" s="211">
        <f>IF(COUNTBLANK('RNEW import'!B65)=1,"",'RNEW import'!B65)</f>
        <v>28</v>
      </c>
      <c r="B67" s="211" t="str">
        <f>IF(COUNTBLANK('RNEW import'!D65)=1,"",'RNEW import'!D65)</f>
        <v>Braila Promenada Mall SRL</v>
      </c>
      <c r="C67" s="211" t="str">
        <f>IF(COUNTBLANK('RNEW import'!E65)=1,"",'RNEW import'!E65)</f>
        <v>RBPM</v>
      </c>
      <c r="D67" s="211" t="str">
        <f>IF(COUNTBLANK('RNEW import'!K65)=1,"",'RNEW import'!K65)</f>
        <v xml:space="preserve">Regularizare Certificate verzi </v>
      </c>
      <c r="E67" s="211">
        <f>IF(COUNTBLANK('RNEW import'!L65)=1,"",'RNEW import'!N65)</f>
        <v>716</v>
      </c>
      <c r="F67" s="211">
        <f>IF(COUNTBLANK('RNEW import'!M65)=1,"",'RNEW import'!O65/10000)</f>
        <v>7.2541599999999998E-2</v>
      </c>
      <c r="G67" s="217">
        <f t="shared" si="39"/>
        <v>51.94</v>
      </c>
      <c r="H67" s="217">
        <f t="shared" si="20"/>
        <v>9.8699999999999992</v>
      </c>
      <c r="I67" s="329">
        <f t="shared" si="40"/>
        <v>61.809999999999995</v>
      </c>
      <c r="J67" s="237" t="str">
        <f t="shared" si="22"/>
        <v/>
      </c>
      <c r="K67" s="238" t="str">
        <f t="shared" si="6"/>
        <v/>
      </c>
      <c r="L67" s="238" t="str">
        <f t="shared" si="7"/>
        <v/>
      </c>
      <c r="M67" s="238" t="str">
        <f t="shared" si="8"/>
        <v/>
      </c>
      <c r="N67" s="238" t="str">
        <f t="shared" si="9"/>
        <v/>
      </c>
      <c r="O67" s="232" t="str">
        <f t="shared" si="41"/>
        <v/>
      </c>
      <c r="P67" s="219" t="str">
        <f t="shared" si="23"/>
        <v/>
      </c>
      <c r="Q67" s="219" t="str">
        <f t="shared" si="24"/>
        <v/>
      </c>
      <c r="R67" s="219" t="str">
        <f t="shared" si="25"/>
        <v/>
      </c>
      <c r="S67" s="331" t="str">
        <f t="shared" si="30"/>
        <v/>
      </c>
      <c r="T67" s="331" t="str">
        <f t="shared" si="31"/>
        <v/>
      </c>
      <c r="U67" s="331" t="str">
        <f t="shared" si="32"/>
        <v/>
      </c>
    </row>
    <row r="68" spans="1:21" ht="15.95" customHeight="1">
      <c r="A68" s="211">
        <f>IF(COUNTBLANK('RNEW import'!B66)=1,"",'RNEW import'!B66)</f>
        <v>29</v>
      </c>
      <c r="B68" s="211" t="str">
        <f>IF(COUNTBLANK('RNEW import'!D66)=1,"",'RNEW import'!D66)</f>
        <v>Braila Promenada Mall SRL</v>
      </c>
      <c r="C68" s="211" t="str">
        <f>IF(COUNTBLANK('RNEW import'!E66)=1,"",'RNEW import'!E66)</f>
        <v>RBPM</v>
      </c>
      <c r="D68" s="211" t="str">
        <f>IF(COUNTBLANK('RNEW import'!K66)=1,"",'RNEW import'!K66)</f>
        <v>Regularizare Contributie CFD</v>
      </c>
      <c r="E68" s="211">
        <f>IF(COUNTBLANK('RNEW import'!L66)=1,"",'RNEW import'!N66)</f>
        <v>716</v>
      </c>
      <c r="F68" s="211">
        <f>IF(COUNTBLANK('RNEW import'!M66)=1,"",'RNEW import'!O66/10000)</f>
        <v>2.0599999999999999E-4</v>
      </c>
      <c r="G68" s="217">
        <f t="shared" si="39"/>
        <v>0.15</v>
      </c>
      <c r="H68" s="217">
        <f t="shared" si="20"/>
        <v>0.03</v>
      </c>
      <c r="I68" s="329">
        <f t="shared" si="40"/>
        <v>0.18</v>
      </c>
      <c r="J68" s="237" t="str">
        <f t="shared" ref="J68:J131" si="42">IF(A68=1,B68,"")</f>
        <v/>
      </c>
      <c r="K68" s="238" t="str">
        <f t="shared" ref="K68:K131" si="43">IF(COUNTBLANK(J68)=1,"",IF(A68=1,SUMIFS(G:G,$C:$C,C68,$A:$A,"=13")+SUMIFS(G:G,$C:$C,C68,$A:$A,"=14")+SUMIFS(G:G,$C:$C,C68,$A:$A,"=17")+SUMIFS(G:G,$C:$C,C68,$A:$A,"=18")+SUMIFS(G:G,$C:$C,C68,$A:$A,"=31")+SUMIFS(G:G,$C:$C,C68,$A:$A,"=32")+SUMIFS(G:G,$C:$C,C68,$A:$A,"=35")+SUMIFS(G:G,$C:$C,C68,$A:$A,"=36"),""))</f>
        <v/>
      </c>
      <c r="L68" s="238" t="str">
        <f t="shared" ref="L68:L131" si="44">IF(COUNTBLANK(J68)=1,"",IF(A68=1,SUMIFS(G:G,$C:$C,C68,$A:$A,"&lt;13")+SUMIFS(G:G,$C:$C,C68,$A:$A,"&gt;18",$A:$A,"&lt;31")))</f>
        <v/>
      </c>
      <c r="M68" s="238" t="str">
        <f t="shared" ref="M68:M131" si="45">IF(COUNTBLANK(J68)=1,"",IF(A68=1,SUMIFS(G:G,$C:$C,C68,$A:$A,"=15")+SUMIFS(G:G,$C:$C,C68,$A:$A,"=16")+SUMIFS(G:G,$C:$C,C68,$A:$A,"=33")+SUMIFS(G:G,$C:$C,C68,$A:$A,"=34"),""))</f>
        <v/>
      </c>
      <c r="N68" s="238" t="str">
        <f t="shared" ref="N68:N131" si="46">IF(COUNTBLANK(J68)=1,"",IF(A68=1,SUMIFS(E:E,$C:$C,C68,$A:$A,"=13")+SUMIFS(E:E,$C:$C,C68,$A:$A,"=17")+SUMIFS(E:E,$C:$C,C68,$A:$A,"=31")+SUMIFS(E:E,$C:$C,C68,$A:$A,"=35"),""))</f>
        <v/>
      </c>
      <c r="O68" s="232" t="str">
        <f t="shared" si="41"/>
        <v/>
      </c>
      <c r="P68" s="219" t="str">
        <f t="shared" si="23"/>
        <v/>
      </c>
      <c r="Q68" s="219" t="str">
        <f t="shared" si="24"/>
        <v/>
      </c>
      <c r="R68" s="219" t="str">
        <f t="shared" si="25"/>
        <v/>
      </c>
      <c r="S68" s="331" t="str">
        <f t="shared" si="30"/>
        <v/>
      </c>
      <c r="T68" s="331" t="str">
        <f t="shared" si="31"/>
        <v/>
      </c>
      <c r="U68" s="331" t="str">
        <f t="shared" si="32"/>
        <v/>
      </c>
    </row>
    <row r="69" spans="1:21" ht="15.95" customHeight="1">
      <c r="A69" s="211">
        <f>IF(COUNTBLANK('RNEW import'!B67)=1,"",'RNEW import'!B67)</f>
        <v>30</v>
      </c>
      <c r="B69" s="211" t="str">
        <f>IF(COUNTBLANK('RNEW import'!D67)=1,"",'RNEW import'!D67)</f>
        <v>Braila Promenada Mall SRL</v>
      </c>
      <c r="C69" s="211" t="str">
        <f>IF(COUNTBLANK('RNEW import'!E67)=1,"",'RNEW import'!E67)</f>
        <v>RBPM</v>
      </c>
      <c r="D69" s="211" t="str">
        <f>IF(COUNTBLANK('RNEW import'!K67)=1,"",'RNEW import'!K67)</f>
        <v>Regularizare Acciza</v>
      </c>
      <c r="E69" s="211">
        <f>IF(COUNTBLANK('RNEW import'!L67)=1,"",'RNEW import'!N67)</f>
        <v>716</v>
      </c>
      <c r="F69" s="211">
        <f>IF(COUNTBLANK('RNEW import'!M67)=1,"",'RNEW import'!O67/10000)</f>
        <v>0</v>
      </c>
      <c r="G69" s="217">
        <f t="shared" si="39"/>
        <v>0</v>
      </c>
      <c r="H69" s="217">
        <f t="shared" ref="H69:H132" si="47">ROUND(G69*19%,2)</f>
        <v>0</v>
      </c>
      <c r="I69" s="329">
        <f t="shared" si="40"/>
        <v>0</v>
      </c>
      <c r="J69" s="237" t="str">
        <f t="shared" si="42"/>
        <v/>
      </c>
      <c r="K69" s="238" t="str">
        <f t="shared" si="43"/>
        <v/>
      </c>
      <c r="L69" s="238" t="str">
        <f t="shared" si="44"/>
        <v/>
      </c>
      <c r="M69" s="238" t="str">
        <f t="shared" si="45"/>
        <v/>
      </c>
      <c r="N69" s="238" t="str">
        <f t="shared" si="46"/>
        <v/>
      </c>
      <c r="O69" s="232" t="str">
        <f t="shared" si="41"/>
        <v/>
      </c>
      <c r="P69" s="219" t="str">
        <f t="shared" ref="P69:P132" si="48">IF(A69=1,"Enegie activa",IF(OR(A69=18),"Energie consumata din PV",IF(OR(A69=2),"Energie reactiva 1x",IF(OR(A69=3),"Energie reactiva 3x",IF(A69=19,"Energie activa regularizare",IF(OR(A69=36),"Energie consumata din PV regularizare",IF(OR(A69=20),"Energie reactiva 1x regularizare",IF(OR(A69=21),"Energie reactiva 3x regularizare",""))))))))</f>
        <v/>
      </c>
      <c r="Q69" s="219" t="str">
        <f t="shared" ref="Q69:Q132" si="49">IF(COUNTBLANK(P69)=0,IF(OR(A69=1,A69=2,A69=3,A69=19,A69=20,A69=21),E69,IF(OR(A69=18,A69=36),E66+E67,"")),"")</f>
        <v/>
      </c>
      <c r="R69" s="219" t="str">
        <f t="shared" ref="R69:R132" si="50">IF(COUNTBLANK(P69)=1,"",IF(OR(A69=2,A69=3,A69=20,A69=21),F69,IF(Q69=0,0,ROUND(S69/Q69,6))))</f>
        <v/>
      </c>
      <c r="S69" s="331" t="str">
        <f t="shared" si="30"/>
        <v/>
      </c>
      <c r="T69" s="331" t="str">
        <f t="shared" si="31"/>
        <v/>
      </c>
      <c r="U69" s="331" t="str">
        <f t="shared" si="32"/>
        <v/>
      </c>
    </row>
    <row r="70" spans="1:21" ht="15.95" customHeight="1">
      <c r="A70" s="211">
        <f>IF(COUNTBLANK('RNEW import'!B68)=1,"",'RNEW import'!B68)</f>
        <v>31</v>
      </c>
      <c r="B70" s="211" t="str">
        <f>IF(COUNTBLANK('RNEW import'!D68)=1,"",'RNEW import'!D68)</f>
        <v>Braila Promenada Mall SRL</v>
      </c>
      <c r="C70" s="211" t="str">
        <f>IF(COUNTBLANK('RNEW import'!E68)=1,"",'RNEW import'!E68)</f>
        <v>RBPM</v>
      </c>
      <c r="D70" s="211" t="str">
        <f>IF(COUNTBLANK('RNEW import'!K68)=1,"",'RNEW import'!K68)</f>
        <v>Regularizare Tarif distributie SDI MT Ea1</v>
      </c>
      <c r="E70" s="211">
        <f>IF(COUNTBLANK('RNEW import'!L68)=1,"",'RNEW import'!N68)</f>
        <v>0</v>
      </c>
      <c r="F70" s="211">
        <f>IF(COUNTBLANK('RNEW import'!M68)=1,"",'RNEW import'!O68/10000)</f>
        <v>1.49E-2</v>
      </c>
      <c r="G70" s="217">
        <f t="shared" si="39"/>
        <v>0</v>
      </c>
      <c r="H70" s="217">
        <f t="shared" si="47"/>
        <v>0</v>
      </c>
      <c r="I70" s="329">
        <f t="shared" si="40"/>
        <v>0</v>
      </c>
      <c r="J70" s="237" t="str">
        <f t="shared" si="42"/>
        <v/>
      </c>
      <c r="K70" s="238" t="str">
        <f t="shared" si="43"/>
        <v/>
      </c>
      <c r="L70" s="238" t="str">
        <f t="shared" si="44"/>
        <v/>
      </c>
      <c r="M70" s="238" t="str">
        <f t="shared" si="45"/>
        <v/>
      </c>
      <c r="N70" s="238" t="str">
        <f t="shared" si="46"/>
        <v/>
      </c>
      <c r="O70" s="232" t="str">
        <f t="shared" si="41"/>
        <v/>
      </c>
      <c r="P70" s="219" t="str">
        <f t="shared" si="48"/>
        <v/>
      </c>
      <c r="Q70" s="219" t="str">
        <f t="shared" si="49"/>
        <v/>
      </c>
      <c r="R70" s="219" t="str">
        <f t="shared" si="50"/>
        <v/>
      </c>
      <c r="S70" s="331" t="str">
        <f t="shared" si="30"/>
        <v/>
      </c>
      <c r="T70" s="331" t="str">
        <f t="shared" si="31"/>
        <v/>
      </c>
      <c r="U70" s="331" t="str">
        <f t="shared" si="32"/>
        <v/>
      </c>
    </row>
    <row r="71" spans="1:21" ht="15.95" customHeight="1">
      <c r="A71" s="211">
        <f>IF(COUNTBLANK('RNEW import'!B69)=1,"",'RNEW import'!B69)</f>
        <v>32</v>
      </c>
      <c r="B71" s="211" t="str">
        <f>IF(COUNTBLANK('RNEW import'!D69)=1,"",'RNEW import'!D69)</f>
        <v>Braila Promenada Mall SRL</v>
      </c>
      <c r="C71" s="211" t="str">
        <f>IF(COUNTBLANK('RNEW import'!E69)=1,"",'RNEW import'!E69)</f>
        <v>RBPM</v>
      </c>
      <c r="D71" s="211" t="str">
        <f>IF(COUNTBLANK('RNEW import'!K69)=1,"",'RNEW import'!K69)</f>
        <v>Regularizare Tarif distributie SDI JT Ea1</v>
      </c>
      <c r="E71" s="211">
        <f>IF(COUNTBLANK('RNEW import'!L69)=1,"",'RNEW import'!N69)</f>
        <v>0</v>
      </c>
      <c r="F71" s="211">
        <f>IF(COUNTBLANK('RNEW import'!M69)=1,"",'RNEW import'!O69/10000)</f>
        <v>0.1192</v>
      </c>
      <c r="G71" s="217">
        <f t="shared" si="39"/>
        <v>0</v>
      </c>
      <c r="H71" s="217">
        <f t="shared" si="47"/>
        <v>0</v>
      </c>
      <c r="I71" s="329">
        <f t="shared" si="40"/>
        <v>0</v>
      </c>
      <c r="J71" s="237" t="str">
        <f t="shared" si="42"/>
        <v/>
      </c>
      <c r="K71" s="238" t="str">
        <f t="shared" si="43"/>
        <v/>
      </c>
      <c r="L71" s="238" t="str">
        <f t="shared" si="44"/>
        <v/>
      </c>
      <c r="M71" s="238" t="str">
        <f t="shared" si="45"/>
        <v/>
      </c>
      <c r="N71" s="238" t="str">
        <f t="shared" si="46"/>
        <v/>
      </c>
      <c r="O71" s="233" t="str">
        <f t="shared" si="41"/>
        <v/>
      </c>
      <c r="P71" s="219" t="str">
        <f t="shared" si="48"/>
        <v/>
      </c>
      <c r="Q71" s="219" t="str">
        <f t="shared" si="49"/>
        <v/>
      </c>
      <c r="R71" s="219" t="str">
        <f t="shared" si="50"/>
        <v/>
      </c>
      <c r="S71" s="331" t="str">
        <f t="shared" si="30"/>
        <v/>
      </c>
      <c r="T71" s="331" t="str">
        <f t="shared" si="31"/>
        <v/>
      </c>
      <c r="U71" s="331" t="str">
        <f t="shared" si="32"/>
        <v/>
      </c>
    </row>
    <row r="72" spans="1:21" ht="15.95" customHeight="1">
      <c r="A72" s="211">
        <f>IF(COUNTBLANK('RNEW import'!B70)=1,"",'RNEW import'!B70)</f>
        <v>33</v>
      </c>
      <c r="B72" s="211" t="str">
        <f>IF(COUNTBLANK('RNEW import'!D70)=1,"",'RNEW import'!D70)</f>
        <v>Braila Promenada Mall SRL</v>
      </c>
      <c r="C72" s="211" t="str">
        <f>IF(COUNTBLANK('RNEW import'!E70)=1,"",'RNEW import'!E70)</f>
        <v>RBPM</v>
      </c>
      <c r="D72" s="211" t="str">
        <f>IF(COUNTBLANK('RNEW import'!K70)=1,"",'RNEW import'!K70)</f>
        <v>Regularizare Energie activa 2</v>
      </c>
      <c r="E72" s="211">
        <f>IF(COUNTBLANK('RNEW import'!L70)=1,"",'RNEW import'!N70)</f>
        <v>0</v>
      </c>
      <c r="F72" s="211">
        <f>IF(COUNTBLANK('RNEW import'!M70)=1,"",'RNEW import'!O70/10000)</f>
        <v>0.96800760000000008</v>
      </c>
      <c r="G72" s="217">
        <f t="shared" si="39"/>
        <v>0</v>
      </c>
      <c r="H72" s="217">
        <f t="shared" si="47"/>
        <v>0</v>
      </c>
      <c r="I72" s="329">
        <f t="shared" si="40"/>
        <v>0</v>
      </c>
      <c r="J72" s="237" t="str">
        <f t="shared" si="42"/>
        <v/>
      </c>
      <c r="K72" s="238" t="str">
        <f t="shared" si="43"/>
        <v/>
      </c>
      <c r="L72" s="238" t="str">
        <f t="shared" si="44"/>
        <v/>
      </c>
      <c r="M72" s="238" t="str">
        <f t="shared" si="45"/>
        <v/>
      </c>
      <c r="N72" s="238" t="str">
        <f t="shared" si="46"/>
        <v/>
      </c>
      <c r="O72" s="218" t="str">
        <f t="shared" si="41"/>
        <v/>
      </c>
      <c r="P72" s="219" t="str">
        <f t="shared" si="48"/>
        <v/>
      </c>
      <c r="Q72" s="219" t="str">
        <f t="shared" si="49"/>
        <v/>
      </c>
      <c r="R72" s="219" t="str">
        <f t="shared" si="50"/>
        <v/>
      </c>
      <c r="S72" s="331" t="str">
        <f t="shared" si="30"/>
        <v/>
      </c>
      <c r="T72" s="331" t="str">
        <f t="shared" si="31"/>
        <v/>
      </c>
      <c r="U72" s="331" t="str">
        <f t="shared" si="32"/>
        <v/>
      </c>
    </row>
    <row r="73" spans="1:21" ht="15.95" customHeight="1">
      <c r="A73" s="211">
        <f>IF(COUNTBLANK('RNEW import'!B71)=1,"",'RNEW import'!B71)</f>
        <v>34</v>
      </c>
      <c r="B73" s="211" t="str">
        <f>IF(COUNTBLANK('RNEW import'!D71)=1,"",'RNEW import'!D71)</f>
        <v>Braila Promenada Mall SRL</v>
      </c>
      <c r="C73" s="211" t="str">
        <f>IF(COUNTBLANK('RNEW import'!E71)=1,"",'RNEW import'!E71)</f>
        <v>RBPM</v>
      </c>
      <c r="D73" s="211" t="str">
        <f>IF(COUNTBLANK('RNEW import'!K71)=1,"",'RNEW import'!K71)</f>
        <v>Regularizare Energie activa 3</v>
      </c>
      <c r="E73" s="211">
        <f>IF(COUNTBLANK('RNEW import'!L71)=1,"",'RNEW import'!N71)</f>
        <v>0</v>
      </c>
      <c r="F73" s="211">
        <f>IF(COUNTBLANK('RNEW import'!M71)=1,"",'RNEW import'!O71/10000)</f>
        <v>0.83390760000000008</v>
      </c>
      <c r="G73" s="217">
        <f t="shared" si="39"/>
        <v>0</v>
      </c>
      <c r="H73" s="217">
        <f t="shared" si="47"/>
        <v>0</v>
      </c>
      <c r="I73" s="329">
        <f t="shared" si="40"/>
        <v>0</v>
      </c>
      <c r="J73" s="237" t="str">
        <f t="shared" si="42"/>
        <v/>
      </c>
      <c r="K73" s="238" t="str">
        <f t="shared" si="43"/>
        <v/>
      </c>
      <c r="L73" s="238" t="str">
        <f t="shared" si="44"/>
        <v/>
      </c>
      <c r="M73" s="238" t="str">
        <f t="shared" si="45"/>
        <v/>
      </c>
      <c r="N73" s="238" t="str">
        <f t="shared" si="46"/>
        <v/>
      </c>
      <c r="O73" s="232" t="str">
        <f t="shared" si="41"/>
        <v/>
      </c>
      <c r="P73" s="219" t="str">
        <f t="shared" si="48"/>
        <v/>
      </c>
      <c r="Q73" s="219" t="str">
        <f t="shared" si="49"/>
        <v/>
      </c>
      <c r="R73" s="219" t="str">
        <f t="shared" si="50"/>
        <v/>
      </c>
      <c r="S73" s="331" t="str">
        <f t="shared" si="30"/>
        <v/>
      </c>
      <c r="T73" s="331" t="str">
        <f t="shared" si="31"/>
        <v/>
      </c>
      <c r="U73" s="331" t="str">
        <f t="shared" si="32"/>
        <v/>
      </c>
    </row>
    <row r="74" spans="1:21" ht="15.95" customHeight="1">
      <c r="A74" s="211">
        <f>IF(COUNTBLANK('RNEW import'!B72)=1,"",'RNEW import'!B72)</f>
        <v>35</v>
      </c>
      <c r="B74" s="211" t="str">
        <f>IF(COUNTBLANK('RNEW import'!D72)=1,"",'RNEW import'!D72)</f>
        <v>Braila Promenada Mall SRL</v>
      </c>
      <c r="C74" s="211" t="str">
        <f>IF(COUNTBLANK('RNEW import'!E72)=1,"",'RNEW import'!E72)</f>
        <v>RBPM</v>
      </c>
      <c r="D74" s="211" t="str">
        <f>IF(COUNTBLANK('RNEW import'!K72)=1,"",'RNEW import'!K72)</f>
        <v>Regularizare Tarif distributie SDI MT Ea3</v>
      </c>
      <c r="E74" s="211">
        <f>IF(COUNTBLANK('RNEW import'!L72)=1,"",'RNEW import'!N72)</f>
        <v>0</v>
      </c>
      <c r="F74" s="211">
        <f>IF(COUNTBLANK('RNEW import'!M72)=1,"",'RNEW import'!O72/10000)</f>
        <v>1.49E-2</v>
      </c>
      <c r="G74" s="217">
        <f t="shared" si="39"/>
        <v>0</v>
      </c>
      <c r="H74" s="217">
        <f t="shared" si="47"/>
        <v>0</v>
      </c>
      <c r="I74" s="329">
        <f t="shared" si="40"/>
        <v>0</v>
      </c>
      <c r="J74" s="237" t="str">
        <f t="shared" si="42"/>
        <v/>
      </c>
      <c r="K74" s="238" t="str">
        <f t="shared" si="43"/>
        <v/>
      </c>
      <c r="L74" s="238" t="str">
        <f t="shared" si="44"/>
        <v/>
      </c>
      <c r="M74" s="238" t="str">
        <f t="shared" si="45"/>
        <v/>
      </c>
      <c r="N74" s="238" t="str">
        <f t="shared" si="46"/>
        <v/>
      </c>
      <c r="O74" s="232" t="str">
        <f t="shared" si="41"/>
        <v/>
      </c>
      <c r="P74" s="219" t="str">
        <f t="shared" si="48"/>
        <v/>
      </c>
      <c r="Q74" s="219" t="str">
        <f t="shared" si="49"/>
        <v/>
      </c>
      <c r="R74" s="219" t="str">
        <f t="shared" si="50"/>
        <v/>
      </c>
      <c r="S74" s="331" t="str">
        <f t="shared" si="30"/>
        <v/>
      </c>
      <c r="T74" s="331" t="str">
        <f t="shared" si="31"/>
        <v/>
      </c>
      <c r="U74" s="331" t="str">
        <f t="shared" si="32"/>
        <v/>
      </c>
    </row>
    <row r="75" spans="1:21" ht="15.95" customHeight="1">
      <c r="A75" s="211">
        <f>IF(COUNTBLANK('RNEW import'!B73)=1,"",'RNEW import'!B73)</f>
        <v>36</v>
      </c>
      <c r="B75" s="211" t="str">
        <f>IF(COUNTBLANK('RNEW import'!D73)=1,"",'RNEW import'!D73)</f>
        <v>Braila Promenada Mall SRL</v>
      </c>
      <c r="C75" s="211" t="str">
        <f>IF(COUNTBLANK('RNEW import'!E73)=1,"",'RNEW import'!E73)</f>
        <v>RBPM</v>
      </c>
      <c r="D75" s="211" t="str">
        <f>IF(COUNTBLANK('RNEW import'!K73)=1,"",'RNEW import'!K73)</f>
        <v>Regularizare Tarif distributie SDI JT Ea3</v>
      </c>
      <c r="E75" s="211">
        <f>IF(COUNTBLANK('RNEW import'!L73)=1,"",'RNEW import'!N73)</f>
        <v>0</v>
      </c>
      <c r="F75" s="211">
        <f>IF(COUNTBLANK('RNEW import'!M73)=1,"",'RNEW import'!O73/10000)</f>
        <v>0.1192</v>
      </c>
      <c r="G75" s="217">
        <f t="shared" si="39"/>
        <v>0</v>
      </c>
      <c r="H75" s="217">
        <f t="shared" si="47"/>
        <v>0</v>
      </c>
      <c r="I75" s="329">
        <f t="shared" si="40"/>
        <v>0</v>
      </c>
      <c r="J75" s="237" t="str">
        <f t="shared" si="42"/>
        <v/>
      </c>
      <c r="K75" s="238" t="str">
        <f t="shared" si="43"/>
        <v/>
      </c>
      <c r="L75" s="238" t="str">
        <f t="shared" si="44"/>
        <v/>
      </c>
      <c r="M75" s="238" t="str">
        <f t="shared" si="45"/>
        <v/>
      </c>
      <c r="N75" s="238" t="str">
        <f t="shared" si="46"/>
        <v/>
      </c>
      <c r="O75" s="232" t="str">
        <f t="shared" si="41"/>
        <v/>
      </c>
      <c r="P75" s="219" t="str">
        <f t="shared" si="48"/>
        <v>Energie consumata din PV regularizare</v>
      </c>
      <c r="Q75" s="219">
        <f t="shared" si="49"/>
        <v>0</v>
      </c>
      <c r="R75" s="219">
        <f t="shared" si="50"/>
        <v>0</v>
      </c>
      <c r="S75" s="331">
        <f t="shared" si="30"/>
        <v>0</v>
      </c>
      <c r="T75" s="331">
        <f t="shared" si="31"/>
        <v>0</v>
      </c>
      <c r="U75" s="331">
        <f t="shared" si="32"/>
        <v>0</v>
      </c>
    </row>
    <row r="76" spans="1:21" ht="15.95" customHeight="1">
      <c r="A76" s="211">
        <f>IF(COUNTBLANK('RNEW import'!B74)=1,"",'RNEW import'!B74)</f>
        <v>1</v>
      </c>
      <c r="B76" s="211" t="str">
        <f>IF(COUNTBLANK('RNEW import'!D74)=1,"",'RNEW import'!D74)</f>
        <v>Ploiesti Shopping City SRL</v>
      </c>
      <c r="C76" s="211" t="str">
        <f>IF(COUNTBLANK('RNEW import'!E74)=1,"",'RNEW import'!E74)</f>
        <v>RPSC</v>
      </c>
      <c r="D76" s="211" t="str">
        <f>IF(COUNTBLANK('RNEW import'!K74)=1,"",'RNEW import'!K74)</f>
        <v>Energie activa 1</v>
      </c>
      <c r="E76" s="211">
        <f>IF(COUNTBLANK('RNEW import'!L74)=1,"",'RNEW import'!N74)</f>
        <v>620018</v>
      </c>
      <c r="F76" s="211">
        <f>IF(COUNTBLANK('RNEW import'!M74)=1,"",'RNEW import'!O74/10000)</f>
        <v>0.59499999999999997</v>
      </c>
      <c r="G76" s="217">
        <f t="shared" si="39"/>
        <v>368910.71</v>
      </c>
      <c r="H76" s="217">
        <f t="shared" si="47"/>
        <v>70093.03</v>
      </c>
      <c r="I76" s="329">
        <f t="shared" si="40"/>
        <v>439003.74</v>
      </c>
      <c r="J76" s="237" t="str">
        <f t="shared" si="42"/>
        <v>Ploiesti Shopping City SRL</v>
      </c>
      <c r="K76" s="238">
        <f t="shared" si="43"/>
        <v>88148.89999999998</v>
      </c>
      <c r="L76" s="238">
        <f t="shared" si="44"/>
        <v>517038.53999999992</v>
      </c>
      <c r="M76" s="238">
        <f t="shared" si="45"/>
        <v>208451.49000000002</v>
      </c>
      <c r="N76" s="238">
        <f t="shared" si="46"/>
        <v>657337</v>
      </c>
      <c r="O76" s="232" t="str">
        <f t="shared" si="41"/>
        <v>Ploiesti Shopping City SRL</v>
      </c>
      <c r="P76" s="219" t="str">
        <f t="shared" si="48"/>
        <v>Enegie activa</v>
      </c>
      <c r="Q76" s="219">
        <f t="shared" si="49"/>
        <v>620018</v>
      </c>
      <c r="R76" s="219">
        <f t="shared" si="50"/>
        <v>0.96800799999999998</v>
      </c>
      <c r="S76" s="331">
        <f>IF(COUNTBLANK(P76)=1,"",ROUND(IF(P76=$P$5,G76,IF(P76=$P$6,G76,IF(P76=$P$21,G76+G75+G74+G73,IF(P76=$P$23,G76,IF(P76=$P$24,G76,IF(P76=$P$4,SUMIFS(G:G,$B:$B,J76,A:A,"&lt;15"),IF(P76=$P$22,SUMIFS(G:G,$B:$B,J58,A:A,"&gt;18",A:A,"&lt;33")-S77-S78,IF(P76=$P$39,G76+G75+G74+G73,"eroare")))))))),2))</f>
        <v>600182.14</v>
      </c>
      <c r="T76" s="331">
        <f t="shared" si="31"/>
        <v>114034.61</v>
      </c>
      <c r="U76" s="331">
        <f t="shared" si="32"/>
        <v>714216.75</v>
      </c>
    </row>
    <row r="77" spans="1:21" ht="15.95" customHeight="1">
      <c r="A77" s="211">
        <f>IF(COUNTBLANK('RNEW import'!B75)=1,"",'RNEW import'!B75)</f>
        <v>2</v>
      </c>
      <c r="B77" s="211" t="str">
        <f>IF(COUNTBLANK('RNEW import'!D75)=1,"",'RNEW import'!D75)</f>
        <v>Ploiesti Shopping City SRL</v>
      </c>
      <c r="C77" s="211" t="str">
        <f>IF(COUNTBLANK('RNEW import'!E75)=1,"",'RNEW import'!E75)</f>
        <v>RPSC</v>
      </c>
      <c r="D77" s="211" t="str">
        <f>IF(COUNTBLANK('RNEW import'!K75)=1,"",'RNEW import'!K75)</f>
        <v>Energie reactiva  1X</v>
      </c>
      <c r="E77" s="211">
        <f>IF(COUNTBLANK('RNEW import'!L75)=1,"",'RNEW import'!N75)</f>
        <v>0</v>
      </c>
      <c r="F77" s="211">
        <f>IF(COUNTBLANK('RNEW import'!M75)=1,"",'RNEW import'!O75/10000)</f>
        <v>0.14649999999999999</v>
      </c>
      <c r="G77" s="217">
        <f t="shared" si="39"/>
        <v>0</v>
      </c>
      <c r="H77" s="217">
        <f t="shared" si="47"/>
        <v>0</v>
      </c>
      <c r="I77" s="329">
        <f t="shared" si="40"/>
        <v>0</v>
      </c>
      <c r="J77" s="237" t="str">
        <f t="shared" si="42"/>
        <v/>
      </c>
      <c r="K77" s="238" t="str">
        <f t="shared" si="43"/>
        <v/>
      </c>
      <c r="L77" s="238" t="str">
        <f t="shared" si="44"/>
        <v/>
      </c>
      <c r="M77" s="238" t="str">
        <f t="shared" si="45"/>
        <v/>
      </c>
      <c r="N77" s="238" t="str">
        <f t="shared" si="46"/>
        <v/>
      </c>
      <c r="O77" s="232" t="str">
        <f t="shared" si="41"/>
        <v/>
      </c>
      <c r="P77" s="219" t="str">
        <f t="shared" si="48"/>
        <v>Energie reactiva 1x</v>
      </c>
      <c r="Q77" s="219">
        <f t="shared" si="49"/>
        <v>0</v>
      </c>
      <c r="R77" s="219">
        <f t="shared" si="50"/>
        <v>0.14649999999999999</v>
      </c>
      <c r="S77" s="331">
        <f t="shared" si="30"/>
        <v>0</v>
      </c>
      <c r="T77" s="331">
        <f t="shared" si="31"/>
        <v>0</v>
      </c>
      <c r="U77" s="331">
        <f t="shared" si="32"/>
        <v>0</v>
      </c>
    </row>
    <row r="78" spans="1:21" ht="15.95" customHeight="1">
      <c r="A78" s="211">
        <f>IF(COUNTBLANK('RNEW import'!B76)=1,"",'RNEW import'!B76)</f>
        <v>3</v>
      </c>
      <c r="B78" s="211" t="str">
        <f>IF(COUNTBLANK('RNEW import'!D76)=1,"",'RNEW import'!D76)</f>
        <v>Ploiesti Shopping City SRL</v>
      </c>
      <c r="C78" s="211" t="str">
        <f>IF(COUNTBLANK('RNEW import'!E76)=1,"",'RNEW import'!E76)</f>
        <v>RPSC</v>
      </c>
      <c r="D78" s="211" t="str">
        <f>IF(COUNTBLANK('RNEW import'!K76)=1,"",'RNEW import'!K76)</f>
        <v>Energie reactiva  3X</v>
      </c>
      <c r="E78" s="211">
        <f>IF(COUNTBLANK('RNEW import'!L76)=1,"",'RNEW import'!N76)</f>
        <v>0</v>
      </c>
      <c r="F78" s="211">
        <f>IF(COUNTBLANK('RNEW import'!M76)=1,"",'RNEW import'!O76/10000)</f>
        <v>0.4395</v>
      </c>
      <c r="G78" s="217">
        <f t="shared" si="39"/>
        <v>0</v>
      </c>
      <c r="H78" s="217">
        <f t="shared" si="47"/>
        <v>0</v>
      </c>
      <c r="I78" s="329">
        <f t="shared" si="40"/>
        <v>0</v>
      </c>
      <c r="J78" s="237" t="str">
        <f t="shared" si="42"/>
        <v/>
      </c>
      <c r="K78" s="238" t="str">
        <f t="shared" si="43"/>
        <v/>
      </c>
      <c r="L78" s="238" t="str">
        <f t="shared" si="44"/>
        <v/>
      </c>
      <c r="M78" s="238" t="str">
        <f t="shared" si="45"/>
        <v/>
      </c>
      <c r="N78" s="238" t="str">
        <f t="shared" si="46"/>
        <v/>
      </c>
      <c r="O78" s="232" t="str">
        <f t="shared" si="41"/>
        <v/>
      </c>
      <c r="P78" s="219" t="str">
        <f t="shared" si="48"/>
        <v>Energie reactiva 3x</v>
      </c>
      <c r="Q78" s="219">
        <f t="shared" si="49"/>
        <v>0</v>
      </c>
      <c r="R78" s="219">
        <f t="shared" si="50"/>
        <v>0.4395</v>
      </c>
      <c r="S78" s="331">
        <f t="shared" si="30"/>
        <v>0</v>
      </c>
      <c r="T78" s="331">
        <f t="shared" si="31"/>
        <v>0</v>
      </c>
      <c r="U78" s="331">
        <f t="shared" si="32"/>
        <v>0</v>
      </c>
    </row>
    <row r="79" spans="1:21" ht="15.95" customHeight="1">
      <c r="A79" s="211">
        <f>IF(COUNTBLANK('RNEW import'!B77)=1,"",'RNEW import'!B77)</f>
        <v>4</v>
      </c>
      <c r="B79" s="211" t="str">
        <f>IF(COUNTBLANK('RNEW import'!D77)=1,"",'RNEW import'!D77)</f>
        <v>Ploiesti Shopping City SRL</v>
      </c>
      <c r="C79" s="211" t="str">
        <f>IF(COUNTBLANK('RNEW import'!E77)=1,"",'RNEW import'!E77)</f>
        <v>RPSC</v>
      </c>
      <c r="D79" s="211" t="str">
        <f>IF(COUNTBLANK('RNEW import'!K77)=1,"",'RNEW import'!K77)</f>
        <v>Tarife distributie en. El IT+MT</v>
      </c>
      <c r="E79" s="211">
        <f>IF(COUNTBLANK('RNEW import'!L77)=1,"",'RNEW import'!N77)</f>
        <v>620018</v>
      </c>
      <c r="F79" s="211">
        <f>IF(COUNTBLANK('RNEW import'!M77)=1,"",'RNEW import'!O77/10000)</f>
        <v>0.11483</v>
      </c>
      <c r="G79" s="217">
        <f t="shared" si="39"/>
        <v>71196.67</v>
      </c>
      <c r="H79" s="217">
        <f t="shared" si="47"/>
        <v>13527.37</v>
      </c>
      <c r="I79" s="329">
        <f t="shared" si="40"/>
        <v>84724.04</v>
      </c>
      <c r="J79" s="237" t="str">
        <f t="shared" si="42"/>
        <v/>
      </c>
      <c r="K79" s="238" t="str">
        <f t="shared" si="43"/>
        <v/>
      </c>
      <c r="L79" s="238" t="str">
        <f t="shared" si="44"/>
        <v/>
      </c>
      <c r="M79" s="238" t="str">
        <f t="shared" si="45"/>
        <v/>
      </c>
      <c r="N79" s="238" t="str">
        <f t="shared" si="46"/>
        <v/>
      </c>
      <c r="O79" s="232" t="str">
        <f t="shared" si="41"/>
        <v/>
      </c>
      <c r="P79" s="219" t="str">
        <f t="shared" si="48"/>
        <v/>
      </c>
      <c r="Q79" s="219" t="str">
        <f t="shared" si="49"/>
        <v/>
      </c>
      <c r="R79" s="219" t="str">
        <f t="shared" si="50"/>
        <v/>
      </c>
      <c r="S79" s="331" t="str">
        <f t="shared" si="30"/>
        <v/>
      </c>
      <c r="T79" s="331" t="str">
        <f t="shared" si="31"/>
        <v/>
      </c>
      <c r="U79" s="331" t="str">
        <f t="shared" si="32"/>
        <v/>
      </c>
    </row>
    <row r="80" spans="1:21" ht="15.95" customHeight="1">
      <c r="A80" s="211">
        <f>IF(COUNTBLANK('RNEW import'!B78)=1,"",'RNEW import'!B78)</f>
        <v>5</v>
      </c>
      <c r="B80" s="211" t="str">
        <f>IF(COUNTBLANK('RNEW import'!D78)=1,"",'RNEW import'!D78)</f>
        <v>Ploiesti Shopping City SRL</v>
      </c>
      <c r="C80" s="211" t="str">
        <f>IF(COUNTBLANK('RNEW import'!E78)=1,"",'RNEW import'!E78)</f>
        <v>RPSC</v>
      </c>
      <c r="D80" s="211" t="str">
        <f>IF(COUNTBLANK('RNEW import'!K78)=1,"",'RNEW import'!K78)</f>
        <v>Tarife distributie en. El JT</v>
      </c>
      <c r="E80" s="211">
        <f>IF(COUNTBLANK('RNEW import'!L78)=1,"",'RNEW import'!N78)</f>
        <v>0</v>
      </c>
      <c r="F80" s="211">
        <f>IF(COUNTBLANK('RNEW import'!M78)=1,"",'RNEW import'!O78/10000)</f>
        <v>0.2361</v>
      </c>
      <c r="G80" s="217">
        <f t="shared" si="39"/>
        <v>0</v>
      </c>
      <c r="H80" s="217">
        <f t="shared" si="47"/>
        <v>0</v>
      </c>
      <c r="I80" s="329">
        <f t="shared" si="40"/>
        <v>0</v>
      </c>
      <c r="J80" s="237" t="str">
        <f t="shared" si="42"/>
        <v/>
      </c>
      <c r="K80" s="238" t="str">
        <f t="shared" si="43"/>
        <v/>
      </c>
      <c r="L80" s="238" t="str">
        <f t="shared" si="44"/>
        <v/>
      </c>
      <c r="M80" s="238" t="str">
        <f t="shared" si="45"/>
        <v/>
      </c>
      <c r="N80" s="238" t="str">
        <f t="shared" si="46"/>
        <v/>
      </c>
      <c r="O80" s="232" t="str">
        <f t="shared" si="41"/>
        <v/>
      </c>
      <c r="P80" s="219" t="str">
        <f t="shared" si="48"/>
        <v/>
      </c>
      <c r="Q80" s="219" t="str">
        <f t="shared" si="49"/>
        <v/>
      </c>
      <c r="R80" s="219" t="str">
        <f t="shared" si="50"/>
        <v/>
      </c>
      <c r="S80" s="331" t="str">
        <f t="shared" si="30"/>
        <v/>
      </c>
      <c r="T80" s="331" t="str">
        <f t="shared" si="31"/>
        <v/>
      </c>
      <c r="U80" s="331" t="str">
        <f t="shared" si="32"/>
        <v/>
      </c>
    </row>
    <row r="81" spans="1:21" ht="15.95" customHeight="1">
      <c r="A81" s="211">
        <f>IF(COUNTBLANK('RNEW import'!B79)=1,"",'RNEW import'!B79)</f>
        <v>6</v>
      </c>
      <c r="B81" s="211" t="str">
        <f>IF(COUNTBLANK('RNEW import'!D79)=1,"",'RNEW import'!D79)</f>
        <v>Ploiesti Shopping City SRL</v>
      </c>
      <c r="C81" s="211" t="str">
        <f>IF(COUNTBLANK('RNEW import'!E79)=1,"",'RNEW import'!E79)</f>
        <v>RPSC</v>
      </c>
      <c r="D81" s="211" t="str">
        <f>IF(COUNTBLANK('RNEW import'!K79)=1,"",'RNEW import'!K79)</f>
        <v xml:space="preserve">Servicii Sistem </v>
      </c>
      <c r="E81" s="211">
        <f>IF(COUNTBLANK('RNEW import'!L79)=1,"",'RNEW import'!N79)</f>
        <v>620018</v>
      </c>
      <c r="F81" s="211">
        <f>IF(COUNTBLANK('RNEW import'!M79)=1,"",'RNEW import'!O79/10000)</f>
        <v>1.1509999999999999E-2</v>
      </c>
      <c r="G81" s="217">
        <f t="shared" si="39"/>
        <v>7136.41</v>
      </c>
      <c r="H81" s="217">
        <f t="shared" si="47"/>
        <v>1355.92</v>
      </c>
      <c r="I81" s="329">
        <f t="shared" si="40"/>
        <v>8492.33</v>
      </c>
      <c r="J81" s="237" t="str">
        <f t="shared" si="42"/>
        <v/>
      </c>
      <c r="K81" s="238" t="str">
        <f t="shared" si="43"/>
        <v/>
      </c>
      <c r="L81" s="238" t="str">
        <f t="shared" si="44"/>
        <v/>
      </c>
      <c r="M81" s="238" t="str">
        <f t="shared" si="45"/>
        <v/>
      </c>
      <c r="N81" s="238" t="str">
        <f t="shared" si="46"/>
        <v/>
      </c>
      <c r="O81" s="232" t="str">
        <f t="shared" si="41"/>
        <v/>
      </c>
      <c r="P81" s="219" t="str">
        <f t="shared" si="48"/>
        <v/>
      </c>
      <c r="Q81" s="219" t="str">
        <f t="shared" si="49"/>
        <v/>
      </c>
      <c r="R81" s="219" t="str">
        <f t="shared" si="50"/>
        <v/>
      </c>
      <c r="S81" s="331" t="str">
        <f t="shared" si="30"/>
        <v/>
      </c>
      <c r="T81" s="331" t="str">
        <f t="shared" si="31"/>
        <v/>
      </c>
      <c r="U81" s="331" t="str">
        <f t="shared" si="32"/>
        <v/>
      </c>
    </row>
    <row r="82" spans="1:21" ht="15.95" customHeight="1">
      <c r="A82" s="211">
        <f>IF(COUNTBLANK('RNEW import'!B80)=1,"",'RNEW import'!B80)</f>
        <v>7</v>
      </c>
      <c r="B82" s="211" t="str">
        <f>IF(COUNTBLANK('RNEW import'!D80)=1,"",'RNEW import'!D80)</f>
        <v>Ploiesti Shopping City SRL</v>
      </c>
      <c r="C82" s="211" t="str">
        <f>IF(COUNTBLANK('RNEW import'!E80)=1,"",'RNEW import'!E80)</f>
        <v>RPSC</v>
      </c>
      <c r="D82" s="211" t="str">
        <f>IF(COUNTBLANK('RNEW import'!K80)=1,"",'RNEW import'!K80)</f>
        <v>Tarif de introducere en. el in retea (TL)</v>
      </c>
      <c r="E82" s="211">
        <f>IF(COUNTBLANK('RNEW import'!L80)=1,"",'RNEW import'!N80)</f>
        <v>620018</v>
      </c>
      <c r="F82" s="211">
        <f>IF(COUNTBLANK('RNEW import'!M80)=1,"",'RNEW import'!O80/10000)</f>
        <v>3.3030000000000004E-2</v>
      </c>
      <c r="G82" s="217">
        <f t="shared" si="39"/>
        <v>20479.189999999999</v>
      </c>
      <c r="H82" s="217">
        <f t="shared" si="47"/>
        <v>3891.05</v>
      </c>
      <c r="I82" s="329">
        <f t="shared" si="40"/>
        <v>24370.239999999998</v>
      </c>
      <c r="J82" s="237" t="str">
        <f t="shared" si="42"/>
        <v/>
      </c>
      <c r="K82" s="238" t="str">
        <f t="shared" si="43"/>
        <v/>
      </c>
      <c r="L82" s="238" t="str">
        <f t="shared" si="44"/>
        <v/>
      </c>
      <c r="M82" s="238" t="str">
        <f t="shared" si="45"/>
        <v/>
      </c>
      <c r="N82" s="238" t="str">
        <f t="shared" si="46"/>
        <v/>
      </c>
      <c r="O82" s="232" t="str">
        <f t="shared" si="41"/>
        <v/>
      </c>
      <c r="P82" s="219" t="str">
        <f t="shared" si="48"/>
        <v/>
      </c>
      <c r="Q82" s="219" t="str">
        <f t="shared" si="49"/>
        <v/>
      </c>
      <c r="R82" s="219" t="str">
        <f t="shared" si="50"/>
        <v/>
      </c>
      <c r="S82" s="331" t="str">
        <f t="shared" si="30"/>
        <v/>
      </c>
      <c r="T82" s="331" t="str">
        <f t="shared" si="31"/>
        <v/>
      </c>
      <c r="U82" s="331" t="str">
        <f t="shared" si="32"/>
        <v/>
      </c>
    </row>
    <row r="83" spans="1:21" ht="15.95" customHeight="1">
      <c r="A83" s="211">
        <f>IF(COUNTBLANK('RNEW import'!B81)=1,"",'RNEW import'!B81)</f>
        <v>8</v>
      </c>
      <c r="B83" s="211" t="str">
        <f>IF(COUNTBLANK('RNEW import'!D81)=1,"",'RNEW import'!D81)</f>
        <v>Ploiesti Shopping City SRL</v>
      </c>
      <c r="C83" s="211" t="str">
        <f>IF(COUNTBLANK('RNEW import'!E81)=1,"",'RNEW import'!E81)</f>
        <v>RPSC</v>
      </c>
      <c r="D83" s="211" t="str">
        <f>IF(COUNTBLANK('RNEW import'!K81)=1,"",'RNEW import'!K81)</f>
        <v>Tarif de introducere en.el in retea (TG)</v>
      </c>
      <c r="E83" s="211">
        <f>IF(COUNTBLANK('RNEW import'!L81)=1,"",'RNEW import'!N81)</f>
        <v>620018</v>
      </c>
      <c r="F83" s="211">
        <f>IF(COUNTBLANK('RNEW import'!M81)=1,"",'RNEW import'!O81/10000)</f>
        <v>3.29E-3</v>
      </c>
      <c r="G83" s="217">
        <f t="shared" si="39"/>
        <v>2039.86</v>
      </c>
      <c r="H83" s="217">
        <f t="shared" si="47"/>
        <v>387.57</v>
      </c>
      <c r="I83" s="329">
        <f t="shared" si="40"/>
        <v>2427.4299999999998</v>
      </c>
      <c r="J83" s="237" t="str">
        <f t="shared" si="42"/>
        <v/>
      </c>
      <c r="K83" s="238" t="str">
        <f t="shared" si="43"/>
        <v/>
      </c>
      <c r="L83" s="238" t="str">
        <f t="shared" si="44"/>
        <v/>
      </c>
      <c r="M83" s="238" t="str">
        <f t="shared" si="45"/>
        <v/>
      </c>
      <c r="N83" s="238" t="str">
        <f t="shared" si="46"/>
        <v/>
      </c>
      <c r="O83" s="232" t="str">
        <f t="shared" si="41"/>
        <v/>
      </c>
      <c r="P83" s="219" t="str">
        <f t="shared" si="48"/>
        <v/>
      </c>
      <c r="Q83" s="219" t="str">
        <f t="shared" si="49"/>
        <v/>
      </c>
      <c r="R83" s="219" t="str">
        <f t="shared" si="50"/>
        <v/>
      </c>
      <c r="S83" s="331" t="str">
        <f t="shared" si="30"/>
        <v/>
      </c>
      <c r="T83" s="331" t="str">
        <f t="shared" si="31"/>
        <v/>
      </c>
      <c r="U83" s="331" t="str">
        <f t="shared" si="32"/>
        <v/>
      </c>
    </row>
    <row r="84" spans="1:21" ht="15.95" customHeight="1">
      <c r="A84" s="211">
        <f>IF(COUNTBLANK('RNEW import'!B82)=1,"",'RNEW import'!B82)</f>
        <v>9</v>
      </c>
      <c r="B84" s="211" t="str">
        <f>IF(COUNTBLANK('RNEW import'!D82)=1,"",'RNEW import'!D82)</f>
        <v>Ploiesti Shopping City SRL</v>
      </c>
      <c r="C84" s="211" t="str">
        <f>IF(COUNTBLANK('RNEW import'!E82)=1,"",'RNEW import'!E82)</f>
        <v>RPSC</v>
      </c>
      <c r="D84" s="211" t="str">
        <f>IF(COUNTBLANK('RNEW import'!K82)=1,"",'RNEW import'!K82)</f>
        <v>Contributie pentru cogenerare</v>
      </c>
      <c r="E84" s="211">
        <f>IF(COUNTBLANK('RNEW import'!L82)=1,"",'RNEW import'!N82)</f>
        <v>620018</v>
      </c>
      <c r="F84" s="211">
        <f>IF(COUNTBLANK('RNEW import'!M82)=1,"",'RNEW import'!O82/10000)</f>
        <v>3.5000000000000001E-3</v>
      </c>
      <c r="G84" s="217">
        <f t="shared" si="39"/>
        <v>2170.06</v>
      </c>
      <c r="H84" s="217">
        <f t="shared" si="47"/>
        <v>412.31</v>
      </c>
      <c r="I84" s="329">
        <f t="shared" si="40"/>
        <v>2582.37</v>
      </c>
      <c r="J84" s="237" t="str">
        <f t="shared" si="42"/>
        <v/>
      </c>
      <c r="K84" s="238" t="str">
        <f t="shared" si="43"/>
        <v/>
      </c>
      <c r="L84" s="238" t="str">
        <f t="shared" si="44"/>
        <v/>
      </c>
      <c r="M84" s="238" t="str">
        <f t="shared" si="45"/>
        <v/>
      </c>
      <c r="N84" s="238" t="str">
        <f t="shared" si="46"/>
        <v/>
      </c>
      <c r="O84" s="232" t="str">
        <f t="shared" si="41"/>
        <v/>
      </c>
      <c r="P84" s="219" t="str">
        <f t="shared" si="48"/>
        <v/>
      </c>
      <c r="Q84" s="219" t="str">
        <f t="shared" si="49"/>
        <v/>
      </c>
      <c r="R84" s="219" t="str">
        <f t="shared" si="50"/>
        <v/>
      </c>
      <c r="S84" s="331" t="str">
        <f t="shared" si="30"/>
        <v/>
      </c>
      <c r="T84" s="331" t="str">
        <f t="shared" si="31"/>
        <v/>
      </c>
      <c r="U84" s="331" t="str">
        <f t="shared" si="32"/>
        <v/>
      </c>
    </row>
    <row r="85" spans="1:21" ht="15.95" customHeight="1">
      <c r="A85" s="211">
        <f>IF(COUNTBLANK('RNEW import'!B83)=1,"",'RNEW import'!B83)</f>
        <v>10</v>
      </c>
      <c r="B85" s="211" t="str">
        <f>IF(COUNTBLANK('RNEW import'!D83)=1,"",'RNEW import'!D83)</f>
        <v>Ploiesti Shopping City SRL</v>
      </c>
      <c r="C85" s="211" t="str">
        <f>IF(COUNTBLANK('RNEW import'!E83)=1,"",'RNEW import'!E83)</f>
        <v>RPSC</v>
      </c>
      <c r="D85" s="211" t="str">
        <f>IF(COUNTBLANK('RNEW import'!K83)=1,"",'RNEW import'!K83)</f>
        <v xml:space="preserve">Certificate verzi </v>
      </c>
      <c r="E85" s="211">
        <f>IF(COUNTBLANK('RNEW import'!L83)=1,"",'RNEW import'!N83)</f>
        <v>620018</v>
      </c>
      <c r="F85" s="211">
        <f>IF(COUNTBLANK('RNEW import'!M83)=1,"",'RNEW import'!O83/10000)</f>
        <v>7.2541599999999998E-2</v>
      </c>
      <c r="G85" s="217">
        <f t="shared" si="39"/>
        <v>44977.1</v>
      </c>
      <c r="H85" s="217">
        <f t="shared" si="47"/>
        <v>8545.65</v>
      </c>
      <c r="I85" s="329">
        <f t="shared" si="40"/>
        <v>53522.75</v>
      </c>
      <c r="J85" s="237" t="str">
        <f t="shared" si="42"/>
        <v/>
      </c>
      <c r="K85" s="238" t="str">
        <f t="shared" si="43"/>
        <v/>
      </c>
      <c r="L85" s="238" t="str">
        <f t="shared" si="44"/>
        <v/>
      </c>
      <c r="M85" s="238" t="str">
        <f t="shared" si="45"/>
        <v/>
      </c>
      <c r="N85" s="238" t="str">
        <f t="shared" si="46"/>
        <v/>
      </c>
      <c r="O85" s="232" t="str">
        <f t="shared" si="41"/>
        <v/>
      </c>
      <c r="P85" s="219" t="str">
        <f t="shared" si="48"/>
        <v/>
      </c>
      <c r="Q85" s="219" t="str">
        <f t="shared" si="49"/>
        <v/>
      </c>
      <c r="R85" s="219" t="str">
        <f t="shared" si="50"/>
        <v/>
      </c>
      <c r="S85" s="331" t="str">
        <f t="shared" si="30"/>
        <v/>
      </c>
      <c r="T85" s="331" t="str">
        <f t="shared" si="31"/>
        <v/>
      </c>
      <c r="U85" s="331" t="str">
        <f t="shared" si="32"/>
        <v/>
      </c>
    </row>
    <row r="86" spans="1:21" ht="15.95" customHeight="1">
      <c r="A86" s="211">
        <f>IF(COUNTBLANK('RNEW import'!B84)=1,"",'RNEW import'!B84)</f>
        <v>11</v>
      </c>
      <c r="B86" s="211" t="str">
        <f>IF(COUNTBLANK('RNEW import'!D84)=1,"",'RNEW import'!D84)</f>
        <v>Ploiesti Shopping City SRL</v>
      </c>
      <c r="C86" s="211" t="str">
        <f>IF(COUNTBLANK('RNEW import'!E84)=1,"",'RNEW import'!E84)</f>
        <v>RPSC</v>
      </c>
      <c r="D86" s="211" t="str">
        <f>IF(COUNTBLANK('RNEW import'!K84)=1,"",'RNEW import'!K84)</f>
        <v>Contributie CFD</v>
      </c>
      <c r="E86" s="211">
        <f>IF(COUNTBLANK('RNEW import'!L84)=1,"",'RNEW import'!N84)</f>
        <v>620018</v>
      </c>
      <c r="F86" s="211">
        <f>IF(COUNTBLANK('RNEW import'!M84)=1,"",'RNEW import'!O84/10000)</f>
        <v>2.0599999999999999E-4</v>
      </c>
      <c r="G86" s="217">
        <f t="shared" si="39"/>
        <v>127.72</v>
      </c>
      <c r="H86" s="217">
        <f t="shared" si="47"/>
        <v>24.27</v>
      </c>
      <c r="I86" s="329">
        <f t="shared" si="40"/>
        <v>151.99</v>
      </c>
      <c r="J86" s="237" t="str">
        <f t="shared" si="42"/>
        <v/>
      </c>
      <c r="K86" s="238" t="str">
        <f t="shared" si="43"/>
        <v/>
      </c>
      <c r="L86" s="238" t="str">
        <f t="shared" si="44"/>
        <v/>
      </c>
      <c r="M86" s="238" t="str">
        <f t="shared" si="45"/>
        <v/>
      </c>
      <c r="N86" s="238" t="str">
        <f t="shared" si="46"/>
        <v/>
      </c>
      <c r="O86" s="232" t="str">
        <f t="shared" si="41"/>
        <v/>
      </c>
      <c r="P86" s="219" t="str">
        <f t="shared" si="48"/>
        <v/>
      </c>
      <c r="Q86" s="219" t="str">
        <f t="shared" si="49"/>
        <v/>
      </c>
      <c r="R86" s="219" t="str">
        <f t="shared" si="50"/>
        <v/>
      </c>
      <c r="S86" s="331" t="str">
        <f t="shared" ref="S86:S149" si="51">IF(COUNTBLANK(P86)=1,"",ROUND(IF(P86=$P$5,G86,IF(P86=$P$6,G86,IF(P86=$P$21,G86+G85+G84+G83,IF(P86=$P$23,G86,IF(P86=$P$24,G86,IF(P86=$P$4,SUMIFS(G:G,$B:$B,J86,A:A,"&lt;15"),IF(P86=$P$22,SUMIFS(G:G,$B:$B,J68,A:A,"&gt;18",A:A,"&lt;33")-S87-S88,IF(P86=$P$39,G86+G85+G84+G83,"eroare")))))))),2))</f>
        <v/>
      </c>
      <c r="T86" s="331" t="str">
        <f t="shared" ref="T86:T149" si="52">IF(COUNTBLANK(P86)=1,"",ROUND(IF(P86=$P$5,H86,IF(P86=$P$6,H86,IF(P86=$P$21,H86+H85+H84+H83,IF(P86=$P$23,H86,IF(P86=$P$24,H86,IF(P86=$P$4,SUMIFS(H:H,$B:$B,J86,A:A,"&lt;15"),IF(P86=$P$22,SUMIFS(H:H,$B:$B,J68,A:A,"&gt;18",A:A,"&lt;33")-T87-T88,IF(P86=$P$39,H86+H85+H84+H83,"eroare")))))))),2))</f>
        <v/>
      </c>
      <c r="U86" s="331" t="str">
        <f t="shared" ref="U86:U149" si="53">IF(COUNTBLANK(P86)=1,"",ROUND(IF(P86=$P$5,I86,IF(P86=$P$6,I86,IF(P86=$P$21,I86+I85+I84+I83,IF(P86=$P$23,I86,IF(P86=$P$24,I86,IF(P86=$P$4,SUMIFS(I:I,$B:$B,J86,A:A,"&lt;15"),IF(P86=$P$22,SUMIFS(I:I,$B:$B,J68,A:A,"&gt;18",A:A,"&lt;33")-U87-U88,IF(P86=$P$39,I86+I85+I84+I83,"eroare")))))))),2))</f>
        <v/>
      </c>
    </row>
    <row r="87" spans="1:21" ht="15.95" customHeight="1">
      <c r="A87" s="211">
        <f>IF(COUNTBLANK('RNEW import'!B85)=1,"",'RNEW import'!B85)</f>
        <v>12</v>
      </c>
      <c r="B87" s="211" t="str">
        <f>IF(COUNTBLANK('RNEW import'!D85)=1,"",'RNEW import'!D85)</f>
        <v>Ploiesti Shopping City SRL</v>
      </c>
      <c r="C87" s="211" t="str">
        <f>IF(COUNTBLANK('RNEW import'!E85)=1,"",'RNEW import'!E85)</f>
        <v>RPSC</v>
      </c>
      <c r="D87" s="211" t="str">
        <f>IF(COUNTBLANK('RNEW import'!K85)=1,"",'RNEW import'!K85)</f>
        <v>Acciza</v>
      </c>
      <c r="E87" s="211">
        <f>IF(COUNTBLANK('RNEW import'!L85)=1,"",'RNEW import'!N85)</f>
        <v>620018</v>
      </c>
      <c r="F87" s="211">
        <f>IF(COUNTBLANK('RNEW import'!M85)=1,"",'RNEW import'!O85/10000)</f>
        <v>0</v>
      </c>
      <c r="G87" s="217">
        <f t="shared" si="39"/>
        <v>0</v>
      </c>
      <c r="H87" s="217">
        <f t="shared" si="47"/>
        <v>0</v>
      </c>
      <c r="I87" s="329">
        <f t="shared" si="40"/>
        <v>0</v>
      </c>
      <c r="J87" s="237" t="str">
        <f t="shared" si="42"/>
        <v/>
      </c>
      <c r="K87" s="238" t="str">
        <f t="shared" si="43"/>
        <v/>
      </c>
      <c r="L87" s="238" t="str">
        <f t="shared" si="44"/>
        <v/>
      </c>
      <c r="M87" s="238" t="str">
        <f t="shared" si="45"/>
        <v/>
      </c>
      <c r="N87" s="238" t="str">
        <f t="shared" si="46"/>
        <v/>
      </c>
      <c r="O87" s="232" t="str">
        <f t="shared" si="41"/>
        <v/>
      </c>
      <c r="P87" s="219" t="str">
        <f t="shared" si="48"/>
        <v/>
      </c>
      <c r="Q87" s="219" t="str">
        <f t="shared" si="49"/>
        <v/>
      </c>
      <c r="R87" s="219" t="str">
        <f t="shared" si="50"/>
        <v/>
      </c>
      <c r="S87" s="331" t="str">
        <f t="shared" si="51"/>
        <v/>
      </c>
      <c r="T87" s="331" t="str">
        <f t="shared" si="52"/>
        <v/>
      </c>
      <c r="U87" s="331" t="str">
        <f t="shared" si="53"/>
        <v/>
      </c>
    </row>
    <row r="88" spans="1:21" ht="15.95" customHeight="1">
      <c r="A88" s="211">
        <f>IF(COUNTBLANK('RNEW import'!B86)=1,"",'RNEW import'!B86)</f>
        <v>13</v>
      </c>
      <c r="B88" s="211" t="str">
        <f>IF(COUNTBLANK('RNEW import'!D86)=1,"",'RNEW import'!D86)</f>
        <v>Ploiesti Shopping City SRL</v>
      </c>
      <c r="C88" s="211" t="str">
        <f>IF(COUNTBLANK('RNEW import'!E86)=1,"",'RNEW import'!E86)</f>
        <v>RPSC</v>
      </c>
      <c r="D88" s="211" t="str">
        <f>IF(COUNTBLANK('RNEW import'!K86)=1,"",'RNEW import'!K86)</f>
        <v>Tarif distributie SDI MT</v>
      </c>
      <c r="E88" s="211">
        <f>IF(COUNTBLANK('RNEW import'!L86)=1,"",'RNEW import'!N86)</f>
        <v>620018</v>
      </c>
      <c r="F88" s="211">
        <f>IF(COUNTBLANK('RNEW import'!M86)=1,"",'RNEW import'!O86/10000)</f>
        <v>1.49E-2</v>
      </c>
      <c r="G88" s="217">
        <f t="shared" si="39"/>
        <v>9238.27</v>
      </c>
      <c r="H88" s="217">
        <f t="shared" si="47"/>
        <v>1755.27</v>
      </c>
      <c r="I88" s="329">
        <f t="shared" si="40"/>
        <v>10993.54</v>
      </c>
      <c r="J88" s="237" t="str">
        <f t="shared" si="42"/>
        <v/>
      </c>
      <c r="K88" s="238" t="str">
        <f t="shared" si="43"/>
        <v/>
      </c>
      <c r="L88" s="238" t="str">
        <f t="shared" si="44"/>
        <v/>
      </c>
      <c r="M88" s="238" t="str">
        <f t="shared" si="45"/>
        <v/>
      </c>
      <c r="N88" s="238" t="str">
        <f t="shared" si="46"/>
        <v/>
      </c>
      <c r="O88" s="232" t="str">
        <f t="shared" si="41"/>
        <v/>
      </c>
      <c r="P88" s="219" t="str">
        <f t="shared" si="48"/>
        <v/>
      </c>
      <c r="Q88" s="219" t="str">
        <f t="shared" si="49"/>
        <v/>
      </c>
      <c r="R88" s="219" t="str">
        <f t="shared" si="50"/>
        <v/>
      </c>
      <c r="S88" s="331" t="str">
        <f t="shared" si="51"/>
        <v/>
      </c>
      <c r="T88" s="331" t="str">
        <f t="shared" si="52"/>
        <v/>
      </c>
      <c r="U88" s="331" t="str">
        <f t="shared" si="53"/>
        <v/>
      </c>
    </row>
    <row r="89" spans="1:21" ht="15.95" customHeight="1">
      <c r="A89" s="211">
        <f>IF(COUNTBLANK('RNEW import'!B87)=1,"",'RNEW import'!B87)</f>
        <v>14</v>
      </c>
      <c r="B89" s="211" t="str">
        <f>IF(COUNTBLANK('RNEW import'!D87)=1,"",'RNEW import'!D87)</f>
        <v>Ploiesti Shopping City SRL</v>
      </c>
      <c r="C89" s="211" t="str">
        <f>IF(COUNTBLANK('RNEW import'!E87)=1,"",'RNEW import'!E87)</f>
        <v>RPSC</v>
      </c>
      <c r="D89" s="211" t="str">
        <f>IF(COUNTBLANK('RNEW import'!K87)=1,"",'RNEW import'!K87)</f>
        <v>Tarif distributie SDI JT</v>
      </c>
      <c r="E89" s="211">
        <f>IF(COUNTBLANK('RNEW import'!L87)=1,"",'RNEW import'!N87)</f>
        <v>620018</v>
      </c>
      <c r="F89" s="211">
        <f>IF(COUNTBLANK('RNEW import'!M87)=1,"",'RNEW import'!O87/10000)</f>
        <v>0.1192</v>
      </c>
      <c r="G89" s="217">
        <f t="shared" si="39"/>
        <v>73906.149999999994</v>
      </c>
      <c r="H89" s="217">
        <f t="shared" si="47"/>
        <v>14042.17</v>
      </c>
      <c r="I89" s="329">
        <f t="shared" si="40"/>
        <v>87948.319999999992</v>
      </c>
      <c r="J89" s="237" t="str">
        <f t="shared" si="42"/>
        <v/>
      </c>
      <c r="K89" s="238" t="str">
        <f t="shared" si="43"/>
        <v/>
      </c>
      <c r="L89" s="238" t="str">
        <f t="shared" si="44"/>
        <v/>
      </c>
      <c r="M89" s="238" t="str">
        <f t="shared" si="45"/>
        <v/>
      </c>
      <c r="N89" s="238" t="str">
        <f t="shared" si="46"/>
        <v/>
      </c>
      <c r="O89" s="232" t="str">
        <f t="shared" si="41"/>
        <v/>
      </c>
      <c r="P89" s="219" t="str">
        <f t="shared" si="48"/>
        <v/>
      </c>
      <c r="Q89" s="219" t="str">
        <f t="shared" si="49"/>
        <v/>
      </c>
      <c r="R89" s="219" t="str">
        <f t="shared" si="50"/>
        <v/>
      </c>
      <c r="S89" s="331" t="str">
        <f t="shared" si="51"/>
        <v/>
      </c>
      <c r="T89" s="331" t="str">
        <f t="shared" si="52"/>
        <v/>
      </c>
      <c r="U89" s="331" t="str">
        <f t="shared" si="53"/>
        <v/>
      </c>
    </row>
    <row r="90" spans="1:21" ht="15.95" customHeight="1">
      <c r="A90" s="211">
        <f>IF(COUNTBLANK('RNEW import'!B88)=1,"",'RNEW import'!B88)</f>
        <v>15</v>
      </c>
      <c r="B90" s="211" t="str">
        <f>IF(COUNTBLANK('RNEW import'!D88)=1,"",'RNEW import'!D88)</f>
        <v>Ploiesti Shopping City SRL</v>
      </c>
      <c r="C90" s="211" t="str">
        <f>IF(COUNTBLANK('RNEW import'!E88)=1,"",'RNEW import'!E88)</f>
        <v>RPSC</v>
      </c>
      <c r="D90" s="211" t="str">
        <f>IF(COUNTBLANK('RNEW import'!K88)=1,"",'RNEW import'!K88)</f>
        <v>Energie activa 2</v>
      </c>
      <c r="E90" s="211">
        <f>IF(COUNTBLANK('RNEW import'!L88)=1,"",'RNEW import'!N88)</f>
        <v>183192.50000000003</v>
      </c>
      <c r="F90" s="211">
        <f>IF(COUNTBLANK('RNEW import'!M88)=1,"",'RNEW import'!O88/10000)</f>
        <v>0.96800760000000008</v>
      </c>
      <c r="G90" s="217">
        <f t="shared" si="39"/>
        <v>177331.73</v>
      </c>
      <c r="H90" s="217">
        <f t="shared" si="47"/>
        <v>33693.03</v>
      </c>
      <c r="I90" s="329">
        <f t="shared" si="40"/>
        <v>211024.76</v>
      </c>
      <c r="J90" s="237" t="str">
        <f t="shared" si="42"/>
        <v/>
      </c>
      <c r="K90" s="238" t="str">
        <f t="shared" si="43"/>
        <v/>
      </c>
      <c r="L90" s="238" t="str">
        <f t="shared" si="44"/>
        <v/>
      </c>
      <c r="M90" s="238" t="str">
        <f t="shared" si="45"/>
        <v/>
      </c>
      <c r="N90" s="238" t="str">
        <f t="shared" si="46"/>
        <v/>
      </c>
      <c r="O90" s="232" t="str">
        <f t="shared" si="41"/>
        <v/>
      </c>
      <c r="P90" s="219" t="str">
        <f t="shared" si="48"/>
        <v/>
      </c>
      <c r="Q90" s="219" t="str">
        <f t="shared" si="49"/>
        <v/>
      </c>
      <c r="R90" s="219" t="str">
        <f t="shared" si="50"/>
        <v/>
      </c>
      <c r="S90" s="331" t="str">
        <f t="shared" si="51"/>
        <v/>
      </c>
      <c r="T90" s="331" t="str">
        <f t="shared" si="52"/>
        <v/>
      </c>
      <c r="U90" s="331" t="str">
        <f t="shared" si="53"/>
        <v/>
      </c>
    </row>
    <row r="91" spans="1:21" ht="15.95" customHeight="1">
      <c r="A91" s="211">
        <f>IF(COUNTBLANK('RNEW import'!B89)=1,"",'RNEW import'!B89)</f>
        <v>16</v>
      </c>
      <c r="B91" s="211" t="str">
        <f>IF(COUNTBLANK('RNEW import'!D89)=1,"",'RNEW import'!D89)</f>
        <v>Ploiesti Shopping City SRL</v>
      </c>
      <c r="C91" s="211" t="str">
        <f>IF(COUNTBLANK('RNEW import'!E89)=1,"",'RNEW import'!E89)</f>
        <v>RPSC</v>
      </c>
      <c r="D91" s="211" t="str">
        <f>IF(COUNTBLANK('RNEW import'!K89)=1,"",'RNEW import'!K89)</f>
        <v>Energie activa 3</v>
      </c>
      <c r="E91" s="211">
        <f>IF(COUNTBLANK('RNEW import'!L89)=1,"",'RNEW import'!N89)</f>
        <v>37318</v>
      </c>
      <c r="F91" s="211">
        <f>IF(COUNTBLANK('RNEW import'!M89)=1,"",'RNEW import'!O89/10000)</f>
        <v>0.83390760000000008</v>
      </c>
      <c r="G91" s="217">
        <f t="shared" si="39"/>
        <v>31119.759999999998</v>
      </c>
      <c r="H91" s="217">
        <f t="shared" si="47"/>
        <v>5912.75</v>
      </c>
      <c r="I91" s="329">
        <f t="shared" si="40"/>
        <v>37032.509999999995</v>
      </c>
      <c r="J91" s="237" t="str">
        <f t="shared" si="42"/>
        <v/>
      </c>
      <c r="K91" s="238" t="str">
        <f t="shared" si="43"/>
        <v/>
      </c>
      <c r="L91" s="238" t="str">
        <f t="shared" si="44"/>
        <v/>
      </c>
      <c r="M91" s="238" t="str">
        <f t="shared" si="45"/>
        <v/>
      </c>
      <c r="N91" s="238" t="str">
        <f t="shared" si="46"/>
        <v/>
      </c>
      <c r="O91" s="232" t="str">
        <f t="shared" si="41"/>
        <v/>
      </c>
      <c r="P91" s="219" t="str">
        <f t="shared" si="48"/>
        <v/>
      </c>
      <c r="Q91" s="219" t="str">
        <f t="shared" si="49"/>
        <v/>
      </c>
      <c r="R91" s="219" t="str">
        <f t="shared" si="50"/>
        <v/>
      </c>
      <c r="S91" s="331" t="str">
        <f t="shared" si="51"/>
        <v/>
      </c>
      <c r="T91" s="331" t="str">
        <f t="shared" si="52"/>
        <v/>
      </c>
      <c r="U91" s="331" t="str">
        <f t="shared" si="53"/>
        <v/>
      </c>
    </row>
    <row r="92" spans="1:21" ht="15.95" customHeight="1">
      <c r="A92" s="211">
        <f>IF(COUNTBLANK('RNEW import'!B90)=1,"",'RNEW import'!B90)</f>
        <v>17</v>
      </c>
      <c r="B92" s="211" t="str">
        <f>IF(COUNTBLANK('RNEW import'!D90)=1,"",'RNEW import'!D90)</f>
        <v>Ploiesti Shopping City SRL</v>
      </c>
      <c r="C92" s="211" t="str">
        <f>IF(COUNTBLANK('RNEW import'!E90)=1,"",'RNEW import'!E90)</f>
        <v>RPSC</v>
      </c>
      <c r="D92" s="211" t="str">
        <f>IF(COUNTBLANK('RNEW import'!K90)=1,"",'RNEW import'!K90)</f>
        <v>Tarif distributie SDI MT_</v>
      </c>
      <c r="E92" s="211">
        <f>IF(COUNTBLANK('RNEW import'!L90)=1,"",'RNEW import'!N90)</f>
        <v>37318</v>
      </c>
      <c r="F92" s="211">
        <f>IF(COUNTBLANK('RNEW import'!M90)=1,"",'RNEW import'!O90/10000)</f>
        <v>1.49E-2</v>
      </c>
      <c r="G92" s="217">
        <f t="shared" si="39"/>
        <v>556.04</v>
      </c>
      <c r="H92" s="217">
        <f t="shared" si="47"/>
        <v>105.65</v>
      </c>
      <c r="I92" s="329">
        <f t="shared" si="40"/>
        <v>661.68999999999994</v>
      </c>
      <c r="J92" s="237" t="str">
        <f t="shared" si="42"/>
        <v/>
      </c>
      <c r="K92" s="238" t="str">
        <f t="shared" si="43"/>
        <v/>
      </c>
      <c r="L92" s="238" t="str">
        <f t="shared" si="44"/>
        <v/>
      </c>
      <c r="M92" s="238" t="str">
        <f t="shared" si="45"/>
        <v/>
      </c>
      <c r="N92" s="238" t="str">
        <f t="shared" si="46"/>
        <v/>
      </c>
      <c r="O92" s="232" t="str">
        <f t="shared" si="41"/>
        <v/>
      </c>
      <c r="P92" s="219" t="str">
        <f t="shared" si="48"/>
        <v/>
      </c>
      <c r="Q92" s="219" t="str">
        <f t="shared" si="49"/>
        <v/>
      </c>
      <c r="R92" s="219" t="str">
        <f t="shared" si="50"/>
        <v/>
      </c>
      <c r="S92" s="331" t="str">
        <f t="shared" si="51"/>
        <v/>
      </c>
      <c r="T92" s="331" t="str">
        <f t="shared" si="52"/>
        <v/>
      </c>
      <c r="U92" s="331" t="str">
        <f t="shared" si="53"/>
        <v/>
      </c>
    </row>
    <row r="93" spans="1:21" ht="15.95" customHeight="1">
      <c r="A93" s="211">
        <f>IF(COUNTBLANK('RNEW import'!B91)=1,"",'RNEW import'!B91)</f>
        <v>18</v>
      </c>
      <c r="B93" s="211" t="str">
        <f>IF(COUNTBLANK('RNEW import'!D91)=1,"",'RNEW import'!D91)</f>
        <v>Ploiesti Shopping City SRL</v>
      </c>
      <c r="C93" s="211" t="str">
        <f>IF(COUNTBLANK('RNEW import'!E91)=1,"",'RNEW import'!E91)</f>
        <v>RPSC</v>
      </c>
      <c r="D93" s="211" t="str">
        <f>IF(COUNTBLANK('RNEW import'!K91)=1,"",'RNEW import'!K91)</f>
        <v>Tarif distributie SDI JT_</v>
      </c>
      <c r="E93" s="211">
        <f>IF(COUNTBLANK('RNEW import'!L91)=1,"",'RNEW import'!N91)</f>
        <v>37318</v>
      </c>
      <c r="F93" s="211">
        <f>IF(COUNTBLANK('RNEW import'!M91)=1,"",'RNEW import'!O91/10000)</f>
        <v>0.1192</v>
      </c>
      <c r="G93" s="217">
        <f t="shared" si="39"/>
        <v>4448.3100000000004</v>
      </c>
      <c r="H93" s="217">
        <f t="shared" si="47"/>
        <v>845.18</v>
      </c>
      <c r="I93" s="329">
        <f t="shared" si="40"/>
        <v>5293.4900000000007</v>
      </c>
      <c r="J93" s="237" t="str">
        <f t="shared" si="42"/>
        <v/>
      </c>
      <c r="K93" s="238" t="str">
        <f t="shared" si="43"/>
        <v/>
      </c>
      <c r="L93" s="238" t="str">
        <f t="shared" si="44"/>
        <v/>
      </c>
      <c r="M93" s="238" t="str">
        <f t="shared" si="45"/>
        <v/>
      </c>
      <c r="N93" s="238" t="str">
        <f t="shared" si="46"/>
        <v/>
      </c>
      <c r="O93" s="232" t="str">
        <f t="shared" si="41"/>
        <v/>
      </c>
      <c r="P93" s="219" t="str">
        <f t="shared" si="48"/>
        <v>Energie consumata din PV</v>
      </c>
      <c r="Q93" s="219">
        <f t="shared" si="49"/>
        <v>220510.50000000003</v>
      </c>
      <c r="R93" s="219">
        <f t="shared" si="50"/>
        <v>0.96800799999999998</v>
      </c>
      <c r="S93" s="331">
        <f t="shared" si="51"/>
        <v>213455.84</v>
      </c>
      <c r="T93" s="331">
        <f t="shared" si="52"/>
        <v>40556.61</v>
      </c>
      <c r="U93" s="331">
        <f t="shared" si="53"/>
        <v>254012.45</v>
      </c>
    </row>
    <row r="94" spans="1:21" ht="15.95" customHeight="1">
      <c r="A94" s="211">
        <f>IF(COUNTBLANK('RNEW import'!B92)=1,"",'RNEW import'!B92)</f>
        <v>19</v>
      </c>
      <c r="B94" s="211" t="str">
        <f>IF(COUNTBLANK('RNEW import'!D92)=1,"",'RNEW import'!D92)</f>
        <v>Ploiesti Shopping City SRL</v>
      </c>
      <c r="C94" s="211" t="str">
        <f>IF(COUNTBLANK('RNEW import'!E92)=1,"",'RNEW import'!E92)</f>
        <v>RPSC</v>
      </c>
      <c r="D94" s="211" t="str">
        <f>IF(COUNTBLANK('RNEW import'!K92)=1,"",'RNEW import'!K92)</f>
        <v>Regularizare Energie activa 1</v>
      </c>
      <c r="E94" s="211">
        <f>IF(COUNTBLANK('RNEW import'!L92)=1,"",'RNEW import'!N92)</f>
        <v>1</v>
      </c>
      <c r="F94" s="211">
        <f>IF(COUNTBLANK('RNEW import'!M92)=1,"",'RNEW import'!O92/10000)</f>
        <v>0.59499999999999997</v>
      </c>
      <c r="G94" s="217">
        <f t="shared" si="39"/>
        <v>0.6</v>
      </c>
      <c r="H94" s="217">
        <f t="shared" si="47"/>
        <v>0.11</v>
      </c>
      <c r="I94" s="329">
        <f t="shared" si="40"/>
        <v>0.71</v>
      </c>
      <c r="J94" s="237" t="str">
        <f t="shared" si="42"/>
        <v/>
      </c>
      <c r="K94" s="238" t="str">
        <f t="shared" si="43"/>
        <v/>
      </c>
      <c r="L94" s="238" t="str">
        <f t="shared" si="44"/>
        <v/>
      </c>
      <c r="M94" s="238" t="str">
        <f t="shared" si="45"/>
        <v/>
      </c>
      <c r="N94" s="238" t="str">
        <f t="shared" si="46"/>
        <v/>
      </c>
      <c r="O94" s="232" t="str">
        <f t="shared" si="41"/>
        <v/>
      </c>
      <c r="P94" s="219" t="str">
        <f t="shared" si="48"/>
        <v>Energie activa regularizare</v>
      </c>
      <c r="Q94" s="219">
        <f t="shared" si="49"/>
        <v>1</v>
      </c>
      <c r="R94" s="219">
        <f t="shared" si="50"/>
        <v>0.95</v>
      </c>
      <c r="S94" s="331">
        <f t="shared" si="51"/>
        <v>0.95</v>
      </c>
      <c r="T94" s="331">
        <f t="shared" si="52"/>
        <v>0.17</v>
      </c>
      <c r="U94" s="331">
        <f t="shared" si="53"/>
        <v>1.1200000000000001</v>
      </c>
    </row>
    <row r="95" spans="1:21" ht="15.95" customHeight="1">
      <c r="A95" s="211">
        <f>IF(COUNTBLANK('RNEW import'!B93)=1,"",'RNEW import'!B93)</f>
        <v>20</v>
      </c>
      <c r="B95" s="211" t="str">
        <f>IF(COUNTBLANK('RNEW import'!D93)=1,"",'RNEW import'!D93)</f>
        <v>Ploiesti Shopping City SRL</v>
      </c>
      <c r="C95" s="211" t="str">
        <f>IF(COUNTBLANK('RNEW import'!E93)=1,"",'RNEW import'!E93)</f>
        <v>RPSC</v>
      </c>
      <c r="D95" s="211" t="str">
        <f>IF(COUNTBLANK('RNEW import'!K93)=1,"",'RNEW import'!K93)</f>
        <v>Regularizare Energie reactiva  1X</v>
      </c>
      <c r="E95" s="211">
        <f>IF(COUNTBLANK('RNEW import'!L93)=1,"",'RNEW import'!N93)</f>
        <v>0</v>
      </c>
      <c r="F95" s="211">
        <f>IF(COUNTBLANK('RNEW import'!M93)=1,"",'RNEW import'!O93/10000)</f>
        <v>0.14649999999999999</v>
      </c>
      <c r="G95" s="217">
        <f t="shared" si="39"/>
        <v>0</v>
      </c>
      <c r="H95" s="217">
        <f t="shared" si="47"/>
        <v>0</v>
      </c>
      <c r="I95" s="329">
        <f t="shared" si="40"/>
        <v>0</v>
      </c>
      <c r="J95" s="237" t="str">
        <f t="shared" si="42"/>
        <v/>
      </c>
      <c r="K95" s="238" t="str">
        <f t="shared" si="43"/>
        <v/>
      </c>
      <c r="L95" s="238" t="str">
        <f t="shared" si="44"/>
        <v/>
      </c>
      <c r="M95" s="238" t="str">
        <f t="shared" si="45"/>
        <v/>
      </c>
      <c r="N95" s="238" t="str">
        <f t="shared" si="46"/>
        <v/>
      </c>
      <c r="O95" s="232" t="str">
        <f t="shared" si="41"/>
        <v/>
      </c>
      <c r="P95" s="219" t="str">
        <f t="shared" si="48"/>
        <v>Energie reactiva 1x regularizare</v>
      </c>
      <c r="Q95" s="219">
        <f t="shared" si="49"/>
        <v>0</v>
      </c>
      <c r="R95" s="219">
        <f t="shared" si="50"/>
        <v>0.14649999999999999</v>
      </c>
      <c r="S95" s="331">
        <f t="shared" si="51"/>
        <v>0</v>
      </c>
      <c r="T95" s="331">
        <f t="shared" si="52"/>
        <v>0</v>
      </c>
      <c r="U95" s="331">
        <f t="shared" si="53"/>
        <v>0</v>
      </c>
    </row>
    <row r="96" spans="1:21" ht="15.95" customHeight="1">
      <c r="A96" s="211">
        <f>IF(COUNTBLANK('RNEW import'!B94)=1,"",'RNEW import'!B94)</f>
        <v>21</v>
      </c>
      <c r="B96" s="211" t="str">
        <f>IF(COUNTBLANK('RNEW import'!D94)=1,"",'RNEW import'!D94)</f>
        <v>Ploiesti Shopping City SRL</v>
      </c>
      <c r="C96" s="211" t="str">
        <f>IF(COUNTBLANK('RNEW import'!E94)=1,"",'RNEW import'!E94)</f>
        <v>RPSC</v>
      </c>
      <c r="D96" s="211" t="str">
        <f>IF(COUNTBLANK('RNEW import'!K94)=1,"",'RNEW import'!K94)</f>
        <v>Regularizare Energie reactiva  3X</v>
      </c>
      <c r="E96" s="211">
        <f>IF(COUNTBLANK('RNEW import'!L94)=1,"",'RNEW import'!N94)</f>
        <v>0</v>
      </c>
      <c r="F96" s="211">
        <f>IF(COUNTBLANK('RNEW import'!M94)=1,"",'RNEW import'!O94/10000)</f>
        <v>0.4395</v>
      </c>
      <c r="G96" s="217">
        <f t="shared" si="39"/>
        <v>0</v>
      </c>
      <c r="H96" s="217">
        <f t="shared" si="47"/>
        <v>0</v>
      </c>
      <c r="I96" s="329">
        <f t="shared" si="40"/>
        <v>0</v>
      </c>
      <c r="J96" s="237" t="str">
        <f t="shared" si="42"/>
        <v/>
      </c>
      <c r="K96" s="238" t="str">
        <f t="shared" si="43"/>
        <v/>
      </c>
      <c r="L96" s="238" t="str">
        <f t="shared" si="44"/>
        <v/>
      </c>
      <c r="M96" s="238" t="str">
        <f t="shared" si="45"/>
        <v/>
      </c>
      <c r="N96" s="238" t="str">
        <f t="shared" si="46"/>
        <v/>
      </c>
      <c r="O96" s="232" t="str">
        <f t="shared" si="41"/>
        <v/>
      </c>
      <c r="P96" s="219" t="str">
        <f t="shared" si="48"/>
        <v>Energie reactiva 3x regularizare</v>
      </c>
      <c r="Q96" s="219">
        <f t="shared" si="49"/>
        <v>0</v>
      </c>
      <c r="R96" s="219">
        <f t="shared" si="50"/>
        <v>0.4395</v>
      </c>
      <c r="S96" s="331">
        <f t="shared" si="51"/>
        <v>0</v>
      </c>
      <c r="T96" s="331">
        <f t="shared" si="52"/>
        <v>0</v>
      </c>
      <c r="U96" s="331">
        <f t="shared" si="53"/>
        <v>0</v>
      </c>
    </row>
    <row r="97" spans="1:21" ht="15.95" customHeight="1">
      <c r="A97" s="211">
        <f>IF(COUNTBLANK('RNEW import'!B95)=1,"",'RNEW import'!B95)</f>
        <v>22</v>
      </c>
      <c r="B97" s="211" t="str">
        <f>IF(COUNTBLANK('RNEW import'!D95)=1,"",'RNEW import'!D95)</f>
        <v>Ploiesti Shopping City SRL</v>
      </c>
      <c r="C97" s="211" t="str">
        <f>IF(COUNTBLANK('RNEW import'!E95)=1,"",'RNEW import'!E95)</f>
        <v>RPSC</v>
      </c>
      <c r="D97" s="211" t="str">
        <f>IF(COUNTBLANK('RNEW import'!K95)=1,"",'RNEW import'!K95)</f>
        <v>Regularizare Tarife distributie en. El IT+MT</v>
      </c>
      <c r="E97" s="211">
        <f>IF(COUNTBLANK('RNEW import'!L95)=1,"",'RNEW import'!N95)</f>
        <v>1</v>
      </c>
      <c r="F97" s="211">
        <f>IF(COUNTBLANK('RNEW import'!M95)=1,"",'RNEW import'!O95/10000)</f>
        <v>0.11483</v>
      </c>
      <c r="G97" s="217">
        <f t="shared" si="39"/>
        <v>0.11</v>
      </c>
      <c r="H97" s="217">
        <f t="shared" si="47"/>
        <v>0.02</v>
      </c>
      <c r="I97" s="329">
        <f t="shared" si="40"/>
        <v>0.13</v>
      </c>
      <c r="J97" s="237" t="str">
        <f t="shared" si="42"/>
        <v/>
      </c>
      <c r="K97" s="238" t="str">
        <f t="shared" si="43"/>
        <v/>
      </c>
      <c r="L97" s="238" t="str">
        <f t="shared" si="44"/>
        <v/>
      </c>
      <c r="M97" s="238" t="str">
        <f t="shared" si="45"/>
        <v/>
      </c>
      <c r="N97" s="238" t="str">
        <f t="shared" si="46"/>
        <v/>
      </c>
      <c r="O97" s="232" t="str">
        <f t="shared" si="41"/>
        <v/>
      </c>
      <c r="P97" s="219" t="str">
        <f t="shared" si="48"/>
        <v/>
      </c>
      <c r="Q97" s="219" t="str">
        <f t="shared" si="49"/>
        <v/>
      </c>
      <c r="R97" s="219" t="str">
        <f t="shared" si="50"/>
        <v/>
      </c>
      <c r="S97" s="331" t="str">
        <f t="shared" si="51"/>
        <v/>
      </c>
      <c r="T97" s="331" t="str">
        <f t="shared" si="52"/>
        <v/>
      </c>
      <c r="U97" s="331" t="str">
        <f t="shared" si="53"/>
        <v/>
      </c>
    </row>
    <row r="98" spans="1:21" ht="15.95" customHeight="1">
      <c r="A98" s="211">
        <f>IF(COUNTBLANK('RNEW import'!B96)=1,"",'RNEW import'!B96)</f>
        <v>23</v>
      </c>
      <c r="B98" s="211" t="str">
        <f>IF(COUNTBLANK('RNEW import'!D96)=1,"",'RNEW import'!D96)</f>
        <v>Ploiesti Shopping City SRL</v>
      </c>
      <c r="C98" s="211" t="str">
        <f>IF(COUNTBLANK('RNEW import'!E96)=1,"",'RNEW import'!E96)</f>
        <v>RPSC</v>
      </c>
      <c r="D98" s="211" t="str">
        <f>IF(COUNTBLANK('RNEW import'!K96)=1,"",'RNEW import'!K96)</f>
        <v>Regularizare Tarife distributie en. El JT</v>
      </c>
      <c r="E98" s="211">
        <f>IF(COUNTBLANK('RNEW import'!L96)=1,"",'RNEW import'!N96)</f>
        <v>0</v>
      </c>
      <c r="F98" s="211">
        <f>IF(COUNTBLANK('RNEW import'!M96)=1,"",'RNEW import'!O96/10000)</f>
        <v>0.2361</v>
      </c>
      <c r="G98" s="217">
        <f t="shared" si="39"/>
        <v>0</v>
      </c>
      <c r="H98" s="217">
        <f t="shared" si="47"/>
        <v>0</v>
      </c>
      <c r="I98" s="329">
        <f t="shared" si="40"/>
        <v>0</v>
      </c>
      <c r="J98" s="237" t="str">
        <f t="shared" si="42"/>
        <v/>
      </c>
      <c r="K98" s="238" t="str">
        <f t="shared" si="43"/>
        <v/>
      </c>
      <c r="L98" s="238" t="str">
        <f t="shared" si="44"/>
        <v/>
      </c>
      <c r="M98" s="238" t="str">
        <f t="shared" si="45"/>
        <v/>
      </c>
      <c r="N98" s="238" t="str">
        <f t="shared" si="46"/>
        <v/>
      </c>
      <c r="O98" s="232" t="str">
        <f t="shared" si="41"/>
        <v/>
      </c>
      <c r="P98" s="219" t="str">
        <f t="shared" si="48"/>
        <v/>
      </c>
      <c r="Q98" s="219" t="str">
        <f t="shared" si="49"/>
        <v/>
      </c>
      <c r="R98" s="219" t="str">
        <f t="shared" si="50"/>
        <v/>
      </c>
      <c r="S98" s="331" t="str">
        <f t="shared" si="51"/>
        <v/>
      </c>
      <c r="T98" s="331" t="str">
        <f t="shared" si="52"/>
        <v/>
      </c>
      <c r="U98" s="331" t="str">
        <f t="shared" si="53"/>
        <v/>
      </c>
    </row>
    <row r="99" spans="1:21" ht="15.95" customHeight="1">
      <c r="A99" s="211">
        <f>IF(COUNTBLANK('RNEW import'!B97)=1,"",'RNEW import'!B97)</f>
        <v>24</v>
      </c>
      <c r="B99" s="211" t="str">
        <f>IF(COUNTBLANK('RNEW import'!D97)=1,"",'RNEW import'!D97)</f>
        <v>Ploiesti Shopping City SRL</v>
      </c>
      <c r="C99" s="211" t="str">
        <f>IF(COUNTBLANK('RNEW import'!E97)=1,"",'RNEW import'!E97)</f>
        <v>RPSC</v>
      </c>
      <c r="D99" s="211" t="str">
        <f>IF(COUNTBLANK('RNEW import'!K97)=1,"",'RNEW import'!K97)</f>
        <v xml:space="preserve">Regularizare Servicii Sistem </v>
      </c>
      <c r="E99" s="211">
        <f>IF(COUNTBLANK('RNEW import'!L97)=1,"",'RNEW import'!N97)</f>
        <v>1</v>
      </c>
      <c r="F99" s="211">
        <f>IF(COUNTBLANK('RNEW import'!M97)=1,"",'RNEW import'!O97/10000)</f>
        <v>1.1509999999999999E-2</v>
      </c>
      <c r="G99" s="217">
        <f t="shared" si="39"/>
        <v>0.01</v>
      </c>
      <c r="H99" s="217">
        <f t="shared" si="47"/>
        <v>0</v>
      </c>
      <c r="I99" s="329">
        <f t="shared" si="40"/>
        <v>0.01</v>
      </c>
      <c r="J99" s="237" t="str">
        <f t="shared" si="42"/>
        <v/>
      </c>
      <c r="K99" s="238" t="str">
        <f t="shared" si="43"/>
        <v/>
      </c>
      <c r="L99" s="238" t="str">
        <f t="shared" si="44"/>
        <v/>
      </c>
      <c r="M99" s="238" t="str">
        <f t="shared" si="45"/>
        <v/>
      </c>
      <c r="N99" s="238" t="str">
        <f t="shared" si="46"/>
        <v/>
      </c>
      <c r="O99" s="232" t="str">
        <f t="shared" si="41"/>
        <v/>
      </c>
      <c r="P99" s="219" t="str">
        <f t="shared" si="48"/>
        <v/>
      </c>
      <c r="Q99" s="219" t="str">
        <f t="shared" si="49"/>
        <v/>
      </c>
      <c r="R99" s="219" t="str">
        <f t="shared" si="50"/>
        <v/>
      </c>
      <c r="S99" s="331" t="str">
        <f t="shared" si="51"/>
        <v/>
      </c>
      <c r="T99" s="331" t="str">
        <f t="shared" si="52"/>
        <v/>
      </c>
      <c r="U99" s="331" t="str">
        <f t="shared" si="53"/>
        <v/>
      </c>
    </row>
    <row r="100" spans="1:21" ht="15.95" customHeight="1">
      <c r="A100" s="211">
        <f>IF(COUNTBLANK('RNEW import'!B98)=1,"",'RNEW import'!B98)</f>
        <v>25</v>
      </c>
      <c r="B100" s="211" t="str">
        <f>IF(COUNTBLANK('RNEW import'!D98)=1,"",'RNEW import'!D98)</f>
        <v>Ploiesti Shopping City SRL</v>
      </c>
      <c r="C100" s="211" t="str">
        <f>IF(COUNTBLANK('RNEW import'!E98)=1,"",'RNEW import'!E98)</f>
        <v>RPSC</v>
      </c>
      <c r="D100" s="211" t="str">
        <f>IF(COUNTBLANK('RNEW import'!K98)=1,"",'RNEW import'!K98)</f>
        <v>Regularizare Tarif de introducere en. el in retea (TL)</v>
      </c>
      <c r="E100" s="211">
        <f>IF(COUNTBLANK('RNEW import'!L98)=1,"",'RNEW import'!N98)</f>
        <v>1</v>
      </c>
      <c r="F100" s="211">
        <f>IF(COUNTBLANK('RNEW import'!M98)=1,"",'RNEW import'!O98/10000)</f>
        <v>3.3030000000000004E-2</v>
      </c>
      <c r="G100" s="217">
        <f t="shared" si="39"/>
        <v>0.03</v>
      </c>
      <c r="H100" s="217">
        <f t="shared" si="47"/>
        <v>0.01</v>
      </c>
      <c r="I100" s="329">
        <f t="shared" si="40"/>
        <v>0.04</v>
      </c>
      <c r="J100" s="237" t="str">
        <f t="shared" si="42"/>
        <v/>
      </c>
      <c r="K100" s="238" t="str">
        <f t="shared" si="43"/>
        <v/>
      </c>
      <c r="L100" s="238" t="str">
        <f t="shared" si="44"/>
        <v/>
      </c>
      <c r="M100" s="238" t="str">
        <f t="shared" si="45"/>
        <v/>
      </c>
      <c r="N100" s="238" t="str">
        <f t="shared" si="46"/>
        <v/>
      </c>
      <c r="O100" s="232" t="str">
        <f t="shared" si="41"/>
        <v/>
      </c>
      <c r="P100" s="219" t="str">
        <f t="shared" si="48"/>
        <v/>
      </c>
      <c r="Q100" s="219" t="str">
        <f t="shared" si="49"/>
        <v/>
      </c>
      <c r="R100" s="219" t="str">
        <f t="shared" si="50"/>
        <v/>
      </c>
      <c r="S100" s="331" t="str">
        <f t="shared" si="51"/>
        <v/>
      </c>
      <c r="T100" s="331" t="str">
        <f t="shared" si="52"/>
        <v/>
      </c>
      <c r="U100" s="331" t="str">
        <f t="shared" si="53"/>
        <v/>
      </c>
    </row>
    <row r="101" spans="1:21" ht="15.95" customHeight="1">
      <c r="A101" s="211">
        <f>IF(COUNTBLANK('RNEW import'!B99)=1,"",'RNEW import'!B99)</f>
        <v>26</v>
      </c>
      <c r="B101" s="211" t="str">
        <f>IF(COUNTBLANK('RNEW import'!D99)=1,"",'RNEW import'!D99)</f>
        <v>Ploiesti Shopping City SRL</v>
      </c>
      <c r="C101" s="211" t="str">
        <f>IF(COUNTBLANK('RNEW import'!E99)=1,"",'RNEW import'!E99)</f>
        <v>RPSC</v>
      </c>
      <c r="D101" s="211" t="str">
        <f>IF(COUNTBLANK('RNEW import'!K99)=1,"",'RNEW import'!K99)</f>
        <v>Regularizare Tarif de introducere en.el in retea (TG)</v>
      </c>
      <c r="E101" s="211">
        <f>IF(COUNTBLANK('RNEW import'!L99)=1,"",'RNEW import'!N99)</f>
        <v>1</v>
      </c>
      <c r="F101" s="211">
        <f>IF(COUNTBLANK('RNEW import'!M99)=1,"",'RNEW import'!O99/10000)</f>
        <v>3.29E-3</v>
      </c>
      <c r="G101" s="217">
        <f t="shared" ref="G101:G164" si="54">ROUND(E101*F101,2)</f>
        <v>0</v>
      </c>
      <c r="H101" s="217">
        <f t="shared" si="47"/>
        <v>0</v>
      </c>
      <c r="I101" s="329">
        <f t="shared" ref="I101:I164" si="55">G101+H101</f>
        <v>0</v>
      </c>
      <c r="J101" s="237" t="str">
        <f t="shared" si="42"/>
        <v/>
      </c>
      <c r="K101" s="238" t="str">
        <f t="shared" si="43"/>
        <v/>
      </c>
      <c r="L101" s="238" t="str">
        <f t="shared" si="44"/>
        <v/>
      </c>
      <c r="M101" s="238" t="str">
        <f t="shared" si="45"/>
        <v/>
      </c>
      <c r="N101" s="238" t="str">
        <f t="shared" si="46"/>
        <v/>
      </c>
      <c r="O101" s="232" t="str">
        <f t="shared" si="41"/>
        <v/>
      </c>
      <c r="P101" s="219" t="str">
        <f t="shared" si="48"/>
        <v/>
      </c>
      <c r="Q101" s="219" t="str">
        <f t="shared" si="49"/>
        <v/>
      </c>
      <c r="R101" s="219" t="str">
        <f t="shared" si="50"/>
        <v/>
      </c>
      <c r="S101" s="331" t="str">
        <f t="shared" si="51"/>
        <v/>
      </c>
      <c r="T101" s="331" t="str">
        <f t="shared" si="52"/>
        <v/>
      </c>
      <c r="U101" s="331" t="str">
        <f t="shared" si="53"/>
        <v/>
      </c>
    </row>
    <row r="102" spans="1:21" ht="15.95" customHeight="1">
      <c r="A102" s="211">
        <f>IF(COUNTBLANK('RNEW import'!B100)=1,"",'RNEW import'!B100)</f>
        <v>27</v>
      </c>
      <c r="B102" s="211" t="str">
        <f>IF(COUNTBLANK('RNEW import'!D100)=1,"",'RNEW import'!D100)</f>
        <v>Ploiesti Shopping City SRL</v>
      </c>
      <c r="C102" s="211" t="str">
        <f>IF(COUNTBLANK('RNEW import'!E100)=1,"",'RNEW import'!E100)</f>
        <v>RPSC</v>
      </c>
      <c r="D102" s="211" t="str">
        <f>IF(COUNTBLANK('RNEW import'!K100)=1,"",'RNEW import'!K100)</f>
        <v>Regularizare Contributie pentru cogenerare</v>
      </c>
      <c r="E102" s="211">
        <f>IF(COUNTBLANK('RNEW import'!L100)=1,"",'RNEW import'!N100)</f>
        <v>1</v>
      </c>
      <c r="F102" s="211">
        <f>IF(COUNTBLANK('RNEW import'!M100)=1,"",'RNEW import'!O100/10000)</f>
        <v>3.5000000000000001E-3</v>
      </c>
      <c r="G102" s="217">
        <f t="shared" si="54"/>
        <v>0</v>
      </c>
      <c r="H102" s="217">
        <f t="shared" si="47"/>
        <v>0</v>
      </c>
      <c r="I102" s="329">
        <f t="shared" si="55"/>
        <v>0</v>
      </c>
      <c r="J102" s="237" t="str">
        <f t="shared" si="42"/>
        <v/>
      </c>
      <c r="K102" s="238" t="str">
        <f t="shared" si="43"/>
        <v/>
      </c>
      <c r="L102" s="238" t="str">
        <f t="shared" si="44"/>
        <v/>
      </c>
      <c r="M102" s="238" t="str">
        <f t="shared" si="45"/>
        <v/>
      </c>
      <c r="N102" s="238" t="str">
        <f t="shared" si="46"/>
        <v/>
      </c>
      <c r="O102" s="232" t="str">
        <f t="shared" ref="O102:O165" si="56">IF(A102=1,B102,"")</f>
        <v/>
      </c>
      <c r="P102" s="219" t="str">
        <f t="shared" si="48"/>
        <v/>
      </c>
      <c r="Q102" s="219" t="str">
        <f t="shared" si="49"/>
        <v/>
      </c>
      <c r="R102" s="219" t="str">
        <f t="shared" si="50"/>
        <v/>
      </c>
      <c r="S102" s="331" t="str">
        <f t="shared" si="51"/>
        <v/>
      </c>
      <c r="T102" s="331" t="str">
        <f t="shared" si="52"/>
        <v/>
      </c>
      <c r="U102" s="331" t="str">
        <f t="shared" si="53"/>
        <v/>
      </c>
    </row>
    <row r="103" spans="1:21" ht="15.95" customHeight="1">
      <c r="A103" s="211">
        <f>IF(COUNTBLANK('RNEW import'!B101)=1,"",'RNEW import'!B101)</f>
        <v>28</v>
      </c>
      <c r="B103" s="211" t="str">
        <f>IF(COUNTBLANK('RNEW import'!D101)=1,"",'RNEW import'!D101)</f>
        <v>Ploiesti Shopping City SRL</v>
      </c>
      <c r="C103" s="211" t="str">
        <f>IF(COUNTBLANK('RNEW import'!E101)=1,"",'RNEW import'!E101)</f>
        <v>RPSC</v>
      </c>
      <c r="D103" s="211" t="str">
        <f>IF(COUNTBLANK('RNEW import'!K101)=1,"",'RNEW import'!K101)</f>
        <v xml:space="preserve">Regularizare Certificate verzi </v>
      </c>
      <c r="E103" s="211">
        <f>IF(COUNTBLANK('RNEW import'!L101)=1,"",'RNEW import'!N101)</f>
        <v>1</v>
      </c>
      <c r="F103" s="211">
        <f>IF(COUNTBLANK('RNEW import'!M101)=1,"",'RNEW import'!O101/10000)</f>
        <v>7.2541599999999998E-2</v>
      </c>
      <c r="G103" s="217">
        <f t="shared" si="54"/>
        <v>7.0000000000000007E-2</v>
      </c>
      <c r="H103" s="217">
        <f t="shared" si="47"/>
        <v>0.01</v>
      </c>
      <c r="I103" s="329">
        <f t="shared" si="55"/>
        <v>0.08</v>
      </c>
      <c r="J103" s="237" t="str">
        <f t="shared" si="42"/>
        <v/>
      </c>
      <c r="K103" s="238" t="str">
        <f t="shared" si="43"/>
        <v/>
      </c>
      <c r="L103" s="238" t="str">
        <f t="shared" si="44"/>
        <v/>
      </c>
      <c r="M103" s="238" t="str">
        <f t="shared" si="45"/>
        <v/>
      </c>
      <c r="N103" s="238" t="str">
        <f t="shared" si="46"/>
        <v/>
      </c>
      <c r="O103" s="232" t="str">
        <f t="shared" si="56"/>
        <v/>
      </c>
      <c r="P103" s="219" t="str">
        <f t="shared" si="48"/>
        <v/>
      </c>
      <c r="Q103" s="219" t="str">
        <f t="shared" si="49"/>
        <v/>
      </c>
      <c r="R103" s="219" t="str">
        <f t="shared" si="50"/>
        <v/>
      </c>
      <c r="S103" s="331" t="str">
        <f t="shared" si="51"/>
        <v/>
      </c>
      <c r="T103" s="331" t="str">
        <f t="shared" si="52"/>
        <v/>
      </c>
      <c r="U103" s="331" t="str">
        <f t="shared" si="53"/>
        <v/>
      </c>
    </row>
    <row r="104" spans="1:21" ht="15.95" customHeight="1">
      <c r="A104" s="211">
        <f>IF(COUNTBLANK('RNEW import'!B102)=1,"",'RNEW import'!B102)</f>
        <v>29</v>
      </c>
      <c r="B104" s="211" t="str">
        <f>IF(COUNTBLANK('RNEW import'!D102)=1,"",'RNEW import'!D102)</f>
        <v>Ploiesti Shopping City SRL</v>
      </c>
      <c r="C104" s="211" t="str">
        <f>IF(COUNTBLANK('RNEW import'!E102)=1,"",'RNEW import'!E102)</f>
        <v>RPSC</v>
      </c>
      <c r="D104" s="211" t="str">
        <f>IF(COUNTBLANK('RNEW import'!K102)=1,"",'RNEW import'!K102)</f>
        <v>Regularizare Contributie CFD</v>
      </c>
      <c r="E104" s="211">
        <f>IF(COUNTBLANK('RNEW import'!L102)=1,"",'RNEW import'!N102)</f>
        <v>1</v>
      </c>
      <c r="F104" s="211">
        <f>IF(COUNTBLANK('RNEW import'!M102)=1,"",'RNEW import'!O102/10000)</f>
        <v>2.0599999999999999E-4</v>
      </c>
      <c r="G104" s="217">
        <f t="shared" si="54"/>
        <v>0</v>
      </c>
      <c r="H104" s="217">
        <f t="shared" si="47"/>
        <v>0</v>
      </c>
      <c r="I104" s="329">
        <f t="shared" si="55"/>
        <v>0</v>
      </c>
      <c r="J104" s="237" t="str">
        <f t="shared" si="42"/>
        <v/>
      </c>
      <c r="K104" s="238" t="str">
        <f t="shared" si="43"/>
        <v/>
      </c>
      <c r="L104" s="238" t="str">
        <f t="shared" si="44"/>
        <v/>
      </c>
      <c r="M104" s="238" t="str">
        <f t="shared" si="45"/>
        <v/>
      </c>
      <c r="N104" s="238" t="str">
        <f t="shared" si="46"/>
        <v/>
      </c>
      <c r="O104" s="232" t="str">
        <f t="shared" si="56"/>
        <v/>
      </c>
      <c r="P104" s="219" t="str">
        <f t="shared" si="48"/>
        <v/>
      </c>
      <c r="Q104" s="219" t="str">
        <f t="shared" si="49"/>
        <v/>
      </c>
      <c r="R104" s="219" t="str">
        <f t="shared" si="50"/>
        <v/>
      </c>
      <c r="S104" s="331" t="str">
        <f t="shared" si="51"/>
        <v/>
      </c>
      <c r="T104" s="331" t="str">
        <f t="shared" si="52"/>
        <v/>
      </c>
      <c r="U104" s="331" t="str">
        <f t="shared" si="53"/>
        <v/>
      </c>
    </row>
    <row r="105" spans="1:21" ht="15.95" customHeight="1">
      <c r="A105" s="211">
        <f>IF(COUNTBLANK('RNEW import'!B103)=1,"",'RNEW import'!B103)</f>
        <v>30</v>
      </c>
      <c r="B105" s="211" t="str">
        <f>IF(COUNTBLANK('RNEW import'!D103)=1,"",'RNEW import'!D103)</f>
        <v>Ploiesti Shopping City SRL</v>
      </c>
      <c r="C105" s="211" t="str">
        <f>IF(COUNTBLANK('RNEW import'!E103)=1,"",'RNEW import'!E103)</f>
        <v>RPSC</v>
      </c>
      <c r="D105" s="211" t="str">
        <f>IF(COUNTBLANK('RNEW import'!K103)=1,"",'RNEW import'!K103)</f>
        <v>Regularizare Acciza</v>
      </c>
      <c r="E105" s="211">
        <f>IF(COUNTBLANK('RNEW import'!L103)=1,"",'RNEW import'!N103)</f>
        <v>1</v>
      </c>
      <c r="F105" s="211">
        <f>IF(COUNTBLANK('RNEW import'!M103)=1,"",'RNEW import'!O103/10000)</f>
        <v>0</v>
      </c>
      <c r="G105" s="217">
        <f t="shared" si="54"/>
        <v>0</v>
      </c>
      <c r="H105" s="217">
        <f t="shared" si="47"/>
        <v>0</v>
      </c>
      <c r="I105" s="329">
        <f t="shared" si="55"/>
        <v>0</v>
      </c>
      <c r="J105" s="237" t="str">
        <f t="shared" si="42"/>
        <v/>
      </c>
      <c r="K105" s="238" t="str">
        <f t="shared" si="43"/>
        <v/>
      </c>
      <c r="L105" s="238" t="str">
        <f t="shared" si="44"/>
        <v/>
      </c>
      <c r="M105" s="238" t="str">
        <f t="shared" si="45"/>
        <v/>
      </c>
      <c r="N105" s="238" t="str">
        <f t="shared" si="46"/>
        <v/>
      </c>
      <c r="O105" s="233" t="str">
        <f t="shared" si="56"/>
        <v/>
      </c>
      <c r="P105" s="219" t="str">
        <f t="shared" si="48"/>
        <v/>
      </c>
      <c r="Q105" s="219" t="str">
        <f t="shared" si="49"/>
        <v/>
      </c>
      <c r="R105" s="219" t="str">
        <f t="shared" si="50"/>
        <v/>
      </c>
      <c r="S105" s="331" t="str">
        <f t="shared" si="51"/>
        <v/>
      </c>
      <c r="T105" s="331" t="str">
        <f t="shared" si="52"/>
        <v/>
      </c>
      <c r="U105" s="331" t="str">
        <f t="shared" si="53"/>
        <v/>
      </c>
    </row>
    <row r="106" spans="1:21" ht="15.95" customHeight="1">
      <c r="A106" s="211">
        <f>IF(COUNTBLANK('RNEW import'!B104)=1,"",'RNEW import'!B104)</f>
        <v>31</v>
      </c>
      <c r="B106" s="211" t="str">
        <f>IF(COUNTBLANK('RNEW import'!D104)=1,"",'RNEW import'!D104)</f>
        <v>Ploiesti Shopping City SRL</v>
      </c>
      <c r="C106" s="211" t="str">
        <f>IF(COUNTBLANK('RNEW import'!E104)=1,"",'RNEW import'!E104)</f>
        <v>RPSC</v>
      </c>
      <c r="D106" s="211" t="str">
        <f>IF(COUNTBLANK('RNEW import'!K104)=1,"",'RNEW import'!K104)</f>
        <v>Regularizare Tarif distributie SDI MT Ea1</v>
      </c>
      <c r="E106" s="211">
        <f>IF(COUNTBLANK('RNEW import'!L104)=1,"",'RNEW import'!N104)</f>
        <v>1</v>
      </c>
      <c r="F106" s="211">
        <f>IF(COUNTBLANK('RNEW import'!M104)=1,"",'RNEW import'!O104/10000)</f>
        <v>1.49E-2</v>
      </c>
      <c r="G106" s="217">
        <f t="shared" si="54"/>
        <v>0.01</v>
      </c>
      <c r="H106" s="217">
        <f t="shared" si="47"/>
        <v>0</v>
      </c>
      <c r="I106" s="329">
        <f t="shared" si="55"/>
        <v>0.01</v>
      </c>
      <c r="J106" s="237" t="str">
        <f t="shared" si="42"/>
        <v/>
      </c>
      <c r="K106" s="238" t="str">
        <f t="shared" si="43"/>
        <v/>
      </c>
      <c r="L106" s="238" t="str">
        <f t="shared" si="44"/>
        <v/>
      </c>
      <c r="M106" s="238" t="str">
        <f t="shared" si="45"/>
        <v/>
      </c>
      <c r="N106" s="238" t="str">
        <f t="shared" si="46"/>
        <v/>
      </c>
      <c r="O106" s="218" t="str">
        <f t="shared" si="56"/>
        <v/>
      </c>
      <c r="P106" s="219" t="str">
        <f t="shared" si="48"/>
        <v/>
      </c>
      <c r="Q106" s="219" t="str">
        <f t="shared" si="49"/>
        <v/>
      </c>
      <c r="R106" s="219" t="str">
        <f t="shared" si="50"/>
        <v/>
      </c>
      <c r="S106" s="331" t="str">
        <f t="shared" si="51"/>
        <v/>
      </c>
      <c r="T106" s="331" t="str">
        <f t="shared" si="52"/>
        <v/>
      </c>
      <c r="U106" s="331" t="str">
        <f t="shared" si="53"/>
        <v/>
      </c>
    </row>
    <row r="107" spans="1:21" ht="15.95" customHeight="1">
      <c r="A107" s="211">
        <f>IF(COUNTBLANK('RNEW import'!B105)=1,"",'RNEW import'!B105)</f>
        <v>32</v>
      </c>
      <c r="B107" s="211" t="str">
        <f>IF(COUNTBLANK('RNEW import'!D105)=1,"",'RNEW import'!D105)</f>
        <v>Ploiesti Shopping City SRL</v>
      </c>
      <c r="C107" s="211" t="str">
        <f>IF(COUNTBLANK('RNEW import'!E105)=1,"",'RNEW import'!E105)</f>
        <v>RPSC</v>
      </c>
      <c r="D107" s="211" t="str">
        <f>IF(COUNTBLANK('RNEW import'!K105)=1,"",'RNEW import'!K105)</f>
        <v>Regularizare Tarif distributie SDI JT Ea1</v>
      </c>
      <c r="E107" s="211">
        <f>IF(COUNTBLANK('RNEW import'!L105)=1,"",'RNEW import'!N105)</f>
        <v>1</v>
      </c>
      <c r="F107" s="211">
        <f>IF(COUNTBLANK('RNEW import'!M105)=1,"",'RNEW import'!O105/10000)</f>
        <v>0.1192</v>
      </c>
      <c r="G107" s="217">
        <f t="shared" si="54"/>
        <v>0.12</v>
      </c>
      <c r="H107" s="217">
        <f t="shared" si="47"/>
        <v>0.02</v>
      </c>
      <c r="I107" s="329">
        <f t="shared" si="55"/>
        <v>0.13999999999999999</v>
      </c>
      <c r="J107" s="237" t="str">
        <f t="shared" si="42"/>
        <v/>
      </c>
      <c r="K107" s="238" t="str">
        <f t="shared" si="43"/>
        <v/>
      </c>
      <c r="L107" s="238" t="str">
        <f t="shared" si="44"/>
        <v/>
      </c>
      <c r="M107" s="238" t="str">
        <f t="shared" si="45"/>
        <v/>
      </c>
      <c r="N107" s="238" t="str">
        <f t="shared" si="46"/>
        <v/>
      </c>
      <c r="O107" s="232" t="str">
        <f t="shared" si="56"/>
        <v/>
      </c>
      <c r="P107" s="219" t="str">
        <f t="shared" si="48"/>
        <v/>
      </c>
      <c r="Q107" s="219" t="str">
        <f t="shared" si="49"/>
        <v/>
      </c>
      <c r="R107" s="219" t="str">
        <f t="shared" si="50"/>
        <v/>
      </c>
      <c r="S107" s="331" t="str">
        <f t="shared" si="51"/>
        <v/>
      </c>
      <c r="T107" s="331" t="str">
        <f t="shared" si="52"/>
        <v/>
      </c>
      <c r="U107" s="331" t="str">
        <f t="shared" si="53"/>
        <v/>
      </c>
    </row>
    <row r="108" spans="1:21" ht="15.95" customHeight="1">
      <c r="A108" s="211">
        <f>IF(COUNTBLANK('RNEW import'!B106)=1,"",'RNEW import'!B106)</f>
        <v>33</v>
      </c>
      <c r="B108" s="211" t="str">
        <f>IF(COUNTBLANK('RNEW import'!D106)=1,"",'RNEW import'!D106)</f>
        <v>Ploiesti Shopping City SRL</v>
      </c>
      <c r="C108" s="211" t="str">
        <f>IF(COUNTBLANK('RNEW import'!E106)=1,"",'RNEW import'!E106)</f>
        <v>RPSC</v>
      </c>
      <c r="D108" s="211" t="str">
        <f>IF(COUNTBLANK('RNEW import'!K106)=1,"",'RNEW import'!K106)</f>
        <v>Regularizare Energie activa 2</v>
      </c>
      <c r="E108" s="211">
        <f>IF(COUNTBLANK('RNEW import'!L106)=1,"",'RNEW import'!N106)</f>
        <v>0</v>
      </c>
      <c r="F108" s="211">
        <f>IF(COUNTBLANK('RNEW import'!M106)=1,"",'RNEW import'!O106/10000)</f>
        <v>0.96800760000000008</v>
      </c>
      <c r="G108" s="217">
        <f t="shared" si="54"/>
        <v>0</v>
      </c>
      <c r="H108" s="217">
        <f t="shared" si="47"/>
        <v>0</v>
      </c>
      <c r="I108" s="329">
        <f t="shared" si="55"/>
        <v>0</v>
      </c>
      <c r="J108" s="237" t="str">
        <f t="shared" si="42"/>
        <v/>
      </c>
      <c r="K108" s="238" t="str">
        <f t="shared" si="43"/>
        <v/>
      </c>
      <c r="L108" s="238" t="str">
        <f t="shared" si="44"/>
        <v/>
      </c>
      <c r="M108" s="238" t="str">
        <f t="shared" si="45"/>
        <v/>
      </c>
      <c r="N108" s="238" t="str">
        <f t="shared" si="46"/>
        <v/>
      </c>
      <c r="O108" s="232" t="str">
        <f t="shared" si="56"/>
        <v/>
      </c>
      <c r="P108" s="219" t="str">
        <f t="shared" si="48"/>
        <v/>
      </c>
      <c r="Q108" s="219" t="str">
        <f t="shared" si="49"/>
        <v/>
      </c>
      <c r="R108" s="219" t="str">
        <f t="shared" si="50"/>
        <v/>
      </c>
      <c r="S108" s="331" t="str">
        <f t="shared" si="51"/>
        <v/>
      </c>
      <c r="T108" s="331" t="str">
        <f t="shared" si="52"/>
        <v/>
      </c>
      <c r="U108" s="331" t="str">
        <f t="shared" si="53"/>
        <v/>
      </c>
    </row>
    <row r="109" spans="1:21" ht="15.95" customHeight="1">
      <c r="A109" s="211">
        <f>IF(COUNTBLANK('RNEW import'!B107)=1,"",'RNEW import'!B107)</f>
        <v>34</v>
      </c>
      <c r="B109" s="211" t="str">
        <f>IF(COUNTBLANK('RNEW import'!D107)=1,"",'RNEW import'!D107)</f>
        <v>Ploiesti Shopping City SRL</v>
      </c>
      <c r="C109" s="211" t="str">
        <f>IF(COUNTBLANK('RNEW import'!E107)=1,"",'RNEW import'!E107)</f>
        <v>RPSC</v>
      </c>
      <c r="D109" s="211" t="str">
        <f>IF(COUNTBLANK('RNEW import'!K107)=1,"",'RNEW import'!K107)</f>
        <v>Regularizare Energie activa 3</v>
      </c>
      <c r="E109" s="211">
        <f>IF(COUNTBLANK('RNEW import'!L107)=1,"",'RNEW import'!N107)</f>
        <v>0</v>
      </c>
      <c r="F109" s="211">
        <f>IF(COUNTBLANK('RNEW import'!M107)=1,"",'RNEW import'!O107/10000)</f>
        <v>0.83390760000000008</v>
      </c>
      <c r="G109" s="217">
        <f t="shared" si="54"/>
        <v>0</v>
      </c>
      <c r="H109" s="217">
        <f t="shared" si="47"/>
        <v>0</v>
      </c>
      <c r="I109" s="329">
        <f t="shared" si="55"/>
        <v>0</v>
      </c>
      <c r="J109" s="237" t="str">
        <f t="shared" si="42"/>
        <v/>
      </c>
      <c r="K109" s="238" t="str">
        <f t="shared" si="43"/>
        <v/>
      </c>
      <c r="L109" s="238" t="str">
        <f t="shared" si="44"/>
        <v/>
      </c>
      <c r="M109" s="238" t="str">
        <f t="shared" si="45"/>
        <v/>
      </c>
      <c r="N109" s="238" t="str">
        <f t="shared" si="46"/>
        <v/>
      </c>
      <c r="O109" s="232" t="str">
        <f t="shared" si="56"/>
        <v/>
      </c>
      <c r="P109" s="219" t="str">
        <f t="shared" si="48"/>
        <v/>
      </c>
      <c r="Q109" s="219" t="str">
        <f t="shared" si="49"/>
        <v/>
      </c>
      <c r="R109" s="219" t="str">
        <f t="shared" si="50"/>
        <v/>
      </c>
      <c r="S109" s="331" t="str">
        <f t="shared" si="51"/>
        <v/>
      </c>
      <c r="T109" s="331" t="str">
        <f t="shared" si="52"/>
        <v/>
      </c>
      <c r="U109" s="331" t="str">
        <f t="shared" si="53"/>
        <v/>
      </c>
    </row>
    <row r="110" spans="1:21" ht="15.95" customHeight="1">
      <c r="A110" s="211">
        <f>IF(COUNTBLANK('RNEW import'!B108)=1,"",'RNEW import'!B108)</f>
        <v>35</v>
      </c>
      <c r="B110" s="211" t="str">
        <f>IF(COUNTBLANK('RNEW import'!D108)=1,"",'RNEW import'!D108)</f>
        <v>Ploiesti Shopping City SRL</v>
      </c>
      <c r="C110" s="211" t="str">
        <f>IF(COUNTBLANK('RNEW import'!E108)=1,"",'RNEW import'!E108)</f>
        <v>RPSC</v>
      </c>
      <c r="D110" s="211" t="str">
        <f>IF(COUNTBLANK('RNEW import'!K108)=1,"",'RNEW import'!K108)</f>
        <v>Regularizare Tarif distributie SDI MT Ea3</v>
      </c>
      <c r="E110" s="211">
        <f>IF(COUNTBLANK('RNEW import'!L108)=1,"",'RNEW import'!N108)</f>
        <v>0</v>
      </c>
      <c r="F110" s="211">
        <f>IF(COUNTBLANK('RNEW import'!M108)=1,"",'RNEW import'!O108/10000)</f>
        <v>1.49E-2</v>
      </c>
      <c r="G110" s="217">
        <f t="shared" si="54"/>
        <v>0</v>
      </c>
      <c r="H110" s="217">
        <f t="shared" si="47"/>
        <v>0</v>
      </c>
      <c r="I110" s="329">
        <f t="shared" si="55"/>
        <v>0</v>
      </c>
      <c r="J110" s="237" t="str">
        <f t="shared" si="42"/>
        <v/>
      </c>
      <c r="K110" s="238" t="str">
        <f t="shared" si="43"/>
        <v/>
      </c>
      <c r="L110" s="238" t="str">
        <f t="shared" si="44"/>
        <v/>
      </c>
      <c r="M110" s="238" t="str">
        <f t="shared" si="45"/>
        <v/>
      </c>
      <c r="N110" s="238" t="str">
        <f t="shared" si="46"/>
        <v/>
      </c>
      <c r="O110" s="232" t="str">
        <f t="shared" si="56"/>
        <v/>
      </c>
      <c r="P110" s="219" t="str">
        <f t="shared" si="48"/>
        <v/>
      </c>
      <c r="Q110" s="219" t="str">
        <f t="shared" si="49"/>
        <v/>
      </c>
      <c r="R110" s="219" t="str">
        <f t="shared" si="50"/>
        <v/>
      </c>
      <c r="S110" s="331" t="str">
        <f t="shared" si="51"/>
        <v/>
      </c>
      <c r="T110" s="331" t="str">
        <f t="shared" si="52"/>
        <v/>
      </c>
      <c r="U110" s="331" t="str">
        <f t="shared" si="53"/>
        <v/>
      </c>
    </row>
    <row r="111" spans="1:21" ht="15.95" customHeight="1">
      <c r="A111" s="211">
        <f>IF(COUNTBLANK('RNEW import'!B109)=1,"",'RNEW import'!B109)</f>
        <v>36</v>
      </c>
      <c r="B111" s="211" t="str">
        <f>IF(COUNTBLANK('RNEW import'!D109)=1,"",'RNEW import'!D109)</f>
        <v>Ploiesti Shopping City SRL</v>
      </c>
      <c r="C111" s="211" t="str">
        <f>IF(COUNTBLANK('RNEW import'!E109)=1,"",'RNEW import'!E109)</f>
        <v>RPSC</v>
      </c>
      <c r="D111" s="211" t="str">
        <f>IF(COUNTBLANK('RNEW import'!K109)=1,"",'RNEW import'!K109)</f>
        <v>Regularizare Tarif distributie SDI JT Ea3</v>
      </c>
      <c r="E111" s="211">
        <f>IF(COUNTBLANK('RNEW import'!L109)=1,"",'RNEW import'!N109)</f>
        <v>0</v>
      </c>
      <c r="F111" s="211">
        <f>IF(COUNTBLANK('RNEW import'!M109)=1,"",'RNEW import'!O109/10000)</f>
        <v>0.1192</v>
      </c>
      <c r="G111" s="217">
        <f t="shared" si="54"/>
        <v>0</v>
      </c>
      <c r="H111" s="217">
        <f t="shared" si="47"/>
        <v>0</v>
      </c>
      <c r="I111" s="329">
        <f t="shared" si="55"/>
        <v>0</v>
      </c>
      <c r="J111" s="237" t="str">
        <f t="shared" si="42"/>
        <v/>
      </c>
      <c r="K111" s="238" t="str">
        <f t="shared" si="43"/>
        <v/>
      </c>
      <c r="L111" s="238" t="str">
        <f t="shared" si="44"/>
        <v/>
      </c>
      <c r="M111" s="238" t="str">
        <f t="shared" si="45"/>
        <v/>
      </c>
      <c r="N111" s="238" t="str">
        <f t="shared" si="46"/>
        <v/>
      </c>
      <c r="O111" s="232" t="str">
        <f t="shared" si="56"/>
        <v/>
      </c>
      <c r="P111" s="219" t="str">
        <f t="shared" si="48"/>
        <v>Energie consumata din PV regularizare</v>
      </c>
      <c r="Q111" s="219">
        <f t="shared" si="49"/>
        <v>0</v>
      </c>
      <c r="R111" s="219">
        <f t="shared" si="50"/>
        <v>0</v>
      </c>
      <c r="S111" s="331">
        <f t="shared" si="51"/>
        <v>0</v>
      </c>
      <c r="T111" s="331">
        <f t="shared" si="52"/>
        <v>0</v>
      </c>
      <c r="U111" s="331">
        <f t="shared" si="53"/>
        <v>0</v>
      </c>
    </row>
    <row r="112" spans="1:21" ht="15.95" customHeight="1">
      <c r="A112" s="211">
        <f>IF(COUNTBLANK('RNEW import'!B110)=1,"",'RNEW import'!B110)</f>
        <v>1</v>
      </c>
      <c r="B112" s="211" t="str">
        <f>IF(COUNTBLANK('RNEW import'!D110)=1,"",'RNEW import'!D110)</f>
        <v>Shopping City Piatra Neamt SRL</v>
      </c>
      <c r="C112" s="211" t="str">
        <f>IF(COUNTBLANK('RNEW import'!E110)=1,"",'RNEW import'!E110)</f>
        <v>RSCP</v>
      </c>
      <c r="D112" s="211" t="str">
        <f>IF(COUNTBLANK('RNEW import'!K110)=1,"",'RNEW import'!K110)</f>
        <v>Energie activa 1</v>
      </c>
      <c r="E112" s="211">
        <f>IF(COUNTBLANK('RNEW import'!L110)=1,"",'RNEW import'!N110)</f>
        <v>313151</v>
      </c>
      <c r="F112" s="211">
        <f>IF(COUNTBLANK('RNEW import'!M110)=1,"",'RNEW import'!O110/10000)</f>
        <v>0.59499999999999997</v>
      </c>
      <c r="G112" s="217">
        <f t="shared" si="54"/>
        <v>186324.85</v>
      </c>
      <c r="H112" s="217">
        <f t="shared" si="47"/>
        <v>35401.72</v>
      </c>
      <c r="I112" s="329">
        <f t="shared" si="55"/>
        <v>221726.57</v>
      </c>
      <c r="J112" s="237" t="str">
        <f t="shared" si="42"/>
        <v>Shopping City Piatra Neamt SRL</v>
      </c>
      <c r="K112" s="238">
        <f t="shared" si="43"/>
        <v>38260.86</v>
      </c>
      <c r="L112" s="238">
        <f t="shared" si="44"/>
        <v>260800.85</v>
      </c>
      <c r="M112" s="238">
        <f t="shared" si="45"/>
        <v>117546.87</v>
      </c>
      <c r="N112" s="238">
        <f t="shared" si="46"/>
        <v>329835</v>
      </c>
      <c r="O112" s="232" t="str">
        <f t="shared" si="56"/>
        <v>Shopping City Piatra Neamt SRL</v>
      </c>
      <c r="P112" s="219" t="str">
        <f t="shared" si="48"/>
        <v>Enegie activa</v>
      </c>
      <c r="Q112" s="219">
        <f t="shared" si="49"/>
        <v>313151</v>
      </c>
      <c r="R112" s="219">
        <f t="shared" si="50"/>
        <v>0.94855800000000001</v>
      </c>
      <c r="S112" s="331">
        <f t="shared" si="51"/>
        <v>297041.78000000003</v>
      </c>
      <c r="T112" s="331">
        <f t="shared" si="52"/>
        <v>56437.94</v>
      </c>
      <c r="U112" s="331">
        <f t="shared" si="53"/>
        <v>353479.72</v>
      </c>
    </row>
    <row r="113" spans="1:21" ht="15.95" customHeight="1">
      <c r="A113" s="211">
        <f>IF(COUNTBLANK('RNEW import'!B111)=1,"",'RNEW import'!B111)</f>
        <v>2</v>
      </c>
      <c r="B113" s="211" t="str">
        <f>IF(COUNTBLANK('RNEW import'!D111)=1,"",'RNEW import'!D111)</f>
        <v>Shopping City Piatra Neamt SRL</v>
      </c>
      <c r="C113" s="211" t="str">
        <f>IF(COUNTBLANK('RNEW import'!E111)=1,"",'RNEW import'!E111)</f>
        <v>RSCP</v>
      </c>
      <c r="D113" s="211" t="str">
        <f>IF(COUNTBLANK('RNEW import'!K111)=1,"",'RNEW import'!K111)</f>
        <v>Energie reactiva  1X</v>
      </c>
      <c r="E113" s="211">
        <f>IF(COUNTBLANK('RNEW import'!L111)=1,"",'RNEW import'!N111)</f>
        <v>0</v>
      </c>
      <c r="F113" s="211">
        <f>IF(COUNTBLANK('RNEW import'!M111)=1,"",'RNEW import'!O111/10000)</f>
        <v>0.14660000000000001</v>
      </c>
      <c r="G113" s="217">
        <f t="shared" si="54"/>
        <v>0</v>
      </c>
      <c r="H113" s="217">
        <f t="shared" si="47"/>
        <v>0</v>
      </c>
      <c r="I113" s="329">
        <f t="shared" si="55"/>
        <v>0</v>
      </c>
      <c r="J113" s="237" t="str">
        <f t="shared" si="42"/>
        <v/>
      </c>
      <c r="K113" s="238" t="str">
        <f t="shared" si="43"/>
        <v/>
      </c>
      <c r="L113" s="238" t="str">
        <f t="shared" si="44"/>
        <v/>
      </c>
      <c r="M113" s="238" t="str">
        <f t="shared" si="45"/>
        <v/>
      </c>
      <c r="N113" s="238" t="str">
        <f t="shared" si="46"/>
        <v/>
      </c>
      <c r="O113" s="232" t="str">
        <f t="shared" si="56"/>
        <v/>
      </c>
      <c r="P113" s="219" t="str">
        <f t="shared" si="48"/>
        <v>Energie reactiva 1x</v>
      </c>
      <c r="Q113" s="219">
        <f t="shared" si="49"/>
        <v>0</v>
      </c>
      <c r="R113" s="219">
        <f t="shared" si="50"/>
        <v>0.14660000000000001</v>
      </c>
      <c r="S113" s="331">
        <f t="shared" si="51"/>
        <v>0</v>
      </c>
      <c r="T113" s="331">
        <f t="shared" si="52"/>
        <v>0</v>
      </c>
      <c r="U113" s="331">
        <f t="shared" si="53"/>
        <v>0</v>
      </c>
    </row>
    <row r="114" spans="1:21" ht="15.95" customHeight="1">
      <c r="A114" s="211">
        <f>IF(COUNTBLANK('RNEW import'!B112)=1,"",'RNEW import'!B112)</f>
        <v>3</v>
      </c>
      <c r="B114" s="211" t="str">
        <f>IF(COUNTBLANK('RNEW import'!D112)=1,"",'RNEW import'!D112)</f>
        <v>Shopping City Piatra Neamt SRL</v>
      </c>
      <c r="C114" s="211" t="str">
        <f>IF(COUNTBLANK('RNEW import'!E112)=1,"",'RNEW import'!E112)</f>
        <v>RSCP</v>
      </c>
      <c r="D114" s="211" t="str">
        <f>IF(COUNTBLANK('RNEW import'!K112)=1,"",'RNEW import'!K112)</f>
        <v>Energie reactiva  3X</v>
      </c>
      <c r="E114" s="211">
        <f>IF(COUNTBLANK('RNEW import'!L112)=1,"",'RNEW import'!N112)</f>
        <v>0</v>
      </c>
      <c r="F114" s="211">
        <f>IF(COUNTBLANK('RNEW import'!M112)=1,"",'RNEW import'!O112/10000)</f>
        <v>0.43980000000000002</v>
      </c>
      <c r="G114" s="217">
        <f t="shared" si="54"/>
        <v>0</v>
      </c>
      <c r="H114" s="217">
        <f t="shared" si="47"/>
        <v>0</v>
      </c>
      <c r="I114" s="329">
        <f t="shared" si="55"/>
        <v>0</v>
      </c>
      <c r="J114" s="237" t="str">
        <f t="shared" si="42"/>
        <v/>
      </c>
      <c r="K114" s="238" t="str">
        <f t="shared" si="43"/>
        <v/>
      </c>
      <c r="L114" s="238" t="str">
        <f t="shared" si="44"/>
        <v/>
      </c>
      <c r="M114" s="238" t="str">
        <f t="shared" si="45"/>
        <v/>
      </c>
      <c r="N114" s="238" t="str">
        <f t="shared" si="46"/>
        <v/>
      </c>
      <c r="O114" s="232" t="str">
        <f t="shared" si="56"/>
        <v/>
      </c>
      <c r="P114" s="219" t="str">
        <f t="shared" si="48"/>
        <v>Energie reactiva 3x</v>
      </c>
      <c r="Q114" s="219">
        <f t="shared" si="49"/>
        <v>0</v>
      </c>
      <c r="R114" s="219">
        <f t="shared" si="50"/>
        <v>0.43980000000000002</v>
      </c>
      <c r="S114" s="331">
        <f t="shared" si="51"/>
        <v>0</v>
      </c>
      <c r="T114" s="331">
        <f t="shared" si="52"/>
        <v>0</v>
      </c>
      <c r="U114" s="331">
        <f t="shared" si="53"/>
        <v>0</v>
      </c>
    </row>
    <row r="115" spans="1:21" ht="15.95" customHeight="1">
      <c r="A115" s="211">
        <f>IF(COUNTBLANK('RNEW import'!B113)=1,"",'RNEW import'!B113)</f>
        <v>4</v>
      </c>
      <c r="B115" s="211" t="str">
        <f>IF(COUNTBLANK('RNEW import'!D113)=1,"",'RNEW import'!D113)</f>
        <v>Shopping City Piatra Neamt SRL</v>
      </c>
      <c r="C115" s="211" t="str">
        <f>IF(COUNTBLANK('RNEW import'!E113)=1,"",'RNEW import'!E113)</f>
        <v>RSCP</v>
      </c>
      <c r="D115" s="211" t="str">
        <f>IF(COUNTBLANK('RNEW import'!K113)=1,"",'RNEW import'!K113)</f>
        <v>Tarife distributie en. El IT+MT</v>
      </c>
      <c r="E115" s="211">
        <f>IF(COUNTBLANK('RNEW import'!L113)=1,"",'RNEW import'!N113)</f>
        <v>313151</v>
      </c>
      <c r="F115" s="211">
        <f>IF(COUNTBLANK('RNEW import'!M113)=1,"",'RNEW import'!O113/10000)</f>
        <v>0.11348</v>
      </c>
      <c r="G115" s="217">
        <f t="shared" si="54"/>
        <v>35536.379999999997</v>
      </c>
      <c r="H115" s="217">
        <f t="shared" si="47"/>
        <v>6751.91</v>
      </c>
      <c r="I115" s="329">
        <f t="shared" si="55"/>
        <v>42288.289999999994</v>
      </c>
      <c r="J115" s="237" t="str">
        <f t="shared" si="42"/>
        <v/>
      </c>
      <c r="K115" s="238" t="str">
        <f t="shared" si="43"/>
        <v/>
      </c>
      <c r="L115" s="238" t="str">
        <f t="shared" si="44"/>
        <v/>
      </c>
      <c r="M115" s="238" t="str">
        <f t="shared" si="45"/>
        <v/>
      </c>
      <c r="N115" s="238" t="str">
        <f t="shared" si="46"/>
        <v/>
      </c>
      <c r="O115" s="232" t="str">
        <f t="shared" si="56"/>
        <v/>
      </c>
      <c r="P115" s="219" t="str">
        <f t="shared" si="48"/>
        <v/>
      </c>
      <c r="Q115" s="219" t="str">
        <f t="shared" si="49"/>
        <v/>
      </c>
      <c r="R115" s="219" t="str">
        <f t="shared" si="50"/>
        <v/>
      </c>
      <c r="S115" s="331" t="str">
        <f t="shared" si="51"/>
        <v/>
      </c>
      <c r="T115" s="331" t="str">
        <f t="shared" si="52"/>
        <v/>
      </c>
      <c r="U115" s="331" t="str">
        <f t="shared" si="53"/>
        <v/>
      </c>
    </row>
    <row r="116" spans="1:21" ht="15.95" customHeight="1">
      <c r="A116" s="211">
        <f>IF(COUNTBLANK('RNEW import'!B114)=1,"",'RNEW import'!B114)</f>
        <v>5</v>
      </c>
      <c r="B116" s="211" t="str">
        <f>IF(COUNTBLANK('RNEW import'!D114)=1,"",'RNEW import'!D114)</f>
        <v>Shopping City Piatra Neamt SRL</v>
      </c>
      <c r="C116" s="211" t="str">
        <f>IF(COUNTBLANK('RNEW import'!E114)=1,"",'RNEW import'!E114)</f>
        <v>RSCP</v>
      </c>
      <c r="D116" s="211" t="str">
        <f>IF(COUNTBLANK('RNEW import'!K114)=1,"",'RNEW import'!K114)</f>
        <v>Tarife distributie en. El JT</v>
      </c>
      <c r="E116" s="211">
        <f>IF(COUNTBLANK('RNEW import'!L114)=1,"",'RNEW import'!N114)</f>
        <v>0</v>
      </c>
      <c r="F116" s="211">
        <f>IF(COUNTBLANK('RNEW import'!M114)=1,"",'RNEW import'!O114/10000)</f>
        <v>0.23974999999999999</v>
      </c>
      <c r="G116" s="217">
        <f t="shared" si="54"/>
        <v>0</v>
      </c>
      <c r="H116" s="217">
        <f t="shared" si="47"/>
        <v>0</v>
      </c>
      <c r="I116" s="329">
        <f t="shared" si="55"/>
        <v>0</v>
      </c>
      <c r="J116" s="237" t="str">
        <f t="shared" si="42"/>
        <v/>
      </c>
      <c r="K116" s="238" t="str">
        <f t="shared" si="43"/>
        <v/>
      </c>
      <c r="L116" s="238" t="str">
        <f t="shared" si="44"/>
        <v/>
      </c>
      <c r="M116" s="238" t="str">
        <f t="shared" si="45"/>
        <v/>
      </c>
      <c r="N116" s="238" t="str">
        <f t="shared" si="46"/>
        <v/>
      </c>
      <c r="O116" s="232" t="str">
        <f t="shared" si="56"/>
        <v/>
      </c>
      <c r="P116" s="219" t="str">
        <f t="shared" si="48"/>
        <v/>
      </c>
      <c r="Q116" s="219" t="str">
        <f t="shared" si="49"/>
        <v/>
      </c>
      <c r="R116" s="219" t="str">
        <f t="shared" si="50"/>
        <v/>
      </c>
      <c r="S116" s="331" t="str">
        <f t="shared" si="51"/>
        <v/>
      </c>
      <c r="T116" s="331" t="str">
        <f t="shared" si="52"/>
        <v/>
      </c>
      <c r="U116" s="331" t="str">
        <f t="shared" si="53"/>
        <v/>
      </c>
    </row>
    <row r="117" spans="1:21" ht="15.95" customHeight="1">
      <c r="A117" s="211">
        <f>IF(COUNTBLANK('RNEW import'!B115)=1,"",'RNEW import'!B115)</f>
        <v>6</v>
      </c>
      <c r="B117" s="211" t="str">
        <f>IF(COUNTBLANK('RNEW import'!D115)=1,"",'RNEW import'!D115)</f>
        <v>Shopping City Piatra Neamt SRL</v>
      </c>
      <c r="C117" s="211" t="str">
        <f>IF(COUNTBLANK('RNEW import'!E115)=1,"",'RNEW import'!E115)</f>
        <v>RSCP</v>
      </c>
      <c r="D117" s="211" t="str">
        <f>IF(COUNTBLANK('RNEW import'!K115)=1,"",'RNEW import'!K115)</f>
        <v xml:space="preserve">Servicii Sistem </v>
      </c>
      <c r="E117" s="211">
        <f>IF(COUNTBLANK('RNEW import'!L115)=1,"",'RNEW import'!N115)</f>
        <v>313151</v>
      </c>
      <c r="F117" s="211">
        <f>IF(COUNTBLANK('RNEW import'!M115)=1,"",'RNEW import'!O115/10000)</f>
        <v>1.1509999999999999E-2</v>
      </c>
      <c r="G117" s="217">
        <f t="shared" si="54"/>
        <v>3604.37</v>
      </c>
      <c r="H117" s="217">
        <f t="shared" si="47"/>
        <v>684.83</v>
      </c>
      <c r="I117" s="329">
        <f t="shared" si="55"/>
        <v>4289.2</v>
      </c>
      <c r="J117" s="237" t="str">
        <f t="shared" si="42"/>
        <v/>
      </c>
      <c r="K117" s="238" t="str">
        <f t="shared" si="43"/>
        <v/>
      </c>
      <c r="L117" s="238" t="str">
        <f t="shared" si="44"/>
        <v/>
      </c>
      <c r="M117" s="238" t="str">
        <f t="shared" si="45"/>
        <v/>
      </c>
      <c r="N117" s="238" t="str">
        <f t="shared" si="46"/>
        <v/>
      </c>
      <c r="O117" s="232" t="str">
        <f t="shared" si="56"/>
        <v/>
      </c>
      <c r="P117" s="219" t="str">
        <f t="shared" si="48"/>
        <v/>
      </c>
      <c r="Q117" s="219" t="str">
        <f t="shared" si="49"/>
        <v/>
      </c>
      <c r="R117" s="219" t="str">
        <f t="shared" si="50"/>
        <v/>
      </c>
      <c r="S117" s="331" t="str">
        <f t="shared" si="51"/>
        <v/>
      </c>
      <c r="T117" s="331" t="str">
        <f t="shared" si="52"/>
        <v/>
      </c>
      <c r="U117" s="331" t="str">
        <f t="shared" si="53"/>
        <v/>
      </c>
    </row>
    <row r="118" spans="1:21" ht="15.95" customHeight="1">
      <c r="A118" s="211">
        <f>IF(COUNTBLANK('RNEW import'!B116)=1,"",'RNEW import'!B116)</f>
        <v>7</v>
      </c>
      <c r="B118" s="211" t="str">
        <f>IF(COUNTBLANK('RNEW import'!D116)=1,"",'RNEW import'!D116)</f>
        <v>Shopping City Piatra Neamt SRL</v>
      </c>
      <c r="C118" s="211" t="str">
        <f>IF(COUNTBLANK('RNEW import'!E116)=1,"",'RNEW import'!E116)</f>
        <v>RSCP</v>
      </c>
      <c r="D118" s="211" t="str">
        <f>IF(COUNTBLANK('RNEW import'!K116)=1,"",'RNEW import'!K116)</f>
        <v>Tarif de introducere en. el in retea (TL)</v>
      </c>
      <c r="E118" s="211">
        <f>IF(COUNTBLANK('RNEW import'!L116)=1,"",'RNEW import'!N116)</f>
        <v>313151</v>
      </c>
      <c r="F118" s="211">
        <f>IF(COUNTBLANK('RNEW import'!M116)=1,"",'RNEW import'!O116/10000)</f>
        <v>3.3030000000000004E-2</v>
      </c>
      <c r="G118" s="217">
        <f t="shared" si="54"/>
        <v>10343.379999999999</v>
      </c>
      <c r="H118" s="217">
        <f t="shared" si="47"/>
        <v>1965.24</v>
      </c>
      <c r="I118" s="329">
        <f t="shared" si="55"/>
        <v>12308.619999999999</v>
      </c>
      <c r="J118" s="237" t="str">
        <f t="shared" si="42"/>
        <v/>
      </c>
      <c r="K118" s="238" t="str">
        <f t="shared" si="43"/>
        <v/>
      </c>
      <c r="L118" s="238" t="str">
        <f t="shared" si="44"/>
        <v/>
      </c>
      <c r="M118" s="238" t="str">
        <f t="shared" si="45"/>
        <v/>
      </c>
      <c r="N118" s="238" t="str">
        <f t="shared" si="46"/>
        <v/>
      </c>
      <c r="O118" s="232" t="str">
        <f t="shared" si="56"/>
        <v/>
      </c>
      <c r="P118" s="219" t="str">
        <f t="shared" si="48"/>
        <v/>
      </c>
      <c r="Q118" s="219" t="str">
        <f t="shared" si="49"/>
        <v/>
      </c>
      <c r="R118" s="219" t="str">
        <f t="shared" si="50"/>
        <v/>
      </c>
      <c r="S118" s="331" t="str">
        <f t="shared" si="51"/>
        <v/>
      </c>
      <c r="T118" s="331" t="str">
        <f t="shared" si="52"/>
        <v/>
      </c>
      <c r="U118" s="331" t="str">
        <f t="shared" si="53"/>
        <v/>
      </c>
    </row>
    <row r="119" spans="1:21" ht="15.95" customHeight="1">
      <c r="A119" s="211">
        <f>IF(COUNTBLANK('RNEW import'!B117)=1,"",'RNEW import'!B117)</f>
        <v>8</v>
      </c>
      <c r="B119" s="211" t="str">
        <f>IF(COUNTBLANK('RNEW import'!D117)=1,"",'RNEW import'!D117)</f>
        <v>Shopping City Piatra Neamt SRL</v>
      </c>
      <c r="C119" s="211" t="str">
        <f>IF(COUNTBLANK('RNEW import'!E117)=1,"",'RNEW import'!E117)</f>
        <v>RSCP</v>
      </c>
      <c r="D119" s="211" t="str">
        <f>IF(COUNTBLANK('RNEW import'!K117)=1,"",'RNEW import'!K117)</f>
        <v>Tarif de introducere en.el in retea (TG)</v>
      </c>
      <c r="E119" s="211">
        <f>IF(COUNTBLANK('RNEW import'!L117)=1,"",'RNEW import'!N117)</f>
        <v>313151</v>
      </c>
      <c r="F119" s="211">
        <f>IF(COUNTBLANK('RNEW import'!M117)=1,"",'RNEW import'!O117/10000)</f>
        <v>3.29E-3</v>
      </c>
      <c r="G119" s="217">
        <f t="shared" si="54"/>
        <v>1030.27</v>
      </c>
      <c r="H119" s="217">
        <f t="shared" si="47"/>
        <v>195.75</v>
      </c>
      <c r="I119" s="329">
        <f t="shared" si="55"/>
        <v>1226.02</v>
      </c>
      <c r="J119" s="237" t="str">
        <f t="shared" si="42"/>
        <v/>
      </c>
      <c r="K119" s="238" t="str">
        <f t="shared" si="43"/>
        <v/>
      </c>
      <c r="L119" s="238" t="str">
        <f t="shared" si="44"/>
        <v/>
      </c>
      <c r="M119" s="238" t="str">
        <f t="shared" si="45"/>
        <v/>
      </c>
      <c r="N119" s="238" t="str">
        <f t="shared" si="46"/>
        <v/>
      </c>
      <c r="O119" s="232" t="str">
        <f t="shared" si="56"/>
        <v/>
      </c>
      <c r="P119" s="219" t="str">
        <f t="shared" si="48"/>
        <v/>
      </c>
      <c r="Q119" s="219" t="str">
        <f t="shared" si="49"/>
        <v/>
      </c>
      <c r="R119" s="219" t="str">
        <f t="shared" si="50"/>
        <v/>
      </c>
      <c r="S119" s="331" t="str">
        <f t="shared" si="51"/>
        <v/>
      </c>
      <c r="T119" s="331" t="str">
        <f t="shared" si="52"/>
        <v/>
      </c>
      <c r="U119" s="331" t="str">
        <f t="shared" si="53"/>
        <v/>
      </c>
    </row>
    <row r="120" spans="1:21" ht="15.95" customHeight="1">
      <c r="A120" s="211">
        <f>IF(COUNTBLANK('RNEW import'!B118)=1,"",'RNEW import'!B118)</f>
        <v>9</v>
      </c>
      <c r="B120" s="211" t="str">
        <f>IF(COUNTBLANK('RNEW import'!D118)=1,"",'RNEW import'!D118)</f>
        <v>Shopping City Piatra Neamt SRL</v>
      </c>
      <c r="C120" s="211" t="str">
        <f>IF(COUNTBLANK('RNEW import'!E118)=1,"",'RNEW import'!E118)</f>
        <v>RSCP</v>
      </c>
      <c r="D120" s="211" t="str">
        <f>IF(COUNTBLANK('RNEW import'!K118)=1,"",'RNEW import'!K118)</f>
        <v>Contributie pentru cogenerare</v>
      </c>
      <c r="E120" s="211">
        <f>IF(COUNTBLANK('RNEW import'!L118)=1,"",'RNEW import'!N118)</f>
        <v>313151</v>
      </c>
      <c r="F120" s="211">
        <f>IF(COUNTBLANK('RNEW import'!M118)=1,"",'RNEW import'!O118/10000)</f>
        <v>3.5000000000000001E-3</v>
      </c>
      <c r="G120" s="217">
        <f t="shared" si="54"/>
        <v>1096.03</v>
      </c>
      <c r="H120" s="217">
        <f t="shared" si="47"/>
        <v>208.25</v>
      </c>
      <c r="I120" s="329">
        <f t="shared" si="55"/>
        <v>1304.28</v>
      </c>
      <c r="J120" s="237" t="str">
        <f t="shared" si="42"/>
        <v/>
      </c>
      <c r="K120" s="238" t="str">
        <f t="shared" si="43"/>
        <v/>
      </c>
      <c r="L120" s="238" t="str">
        <f t="shared" si="44"/>
        <v/>
      </c>
      <c r="M120" s="238" t="str">
        <f t="shared" si="45"/>
        <v/>
      </c>
      <c r="N120" s="238" t="str">
        <f t="shared" si="46"/>
        <v/>
      </c>
      <c r="O120" s="232" t="str">
        <f t="shared" si="56"/>
        <v/>
      </c>
      <c r="P120" s="219" t="str">
        <f t="shared" si="48"/>
        <v/>
      </c>
      <c r="Q120" s="219" t="str">
        <f t="shared" si="49"/>
        <v/>
      </c>
      <c r="R120" s="219" t="str">
        <f t="shared" si="50"/>
        <v/>
      </c>
      <c r="S120" s="331" t="str">
        <f t="shared" si="51"/>
        <v/>
      </c>
      <c r="T120" s="331" t="str">
        <f t="shared" si="52"/>
        <v/>
      </c>
      <c r="U120" s="331" t="str">
        <f t="shared" si="53"/>
        <v/>
      </c>
    </row>
    <row r="121" spans="1:21" ht="15.95" customHeight="1">
      <c r="A121" s="211">
        <f>IF(COUNTBLANK('RNEW import'!B119)=1,"",'RNEW import'!B119)</f>
        <v>10</v>
      </c>
      <c r="B121" s="211" t="str">
        <f>IF(COUNTBLANK('RNEW import'!D119)=1,"",'RNEW import'!D119)</f>
        <v>Shopping City Piatra Neamt SRL</v>
      </c>
      <c r="C121" s="211" t="str">
        <f>IF(COUNTBLANK('RNEW import'!E119)=1,"",'RNEW import'!E119)</f>
        <v>RSCP</v>
      </c>
      <c r="D121" s="211" t="str">
        <f>IF(COUNTBLANK('RNEW import'!K119)=1,"",'RNEW import'!K119)</f>
        <v xml:space="preserve">Certificate verzi </v>
      </c>
      <c r="E121" s="211">
        <f>IF(COUNTBLANK('RNEW import'!L119)=1,"",'RNEW import'!N119)</f>
        <v>313151</v>
      </c>
      <c r="F121" s="211">
        <f>IF(COUNTBLANK('RNEW import'!M119)=1,"",'RNEW import'!O119/10000)</f>
        <v>7.2541599999999998E-2</v>
      </c>
      <c r="G121" s="217">
        <f t="shared" si="54"/>
        <v>22716.47</v>
      </c>
      <c r="H121" s="217">
        <f t="shared" si="47"/>
        <v>4316.13</v>
      </c>
      <c r="I121" s="329">
        <f t="shared" si="55"/>
        <v>27032.600000000002</v>
      </c>
      <c r="J121" s="237" t="str">
        <f t="shared" si="42"/>
        <v/>
      </c>
      <c r="K121" s="238" t="str">
        <f t="shared" si="43"/>
        <v/>
      </c>
      <c r="L121" s="238" t="str">
        <f t="shared" si="44"/>
        <v/>
      </c>
      <c r="M121" s="238" t="str">
        <f t="shared" si="45"/>
        <v/>
      </c>
      <c r="N121" s="238" t="str">
        <f t="shared" si="46"/>
        <v/>
      </c>
      <c r="O121" s="232" t="str">
        <f t="shared" si="56"/>
        <v/>
      </c>
      <c r="P121" s="219" t="str">
        <f t="shared" si="48"/>
        <v/>
      </c>
      <c r="Q121" s="219" t="str">
        <f t="shared" si="49"/>
        <v/>
      </c>
      <c r="R121" s="219" t="str">
        <f t="shared" si="50"/>
        <v/>
      </c>
      <c r="S121" s="331" t="str">
        <f t="shared" si="51"/>
        <v/>
      </c>
      <c r="T121" s="331" t="str">
        <f t="shared" si="52"/>
        <v/>
      </c>
      <c r="U121" s="331" t="str">
        <f t="shared" si="53"/>
        <v/>
      </c>
    </row>
    <row r="122" spans="1:21" ht="15.95" customHeight="1">
      <c r="A122" s="211">
        <f>IF(COUNTBLANK('RNEW import'!B120)=1,"",'RNEW import'!B120)</f>
        <v>11</v>
      </c>
      <c r="B122" s="211" t="str">
        <f>IF(COUNTBLANK('RNEW import'!D120)=1,"",'RNEW import'!D120)</f>
        <v>Shopping City Piatra Neamt SRL</v>
      </c>
      <c r="C122" s="211" t="str">
        <f>IF(COUNTBLANK('RNEW import'!E120)=1,"",'RNEW import'!E120)</f>
        <v>RSCP</v>
      </c>
      <c r="D122" s="211" t="str">
        <f>IF(COUNTBLANK('RNEW import'!K120)=1,"",'RNEW import'!K120)</f>
        <v>Contributie CFD</v>
      </c>
      <c r="E122" s="211">
        <f>IF(COUNTBLANK('RNEW import'!L120)=1,"",'RNEW import'!N120)</f>
        <v>313151</v>
      </c>
      <c r="F122" s="211">
        <f>IF(COUNTBLANK('RNEW import'!M120)=1,"",'RNEW import'!O120/10000)</f>
        <v>2.0599999999999999E-4</v>
      </c>
      <c r="G122" s="217">
        <f t="shared" si="54"/>
        <v>64.510000000000005</v>
      </c>
      <c r="H122" s="217">
        <f t="shared" si="47"/>
        <v>12.26</v>
      </c>
      <c r="I122" s="329">
        <f t="shared" si="55"/>
        <v>76.77000000000001</v>
      </c>
      <c r="J122" s="237" t="str">
        <f t="shared" si="42"/>
        <v/>
      </c>
      <c r="K122" s="238" t="str">
        <f t="shared" si="43"/>
        <v/>
      </c>
      <c r="L122" s="238" t="str">
        <f t="shared" si="44"/>
        <v/>
      </c>
      <c r="M122" s="238" t="str">
        <f t="shared" si="45"/>
        <v/>
      </c>
      <c r="N122" s="238" t="str">
        <f t="shared" si="46"/>
        <v/>
      </c>
      <c r="O122" s="232" t="str">
        <f t="shared" si="56"/>
        <v/>
      </c>
      <c r="P122" s="219" t="str">
        <f t="shared" si="48"/>
        <v/>
      </c>
      <c r="Q122" s="219" t="str">
        <f t="shared" si="49"/>
        <v/>
      </c>
      <c r="R122" s="219" t="str">
        <f t="shared" si="50"/>
        <v/>
      </c>
      <c r="S122" s="331" t="str">
        <f t="shared" si="51"/>
        <v/>
      </c>
      <c r="T122" s="331" t="str">
        <f t="shared" si="52"/>
        <v/>
      </c>
      <c r="U122" s="331" t="str">
        <f t="shared" si="53"/>
        <v/>
      </c>
    </row>
    <row r="123" spans="1:21" ht="15.95" customHeight="1">
      <c r="A123" s="211">
        <f>IF(COUNTBLANK('RNEW import'!B121)=1,"",'RNEW import'!B121)</f>
        <v>12</v>
      </c>
      <c r="B123" s="211" t="str">
        <f>IF(COUNTBLANK('RNEW import'!D121)=1,"",'RNEW import'!D121)</f>
        <v>Shopping City Piatra Neamt SRL</v>
      </c>
      <c r="C123" s="211" t="str">
        <f>IF(COUNTBLANK('RNEW import'!E121)=1,"",'RNEW import'!E121)</f>
        <v>RSCP</v>
      </c>
      <c r="D123" s="211" t="str">
        <f>IF(COUNTBLANK('RNEW import'!K121)=1,"",'RNEW import'!K121)</f>
        <v>Acciza</v>
      </c>
      <c r="E123" s="211">
        <f>IF(COUNTBLANK('RNEW import'!L121)=1,"",'RNEW import'!N121)</f>
        <v>313151</v>
      </c>
      <c r="F123" s="211">
        <f>IF(COUNTBLANK('RNEW import'!M121)=1,"",'RNEW import'!O121/10000)</f>
        <v>0</v>
      </c>
      <c r="G123" s="217">
        <f t="shared" si="54"/>
        <v>0</v>
      </c>
      <c r="H123" s="217">
        <f t="shared" si="47"/>
        <v>0</v>
      </c>
      <c r="I123" s="329">
        <f t="shared" si="55"/>
        <v>0</v>
      </c>
      <c r="J123" s="237" t="str">
        <f t="shared" si="42"/>
        <v/>
      </c>
      <c r="K123" s="238" t="str">
        <f t="shared" si="43"/>
        <v/>
      </c>
      <c r="L123" s="238" t="str">
        <f t="shared" si="44"/>
        <v/>
      </c>
      <c r="M123" s="238" t="str">
        <f t="shared" si="45"/>
        <v/>
      </c>
      <c r="N123" s="238" t="str">
        <f t="shared" si="46"/>
        <v/>
      </c>
      <c r="O123" s="232" t="str">
        <f t="shared" si="56"/>
        <v/>
      </c>
      <c r="P123" s="219" t="str">
        <f t="shared" si="48"/>
        <v/>
      </c>
      <c r="Q123" s="219" t="str">
        <f t="shared" si="49"/>
        <v/>
      </c>
      <c r="R123" s="219" t="str">
        <f t="shared" si="50"/>
        <v/>
      </c>
      <c r="S123" s="331" t="str">
        <f t="shared" si="51"/>
        <v/>
      </c>
      <c r="T123" s="331" t="str">
        <f t="shared" si="52"/>
        <v/>
      </c>
      <c r="U123" s="331" t="str">
        <f t="shared" si="53"/>
        <v/>
      </c>
    </row>
    <row r="124" spans="1:21" ht="15.95" customHeight="1">
      <c r="A124" s="211">
        <f>IF(COUNTBLANK('RNEW import'!B122)=1,"",'RNEW import'!B122)</f>
        <v>13</v>
      </c>
      <c r="B124" s="211" t="str">
        <f>IF(COUNTBLANK('RNEW import'!D122)=1,"",'RNEW import'!D122)</f>
        <v>Shopping City Piatra Neamt SRL</v>
      </c>
      <c r="C124" s="211" t="str">
        <f>IF(COUNTBLANK('RNEW import'!E122)=1,"",'RNEW import'!E122)</f>
        <v>RSCP</v>
      </c>
      <c r="D124" s="211" t="str">
        <f>IF(COUNTBLANK('RNEW import'!K122)=1,"",'RNEW import'!K122)</f>
        <v>Tarif distributie SDI MT</v>
      </c>
      <c r="E124" s="211">
        <f>IF(COUNTBLANK('RNEW import'!L122)=1,"",'RNEW import'!N122)</f>
        <v>313151</v>
      </c>
      <c r="F124" s="211">
        <f>IF(COUNTBLANK('RNEW import'!M122)=1,"",'RNEW import'!O122/10000)</f>
        <v>1.3100000000000001E-2</v>
      </c>
      <c r="G124" s="217">
        <f t="shared" si="54"/>
        <v>4102.28</v>
      </c>
      <c r="H124" s="217">
        <f t="shared" si="47"/>
        <v>779.43</v>
      </c>
      <c r="I124" s="329">
        <f t="shared" si="55"/>
        <v>4881.71</v>
      </c>
      <c r="J124" s="237" t="str">
        <f t="shared" si="42"/>
        <v/>
      </c>
      <c r="K124" s="238" t="str">
        <f t="shared" si="43"/>
        <v/>
      </c>
      <c r="L124" s="238" t="str">
        <f t="shared" si="44"/>
        <v/>
      </c>
      <c r="M124" s="238" t="str">
        <f t="shared" si="45"/>
        <v/>
      </c>
      <c r="N124" s="238" t="str">
        <f t="shared" si="46"/>
        <v/>
      </c>
      <c r="O124" s="232" t="str">
        <f t="shared" si="56"/>
        <v/>
      </c>
      <c r="P124" s="219" t="str">
        <f t="shared" si="48"/>
        <v/>
      </c>
      <c r="Q124" s="219" t="str">
        <f t="shared" si="49"/>
        <v/>
      </c>
      <c r="R124" s="219" t="str">
        <f t="shared" si="50"/>
        <v/>
      </c>
      <c r="S124" s="331" t="str">
        <f t="shared" si="51"/>
        <v/>
      </c>
      <c r="T124" s="331" t="str">
        <f t="shared" si="52"/>
        <v/>
      </c>
      <c r="U124" s="331" t="str">
        <f t="shared" si="53"/>
        <v/>
      </c>
    </row>
    <row r="125" spans="1:21" ht="15.95" customHeight="1">
      <c r="A125" s="211">
        <f>IF(COUNTBLANK('RNEW import'!B123)=1,"",'RNEW import'!B123)</f>
        <v>14</v>
      </c>
      <c r="B125" s="211" t="str">
        <f>IF(COUNTBLANK('RNEW import'!D123)=1,"",'RNEW import'!D123)</f>
        <v>Shopping City Piatra Neamt SRL</v>
      </c>
      <c r="C125" s="211" t="str">
        <f>IF(COUNTBLANK('RNEW import'!E123)=1,"",'RNEW import'!E123)</f>
        <v>RSCP</v>
      </c>
      <c r="D125" s="211" t="str">
        <f>IF(COUNTBLANK('RNEW import'!K123)=1,"",'RNEW import'!K123)</f>
        <v>Tarif distributie SDI JT</v>
      </c>
      <c r="E125" s="211">
        <f>IF(COUNTBLANK('RNEW import'!L123)=1,"",'RNEW import'!N123)</f>
        <v>313151</v>
      </c>
      <c r="F125" s="211">
        <f>IF(COUNTBLANK('RNEW import'!M123)=1,"",'RNEW import'!O123/10000)</f>
        <v>0.10290000000000001</v>
      </c>
      <c r="G125" s="217">
        <f t="shared" si="54"/>
        <v>32223.24</v>
      </c>
      <c r="H125" s="217">
        <f t="shared" si="47"/>
        <v>6122.42</v>
      </c>
      <c r="I125" s="329">
        <f t="shared" si="55"/>
        <v>38345.660000000003</v>
      </c>
      <c r="J125" s="237" t="str">
        <f t="shared" si="42"/>
        <v/>
      </c>
      <c r="K125" s="238" t="str">
        <f t="shared" si="43"/>
        <v/>
      </c>
      <c r="L125" s="238" t="str">
        <f t="shared" si="44"/>
        <v/>
      </c>
      <c r="M125" s="238" t="str">
        <f t="shared" si="45"/>
        <v/>
      </c>
      <c r="N125" s="238" t="str">
        <f t="shared" si="46"/>
        <v/>
      </c>
      <c r="O125" s="232" t="str">
        <f t="shared" si="56"/>
        <v/>
      </c>
      <c r="P125" s="219" t="str">
        <f t="shared" si="48"/>
        <v/>
      </c>
      <c r="Q125" s="219" t="str">
        <f t="shared" si="49"/>
        <v/>
      </c>
      <c r="R125" s="219" t="str">
        <f t="shared" si="50"/>
        <v/>
      </c>
      <c r="S125" s="331" t="str">
        <f t="shared" si="51"/>
        <v/>
      </c>
      <c r="T125" s="331" t="str">
        <f t="shared" si="52"/>
        <v/>
      </c>
      <c r="U125" s="331" t="str">
        <f t="shared" si="53"/>
        <v/>
      </c>
    </row>
    <row r="126" spans="1:21" ht="15.95" customHeight="1">
      <c r="A126" s="211">
        <f>IF(COUNTBLANK('RNEW import'!B124)=1,"",'RNEW import'!B124)</f>
        <v>15</v>
      </c>
      <c r="B126" s="211" t="str">
        <f>IF(COUNTBLANK('RNEW import'!D124)=1,"",'RNEW import'!D124)</f>
        <v>Shopping City Piatra Neamt SRL</v>
      </c>
      <c r="C126" s="211" t="str">
        <f>IF(COUNTBLANK('RNEW import'!E124)=1,"",'RNEW import'!E124)</f>
        <v>RSCP</v>
      </c>
      <c r="D126" s="211" t="str">
        <f>IF(COUNTBLANK('RNEW import'!K124)=1,"",'RNEW import'!K124)</f>
        <v>Energie activa 2</v>
      </c>
      <c r="E126" s="211">
        <f>IF(COUNTBLANK('RNEW import'!L124)=1,"",'RNEW import'!N124)</f>
        <v>109278</v>
      </c>
      <c r="F126" s="211">
        <f>IF(COUNTBLANK('RNEW import'!M124)=1,"",'RNEW import'!O124/10000)</f>
        <v>0.94855759999999989</v>
      </c>
      <c r="G126" s="217">
        <f t="shared" si="54"/>
        <v>103656.48</v>
      </c>
      <c r="H126" s="217">
        <f t="shared" si="47"/>
        <v>19694.73</v>
      </c>
      <c r="I126" s="329">
        <f t="shared" si="55"/>
        <v>123351.20999999999</v>
      </c>
      <c r="J126" s="237" t="str">
        <f t="shared" si="42"/>
        <v/>
      </c>
      <c r="K126" s="238" t="str">
        <f t="shared" si="43"/>
        <v/>
      </c>
      <c r="L126" s="238" t="str">
        <f t="shared" si="44"/>
        <v/>
      </c>
      <c r="M126" s="238" t="str">
        <f t="shared" si="45"/>
        <v/>
      </c>
      <c r="N126" s="238" t="str">
        <f t="shared" si="46"/>
        <v/>
      </c>
      <c r="O126" s="232" t="str">
        <f t="shared" si="56"/>
        <v/>
      </c>
      <c r="P126" s="219" t="str">
        <f t="shared" si="48"/>
        <v/>
      </c>
      <c r="Q126" s="219" t="str">
        <f t="shared" si="49"/>
        <v/>
      </c>
      <c r="R126" s="219" t="str">
        <f t="shared" si="50"/>
        <v/>
      </c>
      <c r="S126" s="331" t="str">
        <f t="shared" si="51"/>
        <v/>
      </c>
      <c r="T126" s="331" t="str">
        <f t="shared" si="52"/>
        <v/>
      </c>
      <c r="U126" s="331" t="str">
        <f t="shared" si="53"/>
        <v/>
      </c>
    </row>
    <row r="127" spans="1:21" ht="15.95" customHeight="1">
      <c r="A127" s="211">
        <f>IF(COUNTBLANK('RNEW import'!B125)=1,"",'RNEW import'!B125)</f>
        <v>16</v>
      </c>
      <c r="B127" s="211" t="str">
        <f>IF(COUNTBLANK('RNEW import'!D125)=1,"",'RNEW import'!D125)</f>
        <v>Shopping City Piatra Neamt SRL</v>
      </c>
      <c r="C127" s="211" t="str">
        <f>IF(COUNTBLANK('RNEW import'!E125)=1,"",'RNEW import'!E125)</f>
        <v>RSCP</v>
      </c>
      <c r="D127" s="211" t="str">
        <f>IF(COUNTBLANK('RNEW import'!K125)=1,"",'RNEW import'!K125)</f>
        <v>Energie activa 3</v>
      </c>
      <c r="E127" s="211">
        <f>IF(COUNTBLANK('RNEW import'!L125)=1,"",'RNEW import'!N125)</f>
        <v>16684</v>
      </c>
      <c r="F127" s="211">
        <f>IF(COUNTBLANK('RNEW import'!M125)=1,"",'RNEW import'!O125/10000)</f>
        <v>0.83255760000000012</v>
      </c>
      <c r="G127" s="217">
        <f t="shared" si="54"/>
        <v>13890.39</v>
      </c>
      <c r="H127" s="217">
        <f t="shared" si="47"/>
        <v>2639.17</v>
      </c>
      <c r="I127" s="329">
        <f t="shared" si="55"/>
        <v>16529.559999999998</v>
      </c>
      <c r="J127" s="237" t="str">
        <f t="shared" si="42"/>
        <v/>
      </c>
      <c r="K127" s="238" t="str">
        <f t="shared" si="43"/>
        <v/>
      </c>
      <c r="L127" s="238" t="str">
        <f t="shared" si="44"/>
        <v/>
      </c>
      <c r="M127" s="238" t="str">
        <f t="shared" si="45"/>
        <v/>
      </c>
      <c r="N127" s="238" t="str">
        <f t="shared" si="46"/>
        <v/>
      </c>
      <c r="O127" s="232" t="str">
        <f t="shared" si="56"/>
        <v/>
      </c>
      <c r="P127" s="219" t="str">
        <f t="shared" si="48"/>
        <v/>
      </c>
      <c r="Q127" s="219" t="str">
        <f t="shared" si="49"/>
        <v/>
      </c>
      <c r="R127" s="219" t="str">
        <f t="shared" si="50"/>
        <v/>
      </c>
      <c r="S127" s="331" t="str">
        <f t="shared" si="51"/>
        <v/>
      </c>
      <c r="T127" s="331" t="str">
        <f t="shared" si="52"/>
        <v/>
      </c>
      <c r="U127" s="331" t="str">
        <f t="shared" si="53"/>
        <v/>
      </c>
    </row>
    <row r="128" spans="1:21" ht="15.95" customHeight="1">
      <c r="A128" s="211">
        <f>IF(COUNTBLANK('RNEW import'!B126)=1,"",'RNEW import'!B126)</f>
        <v>17</v>
      </c>
      <c r="B128" s="211" t="str">
        <f>IF(COUNTBLANK('RNEW import'!D126)=1,"",'RNEW import'!D126)</f>
        <v>Shopping City Piatra Neamt SRL</v>
      </c>
      <c r="C128" s="211" t="str">
        <f>IF(COUNTBLANK('RNEW import'!E126)=1,"",'RNEW import'!E126)</f>
        <v>RSCP</v>
      </c>
      <c r="D128" s="211" t="str">
        <f>IF(COUNTBLANK('RNEW import'!K126)=1,"",'RNEW import'!K126)</f>
        <v>Tarif distributie SDI MT_</v>
      </c>
      <c r="E128" s="211">
        <f>IF(COUNTBLANK('RNEW import'!L126)=1,"",'RNEW import'!N126)</f>
        <v>16684</v>
      </c>
      <c r="F128" s="211">
        <f>IF(COUNTBLANK('RNEW import'!M126)=1,"",'RNEW import'!O126/10000)</f>
        <v>1.3100000000000001E-2</v>
      </c>
      <c r="G128" s="217">
        <f t="shared" si="54"/>
        <v>218.56</v>
      </c>
      <c r="H128" s="217">
        <f t="shared" si="47"/>
        <v>41.53</v>
      </c>
      <c r="I128" s="329">
        <f t="shared" si="55"/>
        <v>260.09000000000003</v>
      </c>
      <c r="J128" s="237" t="str">
        <f t="shared" si="42"/>
        <v/>
      </c>
      <c r="K128" s="238" t="str">
        <f t="shared" si="43"/>
        <v/>
      </c>
      <c r="L128" s="238" t="str">
        <f t="shared" si="44"/>
        <v/>
      </c>
      <c r="M128" s="238" t="str">
        <f t="shared" si="45"/>
        <v/>
      </c>
      <c r="N128" s="238" t="str">
        <f t="shared" si="46"/>
        <v/>
      </c>
      <c r="O128" s="232" t="str">
        <f t="shared" si="56"/>
        <v/>
      </c>
      <c r="P128" s="219" t="str">
        <f t="shared" si="48"/>
        <v/>
      </c>
      <c r="Q128" s="219" t="str">
        <f t="shared" si="49"/>
        <v/>
      </c>
      <c r="R128" s="219" t="str">
        <f t="shared" si="50"/>
        <v/>
      </c>
      <c r="S128" s="331" t="str">
        <f t="shared" si="51"/>
        <v/>
      </c>
      <c r="T128" s="331" t="str">
        <f t="shared" si="52"/>
        <v/>
      </c>
      <c r="U128" s="331" t="str">
        <f t="shared" si="53"/>
        <v/>
      </c>
    </row>
    <row r="129" spans="1:21" ht="15.95" customHeight="1">
      <c r="A129" s="211">
        <f>IF(COUNTBLANK('RNEW import'!B127)=1,"",'RNEW import'!B127)</f>
        <v>18</v>
      </c>
      <c r="B129" s="211" t="str">
        <f>IF(COUNTBLANK('RNEW import'!D127)=1,"",'RNEW import'!D127)</f>
        <v>Shopping City Piatra Neamt SRL</v>
      </c>
      <c r="C129" s="211" t="str">
        <f>IF(COUNTBLANK('RNEW import'!E127)=1,"",'RNEW import'!E127)</f>
        <v>RSCP</v>
      </c>
      <c r="D129" s="211" t="str">
        <f>IF(COUNTBLANK('RNEW import'!K127)=1,"",'RNEW import'!K127)</f>
        <v>Tarif distributie SDI JT_</v>
      </c>
      <c r="E129" s="211">
        <f>IF(COUNTBLANK('RNEW import'!L127)=1,"",'RNEW import'!N127)</f>
        <v>16684</v>
      </c>
      <c r="F129" s="211">
        <f>IF(COUNTBLANK('RNEW import'!M127)=1,"",'RNEW import'!O127/10000)</f>
        <v>0.10290000000000001</v>
      </c>
      <c r="G129" s="217">
        <f t="shared" si="54"/>
        <v>1716.78</v>
      </c>
      <c r="H129" s="217">
        <f t="shared" si="47"/>
        <v>326.19</v>
      </c>
      <c r="I129" s="329">
        <f t="shared" si="55"/>
        <v>2042.97</v>
      </c>
      <c r="J129" s="237" t="str">
        <f t="shared" si="42"/>
        <v/>
      </c>
      <c r="K129" s="238" t="str">
        <f t="shared" si="43"/>
        <v/>
      </c>
      <c r="L129" s="238" t="str">
        <f t="shared" si="44"/>
        <v/>
      </c>
      <c r="M129" s="238" t="str">
        <f t="shared" si="45"/>
        <v/>
      </c>
      <c r="N129" s="238" t="str">
        <f t="shared" si="46"/>
        <v/>
      </c>
      <c r="O129" s="232" t="str">
        <f t="shared" si="56"/>
        <v/>
      </c>
      <c r="P129" s="219" t="str">
        <f t="shared" si="48"/>
        <v>Energie consumata din PV</v>
      </c>
      <c r="Q129" s="219">
        <f t="shared" si="49"/>
        <v>125962</v>
      </c>
      <c r="R129" s="219">
        <f t="shared" si="50"/>
        <v>0.94855800000000001</v>
      </c>
      <c r="S129" s="331">
        <f t="shared" si="51"/>
        <v>119482.21</v>
      </c>
      <c r="T129" s="331">
        <f t="shared" si="52"/>
        <v>22701.62</v>
      </c>
      <c r="U129" s="331">
        <f t="shared" si="53"/>
        <v>142183.82999999999</v>
      </c>
    </row>
    <row r="130" spans="1:21" ht="15.95" customHeight="1">
      <c r="A130" s="211">
        <f>IF(COUNTBLANK('RNEW import'!B128)=1,"",'RNEW import'!B128)</f>
        <v>19</v>
      </c>
      <c r="B130" s="211" t="str">
        <f>IF(COUNTBLANK('RNEW import'!D128)=1,"",'RNEW import'!D128)</f>
        <v>Shopping City Piatra Neamt SRL</v>
      </c>
      <c r="C130" s="211" t="str">
        <f>IF(COUNTBLANK('RNEW import'!E128)=1,"",'RNEW import'!E128)</f>
        <v>RSCP</v>
      </c>
      <c r="D130" s="211" t="str">
        <f>IF(COUNTBLANK('RNEW import'!K128)=1,"",'RNEW import'!K128)</f>
        <v>Regularizare Energie activa 1</v>
      </c>
      <c r="E130" s="211">
        <f>IF(COUNTBLANK('RNEW import'!L128)=1,"",'RNEW import'!N128)</f>
        <v>0</v>
      </c>
      <c r="F130" s="211">
        <f>IF(COUNTBLANK('RNEW import'!M128)=1,"",'RNEW import'!O128/10000)</f>
        <v>0.59499999999999997</v>
      </c>
      <c r="G130" s="217">
        <f t="shared" si="54"/>
        <v>0</v>
      </c>
      <c r="H130" s="217">
        <f t="shared" si="47"/>
        <v>0</v>
      </c>
      <c r="I130" s="329">
        <f t="shared" si="55"/>
        <v>0</v>
      </c>
      <c r="J130" s="237" t="str">
        <f t="shared" si="42"/>
        <v/>
      </c>
      <c r="K130" s="238" t="str">
        <f t="shared" si="43"/>
        <v/>
      </c>
      <c r="L130" s="238" t="str">
        <f t="shared" si="44"/>
        <v/>
      </c>
      <c r="M130" s="238" t="str">
        <f t="shared" si="45"/>
        <v/>
      </c>
      <c r="N130" s="238" t="str">
        <f t="shared" si="46"/>
        <v/>
      </c>
      <c r="O130" s="232" t="str">
        <f t="shared" si="56"/>
        <v/>
      </c>
      <c r="P130" s="219" t="str">
        <f t="shared" si="48"/>
        <v>Energie activa regularizare</v>
      </c>
      <c r="Q130" s="219">
        <f t="shared" si="49"/>
        <v>0</v>
      </c>
      <c r="R130" s="219">
        <f t="shared" si="50"/>
        <v>0</v>
      </c>
      <c r="S130" s="331">
        <f t="shared" si="51"/>
        <v>0</v>
      </c>
      <c r="T130" s="331">
        <f t="shared" si="52"/>
        <v>0</v>
      </c>
      <c r="U130" s="331">
        <f t="shared" si="53"/>
        <v>0</v>
      </c>
    </row>
    <row r="131" spans="1:21" ht="15.95" customHeight="1">
      <c r="A131" s="211">
        <f>IF(COUNTBLANK('RNEW import'!B129)=1,"",'RNEW import'!B129)</f>
        <v>20</v>
      </c>
      <c r="B131" s="211" t="str">
        <f>IF(COUNTBLANK('RNEW import'!D129)=1,"",'RNEW import'!D129)</f>
        <v>Shopping City Piatra Neamt SRL</v>
      </c>
      <c r="C131" s="211" t="str">
        <f>IF(COUNTBLANK('RNEW import'!E129)=1,"",'RNEW import'!E129)</f>
        <v>RSCP</v>
      </c>
      <c r="D131" s="211" t="str">
        <f>IF(COUNTBLANK('RNEW import'!K129)=1,"",'RNEW import'!K129)</f>
        <v>Regularizare Energie reactiva  1X</v>
      </c>
      <c r="E131" s="211">
        <f>IF(COUNTBLANK('RNEW import'!L129)=1,"",'RNEW import'!N129)</f>
        <v>382</v>
      </c>
      <c r="F131" s="211">
        <f>IF(COUNTBLANK('RNEW import'!M129)=1,"",'RNEW import'!O129/10000)</f>
        <v>0.14660000000000001</v>
      </c>
      <c r="G131" s="217">
        <f t="shared" si="54"/>
        <v>56</v>
      </c>
      <c r="H131" s="217">
        <f t="shared" si="47"/>
        <v>10.64</v>
      </c>
      <c r="I131" s="329">
        <f t="shared" si="55"/>
        <v>66.64</v>
      </c>
      <c r="J131" s="237" t="str">
        <f t="shared" si="42"/>
        <v/>
      </c>
      <c r="K131" s="238" t="str">
        <f t="shared" si="43"/>
        <v/>
      </c>
      <c r="L131" s="238" t="str">
        <f t="shared" si="44"/>
        <v/>
      </c>
      <c r="M131" s="238" t="str">
        <f t="shared" si="45"/>
        <v/>
      </c>
      <c r="N131" s="238" t="str">
        <f t="shared" si="46"/>
        <v/>
      </c>
      <c r="O131" s="232" t="str">
        <f t="shared" si="56"/>
        <v/>
      </c>
      <c r="P131" s="219" t="str">
        <f t="shared" si="48"/>
        <v>Energie reactiva 1x regularizare</v>
      </c>
      <c r="Q131" s="219">
        <f t="shared" si="49"/>
        <v>382</v>
      </c>
      <c r="R131" s="219">
        <f t="shared" si="50"/>
        <v>0.14660000000000001</v>
      </c>
      <c r="S131" s="331">
        <f t="shared" si="51"/>
        <v>56</v>
      </c>
      <c r="T131" s="331">
        <f t="shared" si="52"/>
        <v>10.64</v>
      </c>
      <c r="U131" s="331">
        <f t="shared" si="53"/>
        <v>66.64</v>
      </c>
    </row>
    <row r="132" spans="1:21" ht="15.95" customHeight="1">
      <c r="A132" s="211">
        <f>IF(COUNTBLANK('RNEW import'!B130)=1,"",'RNEW import'!B130)</f>
        <v>21</v>
      </c>
      <c r="B132" s="211" t="str">
        <f>IF(COUNTBLANK('RNEW import'!D130)=1,"",'RNEW import'!D130)</f>
        <v>Shopping City Piatra Neamt SRL</v>
      </c>
      <c r="C132" s="211" t="str">
        <f>IF(COUNTBLANK('RNEW import'!E130)=1,"",'RNEW import'!E130)</f>
        <v>RSCP</v>
      </c>
      <c r="D132" s="211" t="str">
        <f>IF(COUNTBLANK('RNEW import'!K130)=1,"",'RNEW import'!K130)</f>
        <v>Regularizare Energie reactiva  3X</v>
      </c>
      <c r="E132" s="211">
        <f>IF(COUNTBLANK('RNEW import'!L130)=1,"",'RNEW import'!N130)</f>
        <v>65</v>
      </c>
      <c r="F132" s="211">
        <f>IF(COUNTBLANK('RNEW import'!M130)=1,"",'RNEW import'!O130/10000)</f>
        <v>0.43980000000000002</v>
      </c>
      <c r="G132" s="217">
        <f t="shared" si="54"/>
        <v>28.59</v>
      </c>
      <c r="H132" s="217">
        <f t="shared" si="47"/>
        <v>5.43</v>
      </c>
      <c r="I132" s="329">
        <f t="shared" si="55"/>
        <v>34.019999999999996</v>
      </c>
      <c r="J132" s="237" t="str">
        <f t="shared" ref="J132:J195" si="57">IF(A132=1,B132,"")</f>
        <v/>
      </c>
      <c r="K132" s="238" t="str">
        <f t="shared" ref="K132:K195" si="58">IF(COUNTBLANK(J132)=1,"",IF(A132=1,SUMIFS(G:G,$C:$C,C132,$A:$A,"=13")+SUMIFS(G:G,$C:$C,C132,$A:$A,"=14")+SUMIFS(G:G,$C:$C,C132,$A:$A,"=17")+SUMIFS(G:G,$C:$C,C132,$A:$A,"=18")+SUMIFS(G:G,$C:$C,C132,$A:$A,"=31")+SUMIFS(G:G,$C:$C,C132,$A:$A,"=32")+SUMIFS(G:G,$C:$C,C132,$A:$A,"=35")+SUMIFS(G:G,$C:$C,C132,$A:$A,"=36"),""))</f>
        <v/>
      </c>
      <c r="L132" s="238" t="str">
        <f t="shared" ref="L132:L195" si="59">IF(COUNTBLANK(J132)=1,"",IF(A132=1,SUMIFS(G:G,$C:$C,C132,$A:$A,"&lt;13")+SUMIFS(G:G,$C:$C,C132,$A:$A,"&gt;18",$A:$A,"&lt;31")))</f>
        <v/>
      </c>
      <c r="M132" s="238" t="str">
        <f t="shared" ref="M132:M195" si="60">IF(COUNTBLANK(J132)=1,"",IF(A132=1,SUMIFS(G:G,$C:$C,C132,$A:$A,"=15")+SUMIFS(G:G,$C:$C,C132,$A:$A,"=16")+SUMIFS(G:G,$C:$C,C132,$A:$A,"=33")+SUMIFS(G:G,$C:$C,C132,$A:$A,"=34"),""))</f>
        <v/>
      </c>
      <c r="N132" s="238" t="str">
        <f t="shared" ref="N132:N195" si="61">IF(COUNTBLANK(J132)=1,"",IF(A132=1,SUMIFS(E:E,$C:$C,C132,$A:$A,"=13")+SUMIFS(E:E,$C:$C,C132,$A:$A,"=17")+SUMIFS(E:E,$C:$C,C132,$A:$A,"=31")+SUMIFS(E:E,$C:$C,C132,$A:$A,"=35"),""))</f>
        <v/>
      </c>
      <c r="O132" s="232" t="str">
        <f t="shared" si="56"/>
        <v/>
      </c>
      <c r="P132" s="219" t="str">
        <f t="shared" si="48"/>
        <v>Energie reactiva 3x regularizare</v>
      </c>
      <c r="Q132" s="219">
        <f t="shared" si="49"/>
        <v>65</v>
      </c>
      <c r="R132" s="219">
        <f t="shared" si="50"/>
        <v>0.43980000000000002</v>
      </c>
      <c r="S132" s="331">
        <f t="shared" si="51"/>
        <v>28.59</v>
      </c>
      <c r="T132" s="331">
        <f t="shared" si="52"/>
        <v>5.43</v>
      </c>
      <c r="U132" s="331">
        <f t="shared" si="53"/>
        <v>34.020000000000003</v>
      </c>
    </row>
    <row r="133" spans="1:21" ht="15.95" customHeight="1">
      <c r="A133" s="211">
        <f>IF(COUNTBLANK('RNEW import'!B131)=1,"",'RNEW import'!B131)</f>
        <v>22</v>
      </c>
      <c r="B133" s="211" t="str">
        <f>IF(COUNTBLANK('RNEW import'!D131)=1,"",'RNEW import'!D131)</f>
        <v>Shopping City Piatra Neamt SRL</v>
      </c>
      <c r="C133" s="211" t="str">
        <f>IF(COUNTBLANK('RNEW import'!E131)=1,"",'RNEW import'!E131)</f>
        <v>RSCP</v>
      </c>
      <c r="D133" s="211" t="str">
        <f>IF(COUNTBLANK('RNEW import'!K131)=1,"",'RNEW import'!K131)</f>
        <v>Regularizare Tarife distributie en. El IT+MT</v>
      </c>
      <c r="E133" s="211">
        <f>IF(COUNTBLANK('RNEW import'!L131)=1,"",'RNEW import'!N131)</f>
        <v>0</v>
      </c>
      <c r="F133" s="211">
        <f>IF(COUNTBLANK('RNEW import'!M131)=1,"",'RNEW import'!O131/10000)</f>
        <v>0.11348</v>
      </c>
      <c r="G133" s="217">
        <f t="shared" si="54"/>
        <v>0</v>
      </c>
      <c r="H133" s="217">
        <f t="shared" ref="H133:H196" si="62">ROUND(G133*19%,2)</f>
        <v>0</v>
      </c>
      <c r="I133" s="329">
        <f t="shared" si="55"/>
        <v>0</v>
      </c>
      <c r="J133" s="237" t="str">
        <f t="shared" si="57"/>
        <v/>
      </c>
      <c r="K133" s="238" t="str">
        <f t="shared" si="58"/>
        <v/>
      </c>
      <c r="L133" s="238" t="str">
        <f t="shared" si="59"/>
        <v/>
      </c>
      <c r="M133" s="238" t="str">
        <f t="shared" si="60"/>
        <v/>
      </c>
      <c r="N133" s="238" t="str">
        <f t="shared" si="61"/>
        <v/>
      </c>
      <c r="O133" s="232" t="str">
        <f t="shared" si="56"/>
        <v/>
      </c>
      <c r="P133" s="219" t="str">
        <f t="shared" ref="P133:P196" si="63">IF(A133=1,"Enegie activa",IF(OR(A133=18),"Energie consumata din PV",IF(OR(A133=2),"Energie reactiva 1x",IF(OR(A133=3),"Energie reactiva 3x",IF(A133=19,"Energie activa regularizare",IF(OR(A133=36),"Energie consumata din PV regularizare",IF(OR(A133=20),"Energie reactiva 1x regularizare",IF(OR(A133=21),"Energie reactiva 3x regularizare",""))))))))</f>
        <v/>
      </c>
      <c r="Q133" s="219" t="str">
        <f t="shared" ref="Q133:Q196" si="64">IF(COUNTBLANK(P133)=0,IF(OR(A133=1,A133=2,A133=3,A133=19,A133=20,A133=21),E133,IF(OR(A133=18,A133=36),E130+E131,"")),"")</f>
        <v/>
      </c>
      <c r="R133" s="219" t="str">
        <f t="shared" ref="R133:R196" si="65">IF(COUNTBLANK(P133)=1,"",IF(OR(A133=2,A133=3,A133=20,A133=21),F133,IF(Q133=0,0,ROUND(S133/Q133,6))))</f>
        <v/>
      </c>
      <c r="S133" s="331" t="str">
        <f t="shared" si="51"/>
        <v/>
      </c>
      <c r="T133" s="331" t="str">
        <f t="shared" si="52"/>
        <v/>
      </c>
      <c r="U133" s="331" t="str">
        <f t="shared" si="53"/>
        <v/>
      </c>
    </row>
    <row r="134" spans="1:21" ht="15.95" customHeight="1">
      <c r="A134" s="211">
        <f>IF(COUNTBLANK('RNEW import'!B132)=1,"",'RNEW import'!B132)</f>
        <v>23</v>
      </c>
      <c r="B134" s="211" t="str">
        <f>IF(COUNTBLANK('RNEW import'!D132)=1,"",'RNEW import'!D132)</f>
        <v>Shopping City Piatra Neamt SRL</v>
      </c>
      <c r="C134" s="211" t="str">
        <f>IF(COUNTBLANK('RNEW import'!E132)=1,"",'RNEW import'!E132)</f>
        <v>RSCP</v>
      </c>
      <c r="D134" s="211" t="str">
        <f>IF(COUNTBLANK('RNEW import'!K132)=1,"",'RNEW import'!K132)</f>
        <v>Regularizare Tarife distributie en. El JT</v>
      </c>
      <c r="E134" s="211">
        <f>IF(COUNTBLANK('RNEW import'!L132)=1,"",'RNEW import'!N132)</f>
        <v>0</v>
      </c>
      <c r="F134" s="211">
        <f>IF(COUNTBLANK('RNEW import'!M132)=1,"",'RNEW import'!O132/10000)</f>
        <v>0.23974999999999999</v>
      </c>
      <c r="G134" s="217">
        <f t="shared" si="54"/>
        <v>0</v>
      </c>
      <c r="H134" s="217">
        <f t="shared" si="62"/>
        <v>0</v>
      </c>
      <c r="I134" s="329">
        <f t="shared" si="55"/>
        <v>0</v>
      </c>
      <c r="J134" s="237" t="str">
        <f t="shared" si="57"/>
        <v/>
      </c>
      <c r="K134" s="238" t="str">
        <f t="shared" si="58"/>
        <v/>
      </c>
      <c r="L134" s="238" t="str">
        <f t="shared" si="59"/>
        <v/>
      </c>
      <c r="M134" s="238" t="str">
        <f t="shared" si="60"/>
        <v/>
      </c>
      <c r="N134" s="238" t="str">
        <f t="shared" si="61"/>
        <v/>
      </c>
      <c r="O134" s="232" t="str">
        <f t="shared" si="56"/>
        <v/>
      </c>
      <c r="P134" s="219" t="str">
        <f t="shared" si="63"/>
        <v/>
      </c>
      <c r="Q134" s="219" t="str">
        <f t="shared" si="64"/>
        <v/>
      </c>
      <c r="R134" s="219" t="str">
        <f t="shared" si="65"/>
        <v/>
      </c>
      <c r="S134" s="331" t="str">
        <f t="shared" si="51"/>
        <v/>
      </c>
      <c r="T134" s="331" t="str">
        <f t="shared" si="52"/>
        <v/>
      </c>
      <c r="U134" s="331" t="str">
        <f t="shared" si="53"/>
        <v/>
      </c>
    </row>
    <row r="135" spans="1:21" ht="15.95" customHeight="1">
      <c r="A135" s="211">
        <f>IF(COUNTBLANK('RNEW import'!B133)=1,"",'RNEW import'!B133)</f>
        <v>24</v>
      </c>
      <c r="B135" s="211" t="str">
        <f>IF(COUNTBLANK('RNEW import'!D133)=1,"",'RNEW import'!D133)</f>
        <v>Shopping City Piatra Neamt SRL</v>
      </c>
      <c r="C135" s="211" t="str">
        <f>IF(COUNTBLANK('RNEW import'!E133)=1,"",'RNEW import'!E133)</f>
        <v>RSCP</v>
      </c>
      <c r="D135" s="211" t="str">
        <f>IF(COUNTBLANK('RNEW import'!K133)=1,"",'RNEW import'!K133)</f>
        <v xml:space="preserve">Regularizare Servicii Sistem </v>
      </c>
      <c r="E135" s="211">
        <f>IF(COUNTBLANK('RNEW import'!L133)=1,"",'RNEW import'!N133)</f>
        <v>0</v>
      </c>
      <c r="F135" s="211">
        <f>IF(COUNTBLANK('RNEW import'!M133)=1,"",'RNEW import'!O133/10000)</f>
        <v>1.1509999999999999E-2</v>
      </c>
      <c r="G135" s="217">
        <f t="shared" si="54"/>
        <v>0</v>
      </c>
      <c r="H135" s="217">
        <f t="shared" si="62"/>
        <v>0</v>
      </c>
      <c r="I135" s="329">
        <f t="shared" si="55"/>
        <v>0</v>
      </c>
      <c r="J135" s="237" t="str">
        <f t="shared" si="57"/>
        <v/>
      </c>
      <c r="K135" s="238" t="str">
        <f t="shared" si="58"/>
        <v/>
      </c>
      <c r="L135" s="238" t="str">
        <f t="shared" si="59"/>
        <v/>
      </c>
      <c r="M135" s="238" t="str">
        <f t="shared" si="60"/>
        <v/>
      </c>
      <c r="N135" s="238" t="str">
        <f t="shared" si="61"/>
        <v/>
      </c>
      <c r="O135" s="232" t="str">
        <f t="shared" si="56"/>
        <v/>
      </c>
      <c r="P135" s="219" t="str">
        <f t="shared" si="63"/>
        <v/>
      </c>
      <c r="Q135" s="219" t="str">
        <f t="shared" si="64"/>
        <v/>
      </c>
      <c r="R135" s="219" t="str">
        <f t="shared" si="65"/>
        <v/>
      </c>
      <c r="S135" s="331" t="str">
        <f t="shared" si="51"/>
        <v/>
      </c>
      <c r="T135" s="331" t="str">
        <f t="shared" si="52"/>
        <v/>
      </c>
      <c r="U135" s="331" t="str">
        <f t="shared" si="53"/>
        <v/>
      </c>
    </row>
    <row r="136" spans="1:21" ht="15.95" customHeight="1">
      <c r="A136" s="211">
        <f>IF(COUNTBLANK('RNEW import'!B134)=1,"",'RNEW import'!B134)</f>
        <v>25</v>
      </c>
      <c r="B136" s="211" t="str">
        <f>IF(COUNTBLANK('RNEW import'!D134)=1,"",'RNEW import'!D134)</f>
        <v>Shopping City Piatra Neamt SRL</v>
      </c>
      <c r="C136" s="211" t="str">
        <f>IF(COUNTBLANK('RNEW import'!E134)=1,"",'RNEW import'!E134)</f>
        <v>RSCP</v>
      </c>
      <c r="D136" s="211" t="str">
        <f>IF(COUNTBLANK('RNEW import'!K134)=1,"",'RNEW import'!K134)</f>
        <v>Regularizare Tarif de introducere en. el in retea (TL)</v>
      </c>
      <c r="E136" s="211">
        <f>IF(COUNTBLANK('RNEW import'!L134)=1,"",'RNEW import'!N134)</f>
        <v>0</v>
      </c>
      <c r="F136" s="211">
        <f>IF(COUNTBLANK('RNEW import'!M134)=1,"",'RNEW import'!O134/10000)</f>
        <v>3.3030000000000004E-2</v>
      </c>
      <c r="G136" s="217">
        <f t="shared" si="54"/>
        <v>0</v>
      </c>
      <c r="H136" s="217">
        <f t="shared" si="62"/>
        <v>0</v>
      </c>
      <c r="I136" s="329">
        <f t="shared" si="55"/>
        <v>0</v>
      </c>
      <c r="J136" s="237" t="str">
        <f t="shared" si="57"/>
        <v/>
      </c>
      <c r="K136" s="238" t="str">
        <f t="shared" si="58"/>
        <v/>
      </c>
      <c r="L136" s="238" t="str">
        <f t="shared" si="59"/>
        <v/>
      </c>
      <c r="M136" s="238" t="str">
        <f t="shared" si="60"/>
        <v/>
      </c>
      <c r="N136" s="238" t="str">
        <f t="shared" si="61"/>
        <v/>
      </c>
      <c r="O136" s="232" t="str">
        <f t="shared" si="56"/>
        <v/>
      </c>
      <c r="P136" s="219" t="str">
        <f t="shared" si="63"/>
        <v/>
      </c>
      <c r="Q136" s="219" t="str">
        <f t="shared" si="64"/>
        <v/>
      </c>
      <c r="R136" s="219" t="str">
        <f t="shared" si="65"/>
        <v/>
      </c>
      <c r="S136" s="331" t="str">
        <f t="shared" si="51"/>
        <v/>
      </c>
      <c r="T136" s="331" t="str">
        <f t="shared" si="52"/>
        <v/>
      </c>
      <c r="U136" s="331" t="str">
        <f t="shared" si="53"/>
        <v/>
      </c>
    </row>
    <row r="137" spans="1:21" ht="15.95" customHeight="1">
      <c r="A137" s="211">
        <f>IF(COUNTBLANK('RNEW import'!B135)=1,"",'RNEW import'!B135)</f>
        <v>26</v>
      </c>
      <c r="B137" s="211" t="str">
        <f>IF(COUNTBLANK('RNEW import'!D135)=1,"",'RNEW import'!D135)</f>
        <v>Shopping City Piatra Neamt SRL</v>
      </c>
      <c r="C137" s="211" t="str">
        <f>IF(COUNTBLANK('RNEW import'!E135)=1,"",'RNEW import'!E135)</f>
        <v>RSCP</v>
      </c>
      <c r="D137" s="211" t="str">
        <f>IF(COUNTBLANK('RNEW import'!K135)=1,"",'RNEW import'!K135)</f>
        <v>Regularizare Tarif de introducere en.el in retea (TG)</v>
      </c>
      <c r="E137" s="211">
        <f>IF(COUNTBLANK('RNEW import'!L135)=1,"",'RNEW import'!N135)</f>
        <v>0</v>
      </c>
      <c r="F137" s="211">
        <f>IF(COUNTBLANK('RNEW import'!M135)=1,"",'RNEW import'!O135/10000)</f>
        <v>3.29E-3</v>
      </c>
      <c r="G137" s="217">
        <f t="shared" si="54"/>
        <v>0</v>
      </c>
      <c r="H137" s="217">
        <f t="shared" si="62"/>
        <v>0</v>
      </c>
      <c r="I137" s="329">
        <f t="shared" si="55"/>
        <v>0</v>
      </c>
      <c r="J137" s="237" t="str">
        <f t="shared" si="57"/>
        <v/>
      </c>
      <c r="K137" s="238" t="str">
        <f t="shared" si="58"/>
        <v/>
      </c>
      <c r="L137" s="238" t="str">
        <f t="shared" si="59"/>
        <v/>
      </c>
      <c r="M137" s="238" t="str">
        <f t="shared" si="60"/>
        <v/>
      </c>
      <c r="N137" s="238" t="str">
        <f t="shared" si="61"/>
        <v/>
      </c>
      <c r="O137" s="232" t="str">
        <f t="shared" si="56"/>
        <v/>
      </c>
      <c r="P137" s="219" t="str">
        <f t="shared" si="63"/>
        <v/>
      </c>
      <c r="Q137" s="219" t="str">
        <f t="shared" si="64"/>
        <v/>
      </c>
      <c r="R137" s="219" t="str">
        <f t="shared" si="65"/>
        <v/>
      </c>
      <c r="S137" s="331" t="str">
        <f t="shared" si="51"/>
        <v/>
      </c>
      <c r="T137" s="331" t="str">
        <f t="shared" si="52"/>
        <v/>
      </c>
      <c r="U137" s="331" t="str">
        <f t="shared" si="53"/>
        <v/>
      </c>
    </row>
    <row r="138" spans="1:21" ht="15.95" customHeight="1">
      <c r="A138" s="211">
        <f>IF(COUNTBLANK('RNEW import'!B136)=1,"",'RNEW import'!B136)</f>
        <v>27</v>
      </c>
      <c r="B138" s="211" t="str">
        <f>IF(COUNTBLANK('RNEW import'!D136)=1,"",'RNEW import'!D136)</f>
        <v>Shopping City Piatra Neamt SRL</v>
      </c>
      <c r="C138" s="211" t="str">
        <f>IF(COUNTBLANK('RNEW import'!E136)=1,"",'RNEW import'!E136)</f>
        <v>RSCP</v>
      </c>
      <c r="D138" s="211" t="str">
        <f>IF(COUNTBLANK('RNEW import'!K136)=1,"",'RNEW import'!K136)</f>
        <v>Regularizare Contributie pentru cogenerare</v>
      </c>
      <c r="E138" s="211">
        <f>IF(COUNTBLANK('RNEW import'!L136)=1,"",'RNEW import'!N136)</f>
        <v>0</v>
      </c>
      <c r="F138" s="211">
        <f>IF(COUNTBLANK('RNEW import'!M136)=1,"",'RNEW import'!O136/10000)</f>
        <v>3.5000000000000001E-3</v>
      </c>
      <c r="G138" s="217">
        <f t="shared" si="54"/>
        <v>0</v>
      </c>
      <c r="H138" s="217">
        <f t="shared" si="62"/>
        <v>0</v>
      </c>
      <c r="I138" s="329">
        <f t="shared" si="55"/>
        <v>0</v>
      </c>
      <c r="J138" s="237" t="str">
        <f t="shared" si="57"/>
        <v/>
      </c>
      <c r="K138" s="238" t="str">
        <f t="shared" si="58"/>
        <v/>
      </c>
      <c r="L138" s="238" t="str">
        <f t="shared" si="59"/>
        <v/>
      </c>
      <c r="M138" s="238" t="str">
        <f t="shared" si="60"/>
        <v/>
      </c>
      <c r="N138" s="238" t="str">
        <f t="shared" si="61"/>
        <v/>
      </c>
      <c r="O138" s="232" t="str">
        <f t="shared" si="56"/>
        <v/>
      </c>
      <c r="P138" s="219" t="str">
        <f t="shared" si="63"/>
        <v/>
      </c>
      <c r="Q138" s="219" t="str">
        <f t="shared" si="64"/>
        <v/>
      </c>
      <c r="R138" s="219" t="str">
        <f t="shared" si="65"/>
        <v/>
      </c>
      <c r="S138" s="331" t="str">
        <f t="shared" si="51"/>
        <v/>
      </c>
      <c r="T138" s="331" t="str">
        <f t="shared" si="52"/>
        <v/>
      </c>
      <c r="U138" s="331" t="str">
        <f t="shared" si="53"/>
        <v/>
      </c>
    </row>
    <row r="139" spans="1:21" ht="15.95" customHeight="1">
      <c r="A139" s="211">
        <f>IF(COUNTBLANK('RNEW import'!B137)=1,"",'RNEW import'!B137)</f>
        <v>28</v>
      </c>
      <c r="B139" s="211" t="str">
        <f>IF(COUNTBLANK('RNEW import'!D137)=1,"",'RNEW import'!D137)</f>
        <v>Shopping City Piatra Neamt SRL</v>
      </c>
      <c r="C139" s="211" t="str">
        <f>IF(COUNTBLANK('RNEW import'!E137)=1,"",'RNEW import'!E137)</f>
        <v>RSCP</v>
      </c>
      <c r="D139" s="211" t="str">
        <f>IF(COUNTBLANK('RNEW import'!K137)=1,"",'RNEW import'!K137)</f>
        <v xml:space="preserve">Regularizare Certificate verzi </v>
      </c>
      <c r="E139" s="211">
        <f>IF(COUNTBLANK('RNEW import'!L137)=1,"",'RNEW import'!N137)</f>
        <v>0</v>
      </c>
      <c r="F139" s="211">
        <f>IF(COUNTBLANK('RNEW import'!M137)=1,"",'RNEW import'!O137/10000)</f>
        <v>7.2541599999999998E-2</v>
      </c>
      <c r="G139" s="217">
        <f t="shared" si="54"/>
        <v>0</v>
      </c>
      <c r="H139" s="217">
        <f t="shared" si="62"/>
        <v>0</v>
      </c>
      <c r="I139" s="329">
        <f t="shared" si="55"/>
        <v>0</v>
      </c>
      <c r="J139" s="237" t="str">
        <f t="shared" si="57"/>
        <v/>
      </c>
      <c r="K139" s="238" t="str">
        <f t="shared" si="58"/>
        <v/>
      </c>
      <c r="L139" s="238" t="str">
        <f t="shared" si="59"/>
        <v/>
      </c>
      <c r="M139" s="238" t="str">
        <f t="shared" si="60"/>
        <v/>
      </c>
      <c r="N139" s="238" t="str">
        <f t="shared" si="61"/>
        <v/>
      </c>
      <c r="O139" s="233" t="str">
        <f t="shared" si="56"/>
        <v/>
      </c>
      <c r="P139" s="219" t="str">
        <f t="shared" si="63"/>
        <v/>
      </c>
      <c r="Q139" s="219" t="str">
        <f t="shared" si="64"/>
        <v/>
      </c>
      <c r="R139" s="219" t="str">
        <f t="shared" si="65"/>
        <v/>
      </c>
      <c r="S139" s="331" t="str">
        <f t="shared" si="51"/>
        <v/>
      </c>
      <c r="T139" s="331" t="str">
        <f t="shared" si="52"/>
        <v/>
      </c>
      <c r="U139" s="331" t="str">
        <f t="shared" si="53"/>
        <v/>
      </c>
    </row>
    <row r="140" spans="1:21" ht="15.95" customHeight="1">
      <c r="A140" s="211">
        <f>IF(COUNTBLANK('RNEW import'!B138)=1,"",'RNEW import'!B138)</f>
        <v>29</v>
      </c>
      <c r="B140" s="211" t="str">
        <f>IF(COUNTBLANK('RNEW import'!D138)=1,"",'RNEW import'!D138)</f>
        <v>Shopping City Piatra Neamt SRL</v>
      </c>
      <c r="C140" s="211" t="str">
        <f>IF(COUNTBLANK('RNEW import'!E138)=1,"",'RNEW import'!E138)</f>
        <v>RSCP</v>
      </c>
      <c r="D140" s="211" t="str">
        <f>IF(COUNTBLANK('RNEW import'!K138)=1,"",'RNEW import'!K138)</f>
        <v>Regularizare Contributie CFD</v>
      </c>
      <c r="E140" s="211">
        <f>IF(COUNTBLANK('RNEW import'!L138)=1,"",'RNEW import'!N138)</f>
        <v>0</v>
      </c>
      <c r="F140" s="211">
        <f>IF(COUNTBLANK('RNEW import'!M138)=1,"",'RNEW import'!O138/10000)</f>
        <v>2.0599999999999999E-4</v>
      </c>
      <c r="G140" s="217">
        <f t="shared" si="54"/>
        <v>0</v>
      </c>
      <c r="H140" s="217">
        <f t="shared" si="62"/>
        <v>0</v>
      </c>
      <c r="I140" s="329">
        <f t="shared" si="55"/>
        <v>0</v>
      </c>
      <c r="J140" s="237" t="str">
        <f t="shared" si="57"/>
        <v/>
      </c>
      <c r="K140" s="238" t="str">
        <f t="shared" si="58"/>
        <v/>
      </c>
      <c r="L140" s="238" t="str">
        <f t="shared" si="59"/>
        <v/>
      </c>
      <c r="M140" s="238" t="str">
        <f t="shared" si="60"/>
        <v/>
      </c>
      <c r="N140" s="238" t="str">
        <f t="shared" si="61"/>
        <v/>
      </c>
      <c r="O140" s="218" t="str">
        <f t="shared" si="56"/>
        <v/>
      </c>
      <c r="P140" s="219" t="str">
        <f t="shared" si="63"/>
        <v/>
      </c>
      <c r="Q140" s="219" t="str">
        <f t="shared" si="64"/>
        <v/>
      </c>
      <c r="R140" s="219" t="str">
        <f t="shared" si="65"/>
        <v/>
      </c>
      <c r="S140" s="331" t="str">
        <f t="shared" si="51"/>
        <v/>
      </c>
      <c r="T140" s="331" t="str">
        <f t="shared" si="52"/>
        <v/>
      </c>
      <c r="U140" s="331" t="str">
        <f t="shared" si="53"/>
        <v/>
      </c>
    </row>
    <row r="141" spans="1:21" ht="15.95" customHeight="1">
      <c r="A141" s="211">
        <f>IF(COUNTBLANK('RNEW import'!B139)=1,"",'RNEW import'!B139)</f>
        <v>30</v>
      </c>
      <c r="B141" s="211" t="str">
        <f>IF(COUNTBLANK('RNEW import'!D139)=1,"",'RNEW import'!D139)</f>
        <v>Shopping City Piatra Neamt SRL</v>
      </c>
      <c r="C141" s="211" t="str">
        <f>IF(COUNTBLANK('RNEW import'!E139)=1,"",'RNEW import'!E139)</f>
        <v>RSCP</v>
      </c>
      <c r="D141" s="211" t="str">
        <f>IF(COUNTBLANK('RNEW import'!K139)=1,"",'RNEW import'!K139)</f>
        <v>Regularizare Acciza</v>
      </c>
      <c r="E141" s="211">
        <f>IF(COUNTBLANK('RNEW import'!L139)=1,"",'RNEW import'!N139)</f>
        <v>0</v>
      </c>
      <c r="F141" s="211">
        <f>IF(COUNTBLANK('RNEW import'!M139)=1,"",'RNEW import'!O139/10000)</f>
        <v>0</v>
      </c>
      <c r="G141" s="217">
        <f t="shared" si="54"/>
        <v>0</v>
      </c>
      <c r="H141" s="217">
        <f t="shared" si="62"/>
        <v>0</v>
      </c>
      <c r="I141" s="329">
        <f t="shared" si="55"/>
        <v>0</v>
      </c>
      <c r="J141" s="237" t="str">
        <f t="shared" si="57"/>
        <v/>
      </c>
      <c r="K141" s="238" t="str">
        <f t="shared" si="58"/>
        <v/>
      </c>
      <c r="L141" s="238" t="str">
        <f t="shared" si="59"/>
        <v/>
      </c>
      <c r="M141" s="238" t="str">
        <f t="shared" si="60"/>
        <v/>
      </c>
      <c r="N141" s="238" t="str">
        <f t="shared" si="61"/>
        <v/>
      </c>
      <c r="O141" s="232" t="str">
        <f t="shared" si="56"/>
        <v/>
      </c>
      <c r="P141" s="219" t="str">
        <f t="shared" si="63"/>
        <v/>
      </c>
      <c r="Q141" s="219" t="str">
        <f t="shared" si="64"/>
        <v/>
      </c>
      <c r="R141" s="219" t="str">
        <f t="shared" si="65"/>
        <v/>
      </c>
      <c r="S141" s="331" t="str">
        <f t="shared" si="51"/>
        <v/>
      </c>
      <c r="T141" s="331" t="str">
        <f t="shared" si="52"/>
        <v/>
      </c>
      <c r="U141" s="331" t="str">
        <f t="shared" si="53"/>
        <v/>
      </c>
    </row>
    <row r="142" spans="1:21" ht="15.95" customHeight="1">
      <c r="A142" s="211">
        <f>IF(COUNTBLANK('RNEW import'!B140)=1,"",'RNEW import'!B140)</f>
        <v>31</v>
      </c>
      <c r="B142" s="211" t="str">
        <f>IF(COUNTBLANK('RNEW import'!D140)=1,"",'RNEW import'!D140)</f>
        <v>Shopping City Piatra Neamt SRL</v>
      </c>
      <c r="C142" s="211" t="str">
        <f>IF(COUNTBLANK('RNEW import'!E140)=1,"",'RNEW import'!E140)</f>
        <v>RSCP</v>
      </c>
      <c r="D142" s="211" t="str">
        <f>IF(COUNTBLANK('RNEW import'!K140)=1,"",'RNEW import'!K140)</f>
        <v>Regularizare Tarif distributie SDI MT Ea1</v>
      </c>
      <c r="E142" s="211">
        <f>IF(COUNTBLANK('RNEW import'!L140)=1,"",'RNEW import'!N140)</f>
        <v>0</v>
      </c>
      <c r="F142" s="211">
        <f>IF(COUNTBLANK('RNEW import'!M140)=1,"",'RNEW import'!O140/10000)</f>
        <v>1.3100000000000001E-2</v>
      </c>
      <c r="G142" s="217">
        <f t="shared" si="54"/>
        <v>0</v>
      </c>
      <c r="H142" s="217">
        <f t="shared" si="62"/>
        <v>0</v>
      </c>
      <c r="I142" s="329">
        <f t="shared" si="55"/>
        <v>0</v>
      </c>
      <c r="J142" s="237" t="str">
        <f t="shared" si="57"/>
        <v/>
      </c>
      <c r="K142" s="238" t="str">
        <f t="shared" si="58"/>
        <v/>
      </c>
      <c r="L142" s="238" t="str">
        <f t="shared" si="59"/>
        <v/>
      </c>
      <c r="M142" s="238" t="str">
        <f t="shared" si="60"/>
        <v/>
      </c>
      <c r="N142" s="238" t="str">
        <f t="shared" si="61"/>
        <v/>
      </c>
      <c r="O142" s="232" t="str">
        <f t="shared" si="56"/>
        <v/>
      </c>
      <c r="P142" s="219" t="str">
        <f t="shared" si="63"/>
        <v/>
      </c>
      <c r="Q142" s="219" t="str">
        <f t="shared" si="64"/>
        <v/>
      </c>
      <c r="R142" s="219" t="str">
        <f t="shared" si="65"/>
        <v/>
      </c>
      <c r="S142" s="331" t="str">
        <f t="shared" si="51"/>
        <v/>
      </c>
      <c r="T142" s="331" t="str">
        <f t="shared" si="52"/>
        <v/>
      </c>
      <c r="U142" s="331" t="str">
        <f t="shared" si="53"/>
        <v/>
      </c>
    </row>
    <row r="143" spans="1:21" ht="15.95" customHeight="1">
      <c r="A143" s="211">
        <f>IF(COUNTBLANK('RNEW import'!B141)=1,"",'RNEW import'!B141)</f>
        <v>32</v>
      </c>
      <c r="B143" s="211" t="str">
        <f>IF(COUNTBLANK('RNEW import'!D141)=1,"",'RNEW import'!D141)</f>
        <v>Shopping City Piatra Neamt SRL</v>
      </c>
      <c r="C143" s="211" t="str">
        <f>IF(COUNTBLANK('RNEW import'!E141)=1,"",'RNEW import'!E141)</f>
        <v>RSCP</v>
      </c>
      <c r="D143" s="211" t="str">
        <f>IF(COUNTBLANK('RNEW import'!K141)=1,"",'RNEW import'!K141)</f>
        <v>Regularizare Tarif distributie SDI JT Ea1</v>
      </c>
      <c r="E143" s="211">
        <f>IF(COUNTBLANK('RNEW import'!L141)=1,"",'RNEW import'!N141)</f>
        <v>0</v>
      </c>
      <c r="F143" s="211">
        <f>IF(COUNTBLANK('RNEW import'!M141)=1,"",'RNEW import'!O141/10000)</f>
        <v>0.10290000000000001</v>
      </c>
      <c r="G143" s="217">
        <f t="shared" si="54"/>
        <v>0</v>
      </c>
      <c r="H143" s="217">
        <f t="shared" si="62"/>
        <v>0</v>
      </c>
      <c r="I143" s="329">
        <f t="shared" si="55"/>
        <v>0</v>
      </c>
      <c r="J143" s="237" t="str">
        <f t="shared" si="57"/>
        <v/>
      </c>
      <c r="K143" s="238" t="str">
        <f t="shared" si="58"/>
        <v/>
      </c>
      <c r="L143" s="238" t="str">
        <f t="shared" si="59"/>
        <v/>
      </c>
      <c r="M143" s="238" t="str">
        <f t="shared" si="60"/>
        <v/>
      </c>
      <c r="N143" s="238" t="str">
        <f t="shared" si="61"/>
        <v/>
      </c>
      <c r="O143" s="232" t="str">
        <f t="shared" si="56"/>
        <v/>
      </c>
      <c r="P143" s="219" t="str">
        <f t="shared" si="63"/>
        <v/>
      </c>
      <c r="Q143" s="219" t="str">
        <f t="shared" si="64"/>
        <v/>
      </c>
      <c r="R143" s="219" t="str">
        <f t="shared" si="65"/>
        <v/>
      </c>
      <c r="S143" s="331" t="str">
        <f t="shared" si="51"/>
        <v/>
      </c>
      <c r="T143" s="331" t="str">
        <f t="shared" si="52"/>
        <v/>
      </c>
      <c r="U143" s="331" t="str">
        <f t="shared" si="53"/>
        <v/>
      </c>
    </row>
    <row r="144" spans="1:21" ht="15.95" customHeight="1">
      <c r="A144" s="211">
        <f>IF(COUNTBLANK('RNEW import'!B142)=1,"",'RNEW import'!B142)</f>
        <v>33</v>
      </c>
      <c r="B144" s="211" t="str">
        <f>IF(COUNTBLANK('RNEW import'!D142)=1,"",'RNEW import'!D142)</f>
        <v>Shopping City Piatra Neamt SRL</v>
      </c>
      <c r="C144" s="211" t="str">
        <f>IF(COUNTBLANK('RNEW import'!E142)=1,"",'RNEW import'!E142)</f>
        <v>RSCP</v>
      </c>
      <c r="D144" s="211" t="str">
        <f>IF(COUNTBLANK('RNEW import'!K142)=1,"",'RNEW import'!K142)</f>
        <v>Regularizare Energie activa 2</v>
      </c>
      <c r="E144" s="211">
        <f>IF(COUNTBLANK('RNEW import'!L142)=1,"",'RNEW import'!N142)</f>
        <v>0</v>
      </c>
      <c r="F144" s="211">
        <f>IF(COUNTBLANK('RNEW import'!M142)=1,"",'RNEW import'!O142/10000)</f>
        <v>0.94855759999999989</v>
      </c>
      <c r="G144" s="217">
        <f t="shared" si="54"/>
        <v>0</v>
      </c>
      <c r="H144" s="217">
        <f t="shared" si="62"/>
        <v>0</v>
      </c>
      <c r="I144" s="329">
        <f t="shared" si="55"/>
        <v>0</v>
      </c>
      <c r="J144" s="237" t="str">
        <f t="shared" si="57"/>
        <v/>
      </c>
      <c r="K144" s="238" t="str">
        <f t="shared" si="58"/>
        <v/>
      </c>
      <c r="L144" s="238" t="str">
        <f t="shared" si="59"/>
        <v/>
      </c>
      <c r="M144" s="238" t="str">
        <f t="shared" si="60"/>
        <v/>
      </c>
      <c r="N144" s="238" t="str">
        <f t="shared" si="61"/>
        <v/>
      </c>
      <c r="O144" s="232" t="str">
        <f t="shared" si="56"/>
        <v/>
      </c>
      <c r="P144" s="219" t="str">
        <f t="shared" si="63"/>
        <v/>
      </c>
      <c r="Q144" s="219" t="str">
        <f t="shared" si="64"/>
        <v/>
      </c>
      <c r="R144" s="219" t="str">
        <f t="shared" si="65"/>
        <v/>
      </c>
      <c r="S144" s="331" t="str">
        <f t="shared" si="51"/>
        <v/>
      </c>
      <c r="T144" s="331" t="str">
        <f t="shared" si="52"/>
        <v/>
      </c>
      <c r="U144" s="331" t="str">
        <f t="shared" si="53"/>
        <v/>
      </c>
    </row>
    <row r="145" spans="1:21" ht="15.95" customHeight="1">
      <c r="A145" s="211">
        <f>IF(COUNTBLANK('RNEW import'!B143)=1,"",'RNEW import'!B143)</f>
        <v>34</v>
      </c>
      <c r="B145" s="211" t="str">
        <f>IF(COUNTBLANK('RNEW import'!D143)=1,"",'RNEW import'!D143)</f>
        <v>Shopping City Piatra Neamt SRL</v>
      </c>
      <c r="C145" s="211" t="str">
        <f>IF(COUNTBLANK('RNEW import'!E143)=1,"",'RNEW import'!E143)</f>
        <v>RSCP</v>
      </c>
      <c r="D145" s="211" t="str">
        <f>IF(COUNTBLANK('RNEW import'!K143)=1,"",'RNEW import'!K143)</f>
        <v>Regularizare Energie activa 3</v>
      </c>
      <c r="E145" s="211">
        <f>IF(COUNTBLANK('RNEW import'!L143)=1,"",'RNEW import'!N143)</f>
        <v>0</v>
      </c>
      <c r="F145" s="211">
        <f>IF(COUNTBLANK('RNEW import'!M143)=1,"",'RNEW import'!O143/10000)</f>
        <v>0.83255760000000012</v>
      </c>
      <c r="G145" s="217">
        <f t="shared" si="54"/>
        <v>0</v>
      </c>
      <c r="H145" s="217">
        <f t="shared" si="62"/>
        <v>0</v>
      </c>
      <c r="I145" s="329">
        <f t="shared" si="55"/>
        <v>0</v>
      </c>
      <c r="J145" s="237" t="str">
        <f t="shared" si="57"/>
        <v/>
      </c>
      <c r="K145" s="238" t="str">
        <f t="shared" si="58"/>
        <v/>
      </c>
      <c r="L145" s="238" t="str">
        <f t="shared" si="59"/>
        <v/>
      </c>
      <c r="M145" s="238" t="str">
        <f t="shared" si="60"/>
        <v/>
      </c>
      <c r="N145" s="238" t="str">
        <f t="shared" si="61"/>
        <v/>
      </c>
      <c r="O145" s="232" t="str">
        <f t="shared" si="56"/>
        <v/>
      </c>
      <c r="P145" s="219" t="str">
        <f t="shared" si="63"/>
        <v/>
      </c>
      <c r="Q145" s="219" t="str">
        <f t="shared" si="64"/>
        <v/>
      </c>
      <c r="R145" s="219" t="str">
        <f t="shared" si="65"/>
        <v/>
      </c>
      <c r="S145" s="331" t="str">
        <f t="shared" si="51"/>
        <v/>
      </c>
      <c r="T145" s="331" t="str">
        <f t="shared" si="52"/>
        <v/>
      </c>
      <c r="U145" s="331" t="str">
        <f t="shared" si="53"/>
        <v/>
      </c>
    </row>
    <row r="146" spans="1:21" ht="15.95" customHeight="1">
      <c r="A146" s="211">
        <f>IF(COUNTBLANK('RNEW import'!B144)=1,"",'RNEW import'!B144)</f>
        <v>35</v>
      </c>
      <c r="B146" s="211" t="str">
        <f>IF(COUNTBLANK('RNEW import'!D144)=1,"",'RNEW import'!D144)</f>
        <v>Shopping City Piatra Neamt SRL</v>
      </c>
      <c r="C146" s="211" t="str">
        <f>IF(COUNTBLANK('RNEW import'!E144)=1,"",'RNEW import'!E144)</f>
        <v>RSCP</v>
      </c>
      <c r="D146" s="211" t="str">
        <f>IF(COUNTBLANK('RNEW import'!K144)=1,"",'RNEW import'!K144)</f>
        <v>Regularizare Tarif distributie SDI MT Ea3</v>
      </c>
      <c r="E146" s="211">
        <f>IF(COUNTBLANK('RNEW import'!L144)=1,"",'RNEW import'!N144)</f>
        <v>0</v>
      </c>
      <c r="F146" s="211">
        <f>IF(COUNTBLANK('RNEW import'!M144)=1,"",'RNEW import'!O144/10000)</f>
        <v>1.3100000000000001E-2</v>
      </c>
      <c r="G146" s="217">
        <f t="shared" si="54"/>
        <v>0</v>
      </c>
      <c r="H146" s="217">
        <f t="shared" si="62"/>
        <v>0</v>
      </c>
      <c r="I146" s="329">
        <f t="shared" si="55"/>
        <v>0</v>
      </c>
      <c r="J146" s="237" t="str">
        <f t="shared" si="57"/>
        <v/>
      </c>
      <c r="K146" s="238" t="str">
        <f t="shared" si="58"/>
        <v/>
      </c>
      <c r="L146" s="238" t="str">
        <f t="shared" si="59"/>
        <v/>
      </c>
      <c r="M146" s="238" t="str">
        <f t="shared" si="60"/>
        <v/>
      </c>
      <c r="N146" s="238" t="str">
        <f t="shared" si="61"/>
        <v/>
      </c>
      <c r="O146" s="232" t="str">
        <f t="shared" si="56"/>
        <v/>
      </c>
      <c r="P146" s="219" t="str">
        <f t="shared" si="63"/>
        <v/>
      </c>
      <c r="Q146" s="219" t="str">
        <f t="shared" si="64"/>
        <v/>
      </c>
      <c r="R146" s="219" t="str">
        <f t="shared" si="65"/>
        <v/>
      </c>
      <c r="S146" s="331" t="str">
        <f t="shared" si="51"/>
        <v/>
      </c>
      <c r="T146" s="331" t="str">
        <f t="shared" si="52"/>
        <v/>
      </c>
      <c r="U146" s="331" t="str">
        <f t="shared" si="53"/>
        <v/>
      </c>
    </row>
    <row r="147" spans="1:21" ht="15.95" customHeight="1">
      <c r="A147" s="211">
        <f>IF(COUNTBLANK('RNEW import'!B145)=1,"",'RNEW import'!B145)</f>
        <v>36</v>
      </c>
      <c r="B147" s="211" t="str">
        <f>IF(COUNTBLANK('RNEW import'!D145)=1,"",'RNEW import'!D145)</f>
        <v>Shopping City Piatra Neamt SRL</v>
      </c>
      <c r="C147" s="211" t="str">
        <f>IF(COUNTBLANK('RNEW import'!E145)=1,"",'RNEW import'!E145)</f>
        <v>RSCP</v>
      </c>
      <c r="D147" s="211" t="str">
        <f>IF(COUNTBLANK('RNEW import'!K145)=1,"",'RNEW import'!K145)</f>
        <v>Regularizare Tarif distributie SDI JT Ea3</v>
      </c>
      <c r="E147" s="211">
        <f>IF(COUNTBLANK('RNEW import'!L145)=1,"",'RNEW import'!N145)</f>
        <v>0</v>
      </c>
      <c r="F147" s="211">
        <f>IF(COUNTBLANK('RNEW import'!M145)=1,"",'RNEW import'!O145/10000)</f>
        <v>0.10290000000000001</v>
      </c>
      <c r="G147" s="217">
        <f t="shared" si="54"/>
        <v>0</v>
      </c>
      <c r="H147" s="217">
        <f t="shared" si="62"/>
        <v>0</v>
      </c>
      <c r="I147" s="329">
        <f t="shared" si="55"/>
        <v>0</v>
      </c>
      <c r="J147" s="237" t="str">
        <f t="shared" si="57"/>
        <v/>
      </c>
      <c r="K147" s="238" t="str">
        <f t="shared" si="58"/>
        <v/>
      </c>
      <c r="L147" s="238" t="str">
        <f t="shared" si="59"/>
        <v/>
      </c>
      <c r="M147" s="238" t="str">
        <f t="shared" si="60"/>
        <v/>
      </c>
      <c r="N147" s="238" t="str">
        <f t="shared" si="61"/>
        <v/>
      </c>
      <c r="O147" s="232" t="str">
        <f t="shared" si="56"/>
        <v/>
      </c>
      <c r="P147" s="219" t="str">
        <f t="shared" si="63"/>
        <v>Energie consumata din PV regularizare</v>
      </c>
      <c r="Q147" s="219">
        <f t="shared" si="64"/>
        <v>0</v>
      </c>
      <c r="R147" s="219">
        <f t="shared" si="65"/>
        <v>0</v>
      </c>
      <c r="S147" s="331">
        <f t="shared" si="51"/>
        <v>0</v>
      </c>
      <c r="T147" s="331">
        <f t="shared" si="52"/>
        <v>0</v>
      </c>
      <c r="U147" s="331">
        <f t="shared" si="53"/>
        <v>0</v>
      </c>
    </row>
    <row r="148" spans="1:21" ht="15.95" customHeight="1">
      <c r="A148" s="211">
        <f>IF(COUNTBLANK('RNEW import'!B146)=1,"",'RNEW import'!B146)</f>
        <v>1</v>
      </c>
      <c r="B148" s="211" t="str">
        <f>IF(COUNTBLANK('RNEW import'!D146)=1,"",'RNEW import'!D146)</f>
        <v>Satu Mare Shopping City SRL</v>
      </c>
      <c r="C148" s="211" t="str">
        <f>IF(COUNTBLANK('RNEW import'!E146)=1,"",'RNEW import'!E146)</f>
        <v>RSMS</v>
      </c>
      <c r="D148" s="211" t="str">
        <f>IF(COUNTBLANK('RNEW import'!K146)=1,"",'RNEW import'!K146)</f>
        <v>Energie activa 1</v>
      </c>
      <c r="E148" s="211">
        <f>IF(COUNTBLANK('RNEW import'!L146)=1,"",'RNEW import'!N146)</f>
        <v>376703</v>
      </c>
      <c r="F148" s="211">
        <f>IF(COUNTBLANK('RNEW import'!M146)=1,"",'RNEW import'!O146/10000)</f>
        <v>0.59499999999999997</v>
      </c>
      <c r="G148" s="217">
        <f t="shared" si="54"/>
        <v>224138.29</v>
      </c>
      <c r="H148" s="217">
        <f t="shared" si="62"/>
        <v>42586.28</v>
      </c>
      <c r="I148" s="329">
        <f t="shared" si="55"/>
        <v>266724.57</v>
      </c>
      <c r="J148" s="237" t="str">
        <f t="shared" si="57"/>
        <v>Satu Mare Shopping City SRL</v>
      </c>
      <c r="K148" s="238">
        <f t="shared" si="58"/>
        <v>41399.660000000003</v>
      </c>
      <c r="L148" s="238">
        <f t="shared" si="59"/>
        <v>314135.49999999994</v>
      </c>
      <c r="M148" s="238">
        <f t="shared" si="60"/>
        <v>37260.58</v>
      </c>
      <c r="N148" s="238">
        <f t="shared" si="61"/>
        <v>376703</v>
      </c>
      <c r="O148" s="232" t="str">
        <f t="shared" si="56"/>
        <v>Satu Mare Shopping City SRL</v>
      </c>
      <c r="P148" s="219" t="str">
        <f t="shared" si="63"/>
        <v>Enegie activa</v>
      </c>
      <c r="Q148" s="219">
        <f t="shared" si="64"/>
        <v>376703</v>
      </c>
      <c r="R148" s="219">
        <f t="shared" si="65"/>
        <v>0.94380799999999998</v>
      </c>
      <c r="S148" s="331">
        <f t="shared" si="51"/>
        <v>355535.16</v>
      </c>
      <c r="T148" s="331">
        <f t="shared" si="52"/>
        <v>67551.69</v>
      </c>
      <c r="U148" s="331">
        <f t="shared" si="53"/>
        <v>423086.85</v>
      </c>
    </row>
    <row r="149" spans="1:21" ht="15.95" customHeight="1">
      <c r="A149" s="211">
        <f>IF(COUNTBLANK('RNEW import'!B147)=1,"",'RNEW import'!B147)</f>
        <v>2</v>
      </c>
      <c r="B149" s="211" t="str">
        <f>IF(COUNTBLANK('RNEW import'!D147)=1,"",'RNEW import'!D147)</f>
        <v>Satu Mare Shopping City SRL</v>
      </c>
      <c r="C149" s="211" t="str">
        <f>IF(COUNTBLANK('RNEW import'!E147)=1,"",'RNEW import'!E147)</f>
        <v>RSMS</v>
      </c>
      <c r="D149" s="211" t="str">
        <f>IF(COUNTBLANK('RNEW import'!K147)=1,"",'RNEW import'!K147)</f>
        <v>Energie reactiva  1X</v>
      </c>
      <c r="E149" s="211">
        <f>IF(COUNTBLANK('RNEW import'!L147)=1,"",'RNEW import'!N147)</f>
        <v>0</v>
      </c>
      <c r="F149" s="211">
        <f>IF(COUNTBLANK('RNEW import'!M147)=1,"",'RNEW import'!O147/10000)</f>
        <v>0.14649999999999999</v>
      </c>
      <c r="G149" s="217">
        <f t="shared" si="54"/>
        <v>0</v>
      </c>
      <c r="H149" s="217">
        <f t="shared" si="62"/>
        <v>0</v>
      </c>
      <c r="I149" s="329">
        <f t="shared" si="55"/>
        <v>0</v>
      </c>
      <c r="J149" s="237" t="str">
        <f t="shared" si="57"/>
        <v/>
      </c>
      <c r="K149" s="238" t="str">
        <f t="shared" si="58"/>
        <v/>
      </c>
      <c r="L149" s="238" t="str">
        <f t="shared" si="59"/>
        <v/>
      </c>
      <c r="M149" s="238" t="str">
        <f t="shared" si="60"/>
        <v/>
      </c>
      <c r="N149" s="238" t="str">
        <f t="shared" si="61"/>
        <v/>
      </c>
      <c r="O149" s="232" t="str">
        <f t="shared" si="56"/>
        <v/>
      </c>
      <c r="P149" s="219" t="str">
        <f t="shared" si="63"/>
        <v>Energie reactiva 1x</v>
      </c>
      <c r="Q149" s="219">
        <f t="shared" si="64"/>
        <v>0</v>
      </c>
      <c r="R149" s="219">
        <f t="shared" si="65"/>
        <v>0.14649999999999999</v>
      </c>
      <c r="S149" s="331">
        <f t="shared" si="51"/>
        <v>0</v>
      </c>
      <c r="T149" s="331">
        <f t="shared" si="52"/>
        <v>0</v>
      </c>
      <c r="U149" s="331">
        <f t="shared" si="53"/>
        <v>0</v>
      </c>
    </row>
    <row r="150" spans="1:21" ht="15.95" customHeight="1">
      <c r="A150" s="211">
        <f>IF(COUNTBLANK('RNEW import'!B148)=1,"",'RNEW import'!B148)</f>
        <v>3</v>
      </c>
      <c r="B150" s="211" t="str">
        <f>IF(COUNTBLANK('RNEW import'!D148)=1,"",'RNEW import'!D148)</f>
        <v>Satu Mare Shopping City SRL</v>
      </c>
      <c r="C150" s="211" t="str">
        <f>IF(COUNTBLANK('RNEW import'!E148)=1,"",'RNEW import'!E148)</f>
        <v>RSMS</v>
      </c>
      <c r="D150" s="211" t="str">
        <f>IF(COUNTBLANK('RNEW import'!K148)=1,"",'RNEW import'!K148)</f>
        <v>Energie reactiva  3X</v>
      </c>
      <c r="E150" s="211">
        <f>IF(COUNTBLANK('RNEW import'!L148)=1,"",'RNEW import'!N148)</f>
        <v>0</v>
      </c>
      <c r="F150" s="211">
        <f>IF(COUNTBLANK('RNEW import'!M148)=1,"",'RNEW import'!O148/10000)</f>
        <v>0.4395</v>
      </c>
      <c r="G150" s="217">
        <f t="shared" si="54"/>
        <v>0</v>
      </c>
      <c r="H150" s="217">
        <f t="shared" si="62"/>
        <v>0</v>
      </c>
      <c r="I150" s="329">
        <f t="shared" si="55"/>
        <v>0</v>
      </c>
      <c r="J150" s="237" t="str">
        <f t="shared" si="57"/>
        <v/>
      </c>
      <c r="K150" s="238" t="str">
        <f t="shared" si="58"/>
        <v/>
      </c>
      <c r="L150" s="238" t="str">
        <f t="shared" si="59"/>
        <v/>
      </c>
      <c r="M150" s="238" t="str">
        <f t="shared" si="60"/>
        <v/>
      </c>
      <c r="N150" s="238" t="str">
        <f t="shared" si="61"/>
        <v/>
      </c>
      <c r="O150" s="232" t="str">
        <f t="shared" si="56"/>
        <v/>
      </c>
      <c r="P150" s="219" t="str">
        <f t="shared" si="63"/>
        <v>Energie reactiva 3x</v>
      </c>
      <c r="Q150" s="219">
        <f t="shared" si="64"/>
        <v>0</v>
      </c>
      <c r="R150" s="219">
        <f t="shared" si="65"/>
        <v>0.4395</v>
      </c>
      <c r="S150" s="331">
        <f t="shared" ref="S150:S213" si="66">IF(COUNTBLANK(P150)=1,"",ROUND(IF(P150=$P$5,G150,IF(P150=$P$6,G150,IF(P150=$P$21,G150+G149+G148+G147,IF(P150=$P$23,G150,IF(P150=$P$24,G150,IF(P150=$P$4,SUMIFS(G:G,$B:$B,J150,A:A,"&lt;15"),IF(P150=$P$22,SUMIFS(G:G,$B:$B,J132,A:A,"&gt;18",A:A,"&lt;33")-S151-S152,IF(P150=$P$39,G150+G149+G148+G147,"eroare")))))))),2))</f>
        <v>0</v>
      </c>
      <c r="T150" s="331">
        <f t="shared" ref="T150:T213" si="67">IF(COUNTBLANK(P150)=1,"",ROUND(IF(P150=$P$5,H150,IF(P150=$P$6,H150,IF(P150=$P$21,H150+H149+H148+H147,IF(P150=$P$23,H150,IF(P150=$P$24,H150,IF(P150=$P$4,SUMIFS(H:H,$B:$B,J150,A:A,"&lt;15"),IF(P150=$P$22,SUMIFS(H:H,$B:$B,J132,A:A,"&gt;18",A:A,"&lt;33")-T151-T152,IF(P150=$P$39,H150+H149+H148+H147,"eroare")))))))),2))</f>
        <v>0</v>
      </c>
      <c r="U150" s="331">
        <f t="shared" ref="U150:U213" si="68">IF(COUNTBLANK(P150)=1,"",ROUND(IF(P150=$P$5,I150,IF(P150=$P$6,I150,IF(P150=$P$21,I150+I149+I148+I147,IF(P150=$P$23,I150,IF(P150=$P$24,I150,IF(P150=$P$4,SUMIFS(I:I,$B:$B,J150,A:A,"&lt;15"),IF(P150=$P$22,SUMIFS(I:I,$B:$B,J132,A:A,"&gt;18",A:A,"&lt;33")-U151-U152,IF(P150=$P$39,I150+I149+I148+I147,"eroare")))))))),2))</f>
        <v>0</v>
      </c>
    </row>
    <row r="151" spans="1:21" ht="15.95" customHeight="1">
      <c r="A151" s="211">
        <f>IF(COUNTBLANK('RNEW import'!B149)=1,"",'RNEW import'!B149)</f>
        <v>4</v>
      </c>
      <c r="B151" s="211" t="str">
        <f>IF(COUNTBLANK('RNEW import'!D149)=1,"",'RNEW import'!D149)</f>
        <v>Satu Mare Shopping City SRL</v>
      </c>
      <c r="C151" s="211" t="str">
        <f>IF(COUNTBLANK('RNEW import'!E149)=1,"",'RNEW import'!E149)</f>
        <v>RSMS</v>
      </c>
      <c r="D151" s="211" t="str">
        <f>IF(COUNTBLANK('RNEW import'!K149)=1,"",'RNEW import'!K149)</f>
        <v>Tarife distributie en. El IT+MT</v>
      </c>
      <c r="E151" s="211">
        <f>IF(COUNTBLANK('RNEW import'!L149)=1,"",'RNEW import'!N149)</f>
        <v>376703</v>
      </c>
      <c r="F151" s="211">
        <f>IF(COUNTBLANK('RNEW import'!M149)=1,"",'RNEW import'!O149/10000)</f>
        <v>0.11483</v>
      </c>
      <c r="G151" s="217">
        <f t="shared" si="54"/>
        <v>43256.81</v>
      </c>
      <c r="H151" s="217">
        <f t="shared" si="62"/>
        <v>8218.7900000000009</v>
      </c>
      <c r="I151" s="329">
        <f t="shared" si="55"/>
        <v>51475.6</v>
      </c>
      <c r="J151" s="237" t="str">
        <f t="shared" si="57"/>
        <v/>
      </c>
      <c r="K151" s="238" t="str">
        <f t="shared" si="58"/>
        <v/>
      </c>
      <c r="L151" s="238" t="str">
        <f t="shared" si="59"/>
        <v/>
      </c>
      <c r="M151" s="238" t="str">
        <f t="shared" si="60"/>
        <v/>
      </c>
      <c r="N151" s="238" t="str">
        <f t="shared" si="61"/>
        <v/>
      </c>
      <c r="O151" s="232" t="str">
        <f t="shared" si="56"/>
        <v/>
      </c>
      <c r="P151" s="219" t="str">
        <f t="shared" si="63"/>
        <v/>
      </c>
      <c r="Q151" s="219" t="str">
        <f t="shared" si="64"/>
        <v/>
      </c>
      <c r="R151" s="219" t="str">
        <f t="shared" si="65"/>
        <v/>
      </c>
      <c r="S151" s="331" t="str">
        <f t="shared" si="66"/>
        <v/>
      </c>
      <c r="T151" s="331" t="str">
        <f t="shared" si="67"/>
        <v/>
      </c>
      <c r="U151" s="331" t="str">
        <f t="shared" si="68"/>
        <v/>
      </c>
    </row>
    <row r="152" spans="1:21" ht="15.95" customHeight="1">
      <c r="A152" s="211">
        <f>IF(COUNTBLANK('RNEW import'!B150)=1,"",'RNEW import'!B150)</f>
        <v>5</v>
      </c>
      <c r="B152" s="211" t="str">
        <f>IF(COUNTBLANK('RNEW import'!D150)=1,"",'RNEW import'!D150)</f>
        <v>Satu Mare Shopping City SRL</v>
      </c>
      <c r="C152" s="211" t="str">
        <f>IF(COUNTBLANK('RNEW import'!E150)=1,"",'RNEW import'!E150)</f>
        <v>RSMS</v>
      </c>
      <c r="D152" s="211" t="str">
        <f>IF(COUNTBLANK('RNEW import'!K150)=1,"",'RNEW import'!K150)</f>
        <v>Tarife distributie en. El JT</v>
      </c>
      <c r="E152" s="211">
        <f>IF(COUNTBLANK('RNEW import'!L150)=1,"",'RNEW import'!N150)</f>
        <v>0</v>
      </c>
      <c r="F152" s="211">
        <f>IF(COUNTBLANK('RNEW import'!M150)=1,"",'RNEW import'!O150/10000)</f>
        <v>0.2361</v>
      </c>
      <c r="G152" s="217">
        <f t="shared" si="54"/>
        <v>0</v>
      </c>
      <c r="H152" s="217">
        <f t="shared" si="62"/>
        <v>0</v>
      </c>
      <c r="I152" s="329">
        <f t="shared" si="55"/>
        <v>0</v>
      </c>
      <c r="J152" s="237" t="str">
        <f t="shared" si="57"/>
        <v/>
      </c>
      <c r="K152" s="238" t="str">
        <f t="shared" si="58"/>
        <v/>
      </c>
      <c r="L152" s="238" t="str">
        <f t="shared" si="59"/>
        <v/>
      </c>
      <c r="M152" s="238" t="str">
        <f t="shared" si="60"/>
        <v/>
      </c>
      <c r="N152" s="238" t="str">
        <f t="shared" si="61"/>
        <v/>
      </c>
      <c r="O152" s="232" t="str">
        <f t="shared" si="56"/>
        <v/>
      </c>
      <c r="P152" s="219" t="str">
        <f t="shared" si="63"/>
        <v/>
      </c>
      <c r="Q152" s="219" t="str">
        <f t="shared" si="64"/>
        <v/>
      </c>
      <c r="R152" s="219" t="str">
        <f t="shared" si="65"/>
        <v/>
      </c>
      <c r="S152" s="331" t="str">
        <f t="shared" si="66"/>
        <v/>
      </c>
      <c r="T152" s="331" t="str">
        <f t="shared" si="67"/>
        <v/>
      </c>
      <c r="U152" s="331" t="str">
        <f t="shared" si="68"/>
        <v/>
      </c>
    </row>
    <row r="153" spans="1:21" ht="15.95" customHeight="1">
      <c r="A153" s="211">
        <f>IF(COUNTBLANK('RNEW import'!B151)=1,"",'RNEW import'!B151)</f>
        <v>6</v>
      </c>
      <c r="B153" s="211" t="str">
        <f>IF(COUNTBLANK('RNEW import'!D151)=1,"",'RNEW import'!D151)</f>
        <v>Satu Mare Shopping City SRL</v>
      </c>
      <c r="C153" s="211" t="str">
        <f>IF(COUNTBLANK('RNEW import'!E151)=1,"",'RNEW import'!E151)</f>
        <v>RSMS</v>
      </c>
      <c r="D153" s="211" t="str">
        <f>IF(COUNTBLANK('RNEW import'!K151)=1,"",'RNEW import'!K151)</f>
        <v xml:space="preserve">Servicii Sistem </v>
      </c>
      <c r="E153" s="211">
        <f>IF(COUNTBLANK('RNEW import'!L151)=1,"",'RNEW import'!N151)</f>
        <v>376703</v>
      </c>
      <c r="F153" s="211">
        <f>IF(COUNTBLANK('RNEW import'!M151)=1,"",'RNEW import'!O151/10000)</f>
        <v>1.1509999999999999E-2</v>
      </c>
      <c r="G153" s="217">
        <f t="shared" si="54"/>
        <v>4335.8500000000004</v>
      </c>
      <c r="H153" s="217">
        <f t="shared" si="62"/>
        <v>823.81</v>
      </c>
      <c r="I153" s="329">
        <f t="shared" si="55"/>
        <v>5159.66</v>
      </c>
      <c r="J153" s="237" t="str">
        <f t="shared" si="57"/>
        <v/>
      </c>
      <c r="K153" s="238" t="str">
        <f t="shared" si="58"/>
        <v/>
      </c>
      <c r="L153" s="238" t="str">
        <f t="shared" si="59"/>
        <v/>
      </c>
      <c r="M153" s="238" t="str">
        <f t="shared" si="60"/>
        <v/>
      </c>
      <c r="N153" s="238" t="str">
        <f t="shared" si="61"/>
        <v/>
      </c>
      <c r="O153" s="232" t="str">
        <f t="shared" si="56"/>
        <v/>
      </c>
      <c r="P153" s="219" t="str">
        <f t="shared" si="63"/>
        <v/>
      </c>
      <c r="Q153" s="219" t="str">
        <f t="shared" si="64"/>
        <v/>
      </c>
      <c r="R153" s="219" t="str">
        <f t="shared" si="65"/>
        <v/>
      </c>
      <c r="S153" s="331" t="str">
        <f t="shared" si="66"/>
        <v/>
      </c>
      <c r="T153" s="331" t="str">
        <f t="shared" si="67"/>
        <v/>
      </c>
      <c r="U153" s="331" t="str">
        <f t="shared" si="68"/>
        <v/>
      </c>
    </row>
    <row r="154" spans="1:21" ht="15.95" customHeight="1">
      <c r="A154" s="211">
        <f>IF(COUNTBLANK('RNEW import'!B152)=1,"",'RNEW import'!B152)</f>
        <v>7</v>
      </c>
      <c r="B154" s="211" t="str">
        <f>IF(COUNTBLANK('RNEW import'!D152)=1,"",'RNEW import'!D152)</f>
        <v>Satu Mare Shopping City SRL</v>
      </c>
      <c r="C154" s="211" t="str">
        <f>IF(COUNTBLANK('RNEW import'!E152)=1,"",'RNEW import'!E152)</f>
        <v>RSMS</v>
      </c>
      <c r="D154" s="211" t="str">
        <f>IF(COUNTBLANK('RNEW import'!K152)=1,"",'RNEW import'!K152)</f>
        <v>Tarif de introducere en. el in retea (TL)</v>
      </c>
      <c r="E154" s="211">
        <f>IF(COUNTBLANK('RNEW import'!L152)=1,"",'RNEW import'!N152)</f>
        <v>376703</v>
      </c>
      <c r="F154" s="211">
        <f>IF(COUNTBLANK('RNEW import'!M152)=1,"",'RNEW import'!O152/10000)</f>
        <v>3.3030000000000004E-2</v>
      </c>
      <c r="G154" s="217">
        <f t="shared" si="54"/>
        <v>12442.5</v>
      </c>
      <c r="H154" s="217">
        <f t="shared" si="62"/>
        <v>2364.08</v>
      </c>
      <c r="I154" s="329">
        <f t="shared" si="55"/>
        <v>14806.58</v>
      </c>
      <c r="J154" s="237" t="str">
        <f t="shared" si="57"/>
        <v/>
      </c>
      <c r="K154" s="238" t="str">
        <f t="shared" si="58"/>
        <v/>
      </c>
      <c r="L154" s="238" t="str">
        <f t="shared" si="59"/>
        <v/>
      </c>
      <c r="M154" s="238" t="str">
        <f t="shared" si="60"/>
        <v/>
      </c>
      <c r="N154" s="238" t="str">
        <f t="shared" si="61"/>
        <v/>
      </c>
      <c r="O154" s="232" t="str">
        <f t="shared" si="56"/>
        <v/>
      </c>
      <c r="P154" s="219" t="str">
        <f t="shared" si="63"/>
        <v/>
      </c>
      <c r="Q154" s="219" t="str">
        <f t="shared" si="64"/>
        <v/>
      </c>
      <c r="R154" s="219" t="str">
        <f t="shared" si="65"/>
        <v/>
      </c>
      <c r="S154" s="331" t="str">
        <f t="shared" si="66"/>
        <v/>
      </c>
      <c r="T154" s="331" t="str">
        <f t="shared" si="67"/>
        <v/>
      </c>
      <c r="U154" s="331" t="str">
        <f t="shared" si="68"/>
        <v/>
      </c>
    </row>
    <row r="155" spans="1:21" ht="15.95" customHeight="1">
      <c r="A155" s="211">
        <f>IF(COUNTBLANK('RNEW import'!B153)=1,"",'RNEW import'!B153)</f>
        <v>8</v>
      </c>
      <c r="B155" s="211" t="str">
        <f>IF(COUNTBLANK('RNEW import'!D153)=1,"",'RNEW import'!D153)</f>
        <v>Satu Mare Shopping City SRL</v>
      </c>
      <c r="C155" s="211" t="str">
        <f>IF(COUNTBLANK('RNEW import'!E153)=1,"",'RNEW import'!E153)</f>
        <v>RSMS</v>
      </c>
      <c r="D155" s="211" t="str">
        <f>IF(COUNTBLANK('RNEW import'!K153)=1,"",'RNEW import'!K153)</f>
        <v>Tarif de introducere en.el in retea (TG)</v>
      </c>
      <c r="E155" s="211">
        <f>IF(COUNTBLANK('RNEW import'!L153)=1,"",'RNEW import'!N153)</f>
        <v>376703</v>
      </c>
      <c r="F155" s="211">
        <f>IF(COUNTBLANK('RNEW import'!M153)=1,"",'RNEW import'!O153/10000)</f>
        <v>3.29E-3</v>
      </c>
      <c r="G155" s="217">
        <f t="shared" si="54"/>
        <v>1239.3499999999999</v>
      </c>
      <c r="H155" s="217">
        <f t="shared" si="62"/>
        <v>235.48</v>
      </c>
      <c r="I155" s="329">
        <f t="shared" si="55"/>
        <v>1474.83</v>
      </c>
      <c r="J155" s="237" t="str">
        <f t="shared" si="57"/>
        <v/>
      </c>
      <c r="K155" s="238" t="str">
        <f t="shared" si="58"/>
        <v/>
      </c>
      <c r="L155" s="238" t="str">
        <f t="shared" si="59"/>
        <v/>
      </c>
      <c r="M155" s="238" t="str">
        <f t="shared" si="60"/>
        <v/>
      </c>
      <c r="N155" s="238" t="str">
        <f t="shared" si="61"/>
        <v/>
      </c>
      <c r="O155" s="232" t="str">
        <f t="shared" si="56"/>
        <v/>
      </c>
      <c r="P155" s="219" t="str">
        <f t="shared" si="63"/>
        <v/>
      </c>
      <c r="Q155" s="219" t="str">
        <f t="shared" si="64"/>
        <v/>
      </c>
      <c r="R155" s="219" t="str">
        <f t="shared" si="65"/>
        <v/>
      </c>
      <c r="S155" s="331" t="str">
        <f t="shared" si="66"/>
        <v/>
      </c>
      <c r="T155" s="331" t="str">
        <f t="shared" si="67"/>
        <v/>
      </c>
      <c r="U155" s="331" t="str">
        <f t="shared" si="68"/>
        <v/>
      </c>
    </row>
    <row r="156" spans="1:21" ht="15.95" customHeight="1">
      <c r="A156" s="211">
        <f>IF(COUNTBLANK('RNEW import'!B154)=1,"",'RNEW import'!B154)</f>
        <v>9</v>
      </c>
      <c r="B156" s="211" t="str">
        <f>IF(COUNTBLANK('RNEW import'!D154)=1,"",'RNEW import'!D154)</f>
        <v>Satu Mare Shopping City SRL</v>
      </c>
      <c r="C156" s="211" t="str">
        <f>IF(COUNTBLANK('RNEW import'!E154)=1,"",'RNEW import'!E154)</f>
        <v>RSMS</v>
      </c>
      <c r="D156" s="211" t="str">
        <f>IF(COUNTBLANK('RNEW import'!K154)=1,"",'RNEW import'!K154)</f>
        <v>Contributie pentru cogenerare</v>
      </c>
      <c r="E156" s="211">
        <f>IF(COUNTBLANK('RNEW import'!L154)=1,"",'RNEW import'!N154)</f>
        <v>376703</v>
      </c>
      <c r="F156" s="211">
        <f>IF(COUNTBLANK('RNEW import'!M154)=1,"",'RNEW import'!O154/10000)</f>
        <v>3.5000000000000001E-3</v>
      </c>
      <c r="G156" s="217">
        <f t="shared" si="54"/>
        <v>1318.46</v>
      </c>
      <c r="H156" s="217">
        <f t="shared" si="62"/>
        <v>250.51</v>
      </c>
      <c r="I156" s="329">
        <f t="shared" si="55"/>
        <v>1568.97</v>
      </c>
      <c r="J156" s="237" t="str">
        <f t="shared" si="57"/>
        <v/>
      </c>
      <c r="K156" s="238" t="str">
        <f t="shared" si="58"/>
        <v/>
      </c>
      <c r="L156" s="238" t="str">
        <f t="shared" si="59"/>
        <v/>
      </c>
      <c r="M156" s="238" t="str">
        <f t="shared" si="60"/>
        <v/>
      </c>
      <c r="N156" s="238" t="str">
        <f t="shared" si="61"/>
        <v/>
      </c>
      <c r="O156" s="232" t="str">
        <f t="shared" si="56"/>
        <v/>
      </c>
      <c r="P156" s="219" t="str">
        <f t="shared" si="63"/>
        <v/>
      </c>
      <c r="Q156" s="219" t="str">
        <f t="shared" si="64"/>
        <v/>
      </c>
      <c r="R156" s="219" t="str">
        <f t="shared" si="65"/>
        <v/>
      </c>
      <c r="S156" s="331" t="str">
        <f t="shared" si="66"/>
        <v/>
      </c>
      <c r="T156" s="331" t="str">
        <f t="shared" si="67"/>
        <v/>
      </c>
      <c r="U156" s="331" t="str">
        <f t="shared" si="68"/>
        <v/>
      </c>
    </row>
    <row r="157" spans="1:21" ht="15.95" customHeight="1">
      <c r="A157" s="211">
        <f>IF(COUNTBLANK('RNEW import'!B155)=1,"",'RNEW import'!B155)</f>
        <v>10</v>
      </c>
      <c r="B157" s="211" t="str">
        <f>IF(COUNTBLANK('RNEW import'!D155)=1,"",'RNEW import'!D155)</f>
        <v>Satu Mare Shopping City SRL</v>
      </c>
      <c r="C157" s="211" t="str">
        <f>IF(COUNTBLANK('RNEW import'!E155)=1,"",'RNEW import'!E155)</f>
        <v>RSMS</v>
      </c>
      <c r="D157" s="211" t="str">
        <f>IF(COUNTBLANK('RNEW import'!K155)=1,"",'RNEW import'!K155)</f>
        <v xml:space="preserve">Certificate verzi </v>
      </c>
      <c r="E157" s="211">
        <f>IF(COUNTBLANK('RNEW import'!L155)=1,"",'RNEW import'!N155)</f>
        <v>376703</v>
      </c>
      <c r="F157" s="211">
        <f>IF(COUNTBLANK('RNEW import'!M155)=1,"",'RNEW import'!O155/10000)</f>
        <v>7.2541599999999998E-2</v>
      </c>
      <c r="G157" s="217">
        <f t="shared" si="54"/>
        <v>27326.639999999999</v>
      </c>
      <c r="H157" s="217">
        <f t="shared" si="62"/>
        <v>5192.0600000000004</v>
      </c>
      <c r="I157" s="329">
        <f t="shared" si="55"/>
        <v>32518.7</v>
      </c>
      <c r="J157" s="237" t="str">
        <f t="shared" si="57"/>
        <v/>
      </c>
      <c r="K157" s="238" t="str">
        <f t="shared" si="58"/>
        <v/>
      </c>
      <c r="L157" s="238" t="str">
        <f t="shared" si="59"/>
        <v/>
      </c>
      <c r="M157" s="238" t="str">
        <f t="shared" si="60"/>
        <v/>
      </c>
      <c r="N157" s="238" t="str">
        <f t="shared" si="61"/>
        <v/>
      </c>
      <c r="O157" s="232" t="str">
        <f t="shared" si="56"/>
        <v/>
      </c>
      <c r="P157" s="219" t="str">
        <f t="shared" si="63"/>
        <v/>
      </c>
      <c r="Q157" s="219" t="str">
        <f t="shared" si="64"/>
        <v/>
      </c>
      <c r="R157" s="219" t="str">
        <f t="shared" si="65"/>
        <v/>
      </c>
      <c r="S157" s="331" t="str">
        <f t="shared" si="66"/>
        <v/>
      </c>
      <c r="T157" s="331" t="str">
        <f t="shared" si="67"/>
        <v/>
      </c>
      <c r="U157" s="331" t="str">
        <f t="shared" si="68"/>
        <v/>
      </c>
    </row>
    <row r="158" spans="1:21" ht="15.95" customHeight="1">
      <c r="A158" s="211">
        <f>IF(COUNTBLANK('RNEW import'!B156)=1,"",'RNEW import'!B156)</f>
        <v>11</v>
      </c>
      <c r="B158" s="211" t="str">
        <f>IF(COUNTBLANK('RNEW import'!D156)=1,"",'RNEW import'!D156)</f>
        <v>Satu Mare Shopping City SRL</v>
      </c>
      <c r="C158" s="211" t="str">
        <f>IF(COUNTBLANK('RNEW import'!E156)=1,"",'RNEW import'!E156)</f>
        <v>RSMS</v>
      </c>
      <c r="D158" s="211" t="str">
        <f>IF(COUNTBLANK('RNEW import'!K156)=1,"",'RNEW import'!K156)</f>
        <v>Contributie CFD</v>
      </c>
      <c r="E158" s="211">
        <f>IF(COUNTBLANK('RNEW import'!L156)=1,"",'RNEW import'!N156)</f>
        <v>376703</v>
      </c>
      <c r="F158" s="211">
        <f>IF(COUNTBLANK('RNEW import'!M156)=1,"",'RNEW import'!O156/10000)</f>
        <v>2.0599999999999999E-4</v>
      </c>
      <c r="G158" s="217">
        <f t="shared" si="54"/>
        <v>77.599999999999994</v>
      </c>
      <c r="H158" s="217">
        <f t="shared" si="62"/>
        <v>14.74</v>
      </c>
      <c r="I158" s="329">
        <f t="shared" si="55"/>
        <v>92.339999999999989</v>
      </c>
      <c r="J158" s="237" t="str">
        <f t="shared" si="57"/>
        <v/>
      </c>
      <c r="K158" s="238" t="str">
        <f t="shared" si="58"/>
        <v/>
      </c>
      <c r="L158" s="238" t="str">
        <f t="shared" si="59"/>
        <v/>
      </c>
      <c r="M158" s="238" t="str">
        <f t="shared" si="60"/>
        <v/>
      </c>
      <c r="N158" s="238" t="str">
        <f t="shared" si="61"/>
        <v/>
      </c>
      <c r="O158" s="232" t="str">
        <f t="shared" si="56"/>
        <v/>
      </c>
      <c r="P158" s="219" t="str">
        <f t="shared" si="63"/>
        <v/>
      </c>
      <c r="Q158" s="219" t="str">
        <f t="shared" si="64"/>
        <v/>
      </c>
      <c r="R158" s="219" t="str">
        <f t="shared" si="65"/>
        <v/>
      </c>
      <c r="S158" s="331" t="str">
        <f t="shared" si="66"/>
        <v/>
      </c>
      <c r="T158" s="331" t="str">
        <f t="shared" si="67"/>
        <v/>
      </c>
      <c r="U158" s="331" t="str">
        <f t="shared" si="68"/>
        <v/>
      </c>
    </row>
    <row r="159" spans="1:21" ht="15.95" customHeight="1">
      <c r="A159" s="211">
        <f>IF(COUNTBLANK('RNEW import'!B157)=1,"",'RNEW import'!B157)</f>
        <v>12</v>
      </c>
      <c r="B159" s="211" t="str">
        <f>IF(COUNTBLANK('RNEW import'!D157)=1,"",'RNEW import'!D157)</f>
        <v>Satu Mare Shopping City SRL</v>
      </c>
      <c r="C159" s="211" t="str">
        <f>IF(COUNTBLANK('RNEW import'!E157)=1,"",'RNEW import'!E157)</f>
        <v>RSMS</v>
      </c>
      <c r="D159" s="211" t="str">
        <f>IF(COUNTBLANK('RNEW import'!K157)=1,"",'RNEW import'!K157)</f>
        <v>Acciza</v>
      </c>
      <c r="E159" s="211">
        <f>IF(COUNTBLANK('RNEW import'!L157)=1,"",'RNEW import'!N157)</f>
        <v>376703</v>
      </c>
      <c r="F159" s="211">
        <f>IF(COUNTBLANK('RNEW import'!M157)=1,"",'RNEW import'!O157/10000)</f>
        <v>0</v>
      </c>
      <c r="G159" s="217">
        <f t="shared" si="54"/>
        <v>0</v>
      </c>
      <c r="H159" s="217">
        <f t="shared" si="62"/>
        <v>0</v>
      </c>
      <c r="I159" s="329">
        <f t="shared" si="55"/>
        <v>0</v>
      </c>
      <c r="J159" s="237" t="str">
        <f t="shared" si="57"/>
        <v/>
      </c>
      <c r="K159" s="238" t="str">
        <f t="shared" si="58"/>
        <v/>
      </c>
      <c r="L159" s="238" t="str">
        <f t="shared" si="59"/>
        <v/>
      </c>
      <c r="M159" s="238" t="str">
        <f t="shared" si="60"/>
        <v/>
      </c>
      <c r="N159" s="238" t="str">
        <f t="shared" si="61"/>
        <v/>
      </c>
      <c r="O159" s="232" t="str">
        <f t="shared" si="56"/>
        <v/>
      </c>
      <c r="P159" s="219" t="str">
        <f t="shared" si="63"/>
        <v/>
      </c>
      <c r="Q159" s="219" t="str">
        <f t="shared" si="64"/>
        <v/>
      </c>
      <c r="R159" s="219" t="str">
        <f t="shared" si="65"/>
        <v/>
      </c>
      <c r="S159" s="331" t="str">
        <f t="shared" si="66"/>
        <v/>
      </c>
      <c r="T159" s="331" t="str">
        <f t="shared" si="67"/>
        <v/>
      </c>
      <c r="U159" s="331" t="str">
        <f t="shared" si="68"/>
        <v/>
      </c>
    </row>
    <row r="160" spans="1:21" ht="15.95" customHeight="1">
      <c r="A160" s="211">
        <f>IF(COUNTBLANK('RNEW import'!B158)=1,"",'RNEW import'!B158)</f>
        <v>13</v>
      </c>
      <c r="B160" s="211" t="str">
        <f>IF(COUNTBLANK('RNEW import'!D158)=1,"",'RNEW import'!D158)</f>
        <v>Satu Mare Shopping City SRL</v>
      </c>
      <c r="C160" s="211" t="str">
        <f>IF(COUNTBLANK('RNEW import'!E158)=1,"",'RNEW import'!E158)</f>
        <v>RSMS</v>
      </c>
      <c r="D160" s="211" t="str">
        <f>IF(COUNTBLANK('RNEW import'!K158)=1,"",'RNEW import'!K158)</f>
        <v>Tarif distributie SDI MT</v>
      </c>
      <c r="E160" s="211">
        <f>IF(COUNTBLANK('RNEW import'!L158)=1,"",'RNEW import'!N158)</f>
        <v>376703</v>
      </c>
      <c r="F160" s="211">
        <f>IF(COUNTBLANK('RNEW import'!M158)=1,"",'RNEW import'!O158/10000)</f>
        <v>1.49E-2</v>
      </c>
      <c r="G160" s="217">
        <f t="shared" si="54"/>
        <v>5612.87</v>
      </c>
      <c r="H160" s="217">
        <f t="shared" si="62"/>
        <v>1066.45</v>
      </c>
      <c r="I160" s="329">
        <f t="shared" si="55"/>
        <v>6679.32</v>
      </c>
      <c r="J160" s="237" t="str">
        <f t="shared" si="57"/>
        <v/>
      </c>
      <c r="K160" s="238" t="str">
        <f t="shared" si="58"/>
        <v/>
      </c>
      <c r="L160" s="238" t="str">
        <f t="shared" si="59"/>
        <v/>
      </c>
      <c r="M160" s="238" t="str">
        <f t="shared" si="60"/>
        <v/>
      </c>
      <c r="N160" s="238" t="str">
        <f t="shared" si="61"/>
        <v/>
      </c>
      <c r="O160" s="232" t="str">
        <f t="shared" si="56"/>
        <v/>
      </c>
      <c r="P160" s="219" t="str">
        <f t="shared" si="63"/>
        <v/>
      </c>
      <c r="Q160" s="219" t="str">
        <f t="shared" si="64"/>
        <v/>
      </c>
      <c r="R160" s="219" t="str">
        <f t="shared" si="65"/>
        <v/>
      </c>
      <c r="S160" s="331" t="str">
        <f t="shared" si="66"/>
        <v/>
      </c>
      <c r="T160" s="331" t="str">
        <f t="shared" si="67"/>
        <v/>
      </c>
      <c r="U160" s="331" t="str">
        <f t="shared" si="68"/>
        <v/>
      </c>
    </row>
    <row r="161" spans="1:21" ht="15.95" customHeight="1">
      <c r="A161" s="211">
        <f>IF(COUNTBLANK('RNEW import'!B159)=1,"",'RNEW import'!B159)</f>
        <v>14</v>
      </c>
      <c r="B161" s="211" t="str">
        <f>IF(COUNTBLANK('RNEW import'!D159)=1,"",'RNEW import'!D159)</f>
        <v>Satu Mare Shopping City SRL</v>
      </c>
      <c r="C161" s="211" t="str">
        <f>IF(COUNTBLANK('RNEW import'!E159)=1,"",'RNEW import'!E159)</f>
        <v>RSMS</v>
      </c>
      <c r="D161" s="211" t="str">
        <f>IF(COUNTBLANK('RNEW import'!K159)=1,"",'RNEW import'!K159)</f>
        <v>Tarif distributie SDI JT</v>
      </c>
      <c r="E161" s="211">
        <f>IF(COUNTBLANK('RNEW import'!L159)=1,"",'RNEW import'!N159)</f>
        <v>376703</v>
      </c>
      <c r="F161" s="211">
        <f>IF(COUNTBLANK('RNEW import'!M159)=1,"",'RNEW import'!O159/10000)</f>
        <v>9.5000000000000001E-2</v>
      </c>
      <c r="G161" s="217">
        <f t="shared" si="54"/>
        <v>35786.79</v>
      </c>
      <c r="H161" s="217">
        <f t="shared" si="62"/>
        <v>6799.49</v>
      </c>
      <c r="I161" s="329">
        <f t="shared" si="55"/>
        <v>42586.28</v>
      </c>
      <c r="J161" s="237" t="str">
        <f t="shared" si="57"/>
        <v/>
      </c>
      <c r="K161" s="238" t="str">
        <f t="shared" si="58"/>
        <v/>
      </c>
      <c r="L161" s="238" t="str">
        <f t="shared" si="59"/>
        <v/>
      </c>
      <c r="M161" s="238" t="str">
        <f t="shared" si="60"/>
        <v/>
      </c>
      <c r="N161" s="238" t="str">
        <f t="shared" si="61"/>
        <v/>
      </c>
      <c r="O161" s="232" t="str">
        <f t="shared" si="56"/>
        <v/>
      </c>
      <c r="P161" s="219" t="str">
        <f t="shared" si="63"/>
        <v/>
      </c>
      <c r="Q161" s="219" t="str">
        <f t="shared" si="64"/>
        <v/>
      </c>
      <c r="R161" s="219" t="str">
        <f t="shared" si="65"/>
        <v/>
      </c>
      <c r="S161" s="331" t="str">
        <f t="shared" si="66"/>
        <v/>
      </c>
      <c r="T161" s="331" t="str">
        <f t="shared" si="67"/>
        <v/>
      </c>
      <c r="U161" s="331" t="str">
        <f t="shared" si="68"/>
        <v/>
      </c>
    </row>
    <row r="162" spans="1:21" ht="15.95" customHeight="1">
      <c r="A162" s="211">
        <f>IF(COUNTBLANK('RNEW import'!B160)=1,"",'RNEW import'!B160)</f>
        <v>15</v>
      </c>
      <c r="B162" s="211" t="str">
        <f>IF(COUNTBLANK('RNEW import'!D160)=1,"",'RNEW import'!D160)</f>
        <v>Satu Mare Shopping City SRL</v>
      </c>
      <c r="C162" s="211" t="str">
        <f>IF(COUNTBLANK('RNEW import'!E160)=1,"",'RNEW import'!E160)</f>
        <v>RSMS</v>
      </c>
      <c r="D162" s="211" t="str">
        <f>IF(COUNTBLANK('RNEW import'!K160)=1,"",'RNEW import'!K160)</f>
        <v>Energie activa 2</v>
      </c>
      <c r="E162" s="211">
        <f>IF(COUNTBLANK('RNEW import'!L160)=1,"",'RNEW import'!N160)</f>
        <v>39479</v>
      </c>
      <c r="F162" s="211">
        <f>IF(COUNTBLANK('RNEW import'!M160)=1,"",'RNEW import'!O160/10000)</f>
        <v>0.94380760000000008</v>
      </c>
      <c r="G162" s="217">
        <f t="shared" si="54"/>
        <v>37260.58</v>
      </c>
      <c r="H162" s="217">
        <f t="shared" si="62"/>
        <v>7079.51</v>
      </c>
      <c r="I162" s="329">
        <f t="shared" si="55"/>
        <v>44340.090000000004</v>
      </c>
      <c r="J162" s="237" t="str">
        <f t="shared" si="57"/>
        <v/>
      </c>
      <c r="K162" s="238" t="str">
        <f t="shared" si="58"/>
        <v/>
      </c>
      <c r="L162" s="238" t="str">
        <f t="shared" si="59"/>
        <v/>
      </c>
      <c r="M162" s="238" t="str">
        <f t="shared" si="60"/>
        <v/>
      </c>
      <c r="N162" s="238" t="str">
        <f t="shared" si="61"/>
        <v/>
      </c>
      <c r="O162" s="232" t="str">
        <f t="shared" si="56"/>
        <v/>
      </c>
      <c r="P162" s="219" t="str">
        <f t="shared" si="63"/>
        <v/>
      </c>
      <c r="Q162" s="219" t="str">
        <f t="shared" si="64"/>
        <v/>
      </c>
      <c r="R162" s="219" t="str">
        <f t="shared" si="65"/>
        <v/>
      </c>
      <c r="S162" s="331" t="str">
        <f t="shared" si="66"/>
        <v/>
      </c>
      <c r="T162" s="331" t="str">
        <f t="shared" si="67"/>
        <v/>
      </c>
      <c r="U162" s="331" t="str">
        <f t="shared" si="68"/>
        <v/>
      </c>
    </row>
    <row r="163" spans="1:21" ht="15.95" customHeight="1">
      <c r="A163" s="211">
        <f>IF(COUNTBLANK('RNEW import'!B161)=1,"",'RNEW import'!B161)</f>
        <v>16</v>
      </c>
      <c r="B163" s="211" t="str">
        <f>IF(COUNTBLANK('RNEW import'!D161)=1,"",'RNEW import'!D161)</f>
        <v>Satu Mare Shopping City SRL</v>
      </c>
      <c r="C163" s="211" t="str">
        <f>IF(COUNTBLANK('RNEW import'!E161)=1,"",'RNEW import'!E161)</f>
        <v>RSMS</v>
      </c>
      <c r="D163" s="211" t="str">
        <f>IF(COUNTBLANK('RNEW import'!K161)=1,"",'RNEW import'!K161)</f>
        <v>Energie activa 3</v>
      </c>
      <c r="E163" s="211">
        <f>IF(COUNTBLANK('RNEW import'!L161)=1,"",'RNEW import'!N161)</f>
        <v>0</v>
      </c>
      <c r="F163" s="211">
        <f>IF(COUNTBLANK('RNEW import'!M161)=1,"",'RNEW import'!O161/10000)</f>
        <v>0.83390760000000008</v>
      </c>
      <c r="G163" s="217">
        <f t="shared" si="54"/>
        <v>0</v>
      </c>
      <c r="H163" s="217">
        <f t="shared" si="62"/>
        <v>0</v>
      </c>
      <c r="I163" s="329">
        <f t="shared" si="55"/>
        <v>0</v>
      </c>
      <c r="J163" s="237" t="str">
        <f t="shared" si="57"/>
        <v/>
      </c>
      <c r="K163" s="238" t="str">
        <f t="shared" si="58"/>
        <v/>
      </c>
      <c r="L163" s="238" t="str">
        <f t="shared" si="59"/>
        <v/>
      </c>
      <c r="M163" s="238" t="str">
        <f t="shared" si="60"/>
        <v/>
      </c>
      <c r="N163" s="238" t="str">
        <f t="shared" si="61"/>
        <v/>
      </c>
      <c r="O163" s="232" t="str">
        <f t="shared" si="56"/>
        <v/>
      </c>
      <c r="P163" s="219" t="str">
        <f t="shared" si="63"/>
        <v/>
      </c>
      <c r="Q163" s="219" t="str">
        <f t="shared" si="64"/>
        <v/>
      </c>
      <c r="R163" s="219" t="str">
        <f t="shared" si="65"/>
        <v/>
      </c>
      <c r="S163" s="331" t="str">
        <f t="shared" si="66"/>
        <v/>
      </c>
      <c r="T163" s="331" t="str">
        <f t="shared" si="67"/>
        <v/>
      </c>
      <c r="U163" s="331" t="str">
        <f t="shared" si="68"/>
        <v/>
      </c>
    </row>
    <row r="164" spans="1:21" ht="15.95" customHeight="1">
      <c r="A164" s="211">
        <f>IF(COUNTBLANK('RNEW import'!B162)=1,"",'RNEW import'!B162)</f>
        <v>17</v>
      </c>
      <c r="B164" s="211" t="str">
        <f>IF(COUNTBLANK('RNEW import'!D162)=1,"",'RNEW import'!D162)</f>
        <v>Satu Mare Shopping City SRL</v>
      </c>
      <c r="C164" s="211" t="str">
        <f>IF(COUNTBLANK('RNEW import'!E162)=1,"",'RNEW import'!E162)</f>
        <v>RSMS</v>
      </c>
      <c r="D164" s="211" t="str">
        <f>IF(COUNTBLANK('RNEW import'!K162)=1,"",'RNEW import'!K162)</f>
        <v>Tarif distributie SDI MT_</v>
      </c>
      <c r="E164" s="211">
        <f>IF(COUNTBLANK('RNEW import'!L162)=1,"",'RNEW import'!N162)</f>
        <v>0</v>
      </c>
      <c r="F164" s="211">
        <f>IF(COUNTBLANK('RNEW import'!M162)=1,"",'RNEW import'!O162/10000)</f>
        <v>1.49E-2</v>
      </c>
      <c r="G164" s="217">
        <f t="shared" si="54"/>
        <v>0</v>
      </c>
      <c r="H164" s="217">
        <f t="shared" si="62"/>
        <v>0</v>
      </c>
      <c r="I164" s="329">
        <f t="shared" si="55"/>
        <v>0</v>
      </c>
      <c r="J164" s="237" t="str">
        <f t="shared" si="57"/>
        <v/>
      </c>
      <c r="K164" s="238" t="str">
        <f t="shared" si="58"/>
        <v/>
      </c>
      <c r="L164" s="238" t="str">
        <f t="shared" si="59"/>
        <v/>
      </c>
      <c r="M164" s="238" t="str">
        <f t="shared" si="60"/>
        <v/>
      </c>
      <c r="N164" s="238" t="str">
        <f t="shared" si="61"/>
        <v/>
      </c>
      <c r="O164" s="232" t="str">
        <f t="shared" si="56"/>
        <v/>
      </c>
      <c r="P164" s="219" t="str">
        <f t="shared" si="63"/>
        <v/>
      </c>
      <c r="Q164" s="219" t="str">
        <f t="shared" si="64"/>
        <v/>
      </c>
      <c r="R164" s="219" t="str">
        <f t="shared" si="65"/>
        <v/>
      </c>
      <c r="S164" s="331" t="str">
        <f t="shared" si="66"/>
        <v/>
      </c>
      <c r="T164" s="331" t="str">
        <f t="shared" si="67"/>
        <v/>
      </c>
      <c r="U164" s="331" t="str">
        <f t="shared" si="68"/>
        <v/>
      </c>
    </row>
    <row r="165" spans="1:21" ht="15.95" customHeight="1">
      <c r="A165" s="211">
        <f>IF(COUNTBLANK('RNEW import'!B163)=1,"",'RNEW import'!B163)</f>
        <v>18</v>
      </c>
      <c r="B165" s="211" t="str">
        <f>IF(COUNTBLANK('RNEW import'!D163)=1,"",'RNEW import'!D163)</f>
        <v>Satu Mare Shopping City SRL</v>
      </c>
      <c r="C165" s="211" t="str">
        <f>IF(COUNTBLANK('RNEW import'!E163)=1,"",'RNEW import'!E163)</f>
        <v>RSMS</v>
      </c>
      <c r="D165" s="211" t="str">
        <f>IF(COUNTBLANK('RNEW import'!K163)=1,"",'RNEW import'!K163)</f>
        <v>Tarif distributie SDI JT_</v>
      </c>
      <c r="E165" s="211">
        <f>IF(COUNTBLANK('RNEW import'!L163)=1,"",'RNEW import'!N163)</f>
        <v>0</v>
      </c>
      <c r="F165" s="211">
        <f>IF(COUNTBLANK('RNEW import'!M163)=1,"",'RNEW import'!O163/10000)</f>
        <v>9.5000000000000001E-2</v>
      </c>
      <c r="G165" s="217">
        <f t="shared" ref="G165:G228" si="69">ROUND(E165*F165,2)</f>
        <v>0</v>
      </c>
      <c r="H165" s="217">
        <f t="shared" si="62"/>
        <v>0</v>
      </c>
      <c r="I165" s="329">
        <f t="shared" ref="I165:I228" si="70">G165+H165</f>
        <v>0</v>
      </c>
      <c r="J165" s="237" t="str">
        <f t="shared" si="57"/>
        <v/>
      </c>
      <c r="K165" s="238" t="str">
        <f t="shared" si="58"/>
        <v/>
      </c>
      <c r="L165" s="238" t="str">
        <f t="shared" si="59"/>
        <v/>
      </c>
      <c r="M165" s="238" t="str">
        <f t="shared" si="60"/>
        <v/>
      </c>
      <c r="N165" s="238" t="str">
        <f t="shared" si="61"/>
        <v/>
      </c>
      <c r="O165" s="232" t="str">
        <f t="shared" si="56"/>
        <v/>
      </c>
      <c r="P165" s="219" t="str">
        <f t="shared" si="63"/>
        <v>Energie consumata din PV</v>
      </c>
      <c r="Q165" s="219">
        <f t="shared" si="64"/>
        <v>39479</v>
      </c>
      <c r="R165" s="219">
        <f t="shared" si="65"/>
        <v>0.94380799999999998</v>
      </c>
      <c r="S165" s="331">
        <f t="shared" si="66"/>
        <v>37260.58</v>
      </c>
      <c r="T165" s="331">
        <f t="shared" si="67"/>
        <v>7079.51</v>
      </c>
      <c r="U165" s="331">
        <f t="shared" si="68"/>
        <v>44340.09</v>
      </c>
    </row>
    <row r="166" spans="1:21" ht="15.95" customHeight="1">
      <c r="A166" s="211">
        <f>IF(COUNTBLANK('RNEW import'!B164)=1,"",'RNEW import'!B164)</f>
        <v>19</v>
      </c>
      <c r="B166" s="211" t="str">
        <f>IF(COUNTBLANK('RNEW import'!D164)=1,"",'RNEW import'!D164)</f>
        <v>Satu Mare Shopping City SRL</v>
      </c>
      <c r="C166" s="211" t="str">
        <f>IF(COUNTBLANK('RNEW import'!E164)=1,"",'RNEW import'!E164)</f>
        <v>RSMS</v>
      </c>
      <c r="D166" s="211" t="str">
        <f>IF(COUNTBLANK('RNEW import'!K164)=1,"",'RNEW import'!K164)</f>
        <v>Regularizare Energie activa 1</v>
      </c>
      <c r="E166" s="211">
        <f>IF(COUNTBLANK('RNEW import'!L164)=1,"",'RNEW import'!N164)</f>
        <v>0</v>
      </c>
      <c r="F166" s="211">
        <f>IF(COUNTBLANK('RNEW import'!M164)=1,"",'RNEW import'!O164/10000)</f>
        <v>0.59499999999999997</v>
      </c>
      <c r="G166" s="217">
        <f t="shared" si="69"/>
        <v>0</v>
      </c>
      <c r="H166" s="217">
        <f t="shared" si="62"/>
        <v>0</v>
      </c>
      <c r="I166" s="329">
        <f t="shared" si="70"/>
        <v>0</v>
      </c>
      <c r="J166" s="237" t="str">
        <f t="shared" si="57"/>
        <v/>
      </c>
      <c r="K166" s="238" t="str">
        <f t="shared" si="58"/>
        <v/>
      </c>
      <c r="L166" s="238" t="str">
        <f t="shared" si="59"/>
        <v/>
      </c>
      <c r="M166" s="238" t="str">
        <f t="shared" si="60"/>
        <v/>
      </c>
      <c r="N166" s="238" t="str">
        <f t="shared" si="61"/>
        <v/>
      </c>
      <c r="O166" s="232" t="str">
        <f t="shared" ref="O166:O229" si="71">IF(A166=1,B166,"")</f>
        <v/>
      </c>
      <c r="P166" s="219" t="str">
        <f t="shared" si="63"/>
        <v>Energie activa regularizare</v>
      </c>
      <c r="Q166" s="219">
        <f t="shared" si="64"/>
        <v>0</v>
      </c>
      <c r="R166" s="219">
        <f t="shared" si="65"/>
        <v>0</v>
      </c>
      <c r="S166" s="331">
        <f t="shared" si="66"/>
        <v>0</v>
      </c>
      <c r="T166" s="331">
        <f t="shared" si="67"/>
        <v>0</v>
      </c>
      <c r="U166" s="331">
        <f t="shared" si="68"/>
        <v>0</v>
      </c>
    </row>
    <row r="167" spans="1:21" ht="15.95" customHeight="1">
      <c r="A167" s="211">
        <f>IF(COUNTBLANK('RNEW import'!B165)=1,"",'RNEW import'!B165)</f>
        <v>20</v>
      </c>
      <c r="B167" s="211" t="str">
        <f>IF(COUNTBLANK('RNEW import'!D165)=1,"",'RNEW import'!D165)</f>
        <v>Satu Mare Shopping City SRL</v>
      </c>
      <c r="C167" s="211" t="str">
        <f>IF(COUNTBLANK('RNEW import'!E165)=1,"",'RNEW import'!E165)</f>
        <v>RSMS</v>
      </c>
      <c r="D167" s="211" t="str">
        <f>IF(COUNTBLANK('RNEW import'!K165)=1,"",'RNEW import'!K165)</f>
        <v>Regularizare Energie reactiva  1X</v>
      </c>
      <c r="E167" s="211">
        <f>IF(COUNTBLANK('RNEW import'!L165)=1,"",'RNEW import'!N165)</f>
        <v>0</v>
      </c>
      <c r="F167" s="211">
        <f>IF(COUNTBLANK('RNEW import'!M165)=1,"",'RNEW import'!O165/10000)</f>
        <v>0.14649999999999999</v>
      </c>
      <c r="G167" s="217">
        <f t="shared" si="69"/>
        <v>0</v>
      </c>
      <c r="H167" s="217">
        <f t="shared" si="62"/>
        <v>0</v>
      </c>
      <c r="I167" s="329">
        <f t="shared" si="70"/>
        <v>0</v>
      </c>
      <c r="J167" s="237" t="str">
        <f t="shared" si="57"/>
        <v/>
      </c>
      <c r="K167" s="238" t="str">
        <f t="shared" si="58"/>
        <v/>
      </c>
      <c r="L167" s="238" t="str">
        <f t="shared" si="59"/>
        <v/>
      </c>
      <c r="M167" s="238" t="str">
        <f t="shared" si="60"/>
        <v/>
      </c>
      <c r="N167" s="238" t="str">
        <f t="shared" si="61"/>
        <v/>
      </c>
      <c r="O167" s="232" t="str">
        <f t="shared" si="71"/>
        <v/>
      </c>
      <c r="P167" s="219" t="str">
        <f t="shared" si="63"/>
        <v>Energie reactiva 1x regularizare</v>
      </c>
      <c r="Q167" s="219">
        <f t="shared" si="64"/>
        <v>0</v>
      </c>
      <c r="R167" s="219">
        <f t="shared" si="65"/>
        <v>0.14649999999999999</v>
      </c>
      <c r="S167" s="331">
        <f t="shared" si="66"/>
        <v>0</v>
      </c>
      <c r="T167" s="331">
        <f t="shared" si="67"/>
        <v>0</v>
      </c>
      <c r="U167" s="331">
        <f t="shared" si="68"/>
        <v>0</v>
      </c>
    </row>
    <row r="168" spans="1:21" ht="15.95" customHeight="1">
      <c r="A168" s="211">
        <f>IF(COUNTBLANK('RNEW import'!B166)=1,"",'RNEW import'!B166)</f>
        <v>21</v>
      </c>
      <c r="B168" s="211" t="str">
        <f>IF(COUNTBLANK('RNEW import'!D166)=1,"",'RNEW import'!D166)</f>
        <v>Satu Mare Shopping City SRL</v>
      </c>
      <c r="C168" s="211" t="str">
        <f>IF(COUNTBLANK('RNEW import'!E166)=1,"",'RNEW import'!E166)</f>
        <v>RSMS</v>
      </c>
      <c r="D168" s="211" t="str">
        <f>IF(COUNTBLANK('RNEW import'!K166)=1,"",'RNEW import'!K166)</f>
        <v>Regularizare Energie reactiva  3X</v>
      </c>
      <c r="E168" s="211">
        <f>IF(COUNTBLANK('RNEW import'!L166)=1,"",'RNEW import'!N166)</f>
        <v>0</v>
      </c>
      <c r="F168" s="211">
        <f>IF(COUNTBLANK('RNEW import'!M166)=1,"",'RNEW import'!O166/10000)</f>
        <v>0.4395</v>
      </c>
      <c r="G168" s="217">
        <f t="shared" si="69"/>
        <v>0</v>
      </c>
      <c r="H168" s="217">
        <f t="shared" si="62"/>
        <v>0</v>
      </c>
      <c r="I168" s="329">
        <f t="shared" si="70"/>
        <v>0</v>
      </c>
      <c r="J168" s="237" t="str">
        <f t="shared" si="57"/>
        <v/>
      </c>
      <c r="K168" s="238" t="str">
        <f t="shared" si="58"/>
        <v/>
      </c>
      <c r="L168" s="238" t="str">
        <f t="shared" si="59"/>
        <v/>
      </c>
      <c r="M168" s="238" t="str">
        <f t="shared" si="60"/>
        <v/>
      </c>
      <c r="N168" s="238" t="str">
        <f t="shared" si="61"/>
        <v/>
      </c>
      <c r="O168" s="232" t="str">
        <f t="shared" si="71"/>
        <v/>
      </c>
      <c r="P168" s="219" t="str">
        <f t="shared" si="63"/>
        <v>Energie reactiva 3x regularizare</v>
      </c>
      <c r="Q168" s="219">
        <f t="shared" si="64"/>
        <v>0</v>
      </c>
      <c r="R168" s="219">
        <f t="shared" si="65"/>
        <v>0.4395</v>
      </c>
      <c r="S168" s="331">
        <f t="shared" si="66"/>
        <v>0</v>
      </c>
      <c r="T168" s="331">
        <f t="shared" si="67"/>
        <v>0</v>
      </c>
      <c r="U168" s="331">
        <f t="shared" si="68"/>
        <v>0</v>
      </c>
    </row>
    <row r="169" spans="1:21" ht="15.95" customHeight="1">
      <c r="A169" s="211">
        <f>IF(COUNTBLANK('RNEW import'!B167)=1,"",'RNEW import'!B167)</f>
        <v>22</v>
      </c>
      <c r="B169" s="211" t="str">
        <f>IF(COUNTBLANK('RNEW import'!D167)=1,"",'RNEW import'!D167)</f>
        <v>Satu Mare Shopping City SRL</v>
      </c>
      <c r="C169" s="211" t="str">
        <f>IF(COUNTBLANK('RNEW import'!E167)=1,"",'RNEW import'!E167)</f>
        <v>RSMS</v>
      </c>
      <c r="D169" s="211" t="str">
        <f>IF(COUNTBLANK('RNEW import'!K167)=1,"",'RNEW import'!K167)</f>
        <v>Regularizare Tarife distributie en. El IT+MT</v>
      </c>
      <c r="E169" s="211">
        <f>IF(COUNTBLANK('RNEW import'!L167)=1,"",'RNEW import'!N167)</f>
        <v>0</v>
      </c>
      <c r="F169" s="211">
        <f>IF(COUNTBLANK('RNEW import'!M167)=1,"",'RNEW import'!O167/10000)</f>
        <v>0.11483</v>
      </c>
      <c r="G169" s="217">
        <f t="shared" si="69"/>
        <v>0</v>
      </c>
      <c r="H169" s="217">
        <f t="shared" si="62"/>
        <v>0</v>
      </c>
      <c r="I169" s="329">
        <f t="shared" si="70"/>
        <v>0</v>
      </c>
      <c r="J169" s="237" t="str">
        <f t="shared" si="57"/>
        <v/>
      </c>
      <c r="K169" s="238" t="str">
        <f t="shared" si="58"/>
        <v/>
      </c>
      <c r="L169" s="238" t="str">
        <f t="shared" si="59"/>
        <v/>
      </c>
      <c r="M169" s="238" t="str">
        <f t="shared" si="60"/>
        <v/>
      </c>
      <c r="N169" s="238" t="str">
        <f t="shared" si="61"/>
        <v/>
      </c>
      <c r="O169" s="232" t="str">
        <f t="shared" si="71"/>
        <v/>
      </c>
      <c r="P169" s="219" t="str">
        <f t="shared" si="63"/>
        <v/>
      </c>
      <c r="Q169" s="219" t="str">
        <f t="shared" si="64"/>
        <v/>
      </c>
      <c r="R169" s="219" t="str">
        <f t="shared" si="65"/>
        <v/>
      </c>
      <c r="S169" s="331" t="str">
        <f t="shared" si="66"/>
        <v/>
      </c>
      <c r="T169" s="331" t="str">
        <f t="shared" si="67"/>
        <v/>
      </c>
      <c r="U169" s="331" t="str">
        <f t="shared" si="68"/>
        <v/>
      </c>
    </row>
    <row r="170" spans="1:21" ht="15.95" customHeight="1">
      <c r="A170" s="211">
        <f>IF(COUNTBLANK('RNEW import'!B168)=1,"",'RNEW import'!B168)</f>
        <v>23</v>
      </c>
      <c r="B170" s="211" t="str">
        <f>IF(COUNTBLANK('RNEW import'!D168)=1,"",'RNEW import'!D168)</f>
        <v>Satu Mare Shopping City SRL</v>
      </c>
      <c r="C170" s="211" t="str">
        <f>IF(COUNTBLANK('RNEW import'!E168)=1,"",'RNEW import'!E168)</f>
        <v>RSMS</v>
      </c>
      <c r="D170" s="211" t="str">
        <f>IF(COUNTBLANK('RNEW import'!K168)=1,"",'RNEW import'!K168)</f>
        <v>Regularizare Tarife distributie en. El JT</v>
      </c>
      <c r="E170" s="211">
        <f>IF(COUNTBLANK('RNEW import'!L168)=1,"",'RNEW import'!N168)</f>
        <v>0</v>
      </c>
      <c r="F170" s="211">
        <f>IF(COUNTBLANK('RNEW import'!M168)=1,"",'RNEW import'!O168/10000)</f>
        <v>0.2361</v>
      </c>
      <c r="G170" s="217">
        <f t="shared" si="69"/>
        <v>0</v>
      </c>
      <c r="H170" s="217">
        <f t="shared" si="62"/>
        <v>0</v>
      </c>
      <c r="I170" s="329">
        <f t="shared" si="70"/>
        <v>0</v>
      </c>
      <c r="J170" s="237" t="str">
        <f t="shared" si="57"/>
        <v/>
      </c>
      <c r="K170" s="238" t="str">
        <f t="shared" si="58"/>
        <v/>
      </c>
      <c r="L170" s="238" t="str">
        <f t="shared" si="59"/>
        <v/>
      </c>
      <c r="M170" s="238" t="str">
        <f t="shared" si="60"/>
        <v/>
      </c>
      <c r="N170" s="238" t="str">
        <f t="shared" si="61"/>
        <v/>
      </c>
      <c r="O170" s="232" t="str">
        <f t="shared" si="71"/>
        <v/>
      </c>
      <c r="P170" s="219" t="str">
        <f t="shared" si="63"/>
        <v/>
      </c>
      <c r="Q170" s="219" t="str">
        <f t="shared" si="64"/>
        <v/>
      </c>
      <c r="R170" s="219" t="str">
        <f t="shared" si="65"/>
        <v/>
      </c>
      <c r="S170" s="331" t="str">
        <f t="shared" si="66"/>
        <v/>
      </c>
      <c r="T170" s="331" t="str">
        <f t="shared" si="67"/>
        <v/>
      </c>
      <c r="U170" s="331" t="str">
        <f t="shared" si="68"/>
        <v/>
      </c>
    </row>
    <row r="171" spans="1:21" ht="15.95" customHeight="1">
      <c r="A171" s="211">
        <f>IF(COUNTBLANK('RNEW import'!B169)=1,"",'RNEW import'!B169)</f>
        <v>24</v>
      </c>
      <c r="B171" s="211" t="str">
        <f>IF(COUNTBLANK('RNEW import'!D169)=1,"",'RNEW import'!D169)</f>
        <v>Satu Mare Shopping City SRL</v>
      </c>
      <c r="C171" s="211" t="str">
        <f>IF(COUNTBLANK('RNEW import'!E169)=1,"",'RNEW import'!E169)</f>
        <v>RSMS</v>
      </c>
      <c r="D171" s="211" t="str">
        <f>IF(COUNTBLANK('RNEW import'!K169)=1,"",'RNEW import'!K169)</f>
        <v xml:space="preserve">Regularizare Servicii Sistem </v>
      </c>
      <c r="E171" s="211">
        <f>IF(COUNTBLANK('RNEW import'!L169)=1,"",'RNEW import'!N169)</f>
        <v>0</v>
      </c>
      <c r="F171" s="211">
        <f>IF(COUNTBLANK('RNEW import'!M169)=1,"",'RNEW import'!O169/10000)</f>
        <v>1.1509999999999999E-2</v>
      </c>
      <c r="G171" s="217">
        <f t="shared" si="69"/>
        <v>0</v>
      </c>
      <c r="H171" s="217">
        <f t="shared" si="62"/>
        <v>0</v>
      </c>
      <c r="I171" s="329">
        <f t="shared" si="70"/>
        <v>0</v>
      </c>
      <c r="J171" s="237" t="str">
        <f t="shared" si="57"/>
        <v/>
      </c>
      <c r="K171" s="238" t="str">
        <f t="shared" si="58"/>
        <v/>
      </c>
      <c r="L171" s="238" t="str">
        <f t="shared" si="59"/>
        <v/>
      </c>
      <c r="M171" s="238" t="str">
        <f t="shared" si="60"/>
        <v/>
      </c>
      <c r="N171" s="238" t="str">
        <f t="shared" si="61"/>
        <v/>
      </c>
      <c r="O171" s="232" t="str">
        <f t="shared" si="71"/>
        <v/>
      </c>
      <c r="P171" s="219" t="str">
        <f t="shared" si="63"/>
        <v/>
      </c>
      <c r="Q171" s="219" t="str">
        <f t="shared" si="64"/>
        <v/>
      </c>
      <c r="R171" s="219" t="str">
        <f t="shared" si="65"/>
        <v/>
      </c>
      <c r="S171" s="331" t="str">
        <f t="shared" si="66"/>
        <v/>
      </c>
      <c r="T171" s="331" t="str">
        <f t="shared" si="67"/>
        <v/>
      </c>
      <c r="U171" s="331" t="str">
        <f t="shared" si="68"/>
        <v/>
      </c>
    </row>
    <row r="172" spans="1:21" ht="15.95" customHeight="1">
      <c r="A172" s="211">
        <f>IF(COUNTBLANK('RNEW import'!B170)=1,"",'RNEW import'!B170)</f>
        <v>25</v>
      </c>
      <c r="B172" s="211" t="str">
        <f>IF(COUNTBLANK('RNEW import'!D170)=1,"",'RNEW import'!D170)</f>
        <v>Satu Mare Shopping City SRL</v>
      </c>
      <c r="C172" s="211" t="str">
        <f>IF(COUNTBLANK('RNEW import'!E170)=1,"",'RNEW import'!E170)</f>
        <v>RSMS</v>
      </c>
      <c r="D172" s="211" t="str">
        <f>IF(COUNTBLANK('RNEW import'!K170)=1,"",'RNEW import'!K170)</f>
        <v>Regularizare Tarif de introducere en. el in retea (TL)</v>
      </c>
      <c r="E172" s="211">
        <f>IF(COUNTBLANK('RNEW import'!L170)=1,"",'RNEW import'!N170)</f>
        <v>0</v>
      </c>
      <c r="F172" s="211">
        <f>IF(COUNTBLANK('RNEW import'!M170)=1,"",'RNEW import'!O170/10000)</f>
        <v>3.3030000000000004E-2</v>
      </c>
      <c r="G172" s="217">
        <f t="shared" si="69"/>
        <v>0</v>
      </c>
      <c r="H172" s="217">
        <f t="shared" si="62"/>
        <v>0</v>
      </c>
      <c r="I172" s="329">
        <f t="shared" si="70"/>
        <v>0</v>
      </c>
      <c r="J172" s="237" t="str">
        <f t="shared" si="57"/>
        <v/>
      </c>
      <c r="K172" s="238" t="str">
        <f t="shared" si="58"/>
        <v/>
      </c>
      <c r="L172" s="238" t="str">
        <f t="shared" si="59"/>
        <v/>
      </c>
      <c r="M172" s="238" t="str">
        <f t="shared" si="60"/>
        <v/>
      </c>
      <c r="N172" s="238" t="str">
        <f t="shared" si="61"/>
        <v/>
      </c>
      <c r="O172" s="232" t="str">
        <f t="shared" si="71"/>
        <v/>
      </c>
      <c r="P172" s="219" t="str">
        <f t="shared" si="63"/>
        <v/>
      </c>
      <c r="Q172" s="219" t="str">
        <f t="shared" si="64"/>
        <v/>
      </c>
      <c r="R172" s="219" t="str">
        <f t="shared" si="65"/>
        <v/>
      </c>
      <c r="S172" s="331" t="str">
        <f t="shared" si="66"/>
        <v/>
      </c>
      <c r="T172" s="331" t="str">
        <f t="shared" si="67"/>
        <v/>
      </c>
      <c r="U172" s="331" t="str">
        <f t="shared" si="68"/>
        <v/>
      </c>
    </row>
    <row r="173" spans="1:21" ht="15.95" customHeight="1">
      <c r="A173" s="211">
        <f>IF(COUNTBLANK('RNEW import'!B171)=1,"",'RNEW import'!B171)</f>
        <v>26</v>
      </c>
      <c r="B173" s="211" t="str">
        <f>IF(COUNTBLANK('RNEW import'!D171)=1,"",'RNEW import'!D171)</f>
        <v>Satu Mare Shopping City SRL</v>
      </c>
      <c r="C173" s="211" t="str">
        <f>IF(COUNTBLANK('RNEW import'!E171)=1,"",'RNEW import'!E171)</f>
        <v>RSMS</v>
      </c>
      <c r="D173" s="211" t="str">
        <f>IF(COUNTBLANK('RNEW import'!K171)=1,"",'RNEW import'!K171)</f>
        <v>Regularizare Tarif de introducere en.el in retea (TG)</v>
      </c>
      <c r="E173" s="211">
        <f>IF(COUNTBLANK('RNEW import'!L171)=1,"",'RNEW import'!N171)</f>
        <v>0</v>
      </c>
      <c r="F173" s="211">
        <f>IF(COUNTBLANK('RNEW import'!M171)=1,"",'RNEW import'!O171/10000)</f>
        <v>3.29E-3</v>
      </c>
      <c r="G173" s="217">
        <f t="shared" si="69"/>
        <v>0</v>
      </c>
      <c r="H173" s="217">
        <f t="shared" si="62"/>
        <v>0</v>
      </c>
      <c r="I173" s="329">
        <f t="shared" si="70"/>
        <v>0</v>
      </c>
      <c r="J173" s="237" t="str">
        <f t="shared" si="57"/>
        <v/>
      </c>
      <c r="K173" s="238" t="str">
        <f t="shared" si="58"/>
        <v/>
      </c>
      <c r="L173" s="238" t="str">
        <f t="shared" si="59"/>
        <v/>
      </c>
      <c r="M173" s="238" t="str">
        <f t="shared" si="60"/>
        <v/>
      </c>
      <c r="N173" s="238" t="str">
        <f t="shared" si="61"/>
        <v/>
      </c>
      <c r="O173" s="233" t="str">
        <f t="shared" si="71"/>
        <v/>
      </c>
      <c r="P173" s="219" t="str">
        <f t="shared" si="63"/>
        <v/>
      </c>
      <c r="Q173" s="219" t="str">
        <f t="shared" si="64"/>
        <v/>
      </c>
      <c r="R173" s="219" t="str">
        <f t="shared" si="65"/>
        <v/>
      </c>
      <c r="S173" s="331" t="str">
        <f t="shared" si="66"/>
        <v/>
      </c>
      <c r="T173" s="331" t="str">
        <f t="shared" si="67"/>
        <v/>
      </c>
      <c r="U173" s="331" t="str">
        <f t="shared" si="68"/>
        <v/>
      </c>
    </row>
    <row r="174" spans="1:21" ht="15.95" customHeight="1">
      <c r="A174" s="211">
        <f>IF(COUNTBLANK('RNEW import'!B172)=1,"",'RNEW import'!B172)</f>
        <v>27</v>
      </c>
      <c r="B174" s="211" t="str">
        <f>IF(COUNTBLANK('RNEW import'!D172)=1,"",'RNEW import'!D172)</f>
        <v>Satu Mare Shopping City SRL</v>
      </c>
      <c r="C174" s="211" t="str">
        <f>IF(COUNTBLANK('RNEW import'!E172)=1,"",'RNEW import'!E172)</f>
        <v>RSMS</v>
      </c>
      <c r="D174" s="211" t="str">
        <f>IF(COUNTBLANK('RNEW import'!K172)=1,"",'RNEW import'!K172)</f>
        <v>Regularizare Contributie pentru cogenerare</v>
      </c>
      <c r="E174" s="211">
        <f>IF(COUNTBLANK('RNEW import'!L172)=1,"",'RNEW import'!N172)</f>
        <v>0</v>
      </c>
      <c r="F174" s="211">
        <f>IF(COUNTBLANK('RNEW import'!M172)=1,"",'RNEW import'!O172/10000)</f>
        <v>3.5000000000000001E-3</v>
      </c>
      <c r="G174" s="217">
        <f t="shared" si="69"/>
        <v>0</v>
      </c>
      <c r="H174" s="217">
        <f t="shared" si="62"/>
        <v>0</v>
      </c>
      <c r="I174" s="329">
        <f t="shared" si="70"/>
        <v>0</v>
      </c>
      <c r="J174" s="237" t="str">
        <f t="shared" si="57"/>
        <v/>
      </c>
      <c r="K174" s="238" t="str">
        <f t="shared" si="58"/>
        <v/>
      </c>
      <c r="L174" s="238" t="str">
        <f t="shared" si="59"/>
        <v/>
      </c>
      <c r="M174" s="238" t="str">
        <f t="shared" si="60"/>
        <v/>
      </c>
      <c r="N174" s="238" t="str">
        <f t="shared" si="61"/>
        <v/>
      </c>
      <c r="O174" s="218" t="str">
        <f t="shared" si="71"/>
        <v/>
      </c>
      <c r="P174" s="219" t="str">
        <f t="shared" si="63"/>
        <v/>
      </c>
      <c r="Q174" s="219" t="str">
        <f t="shared" si="64"/>
        <v/>
      </c>
      <c r="R174" s="219" t="str">
        <f t="shared" si="65"/>
        <v/>
      </c>
      <c r="S174" s="331" t="str">
        <f t="shared" si="66"/>
        <v/>
      </c>
      <c r="T174" s="331" t="str">
        <f t="shared" si="67"/>
        <v/>
      </c>
      <c r="U174" s="331" t="str">
        <f t="shared" si="68"/>
        <v/>
      </c>
    </row>
    <row r="175" spans="1:21" ht="15.95" customHeight="1">
      <c r="A175" s="211">
        <f>IF(COUNTBLANK('RNEW import'!B173)=1,"",'RNEW import'!B173)</f>
        <v>28</v>
      </c>
      <c r="B175" s="211" t="str">
        <f>IF(COUNTBLANK('RNEW import'!D173)=1,"",'RNEW import'!D173)</f>
        <v>Satu Mare Shopping City SRL</v>
      </c>
      <c r="C175" s="211" t="str">
        <f>IF(COUNTBLANK('RNEW import'!E173)=1,"",'RNEW import'!E173)</f>
        <v>RSMS</v>
      </c>
      <c r="D175" s="211" t="str">
        <f>IF(COUNTBLANK('RNEW import'!K173)=1,"",'RNEW import'!K173)</f>
        <v xml:space="preserve">Regularizare Certificate verzi </v>
      </c>
      <c r="E175" s="211">
        <f>IF(COUNTBLANK('RNEW import'!L173)=1,"",'RNEW import'!N173)</f>
        <v>0</v>
      </c>
      <c r="F175" s="211">
        <f>IF(COUNTBLANK('RNEW import'!M173)=1,"",'RNEW import'!O173/10000)</f>
        <v>7.2541599999999998E-2</v>
      </c>
      <c r="G175" s="217">
        <f t="shared" si="69"/>
        <v>0</v>
      </c>
      <c r="H175" s="217">
        <f t="shared" si="62"/>
        <v>0</v>
      </c>
      <c r="I175" s="329">
        <f t="shared" si="70"/>
        <v>0</v>
      </c>
      <c r="J175" s="237" t="str">
        <f t="shared" si="57"/>
        <v/>
      </c>
      <c r="K175" s="238" t="str">
        <f t="shared" si="58"/>
        <v/>
      </c>
      <c r="L175" s="238" t="str">
        <f t="shared" si="59"/>
        <v/>
      </c>
      <c r="M175" s="238" t="str">
        <f t="shared" si="60"/>
        <v/>
      </c>
      <c r="N175" s="238" t="str">
        <f t="shared" si="61"/>
        <v/>
      </c>
      <c r="O175" s="232" t="str">
        <f t="shared" si="71"/>
        <v/>
      </c>
      <c r="P175" s="219" t="str">
        <f t="shared" si="63"/>
        <v/>
      </c>
      <c r="Q175" s="219" t="str">
        <f t="shared" si="64"/>
        <v/>
      </c>
      <c r="R175" s="219" t="str">
        <f t="shared" si="65"/>
        <v/>
      </c>
      <c r="S175" s="331" t="str">
        <f t="shared" si="66"/>
        <v/>
      </c>
      <c r="T175" s="331" t="str">
        <f t="shared" si="67"/>
        <v/>
      </c>
      <c r="U175" s="331" t="str">
        <f t="shared" si="68"/>
        <v/>
      </c>
    </row>
    <row r="176" spans="1:21" ht="15.95" customHeight="1">
      <c r="A176" s="211">
        <f>IF(COUNTBLANK('RNEW import'!B174)=1,"",'RNEW import'!B174)</f>
        <v>29</v>
      </c>
      <c r="B176" s="211" t="str">
        <f>IF(COUNTBLANK('RNEW import'!D174)=1,"",'RNEW import'!D174)</f>
        <v>Satu Mare Shopping City SRL</v>
      </c>
      <c r="C176" s="211" t="str">
        <f>IF(COUNTBLANK('RNEW import'!E174)=1,"",'RNEW import'!E174)</f>
        <v>RSMS</v>
      </c>
      <c r="D176" s="211" t="str">
        <f>IF(COUNTBLANK('RNEW import'!K174)=1,"",'RNEW import'!K174)</f>
        <v>Regularizare Contributie CFD</v>
      </c>
      <c r="E176" s="211">
        <f>IF(COUNTBLANK('RNEW import'!L174)=1,"",'RNEW import'!N174)</f>
        <v>0</v>
      </c>
      <c r="F176" s="211">
        <f>IF(COUNTBLANK('RNEW import'!M174)=1,"",'RNEW import'!O174/10000)</f>
        <v>2.0599999999999999E-4</v>
      </c>
      <c r="G176" s="217">
        <f t="shared" si="69"/>
        <v>0</v>
      </c>
      <c r="H176" s="217">
        <f t="shared" si="62"/>
        <v>0</v>
      </c>
      <c r="I176" s="329">
        <f t="shared" si="70"/>
        <v>0</v>
      </c>
      <c r="J176" s="237" t="str">
        <f t="shared" si="57"/>
        <v/>
      </c>
      <c r="K176" s="238" t="str">
        <f t="shared" si="58"/>
        <v/>
      </c>
      <c r="L176" s="238" t="str">
        <f t="shared" si="59"/>
        <v/>
      </c>
      <c r="M176" s="238" t="str">
        <f t="shared" si="60"/>
        <v/>
      </c>
      <c r="N176" s="238" t="str">
        <f t="shared" si="61"/>
        <v/>
      </c>
      <c r="O176" s="232" t="str">
        <f t="shared" si="71"/>
        <v/>
      </c>
      <c r="P176" s="219" t="str">
        <f t="shared" si="63"/>
        <v/>
      </c>
      <c r="Q176" s="219" t="str">
        <f t="shared" si="64"/>
        <v/>
      </c>
      <c r="R176" s="219" t="str">
        <f t="shared" si="65"/>
        <v/>
      </c>
      <c r="S176" s="331" t="str">
        <f t="shared" si="66"/>
        <v/>
      </c>
      <c r="T176" s="331" t="str">
        <f t="shared" si="67"/>
        <v/>
      </c>
      <c r="U176" s="331" t="str">
        <f t="shared" si="68"/>
        <v/>
      </c>
    </row>
    <row r="177" spans="1:21" ht="15.95" customHeight="1">
      <c r="A177" s="211">
        <f>IF(COUNTBLANK('RNEW import'!B175)=1,"",'RNEW import'!B175)</f>
        <v>30</v>
      </c>
      <c r="B177" s="211" t="str">
        <f>IF(COUNTBLANK('RNEW import'!D175)=1,"",'RNEW import'!D175)</f>
        <v>Satu Mare Shopping City SRL</v>
      </c>
      <c r="C177" s="211" t="str">
        <f>IF(COUNTBLANK('RNEW import'!E175)=1,"",'RNEW import'!E175)</f>
        <v>RSMS</v>
      </c>
      <c r="D177" s="211" t="str">
        <f>IF(COUNTBLANK('RNEW import'!K175)=1,"",'RNEW import'!K175)</f>
        <v>Regularizare Acciza</v>
      </c>
      <c r="E177" s="211">
        <f>IF(COUNTBLANK('RNEW import'!L175)=1,"",'RNEW import'!N175)</f>
        <v>0</v>
      </c>
      <c r="F177" s="211">
        <f>IF(COUNTBLANK('RNEW import'!M175)=1,"",'RNEW import'!O175/10000)</f>
        <v>0</v>
      </c>
      <c r="G177" s="217">
        <f t="shared" si="69"/>
        <v>0</v>
      </c>
      <c r="H177" s="217">
        <f t="shared" si="62"/>
        <v>0</v>
      </c>
      <c r="I177" s="329">
        <f t="shared" si="70"/>
        <v>0</v>
      </c>
      <c r="J177" s="237" t="str">
        <f t="shared" si="57"/>
        <v/>
      </c>
      <c r="K177" s="238" t="str">
        <f t="shared" si="58"/>
        <v/>
      </c>
      <c r="L177" s="238" t="str">
        <f t="shared" si="59"/>
        <v/>
      </c>
      <c r="M177" s="238" t="str">
        <f t="shared" si="60"/>
        <v/>
      </c>
      <c r="N177" s="238" t="str">
        <f t="shared" si="61"/>
        <v/>
      </c>
      <c r="O177" s="232" t="str">
        <f t="shared" si="71"/>
        <v/>
      </c>
      <c r="P177" s="219" t="str">
        <f t="shared" si="63"/>
        <v/>
      </c>
      <c r="Q177" s="219" t="str">
        <f t="shared" si="64"/>
        <v/>
      </c>
      <c r="R177" s="219" t="str">
        <f t="shared" si="65"/>
        <v/>
      </c>
      <c r="S177" s="331" t="str">
        <f t="shared" si="66"/>
        <v/>
      </c>
      <c r="T177" s="331" t="str">
        <f t="shared" si="67"/>
        <v/>
      </c>
      <c r="U177" s="331" t="str">
        <f t="shared" si="68"/>
        <v/>
      </c>
    </row>
    <row r="178" spans="1:21" ht="15.95" customHeight="1">
      <c r="A178" s="211">
        <f>IF(COUNTBLANK('RNEW import'!B176)=1,"",'RNEW import'!B176)</f>
        <v>31</v>
      </c>
      <c r="B178" s="211" t="str">
        <f>IF(COUNTBLANK('RNEW import'!D176)=1,"",'RNEW import'!D176)</f>
        <v>Satu Mare Shopping City SRL</v>
      </c>
      <c r="C178" s="211" t="str">
        <f>IF(COUNTBLANK('RNEW import'!E176)=1,"",'RNEW import'!E176)</f>
        <v>RSMS</v>
      </c>
      <c r="D178" s="211" t="str">
        <f>IF(COUNTBLANK('RNEW import'!K176)=1,"",'RNEW import'!K176)</f>
        <v>Regularizare Tarif distributie SDI MT Ea1</v>
      </c>
      <c r="E178" s="211">
        <f>IF(COUNTBLANK('RNEW import'!L176)=1,"",'RNEW import'!N176)</f>
        <v>0</v>
      </c>
      <c r="F178" s="211">
        <f>IF(COUNTBLANK('RNEW import'!M176)=1,"",'RNEW import'!O176/10000)</f>
        <v>1.49E-2</v>
      </c>
      <c r="G178" s="217">
        <f t="shared" si="69"/>
        <v>0</v>
      </c>
      <c r="H178" s="217">
        <f t="shared" si="62"/>
        <v>0</v>
      </c>
      <c r="I178" s="329">
        <f t="shared" si="70"/>
        <v>0</v>
      </c>
      <c r="J178" s="237" t="str">
        <f t="shared" si="57"/>
        <v/>
      </c>
      <c r="K178" s="238" t="str">
        <f t="shared" si="58"/>
        <v/>
      </c>
      <c r="L178" s="238" t="str">
        <f t="shared" si="59"/>
        <v/>
      </c>
      <c r="M178" s="238" t="str">
        <f t="shared" si="60"/>
        <v/>
      </c>
      <c r="N178" s="238" t="str">
        <f t="shared" si="61"/>
        <v/>
      </c>
      <c r="O178" s="232" t="str">
        <f t="shared" si="71"/>
        <v/>
      </c>
      <c r="P178" s="219" t="str">
        <f t="shared" si="63"/>
        <v/>
      </c>
      <c r="Q178" s="219" t="str">
        <f t="shared" si="64"/>
        <v/>
      </c>
      <c r="R178" s="219" t="str">
        <f t="shared" si="65"/>
        <v/>
      </c>
      <c r="S178" s="331" t="str">
        <f t="shared" si="66"/>
        <v/>
      </c>
      <c r="T178" s="331" t="str">
        <f t="shared" si="67"/>
        <v/>
      </c>
      <c r="U178" s="331" t="str">
        <f t="shared" si="68"/>
        <v/>
      </c>
    </row>
    <row r="179" spans="1:21" ht="15.95" customHeight="1">
      <c r="A179" s="211">
        <f>IF(COUNTBLANK('RNEW import'!B177)=1,"",'RNEW import'!B177)</f>
        <v>32</v>
      </c>
      <c r="B179" s="211" t="str">
        <f>IF(COUNTBLANK('RNEW import'!D177)=1,"",'RNEW import'!D177)</f>
        <v>Satu Mare Shopping City SRL</v>
      </c>
      <c r="C179" s="211" t="str">
        <f>IF(COUNTBLANK('RNEW import'!E177)=1,"",'RNEW import'!E177)</f>
        <v>RSMS</v>
      </c>
      <c r="D179" s="211" t="str">
        <f>IF(COUNTBLANK('RNEW import'!K177)=1,"",'RNEW import'!K177)</f>
        <v>Regularizare Tarif distributie SDI JT Ea1</v>
      </c>
      <c r="E179" s="211">
        <f>IF(COUNTBLANK('RNEW import'!L177)=1,"",'RNEW import'!N177)</f>
        <v>0</v>
      </c>
      <c r="F179" s="211">
        <f>IF(COUNTBLANK('RNEW import'!M177)=1,"",'RNEW import'!O177/10000)</f>
        <v>9.5000000000000001E-2</v>
      </c>
      <c r="G179" s="217">
        <f t="shared" si="69"/>
        <v>0</v>
      </c>
      <c r="H179" s="217">
        <f t="shared" si="62"/>
        <v>0</v>
      </c>
      <c r="I179" s="329">
        <f t="shared" si="70"/>
        <v>0</v>
      </c>
      <c r="J179" s="237" t="str">
        <f t="shared" si="57"/>
        <v/>
      </c>
      <c r="K179" s="238" t="str">
        <f t="shared" si="58"/>
        <v/>
      </c>
      <c r="L179" s="238" t="str">
        <f t="shared" si="59"/>
        <v/>
      </c>
      <c r="M179" s="238" t="str">
        <f t="shared" si="60"/>
        <v/>
      </c>
      <c r="N179" s="238" t="str">
        <f t="shared" si="61"/>
        <v/>
      </c>
      <c r="O179" s="232" t="str">
        <f t="shared" si="71"/>
        <v/>
      </c>
      <c r="P179" s="219" t="str">
        <f t="shared" si="63"/>
        <v/>
      </c>
      <c r="Q179" s="219" t="str">
        <f t="shared" si="64"/>
        <v/>
      </c>
      <c r="R179" s="219" t="str">
        <f t="shared" si="65"/>
        <v/>
      </c>
      <c r="S179" s="331" t="str">
        <f t="shared" si="66"/>
        <v/>
      </c>
      <c r="T179" s="331" t="str">
        <f t="shared" si="67"/>
        <v/>
      </c>
      <c r="U179" s="331" t="str">
        <f t="shared" si="68"/>
        <v/>
      </c>
    </row>
    <row r="180" spans="1:21" ht="15.95" customHeight="1">
      <c r="A180" s="211">
        <f>IF(COUNTBLANK('RNEW import'!B178)=1,"",'RNEW import'!B178)</f>
        <v>33</v>
      </c>
      <c r="B180" s="211" t="str">
        <f>IF(COUNTBLANK('RNEW import'!D178)=1,"",'RNEW import'!D178)</f>
        <v>Satu Mare Shopping City SRL</v>
      </c>
      <c r="C180" s="211" t="str">
        <f>IF(COUNTBLANK('RNEW import'!E178)=1,"",'RNEW import'!E178)</f>
        <v>RSMS</v>
      </c>
      <c r="D180" s="211" t="str">
        <f>IF(COUNTBLANK('RNEW import'!K178)=1,"",'RNEW import'!K178)</f>
        <v>Regularizare Energie activa 2</v>
      </c>
      <c r="E180" s="211">
        <f>IF(COUNTBLANK('RNEW import'!L178)=1,"",'RNEW import'!N178)</f>
        <v>0</v>
      </c>
      <c r="F180" s="211">
        <f>IF(COUNTBLANK('RNEW import'!M178)=1,"",'RNEW import'!O178/10000)</f>
        <v>0.94380760000000008</v>
      </c>
      <c r="G180" s="217">
        <f t="shared" si="69"/>
        <v>0</v>
      </c>
      <c r="H180" s="217">
        <f t="shared" si="62"/>
        <v>0</v>
      </c>
      <c r="I180" s="329">
        <f t="shared" si="70"/>
        <v>0</v>
      </c>
      <c r="J180" s="237" t="str">
        <f t="shared" si="57"/>
        <v/>
      </c>
      <c r="K180" s="238" t="str">
        <f t="shared" si="58"/>
        <v/>
      </c>
      <c r="L180" s="238" t="str">
        <f t="shared" si="59"/>
        <v/>
      </c>
      <c r="M180" s="238" t="str">
        <f t="shared" si="60"/>
        <v/>
      </c>
      <c r="N180" s="238" t="str">
        <f t="shared" si="61"/>
        <v/>
      </c>
      <c r="O180" s="232" t="str">
        <f t="shared" si="71"/>
        <v/>
      </c>
      <c r="P180" s="219" t="str">
        <f t="shared" si="63"/>
        <v/>
      </c>
      <c r="Q180" s="219" t="str">
        <f t="shared" si="64"/>
        <v/>
      </c>
      <c r="R180" s="219" t="str">
        <f t="shared" si="65"/>
        <v/>
      </c>
      <c r="S180" s="331" t="str">
        <f t="shared" si="66"/>
        <v/>
      </c>
      <c r="T180" s="331" t="str">
        <f t="shared" si="67"/>
        <v/>
      </c>
      <c r="U180" s="331" t="str">
        <f t="shared" si="68"/>
        <v/>
      </c>
    </row>
    <row r="181" spans="1:21" ht="15.95" customHeight="1">
      <c r="A181" s="211">
        <f>IF(COUNTBLANK('RNEW import'!B179)=1,"",'RNEW import'!B179)</f>
        <v>34</v>
      </c>
      <c r="B181" s="211" t="str">
        <f>IF(COUNTBLANK('RNEW import'!D179)=1,"",'RNEW import'!D179)</f>
        <v>Satu Mare Shopping City SRL</v>
      </c>
      <c r="C181" s="211" t="str">
        <f>IF(COUNTBLANK('RNEW import'!E179)=1,"",'RNEW import'!E179)</f>
        <v>RSMS</v>
      </c>
      <c r="D181" s="211" t="str">
        <f>IF(COUNTBLANK('RNEW import'!K179)=1,"",'RNEW import'!K179)</f>
        <v>Regularizare Energie activa 3</v>
      </c>
      <c r="E181" s="211">
        <f>IF(COUNTBLANK('RNEW import'!L179)=1,"",'RNEW import'!N179)</f>
        <v>0</v>
      </c>
      <c r="F181" s="211">
        <f>IF(COUNTBLANK('RNEW import'!M179)=1,"",'RNEW import'!O179/10000)</f>
        <v>0.83390760000000008</v>
      </c>
      <c r="G181" s="217">
        <f t="shared" si="69"/>
        <v>0</v>
      </c>
      <c r="H181" s="217">
        <f t="shared" si="62"/>
        <v>0</v>
      </c>
      <c r="I181" s="329">
        <f t="shared" si="70"/>
        <v>0</v>
      </c>
      <c r="J181" s="237" t="str">
        <f t="shared" si="57"/>
        <v/>
      </c>
      <c r="K181" s="238" t="str">
        <f t="shared" si="58"/>
        <v/>
      </c>
      <c r="L181" s="238" t="str">
        <f t="shared" si="59"/>
        <v/>
      </c>
      <c r="M181" s="238" t="str">
        <f t="shared" si="60"/>
        <v/>
      </c>
      <c r="N181" s="238" t="str">
        <f t="shared" si="61"/>
        <v/>
      </c>
      <c r="O181" s="232" t="str">
        <f t="shared" si="71"/>
        <v/>
      </c>
      <c r="P181" s="219" t="str">
        <f t="shared" si="63"/>
        <v/>
      </c>
      <c r="Q181" s="219" t="str">
        <f t="shared" si="64"/>
        <v/>
      </c>
      <c r="R181" s="219" t="str">
        <f t="shared" si="65"/>
        <v/>
      </c>
      <c r="S181" s="331" t="str">
        <f t="shared" si="66"/>
        <v/>
      </c>
      <c r="T181" s="331" t="str">
        <f t="shared" si="67"/>
        <v/>
      </c>
      <c r="U181" s="331" t="str">
        <f t="shared" si="68"/>
        <v/>
      </c>
    </row>
    <row r="182" spans="1:21" ht="15.95" customHeight="1">
      <c r="A182" s="211">
        <f>IF(COUNTBLANK('RNEW import'!B180)=1,"",'RNEW import'!B180)</f>
        <v>35</v>
      </c>
      <c r="B182" s="211" t="str">
        <f>IF(COUNTBLANK('RNEW import'!D180)=1,"",'RNEW import'!D180)</f>
        <v>Satu Mare Shopping City SRL</v>
      </c>
      <c r="C182" s="211" t="str">
        <f>IF(COUNTBLANK('RNEW import'!E180)=1,"",'RNEW import'!E180)</f>
        <v>RSMS</v>
      </c>
      <c r="D182" s="211" t="str">
        <f>IF(COUNTBLANK('RNEW import'!K180)=1,"",'RNEW import'!K180)</f>
        <v>Regularizare Tarif distributie SDI MT Ea3</v>
      </c>
      <c r="E182" s="211">
        <f>IF(COUNTBLANK('RNEW import'!L180)=1,"",'RNEW import'!N180)</f>
        <v>0</v>
      </c>
      <c r="F182" s="211">
        <f>IF(COUNTBLANK('RNEW import'!M180)=1,"",'RNEW import'!O180/10000)</f>
        <v>1.49E-2</v>
      </c>
      <c r="G182" s="217">
        <f t="shared" si="69"/>
        <v>0</v>
      </c>
      <c r="H182" s="217">
        <f t="shared" si="62"/>
        <v>0</v>
      </c>
      <c r="I182" s="329">
        <f t="shared" si="70"/>
        <v>0</v>
      </c>
      <c r="J182" s="237" t="str">
        <f t="shared" si="57"/>
        <v/>
      </c>
      <c r="K182" s="238" t="str">
        <f t="shared" si="58"/>
        <v/>
      </c>
      <c r="L182" s="238" t="str">
        <f t="shared" si="59"/>
        <v/>
      </c>
      <c r="M182" s="238" t="str">
        <f t="shared" si="60"/>
        <v/>
      </c>
      <c r="N182" s="238" t="str">
        <f t="shared" si="61"/>
        <v/>
      </c>
      <c r="O182" s="232" t="str">
        <f t="shared" si="71"/>
        <v/>
      </c>
      <c r="P182" s="219" t="str">
        <f t="shared" si="63"/>
        <v/>
      </c>
      <c r="Q182" s="219" t="str">
        <f t="shared" si="64"/>
        <v/>
      </c>
      <c r="R182" s="219" t="str">
        <f t="shared" si="65"/>
        <v/>
      </c>
      <c r="S182" s="331" t="str">
        <f t="shared" si="66"/>
        <v/>
      </c>
      <c r="T182" s="331" t="str">
        <f t="shared" si="67"/>
        <v/>
      </c>
      <c r="U182" s="331" t="str">
        <f t="shared" si="68"/>
        <v/>
      </c>
    </row>
    <row r="183" spans="1:21" ht="15.95" customHeight="1">
      <c r="A183" s="211">
        <f>IF(COUNTBLANK('RNEW import'!B181)=1,"",'RNEW import'!B181)</f>
        <v>36</v>
      </c>
      <c r="B183" s="211" t="str">
        <f>IF(COUNTBLANK('RNEW import'!D181)=1,"",'RNEW import'!D181)</f>
        <v>Satu Mare Shopping City SRL</v>
      </c>
      <c r="C183" s="211" t="str">
        <f>IF(COUNTBLANK('RNEW import'!E181)=1,"",'RNEW import'!E181)</f>
        <v>RSMS</v>
      </c>
      <c r="D183" s="211" t="str">
        <f>IF(COUNTBLANK('RNEW import'!K181)=1,"",'RNEW import'!K181)</f>
        <v>Regularizare Tarif distributie SDI JT Ea3</v>
      </c>
      <c r="E183" s="211">
        <f>IF(COUNTBLANK('RNEW import'!L181)=1,"",'RNEW import'!N181)</f>
        <v>0</v>
      </c>
      <c r="F183" s="211">
        <f>IF(COUNTBLANK('RNEW import'!M181)=1,"",'RNEW import'!O181/10000)</f>
        <v>9.5000000000000001E-2</v>
      </c>
      <c r="G183" s="217">
        <f t="shared" si="69"/>
        <v>0</v>
      </c>
      <c r="H183" s="217">
        <f t="shared" si="62"/>
        <v>0</v>
      </c>
      <c r="I183" s="329">
        <f t="shared" si="70"/>
        <v>0</v>
      </c>
      <c r="J183" s="237" t="str">
        <f t="shared" si="57"/>
        <v/>
      </c>
      <c r="K183" s="238" t="str">
        <f t="shared" si="58"/>
        <v/>
      </c>
      <c r="L183" s="238" t="str">
        <f t="shared" si="59"/>
        <v/>
      </c>
      <c r="M183" s="238" t="str">
        <f t="shared" si="60"/>
        <v/>
      </c>
      <c r="N183" s="238" t="str">
        <f t="shared" si="61"/>
        <v/>
      </c>
      <c r="O183" s="232" t="str">
        <f t="shared" si="71"/>
        <v/>
      </c>
      <c r="P183" s="219" t="str">
        <f t="shared" si="63"/>
        <v>Energie consumata din PV regularizare</v>
      </c>
      <c r="Q183" s="219">
        <f t="shared" si="64"/>
        <v>0</v>
      </c>
      <c r="R183" s="219">
        <f t="shared" si="65"/>
        <v>0</v>
      </c>
      <c r="S183" s="331">
        <f t="shared" si="66"/>
        <v>0</v>
      </c>
      <c r="T183" s="331">
        <f t="shared" si="67"/>
        <v>0</v>
      </c>
      <c r="U183" s="331">
        <f t="shared" si="68"/>
        <v>0</v>
      </c>
    </row>
    <row r="184" spans="1:21" ht="15.95" customHeight="1">
      <c r="A184" s="211">
        <f>IF(COUNTBLANK('RNEW import'!B182)=1,"",'RNEW import'!B182)</f>
        <v>1</v>
      </c>
      <c r="B184" s="211" t="str">
        <f>IF(COUNTBLANK('RNEW import'!D182)=1,"",'RNEW import'!D182)</f>
        <v>Deva Shopping City SRL</v>
      </c>
      <c r="C184" s="211" t="str">
        <f>IF(COUNTBLANK('RNEW import'!E182)=1,"",'RNEW import'!E182)</f>
        <v>RDSC</v>
      </c>
      <c r="D184" s="211" t="str">
        <f>IF(COUNTBLANK('RNEW import'!K182)=1,"",'RNEW import'!K182)</f>
        <v>Energie activa 1</v>
      </c>
      <c r="E184" s="211">
        <f>IF(COUNTBLANK('RNEW import'!L182)=1,"",'RNEW import'!N182)</f>
        <v>440919</v>
      </c>
      <c r="F184" s="211">
        <f>IF(COUNTBLANK('RNEW import'!M182)=1,"",'RNEW import'!O182/10000)</f>
        <v>0.59499999999999997</v>
      </c>
      <c r="G184" s="217">
        <f t="shared" si="69"/>
        <v>262346.81</v>
      </c>
      <c r="H184" s="217">
        <f t="shared" si="62"/>
        <v>49845.89</v>
      </c>
      <c r="I184" s="329">
        <f t="shared" si="70"/>
        <v>312192.7</v>
      </c>
      <c r="J184" s="237" t="str">
        <f t="shared" si="57"/>
        <v>Deva Shopping City SRL</v>
      </c>
      <c r="K184" s="238">
        <f t="shared" si="58"/>
        <v>47178.36</v>
      </c>
      <c r="L184" s="238">
        <f t="shared" si="59"/>
        <v>356746.60999999993</v>
      </c>
      <c r="M184" s="238">
        <f t="shared" si="60"/>
        <v>235447.37000000002</v>
      </c>
      <c r="N184" s="238">
        <f t="shared" si="61"/>
        <v>497662</v>
      </c>
      <c r="O184" s="232" t="str">
        <f t="shared" si="71"/>
        <v>Deva Shopping City SRL</v>
      </c>
      <c r="P184" s="219" t="str">
        <f t="shared" si="63"/>
        <v>Enegie activa</v>
      </c>
      <c r="Q184" s="219">
        <f t="shared" si="64"/>
        <v>440919</v>
      </c>
      <c r="R184" s="219">
        <f t="shared" si="65"/>
        <v>0.90005800000000002</v>
      </c>
      <c r="S184" s="331">
        <f t="shared" si="66"/>
        <v>396852.5</v>
      </c>
      <c r="T184" s="331">
        <f t="shared" si="67"/>
        <v>75401.98</v>
      </c>
      <c r="U184" s="331">
        <f t="shared" si="68"/>
        <v>472254.48</v>
      </c>
    </row>
    <row r="185" spans="1:21" ht="15.95" customHeight="1">
      <c r="A185" s="211">
        <f>IF(COUNTBLANK('RNEW import'!B183)=1,"",'RNEW import'!B183)</f>
        <v>2</v>
      </c>
      <c r="B185" s="211" t="str">
        <f>IF(COUNTBLANK('RNEW import'!D183)=1,"",'RNEW import'!D183)</f>
        <v>Deva Shopping City SRL</v>
      </c>
      <c r="C185" s="211" t="str">
        <f>IF(COUNTBLANK('RNEW import'!E183)=1,"",'RNEW import'!E183)</f>
        <v>RDSC</v>
      </c>
      <c r="D185" s="211" t="str">
        <f>IF(COUNTBLANK('RNEW import'!K183)=1,"",'RNEW import'!K183)</f>
        <v>Energie reactiva  1X</v>
      </c>
      <c r="E185" s="211">
        <f>IF(COUNTBLANK('RNEW import'!L183)=1,"",'RNEW import'!N183)</f>
        <v>0</v>
      </c>
      <c r="F185" s="211">
        <f>IF(COUNTBLANK('RNEW import'!M183)=1,"",'RNEW import'!O183/10000)</f>
        <v>0.14660000000000001</v>
      </c>
      <c r="G185" s="217">
        <f t="shared" si="69"/>
        <v>0</v>
      </c>
      <c r="H185" s="217">
        <f t="shared" si="62"/>
        <v>0</v>
      </c>
      <c r="I185" s="329">
        <f t="shared" si="70"/>
        <v>0</v>
      </c>
      <c r="J185" s="237" t="str">
        <f t="shared" si="57"/>
        <v/>
      </c>
      <c r="K185" s="238" t="str">
        <f t="shared" si="58"/>
        <v/>
      </c>
      <c r="L185" s="238" t="str">
        <f t="shared" si="59"/>
        <v/>
      </c>
      <c r="M185" s="238" t="str">
        <f t="shared" si="60"/>
        <v/>
      </c>
      <c r="N185" s="238" t="str">
        <f t="shared" si="61"/>
        <v/>
      </c>
      <c r="O185" s="232" t="str">
        <f t="shared" si="71"/>
        <v/>
      </c>
      <c r="P185" s="219" t="str">
        <f t="shared" si="63"/>
        <v>Energie reactiva 1x</v>
      </c>
      <c r="Q185" s="219">
        <f t="shared" si="64"/>
        <v>0</v>
      </c>
      <c r="R185" s="219">
        <f t="shared" si="65"/>
        <v>0.14660000000000001</v>
      </c>
      <c r="S185" s="331">
        <f t="shared" si="66"/>
        <v>0</v>
      </c>
      <c r="T185" s="331">
        <f t="shared" si="67"/>
        <v>0</v>
      </c>
      <c r="U185" s="331">
        <f t="shared" si="68"/>
        <v>0</v>
      </c>
    </row>
    <row r="186" spans="1:21" ht="15.95" customHeight="1">
      <c r="A186" s="211">
        <f>IF(COUNTBLANK('RNEW import'!B184)=1,"",'RNEW import'!B184)</f>
        <v>3</v>
      </c>
      <c r="B186" s="211" t="str">
        <f>IF(COUNTBLANK('RNEW import'!D184)=1,"",'RNEW import'!D184)</f>
        <v>Deva Shopping City SRL</v>
      </c>
      <c r="C186" s="211" t="str">
        <f>IF(COUNTBLANK('RNEW import'!E184)=1,"",'RNEW import'!E184)</f>
        <v>RDSC</v>
      </c>
      <c r="D186" s="211" t="str">
        <f>IF(COUNTBLANK('RNEW import'!K184)=1,"",'RNEW import'!K184)</f>
        <v>Energie reactiva  3X</v>
      </c>
      <c r="E186" s="211">
        <f>IF(COUNTBLANK('RNEW import'!L184)=1,"",'RNEW import'!N184)</f>
        <v>0</v>
      </c>
      <c r="F186" s="211">
        <f>IF(COUNTBLANK('RNEW import'!M184)=1,"",'RNEW import'!O184/10000)</f>
        <v>0.43980000000000002</v>
      </c>
      <c r="G186" s="217">
        <f t="shared" si="69"/>
        <v>0</v>
      </c>
      <c r="H186" s="217">
        <f t="shared" si="62"/>
        <v>0</v>
      </c>
      <c r="I186" s="329">
        <f t="shared" si="70"/>
        <v>0</v>
      </c>
      <c r="J186" s="237" t="str">
        <f t="shared" si="57"/>
        <v/>
      </c>
      <c r="K186" s="238" t="str">
        <f t="shared" si="58"/>
        <v/>
      </c>
      <c r="L186" s="238" t="str">
        <f t="shared" si="59"/>
        <v/>
      </c>
      <c r="M186" s="238" t="str">
        <f t="shared" si="60"/>
        <v/>
      </c>
      <c r="N186" s="238" t="str">
        <f t="shared" si="61"/>
        <v/>
      </c>
      <c r="O186" s="232" t="str">
        <f t="shared" si="71"/>
        <v/>
      </c>
      <c r="P186" s="219" t="str">
        <f t="shared" si="63"/>
        <v>Energie reactiva 3x</v>
      </c>
      <c r="Q186" s="219">
        <f t="shared" si="64"/>
        <v>0</v>
      </c>
      <c r="R186" s="219">
        <f t="shared" si="65"/>
        <v>0.43980000000000002</v>
      </c>
      <c r="S186" s="331">
        <f t="shared" si="66"/>
        <v>0</v>
      </c>
      <c r="T186" s="331">
        <f t="shared" si="67"/>
        <v>0</v>
      </c>
      <c r="U186" s="331">
        <f t="shared" si="68"/>
        <v>0</v>
      </c>
    </row>
    <row r="187" spans="1:21" ht="15.95" customHeight="1">
      <c r="A187" s="211">
        <f>IF(COUNTBLANK('RNEW import'!B185)=1,"",'RNEW import'!B185)</f>
        <v>4</v>
      </c>
      <c r="B187" s="211" t="str">
        <f>IF(COUNTBLANK('RNEW import'!D185)=1,"",'RNEW import'!D185)</f>
        <v>Deva Shopping City SRL</v>
      </c>
      <c r="C187" s="211" t="str">
        <f>IF(COUNTBLANK('RNEW import'!E185)=1,"",'RNEW import'!E185)</f>
        <v>RDSC</v>
      </c>
      <c r="D187" s="211" t="str">
        <f>IF(COUNTBLANK('RNEW import'!K185)=1,"",'RNEW import'!K185)</f>
        <v>Tarife distributie en. El IT+MT</v>
      </c>
      <c r="E187" s="211">
        <f>IF(COUNTBLANK('RNEW import'!L185)=1,"",'RNEW import'!N185)</f>
        <v>440919</v>
      </c>
      <c r="F187" s="211">
        <f>IF(COUNTBLANK('RNEW import'!M185)=1,"",'RNEW import'!O185/10000)</f>
        <v>8.6180000000000007E-2</v>
      </c>
      <c r="G187" s="217">
        <f t="shared" si="69"/>
        <v>37998.400000000001</v>
      </c>
      <c r="H187" s="217">
        <f t="shared" si="62"/>
        <v>7219.7</v>
      </c>
      <c r="I187" s="329">
        <f t="shared" si="70"/>
        <v>45218.1</v>
      </c>
      <c r="J187" s="237" t="str">
        <f t="shared" si="57"/>
        <v/>
      </c>
      <c r="K187" s="238" t="str">
        <f t="shared" si="58"/>
        <v/>
      </c>
      <c r="L187" s="238" t="str">
        <f t="shared" si="59"/>
        <v/>
      </c>
      <c r="M187" s="238" t="str">
        <f t="shared" si="60"/>
        <v/>
      </c>
      <c r="N187" s="238" t="str">
        <f t="shared" si="61"/>
        <v/>
      </c>
      <c r="O187" s="232" t="str">
        <f t="shared" si="71"/>
        <v/>
      </c>
      <c r="P187" s="219" t="str">
        <f t="shared" si="63"/>
        <v/>
      </c>
      <c r="Q187" s="219" t="str">
        <f t="shared" si="64"/>
        <v/>
      </c>
      <c r="R187" s="219" t="str">
        <f t="shared" si="65"/>
        <v/>
      </c>
      <c r="S187" s="331" t="str">
        <f t="shared" si="66"/>
        <v/>
      </c>
      <c r="T187" s="331" t="str">
        <f t="shared" si="67"/>
        <v/>
      </c>
      <c r="U187" s="331" t="str">
        <f t="shared" si="68"/>
        <v/>
      </c>
    </row>
    <row r="188" spans="1:21" ht="15.95" customHeight="1">
      <c r="A188" s="211">
        <f>IF(COUNTBLANK('RNEW import'!B186)=1,"",'RNEW import'!B186)</f>
        <v>5</v>
      </c>
      <c r="B188" s="211" t="str">
        <f>IF(COUNTBLANK('RNEW import'!D186)=1,"",'RNEW import'!D186)</f>
        <v>Deva Shopping City SRL</v>
      </c>
      <c r="C188" s="211" t="str">
        <f>IF(COUNTBLANK('RNEW import'!E186)=1,"",'RNEW import'!E186)</f>
        <v>RDSC</v>
      </c>
      <c r="D188" s="211" t="str">
        <f>IF(COUNTBLANK('RNEW import'!K186)=1,"",'RNEW import'!K186)</f>
        <v>Tarife distributie en. El JT</v>
      </c>
      <c r="E188" s="211">
        <f>IF(COUNTBLANK('RNEW import'!L186)=1,"",'RNEW import'!N186)</f>
        <v>0</v>
      </c>
      <c r="F188" s="211">
        <f>IF(COUNTBLANK('RNEW import'!M186)=1,"",'RNEW import'!O186/10000)</f>
        <v>0.2079</v>
      </c>
      <c r="G188" s="217">
        <f t="shared" si="69"/>
        <v>0</v>
      </c>
      <c r="H188" s="217">
        <f t="shared" si="62"/>
        <v>0</v>
      </c>
      <c r="I188" s="329">
        <f t="shared" si="70"/>
        <v>0</v>
      </c>
      <c r="J188" s="237" t="str">
        <f t="shared" si="57"/>
        <v/>
      </c>
      <c r="K188" s="238" t="str">
        <f t="shared" si="58"/>
        <v/>
      </c>
      <c r="L188" s="238" t="str">
        <f t="shared" si="59"/>
        <v/>
      </c>
      <c r="M188" s="238" t="str">
        <f t="shared" si="60"/>
        <v/>
      </c>
      <c r="N188" s="238" t="str">
        <f t="shared" si="61"/>
        <v/>
      </c>
      <c r="O188" s="232" t="str">
        <f t="shared" si="71"/>
        <v/>
      </c>
      <c r="P188" s="219" t="str">
        <f t="shared" si="63"/>
        <v/>
      </c>
      <c r="Q188" s="219" t="str">
        <f t="shared" si="64"/>
        <v/>
      </c>
      <c r="R188" s="219" t="str">
        <f t="shared" si="65"/>
        <v/>
      </c>
      <c r="S188" s="331" t="str">
        <f t="shared" si="66"/>
        <v/>
      </c>
      <c r="T188" s="331" t="str">
        <f t="shared" si="67"/>
        <v/>
      </c>
      <c r="U188" s="331" t="str">
        <f t="shared" si="68"/>
        <v/>
      </c>
    </row>
    <row r="189" spans="1:21" ht="15.95" customHeight="1">
      <c r="A189" s="211">
        <f>IF(COUNTBLANK('RNEW import'!B187)=1,"",'RNEW import'!B187)</f>
        <v>6</v>
      </c>
      <c r="B189" s="211" t="str">
        <f>IF(COUNTBLANK('RNEW import'!D187)=1,"",'RNEW import'!D187)</f>
        <v>Deva Shopping City SRL</v>
      </c>
      <c r="C189" s="211" t="str">
        <f>IF(COUNTBLANK('RNEW import'!E187)=1,"",'RNEW import'!E187)</f>
        <v>RDSC</v>
      </c>
      <c r="D189" s="211" t="str">
        <f>IF(COUNTBLANK('RNEW import'!K187)=1,"",'RNEW import'!K187)</f>
        <v xml:space="preserve">Servicii Sistem </v>
      </c>
      <c r="E189" s="211">
        <f>IF(COUNTBLANK('RNEW import'!L187)=1,"",'RNEW import'!N187)</f>
        <v>440919</v>
      </c>
      <c r="F189" s="211">
        <f>IF(COUNTBLANK('RNEW import'!M187)=1,"",'RNEW import'!O187/10000)</f>
        <v>1.1509999999999999E-2</v>
      </c>
      <c r="G189" s="217">
        <f t="shared" si="69"/>
        <v>5074.9799999999996</v>
      </c>
      <c r="H189" s="217">
        <f t="shared" si="62"/>
        <v>964.25</v>
      </c>
      <c r="I189" s="329">
        <f t="shared" si="70"/>
        <v>6039.23</v>
      </c>
      <c r="J189" s="237" t="str">
        <f t="shared" si="57"/>
        <v/>
      </c>
      <c r="K189" s="238" t="str">
        <f t="shared" si="58"/>
        <v/>
      </c>
      <c r="L189" s="238" t="str">
        <f t="shared" si="59"/>
        <v/>
      </c>
      <c r="M189" s="238" t="str">
        <f t="shared" si="60"/>
        <v/>
      </c>
      <c r="N189" s="238" t="str">
        <f t="shared" si="61"/>
        <v/>
      </c>
      <c r="O189" s="232" t="str">
        <f t="shared" si="71"/>
        <v/>
      </c>
      <c r="P189" s="219" t="str">
        <f t="shared" si="63"/>
        <v/>
      </c>
      <c r="Q189" s="219" t="str">
        <f t="shared" si="64"/>
        <v/>
      </c>
      <c r="R189" s="219" t="str">
        <f t="shared" si="65"/>
        <v/>
      </c>
      <c r="S189" s="331" t="str">
        <f t="shared" si="66"/>
        <v/>
      </c>
      <c r="T189" s="331" t="str">
        <f t="shared" si="67"/>
        <v/>
      </c>
      <c r="U189" s="331" t="str">
        <f t="shared" si="68"/>
        <v/>
      </c>
    </row>
    <row r="190" spans="1:21" ht="15.95" customHeight="1">
      <c r="A190" s="211">
        <f>IF(COUNTBLANK('RNEW import'!B188)=1,"",'RNEW import'!B188)</f>
        <v>7</v>
      </c>
      <c r="B190" s="211" t="str">
        <f>IF(COUNTBLANK('RNEW import'!D188)=1,"",'RNEW import'!D188)</f>
        <v>Deva Shopping City SRL</v>
      </c>
      <c r="C190" s="211" t="str">
        <f>IF(COUNTBLANK('RNEW import'!E188)=1,"",'RNEW import'!E188)</f>
        <v>RDSC</v>
      </c>
      <c r="D190" s="211" t="str">
        <f>IF(COUNTBLANK('RNEW import'!K188)=1,"",'RNEW import'!K188)</f>
        <v>Tarif de introducere en. el in retea (TL)</v>
      </c>
      <c r="E190" s="211">
        <f>IF(COUNTBLANK('RNEW import'!L188)=1,"",'RNEW import'!N188)</f>
        <v>440919</v>
      </c>
      <c r="F190" s="211">
        <f>IF(COUNTBLANK('RNEW import'!M188)=1,"",'RNEW import'!O188/10000)</f>
        <v>3.3030000000000004E-2</v>
      </c>
      <c r="G190" s="217">
        <f t="shared" si="69"/>
        <v>14563.55</v>
      </c>
      <c r="H190" s="217">
        <f t="shared" si="62"/>
        <v>2767.07</v>
      </c>
      <c r="I190" s="329">
        <f t="shared" si="70"/>
        <v>17330.62</v>
      </c>
      <c r="J190" s="237" t="str">
        <f t="shared" si="57"/>
        <v/>
      </c>
      <c r="K190" s="238" t="str">
        <f t="shared" si="58"/>
        <v/>
      </c>
      <c r="L190" s="238" t="str">
        <f t="shared" si="59"/>
        <v/>
      </c>
      <c r="M190" s="238" t="str">
        <f t="shared" si="60"/>
        <v/>
      </c>
      <c r="N190" s="238" t="str">
        <f t="shared" si="61"/>
        <v/>
      </c>
      <c r="O190" s="232" t="str">
        <f t="shared" si="71"/>
        <v/>
      </c>
      <c r="P190" s="219" t="str">
        <f t="shared" si="63"/>
        <v/>
      </c>
      <c r="Q190" s="219" t="str">
        <f t="shared" si="64"/>
        <v/>
      </c>
      <c r="R190" s="219" t="str">
        <f t="shared" si="65"/>
        <v/>
      </c>
      <c r="S190" s="331" t="str">
        <f t="shared" si="66"/>
        <v/>
      </c>
      <c r="T190" s="331" t="str">
        <f t="shared" si="67"/>
        <v/>
      </c>
      <c r="U190" s="331" t="str">
        <f t="shared" si="68"/>
        <v/>
      </c>
    </row>
    <row r="191" spans="1:21" ht="15.95" customHeight="1">
      <c r="A191" s="211">
        <f>IF(COUNTBLANK('RNEW import'!B189)=1,"",'RNEW import'!B189)</f>
        <v>8</v>
      </c>
      <c r="B191" s="211" t="str">
        <f>IF(COUNTBLANK('RNEW import'!D189)=1,"",'RNEW import'!D189)</f>
        <v>Deva Shopping City SRL</v>
      </c>
      <c r="C191" s="211" t="str">
        <f>IF(COUNTBLANK('RNEW import'!E189)=1,"",'RNEW import'!E189)</f>
        <v>RDSC</v>
      </c>
      <c r="D191" s="211" t="str">
        <f>IF(COUNTBLANK('RNEW import'!K189)=1,"",'RNEW import'!K189)</f>
        <v>Tarif de introducere en.el in retea (TG)</v>
      </c>
      <c r="E191" s="211">
        <f>IF(COUNTBLANK('RNEW import'!L189)=1,"",'RNEW import'!N189)</f>
        <v>440919</v>
      </c>
      <c r="F191" s="211">
        <f>IF(COUNTBLANK('RNEW import'!M189)=1,"",'RNEW import'!O189/10000)</f>
        <v>3.29E-3</v>
      </c>
      <c r="G191" s="217">
        <f t="shared" si="69"/>
        <v>1450.62</v>
      </c>
      <c r="H191" s="217">
        <f t="shared" si="62"/>
        <v>275.62</v>
      </c>
      <c r="I191" s="329">
        <f t="shared" si="70"/>
        <v>1726.2399999999998</v>
      </c>
      <c r="J191" s="237" t="str">
        <f t="shared" si="57"/>
        <v/>
      </c>
      <c r="K191" s="238" t="str">
        <f t="shared" si="58"/>
        <v/>
      </c>
      <c r="L191" s="238" t="str">
        <f t="shared" si="59"/>
        <v/>
      </c>
      <c r="M191" s="238" t="str">
        <f t="shared" si="60"/>
        <v/>
      </c>
      <c r="N191" s="238" t="str">
        <f t="shared" si="61"/>
        <v/>
      </c>
      <c r="O191" s="232" t="str">
        <f t="shared" si="71"/>
        <v/>
      </c>
      <c r="P191" s="219" t="str">
        <f t="shared" si="63"/>
        <v/>
      </c>
      <c r="Q191" s="219" t="str">
        <f t="shared" si="64"/>
        <v/>
      </c>
      <c r="R191" s="219" t="str">
        <f t="shared" si="65"/>
        <v/>
      </c>
      <c r="S191" s="331" t="str">
        <f t="shared" si="66"/>
        <v/>
      </c>
      <c r="T191" s="331" t="str">
        <f t="shared" si="67"/>
        <v/>
      </c>
      <c r="U191" s="331" t="str">
        <f t="shared" si="68"/>
        <v/>
      </c>
    </row>
    <row r="192" spans="1:21" ht="15.95" customHeight="1">
      <c r="A192" s="211">
        <f>IF(COUNTBLANK('RNEW import'!B190)=1,"",'RNEW import'!B190)</f>
        <v>9</v>
      </c>
      <c r="B192" s="211" t="str">
        <f>IF(COUNTBLANK('RNEW import'!D190)=1,"",'RNEW import'!D190)</f>
        <v>Deva Shopping City SRL</v>
      </c>
      <c r="C192" s="211" t="str">
        <f>IF(COUNTBLANK('RNEW import'!E190)=1,"",'RNEW import'!E190)</f>
        <v>RDSC</v>
      </c>
      <c r="D192" s="211" t="str">
        <f>IF(COUNTBLANK('RNEW import'!K190)=1,"",'RNEW import'!K190)</f>
        <v>Contributie pentru cogenerare</v>
      </c>
      <c r="E192" s="211">
        <f>IF(COUNTBLANK('RNEW import'!L190)=1,"",'RNEW import'!N190)</f>
        <v>440919</v>
      </c>
      <c r="F192" s="211">
        <f>IF(COUNTBLANK('RNEW import'!M190)=1,"",'RNEW import'!O190/10000)</f>
        <v>3.5000000000000001E-3</v>
      </c>
      <c r="G192" s="217">
        <f t="shared" si="69"/>
        <v>1543.22</v>
      </c>
      <c r="H192" s="217">
        <f t="shared" si="62"/>
        <v>293.20999999999998</v>
      </c>
      <c r="I192" s="329">
        <f t="shared" si="70"/>
        <v>1836.43</v>
      </c>
      <c r="J192" s="237" t="str">
        <f t="shared" si="57"/>
        <v/>
      </c>
      <c r="K192" s="238" t="str">
        <f t="shared" si="58"/>
        <v/>
      </c>
      <c r="L192" s="238" t="str">
        <f t="shared" si="59"/>
        <v/>
      </c>
      <c r="M192" s="238" t="str">
        <f t="shared" si="60"/>
        <v/>
      </c>
      <c r="N192" s="238" t="str">
        <f t="shared" si="61"/>
        <v/>
      </c>
      <c r="O192" s="232" t="str">
        <f t="shared" si="71"/>
        <v/>
      </c>
      <c r="P192" s="219" t="str">
        <f t="shared" si="63"/>
        <v/>
      </c>
      <c r="Q192" s="219" t="str">
        <f t="shared" si="64"/>
        <v/>
      </c>
      <c r="R192" s="219" t="str">
        <f t="shared" si="65"/>
        <v/>
      </c>
      <c r="S192" s="331" t="str">
        <f t="shared" si="66"/>
        <v/>
      </c>
      <c r="T192" s="331" t="str">
        <f t="shared" si="67"/>
        <v/>
      </c>
      <c r="U192" s="331" t="str">
        <f t="shared" si="68"/>
        <v/>
      </c>
    </row>
    <row r="193" spans="1:21" ht="15.95" customHeight="1">
      <c r="A193" s="211">
        <f>IF(COUNTBLANK('RNEW import'!B191)=1,"",'RNEW import'!B191)</f>
        <v>10</v>
      </c>
      <c r="B193" s="211" t="str">
        <f>IF(COUNTBLANK('RNEW import'!D191)=1,"",'RNEW import'!D191)</f>
        <v>Deva Shopping City SRL</v>
      </c>
      <c r="C193" s="211" t="str">
        <f>IF(COUNTBLANK('RNEW import'!E191)=1,"",'RNEW import'!E191)</f>
        <v>RDSC</v>
      </c>
      <c r="D193" s="211" t="str">
        <f>IF(COUNTBLANK('RNEW import'!K191)=1,"",'RNEW import'!K191)</f>
        <v xml:space="preserve">Certificate verzi </v>
      </c>
      <c r="E193" s="211">
        <f>IF(COUNTBLANK('RNEW import'!L191)=1,"",'RNEW import'!N191)</f>
        <v>440919</v>
      </c>
      <c r="F193" s="211">
        <f>IF(COUNTBLANK('RNEW import'!M191)=1,"",'RNEW import'!O191/10000)</f>
        <v>7.2541599999999998E-2</v>
      </c>
      <c r="G193" s="217">
        <f t="shared" si="69"/>
        <v>31984.97</v>
      </c>
      <c r="H193" s="217">
        <f t="shared" si="62"/>
        <v>6077.14</v>
      </c>
      <c r="I193" s="329">
        <f t="shared" si="70"/>
        <v>38062.11</v>
      </c>
      <c r="J193" s="237" t="str">
        <f t="shared" si="57"/>
        <v/>
      </c>
      <c r="K193" s="238" t="str">
        <f t="shared" si="58"/>
        <v/>
      </c>
      <c r="L193" s="238" t="str">
        <f t="shared" si="59"/>
        <v/>
      </c>
      <c r="M193" s="238" t="str">
        <f t="shared" si="60"/>
        <v/>
      </c>
      <c r="N193" s="238" t="str">
        <f t="shared" si="61"/>
        <v/>
      </c>
      <c r="O193" s="232" t="str">
        <f t="shared" si="71"/>
        <v/>
      </c>
      <c r="P193" s="219" t="str">
        <f t="shared" si="63"/>
        <v/>
      </c>
      <c r="Q193" s="219" t="str">
        <f t="shared" si="64"/>
        <v/>
      </c>
      <c r="R193" s="219" t="str">
        <f t="shared" si="65"/>
        <v/>
      </c>
      <c r="S193" s="331" t="str">
        <f t="shared" si="66"/>
        <v/>
      </c>
      <c r="T193" s="331" t="str">
        <f t="shared" si="67"/>
        <v/>
      </c>
      <c r="U193" s="331" t="str">
        <f t="shared" si="68"/>
        <v/>
      </c>
    </row>
    <row r="194" spans="1:21" ht="15.95" customHeight="1">
      <c r="A194" s="211">
        <f>IF(COUNTBLANK('RNEW import'!B192)=1,"",'RNEW import'!B192)</f>
        <v>11</v>
      </c>
      <c r="B194" s="211" t="str">
        <f>IF(COUNTBLANK('RNEW import'!D192)=1,"",'RNEW import'!D192)</f>
        <v>Deva Shopping City SRL</v>
      </c>
      <c r="C194" s="211" t="str">
        <f>IF(COUNTBLANK('RNEW import'!E192)=1,"",'RNEW import'!E192)</f>
        <v>RDSC</v>
      </c>
      <c r="D194" s="211" t="str">
        <f>IF(COUNTBLANK('RNEW import'!K192)=1,"",'RNEW import'!K192)</f>
        <v>Contributie CFD</v>
      </c>
      <c r="E194" s="211">
        <f>IF(COUNTBLANK('RNEW import'!L192)=1,"",'RNEW import'!N192)</f>
        <v>440919</v>
      </c>
      <c r="F194" s="211">
        <f>IF(COUNTBLANK('RNEW import'!M192)=1,"",'RNEW import'!O192/10000)</f>
        <v>2.0599999999999999E-4</v>
      </c>
      <c r="G194" s="217">
        <f t="shared" si="69"/>
        <v>90.83</v>
      </c>
      <c r="H194" s="217">
        <f t="shared" si="62"/>
        <v>17.260000000000002</v>
      </c>
      <c r="I194" s="329">
        <f t="shared" si="70"/>
        <v>108.09</v>
      </c>
      <c r="J194" s="237" t="str">
        <f t="shared" si="57"/>
        <v/>
      </c>
      <c r="K194" s="238" t="str">
        <f t="shared" si="58"/>
        <v/>
      </c>
      <c r="L194" s="238" t="str">
        <f t="shared" si="59"/>
        <v/>
      </c>
      <c r="M194" s="238" t="str">
        <f t="shared" si="60"/>
        <v/>
      </c>
      <c r="N194" s="238" t="str">
        <f t="shared" si="61"/>
        <v/>
      </c>
      <c r="O194" s="232" t="str">
        <f t="shared" si="71"/>
        <v/>
      </c>
      <c r="P194" s="219" t="str">
        <f t="shared" si="63"/>
        <v/>
      </c>
      <c r="Q194" s="219" t="str">
        <f t="shared" si="64"/>
        <v/>
      </c>
      <c r="R194" s="219" t="str">
        <f t="shared" si="65"/>
        <v/>
      </c>
      <c r="S194" s="331" t="str">
        <f t="shared" si="66"/>
        <v/>
      </c>
      <c r="T194" s="331" t="str">
        <f t="shared" si="67"/>
        <v/>
      </c>
      <c r="U194" s="331" t="str">
        <f t="shared" si="68"/>
        <v/>
      </c>
    </row>
    <row r="195" spans="1:21" ht="15.95" customHeight="1">
      <c r="A195" s="211">
        <f>IF(COUNTBLANK('RNEW import'!B193)=1,"",'RNEW import'!B193)</f>
        <v>12</v>
      </c>
      <c r="B195" s="211" t="str">
        <f>IF(COUNTBLANK('RNEW import'!D193)=1,"",'RNEW import'!D193)</f>
        <v>Deva Shopping City SRL</v>
      </c>
      <c r="C195" s="211" t="str">
        <f>IF(COUNTBLANK('RNEW import'!E193)=1,"",'RNEW import'!E193)</f>
        <v>RDSC</v>
      </c>
      <c r="D195" s="211" t="str">
        <f>IF(COUNTBLANK('RNEW import'!K193)=1,"",'RNEW import'!K193)</f>
        <v>Acciza</v>
      </c>
      <c r="E195" s="211">
        <f>IF(COUNTBLANK('RNEW import'!L193)=1,"",'RNEW import'!N193)</f>
        <v>440919</v>
      </c>
      <c r="F195" s="211">
        <f>IF(COUNTBLANK('RNEW import'!M193)=1,"",'RNEW import'!O193/10000)</f>
        <v>0</v>
      </c>
      <c r="G195" s="217">
        <f t="shared" si="69"/>
        <v>0</v>
      </c>
      <c r="H195" s="217">
        <f t="shared" si="62"/>
        <v>0</v>
      </c>
      <c r="I195" s="329">
        <f t="shared" si="70"/>
        <v>0</v>
      </c>
      <c r="J195" s="237" t="str">
        <f t="shared" si="57"/>
        <v/>
      </c>
      <c r="K195" s="238" t="str">
        <f t="shared" si="58"/>
        <v/>
      </c>
      <c r="L195" s="238" t="str">
        <f t="shared" si="59"/>
        <v/>
      </c>
      <c r="M195" s="238" t="str">
        <f t="shared" si="60"/>
        <v/>
      </c>
      <c r="N195" s="238" t="str">
        <f t="shared" si="61"/>
        <v/>
      </c>
      <c r="O195" s="232" t="str">
        <f t="shared" si="71"/>
        <v/>
      </c>
      <c r="P195" s="219" t="str">
        <f t="shared" si="63"/>
        <v/>
      </c>
      <c r="Q195" s="219" t="str">
        <f t="shared" si="64"/>
        <v/>
      </c>
      <c r="R195" s="219" t="str">
        <f t="shared" si="65"/>
        <v/>
      </c>
      <c r="S195" s="331" t="str">
        <f t="shared" si="66"/>
        <v/>
      </c>
      <c r="T195" s="331" t="str">
        <f t="shared" si="67"/>
        <v/>
      </c>
      <c r="U195" s="331" t="str">
        <f t="shared" si="68"/>
        <v/>
      </c>
    </row>
    <row r="196" spans="1:21" ht="15.95" customHeight="1">
      <c r="A196" s="211">
        <f>IF(COUNTBLANK('RNEW import'!B194)=1,"",'RNEW import'!B194)</f>
        <v>13</v>
      </c>
      <c r="B196" s="211" t="str">
        <f>IF(COUNTBLANK('RNEW import'!D194)=1,"",'RNEW import'!D194)</f>
        <v>Deva Shopping City SRL</v>
      </c>
      <c r="C196" s="211" t="str">
        <f>IF(COUNTBLANK('RNEW import'!E194)=1,"",'RNEW import'!E194)</f>
        <v>RDSC</v>
      </c>
      <c r="D196" s="211" t="str">
        <f>IF(COUNTBLANK('RNEW import'!K194)=1,"",'RNEW import'!K194)</f>
        <v>Tarif distributie SDI MT</v>
      </c>
      <c r="E196" s="211">
        <f>IF(COUNTBLANK('RNEW import'!L194)=1,"",'RNEW import'!N194)</f>
        <v>440919</v>
      </c>
      <c r="F196" s="211">
        <f>IF(COUNTBLANK('RNEW import'!M194)=1,"",'RNEW import'!O194/10000)</f>
        <v>1.1599999999999999E-2</v>
      </c>
      <c r="G196" s="217">
        <f t="shared" si="69"/>
        <v>5114.66</v>
      </c>
      <c r="H196" s="217">
        <f t="shared" si="62"/>
        <v>971.79</v>
      </c>
      <c r="I196" s="329">
        <f t="shared" si="70"/>
        <v>6086.45</v>
      </c>
      <c r="J196" s="237" t="str">
        <f t="shared" ref="J196:J259" si="72">IF(A196=1,B196,"")</f>
        <v/>
      </c>
      <c r="K196" s="238" t="str">
        <f t="shared" ref="K196:K259" si="73">IF(COUNTBLANK(J196)=1,"",IF(A196=1,SUMIFS(G:G,$C:$C,C196,$A:$A,"=13")+SUMIFS(G:G,$C:$C,C196,$A:$A,"=14")+SUMIFS(G:G,$C:$C,C196,$A:$A,"=17")+SUMIFS(G:G,$C:$C,C196,$A:$A,"=18")+SUMIFS(G:G,$C:$C,C196,$A:$A,"=31")+SUMIFS(G:G,$C:$C,C196,$A:$A,"=32")+SUMIFS(G:G,$C:$C,C196,$A:$A,"=35")+SUMIFS(G:G,$C:$C,C196,$A:$A,"=36"),""))</f>
        <v/>
      </c>
      <c r="L196" s="238" t="str">
        <f t="shared" ref="L196:L259" si="74">IF(COUNTBLANK(J196)=1,"",IF(A196=1,SUMIFS(G:G,$C:$C,C196,$A:$A,"&lt;13")+SUMIFS(G:G,$C:$C,C196,$A:$A,"&gt;18",$A:$A,"&lt;31")))</f>
        <v/>
      </c>
      <c r="M196" s="238" t="str">
        <f t="shared" ref="M196:M259" si="75">IF(COUNTBLANK(J196)=1,"",IF(A196=1,SUMIFS(G:G,$C:$C,C196,$A:$A,"=15")+SUMIFS(G:G,$C:$C,C196,$A:$A,"=16")+SUMIFS(G:G,$C:$C,C196,$A:$A,"=33")+SUMIFS(G:G,$C:$C,C196,$A:$A,"=34"),""))</f>
        <v/>
      </c>
      <c r="N196" s="238" t="str">
        <f t="shared" ref="N196:N259" si="76">IF(COUNTBLANK(J196)=1,"",IF(A196=1,SUMIFS(E:E,$C:$C,C196,$A:$A,"=13")+SUMIFS(E:E,$C:$C,C196,$A:$A,"=17")+SUMIFS(E:E,$C:$C,C196,$A:$A,"=31")+SUMIFS(E:E,$C:$C,C196,$A:$A,"=35"),""))</f>
        <v/>
      </c>
      <c r="O196" s="232" t="str">
        <f t="shared" si="71"/>
        <v/>
      </c>
      <c r="P196" s="219" t="str">
        <f t="shared" si="63"/>
        <v/>
      </c>
      <c r="Q196" s="219" t="str">
        <f t="shared" si="64"/>
        <v/>
      </c>
      <c r="R196" s="219" t="str">
        <f t="shared" si="65"/>
        <v/>
      </c>
      <c r="S196" s="331" t="str">
        <f t="shared" si="66"/>
        <v/>
      </c>
      <c r="T196" s="331" t="str">
        <f t="shared" si="67"/>
        <v/>
      </c>
      <c r="U196" s="331" t="str">
        <f t="shared" si="68"/>
        <v/>
      </c>
    </row>
    <row r="197" spans="1:21" ht="15.95" customHeight="1">
      <c r="A197" s="211">
        <f>IF(COUNTBLANK('RNEW import'!B195)=1,"",'RNEW import'!B195)</f>
        <v>14</v>
      </c>
      <c r="B197" s="211" t="str">
        <f>IF(COUNTBLANK('RNEW import'!D195)=1,"",'RNEW import'!D195)</f>
        <v>Deva Shopping City SRL</v>
      </c>
      <c r="C197" s="211" t="str">
        <f>IF(COUNTBLANK('RNEW import'!E195)=1,"",'RNEW import'!E195)</f>
        <v>RDSC</v>
      </c>
      <c r="D197" s="211" t="str">
        <f>IF(COUNTBLANK('RNEW import'!K195)=1,"",'RNEW import'!K195)</f>
        <v>Tarif distributie SDI JT</v>
      </c>
      <c r="E197" s="211">
        <f>IF(COUNTBLANK('RNEW import'!L195)=1,"",'RNEW import'!N195)</f>
        <v>440919</v>
      </c>
      <c r="F197" s="211">
        <f>IF(COUNTBLANK('RNEW import'!M195)=1,"",'RNEW import'!O195/10000)</f>
        <v>8.3199999999999996E-2</v>
      </c>
      <c r="G197" s="217">
        <f t="shared" si="69"/>
        <v>36684.46</v>
      </c>
      <c r="H197" s="217">
        <f t="shared" ref="H197:H260" si="77">ROUND(G197*19%,2)</f>
        <v>6970.05</v>
      </c>
      <c r="I197" s="329">
        <f t="shared" si="70"/>
        <v>43654.51</v>
      </c>
      <c r="J197" s="237" t="str">
        <f t="shared" si="72"/>
        <v/>
      </c>
      <c r="K197" s="238" t="str">
        <f t="shared" si="73"/>
        <v/>
      </c>
      <c r="L197" s="238" t="str">
        <f t="shared" si="74"/>
        <v/>
      </c>
      <c r="M197" s="238" t="str">
        <f t="shared" si="75"/>
        <v/>
      </c>
      <c r="N197" s="238" t="str">
        <f t="shared" si="76"/>
        <v/>
      </c>
      <c r="O197" s="232" t="str">
        <f t="shared" si="71"/>
        <v/>
      </c>
      <c r="P197" s="219" t="str">
        <f t="shared" ref="P197:P260" si="78">IF(A197=1,"Enegie activa",IF(OR(A197=18),"Energie consumata din PV",IF(OR(A197=2),"Energie reactiva 1x",IF(OR(A197=3),"Energie reactiva 3x",IF(A197=19,"Energie activa regularizare",IF(OR(A197=36),"Energie consumata din PV regularizare",IF(OR(A197=20),"Energie reactiva 1x regularizare",IF(OR(A197=21),"Energie reactiva 3x regularizare",""))))))))</f>
        <v/>
      </c>
      <c r="Q197" s="219" t="str">
        <f t="shared" ref="Q197:Q260" si="79">IF(COUNTBLANK(P197)=0,IF(OR(A197=1,A197=2,A197=3,A197=19,A197=20,A197=21),E197,IF(OR(A197=18,A197=36),E194+E195,"")),"")</f>
        <v/>
      </c>
      <c r="R197" s="219" t="str">
        <f t="shared" ref="R197:R260" si="80">IF(COUNTBLANK(P197)=1,"",IF(OR(A197=2,A197=3,A197=20,A197=21),F197,IF(Q197=0,0,ROUND(S197/Q197,6))))</f>
        <v/>
      </c>
      <c r="S197" s="331" t="str">
        <f t="shared" si="66"/>
        <v/>
      </c>
      <c r="T197" s="331" t="str">
        <f t="shared" si="67"/>
        <v/>
      </c>
      <c r="U197" s="331" t="str">
        <f t="shared" si="68"/>
        <v/>
      </c>
    </row>
    <row r="198" spans="1:21" ht="15.95" customHeight="1">
      <c r="A198" s="211">
        <f>IF(COUNTBLANK('RNEW import'!B196)=1,"",'RNEW import'!B196)</f>
        <v>15</v>
      </c>
      <c r="B198" s="211" t="str">
        <f>IF(COUNTBLANK('RNEW import'!D196)=1,"",'RNEW import'!D196)</f>
        <v>Deva Shopping City SRL</v>
      </c>
      <c r="C198" s="211" t="str">
        <f>IF(COUNTBLANK('RNEW import'!E196)=1,"",'RNEW import'!E196)</f>
        <v>RDSC</v>
      </c>
      <c r="D198" s="211" t="str">
        <f>IF(COUNTBLANK('RNEW import'!K196)=1,"",'RNEW import'!K196)</f>
        <v>Energie activa 2</v>
      </c>
      <c r="E198" s="211">
        <f>IF(COUNTBLANK('RNEW import'!L196)=1,"",'RNEW import'!N196)</f>
        <v>210825</v>
      </c>
      <c r="F198" s="211">
        <f>IF(COUNTBLANK('RNEW import'!M196)=1,"",'RNEW import'!O196/10000)</f>
        <v>0.90005760000000012</v>
      </c>
      <c r="G198" s="217">
        <f t="shared" si="69"/>
        <v>189754.64</v>
      </c>
      <c r="H198" s="217">
        <f t="shared" si="77"/>
        <v>36053.379999999997</v>
      </c>
      <c r="I198" s="329">
        <f t="shared" si="70"/>
        <v>225808.02000000002</v>
      </c>
      <c r="J198" s="237" t="str">
        <f t="shared" si="72"/>
        <v/>
      </c>
      <c r="K198" s="238" t="str">
        <f t="shared" si="73"/>
        <v/>
      </c>
      <c r="L198" s="238" t="str">
        <f t="shared" si="74"/>
        <v/>
      </c>
      <c r="M198" s="238" t="str">
        <f t="shared" si="75"/>
        <v/>
      </c>
      <c r="N198" s="238" t="str">
        <f t="shared" si="76"/>
        <v/>
      </c>
      <c r="O198" s="232" t="str">
        <f t="shared" si="71"/>
        <v/>
      </c>
      <c r="P198" s="219" t="str">
        <f t="shared" si="78"/>
        <v/>
      </c>
      <c r="Q198" s="219" t="str">
        <f t="shared" si="79"/>
        <v/>
      </c>
      <c r="R198" s="219" t="str">
        <f t="shared" si="80"/>
        <v/>
      </c>
      <c r="S198" s="331" t="str">
        <f t="shared" si="66"/>
        <v/>
      </c>
      <c r="T198" s="331" t="str">
        <f t="shared" si="67"/>
        <v/>
      </c>
      <c r="U198" s="331" t="str">
        <f t="shared" si="68"/>
        <v/>
      </c>
    </row>
    <row r="199" spans="1:21" ht="15.95" customHeight="1">
      <c r="A199" s="211">
        <f>IF(COUNTBLANK('RNEW import'!B197)=1,"",'RNEW import'!B197)</f>
        <v>16</v>
      </c>
      <c r="B199" s="211" t="str">
        <f>IF(COUNTBLANK('RNEW import'!D197)=1,"",'RNEW import'!D197)</f>
        <v>Deva Shopping City SRL</v>
      </c>
      <c r="C199" s="211" t="str">
        <f>IF(COUNTBLANK('RNEW import'!E197)=1,"",'RNEW import'!E197)</f>
        <v>RDSC</v>
      </c>
      <c r="D199" s="211" t="str">
        <f>IF(COUNTBLANK('RNEW import'!K197)=1,"",'RNEW import'!K197)</f>
        <v>Energie activa 3</v>
      </c>
      <c r="E199" s="211">
        <f>IF(COUNTBLANK('RNEW import'!L197)=1,"",'RNEW import'!N197)</f>
        <v>56743</v>
      </c>
      <c r="F199" s="211">
        <f>IF(COUNTBLANK('RNEW import'!M197)=1,"",'RNEW import'!O197/10000)</f>
        <v>0.80525760000000002</v>
      </c>
      <c r="G199" s="217">
        <f t="shared" si="69"/>
        <v>45692.73</v>
      </c>
      <c r="H199" s="217">
        <f t="shared" si="77"/>
        <v>8681.6200000000008</v>
      </c>
      <c r="I199" s="329">
        <f t="shared" si="70"/>
        <v>54374.350000000006</v>
      </c>
      <c r="J199" s="237" t="str">
        <f t="shared" si="72"/>
        <v/>
      </c>
      <c r="K199" s="238" t="str">
        <f t="shared" si="73"/>
        <v/>
      </c>
      <c r="L199" s="238" t="str">
        <f t="shared" si="74"/>
        <v/>
      </c>
      <c r="M199" s="238" t="str">
        <f t="shared" si="75"/>
        <v/>
      </c>
      <c r="N199" s="238" t="str">
        <f t="shared" si="76"/>
        <v/>
      </c>
      <c r="O199" s="232" t="str">
        <f t="shared" si="71"/>
        <v/>
      </c>
      <c r="P199" s="219" t="str">
        <f t="shared" si="78"/>
        <v/>
      </c>
      <c r="Q199" s="219" t="str">
        <f t="shared" si="79"/>
        <v/>
      </c>
      <c r="R199" s="219" t="str">
        <f t="shared" si="80"/>
        <v/>
      </c>
      <c r="S199" s="331" t="str">
        <f t="shared" si="66"/>
        <v/>
      </c>
      <c r="T199" s="331" t="str">
        <f t="shared" si="67"/>
        <v/>
      </c>
      <c r="U199" s="331" t="str">
        <f t="shared" si="68"/>
        <v/>
      </c>
    </row>
    <row r="200" spans="1:21" ht="15.95" customHeight="1">
      <c r="A200" s="211">
        <f>IF(COUNTBLANK('RNEW import'!B198)=1,"",'RNEW import'!B198)</f>
        <v>17</v>
      </c>
      <c r="B200" s="211" t="str">
        <f>IF(COUNTBLANK('RNEW import'!D198)=1,"",'RNEW import'!D198)</f>
        <v>Deva Shopping City SRL</v>
      </c>
      <c r="C200" s="211" t="str">
        <f>IF(COUNTBLANK('RNEW import'!E198)=1,"",'RNEW import'!E198)</f>
        <v>RDSC</v>
      </c>
      <c r="D200" s="211" t="str">
        <f>IF(COUNTBLANK('RNEW import'!K198)=1,"",'RNEW import'!K198)</f>
        <v>Tarif distributie SDI MT_</v>
      </c>
      <c r="E200" s="211">
        <f>IF(COUNTBLANK('RNEW import'!L198)=1,"",'RNEW import'!N198)</f>
        <v>56743</v>
      </c>
      <c r="F200" s="211">
        <f>IF(COUNTBLANK('RNEW import'!M198)=1,"",'RNEW import'!O198/10000)</f>
        <v>1.1599999999999999E-2</v>
      </c>
      <c r="G200" s="217">
        <f t="shared" si="69"/>
        <v>658.22</v>
      </c>
      <c r="H200" s="217">
        <f t="shared" si="77"/>
        <v>125.06</v>
      </c>
      <c r="I200" s="329">
        <f t="shared" si="70"/>
        <v>783.28</v>
      </c>
      <c r="J200" s="237" t="str">
        <f t="shared" si="72"/>
        <v/>
      </c>
      <c r="K200" s="238" t="str">
        <f t="shared" si="73"/>
        <v/>
      </c>
      <c r="L200" s="238" t="str">
        <f t="shared" si="74"/>
        <v/>
      </c>
      <c r="M200" s="238" t="str">
        <f t="shared" si="75"/>
        <v/>
      </c>
      <c r="N200" s="238" t="str">
        <f t="shared" si="76"/>
        <v/>
      </c>
      <c r="O200" s="232" t="str">
        <f t="shared" si="71"/>
        <v/>
      </c>
      <c r="P200" s="219" t="str">
        <f t="shared" si="78"/>
        <v/>
      </c>
      <c r="Q200" s="219" t="str">
        <f t="shared" si="79"/>
        <v/>
      </c>
      <c r="R200" s="219" t="str">
        <f t="shared" si="80"/>
        <v/>
      </c>
      <c r="S200" s="331" t="str">
        <f t="shared" si="66"/>
        <v/>
      </c>
      <c r="T200" s="331" t="str">
        <f t="shared" si="67"/>
        <v/>
      </c>
      <c r="U200" s="331" t="str">
        <f t="shared" si="68"/>
        <v/>
      </c>
    </row>
    <row r="201" spans="1:21" ht="15.95" customHeight="1">
      <c r="A201" s="211">
        <f>IF(COUNTBLANK('RNEW import'!B199)=1,"",'RNEW import'!B199)</f>
        <v>18</v>
      </c>
      <c r="B201" s="211" t="str">
        <f>IF(COUNTBLANK('RNEW import'!D199)=1,"",'RNEW import'!D199)</f>
        <v>Deva Shopping City SRL</v>
      </c>
      <c r="C201" s="211" t="str">
        <f>IF(COUNTBLANK('RNEW import'!E199)=1,"",'RNEW import'!E199)</f>
        <v>RDSC</v>
      </c>
      <c r="D201" s="211" t="str">
        <f>IF(COUNTBLANK('RNEW import'!K199)=1,"",'RNEW import'!K199)</f>
        <v>Tarif distributie SDI JT_</v>
      </c>
      <c r="E201" s="211">
        <f>IF(COUNTBLANK('RNEW import'!L199)=1,"",'RNEW import'!N199)</f>
        <v>56743</v>
      </c>
      <c r="F201" s="211">
        <f>IF(COUNTBLANK('RNEW import'!M199)=1,"",'RNEW import'!O199/10000)</f>
        <v>8.3199999999999996E-2</v>
      </c>
      <c r="G201" s="217">
        <f t="shared" si="69"/>
        <v>4721.0200000000004</v>
      </c>
      <c r="H201" s="217">
        <f t="shared" si="77"/>
        <v>896.99</v>
      </c>
      <c r="I201" s="329">
        <f t="shared" si="70"/>
        <v>5618.01</v>
      </c>
      <c r="J201" s="237" t="str">
        <f t="shared" si="72"/>
        <v/>
      </c>
      <c r="K201" s="238" t="str">
        <f t="shared" si="73"/>
        <v/>
      </c>
      <c r="L201" s="238" t="str">
        <f t="shared" si="74"/>
        <v/>
      </c>
      <c r="M201" s="238" t="str">
        <f t="shared" si="75"/>
        <v/>
      </c>
      <c r="N201" s="238" t="str">
        <f t="shared" si="76"/>
        <v/>
      </c>
      <c r="O201" s="232" t="str">
        <f t="shared" si="71"/>
        <v/>
      </c>
      <c r="P201" s="219" t="str">
        <f t="shared" si="78"/>
        <v>Energie consumata din PV</v>
      </c>
      <c r="Q201" s="219">
        <f t="shared" si="79"/>
        <v>267568</v>
      </c>
      <c r="R201" s="219">
        <f t="shared" si="80"/>
        <v>0.90005800000000002</v>
      </c>
      <c r="S201" s="331">
        <f t="shared" si="66"/>
        <v>240826.61</v>
      </c>
      <c r="T201" s="331">
        <f t="shared" si="67"/>
        <v>45757.05</v>
      </c>
      <c r="U201" s="331">
        <f t="shared" si="68"/>
        <v>286583.65999999997</v>
      </c>
    </row>
    <row r="202" spans="1:21" ht="15.95" customHeight="1">
      <c r="A202" s="211">
        <f>IF(COUNTBLANK('RNEW import'!B200)=1,"",'RNEW import'!B200)</f>
        <v>19</v>
      </c>
      <c r="B202" s="211" t="str">
        <f>IF(COUNTBLANK('RNEW import'!D200)=1,"",'RNEW import'!D200)</f>
        <v>Deva Shopping City SRL</v>
      </c>
      <c r="C202" s="211" t="str">
        <f>IF(COUNTBLANK('RNEW import'!E200)=1,"",'RNEW import'!E200)</f>
        <v>RDSC</v>
      </c>
      <c r="D202" s="211" t="str">
        <f>IF(COUNTBLANK('RNEW import'!K200)=1,"",'RNEW import'!K200)</f>
        <v>Regularizare Energie activa 1</v>
      </c>
      <c r="E202" s="211">
        <f>IF(COUNTBLANK('RNEW import'!L200)=1,"",'RNEW import'!N200)</f>
        <v>0</v>
      </c>
      <c r="F202" s="211">
        <f>IF(COUNTBLANK('RNEW import'!M200)=1,"",'RNEW import'!O200/10000)</f>
        <v>0.59499999999999997</v>
      </c>
      <c r="G202" s="217">
        <f t="shared" si="69"/>
        <v>0</v>
      </c>
      <c r="H202" s="217">
        <f t="shared" si="77"/>
        <v>0</v>
      </c>
      <c r="I202" s="329">
        <f t="shared" si="70"/>
        <v>0</v>
      </c>
      <c r="J202" s="237" t="str">
        <f t="shared" si="72"/>
        <v/>
      </c>
      <c r="K202" s="238" t="str">
        <f t="shared" si="73"/>
        <v/>
      </c>
      <c r="L202" s="238" t="str">
        <f t="shared" si="74"/>
        <v/>
      </c>
      <c r="M202" s="238" t="str">
        <f t="shared" si="75"/>
        <v/>
      </c>
      <c r="N202" s="238" t="str">
        <f t="shared" si="76"/>
        <v/>
      </c>
      <c r="O202" s="232" t="str">
        <f t="shared" si="71"/>
        <v/>
      </c>
      <c r="P202" s="219" t="str">
        <f t="shared" si="78"/>
        <v>Energie activa regularizare</v>
      </c>
      <c r="Q202" s="219">
        <f t="shared" si="79"/>
        <v>0</v>
      </c>
      <c r="R202" s="219">
        <f t="shared" si="80"/>
        <v>0</v>
      </c>
      <c r="S202" s="331">
        <f t="shared" si="66"/>
        <v>0</v>
      </c>
      <c r="T202" s="331">
        <f t="shared" si="67"/>
        <v>0</v>
      </c>
      <c r="U202" s="331">
        <f t="shared" si="68"/>
        <v>0</v>
      </c>
    </row>
    <row r="203" spans="1:21" ht="15.95" customHeight="1">
      <c r="A203" s="211">
        <f>IF(COUNTBLANK('RNEW import'!B201)=1,"",'RNEW import'!B201)</f>
        <v>20</v>
      </c>
      <c r="B203" s="211" t="str">
        <f>IF(COUNTBLANK('RNEW import'!D201)=1,"",'RNEW import'!D201)</f>
        <v>Deva Shopping City SRL</v>
      </c>
      <c r="C203" s="211" t="str">
        <f>IF(COUNTBLANK('RNEW import'!E201)=1,"",'RNEW import'!E201)</f>
        <v>RDSC</v>
      </c>
      <c r="D203" s="211" t="str">
        <f>IF(COUNTBLANK('RNEW import'!K201)=1,"",'RNEW import'!K201)</f>
        <v>Regularizare Energie reactiva  1X</v>
      </c>
      <c r="E203" s="211">
        <f>IF(COUNTBLANK('RNEW import'!L201)=1,"",'RNEW import'!N201)</f>
        <v>4452</v>
      </c>
      <c r="F203" s="211">
        <f>IF(COUNTBLANK('RNEW import'!M201)=1,"",'RNEW import'!O201/10000)</f>
        <v>0.14660000000000001</v>
      </c>
      <c r="G203" s="217">
        <f t="shared" si="69"/>
        <v>652.66</v>
      </c>
      <c r="H203" s="217">
        <f t="shared" si="77"/>
        <v>124.01</v>
      </c>
      <c r="I203" s="329">
        <f t="shared" si="70"/>
        <v>776.67</v>
      </c>
      <c r="J203" s="237" t="str">
        <f t="shared" si="72"/>
        <v/>
      </c>
      <c r="K203" s="238" t="str">
        <f t="shared" si="73"/>
        <v/>
      </c>
      <c r="L203" s="238" t="str">
        <f t="shared" si="74"/>
        <v/>
      </c>
      <c r="M203" s="238" t="str">
        <f t="shared" si="75"/>
        <v/>
      </c>
      <c r="N203" s="238" t="str">
        <f t="shared" si="76"/>
        <v/>
      </c>
      <c r="O203" s="232" t="str">
        <f t="shared" si="71"/>
        <v/>
      </c>
      <c r="P203" s="219" t="str">
        <f t="shared" si="78"/>
        <v>Energie reactiva 1x regularizare</v>
      </c>
      <c r="Q203" s="219">
        <f t="shared" si="79"/>
        <v>4452</v>
      </c>
      <c r="R203" s="219">
        <f t="shared" si="80"/>
        <v>0.14660000000000001</v>
      </c>
      <c r="S203" s="331">
        <f t="shared" si="66"/>
        <v>652.66</v>
      </c>
      <c r="T203" s="331">
        <f t="shared" si="67"/>
        <v>124.01</v>
      </c>
      <c r="U203" s="331">
        <f t="shared" si="68"/>
        <v>776.67</v>
      </c>
    </row>
    <row r="204" spans="1:21" ht="15.95" customHeight="1">
      <c r="A204" s="211">
        <f>IF(COUNTBLANK('RNEW import'!B202)=1,"",'RNEW import'!B202)</f>
        <v>21</v>
      </c>
      <c r="B204" s="211" t="str">
        <f>IF(COUNTBLANK('RNEW import'!D202)=1,"",'RNEW import'!D202)</f>
        <v>Deva Shopping City SRL</v>
      </c>
      <c r="C204" s="211" t="str">
        <f>IF(COUNTBLANK('RNEW import'!E202)=1,"",'RNEW import'!E202)</f>
        <v>RDSC</v>
      </c>
      <c r="D204" s="211" t="str">
        <f>IF(COUNTBLANK('RNEW import'!K202)=1,"",'RNEW import'!K202)</f>
        <v>Regularizare Energie reactiva  3X</v>
      </c>
      <c r="E204" s="211">
        <f>IF(COUNTBLANK('RNEW import'!L202)=1,"",'RNEW import'!N202)</f>
        <v>2366</v>
      </c>
      <c r="F204" s="211">
        <f>IF(COUNTBLANK('RNEW import'!M202)=1,"",'RNEW import'!O202/10000)</f>
        <v>0.43980000000000002</v>
      </c>
      <c r="G204" s="217">
        <f t="shared" si="69"/>
        <v>1040.57</v>
      </c>
      <c r="H204" s="217">
        <f t="shared" si="77"/>
        <v>197.71</v>
      </c>
      <c r="I204" s="329">
        <f t="shared" si="70"/>
        <v>1238.28</v>
      </c>
      <c r="J204" s="237" t="str">
        <f t="shared" si="72"/>
        <v/>
      </c>
      <c r="K204" s="238" t="str">
        <f t="shared" si="73"/>
        <v/>
      </c>
      <c r="L204" s="238" t="str">
        <f t="shared" si="74"/>
        <v/>
      </c>
      <c r="M204" s="238" t="str">
        <f t="shared" si="75"/>
        <v/>
      </c>
      <c r="N204" s="238" t="str">
        <f t="shared" si="76"/>
        <v/>
      </c>
      <c r="O204" s="232" t="str">
        <f t="shared" si="71"/>
        <v/>
      </c>
      <c r="P204" s="219" t="str">
        <f t="shared" si="78"/>
        <v>Energie reactiva 3x regularizare</v>
      </c>
      <c r="Q204" s="219">
        <f t="shared" si="79"/>
        <v>2366</v>
      </c>
      <c r="R204" s="219">
        <f t="shared" si="80"/>
        <v>0.43980000000000002</v>
      </c>
      <c r="S204" s="331">
        <f t="shared" si="66"/>
        <v>1040.57</v>
      </c>
      <c r="T204" s="331">
        <f t="shared" si="67"/>
        <v>197.71</v>
      </c>
      <c r="U204" s="331">
        <f t="shared" si="68"/>
        <v>1238.28</v>
      </c>
    </row>
    <row r="205" spans="1:21" ht="15.95" customHeight="1">
      <c r="A205" s="211">
        <f>IF(COUNTBLANK('RNEW import'!B203)=1,"",'RNEW import'!B203)</f>
        <v>22</v>
      </c>
      <c r="B205" s="211" t="str">
        <f>IF(COUNTBLANK('RNEW import'!D203)=1,"",'RNEW import'!D203)</f>
        <v>Deva Shopping City SRL</v>
      </c>
      <c r="C205" s="211" t="str">
        <f>IF(COUNTBLANK('RNEW import'!E203)=1,"",'RNEW import'!E203)</f>
        <v>RDSC</v>
      </c>
      <c r="D205" s="211" t="str">
        <f>IF(COUNTBLANK('RNEW import'!K203)=1,"",'RNEW import'!K203)</f>
        <v>Regularizare Tarife distributie en. El IT+MT</v>
      </c>
      <c r="E205" s="211">
        <f>IF(COUNTBLANK('RNEW import'!L203)=1,"",'RNEW import'!N203)</f>
        <v>0</v>
      </c>
      <c r="F205" s="211">
        <f>IF(COUNTBLANK('RNEW import'!M203)=1,"",'RNEW import'!O203/10000)</f>
        <v>8.6180000000000007E-2</v>
      </c>
      <c r="G205" s="217">
        <f t="shared" si="69"/>
        <v>0</v>
      </c>
      <c r="H205" s="217">
        <f t="shared" si="77"/>
        <v>0</v>
      </c>
      <c r="I205" s="329">
        <f t="shared" si="70"/>
        <v>0</v>
      </c>
      <c r="J205" s="237" t="str">
        <f t="shared" si="72"/>
        <v/>
      </c>
      <c r="K205" s="238" t="str">
        <f t="shared" si="73"/>
        <v/>
      </c>
      <c r="L205" s="238" t="str">
        <f t="shared" si="74"/>
        <v/>
      </c>
      <c r="M205" s="238" t="str">
        <f t="shared" si="75"/>
        <v/>
      </c>
      <c r="N205" s="238" t="str">
        <f t="shared" si="76"/>
        <v/>
      </c>
      <c r="O205" s="232" t="str">
        <f t="shared" si="71"/>
        <v/>
      </c>
      <c r="P205" s="219" t="str">
        <f t="shared" si="78"/>
        <v/>
      </c>
      <c r="Q205" s="219" t="str">
        <f t="shared" si="79"/>
        <v/>
      </c>
      <c r="R205" s="219" t="str">
        <f t="shared" si="80"/>
        <v/>
      </c>
      <c r="S205" s="331" t="str">
        <f t="shared" si="66"/>
        <v/>
      </c>
      <c r="T205" s="331" t="str">
        <f t="shared" si="67"/>
        <v/>
      </c>
      <c r="U205" s="331" t="str">
        <f t="shared" si="68"/>
        <v/>
      </c>
    </row>
    <row r="206" spans="1:21" ht="15.95" customHeight="1">
      <c r="A206" s="211">
        <f>IF(COUNTBLANK('RNEW import'!B204)=1,"",'RNEW import'!B204)</f>
        <v>23</v>
      </c>
      <c r="B206" s="211" t="str">
        <f>IF(COUNTBLANK('RNEW import'!D204)=1,"",'RNEW import'!D204)</f>
        <v>Deva Shopping City SRL</v>
      </c>
      <c r="C206" s="211" t="str">
        <f>IF(COUNTBLANK('RNEW import'!E204)=1,"",'RNEW import'!E204)</f>
        <v>RDSC</v>
      </c>
      <c r="D206" s="211" t="str">
        <f>IF(COUNTBLANK('RNEW import'!K204)=1,"",'RNEW import'!K204)</f>
        <v>Regularizare Tarife distributie en. El JT</v>
      </c>
      <c r="E206" s="211">
        <f>IF(COUNTBLANK('RNEW import'!L204)=1,"",'RNEW import'!N204)</f>
        <v>0</v>
      </c>
      <c r="F206" s="211">
        <f>IF(COUNTBLANK('RNEW import'!M204)=1,"",'RNEW import'!O204/10000)</f>
        <v>0.2079</v>
      </c>
      <c r="G206" s="217">
        <f t="shared" si="69"/>
        <v>0</v>
      </c>
      <c r="H206" s="217">
        <f t="shared" si="77"/>
        <v>0</v>
      </c>
      <c r="I206" s="329">
        <f t="shared" si="70"/>
        <v>0</v>
      </c>
      <c r="J206" s="237" t="str">
        <f t="shared" si="72"/>
        <v/>
      </c>
      <c r="K206" s="238" t="str">
        <f t="shared" si="73"/>
        <v/>
      </c>
      <c r="L206" s="238" t="str">
        <f t="shared" si="74"/>
        <v/>
      </c>
      <c r="M206" s="238" t="str">
        <f t="shared" si="75"/>
        <v/>
      </c>
      <c r="N206" s="238" t="str">
        <f t="shared" si="76"/>
        <v/>
      </c>
      <c r="O206" s="232" t="str">
        <f t="shared" si="71"/>
        <v/>
      </c>
      <c r="P206" s="219" t="str">
        <f t="shared" si="78"/>
        <v/>
      </c>
      <c r="Q206" s="219" t="str">
        <f t="shared" si="79"/>
        <v/>
      </c>
      <c r="R206" s="219" t="str">
        <f t="shared" si="80"/>
        <v/>
      </c>
      <c r="S206" s="331" t="str">
        <f t="shared" si="66"/>
        <v/>
      </c>
      <c r="T206" s="331" t="str">
        <f t="shared" si="67"/>
        <v/>
      </c>
      <c r="U206" s="331" t="str">
        <f t="shared" si="68"/>
        <v/>
      </c>
    </row>
    <row r="207" spans="1:21" ht="15.95" customHeight="1">
      <c r="A207" s="211">
        <f>IF(COUNTBLANK('RNEW import'!B205)=1,"",'RNEW import'!B205)</f>
        <v>24</v>
      </c>
      <c r="B207" s="211" t="str">
        <f>IF(COUNTBLANK('RNEW import'!D205)=1,"",'RNEW import'!D205)</f>
        <v>Deva Shopping City SRL</v>
      </c>
      <c r="C207" s="211" t="str">
        <f>IF(COUNTBLANK('RNEW import'!E205)=1,"",'RNEW import'!E205)</f>
        <v>RDSC</v>
      </c>
      <c r="D207" s="211" t="str">
        <f>IF(COUNTBLANK('RNEW import'!K205)=1,"",'RNEW import'!K205)</f>
        <v xml:space="preserve">Regularizare Servicii Sistem </v>
      </c>
      <c r="E207" s="211">
        <f>IF(COUNTBLANK('RNEW import'!L205)=1,"",'RNEW import'!N205)</f>
        <v>0</v>
      </c>
      <c r="F207" s="211">
        <f>IF(COUNTBLANK('RNEW import'!M205)=1,"",'RNEW import'!O205/10000)</f>
        <v>1.1509999999999999E-2</v>
      </c>
      <c r="G207" s="217">
        <f t="shared" si="69"/>
        <v>0</v>
      </c>
      <c r="H207" s="217">
        <f t="shared" si="77"/>
        <v>0</v>
      </c>
      <c r="I207" s="329">
        <f t="shared" si="70"/>
        <v>0</v>
      </c>
      <c r="J207" s="237" t="str">
        <f t="shared" si="72"/>
        <v/>
      </c>
      <c r="K207" s="238" t="str">
        <f t="shared" si="73"/>
        <v/>
      </c>
      <c r="L207" s="238" t="str">
        <f t="shared" si="74"/>
        <v/>
      </c>
      <c r="M207" s="238" t="str">
        <f t="shared" si="75"/>
        <v/>
      </c>
      <c r="N207" s="238" t="str">
        <f t="shared" si="76"/>
        <v/>
      </c>
      <c r="O207" s="233" t="str">
        <f t="shared" si="71"/>
        <v/>
      </c>
      <c r="P207" s="219" t="str">
        <f t="shared" si="78"/>
        <v/>
      </c>
      <c r="Q207" s="219" t="str">
        <f t="shared" si="79"/>
        <v/>
      </c>
      <c r="R207" s="219" t="str">
        <f t="shared" si="80"/>
        <v/>
      </c>
      <c r="S207" s="331" t="str">
        <f t="shared" si="66"/>
        <v/>
      </c>
      <c r="T207" s="331" t="str">
        <f t="shared" si="67"/>
        <v/>
      </c>
      <c r="U207" s="331" t="str">
        <f t="shared" si="68"/>
        <v/>
      </c>
    </row>
    <row r="208" spans="1:21" ht="15.95" customHeight="1">
      <c r="A208" s="211">
        <f>IF(COUNTBLANK('RNEW import'!B206)=1,"",'RNEW import'!B206)</f>
        <v>25</v>
      </c>
      <c r="B208" s="211" t="str">
        <f>IF(COUNTBLANK('RNEW import'!D206)=1,"",'RNEW import'!D206)</f>
        <v>Deva Shopping City SRL</v>
      </c>
      <c r="C208" s="211" t="str">
        <f>IF(COUNTBLANK('RNEW import'!E206)=1,"",'RNEW import'!E206)</f>
        <v>RDSC</v>
      </c>
      <c r="D208" s="211" t="str">
        <f>IF(COUNTBLANK('RNEW import'!K206)=1,"",'RNEW import'!K206)</f>
        <v>Regularizare Tarif de introducere en. el in retea (TL)</v>
      </c>
      <c r="E208" s="211">
        <f>IF(COUNTBLANK('RNEW import'!L206)=1,"",'RNEW import'!N206)</f>
        <v>0</v>
      </c>
      <c r="F208" s="211">
        <f>IF(COUNTBLANK('RNEW import'!M206)=1,"",'RNEW import'!O206/10000)</f>
        <v>3.3030000000000004E-2</v>
      </c>
      <c r="G208" s="217">
        <f t="shared" si="69"/>
        <v>0</v>
      </c>
      <c r="H208" s="217">
        <f t="shared" si="77"/>
        <v>0</v>
      </c>
      <c r="I208" s="329">
        <f t="shared" si="70"/>
        <v>0</v>
      </c>
      <c r="J208" s="237" t="str">
        <f t="shared" si="72"/>
        <v/>
      </c>
      <c r="K208" s="238" t="str">
        <f t="shared" si="73"/>
        <v/>
      </c>
      <c r="L208" s="238" t="str">
        <f t="shared" si="74"/>
        <v/>
      </c>
      <c r="M208" s="238" t="str">
        <f t="shared" si="75"/>
        <v/>
      </c>
      <c r="N208" s="238" t="str">
        <f t="shared" si="76"/>
        <v/>
      </c>
      <c r="O208" s="218" t="str">
        <f t="shared" si="71"/>
        <v/>
      </c>
      <c r="P208" s="219" t="str">
        <f t="shared" si="78"/>
        <v/>
      </c>
      <c r="Q208" s="219" t="str">
        <f t="shared" si="79"/>
        <v/>
      </c>
      <c r="R208" s="219" t="str">
        <f t="shared" si="80"/>
        <v/>
      </c>
      <c r="S208" s="331" t="str">
        <f t="shared" si="66"/>
        <v/>
      </c>
      <c r="T208" s="331" t="str">
        <f t="shared" si="67"/>
        <v/>
      </c>
      <c r="U208" s="331" t="str">
        <f t="shared" si="68"/>
        <v/>
      </c>
    </row>
    <row r="209" spans="1:21" ht="15.95" customHeight="1">
      <c r="A209" s="211">
        <f>IF(COUNTBLANK('RNEW import'!B207)=1,"",'RNEW import'!B207)</f>
        <v>26</v>
      </c>
      <c r="B209" s="211" t="str">
        <f>IF(COUNTBLANK('RNEW import'!D207)=1,"",'RNEW import'!D207)</f>
        <v>Deva Shopping City SRL</v>
      </c>
      <c r="C209" s="211" t="str">
        <f>IF(COUNTBLANK('RNEW import'!E207)=1,"",'RNEW import'!E207)</f>
        <v>RDSC</v>
      </c>
      <c r="D209" s="211" t="str">
        <f>IF(COUNTBLANK('RNEW import'!K207)=1,"",'RNEW import'!K207)</f>
        <v>Regularizare Tarif de introducere en.el in retea (TG)</v>
      </c>
      <c r="E209" s="211">
        <f>IF(COUNTBLANK('RNEW import'!L207)=1,"",'RNEW import'!N207)</f>
        <v>0</v>
      </c>
      <c r="F209" s="211">
        <f>IF(COUNTBLANK('RNEW import'!M207)=1,"",'RNEW import'!O207/10000)</f>
        <v>3.29E-3</v>
      </c>
      <c r="G209" s="217">
        <f t="shared" si="69"/>
        <v>0</v>
      </c>
      <c r="H209" s="217">
        <f t="shared" si="77"/>
        <v>0</v>
      </c>
      <c r="I209" s="329">
        <f t="shared" si="70"/>
        <v>0</v>
      </c>
      <c r="J209" s="237" t="str">
        <f t="shared" si="72"/>
        <v/>
      </c>
      <c r="K209" s="238" t="str">
        <f t="shared" si="73"/>
        <v/>
      </c>
      <c r="L209" s="238" t="str">
        <f t="shared" si="74"/>
        <v/>
      </c>
      <c r="M209" s="238" t="str">
        <f t="shared" si="75"/>
        <v/>
      </c>
      <c r="N209" s="238" t="str">
        <f t="shared" si="76"/>
        <v/>
      </c>
      <c r="O209" s="232" t="str">
        <f t="shared" si="71"/>
        <v/>
      </c>
      <c r="P209" s="219" t="str">
        <f t="shared" si="78"/>
        <v/>
      </c>
      <c r="Q209" s="219" t="str">
        <f t="shared" si="79"/>
        <v/>
      </c>
      <c r="R209" s="219" t="str">
        <f t="shared" si="80"/>
        <v/>
      </c>
      <c r="S209" s="331" t="str">
        <f t="shared" si="66"/>
        <v/>
      </c>
      <c r="T209" s="331" t="str">
        <f t="shared" si="67"/>
        <v/>
      </c>
      <c r="U209" s="331" t="str">
        <f t="shared" si="68"/>
        <v/>
      </c>
    </row>
    <row r="210" spans="1:21" ht="15.95" customHeight="1">
      <c r="A210" s="211">
        <f>IF(COUNTBLANK('RNEW import'!B208)=1,"",'RNEW import'!B208)</f>
        <v>27</v>
      </c>
      <c r="B210" s="211" t="str">
        <f>IF(COUNTBLANK('RNEW import'!D208)=1,"",'RNEW import'!D208)</f>
        <v>Deva Shopping City SRL</v>
      </c>
      <c r="C210" s="211" t="str">
        <f>IF(COUNTBLANK('RNEW import'!E208)=1,"",'RNEW import'!E208)</f>
        <v>RDSC</v>
      </c>
      <c r="D210" s="211" t="str">
        <f>IF(COUNTBLANK('RNEW import'!K208)=1,"",'RNEW import'!K208)</f>
        <v>Regularizare Contributie pentru cogenerare</v>
      </c>
      <c r="E210" s="211">
        <f>IF(COUNTBLANK('RNEW import'!L208)=1,"",'RNEW import'!N208)</f>
        <v>0</v>
      </c>
      <c r="F210" s="211">
        <f>IF(COUNTBLANK('RNEW import'!M208)=1,"",'RNEW import'!O208/10000)</f>
        <v>3.5000000000000001E-3</v>
      </c>
      <c r="G210" s="217">
        <f t="shared" si="69"/>
        <v>0</v>
      </c>
      <c r="H210" s="217">
        <f t="shared" si="77"/>
        <v>0</v>
      </c>
      <c r="I210" s="329">
        <f t="shared" si="70"/>
        <v>0</v>
      </c>
      <c r="J210" s="237" t="str">
        <f t="shared" si="72"/>
        <v/>
      </c>
      <c r="K210" s="238" t="str">
        <f t="shared" si="73"/>
        <v/>
      </c>
      <c r="L210" s="238" t="str">
        <f t="shared" si="74"/>
        <v/>
      </c>
      <c r="M210" s="238" t="str">
        <f t="shared" si="75"/>
        <v/>
      </c>
      <c r="N210" s="238" t="str">
        <f t="shared" si="76"/>
        <v/>
      </c>
      <c r="O210" s="232" t="str">
        <f t="shared" si="71"/>
        <v/>
      </c>
      <c r="P210" s="219" t="str">
        <f t="shared" si="78"/>
        <v/>
      </c>
      <c r="Q210" s="219" t="str">
        <f t="shared" si="79"/>
        <v/>
      </c>
      <c r="R210" s="219" t="str">
        <f t="shared" si="80"/>
        <v/>
      </c>
      <c r="S210" s="331" t="str">
        <f t="shared" si="66"/>
        <v/>
      </c>
      <c r="T210" s="331" t="str">
        <f t="shared" si="67"/>
        <v/>
      </c>
      <c r="U210" s="331" t="str">
        <f t="shared" si="68"/>
        <v/>
      </c>
    </row>
    <row r="211" spans="1:21" ht="15.95" customHeight="1">
      <c r="A211" s="211">
        <f>IF(COUNTBLANK('RNEW import'!B209)=1,"",'RNEW import'!B209)</f>
        <v>28</v>
      </c>
      <c r="B211" s="211" t="str">
        <f>IF(COUNTBLANK('RNEW import'!D209)=1,"",'RNEW import'!D209)</f>
        <v>Deva Shopping City SRL</v>
      </c>
      <c r="C211" s="211" t="str">
        <f>IF(COUNTBLANK('RNEW import'!E209)=1,"",'RNEW import'!E209)</f>
        <v>RDSC</v>
      </c>
      <c r="D211" s="211" t="str">
        <f>IF(COUNTBLANK('RNEW import'!K209)=1,"",'RNEW import'!K209)</f>
        <v xml:space="preserve">Regularizare Certificate verzi </v>
      </c>
      <c r="E211" s="211">
        <f>IF(COUNTBLANK('RNEW import'!L209)=1,"",'RNEW import'!N209)</f>
        <v>0</v>
      </c>
      <c r="F211" s="211">
        <f>IF(COUNTBLANK('RNEW import'!M209)=1,"",'RNEW import'!O209/10000)</f>
        <v>7.2541599999999998E-2</v>
      </c>
      <c r="G211" s="217">
        <f t="shared" si="69"/>
        <v>0</v>
      </c>
      <c r="H211" s="217">
        <f t="shared" si="77"/>
        <v>0</v>
      </c>
      <c r="I211" s="329">
        <f t="shared" si="70"/>
        <v>0</v>
      </c>
      <c r="J211" s="237" t="str">
        <f t="shared" si="72"/>
        <v/>
      </c>
      <c r="K211" s="238" t="str">
        <f t="shared" si="73"/>
        <v/>
      </c>
      <c r="L211" s="238" t="str">
        <f t="shared" si="74"/>
        <v/>
      </c>
      <c r="M211" s="238" t="str">
        <f t="shared" si="75"/>
        <v/>
      </c>
      <c r="N211" s="238" t="str">
        <f t="shared" si="76"/>
        <v/>
      </c>
      <c r="O211" s="232" t="str">
        <f t="shared" si="71"/>
        <v/>
      </c>
      <c r="P211" s="219" t="str">
        <f t="shared" si="78"/>
        <v/>
      </c>
      <c r="Q211" s="219" t="str">
        <f t="shared" si="79"/>
        <v/>
      </c>
      <c r="R211" s="219" t="str">
        <f t="shared" si="80"/>
        <v/>
      </c>
      <c r="S211" s="331" t="str">
        <f t="shared" si="66"/>
        <v/>
      </c>
      <c r="T211" s="331" t="str">
        <f t="shared" si="67"/>
        <v/>
      </c>
      <c r="U211" s="331" t="str">
        <f t="shared" si="68"/>
        <v/>
      </c>
    </row>
    <row r="212" spans="1:21" ht="15.95" customHeight="1">
      <c r="A212" s="211">
        <f>IF(COUNTBLANK('RNEW import'!B210)=1,"",'RNEW import'!B210)</f>
        <v>29</v>
      </c>
      <c r="B212" s="211" t="str">
        <f>IF(COUNTBLANK('RNEW import'!D210)=1,"",'RNEW import'!D210)</f>
        <v>Deva Shopping City SRL</v>
      </c>
      <c r="C212" s="211" t="str">
        <f>IF(COUNTBLANK('RNEW import'!E210)=1,"",'RNEW import'!E210)</f>
        <v>RDSC</v>
      </c>
      <c r="D212" s="211" t="str">
        <f>IF(COUNTBLANK('RNEW import'!K210)=1,"",'RNEW import'!K210)</f>
        <v>Regularizare Contributie CFD</v>
      </c>
      <c r="E212" s="211">
        <f>IF(COUNTBLANK('RNEW import'!L210)=1,"",'RNEW import'!N210)</f>
        <v>0</v>
      </c>
      <c r="F212" s="211">
        <f>IF(COUNTBLANK('RNEW import'!M210)=1,"",'RNEW import'!O210/10000)</f>
        <v>2.0599999999999999E-4</v>
      </c>
      <c r="G212" s="217">
        <f t="shared" si="69"/>
        <v>0</v>
      </c>
      <c r="H212" s="217">
        <f t="shared" si="77"/>
        <v>0</v>
      </c>
      <c r="I212" s="329">
        <f t="shared" si="70"/>
        <v>0</v>
      </c>
      <c r="J212" s="237" t="str">
        <f t="shared" si="72"/>
        <v/>
      </c>
      <c r="K212" s="238" t="str">
        <f t="shared" si="73"/>
        <v/>
      </c>
      <c r="L212" s="238" t="str">
        <f t="shared" si="74"/>
        <v/>
      </c>
      <c r="M212" s="238" t="str">
        <f t="shared" si="75"/>
        <v/>
      </c>
      <c r="N212" s="238" t="str">
        <f t="shared" si="76"/>
        <v/>
      </c>
      <c r="O212" s="232" t="str">
        <f t="shared" si="71"/>
        <v/>
      </c>
      <c r="P212" s="219" t="str">
        <f t="shared" si="78"/>
        <v/>
      </c>
      <c r="Q212" s="219" t="str">
        <f t="shared" si="79"/>
        <v/>
      </c>
      <c r="R212" s="219" t="str">
        <f t="shared" si="80"/>
        <v/>
      </c>
      <c r="S212" s="331" t="str">
        <f t="shared" si="66"/>
        <v/>
      </c>
      <c r="T212" s="331" t="str">
        <f t="shared" si="67"/>
        <v/>
      </c>
      <c r="U212" s="331" t="str">
        <f t="shared" si="68"/>
        <v/>
      </c>
    </row>
    <row r="213" spans="1:21" ht="15.95" customHeight="1">
      <c r="A213" s="211">
        <f>IF(COUNTBLANK('RNEW import'!B211)=1,"",'RNEW import'!B211)</f>
        <v>30</v>
      </c>
      <c r="B213" s="211" t="str">
        <f>IF(COUNTBLANK('RNEW import'!D211)=1,"",'RNEW import'!D211)</f>
        <v>Deva Shopping City SRL</v>
      </c>
      <c r="C213" s="211" t="str">
        <f>IF(COUNTBLANK('RNEW import'!E211)=1,"",'RNEW import'!E211)</f>
        <v>RDSC</v>
      </c>
      <c r="D213" s="211" t="str">
        <f>IF(COUNTBLANK('RNEW import'!K211)=1,"",'RNEW import'!K211)</f>
        <v>Regularizare Acciza</v>
      </c>
      <c r="E213" s="211">
        <f>IF(COUNTBLANK('RNEW import'!L211)=1,"",'RNEW import'!N211)</f>
        <v>0</v>
      </c>
      <c r="F213" s="211">
        <f>IF(COUNTBLANK('RNEW import'!M211)=1,"",'RNEW import'!O211/10000)</f>
        <v>0</v>
      </c>
      <c r="G213" s="217">
        <f t="shared" si="69"/>
        <v>0</v>
      </c>
      <c r="H213" s="217">
        <f t="shared" si="77"/>
        <v>0</v>
      </c>
      <c r="I213" s="329">
        <f t="shared" si="70"/>
        <v>0</v>
      </c>
      <c r="J213" s="237" t="str">
        <f t="shared" si="72"/>
        <v/>
      </c>
      <c r="K213" s="238" t="str">
        <f t="shared" si="73"/>
        <v/>
      </c>
      <c r="L213" s="238" t="str">
        <f t="shared" si="74"/>
        <v/>
      </c>
      <c r="M213" s="238" t="str">
        <f t="shared" si="75"/>
        <v/>
      </c>
      <c r="N213" s="238" t="str">
        <f t="shared" si="76"/>
        <v/>
      </c>
      <c r="O213" s="232" t="str">
        <f t="shared" si="71"/>
        <v/>
      </c>
      <c r="P213" s="219" t="str">
        <f t="shared" si="78"/>
        <v/>
      </c>
      <c r="Q213" s="219" t="str">
        <f t="shared" si="79"/>
        <v/>
      </c>
      <c r="R213" s="219" t="str">
        <f t="shared" si="80"/>
        <v/>
      </c>
      <c r="S213" s="331" t="str">
        <f t="shared" si="66"/>
        <v/>
      </c>
      <c r="T213" s="331" t="str">
        <f t="shared" si="67"/>
        <v/>
      </c>
      <c r="U213" s="331" t="str">
        <f t="shared" si="68"/>
        <v/>
      </c>
    </row>
    <row r="214" spans="1:21" ht="15.95" customHeight="1">
      <c r="A214" s="211">
        <f>IF(COUNTBLANK('RNEW import'!B212)=1,"",'RNEW import'!B212)</f>
        <v>31</v>
      </c>
      <c r="B214" s="211" t="str">
        <f>IF(COUNTBLANK('RNEW import'!D212)=1,"",'RNEW import'!D212)</f>
        <v>Deva Shopping City SRL</v>
      </c>
      <c r="C214" s="211" t="str">
        <f>IF(COUNTBLANK('RNEW import'!E212)=1,"",'RNEW import'!E212)</f>
        <v>RDSC</v>
      </c>
      <c r="D214" s="211" t="str">
        <f>IF(COUNTBLANK('RNEW import'!K212)=1,"",'RNEW import'!K212)</f>
        <v>Regularizare Tarif distributie SDI MT Ea1</v>
      </c>
      <c r="E214" s="211">
        <f>IF(COUNTBLANK('RNEW import'!L212)=1,"",'RNEW import'!N212)</f>
        <v>0</v>
      </c>
      <c r="F214" s="211">
        <f>IF(COUNTBLANK('RNEW import'!M212)=1,"",'RNEW import'!O212/10000)</f>
        <v>1.1599999999999999E-2</v>
      </c>
      <c r="G214" s="217">
        <f t="shared" si="69"/>
        <v>0</v>
      </c>
      <c r="H214" s="217">
        <f t="shared" si="77"/>
        <v>0</v>
      </c>
      <c r="I214" s="329">
        <f t="shared" si="70"/>
        <v>0</v>
      </c>
      <c r="J214" s="237" t="str">
        <f t="shared" si="72"/>
        <v/>
      </c>
      <c r="K214" s="238" t="str">
        <f t="shared" si="73"/>
        <v/>
      </c>
      <c r="L214" s="238" t="str">
        <f t="shared" si="74"/>
        <v/>
      </c>
      <c r="M214" s="238" t="str">
        <f t="shared" si="75"/>
        <v/>
      </c>
      <c r="N214" s="238" t="str">
        <f t="shared" si="76"/>
        <v/>
      </c>
      <c r="O214" s="232" t="str">
        <f t="shared" si="71"/>
        <v/>
      </c>
      <c r="P214" s="219" t="str">
        <f t="shared" si="78"/>
        <v/>
      </c>
      <c r="Q214" s="219" t="str">
        <f t="shared" si="79"/>
        <v/>
      </c>
      <c r="R214" s="219" t="str">
        <f t="shared" si="80"/>
        <v/>
      </c>
      <c r="S214" s="331" t="str">
        <f t="shared" ref="S214:S277" si="81">IF(COUNTBLANK(P214)=1,"",ROUND(IF(P214=$P$5,G214,IF(P214=$P$6,G214,IF(P214=$P$21,G214+G213+G212+G211,IF(P214=$P$23,G214,IF(P214=$P$24,G214,IF(P214=$P$4,SUMIFS(G:G,$B:$B,J214,A:A,"&lt;15"),IF(P214=$P$22,SUMIFS(G:G,$B:$B,J196,A:A,"&gt;18",A:A,"&lt;33")-S215-S216,IF(P214=$P$39,G214+G213+G212+G211,"eroare")))))))),2))</f>
        <v/>
      </c>
      <c r="T214" s="331" t="str">
        <f t="shared" ref="T214:T277" si="82">IF(COUNTBLANK(P214)=1,"",ROUND(IF(P214=$P$5,H214,IF(P214=$P$6,H214,IF(P214=$P$21,H214+H213+H212+H211,IF(P214=$P$23,H214,IF(P214=$P$24,H214,IF(P214=$P$4,SUMIFS(H:H,$B:$B,J214,A:A,"&lt;15"),IF(P214=$P$22,SUMIFS(H:H,$B:$B,J196,A:A,"&gt;18",A:A,"&lt;33")-T215-T216,IF(P214=$P$39,H214+H213+H212+H211,"eroare")))))))),2))</f>
        <v/>
      </c>
      <c r="U214" s="331" t="str">
        <f t="shared" ref="U214:U277" si="83">IF(COUNTBLANK(P214)=1,"",ROUND(IF(P214=$P$5,I214,IF(P214=$P$6,I214,IF(P214=$P$21,I214+I213+I212+I211,IF(P214=$P$23,I214,IF(P214=$P$24,I214,IF(P214=$P$4,SUMIFS(I:I,$B:$B,J214,A:A,"&lt;15"),IF(P214=$P$22,SUMIFS(I:I,$B:$B,J196,A:A,"&gt;18",A:A,"&lt;33")-U215-U216,IF(P214=$P$39,I214+I213+I212+I211,"eroare")))))))),2))</f>
        <v/>
      </c>
    </row>
    <row r="215" spans="1:21" ht="15.95" customHeight="1">
      <c r="A215" s="211">
        <f>IF(COUNTBLANK('RNEW import'!B213)=1,"",'RNEW import'!B213)</f>
        <v>32</v>
      </c>
      <c r="B215" s="211" t="str">
        <f>IF(COUNTBLANK('RNEW import'!D213)=1,"",'RNEW import'!D213)</f>
        <v>Deva Shopping City SRL</v>
      </c>
      <c r="C215" s="211" t="str">
        <f>IF(COUNTBLANK('RNEW import'!E213)=1,"",'RNEW import'!E213)</f>
        <v>RDSC</v>
      </c>
      <c r="D215" s="211" t="str">
        <f>IF(COUNTBLANK('RNEW import'!K213)=1,"",'RNEW import'!K213)</f>
        <v>Regularizare Tarif distributie SDI JT Ea1</v>
      </c>
      <c r="E215" s="211">
        <f>IF(COUNTBLANK('RNEW import'!L213)=1,"",'RNEW import'!N213)</f>
        <v>0</v>
      </c>
      <c r="F215" s="211">
        <f>IF(COUNTBLANK('RNEW import'!M213)=1,"",'RNEW import'!O213/10000)</f>
        <v>8.3199999999999996E-2</v>
      </c>
      <c r="G215" s="217">
        <f t="shared" si="69"/>
        <v>0</v>
      </c>
      <c r="H215" s="217">
        <f t="shared" si="77"/>
        <v>0</v>
      </c>
      <c r="I215" s="329">
        <f t="shared" si="70"/>
        <v>0</v>
      </c>
      <c r="J215" s="237" t="str">
        <f t="shared" si="72"/>
        <v/>
      </c>
      <c r="K215" s="238" t="str">
        <f t="shared" si="73"/>
        <v/>
      </c>
      <c r="L215" s="238" t="str">
        <f t="shared" si="74"/>
        <v/>
      </c>
      <c r="M215" s="238" t="str">
        <f t="shared" si="75"/>
        <v/>
      </c>
      <c r="N215" s="238" t="str">
        <f t="shared" si="76"/>
        <v/>
      </c>
      <c r="O215" s="232" t="str">
        <f t="shared" si="71"/>
        <v/>
      </c>
      <c r="P215" s="219" t="str">
        <f t="shared" si="78"/>
        <v/>
      </c>
      <c r="Q215" s="219" t="str">
        <f t="shared" si="79"/>
        <v/>
      </c>
      <c r="R215" s="219" t="str">
        <f t="shared" si="80"/>
        <v/>
      </c>
      <c r="S215" s="331" t="str">
        <f t="shared" si="81"/>
        <v/>
      </c>
      <c r="T215" s="331" t="str">
        <f t="shared" si="82"/>
        <v/>
      </c>
      <c r="U215" s="331" t="str">
        <f t="shared" si="83"/>
        <v/>
      </c>
    </row>
    <row r="216" spans="1:21" ht="15.95" customHeight="1">
      <c r="A216" s="211">
        <f>IF(COUNTBLANK('RNEW import'!B214)=1,"",'RNEW import'!B214)</f>
        <v>33</v>
      </c>
      <c r="B216" s="211" t="str">
        <f>IF(COUNTBLANK('RNEW import'!D214)=1,"",'RNEW import'!D214)</f>
        <v>Deva Shopping City SRL</v>
      </c>
      <c r="C216" s="211" t="str">
        <f>IF(COUNTBLANK('RNEW import'!E214)=1,"",'RNEW import'!E214)</f>
        <v>RDSC</v>
      </c>
      <c r="D216" s="211" t="str">
        <f>IF(COUNTBLANK('RNEW import'!K214)=1,"",'RNEW import'!K214)</f>
        <v>Regularizare Energie activa 2</v>
      </c>
      <c r="E216" s="211">
        <f>IF(COUNTBLANK('RNEW import'!L214)=1,"",'RNEW import'!N214)</f>
        <v>0</v>
      </c>
      <c r="F216" s="211">
        <f>IF(COUNTBLANK('RNEW import'!M214)=1,"",'RNEW import'!O214/10000)</f>
        <v>0.90005760000000012</v>
      </c>
      <c r="G216" s="217">
        <f t="shared" si="69"/>
        <v>0</v>
      </c>
      <c r="H216" s="217">
        <f t="shared" si="77"/>
        <v>0</v>
      </c>
      <c r="I216" s="329">
        <f t="shared" si="70"/>
        <v>0</v>
      </c>
      <c r="J216" s="237" t="str">
        <f t="shared" si="72"/>
        <v/>
      </c>
      <c r="K216" s="238" t="str">
        <f t="shared" si="73"/>
        <v/>
      </c>
      <c r="L216" s="238" t="str">
        <f t="shared" si="74"/>
        <v/>
      </c>
      <c r="M216" s="238" t="str">
        <f t="shared" si="75"/>
        <v/>
      </c>
      <c r="N216" s="238" t="str">
        <f t="shared" si="76"/>
        <v/>
      </c>
      <c r="O216" s="232" t="str">
        <f t="shared" si="71"/>
        <v/>
      </c>
      <c r="P216" s="219" t="str">
        <f t="shared" si="78"/>
        <v/>
      </c>
      <c r="Q216" s="219" t="str">
        <f t="shared" si="79"/>
        <v/>
      </c>
      <c r="R216" s="219" t="str">
        <f t="shared" si="80"/>
        <v/>
      </c>
      <c r="S216" s="331" t="str">
        <f t="shared" si="81"/>
        <v/>
      </c>
      <c r="T216" s="331" t="str">
        <f t="shared" si="82"/>
        <v/>
      </c>
      <c r="U216" s="331" t="str">
        <f t="shared" si="83"/>
        <v/>
      </c>
    </row>
    <row r="217" spans="1:21" ht="15.95" customHeight="1">
      <c r="A217" s="211">
        <f>IF(COUNTBLANK('RNEW import'!B215)=1,"",'RNEW import'!B215)</f>
        <v>34</v>
      </c>
      <c r="B217" s="211" t="str">
        <f>IF(COUNTBLANK('RNEW import'!D215)=1,"",'RNEW import'!D215)</f>
        <v>Deva Shopping City SRL</v>
      </c>
      <c r="C217" s="211" t="str">
        <f>IF(COUNTBLANK('RNEW import'!E215)=1,"",'RNEW import'!E215)</f>
        <v>RDSC</v>
      </c>
      <c r="D217" s="211" t="str">
        <f>IF(COUNTBLANK('RNEW import'!K215)=1,"",'RNEW import'!K215)</f>
        <v>Regularizare Energie activa 3</v>
      </c>
      <c r="E217" s="211">
        <f>IF(COUNTBLANK('RNEW import'!L215)=1,"",'RNEW import'!N215)</f>
        <v>0</v>
      </c>
      <c r="F217" s="211">
        <f>IF(COUNTBLANK('RNEW import'!M215)=1,"",'RNEW import'!O215/10000)</f>
        <v>0.80525760000000002</v>
      </c>
      <c r="G217" s="217">
        <f t="shared" si="69"/>
        <v>0</v>
      </c>
      <c r="H217" s="217">
        <f t="shared" si="77"/>
        <v>0</v>
      </c>
      <c r="I217" s="329">
        <f t="shared" si="70"/>
        <v>0</v>
      </c>
      <c r="J217" s="237" t="str">
        <f t="shared" si="72"/>
        <v/>
      </c>
      <c r="K217" s="238" t="str">
        <f t="shared" si="73"/>
        <v/>
      </c>
      <c r="L217" s="238" t="str">
        <f t="shared" si="74"/>
        <v/>
      </c>
      <c r="M217" s="238" t="str">
        <f t="shared" si="75"/>
        <v/>
      </c>
      <c r="N217" s="238" t="str">
        <f t="shared" si="76"/>
        <v/>
      </c>
      <c r="O217" s="232" t="str">
        <f t="shared" si="71"/>
        <v/>
      </c>
      <c r="P217" s="219" t="str">
        <f t="shared" si="78"/>
        <v/>
      </c>
      <c r="Q217" s="219" t="str">
        <f t="shared" si="79"/>
        <v/>
      </c>
      <c r="R217" s="219" t="str">
        <f t="shared" si="80"/>
        <v/>
      </c>
      <c r="S217" s="331" t="str">
        <f t="shared" si="81"/>
        <v/>
      </c>
      <c r="T217" s="331" t="str">
        <f t="shared" si="82"/>
        <v/>
      </c>
      <c r="U217" s="331" t="str">
        <f t="shared" si="83"/>
        <v/>
      </c>
    </row>
    <row r="218" spans="1:21" ht="15.95" customHeight="1">
      <c r="A218" s="211">
        <f>IF(COUNTBLANK('RNEW import'!B216)=1,"",'RNEW import'!B216)</f>
        <v>35</v>
      </c>
      <c r="B218" s="211" t="str">
        <f>IF(COUNTBLANK('RNEW import'!D216)=1,"",'RNEW import'!D216)</f>
        <v>Deva Shopping City SRL</v>
      </c>
      <c r="C218" s="211" t="str">
        <f>IF(COUNTBLANK('RNEW import'!E216)=1,"",'RNEW import'!E216)</f>
        <v>RDSC</v>
      </c>
      <c r="D218" s="211" t="str">
        <f>IF(COUNTBLANK('RNEW import'!K216)=1,"",'RNEW import'!K216)</f>
        <v>Regularizare Tarif distributie SDI MT Ea3</v>
      </c>
      <c r="E218" s="211">
        <f>IF(COUNTBLANK('RNEW import'!L216)=1,"",'RNEW import'!N216)</f>
        <v>0</v>
      </c>
      <c r="F218" s="211">
        <f>IF(COUNTBLANK('RNEW import'!M216)=1,"",'RNEW import'!O216/10000)</f>
        <v>1.1599999999999999E-2</v>
      </c>
      <c r="G218" s="217">
        <f t="shared" si="69"/>
        <v>0</v>
      </c>
      <c r="H218" s="217">
        <f t="shared" si="77"/>
        <v>0</v>
      </c>
      <c r="I218" s="329">
        <f t="shared" si="70"/>
        <v>0</v>
      </c>
      <c r="J218" s="237" t="str">
        <f t="shared" si="72"/>
        <v/>
      </c>
      <c r="K218" s="238" t="str">
        <f t="shared" si="73"/>
        <v/>
      </c>
      <c r="L218" s="238" t="str">
        <f t="shared" si="74"/>
        <v/>
      </c>
      <c r="M218" s="238" t="str">
        <f t="shared" si="75"/>
        <v/>
      </c>
      <c r="N218" s="238" t="str">
        <f t="shared" si="76"/>
        <v/>
      </c>
      <c r="O218" s="232" t="str">
        <f t="shared" si="71"/>
        <v/>
      </c>
      <c r="P218" s="219" t="str">
        <f t="shared" si="78"/>
        <v/>
      </c>
      <c r="Q218" s="219" t="str">
        <f t="shared" si="79"/>
        <v/>
      </c>
      <c r="R218" s="219" t="str">
        <f t="shared" si="80"/>
        <v/>
      </c>
      <c r="S218" s="331" t="str">
        <f t="shared" si="81"/>
        <v/>
      </c>
      <c r="T218" s="331" t="str">
        <f t="shared" si="82"/>
        <v/>
      </c>
      <c r="U218" s="331" t="str">
        <f t="shared" si="83"/>
        <v/>
      </c>
    </row>
    <row r="219" spans="1:21" ht="15.95" customHeight="1">
      <c r="A219" s="211">
        <f>IF(COUNTBLANK('RNEW import'!B217)=1,"",'RNEW import'!B217)</f>
        <v>36</v>
      </c>
      <c r="B219" s="211" t="str">
        <f>IF(COUNTBLANK('RNEW import'!D217)=1,"",'RNEW import'!D217)</f>
        <v>Deva Shopping City SRL</v>
      </c>
      <c r="C219" s="211" t="str">
        <f>IF(COUNTBLANK('RNEW import'!E217)=1,"",'RNEW import'!E217)</f>
        <v>RDSC</v>
      </c>
      <c r="D219" s="211" t="str">
        <f>IF(COUNTBLANK('RNEW import'!K217)=1,"",'RNEW import'!K217)</f>
        <v>Regularizare Tarif distributie SDI JT Ea3</v>
      </c>
      <c r="E219" s="211">
        <f>IF(COUNTBLANK('RNEW import'!L217)=1,"",'RNEW import'!N217)</f>
        <v>0</v>
      </c>
      <c r="F219" s="211">
        <f>IF(COUNTBLANK('RNEW import'!M217)=1,"",'RNEW import'!O217/10000)</f>
        <v>8.3199999999999996E-2</v>
      </c>
      <c r="G219" s="217">
        <f t="shared" si="69"/>
        <v>0</v>
      </c>
      <c r="H219" s="217">
        <f t="shared" si="77"/>
        <v>0</v>
      </c>
      <c r="I219" s="329">
        <f t="shared" si="70"/>
        <v>0</v>
      </c>
      <c r="J219" s="237" t="str">
        <f t="shared" si="72"/>
        <v/>
      </c>
      <c r="K219" s="238" t="str">
        <f t="shared" si="73"/>
        <v/>
      </c>
      <c r="L219" s="238" t="str">
        <f t="shared" si="74"/>
        <v/>
      </c>
      <c r="M219" s="238" t="str">
        <f t="shared" si="75"/>
        <v/>
      </c>
      <c r="N219" s="238" t="str">
        <f t="shared" si="76"/>
        <v/>
      </c>
      <c r="O219" s="232" t="str">
        <f t="shared" si="71"/>
        <v/>
      </c>
      <c r="P219" s="219" t="str">
        <f t="shared" si="78"/>
        <v>Energie consumata din PV regularizare</v>
      </c>
      <c r="Q219" s="219">
        <f t="shared" si="79"/>
        <v>0</v>
      </c>
      <c r="R219" s="219">
        <f t="shared" si="80"/>
        <v>0</v>
      </c>
      <c r="S219" s="331">
        <f t="shared" si="81"/>
        <v>0</v>
      </c>
      <c r="T219" s="331">
        <f t="shared" si="82"/>
        <v>0</v>
      </c>
      <c r="U219" s="331">
        <f t="shared" si="83"/>
        <v>0</v>
      </c>
    </row>
    <row r="220" spans="1:21" ht="15.95" customHeight="1">
      <c r="A220" s="211">
        <f>IF(COUNTBLANK('RNEW import'!B218)=1,"",'RNEW import'!B218)</f>
        <v>1</v>
      </c>
      <c r="B220" s="211" t="str">
        <f>IF(COUNTBLANK('RNEW import'!D218)=1,"",'RNEW import'!D218)</f>
        <v>Galati Shopping City SRL</v>
      </c>
      <c r="C220" s="211" t="str">
        <f>IF(COUNTBLANK('RNEW import'!E218)=1,"",'RNEW import'!E218)</f>
        <v>RGSC</v>
      </c>
      <c r="D220" s="211" t="str">
        <f>IF(COUNTBLANK('RNEW import'!K218)=1,"",'RNEW import'!K218)</f>
        <v>Energie activa 1</v>
      </c>
      <c r="E220" s="211">
        <f>IF(COUNTBLANK('RNEW import'!L218)=1,"",'RNEW import'!N218)</f>
        <v>696493</v>
      </c>
      <c r="F220" s="211">
        <f>IF(COUNTBLANK('RNEW import'!M218)=1,"",'RNEW import'!O218/10000)</f>
        <v>0.59499999999999997</v>
      </c>
      <c r="G220" s="217">
        <f t="shared" si="69"/>
        <v>414413.34</v>
      </c>
      <c r="H220" s="217">
        <f t="shared" si="77"/>
        <v>78738.53</v>
      </c>
      <c r="I220" s="329">
        <f t="shared" si="70"/>
        <v>493151.87</v>
      </c>
      <c r="J220" s="237" t="str">
        <f t="shared" si="72"/>
        <v>Galati Shopping City SRL</v>
      </c>
      <c r="K220" s="238">
        <f t="shared" si="73"/>
        <v>95814.99</v>
      </c>
      <c r="L220" s="238">
        <f t="shared" si="74"/>
        <v>583742.12999999989</v>
      </c>
      <c r="M220" s="238">
        <f t="shared" si="75"/>
        <v>270211.48</v>
      </c>
      <c r="N220" s="238">
        <f t="shared" si="76"/>
        <v>714504</v>
      </c>
      <c r="O220" s="232" t="str">
        <f t="shared" si="71"/>
        <v>Galati Shopping City SRL</v>
      </c>
      <c r="P220" s="219" t="str">
        <f t="shared" si="78"/>
        <v>Enegie activa</v>
      </c>
      <c r="Q220" s="219">
        <f t="shared" si="79"/>
        <v>696493</v>
      </c>
      <c r="R220" s="219">
        <f t="shared" si="80"/>
        <v>0.96800799999999998</v>
      </c>
      <c r="S220" s="331">
        <f t="shared" si="81"/>
        <v>674210.53</v>
      </c>
      <c r="T220" s="331">
        <f t="shared" si="82"/>
        <v>128100</v>
      </c>
      <c r="U220" s="331">
        <f t="shared" si="83"/>
        <v>802310.53</v>
      </c>
    </row>
    <row r="221" spans="1:21" ht="15.95" customHeight="1">
      <c r="A221" s="211">
        <f>IF(COUNTBLANK('RNEW import'!B219)=1,"",'RNEW import'!B219)</f>
        <v>2</v>
      </c>
      <c r="B221" s="211" t="str">
        <f>IF(COUNTBLANK('RNEW import'!D219)=1,"",'RNEW import'!D219)</f>
        <v>Galati Shopping City SRL</v>
      </c>
      <c r="C221" s="211" t="str">
        <f>IF(COUNTBLANK('RNEW import'!E219)=1,"",'RNEW import'!E219)</f>
        <v>RGSC</v>
      </c>
      <c r="D221" s="211" t="str">
        <f>IF(COUNTBLANK('RNEW import'!K219)=1,"",'RNEW import'!K219)</f>
        <v>Energie reactiva  1X</v>
      </c>
      <c r="E221" s="211">
        <f>IF(COUNTBLANK('RNEW import'!L219)=1,"",'RNEW import'!N219)</f>
        <v>0</v>
      </c>
      <c r="F221" s="211">
        <f>IF(COUNTBLANK('RNEW import'!M219)=1,"",'RNEW import'!O219/10000)</f>
        <v>0.14649999999999999</v>
      </c>
      <c r="G221" s="217">
        <f t="shared" si="69"/>
        <v>0</v>
      </c>
      <c r="H221" s="217">
        <f t="shared" si="77"/>
        <v>0</v>
      </c>
      <c r="I221" s="329">
        <f t="shared" si="70"/>
        <v>0</v>
      </c>
      <c r="J221" s="237" t="str">
        <f t="shared" si="72"/>
        <v/>
      </c>
      <c r="K221" s="238" t="str">
        <f t="shared" si="73"/>
        <v/>
      </c>
      <c r="L221" s="238" t="str">
        <f t="shared" si="74"/>
        <v/>
      </c>
      <c r="M221" s="238" t="str">
        <f t="shared" si="75"/>
        <v/>
      </c>
      <c r="N221" s="238" t="str">
        <f t="shared" si="76"/>
        <v/>
      </c>
      <c r="O221" s="232" t="str">
        <f t="shared" si="71"/>
        <v/>
      </c>
      <c r="P221" s="219" t="str">
        <f t="shared" si="78"/>
        <v>Energie reactiva 1x</v>
      </c>
      <c r="Q221" s="219">
        <f t="shared" si="79"/>
        <v>0</v>
      </c>
      <c r="R221" s="219">
        <f t="shared" si="80"/>
        <v>0.14649999999999999</v>
      </c>
      <c r="S221" s="331">
        <f t="shared" si="81"/>
        <v>0</v>
      </c>
      <c r="T221" s="331">
        <f t="shared" si="82"/>
        <v>0</v>
      </c>
      <c r="U221" s="331">
        <f t="shared" si="83"/>
        <v>0</v>
      </c>
    </row>
    <row r="222" spans="1:21" ht="15.95" customHeight="1">
      <c r="A222" s="211">
        <f>IF(COUNTBLANK('RNEW import'!B220)=1,"",'RNEW import'!B220)</f>
        <v>3</v>
      </c>
      <c r="B222" s="211" t="str">
        <f>IF(COUNTBLANK('RNEW import'!D220)=1,"",'RNEW import'!D220)</f>
        <v>Galati Shopping City SRL</v>
      </c>
      <c r="C222" s="211" t="str">
        <f>IF(COUNTBLANK('RNEW import'!E220)=1,"",'RNEW import'!E220)</f>
        <v>RGSC</v>
      </c>
      <c r="D222" s="211" t="str">
        <f>IF(COUNTBLANK('RNEW import'!K220)=1,"",'RNEW import'!K220)</f>
        <v>Energie reactiva  3X</v>
      </c>
      <c r="E222" s="211">
        <f>IF(COUNTBLANK('RNEW import'!L220)=1,"",'RNEW import'!N220)</f>
        <v>0</v>
      </c>
      <c r="F222" s="211">
        <f>IF(COUNTBLANK('RNEW import'!M220)=1,"",'RNEW import'!O220/10000)</f>
        <v>0.4395</v>
      </c>
      <c r="G222" s="217">
        <f t="shared" si="69"/>
        <v>0</v>
      </c>
      <c r="H222" s="217">
        <f t="shared" si="77"/>
        <v>0</v>
      </c>
      <c r="I222" s="329">
        <f t="shared" si="70"/>
        <v>0</v>
      </c>
      <c r="J222" s="237" t="str">
        <f t="shared" si="72"/>
        <v/>
      </c>
      <c r="K222" s="238" t="str">
        <f t="shared" si="73"/>
        <v/>
      </c>
      <c r="L222" s="238" t="str">
        <f t="shared" si="74"/>
        <v/>
      </c>
      <c r="M222" s="238" t="str">
        <f t="shared" si="75"/>
        <v/>
      </c>
      <c r="N222" s="238" t="str">
        <f t="shared" si="76"/>
        <v/>
      </c>
      <c r="O222" s="232" t="str">
        <f t="shared" si="71"/>
        <v/>
      </c>
      <c r="P222" s="219" t="str">
        <f t="shared" si="78"/>
        <v>Energie reactiva 3x</v>
      </c>
      <c r="Q222" s="219">
        <f t="shared" si="79"/>
        <v>0</v>
      </c>
      <c r="R222" s="219">
        <f t="shared" si="80"/>
        <v>0.4395</v>
      </c>
      <c r="S222" s="331">
        <f t="shared" si="81"/>
        <v>0</v>
      </c>
      <c r="T222" s="331">
        <f t="shared" si="82"/>
        <v>0</v>
      </c>
      <c r="U222" s="331">
        <f t="shared" si="83"/>
        <v>0</v>
      </c>
    </row>
    <row r="223" spans="1:21" ht="15.95" customHeight="1">
      <c r="A223" s="211">
        <f>IF(COUNTBLANK('RNEW import'!B221)=1,"",'RNEW import'!B221)</f>
        <v>4</v>
      </c>
      <c r="B223" s="211" t="str">
        <f>IF(COUNTBLANK('RNEW import'!D221)=1,"",'RNEW import'!D221)</f>
        <v>Galati Shopping City SRL</v>
      </c>
      <c r="C223" s="211" t="str">
        <f>IF(COUNTBLANK('RNEW import'!E221)=1,"",'RNEW import'!E221)</f>
        <v>RGSC</v>
      </c>
      <c r="D223" s="211" t="str">
        <f>IF(COUNTBLANK('RNEW import'!K221)=1,"",'RNEW import'!K221)</f>
        <v>Tarife distributie en. El IT+MT</v>
      </c>
      <c r="E223" s="211">
        <f>IF(COUNTBLANK('RNEW import'!L221)=1,"",'RNEW import'!N221)</f>
        <v>696493</v>
      </c>
      <c r="F223" s="211">
        <f>IF(COUNTBLANK('RNEW import'!M221)=1,"",'RNEW import'!O221/10000)</f>
        <v>0.11483</v>
      </c>
      <c r="G223" s="217">
        <f t="shared" si="69"/>
        <v>79978.289999999994</v>
      </c>
      <c r="H223" s="217">
        <f t="shared" si="77"/>
        <v>15195.88</v>
      </c>
      <c r="I223" s="329">
        <f t="shared" si="70"/>
        <v>95174.17</v>
      </c>
      <c r="J223" s="237" t="str">
        <f t="shared" si="72"/>
        <v/>
      </c>
      <c r="K223" s="238" t="str">
        <f t="shared" si="73"/>
        <v/>
      </c>
      <c r="L223" s="238" t="str">
        <f t="shared" si="74"/>
        <v/>
      </c>
      <c r="M223" s="238" t="str">
        <f t="shared" si="75"/>
        <v/>
      </c>
      <c r="N223" s="238" t="str">
        <f t="shared" si="76"/>
        <v/>
      </c>
      <c r="O223" s="232" t="str">
        <f t="shared" si="71"/>
        <v/>
      </c>
      <c r="P223" s="219" t="str">
        <f t="shared" si="78"/>
        <v/>
      </c>
      <c r="Q223" s="219" t="str">
        <f t="shared" si="79"/>
        <v/>
      </c>
      <c r="R223" s="219" t="str">
        <f t="shared" si="80"/>
        <v/>
      </c>
      <c r="S223" s="331" t="str">
        <f t="shared" si="81"/>
        <v/>
      </c>
      <c r="T223" s="331" t="str">
        <f t="shared" si="82"/>
        <v/>
      </c>
      <c r="U223" s="331" t="str">
        <f t="shared" si="83"/>
        <v/>
      </c>
    </row>
    <row r="224" spans="1:21" ht="15.95" customHeight="1">
      <c r="A224" s="211">
        <f>IF(COUNTBLANK('RNEW import'!B222)=1,"",'RNEW import'!B222)</f>
        <v>5</v>
      </c>
      <c r="B224" s="211" t="str">
        <f>IF(COUNTBLANK('RNEW import'!D222)=1,"",'RNEW import'!D222)</f>
        <v>Galati Shopping City SRL</v>
      </c>
      <c r="C224" s="211" t="str">
        <f>IF(COUNTBLANK('RNEW import'!E222)=1,"",'RNEW import'!E222)</f>
        <v>RGSC</v>
      </c>
      <c r="D224" s="211" t="str">
        <f>IF(COUNTBLANK('RNEW import'!K222)=1,"",'RNEW import'!K222)</f>
        <v>Tarife distributie en. El JT</v>
      </c>
      <c r="E224" s="211">
        <f>IF(COUNTBLANK('RNEW import'!L222)=1,"",'RNEW import'!N222)</f>
        <v>0</v>
      </c>
      <c r="F224" s="211">
        <f>IF(COUNTBLANK('RNEW import'!M222)=1,"",'RNEW import'!O222/10000)</f>
        <v>0.2361</v>
      </c>
      <c r="G224" s="217">
        <f t="shared" si="69"/>
        <v>0</v>
      </c>
      <c r="H224" s="217">
        <f t="shared" si="77"/>
        <v>0</v>
      </c>
      <c r="I224" s="329">
        <f t="shared" si="70"/>
        <v>0</v>
      </c>
      <c r="J224" s="237" t="str">
        <f t="shared" si="72"/>
        <v/>
      </c>
      <c r="K224" s="238" t="str">
        <f t="shared" si="73"/>
        <v/>
      </c>
      <c r="L224" s="238" t="str">
        <f t="shared" si="74"/>
        <v/>
      </c>
      <c r="M224" s="238" t="str">
        <f t="shared" si="75"/>
        <v/>
      </c>
      <c r="N224" s="238" t="str">
        <f t="shared" si="76"/>
        <v/>
      </c>
      <c r="O224" s="232" t="str">
        <f t="shared" si="71"/>
        <v/>
      </c>
      <c r="P224" s="219" t="str">
        <f t="shared" si="78"/>
        <v/>
      </c>
      <c r="Q224" s="219" t="str">
        <f t="shared" si="79"/>
        <v/>
      </c>
      <c r="R224" s="219" t="str">
        <f t="shared" si="80"/>
        <v/>
      </c>
      <c r="S224" s="331" t="str">
        <f t="shared" si="81"/>
        <v/>
      </c>
      <c r="T224" s="331" t="str">
        <f t="shared" si="82"/>
        <v/>
      </c>
      <c r="U224" s="331" t="str">
        <f t="shared" si="83"/>
        <v/>
      </c>
    </row>
    <row r="225" spans="1:21" ht="15.95" customHeight="1">
      <c r="A225" s="211">
        <f>IF(COUNTBLANK('RNEW import'!B223)=1,"",'RNEW import'!B223)</f>
        <v>6</v>
      </c>
      <c r="B225" s="211" t="str">
        <f>IF(COUNTBLANK('RNEW import'!D223)=1,"",'RNEW import'!D223)</f>
        <v>Galati Shopping City SRL</v>
      </c>
      <c r="C225" s="211" t="str">
        <f>IF(COUNTBLANK('RNEW import'!E223)=1,"",'RNEW import'!E223)</f>
        <v>RGSC</v>
      </c>
      <c r="D225" s="211" t="str">
        <f>IF(COUNTBLANK('RNEW import'!K223)=1,"",'RNEW import'!K223)</f>
        <v xml:space="preserve">Servicii Sistem </v>
      </c>
      <c r="E225" s="211">
        <f>IF(COUNTBLANK('RNEW import'!L223)=1,"",'RNEW import'!N223)</f>
        <v>696493</v>
      </c>
      <c r="F225" s="211">
        <f>IF(COUNTBLANK('RNEW import'!M223)=1,"",'RNEW import'!O223/10000)</f>
        <v>1.1509999999999999E-2</v>
      </c>
      <c r="G225" s="217">
        <f t="shared" si="69"/>
        <v>8016.63</v>
      </c>
      <c r="H225" s="217">
        <f t="shared" si="77"/>
        <v>1523.16</v>
      </c>
      <c r="I225" s="329">
        <f t="shared" si="70"/>
        <v>9539.7900000000009</v>
      </c>
      <c r="J225" s="237" t="str">
        <f t="shared" si="72"/>
        <v/>
      </c>
      <c r="K225" s="238" t="str">
        <f t="shared" si="73"/>
        <v/>
      </c>
      <c r="L225" s="238" t="str">
        <f t="shared" si="74"/>
        <v/>
      </c>
      <c r="M225" s="238" t="str">
        <f t="shared" si="75"/>
        <v/>
      </c>
      <c r="N225" s="238" t="str">
        <f t="shared" si="76"/>
        <v/>
      </c>
      <c r="O225" s="232" t="str">
        <f t="shared" si="71"/>
        <v/>
      </c>
      <c r="P225" s="219" t="str">
        <f t="shared" si="78"/>
        <v/>
      </c>
      <c r="Q225" s="219" t="str">
        <f t="shared" si="79"/>
        <v/>
      </c>
      <c r="R225" s="219" t="str">
        <f t="shared" si="80"/>
        <v/>
      </c>
      <c r="S225" s="331" t="str">
        <f t="shared" si="81"/>
        <v/>
      </c>
      <c r="T225" s="331" t="str">
        <f t="shared" si="82"/>
        <v/>
      </c>
      <c r="U225" s="331" t="str">
        <f t="shared" si="83"/>
        <v/>
      </c>
    </row>
    <row r="226" spans="1:21" ht="15.95" customHeight="1">
      <c r="A226" s="211">
        <f>IF(COUNTBLANK('RNEW import'!B224)=1,"",'RNEW import'!B224)</f>
        <v>7</v>
      </c>
      <c r="B226" s="211" t="str">
        <f>IF(COUNTBLANK('RNEW import'!D224)=1,"",'RNEW import'!D224)</f>
        <v>Galati Shopping City SRL</v>
      </c>
      <c r="C226" s="211" t="str">
        <f>IF(COUNTBLANK('RNEW import'!E224)=1,"",'RNEW import'!E224)</f>
        <v>RGSC</v>
      </c>
      <c r="D226" s="211" t="str">
        <f>IF(COUNTBLANK('RNEW import'!K224)=1,"",'RNEW import'!K224)</f>
        <v>Tarif de introducere en. el in retea (TL)</v>
      </c>
      <c r="E226" s="211">
        <f>IF(COUNTBLANK('RNEW import'!L224)=1,"",'RNEW import'!N224)</f>
        <v>696493</v>
      </c>
      <c r="F226" s="211">
        <f>IF(COUNTBLANK('RNEW import'!M224)=1,"",'RNEW import'!O224/10000)</f>
        <v>3.3030000000000004E-2</v>
      </c>
      <c r="G226" s="217">
        <f t="shared" si="69"/>
        <v>23005.16</v>
      </c>
      <c r="H226" s="217">
        <f t="shared" si="77"/>
        <v>4370.9799999999996</v>
      </c>
      <c r="I226" s="329">
        <f t="shared" si="70"/>
        <v>27376.14</v>
      </c>
      <c r="J226" s="237" t="str">
        <f t="shared" si="72"/>
        <v/>
      </c>
      <c r="K226" s="238" t="str">
        <f t="shared" si="73"/>
        <v/>
      </c>
      <c r="L226" s="238" t="str">
        <f t="shared" si="74"/>
        <v/>
      </c>
      <c r="M226" s="238" t="str">
        <f t="shared" si="75"/>
        <v/>
      </c>
      <c r="N226" s="238" t="str">
        <f t="shared" si="76"/>
        <v/>
      </c>
      <c r="O226" s="232" t="str">
        <f t="shared" si="71"/>
        <v/>
      </c>
      <c r="P226" s="219" t="str">
        <f t="shared" si="78"/>
        <v/>
      </c>
      <c r="Q226" s="219" t="str">
        <f t="shared" si="79"/>
        <v/>
      </c>
      <c r="R226" s="219" t="str">
        <f t="shared" si="80"/>
        <v/>
      </c>
      <c r="S226" s="331" t="str">
        <f t="shared" si="81"/>
        <v/>
      </c>
      <c r="T226" s="331" t="str">
        <f t="shared" si="82"/>
        <v/>
      </c>
      <c r="U226" s="331" t="str">
        <f t="shared" si="83"/>
        <v/>
      </c>
    </row>
    <row r="227" spans="1:21" ht="15.95" customHeight="1">
      <c r="A227" s="211">
        <f>IF(COUNTBLANK('RNEW import'!B225)=1,"",'RNEW import'!B225)</f>
        <v>8</v>
      </c>
      <c r="B227" s="211" t="str">
        <f>IF(COUNTBLANK('RNEW import'!D225)=1,"",'RNEW import'!D225)</f>
        <v>Galati Shopping City SRL</v>
      </c>
      <c r="C227" s="211" t="str">
        <f>IF(COUNTBLANK('RNEW import'!E225)=1,"",'RNEW import'!E225)</f>
        <v>RGSC</v>
      </c>
      <c r="D227" s="211" t="str">
        <f>IF(COUNTBLANK('RNEW import'!K225)=1,"",'RNEW import'!K225)</f>
        <v>Tarif de introducere en.el in retea (TG)</v>
      </c>
      <c r="E227" s="211">
        <f>IF(COUNTBLANK('RNEW import'!L225)=1,"",'RNEW import'!N225)</f>
        <v>696493</v>
      </c>
      <c r="F227" s="211">
        <f>IF(COUNTBLANK('RNEW import'!M225)=1,"",'RNEW import'!O225/10000)</f>
        <v>3.29E-3</v>
      </c>
      <c r="G227" s="217">
        <f t="shared" si="69"/>
        <v>2291.46</v>
      </c>
      <c r="H227" s="217">
        <f t="shared" si="77"/>
        <v>435.38</v>
      </c>
      <c r="I227" s="329">
        <f t="shared" si="70"/>
        <v>2726.84</v>
      </c>
      <c r="J227" s="237" t="str">
        <f t="shared" si="72"/>
        <v/>
      </c>
      <c r="K227" s="238" t="str">
        <f t="shared" si="73"/>
        <v/>
      </c>
      <c r="L227" s="238" t="str">
        <f t="shared" si="74"/>
        <v/>
      </c>
      <c r="M227" s="238" t="str">
        <f t="shared" si="75"/>
        <v/>
      </c>
      <c r="N227" s="238" t="str">
        <f t="shared" si="76"/>
        <v/>
      </c>
      <c r="O227" s="232" t="str">
        <f t="shared" si="71"/>
        <v/>
      </c>
      <c r="P227" s="219" t="str">
        <f t="shared" si="78"/>
        <v/>
      </c>
      <c r="Q227" s="219" t="str">
        <f t="shared" si="79"/>
        <v/>
      </c>
      <c r="R227" s="219" t="str">
        <f t="shared" si="80"/>
        <v/>
      </c>
      <c r="S227" s="331" t="str">
        <f t="shared" si="81"/>
        <v/>
      </c>
      <c r="T227" s="331" t="str">
        <f t="shared" si="82"/>
        <v/>
      </c>
      <c r="U227" s="331" t="str">
        <f t="shared" si="83"/>
        <v/>
      </c>
    </row>
    <row r="228" spans="1:21" ht="15.95" customHeight="1">
      <c r="A228" s="211">
        <f>IF(COUNTBLANK('RNEW import'!B226)=1,"",'RNEW import'!B226)</f>
        <v>9</v>
      </c>
      <c r="B228" s="211" t="str">
        <f>IF(COUNTBLANK('RNEW import'!D226)=1,"",'RNEW import'!D226)</f>
        <v>Galati Shopping City SRL</v>
      </c>
      <c r="C228" s="211" t="str">
        <f>IF(COUNTBLANK('RNEW import'!E226)=1,"",'RNEW import'!E226)</f>
        <v>RGSC</v>
      </c>
      <c r="D228" s="211" t="str">
        <f>IF(COUNTBLANK('RNEW import'!K226)=1,"",'RNEW import'!K226)</f>
        <v>Contributie pentru cogenerare</v>
      </c>
      <c r="E228" s="211">
        <f>IF(COUNTBLANK('RNEW import'!L226)=1,"",'RNEW import'!N226)</f>
        <v>696493</v>
      </c>
      <c r="F228" s="211">
        <f>IF(COUNTBLANK('RNEW import'!M226)=1,"",'RNEW import'!O226/10000)</f>
        <v>3.5000000000000001E-3</v>
      </c>
      <c r="G228" s="217">
        <f t="shared" si="69"/>
        <v>2437.73</v>
      </c>
      <c r="H228" s="217">
        <f t="shared" si="77"/>
        <v>463.17</v>
      </c>
      <c r="I228" s="329">
        <f t="shared" si="70"/>
        <v>2900.9</v>
      </c>
      <c r="J228" s="237" t="str">
        <f t="shared" si="72"/>
        <v/>
      </c>
      <c r="K228" s="238" t="str">
        <f t="shared" si="73"/>
        <v/>
      </c>
      <c r="L228" s="238" t="str">
        <f t="shared" si="74"/>
        <v/>
      </c>
      <c r="M228" s="238" t="str">
        <f t="shared" si="75"/>
        <v/>
      </c>
      <c r="N228" s="238" t="str">
        <f t="shared" si="76"/>
        <v/>
      </c>
      <c r="O228" s="232" t="str">
        <f t="shared" si="71"/>
        <v/>
      </c>
      <c r="P228" s="219" t="str">
        <f t="shared" si="78"/>
        <v/>
      </c>
      <c r="Q228" s="219" t="str">
        <f t="shared" si="79"/>
        <v/>
      </c>
      <c r="R228" s="219" t="str">
        <f t="shared" si="80"/>
        <v/>
      </c>
      <c r="S228" s="331" t="str">
        <f t="shared" si="81"/>
        <v/>
      </c>
      <c r="T228" s="331" t="str">
        <f t="shared" si="82"/>
        <v/>
      </c>
      <c r="U228" s="331" t="str">
        <f t="shared" si="83"/>
        <v/>
      </c>
    </row>
    <row r="229" spans="1:21" ht="15.95" customHeight="1">
      <c r="A229" s="211">
        <f>IF(COUNTBLANK('RNEW import'!B227)=1,"",'RNEW import'!B227)</f>
        <v>10</v>
      </c>
      <c r="B229" s="211" t="str">
        <f>IF(COUNTBLANK('RNEW import'!D227)=1,"",'RNEW import'!D227)</f>
        <v>Galati Shopping City SRL</v>
      </c>
      <c r="C229" s="211" t="str">
        <f>IF(COUNTBLANK('RNEW import'!E227)=1,"",'RNEW import'!E227)</f>
        <v>RGSC</v>
      </c>
      <c r="D229" s="211" t="str">
        <f>IF(COUNTBLANK('RNEW import'!K227)=1,"",'RNEW import'!K227)</f>
        <v xml:space="preserve">Certificate verzi </v>
      </c>
      <c r="E229" s="211">
        <f>IF(COUNTBLANK('RNEW import'!L227)=1,"",'RNEW import'!N227)</f>
        <v>696493</v>
      </c>
      <c r="F229" s="211">
        <f>IF(COUNTBLANK('RNEW import'!M227)=1,"",'RNEW import'!O227/10000)</f>
        <v>7.2541599999999998E-2</v>
      </c>
      <c r="G229" s="217">
        <f t="shared" ref="G229:G292" si="84">ROUND(E229*F229,2)</f>
        <v>50524.72</v>
      </c>
      <c r="H229" s="217">
        <f t="shared" si="77"/>
        <v>9599.7000000000007</v>
      </c>
      <c r="I229" s="329">
        <f t="shared" ref="I229:I292" si="85">G229+H229</f>
        <v>60124.42</v>
      </c>
      <c r="J229" s="237" t="str">
        <f t="shared" si="72"/>
        <v/>
      </c>
      <c r="K229" s="238" t="str">
        <f t="shared" si="73"/>
        <v/>
      </c>
      <c r="L229" s="238" t="str">
        <f t="shared" si="74"/>
        <v/>
      </c>
      <c r="M229" s="238" t="str">
        <f t="shared" si="75"/>
        <v/>
      </c>
      <c r="N229" s="238" t="str">
        <f t="shared" si="76"/>
        <v/>
      </c>
      <c r="O229" s="232" t="str">
        <f t="shared" si="71"/>
        <v/>
      </c>
      <c r="P229" s="219" t="str">
        <f t="shared" si="78"/>
        <v/>
      </c>
      <c r="Q229" s="219" t="str">
        <f t="shared" si="79"/>
        <v/>
      </c>
      <c r="R229" s="219" t="str">
        <f t="shared" si="80"/>
        <v/>
      </c>
      <c r="S229" s="331" t="str">
        <f t="shared" si="81"/>
        <v/>
      </c>
      <c r="T229" s="331" t="str">
        <f t="shared" si="82"/>
        <v/>
      </c>
      <c r="U229" s="331" t="str">
        <f t="shared" si="83"/>
        <v/>
      </c>
    </row>
    <row r="230" spans="1:21" ht="15.95" customHeight="1">
      <c r="A230" s="211">
        <f>IF(COUNTBLANK('RNEW import'!B228)=1,"",'RNEW import'!B228)</f>
        <v>11</v>
      </c>
      <c r="B230" s="211" t="str">
        <f>IF(COUNTBLANK('RNEW import'!D228)=1,"",'RNEW import'!D228)</f>
        <v>Galati Shopping City SRL</v>
      </c>
      <c r="C230" s="211" t="str">
        <f>IF(COUNTBLANK('RNEW import'!E228)=1,"",'RNEW import'!E228)</f>
        <v>RGSC</v>
      </c>
      <c r="D230" s="211" t="str">
        <f>IF(COUNTBLANK('RNEW import'!K228)=1,"",'RNEW import'!K228)</f>
        <v>Contributie CFD</v>
      </c>
      <c r="E230" s="211">
        <f>IF(COUNTBLANK('RNEW import'!L228)=1,"",'RNEW import'!N228)</f>
        <v>696493</v>
      </c>
      <c r="F230" s="211">
        <f>IF(COUNTBLANK('RNEW import'!M228)=1,"",'RNEW import'!O228/10000)</f>
        <v>2.0599999999999999E-4</v>
      </c>
      <c r="G230" s="217">
        <f t="shared" si="84"/>
        <v>143.47999999999999</v>
      </c>
      <c r="H230" s="217">
        <f t="shared" si="77"/>
        <v>27.26</v>
      </c>
      <c r="I230" s="329">
        <f t="shared" si="85"/>
        <v>170.73999999999998</v>
      </c>
      <c r="J230" s="237" t="str">
        <f t="shared" si="72"/>
        <v/>
      </c>
      <c r="K230" s="238" t="str">
        <f t="shared" si="73"/>
        <v/>
      </c>
      <c r="L230" s="238" t="str">
        <f t="shared" si="74"/>
        <v/>
      </c>
      <c r="M230" s="238" t="str">
        <f t="shared" si="75"/>
        <v/>
      </c>
      <c r="N230" s="238" t="str">
        <f t="shared" si="76"/>
        <v/>
      </c>
      <c r="O230" s="232" t="str">
        <f t="shared" ref="O230:O293" si="86">IF(A230=1,B230,"")</f>
        <v/>
      </c>
      <c r="P230" s="219" t="str">
        <f t="shared" si="78"/>
        <v/>
      </c>
      <c r="Q230" s="219" t="str">
        <f t="shared" si="79"/>
        <v/>
      </c>
      <c r="R230" s="219" t="str">
        <f t="shared" si="80"/>
        <v/>
      </c>
      <c r="S230" s="331" t="str">
        <f t="shared" si="81"/>
        <v/>
      </c>
      <c r="T230" s="331" t="str">
        <f t="shared" si="82"/>
        <v/>
      </c>
      <c r="U230" s="331" t="str">
        <f t="shared" si="83"/>
        <v/>
      </c>
    </row>
    <row r="231" spans="1:21" ht="15.95" customHeight="1">
      <c r="A231" s="211">
        <f>IF(COUNTBLANK('RNEW import'!B229)=1,"",'RNEW import'!B229)</f>
        <v>12</v>
      </c>
      <c r="B231" s="211" t="str">
        <f>IF(COUNTBLANK('RNEW import'!D229)=1,"",'RNEW import'!D229)</f>
        <v>Galati Shopping City SRL</v>
      </c>
      <c r="C231" s="211" t="str">
        <f>IF(COUNTBLANK('RNEW import'!E229)=1,"",'RNEW import'!E229)</f>
        <v>RGSC</v>
      </c>
      <c r="D231" s="211" t="str">
        <f>IF(COUNTBLANK('RNEW import'!K229)=1,"",'RNEW import'!K229)</f>
        <v>Acciza</v>
      </c>
      <c r="E231" s="211">
        <f>IF(COUNTBLANK('RNEW import'!L229)=1,"",'RNEW import'!N229)</f>
        <v>696493</v>
      </c>
      <c r="F231" s="211">
        <f>IF(COUNTBLANK('RNEW import'!M229)=1,"",'RNEW import'!O229/10000)</f>
        <v>0</v>
      </c>
      <c r="G231" s="217">
        <f t="shared" si="84"/>
        <v>0</v>
      </c>
      <c r="H231" s="217">
        <f t="shared" si="77"/>
        <v>0</v>
      </c>
      <c r="I231" s="329">
        <f t="shared" si="85"/>
        <v>0</v>
      </c>
      <c r="J231" s="237" t="str">
        <f t="shared" si="72"/>
        <v/>
      </c>
      <c r="K231" s="238" t="str">
        <f t="shared" si="73"/>
        <v/>
      </c>
      <c r="L231" s="238" t="str">
        <f t="shared" si="74"/>
        <v/>
      </c>
      <c r="M231" s="238" t="str">
        <f t="shared" si="75"/>
        <v/>
      </c>
      <c r="N231" s="238" t="str">
        <f t="shared" si="76"/>
        <v/>
      </c>
      <c r="O231" s="232" t="str">
        <f t="shared" si="86"/>
        <v/>
      </c>
      <c r="P231" s="219" t="str">
        <f t="shared" si="78"/>
        <v/>
      </c>
      <c r="Q231" s="219" t="str">
        <f t="shared" si="79"/>
        <v/>
      </c>
      <c r="R231" s="219" t="str">
        <f t="shared" si="80"/>
        <v/>
      </c>
      <c r="S231" s="331" t="str">
        <f t="shared" si="81"/>
        <v/>
      </c>
      <c r="T231" s="331" t="str">
        <f t="shared" si="82"/>
        <v/>
      </c>
      <c r="U231" s="331" t="str">
        <f t="shared" si="83"/>
        <v/>
      </c>
    </row>
    <row r="232" spans="1:21" ht="15.95" customHeight="1">
      <c r="A232" s="211">
        <f>IF(COUNTBLANK('RNEW import'!B230)=1,"",'RNEW import'!B230)</f>
        <v>13</v>
      </c>
      <c r="B232" s="211" t="str">
        <f>IF(COUNTBLANK('RNEW import'!D230)=1,"",'RNEW import'!D230)</f>
        <v>Galati Shopping City SRL</v>
      </c>
      <c r="C232" s="211" t="str">
        <f>IF(COUNTBLANK('RNEW import'!E230)=1,"",'RNEW import'!E230)</f>
        <v>RGSC</v>
      </c>
      <c r="D232" s="211" t="str">
        <f>IF(COUNTBLANK('RNEW import'!K230)=1,"",'RNEW import'!K230)</f>
        <v>Tarif distributie SDI MT</v>
      </c>
      <c r="E232" s="211">
        <f>IF(COUNTBLANK('RNEW import'!L230)=1,"",'RNEW import'!N230)</f>
        <v>696493</v>
      </c>
      <c r="F232" s="211">
        <f>IF(COUNTBLANK('RNEW import'!M230)=1,"",'RNEW import'!O230/10000)</f>
        <v>1.49E-2</v>
      </c>
      <c r="G232" s="217">
        <f t="shared" si="84"/>
        <v>10377.75</v>
      </c>
      <c r="H232" s="217">
        <f t="shared" si="77"/>
        <v>1971.77</v>
      </c>
      <c r="I232" s="329">
        <f t="shared" si="85"/>
        <v>12349.52</v>
      </c>
      <c r="J232" s="237" t="str">
        <f t="shared" si="72"/>
        <v/>
      </c>
      <c r="K232" s="238" t="str">
        <f t="shared" si="73"/>
        <v/>
      </c>
      <c r="L232" s="238" t="str">
        <f t="shared" si="74"/>
        <v/>
      </c>
      <c r="M232" s="238" t="str">
        <f t="shared" si="75"/>
        <v/>
      </c>
      <c r="N232" s="238" t="str">
        <f t="shared" si="76"/>
        <v/>
      </c>
      <c r="O232" s="232" t="str">
        <f t="shared" si="86"/>
        <v/>
      </c>
      <c r="P232" s="219" t="str">
        <f t="shared" si="78"/>
        <v/>
      </c>
      <c r="Q232" s="219" t="str">
        <f t="shared" si="79"/>
        <v/>
      </c>
      <c r="R232" s="219" t="str">
        <f t="shared" si="80"/>
        <v/>
      </c>
      <c r="S232" s="331" t="str">
        <f t="shared" si="81"/>
        <v/>
      </c>
      <c r="T232" s="331" t="str">
        <f t="shared" si="82"/>
        <v/>
      </c>
      <c r="U232" s="331" t="str">
        <f t="shared" si="83"/>
        <v/>
      </c>
    </row>
    <row r="233" spans="1:21" ht="15.95" customHeight="1">
      <c r="A233" s="211">
        <f>IF(COUNTBLANK('RNEW import'!B231)=1,"",'RNEW import'!B231)</f>
        <v>14</v>
      </c>
      <c r="B233" s="211" t="str">
        <f>IF(COUNTBLANK('RNEW import'!D231)=1,"",'RNEW import'!D231)</f>
        <v>Galati Shopping City SRL</v>
      </c>
      <c r="C233" s="211" t="str">
        <f>IF(COUNTBLANK('RNEW import'!E231)=1,"",'RNEW import'!E231)</f>
        <v>RGSC</v>
      </c>
      <c r="D233" s="211" t="str">
        <f>IF(COUNTBLANK('RNEW import'!K231)=1,"",'RNEW import'!K231)</f>
        <v>Tarif distributie SDI JT</v>
      </c>
      <c r="E233" s="211">
        <f>IF(COUNTBLANK('RNEW import'!L231)=1,"",'RNEW import'!N231)</f>
        <v>696493</v>
      </c>
      <c r="F233" s="211">
        <f>IF(COUNTBLANK('RNEW import'!M231)=1,"",'RNEW import'!O231/10000)</f>
        <v>0.1192</v>
      </c>
      <c r="G233" s="217">
        <f t="shared" si="84"/>
        <v>83021.97</v>
      </c>
      <c r="H233" s="217">
        <f t="shared" si="77"/>
        <v>15774.17</v>
      </c>
      <c r="I233" s="329">
        <f t="shared" si="85"/>
        <v>98796.14</v>
      </c>
      <c r="J233" s="237" t="str">
        <f t="shared" si="72"/>
        <v/>
      </c>
      <c r="K233" s="238" t="str">
        <f t="shared" si="73"/>
        <v/>
      </c>
      <c r="L233" s="238" t="str">
        <f t="shared" si="74"/>
        <v/>
      </c>
      <c r="M233" s="238" t="str">
        <f t="shared" si="75"/>
        <v/>
      </c>
      <c r="N233" s="238" t="str">
        <f t="shared" si="76"/>
        <v/>
      </c>
      <c r="O233" s="232" t="str">
        <f t="shared" si="86"/>
        <v/>
      </c>
      <c r="P233" s="219" t="str">
        <f t="shared" si="78"/>
        <v/>
      </c>
      <c r="Q233" s="219" t="str">
        <f t="shared" si="79"/>
        <v/>
      </c>
      <c r="R233" s="219" t="str">
        <f t="shared" si="80"/>
        <v/>
      </c>
      <c r="S233" s="331" t="str">
        <f t="shared" si="81"/>
        <v/>
      </c>
      <c r="T233" s="331" t="str">
        <f t="shared" si="82"/>
        <v/>
      </c>
      <c r="U233" s="331" t="str">
        <f t="shared" si="83"/>
        <v/>
      </c>
    </row>
    <row r="234" spans="1:21" ht="15.95" customHeight="1">
      <c r="A234" s="211">
        <f>IF(COUNTBLANK('RNEW import'!B232)=1,"",'RNEW import'!B232)</f>
        <v>15</v>
      </c>
      <c r="B234" s="211" t="str">
        <f>IF(COUNTBLANK('RNEW import'!D232)=1,"",'RNEW import'!D232)</f>
        <v>Galati Shopping City SRL</v>
      </c>
      <c r="C234" s="211" t="str">
        <f>IF(COUNTBLANK('RNEW import'!E232)=1,"",'RNEW import'!E232)</f>
        <v>RGSC</v>
      </c>
      <c r="D234" s="211" t="str">
        <f>IF(COUNTBLANK('RNEW import'!K232)=1,"",'RNEW import'!K232)</f>
        <v>Energie activa 2</v>
      </c>
      <c r="E234" s="211">
        <f>IF(COUNTBLANK('RNEW import'!L232)=1,"",'RNEW import'!N232)</f>
        <v>263626</v>
      </c>
      <c r="F234" s="211">
        <f>IF(COUNTBLANK('RNEW import'!M232)=1,"",'RNEW import'!O232/10000)</f>
        <v>0.96800760000000008</v>
      </c>
      <c r="G234" s="217">
        <f t="shared" si="84"/>
        <v>255191.97</v>
      </c>
      <c r="H234" s="217">
        <f t="shared" si="77"/>
        <v>48486.47</v>
      </c>
      <c r="I234" s="329">
        <f t="shared" si="85"/>
        <v>303678.44</v>
      </c>
      <c r="J234" s="237" t="str">
        <f t="shared" si="72"/>
        <v/>
      </c>
      <c r="K234" s="238" t="str">
        <f t="shared" si="73"/>
        <v/>
      </c>
      <c r="L234" s="238" t="str">
        <f t="shared" si="74"/>
        <v/>
      </c>
      <c r="M234" s="238" t="str">
        <f t="shared" si="75"/>
        <v/>
      </c>
      <c r="N234" s="238" t="str">
        <f t="shared" si="76"/>
        <v/>
      </c>
      <c r="O234" s="232" t="str">
        <f t="shared" si="86"/>
        <v/>
      </c>
      <c r="P234" s="219" t="str">
        <f t="shared" si="78"/>
        <v/>
      </c>
      <c r="Q234" s="219" t="str">
        <f t="shared" si="79"/>
        <v/>
      </c>
      <c r="R234" s="219" t="str">
        <f t="shared" si="80"/>
        <v/>
      </c>
      <c r="S234" s="331" t="str">
        <f t="shared" si="81"/>
        <v/>
      </c>
      <c r="T234" s="331" t="str">
        <f t="shared" si="82"/>
        <v/>
      </c>
      <c r="U234" s="331" t="str">
        <f t="shared" si="83"/>
        <v/>
      </c>
    </row>
    <row r="235" spans="1:21" ht="15.95" customHeight="1">
      <c r="A235" s="211">
        <f>IF(COUNTBLANK('RNEW import'!B233)=1,"",'RNEW import'!B233)</f>
        <v>16</v>
      </c>
      <c r="B235" s="211" t="str">
        <f>IF(COUNTBLANK('RNEW import'!D233)=1,"",'RNEW import'!D233)</f>
        <v>Galati Shopping City SRL</v>
      </c>
      <c r="C235" s="211" t="str">
        <f>IF(COUNTBLANK('RNEW import'!E233)=1,"",'RNEW import'!E233)</f>
        <v>RGSC</v>
      </c>
      <c r="D235" s="211" t="str">
        <f>IF(COUNTBLANK('RNEW import'!K233)=1,"",'RNEW import'!K233)</f>
        <v>Energie activa 3</v>
      </c>
      <c r="E235" s="211">
        <f>IF(COUNTBLANK('RNEW import'!L233)=1,"",'RNEW import'!N233)</f>
        <v>18011</v>
      </c>
      <c r="F235" s="211">
        <f>IF(COUNTBLANK('RNEW import'!M233)=1,"",'RNEW import'!O233/10000)</f>
        <v>0.83390760000000008</v>
      </c>
      <c r="G235" s="217">
        <f t="shared" si="84"/>
        <v>15019.51</v>
      </c>
      <c r="H235" s="217">
        <f t="shared" si="77"/>
        <v>2853.71</v>
      </c>
      <c r="I235" s="329">
        <f t="shared" si="85"/>
        <v>17873.22</v>
      </c>
      <c r="J235" s="237" t="str">
        <f t="shared" si="72"/>
        <v/>
      </c>
      <c r="K235" s="238" t="str">
        <f t="shared" si="73"/>
        <v/>
      </c>
      <c r="L235" s="238" t="str">
        <f t="shared" si="74"/>
        <v/>
      </c>
      <c r="M235" s="238" t="str">
        <f t="shared" si="75"/>
        <v/>
      </c>
      <c r="N235" s="238" t="str">
        <f t="shared" si="76"/>
        <v/>
      </c>
      <c r="O235" s="232" t="str">
        <f t="shared" si="86"/>
        <v/>
      </c>
      <c r="P235" s="219" t="str">
        <f t="shared" si="78"/>
        <v/>
      </c>
      <c r="Q235" s="219" t="str">
        <f t="shared" si="79"/>
        <v/>
      </c>
      <c r="R235" s="219" t="str">
        <f t="shared" si="80"/>
        <v/>
      </c>
      <c r="S235" s="331" t="str">
        <f t="shared" si="81"/>
        <v/>
      </c>
      <c r="T235" s="331" t="str">
        <f t="shared" si="82"/>
        <v/>
      </c>
      <c r="U235" s="331" t="str">
        <f t="shared" si="83"/>
        <v/>
      </c>
    </row>
    <row r="236" spans="1:21" ht="15.95" customHeight="1">
      <c r="A236" s="211">
        <f>IF(COUNTBLANK('RNEW import'!B234)=1,"",'RNEW import'!B234)</f>
        <v>17</v>
      </c>
      <c r="B236" s="211" t="str">
        <f>IF(COUNTBLANK('RNEW import'!D234)=1,"",'RNEW import'!D234)</f>
        <v>Galati Shopping City SRL</v>
      </c>
      <c r="C236" s="211" t="str">
        <f>IF(COUNTBLANK('RNEW import'!E234)=1,"",'RNEW import'!E234)</f>
        <v>RGSC</v>
      </c>
      <c r="D236" s="211" t="str">
        <f>IF(COUNTBLANK('RNEW import'!K234)=1,"",'RNEW import'!K234)</f>
        <v>Tarif distributie SDI MT_</v>
      </c>
      <c r="E236" s="211">
        <f>IF(COUNTBLANK('RNEW import'!L234)=1,"",'RNEW import'!N234)</f>
        <v>18011</v>
      </c>
      <c r="F236" s="211">
        <f>IF(COUNTBLANK('RNEW import'!M234)=1,"",'RNEW import'!O234/10000)</f>
        <v>1.49E-2</v>
      </c>
      <c r="G236" s="217">
        <f t="shared" si="84"/>
        <v>268.36</v>
      </c>
      <c r="H236" s="217">
        <f t="shared" si="77"/>
        <v>50.99</v>
      </c>
      <c r="I236" s="329">
        <f t="shared" si="85"/>
        <v>319.35000000000002</v>
      </c>
      <c r="J236" s="237" t="str">
        <f t="shared" si="72"/>
        <v/>
      </c>
      <c r="K236" s="238" t="str">
        <f t="shared" si="73"/>
        <v/>
      </c>
      <c r="L236" s="238" t="str">
        <f t="shared" si="74"/>
        <v/>
      </c>
      <c r="M236" s="238" t="str">
        <f t="shared" si="75"/>
        <v/>
      </c>
      <c r="N236" s="238" t="str">
        <f t="shared" si="76"/>
        <v/>
      </c>
      <c r="O236" s="232" t="str">
        <f t="shared" si="86"/>
        <v/>
      </c>
      <c r="P236" s="219" t="str">
        <f t="shared" si="78"/>
        <v/>
      </c>
      <c r="Q236" s="219" t="str">
        <f t="shared" si="79"/>
        <v/>
      </c>
      <c r="R236" s="219" t="str">
        <f t="shared" si="80"/>
        <v/>
      </c>
      <c r="S236" s="331" t="str">
        <f t="shared" si="81"/>
        <v/>
      </c>
      <c r="T236" s="331" t="str">
        <f t="shared" si="82"/>
        <v/>
      </c>
      <c r="U236" s="331" t="str">
        <f t="shared" si="83"/>
        <v/>
      </c>
    </row>
    <row r="237" spans="1:21" ht="15.95" customHeight="1">
      <c r="A237" s="211">
        <f>IF(COUNTBLANK('RNEW import'!B235)=1,"",'RNEW import'!B235)</f>
        <v>18</v>
      </c>
      <c r="B237" s="211" t="str">
        <f>IF(COUNTBLANK('RNEW import'!D235)=1,"",'RNEW import'!D235)</f>
        <v>Galati Shopping City SRL</v>
      </c>
      <c r="C237" s="211" t="str">
        <f>IF(COUNTBLANK('RNEW import'!E235)=1,"",'RNEW import'!E235)</f>
        <v>RGSC</v>
      </c>
      <c r="D237" s="211" t="str">
        <f>IF(COUNTBLANK('RNEW import'!K235)=1,"",'RNEW import'!K235)</f>
        <v>Tarif distributie SDI JT_</v>
      </c>
      <c r="E237" s="211">
        <f>IF(COUNTBLANK('RNEW import'!L235)=1,"",'RNEW import'!N235)</f>
        <v>18011</v>
      </c>
      <c r="F237" s="211">
        <f>IF(COUNTBLANK('RNEW import'!M235)=1,"",'RNEW import'!O235/10000)</f>
        <v>0.1192</v>
      </c>
      <c r="G237" s="217">
        <f t="shared" si="84"/>
        <v>2146.91</v>
      </c>
      <c r="H237" s="217">
        <f t="shared" si="77"/>
        <v>407.91</v>
      </c>
      <c r="I237" s="329">
        <f t="shared" si="85"/>
        <v>2554.8199999999997</v>
      </c>
      <c r="J237" s="237" t="str">
        <f t="shared" si="72"/>
        <v/>
      </c>
      <c r="K237" s="238" t="str">
        <f t="shared" si="73"/>
        <v/>
      </c>
      <c r="L237" s="238" t="str">
        <f t="shared" si="74"/>
        <v/>
      </c>
      <c r="M237" s="238" t="str">
        <f t="shared" si="75"/>
        <v/>
      </c>
      <c r="N237" s="238" t="str">
        <f t="shared" si="76"/>
        <v/>
      </c>
      <c r="O237" s="232" t="str">
        <f t="shared" si="86"/>
        <v/>
      </c>
      <c r="P237" s="219" t="str">
        <f t="shared" si="78"/>
        <v>Energie consumata din PV</v>
      </c>
      <c r="Q237" s="219">
        <f t="shared" si="79"/>
        <v>281637</v>
      </c>
      <c r="R237" s="219">
        <f t="shared" si="80"/>
        <v>0.96800799999999998</v>
      </c>
      <c r="S237" s="331">
        <f t="shared" si="81"/>
        <v>272626.75</v>
      </c>
      <c r="T237" s="331">
        <f t="shared" si="82"/>
        <v>51799.08</v>
      </c>
      <c r="U237" s="331">
        <f t="shared" si="83"/>
        <v>324425.83</v>
      </c>
    </row>
    <row r="238" spans="1:21" ht="15.95" customHeight="1">
      <c r="A238" s="211">
        <f>IF(COUNTBLANK('RNEW import'!B236)=1,"",'RNEW import'!B236)</f>
        <v>19</v>
      </c>
      <c r="B238" s="211" t="str">
        <f>IF(COUNTBLANK('RNEW import'!D236)=1,"",'RNEW import'!D236)</f>
        <v>Galati Shopping City SRL</v>
      </c>
      <c r="C238" s="211" t="str">
        <f>IF(COUNTBLANK('RNEW import'!E236)=1,"",'RNEW import'!E236)</f>
        <v>RGSC</v>
      </c>
      <c r="D238" s="211" t="str">
        <f>IF(COUNTBLANK('RNEW import'!K236)=1,"",'RNEW import'!K236)</f>
        <v>Regularizare Energie activa 1</v>
      </c>
      <c r="E238" s="211">
        <f>IF(COUNTBLANK('RNEW import'!L236)=1,"",'RNEW import'!N236)</f>
        <v>0</v>
      </c>
      <c r="F238" s="211">
        <f>IF(COUNTBLANK('RNEW import'!M236)=1,"",'RNEW import'!O236/10000)</f>
        <v>0.59499999999999997</v>
      </c>
      <c r="G238" s="217">
        <f t="shared" si="84"/>
        <v>0</v>
      </c>
      <c r="H238" s="217">
        <f t="shared" si="77"/>
        <v>0</v>
      </c>
      <c r="I238" s="329">
        <f t="shared" si="85"/>
        <v>0</v>
      </c>
      <c r="J238" s="237" t="str">
        <f t="shared" si="72"/>
        <v/>
      </c>
      <c r="K238" s="238" t="str">
        <f t="shared" si="73"/>
        <v/>
      </c>
      <c r="L238" s="238" t="str">
        <f t="shared" si="74"/>
        <v/>
      </c>
      <c r="M238" s="238" t="str">
        <f t="shared" si="75"/>
        <v/>
      </c>
      <c r="N238" s="238" t="str">
        <f t="shared" si="76"/>
        <v/>
      </c>
      <c r="O238" s="232" t="str">
        <f t="shared" si="86"/>
        <v/>
      </c>
      <c r="P238" s="219" t="str">
        <f t="shared" si="78"/>
        <v>Energie activa regularizare</v>
      </c>
      <c r="Q238" s="219">
        <f t="shared" si="79"/>
        <v>0</v>
      </c>
      <c r="R238" s="219">
        <f t="shared" si="80"/>
        <v>0</v>
      </c>
      <c r="S238" s="331">
        <f t="shared" si="81"/>
        <v>0</v>
      </c>
      <c r="T238" s="331">
        <f t="shared" si="82"/>
        <v>0</v>
      </c>
      <c r="U238" s="331">
        <f t="shared" si="83"/>
        <v>0</v>
      </c>
    </row>
    <row r="239" spans="1:21" ht="15.95" customHeight="1">
      <c r="A239" s="211">
        <f>IF(COUNTBLANK('RNEW import'!B237)=1,"",'RNEW import'!B237)</f>
        <v>20</v>
      </c>
      <c r="B239" s="211" t="str">
        <f>IF(COUNTBLANK('RNEW import'!D237)=1,"",'RNEW import'!D237)</f>
        <v>Galati Shopping City SRL</v>
      </c>
      <c r="C239" s="211" t="str">
        <f>IF(COUNTBLANK('RNEW import'!E237)=1,"",'RNEW import'!E237)</f>
        <v>RGSC</v>
      </c>
      <c r="D239" s="211" t="str">
        <f>IF(COUNTBLANK('RNEW import'!K237)=1,"",'RNEW import'!K237)</f>
        <v>Regularizare Energie reactiva  1X</v>
      </c>
      <c r="E239" s="211">
        <f>IF(COUNTBLANK('RNEW import'!L237)=1,"",'RNEW import'!N237)</f>
        <v>6914</v>
      </c>
      <c r="F239" s="211">
        <f>IF(COUNTBLANK('RNEW import'!M237)=1,"",'RNEW import'!O237/10000)</f>
        <v>0.14649999999999999</v>
      </c>
      <c r="G239" s="217">
        <f t="shared" si="84"/>
        <v>1012.9</v>
      </c>
      <c r="H239" s="217">
        <f t="shared" si="77"/>
        <v>192.45</v>
      </c>
      <c r="I239" s="329">
        <f t="shared" si="85"/>
        <v>1205.3499999999999</v>
      </c>
      <c r="J239" s="237" t="str">
        <f t="shared" si="72"/>
        <v/>
      </c>
      <c r="K239" s="238" t="str">
        <f t="shared" si="73"/>
        <v/>
      </c>
      <c r="L239" s="238" t="str">
        <f t="shared" si="74"/>
        <v/>
      </c>
      <c r="M239" s="238" t="str">
        <f t="shared" si="75"/>
        <v/>
      </c>
      <c r="N239" s="238" t="str">
        <f t="shared" si="76"/>
        <v/>
      </c>
      <c r="O239" s="232" t="str">
        <f t="shared" si="86"/>
        <v/>
      </c>
      <c r="P239" s="219" t="str">
        <f t="shared" si="78"/>
        <v>Energie reactiva 1x regularizare</v>
      </c>
      <c r="Q239" s="219">
        <f t="shared" si="79"/>
        <v>6914</v>
      </c>
      <c r="R239" s="219">
        <f t="shared" si="80"/>
        <v>0.14649999999999999</v>
      </c>
      <c r="S239" s="331">
        <f t="shared" si="81"/>
        <v>1012.9</v>
      </c>
      <c r="T239" s="331">
        <f t="shared" si="82"/>
        <v>192.45</v>
      </c>
      <c r="U239" s="331">
        <f t="shared" si="83"/>
        <v>1205.3499999999999</v>
      </c>
    </row>
    <row r="240" spans="1:21" ht="15.95" customHeight="1">
      <c r="A240" s="211">
        <f>IF(COUNTBLANK('RNEW import'!B238)=1,"",'RNEW import'!B238)</f>
        <v>21</v>
      </c>
      <c r="B240" s="211" t="str">
        <f>IF(COUNTBLANK('RNEW import'!D238)=1,"",'RNEW import'!D238)</f>
        <v>Galati Shopping City SRL</v>
      </c>
      <c r="C240" s="211" t="str">
        <f>IF(COUNTBLANK('RNEW import'!E238)=1,"",'RNEW import'!E238)</f>
        <v>RGSC</v>
      </c>
      <c r="D240" s="211" t="str">
        <f>IF(COUNTBLANK('RNEW import'!K238)=1,"",'RNEW import'!K238)</f>
        <v>Regularizare Energie reactiva  3X</v>
      </c>
      <c r="E240" s="211">
        <f>IF(COUNTBLANK('RNEW import'!L238)=1,"",'RNEW import'!N238)</f>
        <v>4365</v>
      </c>
      <c r="F240" s="211">
        <f>IF(COUNTBLANK('RNEW import'!M238)=1,"",'RNEW import'!O238/10000)</f>
        <v>0.4395</v>
      </c>
      <c r="G240" s="217">
        <f t="shared" si="84"/>
        <v>1918.42</v>
      </c>
      <c r="H240" s="217">
        <f t="shared" si="77"/>
        <v>364.5</v>
      </c>
      <c r="I240" s="329">
        <f t="shared" si="85"/>
        <v>2282.92</v>
      </c>
      <c r="J240" s="237" t="str">
        <f t="shared" si="72"/>
        <v/>
      </c>
      <c r="K240" s="238" t="str">
        <f t="shared" si="73"/>
        <v/>
      </c>
      <c r="L240" s="238" t="str">
        <f t="shared" si="74"/>
        <v/>
      </c>
      <c r="M240" s="238" t="str">
        <f t="shared" si="75"/>
        <v/>
      </c>
      <c r="N240" s="238" t="str">
        <f t="shared" si="76"/>
        <v/>
      </c>
      <c r="O240" s="232" t="str">
        <f t="shared" si="86"/>
        <v/>
      </c>
      <c r="P240" s="219" t="str">
        <f t="shared" si="78"/>
        <v>Energie reactiva 3x regularizare</v>
      </c>
      <c r="Q240" s="219">
        <f t="shared" si="79"/>
        <v>4365</v>
      </c>
      <c r="R240" s="219">
        <f t="shared" si="80"/>
        <v>0.4395</v>
      </c>
      <c r="S240" s="331">
        <f t="shared" si="81"/>
        <v>1918.42</v>
      </c>
      <c r="T240" s="331">
        <f t="shared" si="82"/>
        <v>364.5</v>
      </c>
      <c r="U240" s="331">
        <f t="shared" si="83"/>
        <v>2282.92</v>
      </c>
    </row>
    <row r="241" spans="1:21" ht="15.95" customHeight="1">
      <c r="A241" s="211">
        <f>IF(COUNTBLANK('RNEW import'!B239)=1,"",'RNEW import'!B239)</f>
        <v>22</v>
      </c>
      <c r="B241" s="211" t="str">
        <f>IF(COUNTBLANK('RNEW import'!D239)=1,"",'RNEW import'!D239)</f>
        <v>Galati Shopping City SRL</v>
      </c>
      <c r="C241" s="211" t="str">
        <f>IF(COUNTBLANK('RNEW import'!E239)=1,"",'RNEW import'!E239)</f>
        <v>RGSC</v>
      </c>
      <c r="D241" s="211" t="str">
        <f>IF(COUNTBLANK('RNEW import'!K239)=1,"",'RNEW import'!K239)</f>
        <v>Regularizare Tarife distributie en. El IT+MT</v>
      </c>
      <c r="E241" s="211">
        <f>IF(COUNTBLANK('RNEW import'!L239)=1,"",'RNEW import'!N239)</f>
        <v>0</v>
      </c>
      <c r="F241" s="211">
        <f>IF(COUNTBLANK('RNEW import'!M239)=1,"",'RNEW import'!O239/10000)</f>
        <v>0.11483</v>
      </c>
      <c r="G241" s="217">
        <f t="shared" si="84"/>
        <v>0</v>
      </c>
      <c r="H241" s="217">
        <f t="shared" si="77"/>
        <v>0</v>
      </c>
      <c r="I241" s="329">
        <f t="shared" si="85"/>
        <v>0</v>
      </c>
      <c r="J241" s="237" t="str">
        <f t="shared" si="72"/>
        <v/>
      </c>
      <c r="K241" s="238" t="str">
        <f t="shared" si="73"/>
        <v/>
      </c>
      <c r="L241" s="238" t="str">
        <f t="shared" si="74"/>
        <v/>
      </c>
      <c r="M241" s="238" t="str">
        <f t="shared" si="75"/>
        <v/>
      </c>
      <c r="N241" s="238" t="str">
        <f t="shared" si="76"/>
        <v/>
      </c>
      <c r="O241" s="233" t="str">
        <f t="shared" si="86"/>
        <v/>
      </c>
      <c r="P241" s="219" t="str">
        <f t="shared" si="78"/>
        <v/>
      </c>
      <c r="Q241" s="219" t="str">
        <f t="shared" si="79"/>
        <v/>
      </c>
      <c r="R241" s="219" t="str">
        <f t="shared" si="80"/>
        <v/>
      </c>
      <c r="S241" s="331" t="str">
        <f t="shared" si="81"/>
        <v/>
      </c>
      <c r="T241" s="331" t="str">
        <f t="shared" si="82"/>
        <v/>
      </c>
      <c r="U241" s="331" t="str">
        <f t="shared" si="83"/>
        <v/>
      </c>
    </row>
    <row r="242" spans="1:21" ht="15.95" customHeight="1">
      <c r="A242" s="211">
        <f>IF(COUNTBLANK('RNEW import'!B240)=1,"",'RNEW import'!B240)</f>
        <v>23</v>
      </c>
      <c r="B242" s="211" t="str">
        <f>IF(COUNTBLANK('RNEW import'!D240)=1,"",'RNEW import'!D240)</f>
        <v>Galati Shopping City SRL</v>
      </c>
      <c r="C242" s="211" t="str">
        <f>IF(COUNTBLANK('RNEW import'!E240)=1,"",'RNEW import'!E240)</f>
        <v>RGSC</v>
      </c>
      <c r="D242" s="211" t="str">
        <f>IF(COUNTBLANK('RNEW import'!K240)=1,"",'RNEW import'!K240)</f>
        <v>Regularizare Tarife distributie en. El JT</v>
      </c>
      <c r="E242" s="211">
        <f>IF(COUNTBLANK('RNEW import'!L240)=1,"",'RNEW import'!N240)</f>
        <v>0</v>
      </c>
      <c r="F242" s="211">
        <f>IF(COUNTBLANK('RNEW import'!M240)=1,"",'RNEW import'!O240/10000)</f>
        <v>0.2361</v>
      </c>
      <c r="G242" s="217">
        <f t="shared" si="84"/>
        <v>0</v>
      </c>
      <c r="H242" s="217">
        <f t="shared" si="77"/>
        <v>0</v>
      </c>
      <c r="I242" s="329">
        <f t="shared" si="85"/>
        <v>0</v>
      </c>
      <c r="J242" s="237" t="str">
        <f t="shared" si="72"/>
        <v/>
      </c>
      <c r="K242" s="238" t="str">
        <f t="shared" si="73"/>
        <v/>
      </c>
      <c r="L242" s="238" t="str">
        <f t="shared" si="74"/>
        <v/>
      </c>
      <c r="M242" s="238" t="str">
        <f t="shared" si="75"/>
        <v/>
      </c>
      <c r="N242" s="238" t="str">
        <f t="shared" si="76"/>
        <v/>
      </c>
      <c r="O242" s="218" t="str">
        <f t="shared" si="86"/>
        <v/>
      </c>
      <c r="P242" s="219" t="str">
        <f t="shared" si="78"/>
        <v/>
      </c>
      <c r="Q242" s="219" t="str">
        <f t="shared" si="79"/>
        <v/>
      </c>
      <c r="R242" s="219" t="str">
        <f t="shared" si="80"/>
        <v/>
      </c>
      <c r="S242" s="331" t="str">
        <f t="shared" si="81"/>
        <v/>
      </c>
      <c r="T242" s="331" t="str">
        <f t="shared" si="82"/>
        <v/>
      </c>
      <c r="U242" s="331" t="str">
        <f t="shared" si="83"/>
        <v/>
      </c>
    </row>
    <row r="243" spans="1:21" ht="15.95" customHeight="1">
      <c r="A243" s="211">
        <f>IF(COUNTBLANK('RNEW import'!B241)=1,"",'RNEW import'!B241)</f>
        <v>24</v>
      </c>
      <c r="B243" s="211" t="str">
        <f>IF(COUNTBLANK('RNEW import'!D241)=1,"",'RNEW import'!D241)</f>
        <v>Galati Shopping City SRL</v>
      </c>
      <c r="C243" s="211" t="str">
        <f>IF(COUNTBLANK('RNEW import'!E241)=1,"",'RNEW import'!E241)</f>
        <v>RGSC</v>
      </c>
      <c r="D243" s="211" t="str">
        <f>IF(COUNTBLANK('RNEW import'!K241)=1,"",'RNEW import'!K241)</f>
        <v xml:space="preserve">Regularizare Servicii Sistem </v>
      </c>
      <c r="E243" s="211">
        <f>IF(COUNTBLANK('RNEW import'!L241)=1,"",'RNEW import'!N241)</f>
        <v>0</v>
      </c>
      <c r="F243" s="211">
        <f>IF(COUNTBLANK('RNEW import'!M241)=1,"",'RNEW import'!O241/10000)</f>
        <v>1.1509999999999999E-2</v>
      </c>
      <c r="G243" s="217">
        <f t="shared" si="84"/>
        <v>0</v>
      </c>
      <c r="H243" s="217">
        <f t="shared" si="77"/>
        <v>0</v>
      </c>
      <c r="I243" s="329">
        <f t="shared" si="85"/>
        <v>0</v>
      </c>
      <c r="J243" s="237" t="str">
        <f t="shared" si="72"/>
        <v/>
      </c>
      <c r="K243" s="238" t="str">
        <f t="shared" si="73"/>
        <v/>
      </c>
      <c r="L243" s="238" t="str">
        <f t="shared" si="74"/>
        <v/>
      </c>
      <c r="M243" s="238" t="str">
        <f t="shared" si="75"/>
        <v/>
      </c>
      <c r="N243" s="238" t="str">
        <f t="shared" si="76"/>
        <v/>
      </c>
      <c r="O243" s="232" t="str">
        <f t="shared" si="86"/>
        <v/>
      </c>
      <c r="P243" s="219" t="str">
        <f t="shared" si="78"/>
        <v/>
      </c>
      <c r="Q243" s="219" t="str">
        <f t="shared" si="79"/>
        <v/>
      </c>
      <c r="R243" s="219" t="str">
        <f t="shared" si="80"/>
        <v/>
      </c>
      <c r="S243" s="331" t="str">
        <f t="shared" si="81"/>
        <v/>
      </c>
      <c r="T243" s="331" t="str">
        <f t="shared" si="82"/>
        <v/>
      </c>
      <c r="U243" s="331" t="str">
        <f t="shared" si="83"/>
        <v/>
      </c>
    </row>
    <row r="244" spans="1:21" ht="15.95" customHeight="1">
      <c r="A244" s="211">
        <f>IF(COUNTBLANK('RNEW import'!B242)=1,"",'RNEW import'!B242)</f>
        <v>25</v>
      </c>
      <c r="B244" s="211" t="str">
        <f>IF(COUNTBLANK('RNEW import'!D242)=1,"",'RNEW import'!D242)</f>
        <v>Galati Shopping City SRL</v>
      </c>
      <c r="C244" s="211" t="str">
        <f>IF(COUNTBLANK('RNEW import'!E242)=1,"",'RNEW import'!E242)</f>
        <v>RGSC</v>
      </c>
      <c r="D244" s="211" t="str">
        <f>IF(COUNTBLANK('RNEW import'!K242)=1,"",'RNEW import'!K242)</f>
        <v>Regularizare Tarif de introducere en. el in retea (TL)</v>
      </c>
      <c r="E244" s="211">
        <f>IF(COUNTBLANK('RNEW import'!L242)=1,"",'RNEW import'!N242)</f>
        <v>0</v>
      </c>
      <c r="F244" s="211">
        <f>IF(COUNTBLANK('RNEW import'!M242)=1,"",'RNEW import'!O242/10000)</f>
        <v>3.3030000000000004E-2</v>
      </c>
      <c r="G244" s="217">
        <f t="shared" si="84"/>
        <v>0</v>
      </c>
      <c r="H244" s="217">
        <f t="shared" si="77"/>
        <v>0</v>
      </c>
      <c r="I244" s="329">
        <f t="shared" si="85"/>
        <v>0</v>
      </c>
      <c r="J244" s="237" t="str">
        <f t="shared" si="72"/>
        <v/>
      </c>
      <c r="K244" s="238" t="str">
        <f t="shared" si="73"/>
        <v/>
      </c>
      <c r="L244" s="238" t="str">
        <f t="shared" si="74"/>
        <v/>
      </c>
      <c r="M244" s="238" t="str">
        <f t="shared" si="75"/>
        <v/>
      </c>
      <c r="N244" s="238" t="str">
        <f t="shared" si="76"/>
        <v/>
      </c>
      <c r="O244" s="232" t="str">
        <f t="shared" si="86"/>
        <v/>
      </c>
      <c r="P244" s="219" t="str">
        <f t="shared" si="78"/>
        <v/>
      </c>
      <c r="Q244" s="219" t="str">
        <f t="shared" si="79"/>
        <v/>
      </c>
      <c r="R244" s="219" t="str">
        <f t="shared" si="80"/>
        <v/>
      </c>
      <c r="S244" s="331" t="str">
        <f t="shared" si="81"/>
        <v/>
      </c>
      <c r="T244" s="331" t="str">
        <f t="shared" si="82"/>
        <v/>
      </c>
      <c r="U244" s="331" t="str">
        <f t="shared" si="83"/>
        <v/>
      </c>
    </row>
    <row r="245" spans="1:21" ht="15.95" customHeight="1">
      <c r="A245" s="211">
        <f>IF(COUNTBLANK('RNEW import'!B243)=1,"",'RNEW import'!B243)</f>
        <v>26</v>
      </c>
      <c r="B245" s="211" t="str">
        <f>IF(COUNTBLANK('RNEW import'!D243)=1,"",'RNEW import'!D243)</f>
        <v>Galati Shopping City SRL</v>
      </c>
      <c r="C245" s="211" t="str">
        <f>IF(COUNTBLANK('RNEW import'!E243)=1,"",'RNEW import'!E243)</f>
        <v>RGSC</v>
      </c>
      <c r="D245" s="211" t="str">
        <f>IF(COUNTBLANK('RNEW import'!K243)=1,"",'RNEW import'!K243)</f>
        <v>Regularizare Tarif de introducere en.el in retea (TG)</v>
      </c>
      <c r="E245" s="211">
        <f>IF(COUNTBLANK('RNEW import'!L243)=1,"",'RNEW import'!N243)</f>
        <v>0</v>
      </c>
      <c r="F245" s="211">
        <f>IF(COUNTBLANK('RNEW import'!M243)=1,"",'RNEW import'!O243/10000)</f>
        <v>3.29E-3</v>
      </c>
      <c r="G245" s="217">
        <f t="shared" si="84"/>
        <v>0</v>
      </c>
      <c r="H245" s="217">
        <f t="shared" si="77"/>
        <v>0</v>
      </c>
      <c r="I245" s="329">
        <f t="shared" si="85"/>
        <v>0</v>
      </c>
      <c r="J245" s="237" t="str">
        <f t="shared" si="72"/>
        <v/>
      </c>
      <c r="K245" s="238" t="str">
        <f t="shared" si="73"/>
        <v/>
      </c>
      <c r="L245" s="238" t="str">
        <f t="shared" si="74"/>
        <v/>
      </c>
      <c r="M245" s="238" t="str">
        <f t="shared" si="75"/>
        <v/>
      </c>
      <c r="N245" s="238" t="str">
        <f t="shared" si="76"/>
        <v/>
      </c>
      <c r="O245" s="232" t="str">
        <f t="shared" si="86"/>
        <v/>
      </c>
      <c r="P245" s="219" t="str">
        <f t="shared" si="78"/>
        <v/>
      </c>
      <c r="Q245" s="219" t="str">
        <f t="shared" si="79"/>
        <v/>
      </c>
      <c r="R245" s="219" t="str">
        <f t="shared" si="80"/>
        <v/>
      </c>
      <c r="S245" s="331" t="str">
        <f t="shared" si="81"/>
        <v/>
      </c>
      <c r="T245" s="331" t="str">
        <f t="shared" si="82"/>
        <v/>
      </c>
      <c r="U245" s="331" t="str">
        <f t="shared" si="83"/>
        <v/>
      </c>
    </row>
    <row r="246" spans="1:21" ht="15.95" customHeight="1">
      <c r="A246" s="211">
        <f>IF(COUNTBLANK('RNEW import'!B244)=1,"",'RNEW import'!B244)</f>
        <v>27</v>
      </c>
      <c r="B246" s="211" t="str">
        <f>IF(COUNTBLANK('RNEW import'!D244)=1,"",'RNEW import'!D244)</f>
        <v>Galati Shopping City SRL</v>
      </c>
      <c r="C246" s="211" t="str">
        <f>IF(COUNTBLANK('RNEW import'!E244)=1,"",'RNEW import'!E244)</f>
        <v>RGSC</v>
      </c>
      <c r="D246" s="211" t="str">
        <f>IF(COUNTBLANK('RNEW import'!K244)=1,"",'RNEW import'!K244)</f>
        <v>Regularizare Contributie pentru cogenerare</v>
      </c>
      <c r="E246" s="211">
        <f>IF(COUNTBLANK('RNEW import'!L244)=1,"",'RNEW import'!N244)</f>
        <v>0</v>
      </c>
      <c r="F246" s="211">
        <f>IF(COUNTBLANK('RNEW import'!M244)=1,"",'RNEW import'!O244/10000)</f>
        <v>3.5000000000000001E-3</v>
      </c>
      <c r="G246" s="217">
        <f t="shared" si="84"/>
        <v>0</v>
      </c>
      <c r="H246" s="217">
        <f t="shared" si="77"/>
        <v>0</v>
      </c>
      <c r="I246" s="329">
        <f t="shared" si="85"/>
        <v>0</v>
      </c>
      <c r="J246" s="237" t="str">
        <f t="shared" si="72"/>
        <v/>
      </c>
      <c r="K246" s="238" t="str">
        <f t="shared" si="73"/>
        <v/>
      </c>
      <c r="L246" s="238" t="str">
        <f t="shared" si="74"/>
        <v/>
      </c>
      <c r="M246" s="238" t="str">
        <f t="shared" si="75"/>
        <v/>
      </c>
      <c r="N246" s="238" t="str">
        <f t="shared" si="76"/>
        <v/>
      </c>
      <c r="O246" s="232" t="str">
        <f t="shared" si="86"/>
        <v/>
      </c>
      <c r="P246" s="219" t="str">
        <f t="shared" si="78"/>
        <v/>
      </c>
      <c r="Q246" s="219" t="str">
        <f t="shared" si="79"/>
        <v/>
      </c>
      <c r="R246" s="219" t="str">
        <f t="shared" si="80"/>
        <v/>
      </c>
      <c r="S246" s="331" t="str">
        <f t="shared" si="81"/>
        <v/>
      </c>
      <c r="T246" s="331" t="str">
        <f t="shared" si="82"/>
        <v/>
      </c>
      <c r="U246" s="331" t="str">
        <f t="shared" si="83"/>
        <v/>
      </c>
    </row>
    <row r="247" spans="1:21" ht="15.95" customHeight="1">
      <c r="A247" s="211">
        <f>IF(COUNTBLANK('RNEW import'!B245)=1,"",'RNEW import'!B245)</f>
        <v>28</v>
      </c>
      <c r="B247" s="211" t="str">
        <f>IF(COUNTBLANK('RNEW import'!D245)=1,"",'RNEW import'!D245)</f>
        <v>Galati Shopping City SRL</v>
      </c>
      <c r="C247" s="211" t="str">
        <f>IF(COUNTBLANK('RNEW import'!E245)=1,"",'RNEW import'!E245)</f>
        <v>RGSC</v>
      </c>
      <c r="D247" s="211" t="str">
        <f>IF(COUNTBLANK('RNEW import'!K245)=1,"",'RNEW import'!K245)</f>
        <v xml:space="preserve">Regularizare Certificate verzi </v>
      </c>
      <c r="E247" s="211">
        <f>IF(COUNTBLANK('RNEW import'!L245)=1,"",'RNEW import'!N245)</f>
        <v>0</v>
      </c>
      <c r="F247" s="211">
        <f>IF(COUNTBLANK('RNEW import'!M245)=1,"",'RNEW import'!O245/10000)</f>
        <v>7.2541599999999998E-2</v>
      </c>
      <c r="G247" s="217">
        <f t="shared" si="84"/>
        <v>0</v>
      </c>
      <c r="H247" s="217">
        <f t="shared" si="77"/>
        <v>0</v>
      </c>
      <c r="I247" s="329">
        <f t="shared" si="85"/>
        <v>0</v>
      </c>
      <c r="J247" s="237" t="str">
        <f t="shared" si="72"/>
        <v/>
      </c>
      <c r="K247" s="238" t="str">
        <f t="shared" si="73"/>
        <v/>
      </c>
      <c r="L247" s="238" t="str">
        <f t="shared" si="74"/>
        <v/>
      </c>
      <c r="M247" s="238" t="str">
        <f t="shared" si="75"/>
        <v/>
      </c>
      <c r="N247" s="238" t="str">
        <f t="shared" si="76"/>
        <v/>
      </c>
      <c r="O247" s="232" t="str">
        <f t="shared" si="86"/>
        <v/>
      </c>
      <c r="P247" s="219" t="str">
        <f t="shared" si="78"/>
        <v/>
      </c>
      <c r="Q247" s="219" t="str">
        <f t="shared" si="79"/>
        <v/>
      </c>
      <c r="R247" s="219" t="str">
        <f t="shared" si="80"/>
        <v/>
      </c>
      <c r="S247" s="331" t="str">
        <f t="shared" si="81"/>
        <v/>
      </c>
      <c r="T247" s="331" t="str">
        <f t="shared" si="82"/>
        <v/>
      </c>
      <c r="U247" s="331" t="str">
        <f t="shared" si="83"/>
        <v/>
      </c>
    </row>
    <row r="248" spans="1:21" ht="15.95" customHeight="1">
      <c r="A248" s="211">
        <f>IF(COUNTBLANK('RNEW import'!B246)=1,"",'RNEW import'!B246)</f>
        <v>29</v>
      </c>
      <c r="B248" s="211" t="str">
        <f>IF(COUNTBLANK('RNEW import'!D246)=1,"",'RNEW import'!D246)</f>
        <v>Galati Shopping City SRL</v>
      </c>
      <c r="C248" s="211" t="str">
        <f>IF(COUNTBLANK('RNEW import'!E246)=1,"",'RNEW import'!E246)</f>
        <v>RGSC</v>
      </c>
      <c r="D248" s="211" t="str">
        <f>IF(COUNTBLANK('RNEW import'!K246)=1,"",'RNEW import'!K246)</f>
        <v>Regularizare Contributie CFD</v>
      </c>
      <c r="E248" s="211">
        <f>IF(COUNTBLANK('RNEW import'!L246)=1,"",'RNEW import'!N246)</f>
        <v>0</v>
      </c>
      <c r="F248" s="211">
        <f>IF(COUNTBLANK('RNEW import'!M246)=1,"",'RNEW import'!O246/10000)</f>
        <v>2.0599999999999999E-4</v>
      </c>
      <c r="G248" s="217">
        <f t="shared" si="84"/>
        <v>0</v>
      </c>
      <c r="H248" s="217">
        <f t="shared" si="77"/>
        <v>0</v>
      </c>
      <c r="I248" s="329">
        <f t="shared" si="85"/>
        <v>0</v>
      </c>
      <c r="J248" s="237" t="str">
        <f t="shared" si="72"/>
        <v/>
      </c>
      <c r="K248" s="238" t="str">
        <f t="shared" si="73"/>
        <v/>
      </c>
      <c r="L248" s="238" t="str">
        <f t="shared" si="74"/>
        <v/>
      </c>
      <c r="M248" s="238" t="str">
        <f t="shared" si="75"/>
        <v/>
      </c>
      <c r="N248" s="238" t="str">
        <f t="shared" si="76"/>
        <v/>
      </c>
      <c r="O248" s="232" t="str">
        <f t="shared" si="86"/>
        <v/>
      </c>
      <c r="P248" s="219" t="str">
        <f t="shared" si="78"/>
        <v/>
      </c>
      <c r="Q248" s="219" t="str">
        <f t="shared" si="79"/>
        <v/>
      </c>
      <c r="R248" s="219" t="str">
        <f t="shared" si="80"/>
        <v/>
      </c>
      <c r="S248" s="331" t="str">
        <f t="shared" si="81"/>
        <v/>
      </c>
      <c r="T248" s="331" t="str">
        <f t="shared" si="82"/>
        <v/>
      </c>
      <c r="U248" s="331" t="str">
        <f t="shared" si="83"/>
        <v/>
      </c>
    </row>
    <row r="249" spans="1:21" ht="15.95" customHeight="1">
      <c r="A249" s="211">
        <f>IF(COUNTBLANK('RNEW import'!B247)=1,"",'RNEW import'!B247)</f>
        <v>30</v>
      </c>
      <c r="B249" s="211" t="str">
        <f>IF(COUNTBLANK('RNEW import'!D247)=1,"",'RNEW import'!D247)</f>
        <v>Galati Shopping City SRL</v>
      </c>
      <c r="C249" s="211" t="str">
        <f>IF(COUNTBLANK('RNEW import'!E247)=1,"",'RNEW import'!E247)</f>
        <v>RGSC</v>
      </c>
      <c r="D249" s="211" t="str">
        <f>IF(COUNTBLANK('RNEW import'!K247)=1,"",'RNEW import'!K247)</f>
        <v>Regularizare Acciza</v>
      </c>
      <c r="E249" s="211">
        <f>IF(COUNTBLANK('RNEW import'!L247)=1,"",'RNEW import'!N247)</f>
        <v>0</v>
      </c>
      <c r="F249" s="211">
        <f>IF(COUNTBLANK('RNEW import'!M247)=1,"",'RNEW import'!O247/10000)</f>
        <v>0</v>
      </c>
      <c r="G249" s="217">
        <f t="shared" si="84"/>
        <v>0</v>
      </c>
      <c r="H249" s="217">
        <f t="shared" si="77"/>
        <v>0</v>
      </c>
      <c r="I249" s="329">
        <f t="shared" si="85"/>
        <v>0</v>
      </c>
      <c r="J249" s="237" t="str">
        <f t="shared" si="72"/>
        <v/>
      </c>
      <c r="K249" s="238" t="str">
        <f t="shared" si="73"/>
        <v/>
      </c>
      <c r="L249" s="238" t="str">
        <f t="shared" si="74"/>
        <v/>
      </c>
      <c r="M249" s="238" t="str">
        <f t="shared" si="75"/>
        <v/>
      </c>
      <c r="N249" s="238" t="str">
        <f t="shared" si="76"/>
        <v/>
      </c>
      <c r="O249" s="232" t="str">
        <f t="shared" si="86"/>
        <v/>
      </c>
      <c r="P249" s="219" t="str">
        <f t="shared" si="78"/>
        <v/>
      </c>
      <c r="Q249" s="219" t="str">
        <f t="shared" si="79"/>
        <v/>
      </c>
      <c r="R249" s="219" t="str">
        <f t="shared" si="80"/>
        <v/>
      </c>
      <c r="S249" s="331" t="str">
        <f t="shared" si="81"/>
        <v/>
      </c>
      <c r="T249" s="331" t="str">
        <f t="shared" si="82"/>
        <v/>
      </c>
      <c r="U249" s="331" t="str">
        <f t="shared" si="83"/>
        <v/>
      </c>
    </row>
    <row r="250" spans="1:21" ht="15.95" customHeight="1">
      <c r="A250" s="211">
        <f>IF(COUNTBLANK('RNEW import'!B248)=1,"",'RNEW import'!B248)</f>
        <v>31</v>
      </c>
      <c r="B250" s="211" t="str">
        <f>IF(COUNTBLANK('RNEW import'!D248)=1,"",'RNEW import'!D248)</f>
        <v>Galati Shopping City SRL</v>
      </c>
      <c r="C250" s="211" t="str">
        <f>IF(COUNTBLANK('RNEW import'!E248)=1,"",'RNEW import'!E248)</f>
        <v>RGSC</v>
      </c>
      <c r="D250" s="211" t="str">
        <f>IF(COUNTBLANK('RNEW import'!K248)=1,"",'RNEW import'!K248)</f>
        <v>Regularizare Tarif distributie SDI MT Ea1</v>
      </c>
      <c r="E250" s="211">
        <f>IF(COUNTBLANK('RNEW import'!L248)=1,"",'RNEW import'!N248)</f>
        <v>0</v>
      </c>
      <c r="F250" s="211">
        <f>IF(COUNTBLANK('RNEW import'!M248)=1,"",'RNEW import'!O248/10000)</f>
        <v>1.49E-2</v>
      </c>
      <c r="G250" s="217">
        <f t="shared" si="84"/>
        <v>0</v>
      </c>
      <c r="H250" s="217">
        <f t="shared" si="77"/>
        <v>0</v>
      </c>
      <c r="I250" s="329">
        <f t="shared" si="85"/>
        <v>0</v>
      </c>
      <c r="J250" s="237" t="str">
        <f t="shared" si="72"/>
        <v/>
      </c>
      <c r="K250" s="238" t="str">
        <f t="shared" si="73"/>
        <v/>
      </c>
      <c r="L250" s="238" t="str">
        <f t="shared" si="74"/>
        <v/>
      </c>
      <c r="M250" s="238" t="str">
        <f t="shared" si="75"/>
        <v/>
      </c>
      <c r="N250" s="238" t="str">
        <f t="shared" si="76"/>
        <v/>
      </c>
      <c r="O250" s="232" t="str">
        <f t="shared" si="86"/>
        <v/>
      </c>
      <c r="P250" s="219" t="str">
        <f t="shared" si="78"/>
        <v/>
      </c>
      <c r="Q250" s="219" t="str">
        <f t="shared" si="79"/>
        <v/>
      </c>
      <c r="R250" s="219" t="str">
        <f t="shared" si="80"/>
        <v/>
      </c>
      <c r="S250" s="331" t="str">
        <f t="shared" si="81"/>
        <v/>
      </c>
      <c r="T250" s="331" t="str">
        <f t="shared" si="82"/>
        <v/>
      </c>
      <c r="U250" s="331" t="str">
        <f t="shared" si="83"/>
        <v/>
      </c>
    </row>
    <row r="251" spans="1:21" ht="15.95" customHeight="1">
      <c r="A251" s="211">
        <f>IF(COUNTBLANK('RNEW import'!B249)=1,"",'RNEW import'!B249)</f>
        <v>32</v>
      </c>
      <c r="B251" s="211" t="str">
        <f>IF(COUNTBLANK('RNEW import'!D249)=1,"",'RNEW import'!D249)</f>
        <v>Galati Shopping City SRL</v>
      </c>
      <c r="C251" s="211" t="str">
        <f>IF(COUNTBLANK('RNEW import'!E249)=1,"",'RNEW import'!E249)</f>
        <v>RGSC</v>
      </c>
      <c r="D251" s="211" t="str">
        <f>IF(COUNTBLANK('RNEW import'!K249)=1,"",'RNEW import'!K249)</f>
        <v>Regularizare Tarif distributie SDI JT Ea1</v>
      </c>
      <c r="E251" s="211">
        <f>IF(COUNTBLANK('RNEW import'!L249)=1,"",'RNEW import'!N249)</f>
        <v>0</v>
      </c>
      <c r="F251" s="211">
        <f>IF(COUNTBLANK('RNEW import'!M249)=1,"",'RNEW import'!O249/10000)</f>
        <v>0.1192</v>
      </c>
      <c r="G251" s="217">
        <f t="shared" si="84"/>
        <v>0</v>
      </c>
      <c r="H251" s="217">
        <f t="shared" si="77"/>
        <v>0</v>
      </c>
      <c r="I251" s="329">
        <f t="shared" si="85"/>
        <v>0</v>
      </c>
      <c r="J251" s="237" t="str">
        <f t="shared" si="72"/>
        <v/>
      </c>
      <c r="K251" s="238" t="str">
        <f t="shared" si="73"/>
        <v/>
      </c>
      <c r="L251" s="238" t="str">
        <f t="shared" si="74"/>
        <v/>
      </c>
      <c r="M251" s="238" t="str">
        <f t="shared" si="75"/>
        <v/>
      </c>
      <c r="N251" s="238" t="str">
        <f t="shared" si="76"/>
        <v/>
      </c>
      <c r="O251" s="232" t="str">
        <f t="shared" si="86"/>
        <v/>
      </c>
      <c r="P251" s="219" t="str">
        <f t="shared" si="78"/>
        <v/>
      </c>
      <c r="Q251" s="219" t="str">
        <f t="shared" si="79"/>
        <v/>
      </c>
      <c r="R251" s="219" t="str">
        <f t="shared" si="80"/>
        <v/>
      </c>
      <c r="S251" s="331" t="str">
        <f t="shared" si="81"/>
        <v/>
      </c>
      <c r="T251" s="331" t="str">
        <f t="shared" si="82"/>
        <v/>
      </c>
      <c r="U251" s="331" t="str">
        <f t="shared" si="83"/>
        <v/>
      </c>
    </row>
    <row r="252" spans="1:21" ht="15.95" customHeight="1">
      <c r="A252" s="211">
        <f>IF(COUNTBLANK('RNEW import'!B250)=1,"",'RNEW import'!B250)</f>
        <v>33</v>
      </c>
      <c r="B252" s="211" t="str">
        <f>IF(COUNTBLANK('RNEW import'!D250)=1,"",'RNEW import'!D250)</f>
        <v>Galati Shopping City SRL</v>
      </c>
      <c r="C252" s="211" t="str">
        <f>IF(COUNTBLANK('RNEW import'!E250)=1,"",'RNEW import'!E250)</f>
        <v>RGSC</v>
      </c>
      <c r="D252" s="211" t="str">
        <f>IF(COUNTBLANK('RNEW import'!K250)=1,"",'RNEW import'!K250)</f>
        <v>Regularizare Energie activa 2</v>
      </c>
      <c r="E252" s="211">
        <f>IF(COUNTBLANK('RNEW import'!L250)=1,"",'RNEW import'!N250)</f>
        <v>0</v>
      </c>
      <c r="F252" s="211">
        <f>IF(COUNTBLANK('RNEW import'!M250)=1,"",'RNEW import'!O250/10000)</f>
        <v>0.96800760000000008</v>
      </c>
      <c r="G252" s="217">
        <f t="shared" si="84"/>
        <v>0</v>
      </c>
      <c r="H252" s="217">
        <f t="shared" si="77"/>
        <v>0</v>
      </c>
      <c r="I252" s="329">
        <f t="shared" si="85"/>
        <v>0</v>
      </c>
      <c r="J252" s="237" t="str">
        <f t="shared" si="72"/>
        <v/>
      </c>
      <c r="K252" s="238" t="str">
        <f t="shared" si="73"/>
        <v/>
      </c>
      <c r="L252" s="238" t="str">
        <f t="shared" si="74"/>
        <v/>
      </c>
      <c r="M252" s="238" t="str">
        <f t="shared" si="75"/>
        <v/>
      </c>
      <c r="N252" s="238" t="str">
        <f t="shared" si="76"/>
        <v/>
      </c>
      <c r="O252" s="232" t="str">
        <f t="shared" si="86"/>
        <v/>
      </c>
      <c r="P252" s="219" t="str">
        <f t="shared" si="78"/>
        <v/>
      </c>
      <c r="Q252" s="219" t="str">
        <f t="shared" si="79"/>
        <v/>
      </c>
      <c r="R252" s="219" t="str">
        <f t="shared" si="80"/>
        <v/>
      </c>
      <c r="S252" s="331" t="str">
        <f t="shared" si="81"/>
        <v/>
      </c>
      <c r="T252" s="331" t="str">
        <f t="shared" si="82"/>
        <v/>
      </c>
      <c r="U252" s="331" t="str">
        <f t="shared" si="83"/>
        <v/>
      </c>
    </row>
    <row r="253" spans="1:21" ht="15.95" customHeight="1">
      <c r="A253" s="211">
        <f>IF(COUNTBLANK('RNEW import'!B251)=1,"",'RNEW import'!B251)</f>
        <v>34</v>
      </c>
      <c r="B253" s="211" t="str">
        <f>IF(COUNTBLANK('RNEW import'!D251)=1,"",'RNEW import'!D251)</f>
        <v>Galati Shopping City SRL</v>
      </c>
      <c r="C253" s="211" t="str">
        <f>IF(COUNTBLANK('RNEW import'!E251)=1,"",'RNEW import'!E251)</f>
        <v>RGSC</v>
      </c>
      <c r="D253" s="211" t="str">
        <f>IF(COUNTBLANK('RNEW import'!K251)=1,"",'RNEW import'!K251)</f>
        <v>Regularizare Energie activa 3</v>
      </c>
      <c r="E253" s="211">
        <f>IF(COUNTBLANK('RNEW import'!L251)=1,"",'RNEW import'!N251)</f>
        <v>0</v>
      </c>
      <c r="F253" s="211">
        <f>IF(COUNTBLANK('RNEW import'!M251)=1,"",'RNEW import'!O251/10000)</f>
        <v>0.83390760000000008</v>
      </c>
      <c r="G253" s="217">
        <f t="shared" si="84"/>
        <v>0</v>
      </c>
      <c r="H253" s="217">
        <f t="shared" si="77"/>
        <v>0</v>
      </c>
      <c r="I253" s="329">
        <f t="shared" si="85"/>
        <v>0</v>
      </c>
      <c r="J253" s="237" t="str">
        <f t="shared" si="72"/>
        <v/>
      </c>
      <c r="K253" s="238" t="str">
        <f t="shared" si="73"/>
        <v/>
      </c>
      <c r="L253" s="238" t="str">
        <f t="shared" si="74"/>
        <v/>
      </c>
      <c r="M253" s="238" t="str">
        <f t="shared" si="75"/>
        <v/>
      </c>
      <c r="N253" s="238" t="str">
        <f t="shared" si="76"/>
        <v/>
      </c>
      <c r="O253" s="232" t="str">
        <f t="shared" si="86"/>
        <v/>
      </c>
      <c r="P253" s="219" t="str">
        <f t="shared" si="78"/>
        <v/>
      </c>
      <c r="Q253" s="219" t="str">
        <f t="shared" si="79"/>
        <v/>
      </c>
      <c r="R253" s="219" t="str">
        <f t="shared" si="80"/>
        <v/>
      </c>
      <c r="S253" s="331" t="str">
        <f t="shared" si="81"/>
        <v/>
      </c>
      <c r="T253" s="331" t="str">
        <f t="shared" si="82"/>
        <v/>
      </c>
      <c r="U253" s="331" t="str">
        <f t="shared" si="83"/>
        <v/>
      </c>
    </row>
    <row r="254" spans="1:21" ht="15.95" customHeight="1">
      <c r="A254" s="211">
        <f>IF(COUNTBLANK('RNEW import'!B252)=1,"",'RNEW import'!B252)</f>
        <v>35</v>
      </c>
      <c r="B254" s="211" t="str">
        <f>IF(COUNTBLANK('RNEW import'!D252)=1,"",'RNEW import'!D252)</f>
        <v>Galati Shopping City SRL</v>
      </c>
      <c r="C254" s="211" t="str">
        <f>IF(COUNTBLANK('RNEW import'!E252)=1,"",'RNEW import'!E252)</f>
        <v>RGSC</v>
      </c>
      <c r="D254" s="211" t="str">
        <f>IF(COUNTBLANK('RNEW import'!K252)=1,"",'RNEW import'!K252)</f>
        <v>Regularizare Tarif distributie SDI MT Ea3</v>
      </c>
      <c r="E254" s="211">
        <f>IF(COUNTBLANK('RNEW import'!L252)=1,"",'RNEW import'!N252)</f>
        <v>0</v>
      </c>
      <c r="F254" s="211">
        <f>IF(COUNTBLANK('RNEW import'!M252)=1,"",'RNEW import'!O252/10000)</f>
        <v>1.49E-2</v>
      </c>
      <c r="G254" s="217">
        <f t="shared" si="84"/>
        <v>0</v>
      </c>
      <c r="H254" s="217">
        <f t="shared" si="77"/>
        <v>0</v>
      </c>
      <c r="I254" s="329">
        <f t="shared" si="85"/>
        <v>0</v>
      </c>
      <c r="J254" s="237" t="str">
        <f t="shared" si="72"/>
        <v/>
      </c>
      <c r="K254" s="238" t="str">
        <f t="shared" si="73"/>
        <v/>
      </c>
      <c r="L254" s="238" t="str">
        <f t="shared" si="74"/>
        <v/>
      </c>
      <c r="M254" s="238" t="str">
        <f t="shared" si="75"/>
        <v/>
      </c>
      <c r="N254" s="238" t="str">
        <f t="shared" si="76"/>
        <v/>
      </c>
      <c r="O254" s="232" t="str">
        <f t="shared" si="86"/>
        <v/>
      </c>
      <c r="P254" s="219" t="str">
        <f t="shared" si="78"/>
        <v/>
      </c>
      <c r="Q254" s="219" t="str">
        <f t="shared" si="79"/>
        <v/>
      </c>
      <c r="R254" s="219" t="str">
        <f t="shared" si="80"/>
        <v/>
      </c>
      <c r="S254" s="331" t="str">
        <f t="shared" si="81"/>
        <v/>
      </c>
      <c r="T254" s="331" t="str">
        <f t="shared" si="82"/>
        <v/>
      </c>
      <c r="U254" s="331" t="str">
        <f t="shared" si="83"/>
        <v/>
      </c>
    </row>
    <row r="255" spans="1:21" ht="15.95" customHeight="1">
      <c r="A255" s="211">
        <f>IF(COUNTBLANK('RNEW import'!B253)=1,"",'RNEW import'!B253)</f>
        <v>36</v>
      </c>
      <c r="B255" s="211" t="str">
        <f>IF(COUNTBLANK('RNEW import'!D253)=1,"",'RNEW import'!D253)</f>
        <v>Galati Shopping City SRL</v>
      </c>
      <c r="C255" s="211" t="str">
        <f>IF(COUNTBLANK('RNEW import'!E253)=1,"",'RNEW import'!E253)</f>
        <v>RGSC</v>
      </c>
      <c r="D255" s="211" t="str">
        <f>IF(COUNTBLANK('RNEW import'!K253)=1,"",'RNEW import'!K253)</f>
        <v>Regularizare Tarif distributie SDI JT Ea3</v>
      </c>
      <c r="E255" s="211">
        <f>IF(COUNTBLANK('RNEW import'!L253)=1,"",'RNEW import'!N253)</f>
        <v>0</v>
      </c>
      <c r="F255" s="211">
        <f>IF(COUNTBLANK('RNEW import'!M253)=1,"",'RNEW import'!O253/10000)</f>
        <v>0.1192</v>
      </c>
      <c r="G255" s="217">
        <f t="shared" si="84"/>
        <v>0</v>
      </c>
      <c r="H255" s="217">
        <f t="shared" si="77"/>
        <v>0</v>
      </c>
      <c r="I255" s="329">
        <f t="shared" si="85"/>
        <v>0</v>
      </c>
      <c r="J255" s="237" t="str">
        <f t="shared" si="72"/>
        <v/>
      </c>
      <c r="K255" s="238" t="str">
        <f t="shared" si="73"/>
        <v/>
      </c>
      <c r="L255" s="238" t="str">
        <f t="shared" si="74"/>
        <v/>
      </c>
      <c r="M255" s="238" t="str">
        <f t="shared" si="75"/>
        <v/>
      </c>
      <c r="N255" s="238" t="str">
        <f t="shared" si="76"/>
        <v/>
      </c>
      <c r="O255" s="232" t="str">
        <f t="shared" si="86"/>
        <v/>
      </c>
      <c r="P255" s="219" t="str">
        <f t="shared" si="78"/>
        <v>Energie consumata din PV regularizare</v>
      </c>
      <c r="Q255" s="219">
        <f t="shared" si="79"/>
        <v>0</v>
      </c>
      <c r="R255" s="219">
        <f t="shared" si="80"/>
        <v>0</v>
      </c>
      <c r="S255" s="331">
        <f t="shared" si="81"/>
        <v>0</v>
      </c>
      <c r="T255" s="331">
        <f t="shared" si="82"/>
        <v>0</v>
      </c>
      <c r="U255" s="331">
        <f t="shared" si="83"/>
        <v>0</v>
      </c>
    </row>
    <row r="256" spans="1:21" ht="15.95" customHeight="1">
      <c r="A256" s="211">
        <f>IF(COUNTBLANK('RNEW import'!B254)=1,"",'RNEW import'!B254)</f>
        <v>1</v>
      </c>
      <c r="B256" s="211" t="str">
        <f>IF(COUNTBLANK('RNEW import'!D254)=1,"",'RNEW import'!D254)</f>
        <v>Shopping City Timisoara SRL</v>
      </c>
      <c r="C256" s="211" t="str">
        <f>IF(COUNTBLANK('RNEW import'!E254)=1,"",'RNEW import'!E254)</f>
        <v>RTIM</v>
      </c>
      <c r="D256" s="211" t="str">
        <f>IF(COUNTBLANK('RNEW import'!K254)=1,"",'RNEW import'!K254)</f>
        <v>Energie activa 1</v>
      </c>
      <c r="E256" s="211">
        <f>IF(COUNTBLANK('RNEW import'!L254)=1,"",'RNEW import'!N254)</f>
        <v>1077353</v>
      </c>
      <c r="F256" s="211">
        <f>IF(COUNTBLANK('RNEW import'!M254)=1,"",'RNEW import'!O254/10000)</f>
        <v>0.59499999999999997</v>
      </c>
      <c r="G256" s="217">
        <f t="shared" si="84"/>
        <v>641025.04</v>
      </c>
      <c r="H256" s="217">
        <f t="shared" si="77"/>
        <v>121794.76</v>
      </c>
      <c r="I256" s="329">
        <f t="shared" si="85"/>
        <v>762819.8</v>
      </c>
      <c r="J256" s="237" t="str">
        <f t="shared" si="72"/>
        <v>Shopping City Timisoara SRL</v>
      </c>
      <c r="K256" s="238">
        <f t="shared" si="73"/>
        <v>103268.95</v>
      </c>
      <c r="L256" s="238">
        <f t="shared" si="74"/>
        <v>867652.69000000006</v>
      </c>
      <c r="M256" s="238">
        <f t="shared" si="75"/>
        <v>142770.72</v>
      </c>
      <c r="N256" s="238">
        <f t="shared" si="76"/>
        <v>1089335</v>
      </c>
      <c r="O256" s="232" t="str">
        <f t="shared" si="86"/>
        <v>Shopping City Timisoara SRL</v>
      </c>
      <c r="P256" s="219" t="str">
        <f t="shared" si="78"/>
        <v>Enegie activa</v>
      </c>
      <c r="Q256" s="219">
        <f t="shared" si="79"/>
        <v>1077353</v>
      </c>
      <c r="R256" s="219">
        <f t="shared" si="80"/>
        <v>0.90005800000000002</v>
      </c>
      <c r="S256" s="331">
        <f t="shared" si="81"/>
        <v>969679.75</v>
      </c>
      <c r="T256" s="331">
        <f t="shared" si="82"/>
        <v>184239.15</v>
      </c>
      <c r="U256" s="331">
        <f t="shared" si="83"/>
        <v>1153918.8999999999</v>
      </c>
    </row>
    <row r="257" spans="1:21" ht="15.95" customHeight="1">
      <c r="A257" s="211">
        <f>IF(COUNTBLANK('RNEW import'!B255)=1,"",'RNEW import'!B255)</f>
        <v>2</v>
      </c>
      <c r="B257" s="211" t="str">
        <f>IF(COUNTBLANK('RNEW import'!D255)=1,"",'RNEW import'!D255)</f>
        <v>Shopping City Timisoara SRL</v>
      </c>
      <c r="C257" s="211" t="str">
        <f>IF(COUNTBLANK('RNEW import'!E255)=1,"",'RNEW import'!E255)</f>
        <v>RTIM</v>
      </c>
      <c r="D257" s="211" t="str">
        <f>IF(COUNTBLANK('RNEW import'!K255)=1,"",'RNEW import'!K255)</f>
        <v>Energie reactiva  1X</v>
      </c>
      <c r="E257" s="211">
        <f>IF(COUNTBLANK('RNEW import'!L255)=1,"",'RNEW import'!N255)</f>
        <v>0</v>
      </c>
      <c r="F257" s="211">
        <f>IF(COUNTBLANK('RNEW import'!M255)=1,"",'RNEW import'!O255/10000)</f>
        <v>0.14660000000000001</v>
      </c>
      <c r="G257" s="217">
        <f t="shared" si="84"/>
        <v>0</v>
      </c>
      <c r="H257" s="217">
        <f t="shared" si="77"/>
        <v>0</v>
      </c>
      <c r="I257" s="329">
        <f t="shared" si="85"/>
        <v>0</v>
      </c>
      <c r="J257" s="237" t="str">
        <f t="shared" si="72"/>
        <v/>
      </c>
      <c r="K257" s="238" t="str">
        <f t="shared" si="73"/>
        <v/>
      </c>
      <c r="L257" s="238" t="str">
        <f t="shared" si="74"/>
        <v/>
      </c>
      <c r="M257" s="238" t="str">
        <f t="shared" si="75"/>
        <v/>
      </c>
      <c r="N257" s="238" t="str">
        <f t="shared" si="76"/>
        <v/>
      </c>
      <c r="O257" s="232" t="str">
        <f t="shared" si="86"/>
        <v/>
      </c>
      <c r="P257" s="219" t="str">
        <f t="shared" si="78"/>
        <v>Energie reactiva 1x</v>
      </c>
      <c r="Q257" s="219">
        <f t="shared" si="79"/>
        <v>0</v>
      </c>
      <c r="R257" s="219">
        <f t="shared" si="80"/>
        <v>0.14660000000000001</v>
      </c>
      <c r="S257" s="331">
        <f t="shared" si="81"/>
        <v>0</v>
      </c>
      <c r="T257" s="331">
        <f t="shared" si="82"/>
        <v>0</v>
      </c>
      <c r="U257" s="331">
        <f t="shared" si="83"/>
        <v>0</v>
      </c>
    </row>
    <row r="258" spans="1:21" ht="15.95" customHeight="1">
      <c r="A258" s="211">
        <f>IF(COUNTBLANK('RNEW import'!B256)=1,"",'RNEW import'!B256)</f>
        <v>3</v>
      </c>
      <c r="B258" s="211" t="str">
        <f>IF(COUNTBLANK('RNEW import'!D256)=1,"",'RNEW import'!D256)</f>
        <v>Shopping City Timisoara SRL</v>
      </c>
      <c r="C258" s="211" t="str">
        <f>IF(COUNTBLANK('RNEW import'!E256)=1,"",'RNEW import'!E256)</f>
        <v>RTIM</v>
      </c>
      <c r="D258" s="211" t="str">
        <f>IF(COUNTBLANK('RNEW import'!K256)=1,"",'RNEW import'!K256)</f>
        <v>Energie reactiva  3X</v>
      </c>
      <c r="E258" s="211">
        <f>IF(COUNTBLANK('RNEW import'!L256)=1,"",'RNEW import'!N256)</f>
        <v>0</v>
      </c>
      <c r="F258" s="211">
        <f>IF(COUNTBLANK('RNEW import'!M256)=1,"",'RNEW import'!O256/10000)</f>
        <v>0.43980000000000002</v>
      </c>
      <c r="G258" s="217">
        <f t="shared" si="84"/>
        <v>0</v>
      </c>
      <c r="H258" s="217">
        <f t="shared" si="77"/>
        <v>0</v>
      </c>
      <c r="I258" s="329">
        <f t="shared" si="85"/>
        <v>0</v>
      </c>
      <c r="J258" s="237" t="str">
        <f t="shared" si="72"/>
        <v/>
      </c>
      <c r="K258" s="238" t="str">
        <f t="shared" si="73"/>
        <v/>
      </c>
      <c r="L258" s="238" t="str">
        <f t="shared" si="74"/>
        <v/>
      </c>
      <c r="M258" s="238" t="str">
        <f t="shared" si="75"/>
        <v/>
      </c>
      <c r="N258" s="238" t="str">
        <f t="shared" si="76"/>
        <v/>
      </c>
      <c r="O258" s="232" t="str">
        <f t="shared" si="86"/>
        <v/>
      </c>
      <c r="P258" s="219" t="str">
        <f t="shared" si="78"/>
        <v>Energie reactiva 3x</v>
      </c>
      <c r="Q258" s="219">
        <f t="shared" si="79"/>
        <v>0</v>
      </c>
      <c r="R258" s="219">
        <f t="shared" si="80"/>
        <v>0.43980000000000002</v>
      </c>
      <c r="S258" s="331">
        <f t="shared" si="81"/>
        <v>0</v>
      </c>
      <c r="T258" s="331">
        <f t="shared" si="82"/>
        <v>0</v>
      </c>
      <c r="U258" s="331">
        <f t="shared" si="83"/>
        <v>0</v>
      </c>
    </row>
    <row r="259" spans="1:21" ht="15.95" customHeight="1">
      <c r="A259" s="211">
        <f>IF(COUNTBLANK('RNEW import'!B257)=1,"",'RNEW import'!B257)</f>
        <v>4</v>
      </c>
      <c r="B259" s="211" t="str">
        <f>IF(COUNTBLANK('RNEW import'!D257)=1,"",'RNEW import'!D257)</f>
        <v>Shopping City Timisoara SRL</v>
      </c>
      <c r="C259" s="211" t="str">
        <f>IF(COUNTBLANK('RNEW import'!E257)=1,"",'RNEW import'!E257)</f>
        <v>RTIM</v>
      </c>
      <c r="D259" s="211" t="str">
        <f>IF(COUNTBLANK('RNEW import'!K257)=1,"",'RNEW import'!K257)</f>
        <v>Tarife distributie en. El IT+MT</v>
      </c>
      <c r="E259" s="211">
        <f>IF(COUNTBLANK('RNEW import'!L257)=1,"",'RNEW import'!N257)</f>
        <v>1077353</v>
      </c>
      <c r="F259" s="211">
        <f>IF(COUNTBLANK('RNEW import'!M257)=1,"",'RNEW import'!O257/10000)</f>
        <v>8.6180000000000007E-2</v>
      </c>
      <c r="G259" s="217">
        <f t="shared" si="84"/>
        <v>92846.28</v>
      </c>
      <c r="H259" s="217">
        <f t="shared" si="77"/>
        <v>17640.79</v>
      </c>
      <c r="I259" s="329">
        <f t="shared" si="85"/>
        <v>110487.07</v>
      </c>
      <c r="J259" s="237" t="str">
        <f t="shared" si="72"/>
        <v/>
      </c>
      <c r="K259" s="238" t="str">
        <f t="shared" si="73"/>
        <v/>
      </c>
      <c r="L259" s="238" t="str">
        <f t="shared" si="74"/>
        <v/>
      </c>
      <c r="M259" s="238" t="str">
        <f t="shared" si="75"/>
        <v/>
      </c>
      <c r="N259" s="238" t="str">
        <f t="shared" si="76"/>
        <v/>
      </c>
      <c r="O259" s="232" t="str">
        <f t="shared" si="86"/>
        <v/>
      </c>
      <c r="P259" s="219" t="str">
        <f t="shared" si="78"/>
        <v/>
      </c>
      <c r="Q259" s="219" t="str">
        <f t="shared" si="79"/>
        <v/>
      </c>
      <c r="R259" s="219" t="str">
        <f t="shared" si="80"/>
        <v/>
      </c>
      <c r="S259" s="331" t="str">
        <f t="shared" si="81"/>
        <v/>
      </c>
      <c r="T259" s="331" t="str">
        <f t="shared" si="82"/>
        <v/>
      </c>
      <c r="U259" s="331" t="str">
        <f t="shared" si="83"/>
        <v/>
      </c>
    </row>
    <row r="260" spans="1:21" ht="15.95" customHeight="1">
      <c r="A260" s="211">
        <f>IF(COUNTBLANK('RNEW import'!B258)=1,"",'RNEW import'!B258)</f>
        <v>5</v>
      </c>
      <c r="B260" s="211" t="str">
        <f>IF(COUNTBLANK('RNEW import'!D258)=1,"",'RNEW import'!D258)</f>
        <v>Shopping City Timisoara SRL</v>
      </c>
      <c r="C260" s="211" t="str">
        <f>IF(COUNTBLANK('RNEW import'!E258)=1,"",'RNEW import'!E258)</f>
        <v>RTIM</v>
      </c>
      <c r="D260" s="211" t="str">
        <f>IF(COUNTBLANK('RNEW import'!K258)=1,"",'RNEW import'!K258)</f>
        <v>Tarife distributie en. El JT</v>
      </c>
      <c r="E260" s="211">
        <f>IF(COUNTBLANK('RNEW import'!L258)=1,"",'RNEW import'!N258)</f>
        <v>0</v>
      </c>
      <c r="F260" s="211">
        <f>IF(COUNTBLANK('RNEW import'!M258)=1,"",'RNEW import'!O258/10000)</f>
        <v>0.2079</v>
      </c>
      <c r="G260" s="217">
        <f t="shared" si="84"/>
        <v>0</v>
      </c>
      <c r="H260" s="217">
        <f t="shared" si="77"/>
        <v>0</v>
      </c>
      <c r="I260" s="329">
        <f t="shared" si="85"/>
        <v>0</v>
      </c>
      <c r="J260" s="237" t="str">
        <f t="shared" ref="J260:J323" si="87">IF(A260=1,B260,"")</f>
        <v/>
      </c>
      <c r="K260" s="238" t="str">
        <f t="shared" ref="K260:K323" si="88">IF(COUNTBLANK(J260)=1,"",IF(A260=1,SUMIFS(G:G,$C:$C,C260,$A:$A,"=13")+SUMIFS(G:G,$C:$C,C260,$A:$A,"=14")+SUMIFS(G:G,$C:$C,C260,$A:$A,"=17")+SUMIFS(G:G,$C:$C,C260,$A:$A,"=18")+SUMIFS(G:G,$C:$C,C260,$A:$A,"=31")+SUMIFS(G:G,$C:$C,C260,$A:$A,"=32")+SUMIFS(G:G,$C:$C,C260,$A:$A,"=35")+SUMIFS(G:G,$C:$C,C260,$A:$A,"=36"),""))</f>
        <v/>
      </c>
      <c r="L260" s="238" t="str">
        <f t="shared" ref="L260:L323" si="89">IF(COUNTBLANK(J260)=1,"",IF(A260=1,SUMIFS(G:G,$C:$C,C260,$A:$A,"&lt;13")+SUMIFS(G:G,$C:$C,C260,$A:$A,"&gt;18",$A:$A,"&lt;31")))</f>
        <v/>
      </c>
      <c r="M260" s="238" t="str">
        <f t="shared" ref="M260:M323" si="90">IF(COUNTBLANK(J260)=1,"",IF(A260=1,SUMIFS(G:G,$C:$C,C260,$A:$A,"=15")+SUMIFS(G:G,$C:$C,C260,$A:$A,"=16")+SUMIFS(G:G,$C:$C,C260,$A:$A,"=33")+SUMIFS(G:G,$C:$C,C260,$A:$A,"=34"),""))</f>
        <v/>
      </c>
      <c r="N260" s="238" t="str">
        <f t="shared" ref="N260:N323" si="91">IF(COUNTBLANK(J260)=1,"",IF(A260=1,SUMIFS(E:E,$C:$C,C260,$A:$A,"=13")+SUMIFS(E:E,$C:$C,C260,$A:$A,"=17")+SUMIFS(E:E,$C:$C,C260,$A:$A,"=31")+SUMIFS(E:E,$C:$C,C260,$A:$A,"=35"),""))</f>
        <v/>
      </c>
      <c r="O260" s="232" t="str">
        <f t="shared" si="86"/>
        <v/>
      </c>
      <c r="P260" s="219" t="str">
        <f t="shared" si="78"/>
        <v/>
      </c>
      <c r="Q260" s="219" t="str">
        <f t="shared" si="79"/>
        <v/>
      </c>
      <c r="R260" s="219" t="str">
        <f t="shared" si="80"/>
        <v/>
      </c>
      <c r="S260" s="331" t="str">
        <f t="shared" si="81"/>
        <v/>
      </c>
      <c r="T260" s="331" t="str">
        <f t="shared" si="82"/>
        <v/>
      </c>
      <c r="U260" s="331" t="str">
        <f t="shared" si="83"/>
        <v/>
      </c>
    </row>
    <row r="261" spans="1:21" ht="15.95" customHeight="1">
      <c r="A261" s="211">
        <f>IF(COUNTBLANK('RNEW import'!B259)=1,"",'RNEW import'!B259)</f>
        <v>6</v>
      </c>
      <c r="B261" s="211" t="str">
        <f>IF(COUNTBLANK('RNEW import'!D259)=1,"",'RNEW import'!D259)</f>
        <v>Shopping City Timisoara SRL</v>
      </c>
      <c r="C261" s="211" t="str">
        <f>IF(COUNTBLANK('RNEW import'!E259)=1,"",'RNEW import'!E259)</f>
        <v>RTIM</v>
      </c>
      <c r="D261" s="211" t="str">
        <f>IF(COUNTBLANK('RNEW import'!K259)=1,"",'RNEW import'!K259)</f>
        <v xml:space="preserve">Servicii Sistem </v>
      </c>
      <c r="E261" s="211">
        <f>IF(COUNTBLANK('RNEW import'!L259)=1,"",'RNEW import'!N259)</f>
        <v>1077353</v>
      </c>
      <c r="F261" s="211">
        <f>IF(COUNTBLANK('RNEW import'!M259)=1,"",'RNEW import'!O259/10000)</f>
        <v>1.1509999999999999E-2</v>
      </c>
      <c r="G261" s="217">
        <f t="shared" si="84"/>
        <v>12400.33</v>
      </c>
      <c r="H261" s="217">
        <f t="shared" ref="H261:H324" si="92">ROUND(G261*19%,2)</f>
        <v>2356.06</v>
      </c>
      <c r="I261" s="329">
        <f t="shared" si="85"/>
        <v>14756.39</v>
      </c>
      <c r="J261" s="237" t="str">
        <f t="shared" si="87"/>
        <v/>
      </c>
      <c r="K261" s="238" t="str">
        <f t="shared" si="88"/>
        <v/>
      </c>
      <c r="L261" s="238" t="str">
        <f t="shared" si="89"/>
        <v/>
      </c>
      <c r="M261" s="238" t="str">
        <f t="shared" si="90"/>
        <v/>
      </c>
      <c r="N261" s="238" t="str">
        <f t="shared" si="91"/>
        <v/>
      </c>
      <c r="O261" s="232" t="str">
        <f t="shared" si="86"/>
        <v/>
      </c>
      <c r="P261" s="219" t="str">
        <f t="shared" ref="P261:P324" si="93">IF(A261=1,"Enegie activa",IF(OR(A261=18),"Energie consumata din PV",IF(OR(A261=2),"Energie reactiva 1x",IF(OR(A261=3),"Energie reactiva 3x",IF(A261=19,"Energie activa regularizare",IF(OR(A261=36),"Energie consumata din PV regularizare",IF(OR(A261=20),"Energie reactiva 1x regularizare",IF(OR(A261=21),"Energie reactiva 3x regularizare",""))))))))</f>
        <v/>
      </c>
      <c r="Q261" s="219" t="str">
        <f t="shared" ref="Q261:Q324" si="94">IF(COUNTBLANK(P261)=0,IF(OR(A261=1,A261=2,A261=3,A261=19,A261=20,A261=21),E261,IF(OR(A261=18,A261=36),E258+E259,"")),"")</f>
        <v/>
      </c>
      <c r="R261" s="219" t="str">
        <f t="shared" ref="R261:R324" si="95">IF(COUNTBLANK(P261)=1,"",IF(OR(A261=2,A261=3,A261=20,A261=21),F261,IF(Q261=0,0,ROUND(S261/Q261,6))))</f>
        <v/>
      </c>
      <c r="S261" s="331" t="str">
        <f t="shared" si="81"/>
        <v/>
      </c>
      <c r="T261" s="331" t="str">
        <f t="shared" si="82"/>
        <v/>
      </c>
      <c r="U261" s="331" t="str">
        <f t="shared" si="83"/>
        <v/>
      </c>
    </row>
    <row r="262" spans="1:21" ht="15.95" customHeight="1">
      <c r="A262" s="211">
        <f>IF(COUNTBLANK('RNEW import'!B260)=1,"",'RNEW import'!B260)</f>
        <v>7</v>
      </c>
      <c r="B262" s="211" t="str">
        <f>IF(COUNTBLANK('RNEW import'!D260)=1,"",'RNEW import'!D260)</f>
        <v>Shopping City Timisoara SRL</v>
      </c>
      <c r="C262" s="211" t="str">
        <f>IF(COUNTBLANK('RNEW import'!E260)=1,"",'RNEW import'!E260)</f>
        <v>RTIM</v>
      </c>
      <c r="D262" s="211" t="str">
        <f>IF(COUNTBLANK('RNEW import'!K260)=1,"",'RNEW import'!K260)</f>
        <v>Tarif de introducere en. el in retea (TL)</v>
      </c>
      <c r="E262" s="211">
        <f>IF(COUNTBLANK('RNEW import'!L260)=1,"",'RNEW import'!N260)</f>
        <v>1077353</v>
      </c>
      <c r="F262" s="211">
        <f>IF(COUNTBLANK('RNEW import'!M260)=1,"",'RNEW import'!O260/10000)</f>
        <v>3.3030000000000004E-2</v>
      </c>
      <c r="G262" s="217">
        <f t="shared" si="84"/>
        <v>35584.97</v>
      </c>
      <c r="H262" s="217">
        <f t="shared" si="92"/>
        <v>6761.14</v>
      </c>
      <c r="I262" s="329">
        <f t="shared" si="85"/>
        <v>42346.11</v>
      </c>
      <c r="J262" s="237" t="str">
        <f t="shared" si="87"/>
        <v/>
      </c>
      <c r="K262" s="238" t="str">
        <f t="shared" si="88"/>
        <v/>
      </c>
      <c r="L262" s="238" t="str">
        <f t="shared" si="89"/>
        <v/>
      </c>
      <c r="M262" s="238" t="str">
        <f t="shared" si="90"/>
        <v/>
      </c>
      <c r="N262" s="238" t="str">
        <f t="shared" si="91"/>
        <v/>
      </c>
      <c r="O262" s="232" t="str">
        <f t="shared" si="86"/>
        <v/>
      </c>
      <c r="P262" s="219" t="str">
        <f t="shared" si="93"/>
        <v/>
      </c>
      <c r="Q262" s="219" t="str">
        <f t="shared" si="94"/>
        <v/>
      </c>
      <c r="R262" s="219" t="str">
        <f t="shared" si="95"/>
        <v/>
      </c>
      <c r="S262" s="331" t="str">
        <f t="shared" si="81"/>
        <v/>
      </c>
      <c r="T262" s="331" t="str">
        <f t="shared" si="82"/>
        <v/>
      </c>
      <c r="U262" s="331" t="str">
        <f t="shared" si="83"/>
        <v/>
      </c>
    </row>
    <row r="263" spans="1:21" ht="15.95" customHeight="1">
      <c r="A263" s="211">
        <f>IF(COUNTBLANK('RNEW import'!B261)=1,"",'RNEW import'!B261)</f>
        <v>8</v>
      </c>
      <c r="B263" s="211" t="str">
        <f>IF(COUNTBLANK('RNEW import'!D261)=1,"",'RNEW import'!D261)</f>
        <v>Shopping City Timisoara SRL</v>
      </c>
      <c r="C263" s="211" t="str">
        <f>IF(COUNTBLANK('RNEW import'!E261)=1,"",'RNEW import'!E261)</f>
        <v>RTIM</v>
      </c>
      <c r="D263" s="211" t="str">
        <f>IF(COUNTBLANK('RNEW import'!K261)=1,"",'RNEW import'!K261)</f>
        <v>Tarif de introducere en.el in retea (TG)</v>
      </c>
      <c r="E263" s="211">
        <f>IF(COUNTBLANK('RNEW import'!L261)=1,"",'RNEW import'!N261)</f>
        <v>1077353</v>
      </c>
      <c r="F263" s="211">
        <f>IF(COUNTBLANK('RNEW import'!M261)=1,"",'RNEW import'!O261/10000)</f>
        <v>3.29E-3</v>
      </c>
      <c r="G263" s="217">
        <f t="shared" si="84"/>
        <v>3544.49</v>
      </c>
      <c r="H263" s="217">
        <f t="shared" si="92"/>
        <v>673.45</v>
      </c>
      <c r="I263" s="329">
        <f t="shared" si="85"/>
        <v>4217.9399999999996</v>
      </c>
      <c r="J263" s="237" t="str">
        <f t="shared" si="87"/>
        <v/>
      </c>
      <c r="K263" s="238" t="str">
        <f t="shared" si="88"/>
        <v/>
      </c>
      <c r="L263" s="238" t="str">
        <f t="shared" si="89"/>
        <v/>
      </c>
      <c r="M263" s="238" t="str">
        <f t="shared" si="90"/>
        <v/>
      </c>
      <c r="N263" s="238" t="str">
        <f t="shared" si="91"/>
        <v/>
      </c>
      <c r="O263" s="232" t="str">
        <f t="shared" si="86"/>
        <v/>
      </c>
      <c r="P263" s="219" t="str">
        <f t="shared" si="93"/>
        <v/>
      </c>
      <c r="Q263" s="219" t="str">
        <f t="shared" si="94"/>
        <v/>
      </c>
      <c r="R263" s="219" t="str">
        <f t="shared" si="95"/>
        <v/>
      </c>
      <c r="S263" s="331" t="str">
        <f t="shared" si="81"/>
        <v/>
      </c>
      <c r="T263" s="331" t="str">
        <f t="shared" si="82"/>
        <v/>
      </c>
      <c r="U263" s="331" t="str">
        <f t="shared" si="83"/>
        <v/>
      </c>
    </row>
    <row r="264" spans="1:21" ht="15.95" customHeight="1">
      <c r="A264" s="211">
        <f>IF(COUNTBLANK('RNEW import'!B262)=1,"",'RNEW import'!B262)</f>
        <v>9</v>
      </c>
      <c r="B264" s="211" t="str">
        <f>IF(COUNTBLANK('RNEW import'!D262)=1,"",'RNEW import'!D262)</f>
        <v>Shopping City Timisoara SRL</v>
      </c>
      <c r="C264" s="211" t="str">
        <f>IF(COUNTBLANK('RNEW import'!E262)=1,"",'RNEW import'!E262)</f>
        <v>RTIM</v>
      </c>
      <c r="D264" s="211" t="str">
        <f>IF(COUNTBLANK('RNEW import'!K262)=1,"",'RNEW import'!K262)</f>
        <v>Contributie pentru cogenerare</v>
      </c>
      <c r="E264" s="211">
        <f>IF(COUNTBLANK('RNEW import'!L262)=1,"",'RNEW import'!N262)</f>
        <v>1077353</v>
      </c>
      <c r="F264" s="211">
        <f>IF(COUNTBLANK('RNEW import'!M262)=1,"",'RNEW import'!O262/10000)</f>
        <v>3.5000000000000001E-3</v>
      </c>
      <c r="G264" s="217">
        <f t="shared" si="84"/>
        <v>3770.74</v>
      </c>
      <c r="H264" s="217">
        <f t="shared" si="92"/>
        <v>716.44</v>
      </c>
      <c r="I264" s="329">
        <f t="shared" si="85"/>
        <v>4487.18</v>
      </c>
      <c r="J264" s="237" t="str">
        <f t="shared" si="87"/>
        <v/>
      </c>
      <c r="K264" s="238" t="str">
        <f t="shared" si="88"/>
        <v/>
      </c>
      <c r="L264" s="238" t="str">
        <f t="shared" si="89"/>
        <v/>
      </c>
      <c r="M264" s="238" t="str">
        <f t="shared" si="90"/>
        <v/>
      </c>
      <c r="N264" s="238" t="str">
        <f t="shared" si="91"/>
        <v/>
      </c>
      <c r="O264" s="232" t="str">
        <f t="shared" si="86"/>
        <v/>
      </c>
      <c r="P264" s="219" t="str">
        <f t="shared" si="93"/>
        <v/>
      </c>
      <c r="Q264" s="219" t="str">
        <f t="shared" si="94"/>
        <v/>
      </c>
      <c r="R264" s="219" t="str">
        <f t="shared" si="95"/>
        <v/>
      </c>
      <c r="S264" s="331" t="str">
        <f t="shared" si="81"/>
        <v/>
      </c>
      <c r="T264" s="331" t="str">
        <f t="shared" si="82"/>
        <v/>
      </c>
      <c r="U264" s="331" t="str">
        <f t="shared" si="83"/>
        <v/>
      </c>
    </row>
    <row r="265" spans="1:21" ht="15.95" customHeight="1">
      <c r="A265" s="211">
        <f>IF(COUNTBLANK('RNEW import'!B263)=1,"",'RNEW import'!B263)</f>
        <v>10</v>
      </c>
      <c r="B265" s="211" t="str">
        <f>IF(COUNTBLANK('RNEW import'!D263)=1,"",'RNEW import'!D263)</f>
        <v>Shopping City Timisoara SRL</v>
      </c>
      <c r="C265" s="211" t="str">
        <f>IF(COUNTBLANK('RNEW import'!E263)=1,"",'RNEW import'!E263)</f>
        <v>RTIM</v>
      </c>
      <c r="D265" s="211" t="str">
        <f>IF(COUNTBLANK('RNEW import'!K263)=1,"",'RNEW import'!K263)</f>
        <v xml:space="preserve">Certificate verzi </v>
      </c>
      <c r="E265" s="211">
        <f>IF(COUNTBLANK('RNEW import'!L263)=1,"",'RNEW import'!N263)</f>
        <v>1077353</v>
      </c>
      <c r="F265" s="211">
        <f>IF(COUNTBLANK('RNEW import'!M263)=1,"",'RNEW import'!O263/10000)</f>
        <v>7.2541599999999998E-2</v>
      </c>
      <c r="G265" s="217">
        <f t="shared" si="84"/>
        <v>78152.91</v>
      </c>
      <c r="H265" s="217">
        <f t="shared" si="92"/>
        <v>14849.05</v>
      </c>
      <c r="I265" s="329">
        <f t="shared" si="85"/>
        <v>93001.96</v>
      </c>
      <c r="J265" s="237" t="str">
        <f t="shared" si="87"/>
        <v/>
      </c>
      <c r="K265" s="238" t="str">
        <f t="shared" si="88"/>
        <v/>
      </c>
      <c r="L265" s="238" t="str">
        <f t="shared" si="89"/>
        <v/>
      </c>
      <c r="M265" s="238" t="str">
        <f t="shared" si="90"/>
        <v/>
      </c>
      <c r="N265" s="238" t="str">
        <f t="shared" si="91"/>
        <v/>
      </c>
      <c r="O265" s="232" t="str">
        <f t="shared" si="86"/>
        <v/>
      </c>
      <c r="P265" s="219" t="str">
        <f t="shared" si="93"/>
        <v/>
      </c>
      <c r="Q265" s="219" t="str">
        <f t="shared" si="94"/>
        <v/>
      </c>
      <c r="R265" s="219" t="str">
        <f t="shared" si="95"/>
        <v/>
      </c>
      <c r="S265" s="331" t="str">
        <f t="shared" si="81"/>
        <v/>
      </c>
      <c r="T265" s="331" t="str">
        <f t="shared" si="82"/>
        <v/>
      </c>
      <c r="U265" s="331" t="str">
        <f t="shared" si="83"/>
        <v/>
      </c>
    </row>
    <row r="266" spans="1:21" ht="15.95" customHeight="1">
      <c r="A266" s="211">
        <f>IF(COUNTBLANK('RNEW import'!B264)=1,"",'RNEW import'!B264)</f>
        <v>11</v>
      </c>
      <c r="B266" s="211" t="str">
        <f>IF(COUNTBLANK('RNEW import'!D264)=1,"",'RNEW import'!D264)</f>
        <v>Shopping City Timisoara SRL</v>
      </c>
      <c r="C266" s="211" t="str">
        <f>IF(COUNTBLANK('RNEW import'!E264)=1,"",'RNEW import'!E264)</f>
        <v>RTIM</v>
      </c>
      <c r="D266" s="211" t="str">
        <f>IF(COUNTBLANK('RNEW import'!K264)=1,"",'RNEW import'!K264)</f>
        <v>Contributie CFD</v>
      </c>
      <c r="E266" s="211">
        <f>IF(COUNTBLANK('RNEW import'!L264)=1,"",'RNEW import'!N264)</f>
        <v>1077353</v>
      </c>
      <c r="F266" s="211">
        <f>IF(COUNTBLANK('RNEW import'!M264)=1,"",'RNEW import'!O264/10000)</f>
        <v>2.0599999999999999E-4</v>
      </c>
      <c r="G266" s="217">
        <f t="shared" si="84"/>
        <v>221.93</v>
      </c>
      <c r="H266" s="217">
        <f t="shared" si="92"/>
        <v>42.17</v>
      </c>
      <c r="I266" s="329">
        <f t="shared" si="85"/>
        <v>264.10000000000002</v>
      </c>
      <c r="J266" s="237" t="str">
        <f t="shared" si="87"/>
        <v/>
      </c>
      <c r="K266" s="238" t="str">
        <f t="shared" si="88"/>
        <v/>
      </c>
      <c r="L266" s="238" t="str">
        <f t="shared" si="89"/>
        <v/>
      </c>
      <c r="M266" s="238" t="str">
        <f t="shared" si="90"/>
        <v/>
      </c>
      <c r="N266" s="238" t="str">
        <f t="shared" si="91"/>
        <v/>
      </c>
      <c r="O266" s="232" t="str">
        <f t="shared" si="86"/>
        <v/>
      </c>
      <c r="P266" s="219" t="str">
        <f t="shared" si="93"/>
        <v/>
      </c>
      <c r="Q266" s="219" t="str">
        <f t="shared" si="94"/>
        <v/>
      </c>
      <c r="R266" s="219" t="str">
        <f t="shared" si="95"/>
        <v/>
      </c>
      <c r="S266" s="331" t="str">
        <f t="shared" si="81"/>
        <v/>
      </c>
      <c r="T266" s="331" t="str">
        <f t="shared" si="82"/>
        <v/>
      </c>
      <c r="U266" s="331" t="str">
        <f t="shared" si="83"/>
        <v/>
      </c>
    </row>
    <row r="267" spans="1:21" ht="15.95" customHeight="1">
      <c r="A267" s="211">
        <f>IF(COUNTBLANK('RNEW import'!B265)=1,"",'RNEW import'!B265)</f>
        <v>12</v>
      </c>
      <c r="B267" s="211" t="str">
        <f>IF(COUNTBLANK('RNEW import'!D265)=1,"",'RNEW import'!D265)</f>
        <v>Shopping City Timisoara SRL</v>
      </c>
      <c r="C267" s="211" t="str">
        <f>IF(COUNTBLANK('RNEW import'!E265)=1,"",'RNEW import'!E265)</f>
        <v>RTIM</v>
      </c>
      <c r="D267" s="211" t="str">
        <f>IF(COUNTBLANK('RNEW import'!K265)=1,"",'RNEW import'!K265)</f>
        <v>Acciza</v>
      </c>
      <c r="E267" s="211">
        <f>IF(COUNTBLANK('RNEW import'!L265)=1,"",'RNEW import'!N265)</f>
        <v>1077353</v>
      </c>
      <c r="F267" s="211">
        <f>IF(COUNTBLANK('RNEW import'!M265)=1,"",'RNEW import'!O265/10000)</f>
        <v>0</v>
      </c>
      <c r="G267" s="217">
        <f t="shared" si="84"/>
        <v>0</v>
      </c>
      <c r="H267" s="217">
        <f t="shared" si="92"/>
        <v>0</v>
      </c>
      <c r="I267" s="329">
        <f t="shared" si="85"/>
        <v>0</v>
      </c>
      <c r="J267" s="237" t="str">
        <f t="shared" si="87"/>
        <v/>
      </c>
      <c r="K267" s="238" t="str">
        <f t="shared" si="88"/>
        <v/>
      </c>
      <c r="L267" s="238" t="str">
        <f t="shared" si="89"/>
        <v/>
      </c>
      <c r="M267" s="238" t="str">
        <f t="shared" si="90"/>
        <v/>
      </c>
      <c r="N267" s="238" t="str">
        <f t="shared" si="91"/>
        <v/>
      </c>
      <c r="O267" s="232" t="str">
        <f t="shared" si="86"/>
        <v/>
      </c>
      <c r="P267" s="219" t="str">
        <f t="shared" si="93"/>
        <v/>
      </c>
      <c r="Q267" s="219" t="str">
        <f t="shared" si="94"/>
        <v/>
      </c>
      <c r="R267" s="219" t="str">
        <f t="shared" si="95"/>
        <v/>
      </c>
      <c r="S267" s="331" t="str">
        <f t="shared" si="81"/>
        <v/>
      </c>
      <c r="T267" s="331" t="str">
        <f t="shared" si="82"/>
        <v/>
      </c>
      <c r="U267" s="331" t="str">
        <f t="shared" si="83"/>
        <v/>
      </c>
    </row>
    <row r="268" spans="1:21" ht="15.95" customHeight="1">
      <c r="A268" s="211">
        <f>IF(COUNTBLANK('RNEW import'!B266)=1,"",'RNEW import'!B266)</f>
        <v>13</v>
      </c>
      <c r="B268" s="211" t="str">
        <f>IF(COUNTBLANK('RNEW import'!D266)=1,"",'RNEW import'!D266)</f>
        <v>Shopping City Timisoara SRL</v>
      </c>
      <c r="C268" s="211" t="str">
        <f>IF(COUNTBLANK('RNEW import'!E266)=1,"",'RNEW import'!E266)</f>
        <v>RTIM</v>
      </c>
      <c r="D268" s="211" t="str">
        <f>IF(COUNTBLANK('RNEW import'!K266)=1,"",'RNEW import'!K266)</f>
        <v>Tarif distributie SDI MT</v>
      </c>
      <c r="E268" s="211">
        <f>IF(COUNTBLANK('RNEW import'!L266)=1,"",'RNEW import'!N266)</f>
        <v>1077353</v>
      </c>
      <c r="F268" s="211">
        <f>IF(COUNTBLANK('RNEW import'!M266)=1,"",'RNEW import'!O266/10000)</f>
        <v>1.1599999999999999E-2</v>
      </c>
      <c r="G268" s="217">
        <f t="shared" si="84"/>
        <v>12497.29</v>
      </c>
      <c r="H268" s="217">
        <f t="shared" si="92"/>
        <v>2374.4899999999998</v>
      </c>
      <c r="I268" s="329">
        <f t="shared" si="85"/>
        <v>14871.78</v>
      </c>
      <c r="J268" s="237" t="str">
        <f t="shared" si="87"/>
        <v/>
      </c>
      <c r="K268" s="238" t="str">
        <f t="shared" si="88"/>
        <v/>
      </c>
      <c r="L268" s="238" t="str">
        <f t="shared" si="89"/>
        <v/>
      </c>
      <c r="M268" s="238" t="str">
        <f t="shared" si="90"/>
        <v/>
      </c>
      <c r="N268" s="238" t="str">
        <f t="shared" si="91"/>
        <v/>
      </c>
      <c r="O268" s="232" t="str">
        <f t="shared" si="86"/>
        <v/>
      </c>
      <c r="P268" s="219" t="str">
        <f t="shared" si="93"/>
        <v/>
      </c>
      <c r="Q268" s="219" t="str">
        <f t="shared" si="94"/>
        <v/>
      </c>
      <c r="R268" s="219" t="str">
        <f t="shared" si="95"/>
        <v/>
      </c>
      <c r="S268" s="331" t="str">
        <f t="shared" si="81"/>
        <v/>
      </c>
      <c r="T268" s="331" t="str">
        <f t="shared" si="82"/>
        <v/>
      </c>
      <c r="U268" s="331" t="str">
        <f t="shared" si="83"/>
        <v/>
      </c>
    </row>
    <row r="269" spans="1:21" ht="15.95" customHeight="1">
      <c r="A269" s="211">
        <f>IF(COUNTBLANK('RNEW import'!B267)=1,"",'RNEW import'!B267)</f>
        <v>14</v>
      </c>
      <c r="B269" s="211" t="str">
        <f>IF(COUNTBLANK('RNEW import'!D267)=1,"",'RNEW import'!D267)</f>
        <v>Shopping City Timisoara SRL</v>
      </c>
      <c r="C269" s="211" t="str">
        <f>IF(COUNTBLANK('RNEW import'!E267)=1,"",'RNEW import'!E267)</f>
        <v>RTIM</v>
      </c>
      <c r="D269" s="211" t="str">
        <f>IF(COUNTBLANK('RNEW import'!K267)=1,"",'RNEW import'!K267)</f>
        <v>Tarif distributie SDI JT</v>
      </c>
      <c r="E269" s="211">
        <f>IF(COUNTBLANK('RNEW import'!L267)=1,"",'RNEW import'!N267)</f>
        <v>1077353</v>
      </c>
      <c r="F269" s="211">
        <f>IF(COUNTBLANK('RNEW import'!M267)=1,"",'RNEW import'!O267/10000)</f>
        <v>8.3199999999999996E-2</v>
      </c>
      <c r="G269" s="217">
        <f t="shared" si="84"/>
        <v>89635.77</v>
      </c>
      <c r="H269" s="217">
        <f t="shared" si="92"/>
        <v>17030.8</v>
      </c>
      <c r="I269" s="329">
        <f t="shared" si="85"/>
        <v>106666.57</v>
      </c>
      <c r="J269" s="237" t="str">
        <f t="shared" si="87"/>
        <v/>
      </c>
      <c r="K269" s="238" t="str">
        <f t="shared" si="88"/>
        <v/>
      </c>
      <c r="L269" s="238" t="str">
        <f t="shared" si="89"/>
        <v/>
      </c>
      <c r="M269" s="238" t="str">
        <f t="shared" si="90"/>
        <v/>
      </c>
      <c r="N269" s="238" t="str">
        <f t="shared" si="91"/>
        <v/>
      </c>
      <c r="O269" s="232" t="str">
        <f t="shared" si="86"/>
        <v/>
      </c>
      <c r="P269" s="219" t="str">
        <f t="shared" si="93"/>
        <v/>
      </c>
      <c r="Q269" s="219" t="str">
        <f t="shared" si="94"/>
        <v/>
      </c>
      <c r="R269" s="219" t="str">
        <f t="shared" si="95"/>
        <v/>
      </c>
      <c r="S269" s="331" t="str">
        <f t="shared" si="81"/>
        <v/>
      </c>
      <c r="T269" s="331" t="str">
        <f t="shared" si="82"/>
        <v/>
      </c>
      <c r="U269" s="331" t="str">
        <f t="shared" si="83"/>
        <v/>
      </c>
    </row>
    <row r="270" spans="1:21" ht="15.95" customHeight="1">
      <c r="A270" s="211">
        <f>IF(COUNTBLANK('RNEW import'!B268)=1,"",'RNEW import'!B268)</f>
        <v>15</v>
      </c>
      <c r="B270" s="211" t="str">
        <f>IF(COUNTBLANK('RNEW import'!D268)=1,"",'RNEW import'!D268)</f>
        <v>Shopping City Timisoara SRL</v>
      </c>
      <c r="C270" s="211" t="str">
        <f>IF(COUNTBLANK('RNEW import'!E268)=1,"",'RNEW import'!E268)</f>
        <v>RTIM</v>
      </c>
      <c r="D270" s="211" t="str">
        <f>IF(COUNTBLANK('RNEW import'!K268)=1,"",'RNEW import'!K268)</f>
        <v>Energie activa 2</v>
      </c>
      <c r="E270" s="211">
        <f>IF(COUNTBLANK('RNEW import'!L268)=1,"",'RNEW import'!N268)</f>
        <v>147904</v>
      </c>
      <c r="F270" s="211">
        <f>IF(COUNTBLANK('RNEW import'!M268)=1,"",'RNEW import'!O268/10000)</f>
        <v>0.90005760000000012</v>
      </c>
      <c r="G270" s="217">
        <f t="shared" si="84"/>
        <v>133122.12</v>
      </c>
      <c r="H270" s="217">
        <f t="shared" si="92"/>
        <v>25293.200000000001</v>
      </c>
      <c r="I270" s="329">
        <f t="shared" si="85"/>
        <v>158415.32</v>
      </c>
      <c r="J270" s="237" t="str">
        <f t="shared" si="87"/>
        <v/>
      </c>
      <c r="K270" s="238" t="str">
        <f t="shared" si="88"/>
        <v/>
      </c>
      <c r="L270" s="238" t="str">
        <f t="shared" si="89"/>
        <v/>
      </c>
      <c r="M270" s="238" t="str">
        <f t="shared" si="90"/>
        <v/>
      </c>
      <c r="N270" s="238" t="str">
        <f t="shared" si="91"/>
        <v/>
      </c>
      <c r="O270" s="232" t="str">
        <f t="shared" si="86"/>
        <v/>
      </c>
      <c r="P270" s="219" t="str">
        <f t="shared" si="93"/>
        <v/>
      </c>
      <c r="Q270" s="219" t="str">
        <f t="shared" si="94"/>
        <v/>
      </c>
      <c r="R270" s="219" t="str">
        <f t="shared" si="95"/>
        <v/>
      </c>
      <c r="S270" s="331" t="str">
        <f t="shared" si="81"/>
        <v/>
      </c>
      <c r="T270" s="331" t="str">
        <f t="shared" si="82"/>
        <v/>
      </c>
      <c r="U270" s="331" t="str">
        <f t="shared" si="83"/>
        <v/>
      </c>
    </row>
    <row r="271" spans="1:21" ht="15.95" customHeight="1">
      <c r="A271" s="211">
        <f>IF(COUNTBLANK('RNEW import'!B269)=1,"",'RNEW import'!B269)</f>
        <v>16</v>
      </c>
      <c r="B271" s="211" t="str">
        <f>IF(COUNTBLANK('RNEW import'!D269)=1,"",'RNEW import'!D269)</f>
        <v>Shopping City Timisoara SRL</v>
      </c>
      <c r="C271" s="211" t="str">
        <f>IF(COUNTBLANK('RNEW import'!E269)=1,"",'RNEW import'!E269)</f>
        <v>RTIM</v>
      </c>
      <c r="D271" s="211" t="str">
        <f>IF(COUNTBLANK('RNEW import'!K269)=1,"",'RNEW import'!K269)</f>
        <v>Energie activa 3</v>
      </c>
      <c r="E271" s="211">
        <f>IF(COUNTBLANK('RNEW import'!L269)=1,"",'RNEW import'!N269)</f>
        <v>11982</v>
      </c>
      <c r="F271" s="211">
        <f>IF(COUNTBLANK('RNEW import'!M269)=1,"",'RNEW import'!O269/10000)</f>
        <v>0.80525760000000002</v>
      </c>
      <c r="G271" s="217">
        <f t="shared" si="84"/>
        <v>9648.6</v>
      </c>
      <c r="H271" s="217">
        <f t="shared" si="92"/>
        <v>1833.23</v>
      </c>
      <c r="I271" s="329">
        <f t="shared" si="85"/>
        <v>11481.83</v>
      </c>
      <c r="J271" s="237" t="str">
        <f t="shared" si="87"/>
        <v/>
      </c>
      <c r="K271" s="238" t="str">
        <f t="shared" si="88"/>
        <v/>
      </c>
      <c r="L271" s="238" t="str">
        <f t="shared" si="89"/>
        <v/>
      </c>
      <c r="M271" s="238" t="str">
        <f t="shared" si="90"/>
        <v/>
      </c>
      <c r="N271" s="238" t="str">
        <f t="shared" si="91"/>
        <v/>
      </c>
      <c r="O271" s="232" t="str">
        <f t="shared" si="86"/>
        <v/>
      </c>
      <c r="P271" s="219" t="str">
        <f t="shared" si="93"/>
        <v/>
      </c>
      <c r="Q271" s="219" t="str">
        <f t="shared" si="94"/>
        <v/>
      </c>
      <c r="R271" s="219" t="str">
        <f t="shared" si="95"/>
        <v/>
      </c>
      <c r="S271" s="331" t="str">
        <f t="shared" si="81"/>
        <v/>
      </c>
      <c r="T271" s="331" t="str">
        <f t="shared" si="82"/>
        <v/>
      </c>
      <c r="U271" s="331" t="str">
        <f t="shared" si="83"/>
        <v/>
      </c>
    </row>
    <row r="272" spans="1:21" ht="15.95" customHeight="1">
      <c r="A272" s="211">
        <f>IF(COUNTBLANK('RNEW import'!B270)=1,"",'RNEW import'!B270)</f>
        <v>17</v>
      </c>
      <c r="B272" s="211" t="str">
        <f>IF(COUNTBLANK('RNEW import'!D270)=1,"",'RNEW import'!D270)</f>
        <v>Shopping City Timisoara SRL</v>
      </c>
      <c r="C272" s="211" t="str">
        <f>IF(COUNTBLANK('RNEW import'!E270)=1,"",'RNEW import'!E270)</f>
        <v>RTIM</v>
      </c>
      <c r="D272" s="211" t="str">
        <f>IF(COUNTBLANK('RNEW import'!K270)=1,"",'RNEW import'!K270)</f>
        <v>Tarif distributie SDI MT_</v>
      </c>
      <c r="E272" s="211">
        <f>IF(COUNTBLANK('RNEW import'!L270)=1,"",'RNEW import'!N270)</f>
        <v>11982</v>
      </c>
      <c r="F272" s="211">
        <f>IF(COUNTBLANK('RNEW import'!M270)=1,"",'RNEW import'!O270/10000)</f>
        <v>1.1599999999999999E-2</v>
      </c>
      <c r="G272" s="217">
        <f t="shared" si="84"/>
        <v>138.99</v>
      </c>
      <c r="H272" s="217">
        <f t="shared" si="92"/>
        <v>26.41</v>
      </c>
      <c r="I272" s="329">
        <f t="shared" si="85"/>
        <v>165.4</v>
      </c>
      <c r="J272" s="237" t="str">
        <f t="shared" si="87"/>
        <v/>
      </c>
      <c r="K272" s="238" t="str">
        <f t="shared" si="88"/>
        <v/>
      </c>
      <c r="L272" s="238" t="str">
        <f t="shared" si="89"/>
        <v/>
      </c>
      <c r="M272" s="238" t="str">
        <f t="shared" si="90"/>
        <v/>
      </c>
      <c r="N272" s="238" t="str">
        <f t="shared" si="91"/>
        <v/>
      </c>
      <c r="O272" s="232" t="str">
        <f t="shared" si="86"/>
        <v/>
      </c>
      <c r="P272" s="219" t="str">
        <f t="shared" si="93"/>
        <v/>
      </c>
      <c r="Q272" s="219" t="str">
        <f t="shared" si="94"/>
        <v/>
      </c>
      <c r="R272" s="219" t="str">
        <f t="shared" si="95"/>
        <v/>
      </c>
      <c r="S272" s="331" t="str">
        <f t="shared" si="81"/>
        <v/>
      </c>
      <c r="T272" s="331" t="str">
        <f t="shared" si="82"/>
        <v/>
      </c>
      <c r="U272" s="331" t="str">
        <f t="shared" si="83"/>
        <v/>
      </c>
    </row>
    <row r="273" spans="1:21" ht="15.95" customHeight="1">
      <c r="A273" s="211">
        <f>IF(COUNTBLANK('RNEW import'!B271)=1,"",'RNEW import'!B271)</f>
        <v>18</v>
      </c>
      <c r="B273" s="211" t="str">
        <f>IF(COUNTBLANK('RNEW import'!D271)=1,"",'RNEW import'!D271)</f>
        <v>Shopping City Timisoara SRL</v>
      </c>
      <c r="C273" s="211" t="str">
        <f>IF(COUNTBLANK('RNEW import'!E271)=1,"",'RNEW import'!E271)</f>
        <v>RTIM</v>
      </c>
      <c r="D273" s="211" t="str">
        <f>IF(COUNTBLANK('RNEW import'!K271)=1,"",'RNEW import'!K271)</f>
        <v>Tarif distributie SDI JT_</v>
      </c>
      <c r="E273" s="211">
        <f>IF(COUNTBLANK('RNEW import'!L271)=1,"",'RNEW import'!N271)</f>
        <v>11982</v>
      </c>
      <c r="F273" s="211">
        <f>IF(COUNTBLANK('RNEW import'!M271)=1,"",'RNEW import'!O271/10000)</f>
        <v>8.3199999999999996E-2</v>
      </c>
      <c r="G273" s="217">
        <f t="shared" si="84"/>
        <v>996.9</v>
      </c>
      <c r="H273" s="217">
        <f t="shared" si="92"/>
        <v>189.41</v>
      </c>
      <c r="I273" s="329">
        <f t="shared" si="85"/>
        <v>1186.31</v>
      </c>
      <c r="J273" s="237" t="str">
        <f t="shared" si="87"/>
        <v/>
      </c>
      <c r="K273" s="238" t="str">
        <f t="shared" si="88"/>
        <v/>
      </c>
      <c r="L273" s="238" t="str">
        <f t="shared" si="89"/>
        <v/>
      </c>
      <c r="M273" s="238" t="str">
        <f t="shared" si="90"/>
        <v/>
      </c>
      <c r="N273" s="238" t="str">
        <f t="shared" si="91"/>
        <v/>
      </c>
      <c r="O273" s="232" t="str">
        <f t="shared" si="86"/>
        <v/>
      </c>
      <c r="P273" s="219" t="str">
        <f t="shared" si="93"/>
        <v>Energie consumata din PV</v>
      </c>
      <c r="Q273" s="219">
        <f t="shared" si="94"/>
        <v>159886</v>
      </c>
      <c r="R273" s="219">
        <f t="shared" si="95"/>
        <v>0.90005800000000002</v>
      </c>
      <c r="S273" s="331">
        <f t="shared" si="81"/>
        <v>143906.60999999999</v>
      </c>
      <c r="T273" s="331">
        <f t="shared" si="82"/>
        <v>27342.25</v>
      </c>
      <c r="U273" s="331">
        <f t="shared" si="83"/>
        <v>171248.86</v>
      </c>
    </row>
    <row r="274" spans="1:21" ht="15.95" customHeight="1">
      <c r="A274" s="211">
        <f>IF(COUNTBLANK('RNEW import'!B272)=1,"",'RNEW import'!B272)</f>
        <v>19</v>
      </c>
      <c r="B274" s="211" t="str">
        <f>IF(COUNTBLANK('RNEW import'!D272)=1,"",'RNEW import'!D272)</f>
        <v>Shopping City Timisoara SRL</v>
      </c>
      <c r="C274" s="211" t="str">
        <f>IF(COUNTBLANK('RNEW import'!E272)=1,"",'RNEW import'!E272)</f>
        <v>RTIM</v>
      </c>
      <c r="D274" s="211" t="str">
        <f>IF(COUNTBLANK('RNEW import'!K272)=1,"",'RNEW import'!K272)</f>
        <v>Regularizare Energie activa 1</v>
      </c>
      <c r="E274" s="211">
        <f>IF(COUNTBLANK('RNEW import'!L272)=1,"",'RNEW import'!N272)</f>
        <v>0</v>
      </c>
      <c r="F274" s="211">
        <f>IF(COUNTBLANK('RNEW import'!M272)=1,"",'RNEW import'!O272/10000)</f>
        <v>0.59499999999999997</v>
      </c>
      <c r="G274" s="217">
        <f t="shared" si="84"/>
        <v>0</v>
      </c>
      <c r="H274" s="217">
        <f t="shared" si="92"/>
        <v>0</v>
      </c>
      <c r="I274" s="329">
        <f t="shared" si="85"/>
        <v>0</v>
      </c>
      <c r="J274" s="237" t="str">
        <f t="shared" si="87"/>
        <v/>
      </c>
      <c r="K274" s="238" t="str">
        <f t="shared" si="88"/>
        <v/>
      </c>
      <c r="L274" s="238" t="str">
        <f t="shared" si="89"/>
        <v/>
      </c>
      <c r="M274" s="238" t="str">
        <f t="shared" si="90"/>
        <v/>
      </c>
      <c r="N274" s="238" t="str">
        <f t="shared" si="91"/>
        <v/>
      </c>
      <c r="O274" s="232" t="str">
        <f t="shared" si="86"/>
        <v/>
      </c>
      <c r="P274" s="219" t="str">
        <f t="shared" si="93"/>
        <v>Energie activa regularizare</v>
      </c>
      <c r="Q274" s="219">
        <f t="shared" si="94"/>
        <v>0</v>
      </c>
      <c r="R274" s="219">
        <f t="shared" si="95"/>
        <v>0</v>
      </c>
      <c r="S274" s="331">
        <f t="shared" si="81"/>
        <v>0</v>
      </c>
      <c r="T274" s="331">
        <f t="shared" si="82"/>
        <v>0</v>
      </c>
      <c r="U274" s="331">
        <f t="shared" si="83"/>
        <v>0</v>
      </c>
    </row>
    <row r="275" spans="1:21" ht="15.95" customHeight="1">
      <c r="A275" s="211">
        <f>IF(COUNTBLANK('RNEW import'!B273)=1,"",'RNEW import'!B273)</f>
        <v>20</v>
      </c>
      <c r="B275" s="211" t="str">
        <f>IF(COUNTBLANK('RNEW import'!D273)=1,"",'RNEW import'!D273)</f>
        <v>Shopping City Timisoara SRL</v>
      </c>
      <c r="C275" s="211" t="str">
        <f>IF(COUNTBLANK('RNEW import'!E273)=1,"",'RNEW import'!E273)</f>
        <v>RTIM</v>
      </c>
      <c r="D275" s="211" t="str">
        <f>IF(COUNTBLANK('RNEW import'!K273)=1,"",'RNEW import'!K273)</f>
        <v>Regularizare Energie reactiva  1X</v>
      </c>
      <c r="E275" s="211">
        <f>IF(COUNTBLANK('RNEW import'!L273)=1,"",'RNEW import'!N273)</f>
        <v>348</v>
      </c>
      <c r="F275" s="211">
        <f>IF(COUNTBLANK('RNEW import'!M273)=1,"",'RNEW import'!O273/10000)</f>
        <v>0.14660000000000001</v>
      </c>
      <c r="G275" s="217">
        <f t="shared" si="84"/>
        <v>51.02</v>
      </c>
      <c r="H275" s="217">
        <f t="shared" si="92"/>
        <v>9.69</v>
      </c>
      <c r="I275" s="329">
        <f t="shared" si="85"/>
        <v>60.71</v>
      </c>
      <c r="J275" s="237" t="str">
        <f t="shared" si="87"/>
        <v/>
      </c>
      <c r="K275" s="238" t="str">
        <f t="shared" si="88"/>
        <v/>
      </c>
      <c r="L275" s="238" t="str">
        <f t="shared" si="89"/>
        <v/>
      </c>
      <c r="M275" s="238" t="str">
        <f t="shared" si="90"/>
        <v/>
      </c>
      <c r="N275" s="238" t="str">
        <f t="shared" si="91"/>
        <v/>
      </c>
      <c r="O275" s="233" t="str">
        <f t="shared" si="86"/>
        <v/>
      </c>
      <c r="P275" s="219" t="str">
        <f t="shared" si="93"/>
        <v>Energie reactiva 1x regularizare</v>
      </c>
      <c r="Q275" s="219">
        <f t="shared" si="94"/>
        <v>348</v>
      </c>
      <c r="R275" s="219">
        <f t="shared" si="95"/>
        <v>0.14660000000000001</v>
      </c>
      <c r="S275" s="331">
        <f t="shared" si="81"/>
        <v>51.02</v>
      </c>
      <c r="T275" s="331">
        <f t="shared" si="82"/>
        <v>9.69</v>
      </c>
      <c r="U275" s="331">
        <f t="shared" si="83"/>
        <v>60.71</v>
      </c>
    </row>
    <row r="276" spans="1:21" ht="15.95" customHeight="1">
      <c r="A276" s="211">
        <f>IF(COUNTBLANK('RNEW import'!B274)=1,"",'RNEW import'!B274)</f>
        <v>21</v>
      </c>
      <c r="B276" s="211" t="str">
        <f>IF(COUNTBLANK('RNEW import'!D274)=1,"",'RNEW import'!D274)</f>
        <v>Shopping City Timisoara SRL</v>
      </c>
      <c r="C276" s="211" t="str">
        <f>IF(COUNTBLANK('RNEW import'!E274)=1,"",'RNEW import'!E274)</f>
        <v>RTIM</v>
      </c>
      <c r="D276" s="211" t="str">
        <f>IF(COUNTBLANK('RNEW import'!K274)=1,"",'RNEW import'!K274)</f>
        <v>Regularizare Energie reactiva  3X</v>
      </c>
      <c r="E276" s="211">
        <f>IF(COUNTBLANK('RNEW import'!L274)=1,"",'RNEW import'!N274)</f>
        <v>125</v>
      </c>
      <c r="F276" s="211">
        <f>IF(COUNTBLANK('RNEW import'!M274)=1,"",'RNEW import'!O274/10000)</f>
        <v>0.43980000000000002</v>
      </c>
      <c r="G276" s="217">
        <f t="shared" si="84"/>
        <v>54.98</v>
      </c>
      <c r="H276" s="217">
        <f t="shared" si="92"/>
        <v>10.45</v>
      </c>
      <c r="I276" s="329">
        <f t="shared" si="85"/>
        <v>65.429999999999993</v>
      </c>
      <c r="J276" s="237" t="str">
        <f t="shared" si="87"/>
        <v/>
      </c>
      <c r="K276" s="238" t="str">
        <f t="shared" si="88"/>
        <v/>
      </c>
      <c r="L276" s="238" t="str">
        <f t="shared" si="89"/>
        <v/>
      </c>
      <c r="M276" s="238" t="str">
        <f t="shared" si="90"/>
        <v/>
      </c>
      <c r="N276" s="238" t="str">
        <f t="shared" si="91"/>
        <v/>
      </c>
      <c r="O276" s="218" t="str">
        <f t="shared" si="86"/>
        <v/>
      </c>
      <c r="P276" s="219" t="str">
        <f t="shared" si="93"/>
        <v>Energie reactiva 3x regularizare</v>
      </c>
      <c r="Q276" s="219">
        <f t="shared" si="94"/>
        <v>125</v>
      </c>
      <c r="R276" s="219">
        <f t="shared" si="95"/>
        <v>0.43980000000000002</v>
      </c>
      <c r="S276" s="331">
        <f t="shared" si="81"/>
        <v>54.98</v>
      </c>
      <c r="T276" s="331">
        <f t="shared" si="82"/>
        <v>10.45</v>
      </c>
      <c r="U276" s="331">
        <f t="shared" si="83"/>
        <v>65.430000000000007</v>
      </c>
    </row>
    <row r="277" spans="1:21" ht="15.95" customHeight="1">
      <c r="A277" s="211">
        <f>IF(COUNTBLANK('RNEW import'!B275)=1,"",'RNEW import'!B275)</f>
        <v>22</v>
      </c>
      <c r="B277" s="211" t="str">
        <f>IF(COUNTBLANK('RNEW import'!D275)=1,"",'RNEW import'!D275)</f>
        <v>Shopping City Timisoara SRL</v>
      </c>
      <c r="C277" s="211" t="str">
        <f>IF(COUNTBLANK('RNEW import'!E275)=1,"",'RNEW import'!E275)</f>
        <v>RTIM</v>
      </c>
      <c r="D277" s="211" t="str">
        <f>IF(COUNTBLANK('RNEW import'!K275)=1,"",'RNEW import'!K275)</f>
        <v>Regularizare Tarife distributie en. El IT+MT</v>
      </c>
      <c r="E277" s="211">
        <f>IF(COUNTBLANK('RNEW import'!L275)=1,"",'RNEW import'!N275)</f>
        <v>0</v>
      </c>
      <c r="F277" s="211">
        <f>IF(COUNTBLANK('RNEW import'!M275)=1,"",'RNEW import'!O275/10000)</f>
        <v>8.6180000000000007E-2</v>
      </c>
      <c r="G277" s="217">
        <f t="shared" si="84"/>
        <v>0</v>
      </c>
      <c r="H277" s="217">
        <f t="shared" si="92"/>
        <v>0</v>
      </c>
      <c r="I277" s="329">
        <f t="shared" si="85"/>
        <v>0</v>
      </c>
      <c r="J277" s="237" t="str">
        <f t="shared" si="87"/>
        <v/>
      </c>
      <c r="K277" s="238" t="str">
        <f t="shared" si="88"/>
        <v/>
      </c>
      <c r="L277" s="238" t="str">
        <f t="shared" si="89"/>
        <v/>
      </c>
      <c r="M277" s="238" t="str">
        <f t="shared" si="90"/>
        <v/>
      </c>
      <c r="N277" s="238" t="str">
        <f t="shared" si="91"/>
        <v/>
      </c>
      <c r="O277" s="232" t="str">
        <f t="shared" si="86"/>
        <v/>
      </c>
      <c r="P277" s="219" t="str">
        <f t="shared" si="93"/>
        <v/>
      </c>
      <c r="Q277" s="219" t="str">
        <f t="shared" si="94"/>
        <v/>
      </c>
      <c r="R277" s="219" t="str">
        <f t="shared" si="95"/>
        <v/>
      </c>
      <c r="S277" s="331" t="str">
        <f t="shared" si="81"/>
        <v/>
      </c>
      <c r="T277" s="331" t="str">
        <f t="shared" si="82"/>
        <v/>
      </c>
      <c r="U277" s="331" t="str">
        <f t="shared" si="83"/>
        <v/>
      </c>
    </row>
    <row r="278" spans="1:21" ht="15.95" customHeight="1">
      <c r="A278" s="211">
        <f>IF(COUNTBLANK('RNEW import'!B276)=1,"",'RNEW import'!B276)</f>
        <v>23</v>
      </c>
      <c r="B278" s="211" t="str">
        <f>IF(COUNTBLANK('RNEW import'!D276)=1,"",'RNEW import'!D276)</f>
        <v>Shopping City Timisoara SRL</v>
      </c>
      <c r="C278" s="211" t="str">
        <f>IF(COUNTBLANK('RNEW import'!E276)=1,"",'RNEW import'!E276)</f>
        <v>RTIM</v>
      </c>
      <c r="D278" s="211" t="str">
        <f>IF(COUNTBLANK('RNEW import'!K276)=1,"",'RNEW import'!K276)</f>
        <v>Regularizare Tarife distributie en. El JT</v>
      </c>
      <c r="E278" s="211">
        <f>IF(COUNTBLANK('RNEW import'!L276)=1,"",'RNEW import'!N276)</f>
        <v>0</v>
      </c>
      <c r="F278" s="211">
        <f>IF(COUNTBLANK('RNEW import'!M276)=1,"",'RNEW import'!O276/10000)</f>
        <v>0.2079</v>
      </c>
      <c r="G278" s="217">
        <f t="shared" si="84"/>
        <v>0</v>
      </c>
      <c r="H278" s="217">
        <f t="shared" si="92"/>
        <v>0</v>
      </c>
      <c r="I278" s="329">
        <f t="shared" si="85"/>
        <v>0</v>
      </c>
      <c r="J278" s="237" t="str">
        <f t="shared" si="87"/>
        <v/>
      </c>
      <c r="K278" s="238" t="str">
        <f t="shared" si="88"/>
        <v/>
      </c>
      <c r="L278" s="238" t="str">
        <f t="shared" si="89"/>
        <v/>
      </c>
      <c r="M278" s="238" t="str">
        <f t="shared" si="90"/>
        <v/>
      </c>
      <c r="N278" s="238" t="str">
        <f t="shared" si="91"/>
        <v/>
      </c>
      <c r="O278" s="232" t="str">
        <f t="shared" si="86"/>
        <v/>
      </c>
      <c r="P278" s="219" t="str">
        <f t="shared" si="93"/>
        <v/>
      </c>
      <c r="Q278" s="219" t="str">
        <f t="shared" si="94"/>
        <v/>
      </c>
      <c r="R278" s="219" t="str">
        <f t="shared" si="95"/>
        <v/>
      </c>
      <c r="S278" s="331" t="str">
        <f t="shared" ref="S278:S341" si="96">IF(COUNTBLANK(P278)=1,"",ROUND(IF(P278=$P$5,G278,IF(P278=$P$6,G278,IF(P278=$P$21,G278+G277+G276+G275,IF(P278=$P$23,G278,IF(P278=$P$24,G278,IF(P278=$P$4,SUMIFS(G:G,$B:$B,J278,A:A,"&lt;15"),IF(P278=$P$22,SUMIFS(G:G,$B:$B,J260,A:A,"&gt;18",A:A,"&lt;33")-S279-S280,IF(P278=$P$39,G278+G277+G276+G275,"eroare")))))))),2))</f>
        <v/>
      </c>
      <c r="T278" s="331" t="str">
        <f t="shared" ref="T278:T341" si="97">IF(COUNTBLANK(P278)=1,"",ROUND(IF(P278=$P$5,H278,IF(P278=$P$6,H278,IF(P278=$P$21,H278+H277+H276+H275,IF(P278=$P$23,H278,IF(P278=$P$24,H278,IF(P278=$P$4,SUMIFS(H:H,$B:$B,J278,A:A,"&lt;15"),IF(P278=$P$22,SUMIFS(H:H,$B:$B,J260,A:A,"&gt;18",A:A,"&lt;33")-T279-T280,IF(P278=$P$39,H278+H277+H276+H275,"eroare")))))))),2))</f>
        <v/>
      </c>
      <c r="U278" s="331" t="str">
        <f t="shared" ref="U278:U341" si="98">IF(COUNTBLANK(P278)=1,"",ROUND(IF(P278=$P$5,I278,IF(P278=$P$6,I278,IF(P278=$P$21,I278+I277+I276+I275,IF(P278=$P$23,I278,IF(P278=$P$24,I278,IF(P278=$P$4,SUMIFS(I:I,$B:$B,J278,A:A,"&lt;15"),IF(P278=$P$22,SUMIFS(I:I,$B:$B,J260,A:A,"&gt;18",A:A,"&lt;33")-U279-U280,IF(P278=$P$39,I278+I277+I276+I275,"eroare")))))))),2))</f>
        <v/>
      </c>
    </row>
    <row r="279" spans="1:21" ht="15.95" customHeight="1">
      <c r="A279" s="211">
        <f>IF(COUNTBLANK('RNEW import'!B277)=1,"",'RNEW import'!B277)</f>
        <v>24</v>
      </c>
      <c r="B279" s="211" t="str">
        <f>IF(COUNTBLANK('RNEW import'!D277)=1,"",'RNEW import'!D277)</f>
        <v>Shopping City Timisoara SRL</v>
      </c>
      <c r="C279" s="211" t="str">
        <f>IF(COUNTBLANK('RNEW import'!E277)=1,"",'RNEW import'!E277)</f>
        <v>RTIM</v>
      </c>
      <c r="D279" s="211" t="str">
        <f>IF(COUNTBLANK('RNEW import'!K277)=1,"",'RNEW import'!K277)</f>
        <v xml:space="preserve">Regularizare Servicii Sistem </v>
      </c>
      <c r="E279" s="211">
        <f>IF(COUNTBLANK('RNEW import'!L277)=1,"",'RNEW import'!N277)</f>
        <v>0</v>
      </c>
      <c r="F279" s="211">
        <f>IF(COUNTBLANK('RNEW import'!M277)=1,"",'RNEW import'!O277/10000)</f>
        <v>1.1509999999999999E-2</v>
      </c>
      <c r="G279" s="217">
        <f t="shared" si="84"/>
        <v>0</v>
      </c>
      <c r="H279" s="217">
        <f t="shared" si="92"/>
        <v>0</v>
      </c>
      <c r="I279" s="329">
        <f t="shared" si="85"/>
        <v>0</v>
      </c>
      <c r="J279" s="237" t="str">
        <f t="shared" si="87"/>
        <v/>
      </c>
      <c r="K279" s="238" t="str">
        <f t="shared" si="88"/>
        <v/>
      </c>
      <c r="L279" s="238" t="str">
        <f t="shared" si="89"/>
        <v/>
      </c>
      <c r="M279" s="238" t="str">
        <f t="shared" si="90"/>
        <v/>
      </c>
      <c r="N279" s="238" t="str">
        <f t="shared" si="91"/>
        <v/>
      </c>
      <c r="O279" s="232" t="str">
        <f t="shared" si="86"/>
        <v/>
      </c>
      <c r="P279" s="219" t="str">
        <f t="shared" si="93"/>
        <v/>
      </c>
      <c r="Q279" s="219" t="str">
        <f t="shared" si="94"/>
        <v/>
      </c>
      <c r="R279" s="219" t="str">
        <f t="shared" si="95"/>
        <v/>
      </c>
      <c r="S279" s="331" t="str">
        <f t="shared" si="96"/>
        <v/>
      </c>
      <c r="T279" s="331" t="str">
        <f t="shared" si="97"/>
        <v/>
      </c>
      <c r="U279" s="331" t="str">
        <f t="shared" si="98"/>
        <v/>
      </c>
    </row>
    <row r="280" spans="1:21" ht="15.95" customHeight="1">
      <c r="A280" s="211">
        <f>IF(COUNTBLANK('RNEW import'!B278)=1,"",'RNEW import'!B278)</f>
        <v>25</v>
      </c>
      <c r="B280" s="211" t="str">
        <f>IF(COUNTBLANK('RNEW import'!D278)=1,"",'RNEW import'!D278)</f>
        <v>Shopping City Timisoara SRL</v>
      </c>
      <c r="C280" s="211" t="str">
        <f>IF(COUNTBLANK('RNEW import'!E278)=1,"",'RNEW import'!E278)</f>
        <v>RTIM</v>
      </c>
      <c r="D280" s="211" t="str">
        <f>IF(COUNTBLANK('RNEW import'!K278)=1,"",'RNEW import'!K278)</f>
        <v>Regularizare Tarif de introducere en. el in retea (TL)</v>
      </c>
      <c r="E280" s="211">
        <f>IF(COUNTBLANK('RNEW import'!L278)=1,"",'RNEW import'!N278)</f>
        <v>0</v>
      </c>
      <c r="F280" s="211">
        <f>IF(COUNTBLANK('RNEW import'!M278)=1,"",'RNEW import'!O278/10000)</f>
        <v>3.3030000000000004E-2</v>
      </c>
      <c r="G280" s="217">
        <f t="shared" si="84"/>
        <v>0</v>
      </c>
      <c r="H280" s="217">
        <f t="shared" si="92"/>
        <v>0</v>
      </c>
      <c r="I280" s="329">
        <f t="shared" si="85"/>
        <v>0</v>
      </c>
      <c r="J280" s="237" t="str">
        <f t="shared" si="87"/>
        <v/>
      </c>
      <c r="K280" s="238" t="str">
        <f t="shared" si="88"/>
        <v/>
      </c>
      <c r="L280" s="238" t="str">
        <f t="shared" si="89"/>
        <v/>
      </c>
      <c r="M280" s="238" t="str">
        <f t="shared" si="90"/>
        <v/>
      </c>
      <c r="N280" s="238" t="str">
        <f t="shared" si="91"/>
        <v/>
      </c>
      <c r="O280" s="232" t="str">
        <f t="shared" si="86"/>
        <v/>
      </c>
      <c r="P280" s="219" t="str">
        <f t="shared" si="93"/>
        <v/>
      </c>
      <c r="Q280" s="219" t="str">
        <f t="shared" si="94"/>
        <v/>
      </c>
      <c r="R280" s="219" t="str">
        <f t="shared" si="95"/>
        <v/>
      </c>
      <c r="S280" s="331" t="str">
        <f t="shared" si="96"/>
        <v/>
      </c>
      <c r="T280" s="331" t="str">
        <f t="shared" si="97"/>
        <v/>
      </c>
      <c r="U280" s="331" t="str">
        <f t="shared" si="98"/>
        <v/>
      </c>
    </row>
    <row r="281" spans="1:21" ht="15.95" customHeight="1">
      <c r="A281" s="211">
        <f>IF(COUNTBLANK('RNEW import'!B279)=1,"",'RNEW import'!B279)</f>
        <v>26</v>
      </c>
      <c r="B281" s="211" t="str">
        <f>IF(COUNTBLANK('RNEW import'!D279)=1,"",'RNEW import'!D279)</f>
        <v>Shopping City Timisoara SRL</v>
      </c>
      <c r="C281" s="211" t="str">
        <f>IF(COUNTBLANK('RNEW import'!E279)=1,"",'RNEW import'!E279)</f>
        <v>RTIM</v>
      </c>
      <c r="D281" s="211" t="str">
        <f>IF(COUNTBLANK('RNEW import'!K279)=1,"",'RNEW import'!K279)</f>
        <v>Regularizare Tarif de introducere en.el in retea (TG)</v>
      </c>
      <c r="E281" s="211">
        <f>IF(COUNTBLANK('RNEW import'!L279)=1,"",'RNEW import'!N279)</f>
        <v>0</v>
      </c>
      <c r="F281" s="211">
        <f>IF(COUNTBLANK('RNEW import'!M279)=1,"",'RNEW import'!O279/10000)</f>
        <v>3.29E-3</v>
      </c>
      <c r="G281" s="217">
        <f t="shared" si="84"/>
        <v>0</v>
      </c>
      <c r="H281" s="217">
        <f t="shared" si="92"/>
        <v>0</v>
      </c>
      <c r="I281" s="329">
        <f t="shared" si="85"/>
        <v>0</v>
      </c>
      <c r="J281" s="237" t="str">
        <f t="shared" si="87"/>
        <v/>
      </c>
      <c r="K281" s="238" t="str">
        <f t="shared" si="88"/>
        <v/>
      </c>
      <c r="L281" s="238" t="str">
        <f t="shared" si="89"/>
        <v/>
      </c>
      <c r="M281" s="238" t="str">
        <f t="shared" si="90"/>
        <v/>
      </c>
      <c r="N281" s="238" t="str">
        <f t="shared" si="91"/>
        <v/>
      </c>
      <c r="O281" s="232" t="str">
        <f t="shared" si="86"/>
        <v/>
      </c>
      <c r="P281" s="219" t="str">
        <f t="shared" si="93"/>
        <v/>
      </c>
      <c r="Q281" s="219" t="str">
        <f t="shared" si="94"/>
        <v/>
      </c>
      <c r="R281" s="219" t="str">
        <f t="shared" si="95"/>
        <v/>
      </c>
      <c r="S281" s="331" t="str">
        <f t="shared" si="96"/>
        <v/>
      </c>
      <c r="T281" s="331" t="str">
        <f t="shared" si="97"/>
        <v/>
      </c>
      <c r="U281" s="331" t="str">
        <f t="shared" si="98"/>
        <v/>
      </c>
    </row>
    <row r="282" spans="1:21" ht="15.95" customHeight="1">
      <c r="A282" s="211">
        <f>IF(COUNTBLANK('RNEW import'!B280)=1,"",'RNEW import'!B280)</f>
        <v>27</v>
      </c>
      <c r="B282" s="211" t="str">
        <f>IF(COUNTBLANK('RNEW import'!D280)=1,"",'RNEW import'!D280)</f>
        <v>Shopping City Timisoara SRL</v>
      </c>
      <c r="C282" s="211" t="str">
        <f>IF(COUNTBLANK('RNEW import'!E280)=1,"",'RNEW import'!E280)</f>
        <v>RTIM</v>
      </c>
      <c r="D282" s="211" t="str">
        <f>IF(COUNTBLANK('RNEW import'!K280)=1,"",'RNEW import'!K280)</f>
        <v>Regularizare Contributie pentru cogenerare</v>
      </c>
      <c r="E282" s="211">
        <f>IF(COUNTBLANK('RNEW import'!L280)=1,"",'RNEW import'!N280)</f>
        <v>0</v>
      </c>
      <c r="F282" s="211">
        <f>IF(COUNTBLANK('RNEW import'!M280)=1,"",'RNEW import'!O280/10000)</f>
        <v>3.5000000000000001E-3</v>
      </c>
      <c r="G282" s="217">
        <f t="shared" si="84"/>
        <v>0</v>
      </c>
      <c r="H282" s="217">
        <f t="shared" si="92"/>
        <v>0</v>
      </c>
      <c r="I282" s="329">
        <f t="shared" si="85"/>
        <v>0</v>
      </c>
      <c r="J282" s="237" t="str">
        <f t="shared" si="87"/>
        <v/>
      </c>
      <c r="K282" s="238" t="str">
        <f t="shared" si="88"/>
        <v/>
      </c>
      <c r="L282" s="238" t="str">
        <f t="shared" si="89"/>
        <v/>
      </c>
      <c r="M282" s="238" t="str">
        <f t="shared" si="90"/>
        <v/>
      </c>
      <c r="N282" s="238" t="str">
        <f t="shared" si="91"/>
        <v/>
      </c>
      <c r="O282" s="232" t="str">
        <f t="shared" si="86"/>
        <v/>
      </c>
      <c r="P282" s="219" t="str">
        <f t="shared" si="93"/>
        <v/>
      </c>
      <c r="Q282" s="219" t="str">
        <f t="shared" si="94"/>
        <v/>
      </c>
      <c r="R282" s="219" t="str">
        <f t="shared" si="95"/>
        <v/>
      </c>
      <c r="S282" s="331" t="str">
        <f t="shared" si="96"/>
        <v/>
      </c>
      <c r="T282" s="331" t="str">
        <f t="shared" si="97"/>
        <v/>
      </c>
      <c r="U282" s="331" t="str">
        <f t="shared" si="98"/>
        <v/>
      </c>
    </row>
    <row r="283" spans="1:21" ht="15.95" customHeight="1">
      <c r="A283" s="211">
        <f>IF(COUNTBLANK('RNEW import'!B281)=1,"",'RNEW import'!B281)</f>
        <v>28</v>
      </c>
      <c r="B283" s="211" t="str">
        <f>IF(COUNTBLANK('RNEW import'!D281)=1,"",'RNEW import'!D281)</f>
        <v>Shopping City Timisoara SRL</v>
      </c>
      <c r="C283" s="211" t="str">
        <f>IF(COUNTBLANK('RNEW import'!E281)=1,"",'RNEW import'!E281)</f>
        <v>RTIM</v>
      </c>
      <c r="D283" s="211" t="str">
        <f>IF(COUNTBLANK('RNEW import'!K281)=1,"",'RNEW import'!K281)</f>
        <v xml:space="preserve">Regularizare Certificate verzi </v>
      </c>
      <c r="E283" s="211">
        <f>IF(COUNTBLANK('RNEW import'!L281)=1,"",'RNEW import'!N281)</f>
        <v>0</v>
      </c>
      <c r="F283" s="211">
        <f>IF(COUNTBLANK('RNEW import'!M281)=1,"",'RNEW import'!O281/10000)</f>
        <v>7.2541599999999998E-2</v>
      </c>
      <c r="G283" s="217">
        <f t="shared" si="84"/>
        <v>0</v>
      </c>
      <c r="H283" s="217">
        <f t="shared" si="92"/>
        <v>0</v>
      </c>
      <c r="I283" s="329">
        <f t="shared" si="85"/>
        <v>0</v>
      </c>
      <c r="J283" s="237" t="str">
        <f t="shared" si="87"/>
        <v/>
      </c>
      <c r="K283" s="238" t="str">
        <f t="shared" si="88"/>
        <v/>
      </c>
      <c r="L283" s="238" t="str">
        <f t="shared" si="89"/>
        <v/>
      </c>
      <c r="M283" s="238" t="str">
        <f t="shared" si="90"/>
        <v/>
      </c>
      <c r="N283" s="238" t="str">
        <f t="shared" si="91"/>
        <v/>
      </c>
      <c r="O283" s="232" t="str">
        <f t="shared" si="86"/>
        <v/>
      </c>
      <c r="P283" s="219" t="str">
        <f t="shared" si="93"/>
        <v/>
      </c>
      <c r="Q283" s="219" t="str">
        <f t="shared" si="94"/>
        <v/>
      </c>
      <c r="R283" s="219" t="str">
        <f t="shared" si="95"/>
        <v/>
      </c>
      <c r="S283" s="331" t="str">
        <f t="shared" si="96"/>
        <v/>
      </c>
      <c r="T283" s="331" t="str">
        <f t="shared" si="97"/>
        <v/>
      </c>
      <c r="U283" s="331" t="str">
        <f t="shared" si="98"/>
        <v/>
      </c>
    </row>
    <row r="284" spans="1:21" ht="15.95" customHeight="1">
      <c r="A284" s="211">
        <f>IF(COUNTBLANK('RNEW import'!B282)=1,"",'RNEW import'!B282)</f>
        <v>29</v>
      </c>
      <c r="B284" s="211" t="str">
        <f>IF(COUNTBLANK('RNEW import'!D282)=1,"",'RNEW import'!D282)</f>
        <v>Shopping City Timisoara SRL</v>
      </c>
      <c r="C284" s="211" t="str">
        <f>IF(COUNTBLANK('RNEW import'!E282)=1,"",'RNEW import'!E282)</f>
        <v>RTIM</v>
      </c>
      <c r="D284" s="211" t="str">
        <f>IF(COUNTBLANK('RNEW import'!K282)=1,"",'RNEW import'!K282)</f>
        <v>Regularizare Contributie CFD</v>
      </c>
      <c r="E284" s="211">
        <f>IF(COUNTBLANK('RNEW import'!L282)=1,"",'RNEW import'!N282)</f>
        <v>0</v>
      </c>
      <c r="F284" s="211">
        <f>IF(COUNTBLANK('RNEW import'!M282)=1,"",'RNEW import'!O282/10000)</f>
        <v>2.0599999999999999E-4</v>
      </c>
      <c r="G284" s="217">
        <f t="shared" si="84"/>
        <v>0</v>
      </c>
      <c r="H284" s="217">
        <f t="shared" si="92"/>
        <v>0</v>
      </c>
      <c r="I284" s="329">
        <f t="shared" si="85"/>
        <v>0</v>
      </c>
      <c r="J284" s="237" t="str">
        <f t="shared" si="87"/>
        <v/>
      </c>
      <c r="K284" s="238" t="str">
        <f t="shared" si="88"/>
        <v/>
      </c>
      <c r="L284" s="238" t="str">
        <f t="shared" si="89"/>
        <v/>
      </c>
      <c r="M284" s="238" t="str">
        <f t="shared" si="90"/>
        <v/>
      </c>
      <c r="N284" s="238" t="str">
        <f t="shared" si="91"/>
        <v/>
      </c>
      <c r="O284" s="232" t="str">
        <f t="shared" si="86"/>
        <v/>
      </c>
      <c r="P284" s="219" t="str">
        <f t="shared" si="93"/>
        <v/>
      </c>
      <c r="Q284" s="219" t="str">
        <f t="shared" si="94"/>
        <v/>
      </c>
      <c r="R284" s="219" t="str">
        <f t="shared" si="95"/>
        <v/>
      </c>
      <c r="S284" s="331" t="str">
        <f t="shared" si="96"/>
        <v/>
      </c>
      <c r="T284" s="331" t="str">
        <f t="shared" si="97"/>
        <v/>
      </c>
      <c r="U284" s="331" t="str">
        <f t="shared" si="98"/>
        <v/>
      </c>
    </row>
    <row r="285" spans="1:21" ht="15.95" customHeight="1">
      <c r="A285" s="211">
        <f>IF(COUNTBLANK('RNEW import'!B283)=1,"",'RNEW import'!B283)</f>
        <v>30</v>
      </c>
      <c r="B285" s="211" t="str">
        <f>IF(COUNTBLANK('RNEW import'!D283)=1,"",'RNEW import'!D283)</f>
        <v>Shopping City Timisoara SRL</v>
      </c>
      <c r="C285" s="211" t="str">
        <f>IF(COUNTBLANK('RNEW import'!E283)=1,"",'RNEW import'!E283)</f>
        <v>RTIM</v>
      </c>
      <c r="D285" s="211" t="str">
        <f>IF(COUNTBLANK('RNEW import'!K283)=1,"",'RNEW import'!K283)</f>
        <v>Regularizare Acciza</v>
      </c>
      <c r="E285" s="211">
        <f>IF(COUNTBLANK('RNEW import'!L283)=1,"",'RNEW import'!N283)</f>
        <v>0</v>
      </c>
      <c r="F285" s="211">
        <f>IF(COUNTBLANK('RNEW import'!M283)=1,"",'RNEW import'!O283/10000)</f>
        <v>0</v>
      </c>
      <c r="G285" s="217">
        <f t="shared" si="84"/>
        <v>0</v>
      </c>
      <c r="H285" s="217">
        <f t="shared" si="92"/>
        <v>0</v>
      </c>
      <c r="I285" s="329">
        <f t="shared" si="85"/>
        <v>0</v>
      </c>
      <c r="J285" s="237" t="str">
        <f t="shared" si="87"/>
        <v/>
      </c>
      <c r="K285" s="238" t="str">
        <f t="shared" si="88"/>
        <v/>
      </c>
      <c r="L285" s="238" t="str">
        <f t="shared" si="89"/>
        <v/>
      </c>
      <c r="M285" s="238" t="str">
        <f t="shared" si="90"/>
        <v/>
      </c>
      <c r="N285" s="238" t="str">
        <f t="shared" si="91"/>
        <v/>
      </c>
      <c r="O285" s="232" t="str">
        <f t="shared" si="86"/>
        <v/>
      </c>
      <c r="P285" s="219" t="str">
        <f t="shared" si="93"/>
        <v/>
      </c>
      <c r="Q285" s="219" t="str">
        <f t="shared" si="94"/>
        <v/>
      </c>
      <c r="R285" s="219" t="str">
        <f t="shared" si="95"/>
        <v/>
      </c>
      <c r="S285" s="331" t="str">
        <f t="shared" si="96"/>
        <v/>
      </c>
      <c r="T285" s="331" t="str">
        <f t="shared" si="97"/>
        <v/>
      </c>
      <c r="U285" s="331" t="str">
        <f t="shared" si="98"/>
        <v/>
      </c>
    </row>
    <row r="286" spans="1:21" ht="15.95" customHeight="1">
      <c r="A286" s="211">
        <f>IF(COUNTBLANK('RNEW import'!B284)=1,"",'RNEW import'!B284)</f>
        <v>31</v>
      </c>
      <c r="B286" s="211" t="str">
        <f>IF(COUNTBLANK('RNEW import'!D284)=1,"",'RNEW import'!D284)</f>
        <v>Shopping City Timisoara SRL</v>
      </c>
      <c r="C286" s="211" t="str">
        <f>IF(COUNTBLANK('RNEW import'!E284)=1,"",'RNEW import'!E284)</f>
        <v>RTIM</v>
      </c>
      <c r="D286" s="211" t="str">
        <f>IF(COUNTBLANK('RNEW import'!K284)=1,"",'RNEW import'!K284)</f>
        <v>Regularizare Tarif distributie SDI MT Ea1</v>
      </c>
      <c r="E286" s="211">
        <f>IF(COUNTBLANK('RNEW import'!L284)=1,"",'RNEW import'!N284)</f>
        <v>0</v>
      </c>
      <c r="F286" s="211">
        <f>IF(COUNTBLANK('RNEW import'!M284)=1,"",'RNEW import'!O284/10000)</f>
        <v>1.1599999999999999E-2</v>
      </c>
      <c r="G286" s="217">
        <f t="shared" si="84"/>
        <v>0</v>
      </c>
      <c r="H286" s="217">
        <f t="shared" si="92"/>
        <v>0</v>
      </c>
      <c r="I286" s="329">
        <f t="shared" si="85"/>
        <v>0</v>
      </c>
      <c r="J286" s="237" t="str">
        <f t="shared" si="87"/>
        <v/>
      </c>
      <c r="K286" s="238" t="str">
        <f t="shared" si="88"/>
        <v/>
      </c>
      <c r="L286" s="238" t="str">
        <f t="shared" si="89"/>
        <v/>
      </c>
      <c r="M286" s="238" t="str">
        <f t="shared" si="90"/>
        <v/>
      </c>
      <c r="N286" s="238" t="str">
        <f t="shared" si="91"/>
        <v/>
      </c>
      <c r="O286" s="232" t="str">
        <f t="shared" si="86"/>
        <v/>
      </c>
      <c r="P286" s="219" t="str">
        <f t="shared" si="93"/>
        <v/>
      </c>
      <c r="Q286" s="219" t="str">
        <f t="shared" si="94"/>
        <v/>
      </c>
      <c r="R286" s="219" t="str">
        <f t="shared" si="95"/>
        <v/>
      </c>
      <c r="S286" s="331" t="str">
        <f t="shared" si="96"/>
        <v/>
      </c>
      <c r="T286" s="331" t="str">
        <f t="shared" si="97"/>
        <v/>
      </c>
      <c r="U286" s="331" t="str">
        <f t="shared" si="98"/>
        <v/>
      </c>
    </row>
    <row r="287" spans="1:21" ht="15.95" customHeight="1">
      <c r="A287" s="211">
        <f>IF(COUNTBLANK('RNEW import'!B285)=1,"",'RNEW import'!B285)</f>
        <v>32</v>
      </c>
      <c r="B287" s="211" t="str">
        <f>IF(COUNTBLANK('RNEW import'!D285)=1,"",'RNEW import'!D285)</f>
        <v>Shopping City Timisoara SRL</v>
      </c>
      <c r="C287" s="211" t="str">
        <f>IF(COUNTBLANK('RNEW import'!E285)=1,"",'RNEW import'!E285)</f>
        <v>RTIM</v>
      </c>
      <c r="D287" s="211" t="str">
        <f>IF(COUNTBLANK('RNEW import'!K285)=1,"",'RNEW import'!K285)</f>
        <v>Regularizare Tarif distributie SDI JT Ea1</v>
      </c>
      <c r="E287" s="211">
        <f>IF(COUNTBLANK('RNEW import'!L285)=1,"",'RNEW import'!N285)</f>
        <v>0</v>
      </c>
      <c r="F287" s="211">
        <f>IF(COUNTBLANK('RNEW import'!M285)=1,"",'RNEW import'!O285/10000)</f>
        <v>8.3199999999999996E-2</v>
      </c>
      <c r="G287" s="217">
        <f t="shared" si="84"/>
        <v>0</v>
      </c>
      <c r="H287" s="217">
        <f t="shared" si="92"/>
        <v>0</v>
      </c>
      <c r="I287" s="329">
        <f t="shared" si="85"/>
        <v>0</v>
      </c>
      <c r="J287" s="237" t="str">
        <f t="shared" si="87"/>
        <v/>
      </c>
      <c r="K287" s="238" t="str">
        <f t="shared" si="88"/>
        <v/>
      </c>
      <c r="L287" s="238" t="str">
        <f t="shared" si="89"/>
        <v/>
      </c>
      <c r="M287" s="238" t="str">
        <f t="shared" si="90"/>
        <v/>
      </c>
      <c r="N287" s="238" t="str">
        <f t="shared" si="91"/>
        <v/>
      </c>
      <c r="O287" s="232" t="str">
        <f t="shared" si="86"/>
        <v/>
      </c>
      <c r="P287" s="219" t="str">
        <f t="shared" si="93"/>
        <v/>
      </c>
      <c r="Q287" s="219" t="str">
        <f t="shared" si="94"/>
        <v/>
      </c>
      <c r="R287" s="219" t="str">
        <f t="shared" si="95"/>
        <v/>
      </c>
      <c r="S287" s="331" t="str">
        <f t="shared" si="96"/>
        <v/>
      </c>
      <c r="T287" s="331" t="str">
        <f t="shared" si="97"/>
        <v/>
      </c>
      <c r="U287" s="331" t="str">
        <f t="shared" si="98"/>
        <v/>
      </c>
    </row>
    <row r="288" spans="1:21" ht="15.95" customHeight="1">
      <c r="A288" s="211">
        <f>IF(COUNTBLANK('RNEW import'!B286)=1,"",'RNEW import'!B286)</f>
        <v>33</v>
      </c>
      <c r="B288" s="211" t="str">
        <f>IF(COUNTBLANK('RNEW import'!D286)=1,"",'RNEW import'!D286)</f>
        <v>Shopping City Timisoara SRL</v>
      </c>
      <c r="C288" s="211" t="str">
        <f>IF(COUNTBLANK('RNEW import'!E286)=1,"",'RNEW import'!E286)</f>
        <v>RTIM</v>
      </c>
      <c r="D288" s="211" t="str">
        <f>IF(COUNTBLANK('RNEW import'!K286)=1,"",'RNEW import'!K286)</f>
        <v>Regularizare Energie activa 2</v>
      </c>
      <c r="E288" s="211">
        <f>IF(COUNTBLANK('RNEW import'!L286)=1,"",'RNEW import'!N286)</f>
        <v>0</v>
      </c>
      <c r="F288" s="211">
        <f>IF(COUNTBLANK('RNEW import'!M286)=1,"",'RNEW import'!O286/10000)</f>
        <v>0.90005760000000012</v>
      </c>
      <c r="G288" s="217">
        <f t="shared" si="84"/>
        <v>0</v>
      </c>
      <c r="H288" s="217">
        <f t="shared" si="92"/>
        <v>0</v>
      </c>
      <c r="I288" s="329">
        <f t="shared" si="85"/>
        <v>0</v>
      </c>
      <c r="J288" s="237" t="str">
        <f t="shared" si="87"/>
        <v/>
      </c>
      <c r="K288" s="238" t="str">
        <f t="shared" si="88"/>
        <v/>
      </c>
      <c r="L288" s="238" t="str">
        <f t="shared" si="89"/>
        <v/>
      </c>
      <c r="M288" s="238" t="str">
        <f t="shared" si="90"/>
        <v/>
      </c>
      <c r="N288" s="238" t="str">
        <f t="shared" si="91"/>
        <v/>
      </c>
      <c r="O288" s="232" t="str">
        <f t="shared" si="86"/>
        <v/>
      </c>
      <c r="P288" s="219" t="str">
        <f t="shared" si="93"/>
        <v/>
      </c>
      <c r="Q288" s="219" t="str">
        <f t="shared" si="94"/>
        <v/>
      </c>
      <c r="R288" s="219" t="str">
        <f t="shared" si="95"/>
        <v/>
      </c>
      <c r="S288" s="331" t="str">
        <f t="shared" si="96"/>
        <v/>
      </c>
      <c r="T288" s="331" t="str">
        <f t="shared" si="97"/>
        <v/>
      </c>
      <c r="U288" s="331" t="str">
        <f t="shared" si="98"/>
        <v/>
      </c>
    </row>
    <row r="289" spans="1:21" ht="15.95" customHeight="1">
      <c r="A289" s="211">
        <f>IF(COUNTBLANK('RNEW import'!B287)=1,"",'RNEW import'!B287)</f>
        <v>34</v>
      </c>
      <c r="B289" s="211" t="str">
        <f>IF(COUNTBLANK('RNEW import'!D287)=1,"",'RNEW import'!D287)</f>
        <v>Shopping City Timisoara SRL</v>
      </c>
      <c r="C289" s="211" t="str">
        <f>IF(COUNTBLANK('RNEW import'!E287)=1,"",'RNEW import'!E287)</f>
        <v>RTIM</v>
      </c>
      <c r="D289" s="211" t="str">
        <f>IF(COUNTBLANK('RNEW import'!K287)=1,"",'RNEW import'!K287)</f>
        <v>Regularizare Energie activa 3</v>
      </c>
      <c r="E289" s="211">
        <f>IF(COUNTBLANK('RNEW import'!L287)=1,"",'RNEW import'!N287)</f>
        <v>0</v>
      </c>
      <c r="F289" s="211">
        <f>IF(COUNTBLANK('RNEW import'!M287)=1,"",'RNEW import'!O287/10000)</f>
        <v>0.80525760000000002</v>
      </c>
      <c r="G289" s="217">
        <f t="shared" si="84"/>
        <v>0</v>
      </c>
      <c r="H289" s="217">
        <f t="shared" si="92"/>
        <v>0</v>
      </c>
      <c r="I289" s="329">
        <f t="shared" si="85"/>
        <v>0</v>
      </c>
      <c r="J289" s="237" t="str">
        <f t="shared" si="87"/>
        <v/>
      </c>
      <c r="K289" s="238" t="str">
        <f t="shared" si="88"/>
        <v/>
      </c>
      <c r="L289" s="238" t="str">
        <f t="shared" si="89"/>
        <v/>
      </c>
      <c r="M289" s="238" t="str">
        <f t="shared" si="90"/>
        <v/>
      </c>
      <c r="N289" s="238" t="str">
        <f t="shared" si="91"/>
        <v/>
      </c>
      <c r="O289" s="232" t="str">
        <f t="shared" si="86"/>
        <v/>
      </c>
      <c r="P289" s="219" t="str">
        <f t="shared" si="93"/>
        <v/>
      </c>
      <c r="Q289" s="219" t="str">
        <f t="shared" si="94"/>
        <v/>
      </c>
      <c r="R289" s="219" t="str">
        <f t="shared" si="95"/>
        <v/>
      </c>
      <c r="S289" s="331" t="str">
        <f t="shared" si="96"/>
        <v/>
      </c>
      <c r="T289" s="331" t="str">
        <f t="shared" si="97"/>
        <v/>
      </c>
      <c r="U289" s="331" t="str">
        <f t="shared" si="98"/>
        <v/>
      </c>
    </row>
    <row r="290" spans="1:21" ht="15.95" customHeight="1">
      <c r="A290" s="211">
        <f>IF(COUNTBLANK('RNEW import'!B288)=1,"",'RNEW import'!B288)</f>
        <v>35</v>
      </c>
      <c r="B290" s="211" t="str">
        <f>IF(COUNTBLANK('RNEW import'!D288)=1,"",'RNEW import'!D288)</f>
        <v>Shopping City Timisoara SRL</v>
      </c>
      <c r="C290" s="211" t="str">
        <f>IF(COUNTBLANK('RNEW import'!E288)=1,"",'RNEW import'!E288)</f>
        <v>RTIM</v>
      </c>
      <c r="D290" s="211" t="str">
        <f>IF(COUNTBLANK('RNEW import'!K288)=1,"",'RNEW import'!K288)</f>
        <v>Regularizare Tarif distributie SDI MT Ea3</v>
      </c>
      <c r="E290" s="211">
        <f>IF(COUNTBLANK('RNEW import'!L288)=1,"",'RNEW import'!N288)</f>
        <v>0</v>
      </c>
      <c r="F290" s="211">
        <f>IF(COUNTBLANK('RNEW import'!M288)=1,"",'RNEW import'!O288/10000)</f>
        <v>1.1599999999999999E-2</v>
      </c>
      <c r="G290" s="217">
        <f t="shared" si="84"/>
        <v>0</v>
      </c>
      <c r="H290" s="217">
        <f t="shared" si="92"/>
        <v>0</v>
      </c>
      <c r="I290" s="329">
        <f t="shared" si="85"/>
        <v>0</v>
      </c>
      <c r="J290" s="237" t="str">
        <f t="shared" si="87"/>
        <v/>
      </c>
      <c r="K290" s="238" t="str">
        <f t="shared" si="88"/>
        <v/>
      </c>
      <c r="L290" s="238" t="str">
        <f t="shared" si="89"/>
        <v/>
      </c>
      <c r="M290" s="238" t="str">
        <f t="shared" si="90"/>
        <v/>
      </c>
      <c r="N290" s="238" t="str">
        <f t="shared" si="91"/>
        <v/>
      </c>
      <c r="O290" s="232" t="str">
        <f t="shared" si="86"/>
        <v/>
      </c>
      <c r="P290" s="219" t="str">
        <f t="shared" si="93"/>
        <v/>
      </c>
      <c r="Q290" s="219" t="str">
        <f t="shared" si="94"/>
        <v/>
      </c>
      <c r="R290" s="219" t="str">
        <f t="shared" si="95"/>
        <v/>
      </c>
      <c r="S290" s="331" t="str">
        <f t="shared" si="96"/>
        <v/>
      </c>
      <c r="T290" s="331" t="str">
        <f t="shared" si="97"/>
        <v/>
      </c>
      <c r="U290" s="331" t="str">
        <f t="shared" si="98"/>
        <v/>
      </c>
    </row>
    <row r="291" spans="1:21" ht="15.95" customHeight="1">
      <c r="A291" s="211">
        <f>IF(COUNTBLANK('RNEW import'!B289)=1,"",'RNEW import'!B289)</f>
        <v>36</v>
      </c>
      <c r="B291" s="211" t="str">
        <f>IF(COUNTBLANK('RNEW import'!D289)=1,"",'RNEW import'!D289)</f>
        <v>Shopping City Timisoara SRL</v>
      </c>
      <c r="C291" s="211" t="str">
        <f>IF(COUNTBLANK('RNEW import'!E289)=1,"",'RNEW import'!E289)</f>
        <v>RTIM</v>
      </c>
      <c r="D291" s="211" t="str">
        <f>IF(COUNTBLANK('RNEW import'!K289)=1,"",'RNEW import'!K289)</f>
        <v>Regularizare Tarif distributie SDI JT Ea3</v>
      </c>
      <c r="E291" s="211">
        <f>IF(COUNTBLANK('RNEW import'!L289)=1,"",'RNEW import'!N289)</f>
        <v>0</v>
      </c>
      <c r="F291" s="211">
        <f>IF(COUNTBLANK('RNEW import'!M289)=1,"",'RNEW import'!O289/10000)</f>
        <v>8.3199999999999996E-2</v>
      </c>
      <c r="G291" s="217">
        <f t="shared" si="84"/>
        <v>0</v>
      </c>
      <c r="H291" s="217">
        <f t="shared" si="92"/>
        <v>0</v>
      </c>
      <c r="I291" s="329">
        <f t="shared" si="85"/>
        <v>0</v>
      </c>
      <c r="J291" s="237" t="str">
        <f t="shared" si="87"/>
        <v/>
      </c>
      <c r="K291" s="238" t="str">
        <f t="shared" si="88"/>
        <v/>
      </c>
      <c r="L291" s="238" t="str">
        <f t="shared" si="89"/>
        <v/>
      </c>
      <c r="M291" s="238" t="str">
        <f t="shared" si="90"/>
        <v/>
      </c>
      <c r="N291" s="238" t="str">
        <f t="shared" si="91"/>
        <v/>
      </c>
      <c r="O291" s="232" t="str">
        <f t="shared" si="86"/>
        <v/>
      </c>
      <c r="P291" s="219" t="str">
        <f t="shared" si="93"/>
        <v>Energie consumata din PV regularizare</v>
      </c>
      <c r="Q291" s="219">
        <f t="shared" si="94"/>
        <v>0</v>
      </c>
      <c r="R291" s="219">
        <f t="shared" si="95"/>
        <v>0</v>
      </c>
      <c r="S291" s="331">
        <f t="shared" si="96"/>
        <v>0</v>
      </c>
      <c r="T291" s="331">
        <f t="shared" si="97"/>
        <v>0</v>
      </c>
      <c r="U291" s="331">
        <f t="shared" si="98"/>
        <v>0</v>
      </c>
    </row>
    <row r="292" spans="1:21" ht="15.95" customHeight="1">
      <c r="A292" s="211">
        <f>IF(COUNTBLANK('RNEW import'!B290)=1,"",'RNEW import'!B290)</f>
        <v>1</v>
      </c>
      <c r="B292" s="211" t="str">
        <f>IF(COUNTBLANK('RNEW import'!D290)=1,"",'RNEW import'!D290)</f>
        <v>Targu Jiu Development SRL</v>
      </c>
      <c r="C292" s="211" t="str">
        <f>IF(COUNTBLANK('RNEW import'!E290)=1,"",'RNEW import'!E290)</f>
        <v>RTJD</v>
      </c>
      <c r="D292" s="211" t="str">
        <f>IF(COUNTBLANK('RNEW import'!K290)=1,"",'RNEW import'!K290)</f>
        <v>Energie activa 1</v>
      </c>
      <c r="E292" s="211">
        <f>IF(COUNTBLANK('RNEW import'!L290)=1,"",'RNEW import'!N290)</f>
        <v>281445</v>
      </c>
      <c r="F292" s="211">
        <f>IF(COUNTBLANK('RNEW import'!M290)=1,"",'RNEW import'!O290/10000)</f>
        <v>0.59499999999999997</v>
      </c>
      <c r="G292" s="217">
        <f t="shared" si="84"/>
        <v>167459.78</v>
      </c>
      <c r="H292" s="217">
        <f t="shared" si="92"/>
        <v>31817.360000000001</v>
      </c>
      <c r="I292" s="329">
        <f t="shared" si="85"/>
        <v>199277.14</v>
      </c>
      <c r="J292" s="237" t="str">
        <f t="shared" si="87"/>
        <v>Targu Jiu Development SRL</v>
      </c>
      <c r="K292" s="238">
        <f t="shared" si="88"/>
        <v>34702.420000000006</v>
      </c>
      <c r="L292" s="238">
        <f t="shared" si="89"/>
        <v>240805.00000000003</v>
      </c>
      <c r="M292" s="238">
        <f t="shared" si="90"/>
        <v>116077.14</v>
      </c>
      <c r="N292" s="238">
        <f t="shared" si="91"/>
        <v>289428</v>
      </c>
      <c r="O292" s="232" t="str">
        <f t="shared" si="86"/>
        <v>Targu Jiu Development SRL</v>
      </c>
      <c r="P292" s="219" t="str">
        <f t="shared" si="93"/>
        <v>Enegie activa</v>
      </c>
      <c r="Q292" s="219">
        <f t="shared" si="94"/>
        <v>281445</v>
      </c>
      <c r="R292" s="219">
        <f t="shared" si="95"/>
        <v>0.97515600000000002</v>
      </c>
      <c r="S292" s="331">
        <f t="shared" si="96"/>
        <v>274452.73</v>
      </c>
      <c r="T292" s="331">
        <f t="shared" si="97"/>
        <v>52146.02</v>
      </c>
      <c r="U292" s="331">
        <f t="shared" si="98"/>
        <v>326598.75</v>
      </c>
    </row>
    <row r="293" spans="1:21" ht="15.95" customHeight="1">
      <c r="A293" s="211">
        <f>IF(COUNTBLANK('RNEW import'!B291)=1,"",'RNEW import'!B291)</f>
        <v>2</v>
      </c>
      <c r="B293" s="211" t="str">
        <f>IF(COUNTBLANK('RNEW import'!D291)=1,"",'RNEW import'!D291)</f>
        <v>Targu Jiu Development SRL</v>
      </c>
      <c r="C293" s="211" t="str">
        <f>IF(COUNTBLANK('RNEW import'!E291)=1,"",'RNEW import'!E291)</f>
        <v>RTJD</v>
      </c>
      <c r="D293" s="211" t="str">
        <f>IF(COUNTBLANK('RNEW import'!K291)=1,"",'RNEW import'!K291)</f>
        <v>Energie reactiva  1X</v>
      </c>
      <c r="E293" s="211">
        <f>IF(COUNTBLANK('RNEW import'!L291)=1,"",'RNEW import'!N291)</f>
        <v>0</v>
      </c>
      <c r="F293" s="211">
        <f>IF(COUNTBLANK('RNEW import'!M291)=1,"",'RNEW import'!O291/10000)</f>
        <v>0.14649999999999999</v>
      </c>
      <c r="G293" s="217">
        <f t="shared" ref="G293:G356" si="99">ROUND(E293*F293,2)</f>
        <v>0</v>
      </c>
      <c r="H293" s="217">
        <f t="shared" si="92"/>
        <v>0</v>
      </c>
      <c r="I293" s="329">
        <f t="shared" ref="I293:I356" si="100">G293+H293</f>
        <v>0</v>
      </c>
      <c r="J293" s="237" t="str">
        <f t="shared" si="87"/>
        <v/>
      </c>
      <c r="K293" s="238" t="str">
        <f t="shared" si="88"/>
        <v/>
      </c>
      <c r="L293" s="238" t="str">
        <f t="shared" si="89"/>
        <v/>
      </c>
      <c r="M293" s="238" t="str">
        <f t="shared" si="90"/>
        <v/>
      </c>
      <c r="N293" s="238" t="str">
        <f t="shared" si="91"/>
        <v/>
      </c>
      <c r="O293" s="232" t="str">
        <f t="shared" si="86"/>
        <v/>
      </c>
      <c r="P293" s="219" t="str">
        <f t="shared" si="93"/>
        <v>Energie reactiva 1x</v>
      </c>
      <c r="Q293" s="219">
        <f t="shared" si="94"/>
        <v>0</v>
      </c>
      <c r="R293" s="219">
        <f t="shared" si="95"/>
        <v>0.14649999999999999</v>
      </c>
      <c r="S293" s="331">
        <f t="shared" si="96"/>
        <v>0</v>
      </c>
      <c r="T293" s="331">
        <f t="shared" si="97"/>
        <v>0</v>
      </c>
      <c r="U293" s="331">
        <f t="shared" si="98"/>
        <v>0</v>
      </c>
    </row>
    <row r="294" spans="1:21" ht="15.95" customHeight="1">
      <c r="A294" s="211">
        <f>IF(COUNTBLANK('RNEW import'!B292)=1,"",'RNEW import'!B292)</f>
        <v>3</v>
      </c>
      <c r="B294" s="211" t="str">
        <f>IF(COUNTBLANK('RNEW import'!D292)=1,"",'RNEW import'!D292)</f>
        <v>Targu Jiu Development SRL</v>
      </c>
      <c r="C294" s="211" t="str">
        <f>IF(COUNTBLANK('RNEW import'!E292)=1,"",'RNEW import'!E292)</f>
        <v>RTJD</v>
      </c>
      <c r="D294" s="211" t="str">
        <f>IF(COUNTBLANK('RNEW import'!K292)=1,"",'RNEW import'!K292)</f>
        <v>Energie reactiva  3X</v>
      </c>
      <c r="E294" s="211">
        <f>IF(COUNTBLANK('RNEW import'!L292)=1,"",'RNEW import'!N292)</f>
        <v>0</v>
      </c>
      <c r="F294" s="211">
        <f>IF(COUNTBLANK('RNEW import'!M292)=1,"",'RNEW import'!O292/10000)</f>
        <v>0.4395</v>
      </c>
      <c r="G294" s="217">
        <f t="shared" si="99"/>
        <v>0</v>
      </c>
      <c r="H294" s="217">
        <f t="shared" si="92"/>
        <v>0</v>
      </c>
      <c r="I294" s="329">
        <f t="shared" si="100"/>
        <v>0</v>
      </c>
      <c r="J294" s="237" t="str">
        <f t="shared" si="87"/>
        <v/>
      </c>
      <c r="K294" s="238" t="str">
        <f t="shared" si="88"/>
        <v/>
      </c>
      <c r="L294" s="238" t="str">
        <f t="shared" si="89"/>
        <v/>
      </c>
      <c r="M294" s="238" t="str">
        <f t="shared" si="90"/>
        <v/>
      </c>
      <c r="N294" s="238" t="str">
        <f t="shared" si="91"/>
        <v/>
      </c>
      <c r="O294" s="232" t="str">
        <f t="shared" ref="O294:O357" si="101">IF(A294=1,B294,"")</f>
        <v/>
      </c>
      <c r="P294" s="219" t="str">
        <f t="shared" si="93"/>
        <v>Energie reactiva 3x</v>
      </c>
      <c r="Q294" s="219">
        <f t="shared" si="94"/>
        <v>0</v>
      </c>
      <c r="R294" s="219">
        <f t="shared" si="95"/>
        <v>0.4395</v>
      </c>
      <c r="S294" s="331">
        <f t="shared" si="96"/>
        <v>0</v>
      </c>
      <c r="T294" s="331">
        <f t="shared" si="97"/>
        <v>0</v>
      </c>
      <c r="U294" s="331">
        <f t="shared" si="98"/>
        <v>0</v>
      </c>
    </row>
    <row r="295" spans="1:21" ht="15.95" customHeight="1">
      <c r="A295" s="211">
        <f>IF(COUNTBLANK('RNEW import'!B293)=1,"",'RNEW import'!B293)</f>
        <v>4</v>
      </c>
      <c r="B295" s="211" t="str">
        <f>IF(COUNTBLANK('RNEW import'!D293)=1,"",'RNEW import'!D293)</f>
        <v>Targu Jiu Development SRL</v>
      </c>
      <c r="C295" s="211" t="str">
        <f>IF(COUNTBLANK('RNEW import'!E293)=1,"",'RNEW import'!E293)</f>
        <v>RTJD</v>
      </c>
      <c r="D295" s="211" t="str">
        <f>IF(COUNTBLANK('RNEW import'!K293)=1,"",'RNEW import'!K293)</f>
        <v>Tarife distributie en. El IT+MT</v>
      </c>
      <c r="E295" s="211">
        <f>IF(COUNTBLANK('RNEW import'!L293)=1,"",'RNEW import'!N293)</f>
        <v>281445</v>
      </c>
      <c r="F295" s="211">
        <f>IF(COUNTBLANK('RNEW import'!M293)=1,"",'RNEW import'!O293/10000)</f>
        <v>0.13613999999999998</v>
      </c>
      <c r="G295" s="217">
        <f t="shared" si="99"/>
        <v>38315.919999999998</v>
      </c>
      <c r="H295" s="217">
        <f t="shared" si="92"/>
        <v>7280.02</v>
      </c>
      <c r="I295" s="329">
        <f t="shared" si="100"/>
        <v>45595.94</v>
      </c>
      <c r="J295" s="237" t="str">
        <f t="shared" si="87"/>
        <v/>
      </c>
      <c r="K295" s="238" t="str">
        <f t="shared" si="88"/>
        <v/>
      </c>
      <c r="L295" s="238" t="str">
        <f t="shared" si="89"/>
        <v/>
      </c>
      <c r="M295" s="238" t="str">
        <f t="shared" si="90"/>
        <v/>
      </c>
      <c r="N295" s="238" t="str">
        <f t="shared" si="91"/>
        <v/>
      </c>
      <c r="O295" s="232" t="str">
        <f t="shared" si="101"/>
        <v/>
      </c>
      <c r="P295" s="219" t="str">
        <f t="shared" si="93"/>
        <v/>
      </c>
      <c r="Q295" s="219" t="str">
        <f t="shared" si="94"/>
        <v/>
      </c>
      <c r="R295" s="219" t="str">
        <f t="shared" si="95"/>
        <v/>
      </c>
      <c r="S295" s="331" t="str">
        <f t="shared" si="96"/>
        <v/>
      </c>
      <c r="T295" s="331" t="str">
        <f t="shared" si="97"/>
        <v/>
      </c>
      <c r="U295" s="331" t="str">
        <f t="shared" si="98"/>
        <v/>
      </c>
    </row>
    <row r="296" spans="1:21" ht="15.95" customHeight="1">
      <c r="A296" s="211">
        <f>IF(COUNTBLANK('RNEW import'!B294)=1,"",'RNEW import'!B294)</f>
        <v>5</v>
      </c>
      <c r="B296" s="211" t="str">
        <f>IF(COUNTBLANK('RNEW import'!D294)=1,"",'RNEW import'!D294)</f>
        <v>Targu Jiu Development SRL</v>
      </c>
      <c r="C296" s="211" t="str">
        <f>IF(COUNTBLANK('RNEW import'!E294)=1,"",'RNEW import'!E294)</f>
        <v>RTJD</v>
      </c>
      <c r="D296" s="211" t="str">
        <f>IF(COUNTBLANK('RNEW import'!K294)=1,"",'RNEW import'!K294)</f>
        <v>Tarife distributie en. El JT</v>
      </c>
      <c r="E296" s="211">
        <f>IF(COUNTBLANK('RNEW import'!L294)=1,"",'RNEW import'!N294)</f>
        <v>100</v>
      </c>
      <c r="F296" s="211">
        <f>IF(COUNTBLANK('RNEW import'!M294)=1,"",'RNEW import'!O294/10000)</f>
        <v>0.22738999999999995</v>
      </c>
      <c r="G296" s="217">
        <f t="shared" si="99"/>
        <v>22.74</v>
      </c>
      <c r="H296" s="217">
        <f t="shared" si="92"/>
        <v>4.32</v>
      </c>
      <c r="I296" s="329">
        <f t="shared" si="100"/>
        <v>27.06</v>
      </c>
      <c r="J296" s="237" t="str">
        <f t="shared" si="87"/>
        <v/>
      </c>
      <c r="K296" s="238" t="str">
        <f t="shared" si="88"/>
        <v/>
      </c>
      <c r="L296" s="238" t="str">
        <f t="shared" si="89"/>
        <v/>
      </c>
      <c r="M296" s="238" t="str">
        <f t="shared" si="90"/>
        <v/>
      </c>
      <c r="N296" s="238" t="str">
        <f t="shared" si="91"/>
        <v/>
      </c>
      <c r="O296" s="232" t="str">
        <f t="shared" si="101"/>
        <v/>
      </c>
      <c r="P296" s="219" t="str">
        <f t="shared" si="93"/>
        <v/>
      </c>
      <c r="Q296" s="219" t="str">
        <f t="shared" si="94"/>
        <v/>
      </c>
      <c r="R296" s="219" t="str">
        <f t="shared" si="95"/>
        <v/>
      </c>
      <c r="S296" s="331" t="str">
        <f t="shared" si="96"/>
        <v/>
      </c>
      <c r="T296" s="331" t="str">
        <f t="shared" si="97"/>
        <v/>
      </c>
      <c r="U296" s="331" t="str">
        <f t="shared" si="98"/>
        <v/>
      </c>
    </row>
    <row r="297" spans="1:21" ht="15.95" customHeight="1">
      <c r="A297" s="211">
        <f>IF(COUNTBLANK('RNEW import'!B295)=1,"",'RNEW import'!B295)</f>
        <v>6</v>
      </c>
      <c r="B297" s="211" t="str">
        <f>IF(COUNTBLANK('RNEW import'!D295)=1,"",'RNEW import'!D295)</f>
        <v>Targu Jiu Development SRL</v>
      </c>
      <c r="C297" s="211" t="str">
        <f>IF(COUNTBLANK('RNEW import'!E295)=1,"",'RNEW import'!E295)</f>
        <v>RTJD</v>
      </c>
      <c r="D297" s="211" t="str">
        <f>IF(COUNTBLANK('RNEW import'!K295)=1,"",'RNEW import'!K295)</f>
        <v xml:space="preserve">Servicii Sistem </v>
      </c>
      <c r="E297" s="211">
        <f>IF(COUNTBLANK('RNEW import'!L295)=1,"",'RNEW import'!N295)</f>
        <v>281445</v>
      </c>
      <c r="F297" s="211">
        <f>IF(COUNTBLANK('RNEW import'!M295)=1,"",'RNEW import'!O295/10000)</f>
        <v>1.1509999999999999E-2</v>
      </c>
      <c r="G297" s="217">
        <f t="shared" si="99"/>
        <v>3239.43</v>
      </c>
      <c r="H297" s="217">
        <f t="shared" si="92"/>
        <v>615.49</v>
      </c>
      <c r="I297" s="329">
        <f t="shared" si="100"/>
        <v>3854.92</v>
      </c>
      <c r="J297" s="237" t="str">
        <f t="shared" si="87"/>
        <v/>
      </c>
      <c r="K297" s="238" t="str">
        <f t="shared" si="88"/>
        <v/>
      </c>
      <c r="L297" s="238" t="str">
        <f t="shared" si="89"/>
        <v/>
      </c>
      <c r="M297" s="238" t="str">
        <f t="shared" si="90"/>
        <v/>
      </c>
      <c r="N297" s="238" t="str">
        <f t="shared" si="91"/>
        <v/>
      </c>
      <c r="O297" s="232" t="str">
        <f t="shared" si="101"/>
        <v/>
      </c>
      <c r="P297" s="219" t="str">
        <f t="shared" si="93"/>
        <v/>
      </c>
      <c r="Q297" s="219" t="str">
        <f t="shared" si="94"/>
        <v/>
      </c>
      <c r="R297" s="219" t="str">
        <f t="shared" si="95"/>
        <v/>
      </c>
      <c r="S297" s="331" t="str">
        <f t="shared" si="96"/>
        <v/>
      </c>
      <c r="T297" s="331" t="str">
        <f t="shared" si="97"/>
        <v/>
      </c>
      <c r="U297" s="331" t="str">
        <f t="shared" si="98"/>
        <v/>
      </c>
    </row>
    <row r="298" spans="1:21" ht="15.95" customHeight="1">
      <c r="A298" s="211">
        <f>IF(COUNTBLANK('RNEW import'!B296)=1,"",'RNEW import'!B296)</f>
        <v>7</v>
      </c>
      <c r="B298" s="211" t="str">
        <f>IF(COUNTBLANK('RNEW import'!D296)=1,"",'RNEW import'!D296)</f>
        <v>Targu Jiu Development SRL</v>
      </c>
      <c r="C298" s="211" t="str">
        <f>IF(COUNTBLANK('RNEW import'!E296)=1,"",'RNEW import'!E296)</f>
        <v>RTJD</v>
      </c>
      <c r="D298" s="211" t="str">
        <f>IF(COUNTBLANK('RNEW import'!K296)=1,"",'RNEW import'!K296)</f>
        <v>Tarif de introducere en. el in retea (TL)</v>
      </c>
      <c r="E298" s="211">
        <f>IF(COUNTBLANK('RNEW import'!L296)=1,"",'RNEW import'!N296)</f>
        <v>281445</v>
      </c>
      <c r="F298" s="211">
        <f>IF(COUNTBLANK('RNEW import'!M296)=1,"",'RNEW import'!O296/10000)</f>
        <v>3.3030000000000004E-2</v>
      </c>
      <c r="G298" s="217">
        <f t="shared" si="99"/>
        <v>9296.1299999999992</v>
      </c>
      <c r="H298" s="217">
        <f t="shared" si="92"/>
        <v>1766.26</v>
      </c>
      <c r="I298" s="329">
        <f t="shared" si="100"/>
        <v>11062.39</v>
      </c>
      <c r="J298" s="237" t="str">
        <f t="shared" si="87"/>
        <v/>
      </c>
      <c r="K298" s="238" t="str">
        <f t="shared" si="88"/>
        <v/>
      </c>
      <c r="L298" s="238" t="str">
        <f t="shared" si="89"/>
        <v/>
      </c>
      <c r="M298" s="238" t="str">
        <f t="shared" si="90"/>
        <v/>
      </c>
      <c r="N298" s="238" t="str">
        <f t="shared" si="91"/>
        <v/>
      </c>
      <c r="O298" s="232" t="str">
        <f t="shared" si="101"/>
        <v/>
      </c>
      <c r="P298" s="219" t="str">
        <f t="shared" si="93"/>
        <v/>
      </c>
      <c r="Q298" s="219" t="str">
        <f t="shared" si="94"/>
        <v/>
      </c>
      <c r="R298" s="219" t="str">
        <f t="shared" si="95"/>
        <v/>
      </c>
      <c r="S298" s="331" t="str">
        <f t="shared" si="96"/>
        <v/>
      </c>
      <c r="T298" s="331" t="str">
        <f t="shared" si="97"/>
        <v/>
      </c>
      <c r="U298" s="331" t="str">
        <f t="shared" si="98"/>
        <v/>
      </c>
    </row>
    <row r="299" spans="1:21" ht="15.95" customHeight="1">
      <c r="A299" s="211">
        <f>IF(COUNTBLANK('RNEW import'!B297)=1,"",'RNEW import'!B297)</f>
        <v>8</v>
      </c>
      <c r="B299" s="211" t="str">
        <f>IF(COUNTBLANK('RNEW import'!D297)=1,"",'RNEW import'!D297)</f>
        <v>Targu Jiu Development SRL</v>
      </c>
      <c r="C299" s="211" t="str">
        <f>IF(COUNTBLANK('RNEW import'!E297)=1,"",'RNEW import'!E297)</f>
        <v>RTJD</v>
      </c>
      <c r="D299" s="211" t="str">
        <f>IF(COUNTBLANK('RNEW import'!K297)=1,"",'RNEW import'!K297)</f>
        <v>Tarif de introducere en.el in retea (TG)</v>
      </c>
      <c r="E299" s="211">
        <f>IF(COUNTBLANK('RNEW import'!L297)=1,"",'RNEW import'!N297)</f>
        <v>281445</v>
      </c>
      <c r="F299" s="211">
        <f>IF(COUNTBLANK('RNEW import'!M297)=1,"",'RNEW import'!O297/10000)</f>
        <v>3.29E-3</v>
      </c>
      <c r="G299" s="217">
        <f t="shared" si="99"/>
        <v>925.95</v>
      </c>
      <c r="H299" s="217">
        <f t="shared" si="92"/>
        <v>175.93</v>
      </c>
      <c r="I299" s="329">
        <f t="shared" si="100"/>
        <v>1101.8800000000001</v>
      </c>
      <c r="J299" s="237" t="str">
        <f t="shared" si="87"/>
        <v/>
      </c>
      <c r="K299" s="238" t="str">
        <f t="shared" si="88"/>
        <v/>
      </c>
      <c r="L299" s="238" t="str">
        <f t="shared" si="89"/>
        <v/>
      </c>
      <c r="M299" s="238" t="str">
        <f t="shared" si="90"/>
        <v/>
      </c>
      <c r="N299" s="238" t="str">
        <f t="shared" si="91"/>
        <v/>
      </c>
      <c r="O299" s="232" t="str">
        <f t="shared" si="101"/>
        <v/>
      </c>
      <c r="P299" s="219" t="str">
        <f t="shared" si="93"/>
        <v/>
      </c>
      <c r="Q299" s="219" t="str">
        <f t="shared" si="94"/>
        <v/>
      </c>
      <c r="R299" s="219" t="str">
        <f t="shared" si="95"/>
        <v/>
      </c>
      <c r="S299" s="331" t="str">
        <f t="shared" si="96"/>
        <v/>
      </c>
      <c r="T299" s="331" t="str">
        <f t="shared" si="97"/>
        <v/>
      </c>
      <c r="U299" s="331" t="str">
        <f t="shared" si="98"/>
        <v/>
      </c>
    </row>
    <row r="300" spans="1:21" ht="15.95" customHeight="1">
      <c r="A300" s="211">
        <f>IF(COUNTBLANK('RNEW import'!B298)=1,"",'RNEW import'!B298)</f>
        <v>9</v>
      </c>
      <c r="B300" s="211" t="str">
        <f>IF(COUNTBLANK('RNEW import'!D298)=1,"",'RNEW import'!D298)</f>
        <v>Targu Jiu Development SRL</v>
      </c>
      <c r="C300" s="211" t="str">
        <f>IF(COUNTBLANK('RNEW import'!E298)=1,"",'RNEW import'!E298)</f>
        <v>RTJD</v>
      </c>
      <c r="D300" s="211" t="str">
        <f>IF(COUNTBLANK('RNEW import'!K298)=1,"",'RNEW import'!K298)</f>
        <v>Contributie pentru cogenerare</v>
      </c>
      <c r="E300" s="211">
        <f>IF(COUNTBLANK('RNEW import'!L298)=1,"",'RNEW import'!N298)</f>
        <v>281445</v>
      </c>
      <c r="F300" s="211">
        <f>IF(COUNTBLANK('RNEW import'!M298)=1,"",'RNEW import'!O298/10000)</f>
        <v>3.5000000000000001E-3</v>
      </c>
      <c r="G300" s="217">
        <f t="shared" si="99"/>
        <v>985.06</v>
      </c>
      <c r="H300" s="217">
        <f t="shared" si="92"/>
        <v>187.16</v>
      </c>
      <c r="I300" s="329">
        <f t="shared" si="100"/>
        <v>1172.22</v>
      </c>
      <c r="J300" s="237" t="str">
        <f t="shared" si="87"/>
        <v/>
      </c>
      <c r="K300" s="238" t="str">
        <f t="shared" si="88"/>
        <v/>
      </c>
      <c r="L300" s="238" t="str">
        <f t="shared" si="89"/>
        <v/>
      </c>
      <c r="M300" s="238" t="str">
        <f t="shared" si="90"/>
        <v/>
      </c>
      <c r="N300" s="238" t="str">
        <f t="shared" si="91"/>
        <v/>
      </c>
      <c r="O300" s="232" t="str">
        <f t="shared" si="101"/>
        <v/>
      </c>
      <c r="P300" s="219" t="str">
        <f t="shared" si="93"/>
        <v/>
      </c>
      <c r="Q300" s="219" t="str">
        <f t="shared" si="94"/>
        <v/>
      </c>
      <c r="R300" s="219" t="str">
        <f t="shared" si="95"/>
        <v/>
      </c>
      <c r="S300" s="331" t="str">
        <f t="shared" si="96"/>
        <v/>
      </c>
      <c r="T300" s="331" t="str">
        <f t="shared" si="97"/>
        <v/>
      </c>
      <c r="U300" s="331" t="str">
        <f t="shared" si="98"/>
        <v/>
      </c>
    </row>
    <row r="301" spans="1:21" ht="15.95" customHeight="1">
      <c r="A301" s="211">
        <f>IF(COUNTBLANK('RNEW import'!B299)=1,"",'RNEW import'!B299)</f>
        <v>10</v>
      </c>
      <c r="B301" s="211" t="str">
        <f>IF(COUNTBLANK('RNEW import'!D299)=1,"",'RNEW import'!D299)</f>
        <v>Targu Jiu Development SRL</v>
      </c>
      <c r="C301" s="211" t="str">
        <f>IF(COUNTBLANK('RNEW import'!E299)=1,"",'RNEW import'!E299)</f>
        <v>RTJD</v>
      </c>
      <c r="D301" s="211" t="str">
        <f>IF(COUNTBLANK('RNEW import'!K299)=1,"",'RNEW import'!K299)</f>
        <v xml:space="preserve">Certificate verzi </v>
      </c>
      <c r="E301" s="211">
        <f>IF(COUNTBLANK('RNEW import'!L299)=1,"",'RNEW import'!N299)</f>
        <v>281445</v>
      </c>
      <c r="F301" s="211">
        <f>IF(COUNTBLANK('RNEW import'!M299)=1,"",'RNEW import'!O299/10000)</f>
        <v>7.2541599999999998E-2</v>
      </c>
      <c r="G301" s="217">
        <f t="shared" si="99"/>
        <v>20416.47</v>
      </c>
      <c r="H301" s="217">
        <f t="shared" si="92"/>
        <v>3879.13</v>
      </c>
      <c r="I301" s="329">
        <f t="shared" si="100"/>
        <v>24295.600000000002</v>
      </c>
      <c r="J301" s="237" t="str">
        <f t="shared" si="87"/>
        <v/>
      </c>
      <c r="K301" s="238" t="str">
        <f t="shared" si="88"/>
        <v/>
      </c>
      <c r="L301" s="238" t="str">
        <f t="shared" si="89"/>
        <v/>
      </c>
      <c r="M301" s="238" t="str">
        <f t="shared" si="90"/>
        <v/>
      </c>
      <c r="N301" s="238" t="str">
        <f t="shared" si="91"/>
        <v/>
      </c>
      <c r="O301" s="232" t="str">
        <f t="shared" si="101"/>
        <v/>
      </c>
      <c r="P301" s="219" t="str">
        <f t="shared" si="93"/>
        <v/>
      </c>
      <c r="Q301" s="219" t="str">
        <f t="shared" si="94"/>
        <v/>
      </c>
      <c r="R301" s="219" t="str">
        <f t="shared" si="95"/>
        <v/>
      </c>
      <c r="S301" s="331" t="str">
        <f t="shared" si="96"/>
        <v/>
      </c>
      <c r="T301" s="331" t="str">
        <f t="shared" si="97"/>
        <v/>
      </c>
      <c r="U301" s="331" t="str">
        <f t="shared" si="98"/>
        <v/>
      </c>
    </row>
    <row r="302" spans="1:21" ht="15.95" customHeight="1">
      <c r="A302" s="211">
        <f>IF(COUNTBLANK('RNEW import'!B300)=1,"",'RNEW import'!B300)</f>
        <v>11</v>
      </c>
      <c r="B302" s="211" t="str">
        <f>IF(COUNTBLANK('RNEW import'!D300)=1,"",'RNEW import'!D300)</f>
        <v>Targu Jiu Development SRL</v>
      </c>
      <c r="C302" s="211" t="str">
        <f>IF(COUNTBLANK('RNEW import'!E300)=1,"",'RNEW import'!E300)</f>
        <v>RTJD</v>
      </c>
      <c r="D302" s="211" t="str">
        <f>IF(COUNTBLANK('RNEW import'!K300)=1,"",'RNEW import'!K300)</f>
        <v>Contributie CFD</v>
      </c>
      <c r="E302" s="211">
        <f>IF(COUNTBLANK('RNEW import'!L300)=1,"",'RNEW import'!N300)</f>
        <v>281445</v>
      </c>
      <c r="F302" s="211">
        <f>IF(COUNTBLANK('RNEW import'!M300)=1,"",'RNEW import'!O300/10000)</f>
        <v>2.0599999999999999E-4</v>
      </c>
      <c r="G302" s="217">
        <f t="shared" si="99"/>
        <v>57.98</v>
      </c>
      <c r="H302" s="217">
        <f t="shared" si="92"/>
        <v>11.02</v>
      </c>
      <c r="I302" s="329">
        <f t="shared" si="100"/>
        <v>69</v>
      </c>
      <c r="J302" s="237" t="str">
        <f t="shared" si="87"/>
        <v/>
      </c>
      <c r="K302" s="238" t="str">
        <f t="shared" si="88"/>
        <v/>
      </c>
      <c r="L302" s="238" t="str">
        <f t="shared" si="89"/>
        <v/>
      </c>
      <c r="M302" s="238" t="str">
        <f t="shared" si="90"/>
        <v/>
      </c>
      <c r="N302" s="238" t="str">
        <f t="shared" si="91"/>
        <v/>
      </c>
      <c r="O302" s="232" t="str">
        <f t="shared" si="101"/>
        <v/>
      </c>
      <c r="P302" s="219" t="str">
        <f t="shared" si="93"/>
        <v/>
      </c>
      <c r="Q302" s="219" t="str">
        <f t="shared" si="94"/>
        <v/>
      </c>
      <c r="R302" s="219" t="str">
        <f t="shared" si="95"/>
        <v/>
      </c>
      <c r="S302" s="331" t="str">
        <f t="shared" si="96"/>
        <v/>
      </c>
      <c r="T302" s="331" t="str">
        <f t="shared" si="97"/>
        <v/>
      </c>
      <c r="U302" s="331" t="str">
        <f t="shared" si="98"/>
        <v/>
      </c>
    </row>
    <row r="303" spans="1:21" ht="15.95" customHeight="1">
      <c r="A303" s="211">
        <f>IF(COUNTBLANK('RNEW import'!B301)=1,"",'RNEW import'!B301)</f>
        <v>12</v>
      </c>
      <c r="B303" s="211" t="str">
        <f>IF(COUNTBLANK('RNEW import'!D301)=1,"",'RNEW import'!D301)</f>
        <v>Targu Jiu Development SRL</v>
      </c>
      <c r="C303" s="211" t="str">
        <f>IF(COUNTBLANK('RNEW import'!E301)=1,"",'RNEW import'!E301)</f>
        <v>RTJD</v>
      </c>
      <c r="D303" s="211" t="str">
        <f>IF(COUNTBLANK('RNEW import'!K301)=1,"",'RNEW import'!K301)</f>
        <v>Acciza</v>
      </c>
      <c r="E303" s="211">
        <f>IF(COUNTBLANK('RNEW import'!L301)=1,"",'RNEW import'!N301)</f>
        <v>281445</v>
      </c>
      <c r="F303" s="211">
        <f>IF(COUNTBLANK('RNEW import'!M301)=1,"",'RNEW import'!O301/10000)</f>
        <v>0</v>
      </c>
      <c r="G303" s="217">
        <f t="shared" si="99"/>
        <v>0</v>
      </c>
      <c r="H303" s="217">
        <f t="shared" si="92"/>
        <v>0</v>
      </c>
      <c r="I303" s="329">
        <f t="shared" si="100"/>
        <v>0</v>
      </c>
      <c r="J303" s="237" t="str">
        <f t="shared" si="87"/>
        <v/>
      </c>
      <c r="K303" s="238" t="str">
        <f t="shared" si="88"/>
        <v/>
      </c>
      <c r="L303" s="238" t="str">
        <f t="shared" si="89"/>
        <v/>
      </c>
      <c r="M303" s="238" t="str">
        <f t="shared" si="90"/>
        <v/>
      </c>
      <c r="N303" s="238" t="str">
        <f t="shared" si="91"/>
        <v/>
      </c>
      <c r="O303" s="232" t="str">
        <f t="shared" si="101"/>
        <v/>
      </c>
      <c r="P303" s="219" t="str">
        <f t="shared" si="93"/>
        <v/>
      </c>
      <c r="Q303" s="219" t="str">
        <f t="shared" si="94"/>
        <v/>
      </c>
      <c r="R303" s="219" t="str">
        <f t="shared" si="95"/>
        <v/>
      </c>
      <c r="S303" s="331" t="str">
        <f t="shared" si="96"/>
        <v/>
      </c>
      <c r="T303" s="331" t="str">
        <f t="shared" si="97"/>
        <v/>
      </c>
      <c r="U303" s="331" t="str">
        <f t="shared" si="98"/>
        <v/>
      </c>
    </row>
    <row r="304" spans="1:21" ht="15.95" customHeight="1">
      <c r="A304" s="211">
        <f>IF(COUNTBLANK('RNEW import'!B302)=1,"",'RNEW import'!B302)</f>
        <v>13</v>
      </c>
      <c r="B304" s="211" t="str">
        <f>IF(COUNTBLANK('RNEW import'!D302)=1,"",'RNEW import'!D302)</f>
        <v>Targu Jiu Development SRL</v>
      </c>
      <c r="C304" s="211" t="str">
        <f>IF(COUNTBLANK('RNEW import'!E302)=1,"",'RNEW import'!E302)</f>
        <v>RTJD</v>
      </c>
      <c r="D304" s="211" t="str">
        <f>IF(COUNTBLANK('RNEW import'!K302)=1,"",'RNEW import'!K302)</f>
        <v>Tarif distributie SDI MT</v>
      </c>
      <c r="E304" s="211">
        <f>IF(COUNTBLANK('RNEW import'!L302)=1,"",'RNEW import'!N302)</f>
        <v>281345</v>
      </c>
      <c r="F304" s="211">
        <f>IF(COUNTBLANK('RNEW import'!M302)=1,"",'RNEW import'!O302/10000)</f>
        <v>1.7000000000000001E-2</v>
      </c>
      <c r="G304" s="217">
        <f t="shared" si="99"/>
        <v>4782.87</v>
      </c>
      <c r="H304" s="217">
        <f t="shared" si="92"/>
        <v>908.75</v>
      </c>
      <c r="I304" s="329">
        <f t="shared" si="100"/>
        <v>5691.62</v>
      </c>
      <c r="J304" s="237" t="str">
        <f t="shared" si="87"/>
        <v/>
      </c>
      <c r="K304" s="238" t="str">
        <f t="shared" si="88"/>
        <v/>
      </c>
      <c r="L304" s="238" t="str">
        <f t="shared" si="89"/>
        <v/>
      </c>
      <c r="M304" s="238" t="str">
        <f t="shared" si="90"/>
        <v/>
      </c>
      <c r="N304" s="238" t="str">
        <f t="shared" si="91"/>
        <v/>
      </c>
      <c r="O304" s="232" t="str">
        <f t="shared" si="101"/>
        <v/>
      </c>
      <c r="P304" s="219" t="str">
        <f t="shared" si="93"/>
        <v/>
      </c>
      <c r="Q304" s="219" t="str">
        <f t="shared" si="94"/>
        <v/>
      </c>
      <c r="R304" s="219" t="str">
        <f t="shared" si="95"/>
        <v/>
      </c>
      <c r="S304" s="331" t="str">
        <f t="shared" si="96"/>
        <v/>
      </c>
      <c r="T304" s="331" t="str">
        <f t="shared" si="97"/>
        <v/>
      </c>
      <c r="U304" s="331" t="str">
        <f t="shared" si="98"/>
        <v/>
      </c>
    </row>
    <row r="305" spans="1:21" ht="15.95" customHeight="1">
      <c r="A305" s="211">
        <f>IF(COUNTBLANK('RNEW import'!B303)=1,"",'RNEW import'!B303)</f>
        <v>14</v>
      </c>
      <c r="B305" s="211" t="str">
        <f>IF(COUNTBLANK('RNEW import'!D303)=1,"",'RNEW import'!D303)</f>
        <v>Targu Jiu Development SRL</v>
      </c>
      <c r="C305" s="211" t="str">
        <f>IF(COUNTBLANK('RNEW import'!E303)=1,"",'RNEW import'!E303)</f>
        <v>RTJD</v>
      </c>
      <c r="D305" s="211" t="str">
        <f>IF(COUNTBLANK('RNEW import'!K303)=1,"",'RNEW import'!K303)</f>
        <v>Tarif distributie SDI JT</v>
      </c>
      <c r="E305" s="211">
        <f>IF(COUNTBLANK('RNEW import'!L303)=1,"",'RNEW import'!N303)</f>
        <v>281345</v>
      </c>
      <c r="F305" s="211">
        <f>IF(COUNTBLANK('RNEW import'!M303)=1,"",'RNEW import'!O303/10000)</f>
        <v>0.10290000000000001</v>
      </c>
      <c r="G305" s="217">
        <f t="shared" si="99"/>
        <v>28950.400000000001</v>
      </c>
      <c r="H305" s="217">
        <f t="shared" si="92"/>
        <v>5500.58</v>
      </c>
      <c r="I305" s="329">
        <f t="shared" si="100"/>
        <v>34450.980000000003</v>
      </c>
      <c r="J305" s="237" t="str">
        <f t="shared" si="87"/>
        <v/>
      </c>
      <c r="K305" s="238" t="str">
        <f t="shared" si="88"/>
        <v/>
      </c>
      <c r="L305" s="238" t="str">
        <f t="shared" si="89"/>
        <v/>
      </c>
      <c r="M305" s="238" t="str">
        <f t="shared" si="90"/>
        <v/>
      </c>
      <c r="N305" s="238" t="str">
        <f t="shared" si="91"/>
        <v/>
      </c>
      <c r="O305" s="232" t="str">
        <f t="shared" si="101"/>
        <v/>
      </c>
      <c r="P305" s="219" t="str">
        <f t="shared" si="93"/>
        <v/>
      </c>
      <c r="Q305" s="219" t="str">
        <f t="shared" si="94"/>
        <v/>
      </c>
      <c r="R305" s="219" t="str">
        <f t="shared" si="95"/>
        <v/>
      </c>
      <c r="S305" s="331" t="str">
        <f t="shared" si="96"/>
        <v/>
      </c>
      <c r="T305" s="331" t="str">
        <f t="shared" si="97"/>
        <v/>
      </c>
      <c r="U305" s="331" t="str">
        <f t="shared" si="98"/>
        <v/>
      </c>
    </row>
    <row r="306" spans="1:21" ht="15.95" customHeight="1">
      <c r="A306" s="211">
        <f>IF(COUNTBLANK('RNEW import'!B304)=1,"",'RNEW import'!B304)</f>
        <v>15</v>
      </c>
      <c r="B306" s="211" t="str">
        <f>IF(COUNTBLANK('RNEW import'!D304)=1,"",'RNEW import'!D304)</f>
        <v>Targu Jiu Development SRL</v>
      </c>
      <c r="C306" s="211" t="str">
        <f>IF(COUNTBLANK('RNEW import'!E304)=1,"",'RNEW import'!E304)</f>
        <v>RTJD</v>
      </c>
      <c r="D306" s="211" t="str">
        <f>IF(COUNTBLANK('RNEW import'!K304)=1,"",'RNEW import'!K304)</f>
        <v>Energie activa 2</v>
      </c>
      <c r="E306" s="211">
        <f>IF(COUNTBLANK('RNEW import'!L304)=1,"",'RNEW import'!N304)</f>
        <v>111950</v>
      </c>
      <c r="F306" s="211">
        <f>IF(COUNTBLANK('RNEW import'!M304)=1,"",'RNEW import'!O304/10000)</f>
        <v>0.97511759999999992</v>
      </c>
      <c r="G306" s="217">
        <f t="shared" si="99"/>
        <v>109164.42</v>
      </c>
      <c r="H306" s="217">
        <f t="shared" si="92"/>
        <v>20741.240000000002</v>
      </c>
      <c r="I306" s="329">
        <f t="shared" si="100"/>
        <v>129905.66</v>
      </c>
      <c r="J306" s="237" t="str">
        <f t="shared" si="87"/>
        <v/>
      </c>
      <c r="K306" s="238" t="str">
        <f t="shared" si="88"/>
        <v/>
      </c>
      <c r="L306" s="238" t="str">
        <f t="shared" si="89"/>
        <v/>
      </c>
      <c r="M306" s="238" t="str">
        <f t="shared" si="90"/>
        <v/>
      </c>
      <c r="N306" s="238" t="str">
        <f t="shared" si="91"/>
        <v/>
      </c>
      <c r="O306" s="232" t="str">
        <f t="shared" si="101"/>
        <v/>
      </c>
      <c r="P306" s="219" t="str">
        <f t="shared" si="93"/>
        <v/>
      </c>
      <c r="Q306" s="219" t="str">
        <f t="shared" si="94"/>
        <v/>
      </c>
      <c r="R306" s="219" t="str">
        <f t="shared" si="95"/>
        <v/>
      </c>
      <c r="S306" s="331" t="str">
        <f t="shared" si="96"/>
        <v/>
      </c>
      <c r="T306" s="331" t="str">
        <f t="shared" si="97"/>
        <v/>
      </c>
      <c r="U306" s="331" t="str">
        <f t="shared" si="98"/>
        <v/>
      </c>
    </row>
    <row r="307" spans="1:21" ht="15.95" customHeight="1">
      <c r="A307" s="211">
        <f>IF(COUNTBLANK('RNEW import'!B305)=1,"",'RNEW import'!B305)</f>
        <v>16</v>
      </c>
      <c r="B307" s="211" t="str">
        <f>IF(COUNTBLANK('RNEW import'!D305)=1,"",'RNEW import'!D305)</f>
        <v>Targu Jiu Development SRL</v>
      </c>
      <c r="C307" s="211" t="str">
        <f>IF(COUNTBLANK('RNEW import'!E305)=1,"",'RNEW import'!E305)</f>
        <v>RTJD</v>
      </c>
      <c r="D307" s="211" t="str">
        <f>IF(COUNTBLANK('RNEW import'!K305)=1,"",'RNEW import'!K305)</f>
        <v>Energie activa 3</v>
      </c>
      <c r="E307" s="211">
        <f>IF(COUNTBLANK('RNEW import'!L305)=1,"",'RNEW import'!N305)</f>
        <v>8083</v>
      </c>
      <c r="F307" s="211">
        <f>IF(COUNTBLANK('RNEW import'!M305)=1,"",'RNEW import'!O305/10000)</f>
        <v>0.85521759999999991</v>
      </c>
      <c r="G307" s="217">
        <f t="shared" si="99"/>
        <v>6912.72</v>
      </c>
      <c r="H307" s="217">
        <f t="shared" si="92"/>
        <v>1313.42</v>
      </c>
      <c r="I307" s="329">
        <f t="shared" si="100"/>
        <v>8226.14</v>
      </c>
      <c r="J307" s="237" t="str">
        <f t="shared" si="87"/>
        <v/>
      </c>
      <c r="K307" s="238" t="str">
        <f t="shared" si="88"/>
        <v/>
      </c>
      <c r="L307" s="238" t="str">
        <f t="shared" si="89"/>
        <v/>
      </c>
      <c r="M307" s="238" t="str">
        <f t="shared" si="90"/>
        <v/>
      </c>
      <c r="N307" s="238" t="str">
        <f t="shared" si="91"/>
        <v/>
      </c>
      <c r="O307" s="232" t="str">
        <f t="shared" si="101"/>
        <v/>
      </c>
      <c r="P307" s="219" t="str">
        <f t="shared" si="93"/>
        <v/>
      </c>
      <c r="Q307" s="219" t="str">
        <f t="shared" si="94"/>
        <v/>
      </c>
      <c r="R307" s="219" t="str">
        <f t="shared" si="95"/>
        <v/>
      </c>
      <c r="S307" s="331" t="str">
        <f t="shared" si="96"/>
        <v/>
      </c>
      <c r="T307" s="331" t="str">
        <f t="shared" si="97"/>
        <v/>
      </c>
      <c r="U307" s="331" t="str">
        <f t="shared" si="98"/>
        <v/>
      </c>
    </row>
    <row r="308" spans="1:21" ht="15.95" customHeight="1">
      <c r="A308" s="211">
        <f>IF(COUNTBLANK('RNEW import'!B306)=1,"",'RNEW import'!B306)</f>
        <v>17</v>
      </c>
      <c r="B308" s="211" t="str">
        <f>IF(COUNTBLANK('RNEW import'!D306)=1,"",'RNEW import'!D306)</f>
        <v>Targu Jiu Development SRL</v>
      </c>
      <c r="C308" s="211" t="str">
        <f>IF(COUNTBLANK('RNEW import'!E306)=1,"",'RNEW import'!E306)</f>
        <v>RTJD</v>
      </c>
      <c r="D308" s="211" t="str">
        <f>IF(COUNTBLANK('RNEW import'!K306)=1,"",'RNEW import'!K306)</f>
        <v>Tarif distributie SDI MT_</v>
      </c>
      <c r="E308" s="211">
        <f>IF(COUNTBLANK('RNEW import'!L306)=1,"",'RNEW import'!N306)</f>
        <v>8083</v>
      </c>
      <c r="F308" s="211">
        <f>IF(COUNTBLANK('RNEW import'!M306)=1,"",'RNEW import'!O306/10000)</f>
        <v>1.7000000000000001E-2</v>
      </c>
      <c r="G308" s="217">
        <f t="shared" si="99"/>
        <v>137.41</v>
      </c>
      <c r="H308" s="217">
        <f t="shared" si="92"/>
        <v>26.11</v>
      </c>
      <c r="I308" s="329">
        <f t="shared" si="100"/>
        <v>163.51999999999998</v>
      </c>
      <c r="J308" s="237" t="str">
        <f t="shared" si="87"/>
        <v/>
      </c>
      <c r="K308" s="238" t="str">
        <f t="shared" si="88"/>
        <v/>
      </c>
      <c r="L308" s="238" t="str">
        <f t="shared" si="89"/>
        <v/>
      </c>
      <c r="M308" s="238" t="str">
        <f t="shared" si="90"/>
        <v/>
      </c>
      <c r="N308" s="238" t="str">
        <f t="shared" si="91"/>
        <v/>
      </c>
      <c r="O308" s="232" t="str">
        <f t="shared" si="101"/>
        <v/>
      </c>
      <c r="P308" s="219" t="str">
        <f t="shared" si="93"/>
        <v/>
      </c>
      <c r="Q308" s="219" t="str">
        <f t="shared" si="94"/>
        <v/>
      </c>
      <c r="R308" s="219" t="str">
        <f t="shared" si="95"/>
        <v/>
      </c>
      <c r="S308" s="331" t="str">
        <f t="shared" si="96"/>
        <v/>
      </c>
      <c r="T308" s="331" t="str">
        <f t="shared" si="97"/>
        <v/>
      </c>
      <c r="U308" s="331" t="str">
        <f t="shared" si="98"/>
        <v/>
      </c>
    </row>
    <row r="309" spans="1:21" ht="15.95" customHeight="1">
      <c r="A309" s="211">
        <f>IF(COUNTBLANK('RNEW import'!B307)=1,"",'RNEW import'!B307)</f>
        <v>18</v>
      </c>
      <c r="B309" s="211" t="str">
        <f>IF(COUNTBLANK('RNEW import'!D307)=1,"",'RNEW import'!D307)</f>
        <v>Targu Jiu Development SRL</v>
      </c>
      <c r="C309" s="211" t="str">
        <f>IF(COUNTBLANK('RNEW import'!E307)=1,"",'RNEW import'!E307)</f>
        <v>RTJD</v>
      </c>
      <c r="D309" s="211" t="str">
        <f>IF(COUNTBLANK('RNEW import'!K307)=1,"",'RNEW import'!K307)</f>
        <v>Tarif distributie SDI JT_</v>
      </c>
      <c r="E309" s="211">
        <f>IF(COUNTBLANK('RNEW import'!L307)=1,"",'RNEW import'!N307)</f>
        <v>8083</v>
      </c>
      <c r="F309" s="211">
        <f>IF(COUNTBLANK('RNEW import'!M307)=1,"",'RNEW import'!O307/10000)</f>
        <v>0.10290000000000001</v>
      </c>
      <c r="G309" s="217">
        <f t="shared" si="99"/>
        <v>831.74</v>
      </c>
      <c r="H309" s="217">
        <f t="shared" si="92"/>
        <v>158.03</v>
      </c>
      <c r="I309" s="329">
        <f t="shared" si="100"/>
        <v>989.77</v>
      </c>
      <c r="J309" s="237" t="str">
        <f t="shared" si="87"/>
        <v/>
      </c>
      <c r="K309" s="238" t="str">
        <f t="shared" si="88"/>
        <v/>
      </c>
      <c r="L309" s="238" t="str">
        <f t="shared" si="89"/>
        <v/>
      </c>
      <c r="M309" s="238" t="str">
        <f t="shared" si="90"/>
        <v/>
      </c>
      <c r="N309" s="238" t="str">
        <f t="shared" si="91"/>
        <v/>
      </c>
      <c r="O309" s="233" t="str">
        <f t="shared" si="101"/>
        <v/>
      </c>
      <c r="P309" s="219" t="str">
        <f t="shared" si="93"/>
        <v>Energie consumata din PV</v>
      </c>
      <c r="Q309" s="219">
        <f t="shared" si="94"/>
        <v>120033</v>
      </c>
      <c r="R309" s="219">
        <f t="shared" si="95"/>
        <v>0.97511800000000004</v>
      </c>
      <c r="S309" s="331">
        <f t="shared" si="96"/>
        <v>117046.29</v>
      </c>
      <c r="T309" s="331">
        <f t="shared" si="97"/>
        <v>22238.799999999999</v>
      </c>
      <c r="U309" s="331">
        <f t="shared" si="98"/>
        <v>139285.09</v>
      </c>
    </row>
    <row r="310" spans="1:21" ht="15.95" customHeight="1">
      <c r="A310" s="211">
        <f>IF(COUNTBLANK('RNEW import'!B308)=1,"",'RNEW import'!B308)</f>
        <v>19</v>
      </c>
      <c r="B310" s="211" t="str">
        <f>IF(COUNTBLANK('RNEW import'!D308)=1,"",'RNEW import'!D308)</f>
        <v>Targu Jiu Development SRL</v>
      </c>
      <c r="C310" s="211" t="str">
        <f>IF(COUNTBLANK('RNEW import'!E308)=1,"",'RNEW import'!E308)</f>
        <v>RTJD</v>
      </c>
      <c r="D310" s="211" t="str">
        <f>IF(COUNTBLANK('RNEW import'!K308)=1,"",'RNEW import'!K308)</f>
        <v>Regularizare Energie activa 1</v>
      </c>
      <c r="E310" s="211">
        <f>IF(COUNTBLANK('RNEW import'!L308)=1,"",'RNEW import'!N308)</f>
        <v>79</v>
      </c>
      <c r="F310" s="211">
        <f>IF(COUNTBLANK('RNEW import'!M308)=1,"",'RNEW import'!O308/10000)</f>
        <v>0.59499999999999997</v>
      </c>
      <c r="G310" s="217">
        <f t="shared" si="99"/>
        <v>47.01</v>
      </c>
      <c r="H310" s="217">
        <f t="shared" si="92"/>
        <v>8.93</v>
      </c>
      <c r="I310" s="329">
        <f t="shared" si="100"/>
        <v>55.94</v>
      </c>
      <c r="J310" s="237" t="str">
        <f t="shared" si="87"/>
        <v/>
      </c>
      <c r="K310" s="238" t="str">
        <f t="shared" si="88"/>
        <v/>
      </c>
      <c r="L310" s="238" t="str">
        <f t="shared" si="89"/>
        <v/>
      </c>
      <c r="M310" s="238" t="str">
        <f t="shared" si="90"/>
        <v/>
      </c>
      <c r="N310" s="238" t="str">
        <f t="shared" si="91"/>
        <v/>
      </c>
      <c r="O310" s="218" t="str">
        <f t="shared" si="101"/>
        <v/>
      </c>
      <c r="P310" s="219" t="str">
        <f t="shared" si="93"/>
        <v>Energie activa regularizare</v>
      </c>
      <c r="Q310" s="219">
        <f t="shared" si="94"/>
        <v>79</v>
      </c>
      <c r="R310" s="219">
        <f t="shared" si="95"/>
        <v>1.0827850000000001</v>
      </c>
      <c r="S310" s="331">
        <f t="shared" si="96"/>
        <v>85.54</v>
      </c>
      <c r="T310" s="331">
        <f t="shared" si="97"/>
        <v>16.239999999999998</v>
      </c>
      <c r="U310" s="331">
        <f t="shared" si="98"/>
        <v>101.78</v>
      </c>
    </row>
    <row r="311" spans="1:21" ht="15.95" customHeight="1">
      <c r="A311" s="211">
        <f>IF(COUNTBLANK('RNEW import'!B309)=1,"",'RNEW import'!B309)</f>
        <v>20</v>
      </c>
      <c r="B311" s="211" t="str">
        <f>IF(COUNTBLANK('RNEW import'!D309)=1,"",'RNEW import'!D309)</f>
        <v>Targu Jiu Development SRL</v>
      </c>
      <c r="C311" s="211" t="str">
        <f>IF(COUNTBLANK('RNEW import'!E309)=1,"",'RNEW import'!E309)</f>
        <v>RTJD</v>
      </c>
      <c r="D311" s="211" t="str">
        <f>IF(COUNTBLANK('RNEW import'!K309)=1,"",'RNEW import'!K309)</f>
        <v>Regularizare Energie reactiva  1X</v>
      </c>
      <c r="E311" s="211">
        <f>IF(COUNTBLANK('RNEW import'!L309)=1,"",'RNEW import'!N309)</f>
        <v>0</v>
      </c>
      <c r="F311" s="211">
        <f>IF(COUNTBLANK('RNEW import'!M309)=1,"",'RNEW import'!O309/10000)</f>
        <v>0.14649999999999999</v>
      </c>
      <c r="G311" s="217">
        <f t="shared" si="99"/>
        <v>0</v>
      </c>
      <c r="H311" s="217">
        <f t="shared" si="92"/>
        <v>0</v>
      </c>
      <c r="I311" s="329">
        <f t="shared" si="100"/>
        <v>0</v>
      </c>
      <c r="J311" s="237" t="str">
        <f t="shared" si="87"/>
        <v/>
      </c>
      <c r="K311" s="238" t="str">
        <f t="shared" si="88"/>
        <v/>
      </c>
      <c r="L311" s="238" t="str">
        <f t="shared" si="89"/>
        <v/>
      </c>
      <c r="M311" s="238" t="str">
        <f t="shared" si="90"/>
        <v/>
      </c>
      <c r="N311" s="238" t="str">
        <f t="shared" si="91"/>
        <v/>
      </c>
      <c r="O311" s="232" t="str">
        <f t="shared" si="101"/>
        <v/>
      </c>
      <c r="P311" s="219" t="str">
        <f t="shared" si="93"/>
        <v>Energie reactiva 1x regularizare</v>
      </c>
      <c r="Q311" s="219">
        <f t="shared" si="94"/>
        <v>0</v>
      </c>
      <c r="R311" s="219">
        <f t="shared" si="95"/>
        <v>0.14649999999999999</v>
      </c>
      <c r="S311" s="331">
        <f t="shared" si="96"/>
        <v>0</v>
      </c>
      <c r="T311" s="331">
        <f t="shared" si="97"/>
        <v>0</v>
      </c>
      <c r="U311" s="331">
        <f t="shared" si="98"/>
        <v>0</v>
      </c>
    </row>
    <row r="312" spans="1:21" ht="15.95" customHeight="1">
      <c r="A312" s="211">
        <f>IF(COUNTBLANK('RNEW import'!B310)=1,"",'RNEW import'!B310)</f>
        <v>21</v>
      </c>
      <c r="B312" s="211" t="str">
        <f>IF(COUNTBLANK('RNEW import'!D310)=1,"",'RNEW import'!D310)</f>
        <v>Targu Jiu Development SRL</v>
      </c>
      <c r="C312" s="211" t="str">
        <f>IF(COUNTBLANK('RNEW import'!E310)=1,"",'RNEW import'!E310)</f>
        <v>RTJD</v>
      </c>
      <c r="D312" s="211" t="str">
        <f>IF(COUNTBLANK('RNEW import'!K310)=1,"",'RNEW import'!K310)</f>
        <v>Regularizare Energie reactiva  3X</v>
      </c>
      <c r="E312" s="211">
        <f>IF(COUNTBLANK('RNEW import'!L310)=1,"",'RNEW import'!N310)</f>
        <v>0</v>
      </c>
      <c r="F312" s="211">
        <f>IF(COUNTBLANK('RNEW import'!M310)=1,"",'RNEW import'!O310/10000)</f>
        <v>0.4395</v>
      </c>
      <c r="G312" s="217">
        <f t="shared" si="99"/>
        <v>0</v>
      </c>
      <c r="H312" s="217">
        <f t="shared" si="92"/>
        <v>0</v>
      </c>
      <c r="I312" s="329">
        <f t="shared" si="100"/>
        <v>0</v>
      </c>
      <c r="J312" s="237" t="str">
        <f t="shared" si="87"/>
        <v/>
      </c>
      <c r="K312" s="238" t="str">
        <f t="shared" si="88"/>
        <v/>
      </c>
      <c r="L312" s="238" t="str">
        <f t="shared" si="89"/>
        <v/>
      </c>
      <c r="M312" s="238" t="str">
        <f t="shared" si="90"/>
        <v/>
      </c>
      <c r="N312" s="238" t="str">
        <f t="shared" si="91"/>
        <v/>
      </c>
      <c r="O312" s="232" t="str">
        <f t="shared" si="101"/>
        <v/>
      </c>
      <c r="P312" s="219" t="str">
        <f t="shared" si="93"/>
        <v>Energie reactiva 3x regularizare</v>
      </c>
      <c r="Q312" s="219">
        <f t="shared" si="94"/>
        <v>0</v>
      </c>
      <c r="R312" s="219">
        <f t="shared" si="95"/>
        <v>0.4395</v>
      </c>
      <c r="S312" s="331">
        <f t="shared" si="96"/>
        <v>0</v>
      </c>
      <c r="T312" s="331">
        <f t="shared" si="97"/>
        <v>0</v>
      </c>
      <c r="U312" s="331">
        <f t="shared" si="98"/>
        <v>0</v>
      </c>
    </row>
    <row r="313" spans="1:21" ht="15.95" customHeight="1">
      <c r="A313" s="211">
        <f>IF(COUNTBLANK('RNEW import'!B311)=1,"",'RNEW import'!B311)</f>
        <v>22</v>
      </c>
      <c r="B313" s="211" t="str">
        <f>IF(COUNTBLANK('RNEW import'!D311)=1,"",'RNEW import'!D311)</f>
        <v>Targu Jiu Development SRL</v>
      </c>
      <c r="C313" s="211" t="str">
        <f>IF(COUNTBLANK('RNEW import'!E311)=1,"",'RNEW import'!E311)</f>
        <v>RTJD</v>
      </c>
      <c r="D313" s="211" t="str">
        <f>IF(COUNTBLANK('RNEW import'!K311)=1,"",'RNEW import'!K311)</f>
        <v>Regularizare Tarife distributie en. El IT+MT</v>
      </c>
      <c r="E313" s="211">
        <f>IF(COUNTBLANK('RNEW import'!L311)=1,"",'RNEW import'!N311)</f>
        <v>79</v>
      </c>
      <c r="F313" s="211">
        <f>IF(COUNTBLANK('RNEW import'!M311)=1,"",'RNEW import'!O311/10000)</f>
        <v>0.13613999999999998</v>
      </c>
      <c r="G313" s="217">
        <f t="shared" si="99"/>
        <v>10.76</v>
      </c>
      <c r="H313" s="217">
        <f t="shared" si="92"/>
        <v>2.04</v>
      </c>
      <c r="I313" s="329">
        <f t="shared" si="100"/>
        <v>12.8</v>
      </c>
      <c r="J313" s="237" t="str">
        <f t="shared" si="87"/>
        <v/>
      </c>
      <c r="K313" s="238" t="str">
        <f t="shared" si="88"/>
        <v/>
      </c>
      <c r="L313" s="238" t="str">
        <f t="shared" si="89"/>
        <v/>
      </c>
      <c r="M313" s="238" t="str">
        <f t="shared" si="90"/>
        <v/>
      </c>
      <c r="N313" s="238" t="str">
        <f t="shared" si="91"/>
        <v/>
      </c>
      <c r="O313" s="232" t="str">
        <f t="shared" si="101"/>
        <v/>
      </c>
      <c r="P313" s="219" t="str">
        <f t="shared" si="93"/>
        <v/>
      </c>
      <c r="Q313" s="219" t="str">
        <f t="shared" si="94"/>
        <v/>
      </c>
      <c r="R313" s="219" t="str">
        <f t="shared" si="95"/>
        <v/>
      </c>
      <c r="S313" s="331" t="str">
        <f t="shared" si="96"/>
        <v/>
      </c>
      <c r="T313" s="331" t="str">
        <f t="shared" si="97"/>
        <v/>
      </c>
      <c r="U313" s="331" t="str">
        <f t="shared" si="98"/>
        <v/>
      </c>
    </row>
    <row r="314" spans="1:21" ht="15.95" customHeight="1">
      <c r="A314" s="211">
        <f>IF(COUNTBLANK('RNEW import'!B312)=1,"",'RNEW import'!B312)</f>
        <v>23</v>
      </c>
      <c r="B314" s="211" t="str">
        <f>IF(COUNTBLANK('RNEW import'!D312)=1,"",'RNEW import'!D312)</f>
        <v>Targu Jiu Development SRL</v>
      </c>
      <c r="C314" s="211" t="str">
        <f>IF(COUNTBLANK('RNEW import'!E312)=1,"",'RNEW import'!E312)</f>
        <v>RTJD</v>
      </c>
      <c r="D314" s="211" t="str">
        <f>IF(COUNTBLANK('RNEW import'!K312)=1,"",'RNEW import'!K312)</f>
        <v>Regularizare Tarife distributie en. El JT</v>
      </c>
      <c r="E314" s="211">
        <f>IF(COUNTBLANK('RNEW import'!L312)=1,"",'RNEW import'!N312)</f>
        <v>79</v>
      </c>
      <c r="F314" s="211">
        <f>IF(COUNTBLANK('RNEW import'!M312)=1,"",'RNEW import'!O312/10000)</f>
        <v>0.22738999999999995</v>
      </c>
      <c r="G314" s="217">
        <f t="shared" si="99"/>
        <v>17.96</v>
      </c>
      <c r="H314" s="217">
        <f t="shared" si="92"/>
        <v>3.41</v>
      </c>
      <c r="I314" s="329">
        <f t="shared" si="100"/>
        <v>21.37</v>
      </c>
      <c r="J314" s="237" t="str">
        <f t="shared" si="87"/>
        <v/>
      </c>
      <c r="K314" s="238" t="str">
        <f t="shared" si="88"/>
        <v/>
      </c>
      <c r="L314" s="238" t="str">
        <f t="shared" si="89"/>
        <v/>
      </c>
      <c r="M314" s="238" t="str">
        <f t="shared" si="90"/>
        <v/>
      </c>
      <c r="N314" s="238" t="str">
        <f t="shared" si="91"/>
        <v/>
      </c>
      <c r="O314" s="232" t="str">
        <f t="shared" si="101"/>
        <v/>
      </c>
      <c r="P314" s="219" t="str">
        <f t="shared" si="93"/>
        <v/>
      </c>
      <c r="Q314" s="219" t="str">
        <f t="shared" si="94"/>
        <v/>
      </c>
      <c r="R314" s="219" t="str">
        <f t="shared" si="95"/>
        <v/>
      </c>
      <c r="S314" s="331" t="str">
        <f t="shared" si="96"/>
        <v/>
      </c>
      <c r="T314" s="331" t="str">
        <f t="shared" si="97"/>
        <v/>
      </c>
      <c r="U314" s="331" t="str">
        <f t="shared" si="98"/>
        <v/>
      </c>
    </row>
    <row r="315" spans="1:21" ht="15.95" customHeight="1">
      <c r="A315" s="211">
        <f>IF(COUNTBLANK('RNEW import'!B313)=1,"",'RNEW import'!B313)</f>
        <v>24</v>
      </c>
      <c r="B315" s="211" t="str">
        <f>IF(COUNTBLANK('RNEW import'!D313)=1,"",'RNEW import'!D313)</f>
        <v>Targu Jiu Development SRL</v>
      </c>
      <c r="C315" s="211" t="str">
        <f>IF(COUNTBLANK('RNEW import'!E313)=1,"",'RNEW import'!E313)</f>
        <v>RTJD</v>
      </c>
      <c r="D315" s="211" t="str">
        <f>IF(COUNTBLANK('RNEW import'!K313)=1,"",'RNEW import'!K313)</f>
        <v xml:space="preserve">Regularizare Servicii Sistem </v>
      </c>
      <c r="E315" s="211">
        <f>IF(COUNTBLANK('RNEW import'!L313)=1,"",'RNEW import'!N313)</f>
        <v>79</v>
      </c>
      <c r="F315" s="211">
        <f>IF(COUNTBLANK('RNEW import'!M313)=1,"",'RNEW import'!O313/10000)</f>
        <v>1.1509999999999999E-2</v>
      </c>
      <c r="G315" s="217">
        <f t="shared" si="99"/>
        <v>0.91</v>
      </c>
      <c r="H315" s="217">
        <f t="shared" si="92"/>
        <v>0.17</v>
      </c>
      <c r="I315" s="329">
        <f t="shared" si="100"/>
        <v>1.08</v>
      </c>
      <c r="J315" s="237" t="str">
        <f t="shared" si="87"/>
        <v/>
      </c>
      <c r="K315" s="238" t="str">
        <f t="shared" si="88"/>
        <v/>
      </c>
      <c r="L315" s="238" t="str">
        <f t="shared" si="89"/>
        <v/>
      </c>
      <c r="M315" s="238" t="str">
        <f t="shared" si="90"/>
        <v/>
      </c>
      <c r="N315" s="238" t="str">
        <f t="shared" si="91"/>
        <v/>
      </c>
      <c r="O315" s="232" t="str">
        <f t="shared" si="101"/>
        <v/>
      </c>
      <c r="P315" s="219" t="str">
        <f t="shared" si="93"/>
        <v/>
      </c>
      <c r="Q315" s="219" t="str">
        <f t="shared" si="94"/>
        <v/>
      </c>
      <c r="R315" s="219" t="str">
        <f t="shared" si="95"/>
        <v/>
      </c>
      <c r="S315" s="331" t="str">
        <f t="shared" si="96"/>
        <v/>
      </c>
      <c r="T315" s="331" t="str">
        <f t="shared" si="97"/>
        <v/>
      </c>
      <c r="U315" s="331" t="str">
        <f t="shared" si="98"/>
        <v/>
      </c>
    </row>
    <row r="316" spans="1:21" ht="15.95" customHeight="1">
      <c r="A316" s="211">
        <f>IF(COUNTBLANK('RNEW import'!B314)=1,"",'RNEW import'!B314)</f>
        <v>25</v>
      </c>
      <c r="B316" s="211" t="str">
        <f>IF(COUNTBLANK('RNEW import'!D314)=1,"",'RNEW import'!D314)</f>
        <v>Targu Jiu Development SRL</v>
      </c>
      <c r="C316" s="211" t="str">
        <f>IF(COUNTBLANK('RNEW import'!E314)=1,"",'RNEW import'!E314)</f>
        <v>RTJD</v>
      </c>
      <c r="D316" s="211" t="str">
        <f>IF(COUNTBLANK('RNEW import'!K314)=1,"",'RNEW import'!K314)</f>
        <v>Regularizare Tarif de introducere en. el in retea (TL)</v>
      </c>
      <c r="E316" s="211">
        <f>IF(COUNTBLANK('RNEW import'!L314)=1,"",'RNEW import'!N314)</f>
        <v>79</v>
      </c>
      <c r="F316" s="211">
        <f>IF(COUNTBLANK('RNEW import'!M314)=1,"",'RNEW import'!O314/10000)</f>
        <v>3.3030000000000004E-2</v>
      </c>
      <c r="G316" s="217">
        <f t="shared" si="99"/>
        <v>2.61</v>
      </c>
      <c r="H316" s="217">
        <f t="shared" si="92"/>
        <v>0.5</v>
      </c>
      <c r="I316" s="329">
        <f t="shared" si="100"/>
        <v>3.11</v>
      </c>
      <c r="J316" s="237" t="str">
        <f t="shared" si="87"/>
        <v/>
      </c>
      <c r="K316" s="238" t="str">
        <f t="shared" si="88"/>
        <v/>
      </c>
      <c r="L316" s="238" t="str">
        <f t="shared" si="89"/>
        <v/>
      </c>
      <c r="M316" s="238" t="str">
        <f t="shared" si="90"/>
        <v/>
      </c>
      <c r="N316" s="238" t="str">
        <f t="shared" si="91"/>
        <v/>
      </c>
      <c r="O316" s="232" t="str">
        <f t="shared" si="101"/>
        <v/>
      </c>
      <c r="P316" s="219" t="str">
        <f t="shared" si="93"/>
        <v/>
      </c>
      <c r="Q316" s="219" t="str">
        <f t="shared" si="94"/>
        <v/>
      </c>
      <c r="R316" s="219" t="str">
        <f t="shared" si="95"/>
        <v/>
      </c>
      <c r="S316" s="331" t="str">
        <f t="shared" si="96"/>
        <v/>
      </c>
      <c r="T316" s="331" t="str">
        <f t="shared" si="97"/>
        <v/>
      </c>
      <c r="U316" s="331" t="str">
        <f t="shared" si="98"/>
        <v/>
      </c>
    </row>
    <row r="317" spans="1:21" ht="15.95" customHeight="1">
      <c r="A317" s="211">
        <f>IF(COUNTBLANK('RNEW import'!B315)=1,"",'RNEW import'!B315)</f>
        <v>26</v>
      </c>
      <c r="B317" s="211" t="str">
        <f>IF(COUNTBLANK('RNEW import'!D315)=1,"",'RNEW import'!D315)</f>
        <v>Targu Jiu Development SRL</v>
      </c>
      <c r="C317" s="211" t="str">
        <f>IF(COUNTBLANK('RNEW import'!E315)=1,"",'RNEW import'!E315)</f>
        <v>RTJD</v>
      </c>
      <c r="D317" s="211" t="str">
        <f>IF(COUNTBLANK('RNEW import'!K315)=1,"",'RNEW import'!K315)</f>
        <v>Regularizare Tarif de introducere en.el in retea (TG)</v>
      </c>
      <c r="E317" s="211">
        <f>IF(COUNTBLANK('RNEW import'!L315)=1,"",'RNEW import'!N315)</f>
        <v>79</v>
      </c>
      <c r="F317" s="211">
        <f>IF(COUNTBLANK('RNEW import'!M315)=1,"",'RNEW import'!O315/10000)</f>
        <v>3.29E-3</v>
      </c>
      <c r="G317" s="217">
        <f t="shared" si="99"/>
        <v>0.26</v>
      </c>
      <c r="H317" s="217">
        <f t="shared" si="92"/>
        <v>0.05</v>
      </c>
      <c r="I317" s="329">
        <f t="shared" si="100"/>
        <v>0.31</v>
      </c>
      <c r="J317" s="237" t="str">
        <f t="shared" si="87"/>
        <v/>
      </c>
      <c r="K317" s="238" t="str">
        <f t="shared" si="88"/>
        <v/>
      </c>
      <c r="L317" s="238" t="str">
        <f t="shared" si="89"/>
        <v/>
      </c>
      <c r="M317" s="238" t="str">
        <f t="shared" si="90"/>
        <v/>
      </c>
      <c r="N317" s="238" t="str">
        <f t="shared" si="91"/>
        <v/>
      </c>
      <c r="O317" s="232" t="str">
        <f t="shared" si="101"/>
        <v/>
      </c>
      <c r="P317" s="219" t="str">
        <f t="shared" si="93"/>
        <v/>
      </c>
      <c r="Q317" s="219" t="str">
        <f t="shared" si="94"/>
        <v/>
      </c>
      <c r="R317" s="219" t="str">
        <f t="shared" si="95"/>
        <v/>
      </c>
      <c r="S317" s="331" t="str">
        <f t="shared" si="96"/>
        <v/>
      </c>
      <c r="T317" s="331" t="str">
        <f t="shared" si="97"/>
        <v/>
      </c>
      <c r="U317" s="331" t="str">
        <f t="shared" si="98"/>
        <v/>
      </c>
    </row>
    <row r="318" spans="1:21" ht="15.95" customHeight="1">
      <c r="A318" s="211">
        <f>IF(COUNTBLANK('RNEW import'!B316)=1,"",'RNEW import'!B316)</f>
        <v>27</v>
      </c>
      <c r="B318" s="211" t="str">
        <f>IF(COUNTBLANK('RNEW import'!D316)=1,"",'RNEW import'!D316)</f>
        <v>Targu Jiu Development SRL</v>
      </c>
      <c r="C318" s="211" t="str">
        <f>IF(COUNTBLANK('RNEW import'!E316)=1,"",'RNEW import'!E316)</f>
        <v>RTJD</v>
      </c>
      <c r="D318" s="211" t="str">
        <f>IF(COUNTBLANK('RNEW import'!K316)=1,"",'RNEW import'!K316)</f>
        <v>Regularizare Contributie pentru cogenerare</v>
      </c>
      <c r="E318" s="211">
        <f>IF(COUNTBLANK('RNEW import'!L316)=1,"",'RNEW import'!N316)</f>
        <v>79</v>
      </c>
      <c r="F318" s="211">
        <f>IF(COUNTBLANK('RNEW import'!M316)=1,"",'RNEW import'!O316/10000)</f>
        <v>3.5000000000000001E-3</v>
      </c>
      <c r="G318" s="217">
        <f t="shared" si="99"/>
        <v>0.28000000000000003</v>
      </c>
      <c r="H318" s="217">
        <f t="shared" si="92"/>
        <v>0.05</v>
      </c>
      <c r="I318" s="329">
        <f t="shared" si="100"/>
        <v>0.33</v>
      </c>
      <c r="J318" s="237" t="str">
        <f t="shared" si="87"/>
        <v/>
      </c>
      <c r="K318" s="238" t="str">
        <f t="shared" si="88"/>
        <v/>
      </c>
      <c r="L318" s="238" t="str">
        <f t="shared" si="89"/>
        <v/>
      </c>
      <c r="M318" s="238" t="str">
        <f t="shared" si="90"/>
        <v/>
      </c>
      <c r="N318" s="238" t="str">
        <f t="shared" si="91"/>
        <v/>
      </c>
      <c r="O318" s="232" t="str">
        <f t="shared" si="101"/>
        <v/>
      </c>
      <c r="P318" s="219" t="str">
        <f t="shared" si="93"/>
        <v/>
      </c>
      <c r="Q318" s="219" t="str">
        <f t="shared" si="94"/>
        <v/>
      </c>
      <c r="R318" s="219" t="str">
        <f t="shared" si="95"/>
        <v/>
      </c>
      <c r="S318" s="331" t="str">
        <f t="shared" si="96"/>
        <v/>
      </c>
      <c r="T318" s="331" t="str">
        <f t="shared" si="97"/>
        <v/>
      </c>
      <c r="U318" s="331" t="str">
        <f t="shared" si="98"/>
        <v/>
      </c>
    </row>
    <row r="319" spans="1:21" ht="15.95" customHeight="1">
      <c r="A319" s="211">
        <f>IF(COUNTBLANK('RNEW import'!B317)=1,"",'RNEW import'!B317)</f>
        <v>28</v>
      </c>
      <c r="B319" s="211" t="str">
        <f>IF(COUNTBLANK('RNEW import'!D317)=1,"",'RNEW import'!D317)</f>
        <v>Targu Jiu Development SRL</v>
      </c>
      <c r="C319" s="211" t="str">
        <f>IF(COUNTBLANK('RNEW import'!E317)=1,"",'RNEW import'!E317)</f>
        <v>RTJD</v>
      </c>
      <c r="D319" s="211" t="str">
        <f>IF(COUNTBLANK('RNEW import'!K317)=1,"",'RNEW import'!K317)</f>
        <v xml:space="preserve">Regularizare Certificate verzi </v>
      </c>
      <c r="E319" s="211">
        <f>IF(COUNTBLANK('RNEW import'!L317)=1,"",'RNEW import'!N317)</f>
        <v>79</v>
      </c>
      <c r="F319" s="211">
        <f>IF(COUNTBLANK('RNEW import'!M317)=1,"",'RNEW import'!O317/10000)</f>
        <v>7.2541599999999998E-2</v>
      </c>
      <c r="G319" s="217">
        <f t="shared" si="99"/>
        <v>5.73</v>
      </c>
      <c r="H319" s="217">
        <f t="shared" si="92"/>
        <v>1.0900000000000001</v>
      </c>
      <c r="I319" s="329">
        <f t="shared" si="100"/>
        <v>6.82</v>
      </c>
      <c r="J319" s="237" t="str">
        <f t="shared" si="87"/>
        <v/>
      </c>
      <c r="K319" s="238" t="str">
        <f t="shared" si="88"/>
        <v/>
      </c>
      <c r="L319" s="238" t="str">
        <f t="shared" si="89"/>
        <v/>
      </c>
      <c r="M319" s="238" t="str">
        <f t="shared" si="90"/>
        <v/>
      </c>
      <c r="N319" s="238" t="str">
        <f t="shared" si="91"/>
        <v/>
      </c>
      <c r="O319" s="232" t="str">
        <f t="shared" si="101"/>
        <v/>
      </c>
      <c r="P319" s="219" t="str">
        <f t="shared" si="93"/>
        <v/>
      </c>
      <c r="Q319" s="219" t="str">
        <f t="shared" si="94"/>
        <v/>
      </c>
      <c r="R319" s="219" t="str">
        <f t="shared" si="95"/>
        <v/>
      </c>
      <c r="S319" s="331" t="str">
        <f t="shared" si="96"/>
        <v/>
      </c>
      <c r="T319" s="331" t="str">
        <f t="shared" si="97"/>
        <v/>
      </c>
      <c r="U319" s="331" t="str">
        <f t="shared" si="98"/>
        <v/>
      </c>
    </row>
    <row r="320" spans="1:21" ht="15.95" customHeight="1">
      <c r="A320" s="211">
        <f>IF(COUNTBLANK('RNEW import'!B318)=1,"",'RNEW import'!B318)</f>
        <v>29</v>
      </c>
      <c r="B320" s="211" t="str">
        <f>IF(COUNTBLANK('RNEW import'!D318)=1,"",'RNEW import'!D318)</f>
        <v>Targu Jiu Development SRL</v>
      </c>
      <c r="C320" s="211" t="str">
        <f>IF(COUNTBLANK('RNEW import'!E318)=1,"",'RNEW import'!E318)</f>
        <v>RTJD</v>
      </c>
      <c r="D320" s="211" t="str">
        <f>IF(COUNTBLANK('RNEW import'!K318)=1,"",'RNEW import'!K318)</f>
        <v>Regularizare Contributie CFD</v>
      </c>
      <c r="E320" s="211">
        <f>IF(COUNTBLANK('RNEW import'!L318)=1,"",'RNEW import'!N318)</f>
        <v>79</v>
      </c>
      <c r="F320" s="211">
        <f>IF(COUNTBLANK('RNEW import'!M318)=1,"",'RNEW import'!O318/10000)</f>
        <v>2.0599999999999999E-4</v>
      </c>
      <c r="G320" s="217">
        <f t="shared" si="99"/>
        <v>0.02</v>
      </c>
      <c r="H320" s="217">
        <f t="shared" si="92"/>
        <v>0</v>
      </c>
      <c r="I320" s="329">
        <f t="shared" si="100"/>
        <v>0.02</v>
      </c>
      <c r="J320" s="237" t="str">
        <f t="shared" si="87"/>
        <v/>
      </c>
      <c r="K320" s="238" t="str">
        <f t="shared" si="88"/>
        <v/>
      </c>
      <c r="L320" s="238" t="str">
        <f t="shared" si="89"/>
        <v/>
      </c>
      <c r="M320" s="238" t="str">
        <f t="shared" si="90"/>
        <v/>
      </c>
      <c r="N320" s="238" t="str">
        <f t="shared" si="91"/>
        <v/>
      </c>
      <c r="O320" s="232" t="str">
        <f t="shared" si="101"/>
        <v/>
      </c>
      <c r="P320" s="219" t="str">
        <f t="shared" si="93"/>
        <v/>
      </c>
      <c r="Q320" s="219" t="str">
        <f t="shared" si="94"/>
        <v/>
      </c>
      <c r="R320" s="219" t="str">
        <f t="shared" si="95"/>
        <v/>
      </c>
      <c r="S320" s="331" t="str">
        <f t="shared" si="96"/>
        <v/>
      </c>
      <c r="T320" s="331" t="str">
        <f t="shared" si="97"/>
        <v/>
      </c>
      <c r="U320" s="331" t="str">
        <f t="shared" si="98"/>
        <v/>
      </c>
    </row>
    <row r="321" spans="1:21" ht="15.95" customHeight="1">
      <c r="A321" s="211">
        <f>IF(COUNTBLANK('RNEW import'!B319)=1,"",'RNEW import'!B319)</f>
        <v>30</v>
      </c>
      <c r="B321" s="211" t="str">
        <f>IF(COUNTBLANK('RNEW import'!D319)=1,"",'RNEW import'!D319)</f>
        <v>Targu Jiu Development SRL</v>
      </c>
      <c r="C321" s="211" t="str">
        <f>IF(COUNTBLANK('RNEW import'!E319)=1,"",'RNEW import'!E319)</f>
        <v>RTJD</v>
      </c>
      <c r="D321" s="211" t="str">
        <f>IF(COUNTBLANK('RNEW import'!K319)=1,"",'RNEW import'!K319)</f>
        <v>Regularizare Acciza</v>
      </c>
      <c r="E321" s="211">
        <f>IF(COUNTBLANK('RNEW import'!L319)=1,"",'RNEW import'!N319)</f>
        <v>79</v>
      </c>
      <c r="F321" s="211">
        <f>IF(COUNTBLANK('RNEW import'!M319)=1,"",'RNEW import'!O319/10000)</f>
        <v>0</v>
      </c>
      <c r="G321" s="217">
        <f t="shared" si="99"/>
        <v>0</v>
      </c>
      <c r="H321" s="217">
        <f t="shared" si="92"/>
        <v>0</v>
      </c>
      <c r="I321" s="329">
        <f t="shared" si="100"/>
        <v>0</v>
      </c>
      <c r="J321" s="237" t="str">
        <f t="shared" si="87"/>
        <v/>
      </c>
      <c r="K321" s="238" t="str">
        <f t="shared" si="88"/>
        <v/>
      </c>
      <c r="L321" s="238" t="str">
        <f t="shared" si="89"/>
        <v/>
      </c>
      <c r="M321" s="238" t="str">
        <f t="shared" si="90"/>
        <v/>
      </c>
      <c r="N321" s="238" t="str">
        <f t="shared" si="91"/>
        <v/>
      </c>
      <c r="O321" s="232" t="str">
        <f t="shared" si="101"/>
        <v/>
      </c>
      <c r="P321" s="219" t="str">
        <f t="shared" si="93"/>
        <v/>
      </c>
      <c r="Q321" s="219" t="str">
        <f t="shared" si="94"/>
        <v/>
      </c>
      <c r="R321" s="219" t="str">
        <f t="shared" si="95"/>
        <v/>
      </c>
      <c r="S321" s="331" t="str">
        <f t="shared" si="96"/>
        <v/>
      </c>
      <c r="T321" s="331" t="str">
        <f t="shared" si="97"/>
        <v/>
      </c>
      <c r="U321" s="331" t="str">
        <f t="shared" si="98"/>
        <v/>
      </c>
    </row>
    <row r="322" spans="1:21" ht="15.95" customHeight="1">
      <c r="A322" s="211">
        <f>IF(COUNTBLANK('RNEW import'!B320)=1,"",'RNEW import'!B320)</f>
        <v>31</v>
      </c>
      <c r="B322" s="211" t="str">
        <f>IF(COUNTBLANK('RNEW import'!D320)=1,"",'RNEW import'!D320)</f>
        <v>Targu Jiu Development SRL</v>
      </c>
      <c r="C322" s="211" t="str">
        <f>IF(COUNTBLANK('RNEW import'!E320)=1,"",'RNEW import'!E320)</f>
        <v>RTJD</v>
      </c>
      <c r="D322" s="211" t="str">
        <f>IF(COUNTBLANK('RNEW import'!K320)=1,"",'RNEW import'!K320)</f>
        <v>Regularizare Tarif distributie SDI MT Ea1</v>
      </c>
      <c r="E322" s="211">
        <f>IF(COUNTBLANK('RNEW import'!L320)=1,"",'RNEW import'!N320)</f>
        <v>0</v>
      </c>
      <c r="F322" s="211">
        <f>IF(COUNTBLANK('RNEW import'!M320)=1,"",'RNEW import'!O320/10000)</f>
        <v>1.7000000000000001E-2</v>
      </c>
      <c r="G322" s="217">
        <f t="shared" si="99"/>
        <v>0</v>
      </c>
      <c r="H322" s="217">
        <f t="shared" si="92"/>
        <v>0</v>
      </c>
      <c r="I322" s="329">
        <f t="shared" si="100"/>
        <v>0</v>
      </c>
      <c r="J322" s="237" t="str">
        <f t="shared" si="87"/>
        <v/>
      </c>
      <c r="K322" s="238" t="str">
        <f t="shared" si="88"/>
        <v/>
      </c>
      <c r="L322" s="238" t="str">
        <f t="shared" si="89"/>
        <v/>
      </c>
      <c r="M322" s="238" t="str">
        <f t="shared" si="90"/>
        <v/>
      </c>
      <c r="N322" s="238" t="str">
        <f t="shared" si="91"/>
        <v/>
      </c>
      <c r="O322" s="232" t="str">
        <f t="shared" si="101"/>
        <v/>
      </c>
      <c r="P322" s="219" t="str">
        <f t="shared" si="93"/>
        <v/>
      </c>
      <c r="Q322" s="219" t="str">
        <f t="shared" si="94"/>
        <v/>
      </c>
      <c r="R322" s="219" t="str">
        <f t="shared" si="95"/>
        <v/>
      </c>
      <c r="S322" s="331" t="str">
        <f t="shared" si="96"/>
        <v/>
      </c>
      <c r="T322" s="331" t="str">
        <f t="shared" si="97"/>
        <v/>
      </c>
      <c r="U322" s="331" t="str">
        <f t="shared" si="98"/>
        <v/>
      </c>
    </row>
    <row r="323" spans="1:21" ht="15.95" customHeight="1">
      <c r="A323" s="211">
        <f>IF(COUNTBLANK('RNEW import'!B321)=1,"",'RNEW import'!B321)</f>
        <v>32</v>
      </c>
      <c r="B323" s="211" t="str">
        <f>IF(COUNTBLANK('RNEW import'!D321)=1,"",'RNEW import'!D321)</f>
        <v>Targu Jiu Development SRL</v>
      </c>
      <c r="C323" s="211" t="str">
        <f>IF(COUNTBLANK('RNEW import'!E321)=1,"",'RNEW import'!E321)</f>
        <v>RTJD</v>
      </c>
      <c r="D323" s="211" t="str">
        <f>IF(COUNTBLANK('RNEW import'!K321)=1,"",'RNEW import'!K321)</f>
        <v>Regularizare Tarif distributie SDI JT Ea1</v>
      </c>
      <c r="E323" s="211">
        <f>IF(COUNTBLANK('RNEW import'!L321)=1,"",'RNEW import'!N321)</f>
        <v>0</v>
      </c>
      <c r="F323" s="211">
        <f>IF(COUNTBLANK('RNEW import'!M321)=1,"",'RNEW import'!O321/10000)</f>
        <v>0.10290000000000001</v>
      </c>
      <c r="G323" s="217">
        <f t="shared" si="99"/>
        <v>0</v>
      </c>
      <c r="H323" s="217">
        <f t="shared" si="92"/>
        <v>0</v>
      </c>
      <c r="I323" s="329">
        <f t="shared" si="100"/>
        <v>0</v>
      </c>
      <c r="J323" s="237" t="str">
        <f t="shared" si="87"/>
        <v/>
      </c>
      <c r="K323" s="238" t="str">
        <f t="shared" si="88"/>
        <v/>
      </c>
      <c r="L323" s="238" t="str">
        <f t="shared" si="89"/>
        <v/>
      </c>
      <c r="M323" s="238" t="str">
        <f t="shared" si="90"/>
        <v/>
      </c>
      <c r="N323" s="238" t="str">
        <f t="shared" si="91"/>
        <v/>
      </c>
      <c r="O323" s="232" t="str">
        <f t="shared" si="101"/>
        <v/>
      </c>
      <c r="P323" s="219" t="str">
        <f t="shared" si="93"/>
        <v/>
      </c>
      <c r="Q323" s="219" t="str">
        <f t="shared" si="94"/>
        <v/>
      </c>
      <c r="R323" s="219" t="str">
        <f t="shared" si="95"/>
        <v/>
      </c>
      <c r="S323" s="331" t="str">
        <f t="shared" si="96"/>
        <v/>
      </c>
      <c r="T323" s="331" t="str">
        <f t="shared" si="97"/>
        <v/>
      </c>
      <c r="U323" s="331" t="str">
        <f t="shared" si="98"/>
        <v/>
      </c>
    </row>
    <row r="324" spans="1:21" ht="15.95" customHeight="1">
      <c r="A324" s="211">
        <f>IF(COUNTBLANK('RNEW import'!B322)=1,"",'RNEW import'!B322)</f>
        <v>33</v>
      </c>
      <c r="B324" s="211" t="str">
        <f>IF(COUNTBLANK('RNEW import'!D322)=1,"",'RNEW import'!D322)</f>
        <v>Targu Jiu Development SRL</v>
      </c>
      <c r="C324" s="211" t="str">
        <f>IF(COUNTBLANK('RNEW import'!E322)=1,"",'RNEW import'!E322)</f>
        <v>RTJD</v>
      </c>
      <c r="D324" s="211" t="str">
        <f>IF(COUNTBLANK('RNEW import'!K322)=1,"",'RNEW import'!K322)</f>
        <v>Regularizare Energie activa 2</v>
      </c>
      <c r="E324" s="211">
        <f>IF(COUNTBLANK('RNEW import'!L322)=1,"",'RNEW import'!N322)</f>
        <v>0</v>
      </c>
      <c r="F324" s="211">
        <f>IF(COUNTBLANK('RNEW import'!M322)=1,"",'RNEW import'!O322/10000)</f>
        <v>0.97511759999999992</v>
      </c>
      <c r="G324" s="217">
        <f t="shared" si="99"/>
        <v>0</v>
      </c>
      <c r="H324" s="217">
        <f t="shared" si="92"/>
        <v>0</v>
      </c>
      <c r="I324" s="329">
        <f t="shared" si="100"/>
        <v>0</v>
      </c>
      <c r="J324" s="237" t="str">
        <f t="shared" ref="J324:J387" si="102">IF(A324=1,B324,"")</f>
        <v/>
      </c>
      <c r="K324" s="238" t="str">
        <f t="shared" ref="K324:K387" si="103">IF(COUNTBLANK(J324)=1,"",IF(A324=1,SUMIFS(G:G,$C:$C,C324,$A:$A,"=13")+SUMIFS(G:G,$C:$C,C324,$A:$A,"=14")+SUMIFS(G:G,$C:$C,C324,$A:$A,"=17")+SUMIFS(G:G,$C:$C,C324,$A:$A,"=18")+SUMIFS(G:G,$C:$C,C324,$A:$A,"=31")+SUMIFS(G:G,$C:$C,C324,$A:$A,"=32")+SUMIFS(G:G,$C:$C,C324,$A:$A,"=35")+SUMIFS(G:G,$C:$C,C324,$A:$A,"=36"),""))</f>
        <v/>
      </c>
      <c r="L324" s="238" t="str">
        <f t="shared" ref="L324:L387" si="104">IF(COUNTBLANK(J324)=1,"",IF(A324=1,SUMIFS(G:G,$C:$C,C324,$A:$A,"&lt;13")+SUMIFS(G:G,$C:$C,C324,$A:$A,"&gt;18",$A:$A,"&lt;31")))</f>
        <v/>
      </c>
      <c r="M324" s="238" t="str">
        <f t="shared" ref="M324:M387" si="105">IF(COUNTBLANK(J324)=1,"",IF(A324=1,SUMIFS(G:G,$C:$C,C324,$A:$A,"=15")+SUMIFS(G:G,$C:$C,C324,$A:$A,"=16")+SUMIFS(G:G,$C:$C,C324,$A:$A,"=33")+SUMIFS(G:G,$C:$C,C324,$A:$A,"=34"),""))</f>
        <v/>
      </c>
      <c r="N324" s="238" t="str">
        <f t="shared" ref="N324:N387" si="106">IF(COUNTBLANK(J324)=1,"",IF(A324=1,SUMIFS(E:E,$C:$C,C324,$A:$A,"=13")+SUMIFS(E:E,$C:$C,C324,$A:$A,"=17")+SUMIFS(E:E,$C:$C,C324,$A:$A,"=31")+SUMIFS(E:E,$C:$C,C324,$A:$A,"=35"),""))</f>
        <v/>
      </c>
      <c r="O324" s="232" t="str">
        <f t="shared" si="101"/>
        <v/>
      </c>
      <c r="P324" s="219" t="str">
        <f t="shared" si="93"/>
        <v/>
      </c>
      <c r="Q324" s="219" t="str">
        <f t="shared" si="94"/>
        <v/>
      </c>
      <c r="R324" s="219" t="str">
        <f t="shared" si="95"/>
        <v/>
      </c>
      <c r="S324" s="331" t="str">
        <f t="shared" si="96"/>
        <v/>
      </c>
      <c r="T324" s="331" t="str">
        <f t="shared" si="97"/>
        <v/>
      </c>
      <c r="U324" s="331" t="str">
        <f t="shared" si="98"/>
        <v/>
      </c>
    </row>
    <row r="325" spans="1:21" ht="15.95" customHeight="1">
      <c r="A325" s="211">
        <f>IF(COUNTBLANK('RNEW import'!B323)=1,"",'RNEW import'!B323)</f>
        <v>34</v>
      </c>
      <c r="B325" s="211" t="str">
        <f>IF(COUNTBLANK('RNEW import'!D323)=1,"",'RNEW import'!D323)</f>
        <v>Targu Jiu Development SRL</v>
      </c>
      <c r="C325" s="211" t="str">
        <f>IF(COUNTBLANK('RNEW import'!E323)=1,"",'RNEW import'!E323)</f>
        <v>RTJD</v>
      </c>
      <c r="D325" s="211" t="str">
        <f>IF(COUNTBLANK('RNEW import'!K323)=1,"",'RNEW import'!K323)</f>
        <v>Regularizare Energie activa 3</v>
      </c>
      <c r="E325" s="211">
        <f>IF(COUNTBLANK('RNEW import'!L323)=1,"",'RNEW import'!N323)</f>
        <v>0</v>
      </c>
      <c r="F325" s="211">
        <f>IF(COUNTBLANK('RNEW import'!M323)=1,"",'RNEW import'!O323/10000)</f>
        <v>0.85521759999999991</v>
      </c>
      <c r="G325" s="217">
        <f t="shared" si="99"/>
        <v>0</v>
      </c>
      <c r="H325" s="217">
        <f t="shared" ref="H325:H388" si="107">ROUND(G325*19%,2)</f>
        <v>0</v>
      </c>
      <c r="I325" s="329">
        <f t="shared" si="100"/>
        <v>0</v>
      </c>
      <c r="J325" s="237" t="str">
        <f t="shared" si="102"/>
        <v/>
      </c>
      <c r="K325" s="238" t="str">
        <f t="shared" si="103"/>
        <v/>
      </c>
      <c r="L325" s="238" t="str">
        <f t="shared" si="104"/>
        <v/>
      </c>
      <c r="M325" s="238" t="str">
        <f t="shared" si="105"/>
        <v/>
      </c>
      <c r="N325" s="238" t="str">
        <f t="shared" si="106"/>
        <v/>
      </c>
      <c r="O325" s="232" t="str">
        <f t="shared" si="101"/>
        <v/>
      </c>
      <c r="P325" s="219" t="str">
        <f t="shared" ref="P325:P388" si="108">IF(A325=1,"Enegie activa",IF(OR(A325=18),"Energie consumata din PV",IF(OR(A325=2),"Energie reactiva 1x",IF(OR(A325=3),"Energie reactiva 3x",IF(A325=19,"Energie activa regularizare",IF(OR(A325=36),"Energie consumata din PV regularizare",IF(OR(A325=20),"Energie reactiva 1x regularizare",IF(OR(A325=21),"Energie reactiva 3x regularizare",""))))))))</f>
        <v/>
      </c>
      <c r="Q325" s="219" t="str">
        <f t="shared" ref="Q325:Q388" si="109">IF(COUNTBLANK(P325)=0,IF(OR(A325=1,A325=2,A325=3,A325=19,A325=20,A325=21),E325,IF(OR(A325=18,A325=36),E322+E323,"")),"")</f>
        <v/>
      </c>
      <c r="R325" s="219" t="str">
        <f t="shared" ref="R325:R388" si="110">IF(COUNTBLANK(P325)=1,"",IF(OR(A325=2,A325=3,A325=20,A325=21),F325,IF(Q325=0,0,ROUND(S325/Q325,6))))</f>
        <v/>
      </c>
      <c r="S325" s="331" t="str">
        <f t="shared" si="96"/>
        <v/>
      </c>
      <c r="T325" s="331" t="str">
        <f t="shared" si="97"/>
        <v/>
      </c>
      <c r="U325" s="331" t="str">
        <f t="shared" si="98"/>
        <v/>
      </c>
    </row>
    <row r="326" spans="1:21" ht="15.95" customHeight="1">
      <c r="A326" s="211">
        <f>IF(COUNTBLANK('RNEW import'!B324)=1,"",'RNEW import'!B324)</f>
        <v>35</v>
      </c>
      <c r="B326" s="211" t="str">
        <f>IF(COUNTBLANK('RNEW import'!D324)=1,"",'RNEW import'!D324)</f>
        <v>Targu Jiu Development SRL</v>
      </c>
      <c r="C326" s="211" t="str">
        <f>IF(COUNTBLANK('RNEW import'!E324)=1,"",'RNEW import'!E324)</f>
        <v>RTJD</v>
      </c>
      <c r="D326" s="211" t="str">
        <f>IF(COUNTBLANK('RNEW import'!K324)=1,"",'RNEW import'!K324)</f>
        <v>Regularizare Tarif distributie SDI MT Ea3</v>
      </c>
      <c r="E326" s="211">
        <f>IF(COUNTBLANK('RNEW import'!L324)=1,"",'RNEW import'!N324)</f>
        <v>0</v>
      </c>
      <c r="F326" s="211">
        <f>IF(COUNTBLANK('RNEW import'!M324)=1,"",'RNEW import'!O324/10000)</f>
        <v>1.7000000000000001E-2</v>
      </c>
      <c r="G326" s="217">
        <f t="shared" si="99"/>
        <v>0</v>
      </c>
      <c r="H326" s="217">
        <f t="shared" si="107"/>
        <v>0</v>
      </c>
      <c r="I326" s="329">
        <f t="shared" si="100"/>
        <v>0</v>
      </c>
      <c r="J326" s="237" t="str">
        <f t="shared" si="102"/>
        <v/>
      </c>
      <c r="K326" s="238" t="str">
        <f t="shared" si="103"/>
        <v/>
      </c>
      <c r="L326" s="238" t="str">
        <f t="shared" si="104"/>
        <v/>
      </c>
      <c r="M326" s="238" t="str">
        <f t="shared" si="105"/>
        <v/>
      </c>
      <c r="N326" s="238" t="str">
        <f t="shared" si="106"/>
        <v/>
      </c>
      <c r="O326" s="232" t="str">
        <f t="shared" si="101"/>
        <v/>
      </c>
      <c r="P326" s="219" t="str">
        <f t="shared" si="108"/>
        <v/>
      </c>
      <c r="Q326" s="219" t="str">
        <f t="shared" si="109"/>
        <v/>
      </c>
      <c r="R326" s="219" t="str">
        <f t="shared" si="110"/>
        <v/>
      </c>
      <c r="S326" s="331" t="str">
        <f t="shared" si="96"/>
        <v/>
      </c>
      <c r="T326" s="331" t="str">
        <f t="shared" si="97"/>
        <v/>
      </c>
      <c r="U326" s="331" t="str">
        <f t="shared" si="98"/>
        <v/>
      </c>
    </row>
    <row r="327" spans="1:21" ht="15.95" customHeight="1">
      <c r="A327" s="211">
        <f>IF(COUNTBLANK('RNEW import'!B325)=1,"",'RNEW import'!B325)</f>
        <v>36</v>
      </c>
      <c r="B327" s="211" t="str">
        <f>IF(COUNTBLANK('RNEW import'!D325)=1,"",'RNEW import'!D325)</f>
        <v>Targu Jiu Development SRL</v>
      </c>
      <c r="C327" s="211" t="str">
        <f>IF(COUNTBLANK('RNEW import'!E325)=1,"",'RNEW import'!E325)</f>
        <v>RTJD</v>
      </c>
      <c r="D327" s="211" t="str">
        <f>IF(COUNTBLANK('RNEW import'!K325)=1,"",'RNEW import'!K325)</f>
        <v>Regularizare Tarif distributie SDI JT Ea3</v>
      </c>
      <c r="E327" s="211">
        <f>IF(COUNTBLANK('RNEW import'!L325)=1,"",'RNEW import'!N325)</f>
        <v>0</v>
      </c>
      <c r="F327" s="211">
        <f>IF(COUNTBLANK('RNEW import'!M325)=1,"",'RNEW import'!O325/10000)</f>
        <v>0.10290000000000001</v>
      </c>
      <c r="G327" s="217">
        <f t="shared" si="99"/>
        <v>0</v>
      </c>
      <c r="H327" s="217">
        <f t="shared" si="107"/>
        <v>0</v>
      </c>
      <c r="I327" s="329">
        <f t="shared" si="100"/>
        <v>0</v>
      </c>
      <c r="J327" s="237" t="str">
        <f t="shared" si="102"/>
        <v/>
      </c>
      <c r="K327" s="238" t="str">
        <f t="shared" si="103"/>
        <v/>
      </c>
      <c r="L327" s="238" t="str">
        <f t="shared" si="104"/>
        <v/>
      </c>
      <c r="M327" s="238" t="str">
        <f t="shared" si="105"/>
        <v/>
      </c>
      <c r="N327" s="238" t="str">
        <f t="shared" si="106"/>
        <v/>
      </c>
      <c r="O327" s="232" t="str">
        <f t="shared" si="101"/>
        <v/>
      </c>
      <c r="P327" s="219" t="str">
        <f t="shared" si="108"/>
        <v>Energie consumata din PV regularizare</v>
      </c>
      <c r="Q327" s="219">
        <f t="shared" si="109"/>
        <v>0</v>
      </c>
      <c r="R327" s="219">
        <f t="shared" si="110"/>
        <v>0</v>
      </c>
      <c r="S327" s="331">
        <f t="shared" si="96"/>
        <v>0</v>
      </c>
      <c r="T327" s="331">
        <f t="shared" si="97"/>
        <v>0</v>
      </c>
      <c r="U327" s="331">
        <f t="shared" si="98"/>
        <v>0</v>
      </c>
    </row>
    <row r="328" spans="1:21" ht="15.95" customHeight="1">
      <c r="A328" s="211">
        <f>IF(COUNTBLANK('RNEW import'!B326)=1,"",'RNEW import'!B326)</f>
        <v>1</v>
      </c>
      <c r="B328" s="211" t="str">
        <f>IF(COUNTBLANK('RNEW import'!D326)=1,"",'RNEW import'!D326)</f>
        <v>Vulcan Value Centre SRL</v>
      </c>
      <c r="C328" s="211" t="str">
        <f>IF(COUNTBLANK('RNEW import'!E326)=1,"",'RNEW import'!E326)</f>
        <v>RVUL</v>
      </c>
      <c r="D328" s="211" t="str">
        <f>IF(COUNTBLANK('RNEW import'!K326)=1,"",'RNEW import'!K326)</f>
        <v>Energie activa 1</v>
      </c>
      <c r="E328" s="211">
        <f>IF(COUNTBLANK('RNEW import'!L326)=1,"",'RNEW import'!N326)</f>
        <v>189120</v>
      </c>
      <c r="F328" s="211">
        <f>IF(COUNTBLANK('RNEW import'!M326)=1,"",'RNEW import'!O326/10000)</f>
        <v>0.59499999999999997</v>
      </c>
      <c r="G328" s="217">
        <f t="shared" si="99"/>
        <v>112526.39999999999</v>
      </c>
      <c r="H328" s="217">
        <f t="shared" si="107"/>
        <v>21380.02</v>
      </c>
      <c r="I328" s="329">
        <f t="shared" si="100"/>
        <v>133906.41999999998</v>
      </c>
      <c r="J328" s="237" t="str">
        <f t="shared" si="102"/>
        <v>Vulcan Value Centre SRL</v>
      </c>
      <c r="K328" s="238">
        <f t="shared" si="103"/>
        <v>18399.03</v>
      </c>
      <c r="L328" s="238">
        <f t="shared" si="104"/>
        <v>152290.31000000003</v>
      </c>
      <c r="M328" s="238">
        <f t="shared" si="105"/>
        <v>127448.12000000001</v>
      </c>
      <c r="N328" s="238">
        <f t="shared" si="106"/>
        <v>192862</v>
      </c>
      <c r="O328" s="232" t="str">
        <f t="shared" si="101"/>
        <v>Vulcan Value Centre SRL</v>
      </c>
      <c r="P328" s="219" t="str">
        <f t="shared" si="108"/>
        <v>Enegie activa</v>
      </c>
      <c r="Q328" s="219">
        <f t="shared" si="109"/>
        <v>189120</v>
      </c>
      <c r="R328" s="219">
        <f t="shared" si="110"/>
        <v>0.90065799999999996</v>
      </c>
      <c r="S328" s="331">
        <f>IF(COUNTBLANK(P328)=1,"",ROUND(IF(P328=$P$5,G328,IF(P328=$P$6,G328,IF(P328=$P$21,G328+G327+G326+G325,IF(P328=$P$23,G328,IF(P328=$P$24,G328,IF(P328=$P$4,SUMIFS(G:G,$B:$B,J328,A:A,"&lt;15"),IF(P328=$P$22,SUMIFS(G:G,$B:$B,J310,A:A,"&gt;18",A:A,"&lt;33")-S329-S330,IF(P328=$P$39,G328+G327+G326+G325,"eroare")))))))),2))</f>
        <v>170332.36</v>
      </c>
      <c r="T328" s="331">
        <f t="shared" si="97"/>
        <v>32363.15</v>
      </c>
      <c r="U328" s="331">
        <f t="shared" si="98"/>
        <v>202695.51</v>
      </c>
    </row>
    <row r="329" spans="1:21" ht="15.95" customHeight="1">
      <c r="A329" s="211">
        <f>IF(COUNTBLANK('RNEW import'!B327)=1,"",'RNEW import'!B327)</f>
        <v>2</v>
      </c>
      <c r="B329" s="211" t="str">
        <f>IF(COUNTBLANK('RNEW import'!D327)=1,"",'RNEW import'!D327)</f>
        <v>Vulcan Value Centre SRL</v>
      </c>
      <c r="C329" s="211" t="str">
        <f>IF(COUNTBLANK('RNEW import'!E327)=1,"",'RNEW import'!E327)</f>
        <v>RVUL</v>
      </c>
      <c r="D329" s="211" t="str">
        <f>IF(COUNTBLANK('RNEW import'!K327)=1,"",'RNEW import'!K327)</f>
        <v>Energie reactiva  1X</v>
      </c>
      <c r="E329" s="211">
        <f>IF(COUNTBLANK('RNEW import'!L327)=1,"",'RNEW import'!N327)</f>
        <v>0</v>
      </c>
      <c r="F329" s="211">
        <f>IF(COUNTBLANK('RNEW import'!M327)=1,"",'RNEW import'!O327/10000)</f>
        <v>0.14660000000000001</v>
      </c>
      <c r="G329" s="217">
        <f t="shared" si="99"/>
        <v>0</v>
      </c>
      <c r="H329" s="217">
        <f t="shared" si="107"/>
        <v>0</v>
      </c>
      <c r="I329" s="329">
        <f t="shared" si="100"/>
        <v>0</v>
      </c>
      <c r="J329" s="237" t="str">
        <f t="shared" si="102"/>
        <v/>
      </c>
      <c r="K329" s="238" t="str">
        <f t="shared" si="103"/>
        <v/>
      </c>
      <c r="L329" s="238" t="str">
        <f t="shared" si="104"/>
        <v/>
      </c>
      <c r="M329" s="238" t="str">
        <f t="shared" si="105"/>
        <v/>
      </c>
      <c r="N329" s="238" t="str">
        <f t="shared" si="106"/>
        <v/>
      </c>
      <c r="O329" s="232" t="str">
        <f t="shared" si="101"/>
        <v/>
      </c>
      <c r="P329" s="219" t="str">
        <f t="shared" si="108"/>
        <v>Energie reactiva 1x</v>
      </c>
      <c r="Q329" s="219">
        <f t="shared" si="109"/>
        <v>0</v>
      </c>
      <c r="R329" s="219">
        <f t="shared" si="110"/>
        <v>0.14660000000000001</v>
      </c>
      <c r="S329" s="331">
        <f t="shared" si="96"/>
        <v>0</v>
      </c>
      <c r="T329" s="331">
        <f t="shared" si="97"/>
        <v>0</v>
      </c>
      <c r="U329" s="331">
        <f t="shared" si="98"/>
        <v>0</v>
      </c>
    </row>
    <row r="330" spans="1:21" ht="15.95" customHeight="1">
      <c r="A330" s="211">
        <f>IF(COUNTBLANK('RNEW import'!B328)=1,"",'RNEW import'!B328)</f>
        <v>3</v>
      </c>
      <c r="B330" s="211" t="str">
        <f>IF(COUNTBLANK('RNEW import'!D328)=1,"",'RNEW import'!D328)</f>
        <v>Vulcan Value Centre SRL</v>
      </c>
      <c r="C330" s="211" t="str">
        <f>IF(COUNTBLANK('RNEW import'!E328)=1,"",'RNEW import'!E328)</f>
        <v>RVUL</v>
      </c>
      <c r="D330" s="211" t="str">
        <f>IF(COUNTBLANK('RNEW import'!K328)=1,"",'RNEW import'!K328)</f>
        <v>Energie reactiva  3X</v>
      </c>
      <c r="E330" s="211">
        <f>IF(COUNTBLANK('RNEW import'!L328)=1,"",'RNEW import'!N328)</f>
        <v>0</v>
      </c>
      <c r="F330" s="211">
        <f>IF(COUNTBLANK('RNEW import'!M328)=1,"",'RNEW import'!O328/10000)</f>
        <v>0.43980000000000002</v>
      </c>
      <c r="G330" s="217">
        <f t="shared" si="99"/>
        <v>0</v>
      </c>
      <c r="H330" s="217">
        <f t="shared" si="107"/>
        <v>0</v>
      </c>
      <c r="I330" s="329">
        <f t="shared" si="100"/>
        <v>0</v>
      </c>
      <c r="J330" s="237" t="str">
        <f t="shared" si="102"/>
        <v/>
      </c>
      <c r="K330" s="238" t="str">
        <f t="shared" si="103"/>
        <v/>
      </c>
      <c r="L330" s="238" t="str">
        <f t="shared" si="104"/>
        <v/>
      </c>
      <c r="M330" s="238" t="str">
        <f t="shared" si="105"/>
        <v/>
      </c>
      <c r="N330" s="238" t="str">
        <f t="shared" si="106"/>
        <v/>
      </c>
      <c r="O330" s="232" t="str">
        <f t="shared" si="101"/>
        <v/>
      </c>
      <c r="P330" s="219" t="str">
        <f t="shared" si="108"/>
        <v>Energie reactiva 3x</v>
      </c>
      <c r="Q330" s="219">
        <f t="shared" si="109"/>
        <v>0</v>
      </c>
      <c r="R330" s="219">
        <f t="shared" si="110"/>
        <v>0.43980000000000002</v>
      </c>
      <c r="S330" s="331">
        <f t="shared" si="96"/>
        <v>0</v>
      </c>
      <c r="T330" s="331">
        <f t="shared" si="97"/>
        <v>0</v>
      </c>
      <c r="U330" s="331">
        <f t="shared" si="98"/>
        <v>0</v>
      </c>
    </row>
    <row r="331" spans="1:21" ht="15.95" customHeight="1">
      <c r="A331" s="211">
        <f>IF(COUNTBLANK('RNEW import'!B329)=1,"",'RNEW import'!B329)</f>
        <v>4</v>
      </c>
      <c r="B331" s="211" t="str">
        <f>IF(COUNTBLANK('RNEW import'!D329)=1,"",'RNEW import'!D329)</f>
        <v>Vulcan Value Centre SRL</v>
      </c>
      <c r="C331" s="211" t="str">
        <f>IF(COUNTBLANK('RNEW import'!E329)=1,"",'RNEW import'!E329)</f>
        <v>RVUL</v>
      </c>
      <c r="D331" s="211" t="str">
        <f>IF(COUNTBLANK('RNEW import'!K329)=1,"",'RNEW import'!K329)</f>
        <v>Tarife distributie en. El IT+MT</v>
      </c>
      <c r="E331" s="211">
        <f>IF(COUNTBLANK('RNEW import'!L329)=1,"",'RNEW import'!N329)</f>
        <v>189120</v>
      </c>
      <c r="F331" s="211">
        <f>IF(COUNTBLANK('RNEW import'!M329)=1,"",'RNEW import'!O329/10000)</f>
        <v>8.6180000000000007E-2</v>
      </c>
      <c r="G331" s="217">
        <f t="shared" si="99"/>
        <v>16298.36</v>
      </c>
      <c r="H331" s="217">
        <f t="shared" si="107"/>
        <v>3096.69</v>
      </c>
      <c r="I331" s="329">
        <f t="shared" si="100"/>
        <v>19395.05</v>
      </c>
      <c r="J331" s="237" t="str">
        <f t="shared" si="102"/>
        <v/>
      </c>
      <c r="K331" s="238" t="str">
        <f t="shared" si="103"/>
        <v/>
      </c>
      <c r="L331" s="238" t="str">
        <f t="shared" si="104"/>
        <v/>
      </c>
      <c r="M331" s="238" t="str">
        <f t="shared" si="105"/>
        <v/>
      </c>
      <c r="N331" s="238" t="str">
        <f t="shared" si="106"/>
        <v/>
      </c>
      <c r="O331" s="232" t="str">
        <f t="shared" si="101"/>
        <v/>
      </c>
      <c r="P331" s="219" t="str">
        <f t="shared" si="108"/>
        <v/>
      </c>
      <c r="Q331" s="219" t="str">
        <f t="shared" si="109"/>
        <v/>
      </c>
      <c r="R331" s="219" t="str">
        <f t="shared" si="110"/>
        <v/>
      </c>
      <c r="S331" s="331" t="str">
        <f t="shared" si="96"/>
        <v/>
      </c>
      <c r="T331" s="331" t="str">
        <f t="shared" si="97"/>
        <v/>
      </c>
      <c r="U331" s="331" t="str">
        <f t="shared" si="98"/>
        <v/>
      </c>
    </row>
    <row r="332" spans="1:21" ht="15.95" customHeight="1">
      <c r="A332" s="211">
        <f>IF(COUNTBLANK('RNEW import'!B330)=1,"",'RNEW import'!B330)</f>
        <v>5</v>
      </c>
      <c r="B332" s="211" t="str">
        <f>IF(COUNTBLANK('RNEW import'!D330)=1,"",'RNEW import'!D330)</f>
        <v>Vulcan Value Centre SRL</v>
      </c>
      <c r="C332" s="211" t="str">
        <f>IF(COUNTBLANK('RNEW import'!E330)=1,"",'RNEW import'!E330)</f>
        <v>RVUL</v>
      </c>
      <c r="D332" s="211" t="str">
        <f>IF(COUNTBLANK('RNEW import'!K330)=1,"",'RNEW import'!K330)</f>
        <v>Tarife distributie en. El JT</v>
      </c>
      <c r="E332" s="211">
        <f>IF(COUNTBLANK('RNEW import'!L330)=1,"",'RNEW import'!N330)</f>
        <v>0</v>
      </c>
      <c r="F332" s="211">
        <f>IF(COUNTBLANK('RNEW import'!M330)=1,"",'RNEW import'!O330/10000)</f>
        <v>0.2079</v>
      </c>
      <c r="G332" s="217">
        <f t="shared" si="99"/>
        <v>0</v>
      </c>
      <c r="H332" s="217">
        <f t="shared" si="107"/>
        <v>0</v>
      </c>
      <c r="I332" s="329">
        <f t="shared" si="100"/>
        <v>0</v>
      </c>
      <c r="J332" s="237" t="str">
        <f t="shared" si="102"/>
        <v/>
      </c>
      <c r="K332" s="238" t="str">
        <f t="shared" si="103"/>
        <v/>
      </c>
      <c r="L332" s="238" t="str">
        <f t="shared" si="104"/>
        <v/>
      </c>
      <c r="M332" s="238" t="str">
        <f t="shared" si="105"/>
        <v/>
      </c>
      <c r="N332" s="238" t="str">
        <f t="shared" si="106"/>
        <v/>
      </c>
      <c r="O332" s="232" t="str">
        <f t="shared" si="101"/>
        <v/>
      </c>
      <c r="P332" s="219" t="str">
        <f t="shared" si="108"/>
        <v/>
      </c>
      <c r="Q332" s="219" t="str">
        <f t="shared" si="109"/>
        <v/>
      </c>
      <c r="R332" s="219" t="str">
        <f t="shared" si="110"/>
        <v/>
      </c>
      <c r="S332" s="331" t="str">
        <f t="shared" si="96"/>
        <v/>
      </c>
      <c r="T332" s="331" t="str">
        <f t="shared" si="97"/>
        <v/>
      </c>
      <c r="U332" s="331" t="str">
        <f t="shared" si="98"/>
        <v/>
      </c>
    </row>
    <row r="333" spans="1:21" ht="15.95" customHeight="1">
      <c r="A333" s="211">
        <f>IF(COUNTBLANK('RNEW import'!B331)=1,"",'RNEW import'!B331)</f>
        <v>6</v>
      </c>
      <c r="B333" s="211" t="str">
        <f>IF(COUNTBLANK('RNEW import'!D331)=1,"",'RNEW import'!D331)</f>
        <v>Vulcan Value Centre SRL</v>
      </c>
      <c r="C333" s="211" t="str">
        <f>IF(COUNTBLANK('RNEW import'!E331)=1,"",'RNEW import'!E331)</f>
        <v>RVUL</v>
      </c>
      <c r="D333" s="211" t="str">
        <f>IF(COUNTBLANK('RNEW import'!K331)=1,"",'RNEW import'!K331)</f>
        <v xml:space="preserve">Servicii Sistem </v>
      </c>
      <c r="E333" s="211">
        <f>IF(COUNTBLANK('RNEW import'!L331)=1,"",'RNEW import'!N331)</f>
        <v>189120</v>
      </c>
      <c r="F333" s="211">
        <f>IF(COUNTBLANK('RNEW import'!M331)=1,"",'RNEW import'!O331/10000)</f>
        <v>1.1509999999999999E-2</v>
      </c>
      <c r="G333" s="217">
        <f t="shared" si="99"/>
        <v>2176.77</v>
      </c>
      <c r="H333" s="217">
        <f t="shared" si="107"/>
        <v>413.59</v>
      </c>
      <c r="I333" s="329">
        <f t="shared" si="100"/>
        <v>2590.36</v>
      </c>
      <c r="J333" s="237" t="str">
        <f t="shared" si="102"/>
        <v/>
      </c>
      <c r="K333" s="238" t="str">
        <f t="shared" si="103"/>
        <v/>
      </c>
      <c r="L333" s="238" t="str">
        <f t="shared" si="104"/>
        <v/>
      </c>
      <c r="M333" s="238" t="str">
        <f t="shared" si="105"/>
        <v/>
      </c>
      <c r="N333" s="238" t="str">
        <f t="shared" si="106"/>
        <v/>
      </c>
      <c r="O333" s="232" t="str">
        <f t="shared" si="101"/>
        <v/>
      </c>
      <c r="P333" s="219" t="str">
        <f t="shared" si="108"/>
        <v/>
      </c>
      <c r="Q333" s="219" t="str">
        <f t="shared" si="109"/>
        <v/>
      </c>
      <c r="R333" s="219" t="str">
        <f t="shared" si="110"/>
        <v/>
      </c>
      <c r="S333" s="331" t="str">
        <f t="shared" si="96"/>
        <v/>
      </c>
      <c r="T333" s="331" t="str">
        <f t="shared" si="97"/>
        <v/>
      </c>
      <c r="U333" s="331" t="str">
        <f t="shared" si="98"/>
        <v/>
      </c>
    </row>
    <row r="334" spans="1:21" ht="15.95" customHeight="1">
      <c r="A334" s="211">
        <f>IF(COUNTBLANK('RNEW import'!B332)=1,"",'RNEW import'!B332)</f>
        <v>7</v>
      </c>
      <c r="B334" s="211" t="str">
        <f>IF(COUNTBLANK('RNEW import'!D332)=1,"",'RNEW import'!D332)</f>
        <v>Vulcan Value Centre SRL</v>
      </c>
      <c r="C334" s="211" t="str">
        <f>IF(COUNTBLANK('RNEW import'!E332)=1,"",'RNEW import'!E332)</f>
        <v>RVUL</v>
      </c>
      <c r="D334" s="211" t="str">
        <f>IF(COUNTBLANK('RNEW import'!K332)=1,"",'RNEW import'!K332)</f>
        <v>Tarif de introducere en. el in retea (TL)</v>
      </c>
      <c r="E334" s="211">
        <f>IF(COUNTBLANK('RNEW import'!L332)=1,"",'RNEW import'!N332)</f>
        <v>189120</v>
      </c>
      <c r="F334" s="211">
        <f>IF(COUNTBLANK('RNEW import'!M332)=1,"",'RNEW import'!O332/10000)</f>
        <v>3.3030000000000004E-2</v>
      </c>
      <c r="G334" s="217">
        <f t="shared" si="99"/>
        <v>6246.63</v>
      </c>
      <c r="H334" s="217">
        <f t="shared" si="107"/>
        <v>1186.8599999999999</v>
      </c>
      <c r="I334" s="329">
        <f t="shared" si="100"/>
        <v>7433.49</v>
      </c>
      <c r="J334" s="237" t="str">
        <f t="shared" si="102"/>
        <v/>
      </c>
      <c r="K334" s="238" t="str">
        <f t="shared" si="103"/>
        <v/>
      </c>
      <c r="L334" s="238" t="str">
        <f t="shared" si="104"/>
        <v/>
      </c>
      <c r="M334" s="238" t="str">
        <f t="shared" si="105"/>
        <v/>
      </c>
      <c r="N334" s="238" t="str">
        <f t="shared" si="106"/>
        <v/>
      </c>
      <c r="O334" s="232" t="str">
        <f t="shared" si="101"/>
        <v/>
      </c>
      <c r="P334" s="219" t="str">
        <f t="shared" si="108"/>
        <v/>
      </c>
      <c r="Q334" s="219" t="str">
        <f t="shared" si="109"/>
        <v/>
      </c>
      <c r="R334" s="219" t="str">
        <f t="shared" si="110"/>
        <v/>
      </c>
      <c r="S334" s="331" t="str">
        <f t="shared" si="96"/>
        <v/>
      </c>
      <c r="T334" s="331" t="str">
        <f t="shared" si="97"/>
        <v/>
      </c>
      <c r="U334" s="331" t="str">
        <f t="shared" si="98"/>
        <v/>
      </c>
    </row>
    <row r="335" spans="1:21" ht="15.95" customHeight="1">
      <c r="A335" s="211">
        <f>IF(COUNTBLANK('RNEW import'!B333)=1,"",'RNEW import'!B333)</f>
        <v>8</v>
      </c>
      <c r="B335" s="211" t="str">
        <f>IF(COUNTBLANK('RNEW import'!D333)=1,"",'RNEW import'!D333)</f>
        <v>Vulcan Value Centre SRL</v>
      </c>
      <c r="C335" s="211" t="str">
        <f>IF(COUNTBLANK('RNEW import'!E333)=1,"",'RNEW import'!E333)</f>
        <v>RVUL</v>
      </c>
      <c r="D335" s="211" t="str">
        <f>IF(COUNTBLANK('RNEW import'!K333)=1,"",'RNEW import'!K333)</f>
        <v>Tarif de introducere en.el in retea (TG)</v>
      </c>
      <c r="E335" s="211">
        <f>IF(COUNTBLANK('RNEW import'!L333)=1,"",'RNEW import'!N333)</f>
        <v>189120</v>
      </c>
      <c r="F335" s="211">
        <f>IF(COUNTBLANK('RNEW import'!M333)=1,"",'RNEW import'!O333/10000)</f>
        <v>3.29E-3</v>
      </c>
      <c r="G335" s="217">
        <f t="shared" si="99"/>
        <v>622.20000000000005</v>
      </c>
      <c r="H335" s="217">
        <f t="shared" si="107"/>
        <v>118.22</v>
      </c>
      <c r="I335" s="329">
        <f t="shared" si="100"/>
        <v>740.42000000000007</v>
      </c>
      <c r="J335" s="237" t="str">
        <f t="shared" si="102"/>
        <v/>
      </c>
      <c r="K335" s="238" t="str">
        <f t="shared" si="103"/>
        <v/>
      </c>
      <c r="L335" s="238" t="str">
        <f t="shared" si="104"/>
        <v/>
      </c>
      <c r="M335" s="238" t="str">
        <f t="shared" si="105"/>
        <v/>
      </c>
      <c r="N335" s="238" t="str">
        <f t="shared" si="106"/>
        <v/>
      </c>
      <c r="O335" s="232" t="str">
        <f t="shared" si="101"/>
        <v/>
      </c>
      <c r="P335" s="219" t="str">
        <f t="shared" si="108"/>
        <v/>
      </c>
      <c r="Q335" s="219" t="str">
        <f t="shared" si="109"/>
        <v/>
      </c>
      <c r="R335" s="219" t="str">
        <f t="shared" si="110"/>
        <v/>
      </c>
      <c r="S335" s="331" t="str">
        <f t="shared" si="96"/>
        <v/>
      </c>
      <c r="T335" s="331" t="str">
        <f t="shared" si="97"/>
        <v/>
      </c>
      <c r="U335" s="331" t="str">
        <f t="shared" si="98"/>
        <v/>
      </c>
    </row>
    <row r="336" spans="1:21" ht="15.95" customHeight="1">
      <c r="A336" s="211">
        <f>IF(COUNTBLANK('RNEW import'!B334)=1,"",'RNEW import'!B334)</f>
        <v>9</v>
      </c>
      <c r="B336" s="211" t="str">
        <f>IF(COUNTBLANK('RNEW import'!D334)=1,"",'RNEW import'!D334)</f>
        <v>Vulcan Value Centre SRL</v>
      </c>
      <c r="C336" s="211" t="str">
        <f>IF(COUNTBLANK('RNEW import'!E334)=1,"",'RNEW import'!E334)</f>
        <v>RVUL</v>
      </c>
      <c r="D336" s="211" t="str">
        <f>IF(COUNTBLANK('RNEW import'!K334)=1,"",'RNEW import'!K334)</f>
        <v>Contributie pentru cogenerare</v>
      </c>
      <c r="E336" s="211">
        <f>IF(COUNTBLANK('RNEW import'!L334)=1,"",'RNEW import'!N334)</f>
        <v>189120</v>
      </c>
      <c r="F336" s="211">
        <f>IF(COUNTBLANK('RNEW import'!M334)=1,"",'RNEW import'!O334/10000)</f>
        <v>3.5000000000000001E-3</v>
      </c>
      <c r="G336" s="217">
        <f t="shared" si="99"/>
        <v>661.92</v>
      </c>
      <c r="H336" s="217">
        <f t="shared" si="107"/>
        <v>125.76</v>
      </c>
      <c r="I336" s="329">
        <f t="shared" si="100"/>
        <v>787.68</v>
      </c>
      <c r="J336" s="237" t="str">
        <f t="shared" si="102"/>
        <v/>
      </c>
      <c r="K336" s="238" t="str">
        <f t="shared" si="103"/>
        <v/>
      </c>
      <c r="L336" s="238" t="str">
        <f t="shared" si="104"/>
        <v/>
      </c>
      <c r="M336" s="238" t="str">
        <f t="shared" si="105"/>
        <v/>
      </c>
      <c r="N336" s="238" t="str">
        <f t="shared" si="106"/>
        <v/>
      </c>
      <c r="O336" s="232" t="str">
        <f t="shared" si="101"/>
        <v/>
      </c>
      <c r="P336" s="219" t="str">
        <f t="shared" si="108"/>
        <v/>
      </c>
      <c r="Q336" s="219" t="str">
        <f t="shared" si="109"/>
        <v/>
      </c>
      <c r="R336" s="219" t="str">
        <f t="shared" si="110"/>
        <v/>
      </c>
      <c r="S336" s="331" t="str">
        <f t="shared" si="96"/>
        <v/>
      </c>
      <c r="T336" s="331" t="str">
        <f t="shared" si="97"/>
        <v/>
      </c>
      <c r="U336" s="331" t="str">
        <f t="shared" si="98"/>
        <v/>
      </c>
    </row>
    <row r="337" spans="1:21" ht="15.95" customHeight="1">
      <c r="A337" s="211">
        <f>IF(COUNTBLANK('RNEW import'!B335)=1,"",'RNEW import'!B335)</f>
        <v>10</v>
      </c>
      <c r="B337" s="211" t="str">
        <f>IF(COUNTBLANK('RNEW import'!D335)=1,"",'RNEW import'!D335)</f>
        <v>Vulcan Value Centre SRL</v>
      </c>
      <c r="C337" s="211" t="str">
        <f>IF(COUNTBLANK('RNEW import'!E335)=1,"",'RNEW import'!E335)</f>
        <v>RVUL</v>
      </c>
      <c r="D337" s="211" t="str">
        <f>IF(COUNTBLANK('RNEW import'!K335)=1,"",'RNEW import'!K335)</f>
        <v xml:space="preserve">Certificate verzi </v>
      </c>
      <c r="E337" s="211">
        <f>IF(COUNTBLANK('RNEW import'!L335)=1,"",'RNEW import'!N335)</f>
        <v>189120</v>
      </c>
      <c r="F337" s="211">
        <f>IF(COUNTBLANK('RNEW import'!M335)=1,"",'RNEW import'!O335/10000)</f>
        <v>7.2541599999999998E-2</v>
      </c>
      <c r="G337" s="217">
        <f t="shared" si="99"/>
        <v>13719.07</v>
      </c>
      <c r="H337" s="217">
        <f t="shared" si="107"/>
        <v>2606.62</v>
      </c>
      <c r="I337" s="329">
        <f t="shared" si="100"/>
        <v>16325.689999999999</v>
      </c>
      <c r="J337" s="237" t="str">
        <f t="shared" si="102"/>
        <v/>
      </c>
      <c r="K337" s="238" t="str">
        <f t="shared" si="103"/>
        <v/>
      </c>
      <c r="L337" s="238" t="str">
        <f t="shared" si="104"/>
        <v/>
      </c>
      <c r="M337" s="238" t="str">
        <f t="shared" si="105"/>
        <v/>
      </c>
      <c r="N337" s="238" t="str">
        <f t="shared" si="106"/>
        <v/>
      </c>
      <c r="O337" s="232" t="str">
        <f t="shared" si="101"/>
        <v/>
      </c>
      <c r="P337" s="219" t="str">
        <f t="shared" si="108"/>
        <v/>
      </c>
      <c r="Q337" s="219" t="str">
        <f t="shared" si="109"/>
        <v/>
      </c>
      <c r="R337" s="219" t="str">
        <f t="shared" si="110"/>
        <v/>
      </c>
      <c r="S337" s="331" t="str">
        <f t="shared" si="96"/>
        <v/>
      </c>
      <c r="T337" s="331" t="str">
        <f t="shared" si="97"/>
        <v/>
      </c>
      <c r="U337" s="331" t="str">
        <f t="shared" si="98"/>
        <v/>
      </c>
    </row>
    <row r="338" spans="1:21" ht="15.95" customHeight="1">
      <c r="A338" s="211">
        <f>IF(COUNTBLANK('RNEW import'!B336)=1,"",'RNEW import'!B336)</f>
        <v>11</v>
      </c>
      <c r="B338" s="211" t="str">
        <f>IF(COUNTBLANK('RNEW import'!D336)=1,"",'RNEW import'!D336)</f>
        <v>Vulcan Value Centre SRL</v>
      </c>
      <c r="C338" s="211" t="str">
        <f>IF(COUNTBLANK('RNEW import'!E336)=1,"",'RNEW import'!E336)</f>
        <v>RVUL</v>
      </c>
      <c r="D338" s="211" t="str">
        <f>IF(COUNTBLANK('RNEW import'!K336)=1,"",'RNEW import'!K336)</f>
        <v>Contributie CFD</v>
      </c>
      <c r="E338" s="211">
        <f>IF(COUNTBLANK('RNEW import'!L336)=1,"",'RNEW import'!N336)</f>
        <v>189120</v>
      </c>
      <c r="F338" s="211">
        <f>IF(COUNTBLANK('RNEW import'!M336)=1,"",'RNEW import'!O336/10000)</f>
        <v>2.0599999999999999E-4</v>
      </c>
      <c r="G338" s="217">
        <f t="shared" si="99"/>
        <v>38.96</v>
      </c>
      <c r="H338" s="217">
        <f t="shared" si="107"/>
        <v>7.4</v>
      </c>
      <c r="I338" s="329">
        <f t="shared" si="100"/>
        <v>46.36</v>
      </c>
      <c r="J338" s="237" t="str">
        <f t="shared" si="102"/>
        <v/>
      </c>
      <c r="K338" s="238" t="str">
        <f t="shared" si="103"/>
        <v/>
      </c>
      <c r="L338" s="238" t="str">
        <f t="shared" si="104"/>
        <v/>
      </c>
      <c r="M338" s="238" t="str">
        <f t="shared" si="105"/>
        <v/>
      </c>
      <c r="N338" s="238" t="str">
        <f t="shared" si="106"/>
        <v/>
      </c>
      <c r="O338" s="232" t="str">
        <f t="shared" si="101"/>
        <v/>
      </c>
      <c r="P338" s="219" t="str">
        <f t="shared" si="108"/>
        <v/>
      </c>
      <c r="Q338" s="219" t="str">
        <f t="shared" si="109"/>
        <v/>
      </c>
      <c r="R338" s="219" t="str">
        <f t="shared" si="110"/>
        <v/>
      </c>
      <c r="S338" s="331" t="str">
        <f t="shared" si="96"/>
        <v/>
      </c>
      <c r="T338" s="331" t="str">
        <f t="shared" si="97"/>
        <v/>
      </c>
      <c r="U338" s="331" t="str">
        <f t="shared" si="98"/>
        <v/>
      </c>
    </row>
    <row r="339" spans="1:21" ht="15.95" customHeight="1">
      <c r="A339" s="211">
        <f>IF(COUNTBLANK('RNEW import'!B337)=1,"",'RNEW import'!B337)</f>
        <v>12</v>
      </c>
      <c r="B339" s="211" t="str">
        <f>IF(COUNTBLANK('RNEW import'!D337)=1,"",'RNEW import'!D337)</f>
        <v>Vulcan Value Centre SRL</v>
      </c>
      <c r="C339" s="211" t="str">
        <f>IF(COUNTBLANK('RNEW import'!E337)=1,"",'RNEW import'!E337)</f>
        <v>RVUL</v>
      </c>
      <c r="D339" s="211" t="str">
        <f>IF(COUNTBLANK('RNEW import'!K337)=1,"",'RNEW import'!K337)</f>
        <v>Acciza</v>
      </c>
      <c r="E339" s="211">
        <f>IF(COUNTBLANK('RNEW import'!L337)=1,"",'RNEW import'!N337)</f>
        <v>189120</v>
      </c>
      <c r="F339" s="211">
        <f>IF(COUNTBLANK('RNEW import'!M337)=1,"",'RNEW import'!O337/10000)</f>
        <v>0</v>
      </c>
      <c r="G339" s="217">
        <f t="shared" si="99"/>
        <v>0</v>
      </c>
      <c r="H339" s="217">
        <f t="shared" si="107"/>
        <v>0</v>
      </c>
      <c r="I339" s="329">
        <f t="shared" si="100"/>
        <v>0</v>
      </c>
      <c r="J339" s="237" t="str">
        <f t="shared" si="102"/>
        <v/>
      </c>
      <c r="K339" s="238" t="str">
        <f t="shared" si="103"/>
        <v/>
      </c>
      <c r="L339" s="238" t="str">
        <f t="shared" si="104"/>
        <v/>
      </c>
      <c r="M339" s="238" t="str">
        <f t="shared" si="105"/>
        <v/>
      </c>
      <c r="N339" s="238" t="str">
        <f t="shared" si="106"/>
        <v/>
      </c>
      <c r="O339" s="232" t="str">
        <f t="shared" si="101"/>
        <v/>
      </c>
      <c r="P339" s="219" t="str">
        <f t="shared" si="108"/>
        <v/>
      </c>
      <c r="Q339" s="219" t="str">
        <f t="shared" si="109"/>
        <v/>
      </c>
      <c r="R339" s="219" t="str">
        <f t="shared" si="110"/>
        <v/>
      </c>
      <c r="S339" s="331" t="str">
        <f t="shared" si="96"/>
        <v/>
      </c>
      <c r="T339" s="331" t="str">
        <f t="shared" si="97"/>
        <v/>
      </c>
      <c r="U339" s="331" t="str">
        <f t="shared" si="98"/>
        <v/>
      </c>
    </row>
    <row r="340" spans="1:21" ht="15.95" customHeight="1">
      <c r="A340" s="211">
        <f>IF(COUNTBLANK('RNEW import'!B338)=1,"",'RNEW import'!B338)</f>
        <v>13</v>
      </c>
      <c r="B340" s="211" t="str">
        <f>IF(COUNTBLANK('RNEW import'!D338)=1,"",'RNEW import'!D338)</f>
        <v>Vulcan Value Centre SRL</v>
      </c>
      <c r="C340" s="211" t="str">
        <f>IF(COUNTBLANK('RNEW import'!E338)=1,"",'RNEW import'!E338)</f>
        <v>RVUL</v>
      </c>
      <c r="D340" s="211" t="str">
        <f>IF(COUNTBLANK('RNEW import'!K338)=1,"",'RNEW import'!K338)</f>
        <v>Tarif distributie SDI MT</v>
      </c>
      <c r="E340" s="211">
        <f>IF(COUNTBLANK('RNEW import'!L338)=1,"",'RNEW import'!N338)</f>
        <v>189120</v>
      </c>
      <c r="F340" s="211">
        <f>IF(COUNTBLANK('RNEW import'!M338)=1,"",'RNEW import'!O338/10000)</f>
        <v>1.1300000000000001E-2</v>
      </c>
      <c r="G340" s="217">
        <f t="shared" si="99"/>
        <v>2137.06</v>
      </c>
      <c r="H340" s="217">
        <f t="shared" si="107"/>
        <v>406.04</v>
      </c>
      <c r="I340" s="329">
        <f t="shared" si="100"/>
        <v>2543.1</v>
      </c>
      <c r="J340" s="237" t="str">
        <f t="shared" si="102"/>
        <v/>
      </c>
      <c r="K340" s="238" t="str">
        <f t="shared" si="103"/>
        <v/>
      </c>
      <c r="L340" s="238" t="str">
        <f t="shared" si="104"/>
        <v/>
      </c>
      <c r="M340" s="238" t="str">
        <f t="shared" si="105"/>
        <v/>
      </c>
      <c r="N340" s="238" t="str">
        <f t="shared" si="106"/>
        <v/>
      </c>
      <c r="O340" s="232" t="str">
        <f t="shared" si="101"/>
        <v/>
      </c>
      <c r="P340" s="219" t="str">
        <f t="shared" si="108"/>
        <v/>
      </c>
      <c r="Q340" s="219" t="str">
        <f t="shared" si="109"/>
        <v/>
      </c>
      <c r="R340" s="219" t="str">
        <f t="shared" si="110"/>
        <v/>
      </c>
      <c r="S340" s="331" t="str">
        <f t="shared" si="96"/>
        <v/>
      </c>
      <c r="T340" s="331" t="str">
        <f t="shared" si="97"/>
        <v/>
      </c>
      <c r="U340" s="331" t="str">
        <f t="shared" si="98"/>
        <v/>
      </c>
    </row>
    <row r="341" spans="1:21" ht="15.95" customHeight="1">
      <c r="A341" s="211">
        <f>IF(COUNTBLANK('RNEW import'!B339)=1,"",'RNEW import'!B339)</f>
        <v>14</v>
      </c>
      <c r="B341" s="211" t="str">
        <f>IF(COUNTBLANK('RNEW import'!D339)=1,"",'RNEW import'!D339)</f>
        <v>Vulcan Value Centre SRL</v>
      </c>
      <c r="C341" s="211" t="str">
        <f>IF(COUNTBLANK('RNEW import'!E339)=1,"",'RNEW import'!E339)</f>
        <v>RVUL</v>
      </c>
      <c r="D341" s="211" t="str">
        <f>IF(COUNTBLANK('RNEW import'!K339)=1,"",'RNEW import'!K339)</f>
        <v>Tarif distributie SDI JT</v>
      </c>
      <c r="E341" s="211">
        <f>IF(COUNTBLANK('RNEW import'!L339)=1,"",'RNEW import'!N339)</f>
        <v>189120</v>
      </c>
      <c r="F341" s="211">
        <f>IF(COUNTBLANK('RNEW import'!M339)=1,"",'RNEW import'!O339/10000)</f>
        <v>8.4099999999999994E-2</v>
      </c>
      <c r="G341" s="217">
        <f t="shared" si="99"/>
        <v>15904.99</v>
      </c>
      <c r="H341" s="217">
        <f t="shared" si="107"/>
        <v>3021.95</v>
      </c>
      <c r="I341" s="329">
        <f t="shared" si="100"/>
        <v>18926.939999999999</v>
      </c>
      <c r="J341" s="237" t="str">
        <f t="shared" si="102"/>
        <v/>
      </c>
      <c r="K341" s="238" t="str">
        <f t="shared" si="103"/>
        <v/>
      </c>
      <c r="L341" s="238" t="str">
        <f t="shared" si="104"/>
        <v/>
      </c>
      <c r="M341" s="238" t="str">
        <f t="shared" si="105"/>
        <v/>
      </c>
      <c r="N341" s="238" t="str">
        <f t="shared" si="106"/>
        <v/>
      </c>
      <c r="O341" s="232" t="str">
        <f t="shared" si="101"/>
        <v/>
      </c>
      <c r="P341" s="219" t="str">
        <f t="shared" si="108"/>
        <v/>
      </c>
      <c r="Q341" s="219" t="str">
        <f t="shared" si="109"/>
        <v/>
      </c>
      <c r="R341" s="219" t="str">
        <f t="shared" si="110"/>
        <v/>
      </c>
      <c r="S341" s="331" t="str">
        <f t="shared" si="96"/>
        <v/>
      </c>
      <c r="T341" s="331" t="str">
        <f t="shared" si="97"/>
        <v/>
      </c>
      <c r="U341" s="331" t="str">
        <f t="shared" si="98"/>
        <v/>
      </c>
    </row>
    <row r="342" spans="1:21" ht="15.95" customHeight="1">
      <c r="A342" s="211">
        <f>IF(COUNTBLANK('RNEW import'!B340)=1,"",'RNEW import'!B340)</f>
        <v>15</v>
      </c>
      <c r="B342" s="211" t="str">
        <f>IF(COUNTBLANK('RNEW import'!D340)=1,"",'RNEW import'!D340)</f>
        <v>Vulcan Value Centre SRL</v>
      </c>
      <c r="C342" s="211" t="str">
        <f>IF(COUNTBLANK('RNEW import'!E340)=1,"",'RNEW import'!E340)</f>
        <v>RVUL</v>
      </c>
      <c r="D342" s="211" t="str">
        <f>IF(COUNTBLANK('RNEW import'!K340)=1,"",'RNEW import'!K340)</f>
        <v>Energie activa 2</v>
      </c>
      <c r="E342" s="211">
        <f>IF(COUNTBLANK('RNEW import'!L340)=1,"",'RNEW import'!N340)</f>
        <v>138160</v>
      </c>
      <c r="F342" s="211">
        <f>IF(COUNTBLANK('RNEW import'!M340)=1,"",'RNEW import'!O340/10000)</f>
        <v>0.90065760000000006</v>
      </c>
      <c r="G342" s="217">
        <f t="shared" si="99"/>
        <v>124434.85</v>
      </c>
      <c r="H342" s="217">
        <f t="shared" si="107"/>
        <v>23642.62</v>
      </c>
      <c r="I342" s="329">
        <f t="shared" si="100"/>
        <v>148077.47</v>
      </c>
      <c r="J342" s="237" t="str">
        <f t="shared" si="102"/>
        <v/>
      </c>
      <c r="K342" s="238" t="str">
        <f t="shared" si="103"/>
        <v/>
      </c>
      <c r="L342" s="238" t="str">
        <f t="shared" si="104"/>
        <v/>
      </c>
      <c r="M342" s="238" t="str">
        <f t="shared" si="105"/>
        <v/>
      </c>
      <c r="N342" s="238" t="str">
        <f t="shared" si="106"/>
        <v/>
      </c>
      <c r="O342" s="232" t="str">
        <f t="shared" si="101"/>
        <v/>
      </c>
      <c r="P342" s="219" t="str">
        <f t="shared" si="108"/>
        <v/>
      </c>
      <c r="Q342" s="219" t="str">
        <f t="shared" si="109"/>
        <v/>
      </c>
      <c r="R342" s="219" t="str">
        <f t="shared" si="110"/>
        <v/>
      </c>
      <c r="S342" s="331" t="str">
        <f t="shared" ref="S342:S405" si="111">IF(COUNTBLANK(P342)=1,"",ROUND(IF(P342=$P$5,G342,IF(P342=$P$6,G342,IF(P342=$P$21,G342+G341+G340+G339,IF(P342=$P$23,G342,IF(P342=$P$24,G342,IF(P342=$P$4,SUMIFS(G:G,$B:$B,J342,A:A,"&lt;15"),IF(P342=$P$22,SUMIFS(G:G,$B:$B,J324,A:A,"&gt;18",A:A,"&lt;33")-S343-S344,IF(P342=$P$39,G342+G341+G340+G339,"eroare")))))))),2))</f>
        <v/>
      </c>
      <c r="T342" s="331" t="str">
        <f t="shared" ref="T342:T405" si="112">IF(COUNTBLANK(P342)=1,"",ROUND(IF(P342=$P$5,H342,IF(P342=$P$6,H342,IF(P342=$P$21,H342+H341+H340+H339,IF(P342=$P$23,H342,IF(P342=$P$24,H342,IF(P342=$P$4,SUMIFS(H:H,$B:$B,J342,A:A,"&lt;15"),IF(P342=$P$22,SUMIFS(H:H,$B:$B,J324,A:A,"&gt;18",A:A,"&lt;33")-T343-T344,IF(P342=$P$39,H342+H341+H340+H339,"eroare")))))))),2))</f>
        <v/>
      </c>
      <c r="U342" s="331" t="str">
        <f t="shared" ref="U342:U405" si="113">IF(COUNTBLANK(P342)=1,"",ROUND(IF(P342=$P$5,I342,IF(P342=$P$6,I342,IF(P342=$P$21,I342+I341+I340+I339,IF(P342=$P$23,I342,IF(P342=$P$24,I342,IF(P342=$P$4,SUMIFS(I:I,$B:$B,J342,A:A,"&lt;15"),IF(P342=$P$22,SUMIFS(I:I,$B:$B,J324,A:A,"&gt;18",A:A,"&lt;33")-U343-U344,IF(P342=$P$39,I342+I341+I340+I339,"eroare")))))))),2))</f>
        <v/>
      </c>
    </row>
    <row r="343" spans="1:21" ht="15.95" customHeight="1">
      <c r="A343" s="211">
        <f>IF(COUNTBLANK('RNEW import'!B341)=1,"",'RNEW import'!B341)</f>
        <v>16</v>
      </c>
      <c r="B343" s="211" t="str">
        <f>IF(COUNTBLANK('RNEW import'!D341)=1,"",'RNEW import'!D341)</f>
        <v>Vulcan Value Centre SRL</v>
      </c>
      <c r="C343" s="211" t="str">
        <f>IF(COUNTBLANK('RNEW import'!E341)=1,"",'RNEW import'!E341)</f>
        <v>RVUL</v>
      </c>
      <c r="D343" s="211" t="str">
        <f>IF(COUNTBLANK('RNEW import'!K341)=1,"",'RNEW import'!K341)</f>
        <v>Energie activa 3</v>
      </c>
      <c r="E343" s="211">
        <f>IF(COUNTBLANK('RNEW import'!L341)=1,"",'RNEW import'!N341)</f>
        <v>3742</v>
      </c>
      <c r="F343" s="211">
        <f>IF(COUNTBLANK('RNEW import'!M341)=1,"",'RNEW import'!O341/10000)</f>
        <v>0.80525760000000002</v>
      </c>
      <c r="G343" s="217">
        <f t="shared" si="99"/>
        <v>3013.27</v>
      </c>
      <c r="H343" s="217">
        <f t="shared" si="107"/>
        <v>572.52</v>
      </c>
      <c r="I343" s="329">
        <f t="shared" si="100"/>
        <v>3585.79</v>
      </c>
      <c r="J343" s="237" t="str">
        <f t="shared" si="102"/>
        <v/>
      </c>
      <c r="K343" s="238" t="str">
        <f t="shared" si="103"/>
        <v/>
      </c>
      <c r="L343" s="238" t="str">
        <f t="shared" si="104"/>
        <v/>
      </c>
      <c r="M343" s="238" t="str">
        <f t="shared" si="105"/>
        <v/>
      </c>
      <c r="N343" s="238" t="str">
        <f t="shared" si="106"/>
        <v/>
      </c>
      <c r="O343" s="233" t="str">
        <f t="shared" si="101"/>
        <v/>
      </c>
      <c r="P343" s="219" t="str">
        <f t="shared" si="108"/>
        <v/>
      </c>
      <c r="Q343" s="219" t="str">
        <f t="shared" si="109"/>
        <v/>
      </c>
      <c r="R343" s="219" t="str">
        <f t="shared" si="110"/>
        <v/>
      </c>
      <c r="S343" s="331" t="str">
        <f t="shared" si="111"/>
        <v/>
      </c>
      <c r="T343" s="331" t="str">
        <f t="shared" si="112"/>
        <v/>
      </c>
      <c r="U343" s="331" t="str">
        <f t="shared" si="113"/>
        <v/>
      </c>
    </row>
    <row r="344" spans="1:21" ht="15.95" customHeight="1">
      <c r="A344" s="211">
        <f>IF(COUNTBLANK('RNEW import'!B342)=1,"",'RNEW import'!B342)</f>
        <v>17</v>
      </c>
      <c r="B344" s="211" t="str">
        <f>IF(COUNTBLANK('RNEW import'!D342)=1,"",'RNEW import'!D342)</f>
        <v>Vulcan Value Centre SRL</v>
      </c>
      <c r="C344" s="211" t="str">
        <f>IF(COUNTBLANK('RNEW import'!E342)=1,"",'RNEW import'!E342)</f>
        <v>RVUL</v>
      </c>
      <c r="D344" s="211" t="str">
        <f>IF(COUNTBLANK('RNEW import'!K342)=1,"",'RNEW import'!K342)</f>
        <v>Tarif distributie SDI MT_</v>
      </c>
      <c r="E344" s="211">
        <f>IF(COUNTBLANK('RNEW import'!L342)=1,"",'RNEW import'!N342)</f>
        <v>3742</v>
      </c>
      <c r="F344" s="211">
        <f>IF(COUNTBLANK('RNEW import'!M342)=1,"",'RNEW import'!O342/10000)</f>
        <v>1.1300000000000001E-2</v>
      </c>
      <c r="G344" s="217">
        <f t="shared" si="99"/>
        <v>42.28</v>
      </c>
      <c r="H344" s="217">
        <f t="shared" si="107"/>
        <v>8.0299999999999994</v>
      </c>
      <c r="I344" s="329">
        <f t="shared" si="100"/>
        <v>50.31</v>
      </c>
      <c r="J344" s="237" t="str">
        <f t="shared" si="102"/>
        <v/>
      </c>
      <c r="K344" s="238" t="str">
        <f t="shared" si="103"/>
        <v/>
      </c>
      <c r="L344" s="238" t="str">
        <f t="shared" si="104"/>
        <v/>
      </c>
      <c r="M344" s="238" t="str">
        <f t="shared" si="105"/>
        <v/>
      </c>
      <c r="N344" s="238" t="str">
        <f t="shared" si="106"/>
        <v/>
      </c>
      <c r="O344" s="218" t="str">
        <f t="shared" si="101"/>
        <v/>
      </c>
      <c r="P344" s="219" t="str">
        <f t="shared" si="108"/>
        <v/>
      </c>
      <c r="Q344" s="219" t="str">
        <f t="shared" si="109"/>
        <v/>
      </c>
      <c r="R344" s="219" t="str">
        <f t="shared" si="110"/>
        <v/>
      </c>
      <c r="S344" s="331" t="str">
        <f t="shared" si="111"/>
        <v/>
      </c>
      <c r="T344" s="331" t="str">
        <f t="shared" si="112"/>
        <v/>
      </c>
      <c r="U344" s="331" t="str">
        <f t="shared" si="113"/>
        <v/>
      </c>
    </row>
    <row r="345" spans="1:21" ht="15.95" customHeight="1">
      <c r="A345" s="211">
        <f>IF(COUNTBLANK('RNEW import'!B343)=1,"",'RNEW import'!B343)</f>
        <v>18</v>
      </c>
      <c r="B345" s="211" t="str">
        <f>IF(COUNTBLANK('RNEW import'!D343)=1,"",'RNEW import'!D343)</f>
        <v>Vulcan Value Centre SRL</v>
      </c>
      <c r="C345" s="211" t="str">
        <f>IF(COUNTBLANK('RNEW import'!E343)=1,"",'RNEW import'!E343)</f>
        <v>RVUL</v>
      </c>
      <c r="D345" s="211" t="str">
        <f>IF(COUNTBLANK('RNEW import'!K343)=1,"",'RNEW import'!K343)</f>
        <v>Tarif distributie SDI JT_</v>
      </c>
      <c r="E345" s="211">
        <f>IF(COUNTBLANK('RNEW import'!L343)=1,"",'RNEW import'!N343)</f>
        <v>3742</v>
      </c>
      <c r="F345" s="211">
        <f>IF(COUNTBLANK('RNEW import'!M343)=1,"",'RNEW import'!O343/10000)</f>
        <v>8.4099999999999994E-2</v>
      </c>
      <c r="G345" s="217">
        <f t="shared" si="99"/>
        <v>314.7</v>
      </c>
      <c r="H345" s="217">
        <f t="shared" si="107"/>
        <v>59.79</v>
      </c>
      <c r="I345" s="329">
        <f t="shared" si="100"/>
        <v>374.49</v>
      </c>
      <c r="J345" s="237" t="str">
        <f t="shared" si="102"/>
        <v/>
      </c>
      <c r="K345" s="238" t="str">
        <f t="shared" si="103"/>
        <v/>
      </c>
      <c r="L345" s="238" t="str">
        <f t="shared" si="104"/>
        <v/>
      </c>
      <c r="M345" s="238" t="str">
        <f t="shared" si="105"/>
        <v/>
      </c>
      <c r="N345" s="238" t="str">
        <f t="shared" si="106"/>
        <v/>
      </c>
      <c r="O345" s="232" t="str">
        <f t="shared" si="101"/>
        <v/>
      </c>
      <c r="P345" s="219" t="str">
        <f t="shared" si="108"/>
        <v>Energie consumata din PV</v>
      </c>
      <c r="Q345" s="219">
        <f t="shared" si="109"/>
        <v>141902</v>
      </c>
      <c r="R345" s="219">
        <f t="shared" si="110"/>
        <v>0.90065700000000004</v>
      </c>
      <c r="S345" s="331">
        <f>IF(COUNTBLANK(P345)=1,"",ROUND(IF(P345=$P$5,G345,IF(P345=$P$6,G345,IF(P345=$P$21,G345+G344+G343+G342,IF(P345=$P$23,G345,IF(P345=$P$24,G345,IF(P345=$P$4,SUMIFS(G:G,$B:$B,J345,A:A,"&lt;15"),IF(P345=$P$22,SUMIFS(G:G,$B:$B,J327,A:A,"&gt;18",A:A,"&lt;33")-S346-S347,IF(P345=$P$39,G345+G344+G343+G342,"eroare")))))))),2))</f>
        <v>127805.1</v>
      </c>
      <c r="T345" s="331">
        <f t="shared" si="112"/>
        <v>24282.959999999999</v>
      </c>
      <c r="U345" s="331">
        <f t="shared" si="113"/>
        <v>152088.06</v>
      </c>
    </row>
    <row r="346" spans="1:21" ht="15.95" customHeight="1">
      <c r="A346" s="211">
        <f>IF(COUNTBLANK('RNEW import'!B344)=1,"",'RNEW import'!B344)</f>
        <v>19</v>
      </c>
      <c r="B346" s="211" t="str">
        <f>IF(COUNTBLANK('RNEW import'!D344)=1,"",'RNEW import'!D344)</f>
        <v>Vulcan Value Centre SRL</v>
      </c>
      <c r="C346" s="211" t="str">
        <f>IF(COUNTBLANK('RNEW import'!E344)=1,"",'RNEW import'!E344)</f>
        <v>RVUL</v>
      </c>
      <c r="D346" s="211" t="str">
        <f>IF(COUNTBLANK('RNEW import'!K344)=1,"",'RNEW import'!K344)</f>
        <v>Regularizare Energie activa 1</v>
      </c>
      <c r="E346" s="211">
        <f>IF(COUNTBLANK('RNEW import'!L344)=1,"",'RNEW import'!N344)</f>
        <v>0</v>
      </c>
      <c r="F346" s="211">
        <f>IF(COUNTBLANK('RNEW import'!M344)=1,"",'RNEW import'!O344/10000)</f>
        <v>0.59499999999999997</v>
      </c>
      <c r="G346" s="217">
        <f t="shared" si="99"/>
        <v>0</v>
      </c>
      <c r="H346" s="217">
        <f t="shared" si="107"/>
        <v>0</v>
      </c>
      <c r="I346" s="329">
        <f t="shared" si="100"/>
        <v>0</v>
      </c>
      <c r="J346" s="237" t="str">
        <f t="shared" si="102"/>
        <v/>
      </c>
      <c r="K346" s="238" t="str">
        <f t="shared" si="103"/>
        <v/>
      </c>
      <c r="L346" s="238" t="str">
        <f t="shared" si="104"/>
        <v/>
      </c>
      <c r="M346" s="238" t="str">
        <f t="shared" si="105"/>
        <v/>
      </c>
      <c r="N346" s="238" t="str">
        <f t="shared" si="106"/>
        <v/>
      </c>
      <c r="O346" s="232" t="str">
        <f t="shared" si="101"/>
        <v/>
      </c>
      <c r="P346" s="219" t="str">
        <f t="shared" si="108"/>
        <v>Energie activa regularizare</v>
      </c>
      <c r="Q346" s="219">
        <f t="shared" si="109"/>
        <v>0</v>
      </c>
      <c r="R346" s="219">
        <f t="shared" si="110"/>
        <v>0</v>
      </c>
      <c r="S346" s="331">
        <f t="shared" si="111"/>
        <v>0</v>
      </c>
      <c r="T346" s="331">
        <f t="shared" si="112"/>
        <v>0</v>
      </c>
      <c r="U346" s="331">
        <f t="shared" si="113"/>
        <v>0</v>
      </c>
    </row>
    <row r="347" spans="1:21" ht="15.95" customHeight="1">
      <c r="A347" s="211">
        <f>IF(COUNTBLANK('RNEW import'!B345)=1,"",'RNEW import'!B345)</f>
        <v>20</v>
      </c>
      <c r="B347" s="211" t="str">
        <f>IF(COUNTBLANK('RNEW import'!D345)=1,"",'RNEW import'!D345)</f>
        <v>Vulcan Value Centre SRL</v>
      </c>
      <c r="C347" s="211" t="str">
        <f>IF(COUNTBLANK('RNEW import'!E345)=1,"",'RNEW import'!E345)</f>
        <v>RVUL</v>
      </c>
      <c r="D347" s="211" t="str">
        <f>IF(COUNTBLANK('RNEW import'!K345)=1,"",'RNEW import'!K345)</f>
        <v>Regularizare Energie reactiva  1X</v>
      </c>
      <c r="E347" s="211">
        <f>IF(COUNTBLANK('RNEW import'!L345)=1,"",'RNEW import'!N345)</f>
        <v>0</v>
      </c>
      <c r="F347" s="211">
        <f>IF(COUNTBLANK('RNEW import'!M345)=1,"",'RNEW import'!O345/10000)</f>
        <v>0.14660000000000001</v>
      </c>
      <c r="G347" s="217">
        <f t="shared" si="99"/>
        <v>0</v>
      </c>
      <c r="H347" s="217">
        <f t="shared" si="107"/>
        <v>0</v>
      </c>
      <c r="I347" s="329">
        <f t="shared" si="100"/>
        <v>0</v>
      </c>
      <c r="J347" s="237" t="str">
        <f t="shared" si="102"/>
        <v/>
      </c>
      <c r="K347" s="238" t="str">
        <f t="shared" si="103"/>
        <v/>
      </c>
      <c r="L347" s="238" t="str">
        <f t="shared" si="104"/>
        <v/>
      </c>
      <c r="M347" s="238" t="str">
        <f t="shared" si="105"/>
        <v/>
      </c>
      <c r="N347" s="238" t="str">
        <f t="shared" si="106"/>
        <v/>
      </c>
      <c r="O347" s="232" t="str">
        <f t="shared" si="101"/>
        <v/>
      </c>
      <c r="P347" s="219" t="str">
        <f t="shared" si="108"/>
        <v>Energie reactiva 1x regularizare</v>
      </c>
      <c r="Q347" s="219">
        <f t="shared" si="109"/>
        <v>0</v>
      </c>
      <c r="R347" s="219">
        <f t="shared" si="110"/>
        <v>0.14660000000000001</v>
      </c>
      <c r="S347" s="331">
        <f t="shared" si="111"/>
        <v>0</v>
      </c>
      <c r="T347" s="331">
        <f t="shared" si="112"/>
        <v>0</v>
      </c>
      <c r="U347" s="331">
        <f t="shared" si="113"/>
        <v>0</v>
      </c>
    </row>
    <row r="348" spans="1:21" ht="15.95" customHeight="1">
      <c r="A348" s="211">
        <f>IF(COUNTBLANK('RNEW import'!B346)=1,"",'RNEW import'!B346)</f>
        <v>21</v>
      </c>
      <c r="B348" s="211" t="str">
        <f>IF(COUNTBLANK('RNEW import'!D346)=1,"",'RNEW import'!D346)</f>
        <v>Vulcan Value Centre SRL</v>
      </c>
      <c r="C348" s="211" t="str">
        <f>IF(COUNTBLANK('RNEW import'!E346)=1,"",'RNEW import'!E346)</f>
        <v>RVUL</v>
      </c>
      <c r="D348" s="211" t="str">
        <f>IF(COUNTBLANK('RNEW import'!K346)=1,"",'RNEW import'!K346)</f>
        <v>Regularizare Energie reactiva  3X</v>
      </c>
      <c r="E348" s="211">
        <f>IF(COUNTBLANK('RNEW import'!L346)=1,"",'RNEW import'!N346)</f>
        <v>0</v>
      </c>
      <c r="F348" s="211">
        <f>IF(COUNTBLANK('RNEW import'!M346)=1,"",'RNEW import'!O346/10000)</f>
        <v>0.43980000000000002</v>
      </c>
      <c r="G348" s="217">
        <f t="shared" si="99"/>
        <v>0</v>
      </c>
      <c r="H348" s="217">
        <f t="shared" si="107"/>
        <v>0</v>
      </c>
      <c r="I348" s="329">
        <f t="shared" si="100"/>
        <v>0</v>
      </c>
      <c r="J348" s="237" t="str">
        <f t="shared" si="102"/>
        <v/>
      </c>
      <c r="K348" s="238" t="str">
        <f t="shared" si="103"/>
        <v/>
      </c>
      <c r="L348" s="238" t="str">
        <f t="shared" si="104"/>
        <v/>
      </c>
      <c r="M348" s="238" t="str">
        <f t="shared" si="105"/>
        <v/>
      </c>
      <c r="N348" s="238" t="str">
        <f t="shared" si="106"/>
        <v/>
      </c>
      <c r="O348" s="232" t="str">
        <f t="shared" si="101"/>
        <v/>
      </c>
      <c r="P348" s="219" t="str">
        <f t="shared" si="108"/>
        <v>Energie reactiva 3x regularizare</v>
      </c>
      <c r="Q348" s="219">
        <f t="shared" si="109"/>
        <v>0</v>
      </c>
      <c r="R348" s="219">
        <f t="shared" si="110"/>
        <v>0.43980000000000002</v>
      </c>
      <c r="S348" s="331">
        <f t="shared" si="111"/>
        <v>0</v>
      </c>
      <c r="T348" s="331">
        <f t="shared" si="112"/>
        <v>0</v>
      </c>
      <c r="U348" s="331">
        <f t="shared" si="113"/>
        <v>0</v>
      </c>
    </row>
    <row r="349" spans="1:21" ht="15.95" customHeight="1">
      <c r="A349" s="211">
        <f>IF(COUNTBLANK('RNEW import'!B347)=1,"",'RNEW import'!B347)</f>
        <v>22</v>
      </c>
      <c r="B349" s="211" t="str">
        <f>IF(COUNTBLANK('RNEW import'!D347)=1,"",'RNEW import'!D347)</f>
        <v>Vulcan Value Centre SRL</v>
      </c>
      <c r="C349" s="211" t="str">
        <f>IF(COUNTBLANK('RNEW import'!E347)=1,"",'RNEW import'!E347)</f>
        <v>RVUL</v>
      </c>
      <c r="D349" s="211" t="str">
        <f>IF(COUNTBLANK('RNEW import'!K347)=1,"",'RNEW import'!K347)</f>
        <v>Regularizare Tarife distributie en. El IT+MT</v>
      </c>
      <c r="E349" s="211">
        <f>IF(COUNTBLANK('RNEW import'!L347)=1,"",'RNEW import'!N347)</f>
        <v>0</v>
      </c>
      <c r="F349" s="211">
        <f>IF(COUNTBLANK('RNEW import'!M347)=1,"",'RNEW import'!O347/10000)</f>
        <v>8.6180000000000007E-2</v>
      </c>
      <c r="G349" s="217">
        <f t="shared" si="99"/>
        <v>0</v>
      </c>
      <c r="H349" s="217">
        <f t="shared" si="107"/>
        <v>0</v>
      </c>
      <c r="I349" s="329">
        <f t="shared" si="100"/>
        <v>0</v>
      </c>
      <c r="J349" s="237" t="str">
        <f t="shared" si="102"/>
        <v/>
      </c>
      <c r="K349" s="238" t="str">
        <f t="shared" si="103"/>
        <v/>
      </c>
      <c r="L349" s="238" t="str">
        <f t="shared" si="104"/>
        <v/>
      </c>
      <c r="M349" s="238" t="str">
        <f t="shared" si="105"/>
        <v/>
      </c>
      <c r="N349" s="238" t="str">
        <f t="shared" si="106"/>
        <v/>
      </c>
      <c r="O349" s="232" t="str">
        <f t="shared" si="101"/>
        <v/>
      </c>
      <c r="P349" s="219" t="str">
        <f t="shared" si="108"/>
        <v/>
      </c>
      <c r="Q349" s="219" t="str">
        <f t="shared" si="109"/>
        <v/>
      </c>
      <c r="R349" s="219" t="str">
        <f t="shared" si="110"/>
        <v/>
      </c>
      <c r="S349" s="331" t="str">
        <f t="shared" si="111"/>
        <v/>
      </c>
      <c r="T349" s="331" t="str">
        <f t="shared" si="112"/>
        <v/>
      </c>
      <c r="U349" s="331" t="str">
        <f t="shared" si="113"/>
        <v/>
      </c>
    </row>
    <row r="350" spans="1:21" ht="15.95" customHeight="1">
      <c r="A350" s="211">
        <f>IF(COUNTBLANK('RNEW import'!B348)=1,"",'RNEW import'!B348)</f>
        <v>23</v>
      </c>
      <c r="B350" s="211" t="str">
        <f>IF(COUNTBLANK('RNEW import'!D348)=1,"",'RNEW import'!D348)</f>
        <v>Vulcan Value Centre SRL</v>
      </c>
      <c r="C350" s="211" t="str">
        <f>IF(COUNTBLANK('RNEW import'!E348)=1,"",'RNEW import'!E348)</f>
        <v>RVUL</v>
      </c>
      <c r="D350" s="211" t="str">
        <f>IF(COUNTBLANK('RNEW import'!K348)=1,"",'RNEW import'!K348)</f>
        <v>Regularizare Tarife distributie en. El JT</v>
      </c>
      <c r="E350" s="211">
        <f>IF(COUNTBLANK('RNEW import'!L348)=1,"",'RNEW import'!N348)</f>
        <v>0</v>
      </c>
      <c r="F350" s="211">
        <f>IF(COUNTBLANK('RNEW import'!M348)=1,"",'RNEW import'!O348/10000)</f>
        <v>0.2079</v>
      </c>
      <c r="G350" s="217">
        <f t="shared" si="99"/>
        <v>0</v>
      </c>
      <c r="H350" s="217">
        <f t="shared" si="107"/>
        <v>0</v>
      </c>
      <c r="I350" s="329">
        <f t="shared" si="100"/>
        <v>0</v>
      </c>
      <c r="J350" s="237" t="str">
        <f t="shared" si="102"/>
        <v/>
      </c>
      <c r="K350" s="238" t="str">
        <f t="shared" si="103"/>
        <v/>
      </c>
      <c r="L350" s="238" t="str">
        <f t="shared" si="104"/>
        <v/>
      </c>
      <c r="M350" s="238" t="str">
        <f t="shared" si="105"/>
        <v/>
      </c>
      <c r="N350" s="238" t="str">
        <f t="shared" si="106"/>
        <v/>
      </c>
      <c r="O350" s="232" t="str">
        <f t="shared" si="101"/>
        <v/>
      </c>
      <c r="P350" s="219" t="str">
        <f t="shared" si="108"/>
        <v/>
      </c>
      <c r="Q350" s="219" t="str">
        <f t="shared" si="109"/>
        <v/>
      </c>
      <c r="R350" s="219" t="str">
        <f t="shared" si="110"/>
        <v/>
      </c>
      <c r="S350" s="331" t="str">
        <f t="shared" si="111"/>
        <v/>
      </c>
      <c r="T350" s="331" t="str">
        <f t="shared" si="112"/>
        <v/>
      </c>
      <c r="U350" s="331" t="str">
        <f t="shared" si="113"/>
        <v/>
      </c>
    </row>
    <row r="351" spans="1:21" ht="15.95" customHeight="1">
      <c r="A351" s="211">
        <f>IF(COUNTBLANK('RNEW import'!B349)=1,"",'RNEW import'!B349)</f>
        <v>24</v>
      </c>
      <c r="B351" s="211" t="str">
        <f>IF(COUNTBLANK('RNEW import'!D349)=1,"",'RNEW import'!D349)</f>
        <v>Vulcan Value Centre SRL</v>
      </c>
      <c r="C351" s="211" t="str">
        <f>IF(COUNTBLANK('RNEW import'!E349)=1,"",'RNEW import'!E349)</f>
        <v>RVUL</v>
      </c>
      <c r="D351" s="211" t="str">
        <f>IF(COUNTBLANK('RNEW import'!K349)=1,"",'RNEW import'!K349)</f>
        <v xml:space="preserve">Regularizare Servicii Sistem </v>
      </c>
      <c r="E351" s="211">
        <f>IF(COUNTBLANK('RNEW import'!L349)=1,"",'RNEW import'!N349)</f>
        <v>0</v>
      </c>
      <c r="F351" s="211">
        <f>IF(COUNTBLANK('RNEW import'!M349)=1,"",'RNEW import'!O349/10000)</f>
        <v>1.1509999999999999E-2</v>
      </c>
      <c r="G351" s="217">
        <f t="shared" si="99"/>
        <v>0</v>
      </c>
      <c r="H351" s="217">
        <f t="shared" si="107"/>
        <v>0</v>
      </c>
      <c r="I351" s="329">
        <f t="shared" si="100"/>
        <v>0</v>
      </c>
      <c r="J351" s="237" t="str">
        <f t="shared" si="102"/>
        <v/>
      </c>
      <c r="K351" s="238" t="str">
        <f t="shared" si="103"/>
        <v/>
      </c>
      <c r="L351" s="238" t="str">
        <f t="shared" si="104"/>
        <v/>
      </c>
      <c r="M351" s="238" t="str">
        <f t="shared" si="105"/>
        <v/>
      </c>
      <c r="N351" s="238" t="str">
        <f t="shared" si="106"/>
        <v/>
      </c>
      <c r="O351" s="232" t="str">
        <f t="shared" si="101"/>
        <v/>
      </c>
      <c r="P351" s="219" t="str">
        <f t="shared" si="108"/>
        <v/>
      </c>
      <c r="Q351" s="219" t="str">
        <f t="shared" si="109"/>
        <v/>
      </c>
      <c r="R351" s="219" t="str">
        <f t="shared" si="110"/>
        <v/>
      </c>
      <c r="S351" s="331" t="str">
        <f t="shared" si="111"/>
        <v/>
      </c>
      <c r="T351" s="331" t="str">
        <f t="shared" si="112"/>
        <v/>
      </c>
      <c r="U351" s="331" t="str">
        <f t="shared" si="113"/>
        <v/>
      </c>
    </row>
    <row r="352" spans="1:21" ht="15.95" customHeight="1">
      <c r="A352" s="211">
        <f>IF(COUNTBLANK('RNEW import'!B350)=1,"",'RNEW import'!B350)</f>
        <v>25</v>
      </c>
      <c r="B352" s="211" t="str">
        <f>IF(COUNTBLANK('RNEW import'!D350)=1,"",'RNEW import'!D350)</f>
        <v>Vulcan Value Centre SRL</v>
      </c>
      <c r="C352" s="211" t="str">
        <f>IF(COUNTBLANK('RNEW import'!E350)=1,"",'RNEW import'!E350)</f>
        <v>RVUL</v>
      </c>
      <c r="D352" s="211" t="str">
        <f>IF(COUNTBLANK('RNEW import'!K350)=1,"",'RNEW import'!K350)</f>
        <v>Regularizare Tarif de introducere en. el in retea (TL)</v>
      </c>
      <c r="E352" s="211">
        <f>IF(COUNTBLANK('RNEW import'!L350)=1,"",'RNEW import'!N350)</f>
        <v>0</v>
      </c>
      <c r="F352" s="211">
        <f>IF(COUNTBLANK('RNEW import'!M350)=1,"",'RNEW import'!O350/10000)</f>
        <v>3.3030000000000004E-2</v>
      </c>
      <c r="G352" s="217">
        <f t="shared" si="99"/>
        <v>0</v>
      </c>
      <c r="H352" s="217">
        <f t="shared" si="107"/>
        <v>0</v>
      </c>
      <c r="I352" s="329">
        <f t="shared" si="100"/>
        <v>0</v>
      </c>
      <c r="J352" s="237" t="str">
        <f t="shared" si="102"/>
        <v/>
      </c>
      <c r="K352" s="238" t="str">
        <f t="shared" si="103"/>
        <v/>
      </c>
      <c r="L352" s="238" t="str">
        <f t="shared" si="104"/>
        <v/>
      </c>
      <c r="M352" s="238" t="str">
        <f t="shared" si="105"/>
        <v/>
      </c>
      <c r="N352" s="238" t="str">
        <f t="shared" si="106"/>
        <v/>
      </c>
      <c r="O352" s="232" t="str">
        <f t="shared" si="101"/>
        <v/>
      </c>
      <c r="P352" s="219" t="str">
        <f t="shared" si="108"/>
        <v/>
      </c>
      <c r="Q352" s="219" t="str">
        <f t="shared" si="109"/>
        <v/>
      </c>
      <c r="R352" s="219" t="str">
        <f t="shared" si="110"/>
        <v/>
      </c>
      <c r="S352" s="331" t="str">
        <f t="shared" si="111"/>
        <v/>
      </c>
      <c r="T352" s="331" t="str">
        <f t="shared" si="112"/>
        <v/>
      </c>
      <c r="U352" s="331" t="str">
        <f t="shared" si="113"/>
        <v/>
      </c>
    </row>
    <row r="353" spans="1:21" ht="15.95" customHeight="1">
      <c r="A353" s="211">
        <f>IF(COUNTBLANK('RNEW import'!B351)=1,"",'RNEW import'!B351)</f>
        <v>26</v>
      </c>
      <c r="B353" s="211" t="str">
        <f>IF(COUNTBLANK('RNEW import'!D351)=1,"",'RNEW import'!D351)</f>
        <v>Vulcan Value Centre SRL</v>
      </c>
      <c r="C353" s="211" t="str">
        <f>IF(COUNTBLANK('RNEW import'!E351)=1,"",'RNEW import'!E351)</f>
        <v>RVUL</v>
      </c>
      <c r="D353" s="211" t="str">
        <f>IF(COUNTBLANK('RNEW import'!K351)=1,"",'RNEW import'!K351)</f>
        <v>Regularizare Tarif de introducere en.el in retea (TG)</v>
      </c>
      <c r="E353" s="211">
        <f>IF(COUNTBLANK('RNEW import'!L351)=1,"",'RNEW import'!N351)</f>
        <v>0</v>
      </c>
      <c r="F353" s="211">
        <f>IF(COUNTBLANK('RNEW import'!M351)=1,"",'RNEW import'!O351/10000)</f>
        <v>3.29E-3</v>
      </c>
      <c r="G353" s="217">
        <f t="shared" si="99"/>
        <v>0</v>
      </c>
      <c r="H353" s="217">
        <f t="shared" si="107"/>
        <v>0</v>
      </c>
      <c r="I353" s="329">
        <f t="shared" si="100"/>
        <v>0</v>
      </c>
      <c r="J353" s="237" t="str">
        <f t="shared" si="102"/>
        <v/>
      </c>
      <c r="K353" s="238" t="str">
        <f t="shared" si="103"/>
        <v/>
      </c>
      <c r="L353" s="238" t="str">
        <f t="shared" si="104"/>
        <v/>
      </c>
      <c r="M353" s="238" t="str">
        <f t="shared" si="105"/>
        <v/>
      </c>
      <c r="N353" s="238" t="str">
        <f t="shared" si="106"/>
        <v/>
      </c>
      <c r="O353" s="232" t="str">
        <f t="shared" si="101"/>
        <v/>
      </c>
      <c r="P353" s="219" t="str">
        <f t="shared" si="108"/>
        <v/>
      </c>
      <c r="Q353" s="219" t="str">
        <f t="shared" si="109"/>
        <v/>
      </c>
      <c r="R353" s="219" t="str">
        <f t="shared" si="110"/>
        <v/>
      </c>
      <c r="S353" s="331" t="str">
        <f t="shared" si="111"/>
        <v/>
      </c>
      <c r="T353" s="331" t="str">
        <f t="shared" si="112"/>
        <v/>
      </c>
      <c r="U353" s="331" t="str">
        <f t="shared" si="113"/>
        <v/>
      </c>
    </row>
    <row r="354" spans="1:21" ht="15.95" customHeight="1">
      <c r="A354" s="211">
        <f>IF(COUNTBLANK('RNEW import'!B352)=1,"",'RNEW import'!B352)</f>
        <v>27</v>
      </c>
      <c r="B354" s="211" t="str">
        <f>IF(COUNTBLANK('RNEW import'!D352)=1,"",'RNEW import'!D352)</f>
        <v>Vulcan Value Centre SRL</v>
      </c>
      <c r="C354" s="211" t="str">
        <f>IF(COUNTBLANK('RNEW import'!E352)=1,"",'RNEW import'!E352)</f>
        <v>RVUL</v>
      </c>
      <c r="D354" s="211" t="str">
        <f>IF(COUNTBLANK('RNEW import'!K352)=1,"",'RNEW import'!K352)</f>
        <v>Regularizare Contributie pentru cogenerare</v>
      </c>
      <c r="E354" s="211">
        <f>IF(COUNTBLANK('RNEW import'!L352)=1,"",'RNEW import'!N352)</f>
        <v>0</v>
      </c>
      <c r="F354" s="211">
        <f>IF(COUNTBLANK('RNEW import'!M352)=1,"",'RNEW import'!O352/10000)</f>
        <v>3.5000000000000001E-3</v>
      </c>
      <c r="G354" s="217">
        <f t="shared" si="99"/>
        <v>0</v>
      </c>
      <c r="H354" s="217">
        <f t="shared" si="107"/>
        <v>0</v>
      </c>
      <c r="I354" s="329">
        <f t="shared" si="100"/>
        <v>0</v>
      </c>
      <c r="J354" s="237" t="str">
        <f t="shared" si="102"/>
        <v/>
      </c>
      <c r="K354" s="238" t="str">
        <f t="shared" si="103"/>
        <v/>
      </c>
      <c r="L354" s="238" t="str">
        <f t="shared" si="104"/>
        <v/>
      </c>
      <c r="M354" s="238" t="str">
        <f t="shared" si="105"/>
        <v/>
      </c>
      <c r="N354" s="238" t="str">
        <f t="shared" si="106"/>
        <v/>
      </c>
      <c r="O354" s="232" t="str">
        <f t="shared" si="101"/>
        <v/>
      </c>
      <c r="P354" s="219" t="str">
        <f t="shared" si="108"/>
        <v/>
      </c>
      <c r="Q354" s="219" t="str">
        <f t="shared" si="109"/>
        <v/>
      </c>
      <c r="R354" s="219" t="str">
        <f t="shared" si="110"/>
        <v/>
      </c>
      <c r="S354" s="331" t="str">
        <f t="shared" si="111"/>
        <v/>
      </c>
      <c r="T354" s="331" t="str">
        <f t="shared" si="112"/>
        <v/>
      </c>
      <c r="U354" s="331" t="str">
        <f t="shared" si="113"/>
        <v/>
      </c>
    </row>
    <row r="355" spans="1:21" ht="15.95" customHeight="1">
      <c r="A355" s="211">
        <f>IF(COUNTBLANK('RNEW import'!B353)=1,"",'RNEW import'!B353)</f>
        <v>28</v>
      </c>
      <c r="B355" s="211" t="str">
        <f>IF(COUNTBLANK('RNEW import'!D353)=1,"",'RNEW import'!D353)</f>
        <v>Vulcan Value Centre SRL</v>
      </c>
      <c r="C355" s="211" t="str">
        <f>IF(COUNTBLANK('RNEW import'!E353)=1,"",'RNEW import'!E353)</f>
        <v>RVUL</v>
      </c>
      <c r="D355" s="211" t="str">
        <f>IF(COUNTBLANK('RNEW import'!K353)=1,"",'RNEW import'!K353)</f>
        <v xml:space="preserve">Regularizare Certificate verzi </v>
      </c>
      <c r="E355" s="211">
        <f>IF(COUNTBLANK('RNEW import'!L353)=1,"",'RNEW import'!N353)</f>
        <v>0</v>
      </c>
      <c r="F355" s="211">
        <f>IF(COUNTBLANK('RNEW import'!M353)=1,"",'RNEW import'!O353/10000)</f>
        <v>7.2541599999999998E-2</v>
      </c>
      <c r="G355" s="217">
        <f t="shared" si="99"/>
        <v>0</v>
      </c>
      <c r="H355" s="217">
        <f t="shared" si="107"/>
        <v>0</v>
      </c>
      <c r="I355" s="329">
        <f t="shared" si="100"/>
        <v>0</v>
      </c>
      <c r="J355" s="237" t="str">
        <f t="shared" si="102"/>
        <v/>
      </c>
      <c r="K355" s="238" t="str">
        <f t="shared" si="103"/>
        <v/>
      </c>
      <c r="L355" s="238" t="str">
        <f t="shared" si="104"/>
        <v/>
      </c>
      <c r="M355" s="238" t="str">
        <f t="shared" si="105"/>
        <v/>
      </c>
      <c r="N355" s="238" t="str">
        <f t="shared" si="106"/>
        <v/>
      </c>
      <c r="O355" s="232" t="str">
        <f t="shared" si="101"/>
        <v/>
      </c>
      <c r="P355" s="219" t="str">
        <f t="shared" si="108"/>
        <v/>
      </c>
      <c r="Q355" s="219" t="str">
        <f t="shared" si="109"/>
        <v/>
      </c>
      <c r="R355" s="219" t="str">
        <f t="shared" si="110"/>
        <v/>
      </c>
      <c r="S355" s="331" t="str">
        <f t="shared" si="111"/>
        <v/>
      </c>
      <c r="T355" s="331" t="str">
        <f t="shared" si="112"/>
        <v/>
      </c>
      <c r="U355" s="331" t="str">
        <f t="shared" si="113"/>
        <v/>
      </c>
    </row>
    <row r="356" spans="1:21" ht="15.95" customHeight="1">
      <c r="A356" s="211">
        <f>IF(COUNTBLANK('RNEW import'!B354)=1,"",'RNEW import'!B354)</f>
        <v>29</v>
      </c>
      <c r="B356" s="211" t="str">
        <f>IF(COUNTBLANK('RNEW import'!D354)=1,"",'RNEW import'!D354)</f>
        <v>Vulcan Value Centre SRL</v>
      </c>
      <c r="C356" s="211" t="str">
        <f>IF(COUNTBLANK('RNEW import'!E354)=1,"",'RNEW import'!E354)</f>
        <v>RVUL</v>
      </c>
      <c r="D356" s="211" t="str">
        <f>IF(COUNTBLANK('RNEW import'!K354)=1,"",'RNEW import'!K354)</f>
        <v>Regularizare Contributie CFD</v>
      </c>
      <c r="E356" s="211">
        <f>IF(COUNTBLANK('RNEW import'!L354)=1,"",'RNEW import'!N354)</f>
        <v>0</v>
      </c>
      <c r="F356" s="211">
        <f>IF(COUNTBLANK('RNEW import'!M354)=1,"",'RNEW import'!O354/10000)</f>
        <v>2.0599999999999999E-4</v>
      </c>
      <c r="G356" s="217">
        <f t="shared" si="99"/>
        <v>0</v>
      </c>
      <c r="H356" s="217">
        <f t="shared" si="107"/>
        <v>0</v>
      </c>
      <c r="I356" s="329">
        <f t="shared" si="100"/>
        <v>0</v>
      </c>
      <c r="J356" s="237" t="str">
        <f t="shared" si="102"/>
        <v/>
      </c>
      <c r="K356" s="238" t="str">
        <f t="shared" si="103"/>
        <v/>
      </c>
      <c r="L356" s="238" t="str">
        <f t="shared" si="104"/>
        <v/>
      </c>
      <c r="M356" s="238" t="str">
        <f t="shared" si="105"/>
        <v/>
      </c>
      <c r="N356" s="238" t="str">
        <f t="shared" si="106"/>
        <v/>
      </c>
      <c r="O356" s="232" t="str">
        <f t="shared" si="101"/>
        <v/>
      </c>
      <c r="P356" s="219" t="str">
        <f t="shared" si="108"/>
        <v/>
      </c>
      <c r="Q356" s="219" t="str">
        <f t="shared" si="109"/>
        <v/>
      </c>
      <c r="R356" s="219" t="str">
        <f t="shared" si="110"/>
        <v/>
      </c>
      <c r="S356" s="331" t="str">
        <f t="shared" si="111"/>
        <v/>
      </c>
      <c r="T356" s="331" t="str">
        <f t="shared" si="112"/>
        <v/>
      </c>
      <c r="U356" s="331" t="str">
        <f t="shared" si="113"/>
        <v/>
      </c>
    </row>
    <row r="357" spans="1:21" ht="15.95" customHeight="1">
      <c r="A357" s="211">
        <f>IF(COUNTBLANK('RNEW import'!B355)=1,"",'RNEW import'!B355)</f>
        <v>30</v>
      </c>
      <c r="B357" s="211" t="str">
        <f>IF(COUNTBLANK('RNEW import'!D355)=1,"",'RNEW import'!D355)</f>
        <v>Vulcan Value Centre SRL</v>
      </c>
      <c r="C357" s="211" t="str">
        <f>IF(COUNTBLANK('RNEW import'!E355)=1,"",'RNEW import'!E355)</f>
        <v>RVUL</v>
      </c>
      <c r="D357" s="211" t="str">
        <f>IF(COUNTBLANK('RNEW import'!K355)=1,"",'RNEW import'!K355)</f>
        <v>Regularizare Acciza</v>
      </c>
      <c r="E357" s="211">
        <f>IF(COUNTBLANK('RNEW import'!L355)=1,"",'RNEW import'!N355)</f>
        <v>0</v>
      </c>
      <c r="F357" s="211">
        <f>IF(COUNTBLANK('RNEW import'!M355)=1,"",'RNEW import'!O355/10000)</f>
        <v>0</v>
      </c>
      <c r="G357" s="217">
        <f t="shared" ref="G357:G420" si="114">ROUND(E357*F357,2)</f>
        <v>0</v>
      </c>
      <c r="H357" s="217">
        <f t="shared" si="107"/>
        <v>0</v>
      </c>
      <c r="I357" s="329">
        <f t="shared" ref="I357:I420" si="115">G357+H357</f>
        <v>0</v>
      </c>
      <c r="J357" s="237" t="str">
        <f t="shared" si="102"/>
        <v/>
      </c>
      <c r="K357" s="238" t="str">
        <f t="shared" si="103"/>
        <v/>
      </c>
      <c r="L357" s="238" t="str">
        <f t="shared" si="104"/>
        <v/>
      </c>
      <c r="M357" s="238" t="str">
        <f t="shared" si="105"/>
        <v/>
      </c>
      <c r="N357" s="238" t="str">
        <f t="shared" si="106"/>
        <v/>
      </c>
      <c r="O357" s="232" t="str">
        <f t="shared" si="101"/>
        <v/>
      </c>
      <c r="P357" s="219" t="str">
        <f t="shared" si="108"/>
        <v/>
      </c>
      <c r="Q357" s="219" t="str">
        <f t="shared" si="109"/>
        <v/>
      </c>
      <c r="R357" s="219" t="str">
        <f t="shared" si="110"/>
        <v/>
      </c>
      <c r="S357" s="331" t="str">
        <f t="shared" si="111"/>
        <v/>
      </c>
      <c r="T357" s="331" t="str">
        <f t="shared" si="112"/>
        <v/>
      </c>
      <c r="U357" s="331" t="str">
        <f t="shared" si="113"/>
        <v/>
      </c>
    </row>
    <row r="358" spans="1:21" ht="15.95" customHeight="1">
      <c r="A358" s="211">
        <f>IF(COUNTBLANK('RNEW import'!B356)=1,"",'RNEW import'!B356)</f>
        <v>31</v>
      </c>
      <c r="B358" s="211" t="str">
        <f>IF(COUNTBLANK('RNEW import'!D356)=1,"",'RNEW import'!D356)</f>
        <v>Vulcan Value Centre SRL</v>
      </c>
      <c r="C358" s="211" t="str">
        <f>IF(COUNTBLANK('RNEW import'!E356)=1,"",'RNEW import'!E356)</f>
        <v>RVUL</v>
      </c>
      <c r="D358" s="211" t="str">
        <f>IF(COUNTBLANK('RNEW import'!K356)=1,"",'RNEW import'!K356)</f>
        <v>Regularizare Tarif distributie SDI MT Ea1</v>
      </c>
      <c r="E358" s="211">
        <f>IF(COUNTBLANK('RNEW import'!L356)=1,"",'RNEW import'!N356)</f>
        <v>0</v>
      </c>
      <c r="F358" s="211">
        <f>IF(COUNTBLANK('RNEW import'!M356)=1,"",'RNEW import'!O356/10000)</f>
        <v>1.1300000000000001E-2</v>
      </c>
      <c r="G358" s="217">
        <f t="shared" si="114"/>
        <v>0</v>
      </c>
      <c r="H358" s="217">
        <f t="shared" si="107"/>
        <v>0</v>
      </c>
      <c r="I358" s="329">
        <f t="shared" si="115"/>
        <v>0</v>
      </c>
      <c r="J358" s="237" t="str">
        <f t="shared" si="102"/>
        <v/>
      </c>
      <c r="K358" s="238" t="str">
        <f t="shared" si="103"/>
        <v/>
      </c>
      <c r="L358" s="238" t="str">
        <f t="shared" si="104"/>
        <v/>
      </c>
      <c r="M358" s="238" t="str">
        <f t="shared" si="105"/>
        <v/>
      </c>
      <c r="N358" s="238" t="str">
        <f t="shared" si="106"/>
        <v/>
      </c>
      <c r="O358" s="232" t="str">
        <f t="shared" ref="O358:O421" si="116">IF(A358=1,B358,"")</f>
        <v/>
      </c>
      <c r="P358" s="219" t="str">
        <f t="shared" si="108"/>
        <v/>
      </c>
      <c r="Q358" s="219" t="str">
        <f t="shared" si="109"/>
        <v/>
      </c>
      <c r="R358" s="219" t="str">
        <f t="shared" si="110"/>
        <v/>
      </c>
      <c r="S358" s="331" t="str">
        <f t="shared" si="111"/>
        <v/>
      </c>
      <c r="T358" s="331" t="str">
        <f t="shared" si="112"/>
        <v/>
      </c>
      <c r="U358" s="331" t="str">
        <f t="shared" si="113"/>
        <v/>
      </c>
    </row>
    <row r="359" spans="1:21" ht="15.95" customHeight="1">
      <c r="A359" s="211">
        <f>IF(COUNTBLANK('RNEW import'!B357)=1,"",'RNEW import'!B357)</f>
        <v>32</v>
      </c>
      <c r="B359" s="211" t="str">
        <f>IF(COUNTBLANK('RNEW import'!D357)=1,"",'RNEW import'!D357)</f>
        <v>Vulcan Value Centre SRL</v>
      </c>
      <c r="C359" s="211" t="str">
        <f>IF(COUNTBLANK('RNEW import'!E357)=1,"",'RNEW import'!E357)</f>
        <v>RVUL</v>
      </c>
      <c r="D359" s="211" t="str">
        <f>IF(COUNTBLANK('RNEW import'!K357)=1,"",'RNEW import'!K357)</f>
        <v>Regularizare Tarif distributie SDI JT Ea1</v>
      </c>
      <c r="E359" s="211">
        <f>IF(COUNTBLANK('RNEW import'!L357)=1,"",'RNEW import'!N357)</f>
        <v>0</v>
      </c>
      <c r="F359" s="211">
        <f>IF(COUNTBLANK('RNEW import'!M357)=1,"",'RNEW import'!O357/10000)</f>
        <v>8.4099999999999994E-2</v>
      </c>
      <c r="G359" s="217">
        <f t="shared" si="114"/>
        <v>0</v>
      </c>
      <c r="H359" s="217">
        <f t="shared" si="107"/>
        <v>0</v>
      </c>
      <c r="I359" s="329">
        <f t="shared" si="115"/>
        <v>0</v>
      </c>
      <c r="J359" s="237" t="str">
        <f t="shared" si="102"/>
        <v/>
      </c>
      <c r="K359" s="238" t="str">
        <f t="shared" si="103"/>
        <v/>
      </c>
      <c r="L359" s="238" t="str">
        <f t="shared" si="104"/>
        <v/>
      </c>
      <c r="M359" s="238" t="str">
        <f t="shared" si="105"/>
        <v/>
      </c>
      <c r="N359" s="238" t="str">
        <f t="shared" si="106"/>
        <v/>
      </c>
      <c r="O359" s="232" t="str">
        <f t="shared" si="116"/>
        <v/>
      </c>
      <c r="P359" s="219" t="str">
        <f t="shared" si="108"/>
        <v/>
      </c>
      <c r="Q359" s="219" t="str">
        <f t="shared" si="109"/>
        <v/>
      </c>
      <c r="R359" s="219" t="str">
        <f t="shared" si="110"/>
        <v/>
      </c>
      <c r="S359" s="331" t="str">
        <f t="shared" si="111"/>
        <v/>
      </c>
      <c r="T359" s="331" t="str">
        <f t="shared" si="112"/>
        <v/>
      </c>
      <c r="U359" s="331" t="str">
        <f t="shared" si="113"/>
        <v/>
      </c>
    </row>
    <row r="360" spans="1:21" ht="15.95" customHeight="1">
      <c r="A360" s="211">
        <f>IF(COUNTBLANK('RNEW import'!B358)=1,"",'RNEW import'!B358)</f>
        <v>33</v>
      </c>
      <c r="B360" s="211" t="str">
        <f>IF(COUNTBLANK('RNEW import'!D358)=1,"",'RNEW import'!D358)</f>
        <v>Vulcan Value Centre SRL</v>
      </c>
      <c r="C360" s="211" t="str">
        <f>IF(COUNTBLANK('RNEW import'!E358)=1,"",'RNEW import'!E358)</f>
        <v>RVUL</v>
      </c>
      <c r="D360" s="211" t="str">
        <f>IF(COUNTBLANK('RNEW import'!K358)=1,"",'RNEW import'!K358)</f>
        <v>Regularizare Energie activa 2</v>
      </c>
      <c r="E360" s="211">
        <f>IF(COUNTBLANK('RNEW import'!L358)=1,"",'RNEW import'!N358)</f>
        <v>0</v>
      </c>
      <c r="F360" s="211">
        <f>IF(COUNTBLANK('RNEW import'!M358)=1,"",'RNEW import'!O358/10000)</f>
        <v>0.90065760000000006</v>
      </c>
      <c r="G360" s="217">
        <f t="shared" si="114"/>
        <v>0</v>
      </c>
      <c r="H360" s="217">
        <f t="shared" si="107"/>
        <v>0</v>
      </c>
      <c r="I360" s="329">
        <f t="shared" si="115"/>
        <v>0</v>
      </c>
      <c r="J360" s="237" t="str">
        <f t="shared" si="102"/>
        <v/>
      </c>
      <c r="K360" s="238" t="str">
        <f t="shared" si="103"/>
        <v/>
      </c>
      <c r="L360" s="238" t="str">
        <f t="shared" si="104"/>
        <v/>
      </c>
      <c r="M360" s="238" t="str">
        <f t="shared" si="105"/>
        <v/>
      </c>
      <c r="N360" s="238" t="str">
        <f t="shared" si="106"/>
        <v/>
      </c>
      <c r="O360" s="232" t="str">
        <f t="shared" si="116"/>
        <v/>
      </c>
      <c r="P360" s="219" t="str">
        <f t="shared" si="108"/>
        <v/>
      </c>
      <c r="Q360" s="219" t="str">
        <f t="shared" si="109"/>
        <v/>
      </c>
      <c r="R360" s="219" t="str">
        <f t="shared" si="110"/>
        <v/>
      </c>
      <c r="S360" s="331" t="str">
        <f t="shared" si="111"/>
        <v/>
      </c>
      <c r="T360" s="331" t="str">
        <f t="shared" si="112"/>
        <v/>
      </c>
      <c r="U360" s="331" t="str">
        <f t="shared" si="113"/>
        <v/>
      </c>
    </row>
    <row r="361" spans="1:21" ht="15.95" customHeight="1">
      <c r="A361" s="211">
        <f>IF(COUNTBLANK('RNEW import'!B359)=1,"",'RNEW import'!B359)</f>
        <v>34</v>
      </c>
      <c r="B361" s="211" t="str">
        <f>IF(COUNTBLANK('RNEW import'!D359)=1,"",'RNEW import'!D359)</f>
        <v>Vulcan Value Centre SRL</v>
      </c>
      <c r="C361" s="211" t="str">
        <f>IF(COUNTBLANK('RNEW import'!E359)=1,"",'RNEW import'!E359)</f>
        <v>RVUL</v>
      </c>
      <c r="D361" s="211" t="str">
        <f>IF(COUNTBLANK('RNEW import'!K359)=1,"",'RNEW import'!K359)</f>
        <v>Regularizare Energie activa 3</v>
      </c>
      <c r="E361" s="211">
        <f>IF(COUNTBLANK('RNEW import'!L359)=1,"",'RNEW import'!N359)</f>
        <v>0</v>
      </c>
      <c r="F361" s="211">
        <f>IF(COUNTBLANK('RNEW import'!M359)=1,"",'RNEW import'!O359/10000)</f>
        <v>0.80525760000000002</v>
      </c>
      <c r="G361" s="217">
        <f t="shared" si="114"/>
        <v>0</v>
      </c>
      <c r="H361" s="217">
        <f t="shared" si="107"/>
        <v>0</v>
      </c>
      <c r="I361" s="329">
        <f t="shared" si="115"/>
        <v>0</v>
      </c>
      <c r="J361" s="237" t="str">
        <f t="shared" si="102"/>
        <v/>
      </c>
      <c r="K361" s="238" t="str">
        <f t="shared" si="103"/>
        <v/>
      </c>
      <c r="L361" s="238" t="str">
        <f t="shared" si="104"/>
        <v/>
      </c>
      <c r="M361" s="238" t="str">
        <f t="shared" si="105"/>
        <v/>
      </c>
      <c r="N361" s="238" t="str">
        <f t="shared" si="106"/>
        <v/>
      </c>
      <c r="O361" s="232" t="str">
        <f t="shared" si="116"/>
        <v/>
      </c>
      <c r="P361" s="219" t="str">
        <f t="shared" si="108"/>
        <v/>
      </c>
      <c r="Q361" s="219" t="str">
        <f t="shared" si="109"/>
        <v/>
      </c>
      <c r="R361" s="219" t="str">
        <f t="shared" si="110"/>
        <v/>
      </c>
      <c r="S361" s="331" t="str">
        <f t="shared" si="111"/>
        <v/>
      </c>
      <c r="T361" s="331" t="str">
        <f t="shared" si="112"/>
        <v/>
      </c>
      <c r="U361" s="331" t="str">
        <f t="shared" si="113"/>
        <v/>
      </c>
    </row>
    <row r="362" spans="1:21" ht="15.95" customHeight="1">
      <c r="A362" s="211">
        <f>IF(COUNTBLANK('RNEW import'!B360)=1,"",'RNEW import'!B360)</f>
        <v>35</v>
      </c>
      <c r="B362" s="211" t="str">
        <f>IF(COUNTBLANK('RNEW import'!D360)=1,"",'RNEW import'!D360)</f>
        <v>Vulcan Value Centre SRL</v>
      </c>
      <c r="C362" s="211" t="str">
        <f>IF(COUNTBLANK('RNEW import'!E360)=1,"",'RNEW import'!E360)</f>
        <v>RVUL</v>
      </c>
      <c r="D362" s="211" t="str">
        <f>IF(COUNTBLANK('RNEW import'!K360)=1,"",'RNEW import'!K360)</f>
        <v>Regularizare Tarif distributie SDI MT Ea3</v>
      </c>
      <c r="E362" s="211">
        <f>IF(COUNTBLANK('RNEW import'!L360)=1,"",'RNEW import'!N360)</f>
        <v>0</v>
      </c>
      <c r="F362" s="211">
        <f>IF(COUNTBLANK('RNEW import'!M360)=1,"",'RNEW import'!O360/10000)</f>
        <v>1.1300000000000001E-2</v>
      </c>
      <c r="G362" s="217">
        <f t="shared" si="114"/>
        <v>0</v>
      </c>
      <c r="H362" s="217">
        <f t="shared" si="107"/>
        <v>0</v>
      </c>
      <c r="I362" s="329">
        <f t="shared" si="115"/>
        <v>0</v>
      </c>
      <c r="J362" s="237" t="str">
        <f t="shared" si="102"/>
        <v/>
      </c>
      <c r="K362" s="238" t="str">
        <f t="shared" si="103"/>
        <v/>
      </c>
      <c r="L362" s="238" t="str">
        <f t="shared" si="104"/>
        <v/>
      </c>
      <c r="M362" s="238" t="str">
        <f t="shared" si="105"/>
        <v/>
      </c>
      <c r="N362" s="238" t="str">
        <f t="shared" si="106"/>
        <v/>
      </c>
      <c r="O362" s="232" t="str">
        <f t="shared" si="116"/>
        <v/>
      </c>
      <c r="P362" s="219" t="str">
        <f t="shared" si="108"/>
        <v/>
      </c>
      <c r="Q362" s="219" t="str">
        <f t="shared" si="109"/>
        <v/>
      </c>
      <c r="R362" s="219" t="str">
        <f t="shared" si="110"/>
        <v/>
      </c>
      <c r="S362" s="331" t="str">
        <f t="shared" si="111"/>
        <v/>
      </c>
      <c r="T362" s="331" t="str">
        <f t="shared" si="112"/>
        <v/>
      </c>
      <c r="U362" s="331" t="str">
        <f t="shared" si="113"/>
        <v/>
      </c>
    </row>
    <row r="363" spans="1:21" ht="15.95" customHeight="1">
      <c r="A363" s="211">
        <f>IF(COUNTBLANK('RNEW import'!B361)=1,"",'RNEW import'!B361)</f>
        <v>36</v>
      </c>
      <c r="B363" s="211" t="str">
        <f>IF(COUNTBLANK('RNEW import'!D361)=1,"",'RNEW import'!D361)</f>
        <v>Vulcan Value Centre SRL</v>
      </c>
      <c r="C363" s="211" t="str">
        <f>IF(COUNTBLANK('RNEW import'!E361)=1,"",'RNEW import'!E361)</f>
        <v>RVUL</v>
      </c>
      <c r="D363" s="211" t="str">
        <f>IF(COUNTBLANK('RNEW import'!K361)=1,"",'RNEW import'!K361)</f>
        <v>Regularizare Tarif distributie SDI JT Ea3</v>
      </c>
      <c r="E363" s="211">
        <f>IF(COUNTBLANK('RNEW import'!L361)=1,"",'RNEW import'!N361)</f>
        <v>0</v>
      </c>
      <c r="F363" s="211">
        <f>IF(COUNTBLANK('RNEW import'!M361)=1,"",'RNEW import'!O361/10000)</f>
        <v>8.4099999999999994E-2</v>
      </c>
      <c r="G363" s="217">
        <f t="shared" si="114"/>
        <v>0</v>
      </c>
      <c r="H363" s="217">
        <f t="shared" si="107"/>
        <v>0</v>
      </c>
      <c r="I363" s="329">
        <f t="shared" si="115"/>
        <v>0</v>
      </c>
      <c r="J363" s="237" t="str">
        <f t="shared" si="102"/>
        <v/>
      </c>
      <c r="K363" s="238" t="str">
        <f t="shared" si="103"/>
        <v/>
      </c>
      <c r="L363" s="238" t="str">
        <f t="shared" si="104"/>
        <v/>
      </c>
      <c r="M363" s="238" t="str">
        <f t="shared" si="105"/>
        <v/>
      </c>
      <c r="N363" s="238" t="str">
        <f t="shared" si="106"/>
        <v/>
      </c>
      <c r="O363" s="232" t="str">
        <f t="shared" si="116"/>
        <v/>
      </c>
      <c r="P363" s="219" t="str">
        <f t="shared" si="108"/>
        <v>Energie consumata din PV regularizare</v>
      </c>
      <c r="Q363" s="219">
        <f t="shared" si="109"/>
        <v>0</v>
      </c>
      <c r="R363" s="219">
        <f t="shared" si="110"/>
        <v>0</v>
      </c>
      <c r="S363" s="331">
        <f t="shared" si="111"/>
        <v>0</v>
      </c>
      <c r="T363" s="331">
        <f t="shared" si="112"/>
        <v>0</v>
      </c>
      <c r="U363" s="331">
        <f t="shared" si="113"/>
        <v>0</v>
      </c>
    </row>
    <row r="364" spans="1:21" ht="15.95" customHeight="1">
      <c r="A364" s="211">
        <f>IF(COUNTBLANK('RNEW import'!B362)=1,"",'RNEW import'!B362)</f>
        <v>1</v>
      </c>
      <c r="B364" s="211" t="str">
        <f>IF(COUNTBLANK('RNEW import'!D362)=1,"",'RNEW import'!D362)</f>
        <v>Festival Shopping Center SRL</v>
      </c>
      <c r="C364" s="211" t="str">
        <f>IF(COUNTBLANK('RNEW import'!E362)=1,"",'RNEW import'!E362)</f>
        <v>RFSC</v>
      </c>
      <c r="D364" s="211" t="str">
        <f>IF(COUNTBLANK('RNEW import'!K362)=1,"",'RNEW import'!K362)</f>
        <v>Energie activa 1</v>
      </c>
      <c r="E364" s="211">
        <f>IF(COUNTBLANK('RNEW import'!L362)=1,"",'RNEW import'!N362)</f>
        <v>870503</v>
      </c>
      <c r="F364" s="211">
        <f>IF(COUNTBLANK('RNEW import'!M362)=1,"",'RNEW import'!O362/10000)</f>
        <v>0.59499999999999997</v>
      </c>
      <c r="G364" s="217">
        <f t="shared" si="114"/>
        <v>517949.29</v>
      </c>
      <c r="H364" s="217">
        <f t="shared" si="107"/>
        <v>98410.37</v>
      </c>
      <c r="I364" s="329">
        <f t="shared" si="115"/>
        <v>616359.65999999992</v>
      </c>
      <c r="J364" s="237" t="str">
        <f t="shared" si="102"/>
        <v>Festival Shopping Center SRL</v>
      </c>
      <c r="K364" s="238">
        <f t="shared" si="103"/>
        <v>63962.06</v>
      </c>
      <c r="L364" s="238">
        <f t="shared" si="104"/>
        <v>725919.05999999994</v>
      </c>
      <c r="M364" s="238">
        <f t="shared" si="105"/>
        <v>41421.870000000003</v>
      </c>
      <c r="N364" s="238">
        <f t="shared" si="106"/>
        <v>870503</v>
      </c>
      <c r="O364" s="232" t="str">
        <f t="shared" si="116"/>
        <v>Festival Shopping Center SRL</v>
      </c>
      <c r="P364" s="219" t="str">
        <f t="shared" si="108"/>
        <v>Enegie activa</v>
      </c>
      <c r="Q364" s="219">
        <f t="shared" si="109"/>
        <v>870503</v>
      </c>
      <c r="R364" s="219">
        <f t="shared" si="110"/>
        <v>0.907385</v>
      </c>
      <c r="S364" s="331">
        <f>IF(COUNTBLANK(P364)=1,"",ROUND(IF(P364=$P$5,G364,IF(P364=$P$6,G364,IF(P364=$P$21,G364+G363+G362+G361,IF(P364=$P$23,G364,IF(P364=$P$24,G364,IF(P364=$P$4,SUMIFS(G:G,$B:$B,J364,A:A,"&lt;15"),IF(P364=$P$22,SUMIFS(G:G,$B:$B,J346,A:A,"&gt;18",A:A,"&lt;33")-S365-S366,IF(P364=$P$39,G364+G363+G362+G361,"eroare")))))))),2))</f>
        <v>789881.12</v>
      </c>
      <c r="T364" s="331">
        <f t="shared" si="112"/>
        <v>150077.4</v>
      </c>
      <c r="U364" s="331">
        <f t="shared" si="113"/>
        <v>939958.52</v>
      </c>
    </row>
    <row r="365" spans="1:21" ht="15.95" customHeight="1">
      <c r="A365" s="211">
        <f>IF(COUNTBLANK('RNEW import'!B363)=1,"",'RNEW import'!B363)</f>
        <v>2</v>
      </c>
      <c r="B365" s="211" t="str">
        <f>IF(COUNTBLANK('RNEW import'!D363)=1,"",'RNEW import'!D363)</f>
        <v>Festival Shopping Center SRL</v>
      </c>
      <c r="C365" s="211" t="str">
        <f>IF(COUNTBLANK('RNEW import'!E363)=1,"",'RNEW import'!E363)</f>
        <v>RFSC</v>
      </c>
      <c r="D365" s="211" t="str">
        <f>IF(COUNTBLANK('RNEW import'!K363)=1,"",'RNEW import'!K363)</f>
        <v>Energie reactiva  1X</v>
      </c>
      <c r="E365" s="211">
        <f>IF(COUNTBLANK('RNEW import'!L363)=1,"",'RNEW import'!N363)</f>
        <v>0</v>
      </c>
      <c r="F365" s="211">
        <f>IF(COUNTBLANK('RNEW import'!M363)=1,"",'RNEW import'!O363/10000)</f>
        <v>0.14649999999999999</v>
      </c>
      <c r="G365" s="217">
        <f t="shared" si="114"/>
        <v>0</v>
      </c>
      <c r="H365" s="217">
        <f t="shared" si="107"/>
        <v>0</v>
      </c>
      <c r="I365" s="329">
        <f t="shared" si="115"/>
        <v>0</v>
      </c>
      <c r="J365" s="237" t="str">
        <f t="shared" si="102"/>
        <v/>
      </c>
      <c r="K365" s="238" t="str">
        <f t="shared" si="103"/>
        <v/>
      </c>
      <c r="L365" s="238" t="str">
        <f t="shared" si="104"/>
        <v/>
      </c>
      <c r="M365" s="238" t="str">
        <f t="shared" si="105"/>
        <v/>
      </c>
      <c r="N365" s="238" t="str">
        <f t="shared" si="106"/>
        <v/>
      </c>
      <c r="O365" s="232" t="str">
        <f t="shared" si="116"/>
        <v/>
      </c>
      <c r="P365" s="219" t="str">
        <f t="shared" si="108"/>
        <v>Energie reactiva 1x</v>
      </c>
      <c r="Q365" s="219">
        <f t="shared" si="109"/>
        <v>0</v>
      </c>
      <c r="R365" s="219">
        <f t="shared" si="110"/>
        <v>0.14649999999999999</v>
      </c>
      <c r="S365" s="331">
        <f t="shared" si="111"/>
        <v>0</v>
      </c>
      <c r="T365" s="331">
        <f t="shared" si="112"/>
        <v>0</v>
      </c>
      <c r="U365" s="331">
        <f t="shared" si="113"/>
        <v>0</v>
      </c>
    </row>
    <row r="366" spans="1:21" ht="15.95" customHeight="1">
      <c r="A366" s="211">
        <f>IF(COUNTBLANK('RNEW import'!B364)=1,"",'RNEW import'!B364)</f>
        <v>3</v>
      </c>
      <c r="B366" s="211" t="str">
        <f>IF(COUNTBLANK('RNEW import'!D364)=1,"",'RNEW import'!D364)</f>
        <v>Festival Shopping Center SRL</v>
      </c>
      <c r="C366" s="211" t="str">
        <f>IF(COUNTBLANK('RNEW import'!E364)=1,"",'RNEW import'!E364)</f>
        <v>RFSC</v>
      </c>
      <c r="D366" s="211" t="str">
        <f>IF(COUNTBLANK('RNEW import'!K364)=1,"",'RNEW import'!K364)</f>
        <v>Energie reactiva  3X</v>
      </c>
      <c r="E366" s="211">
        <f>IF(COUNTBLANK('RNEW import'!L364)=1,"",'RNEW import'!N364)</f>
        <v>0</v>
      </c>
      <c r="F366" s="211">
        <f>IF(COUNTBLANK('RNEW import'!M364)=1,"",'RNEW import'!O364/10000)</f>
        <v>0.4395</v>
      </c>
      <c r="G366" s="217">
        <f t="shared" si="114"/>
        <v>0</v>
      </c>
      <c r="H366" s="217">
        <f t="shared" si="107"/>
        <v>0</v>
      </c>
      <c r="I366" s="329">
        <f t="shared" si="115"/>
        <v>0</v>
      </c>
      <c r="J366" s="237" t="str">
        <f t="shared" si="102"/>
        <v/>
      </c>
      <c r="K366" s="238" t="str">
        <f t="shared" si="103"/>
        <v/>
      </c>
      <c r="L366" s="238" t="str">
        <f t="shared" si="104"/>
        <v/>
      </c>
      <c r="M366" s="238" t="str">
        <f t="shared" si="105"/>
        <v/>
      </c>
      <c r="N366" s="238" t="str">
        <f t="shared" si="106"/>
        <v/>
      </c>
      <c r="O366" s="232" t="str">
        <f t="shared" si="116"/>
        <v/>
      </c>
      <c r="P366" s="219" t="str">
        <f t="shared" si="108"/>
        <v>Energie reactiva 3x</v>
      </c>
      <c r="Q366" s="219">
        <f t="shared" si="109"/>
        <v>0</v>
      </c>
      <c r="R366" s="219">
        <f t="shared" si="110"/>
        <v>0.4395</v>
      </c>
      <c r="S366" s="331">
        <f t="shared" si="111"/>
        <v>0</v>
      </c>
      <c r="T366" s="331">
        <f t="shared" si="112"/>
        <v>0</v>
      </c>
      <c r="U366" s="331">
        <f t="shared" si="113"/>
        <v>0</v>
      </c>
    </row>
    <row r="367" spans="1:21" ht="15.95" customHeight="1">
      <c r="A367" s="211">
        <f>IF(COUNTBLANK('RNEW import'!B365)=1,"",'RNEW import'!B365)</f>
        <v>4</v>
      </c>
      <c r="B367" s="211" t="str">
        <f>IF(COUNTBLANK('RNEW import'!D365)=1,"",'RNEW import'!D365)</f>
        <v>Festival Shopping Center SRL</v>
      </c>
      <c r="C367" s="211" t="str">
        <f>IF(COUNTBLANK('RNEW import'!E365)=1,"",'RNEW import'!E365)</f>
        <v>RFSC</v>
      </c>
      <c r="D367" s="211" t="str">
        <f>IF(COUNTBLANK('RNEW import'!K365)=1,"",'RNEW import'!K365)</f>
        <v>Tarife distributie en. El IT+MT</v>
      </c>
      <c r="E367" s="211">
        <f>IF(COUNTBLANK('RNEW import'!L365)=1,"",'RNEW import'!N365)</f>
        <v>870503</v>
      </c>
      <c r="F367" s="211">
        <f>IF(COUNTBLANK('RNEW import'!M365)=1,"",'RNEW import'!O365/10000)</f>
        <v>0.11483</v>
      </c>
      <c r="G367" s="217">
        <f t="shared" si="114"/>
        <v>99959.86</v>
      </c>
      <c r="H367" s="217">
        <f t="shared" si="107"/>
        <v>18992.37</v>
      </c>
      <c r="I367" s="329">
        <f t="shared" si="115"/>
        <v>118952.23</v>
      </c>
      <c r="J367" s="237" t="str">
        <f t="shared" si="102"/>
        <v/>
      </c>
      <c r="K367" s="238" t="str">
        <f t="shared" si="103"/>
        <v/>
      </c>
      <c r="L367" s="238" t="str">
        <f t="shared" si="104"/>
        <v/>
      </c>
      <c r="M367" s="238" t="str">
        <f t="shared" si="105"/>
        <v/>
      </c>
      <c r="N367" s="238" t="str">
        <f t="shared" si="106"/>
        <v/>
      </c>
      <c r="O367" s="232" t="str">
        <f t="shared" si="116"/>
        <v/>
      </c>
      <c r="P367" s="219" t="str">
        <f t="shared" si="108"/>
        <v/>
      </c>
      <c r="Q367" s="219" t="str">
        <f t="shared" si="109"/>
        <v/>
      </c>
      <c r="R367" s="219" t="str">
        <f t="shared" si="110"/>
        <v/>
      </c>
      <c r="S367" s="331" t="str">
        <f t="shared" si="111"/>
        <v/>
      </c>
      <c r="T367" s="331" t="str">
        <f t="shared" si="112"/>
        <v/>
      </c>
      <c r="U367" s="331" t="str">
        <f t="shared" si="113"/>
        <v/>
      </c>
    </row>
    <row r="368" spans="1:21" ht="15.95" customHeight="1">
      <c r="A368" s="211">
        <f>IF(COUNTBLANK('RNEW import'!B366)=1,"",'RNEW import'!B366)</f>
        <v>5</v>
      </c>
      <c r="B368" s="211" t="str">
        <f>IF(COUNTBLANK('RNEW import'!D366)=1,"",'RNEW import'!D366)</f>
        <v>Festival Shopping Center SRL</v>
      </c>
      <c r="C368" s="211" t="str">
        <f>IF(COUNTBLANK('RNEW import'!E366)=1,"",'RNEW import'!E366)</f>
        <v>RFSC</v>
      </c>
      <c r="D368" s="211" t="str">
        <f>IF(COUNTBLANK('RNEW import'!K366)=1,"",'RNEW import'!K366)</f>
        <v>Tarife distributie en. El JT</v>
      </c>
      <c r="E368" s="211">
        <f>IF(COUNTBLANK('RNEW import'!L366)=1,"",'RNEW import'!N366)</f>
        <v>0</v>
      </c>
      <c r="F368" s="211">
        <f>IF(COUNTBLANK('RNEW import'!M366)=1,"",'RNEW import'!O366/10000)</f>
        <v>0.2361</v>
      </c>
      <c r="G368" s="217">
        <f t="shared" si="114"/>
        <v>0</v>
      </c>
      <c r="H368" s="217">
        <f t="shared" si="107"/>
        <v>0</v>
      </c>
      <c r="I368" s="329">
        <f t="shared" si="115"/>
        <v>0</v>
      </c>
      <c r="J368" s="237" t="str">
        <f t="shared" si="102"/>
        <v/>
      </c>
      <c r="K368" s="238" t="str">
        <f t="shared" si="103"/>
        <v/>
      </c>
      <c r="L368" s="238" t="str">
        <f t="shared" si="104"/>
        <v/>
      </c>
      <c r="M368" s="238" t="str">
        <f t="shared" si="105"/>
        <v/>
      </c>
      <c r="N368" s="238" t="str">
        <f t="shared" si="106"/>
        <v/>
      </c>
      <c r="O368" s="232" t="str">
        <f t="shared" si="116"/>
        <v/>
      </c>
      <c r="P368" s="219" t="str">
        <f t="shared" si="108"/>
        <v/>
      </c>
      <c r="Q368" s="219" t="str">
        <f t="shared" si="109"/>
        <v/>
      </c>
      <c r="R368" s="219" t="str">
        <f t="shared" si="110"/>
        <v/>
      </c>
      <c r="S368" s="331" t="str">
        <f t="shared" si="111"/>
        <v/>
      </c>
      <c r="T368" s="331" t="str">
        <f t="shared" si="112"/>
        <v/>
      </c>
      <c r="U368" s="331" t="str">
        <f t="shared" si="113"/>
        <v/>
      </c>
    </row>
    <row r="369" spans="1:21" ht="15.95" customHeight="1">
      <c r="A369" s="211">
        <f>IF(COUNTBLANK('RNEW import'!B367)=1,"",'RNEW import'!B367)</f>
        <v>6</v>
      </c>
      <c r="B369" s="211" t="str">
        <f>IF(COUNTBLANK('RNEW import'!D367)=1,"",'RNEW import'!D367)</f>
        <v>Festival Shopping Center SRL</v>
      </c>
      <c r="C369" s="211" t="str">
        <f>IF(COUNTBLANK('RNEW import'!E367)=1,"",'RNEW import'!E367)</f>
        <v>RFSC</v>
      </c>
      <c r="D369" s="211" t="str">
        <f>IF(COUNTBLANK('RNEW import'!K367)=1,"",'RNEW import'!K367)</f>
        <v xml:space="preserve">Servicii Sistem </v>
      </c>
      <c r="E369" s="211">
        <f>IF(COUNTBLANK('RNEW import'!L367)=1,"",'RNEW import'!N367)</f>
        <v>870503</v>
      </c>
      <c r="F369" s="211">
        <f>IF(COUNTBLANK('RNEW import'!M367)=1,"",'RNEW import'!O367/10000)</f>
        <v>1.1509999999999999E-2</v>
      </c>
      <c r="G369" s="217">
        <f t="shared" si="114"/>
        <v>10019.49</v>
      </c>
      <c r="H369" s="217">
        <f t="shared" si="107"/>
        <v>1903.7</v>
      </c>
      <c r="I369" s="329">
        <f t="shared" si="115"/>
        <v>11923.19</v>
      </c>
      <c r="J369" s="237" t="str">
        <f t="shared" si="102"/>
        <v/>
      </c>
      <c r="K369" s="238" t="str">
        <f t="shared" si="103"/>
        <v/>
      </c>
      <c r="L369" s="238" t="str">
        <f t="shared" si="104"/>
        <v/>
      </c>
      <c r="M369" s="238" t="str">
        <f t="shared" si="105"/>
        <v/>
      </c>
      <c r="N369" s="238" t="str">
        <f t="shared" si="106"/>
        <v/>
      </c>
      <c r="O369" s="232" t="str">
        <f t="shared" si="116"/>
        <v/>
      </c>
      <c r="P369" s="219" t="str">
        <f t="shared" si="108"/>
        <v/>
      </c>
      <c r="Q369" s="219" t="str">
        <f t="shared" si="109"/>
        <v/>
      </c>
      <c r="R369" s="219" t="str">
        <f t="shared" si="110"/>
        <v/>
      </c>
      <c r="S369" s="331" t="str">
        <f t="shared" si="111"/>
        <v/>
      </c>
      <c r="T369" s="331" t="str">
        <f t="shared" si="112"/>
        <v/>
      </c>
      <c r="U369" s="331" t="str">
        <f t="shared" si="113"/>
        <v/>
      </c>
    </row>
    <row r="370" spans="1:21" ht="15.95" customHeight="1">
      <c r="A370" s="211">
        <f>IF(COUNTBLANK('RNEW import'!B368)=1,"",'RNEW import'!B368)</f>
        <v>7</v>
      </c>
      <c r="B370" s="211" t="str">
        <f>IF(COUNTBLANK('RNEW import'!D368)=1,"",'RNEW import'!D368)</f>
        <v>Festival Shopping Center SRL</v>
      </c>
      <c r="C370" s="211" t="str">
        <f>IF(COUNTBLANK('RNEW import'!E368)=1,"",'RNEW import'!E368)</f>
        <v>RFSC</v>
      </c>
      <c r="D370" s="211" t="str">
        <f>IF(COUNTBLANK('RNEW import'!K368)=1,"",'RNEW import'!K368)</f>
        <v>Tarif de introducere en. el in retea (TL)</v>
      </c>
      <c r="E370" s="211">
        <f>IF(COUNTBLANK('RNEW import'!L368)=1,"",'RNEW import'!N368)</f>
        <v>870503</v>
      </c>
      <c r="F370" s="211">
        <f>IF(COUNTBLANK('RNEW import'!M368)=1,"",'RNEW import'!O368/10000)</f>
        <v>3.3030000000000004E-2</v>
      </c>
      <c r="G370" s="217">
        <f t="shared" si="114"/>
        <v>28752.71</v>
      </c>
      <c r="H370" s="217">
        <f t="shared" si="107"/>
        <v>5463.01</v>
      </c>
      <c r="I370" s="329">
        <f t="shared" si="115"/>
        <v>34215.72</v>
      </c>
      <c r="J370" s="237" t="str">
        <f t="shared" si="102"/>
        <v/>
      </c>
      <c r="K370" s="238" t="str">
        <f t="shared" si="103"/>
        <v/>
      </c>
      <c r="L370" s="238" t="str">
        <f t="shared" si="104"/>
        <v/>
      </c>
      <c r="M370" s="238" t="str">
        <f t="shared" si="105"/>
        <v/>
      </c>
      <c r="N370" s="238" t="str">
        <f t="shared" si="106"/>
        <v/>
      </c>
      <c r="O370" s="232" t="str">
        <f t="shared" si="116"/>
        <v/>
      </c>
      <c r="P370" s="219" t="str">
        <f t="shared" si="108"/>
        <v/>
      </c>
      <c r="Q370" s="219" t="str">
        <f t="shared" si="109"/>
        <v/>
      </c>
      <c r="R370" s="219" t="str">
        <f t="shared" si="110"/>
        <v/>
      </c>
      <c r="S370" s="331" t="str">
        <f t="shared" si="111"/>
        <v/>
      </c>
      <c r="T370" s="331" t="str">
        <f t="shared" si="112"/>
        <v/>
      </c>
      <c r="U370" s="331" t="str">
        <f t="shared" si="113"/>
        <v/>
      </c>
    </row>
    <row r="371" spans="1:21" ht="15.95" customHeight="1">
      <c r="A371" s="211">
        <f>IF(COUNTBLANK('RNEW import'!B369)=1,"",'RNEW import'!B369)</f>
        <v>8</v>
      </c>
      <c r="B371" s="211" t="str">
        <f>IF(COUNTBLANK('RNEW import'!D369)=1,"",'RNEW import'!D369)</f>
        <v>Festival Shopping Center SRL</v>
      </c>
      <c r="C371" s="211" t="str">
        <f>IF(COUNTBLANK('RNEW import'!E369)=1,"",'RNEW import'!E369)</f>
        <v>RFSC</v>
      </c>
      <c r="D371" s="211" t="str">
        <f>IF(COUNTBLANK('RNEW import'!K369)=1,"",'RNEW import'!K369)</f>
        <v>Tarif de introducere en.el in retea (TG)</v>
      </c>
      <c r="E371" s="211">
        <f>IF(COUNTBLANK('RNEW import'!L369)=1,"",'RNEW import'!N369)</f>
        <v>870503</v>
      </c>
      <c r="F371" s="211">
        <f>IF(COUNTBLANK('RNEW import'!M369)=1,"",'RNEW import'!O369/10000)</f>
        <v>3.29E-3</v>
      </c>
      <c r="G371" s="217">
        <f t="shared" si="114"/>
        <v>2863.95</v>
      </c>
      <c r="H371" s="217">
        <f t="shared" si="107"/>
        <v>544.15</v>
      </c>
      <c r="I371" s="329">
        <f t="shared" si="115"/>
        <v>3408.1</v>
      </c>
      <c r="J371" s="237" t="str">
        <f t="shared" si="102"/>
        <v/>
      </c>
      <c r="K371" s="238" t="str">
        <f t="shared" si="103"/>
        <v/>
      </c>
      <c r="L371" s="238" t="str">
        <f t="shared" si="104"/>
        <v/>
      </c>
      <c r="M371" s="238" t="str">
        <f t="shared" si="105"/>
        <v/>
      </c>
      <c r="N371" s="238" t="str">
        <f t="shared" si="106"/>
        <v/>
      </c>
      <c r="O371" s="232" t="str">
        <f t="shared" si="116"/>
        <v/>
      </c>
      <c r="P371" s="219" t="str">
        <f t="shared" si="108"/>
        <v/>
      </c>
      <c r="Q371" s="219" t="str">
        <f t="shared" si="109"/>
        <v/>
      </c>
      <c r="R371" s="219" t="str">
        <f t="shared" si="110"/>
        <v/>
      </c>
      <c r="S371" s="331" t="str">
        <f t="shared" si="111"/>
        <v/>
      </c>
      <c r="T371" s="331" t="str">
        <f t="shared" si="112"/>
        <v/>
      </c>
      <c r="U371" s="331" t="str">
        <f t="shared" si="113"/>
        <v/>
      </c>
    </row>
    <row r="372" spans="1:21" ht="15.95" customHeight="1">
      <c r="A372" s="211">
        <f>IF(COUNTBLANK('RNEW import'!B370)=1,"",'RNEW import'!B370)</f>
        <v>9</v>
      </c>
      <c r="B372" s="211" t="str">
        <f>IF(COUNTBLANK('RNEW import'!D370)=1,"",'RNEW import'!D370)</f>
        <v>Festival Shopping Center SRL</v>
      </c>
      <c r="C372" s="211" t="str">
        <f>IF(COUNTBLANK('RNEW import'!E370)=1,"",'RNEW import'!E370)</f>
        <v>RFSC</v>
      </c>
      <c r="D372" s="211" t="str">
        <f>IF(COUNTBLANK('RNEW import'!K370)=1,"",'RNEW import'!K370)</f>
        <v>Contributie pentru cogenerare</v>
      </c>
      <c r="E372" s="211">
        <f>IF(COUNTBLANK('RNEW import'!L370)=1,"",'RNEW import'!N370)</f>
        <v>870503</v>
      </c>
      <c r="F372" s="211">
        <f>IF(COUNTBLANK('RNEW import'!M370)=1,"",'RNEW import'!O370/10000)</f>
        <v>3.5000000000000001E-3</v>
      </c>
      <c r="G372" s="217">
        <f t="shared" si="114"/>
        <v>3046.76</v>
      </c>
      <c r="H372" s="217">
        <f t="shared" si="107"/>
        <v>578.88</v>
      </c>
      <c r="I372" s="329">
        <f t="shared" si="115"/>
        <v>3625.6400000000003</v>
      </c>
      <c r="J372" s="237" t="str">
        <f t="shared" si="102"/>
        <v/>
      </c>
      <c r="K372" s="238" t="str">
        <f t="shared" si="103"/>
        <v/>
      </c>
      <c r="L372" s="238" t="str">
        <f t="shared" si="104"/>
        <v/>
      </c>
      <c r="M372" s="238" t="str">
        <f t="shared" si="105"/>
        <v/>
      </c>
      <c r="N372" s="238" t="str">
        <f t="shared" si="106"/>
        <v/>
      </c>
      <c r="O372" s="232" t="str">
        <f t="shared" si="116"/>
        <v/>
      </c>
      <c r="P372" s="219" t="str">
        <f t="shared" si="108"/>
        <v/>
      </c>
      <c r="Q372" s="219" t="str">
        <f t="shared" si="109"/>
        <v/>
      </c>
      <c r="R372" s="219" t="str">
        <f t="shared" si="110"/>
        <v/>
      </c>
      <c r="S372" s="331" t="str">
        <f t="shared" si="111"/>
        <v/>
      </c>
      <c r="T372" s="331" t="str">
        <f t="shared" si="112"/>
        <v/>
      </c>
      <c r="U372" s="331" t="str">
        <f t="shared" si="113"/>
        <v/>
      </c>
    </row>
    <row r="373" spans="1:21" ht="15.95" customHeight="1">
      <c r="A373" s="211">
        <f>IF(COUNTBLANK('RNEW import'!B371)=1,"",'RNEW import'!B371)</f>
        <v>10</v>
      </c>
      <c r="B373" s="211" t="str">
        <f>IF(COUNTBLANK('RNEW import'!D371)=1,"",'RNEW import'!D371)</f>
        <v>Festival Shopping Center SRL</v>
      </c>
      <c r="C373" s="211" t="str">
        <f>IF(COUNTBLANK('RNEW import'!E371)=1,"",'RNEW import'!E371)</f>
        <v>RFSC</v>
      </c>
      <c r="D373" s="211" t="str">
        <f>IF(COUNTBLANK('RNEW import'!K371)=1,"",'RNEW import'!K371)</f>
        <v xml:space="preserve">Certificate verzi </v>
      </c>
      <c r="E373" s="211">
        <f>IF(COUNTBLANK('RNEW import'!L371)=1,"",'RNEW import'!N371)</f>
        <v>870503</v>
      </c>
      <c r="F373" s="211">
        <f>IF(COUNTBLANK('RNEW import'!M371)=1,"",'RNEW import'!O371/10000)</f>
        <v>7.2541599999999998E-2</v>
      </c>
      <c r="G373" s="217">
        <f t="shared" si="114"/>
        <v>63147.68</v>
      </c>
      <c r="H373" s="217">
        <f t="shared" si="107"/>
        <v>11998.06</v>
      </c>
      <c r="I373" s="329">
        <f t="shared" si="115"/>
        <v>75145.740000000005</v>
      </c>
      <c r="J373" s="237" t="str">
        <f t="shared" si="102"/>
        <v/>
      </c>
      <c r="K373" s="238" t="str">
        <f t="shared" si="103"/>
        <v/>
      </c>
      <c r="L373" s="238" t="str">
        <f t="shared" si="104"/>
        <v/>
      </c>
      <c r="M373" s="238" t="str">
        <f t="shared" si="105"/>
        <v/>
      </c>
      <c r="N373" s="238" t="str">
        <f t="shared" si="106"/>
        <v/>
      </c>
      <c r="O373" s="232" t="str">
        <f t="shared" si="116"/>
        <v/>
      </c>
      <c r="P373" s="219" t="str">
        <f t="shared" si="108"/>
        <v/>
      </c>
      <c r="Q373" s="219" t="str">
        <f t="shared" si="109"/>
        <v/>
      </c>
      <c r="R373" s="219" t="str">
        <f t="shared" si="110"/>
        <v/>
      </c>
      <c r="S373" s="331" t="str">
        <f t="shared" si="111"/>
        <v/>
      </c>
      <c r="T373" s="331" t="str">
        <f t="shared" si="112"/>
        <v/>
      </c>
      <c r="U373" s="331" t="str">
        <f t="shared" si="113"/>
        <v/>
      </c>
    </row>
    <row r="374" spans="1:21" ht="15.95" customHeight="1">
      <c r="A374" s="211">
        <f>IF(COUNTBLANK('RNEW import'!B372)=1,"",'RNEW import'!B372)</f>
        <v>11</v>
      </c>
      <c r="B374" s="211" t="str">
        <f>IF(COUNTBLANK('RNEW import'!D372)=1,"",'RNEW import'!D372)</f>
        <v>Festival Shopping Center SRL</v>
      </c>
      <c r="C374" s="211" t="str">
        <f>IF(COUNTBLANK('RNEW import'!E372)=1,"",'RNEW import'!E372)</f>
        <v>RFSC</v>
      </c>
      <c r="D374" s="211" t="str">
        <f>IF(COUNTBLANK('RNEW import'!K372)=1,"",'RNEW import'!K372)</f>
        <v>Contributie CFD</v>
      </c>
      <c r="E374" s="211">
        <f>IF(COUNTBLANK('RNEW import'!L372)=1,"",'RNEW import'!N372)</f>
        <v>870503</v>
      </c>
      <c r="F374" s="211">
        <f>IF(COUNTBLANK('RNEW import'!M372)=1,"",'RNEW import'!O372/10000)</f>
        <v>2.0599999999999999E-4</v>
      </c>
      <c r="G374" s="217">
        <f t="shared" si="114"/>
        <v>179.32</v>
      </c>
      <c r="H374" s="217">
        <f t="shared" si="107"/>
        <v>34.07</v>
      </c>
      <c r="I374" s="329">
        <f t="shared" si="115"/>
        <v>213.39</v>
      </c>
      <c r="J374" s="237" t="str">
        <f t="shared" si="102"/>
        <v/>
      </c>
      <c r="K374" s="238" t="str">
        <f t="shared" si="103"/>
        <v/>
      </c>
      <c r="L374" s="238" t="str">
        <f t="shared" si="104"/>
        <v/>
      </c>
      <c r="M374" s="238" t="str">
        <f t="shared" si="105"/>
        <v/>
      </c>
      <c r="N374" s="238" t="str">
        <f t="shared" si="106"/>
        <v/>
      </c>
      <c r="O374" s="232" t="str">
        <f t="shared" si="116"/>
        <v/>
      </c>
      <c r="P374" s="219" t="str">
        <f t="shared" si="108"/>
        <v/>
      </c>
      <c r="Q374" s="219" t="str">
        <f t="shared" si="109"/>
        <v/>
      </c>
      <c r="R374" s="219" t="str">
        <f t="shared" si="110"/>
        <v/>
      </c>
      <c r="S374" s="331" t="str">
        <f t="shared" si="111"/>
        <v/>
      </c>
      <c r="T374" s="331" t="str">
        <f t="shared" si="112"/>
        <v/>
      </c>
      <c r="U374" s="331" t="str">
        <f t="shared" si="113"/>
        <v/>
      </c>
    </row>
    <row r="375" spans="1:21" ht="15.95" customHeight="1">
      <c r="A375" s="211">
        <f>IF(COUNTBLANK('RNEW import'!B373)=1,"",'RNEW import'!B373)</f>
        <v>12</v>
      </c>
      <c r="B375" s="211" t="str">
        <f>IF(COUNTBLANK('RNEW import'!D373)=1,"",'RNEW import'!D373)</f>
        <v>Festival Shopping Center SRL</v>
      </c>
      <c r="C375" s="211" t="str">
        <f>IF(COUNTBLANK('RNEW import'!E373)=1,"",'RNEW import'!E373)</f>
        <v>RFSC</v>
      </c>
      <c r="D375" s="211" t="str">
        <f>IF(COUNTBLANK('RNEW import'!K373)=1,"",'RNEW import'!K373)</f>
        <v>Acciza</v>
      </c>
      <c r="E375" s="211">
        <f>IF(COUNTBLANK('RNEW import'!L373)=1,"",'RNEW import'!N373)</f>
        <v>870503</v>
      </c>
      <c r="F375" s="211">
        <f>IF(COUNTBLANK('RNEW import'!M373)=1,"",'RNEW import'!O373/10000)</f>
        <v>0</v>
      </c>
      <c r="G375" s="217">
        <f t="shared" si="114"/>
        <v>0</v>
      </c>
      <c r="H375" s="217">
        <f t="shared" si="107"/>
        <v>0</v>
      </c>
      <c r="I375" s="329">
        <f t="shared" si="115"/>
        <v>0</v>
      </c>
      <c r="J375" s="237" t="str">
        <f t="shared" si="102"/>
        <v/>
      </c>
      <c r="K375" s="238" t="str">
        <f t="shared" si="103"/>
        <v/>
      </c>
      <c r="L375" s="238" t="str">
        <f t="shared" si="104"/>
        <v/>
      </c>
      <c r="M375" s="238" t="str">
        <f t="shared" si="105"/>
        <v/>
      </c>
      <c r="N375" s="238" t="str">
        <f t="shared" si="106"/>
        <v/>
      </c>
      <c r="O375" s="232" t="str">
        <f t="shared" si="116"/>
        <v/>
      </c>
      <c r="P375" s="219" t="str">
        <f t="shared" si="108"/>
        <v/>
      </c>
      <c r="Q375" s="219" t="str">
        <f t="shared" si="109"/>
        <v/>
      </c>
      <c r="R375" s="219" t="str">
        <f t="shared" si="110"/>
        <v/>
      </c>
      <c r="S375" s="331" t="str">
        <f t="shared" si="111"/>
        <v/>
      </c>
      <c r="T375" s="331" t="str">
        <f t="shared" si="112"/>
        <v/>
      </c>
      <c r="U375" s="331" t="str">
        <f t="shared" si="113"/>
        <v/>
      </c>
    </row>
    <row r="376" spans="1:21" ht="15.95" customHeight="1">
      <c r="A376" s="211">
        <f>IF(COUNTBLANK('RNEW import'!B374)=1,"",'RNEW import'!B374)</f>
        <v>13</v>
      </c>
      <c r="B376" s="211" t="str">
        <f>IF(COUNTBLANK('RNEW import'!D374)=1,"",'RNEW import'!D374)</f>
        <v>Festival Shopping Center SRL</v>
      </c>
      <c r="C376" s="211" t="str">
        <f>IF(COUNTBLANK('RNEW import'!E374)=1,"",'RNEW import'!E374)</f>
        <v>RFSC</v>
      </c>
      <c r="D376" s="211" t="str">
        <f>IF(COUNTBLANK('RNEW import'!K374)=1,"",'RNEW import'!K374)</f>
        <v>Tarif distributie SDI MT</v>
      </c>
      <c r="E376" s="211">
        <f>IF(COUNTBLANK('RNEW import'!L374)=1,"",'RNEW import'!N374)</f>
        <v>870503</v>
      </c>
      <c r="F376" s="211">
        <f>IF(COUNTBLANK('RNEW import'!M374)=1,"",'RNEW import'!O374/10000)</f>
        <v>1.26E-2</v>
      </c>
      <c r="G376" s="217">
        <f t="shared" si="114"/>
        <v>10968.34</v>
      </c>
      <c r="H376" s="217">
        <f t="shared" si="107"/>
        <v>2083.98</v>
      </c>
      <c r="I376" s="329">
        <f t="shared" si="115"/>
        <v>13052.32</v>
      </c>
      <c r="J376" s="237" t="str">
        <f t="shared" si="102"/>
        <v/>
      </c>
      <c r="K376" s="238" t="str">
        <f t="shared" si="103"/>
        <v/>
      </c>
      <c r="L376" s="238" t="str">
        <f t="shared" si="104"/>
        <v/>
      </c>
      <c r="M376" s="238" t="str">
        <f t="shared" si="105"/>
        <v/>
      </c>
      <c r="N376" s="238" t="str">
        <f t="shared" si="106"/>
        <v/>
      </c>
      <c r="O376" s="232" t="str">
        <f t="shared" si="116"/>
        <v/>
      </c>
      <c r="P376" s="219" t="str">
        <f t="shared" si="108"/>
        <v/>
      </c>
      <c r="Q376" s="219" t="str">
        <f t="shared" si="109"/>
        <v/>
      </c>
      <c r="R376" s="219" t="str">
        <f t="shared" si="110"/>
        <v/>
      </c>
      <c r="S376" s="331" t="str">
        <f t="shared" si="111"/>
        <v/>
      </c>
      <c r="T376" s="331" t="str">
        <f t="shared" si="112"/>
        <v/>
      </c>
      <c r="U376" s="331" t="str">
        <f t="shared" si="113"/>
        <v/>
      </c>
    </row>
    <row r="377" spans="1:21" ht="15.95" customHeight="1">
      <c r="A377" s="211">
        <f>IF(COUNTBLANK('RNEW import'!B375)=1,"",'RNEW import'!B375)</f>
        <v>14</v>
      </c>
      <c r="B377" s="211" t="str">
        <f>IF(COUNTBLANK('RNEW import'!D375)=1,"",'RNEW import'!D375)</f>
        <v>Festival Shopping Center SRL</v>
      </c>
      <c r="C377" s="211" t="str">
        <f>IF(COUNTBLANK('RNEW import'!E375)=1,"",'RNEW import'!E375)</f>
        <v>RFSC</v>
      </c>
      <c r="D377" s="211" t="str">
        <f>IF(COUNTBLANK('RNEW import'!K375)=1,"",'RNEW import'!K375)</f>
        <v>Tarif distributie SDI JT</v>
      </c>
      <c r="E377" s="211">
        <f>IF(COUNTBLANK('RNEW import'!L375)=1,"",'RNEW import'!N375)</f>
        <v>571669</v>
      </c>
      <c r="F377" s="211">
        <f>IF(COUNTBLANK('RNEW import'!M375)=1,"",'RNEW import'!O375/10000)</f>
        <v>9.2700000000000005E-2</v>
      </c>
      <c r="G377" s="217">
        <f t="shared" si="114"/>
        <v>52993.72</v>
      </c>
      <c r="H377" s="217">
        <f t="shared" si="107"/>
        <v>10068.81</v>
      </c>
      <c r="I377" s="329">
        <f t="shared" si="115"/>
        <v>63062.53</v>
      </c>
      <c r="J377" s="237" t="str">
        <f t="shared" si="102"/>
        <v/>
      </c>
      <c r="K377" s="238" t="str">
        <f t="shared" si="103"/>
        <v/>
      </c>
      <c r="L377" s="238" t="str">
        <f t="shared" si="104"/>
        <v/>
      </c>
      <c r="M377" s="238" t="str">
        <f t="shared" si="105"/>
        <v/>
      </c>
      <c r="N377" s="238" t="str">
        <f t="shared" si="106"/>
        <v/>
      </c>
      <c r="O377" s="233" t="str">
        <f t="shared" si="116"/>
        <v/>
      </c>
      <c r="P377" s="219" t="str">
        <f t="shared" si="108"/>
        <v/>
      </c>
      <c r="Q377" s="219" t="str">
        <f t="shared" si="109"/>
        <v/>
      </c>
      <c r="R377" s="219" t="str">
        <f t="shared" si="110"/>
        <v/>
      </c>
      <c r="S377" s="331" t="str">
        <f t="shared" si="111"/>
        <v/>
      </c>
      <c r="T377" s="331" t="str">
        <f t="shared" si="112"/>
        <v/>
      </c>
      <c r="U377" s="331" t="str">
        <f t="shared" si="113"/>
        <v/>
      </c>
    </row>
    <row r="378" spans="1:21" ht="15.95" customHeight="1">
      <c r="A378" s="211">
        <f>IF(COUNTBLANK('RNEW import'!B376)=1,"",'RNEW import'!B376)</f>
        <v>15</v>
      </c>
      <c r="B378" s="211" t="str">
        <f>IF(COUNTBLANK('RNEW import'!D376)=1,"",'RNEW import'!D376)</f>
        <v>Festival Shopping Center SRL</v>
      </c>
      <c r="C378" s="211" t="str">
        <f>IF(COUNTBLANK('RNEW import'!E376)=1,"",'RNEW import'!E376)</f>
        <v>RFSC</v>
      </c>
      <c r="D378" s="211" t="str">
        <f>IF(COUNTBLANK('RNEW import'!K376)=1,"",'RNEW import'!K376)</f>
        <v>Energie activa 2</v>
      </c>
      <c r="E378" s="211">
        <f>IF(COUNTBLANK('RNEW import'!L376)=1,"",'RNEW import'!N376)</f>
        <v>44103</v>
      </c>
      <c r="F378" s="211">
        <f>IF(COUNTBLANK('RNEW import'!M376)=1,"",'RNEW import'!O376/10000)</f>
        <v>0.93920760000000014</v>
      </c>
      <c r="G378" s="217">
        <f t="shared" si="114"/>
        <v>41421.870000000003</v>
      </c>
      <c r="H378" s="217">
        <f t="shared" si="107"/>
        <v>7870.16</v>
      </c>
      <c r="I378" s="329">
        <f t="shared" si="115"/>
        <v>49292.03</v>
      </c>
      <c r="J378" s="237" t="str">
        <f t="shared" si="102"/>
        <v/>
      </c>
      <c r="K378" s="238" t="str">
        <f t="shared" si="103"/>
        <v/>
      </c>
      <c r="L378" s="238" t="str">
        <f t="shared" si="104"/>
        <v/>
      </c>
      <c r="M378" s="238" t="str">
        <f t="shared" si="105"/>
        <v/>
      </c>
      <c r="N378" s="238" t="str">
        <f t="shared" si="106"/>
        <v/>
      </c>
      <c r="O378" s="218" t="str">
        <f t="shared" si="116"/>
        <v/>
      </c>
      <c r="P378" s="219" t="str">
        <f t="shared" si="108"/>
        <v/>
      </c>
      <c r="Q378" s="219" t="str">
        <f t="shared" si="109"/>
        <v/>
      </c>
      <c r="R378" s="219" t="str">
        <f t="shared" si="110"/>
        <v/>
      </c>
      <c r="S378" s="331" t="str">
        <f t="shared" si="111"/>
        <v/>
      </c>
      <c r="T378" s="331" t="str">
        <f t="shared" si="112"/>
        <v/>
      </c>
      <c r="U378" s="331" t="str">
        <f t="shared" si="113"/>
        <v/>
      </c>
    </row>
    <row r="379" spans="1:21" ht="15.95" customHeight="1">
      <c r="A379" s="211">
        <f>IF(COUNTBLANK('RNEW import'!B377)=1,"",'RNEW import'!B377)</f>
        <v>16</v>
      </c>
      <c r="B379" s="211" t="str">
        <f>IF(COUNTBLANK('RNEW import'!D377)=1,"",'RNEW import'!D377)</f>
        <v>Festival Shopping Center SRL</v>
      </c>
      <c r="C379" s="211" t="str">
        <f>IF(COUNTBLANK('RNEW import'!E377)=1,"",'RNEW import'!E377)</f>
        <v>RFSC</v>
      </c>
      <c r="D379" s="211" t="str">
        <f>IF(COUNTBLANK('RNEW import'!K377)=1,"",'RNEW import'!K377)</f>
        <v>Energie activa 3</v>
      </c>
      <c r="E379" s="211">
        <f>IF(COUNTBLANK('RNEW import'!L377)=1,"",'RNEW import'!N377)</f>
        <v>0</v>
      </c>
      <c r="F379" s="211">
        <f>IF(COUNTBLANK('RNEW import'!M377)=1,"",'RNEW import'!O377/10000)</f>
        <v>0.83390760000000008</v>
      </c>
      <c r="G379" s="217">
        <f t="shared" si="114"/>
        <v>0</v>
      </c>
      <c r="H379" s="217">
        <f t="shared" si="107"/>
        <v>0</v>
      </c>
      <c r="I379" s="329">
        <f t="shared" si="115"/>
        <v>0</v>
      </c>
      <c r="J379" s="237" t="str">
        <f t="shared" si="102"/>
        <v/>
      </c>
      <c r="K379" s="238" t="str">
        <f t="shared" si="103"/>
        <v/>
      </c>
      <c r="L379" s="238" t="str">
        <f t="shared" si="104"/>
        <v/>
      </c>
      <c r="M379" s="238" t="str">
        <f t="shared" si="105"/>
        <v/>
      </c>
      <c r="N379" s="238" t="str">
        <f t="shared" si="106"/>
        <v/>
      </c>
      <c r="O379" s="232" t="str">
        <f t="shared" si="116"/>
        <v/>
      </c>
      <c r="P379" s="219" t="str">
        <f t="shared" si="108"/>
        <v/>
      </c>
      <c r="Q379" s="219" t="str">
        <f t="shared" si="109"/>
        <v/>
      </c>
      <c r="R379" s="219" t="str">
        <f t="shared" si="110"/>
        <v/>
      </c>
      <c r="S379" s="331" t="str">
        <f t="shared" si="111"/>
        <v/>
      </c>
      <c r="T379" s="331" t="str">
        <f t="shared" si="112"/>
        <v/>
      </c>
      <c r="U379" s="331" t="str">
        <f t="shared" si="113"/>
        <v/>
      </c>
    </row>
    <row r="380" spans="1:21" ht="15.95" customHeight="1">
      <c r="A380" s="211">
        <f>IF(COUNTBLANK('RNEW import'!B378)=1,"",'RNEW import'!B378)</f>
        <v>17</v>
      </c>
      <c r="B380" s="211" t="str">
        <f>IF(COUNTBLANK('RNEW import'!D378)=1,"",'RNEW import'!D378)</f>
        <v>Festival Shopping Center SRL</v>
      </c>
      <c r="C380" s="211" t="str">
        <f>IF(COUNTBLANK('RNEW import'!E378)=1,"",'RNEW import'!E378)</f>
        <v>RFSC</v>
      </c>
      <c r="D380" s="211" t="str">
        <f>IF(COUNTBLANK('RNEW import'!K378)=1,"",'RNEW import'!K378)</f>
        <v>Tarif distributie SDI MT_</v>
      </c>
      <c r="E380" s="211">
        <f>IF(COUNTBLANK('RNEW import'!L378)=1,"",'RNEW import'!N378)</f>
        <v>0</v>
      </c>
      <c r="F380" s="211">
        <f>IF(COUNTBLANK('RNEW import'!M378)=1,"",'RNEW import'!O378/10000)</f>
        <v>1.26E-2</v>
      </c>
      <c r="G380" s="217">
        <f t="shared" si="114"/>
        <v>0</v>
      </c>
      <c r="H380" s="217">
        <f t="shared" si="107"/>
        <v>0</v>
      </c>
      <c r="I380" s="329">
        <f t="shared" si="115"/>
        <v>0</v>
      </c>
      <c r="J380" s="237" t="str">
        <f t="shared" si="102"/>
        <v/>
      </c>
      <c r="K380" s="238" t="str">
        <f t="shared" si="103"/>
        <v/>
      </c>
      <c r="L380" s="238" t="str">
        <f t="shared" si="104"/>
        <v/>
      </c>
      <c r="M380" s="238" t="str">
        <f t="shared" si="105"/>
        <v/>
      </c>
      <c r="N380" s="238" t="str">
        <f t="shared" si="106"/>
        <v/>
      </c>
      <c r="O380" s="232" t="str">
        <f t="shared" si="116"/>
        <v/>
      </c>
      <c r="P380" s="219" t="str">
        <f t="shared" si="108"/>
        <v/>
      </c>
      <c r="Q380" s="219" t="str">
        <f t="shared" si="109"/>
        <v/>
      </c>
      <c r="R380" s="219" t="str">
        <f t="shared" si="110"/>
        <v/>
      </c>
      <c r="S380" s="331" t="str">
        <f t="shared" si="111"/>
        <v/>
      </c>
      <c r="T380" s="331" t="str">
        <f t="shared" si="112"/>
        <v/>
      </c>
      <c r="U380" s="331" t="str">
        <f t="shared" si="113"/>
        <v/>
      </c>
    </row>
    <row r="381" spans="1:21" ht="15.95" customHeight="1">
      <c r="A381" s="211">
        <f>IF(COUNTBLANK('RNEW import'!B379)=1,"",'RNEW import'!B379)</f>
        <v>18</v>
      </c>
      <c r="B381" s="211" t="str">
        <f>IF(COUNTBLANK('RNEW import'!D379)=1,"",'RNEW import'!D379)</f>
        <v>Festival Shopping Center SRL</v>
      </c>
      <c r="C381" s="211" t="str">
        <f>IF(COUNTBLANK('RNEW import'!E379)=1,"",'RNEW import'!E379)</f>
        <v>RFSC</v>
      </c>
      <c r="D381" s="211" t="str">
        <f>IF(COUNTBLANK('RNEW import'!K379)=1,"",'RNEW import'!K379)</f>
        <v>Tarif distributie SDI JT_</v>
      </c>
      <c r="E381" s="211">
        <f>IF(COUNTBLANK('RNEW import'!L379)=1,"",'RNEW import'!N379)</f>
        <v>0</v>
      </c>
      <c r="F381" s="211">
        <f>IF(COUNTBLANK('RNEW import'!M379)=1,"",'RNEW import'!O379/10000)</f>
        <v>9.2700000000000005E-2</v>
      </c>
      <c r="G381" s="217">
        <f t="shared" si="114"/>
        <v>0</v>
      </c>
      <c r="H381" s="217">
        <f t="shared" si="107"/>
        <v>0</v>
      </c>
      <c r="I381" s="329">
        <f t="shared" si="115"/>
        <v>0</v>
      </c>
      <c r="J381" s="237" t="str">
        <f t="shared" si="102"/>
        <v/>
      </c>
      <c r="K381" s="238" t="str">
        <f t="shared" si="103"/>
        <v/>
      </c>
      <c r="L381" s="238" t="str">
        <f t="shared" si="104"/>
        <v/>
      </c>
      <c r="M381" s="238" t="str">
        <f t="shared" si="105"/>
        <v/>
      </c>
      <c r="N381" s="238" t="str">
        <f t="shared" si="106"/>
        <v/>
      </c>
      <c r="O381" s="232" t="str">
        <f t="shared" si="116"/>
        <v/>
      </c>
      <c r="P381" s="219" t="str">
        <f t="shared" si="108"/>
        <v>Energie consumata din PV</v>
      </c>
      <c r="Q381" s="219">
        <f t="shared" si="109"/>
        <v>44103</v>
      </c>
      <c r="R381" s="219">
        <f t="shared" si="110"/>
        <v>0.93920800000000004</v>
      </c>
      <c r="S381" s="331">
        <f t="shared" si="111"/>
        <v>41421.870000000003</v>
      </c>
      <c r="T381" s="331">
        <f t="shared" si="112"/>
        <v>7870.16</v>
      </c>
      <c r="U381" s="331">
        <f t="shared" si="113"/>
        <v>49292.03</v>
      </c>
    </row>
    <row r="382" spans="1:21" ht="15.95" customHeight="1">
      <c r="A382" s="211">
        <f>IF(COUNTBLANK('RNEW import'!B380)=1,"",'RNEW import'!B380)</f>
        <v>19</v>
      </c>
      <c r="B382" s="211" t="str">
        <f>IF(COUNTBLANK('RNEW import'!D380)=1,"",'RNEW import'!D380)</f>
        <v>Festival Shopping Center SRL</v>
      </c>
      <c r="C382" s="211" t="str">
        <f>IF(COUNTBLANK('RNEW import'!E380)=1,"",'RNEW import'!E380)</f>
        <v>RFSC</v>
      </c>
      <c r="D382" s="211" t="str">
        <f>IF(COUNTBLANK('RNEW import'!K380)=1,"",'RNEW import'!K380)</f>
        <v>Regularizare Energie activa 1</v>
      </c>
      <c r="E382" s="211">
        <f>IF(COUNTBLANK('RNEW import'!L380)=1,"",'RNEW import'!N380)</f>
        <v>0</v>
      </c>
      <c r="F382" s="211">
        <f>IF(COUNTBLANK('RNEW import'!M380)=1,"",'RNEW import'!O380/10000)</f>
        <v>0.59499999999999997</v>
      </c>
      <c r="G382" s="217">
        <f t="shared" si="114"/>
        <v>0</v>
      </c>
      <c r="H382" s="217">
        <f t="shared" si="107"/>
        <v>0</v>
      </c>
      <c r="I382" s="329">
        <f t="shared" si="115"/>
        <v>0</v>
      </c>
      <c r="J382" s="237" t="str">
        <f t="shared" si="102"/>
        <v/>
      </c>
      <c r="K382" s="238" t="str">
        <f t="shared" si="103"/>
        <v/>
      </c>
      <c r="L382" s="238" t="str">
        <f t="shared" si="104"/>
        <v/>
      </c>
      <c r="M382" s="238" t="str">
        <f t="shared" si="105"/>
        <v/>
      </c>
      <c r="N382" s="238" t="str">
        <f t="shared" si="106"/>
        <v/>
      </c>
      <c r="O382" s="232" t="str">
        <f t="shared" si="116"/>
        <v/>
      </c>
      <c r="P382" s="219" t="str">
        <f t="shared" si="108"/>
        <v>Energie activa regularizare</v>
      </c>
      <c r="Q382" s="219">
        <f t="shared" si="109"/>
        <v>0</v>
      </c>
      <c r="R382" s="219">
        <f t="shared" si="110"/>
        <v>0</v>
      </c>
      <c r="S382" s="331">
        <f t="shared" si="111"/>
        <v>0</v>
      </c>
      <c r="T382" s="331">
        <f t="shared" si="112"/>
        <v>0</v>
      </c>
      <c r="U382" s="331">
        <f t="shared" si="113"/>
        <v>0</v>
      </c>
    </row>
    <row r="383" spans="1:21" ht="15.95" customHeight="1">
      <c r="A383" s="211">
        <f>IF(COUNTBLANK('RNEW import'!B381)=1,"",'RNEW import'!B381)</f>
        <v>20</v>
      </c>
      <c r="B383" s="211" t="str">
        <f>IF(COUNTBLANK('RNEW import'!D381)=1,"",'RNEW import'!D381)</f>
        <v>Festival Shopping Center SRL</v>
      </c>
      <c r="C383" s="211" t="str">
        <f>IF(COUNTBLANK('RNEW import'!E381)=1,"",'RNEW import'!E381)</f>
        <v>RFSC</v>
      </c>
      <c r="D383" s="211" t="str">
        <f>IF(COUNTBLANK('RNEW import'!K381)=1,"",'RNEW import'!K381)</f>
        <v>Regularizare Energie reactiva  1X</v>
      </c>
      <c r="E383" s="211">
        <f>IF(COUNTBLANK('RNEW import'!L381)=1,"",'RNEW import'!N381)</f>
        <v>0</v>
      </c>
      <c r="F383" s="211">
        <f>IF(COUNTBLANK('RNEW import'!M381)=1,"",'RNEW import'!O381/10000)</f>
        <v>0.14649999999999999</v>
      </c>
      <c r="G383" s="217">
        <f t="shared" si="114"/>
        <v>0</v>
      </c>
      <c r="H383" s="217">
        <f t="shared" si="107"/>
        <v>0</v>
      </c>
      <c r="I383" s="329">
        <f t="shared" si="115"/>
        <v>0</v>
      </c>
      <c r="J383" s="237" t="str">
        <f t="shared" si="102"/>
        <v/>
      </c>
      <c r="K383" s="238" t="str">
        <f t="shared" si="103"/>
        <v/>
      </c>
      <c r="L383" s="238" t="str">
        <f t="shared" si="104"/>
        <v/>
      </c>
      <c r="M383" s="238" t="str">
        <f t="shared" si="105"/>
        <v/>
      </c>
      <c r="N383" s="238" t="str">
        <f t="shared" si="106"/>
        <v/>
      </c>
      <c r="O383" s="232" t="str">
        <f t="shared" si="116"/>
        <v/>
      </c>
      <c r="P383" s="219" t="str">
        <f t="shared" si="108"/>
        <v>Energie reactiva 1x regularizare</v>
      </c>
      <c r="Q383" s="219">
        <f t="shared" si="109"/>
        <v>0</v>
      </c>
      <c r="R383" s="219">
        <f t="shared" si="110"/>
        <v>0.14649999999999999</v>
      </c>
      <c r="S383" s="331">
        <f t="shared" si="111"/>
        <v>0</v>
      </c>
      <c r="T383" s="331">
        <f t="shared" si="112"/>
        <v>0</v>
      </c>
      <c r="U383" s="331">
        <f t="shared" si="113"/>
        <v>0</v>
      </c>
    </row>
    <row r="384" spans="1:21" ht="15.95" customHeight="1">
      <c r="A384" s="211">
        <f>IF(COUNTBLANK('RNEW import'!B382)=1,"",'RNEW import'!B382)</f>
        <v>21</v>
      </c>
      <c r="B384" s="211" t="str">
        <f>IF(COUNTBLANK('RNEW import'!D382)=1,"",'RNEW import'!D382)</f>
        <v>Festival Shopping Center SRL</v>
      </c>
      <c r="C384" s="211" t="str">
        <f>IF(COUNTBLANK('RNEW import'!E382)=1,"",'RNEW import'!E382)</f>
        <v>RFSC</v>
      </c>
      <c r="D384" s="211" t="str">
        <f>IF(COUNTBLANK('RNEW import'!K382)=1,"",'RNEW import'!K382)</f>
        <v>Regularizare Energie reactiva  3X</v>
      </c>
      <c r="E384" s="211">
        <f>IF(COUNTBLANK('RNEW import'!L382)=1,"",'RNEW import'!N382)</f>
        <v>0</v>
      </c>
      <c r="F384" s="211">
        <f>IF(COUNTBLANK('RNEW import'!M382)=1,"",'RNEW import'!O382/10000)</f>
        <v>0.4395</v>
      </c>
      <c r="G384" s="217">
        <f t="shared" si="114"/>
        <v>0</v>
      </c>
      <c r="H384" s="217">
        <f t="shared" si="107"/>
        <v>0</v>
      </c>
      <c r="I384" s="329">
        <f t="shared" si="115"/>
        <v>0</v>
      </c>
      <c r="J384" s="237" t="str">
        <f t="shared" si="102"/>
        <v/>
      </c>
      <c r="K384" s="238" t="str">
        <f t="shared" si="103"/>
        <v/>
      </c>
      <c r="L384" s="238" t="str">
        <f t="shared" si="104"/>
        <v/>
      </c>
      <c r="M384" s="238" t="str">
        <f t="shared" si="105"/>
        <v/>
      </c>
      <c r="N384" s="238" t="str">
        <f t="shared" si="106"/>
        <v/>
      </c>
      <c r="O384" s="232" t="str">
        <f t="shared" si="116"/>
        <v/>
      </c>
      <c r="P384" s="219" t="str">
        <f t="shared" si="108"/>
        <v>Energie reactiva 3x regularizare</v>
      </c>
      <c r="Q384" s="219">
        <f t="shared" si="109"/>
        <v>0</v>
      </c>
      <c r="R384" s="219">
        <f t="shared" si="110"/>
        <v>0.4395</v>
      </c>
      <c r="S384" s="331">
        <f t="shared" si="111"/>
        <v>0</v>
      </c>
      <c r="T384" s="331">
        <f t="shared" si="112"/>
        <v>0</v>
      </c>
      <c r="U384" s="331">
        <f t="shared" si="113"/>
        <v>0</v>
      </c>
    </row>
    <row r="385" spans="1:21" ht="15.95" customHeight="1">
      <c r="A385" s="211">
        <f>IF(COUNTBLANK('RNEW import'!B383)=1,"",'RNEW import'!B383)</f>
        <v>22</v>
      </c>
      <c r="B385" s="211" t="str">
        <f>IF(COUNTBLANK('RNEW import'!D383)=1,"",'RNEW import'!D383)</f>
        <v>Festival Shopping Center SRL</v>
      </c>
      <c r="C385" s="211" t="str">
        <f>IF(COUNTBLANK('RNEW import'!E383)=1,"",'RNEW import'!E383)</f>
        <v>RFSC</v>
      </c>
      <c r="D385" s="211" t="str">
        <f>IF(COUNTBLANK('RNEW import'!K383)=1,"",'RNEW import'!K383)</f>
        <v>Regularizare Tarife distributie en. El IT+MT</v>
      </c>
      <c r="E385" s="211">
        <f>IF(COUNTBLANK('RNEW import'!L383)=1,"",'RNEW import'!N383)</f>
        <v>0</v>
      </c>
      <c r="F385" s="211">
        <f>IF(COUNTBLANK('RNEW import'!M383)=1,"",'RNEW import'!O383/10000)</f>
        <v>0.11483</v>
      </c>
      <c r="G385" s="217">
        <f t="shared" si="114"/>
        <v>0</v>
      </c>
      <c r="H385" s="217">
        <f t="shared" si="107"/>
        <v>0</v>
      </c>
      <c r="I385" s="329">
        <f t="shared" si="115"/>
        <v>0</v>
      </c>
      <c r="J385" s="237" t="str">
        <f t="shared" si="102"/>
        <v/>
      </c>
      <c r="K385" s="238" t="str">
        <f t="shared" si="103"/>
        <v/>
      </c>
      <c r="L385" s="238" t="str">
        <f t="shared" si="104"/>
        <v/>
      </c>
      <c r="M385" s="238" t="str">
        <f t="shared" si="105"/>
        <v/>
      </c>
      <c r="N385" s="238" t="str">
        <f t="shared" si="106"/>
        <v/>
      </c>
      <c r="O385" s="232" t="str">
        <f t="shared" si="116"/>
        <v/>
      </c>
      <c r="P385" s="219" t="str">
        <f t="shared" si="108"/>
        <v/>
      </c>
      <c r="Q385" s="219" t="str">
        <f t="shared" si="109"/>
        <v/>
      </c>
      <c r="R385" s="219" t="str">
        <f t="shared" si="110"/>
        <v/>
      </c>
      <c r="S385" s="331" t="str">
        <f t="shared" si="111"/>
        <v/>
      </c>
      <c r="T385" s="331" t="str">
        <f t="shared" si="112"/>
        <v/>
      </c>
      <c r="U385" s="331" t="str">
        <f t="shared" si="113"/>
        <v/>
      </c>
    </row>
    <row r="386" spans="1:21" ht="15.95" customHeight="1">
      <c r="A386" s="211">
        <f>IF(COUNTBLANK('RNEW import'!B384)=1,"",'RNEW import'!B384)</f>
        <v>23</v>
      </c>
      <c r="B386" s="211" t="str">
        <f>IF(COUNTBLANK('RNEW import'!D384)=1,"",'RNEW import'!D384)</f>
        <v>Festival Shopping Center SRL</v>
      </c>
      <c r="C386" s="211" t="str">
        <f>IF(COUNTBLANK('RNEW import'!E384)=1,"",'RNEW import'!E384)</f>
        <v>RFSC</v>
      </c>
      <c r="D386" s="211" t="str">
        <f>IF(COUNTBLANK('RNEW import'!K384)=1,"",'RNEW import'!K384)</f>
        <v>Regularizare Tarife distributie en. El JT</v>
      </c>
      <c r="E386" s="211">
        <f>IF(COUNTBLANK('RNEW import'!L384)=1,"",'RNEW import'!N384)</f>
        <v>0</v>
      </c>
      <c r="F386" s="211">
        <f>IF(COUNTBLANK('RNEW import'!M384)=1,"",'RNEW import'!O384/10000)</f>
        <v>0.2361</v>
      </c>
      <c r="G386" s="217">
        <f t="shared" si="114"/>
        <v>0</v>
      </c>
      <c r="H386" s="217">
        <f t="shared" si="107"/>
        <v>0</v>
      </c>
      <c r="I386" s="329">
        <f t="shared" si="115"/>
        <v>0</v>
      </c>
      <c r="J386" s="237" t="str">
        <f t="shared" si="102"/>
        <v/>
      </c>
      <c r="K386" s="238" t="str">
        <f t="shared" si="103"/>
        <v/>
      </c>
      <c r="L386" s="238" t="str">
        <f t="shared" si="104"/>
        <v/>
      </c>
      <c r="M386" s="238" t="str">
        <f t="shared" si="105"/>
        <v/>
      </c>
      <c r="N386" s="238" t="str">
        <f t="shared" si="106"/>
        <v/>
      </c>
      <c r="O386" s="232" t="str">
        <f t="shared" si="116"/>
        <v/>
      </c>
      <c r="P386" s="219" t="str">
        <f t="shared" si="108"/>
        <v/>
      </c>
      <c r="Q386" s="219" t="str">
        <f t="shared" si="109"/>
        <v/>
      </c>
      <c r="R386" s="219" t="str">
        <f t="shared" si="110"/>
        <v/>
      </c>
      <c r="S386" s="331" t="str">
        <f t="shared" si="111"/>
        <v/>
      </c>
      <c r="T386" s="331" t="str">
        <f t="shared" si="112"/>
        <v/>
      </c>
      <c r="U386" s="331" t="str">
        <f t="shared" si="113"/>
        <v/>
      </c>
    </row>
    <row r="387" spans="1:21" ht="15.95" customHeight="1">
      <c r="A387" s="211">
        <f>IF(COUNTBLANK('RNEW import'!B385)=1,"",'RNEW import'!B385)</f>
        <v>24</v>
      </c>
      <c r="B387" s="211" t="str">
        <f>IF(COUNTBLANK('RNEW import'!D385)=1,"",'RNEW import'!D385)</f>
        <v>Festival Shopping Center SRL</v>
      </c>
      <c r="C387" s="211" t="str">
        <f>IF(COUNTBLANK('RNEW import'!E385)=1,"",'RNEW import'!E385)</f>
        <v>RFSC</v>
      </c>
      <c r="D387" s="211" t="str">
        <f>IF(COUNTBLANK('RNEW import'!K385)=1,"",'RNEW import'!K385)</f>
        <v xml:space="preserve">Regularizare Servicii Sistem </v>
      </c>
      <c r="E387" s="211">
        <f>IF(COUNTBLANK('RNEW import'!L385)=1,"",'RNEW import'!N385)</f>
        <v>0</v>
      </c>
      <c r="F387" s="211">
        <f>IF(COUNTBLANK('RNEW import'!M385)=1,"",'RNEW import'!O385/10000)</f>
        <v>1.1509999999999999E-2</v>
      </c>
      <c r="G387" s="217">
        <f t="shared" si="114"/>
        <v>0</v>
      </c>
      <c r="H387" s="217">
        <f t="shared" si="107"/>
        <v>0</v>
      </c>
      <c r="I387" s="329">
        <f t="shared" si="115"/>
        <v>0</v>
      </c>
      <c r="J387" s="237" t="str">
        <f t="shared" si="102"/>
        <v/>
      </c>
      <c r="K387" s="238" t="str">
        <f t="shared" si="103"/>
        <v/>
      </c>
      <c r="L387" s="238" t="str">
        <f t="shared" si="104"/>
        <v/>
      </c>
      <c r="M387" s="238" t="str">
        <f t="shared" si="105"/>
        <v/>
      </c>
      <c r="N387" s="238" t="str">
        <f t="shared" si="106"/>
        <v/>
      </c>
      <c r="O387" s="232" t="str">
        <f t="shared" si="116"/>
        <v/>
      </c>
      <c r="P387" s="219" t="str">
        <f t="shared" si="108"/>
        <v/>
      </c>
      <c r="Q387" s="219" t="str">
        <f t="shared" si="109"/>
        <v/>
      </c>
      <c r="R387" s="219" t="str">
        <f t="shared" si="110"/>
        <v/>
      </c>
      <c r="S387" s="331" t="str">
        <f t="shared" si="111"/>
        <v/>
      </c>
      <c r="T387" s="331" t="str">
        <f t="shared" si="112"/>
        <v/>
      </c>
      <c r="U387" s="331" t="str">
        <f t="shared" si="113"/>
        <v/>
      </c>
    </row>
    <row r="388" spans="1:21" ht="15.95" customHeight="1">
      <c r="A388" s="211">
        <f>IF(COUNTBLANK('RNEW import'!B386)=1,"",'RNEW import'!B386)</f>
        <v>25</v>
      </c>
      <c r="B388" s="211" t="str">
        <f>IF(COUNTBLANK('RNEW import'!D386)=1,"",'RNEW import'!D386)</f>
        <v>Festival Shopping Center SRL</v>
      </c>
      <c r="C388" s="211" t="str">
        <f>IF(COUNTBLANK('RNEW import'!E386)=1,"",'RNEW import'!E386)</f>
        <v>RFSC</v>
      </c>
      <c r="D388" s="211" t="str">
        <f>IF(COUNTBLANK('RNEW import'!K386)=1,"",'RNEW import'!K386)</f>
        <v>Regularizare Tarif de introducere en. el in retea (TL)</v>
      </c>
      <c r="E388" s="211">
        <f>IF(COUNTBLANK('RNEW import'!L386)=1,"",'RNEW import'!N386)</f>
        <v>0</v>
      </c>
      <c r="F388" s="211">
        <f>IF(COUNTBLANK('RNEW import'!M386)=1,"",'RNEW import'!O386/10000)</f>
        <v>3.3030000000000004E-2</v>
      </c>
      <c r="G388" s="217">
        <f t="shared" si="114"/>
        <v>0</v>
      </c>
      <c r="H388" s="217">
        <f t="shared" si="107"/>
        <v>0</v>
      </c>
      <c r="I388" s="329">
        <f t="shared" si="115"/>
        <v>0</v>
      </c>
      <c r="J388" s="237" t="str">
        <f t="shared" ref="J388:J451" si="117">IF(A388=1,B388,"")</f>
        <v/>
      </c>
      <c r="K388" s="238" t="str">
        <f t="shared" ref="K388:K451" si="118">IF(COUNTBLANK(J388)=1,"",IF(A388=1,SUMIFS(G:G,$C:$C,C388,$A:$A,"=13")+SUMIFS(G:G,$C:$C,C388,$A:$A,"=14")+SUMIFS(G:G,$C:$C,C388,$A:$A,"=17")+SUMIFS(G:G,$C:$C,C388,$A:$A,"=18")+SUMIFS(G:G,$C:$C,C388,$A:$A,"=31")+SUMIFS(G:G,$C:$C,C388,$A:$A,"=32")+SUMIFS(G:G,$C:$C,C388,$A:$A,"=35")+SUMIFS(G:G,$C:$C,C388,$A:$A,"=36"),""))</f>
        <v/>
      </c>
      <c r="L388" s="238" t="str">
        <f t="shared" ref="L388:L451" si="119">IF(COUNTBLANK(J388)=1,"",IF(A388=1,SUMIFS(G:G,$C:$C,C388,$A:$A,"&lt;13")+SUMIFS(G:G,$C:$C,C388,$A:$A,"&gt;18",$A:$A,"&lt;31")))</f>
        <v/>
      </c>
      <c r="M388" s="238" t="str">
        <f t="shared" ref="M388:M451" si="120">IF(COUNTBLANK(J388)=1,"",IF(A388=1,SUMIFS(G:G,$C:$C,C388,$A:$A,"=15")+SUMIFS(G:G,$C:$C,C388,$A:$A,"=16")+SUMIFS(G:G,$C:$C,C388,$A:$A,"=33")+SUMIFS(G:G,$C:$C,C388,$A:$A,"=34"),""))</f>
        <v/>
      </c>
      <c r="N388" s="238" t="str">
        <f t="shared" ref="N388:N451" si="121">IF(COUNTBLANK(J388)=1,"",IF(A388=1,SUMIFS(E:E,$C:$C,C388,$A:$A,"=13")+SUMIFS(E:E,$C:$C,C388,$A:$A,"=17")+SUMIFS(E:E,$C:$C,C388,$A:$A,"=31")+SUMIFS(E:E,$C:$C,C388,$A:$A,"=35"),""))</f>
        <v/>
      </c>
      <c r="O388" s="232" t="str">
        <f t="shared" si="116"/>
        <v/>
      </c>
      <c r="P388" s="219" t="str">
        <f t="shared" si="108"/>
        <v/>
      </c>
      <c r="Q388" s="219" t="str">
        <f t="shared" si="109"/>
        <v/>
      </c>
      <c r="R388" s="219" t="str">
        <f t="shared" si="110"/>
        <v/>
      </c>
      <c r="S388" s="331" t="str">
        <f t="shared" si="111"/>
        <v/>
      </c>
      <c r="T388" s="331" t="str">
        <f t="shared" si="112"/>
        <v/>
      </c>
      <c r="U388" s="331" t="str">
        <f t="shared" si="113"/>
        <v/>
      </c>
    </row>
    <row r="389" spans="1:21" ht="15.95" customHeight="1">
      <c r="A389" s="211">
        <f>IF(COUNTBLANK('RNEW import'!B387)=1,"",'RNEW import'!B387)</f>
        <v>26</v>
      </c>
      <c r="B389" s="211" t="str">
        <f>IF(COUNTBLANK('RNEW import'!D387)=1,"",'RNEW import'!D387)</f>
        <v>Festival Shopping Center SRL</v>
      </c>
      <c r="C389" s="211" t="str">
        <f>IF(COUNTBLANK('RNEW import'!E387)=1,"",'RNEW import'!E387)</f>
        <v>RFSC</v>
      </c>
      <c r="D389" s="211" t="str">
        <f>IF(COUNTBLANK('RNEW import'!K387)=1,"",'RNEW import'!K387)</f>
        <v>Regularizare Tarif de introducere en.el in retea (TG)</v>
      </c>
      <c r="E389" s="211">
        <f>IF(COUNTBLANK('RNEW import'!L387)=1,"",'RNEW import'!N387)</f>
        <v>0</v>
      </c>
      <c r="F389" s="211">
        <f>IF(COUNTBLANK('RNEW import'!M387)=1,"",'RNEW import'!O387/10000)</f>
        <v>3.29E-3</v>
      </c>
      <c r="G389" s="217">
        <f t="shared" si="114"/>
        <v>0</v>
      </c>
      <c r="H389" s="217">
        <f t="shared" ref="H389:H452" si="122">ROUND(G389*19%,2)</f>
        <v>0</v>
      </c>
      <c r="I389" s="329">
        <f t="shared" si="115"/>
        <v>0</v>
      </c>
      <c r="J389" s="237" t="str">
        <f t="shared" si="117"/>
        <v/>
      </c>
      <c r="K389" s="238" t="str">
        <f t="shared" si="118"/>
        <v/>
      </c>
      <c r="L389" s="238" t="str">
        <f t="shared" si="119"/>
        <v/>
      </c>
      <c r="M389" s="238" t="str">
        <f t="shared" si="120"/>
        <v/>
      </c>
      <c r="N389" s="238" t="str">
        <f t="shared" si="121"/>
        <v/>
      </c>
      <c r="O389" s="232" t="str">
        <f t="shared" si="116"/>
        <v/>
      </c>
      <c r="P389" s="219" t="str">
        <f t="shared" ref="P389:P452" si="123">IF(A389=1,"Enegie activa",IF(OR(A389=18),"Energie consumata din PV",IF(OR(A389=2),"Energie reactiva 1x",IF(OR(A389=3),"Energie reactiva 3x",IF(A389=19,"Energie activa regularizare",IF(OR(A389=36),"Energie consumata din PV regularizare",IF(OR(A389=20),"Energie reactiva 1x regularizare",IF(OR(A389=21),"Energie reactiva 3x regularizare",""))))))))</f>
        <v/>
      </c>
      <c r="Q389" s="219" t="str">
        <f t="shared" ref="Q389:Q452" si="124">IF(COUNTBLANK(P389)=0,IF(OR(A389=1,A389=2,A389=3,A389=19,A389=20,A389=21),E389,IF(OR(A389=18,A389=36),E386+E387,"")),"")</f>
        <v/>
      </c>
      <c r="R389" s="219" t="str">
        <f t="shared" ref="R389:R452" si="125">IF(COUNTBLANK(P389)=1,"",IF(OR(A389=2,A389=3,A389=20,A389=21),F389,IF(Q389=0,0,ROUND(S389/Q389,6))))</f>
        <v/>
      </c>
      <c r="S389" s="331" t="str">
        <f t="shared" si="111"/>
        <v/>
      </c>
      <c r="T389" s="331" t="str">
        <f t="shared" si="112"/>
        <v/>
      </c>
      <c r="U389" s="331" t="str">
        <f t="shared" si="113"/>
        <v/>
      </c>
    </row>
    <row r="390" spans="1:21" ht="15.95" customHeight="1">
      <c r="A390" s="211">
        <f>IF(COUNTBLANK('RNEW import'!B388)=1,"",'RNEW import'!B388)</f>
        <v>27</v>
      </c>
      <c r="B390" s="211" t="str">
        <f>IF(COUNTBLANK('RNEW import'!D388)=1,"",'RNEW import'!D388)</f>
        <v>Festival Shopping Center SRL</v>
      </c>
      <c r="C390" s="211" t="str">
        <f>IF(COUNTBLANK('RNEW import'!E388)=1,"",'RNEW import'!E388)</f>
        <v>RFSC</v>
      </c>
      <c r="D390" s="211" t="str">
        <f>IF(COUNTBLANK('RNEW import'!K388)=1,"",'RNEW import'!K388)</f>
        <v>Regularizare Contributie pentru cogenerare</v>
      </c>
      <c r="E390" s="211">
        <f>IF(COUNTBLANK('RNEW import'!L388)=1,"",'RNEW import'!N388)</f>
        <v>0</v>
      </c>
      <c r="F390" s="211">
        <f>IF(COUNTBLANK('RNEW import'!M388)=1,"",'RNEW import'!O388/10000)</f>
        <v>3.5000000000000001E-3</v>
      </c>
      <c r="G390" s="217">
        <f t="shared" si="114"/>
        <v>0</v>
      </c>
      <c r="H390" s="217">
        <f t="shared" si="122"/>
        <v>0</v>
      </c>
      <c r="I390" s="329">
        <f t="shared" si="115"/>
        <v>0</v>
      </c>
      <c r="J390" s="237" t="str">
        <f t="shared" si="117"/>
        <v/>
      </c>
      <c r="K390" s="238" t="str">
        <f t="shared" si="118"/>
        <v/>
      </c>
      <c r="L390" s="238" t="str">
        <f t="shared" si="119"/>
        <v/>
      </c>
      <c r="M390" s="238" t="str">
        <f t="shared" si="120"/>
        <v/>
      </c>
      <c r="N390" s="238" t="str">
        <f t="shared" si="121"/>
        <v/>
      </c>
      <c r="O390" s="232" t="str">
        <f t="shared" si="116"/>
        <v/>
      </c>
      <c r="P390" s="219" t="str">
        <f t="shared" si="123"/>
        <v/>
      </c>
      <c r="Q390" s="219" t="str">
        <f t="shared" si="124"/>
        <v/>
      </c>
      <c r="R390" s="219" t="str">
        <f t="shared" si="125"/>
        <v/>
      </c>
      <c r="S390" s="331" t="str">
        <f t="shared" si="111"/>
        <v/>
      </c>
      <c r="T390" s="331" t="str">
        <f t="shared" si="112"/>
        <v/>
      </c>
      <c r="U390" s="331" t="str">
        <f t="shared" si="113"/>
        <v/>
      </c>
    </row>
    <row r="391" spans="1:21" ht="15.95" customHeight="1">
      <c r="A391" s="211">
        <f>IF(COUNTBLANK('RNEW import'!B389)=1,"",'RNEW import'!B389)</f>
        <v>28</v>
      </c>
      <c r="B391" s="211" t="str">
        <f>IF(COUNTBLANK('RNEW import'!D389)=1,"",'RNEW import'!D389)</f>
        <v>Festival Shopping Center SRL</v>
      </c>
      <c r="C391" s="211" t="str">
        <f>IF(COUNTBLANK('RNEW import'!E389)=1,"",'RNEW import'!E389)</f>
        <v>RFSC</v>
      </c>
      <c r="D391" s="211" t="str">
        <f>IF(COUNTBLANK('RNEW import'!K389)=1,"",'RNEW import'!K389)</f>
        <v xml:space="preserve">Regularizare Certificate verzi </v>
      </c>
      <c r="E391" s="211">
        <f>IF(COUNTBLANK('RNEW import'!L389)=1,"",'RNEW import'!N389)</f>
        <v>0</v>
      </c>
      <c r="F391" s="211">
        <f>IF(COUNTBLANK('RNEW import'!M389)=1,"",'RNEW import'!O389/10000)</f>
        <v>7.2541599999999998E-2</v>
      </c>
      <c r="G391" s="217">
        <f t="shared" si="114"/>
        <v>0</v>
      </c>
      <c r="H391" s="217">
        <f t="shared" si="122"/>
        <v>0</v>
      </c>
      <c r="I391" s="329">
        <f t="shared" si="115"/>
        <v>0</v>
      </c>
      <c r="J391" s="237" t="str">
        <f t="shared" si="117"/>
        <v/>
      </c>
      <c r="K391" s="238" t="str">
        <f t="shared" si="118"/>
        <v/>
      </c>
      <c r="L391" s="238" t="str">
        <f t="shared" si="119"/>
        <v/>
      </c>
      <c r="M391" s="238" t="str">
        <f t="shared" si="120"/>
        <v/>
      </c>
      <c r="N391" s="238" t="str">
        <f t="shared" si="121"/>
        <v/>
      </c>
      <c r="O391" s="232" t="str">
        <f t="shared" si="116"/>
        <v/>
      </c>
      <c r="P391" s="219" t="str">
        <f t="shared" si="123"/>
        <v/>
      </c>
      <c r="Q391" s="219" t="str">
        <f t="shared" si="124"/>
        <v/>
      </c>
      <c r="R391" s="219" t="str">
        <f t="shared" si="125"/>
        <v/>
      </c>
      <c r="S391" s="331" t="str">
        <f t="shared" si="111"/>
        <v/>
      </c>
      <c r="T391" s="331" t="str">
        <f t="shared" si="112"/>
        <v/>
      </c>
      <c r="U391" s="331" t="str">
        <f t="shared" si="113"/>
        <v/>
      </c>
    </row>
    <row r="392" spans="1:21" ht="15.95" customHeight="1">
      <c r="A392" s="211">
        <f>IF(COUNTBLANK('RNEW import'!B390)=1,"",'RNEW import'!B390)</f>
        <v>29</v>
      </c>
      <c r="B392" s="211" t="str">
        <f>IF(COUNTBLANK('RNEW import'!D390)=1,"",'RNEW import'!D390)</f>
        <v>Festival Shopping Center SRL</v>
      </c>
      <c r="C392" s="211" t="str">
        <f>IF(COUNTBLANK('RNEW import'!E390)=1,"",'RNEW import'!E390)</f>
        <v>RFSC</v>
      </c>
      <c r="D392" s="211" t="str">
        <f>IF(COUNTBLANK('RNEW import'!K390)=1,"",'RNEW import'!K390)</f>
        <v>Regularizare Contributie CFD</v>
      </c>
      <c r="E392" s="211">
        <f>IF(COUNTBLANK('RNEW import'!L390)=1,"",'RNEW import'!N390)</f>
        <v>0</v>
      </c>
      <c r="F392" s="211">
        <f>IF(COUNTBLANK('RNEW import'!M390)=1,"",'RNEW import'!O390/10000)</f>
        <v>2.0599999999999999E-4</v>
      </c>
      <c r="G392" s="217">
        <f t="shared" si="114"/>
        <v>0</v>
      </c>
      <c r="H392" s="217">
        <f t="shared" si="122"/>
        <v>0</v>
      </c>
      <c r="I392" s="329">
        <f t="shared" si="115"/>
        <v>0</v>
      </c>
      <c r="J392" s="237" t="str">
        <f t="shared" si="117"/>
        <v/>
      </c>
      <c r="K392" s="238" t="str">
        <f t="shared" si="118"/>
        <v/>
      </c>
      <c r="L392" s="238" t="str">
        <f t="shared" si="119"/>
        <v/>
      </c>
      <c r="M392" s="238" t="str">
        <f t="shared" si="120"/>
        <v/>
      </c>
      <c r="N392" s="238" t="str">
        <f t="shared" si="121"/>
        <v/>
      </c>
      <c r="O392" s="232" t="str">
        <f t="shared" si="116"/>
        <v/>
      </c>
      <c r="P392" s="219" t="str">
        <f t="shared" si="123"/>
        <v/>
      </c>
      <c r="Q392" s="219" t="str">
        <f t="shared" si="124"/>
        <v/>
      </c>
      <c r="R392" s="219" t="str">
        <f t="shared" si="125"/>
        <v/>
      </c>
      <c r="S392" s="331" t="str">
        <f t="shared" si="111"/>
        <v/>
      </c>
      <c r="T392" s="331" t="str">
        <f t="shared" si="112"/>
        <v/>
      </c>
      <c r="U392" s="331" t="str">
        <f t="shared" si="113"/>
        <v/>
      </c>
    </row>
    <row r="393" spans="1:21" ht="15.95" customHeight="1">
      <c r="A393" s="211">
        <f>IF(COUNTBLANK('RNEW import'!B391)=1,"",'RNEW import'!B391)</f>
        <v>30</v>
      </c>
      <c r="B393" s="211" t="str">
        <f>IF(COUNTBLANK('RNEW import'!D391)=1,"",'RNEW import'!D391)</f>
        <v>Festival Shopping Center SRL</v>
      </c>
      <c r="C393" s="211" t="str">
        <f>IF(COUNTBLANK('RNEW import'!E391)=1,"",'RNEW import'!E391)</f>
        <v>RFSC</v>
      </c>
      <c r="D393" s="211" t="str">
        <f>IF(COUNTBLANK('RNEW import'!K391)=1,"",'RNEW import'!K391)</f>
        <v>Regularizare Acciza</v>
      </c>
      <c r="E393" s="211">
        <f>IF(COUNTBLANK('RNEW import'!L391)=1,"",'RNEW import'!N391)</f>
        <v>0</v>
      </c>
      <c r="F393" s="211">
        <f>IF(COUNTBLANK('RNEW import'!M391)=1,"",'RNEW import'!O391/10000)</f>
        <v>0</v>
      </c>
      <c r="G393" s="217">
        <f t="shared" si="114"/>
        <v>0</v>
      </c>
      <c r="H393" s="217">
        <f t="shared" si="122"/>
        <v>0</v>
      </c>
      <c r="I393" s="329">
        <f t="shared" si="115"/>
        <v>0</v>
      </c>
      <c r="J393" s="237" t="str">
        <f t="shared" si="117"/>
        <v/>
      </c>
      <c r="K393" s="238" t="str">
        <f t="shared" si="118"/>
        <v/>
      </c>
      <c r="L393" s="238" t="str">
        <f t="shared" si="119"/>
        <v/>
      </c>
      <c r="M393" s="238" t="str">
        <f t="shared" si="120"/>
        <v/>
      </c>
      <c r="N393" s="238" t="str">
        <f t="shared" si="121"/>
        <v/>
      </c>
      <c r="O393" s="232" t="str">
        <f t="shared" si="116"/>
        <v/>
      </c>
      <c r="P393" s="219" t="str">
        <f t="shared" si="123"/>
        <v/>
      </c>
      <c r="Q393" s="219" t="str">
        <f t="shared" si="124"/>
        <v/>
      </c>
      <c r="R393" s="219" t="str">
        <f t="shared" si="125"/>
        <v/>
      </c>
      <c r="S393" s="331" t="str">
        <f t="shared" si="111"/>
        <v/>
      </c>
      <c r="T393" s="331" t="str">
        <f t="shared" si="112"/>
        <v/>
      </c>
      <c r="U393" s="331" t="str">
        <f t="shared" si="113"/>
        <v/>
      </c>
    </row>
    <row r="394" spans="1:21" ht="15.95" customHeight="1">
      <c r="A394" s="211">
        <f>IF(COUNTBLANK('RNEW import'!B392)=1,"",'RNEW import'!B392)</f>
        <v>31</v>
      </c>
      <c r="B394" s="211" t="str">
        <f>IF(COUNTBLANK('RNEW import'!D392)=1,"",'RNEW import'!D392)</f>
        <v>Festival Shopping Center SRL</v>
      </c>
      <c r="C394" s="211" t="str">
        <f>IF(COUNTBLANK('RNEW import'!E392)=1,"",'RNEW import'!E392)</f>
        <v>RFSC</v>
      </c>
      <c r="D394" s="211" t="str">
        <f>IF(COUNTBLANK('RNEW import'!K392)=1,"",'RNEW import'!K392)</f>
        <v>Regularizare Tarif distributie SDI MT Ea1</v>
      </c>
      <c r="E394" s="211">
        <f>IF(COUNTBLANK('RNEW import'!L392)=1,"",'RNEW import'!N392)</f>
        <v>0</v>
      </c>
      <c r="F394" s="211">
        <f>IF(COUNTBLANK('RNEW import'!M392)=1,"",'RNEW import'!O392/10000)</f>
        <v>1.26E-2</v>
      </c>
      <c r="G394" s="217">
        <f t="shared" si="114"/>
        <v>0</v>
      </c>
      <c r="H394" s="217">
        <f t="shared" si="122"/>
        <v>0</v>
      </c>
      <c r="I394" s="329">
        <f t="shared" si="115"/>
        <v>0</v>
      </c>
      <c r="J394" s="237" t="str">
        <f t="shared" si="117"/>
        <v/>
      </c>
      <c r="K394" s="238" t="str">
        <f t="shared" si="118"/>
        <v/>
      </c>
      <c r="L394" s="238" t="str">
        <f t="shared" si="119"/>
        <v/>
      </c>
      <c r="M394" s="238" t="str">
        <f t="shared" si="120"/>
        <v/>
      </c>
      <c r="N394" s="238" t="str">
        <f t="shared" si="121"/>
        <v/>
      </c>
      <c r="O394" s="232" t="str">
        <f t="shared" si="116"/>
        <v/>
      </c>
      <c r="P394" s="219" t="str">
        <f t="shared" si="123"/>
        <v/>
      </c>
      <c r="Q394" s="219" t="str">
        <f t="shared" si="124"/>
        <v/>
      </c>
      <c r="R394" s="219" t="str">
        <f t="shared" si="125"/>
        <v/>
      </c>
      <c r="S394" s="331" t="str">
        <f t="shared" si="111"/>
        <v/>
      </c>
      <c r="T394" s="331" t="str">
        <f t="shared" si="112"/>
        <v/>
      </c>
      <c r="U394" s="331" t="str">
        <f t="shared" si="113"/>
        <v/>
      </c>
    </row>
    <row r="395" spans="1:21" ht="15.95" customHeight="1">
      <c r="A395" s="211">
        <f>IF(COUNTBLANK('RNEW import'!B393)=1,"",'RNEW import'!B393)</f>
        <v>32</v>
      </c>
      <c r="B395" s="211" t="str">
        <f>IF(COUNTBLANK('RNEW import'!D393)=1,"",'RNEW import'!D393)</f>
        <v>Festival Shopping Center SRL</v>
      </c>
      <c r="C395" s="211" t="str">
        <f>IF(COUNTBLANK('RNEW import'!E393)=1,"",'RNEW import'!E393)</f>
        <v>RFSC</v>
      </c>
      <c r="D395" s="211" t="str">
        <f>IF(COUNTBLANK('RNEW import'!K393)=1,"",'RNEW import'!K393)</f>
        <v>Regularizare Tarif distributie SDI JT Ea1</v>
      </c>
      <c r="E395" s="211">
        <f>IF(COUNTBLANK('RNEW import'!L393)=1,"",'RNEW import'!N393)</f>
        <v>0</v>
      </c>
      <c r="F395" s="211">
        <f>IF(COUNTBLANK('RNEW import'!M393)=1,"",'RNEW import'!O393/10000)</f>
        <v>9.2700000000000005E-2</v>
      </c>
      <c r="G395" s="217">
        <f t="shared" si="114"/>
        <v>0</v>
      </c>
      <c r="H395" s="217">
        <f t="shared" si="122"/>
        <v>0</v>
      </c>
      <c r="I395" s="329">
        <f t="shared" si="115"/>
        <v>0</v>
      </c>
      <c r="J395" s="237" t="str">
        <f t="shared" si="117"/>
        <v/>
      </c>
      <c r="K395" s="238" t="str">
        <f t="shared" si="118"/>
        <v/>
      </c>
      <c r="L395" s="238" t="str">
        <f t="shared" si="119"/>
        <v/>
      </c>
      <c r="M395" s="238" t="str">
        <f t="shared" si="120"/>
        <v/>
      </c>
      <c r="N395" s="238" t="str">
        <f t="shared" si="121"/>
        <v/>
      </c>
      <c r="O395" s="232" t="str">
        <f t="shared" si="116"/>
        <v/>
      </c>
      <c r="P395" s="219" t="str">
        <f t="shared" si="123"/>
        <v/>
      </c>
      <c r="Q395" s="219" t="str">
        <f t="shared" si="124"/>
        <v/>
      </c>
      <c r="R395" s="219" t="str">
        <f t="shared" si="125"/>
        <v/>
      </c>
      <c r="S395" s="331" t="str">
        <f t="shared" si="111"/>
        <v/>
      </c>
      <c r="T395" s="331" t="str">
        <f t="shared" si="112"/>
        <v/>
      </c>
      <c r="U395" s="331" t="str">
        <f t="shared" si="113"/>
        <v/>
      </c>
    </row>
    <row r="396" spans="1:21" ht="15.95" customHeight="1">
      <c r="A396" s="211">
        <f>IF(COUNTBLANK('RNEW import'!B394)=1,"",'RNEW import'!B394)</f>
        <v>33</v>
      </c>
      <c r="B396" s="211" t="str">
        <f>IF(COUNTBLANK('RNEW import'!D394)=1,"",'RNEW import'!D394)</f>
        <v>Festival Shopping Center SRL</v>
      </c>
      <c r="C396" s="211" t="str">
        <f>IF(COUNTBLANK('RNEW import'!E394)=1,"",'RNEW import'!E394)</f>
        <v>RFSC</v>
      </c>
      <c r="D396" s="211" t="str">
        <f>IF(COUNTBLANK('RNEW import'!K394)=1,"",'RNEW import'!K394)</f>
        <v>Regularizare Energie activa 2</v>
      </c>
      <c r="E396" s="211">
        <f>IF(COUNTBLANK('RNEW import'!L394)=1,"",'RNEW import'!N394)</f>
        <v>0</v>
      </c>
      <c r="F396" s="211">
        <f>IF(COUNTBLANK('RNEW import'!M394)=1,"",'RNEW import'!O394/10000)</f>
        <v>0.93920760000000014</v>
      </c>
      <c r="G396" s="217">
        <f t="shared" si="114"/>
        <v>0</v>
      </c>
      <c r="H396" s="217">
        <f t="shared" si="122"/>
        <v>0</v>
      </c>
      <c r="I396" s="329">
        <f t="shared" si="115"/>
        <v>0</v>
      </c>
      <c r="J396" s="237" t="str">
        <f t="shared" si="117"/>
        <v/>
      </c>
      <c r="K396" s="238" t="str">
        <f t="shared" si="118"/>
        <v/>
      </c>
      <c r="L396" s="238" t="str">
        <f t="shared" si="119"/>
        <v/>
      </c>
      <c r="M396" s="238" t="str">
        <f t="shared" si="120"/>
        <v/>
      </c>
      <c r="N396" s="238" t="str">
        <f t="shared" si="121"/>
        <v/>
      </c>
      <c r="O396" s="232" t="str">
        <f t="shared" si="116"/>
        <v/>
      </c>
      <c r="P396" s="219" t="str">
        <f t="shared" si="123"/>
        <v/>
      </c>
      <c r="Q396" s="219" t="str">
        <f t="shared" si="124"/>
        <v/>
      </c>
      <c r="R396" s="219" t="str">
        <f t="shared" si="125"/>
        <v/>
      </c>
      <c r="S396" s="331" t="str">
        <f t="shared" si="111"/>
        <v/>
      </c>
      <c r="T396" s="331" t="str">
        <f t="shared" si="112"/>
        <v/>
      </c>
      <c r="U396" s="331" t="str">
        <f t="shared" si="113"/>
        <v/>
      </c>
    </row>
    <row r="397" spans="1:21" ht="15.95" customHeight="1">
      <c r="A397" s="211">
        <f>IF(COUNTBLANK('RNEW import'!B395)=1,"",'RNEW import'!B395)</f>
        <v>34</v>
      </c>
      <c r="B397" s="211" t="str">
        <f>IF(COUNTBLANK('RNEW import'!D395)=1,"",'RNEW import'!D395)</f>
        <v>Festival Shopping Center SRL</v>
      </c>
      <c r="C397" s="211" t="str">
        <f>IF(COUNTBLANK('RNEW import'!E395)=1,"",'RNEW import'!E395)</f>
        <v>RFSC</v>
      </c>
      <c r="D397" s="211" t="str">
        <f>IF(COUNTBLANK('RNEW import'!K395)=1,"",'RNEW import'!K395)</f>
        <v>Regularizare Energie activa 3</v>
      </c>
      <c r="E397" s="211">
        <f>IF(COUNTBLANK('RNEW import'!L395)=1,"",'RNEW import'!N395)</f>
        <v>0</v>
      </c>
      <c r="F397" s="211">
        <f>IF(COUNTBLANK('RNEW import'!M395)=1,"",'RNEW import'!O395/10000)</f>
        <v>0.83390760000000008</v>
      </c>
      <c r="G397" s="217">
        <f t="shared" si="114"/>
        <v>0</v>
      </c>
      <c r="H397" s="217">
        <f t="shared" si="122"/>
        <v>0</v>
      </c>
      <c r="I397" s="329">
        <f t="shared" si="115"/>
        <v>0</v>
      </c>
      <c r="J397" s="237" t="str">
        <f t="shared" si="117"/>
        <v/>
      </c>
      <c r="K397" s="238" t="str">
        <f t="shared" si="118"/>
        <v/>
      </c>
      <c r="L397" s="238" t="str">
        <f t="shared" si="119"/>
        <v/>
      </c>
      <c r="M397" s="238" t="str">
        <f t="shared" si="120"/>
        <v/>
      </c>
      <c r="N397" s="238" t="str">
        <f t="shared" si="121"/>
        <v/>
      </c>
      <c r="O397" s="232" t="str">
        <f t="shared" si="116"/>
        <v/>
      </c>
      <c r="P397" s="219" t="str">
        <f t="shared" si="123"/>
        <v/>
      </c>
      <c r="Q397" s="219" t="str">
        <f t="shared" si="124"/>
        <v/>
      </c>
      <c r="R397" s="219" t="str">
        <f t="shared" si="125"/>
        <v/>
      </c>
      <c r="S397" s="331" t="str">
        <f t="shared" si="111"/>
        <v/>
      </c>
      <c r="T397" s="331" t="str">
        <f t="shared" si="112"/>
        <v/>
      </c>
      <c r="U397" s="331" t="str">
        <f t="shared" si="113"/>
        <v/>
      </c>
    </row>
    <row r="398" spans="1:21" ht="15.95" customHeight="1">
      <c r="A398" s="211">
        <f>IF(COUNTBLANK('RNEW import'!B396)=1,"",'RNEW import'!B396)</f>
        <v>35</v>
      </c>
      <c r="B398" s="211" t="str">
        <f>IF(COUNTBLANK('RNEW import'!D396)=1,"",'RNEW import'!D396)</f>
        <v>Festival Shopping Center SRL</v>
      </c>
      <c r="C398" s="211" t="str">
        <f>IF(COUNTBLANK('RNEW import'!E396)=1,"",'RNEW import'!E396)</f>
        <v>RFSC</v>
      </c>
      <c r="D398" s="211" t="str">
        <f>IF(COUNTBLANK('RNEW import'!K396)=1,"",'RNEW import'!K396)</f>
        <v>Regularizare Tarif distributie SDI MT Ea3</v>
      </c>
      <c r="E398" s="211">
        <f>IF(COUNTBLANK('RNEW import'!L396)=1,"",'RNEW import'!N396)</f>
        <v>0</v>
      </c>
      <c r="F398" s="211">
        <f>IF(COUNTBLANK('RNEW import'!M396)=1,"",'RNEW import'!O396/10000)</f>
        <v>1.26E-2</v>
      </c>
      <c r="G398" s="217">
        <f t="shared" si="114"/>
        <v>0</v>
      </c>
      <c r="H398" s="217">
        <f t="shared" si="122"/>
        <v>0</v>
      </c>
      <c r="I398" s="329">
        <f t="shared" si="115"/>
        <v>0</v>
      </c>
      <c r="J398" s="237" t="str">
        <f t="shared" si="117"/>
        <v/>
      </c>
      <c r="K398" s="238" t="str">
        <f t="shared" si="118"/>
        <v/>
      </c>
      <c r="L398" s="238" t="str">
        <f t="shared" si="119"/>
        <v/>
      </c>
      <c r="M398" s="238" t="str">
        <f t="shared" si="120"/>
        <v/>
      </c>
      <c r="N398" s="238" t="str">
        <f t="shared" si="121"/>
        <v/>
      </c>
      <c r="O398" s="232" t="str">
        <f t="shared" si="116"/>
        <v/>
      </c>
      <c r="P398" s="219" t="str">
        <f t="shared" si="123"/>
        <v/>
      </c>
      <c r="Q398" s="219" t="str">
        <f t="shared" si="124"/>
        <v/>
      </c>
      <c r="R398" s="219" t="str">
        <f t="shared" si="125"/>
        <v/>
      </c>
      <c r="S398" s="331" t="str">
        <f t="shared" si="111"/>
        <v/>
      </c>
      <c r="T398" s="331" t="str">
        <f t="shared" si="112"/>
        <v/>
      </c>
      <c r="U398" s="331" t="str">
        <f t="shared" si="113"/>
        <v/>
      </c>
    </row>
    <row r="399" spans="1:21" ht="15.95" customHeight="1">
      <c r="A399" s="211">
        <f>IF(COUNTBLANK('RNEW import'!B397)=1,"",'RNEW import'!B397)</f>
        <v>36</v>
      </c>
      <c r="B399" s="211" t="str">
        <f>IF(COUNTBLANK('RNEW import'!D397)=1,"",'RNEW import'!D397)</f>
        <v>Festival Shopping Center SRL</v>
      </c>
      <c r="C399" s="211" t="str">
        <f>IF(COUNTBLANK('RNEW import'!E397)=1,"",'RNEW import'!E397)</f>
        <v>RFSC</v>
      </c>
      <c r="D399" s="211" t="str">
        <f>IF(COUNTBLANK('RNEW import'!K397)=1,"",'RNEW import'!K397)</f>
        <v>Regularizare Tarif distributie SDI JT Ea3</v>
      </c>
      <c r="E399" s="211">
        <f>IF(COUNTBLANK('RNEW import'!L397)=1,"",'RNEW import'!N397)</f>
        <v>0</v>
      </c>
      <c r="F399" s="211">
        <f>IF(COUNTBLANK('RNEW import'!M397)=1,"",'RNEW import'!O397/10000)</f>
        <v>9.2700000000000005E-2</v>
      </c>
      <c r="G399" s="217">
        <f t="shared" si="114"/>
        <v>0</v>
      </c>
      <c r="H399" s="217">
        <f t="shared" si="122"/>
        <v>0</v>
      </c>
      <c r="I399" s="329">
        <f t="shared" si="115"/>
        <v>0</v>
      </c>
      <c r="J399" s="237" t="str">
        <f t="shared" si="117"/>
        <v/>
      </c>
      <c r="K399" s="238" t="str">
        <f t="shared" si="118"/>
        <v/>
      </c>
      <c r="L399" s="238" t="str">
        <f t="shared" si="119"/>
        <v/>
      </c>
      <c r="M399" s="238" t="str">
        <f t="shared" si="120"/>
        <v/>
      </c>
      <c r="N399" s="238" t="str">
        <f t="shared" si="121"/>
        <v/>
      </c>
      <c r="O399" s="232" t="str">
        <f t="shared" si="116"/>
        <v/>
      </c>
      <c r="P399" s="219" t="str">
        <f t="shared" si="123"/>
        <v>Energie consumata din PV regularizare</v>
      </c>
      <c r="Q399" s="219">
        <f t="shared" si="124"/>
        <v>0</v>
      </c>
      <c r="R399" s="219">
        <f t="shared" si="125"/>
        <v>0</v>
      </c>
      <c r="S399" s="331">
        <f t="shared" si="111"/>
        <v>0</v>
      </c>
      <c r="T399" s="331">
        <f t="shared" si="112"/>
        <v>0</v>
      </c>
      <c r="U399" s="331">
        <f t="shared" si="113"/>
        <v>0</v>
      </c>
    </row>
    <row r="400" spans="1:21" ht="15.95" customHeight="1">
      <c r="A400" s="211">
        <f>IF(COUNTBLANK('RNEW import'!B398)=1,"",'RNEW import'!B398)</f>
        <v>1</v>
      </c>
      <c r="B400" s="211" t="str">
        <f>IF(COUNTBLANK('RNEW import'!D398)=1,"",'RNEW import'!D398)</f>
        <v>Promenada Mall Bucuresti SRL</v>
      </c>
      <c r="C400" s="211" t="str">
        <f>IF(COUNTBLANK('RNEW import'!E398)=1,"",'RNEW import'!E398)</f>
        <v>RPMB</v>
      </c>
      <c r="D400" s="211" t="str">
        <f>IF(COUNTBLANK('RNEW import'!K398)=1,"",'RNEW import'!K398)</f>
        <v>Energie activa 1</v>
      </c>
      <c r="E400" s="211">
        <f>IF(COUNTBLANK('RNEW import'!L398)=1,"",'RNEW import'!N398)</f>
        <v>1390723</v>
      </c>
      <c r="F400" s="211">
        <f>IF(COUNTBLANK('RNEW import'!M398)=1,"",'RNEW import'!O398/10000)</f>
        <v>0.59499999999999997</v>
      </c>
      <c r="G400" s="217">
        <f t="shared" si="114"/>
        <v>827480.19</v>
      </c>
      <c r="H400" s="217">
        <f t="shared" si="122"/>
        <v>157221.24</v>
      </c>
      <c r="I400" s="329">
        <f t="shared" si="115"/>
        <v>984701.42999999993</v>
      </c>
      <c r="J400" s="237" t="str">
        <f t="shared" si="117"/>
        <v>Promenada Mall Bucuresti SRL</v>
      </c>
      <c r="K400" s="238">
        <f t="shared" si="118"/>
        <v>126234.14</v>
      </c>
      <c r="L400" s="238">
        <f t="shared" si="119"/>
        <v>1120753.8899999999</v>
      </c>
      <c r="M400" s="238">
        <f t="shared" si="120"/>
        <v>58207.7</v>
      </c>
      <c r="N400" s="238">
        <f t="shared" si="121"/>
        <v>1323209</v>
      </c>
      <c r="O400" s="232" t="str">
        <f t="shared" si="116"/>
        <v>Promenada Mall Bucuresti SRL</v>
      </c>
      <c r="P400" s="219" t="str">
        <f t="shared" si="123"/>
        <v>Enegie activa</v>
      </c>
      <c r="Q400" s="219">
        <f t="shared" si="124"/>
        <v>1390723</v>
      </c>
      <c r="R400" s="219">
        <f t="shared" si="125"/>
        <v>0.89664699999999997</v>
      </c>
      <c r="S400" s="331">
        <f t="shared" si="111"/>
        <v>1246988.03</v>
      </c>
      <c r="T400" s="331">
        <f t="shared" si="112"/>
        <v>236927.73</v>
      </c>
      <c r="U400" s="331">
        <f t="shared" si="113"/>
        <v>1483915.76</v>
      </c>
    </row>
    <row r="401" spans="1:21" ht="15.95" customHeight="1">
      <c r="A401" s="211">
        <f>IF(COUNTBLANK('RNEW import'!B399)=1,"",'RNEW import'!B399)</f>
        <v>2</v>
      </c>
      <c r="B401" s="211" t="str">
        <f>IF(COUNTBLANK('RNEW import'!D399)=1,"",'RNEW import'!D399)</f>
        <v>Promenada Mall Bucuresti SRL</v>
      </c>
      <c r="C401" s="211" t="str">
        <f>IF(COUNTBLANK('RNEW import'!E399)=1,"",'RNEW import'!E399)</f>
        <v>RPMB</v>
      </c>
      <c r="D401" s="211" t="str">
        <f>IF(COUNTBLANK('RNEW import'!K399)=1,"",'RNEW import'!K399)</f>
        <v>Energie reactiva  1X</v>
      </c>
      <c r="E401" s="211">
        <f>IF(COUNTBLANK('RNEW import'!L399)=1,"",'RNEW import'!N399)</f>
        <v>0</v>
      </c>
      <c r="F401" s="211">
        <f>IF(COUNTBLANK('RNEW import'!M399)=1,"",'RNEW import'!O399/10000)</f>
        <v>0.14660000000000001</v>
      </c>
      <c r="G401" s="217">
        <f t="shared" si="114"/>
        <v>0</v>
      </c>
      <c r="H401" s="217">
        <f t="shared" si="122"/>
        <v>0</v>
      </c>
      <c r="I401" s="329">
        <f t="shared" si="115"/>
        <v>0</v>
      </c>
      <c r="J401" s="237" t="str">
        <f t="shared" si="117"/>
        <v/>
      </c>
      <c r="K401" s="238" t="str">
        <f t="shared" si="118"/>
        <v/>
      </c>
      <c r="L401" s="238" t="str">
        <f t="shared" si="119"/>
        <v/>
      </c>
      <c r="M401" s="238" t="str">
        <f t="shared" si="120"/>
        <v/>
      </c>
      <c r="N401" s="238" t="str">
        <f t="shared" si="121"/>
        <v/>
      </c>
      <c r="O401" s="232" t="str">
        <f t="shared" si="116"/>
        <v/>
      </c>
      <c r="P401" s="219" t="str">
        <f t="shared" si="123"/>
        <v>Energie reactiva 1x</v>
      </c>
      <c r="Q401" s="219">
        <f t="shared" si="124"/>
        <v>0</v>
      </c>
      <c r="R401" s="219">
        <f t="shared" si="125"/>
        <v>0.14660000000000001</v>
      </c>
      <c r="S401" s="331">
        <f t="shared" si="111"/>
        <v>0</v>
      </c>
      <c r="T401" s="331">
        <f t="shared" si="112"/>
        <v>0</v>
      </c>
      <c r="U401" s="331">
        <f t="shared" si="113"/>
        <v>0</v>
      </c>
    </row>
    <row r="402" spans="1:21" ht="15.95" customHeight="1">
      <c r="A402" s="211">
        <f>IF(COUNTBLANK('RNEW import'!B400)=1,"",'RNEW import'!B400)</f>
        <v>3</v>
      </c>
      <c r="B402" s="211" t="str">
        <f>IF(COUNTBLANK('RNEW import'!D400)=1,"",'RNEW import'!D400)</f>
        <v>Promenada Mall Bucuresti SRL</v>
      </c>
      <c r="C402" s="211" t="str">
        <f>IF(COUNTBLANK('RNEW import'!E400)=1,"",'RNEW import'!E400)</f>
        <v>RPMB</v>
      </c>
      <c r="D402" s="211" t="str">
        <f>IF(COUNTBLANK('RNEW import'!K400)=1,"",'RNEW import'!K400)</f>
        <v>Energie reactiva  3X</v>
      </c>
      <c r="E402" s="211">
        <f>IF(COUNTBLANK('RNEW import'!L400)=1,"",'RNEW import'!N400)</f>
        <v>0</v>
      </c>
      <c r="F402" s="211">
        <f>IF(COUNTBLANK('RNEW import'!M400)=1,"",'RNEW import'!O400/10000)</f>
        <v>0.43980000000000002</v>
      </c>
      <c r="G402" s="217">
        <f t="shared" si="114"/>
        <v>0</v>
      </c>
      <c r="H402" s="217">
        <f t="shared" si="122"/>
        <v>0</v>
      </c>
      <c r="I402" s="329">
        <f t="shared" si="115"/>
        <v>0</v>
      </c>
      <c r="J402" s="237" t="str">
        <f t="shared" si="117"/>
        <v/>
      </c>
      <c r="K402" s="238" t="str">
        <f t="shared" si="118"/>
        <v/>
      </c>
      <c r="L402" s="238" t="str">
        <f t="shared" si="119"/>
        <v/>
      </c>
      <c r="M402" s="238" t="str">
        <f t="shared" si="120"/>
        <v/>
      </c>
      <c r="N402" s="238" t="str">
        <f t="shared" si="121"/>
        <v/>
      </c>
      <c r="O402" s="232" t="str">
        <f t="shared" si="116"/>
        <v/>
      </c>
      <c r="P402" s="219" t="str">
        <f t="shared" si="123"/>
        <v>Energie reactiva 3x</v>
      </c>
      <c r="Q402" s="219">
        <f t="shared" si="124"/>
        <v>0</v>
      </c>
      <c r="R402" s="219">
        <f t="shared" si="125"/>
        <v>0.43980000000000002</v>
      </c>
      <c r="S402" s="331">
        <f t="shared" si="111"/>
        <v>0</v>
      </c>
      <c r="T402" s="331">
        <f t="shared" si="112"/>
        <v>0</v>
      </c>
      <c r="U402" s="331">
        <f t="shared" si="113"/>
        <v>0</v>
      </c>
    </row>
    <row r="403" spans="1:21" ht="15.95" customHeight="1">
      <c r="A403" s="211">
        <f>IF(COUNTBLANK('RNEW import'!B401)=1,"",'RNEW import'!B401)</f>
        <v>4</v>
      </c>
      <c r="B403" s="211" t="str">
        <f>IF(COUNTBLANK('RNEW import'!D401)=1,"",'RNEW import'!D401)</f>
        <v>Promenada Mall Bucuresti SRL</v>
      </c>
      <c r="C403" s="211" t="str">
        <f>IF(COUNTBLANK('RNEW import'!E401)=1,"",'RNEW import'!E401)</f>
        <v>RPMB</v>
      </c>
      <c r="D403" s="211" t="str">
        <f>IF(COUNTBLANK('RNEW import'!K401)=1,"",'RNEW import'!K401)</f>
        <v>Tarife distributie en. El IT+MT</v>
      </c>
      <c r="E403" s="211">
        <f>IF(COUNTBLANK('RNEW import'!L401)=1,"",'RNEW import'!N401)</f>
        <v>1390723</v>
      </c>
      <c r="F403" s="211">
        <f>IF(COUNTBLANK('RNEW import'!M401)=1,"",'RNEW import'!O401/10000)</f>
        <v>8.6180000000000007E-2</v>
      </c>
      <c r="G403" s="217">
        <f t="shared" si="114"/>
        <v>119852.51</v>
      </c>
      <c r="H403" s="217">
        <f t="shared" si="122"/>
        <v>22771.98</v>
      </c>
      <c r="I403" s="329">
        <f t="shared" si="115"/>
        <v>142624.49</v>
      </c>
      <c r="J403" s="237" t="str">
        <f t="shared" si="117"/>
        <v/>
      </c>
      <c r="K403" s="238" t="str">
        <f t="shared" si="118"/>
        <v/>
      </c>
      <c r="L403" s="238" t="str">
        <f t="shared" si="119"/>
        <v/>
      </c>
      <c r="M403" s="238" t="str">
        <f t="shared" si="120"/>
        <v/>
      </c>
      <c r="N403" s="238" t="str">
        <f t="shared" si="121"/>
        <v/>
      </c>
      <c r="O403" s="232" t="str">
        <f t="shared" si="116"/>
        <v/>
      </c>
      <c r="P403" s="219" t="str">
        <f t="shared" si="123"/>
        <v/>
      </c>
      <c r="Q403" s="219" t="str">
        <f t="shared" si="124"/>
        <v/>
      </c>
      <c r="R403" s="219" t="str">
        <f t="shared" si="125"/>
        <v/>
      </c>
      <c r="S403" s="331" t="str">
        <f t="shared" si="111"/>
        <v/>
      </c>
      <c r="T403" s="331" t="str">
        <f t="shared" si="112"/>
        <v/>
      </c>
      <c r="U403" s="331" t="str">
        <f t="shared" si="113"/>
        <v/>
      </c>
    </row>
    <row r="404" spans="1:21" ht="15.95" customHeight="1">
      <c r="A404" s="211">
        <f>IF(COUNTBLANK('RNEW import'!B402)=1,"",'RNEW import'!B402)</f>
        <v>5</v>
      </c>
      <c r="B404" s="211" t="str">
        <f>IF(COUNTBLANK('RNEW import'!D402)=1,"",'RNEW import'!D402)</f>
        <v>Promenada Mall Bucuresti SRL</v>
      </c>
      <c r="C404" s="211" t="str">
        <f>IF(COUNTBLANK('RNEW import'!E402)=1,"",'RNEW import'!E402)</f>
        <v>RPMB</v>
      </c>
      <c r="D404" s="211" t="str">
        <f>IF(COUNTBLANK('RNEW import'!K402)=1,"",'RNEW import'!K402)</f>
        <v>Tarife distributie en. El JT</v>
      </c>
      <c r="E404" s="211">
        <f>IF(COUNTBLANK('RNEW import'!L402)=1,"",'RNEW import'!N402)</f>
        <v>4154</v>
      </c>
      <c r="F404" s="211">
        <f>IF(COUNTBLANK('RNEW import'!M402)=1,"",'RNEW import'!O402/10000)</f>
        <v>0.2079</v>
      </c>
      <c r="G404" s="217">
        <f t="shared" si="114"/>
        <v>863.62</v>
      </c>
      <c r="H404" s="217">
        <f t="shared" si="122"/>
        <v>164.09</v>
      </c>
      <c r="I404" s="329">
        <f t="shared" si="115"/>
        <v>1027.71</v>
      </c>
      <c r="J404" s="237" t="str">
        <f t="shared" si="117"/>
        <v/>
      </c>
      <c r="K404" s="238" t="str">
        <f t="shared" si="118"/>
        <v/>
      </c>
      <c r="L404" s="238" t="str">
        <f t="shared" si="119"/>
        <v/>
      </c>
      <c r="M404" s="238" t="str">
        <f t="shared" si="120"/>
        <v/>
      </c>
      <c r="N404" s="238" t="str">
        <f t="shared" si="121"/>
        <v/>
      </c>
      <c r="O404" s="232" t="str">
        <f t="shared" si="116"/>
        <v/>
      </c>
      <c r="P404" s="219" t="str">
        <f t="shared" si="123"/>
        <v/>
      </c>
      <c r="Q404" s="219" t="str">
        <f t="shared" si="124"/>
        <v/>
      </c>
      <c r="R404" s="219" t="str">
        <f t="shared" si="125"/>
        <v/>
      </c>
      <c r="S404" s="331" t="str">
        <f t="shared" si="111"/>
        <v/>
      </c>
      <c r="T404" s="331" t="str">
        <f t="shared" si="112"/>
        <v/>
      </c>
      <c r="U404" s="331" t="str">
        <f t="shared" si="113"/>
        <v/>
      </c>
    </row>
    <row r="405" spans="1:21" ht="15.95" customHeight="1">
      <c r="A405" s="211">
        <f>IF(COUNTBLANK('RNEW import'!B403)=1,"",'RNEW import'!B403)</f>
        <v>6</v>
      </c>
      <c r="B405" s="211" t="str">
        <f>IF(COUNTBLANK('RNEW import'!D403)=1,"",'RNEW import'!D403)</f>
        <v>Promenada Mall Bucuresti SRL</v>
      </c>
      <c r="C405" s="211" t="str">
        <f>IF(COUNTBLANK('RNEW import'!E403)=1,"",'RNEW import'!E403)</f>
        <v>RPMB</v>
      </c>
      <c r="D405" s="211" t="str">
        <f>IF(COUNTBLANK('RNEW import'!K403)=1,"",'RNEW import'!K403)</f>
        <v xml:space="preserve">Servicii Sistem </v>
      </c>
      <c r="E405" s="211">
        <f>IF(COUNTBLANK('RNEW import'!L403)=1,"",'RNEW import'!N403)</f>
        <v>1390723</v>
      </c>
      <c r="F405" s="211">
        <f>IF(COUNTBLANK('RNEW import'!M403)=1,"",'RNEW import'!O403/10000)</f>
        <v>1.1509999999999999E-2</v>
      </c>
      <c r="G405" s="217">
        <f t="shared" si="114"/>
        <v>16007.22</v>
      </c>
      <c r="H405" s="217">
        <f t="shared" si="122"/>
        <v>3041.37</v>
      </c>
      <c r="I405" s="329">
        <f t="shared" si="115"/>
        <v>19048.59</v>
      </c>
      <c r="J405" s="237" t="str">
        <f t="shared" si="117"/>
        <v/>
      </c>
      <c r="K405" s="238" t="str">
        <f t="shared" si="118"/>
        <v/>
      </c>
      <c r="L405" s="238" t="str">
        <f t="shared" si="119"/>
        <v/>
      </c>
      <c r="M405" s="238" t="str">
        <f t="shared" si="120"/>
        <v/>
      </c>
      <c r="N405" s="238" t="str">
        <f t="shared" si="121"/>
        <v/>
      </c>
      <c r="O405" s="232" t="str">
        <f t="shared" si="116"/>
        <v/>
      </c>
      <c r="P405" s="219" t="str">
        <f t="shared" si="123"/>
        <v/>
      </c>
      <c r="Q405" s="219" t="str">
        <f t="shared" si="124"/>
        <v/>
      </c>
      <c r="R405" s="219" t="str">
        <f t="shared" si="125"/>
        <v/>
      </c>
      <c r="S405" s="331" t="str">
        <f t="shared" si="111"/>
        <v/>
      </c>
      <c r="T405" s="331" t="str">
        <f t="shared" si="112"/>
        <v/>
      </c>
      <c r="U405" s="331" t="str">
        <f t="shared" si="113"/>
        <v/>
      </c>
    </row>
    <row r="406" spans="1:21" ht="15.95" customHeight="1">
      <c r="A406" s="211">
        <f>IF(COUNTBLANK('RNEW import'!B404)=1,"",'RNEW import'!B404)</f>
        <v>7</v>
      </c>
      <c r="B406" s="211" t="str">
        <f>IF(COUNTBLANK('RNEW import'!D404)=1,"",'RNEW import'!D404)</f>
        <v>Promenada Mall Bucuresti SRL</v>
      </c>
      <c r="C406" s="211" t="str">
        <f>IF(COUNTBLANK('RNEW import'!E404)=1,"",'RNEW import'!E404)</f>
        <v>RPMB</v>
      </c>
      <c r="D406" s="211" t="str">
        <f>IF(COUNTBLANK('RNEW import'!K404)=1,"",'RNEW import'!K404)</f>
        <v>Tarif de introducere en. el in retea (TL)</v>
      </c>
      <c r="E406" s="211">
        <f>IF(COUNTBLANK('RNEW import'!L404)=1,"",'RNEW import'!N404)</f>
        <v>1390723</v>
      </c>
      <c r="F406" s="211">
        <f>IF(COUNTBLANK('RNEW import'!M404)=1,"",'RNEW import'!O404/10000)</f>
        <v>3.3030000000000004E-2</v>
      </c>
      <c r="G406" s="217">
        <f t="shared" si="114"/>
        <v>45935.58</v>
      </c>
      <c r="H406" s="217">
        <f t="shared" si="122"/>
        <v>8727.76</v>
      </c>
      <c r="I406" s="329">
        <f t="shared" si="115"/>
        <v>54663.340000000004</v>
      </c>
      <c r="J406" s="237" t="str">
        <f t="shared" si="117"/>
        <v/>
      </c>
      <c r="K406" s="238" t="str">
        <f t="shared" si="118"/>
        <v/>
      </c>
      <c r="L406" s="238" t="str">
        <f t="shared" si="119"/>
        <v/>
      </c>
      <c r="M406" s="238" t="str">
        <f t="shared" si="120"/>
        <v/>
      </c>
      <c r="N406" s="238" t="str">
        <f t="shared" si="121"/>
        <v/>
      </c>
      <c r="O406" s="232" t="str">
        <f t="shared" si="116"/>
        <v/>
      </c>
      <c r="P406" s="219" t="str">
        <f t="shared" si="123"/>
        <v/>
      </c>
      <c r="Q406" s="219" t="str">
        <f t="shared" si="124"/>
        <v/>
      </c>
      <c r="R406" s="219" t="str">
        <f t="shared" si="125"/>
        <v/>
      </c>
      <c r="S406" s="331" t="str">
        <f t="shared" ref="S406:S469" si="126">IF(COUNTBLANK(P406)=1,"",ROUND(IF(P406=$P$5,G406,IF(P406=$P$6,G406,IF(P406=$P$21,G406+G405+G404+G403,IF(P406=$P$23,G406,IF(P406=$P$24,G406,IF(P406=$P$4,SUMIFS(G:G,$B:$B,J406,A:A,"&lt;15"),IF(P406=$P$22,SUMIFS(G:G,$B:$B,J388,A:A,"&gt;18",A:A,"&lt;33")-S407-S408,IF(P406=$P$39,G406+G405+G404+G403,"eroare")))))))),2))</f>
        <v/>
      </c>
      <c r="T406" s="331" t="str">
        <f t="shared" ref="T406:T469" si="127">IF(COUNTBLANK(P406)=1,"",ROUND(IF(P406=$P$5,H406,IF(P406=$P$6,H406,IF(P406=$P$21,H406+H405+H404+H403,IF(P406=$P$23,H406,IF(P406=$P$24,H406,IF(P406=$P$4,SUMIFS(H:H,$B:$B,J406,A:A,"&lt;15"),IF(P406=$P$22,SUMIFS(H:H,$B:$B,J388,A:A,"&gt;18",A:A,"&lt;33")-T407-T408,IF(P406=$P$39,H406+H405+H404+H403,"eroare")))))))),2))</f>
        <v/>
      </c>
      <c r="U406" s="331" t="str">
        <f t="shared" ref="U406:U469" si="128">IF(COUNTBLANK(P406)=1,"",ROUND(IF(P406=$P$5,I406,IF(P406=$P$6,I406,IF(P406=$P$21,I406+I405+I404+I403,IF(P406=$P$23,I406,IF(P406=$P$24,I406,IF(P406=$P$4,SUMIFS(I:I,$B:$B,J406,A:A,"&lt;15"),IF(P406=$P$22,SUMIFS(I:I,$B:$B,J388,A:A,"&gt;18",A:A,"&lt;33")-U407-U408,IF(P406=$P$39,I406+I405+I404+I403,"eroare")))))))),2))</f>
        <v/>
      </c>
    </row>
    <row r="407" spans="1:21" ht="15.95" customHeight="1">
      <c r="A407" s="211">
        <f>IF(COUNTBLANK('RNEW import'!B405)=1,"",'RNEW import'!B405)</f>
        <v>8</v>
      </c>
      <c r="B407" s="211" t="str">
        <f>IF(COUNTBLANK('RNEW import'!D405)=1,"",'RNEW import'!D405)</f>
        <v>Promenada Mall Bucuresti SRL</v>
      </c>
      <c r="C407" s="211" t="str">
        <f>IF(COUNTBLANK('RNEW import'!E405)=1,"",'RNEW import'!E405)</f>
        <v>RPMB</v>
      </c>
      <c r="D407" s="211" t="str">
        <f>IF(COUNTBLANK('RNEW import'!K405)=1,"",'RNEW import'!K405)</f>
        <v>Tarif de introducere en.el in retea (TG)</v>
      </c>
      <c r="E407" s="211">
        <f>IF(COUNTBLANK('RNEW import'!L405)=1,"",'RNEW import'!N405)</f>
        <v>1390723</v>
      </c>
      <c r="F407" s="211">
        <f>IF(COUNTBLANK('RNEW import'!M405)=1,"",'RNEW import'!O405/10000)</f>
        <v>3.29E-3</v>
      </c>
      <c r="G407" s="217">
        <f t="shared" si="114"/>
        <v>4575.4799999999996</v>
      </c>
      <c r="H407" s="217">
        <f t="shared" si="122"/>
        <v>869.34</v>
      </c>
      <c r="I407" s="329">
        <f t="shared" si="115"/>
        <v>5444.82</v>
      </c>
      <c r="J407" s="237" t="str">
        <f t="shared" si="117"/>
        <v/>
      </c>
      <c r="K407" s="238" t="str">
        <f t="shared" si="118"/>
        <v/>
      </c>
      <c r="L407" s="238" t="str">
        <f t="shared" si="119"/>
        <v/>
      </c>
      <c r="M407" s="238" t="str">
        <f t="shared" si="120"/>
        <v/>
      </c>
      <c r="N407" s="238" t="str">
        <f t="shared" si="121"/>
        <v/>
      </c>
      <c r="O407" s="232" t="str">
        <f t="shared" si="116"/>
        <v/>
      </c>
      <c r="P407" s="219" t="str">
        <f t="shared" si="123"/>
        <v/>
      </c>
      <c r="Q407" s="219" t="str">
        <f t="shared" si="124"/>
        <v/>
      </c>
      <c r="R407" s="219" t="str">
        <f t="shared" si="125"/>
        <v/>
      </c>
      <c r="S407" s="331" t="str">
        <f t="shared" si="126"/>
        <v/>
      </c>
      <c r="T407" s="331" t="str">
        <f t="shared" si="127"/>
        <v/>
      </c>
      <c r="U407" s="331" t="str">
        <f t="shared" si="128"/>
        <v/>
      </c>
    </row>
    <row r="408" spans="1:21" ht="15.95" customHeight="1">
      <c r="A408" s="211">
        <f>IF(COUNTBLANK('RNEW import'!B406)=1,"",'RNEW import'!B406)</f>
        <v>9</v>
      </c>
      <c r="B408" s="211" t="str">
        <f>IF(COUNTBLANK('RNEW import'!D406)=1,"",'RNEW import'!D406)</f>
        <v>Promenada Mall Bucuresti SRL</v>
      </c>
      <c r="C408" s="211" t="str">
        <f>IF(COUNTBLANK('RNEW import'!E406)=1,"",'RNEW import'!E406)</f>
        <v>RPMB</v>
      </c>
      <c r="D408" s="211" t="str">
        <f>IF(COUNTBLANK('RNEW import'!K406)=1,"",'RNEW import'!K406)</f>
        <v>Contributie pentru cogenerare</v>
      </c>
      <c r="E408" s="211">
        <f>IF(COUNTBLANK('RNEW import'!L406)=1,"",'RNEW import'!N406)</f>
        <v>1390723</v>
      </c>
      <c r="F408" s="211">
        <f>IF(COUNTBLANK('RNEW import'!M406)=1,"",'RNEW import'!O406/10000)</f>
        <v>3.5000000000000001E-3</v>
      </c>
      <c r="G408" s="217">
        <f t="shared" si="114"/>
        <v>4867.53</v>
      </c>
      <c r="H408" s="217">
        <f t="shared" si="122"/>
        <v>924.83</v>
      </c>
      <c r="I408" s="329">
        <f t="shared" si="115"/>
        <v>5792.36</v>
      </c>
      <c r="J408" s="237" t="str">
        <f t="shared" si="117"/>
        <v/>
      </c>
      <c r="K408" s="238" t="str">
        <f t="shared" si="118"/>
        <v/>
      </c>
      <c r="L408" s="238" t="str">
        <f t="shared" si="119"/>
        <v/>
      </c>
      <c r="M408" s="238" t="str">
        <f t="shared" si="120"/>
        <v/>
      </c>
      <c r="N408" s="238" t="str">
        <f t="shared" si="121"/>
        <v/>
      </c>
      <c r="O408" s="232" t="str">
        <f t="shared" si="116"/>
        <v/>
      </c>
      <c r="P408" s="219" t="str">
        <f t="shared" si="123"/>
        <v/>
      </c>
      <c r="Q408" s="219" t="str">
        <f t="shared" si="124"/>
        <v/>
      </c>
      <c r="R408" s="219" t="str">
        <f t="shared" si="125"/>
        <v/>
      </c>
      <c r="S408" s="331" t="str">
        <f t="shared" si="126"/>
        <v/>
      </c>
      <c r="T408" s="331" t="str">
        <f t="shared" si="127"/>
        <v/>
      </c>
      <c r="U408" s="331" t="str">
        <f t="shared" si="128"/>
        <v/>
      </c>
    </row>
    <row r="409" spans="1:21" ht="15.95" customHeight="1">
      <c r="A409" s="211">
        <f>IF(COUNTBLANK('RNEW import'!B407)=1,"",'RNEW import'!B407)</f>
        <v>10</v>
      </c>
      <c r="B409" s="211" t="str">
        <f>IF(COUNTBLANK('RNEW import'!D407)=1,"",'RNEW import'!D407)</f>
        <v>Promenada Mall Bucuresti SRL</v>
      </c>
      <c r="C409" s="211" t="str">
        <f>IF(COUNTBLANK('RNEW import'!E407)=1,"",'RNEW import'!E407)</f>
        <v>RPMB</v>
      </c>
      <c r="D409" s="211" t="str">
        <f>IF(COUNTBLANK('RNEW import'!K407)=1,"",'RNEW import'!K407)</f>
        <v xml:space="preserve">Certificate verzi </v>
      </c>
      <c r="E409" s="211">
        <f>IF(COUNTBLANK('RNEW import'!L407)=1,"",'RNEW import'!N407)</f>
        <v>1390723</v>
      </c>
      <c r="F409" s="211">
        <f>IF(COUNTBLANK('RNEW import'!M407)=1,"",'RNEW import'!O407/10000)</f>
        <v>7.2541599999999998E-2</v>
      </c>
      <c r="G409" s="217">
        <f t="shared" si="114"/>
        <v>100885.27</v>
      </c>
      <c r="H409" s="217">
        <f t="shared" si="122"/>
        <v>19168.2</v>
      </c>
      <c r="I409" s="329">
        <f t="shared" si="115"/>
        <v>120053.47</v>
      </c>
      <c r="J409" s="237" t="str">
        <f t="shared" si="117"/>
        <v/>
      </c>
      <c r="K409" s="238" t="str">
        <f t="shared" si="118"/>
        <v/>
      </c>
      <c r="L409" s="238" t="str">
        <f t="shared" si="119"/>
        <v/>
      </c>
      <c r="M409" s="238" t="str">
        <f t="shared" si="120"/>
        <v/>
      </c>
      <c r="N409" s="238" t="str">
        <f t="shared" si="121"/>
        <v/>
      </c>
      <c r="O409" s="232" t="str">
        <f t="shared" si="116"/>
        <v/>
      </c>
      <c r="P409" s="219" t="str">
        <f t="shared" si="123"/>
        <v/>
      </c>
      <c r="Q409" s="219" t="str">
        <f t="shared" si="124"/>
        <v/>
      </c>
      <c r="R409" s="219" t="str">
        <f t="shared" si="125"/>
        <v/>
      </c>
      <c r="S409" s="331" t="str">
        <f t="shared" si="126"/>
        <v/>
      </c>
      <c r="T409" s="331" t="str">
        <f t="shared" si="127"/>
        <v/>
      </c>
      <c r="U409" s="331" t="str">
        <f t="shared" si="128"/>
        <v/>
      </c>
    </row>
    <row r="410" spans="1:21" ht="15.95" customHeight="1">
      <c r="A410" s="211">
        <f>IF(COUNTBLANK('RNEW import'!B408)=1,"",'RNEW import'!B408)</f>
        <v>11</v>
      </c>
      <c r="B410" s="211" t="str">
        <f>IF(COUNTBLANK('RNEW import'!D408)=1,"",'RNEW import'!D408)</f>
        <v>Promenada Mall Bucuresti SRL</v>
      </c>
      <c r="C410" s="211" t="str">
        <f>IF(COUNTBLANK('RNEW import'!E408)=1,"",'RNEW import'!E408)</f>
        <v>RPMB</v>
      </c>
      <c r="D410" s="211" t="str">
        <f>IF(COUNTBLANK('RNEW import'!K408)=1,"",'RNEW import'!K408)</f>
        <v>Contributie CFD</v>
      </c>
      <c r="E410" s="211">
        <f>IF(COUNTBLANK('RNEW import'!L408)=1,"",'RNEW import'!N408)</f>
        <v>1390723</v>
      </c>
      <c r="F410" s="211">
        <f>IF(COUNTBLANK('RNEW import'!M408)=1,"",'RNEW import'!O408/10000)</f>
        <v>2.0599999999999999E-4</v>
      </c>
      <c r="G410" s="217">
        <f t="shared" si="114"/>
        <v>286.49</v>
      </c>
      <c r="H410" s="217">
        <f t="shared" si="122"/>
        <v>54.43</v>
      </c>
      <c r="I410" s="329">
        <f t="shared" si="115"/>
        <v>340.92</v>
      </c>
      <c r="J410" s="237" t="str">
        <f t="shared" si="117"/>
        <v/>
      </c>
      <c r="K410" s="238" t="str">
        <f t="shared" si="118"/>
        <v/>
      </c>
      <c r="L410" s="238" t="str">
        <f t="shared" si="119"/>
        <v/>
      </c>
      <c r="M410" s="238" t="str">
        <f t="shared" si="120"/>
        <v/>
      </c>
      <c r="N410" s="238" t="str">
        <f t="shared" si="121"/>
        <v/>
      </c>
      <c r="O410" s="232" t="str">
        <f t="shared" si="116"/>
        <v/>
      </c>
      <c r="P410" s="219" t="str">
        <f t="shared" si="123"/>
        <v/>
      </c>
      <c r="Q410" s="219" t="str">
        <f t="shared" si="124"/>
        <v/>
      </c>
      <c r="R410" s="219" t="str">
        <f t="shared" si="125"/>
        <v/>
      </c>
      <c r="S410" s="331" t="str">
        <f t="shared" si="126"/>
        <v/>
      </c>
      <c r="T410" s="331" t="str">
        <f t="shared" si="127"/>
        <v/>
      </c>
      <c r="U410" s="331" t="str">
        <f t="shared" si="128"/>
        <v/>
      </c>
    </row>
    <row r="411" spans="1:21" ht="15.95" customHeight="1">
      <c r="A411" s="211">
        <f>IF(COUNTBLANK('RNEW import'!B409)=1,"",'RNEW import'!B409)</f>
        <v>12</v>
      </c>
      <c r="B411" s="211" t="str">
        <f>IF(COUNTBLANK('RNEW import'!D409)=1,"",'RNEW import'!D409)</f>
        <v>Promenada Mall Bucuresti SRL</v>
      </c>
      <c r="C411" s="211" t="str">
        <f>IF(COUNTBLANK('RNEW import'!E409)=1,"",'RNEW import'!E409)</f>
        <v>RPMB</v>
      </c>
      <c r="D411" s="211" t="str">
        <f>IF(COUNTBLANK('RNEW import'!K409)=1,"",'RNEW import'!K409)</f>
        <v>Acciza</v>
      </c>
      <c r="E411" s="211">
        <f>IF(COUNTBLANK('RNEW import'!L409)=1,"",'RNEW import'!N409)</f>
        <v>1390723</v>
      </c>
      <c r="F411" s="211">
        <f>IF(COUNTBLANK('RNEW import'!M409)=1,"",'RNEW import'!O409/10000)</f>
        <v>0</v>
      </c>
      <c r="G411" s="217">
        <f t="shared" si="114"/>
        <v>0</v>
      </c>
      <c r="H411" s="217">
        <f t="shared" si="122"/>
        <v>0</v>
      </c>
      <c r="I411" s="329">
        <f t="shared" si="115"/>
        <v>0</v>
      </c>
      <c r="J411" s="237" t="str">
        <f t="shared" si="117"/>
        <v/>
      </c>
      <c r="K411" s="238" t="str">
        <f t="shared" si="118"/>
        <v/>
      </c>
      <c r="L411" s="238" t="str">
        <f t="shared" si="119"/>
        <v/>
      </c>
      <c r="M411" s="238" t="str">
        <f t="shared" si="120"/>
        <v/>
      </c>
      <c r="N411" s="238" t="str">
        <f t="shared" si="121"/>
        <v/>
      </c>
      <c r="O411" s="233" t="str">
        <f t="shared" si="116"/>
        <v/>
      </c>
      <c r="P411" s="219" t="str">
        <f t="shared" si="123"/>
        <v/>
      </c>
      <c r="Q411" s="219" t="str">
        <f t="shared" si="124"/>
        <v/>
      </c>
      <c r="R411" s="219" t="str">
        <f t="shared" si="125"/>
        <v/>
      </c>
      <c r="S411" s="331" t="str">
        <f t="shared" si="126"/>
        <v/>
      </c>
      <c r="T411" s="331" t="str">
        <f t="shared" si="127"/>
        <v/>
      </c>
      <c r="U411" s="331" t="str">
        <f t="shared" si="128"/>
        <v/>
      </c>
    </row>
    <row r="412" spans="1:21" ht="15.95" customHeight="1">
      <c r="A412" s="211">
        <f>IF(COUNTBLANK('RNEW import'!B410)=1,"",'RNEW import'!B410)</f>
        <v>13</v>
      </c>
      <c r="B412" s="211" t="str">
        <f>IF(COUNTBLANK('RNEW import'!D410)=1,"",'RNEW import'!D410)</f>
        <v>Promenada Mall Bucuresti SRL</v>
      </c>
      <c r="C412" s="211" t="str">
        <f>IF(COUNTBLANK('RNEW import'!E410)=1,"",'RNEW import'!E410)</f>
        <v>RPMB</v>
      </c>
      <c r="D412" s="211" t="str">
        <f>IF(COUNTBLANK('RNEW import'!K410)=1,"",'RNEW import'!K410)</f>
        <v>Tarif distributie SDI MT</v>
      </c>
      <c r="E412" s="211">
        <f>IF(COUNTBLANK('RNEW import'!L410)=1,"",'RNEW import'!N410)</f>
        <v>1323209</v>
      </c>
      <c r="F412" s="211">
        <f>IF(COUNTBLANK('RNEW import'!M410)=1,"",'RNEW import'!O410/10000)</f>
        <v>1.1300000000000001E-2</v>
      </c>
      <c r="G412" s="217">
        <f t="shared" si="114"/>
        <v>14952.26</v>
      </c>
      <c r="H412" s="217">
        <f t="shared" si="122"/>
        <v>2840.93</v>
      </c>
      <c r="I412" s="329">
        <f t="shared" si="115"/>
        <v>17793.189999999999</v>
      </c>
      <c r="J412" s="237" t="str">
        <f t="shared" si="117"/>
        <v/>
      </c>
      <c r="K412" s="238" t="str">
        <f t="shared" si="118"/>
        <v/>
      </c>
      <c r="L412" s="238" t="str">
        <f t="shared" si="119"/>
        <v/>
      </c>
      <c r="M412" s="238" t="str">
        <f t="shared" si="120"/>
        <v/>
      </c>
      <c r="N412" s="238" t="str">
        <f t="shared" si="121"/>
        <v/>
      </c>
      <c r="O412" s="218" t="str">
        <f t="shared" si="116"/>
        <v/>
      </c>
      <c r="P412" s="219" t="str">
        <f t="shared" si="123"/>
        <v/>
      </c>
      <c r="Q412" s="219" t="str">
        <f t="shared" si="124"/>
        <v/>
      </c>
      <c r="R412" s="219" t="str">
        <f t="shared" si="125"/>
        <v/>
      </c>
      <c r="S412" s="331" t="str">
        <f t="shared" si="126"/>
        <v/>
      </c>
      <c r="T412" s="331" t="str">
        <f t="shared" si="127"/>
        <v/>
      </c>
      <c r="U412" s="331" t="str">
        <f t="shared" si="128"/>
        <v/>
      </c>
    </row>
    <row r="413" spans="1:21" ht="15.95" customHeight="1">
      <c r="A413" s="211">
        <f>IF(COUNTBLANK('RNEW import'!B411)=1,"",'RNEW import'!B411)</f>
        <v>14</v>
      </c>
      <c r="B413" s="211" t="str">
        <f>IF(COUNTBLANK('RNEW import'!D411)=1,"",'RNEW import'!D411)</f>
        <v>Promenada Mall Bucuresti SRL</v>
      </c>
      <c r="C413" s="211" t="str">
        <f>IF(COUNTBLANK('RNEW import'!E411)=1,"",'RNEW import'!E411)</f>
        <v>RPMB</v>
      </c>
      <c r="D413" s="211" t="str">
        <f>IF(COUNTBLANK('RNEW import'!K411)=1,"",'RNEW import'!K411)</f>
        <v>Tarif distributie SDI JT</v>
      </c>
      <c r="E413" s="211">
        <f>IF(COUNTBLANK('RNEW import'!L411)=1,"",'RNEW import'!N411)</f>
        <v>1323209</v>
      </c>
      <c r="F413" s="211">
        <f>IF(COUNTBLANK('RNEW import'!M411)=1,"",'RNEW import'!O411/10000)</f>
        <v>8.4099999999999994E-2</v>
      </c>
      <c r="G413" s="217">
        <f t="shared" si="114"/>
        <v>111281.88</v>
      </c>
      <c r="H413" s="217">
        <f t="shared" si="122"/>
        <v>21143.56</v>
      </c>
      <c r="I413" s="329">
        <f t="shared" si="115"/>
        <v>132425.44</v>
      </c>
      <c r="J413" s="237" t="str">
        <f t="shared" si="117"/>
        <v/>
      </c>
      <c r="K413" s="238" t="str">
        <f t="shared" si="118"/>
        <v/>
      </c>
      <c r="L413" s="238" t="str">
        <f t="shared" si="119"/>
        <v/>
      </c>
      <c r="M413" s="238" t="str">
        <f t="shared" si="120"/>
        <v/>
      </c>
      <c r="N413" s="238" t="str">
        <f t="shared" si="121"/>
        <v/>
      </c>
      <c r="O413" s="232" t="str">
        <f t="shared" si="116"/>
        <v/>
      </c>
      <c r="P413" s="219" t="str">
        <f t="shared" si="123"/>
        <v/>
      </c>
      <c r="Q413" s="219" t="str">
        <f t="shared" si="124"/>
        <v/>
      </c>
      <c r="R413" s="219" t="str">
        <f t="shared" si="125"/>
        <v/>
      </c>
      <c r="S413" s="331" t="str">
        <f t="shared" si="126"/>
        <v/>
      </c>
      <c r="T413" s="331" t="str">
        <f t="shared" si="127"/>
        <v/>
      </c>
      <c r="U413" s="331" t="str">
        <f t="shared" si="128"/>
        <v/>
      </c>
    </row>
    <row r="414" spans="1:21" ht="15.95" customHeight="1">
      <c r="A414" s="211">
        <f>IF(COUNTBLANK('RNEW import'!B412)=1,"",'RNEW import'!B412)</f>
        <v>15</v>
      </c>
      <c r="B414" s="211" t="str">
        <f>IF(COUNTBLANK('RNEW import'!D412)=1,"",'RNEW import'!D412)</f>
        <v>Promenada Mall Bucuresti SRL</v>
      </c>
      <c r="C414" s="211" t="str">
        <f>IF(COUNTBLANK('RNEW import'!E412)=1,"",'RNEW import'!E412)</f>
        <v>RPMB</v>
      </c>
      <c r="D414" s="211" t="str">
        <f>IF(COUNTBLANK('RNEW import'!K412)=1,"",'RNEW import'!K412)</f>
        <v>Energie activa 2</v>
      </c>
      <c r="E414" s="211">
        <f>IF(COUNTBLANK('RNEW import'!L412)=1,"",'RNEW import'!N412)</f>
        <v>64628</v>
      </c>
      <c r="F414" s="211">
        <f>IF(COUNTBLANK('RNEW import'!M412)=1,"",'RNEW import'!O412/10000)</f>
        <v>0.90065760000000006</v>
      </c>
      <c r="G414" s="217">
        <f t="shared" si="114"/>
        <v>58207.7</v>
      </c>
      <c r="H414" s="217">
        <f t="shared" si="122"/>
        <v>11059.46</v>
      </c>
      <c r="I414" s="329">
        <f t="shared" si="115"/>
        <v>69267.16</v>
      </c>
      <c r="J414" s="237" t="str">
        <f t="shared" si="117"/>
        <v/>
      </c>
      <c r="K414" s="238" t="str">
        <f t="shared" si="118"/>
        <v/>
      </c>
      <c r="L414" s="238" t="str">
        <f t="shared" si="119"/>
        <v/>
      </c>
      <c r="M414" s="238" t="str">
        <f t="shared" si="120"/>
        <v/>
      </c>
      <c r="N414" s="238" t="str">
        <f t="shared" si="121"/>
        <v/>
      </c>
      <c r="O414" s="232" t="str">
        <f t="shared" si="116"/>
        <v/>
      </c>
      <c r="P414" s="219" t="str">
        <f t="shared" si="123"/>
        <v/>
      </c>
      <c r="Q414" s="219" t="str">
        <f t="shared" si="124"/>
        <v/>
      </c>
      <c r="R414" s="219" t="str">
        <f t="shared" si="125"/>
        <v/>
      </c>
      <c r="S414" s="331" t="str">
        <f t="shared" si="126"/>
        <v/>
      </c>
      <c r="T414" s="331" t="str">
        <f t="shared" si="127"/>
        <v/>
      </c>
      <c r="U414" s="331" t="str">
        <f t="shared" si="128"/>
        <v/>
      </c>
    </row>
    <row r="415" spans="1:21" ht="15.95" customHeight="1">
      <c r="A415" s="211">
        <f>IF(COUNTBLANK('RNEW import'!B413)=1,"",'RNEW import'!B413)</f>
        <v>16</v>
      </c>
      <c r="B415" s="211" t="str">
        <f>IF(COUNTBLANK('RNEW import'!D413)=1,"",'RNEW import'!D413)</f>
        <v>Promenada Mall Bucuresti SRL</v>
      </c>
      <c r="C415" s="211" t="str">
        <f>IF(COUNTBLANK('RNEW import'!E413)=1,"",'RNEW import'!E413)</f>
        <v>RPMB</v>
      </c>
      <c r="D415" s="211" t="str">
        <f>IF(COUNTBLANK('RNEW import'!K413)=1,"",'RNEW import'!K413)</f>
        <v>Energie activa 3</v>
      </c>
      <c r="E415" s="211">
        <f>IF(COUNTBLANK('RNEW import'!L413)=1,"",'RNEW import'!N413)</f>
        <v>0</v>
      </c>
      <c r="F415" s="211">
        <f>IF(COUNTBLANK('RNEW import'!M413)=1,"",'RNEW import'!O413/10000)</f>
        <v>0.80525760000000002</v>
      </c>
      <c r="G415" s="217">
        <f t="shared" si="114"/>
        <v>0</v>
      </c>
      <c r="H415" s="217">
        <f t="shared" si="122"/>
        <v>0</v>
      </c>
      <c r="I415" s="329">
        <f t="shared" si="115"/>
        <v>0</v>
      </c>
      <c r="J415" s="237" t="str">
        <f t="shared" si="117"/>
        <v/>
      </c>
      <c r="K415" s="238" t="str">
        <f t="shared" si="118"/>
        <v/>
      </c>
      <c r="L415" s="238" t="str">
        <f t="shared" si="119"/>
        <v/>
      </c>
      <c r="M415" s="238" t="str">
        <f t="shared" si="120"/>
        <v/>
      </c>
      <c r="N415" s="238" t="str">
        <f t="shared" si="121"/>
        <v/>
      </c>
      <c r="O415" s="232" t="str">
        <f t="shared" si="116"/>
        <v/>
      </c>
      <c r="P415" s="219" t="str">
        <f t="shared" si="123"/>
        <v/>
      </c>
      <c r="Q415" s="219" t="str">
        <f t="shared" si="124"/>
        <v/>
      </c>
      <c r="R415" s="219" t="str">
        <f t="shared" si="125"/>
        <v/>
      </c>
      <c r="S415" s="331" t="str">
        <f t="shared" si="126"/>
        <v/>
      </c>
      <c r="T415" s="331" t="str">
        <f t="shared" si="127"/>
        <v/>
      </c>
      <c r="U415" s="331" t="str">
        <f t="shared" si="128"/>
        <v/>
      </c>
    </row>
    <row r="416" spans="1:21" ht="15.95" customHeight="1">
      <c r="A416" s="211">
        <f>IF(COUNTBLANK('RNEW import'!B414)=1,"",'RNEW import'!B414)</f>
        <v>17</v>
      </c>
      <c r="B416" s="211" t="str">
        <f>IF(COUNTBLANK('RNEW import'!D414)=1,"",'RNEW import'!D414)</f>
        <v>Promenada Mall Bucuresti SRL</v>
      </c>
      <c r="C416" s="211" t="str">
        <f>IF(COUNTBLANK('RNEW import'!E414)=1,"",'RNEW import'!E414)</f>
        <v>RPMB</v>
      </c>
      <c r="D416" s="211" t="str">
        <f>IF(COUNTBLANK('RNEW import'!K414)=1,"",'RNEW import'!K414)</f>
        <v>Tarif distributie SDI MT_</v>
      </c>
      <c r="E416" s="211">
        <f>IF(COUNTBLANK('RNEW import'!L414)=1,"",'RNEW import'!N414)</f>
        <v>0</v>
      </c>
      <c r="F416" s="211">
        <f>IF(COUNTBLANK('RNEW import'!M414)=1,"",'RNEW import'!O414/10000)</f>
        <v>1.1300000000000001E-2</v>
      </c>
      <c r="G416" s="217">
        <f t="shared" si="114"/>
        <v>0</v>
      </c>
      <c r="H416" s="217">
        <f t="shared" si="122"/>
        <v>0</v>
      </c>
      <c r="I416" s="329">
        <f t="shared" si="115"/>
        <v>0</v>
      </c>
      <c r="J416" s="237" t="str">
        <f t="shared" si="117"/>
        <v/>
      </c>
      <c r="K416" s="238" t="str">
        <f t="shared" si="118"/>
        <v/>
      </c>
      <c r="L416" s="238" t="str">
        <f t="shared" si="119"/>
        <v/>
      </c>
      <c r="M416" s="238" t="str">
        <f t="shared" si="120"/>
        <v/>
      </c>
      <c r="N416" s="238" t="str">
        <f t="shared" si="121"/>
        <v/>
      </c>
      <c r="O416" s="232" t="str">
        <f t="shared" si="116"/>
        <v/>
      </c>
      <c r="P416" s="219" t="str">
        <f t="shared" si="123"/>
        <v/>
      </c>
      <c r="Q416" s="219" t="str">
        <f t="shared" si="124"/>
        <v/>
      </c>
      <c r="R416" s="219" t="str">
        <f t="shared" si="125"/>
        <v/>
      </c>
      <c r="S416" s="331" t="str">
        <f t="shared" si="126"/>
        <v/>
      </c>
      <c r="T416" s="331" t="str">
        <f t="shared" si="127"/>
        <v/>
      </c>
      <c r="U416" s="331" t="str">
        <f t="shared" si="128"/>
        <v/>
      </c>
    </row>
    <row r="417" spans="1:21" ht="15.95" customHeight="1">
      <c r="A417" s="211">
        <f>IF(COUNTBLANK('RNEW import'!B415)=1,"",'RNEW import'!B415)</f>
        <v>18</v>
      </c>
      <c r="B417" s="211" t="str">
        <f>IF(COUNTBLANK('RNEW import'!D415)=1,"",'RNEW import'!D415)</f>
        <v>Promenada Mall Bucuresti SRL</v>
      </c>
      <c r="C417" s="211" t="str">
        <f>IF(COUNTBLANK('RNEW import'!E415)=1,"",'RNEW import'!E415)</f>
        <v>RPMB</v>
      </c>
      <c r="D417" s="211" t="str">
        <f>IF(COUNTBLANK('RNEW import'!K415)=1,"",'RNEW import'!K415)</f>
        <v>Tarif distributie SDI JT_</v>
      </c>
      <c r="E417" s="211">
        <f>IF(COUNTBLANK('RNEW import'!L415)=1,"",'RNEW import'!N415)</f>
        <v>0</v>
      </c>
      <c r="F417" s="211">
        <f>IF(COUNTBLANK('RNEW import'!M415)=1,"",'RNEW import'!O415/10000)</f>
        <v>8.4099999999999994E-2</v>
      </c>
      <c r="G417" s="217">
        <f t="shared" si="114"/>
        <v>0</v>
      </c>
      <c r="H417" s="217">
        <f t="shared" si="122"/>
        <v>0</v>
      </c>
      <c r="I417" s="329">
        <f t="shared" si="115"/>
        <v>0</v>
      </c>
      <c r="J417" s="237" t="str">
        <f t="shared" si="117"/>
        <v/>
      </c>
      <c r="K417" s="238" t="str">
        <f t="shared" si="118"/>
        <v/>
      </c>
      <c r="L417" s="238" t="str">
        <f t="shared" si="119"/>
        <v/>
      </c>
      <c r="M417" s="238" t="str">
        <f t="shared" si="120"/>
        <v/>
      </c>
      <c r="N417" s="238" t="str">
        <f t="shared" si="121"/>
        <v/>
      </c>
      <c r="O417" s="232" t="str">
        <f t="shared" si="116"/>
        <v/>
      </c>
      <c r="P417" s="219" t="str">
        <f t="shared" si="123"/>
        <v>Energie consumata din PV</v>
      </c>
      <c r="Q417" s="219">
        <f t="shared" si="124"/>
        <v>64628</v>
      </c>
      <c r="R417" s="219">
        <f t="shared" si="125"/>
        <v>0.90065799999999996</v>
      </c>
      <c r="S417" s="331">
        <f t="shared" si="126"/>
        <v>58207.7</v>
      </c>
      <c r="T417" s="331">
        <f t="shared" si="127"/>
        <v>11059.46</v>
      </c>
      <c r="U417" s="331">
        <f t="shared" si="128"/>
        <v>69267.16</v>
      </c>
    </row>
    <row r="418" spans="1:21" ht="15.95" customHeight="1">
      <c r="A418" s="211">
        <f>IF(COUNTBLANK('RNEW import'!B416)=1,"",'RNEW import'!B416)</f>
        <v>19</v>
      </c>
      <c r="B418" s="211" t="str">
        <f>IF(COUNTBLANK('RNEW import'!D416)=1,"",'RNEW import'!D416)</f>
        <v>Promenada Mall Bucuresti SRL</v>
      </c>
      <c r="C418" s="211" t="str">
        <f>IF(COUNTBLANK('RNEW import'!E416)=1,"",'RNEW import'!E416)</f>
        <v>RPMB</v>
      </c>
      <c r="D418" s="211" t="str">
        <f>IF(COUNTBLANK('RNEW import'!K416)=1,"",'RNEW import'!K416)</f>
        <v>Regularizare Energie activa 1</v>
      </c>
      <c r="E418" s="211">
        <f>IF(COUNTBLANK('RNEW import'!L416)=1,"",'RNEW import'!N416)</f>
        <v>0</v>
      </c>
      <c r="F418" s="211">
        <f>IF(COUNTBLANK('RNEW import'!M416)=1,"",'RNEW import'!O416/10000)</f>
        <v>0.59499999999999997</v>
      </c>
      <c r="G418" s="217">
        <f t="shared" si="114"/>
        <v>0</v>
      </c>
      <c r="H418" s="217">
        <f t="shared" si="122"/>
        <v>0</v>
      </c>
      <c r="I418" s="329">
        <f t="shared" si="115"/>
        <v>0</v>
      </c>
      <c r="J418" s="237" t="str">
        <f t="shared" si="117"/>
        <v/>
      </c>
      <c r="K418" s="238" t="str">
        <f t="shared" si="118"/>
        <v/>
      </c>
      <c r="L418" s="238" t="str">
        <f t="shared" si="119"/>
        <v/>
      </c>
      <c r="M418" s="238" t="str">
        <f t="shared" si="120"/>
        <v/>
      </c>
      <c r="N418" s="238" t="str">
        <f t="shared" si="121"/>
        <v/>
      </c>
      <c r="O418" s="232" t="str">
        <f t="shared" si="116"/>
        <v/>
      </c>
      <c r="P418" s="219" t="str">
        <f t="shared" si="123"/>
        <v>Energie activa regularizare</v>
      </c>
      <c r="Q418" s="219">
        <f t="shared" si="124"/>
        <v>0</v>
      </c>
      <c r="R418" s="219">
        <f t="shared" si="125"/>
        <v>0</v>
      </c>
      <c r="S418" s="331">
        <f t="shared" si="126"/>
        <v>0</v>
      </c>
      <c r="T418" s="331">
        <f t="shared" si="127"/>
        <v>0</v>
      </c>
      <c r="U418" s="331">
        <f t="shared" si="128"/>
        <v>0</v>
      </c>
    </row>
    <row r="419" spans="1:21" ht="15.95" customHeight="1">
      <c r="A419" s="211">
        <f>IF(COUNTBLANK('RNEW import'!B417)=1,"",'RNEW import'!B417)</f>
        <v>20</v>
      </c>
      <c r="B419" s="211" t="str">
        <f>IF(COUNTBLANK('RNEW import'!D417)=1,"",'RNEW import'!D417)</f>
        <v>Promenada Mall Bucuresti SRL</v>
      </c>
      <c r="C419" s="211" t="str">
        <f>IF(COUNTBLANK('RNEW import'!E417)=1,"",'RNEW import'!E417)</f>
        <v>RPMB</v>
      </c>
      <c r="D419" s="211" t="str">
        <f>IF(COUNTBLANK('RNEW import'!K417)=1,"",'RNEW import'!K417)</f>
        <v>Regularizare Energie reactiva  1X</v>
      </c>
      <c r="E419" s="211">
        <f>IF(COUNTBLANK('RNEW import'!L417)=1,"",'RNEW import'!N417)</f>
        <v>0</v>
      </c>
      <c r="F419" s="211">
        <f>IF(COUNTBLANK('RNEW import'!M417)=1,"",'RNEW import'!O417/10000)</f>
        <v>0.14660000000000001</v>
      </c>
      <c r="G419" s="217">
        <f t="shared" si="114"/>
        <v>0</v>
      </c>
      <c r="H419" s="217">
        <f t="shared" si="122"/>
        <v>0</v>
      </c>
      <c r="I419" s="329">
        <f t="shared" si="115"/>
        <v>0</v>
      </c>
      <c r="J419" s="237" t="str">
        <f t="shared" si="117"/>
        <v/>
      </c>
      <c r="K419" s="238" t="str">
        <f t="shared" si="118"/>
        <v/>
      </c>
      <c r="L419" s="238" t="str">
        <f t="shared" si="119"/>
        <v/>
      </c>
      <c r="M419" s="238" t="str">
        <f t="shared" si="120"/>
        <v/>
      </c>
      <c r="N419" s="238" t="str">
        <f t="shared" si="121"/>
        <v/>
      </c>
      <c r="O419" s="232" t="str">
        <f t="shared" si="116"/>
        <v/>
      </c>
      <c r="P419" s="219" t="str">
        <f t="shared" si="123"/>
        <v>Energie reactiva 1x regularizare</v>
      </c>
      <c r="Q419" s="219">
        <f t="shared" si="124"/>
        <v>0</v>
      </c>
      <c r="R419" s="219">
        <f t="shared" si="125"/>
        <v>0.14660000000000001</v>
      </c>
      <c r="S419" s="331">
        <f t="shared" si="126"/>
        <v>0</v>
      </c>
      <c r="T419" s="331">
        <f t="shared" si="127"/>
        <v>0</v>
      </c>
      <c r="U419" s="331">
        <f t="shared" si="128"/>
        <v>0</v>
      </c>
    </row>
    <row r="420" spans="1:21" ht="15.95" customHeight="1">
      <c r="A420" s="211">
        <f>IF(COUNTBLANK('RNEW import'!B418)=1,"",'RNEW import'!B418)</f>
        <v>21</v>
      </c>
      <c r="B420" s="211" t="str">
        <f>IF(COUNTBLANK('RNEW import'!D418)=1,"",'RNEW import'!D418)</f>
        <v>Promenada Mall Bucuresti SRL</v>
      </c>
      <c r="C420" s="211" t="str">
        <f>IF(COUNTBLANK('RNEW import'!E418)=1,"",'RNEW import'!E418)</f>
        <v>RPMB</v>
      </c>
      <c r="D420" s="211" t="str">
        <f>IF(COUNTBLANK('RNEW import'!K418)=1,"",'RNEW import'!K418)</f>
        <v>Regularizare Energie reactiva  3X</v>
      </c>
      <c r="E420" s="211">
        <f>IF(COUNTBLANK('RNEW import'!L418)=1,"",'RNEW import'!N418)</f>
        <v>0</v>
      </c>
      <c r="F420" s="211">
        <f>IF(COUNTBLANK('RNEW import'!M418)=1,"",'RNEW import'!O418/10000)</f>
        <v>0.43980000000000002</v>
      </c>
      <c r="G420" s="217">
        <f t="shared" si="114"/>
        <v>0</v>
      </c>
      <c r="H420" s="217">
        <f t="shared" si="122"/>
        <v>0</v>
      </c>
      <c r="I420" s="329">
        <f t="shared" si="115"/>
        <v>0</v>
      </c>
      <c r="J420" s="237" t="str">
        <f t="shared" si="117"/>
        <v/>
      </c>
      <c r="K420" s="238" t="str">
        <f t="shared" si="118"/>
        <v/>
      </c>
      <c r="L420" s="238" t="str">
        <f t="shared" si="119"/>
        <v/>
      </c>
      <c r="M420" s="238" t="str">
        <f t="shared" si="120"/>
        <v/>
      </c>
      <c r="N420" s="238" t="str">
        <f t="shared" si="121"/>
        <v/>
      </c>
      <c r="O420" s="232" t="str">
        <f t="shared" si="116"/>
        <v/>
      </c>
      <c r="P420" s="219" t="str">
        <f t="shared" si="123"/>
        <v>Energie reactiva 3x regularizare</v>
      </c>
      <c r="Q420" s="219">
        <f t="shared" si="124"/>
        <v>0</v>
      </c>
      <c r="R420" s="219">
        <f t="shared" si="125"/>
        <v>0.43980000000000002</v>
      </c>
      <c r="S420" s="331">
        <f t="shared" si="126"/>
        <v>0</v>
      </c>
      <c r="T420" s="331">
        <f t="shared" si="127"/>
        <v>0</v>
      </c>
      <c r="U420" s="331">
        <f t="shared" si="128"/>
        <v>0</v>
      </c>
    </row>
    <row r="421" spans="1:21" ht="15.95" customHeight="1">
      <c r="A421" s="211">
        <f>IF(COUNTBLANK('RNEW import'!B419)=1,"",'RNEW import'!B419)</f>
        <v>22</v>
      </c>
      <c r="B421" s="211" t="str">
        <f>IF(COUNTBLANK('RNEW import'!D419)=1,"",'RNEW import'!D419)</f>
        <v>Promenada Mall Bucuresti SRL</v>
      </c>
      <c r="C421" s="211" t="str">
        <f>IF(COUNTBLANK('RNEW import'!E419)=1,"",'RNEW import'!E419)</f>
        <v>RPMB</v>
      </c>
      <c r="D421" s="211" t="str">
        <f>IF(COUNTBLANK('RNEW import'!K419)=1,"",'RNEW import'!K419)</f>
        <v>Regularizare Tarife distributie en. El IT+MT</v>
      </c>
      <c r="E421" s="211">
        <f>IF(COUNTBLANK('RNEW import'!L419)=1,"",'RNEW import'!N419)</f>
        <v>0</v>
      </c>
      <c r="F421" s="211">
        <f>IF(COUNTBLANK('RNEW import'!M419)=1,"",'RNEW import'!O419/10000)</f>
        <v>8.6180000000000007E-2</v>
      </c>
      <c r="G421" s="217">
        <f t="shared" ref="G421:G484" si="129">ROUND(E421*F421,2)</f>
        <v>0</v>
      </c>
      <c r="H421" s="217">
        <f t="shared" si="122"/>
        <v>0</v>
      </c>
      <c r="I421" s="329">
        <f t="shared" ref="I421:I484" si="130">G421+H421</f>
        <v>0</v>
      </c>
      <c r="J421" s="237" t="str">
        <f t="shared" si="117"/>
        <v/>
      </c>
      <c r="K421" s="238" t="str">
        <f t="shared" si="118"/>
        <v/>
      </c>
      <c r="L421" s="238" t="str">
        <f t="shared" si="119"/>
        <v/>
      </c>
      <c r="M421" s="238" t="str">
        <f t="shared" si="120"/>
        <v/>
      </c>
      <c r="N421" s="238" t="str">
        <f t="shared" si="121"/>
        <v/>
      </c>
      <c r="O421" s="232" t="str">
        <f t="shared" si="116"/>
        <v/>
      </c>
      <c r="P421" s="219" t="str">
        <f t="shared" si="123"/>
        <v/>
      </c>
      <c r="Q421" s="219" t="str">
        <f t="shared" si="124"/>
        <v/>
      </c>
      <c r="R421" s="219" t="str">
        <f t="shared" si="125"/>
        <v/>
      </c>
      <c r="S421" s="331" t="str">
        <f t="shared" si="126"/>
        <v/>
      </c>
      <c r="T421" s="331" t="str">
        <f t="shared" si="127"/>
        <v/>
      </c>
      <c r="U421" s="331" t="str">
        <f t="shared" si="128"/>
        <v/>
      </c>
    </row>
    <row r="422" spans="1:21" ht="15.95" customHeight="1">
      <c r="A422" s="211">
        <f>IF(COUNTBLANK('RNEW import'!B420)=1,"",'RNEW import'!B420)</f>
        <v>23</v>
      </c>
      <c r="B422" s="211" t="str">
        <f>IF(COUNTBLANK('RNEW import'!D420)=1,"",'RNEW import'!D420)</f>
        <v>Promenada Mall Bucuresti SRL</v>
      </c>
      <c r="C422" s="211" t="str">
        <f>IF(COUNTBLANK('RNEW import'!E420)=1,"",'RNEW import'!E420)</f>
        <v>RPMB</v>
      </c>
      <c r="D422" s="211" t="str">
        <f>IF(COUNTBLANK('RNEW import'!K420)=1,"",'RNEW import'!K420)</f>
        <v>Regularizare Tarife distributie en. El JT</v>
      </c>
      <c r="E422" s="211">
        <f>IF(COUNTBLANK('RNEW import'!L420)=1,"",'RNEW import'!N420)</f>
        <v>0</v>
      </c>
      <c r="F422" s="211">
        <f>IF(COUNTBLANK('RNEW import'!M420)=1,"",'RNEW import'!O420/10000)</f>
        <v>0.2079</v>
      </c>
      <c r="G422" s="217">
        <f t="shared" si="129"/>
        <v>0</v>
      </c>
      <c r="H422" s="217">
        <f t="shared" si="122"/>
        <v>0</v>
      </c>
      <c r="I422" s="329">
        <f t="shared" si="130"/>
        <v>0</v>
      </c>
      <c r="J422" s="237" t="str">
        <f t="shared" si="117"/>
        <v/>
      </c>
      <c r="K422" s="238" t="str">
        <f t="shared" si="118"/>
        <v/>
      </c>
      <c r="L422" s="238" t="str">
        <f t="shared" si="119"/>
        <v/>
      </c>
      <c r="M422" s="238" t="str">
        <f t="shared" si="120"/>
        <v/>
      </c>
      <c r="N422" s="238" t="str">
        <f t="shared" si="121"/>
        <v/>
      </c>
      <c r="O422" s="232" t="str">
        <f t="shared" ref="O422:O485" si="131">IF(A422=1,B422,"")</f>
        <v/>
      </c>
      <c r="P422" s="219" t="str">
        <f t="shared" si="123"/>
        <v/>
      </c>
      <c r="Q422" s="219" t="str">
        <f t="shared" si="124"/>
        <v/>
      </c>
      <c r="R422" s="219" t="str">
        <f t="shared" si="125"/>
        <v/>
      </c>
      <c r="S422" s="331" t="str">
        <f t="shared" si="126"/>
        <v/>
      </c>
      <c r="T422" s="331" t="str">
        <f t="shared" si="127"/>
        <v/>
      </c>
      <c r="U422" s="331" t="str">
        <f t="shared" si="128"/>
        <v/>
      </c>
    </row>
    <row r="423" spans="1:21" ht="15.95" customHeight="1">
      <c r="A423" s="211">
        <f>IF(COUNTBLANK('RNEW import'!B421)=1,"",'RNEW import'!B421)</f>
        <v>24</v>
      </c>
      <c r="B423" s="211" t="str">
        <f>IF(COUNTBLANK('RNEW import'!D421)=1,"",'RNEW import'!D421)</f>
        <v>Promenada Mall Bucuresti SRL</v>
      </c>
      <c r="C423" s="211" t="str">
        <f>IF(COUNTBLANK('RNEW import'!E421)=1,"",'RNEW import'!E421)</f>
        <v>RPMB</v>
      </c>
      <c r="D423" s="211" t="str">
        <f>IF(COUNTBLANK('RNEW import'!K421)=1,"",'RNEW import'!K421)</f>
        <v xml:space="preserve">Regularizare Servicii Sistem </v>
      </c>
      <c r="E423" s="211">
        <f>IF(COUNTBLANK('RNEW import'!L421)=1,"",'RNEW import'!N421)</f>
        <v>0</v>
      </c>
      <c r="F423" s="211">
        <f>IF(COUNTBLANK('RNEW import'!M421)=1,"",'RNEW import'!O421/10000)</f>
        <v>1.1509999999999999E-2</v>
      </c>
      <c r="G423" s="217">
        <f t="shared" si="129"/>
        <v>0</v>
      </c>
      <c r="H423" s="217">
        <f t="shared" si="122"/>
        <v>0</v>
      </c>
      <c r="I423" s="329">
        <f t="shared" si="130"/>
        <v>0</v>
      </c>
      <c r="J423" s="237" t="str">
        <f t="shared" si="117"/>
        <v/>
      </c>
      <c r="K423" s="238" t="str">
        <f t="shared" si="118"/>
        <v/>
      </c>
      <c r="L423" s="238" t="str">
        <f t="shared" si="119"/>
        <v/>
      </c>
      <c r="M423" s="238" t="str">
        <f t="shared" si="120"/>
        <v/>
      </c>
      <c r="N423" s="238" t="str">
        <f t="shared" si="121"/>
        <v/>
      </c>
      <c r="O423" s="232" t="str">
        <f t="shared" si="131"/>
        <v/>
      </c>
      <c r="P423" s="219" t="str">
        <f t="shared" si="123"/>
        <v/>
      </c>
      <c r="Q423" s="219" t="str">
        <f t="shared" si="124"/>
        <v/>
      </c>
      <c r="R423" s="219" t="str">
        <f t="shared" si="125"/>
        <v/>
      </c>
      <c r="S423" s="331" t="str">
        <f t="shared" si="126"/>
        <v/>
      </c>
      <c r="T423" s="331" t="str">
        <f t="shared" si="127"/>
        <v/>
      </c>
      <c r="U423" s="331" t="str">
        <f t="shared" si="128"/>
        <v/>
      </c>
    </row>
    <row r="424" spans="1:21" ht="15.95" customHeight="1">
      <c r="A424" s="211">
        <f>IF(COUNTBLANK('RNEW import'!B422)=1,"",'RNEW import'!B422)</f>
        <v>25</v>
      </c>
      <c r="B424" s="211" t="str">
        <f>IF(COUNTBLANK('RNEW import'!D422)=1,"",'RNEW import'!D422)</f>
        <v>Promenada Mall Bucuresti SRL</v>
      </c>
      <c r="C424" s="211" t="str">
        <f>IF(COUNTBLANK('RNEW import'!E422)=1,"",'RNEW import'!E422)</f>
        <v>RPMB</v>
      </c>
      <c r="D424" s="211" t="str">
        <f>IF(COUNTBLANK('RNEW import'!K422)=1,"",'RNEW import'!K422)</f>
        <v>Regularizare Tarif de introducere en. el in retea (TL)</v>
      </c>
      <c r="E424" s="211">
        <f>IF(COUNTBLANK('RNEW import'!L422)=1,"",'RNEW import'!N422)</f>
        <v>0</v>
      </c>
      <c r="F424" s="211">
        <f>IF(COUNTBLANK('RNEW import'!M422)=1,"",'RNEW import'!O422/10000)</f>
        <v>3.3030000000000004E-2</v>
      </c>
      <c r="G424" s="217">
        <f t="shared" si="129"/>
        <v>0</v>
      </c>
      <c r="H424" s="217">
        <f t="shared" si="122"/>
        <v>0</v>
      </c>
      <c r="I424" s="329">
        <f t="shared" si="130"/>
        <v>0</v>
      </c>
      <c r="J424" s="237" t="str">
        <f t="shared" si="117"/>
        <v/>
      </c>
      <c r="K424" s="238" t="str">
        <f t="shared" si="118"/>
        <v/>
      </c>
      <c r="L424" s="238" t="str">
        <f t="shared" si="119"/>
        <v/>
      </c>
      <c r="M424" s="238" t="str">
        <f t="shared" si="120"/>
        <v/>
      </c>
      <c r="N424" s="238" t="str">
        <f t="shared" si="121"/>
        <v/>
      </c>
      <c r="O424" s="232" t="str">
        <f t="shared" si="131"/>
        <v/>
      </c>
      <c r="P424" s="219" t="str">
        <f t="shared" si="123"/>
        <v/>
      </c>
      <c r="Q424" s="219" t="str">
        <f t="shared" si="124"/>
        <v/>
      </c>
      <c r="R424" s="219" t="str">
        <f t="shared" si="125"/>
        <v/>
      </c>
      <c r="S424" s="331" t="str">
        <f t="shared" si="126"/>
        <v/>
      </c>
      <c r="T424" s="331" t="str">
        <f t="shared" si="127"/>
        <v/>
      </c>
      <c r="U424" s="331" t="str">
        <f t="shared" si="128"/>
        <v/>
      </c>
    </row>
    <row r="425" spans="1:21" ht="15.95" customHeight="1">
      <c r="A425" s="211">
        <f>IF(COUNTBLANK('RNEW import'!B423)=1,"",'RNEW import'!B423)</f>
        <v>26</v>
      </c>
      <c r="B425" s="211" t="str">
        <f>IF(COUNTBLANK('RNEW import'!D423)=1,"",'RNEW import'!D423)</f>
        <v>Promenada Mall Bucuresti SRL</v>
      </c>
      <c r="C425" s="211" t="str">
        <f>IF(COUNTBLANK('RNEW import'!E423)=1,"",'RNEW import'!E423)</f>
        <v>RPMB</v>
      </c>
      <c r="D425" s="211" t="str">
        <f>IF(COUNTBLANK('RNEW import'!K423)=1,"",'RNEW import'!K423)</f>
        <v>Regularizare Tarif de introducere en.el in retea (TG)</v>
      </c>
      <c r="E425" s="211">
        <f>IF(COUNTBLANK('RNEW import'!L423)=1,"",'RNEW import'!N423)</f>
        <v>0</v>
      </c>
      <c r="F425" s="211">
        <f>IF(COUNTBLANK('RNEW import'!M423)=1,"",'RNEW import'!O423/10000)</f>
        <v>3.29E-3</v>
      </c>
      <c r="G425" s="217">
        <f t="shared" si="129"/>
        <v>0</v>
      </c>
      <c r="H425" s="217">
        <f t="shared" si="122"/>
        <v>0</v>
      </c>
      <c r="I425" s="329">
        <f t="shared" si="130"/>
        <v>0</v>
      </c>
      <c r="J425" s="237" t="str">
        <f t="shared" si="117"/>
        <v/>
      </c>
      <c r="K425" s="238" t="str">
        <f t="shared" si="118"/>
        <v/>
      </c>
      <c r="L425" s="238" t="str">
        <f t="shared" si="119"/>
        <v/>
      </c>
      <c r="M425" s="238" t="str">
        <f t="shared" si="120"/>
        <v/>
      </c>
      <c r="N425" s="238" t="str">
        <f t="shared" si="121"/>
        <v/>
      </c>
      <c r="O425" s="232" t="str">
        <f t="shared" si="131"/>
        <v/>
      </c>
      <c r="P425" s="219" t="str">
        <f t="shared" si="123"/>
        <v/>
      </c>
      <c r="Q425" s="219" t="str">
        <f t="shared" si="124"/>
        <v/>
      </c>
      <c r="R425" s="219" t="str">
        <f t="shared" si="125"/>
        <v/>
      </c>
      <c r="S425" s="331" t="str">
        <f t="shared" si="126"/>
        <v/>
      </c>
      <c r="T425" s="331" t="str">
        <f t="shared" si="127"/>
        <v/>
      </c>
      <c r="U425" s="331" t="str">
        <f t="shared" si="128"/>
        <v/>
      </c>
    </row>
    <row r="426" spans="1:21" ht="15.95" customHeight="1">
      <c r="A426" s="211">
        <f>IF(COUNTBLANK('RNEW import'!B424)=1,"",'RNEW import'!B424)</f>
        <v>27</v>
      </c>
      <c r="B426" s="211" t="str">
        <f>IF(COUNTBLANK('RNEW import'!D424)=1,"",'RNEW import'!D424)</f>
        <v>Promenada Mall Bucuresti SRL</v>
      </c>
      <c r="C426" s="211" t="str">
        <f>IF(COUNTBLANK('RNEW import'!E424)=1,"",'RNEW import'!E424)</f>
        <v>RPMB</v>
      </c>
      <c r="D426" s="211" t="str">
        <f>IF(COUNTBLANK('RNEW import'!K424)=1,"",'RNEW import'!K424)</f>
        <v>Regularizare Contributie pentru cogenerare</v>
      </c>
      <c r="E426" s="211">
        <f>IF(COUNTBLANK('RNEW import'!L424)=1,"",'RNEW import'!N424)</f>
        <v>0</v>
      </c>
      <c r="F426" s="211">
        <f>IF(COUNTBLANK('RNEW import'!M424)=1,"",'RNEW import'!O424/10000)</f>
        <v>3.5000000000000001E-3</v>
      </c>
      <c r="G426" s="217">
        <f t="shared" si="129"/>
        <v>0</v>
      </c>
      <c r="H426" s="217">
        <f t="shared" si="122"/>
        <v>0</v>
      </c>
      <c r="I426" s="329">
        <f t="shared" si="130"/>
        <v>0</v>
      </c>
      <c r="J426" s="237" t="str">
        <f t="shared" si="117"/>
        <v/>
      </c>
      <c r="K426" s="238" t="str">
        <f t="shared" si="118"/>
        <v/>
      </c>
      <c r="L426" s="238" t="str">
        <f t="shared" si="119"/>
        <v/>
      </c>
      <c r="M426" s="238" t="str">
        <f t="shared" si="120"/>
        <v/>
      </c>
      <c r="N426" s="238" t="str">
        <f t="shared" si="121"/>
        <v/>
      </c>
      <c r="O426" s="232" t="str">
        <f t="shared" si="131"/>
        <v/>
      </c>
      <c r="P426" s="219" t="str">
        <f t="shared" si="123"/>
        <v/>
      </c>
      <c r="Q426" s="219" t="str">
        <f t="shared" si="124"/>
        <v/>
      </c>
      <c r="R426" s="219" t="str">
        <f t="shared" si="125"/>
        <v/>
      </c>
      <c r="S426" s="331" t="str">
        <f t="shared" si="126"/>
        <v/>
      </c>
      <c r="T426" s="331" t="str">
        <f t="shared" si="127"/>
        <v/>
      </c>
      <c r="U426" s="331" t="str">
        <f t="shared" si="128"/>
        <v/>
      </c>
    </row>
    <row r="427" spans="1:21" ht="15.95" customHeight="1">
      <c r="A427" s="211">
        <f>IF(COUNTBLANK('RNEW import'!B425)=1,"",'RNEW import'!B425)</f>
        <v>28</v>
      </c>
      <c r="B427" s="211" t="str">
        <f>IF(COUNTBLANK('RNEW import'!D425)=1,"",'RNEW import'!D425)</f>
        <v>Promenada Mall Bucuresti SRL</v>
      </c>
      <c r="C427" s="211" t="str">
        <f>IF(COUNTBLANK('RNEW import'!E425)=1,"",'RNEW import'!E425)</f>
        <v>RPMB</v>
      </c>
      <c r="D427" s="211" t="str">
        <f>IF(COUNTBLANK('RNEW import'!K425)=1,"",'RNEW import'!K425)</f>
        <v xml:space="preserve">Regularizare Certificate verzi </v>
      </c>
      <c r="E427" s="211">
        <f>IF(COUNTBLANK('RNEW import'!L425)=1,"",'RNEW import'!N425)</f>
        <v>0</v>
      </c>
      <c r="F427" s="211">
        <f>IF(COUNTBLANK('RNEW import'!M425)=1,"",'RNEW import'!O425/10000)</f>
        <v>7.2541599999999998E-2</v>
      </c>
      <c r="G427" s="217">
        <f t="shared" si="129"/>
        <v>0</v>
      </c>
      <c r="H427" s="217">
        <f t="shared" si="122"/>
        <v>0</v>
      </c>
      <c r="I427" s="329">
        <f t="shared" si="130"/>
        <v>0</v>
      </c>
      <c r="J427" s="237" t="str">
        <f t="shared" si="117"/>
        <v/>
      </c>
      <c r="K427" s="238" t="str">
        <f t="shared" si="118"/>
        <v/>
      </c>
      <c r="L427" s="238" t="str">
        <f t="shared" si="119"/>
        <v/>
      </c>
      <c r="M427" s="238" t="str">
        <f t="shared" si="120"/>
        <v/>
      </c>
      <c r="N427" s="238" t="str">
        <f t="shared" si="121"/>
        <v/>
      </c>
      <c r="O427" s="232" t="str">
        <f t="shared" si="131"/>
        <v/>
      </c>
      <c r="P427" s="219" t="str">
        <f t="shared" si="123"/>
        <v/>
      </c>
      <c r="Q427" s="219" t="str">
        <f t="shared" si="124"/>
        <v/>
      </c>
      <c r="R427" s="219" t="str">
        <f t="shared" si="125"/>
        <v/>
      </c>
      <c r="S427" s="331" t="str">
        <f t="shared" si="126"/>
        <v/>
      </c>
      <c r="T427" s="331" t="str">
        <f t="shared" si="127"/>
        <v/>
      </c>
      <c r="U427" s="331" t="str">
        <f t="shared" si="128"/>
        <v/>
      </c>
    </row>
    <row r="428" spans="1:21" ht="15.95" customHeight="1">
      <c r="A428" s="211">
        <f>IF(COUNTBLANK('RNEW import'!B426)=1,"",'RNEW import'!B426)</f>
        <v>29</v>
      </c>
      <c r="B428" s="211" t="str">
        <f>IF(COUNTBLANK('RNEW import'!D426)=1,"",'RNEW import'!D426)</f>
        <v>Promenada Mall Bucuresti SRL</v>
      </c>
      <c r="C428" s="211" t="str">
        <f>IF(COUNTBLANK('RNEW import'!E426)=1,"",'RNEW import'!E426)</f>
        <v>RPMB</v>
      </c>
      <c r="D428" s="211" t="str">
        <f>IF(COUNTBLANK('RNEW import'!K426)=1,"",'RNEW import'!K426)</f>
        <v>Regularizare Contributie CFD</v>
      </c>
      <c r="E428" s="211">
        <f>IF(COUNTBLANK('RNEW import'!L426)=1,"",'RNEW import'!N426)</f>
        <v>0</v>
      </c>
      <c r="F428" s="211">
        <f>IF(COUNTBLANK('RNEW import'!M426)=1,"",'RNEW import'!O426/10000)</f>
        <v>2.0599999999999999E-4</v>
      </c>
      <c r="G428" s="217">
        <f t="shared" si="129"/>
        <v>0</v>
      </c>
      <c r="H428" s="217">
        <f t="shared" si="122"/>
        <v>0</v>
      </c>
      <c r="I428" s="329">
        <f t="shared" si="130"/>
        <v>0</v>
      </c>
      <c r="J428" s="237" t="str">
        <f t="shared" si="117"/>
        <v/>
      </c>
      <c r="K428" s="238" t="str">
        <f t="shared" si="118"/>
        <v/>
      </c>
      <c r="L428" s="238" t="str">
        <f t="shared" si="119"/>
        <v/>
      </c>
      <c r="M428" s="238" t="str">
        <f t="shared" si="120"/>
        <v/>
      </c>
      <c r="N428" s="238" t="str">
        <f t="shared" si="121"/>
        <v/>
      </c>
      <c r="O428" s="232" t="str">
        <f t="shared" si="131"/>
        <v/>
      </c>
      <c r="P428" s="219" t="str">
        <f t="shared" si="123"/>
        <v/>
      </c>
      <c r="Q428" s="219" t="str">
        <f t="shared" si="124"/>
        <v/>
      </c>
      <c r="R428" s="219" t="str">
        <f t="shared" si="125"/>
        <v/>
      </c>
      <c r="S428" s="331" t="str">
        <f t="shared" si="126"/>
        <v/>
      </c>
      <c r="T428" s="331" t="str">
        <f t="shared" si="127"/>
        <v/>
      </c>
      <c r="U428" s="331" t="str">
        <f t="shared" si="128"/>
        <v/>
      </c>
    </row>
    <row r="429" spans="1:21" ht="15.95" customHeight="1">
      <c r="A429" s="211">
        <f>IF(COUNTBLANK('RNEW import'!B427)=1,"",'RNEW import'!B427)</f>
        <v>30</v>
      </c>
      <c r="B429" s="211" t="str">
        <f>IF(COUNTBLANK('RNEW import'!D427)=1,"",'RNEW import'!D427)</f>
        <v>Promenada Mall Bucuresti SRL</v>
      </c>
      <c r="C429" s="211" t="str">
        <f>IF(COUNTBLANK('RNEW import'!E427)=1,"",'RNEW import'!E427)</f>
        <v>RPMB</v>
      </c>
      <c r="D429" s="211" t="str">
        <f>IF(COUNTBLANK('RNEW import'!K427)=1,"",'RNEW import'!K427)</f>
        <v>Regularizare Acciza</v>
      </c>
      <c r="E429" s="211">
        <f>IF(COUNTBLANK('RNEW import'!L427)=1,"",'RNEW import'!N427)</f>
        <v>0</v>
      </c>
      <c r="F429" s="211">
        <f>IF(COUNTBLANK('RNEW import'!M427)=1,"",'RNEW import'!O427/10000)</f>
        <v>0</v>
      </c>
      <c r="G429" s="217">
        <f t="shared" si="129"/>
        <v>0</v>
      </c>
      <c r="H429" s="217">
        <f t="shared" si="122"/>
        <v>0</v>
      </c>
      <c r="I429" s="329">
        <f t="shared" si="130"/>
        <v>0</v>
      </c>
      <c r="J429" s="237" t="str">
        <f t="shared" si="117"/>
        <v/>
      </c>
      <c r="K429" s="238" t="str">
        <f t="shared" si="118"/>
        <v/>
      </c>
      <c r="L429" s="238" t="str">
        <f t="shared" si="119"/>
        <v/>
      </c>
      <c r="M429" s="238" t="str">
        <f t="shared" si="120"/>
        <v/>
      </c>
      <c r="N429" s="238" t="str">
        <f t="shared" si="121"/>
        <v/>
      </c>
      <c r="O429" s="232" t="str">
        <f t="shared" si="131"/>
        <v/>
      </c>
      <c r="P429" s="219" t="str">
        <f t="shared" si="123"/>
        <v/>
      </c>
      <c r="Q429" s="219" t="str">
        <f t="shared" si="124"/>
        <v/>
      </c>
      <c r="R429" s="219" t="str">
        <f t="shared" si="125"/>
        <v/>
      </c>
      <c r="S429" s="331" t="str">
        <f t="shared" si="126"/>
        <v/>
      </c>
      <c r="T429" s="331" t="str">
        <f t="shared" si="127"/>
        <v/>
      </c>
      <c r="U429" s="331" t="str">
        <f t="shared" si="128"/>
        <v/>
      </c>
    </row>
    <row r="430" spans="1:21" ht="15.95" customHeight="1">
      <c r="A430" s="211">
        <f>IF(COUNTBLANK('RNEW import'!B428)=1,"",'RNEW import'!B428)</f>
        <v>31</v>
      </c>
      <c r="B430" s="211" t="str">
        <f>IF(COUNTBLANK('RNEW import'!D428)=1,"",'RNEW import'!D428)</f>
        <v>Promenada Mall Bucuresti SRL</v>
      </c>
      <c r="C430" s="211" t="str">
        <f>IF(COUNTBLANK('RNEW import'!E428)=1,"",'RNEW import'!E428)</f>
        <v>RPMB</v>
      </c>
      <c r="D430" s="211" t="str">
        <f>IF(COUNTBLANK('RNEW import'!K428)=1,"",'RNEW import'!K428)</f>
        <v>Regularizare Tarif distributie SDI MT Ea1</v>
      </c>
      <c r="E430" s="211">
        <f>IF(COUNTBLANK('RNEW import'!L428)=1,"",'RNEW import'!N428)</f>
        <v>0</v>
      </c>
      <c r="F430" s="211">
        <f>IF(COUNTBLANK('RNEW import'!M428)=1,"",'RNEW import'!O428/10000)</f>
        <v>1.1300000000000001E-2</v>
      </c>
      <c r="G430" s="217">
        <f t="shared" si="129"/>
        <v>0</v>
      </c>
      <c r="H430" s="217">
        <f t="shared" si="122"/>
        <v>0</v>
      </c>
      <c r="I430" s="329">
        <f t="shared" si="130"/>
        <v>0</v>
      </c>
      <c r="J430" s="237" t="str">
        <f t="shared" si="117"/>
        <v/>
      </c>
      <c r="K430" s="238" t="str">
        <f t="shared" si="118"/>
        <v/>
      </c>
      <c r="L430" s="238" t="str">
        <f t="shared" si="119"/>
        <v/>
      </c>
      <c r="M430" s="238" t="str">
        <f t="shared" si="120"/>
        <v/>
      </c>
      <c r="N430" s="238" t="str">
        <f t="shared" si="121"/>
        <v/>
      </c>
      <c r="O430" s="232" t="str">
        <f t="shared" si="131"/>
        <v/>
      </c>
      <c r="P430" s="219" t="str">
        <f t="shared" si="123"/>
        <v/>
      </c>
      <c r="Q430" s="219" t="str">
        <f t="shared" si="124"/>
        <v/>
      </c>
      <c r="R430" s="219" t="str">
        <f t="shared" si="125"/>
        <v/>
      </c>
      <c r="S430" s="331" t="str">
        <f t="shared" si="126"/>
        <v/>
      </c>
      <c r="T430" s="331" t="str">
        <f t="shared" si="127"/>
        <v/>
      </c>
      <c r="U430" s="331" t="str">
        <f t="shared" si="128"/>
        <v/>
      </c>
    </row>
    <row r="431" spans="1:21" ht="15.95" customHeight="1">
      <c r="A431" s="211">
        <f>IF(COUNTBLANK('RNEW import'!B429)=1,"",'RNEW import'!B429)</f>
        <v>32</v>
      </c>
      <c r="B431" s="211" t="str">
        <f>IF(COUNTBLANK('RNEW import'!D429)=1,"",'RNEW import'!D429)</f>
        <v>Promenada Mall Bucuresti SRL</v>
      </c>
      <c r="C431" s="211" t="str">
        <f>IF(COUNTBLANK('RNEW import'!E429)=1,"",'RNEW import'!E429)</f>
        <v>RPMB</v>
      </c>
      <c r="D431" s="211" t="str">
        <f>IF(COUNTBLANK('RNEW import'!K429)=1,"",'RNEW import'!K429)</f>
        <v>Regularizare Tarif distributie SDI JT Ea1</v>
      </c>
      <c r="E431" s="211">
        <f>IF(COUNTBLANK('RNEW import'!L429)=1,"",'RNEW import'!N429)</f>
        <v>0</v>
      </c>
      <c r="F431" s="211">
        <f>IF(COUNTBLANK('RNEW import'!M429)=1,"",'RNEW import'!O429/10000)</f>
        <v>8.4099999999999994E-2</v>
      </c>
      <c r="G431" s="217">
        <f t="shared" si="129"/>
        <v>0</v>
      </c>
      <c r="H431" s="217">
        <f t="shared" si="122"/>
        <v>0</v>
      </c>
      <c r="I431" s="329">
        <f t="shared" si="130"/>
        <v>0</v>
      </c>
      <c r="J431" s="237" t="str">
        <f t="shared" si="117"/>
        <v/>
      </c>
      <c r="K431" s="238" t="str">
        <f t="shared" si="118"/>
        <v/>
      </c>
      <c r="L431" s="238" t="str">
        <f t="shared" si="119"/>
        <v/>
      </c>
      <c r="M431" s="238" t="str">
        <f t="shared" si="120"/>
        <v/>
      </c>
      <c r="N431" s="238" t="str">
        <f t="shared" si="121"/>
        <v/>
      </c>
      <c r="O431" s="232" t="str">
        <f t="shared" si="131"/>
        <v/>
      </c>
      <c r="P431" s="219" t="str">
        <f t="shared" si="123"/>
        <v/>
      </c>
      <c r="Q431" s="219" t="str">
        <f t="shared" si="124"/>
        <v/>
      </c>
      <c r="R431" s="219" t="str">
        <f t="shared" si="125"/>
        <v/>
      </c>
      <c r="S431" s="331" t="str">
        <f t="shared" si="126"/>
        <v/>
      </c>
      <c r="T431" s="331" t="str">
        <f t="shared" si="127"/>
        <v/>
      </c>
      <c r="U431" s="331" t="str">
        <f t="shared" si="128"/>
        <v/>
      </c>
    </row>
    <row r="432" spans="1:21" ht="15.95" customHeight="1">
      <c r="A432" s="211">
        <f>IF(COUNTBLANK('RNEW import'!B430)=1,"",'RNEW import'!B430)</f>
        <v>33</v>
      </c>
      <c r="B432" s="211" t="str">
        <f>IF(COUNTBLANK('RNEW import'!D430)=1,"",'RNEW import'!D430)</f>
        <v>Promenada Mall Bucuresti SRL</v>
      </c>
      <c r="C432" s="211" t="str">
        <f>IF(COUNTBLANK('RNEW import'!E430)=1,"",'RNEW import'!E430)</f>
        <v>RPMB</v>
      </c>
      <c r="D432" s="211" t="str">
        <f>IF(COUNTBLANK('RNEW import'!K430)=1,"",'RNEW import'!K430)</f>
        <v>Regularizare Energie activa 2</v>
      </c>
      <c r="E432" s="211">
        <f>IF(COUNTBLANK('RNEW import'!L430)=1,"",'RNEW import'!N430)</f>
        <v>0</v>
      </c>
      <c r="F432" s="211">
        <f>IF(COUNTBLANK('RNEW import'!M430)=1,"",'RNEW import'!O430/10000)</f>
        <v>0.90065760000000006</v>
      </c>
      <c r="G432" s="217">
        <f t="shared" si="129"/>
        <v>0</v>
      </c>
      <c r="H432" s="217">
        <f t="shared" si="122"/>
        <v>0</v>
      </c>
      <c r="I432" s="329">
        <f t="shared" si="130"/>
        <v>0</v>
      </c>
      <c r="J432" s="237" t="str">
        <f t="shared" si="117"/>
        <v/>
      </c>
      <c r="K432" s="238" t="str">
        <f t="shared" si="118"/>
        <v/>
      </c>
      <c r="L432" s="238" t="str">
        <f t="shared" si="119"/>
        <v/>
      </c>
      <c r="M432" s="238" t="str">
        <f t="shared" si="120"/>
        <v/>
      </c>
      <c r="N432" s="238" t="str">
        <f t="shared" si="121"/>
        <v/>
      </c>
      <c r="O432" s="232" t="str">
        <f t="shared" si="131"/>
        <v/>
      </c>
      <c r="P432" s="219" t="str">
        <f t="shared" si="123"/>
        <v/>
      </c>
      <c r="Q432" s="219" t="str">
        <f t="shared" si="124"/>
        <v/>
      </c>
      <c r="R432" s="219" t="str">
        <f t="shared" si="125"/>
        <v/>
      </c>
      <c r="S432" s="331" t="str">
        <f t="shared" si="126"/>
        <v/>
      </c>
      <c r="T432" s="331" t="str">
        <f t="shared" si="127"/>
        <v/>
      </c>
      <c r="U432" s="331" t="str">
        <f t="shared" si="128"/>
        <v/>
      </c>
    </row>
    <row r="433" spans="1:21" ht="15.95" customHeight="1">
      <c r="A433" s="211">
        <f>IF(COUNTBLANK('RNEW import'!B431)=1,"",'RNEW import'!B431)</f>
        <v>34</v>
      </c>
      <c r="B433" s="211" t="str">
        <f>IF(COUNTBLANK('RNEW import'!D431)=1,"",'RNEW import'!D431)</f>
        <v>Promenada Mall Bucuresti SRL</v>
      </c>
      <c r="C433" s="211" t="str">
        <f>IF(COUNTBLANK('RNEW import'!E431)=1,"",'RNEW import'!E431)</f>
        <v>RPMB</v>
      </c>
      <c r="D433" s="211" t="str">
        <f>IF(COUNTBLANK('RNEW import'!K431)=1,"",'RNEW import'!K431)</f>
        <v>Regularizare Energie activa 3</v>
      </c>
      <c r="E433" s="211">
        <f>IF(COUNTBLANK('RNEW import'!L431)=1,"",'RNEW import'!N431)</f>
        <v>0</v>
      </c>
      <c r="F433" s="211">
        <f>IF(COUNTBLANK('RNEW import'!M431)=1,"",'RNEW import'!O431/10000)</f>
        <v>0.80525760000000002</v>
      </c>
      <c r="G433" s="217">
        <f t="shared" si="129"/>
        <v>0</v>
      </c>
      <c r="H433" s="217">
        <f t="shared" si="122"/>
        <v>0</v>
      </c>
      <c r="I433" s="329">
        <f t="shared" si="130"/>
        <v>0</v>
      </c>
      <c r="J433" s="237" t="str">
        <f t="shared" si="117"/>
        <v/>
      </c>
      <c r="K433" s="238" t="str">
        <f t="shared" si="118"/>
        <v/>
      </c>
      <c r="L433" s="238" t="str">
        <f t="shared" si="119"/>
        <v/>
      </c>
      <c r="M433" s="238" t="str">
        <f t="shared" si="120"/>
        <v/>
      </c>
      <c r="N433" s="238" t="str">
        <f t="shared" si="121"/>
        <v/>
      </c>
      <c r="O433" s="232" t="str">
        <f t="shared" si="131"/>
        <v/>
      </c>
      <c r="P433" s="219" t="str">
        <f t="shared" si="123"/>
        <v/>
      </c>
      <c r="Q433" s="219" t="str">
        <f t="shared" si="124"/>
        <v/>
      </c>
      <c r="R433" s="219" t="str">
        <f t="shared" si="125"/>
        <v/>
      </c>
      <c r="S433" s="331" t="str">
        <f t="shared" si="126"/>
        <v/>
      </c>
      <c r="T433" s="331" t="str">
        <f t="shared" si="127"/>
        <v/>
      </c>
      <c r="U433" s="331" t="str">
        <f t="shared" si="128"/>
        <v/>
      </c>
    </row>
    <row r="434" spans="1:21" ht="15.95" customHeight="1">
      <c r="A434" s="211">
        <f>IF(COUNTBLANK('RNEW import'!B432)=1,"",'RNEW import'!B432)</f>
        <v>35</v>
      </c>
      <c r="B434" s="211" t="str">
        <f>IF(COUNTBLANK('RNEW import'!D432)=1,"",'RNEW import'!D432)</f>
        <v>Promenada Mall Bucuresti SRL</v>
      </c>
      <c r="C434" s="211" t="str">
        <f>IF(COUNTBLANK('RNEW import'!E432)=1,"",'RNEW import'!E432)</f>
        <v>RPMB</v>
      </c>
      <c r="D434" s="211" t="str">
        <f>IF(COUNTBLANK('RNEW import'!K432)=1,"",'RNEW import'!K432)</f>
        <v>Regularizare Tarif distributie SDI MT Ea3</v>
      </c>
      <c r="E434" s="211">
        <f>IF(COUNTBLANK('RNEW import'!L432)=1,"",'RNEW import'!N432)</f>
        <v>0</v>
      </c>
      <c r="F434" s="211">
        <f>IF(COUNTBLANK('RNEW import'!M432)=1,"",'RNEW import'!O432/10000)</f>
        <v>1.1300000000000001E-2</v>
      </c>
      <c r="G434" s="217">
        <f t="shared" si="129"/>
        <v>0</v>
      </c>
      <c r="H434" s="217">
        <f t="shared" si="122"/>
        <v>0</v>
      </c>
      <c r="I434" s="329">
        <f t="shared" si="130"/>
        <v>0</v>
      </c>
      <c r="J434" s="237" t="str">
        <f t="shared" si="117"/>
        <v/>
      </c>
      <c r="K434" s="238" t="str">
        <f t="shared" si="118"/>
        <v/>
      </c>
      <c r="L434" s="238" t="str">
        <f t="shared" si="119"/>
        <v/>
      </c>
      <c r="M434" s="238" t="str">
        <f t="shared" si="120"/>
        <v/>
      </c>
      <c r="N434" s="238" t="str">
        <f t="shared" si="121"/>
        <v/>
      </c>
      <c r="O434" s="232" t="str">
        <f t="shared" si="131"/>
        <v/>
      </c>
      <c r="P434" s="219" t="str">
        <f t="shared" si="123"/>
        <v/>
      </c>
      <c r="Q434" s="219" t="str">
        <f t="shared" si="124"/>
        <v/>
      </c>
      <c r="R434" s="219" t="str">
        <f t="shared" si="125"/>
        <v/>
      </c>
      <c r="S434" s="331" t="str">
        <f t="shared" si="126"/>
        <v/>
      </c>
      <c r="T434" s="331" t="str">
        <f t="shared" si="127"/>
        <v/>
      </c>
      <c r="U434" s="331" t="str">
        <f t="shared" si="128"/>
        <v/>
      </c>
    </row>
    <row r="435" spans="1:21" ht="15.95" customHeight="1">
      <c r="A435" s="211">
        <f>IF(COUNTBLANK('RNEW import'!B433)=1,"",'RNEW import'!B433)</f>
        <v>36</v>
      </c>
      <c r="B435" s="211" t="str">
        <f>IF(COUNTBLANK('RNEW import'!D433)=1,"",'RNEW import'!D433)</f>
        <v>Promenada Mall Bucuresti SRL</v>
      </c>
      <c r="C435" s="211" t="str">
        <f>IF(COUNTBLANK('RNEW import'!E433)=1,"",'RNEW import'!E433)</f>
        <v>RPMB</v>
      </c>
      <c r="D435" s="211" t="str">
        <f>IF(COUNTBLANK('RNEW import'!K433)=1,"",'RNEW import'!K433)</f>
        <v>Regularizare Tarif distributie SDI JT Ea3</v>
      </c>
      <c r="E435" s="211">
        <f>IF(COUNTBLANK('RNEW import'!L433)=1,"",'RNEW import'!N433)</f>
        <v>0</v>
      </c>
      <c r="F435" s="211">
        <f>IF(COUNTBLANK('RNEW import'!M433)=1,"",'RNEW import'!O433/10000)</f>
        <v>8.4099999999999994E-2</v>
      </c>
      <c r="G435" s="217">
        <f t="shared" si="129"/>
        <v>0</v>
      </c>
      <c r="H435" s="217">
        <f t="shared" si="122"/>
        <v>0</v>
      </c>
      <c r="I435" s="329">
        <f t="shared" si="130"/>
        <v>0</v>
      </c>
      <c r="J435" s="237" t="str">
        <f t="shared" si="117"/>
        <v/>
      </c>
      <c r="K435" s="238" t="str">
        <f t="shared" si="118"/>
        <v/>
      </c>
      <c r="L435" s="238" t="str">
        <f t="shared" si="119"/>
        <v/>
      </c>
      <c r="M435" s="238" t="str">
        <f t="shared" si="120"/>
        <v/>
      </c>
      <c r="N435" s="238" t="str">
        <f t="shared" si="121"/>
        <v/>
      </c>
      <c r="O435" s="232" t="str">
        <f t="shared" si="131"/>
        <v/>
      </c>
      <c r="P435" s="219" t="str">
        <f t="shared" si="123"/>
        <v>Energie consumata din PV regularizare</v>
      </c>
      <c r="Q435" s="219">
        <f t="shared" si="124"/>
        <v>0</v>
      </c>
      <c r="R435" s="219">
        <f t="shared" si="125"/>
        <v>0</v>
      </c>
      <c r="S435" s="331">
        <f t="shared" si="126"/>
        <v>0</v>
      </c>
      <c r="T435" s="331">
        <f t="shared" si="127"/>
        <v>0</v>
      </c>
      <c r="U435" s="331">
        <f t="shared" si="128"/>
        <v>0</v>
      </c>
    </row>
    <row r="436" spans="1:21" ht="15.95" customHeight="1">
      <c r="A436" s="211">
        <f>IF(COUNTBLANK('RNEW import'!B434)=1,"",'RNEW import'!B434)</f>
        <v>1</v>
      </c>
      <c r="B436" s="211" t="str">
        <f>IF(COUNTBLANK('RNEW import'!D434)=1,"",'RNEW import'!D434)</f>
        <v>Targu Mures Shopping City SRL</v>
      </c>
      <c r="C436" s="211" t="str">
        <f>IF(COUNTBLANK('RNEW import'!E434)=1,"",'RNEW import'!E434)</f>
        <v>RTGU</v>
      </c>
      <c r="D436" s="211" t="str">
        <f>IF(COUNTBLANK('RNEW import'!K434)=1,"",'RNEW import'!K434)</f>
        <v>Energie activa 1</v>
      </c>
      <c r="E436" s="211">
        <f>IF(COUNTBLANK('RNEW import'!L434)=1,"",'RNEW import'!N434)</f>
        <v>670016</v>
      </c>
      <c r="F436" s="211">
        <f>IF(COUNTBLANK('RNEW import'!M434)=1,"",'RNEW import'!O434/10000)</f>
        <v>0.59499999999999997</v>
      </c>
      <c r="G436" s="217">
        <f t="shared" si="129"/>
        <v>398659.52</v>
      </c>
      <c r="H436" s="217">
        <f t="shared" si="122"/>
        <v>75745.31</v>
      </c>
      <c r="I436" s="329">
        <f t="shared" si="130"/>
        <v>474404.83</v>
      </c>
      <c r="J436" s="237" t="str">
        <f t="shared" si="117"/>
        <v>Targu Mures Shopping City SRL</v>
      </c>
      <c r="K436" s="238">
        <f t="shared" si="118"/>
        <v>70552.680000000008</v>
      </c>
      <c r="L436" s="238">
        <f t="shared" si="119"/>
        <v>558731.43000000005</v>
      </c>
      <c r="M436" s="238">
        <f t="shared" si="120"/>
        <v>39890.03</v>
      </c>
      <c r="N436" s="238">
        <f t="shared" si="121"/>
        <v>670016</v>
      </c>
      <c r="O436" s="232" t="str">
        <f t="shared" si="131"/>
        <v>Targu Mures Shopping City SRL</v>
      </c>
      <c r="P436" s="219" t="str">
        <f t="shared" si="123"/>
        <v>Enegie activa</v>
      </c>
      <c r="Q436" s="219">
        <f t="shared" si="124"/>
        <v>670016</v>
      </c>
      <c r="R436" s="219">
        <f t="shared" si="125"/>
        <v>0.93920800000000004</v>
      </c>
      <c r="S436" s="331">
        <f t="shared" si="126"/>
        <v>629284.11</v>
      </c>
      <c r="T436" s="331">
        <f t="shared" si="127"/>
        <v>119563.99</v>
      </c>
      <c r="U436" s="331">
        <f t="shared" si="128"/>
        <v>748848.1</v>
      </c>
    </row>
    <row r="437" spans="1:21" ht="15.95" customHeight="1">
      <c r="A437" s="211">
        <f>IF(COUNTBLANK('RNEW import'!B435)=1,"",'RNEW import'!B435)</f>
        <v>2</v>
      </c>
      <c r="B437" s="211" t="str">
        <f>IF(COUNTBLANK('RNEW import'!D435)=1,"",'RNEW import'!D435)</f>
        <v>Targu Mures Shopping City SRL</v>
      </c>
      <c r="C437" s="211" t="str">
        <f>IF(COUNTBLANK('RNEW import'!E435)=1,"",'RNEW import'!E435)</f>
        <v>RTGU</v>
      </c>
      <c r="D437" s="211" t="str">
        <f>IF(COUNTBLANK('RNEW import'!K435)=1,"",'RNEW import'!K435)</f>
        <v>Energie reactiva  1X</v>
      </c>
      <c r="E437" s="211">
        <f>IF(COUNTBLANK('RNEW import'!L435)=1,"",'RNEW import'!N435)</f>
        <v>0</v>
      </c>
      <c r="F437" s="211">
        <f>IF(COUNTBLANK('RNEW import'!M435)=1,"",'RNEW import'!O435/10000)</f>
        <v>0.14649999999999999</v>
      </c>
      <c r="G437" s="217">
        <f t="shared" si="129"/>
        <v>0</v>
      </c>
      <c r="H437" s="217">
        <f t="shared" si="122"/>
        <v>0</v>
      </c>
      <c r="I437" s="329">
        <f t="shared" si="130"/>
        <v>0</v>
      </c>
      <c r="J437" s="237" t="str">
        <f t="shared" si="117"/>
        <v/>
      </c>
      <c r="K437" s="238" t="str">
        <f t="shared" si="118"/>
        <v/>
      </c>
      <c r="L437" s="238" t="str">
        <f t="shared" si="119"/>
        <v/>
      </c>
      <c r="M437" s="238" t="str">
        <f t="shared" si="120"/>
        <v/>
      </c>
      <c r="N437" s="238" t="str">
        <f t="shared" si="121"/>
        <v/>
      </c>
      <c r="O437" s="232" t="str">
        <f t="shared" si="131"/>
        <v/>
      </c>
      <c r="P437" s="219" t="str">
        <f t="shared" si="123"/>
        <v>Energie reactiva 1x</v>
      </c>
      <c r="Q437" s="219">
        <f t="shared" si="124"/>
        <v>0</v>
      </c>
      <c r="R437" s="219">
        <f t="shared" si="125"/>
        <v>0.14649999999999999</v>
      </c>
      <c r="S437" s="331">
        <f t="shared" si="126"/>
        <v>0</v>
      </c>
      <c r="T437" s="331">
        <f t="shared" si="127"/>
        <v>0</v>
      </c>
      <c r="U437" s="331">
        <f t="shared" si="128"/>
        <v>0</v>
      </c>
    </row>
    <row r="438" spans="1:21" ht="15.95" customHeight="1">
      <c r="A438" s="211">
        <f>IF(COUNTBLANK('RNEW import'!B436)=1,"",'RNEW import'!B436)</f>
        <v>3</v>
      </c>
      <c r="B438" s="211" t="str">
        <f>IF(COUNTBLANK('RNEW import'!D436)=1,"",'RNEW import'!D436)</f>
        <v>Targu Mures Shopping City SRL</v>
      </c>
      <c r="C438" s="211" t="str">
        <f>IF(COUNTBLANK('RNEW import'!E436)=1,"",'RNEW import'!E436)</f>
        <v>RTGU</v>
      </c>
      <c r="D438" s="211" t="str">
        <f>IF(COUNTBLANK('RNEW import'!K436)=1,"",'RNEW import'!K436)</f>
        <v>Energie reactiva  3X</v>
      </c>
      <c r="E438" s="211">
        <f>IF(COUNTBLANK('RNEW import'!L436)=1,"",'RNEW import'!N436)</f>
        <v>0</v>
      </c>
      <c r="F438" s="211">
        <f>IF(COUNTBLANK('RNEW import'!M436)=1,"",'RNEW import'!O436/10000)</f>
        <v>0.4395</v>
      </c>
      <c r="G438" s="217">
        <f t="shared" si="129"/>
        <v>0</v>
      </c>
      <c r="H438" s="217">
        <f t="shared" si="122"/>
        <v>0</v>
      </c>
      <c r="I438" s="329">
        <f t="shared" si="130"/>
        <v>0</v>
      </c>
      <c r="J438" s="237" t="str">
        <f t="shared" si="117"/>
        <v/>
      </c>
      <c r="K438" s="238" t="str">
        <f t="shared" si="118"/>
        <v/>
      </c>
      <c r="L438" s="238" t="str">
        <f t="shared" si="119"/>
        <v/>
      </c>
      <c r="M438" s="238" t="str">
        <f t="shared" si="120"/>
        <v/>
      </c>
      <c r="N438" s="238" t="str">
        <f t="shared" si="121"/>
        <v/>
      </c>
      <c r="O438" s="232" t="str">
        <f t="shared" si="131"/>
        <v/>
      </c>
      <c r="P438" s="219" t="str">
        <f t="shared" si="123"/>
        <v>Energie reactiva 3x</v>
      </c>
      <c r="Q438" s="219">
        <f t="shared" si="124"/>
        <v>0</v>
      </c>
      <c r="R438" s="219">
        <f t="shared" si="125"/>
        <v>0.4395</v>
      </c>
      <c r="S438" s="331">
        <f t="shared" si="126"/>
        <v>0</v>
      </c>
      <c r="T438" s="331">
        <f t="shared" si="127"/>
        <v>0</v>
      </c>
      <c r="U438" s="331">
        <f t="shared" si="128"/>
        <v>0</v>
      </c>
    </row>
    <row r="439" spans="1:21" ht="15.95" customHeight="1">
      <c r="A439" s="211">
        <f>IF(COUNTBLANK('RNEW import'!B437)=1,"",'RNEW import'!B437)</f>
        <v>4</v>
      </c>
      <c r="B439" s="211" t="str">
        <f>IF(COUNTBLANK('RNEW import'!D437)=1,"",'RNEW import'!D437)</f>
        <v>Targu Mures Shopping City SRL</v>
      </c>
      <c r="C439" s="211" t="str">
        <f>IF(COUNTBLANK('RNEW import'!E437)=1,"",'RNEW import'!E437)</f>
        <v>RTGU</v>
      </c>
      <c r="D439" s="211" t="str">
        <f>IF(COUNTBLANK('RNEW import'!K437)=1,"",'RNEW import'!K437)</f>
        <v>Tarife distributie en. El IT+MT</v>
      </c>
      <c r="E439" s="211">
        <f>IF(COUNTBLANK('RNEW import'!L437)=1,"",'RNEW import'!N437)</f>
        <v>670016</v>
      </c>
      <c r="F439" s="211">
        <f>IF(COUNTBLANK('RNEW import'!M437)=1,"",'RNEW import'!O437/10000)</f>
        <v>0.11483</v>
      </c>
      <c r="G439" s="217">
        <f t="shared" si="129"/>
        <v>76937.94</v>
      </c>
      <c r="H439" s="217">
        <f t="shared" si="122"/>
        <v>14618.21</v>
      </c>
      <c r="I439" s="329">
        <f t="shared" si="130"/>
        <v>91556.15</v>
      </c>
      <c r="J439" s="237" t="str">
        <f t="shared" si="117"/>
        <v/>
      </c>
      <c r="K439" s="238" t="str">
        <f t="shared" si="118"/>
        <v/>
      </c>
      <c r="L439" s="238" t="str">
        <f t="shared" si="119"/>
        <v/>
      </c>
      <c r="M439" s="238" t="str">
        <f t="shared" si="120"/>
        <v/>
      </c>
      <c r="N439" s="238" t="str">
        <f t="shared" si="121"/>
        <v/>
      </c>
      <c r="O439" s="232" t="str">
        <f t="shared" si="131"/>
        <v/>
      </c>
      <c r="P439" s="219" t="str">
        <f t="shared" si="123"/>
        <v/>
      </c>
      <c r="Q439" s="219" t="str">
        <f t="shared" si="124"/>
        <v/>
      </c>
      <c r="R439" s="219" t="str">
        <f t="shared" si="125"/>
        <v/>
      </c>
      <c r="S439" s="331" t="str">
        <f t="shared" si="126"/>
        <v/>
      </c>
      <c r="T439" s="331" t="str">
        <f t="shared" si="127"/>
        <v/>
      </c>
      <c r="U439" s="331" t="str">
        <f t="shared" si="128"/>
        <v/>
      </c>
    </row>
    <row r="440" spans="1:21" ht="15.95" customHeight="1">
      <c r="A440" s="211">
        <f>IF(COUNTBLANK('RNEW import'!B438)=1,"",'RNEW import'!B438)</f>
        <v>5</v>
      </c>
      <c r="B440" s="211" t="str">
        <f>IF(COUNTBLANK('RNEW import'!D438)=1,"",'RNEW import'!D438)</f>
        <v>Targu Mures Shopping City SRL</v>
      </c>
      <c r="C440" s="211" t="str">
        <f>IF(COUNTBLANK('RNEW import'!E438)=1,"",'RNEW import'!E438)</f>
        <v>RTGU</v>
      </c>
      <c r="D440" s="211" t="str">
        <f>IF(COUNTBLANK('RNEW import'!K438)=1,"",'RNEW import'!K438)</f>
        <v>Tarife distributie en. El JT</v>
      </c>
      <c r="E440" s="211">
        <f>IF(COUNTBLANK('RNEW import'!L438)=1,"",'RNEW import'!N438)</f>
        <v>0</v>
      </c>
      <c r="F440" s="211">
        <f>IF(COUNTBLANK('RNEW import'!M438)=1,"",'RNEW import'!O438/10000)</f>
        <v>0.2361</v>
      </c>
      <c r="G440" s="217">
        <f t="shared" si="129"/>
        <v>0</v>
      </c>
      <c r="H440" s="217">
        <f t="shared" si="122"/>
        <v>0</v>
      </c>
      <c r="I440" s="329">
        <f t="shared" si="130"/>
        <v>0</v>
      </c>
      <c r="J440" s="237" t="str">
        <f t="shared" si="117"/>
        <v/>
      </c>
      <c r="K440" s="238" t="str">
        <f t="shared" si="118"/>
        <v/>
      </c>
      <c r="L440" s="238" t="str">
        <f t="shared" si="119"/>
        <v/>
      </c>
      <c r="M440" s="238" t="str">
        <f t="shared" si="120"/>
        <v/>
      </c>
      <c r="N440" s="238" t="str">
        <f t="shared" si="121"/>
        <v/>
      </c>
      <c r="O440" s="232" t="str">
        <f t="shared" si="131"/>
        <v/>
      </c>
      <c r="P440" s="219" t="str">
        <f t="shared" si="123"/>
        <v/>
      </c>
      <c r="Q440" s="219" t="str">
        <f t="shared" si="124"/>
        <v/>
      </c>
      <c r="R440" s="219" t="str">
        <f t="shared" si="125"/>
        <v/>
      </c>
      <c r="S440" s="331" t="str">
        <f t="shared" si="126"/>
        <v/>
      </c>
      <c r="T440" s="331" t="str">
        <f t="shared" si="127"/>
        <v/>
      </c>
      <c r="U440" s="331" t="str">
        <f t="shared" si="128"/>
        <v/>
      </c>
    </row>
    <row r="441" spans="1:21" ht="15.95" customHeight="1">
      <c r="A441" s="211">
        <f>IF(COUNTBLANK('RNEW import'!B439)=1,"",'RNEW import'!B439)</f>
        <v>6</v>
      </c>
      <c r="B441" s="211" t="str">
        <f>IF(COUNTBLANK('RNEW import'!D439)=1,"",'RNEW import'!D439)</f>
        <v>Targu Mures Shopping City SRL</v>
      </c>
      <c r="C441" s="211" t="str">
        <f>IF(COUNTBLANK('RNEW import'!E439)=1,"",'RNEW import'!E439)</f>
        <v>RTGU</v>
      </c>
      <c r="D441" s="211" t="str">
        <f>IF(COUNTBLANK('RNEW import'!K439)=1,"",'RNEW import'!K439)</f>
        <v xml:space="preserve">Servicii Sistem </v>
      </c>
      <c r="E441" s="211">
        <f>IF(COUNTBLANK('RNEW import'!L439)=1,"",'RNEW import'!N439)</f>
        <v>670016</v>
      </c>
      <c r="F441" s="211">
        <f>IF(COUNTBLANK('RNEW import'!M439)=1,"",'RNEW import'!O439/10000)</f>
        <v>1.1509999999999999E-2</v>
      </c>
      <c r="G441" s="217">
        <f t="shared" si="129"/>
        <v>7711.88</v>
      </c>
      <c r="H441" s="217">
        <f t="shared" si="122"/>
        <v>1465.26</v>
      </c>
      <c r="I441" s="329">
        <f t="shared" si="130"/>
        <v>9177.14</v>
      </c>
      <c r="J441" s="237" t="str">
        <f t="shared" si="117"/>
        <v/>
      </c>
      <c r="K441" s="238" t="str">
        <f t="shared" si="118"/>
        <v/>
      </c>
      <c r="L441" s="238" t="str">
        <f t="shared" si="119"/>
        <v/>
      </c>
      <c r="M441" s="238" t="str">
        <f t="shared" si="120"/>
        <v/>
      </c>
      <c r="N441" s="238" t="str">
        <f t="shared" si="121"/>
        <v/>
      </c>
      <c r="O441" s="232" t="str">
        <f t="shared" si="131"/>
        <v/>
      </c>
      <c r="P441" s="219" t="str">
        <f t="shared" si="123"/>
        <v/>
      </c>
      <c r="Q441" s="219" t="str">
        <f t="shared" si="124"/>
        <v/>
      </c>
      <c r="R441" s="219" t="str">
        <f t="shared" si="125"/>
        <v/>
      </c>
      <c r="S441" s="331" t="str">
        <f t="shared" si="126"/>
        <v/>
      </c>
      <c r="T441" s="331" t="str">
        <f t="shared" si="127"/>
        <v/>
      </c>
      <c r="U441" s="331" t="str">
        <f t="shared" si="128"/>
        <v/>
      </c>
    </row>
    <row r="442" spans="1:21" ht="15.95" customHeight="1">
      <c r="A442" s="211">
        <f>IF(COUNTBLANK('RNEW import'!B440)=1,"",'RNEW import'!B440)</f>
        <v>7</v>
      </c>
      <c r="B442" s="211" t="str">
        <f>IF(COUNTBLANK('RNEW import'!D440)=1,"",'RNEW import'!D440)</f>
        <v>Targu Mures Shopping City SRL</v>
      </c>
      <c r="C442" s="211" t="str">
        <f>IF(COUNTBLANK('RNEW import'!E440)=1,"",'RNEW import'!E440)</f>
        <v>RTGU</v>
      </c>
      <c r="D442" s="211" t="str">
        <f>IF(COUNTBLANK('RNEW import'!K440)=1,"",'RNEW import'!K440)</f>
        <v>Tarif de introducere en. el in retea (TL)</v>
      </c>
      <c r="E442" s="211">
        <f>IF(COUNTBLANK('RNEW import'!L440)=1,"",'RNEW import'!N440)</f>
        <v>670016</v>
      </c>
      <c r="F442" s="211">
        <f>IF(COUNTBLANK('RNEW import'!M440)=1,"",'RNEW import'!O440/10000)</f>
        <v>3.3030000000000004E-2</v>
      </c>
      <c r="G442" s="217">
        <f t="shared" si="129"/>
        <v>22130.63</v>
      </c>
      <c r="H442" s="217">
        <f t="shared" si="122"/>
        <v>4204.82</v>
      </c>
      <c r="I442" s="329">
        <f t="shared" si="130"/>
        <v>26335.45</v>
      </c>
      <c r="J442" s="237" t="str">
        <f t="shared" si="117"/>
        <v/>
      </c>
      <c r="K442" s="238" t="str">
        <f t="shared" si="118"/>
        <v/>
      </c>
      <c r="L442" s="238" t="str">
        <f t="shared" si="119"/>
        <v/>
      </c>
      <c r="M442" s="238" t="str">
        <f t="shared" si="120"/>
        <v/>
      </c>
      <c r="N442" s="238" t="str">
        <f t="shared" si="121"/>
        <v/>
      </c>
      <c r="O442" s="232" t="str">
        <f t="shared" si="131"/>
        <v/>
      </c>
      <c r="P442" s="219" t="str">
        <f t="shared" si="123"/>
        <v/>
      </c>
      <c r="Q442" s="219" t="str">
        <f t="shared" si="124"/>
        <v/>
      </c>
      <c r="R442" s="219" t="str">
        <f t="shared" si="125"/>
        <v/>
      </c>
      <c r="S442" s="331" t="str">
        <f t="shared" si="126"/>
        <v/>
      </c>
      <c r="T442" s="331" t="str">
        <f t="shared" si="127"/>
        <v/>
      </c>
      <c r="U442" s="331" t="str">
        <f t="shared" si="128"/>
        <v/>
      </c>
    </row>
    <row r="443" spans="1:21" ht="15.95" customHeight="1">
      <c r="A443" s="211">
        <f>IF(COUNTBLANK('RNEW import'!B441)=1,"",'RNEW import'!B441)</f>
        <v>8</v>
      </c>
      <c r="B443" s="211" t="str">
        <f>IF(COUNTBLANK('RNEW import'!D441)=1,"",'RNEW import'!D441)</f>
        <v>Targu Mures Shopping City SRL</v>
      </c>
      <c r="C443" s="211" t="str">
        <f>IF(COUNTBLANK('RNEW import'!E441)=1,"",'RNEW import'!E441)</f>
        <v>RTGU</v>
      </c>
      <c r="D443" s="211" t="str">
        <f>IF(COUNTBLANK('RNEW import'!K441)=1,"",'RNEW import'!K441)</f>
        <v>Tarif de introducere en.el in retea (TG)</v>
      </c>
      <c r="E443" s="211">
        <f>IF(COUNTBLANK('RNEW import'!L441)=1,"",'RNEW import'!N441)</f>
        <v>670016</v>
      </c>
      <c r="F443" s="211">
        <f>IF(COUNTBLANK('RNEW import'!M441)=1,"",'RNEW import'!O441/10000)</f>
        <v>3.29E-3</v>
      </c>
      <c r="G443" s="217">
        <f t="shared" si="129"/>
        <v>2204.35</v>
      </c>
      <c r="H443" s="217">
        <f t="shared" si="122"/>
        <v>418.83</v>
      </c>
      <c r="I443" s="329">
        <f t="shared" si="130"/>
        <v>2623.18</v>
      </c>
      <c r="J443" s="237" t="str">
        <f t="shared" si="117"/>
        <v/>
      </c>
      <c r="K443" s="238" t="str">
        <f t="shared" si="118"/>
        <v/>
      </c>
      <c r="L443" s="238" t="str">
        <f t="shared" si="119"/>
        <v/>
      </c>
      <c r="M443" s="238" t="str">
        <f t="shared" si="120"/>
        <v/>
      </c>
      <c r="N443" s="238" t="str">
        <f t="shared" si="121"/>
        <v/>
      </c>
      <c r="O443" s="232" t="str">
        <f t="shared" si="131"/>
        <v/>
      </c>
      <c r="P443" s="219" t="str">
        <f t="shared" si="123"/>
        <v/>
      </c>
      <c r="Q443" s="219" t="str">
        <f t="shared" si="124"/>
        <v/>
      </c>
      <c r="R443" s="219" t="str">
        <f t="shared" si="125"/>
        <v/>
      </c>
      <c r="S443" s="331" t="str">
        <f t="shared" si="126"/>
        <v/>
      </c>
      <c r="T443" s="331" t="str">
        <f t="shared" si="127"/>
        <v/>
      </c>
      <c r="U443" s="331" t="str">
        <f t="shared" si="128"/>
        <v/>
      </c>
    </row>
    <row r="444" spans="1:21" ht="15.95" customHeight="1">
      <c r="A444" s="211">
        <f>IF(COUNTBLANK('RNEW import'!B442)=1,"",'RNEW import'!B442)</f>
        <v>9</v>
      </c>
      <c r="B444" s="211" t="str">
        <f>IF(COUNTBLANK('RNEW import'!D442)=1,"",'RNEW import'!D442)</f>
        <v>Targu Mures Shopping City SRL</v>
      </c>
      <c r="C444" s="211" t="str">
        <f>IF(COUNTBLANK('RNEW import'!E442)=1,"",'RNEW import'!E442)</f>
        <v>RTGU</v>
      </c>
      <c r="D444" s="211" t="str">
        <f>IF(COUNTBLANK('RNEW import'!K442)=1,"",'RNEW import'!K442)</f>
        <v>Contributie pentru cogenerare</v>
      </c>
      <c r="E444" s="211">
        <f>IF(COUNTBLANK('RNEW import'!L442)=1,"",'RNEW import'!N442)</f>
        <v>670016</v>
      </c>
      <c r="F444" s="211">
        <f>IF(COUNTBLANK('RNEW import'!M442)=1,"",'RNEW import'!O442/10000)</f>
        <v>3.5000000000000001E-3</v>
      </c>
      <c r="G444" s="217">
        <f t="shared" si="129"/>
        <v>2345.06</v>
      </c>
      <c r="H444" s="217">
        <f t="shared" si="122"/>
        <v>445.56</v>
      </c>
      <c r="I444" s="329">
        <f t="shared" si="130"/>
        <v>2790.62</v>
      </c>
      <c r="J444" s="237" t="str">
        <f t="shared" si="117"/>
        <v/>
      </c>
      <c r="K444" s="238" t="str">
        <f t="shared" si="118"/>
        <v/>
      </c>
      <c r="L444" s="238" t="str">
        <f t="shared" si="119"/>
        <v/>
      </c>
      <c r="M444" s="238" t="str">
        <f t="shared" si="120"/>
        <v/>
      </c>
      <c r="N444" s="238" t="str">
        <f t="shared" si="121"/>
        <v/>
      </c>
      <c r="O444" s="232" t="str">
        <f t="shared" si="131"/>
        <v/>
      </c>
      <c r="P444" s="219" t="str">
        <f t="shared" si="123"/>
        <v/>
      </c>
      <c r="Q444" s="219" t="str">
        <f t="shared" si="124"/>
        <v/>
      </c>
      <c r="R444" s="219" t="str">
        <f t="shared" si="125"/>
        <v/>
      </c>
      <c r="S444" s="331" t="str">
        <f t="shared" si="126"/>
        <v/>
      </c>
      <c r="T444" s="331" t="str">
        <f t="shared" si="127"/>
        <v/>
      </c>
      <c r="U444" s="331" t="str">
        <f t="shared" si="128"/>
        <v/>
      </c>
    </row>
    <row r="445" spans="1:21" ht="15.95" customHeight="1">
      <c r="A445" s="211">
        <f>IF(COUNTBLANK('RNEW import'!B443)=1,"",'RNEW import'!B443)</f>
        <v>10</v>
      </c>
      <c r="B445" s="211" t="str">
        <f>IF(COUNTBLANK('RNEW import'!D443)=1,"",'RNEW import'!D443)</f>
        <v>Targu Mures Shopping City SRL</v>
      </c>
      <c r="C445" s="211" t="str">
        <f>IF(COUNTBLANK('RNEW import'!E443)=1,"",'RNEW import'!E443)</f>
        <v>RTGU</v>
      </c>
      <c r="D445" s="211" t="str">
        <f>IF(COUNTBLANK('RNEW import'!K443)=1,"",'RNEW import'!K443)</f>
        <v xml:space="preserve">Certificate verzi </v>
      </c>
      <c r="E445" s="211">
        <f>IF(COUNTBLANK('RNEW import'!L443)=1,"",'RNEW import'!N443)</f>
        <v>670016</v>
      </c>
      <c r="F445" s="211">
        <f>IF(COUNTBLANK('RNEW import'!M443)=1,"",'RNEW import'!O443/10000)</f>
        <v>7.2541599999999998E-2</v>
      </c>
      <c r="G445" s="217">
        <f t="shared" si="129"/>
        <v>48604.03</v>
      </c>
      <c r="H445" s="217">
        <f t="shared" si="122"/>
        <v>9234.77</v>
      </c>
      <c r="I445" s="329">
        <f t="shared" si="130"/>
        <v>57838.8</v>
      </c>
      <c r="J445" s="237" t="str">
        <f t="shared" si="117"/>
        <v/>
      </c>
      <c r="K445" s="238" t="str">
        <f t="shared" si="118"/>
        <v/>
      </c>
      <c r="L445" s="238" t="str">
        <f t="shared" si="119"/>
        <v/>
      </c>
      <c r="M445" s="238" t="str">
        <f t="shared" si="120"/>
        <v/>
      </c>
      <c r="N445" s="238" t="str">
        <f t="shared" si="121"/>
        <v/>
      </c>
      <c r="O445" s="233" t="str">
        <f t="shared" si="131"/>
        <v/>
      </c>
      <c r="P445" s="219" t="str">
        <f t="shared" si="123"/>
        <v/>
      </c>
      <c r="Q445" s="219" t="str">
        <f t="shared" si="124"/>
        <v/>
      </c>
      <c r="R445" s="219" t="str">
        <f t="shared" si="125"/>
        <v/>
      </c>
      <c r="S445" s="331" t="str">
        <f t="shared" si="126"/>
        <v/>
      </c>
      <c r="T445" s="331" t="str">
        <f t="shared" si="127"/>
        <v/>
      </c>
      <c r="U445" s="331" t="str">
        <f t="shared" si="128"/>
        <v/>
      </c>
    </row>
    <row r="446" spans="1:21" ht="15.95" customHeight="1">
      <c r="A446" s="211">
        <f>IF(COUNTBLANK('RNEW import'!B444)=1,"",'RNEW import'!B444)</f>
        <v>11</v>
      </c>
      <c r="B446" s="211" t="str">
        <f>IF(COUNTBLANK('RNEW import'!D444)=1,"",'RNEW import'!D444)</f>
        <v>Targu Mures Shopping City SRL</v>
      </c>
      <c r="C446" s="211" t="str">
        <f>IF(COUNTBLANK('RNEW import'!E444)=1,"",'RNEW import'!E444)</f>
        <v>RTGU</v>
      </c>
      <c r="D446" s="211" t="str">
        <f>IF(COUNTBLANK('RNEW import'!K444)=1,"",'RNEW import'!K444)</f>
        <v>Contributie CFD</v>
      </c>
      <c r="E446" s="211">
        <f>IF(COUNTBLANK('RNEW import'!L444)=1,"",'RNEW import'!N444)</f>
        <v>670016</v>
      </c>
      <c r="F446" s="211">
        <f>IF(COUNTBLANK('RNEW import'!M444)=1,"",'RNEW import'!O444/10000)</f>
        <v>2.0599999999999999E-4</v>
      </c>
      <c r="G446" s="217">
        <f t="shared" si="129"/>
        <v>138.02000000000001</v>
      </c>
      <c r="H446" s="217">
        <f t="shared" si="122"/>
        <v>26.22</v>
      </c>
      <c r="I446" s="329">
        <f t="shared" si="130"/>
        <v>164.24</v>
      </c>
      <c r="J446" s="237" t="str">
        <f t="shared" si="117"/>
        <v/>
      </c>
      <c r="K446" s="238" t="str">
        <f t="shared" si="118"/>
        <v/>
      </c>
      <c r="L446" s="238" t="str">
        <f t="shared" si="119"/>
        <v/>
      </c>
      <c r="M446" s="238" t="str">
        <f t="shared" si="120"/>
        <v/>
      </c>
      <c r="N446" s="238" t="str">
        <f t="shared" si="121"/>
        <v/>
      </c>
      <c r="O446" s="218" t="str">
        <f t="shared" si="131"/>
        <v/>
      </c>
      <c r="P446" s="219" t="str">
        <f t="shared" si="123"/>
        <v/>
      </c>
      <c r="Q446" s="219" t="str">
        <f t="shared" si="124"/>
        <v/>
      </c>
      <c r="R446" s="219" t="str">
        <f t="shared" si="125"/>
        <v/>
      </c>
      <c r="S446" s="331" t="str">
        <f t="shared" si="126"/>
        <v/>
      </c>
      <c r="T446" s="331" t="str">
        <f t="shared" si="127"/>
        <v/>
      </c>
      <c r="U446" s="331" t="str">
        <f t="shared" si="128"/>
        <v/>
      </c>
    </row>
    <row r="447" spans="1:21" ht="15.95" customHeight="1">
      <c r="A447" s="211">
        <f>IF(COUNTBLANK('RNEW import'!B445)=1,"",'RNEW import'!B445)</f>
        <v>12</v>
      </c>
      <c r="B447" s="211" t="str">
        <f>IF(COUNTBLANK('RNEW import'!D445)=1,"",'RNEW import'!D445)</f>
        <v>Targu Mures Shopping City SRL</v>
      </c>
      <c r="C447" s="211" t="str">
        <f>IF(COUNTBLANK('RNEW import'!E445)=1,"",'RNEW import'!E445)</f>
        <v>RTGU</v>
      </c>
      <c r="D447" s="211" t="str">
        <f>IF(COUNTBLANK('RNEW import'!K445)=1,"",'RNEW import'!K445)</f>
        <v>Acciza</v>
      </c>
      <c r="E447" s="211">
        <f>IF(COUNTBLANK('RNEW import'!L445)=1,"",'RNEW import'!N445)</f>
        <v>670016</v>
      </c>
      <c r="F447" s="211">
        <f>IF(COUNTBLANK('RNEW import'!M445)=1,"",'RNEW import'!O445/10000)</f>
        <v>0</v>
      </c>
      <c r="G447" s="217">
        <f t="shared" si="129"/>
        <v>0</v>
      </c>
      <c r="H447" s="217">
        <f t="shared" si="122"/>
        <v>0</v>
      </c>
      <c r="I447" s="329">
        <f t="shared" si="130"/>
        <v>0</v>
      </c>
      <c r="J447" s="237" t="str">
        <f t="shared" si="117"/>
        <v/>
      </c>
      <c r="K447" s="238" t="str">
        <f t="shared" si="118"/>
        <v/>
      </c>
      <c r="L447" s="238" t="str">
        <f t="shared" si="119"/>
        <v/>
      </c>
      <c r="M447" s="238" t="str">
        <f t="shared" si="120"/>
        <v/>
      </c>
      <c r="N447" s="238" t="str">
        <f t="shared" si="121"/>
        <v/>
      </c>
      <c r="O447" s="232" t="str">
        <f t="shared" si="131"/>
        <v/>
      </c>
      <c r="P447" s="219" t="str">
        <f t="shared" si="123"/>
        <v/>
      </c>
      <c r="Q447" s="219" t="str">
        <f t="shared" si="124"/>
        <v/>
      </c>
      <c r="R447" s="219" t="str">
        <f t="shared" si="125"/>
        <v/>
      </c>
      <c r="S447" s="331" t="str">
        <f t="shared" si="126"/>
        <v/>
      </c>
      <c r="T447" s="331" t="str">
        <f t="shared" si="127"/>
        <v/>
      </c>
      <c r="U447" s="331" t="str">
        <f t="shared" si="128"/>
        <v/>
      </c>
    </row>
    <row r="448" spans="1:21" ht="15.95" customHeight="1">
      <c r="A448" s="211">
        <f>IF(COUNTBLANK('RNEW import'!B446)=1,"",'RNEW import'!B446)</f>
        <v>13</v>
      </c>
      <c r="B448" s="211" t="str">
        <f>IF(COUNTBLANK('RNEW import'!D446)=1,"",'RNEW import'!D446)</f>
        <v>Targu Mures Shopping City SRL</v>
      </c>
      <c r="C448" s="211" t="str">
        <f>IF(COUNTBLANK('RNEW import'!E446)=1,"",'RNEW import'!E446)</f>
        <v>RTGU</v>
      </c>
      <c r="D448" s="211" t="str">
        <f>IF(COUNTBLANK('RNEW import'!K446)=1,"",'RNEW import'!K446)</f>
        <v>Tarif distributie SDI MT</v>
      </c>
      <c r="E448" s="211">
        <f>IF(COUNTBLANK('RNEW import'!L446)=1,"",'RNEW import'!N446)</f>
        <v>670016</v>
      </c>
      <c r="F448" s="211">
        <f>IF(COUNTBLANK('RNEW import'!M446)=1,"",'RNEW import'!O446/10000)</f>
        <v>1.26E-2</v>
      </c>
      <c r="G448" s="217">
        <f t="shared" si="129"/>
        <v>8442.2000000000007</v>
      </c>
      <c r="H448" s="217">
        <f t="shared" si="122"/>
        <v>1604.02</v>
      </c>
      <c r="I448" s="329">
        <f t="shared" si="130"/>
        <v>10046.220000000001</v>
      </c>
      <c r="J448" s="237" t="str">
        <f t="shared" si="117"/>
        <v/>
      </c>
      <c r="K448" s="238" t="str">
        <f t="shared" si="118"/>
        <v/>
      </c>
      <c r="L448" s="238" t="str">
        <f t="shared" si="119"/>
        <v/>
      </c>
      <c r="M448" s="238" t="str">
        <f t="shared" si="120"/>
        <v/>
      </c>
      <c r="N448" s="238" t="str">
        <f t="shared" si="121"/>
        <v/>
      </c>
      <c r="O448" s="232" t="str">
        <f t="shared" si="131"/>
        <v/>
      </c>
      <c r="P448" s="219" t="str">
        <f t="shared" si="123"/>
        <v/>
      </c>
      <c r="Q448" s="219" t="str">
        <f t="shared" si="124"/>
        <v/>
      </c>
      <c r="R448" s="219" t="str">
        <f t="shared" si="125"/>
        <v/>
      </c>
      <c r="S448" s="331" t="str">
        <f t="shared" si="126"/>
        <v/>
      </c>
      <c r="T448" s="331" t="str">
        <f t="shared" si="127"/>
        <v/>
      </c>
      <c r="U448" s="331" t="str">
        <f t="shared" si="128"/>
        <v/>
      </c>
    </row>
    <row r="449" spans="1:21" ht="15.95" customHeight="1">
      <c r="A449" s="211">
        <f>IF(COUNTBLANK('RNEW import'!B447)=1,"",'RNEW import'!B447)</f>
        <v>14</v>
      </c>
      <c r="B449" s="211" t="str">
        <f>IF(COUNTBLANK('RNEW import'!D447)=1,"",'RNEW import'!D447)</f>
        <v>Targu Mures Shopping City SRL</v>
      </c>
      <c r="C449" s="211" t="str">
        <f>IF(COUNTBLANK('RNEW import'!E447)=1,"",'RNEW import'!E447)</f>
        <v>RTGU</v>
      </c>
      <c r="D449" s="211" t="str">
        <f>IF(COUNTBLANK('RNEW import'!K447)=1,"",'RNEW import'!K447)</f>
        <v>Tarif distributie SDI JT</v>
      </c>
      <c r="E449" s="211">
        <f>IF(COUNTBLANK('RNEW import'!L447)=1,"",'RNEW import'!N447)</f>
        <v>670016</v>
      </c>
      <c r="F449" s="211">
        <f>IF(COUNTBLANK('RNEW import'!M447)=1,"",'RNEW import'!O447/10000)</f>
        <v>9.2700000000000005E-2</v>
      </c>
      <c r="G449" s="217">
        <f t="shared" si="129"/>
        <v>62110.48</v>
      </c>
      <c r="H449" s="217">
        <f t="shared" si="122"/>
        <v>11800.99</v>
      </c>
      <c r="I449" s="329">
        <f t="shared" si="130"/>
        <v>73911.47</v>
      </c>
      <c r="J449" s="237" t="str">
        <f t="shared" si="117"/>
        <v/>
      </c>
      <c r="K449" s="238" t="str">
        <f t="shared" si="118"/>
        <v/>
      </c>
      <c r="L449" s="238" t="str">
        <f t="shared" si="119"/>
        <v/>
      </c>
      <c r="M449" s="238" t="str">
        <f t="shared" si="120"/>
        <v/>
      </c>
      <c r="N449" s="238" t="str">
        <f t="shared" si="121"/>
        <v/>
      </c>
      <c r="O449" s="232" t="str">
        <f t="shared" si="131"/>
        <v/>
      </c>
      <c r="P449" s="219" t="str">
        <f t="shared" si="123"/>
        <v/>
      </c>
      <c r="Q449" s="219" t="str">
        <f t="shared" si="124"/>
        <v/>
      </c>
      <c r="R449" s="219" t="str">
        <f t="shared" si="125"/>
        <v/>
      </c>
      <c r="S449" s="331" t="str">
        <f t="shared" si="126"/>
        <v/>
      </c>
      <c r="T449" s="331" t="str">
        <f t="shared" si="127"/>
        <v/>
      </c>
      <c r="U449" s="331" t="str">
        <f t="shared" si="128"/>
        <v/>
      </c>
    </row>
    <row r="450" spans="1:21" ht="15.95" customHeight="1">
      <c r="A450" s="211">
        <f>IF(COUNTBLANK('RNEW import'!B448)=1,"",'RNEW import'!B448)</f>
        <v>15</v>
      </c>
      <c r="B450" s="211" t="str">
        <f>IF(COUNTBLANK('RNEW import'!D448)=1,"",'RNEW import'!D448)</f>
        <v>Targu Mures Shopping City SRL</v>
      </c>
      <c r="C450" s="211" t="str">
        <f>IF(COUNTBLANK('RNEW import'!E448)=1,"",'RNEW import'!E448)</f>
        <v>RTGU</v>
      </c>
      <c r="D450" s="211" t="str">
        <f>IF(COUNTBLANK('RNEW import'!K448)=1,"",'RNEW import'!K448)</f>
        <v>Energie activa 2</v>
      </c>
      <c r="E450" s="211">
        <f>IF(COUNTBLANK('RNEW import'!L448)=1,"",'RNEW import'!N448)</f>
        <v>42472</v>
      </c>
      <c r="F450" s="211">
        <f>IF(COUNTBLANK('RNEW import'!M448)=1,"",'RNEW import'!O448/10000)</f>
        <v>0.93920760000000014</v>
      </c>
      <c r="G450" s="217">
        <f t="shared" si="129"/>
        <v>39890.03</v>
      </c>
      <c r="H450" s="217">
        <f t="shared" si="122"/>
        <v>7579.11</v>
      </c>
      <c r="I450" s="329">
        <f t="shared" si="130"/>
        <v>47469.14</v>
      </c>
      <c r="J450" s="237" t="str">
        <f t="shared" si="117"/>
        <v/>
      </c>
      <c r="K450" s="238" t="str">
        <f t="shared" si="118"/>
        <v/>
      </c>
      <c r="L450" s="238" t="str">
        <f t="shared" si="119"/>
        <v/>
      </c>
      <c r="M450" s="238" t="str">
        <f t="shared" si="120"/>
        <v/>
      </c>
      <c r="N450" s="238" t="str">
        <f t="shared" si="121"/>
        <v/>
      </c>
      <c r="O450" s="232" t="str">
        <f t="shared" si="131"/>
        <v/>
      </c>
      <c r="P450" s="219" t="str">
        <f t="shared" si="123"/>
        <v/>
      </c>
      <c r="Q450" s="219" t="str">
        <f t="shared" si="124"/>
        <v/>
      </c>
      <c r="R450" s="219" t="str">
        <f t="shared" si="125"/>
        <v/>
      </c>
      <c r="S450" s="331" t="str">
        <f t="shared" si="126"/>
        <v/>
      </c>
      <c r="T450" s="331" t="str">
        <f t="shared" si="127"/>
        <v/>
      </c>
      <c r="U450" s="331" t="str">
        <f t="shared" si="128"/>
        <v/>
      </c>
    </row>
    <row r="451" spans="1:21" ht="15.95" customHeight="1">
      <c r="A451" s="211">
        <f>IF(COUNTBLANK('RNEW import'!B449)=1,"",'RNEW import'!B449)</f>
        <v>16</v>
      </c>
      <c r="B451" s="211" t="str">
        <f>IF(COUNTBLANK('RNEW import'!D449)=1,"",'RNEW import'!D449)</f>
        <v>Targu Mures Shopping City SRL</v>
      </c>
      <c r="C451" s="211" t="str">
        <f>IF(COUNTBLANK('RNEW import'!E449)=1,"",'RNEW import'!E449)</f>
        <v>RTGU</v>
      </c>
      <c r="D451" s="211" t="str">
        <f>IF(COUNTBLANK('RNEW import'!K449)=1,"",'RNEW import'!K449)</f>
        <v>Energie activa 3</v>
      </c>
      <c r="E451" s="211">
        <f>IF(COUNTBLANK('RNEW import'!L449)=1,"",'RNEW import'!N449)</f>
        <v>0</v>
      </c>
      <c r="F451" s="211">
        <f>IF(COUNTBLANK('RNEW import'!M449)=1,"",'RNEW import'!O449/10000)</f>
        <v>0.83390760000000008</v>
      </c>
      <c r="G451" s="217">
        <f t="shared" si="129"/>
        <v>0</v>
      </c>
      <c r="H451" s="217">
        <f t="shared" si="122"/>
        <v>0</v>
      </c>
      <c r="I451" s="329">
        <f t="shared" si="130"/>
        <v>0</v>
      </c>
      <c r="J451" s="237" t="str">
        <f t="shared" si="117"/>
        <v/>
      </c>
      <c r="K451" s="238" t="str">
        <f t="shared" si="118"/>
        <v/>
      </c>
      <c r="L451" s="238" t="str">
        <f t="shared" si="119"/>
        <v/>
      </c>
      <c r="M451" s="238" t="str">
        <f t="shared" si="120"/>
        <v/>
      </c>
      <c r="N451" s="238" t="str">
        <f t="shared" si="121"/>
        <v/>
      </c>
      <c r="O451" s="232" t="str">
        <f t="shared" si="131"/>
        <v/>
      </c>
      <c r="P451" s="219" t="str">
        <f t="shared" si="123"/>
        <v/>
      </c>
      <c r="Q451" s="219" t="str">
        <f t="shared" si="124"/>
        <v/>
      </c>
      <c r="R451" s="219" t="str">
        <f t="shared" si="125"/>
        <v/>
      </c>
      <c r="S451" s="331" t="str">
        <f t="shared" si="126"/>
        <v/>
      </c>
      <c r="T451" s="331" t="str">
        <f t="shared" si="127"/>
        <v/>
      </c>
      <c r="U451" s="331" t="str">
        <f t="shared" si="128"/>
        <v/>
      </c>
    </row>
    <row r="452" spans="1:21" ht="15.95" customHeight="1">
      <c r="A452" s="211">
        <f>IF(COUNTBLANK('RNEW import'!B450)=1,"",'RNEW import'!B450)</f>
        <v>17</v>
      </c>
      <c r="B452" s="211" t="str">
        <f>IF(COUNTBLANK('RNEW import'!D450)=1,"",'RNEW import'!D450)</f>
        <v>Targu Mures Shopping City SRL</v>
      </c>
      <c r="C452" s="211" t="str">
        <f>IF(COUNTBLANK('RNEW import'!E450)=1,"",'RNEW import'!E450)</f>
        <v>RTGU</v>
      </c>
      <c r="D452" s="211" t="str">
        <f>IF(COUNTBLANK('RNEW import'!K450)=1,"",'RNEW import'!K450)</f>
        <v>Tarif distributie SDI MT_</v>
      </c>
      <c r="E452" s="211">
        <f>IF(COUNTBLANK('RNEW import'!L450)=1,"",'RNEW import'!N450)</f>
        <v>0</v>
      </c>
      <c r="F452" s="211">
        <f>IF(COUNTBLANK('RNEW import'!M450)=1,"",'RNEW import'!O450/10000)</f>
        <v>1.26E-2</v>
      </c>
      <c r="G452" s="217">
        <f t="shared" si="129"/>
        <v>0</v>
      </c>
      <c r="H452" s="217">
        <f t="shared" si="122"/>
        <v>0</v>
      </c>
      <c r="I452" s="329">
        <f t="shared" si="130"/>
        <v>0</v>
      </c>
      <c r="J452" s="237" t="str">
        <f t="shared" ref="J452:J515" si="132">IF(A452=1,B452,"")</f>
        <v/>
      </c>
      <c r="K452" s="238" t="str">
        <f t="shared" ref="K452:K515" si="133">IF(COUNTBLANK(J452)=1,"",IF(A452=1,SUMIFS(G:G,$C:$C,C452,$A:$A,"=13")+SUMIFS(G:G,$C:$C,C452,$A:$A,"=14")+SUMIFS(G:G,$C:$C,C452,$A:$A,"=17")+SUMIFS(G:G,$C:$C,C452,$A:$A,"=18")+SUMIFS(G:G,$C:$C,C452,$A:$A,"=31")+SUMIFS(G:G,$C:$C,C452,$A:$A,"=32")+SUMIFS(G:G,$C:$C,C452,$A:$A,"=35")+SUMIFS(G:G,$C:$C,C452,$A:$A,"=36"),""))</f>
        <v/>
      </c>
      <c r="L452" s="238" t="str">
        <f t="shared" ref="L452:L515" si="134">IF(COUNTBLANK(J452)=1,"",IF(A452=1,SUMIFS(G:G,$C:$C,C452,$A:$A,"&lt;13")+SUMIFS(G:G,$C:$C,C452,$A:$A,"&gt;18",$A:$A,"&lt;31")))</f>
        <v/>
      </c>
      <c r="M452" s="238" t="str">
        <f t="shared" ref="M452:M515" si="135">IF(COUNTBLANK(J452)=1,"",IF(A452=1,SUMIFS(G:G,$C:$C,C452,$A:$A,"=15")+SUMIFS(G:G,$C:$C,C452,$A:$A,"=16")+SUMIFS(G:G,$C:$C,C452,$A:$A,"=33")+SUMIFS(G:G,$C:$C,C452,$A:$A,"=34"),""))</f>
        <v/>
      </c>
      <c r="N452" s="238" t="str">
        <f t="shared" ref="N452:N515" si="136">IF(COUNTBLANK(J452)=1,"",IF(A452=1,SUMIFS(E:E,$C:$C,C452,$A:$A,"=13")+SUMIFS(E:E,$C:$C,C452,$A:$A,"=17")+SUMIFS(E:E,$C:$C,C452,$A:$A,"=31")+SUMIFS(E:E,$C:$C,C452,$A:$A,"=35"),""))</f>
        <v/>
      </c>
      <c r="O452" s="232" t="str">
        <f t="shared" si="131"/>
        <v/>
      </c>
      <c r="P452" s="219" t="str">
        <f t="shared" si="123"/>
        <v/>
      </c>
      <c r="Q452" s="219" t="str">
        <f t="shared" si="124"/>
        <v/>
      </c>
      <c r="R452" s="219" t="str">
        <f t="shared" si="125"/>
        <v/>
      </c>
      <c r="S452" s="331" t="str">
        <f t="shared" si="126"/>
        <v/>
      </c>
      <c r="T452" s="331" t="str">
        <f t="shared" si="127"/>
        <v/>
      </c>
      <c r="U452" s="331" t="str">
        <f t="shared" si="128"/>
        <v/>
      </c>
    </row>
    <row r="453" spans="1:21" ht="15.95" customHeight="1">
      <c r="A453" s="211">
        <f>IF(COUNTBLANK('RNEW import'!B451)=1,"",'RNEW import'!B451)</f>
        <v>18</v>
      </c>
      <c r="B453" s="211" t="str">
        <f>IF(COUNTBLANK('RNEW import'!D451)=1,"",'RNEW import'!D451)</f>
        <v>Targu Mures Shopping City SRL</v>
      </c>
      <c r="C453" s="211" t="str">
        <f>IF(COUNTBLANK('RNEW import'!E451)=1,"",'RNEW import'!E451)</f>
        <v>RTGU</v>
      </c>
      <c r="D453" s="211" t="str">
        <f>IF(COUNTBLANK('RNEW import'!K451)=1,"",'RNEW import'!K451)</f>
        <v>Tarif distributie SDI JT_</v>
      </c>
      <c r="E453" s="211">
        <f>IF(COUNTBLANK('RNEW import'!L451)=1,"",'RNEW import'!N451)</f>
        <v>0</v>
      </c>
      <c r="F453" s="211">
        <f>IF(COUNTBLANK('RNEW import'!M451)=1,"",'RNEW import'!O451/10000)</f>
        <v>9.2700000000000005E-2</v>
      </c>
      <c r="G453" s="217">
        <f t="shared" si="129"/>
        <v>0</v>
      </c>
      <c r="H453" s="217">
        <f t="shared" ref="H453:H516" si="137">ROUND(G453*19%,2)</f>
        <v>0</v>
      </c>
      <c r="I453" s="329">
        <f t="shared" si="130"/>
        <v>0</v>
      </c>
      <c r="J453" s="237" t="str">
        <f t="shared" si="132"/>
        <v/>
      </c>
      <c r="K453" s="238" t="str">
        <f t="shared" si="133"/>
        <v/>
      </c>
      <c r="L453" s="238" t="str">
        <f t="shared" si="134"/>
        <v/>
      </c>
      <c r="M453" s="238" t="str">
        <f t="shared" si="135"/>
        <v/>
      </c>
      <c r="N453" s="238" t="str">
        <f t="shared" si="136"/>
        <v/>
      </c>
      <c r="O453" s="232" t="str">
        <f t="shared" si="131"/>
        <v/>
      </c>
      <c r="P453" s="219" t="str">
        <f t="shared" ref="P453:P516" si="138">IF(A453=1,"Enegie activa",IF(OR(A453=18),"Energie consumata din PV",IF(OR(A453=2),"Energie reactiva 1x",IF(OR(A453=3),"Energie reactiva 3x",IF(A453=19,"Energie activa regularizare",IF(OR(A453=36),"Energie consumata din PV regularizare",IF(OR(A453=20),"Energie reactiva 1x regularizare",IF(OR(A453=21),"Energie reactiva 3x regularizare",""))))))))</f>
        <v>Energie consumata din PV</v>
      </c>
      <c r="Q453" s="219">
        <f t="shared" ref="Q453:Q516" si="139">IF(COUNTBLANK(P453)=0,IF(OR(A453=1,A453=2,A453=3,A453=19,A453=20,A453=21),E453,IF(OR(A453=18,A453=36),E450+E451,"")),"")</f>
        <v>42472</v>
      </c>
      <c r="R453" s="219">
        <f t="shared" ref="R453:R516" si="140">IF(COUNTBLANK(P453)=1,"",IF(OR(A453=2,A453=3,A453=20,A453=21),F453,IF(Q453=0,0,ROUND(S453/Q453,6))))</f>
        <v>0.93920800000000004</v>
      </c>
      <c r="S453" s="331">
        <f t="shared" si="126"/>
        <v>39890.03</v>
      </c>
      <c r="T453" s="331">
        <f t="shared" si="127"/>
        <v>7579.11</v>
      </c>
      <c r="U453" s="331">
        <f t="shared" si="128"/>
        <v>47469.14</v>
      </c>
    </row>
    <row r="454" spans="1:21" ht="15.95" customHeight="1">
      <c r="A454" s="211">
        <f>IF(COUNTBLANK('RNEW import'!B452)=1,"",'RNEW import'!B452)</f>
        <v>19</v>
      </c>
      <c r="B454" s="211" t="str">
        <f>IF(COUNTBLANK('RNEW import'!D452)=1,"",'RNEW import'!D452)</f>
        <v>Targu Mures Shopping City SRL</v>
      </c>
      <c r="C454" s="211" t="str">
        <f>IF(COUNTBLANK('RNEW import'!E452)=1,"",'RNEW import'!E452)</f>
        <v>RTGU</v>
      </c>
      <c r="D454" s="211" t="str">
        <f>IF(COUNTBLANK('RNEW import'!K452)=1,"",'RNEW import'!K452)</f>
        <v>Regularizare Energie activa 1</v>
      </c>
      <c r="E454" s="211">
        <f>IF(COUNTBLANK('RNEW import'!L452)=1,"",'RNEW import'!N452)</f>
        <v>0</v>
      </c>
      <c r="F454" s="211">
        <f>IF(COUNTBLANK('RNEW import'!M452)=1,"",'RNEW import'!O452/10000)</f>
        <v>0.59499999999999997</v>
      </c>
      <c r="G454" s="217">
        <f t="shared" si="129"/>
        <v>0</v>
      </c>
      <c r="H454" s="217">
        <f t="shared" si="137"/>
        <v>0</v>
      </c>
      <c r="I454" s="329">
        <f t="shared" si="130"/>
        <v>0</v>
      </c>
      <c r="J454" s="237" t="str">
        <f t="shared" si="132"/>
        <v/>
      </c>
      <c r="K454" s="238" t="str">
        <f t="shared" si="133"/>
        <v/>
      </c>
      <c r="L454" s="238" t="str">
        <f t="shared" si="134"/>
        <v/>
      </c>
      <c r="M454" s="238" t="str">
        <f t="shared" si="135"/>
        <v/>
      </c>
      <c r="N454" s="238" t="str">
        <f t="shared" si="136"/>
        <v/>
      </c>
      <c r="O454" s="232" t="str">
        <f t="shared" si="131"/>
        <v/>
      </c>
      <c r="P454" s="219" t="str">
        <f t="shared" si="138"/>
        <v>Energie activa regularizare</v>
      </c>
      <c r="Q454" s="219">
        <f t="shared" si="139"/>
        <v>0</v>
      </c>
      <c r="R454" s="219">
        <f t="shared" si="140"/>
        <v>0</v>
      </c>
      <c r="S454" s="331">
        <f t="shared" si="126"/>
        <v>0</v>
      </c>
      <c r="T454" s="331">
        <f t="shared" si="127"/>
        <v>0</v>
      </c>
      <c r="U454" s="331">
        <f t="shared" si="128"/>
        <v>0</v>
      </c>
    </row>
    <row r="455" spans="1:21" ht="15.95" customHeight="1">
      <c r="A455" s="211">
        <f>IF(COUNTBLANK('RNEW import'!B453)=1,"",'RNEW import'!B453)</f>
        <v>20</v>
      </c>
      <c r="B455" s="211" t="str">
        <f>IF(COUNTBLANK('RNEW import'!D453)=1,"",'RNEW import'!D453)</f>
        <v>Targu Mures Shopping City SRL</v>
      </c>
      <c r="C455" s="211" t="str">
        <f>IF(COUNTBLANK('RNEW import'!E453)=1,"",'RNEW import'!E453)</f>
        <v>RTGU</v>
      </c>
      <c r="D455" s="211" t="str">
        <f>IF(COUNTBLANK('RNEW import'!K453)=1,"",'RNEW import'!K453)</f>
        <v>Regularizare Energie reactiva  1X</v>
      </c>
      <c r="E455" s="211">
        <f>IF(COUNTBLANK('RNEW import'!L453)=1,"",'RNEW import'!N453)</f>
        <v>0</v>
      </c>
      <c r="F455" s="211">
        <f>IF(COUNTBLANK('RNEW import'!M453)=1,"",'RNEW import'!O453/10000)</f>
        <v>0.14649999999999999</v>
      </c>
      <c r="G455" s="217">
        <f t="shared" si="129"/>
        <v>0</v>
      </c>
      <c r="H455" s="217">
        <f t="shared" si="137"/>
        <v>0</v>
      </c>
      <c r="I455" s="329">
        <f t="shared" si="130"/>
        <v>0</v>
      </c>
      <c r="J455" s="237" t="str">
        <f t="shared" si="132"/>
        <v/>
      </c>
      <c r="K455" s="238" t="str">
        <f t="shared" si="133"/>
        <v/>
      </c>
      <c r="L455" s="238" t="str">
        <f t="shared" si="134"/>
        <v/>
      </c>
      <c r="M455" s="238" t="str">
        <f t="shared" si="135"/>
        <v/>
      </c>
      <c r="N455" s="238" t="str">
        <f t="shared" si="136"/>
        <v/>
      </c>
      <c r="O455" s="232" t="str">
        <f t="shared" si="131"/>
        <v/>
      </c>
      <c r="P455" s="219" t="str">
        <f t="shared" si="138"/>
        <v>Energie reactiva 1x regularizare</v>
      </c>
      <c r="Q455" s="219">
        <f t="shared" si="139"/>
        <v>0</v>
      </c>
      <c r="R455" s="219">
        <f t="shared" si="140"/>
        <v>0.14649999999999999</v>
      </c>
      <c r="S455" s="331">
        <f t="shared" si="126"/>
        <v>0</v>
      </c>
      <c r="T455" s="331">
        <f t="shared" si="127"/>
        <v>0</v>
      </c>
      <c r="U455" s="331">
        <f t="shared" si="128"/>
        <v>0</v>
      </c>
    </row>
    <row r="456" spans="1:21" ht="15.95" customHeight="1">
      <c r="A456" s="211">
        <f>IF(COUNTBLANK('RNEW import'!B454)=1,"",'RNEW import'!B454)</f>
        <v>21</v>
      </c>
      <c r="B456" s="211" t="str">
        <f>IF(COUNTBLANK('RNEW import'!D454)=1,"",'RNEW import'!D454)</f>
        <v>Targu Mures Shopping City SRL</v>
      </c>
      <c r="C456" s="211" t="str">
        <f>IF(COUNTBLANK('RNEW import'!E454)=1,"",'RNEW import'!E454)</f>
        <v>RTGU</v>
      </c>
      <c r="D456" s="211" t="str">
        <f>IF(COUNTBLANK('RNEW import'!K454)=1,"",'RNEW import'!K454)</f>
        <v>Regularizare Energie reactiva  3X</v>
      </c>
      <c r="E456" s="211">
        <f>IF(COUNTBLANK('RNEW import'!L454)=1,"",'RNEW import'!N454)</f>
        <v>0</v>
      </c>
      <c r="F456" s="211">
        <f>IF(COUNTBLANK('RNEW import'!M454)=1,"",'RNEW import'!O454/10000)</f>
        <v>0.4395</v>
      </c>
      <c r="G456" s="217">
        <f t="shared" si="129"/>
        <v>0</v>
      </c>
      <c r="H456" s="217">
        <f t="shared" si="137"/>
        <v>0</v>
      </c>
      <c r="I456" s="329">
        <f t="shared" si="130"/>
        <v>0</v>
      </c>
      <c r="J456" s="237" t="str">
        <f t="shared" si="132"/>
        <v/>
      </c>
      <c r="K456" s="238" t="str">
        <f t="shared" si="133"/>
        <v/>
      </c>
      <c r="L456" s="238" t="str">
        <f t="shared" si="134"/>
        <v/>
      </c>
      <c r="M456" s="238" t="str">
        <f t="shared" si="135"/>
        <v/>
      </c>
      <c r="N456" s="238" t="str">
        <f t="shared" si="136"/>
        <v/>
      </c>
      <c r="O456" s="232" t="str">
        <f t="shared" si="131"/>
        <v/>
      </c>
      <c r="P456" s="219" t="str">
        <f t="shared" si="138"/>
        <v>Energie reactiva 3x regularizare</v>
      </c>
      <c r="Q456" s="219">
        <f t="shared" si="139"/>
        <v>0</v>
      </c>
      <c r="R456" s="219">
        <f t="shared" si="140"/>
        <v>0.4395</v>
      </c>
      <c r="S456" s="331">
        <f t="shared" si="126"/>
        <v>0</v>
      </c>
      <c r="T456" s="331">
        <f t="shared" si="127"/>
        <v>0</v>
      </c>
      <c r="U456" s="331">
        <f t="shared" si="128"/>
        <v>0</v>
      </c>
    </row>
    <row r="457" spans="1:21" ht="15.95" customHeight="1">
      <c r="A457" s="211">
        <f>IF(COUNTBLANK('RNEW import'!B455)=1,"",'RNEW import'!B455)</f>
        <v>22</v>
      </c>
      <c r="B457" s="211" t="str">
        <f>IF(COUNTBLANK('RNEW import'!D455)=1,"",'RNEW import'!D455)</f>
        <v>Targu Mures Shopping City SRL</v>
      </c>
      <c r="C457" s="211" t="str">
        <f>IF(COUNTBLANK('RNEW import'!E455)=1,"",'RNEW import'!E455)</f>
        <v>RTGU</v>
      </c>
      <c r="D457" s="211" t="str">
        <f>IF(COUNTBLANK('RNEW import'!K455)=1,"",'RNEW import'!K455)</f>
        <v>Regularizare Tarife distributie en. El IT+MT</v>
      </c>
      <c r="E457" s="211">
        <f>IF(COUNTBLANK('RNEW import'!L455)=1,"",'RNEW import'!N455)</f>
        <v>0</v>
      </c>
      <c r="F457" s="211">
        <f>IF(COUNTBLANK('RNEW import'!M455)=1,"",'RNEW import'!O455/10000)</f>
        <v>0.11483</v>
      </c>
      <c r="G457" s="217">
        <f t="shared" si="129"/>
        <v>0</v>
      </c>
      <c r="H457" s="217">
        <f t="shared" si="137"/>
        <v>0</v>
      </c>
      <c r="I457" s="329">
        <f t="shared" si="130"/>
        <v>0</v>
      </c>
      <c r="J457" s="237" t="str">
        <f t="shared" si="132"/>
        <v/>
      </c>
      <c r="K457" s="238" t="str">
        <f t="shared" si="133"/>
        <v/>
      </c>
      <c r="L457" s="238" t="str">
        <f t="shared" si="134"/>
        <v/>
      </c>
      <c r="M457" s="238" t="str">
        <f t="shared" si="135"/>
        <v/>
      </c>
      <c r="N457" s="238" t="str">
        <f t="shared" si="136"/>
        <v/>
      </c>
      <c r="O457" s="232" t="str">
        <f t="shared" si="131"/>
        <v/>
      </c>
      <c r="P457" s="219" t="str">
        <f t="shared" si="138"/>
        <v/>
      </c>
      <c r="Q457" s="219" t="str">
        <f t="shared" si="139"/>
        <v/>
      </c>
      <c r="R457" s="219" t="str">
        <f t="shared" si="140"/>
        <v/>
      </c>
      <c r="S457" s="331" t="str">
        <f t="shared" si="126"/>
        <v/>
      </c>
      <c r="T457" s="331" t="str">
        <f t="shared" si="127"/>
        <v/>
      </c>
      <c r="U457" s="331" t="str">
        <f t="shared" si="128"/>
        <v/>
      </c>
    </row>
    <row r="458" spans="1:21" ht="15.95" customHeight="1">
      <c r="A458" s="211">
        <f>IF(COUNTBLANK('RNEW import'!B456)=1,"",'RNEW import'!B456)</f>
        <v>23</v>
      </c>
      <c r="B458" s="211" t="str">
        <f>IF(COUNTBLANK('RNEW import'!D456)=1,"",'RNEW import'!D456)</f>
        <v>Targu Mures Shopping City SRL</v>
      </c>
      <c r="C458" s="211" t="str">
        <f>IF(COUNTBLANK('RNEW import'!E456)=1,"",'RNEW import'!E456)</f>
        <v>RTGU</v>
      </c>
      <c r="D458" s="211" t="str">
        <f>IF(COUNTBLANK('RNEW import'!K456)=1,"",'RNEW import'!K456)</f>
        <v>Regularizare Tarife distributie en. El JT</v>
      </c>
      <c r="E458" s="211">
        <f>IF(COUNTBLANK('RNEW import'!L456)=1,"",'RNEW import'!N456)</f>
        <v>0</v>
      </c>
      <c r="F458" s="211">
        <f>IF(COUNTBLANK('RNEW import'!M456)=1,"",'RNEW import'!O456/10000)</f>
        <v>0.2361</v>
      </c>
      <c r="G458" s="217">
        <f t="shared" si="129"/>
        <v>0</v>
      </c>
      <c r="H458" s="217">
        <f t="shared" si="137"/>
        <v>0</v>
      </c>
      <c r="I458" s="329">
        <f t="shared" si="130"/>
        <v>0</v>
      </c>
      <c r="J458" s="237" t="str">
        <f t="shared" si="132"/>
        <v/>
      </c>
      <c r="K458" s="238" t="str">
        <f t="shared" si="133"/>
        <v/>
      </c>
      <c r="L458" s="238" t="str">
        <f t="shared" si="134"/>
        <v/>
      </c>
      <c r="M458" s="238" t="str">
        <f t="shared" si="135"/>
        <v/>
      </c>
      <c r="N458" s="238" t="str">
        <f t="shared" si="136"/>
        <v/>
      </c>
      <c r="O458" s="232" t="str">
        <f t="shared" si="131"/>
        <v/>
      </c>
      <c r="P458" s="219" t="str">
        <f t="shared" si="138"/>
        <v/>
      </c>
      <c r="Q458" s="219" t="str">
        <f t="shared" si="139"/>
        <v/>
      </c>
      <c r="R458" s="219" t="str">
        <f t="shared" si="140"/>
        <v/>
      </c>
      <c r="S458" s="331" t="str">
        <f t="shared" si="126"/>
        <v/>
      </c>
      <c r="T458" s="331" t="str">
        <f t="shared" si="127"/>
        <v/>
      </c>
      <c r="U458" s="331" t="str">
        <f t="shared" si="128"/>
        <v/>
      </c>
    </row>
    <row r="459" spans="1:21" ht="15.95" customHeight="1">
      <c r="A459" s="211">
        <f>IF(COUNTBLANK('RNEW import'!B457)=1,"",'RNEW import'!B457)</f>
        <v>24</v>
      </c>
      <c r="B459" s="211" t="str">
        <f>IF(COUNTBLANK('RNEW import'!D457)=1,"",'RNEW import'!D457)</f>
        <v>Targu Mures Shopping City SRL</v>
      </c>
      <c r="C459" s="211" t="str">
        <f>IF(COUNTBLANK('RNEW import'!E457)=1,"",'RNEW import'!E457)</f>
        <v>RTGU</v>
      </c>
      <c r="D459" s="211" t="str">
        <f>IF(COUNTBLANK('RNEW import'!K457)=1,"",'RNEW import'!K457)</f>
        <v xml:space="preserve">Regularizare Servicii Sistem </v>
      </c>
      <c r="E459" s="211">
        <f>IF(COUNTBLANK('RNEW import'!L457)=1,"",'RNEW import'!N457)</f>
        <v>0</v>
      </c>
      <c r="F459" s="211">
        <f>IF(COUNTBLANK('RNEW import'!M457)=1,"",'RNEW import'!O457/10000)</f>
        <v>1.1509999999999999E-2</v>
      </c>
      <c r="G459" s="217">
        <f t="shared" si="129"/>
        <v>0</v>
      </c>
      <c r="H459" s="217">
        <f t="shared" si="137"/>
        <v>0</v>
      </c>
      <c r="I459" s="329">
        <f t="shared" si="130"/>
        <v>0</v>
      </c>
      <c r="J459" s="237" t="str">
        <f t="shared" si="132"/>
        <v/>
      </c>
      <c r="K459" s="238" t="str">
        <f t="shared" si="133"/>
        <v/>
      </c>
      <c r="L459" s="238" t="str">
        <f t="shared" si="134"/>
        <v/>
      </c>
      <c r="M459" s="238" t="str">
        <f t="shared" si="135"/>
        <v/>
      </c>
      <c r="N459" s="238" t="str">
        <f t="shared" si="136"/>
        <v/>
      </c>
      <c r="O459" s="232" t="str">
        <f t="shared" si="131"/>
        <v/>
      </c>
      <c r="P459" s="219" t="str">
        <f t="shared" si="138"/>
        <v/>
      </c>
      <c r="Q459" s="219" t="str">
        <f t="shared" si="139"/>
        <v/>
      </c>
      <c r="R459" s="219" t="str">
        <f t="shared" si="140"/>
        <v/>
      </c>
      <c r="S459" s="331" t="str">
        <f t="shared" si="126"/>
        <v/>
      </c>
      <c r="T459" s="331" t="str">
        <f t="shared" si="127"/>
        <v/>
      </c>
      <c r="U459" s="331" t="str">
        <f t="shared" si="128"/>
        <v/>
      </c>
    </row>
    <row r="460" spans="1:21" ht="15.95" customHeight="1">
      <c r="A460" s="211">
        <f>IF(COUNTBLANK('RNEW import'!B458)=1,"",'RNEW import'!B458)</f>
        <v>25</v>
      </c>
      <c r="B460" s="211" t="str">
        <f>IF(COUNTBLANK('RNEW import'!D458)=1,"",'RNEW import'!D458)</f>
        <v>Targu Mures Shopping City SRL</v>
      </c>
      <c r="C460" s="211" t="str">
        <f>IF(COUNTBLANK('RNEW import'!E458)=1,"",'RNEW import'!E458)</f>
        <v>RTGU</v>
      </c>
      <c r="D460" s="211" t="str">
        <f>IF(COUNTBLANK('RNEW import'!K458)=1,"",'RNEW import'!K458)</f>
        <v>Regularizare Tarif de introducere en. el in retea (TL)</v>
      </c>
      <c r="E460" s="211">
        <f>IF(COUNTBLANK('RNEW import'!L458)=1,"",'RNEW import'!N458)</f>
        <v>0</v>
      </c>
      <c r="F460" s="211">
        <f>IF(COUNTBLANK('RNEW import'!M458)=1,"",'RNEW import'!O458/10000)</f>
        <v>3.3030000000000004E-2</v>
      </c>
      <c r="G460" s="217">
        <f t="shared" si="129"/>
        <v>0</v>
      </c>
      <c r="H460" s="217">
        <f t="shared" si="137"/>
        <v>0</v>
      </c>
      <c r="I460" s="329">
        <f t="shared" si="130"/>
        <v>0</v>
      </c>
      <c r="J460" s="237" t="str">
        <f t="shared" si="132"/>
        <v/>
      </c>
      <c r="K460" s="238" t="str">
        <f t="shared" si="133"/>
        <v/>
      </c>
      <c r="L460" s="238" t="str">
        <f t="shared" si="134"/>
        <v/>
      </c>
      <c r="M460" s="238" t="str">
        <f t="shared" si="135"/>
        <v/>
      </c>
      <c r="N460" s="238" t="str">
        <f t="shared" si="136"/>
        <v/>
      </c>
      <c r="O460" s="232" t="str">
        <f t="shared" si="131"/>
        <v/>
      </c>
      <c r="P460" s="219" t="str">
        <f t="shared" si="138"/>
        <v/>
      </c>
      <c r="Q460" s="219" t="str">
        <f t="shared" si="139"/>
        <v/>
      </c>
      <c r="R460" s="219" t="str">
        <f t="shared" si="140"/>
        <v/>
      </c>
      <c r="S460" s="331" t="str">
        <f t="shared" si="126"/>
        <v/>
      </c>
      <c r="T460" s="331" t="str">
        <f t="shared" si="127"/>
        <v/>
      </c>
      <c r="U460" s="331" t="str">
        <f t="shared" si="128"/>
        <v/>
      </c>
    </row>
    <row r="461" spans="1:21" ht="15.95" customHeight="1">
      <c r="A461" s="211">
        <f>IF(COUNTBLANK('RNEW import'!B459)=1,"",'RNEW import'!B459)</f>
        <v>26</v>
      </c>
      <c r="B461" s="211" t="str">
        <f>IF(COUNTBLANK('RNEW import'!D459)=1,"",'RNEW import'!D459)</f>
        <v>Targu Mures Shopping City SRL</v>
      </c>
      <c r="C461" s="211" t="str">
        <f>IF(COUNTBLANK('RNEW import'!E459)=1,"",'RNEW import'!E459)</f>
        <v>RTGU</v>
      </c>
      <c r="D461" s="211" t="str">
        <f>IF(COUNTBLANK('RNEW import'!K459)=1,"",'RNEW import'!K459)</f>
        <v>Regularizare Tarif de introducere en.el in retea (TG)</v>
      </c>
      <c r="E461" s="211">
        <f>IF(COUNTBLANK('RNEW import'!L459)=1,"",'RNEW import'!N459)</f>
        <v>0</v>
      </c>
      <c r="F461" s="211">
        <f>IF(COUNTBLANK('RNEW import'!M459)=1,"",'RNEW import'!O459/10000)</f>
        <v>3.29E-3</v>
      </c>
      <c r="G461" s="217">
        <f t="shared" si="129"/>
        <v>0</v>
      </c>
      <c r="H461" s="217">
        <f t="shared" si="137"/>
        <v>0</v>
      </c>
      <c r="I461" s="329">
        <f t="shared" si="130"/>
        <v>0</v>
      </c>
      <c r="J461" s="237" t="str">
        <f t="shared" si="132"/>
        <v/>
      </c>
      <c r="K461" s="238" t="str">
        <f t="shared" si="133"/>
        <v/>
      </c>
      <c r="L461" s="238" t="str">
        <f t="shared" si="134"/>
        <v/>
      </c>
      <c r="M461" s="238" t="str">
        <f t="shared" si="135"/>
        <v/>
      </c>
      <c r="N461" s="238" t="str">
        <f t="shared" si="136"/>
        <v/>
      </c>
      <c r="O461" s="232" t="str">
        <f t="shared" si="131"/>
        <v/>
      </c>
      <c r="P461" s="219" t="str">
        <f t="shared" si="138"/>
        <v/>
      </c>
      <c r="Q461" s="219" t="str">
        <f t="shared" si="139"/>
        <v/>
      </c>
      <c r="R461" s="219" t="str">
        <f t="shared" si="140"/>
        <v/>
      </c>
      <c r="S461" s="331" t="str">
        <f t="shared" si="126"/>
        <v/>
      </c>
      <c r="T461" s="331" t="str">
        <f t="shared" si="127"/>
        <v/>
      </c>
      <c r="U461" s="331" t="str">
        <f t="shared" si="128"/>
        <v/>
      </c>
    </row>
    <row r="462" spans="1:21" ht="15.95" customHeight="1">
      <c r="A462" s="211">
        <f>IF(COUNTBLANK('RNEW import'!B460)=1,"",'RNEW import'!B460)</f>
        <v>27</v>
      </c>
      <c r="B462" s="211" t="str">
        <f>IF(COUNTBLANK('RNEW import'!D460)=1,"",'RNEW import'!D460)</f>
        <v>Targu Mures Shopping City SRL</v>
      </c>
      <c r="C462" s="211" t="str">
        <f>IF(COUNTBLANK('RNEW import'!E460)=1,"",'RNEW import'!E460)</f>
        <v>RTGU</v>
      </c>
      <c r="D462" s="211" t="str">
        <f>IF(COUNTBLANK('RNEW import'!K460)=1,"",'RNEW import'!K460)</f>
        <v>Regularizare Contributie pentru cogenerare</v>
      </c>
      <c r="E462" s="211">
        <f>IF(COUNTBLANK('RNEW import'!L460)=1,"",'RNEW import'!N460)</f>
        <v>0</v>
      </c>
      <c r="F462" s="211">
        <f>IF(COUNTBLANK('RNEW import'!M460)=1,"",'RNEW import'!O460/10000)</f>
        <v>3.5000000000000001E-3</v>
      </c>
      <c r="G462" s="217">
        <f t="shared" si="129"/>
        <v>0</v>
      </c>
      <c r="H462" s="217">
        <f t="shared" si="137"/>
        <v>0</v>
      </c>
      <c r="I462" s="329">
        <f t="shared" si="130"/>
        <v>0</v>
      </c>
      <c r="J462" s="237" t="str">
        <f t="shared" si="132"/>
        <v/>
      </c>
      <c r="K462" s="238" t="str">
        <f t="shared" si="133"/>
        <v/>
      </c>
      <c r="L462" s="238" t="str">
        <f t="shared" si="134"/>
        <v/>
      </c>
      <c r="M462" s="238" t="str">
        <f t="shared" si="135"/>
        <v/>
      </c>
      <c r="N462" s="238" t="str">
        <f t="shared" si="136"/>
        <v/>
      </c>
      <c r="O462" s="232" t="str">
        <f t="shared" si="131"/>
        <v/>
      </c>
      <c r="P462" s="219" t="str">
        <f t="shared" si="138"/>
        <v/>
      </c>
      <c r="Q462" s="219" t="str">
        <f t="shared" si="139"/>
        <v/>
      </c>
      <c r="R462" s="219" t="str">
        <f t="shared" si="140"/>
        <v/>
      </c>
      <c r="S462" s="331" t="str">
        <f t="shared" si="126"/>
        <v/>
      </c>
      <c r="T462" s="331" t="str">
        <f t="shared" si="127"/>
        <v/>
      </c>
      <c r="U462" s="331" t="str">
        <f t="shared" si="128"/>
        <v/>
      </c>
    </row>
    <row r="463" spans="1:21" ht="15.95" customHeight="1">
      <c r="A463" s="211">
        <f>IF(COUNTBLANK('RNEW import'!B461)=1,"",'RNEW import'!B461)</f>
        <v>28</v>
      </c>
      <c r="B463" s="211" t="str">
        <f>IF(COUNTBLANK('RNEW import'!D461)=1,"",'RNEW import'!D461)</f>
        <v>Targu Mures Shopping City SRL</v>
      </c>
      <c r="C463" s="211" t="str">
        <f>IF(COUNTBLANK('RNEW import'!E461)=1,"",'RNEW import'!E461)</f>
        <v>RTGU</v>
      </c>
      <c r="D463" s="211" t="str">
        <f>IF(COUNTBLANK('RNEW import'!K461)=1,"",'RNEW import'!K461)</f>
        <v xml:space="preserve">Regularizare Certificate verzi </v>
      </c>
      <c r="E463" s="211">
        <f>IF(COUNTBLANK('RNEW import'!L461)=1,"",'RNEW import'!N461)</f>
        <v>0</v>
      </c>
      <c r="F463" s="211">
        <f>IF(COUNTBLANK('RNEW import'!M461)=1,"",'RNEW import'!O461/10000)</f>
        <v>7.2541599999999998E-2</v>
      </c>
      <c r="G463" s="217">
        <f t="shared" si="129"/>
        <v>0</v>
      </c>
      <c r="H463" s="217">
        <f t="shared" si="137"/>
        <v>0</v>
      </c>
      <c r="I463" s="329">
        <f t="shared" si="130"/>
        <v>0</v>
      </c>
      <c r="J463" s="237" t="str">
        <f t="shared" si="132"/>
        <v/>
      </c>
      <c r="K463" s="238" t="str">
        <f t="shared" si="133"/>
        <v/>
      </c>
      <c r="L463" s="238" t="str">
        <f t="shared" si="134"/>
        <v/>
      </c>
      <c r="M463" s="238" t="str">
        <f t="shared" si="135"/>
        <v/>
      </c>
      <c r="N463" s="238" t="str">
        <f t="shared" si="136"/>
        <v/>
      </c>
      <c r="O463" s="232" t="str">
        <f t="shared" si="131"/>
        <v/>
      </c>
      <c r="P463" s="219" t="str">
        <f t="shared" si="138"/>
        <v/>
      </c>
      <c r="Q463" s="219" t="str">
        <f t="shared" si="139"/>
        <v/>
      </c>
      <c r="R463" s="219" t="str">
        <f t="shared" si="140"/>
        <v/>
      </c>
      <c r="S463" s="331" t="str">
        <f t="shared" si="126"/>
        <v/>
      </c>
      <c r="T463" s="331" t="str">
        <f t="shared" si="127"/>
        <v/>
      </c>
      <c r="U463" s="331" t="str">
        <f t="shared" si="128"/>
        <v/>
      </c>
    </row>
    <row r="464" spans="1:21" ht="15.95" customHeight="1">
      <c r="A464" s="211">
        <f>IF(COUNTBLANK('RNEW import'!B462)=1,"",'RNEW import'!B462)</f>
        <v>29</v>
      </c>
      <c r="B464" s="211" t="str">
        <f>IF(COUNTBLANK('RNEW import'!D462)=1,"",'RNEW import'!D462)</f>
        <v>Targu Mures Shopping City SRL</v>
      </c>
      <c r="C464" s="211" t="str">
        <f>IF(COUNTBLANK('RNEW import'!E462)=1,"",'RNEW import'!E462)</f>
        <v>RTGU</v>
      </c>
      <c r="D464" s="211" t="str">
        <f>IF(COUNTBLANK('RNEW import'!K462)=1,"",'RNEW import'!K462)</f>
        <v>Regularizare Contributie CFD</v>
      </c>
      <c r="E464" s="211">
        <f>IF(COUNTBLANK('RNEW import'!L462)=1,"",'RNEW import'!N462)</f>
        <v>0</v>
      </c>
      <c r="F464" s="211">
        <f>IF(COUNTBLANK('RNEW import'!M462)=1,"",'RNEW import'!O462/10000)</f>
        <v>2.0599999999999999E-4</v>
      </c>
      <c r="G464" s="217">
        <f t="shared" si="129"/>
        <v>0</v>
      </c>
      <c r="H464" s="217">
        <f t="shared" si="137"/>
        <v>0</v>
      </c>
      <c r="I464" s="329">
        <f t="shared" si="130"/>
        <v>0</v>
      </c>
      <c r="J464" s="237" t="str">
        <f t="shared" si="132"/>
        <v/>
      </c>
      <c r="K464" s="238" t="str">
        <f t="shared" si="133"/>
        <v/>
      </c>
      <c r="L464" s="238" t="str">
        <f t="shared" si="134"/>
        <v/>
      </c>
      <c r="M464" s="238" t="str">
        <f t="shared" si="135"/>
        <v/>
      </c>
      <c r="N464" s="238" t="str">
        <f t="shared" si="136"/>
        <v/>
      </c>
      <c r="O464" s="232" t="str">
        <f t="shared" si="131"/>
        <v/>
      </c>
      <c r="P464" s="219" t="str">
        <f t="shared" si="138"/>
        <v/>
      </c>
      <c r="Q464" s="219" t="str">
        <f t="shared" si="139"/>
        <v/>
      </c>
      <c r="R464" s="219" t="str">
        <f t="shared" si="140"/>
        <v/>
      </c>
      <c r="S464" s="331" t="str">
        <f t="shared" si="126"/>
        <v/>
      </c>
      <c r="T464" s="331" t="str">
        <f t="shared" si="127"/>
        <v/>
      </c>
      <c r="U464" s="331" t="str">
        <f t="shared" si="128"/>
        <v/>
      </c>
    </row>
    <row r="465" spans="1:21" ht="15.95" customHeight="1">
      <c r="A465" s="211">
        <f>IF(COUNTBLANK('RNEW import'!B463)=1,"",'RNEW import'!B463)</f>
        <v>30</v>
      </c>
      <c r="B465" s="211" t="str">
        <f>IF(COUNTBLANK('RNEW import'!D463)=1,"",'RNEW import'!D463)</f>
        <v>Targu Mures Shopping City SRL</v>
      </c>
      <c r="C465" s="211" t="str">
        <f>IF(COUNTBLANK('RNEW import'!E463)=1,"",'RNEW import'!E463)</f>
        <v>RTGU</v>
      </c>
      <c r="D465" s="211" t="str">
        <f>IF(COUNTBLANK('RNEW import'!K463)=1,"",'RNEW import'!K463)</f>
        <v>Regularizare Acciza</v>
      </c>
      <c r="E465" s="211">
        <f>IF(COUNTBLANK('RNEW import'!L463)=1,"",'RNEW import'!N463)</f>
        <v>0</v>
      </c>
      <c r="F465" s="211">
        <f>IF(COUNTBLANK('RNEW import'!M463)=1,"",'RNEW import'!O463/10000)</f>
        <v>0</v>
      </c>
      <c r="G465" s="217">
        <f t="shared" si="129"/>
        <v>0</v>
      </c>
      <c r="H465" s="217">
        <f t="shared" si="137"/>
        <v>0</v>
      </c>
      <c r="I465" s="329">
        <f t="shared" si="130"/>
        <v>0</v>
      </c>
      <c r="J465" s="237" t="str">
        <f t="shared" si="132"/>
        <v/>
      </c>
      <c r="K465" s="238" t="str">
        <f t="shared" si="133"/>
        <v/>
      </c>
      <c r="L465" s="238" t="str">
        <f t="shared" si="134"/>
        <v/>
      </c>
      <c r="M465" s="238" t="str">
        <f t="shared" si="135"/>
        <v/>
      </c>
      <c r="N465" s="238" t="str">
        <f t="shared" si="136"/>
        <v/>
      </c>
      <c r="O465" s="232" t="str">
        <f t="shared" si="131"/>
        <v/>
      </c>
      <c r="P465" s="219" t="str">
        <f t="shared" si="138"/>
        <v/>
      </c>
      <c r="Q465" s="219" t="str">
        <f t="shared" si="139"/>
        <v/>
      </c>
      <c r="R465" s="219" t="str">
        <f t="shared" si="140"/>
        <v/>
      </c>
      <c r="S465" s="331" t="str">
        <f t="shared" si="126"/>
        <v/>
      </c>
      <c r="T465" s="331" t="str">
        <f t="shared" si="127"/>
        <v/>
      </c>
      <c r="U465" s="331" t="str">
        <f t="shared" si="128"/>
        <v/>
      </c>
    </row>
    <row r="466" spans="1:21" ht="15.95" customHeight="1">
      <c r="A466" s="211">
        <f>IF(COUNTBLANK('RNEW import'!B464)=1,"",'RNEW import'!B464)</f>
        <v>31</v>
      </c>
      <c r="B466" s="211" t="str">
        <f>IF(COUNTBLANK('RNEW import'!D464)=1,"",'RNEW import'!D464)</f>
        <v>Targu Mures Shopping City SRL</v>
      </c>
      <c r="C466" s="211" t="str">
        <f>IF(COUNTBLANK('RNEW import'!E464)=1,"",'RNEW import'!E464)</f>
        <v>RTGU</v>
      </c>
      <c r="D466" s="211" t="str">
        <f>IF(COUNTBLANK('RNEW import'!K464)=1,"",'RNEW import'!K464)</f>
        <v>Regularizare Tarif distributie SDI MT Ea1</v>
      </c>
      <c r="E466" s="211">
        <f>IF(COUNTBLANK('RNEW import'!L464)=1,"",'RNEW import'!N464)</f>
        <v>0</v>
      </c>
      <c r="F466" s="211">
        <f>IF(COUNTBLANK('RNEW import'!M464)=1,"",'RNEW import'!O464/10000)</f>
        <v>1.26E-2</v>
      </c>
      <c r="G466" s="217">
        <f t="shared" si="129"/>
        <v>0</v>
      </c>
      <c r="H466" s="217">
        <f t="shared" si="137"/>
        <v>0</v>
      </c>
      <c r="I466" s="329">
        <f t="shared" si="130"/>
        <v>0</v>
      </c>
      <c r="J466" s="237" t="str">
        <f t="shared" si="132"/>
        <v/>
      </c>
      <c r="K466" s="238" t="str">
        <f t="shared" si="133"/>
        <v/>
      </c>
      <c r="L466" s="238" t="str">
        <f t="shared" si="134"/>
        <v/>
      </c>
      <c r="M466" s="238" t="str">
        <f t="shared" si="135"/>
        <v/>
      </c>
      <c r="N466" s="238" t="str">
        <f t="shared" si="136"/>
        <v/>
      </c>
      <c r="O466" s="232" t="str">
        <f t="shared" si="131"/>
        <v/>
      </c>
      <c r="P466" s="219" t="str">
        <f t="shared" si="138"/>
        <v/>
      </c>
      <c r="Q466" s="219" t="str">
        <f t="shared" si="139"/>
        <v/>
      </c>
      <c r="R466" s="219" t="str">
        <f t="shared" si="140"/>
        <v/>
      </c>
      <c r="S466" s="331" t="str">
        <f t="shared" si="126"/>
        <v/>
      </c>
      <c r="T466" s="331" t="str">
        <f t="shared" si="127"/>
        <v/>
      </c>
      <c r="U466" s="331" t="str">
        <f t="shared" si="128"/>
        <v/>
      </c>
    </row>
    <row r="467" spans="1:21" ht="15.95" customHeight="1">
      <c r="A467" s="211">
        <f>IF(COUNTBLANK('RNEW import'!B465)=1,"",'RNEW import'!B465)</f>
        <v>32</v>
      </c>
      <c r="B467" s="211" t="str">
        <f>IF(COUNTBLANK('RNEW import'!D465)=1,"",'RNEW import'!D465)</f>
        <v>Targu Mures Shopping City SRL</v>
      </c>
      <c r="C467" s="211" t="str">
        <f>IF(COUNTBLANK('RNEW import'!E465)=1,"",'RNEW import'!E465)</f>
        <v>RTGU</v>
      </c>
      <c r="D467" s="211" t="str">
        <f>IF(COUNTBLANK('RNEW import'!K465)=1,"",'RNEW import'!K465)</f>
        <v>Regularizare Tarif distributie SDI JT Ea1</v>
      </c>
      <c r="E467" s="211">
        <f>IF(COUNTBLANK('RNEW import'!L465)=1,"",'RNEW import'!N465)</f>
        <v>0</v>
      </c>
      <c r="F467" s="211">
        <f>IF(COUNTBLANK('RNEW import'!M465)=1,"",'RNEW import'!O465/10000)</f>
        <v>9.2700000000000005E-2</v>
      </c>
      <c r="G467" s="217">
        <f t="shared" si="129"/>
        <v>0</v>
      </c>
      <c r="H467" s="217">
        <f t="shared" si="137"/>
        <v>0</v>
      </c>
      <c r="I467" s="329">
        <f t="shared" si="130"/>
        <v>0</v>
      </c>
      <c r="J467" s="237" t="str">
        <f t="shared" si="132"/>
        <v/>
      </c>
      <c r="K467" s="238" t="str">
        <f t="shared" si="133"/>
        <v/>
      </c>
      <c r="L467" s="238" t="str">
        <f t="shared" si="134"/>
        <v/>
      </c>
      <c r="M467" s="238" t="str">
        <f t="shared" si="135"/>
        <v/>
      </c>
      <c r="N467" s="238" t="str">
        <f t="shared" si="136"/>
        <v/>
      </c>
      <c r="O467" s="232" t="str">
        <f t="shared" si="131"/>
        <v/>
      </c>
      <c r="P467" s="219" t="str">
        <f t="shared" si="138"/>
        <v/>
      </c>
      <c r="Q467" s="219" t="str">
        <f t="shared" si="139"/>
        <v/>
      </c>
      <c r="R467" s="219" t="str">
        <f t="shared" si="140"/>
        <v/>
      </c>
      <c r="S467" s="331" t="str">
        <f t="shared" si="126"/>
        <v/>
      </c>
      <c r="T467" s="331" t="str">
        <f t="shared" si="127"/>
        <v/>
      </c>
      <c r="U467" s="331" t="str">
        <f t="shared" si="128"/>
        <v/>
      </c>
    </row>
    <row r="468" spans="1:21" ht="15.95" customHeight="1">
      <c r="A468" s="211">
        <f>IF(COUNTBLANK('RNEW import'!B466)=1,"",'RNEW import'!B466)</f>
        <v>33</v>
      </c>
      <c r="B468" s="211" t="str">
        <f>IF(COUNTBLANK('RNEW import'!D466)=1,"",'RNEW import'!D466)</f>
        <v>Targu Mures Shopping City SRL</v>
      </c>
      <c r="C468" s="211" t="str">
        <f>IF(COUNTBLANK('RNEW import'!E466)=1,"",'RNEW import'!E466)</f>
        <v>RTGU</v>
      </c>
      <c r="D468" s="211" t="str">
        <f>IF(COUNTBLANK('RNEW import'!K466)=1,"",'RNEW import'!K466)</f>
        <v>Regularizare Energie activa 2</v>
      </c>
      <c r="E468" s="211">
        <f>IF(COUNTBLANK('RNEW import'!L466)=1,"",'RNEW import'!N466)</f>
        <v>0</v>
      </c>
      <c r="F468" s="211">
        <f>IF(COUNTBLANK('RNEW import'!M466)=1,"",'RNEW import'!O466/10000)</f>
        <v>0.93920760000000014</v>
      </c>
      <c r="G468" s="217">
        <f t="shared" si="129"/>
        <v>0</v>
      </c>
      <c r="H468" s="217">
        <f t="shared" si="137"/>
        <v>0</v>
      </c>
      <c r="I468" s="329">
        <f t="shared" si="130"/>
        <v>0</v>
      </c>
      <c r="J468" s="237" t="str">
        <f t="shared" si="132"/>
        <v/>
      </c>
      <c r="K468" s="238" t="str">
        <f t="shared" si="133"/>
        <v/>
      </c>
      <c r="L468" s="238" t="str">
        <f t="shared" si="134"/>
        <v/>
      </c>
      <c r="M468" s="238" t="str">
        <f t="shared" si="135"/>
        <v/>
      </c>
      <c r="N468" s="238" t="str">
        <f t="shared" si="136"/>
        <v/>
      </c>
      <c r="O468" s="232" t="str">
        <f t="shared" si="131"/>
        <v/>
      </c>
      <c r="P468" s="219" t="str">
        <f t="shared" si="138"/>
        <v/>
      </c>
      <c r="Q468" s="219" t="str">
        <f t="shared" si="139"/>
        <v/>
      </c>
      <c r="R468" s="219" t="str">
        <f t="shared" si="140"/>
        <v/>
      </c>
      <c r="S468" s="331" t="str">
        <f t="shared" si="126"/>
        <v/>
      </c>
      <c r="T468" s="331" t="str">
        <f t="shared" si="127"/>
        <v/>
      </c>
      <c r="U468" s="331" t="str">
        <f t="shared" si="128"/>
        <v/>
      </c>
    </row>
    <row r="469" spans="1:21" ht="15.95" customHeight="1">
      <c r="A469" s="211">
        <f>IF(COUNTBLANK('RNEW import'!B467)=1,"",'RNEW import'!B467)</f>
        <v>34</v>
      </c>
      <c r="B469" s="211" t="str">
        <f>IF(COUNTBLANK('RNEW import'!D467)=1,"",'RNEW import'!D467)</f>
        <v>Targu Mures Shopping City SRL</v>
      </c>
      <c r="C469" s="211" t="str">
        <f>IF(COUNTBLANK('RNEW import'!E467)=1,"",'RNEW import'!E467)</f>
        <v>RTGU</v>
      </c>
      <c r="D469" s="211" t="str">
        <f>IF(COUNTBLANK('RNEW import'!K467)=1,"",'RNEW import'!K467)</f>
        <v>Regularizare Energie activa 3</v>
      </c>
      <c r="E469" s="211">
        <f>IF(COUNTBLANK('RNEW import'!L467)=1,"",'RNEW import'!N467)</f>
        <v>0</v>
      </c>
      <c r="F469" s="211">
        <f>IF(COUNTBLANK('RNEW import'!M467)=1,"",'RNEW import'!O467/10000)</f>
        <v>0.83390760000000008</v>
      </c>
      <c r="G469" s="217">
        <f t="shared" si="129"/>
        <v>0</v>
      </c>
      <c r="H469" s="217">
        <f t="shared" si="137"/>
        <v>0</v>
      </c>
      <c r="I469" s="329">
        <f t="shared" si="130"/>
        <v>0</v>
      </c>
      <c r="J469" s="237" t="str">
        <f t="shared" si="132"/>
        <v/>
      </c>
      <c r="K469" s="238" t="str">
        <f t="shared" si="133"/>
        <v/>
      </c>
      <c r="L469" s="238" t="str">
        <f t="shared" si="134"/>
        <v/>
      </c>
      <c r="M469" s="238" t="str">
        <f t="shared" si="135"/>
        <v/>
      </c>
      <c r="N469" s="238" t="str">
        <f t="shared" si="136"/>
        <v/>
      </c>
      <c r="O469" s="232" t="str">
        <f t="shared" si="131"/>
        <v/>
      </c>
      <c r="P469" s="219" t="str">
        <f t="shared" si="138"/>
        <v/>
      </c>
      <c r="Q469" s="219" t="str">
        <f t="shared" si="139"/>
        <v/>
      </c>
      <c r="R469" s="219" t="str">
        <f t="shared" si="140"/>
        <v/>
      </c>
      <c r="S469" s="331" t="str">
        <f t="shared" si="126"/>
        <v/>
      </c>
      <c r="T469" s="331" t="str">
        <f t="shared" si="127"/>
        <v/>
      </c>
      <c r="U469" s="331" t="str">
        <f t="shared" si="128"/>
        <v/>
      </c>
    </row>
    <row r="470" spans="1:21" ht="15.95" customHeight="1">
      <c r="A470" s="211">
        <f>IF(COUNTBLANK('RNEW import'!B468)=1,"",'RNEW import'!B468)</f>
        <v>35</v>
      </c>
      <c r="B470" s="211" t="str">
        <f>IF(COUNTBLANK('RNEW import'!D468)=1,"",'RNEW import'!D468)</f>
        <v>Targu Mures Shopping City SRL</v>
      </c>
      <c r="C470" s="211" t="str">
        <f>IF(COUNTBLANK('RNEW import'!E468)=1,"",'RNEW import'!E468)</f>
        <v>RTGU</v>
      </c>
      <c r="D470" s="211" t="str">
        <f>IF(COUNTBLANK('RNEW import'!K468)=1,"",'RNEW import'!K468)</f>
        <v>Regularizare Tarif distributie SDI MT Ea3</v>
      </c>
      <c r="E470" s="211">
        <f>IF(COUNTBLANK('RNEW import'!L468)=1,"",'RNEW import'!N468)</f>
        <v>0</v>
      </c>
      <c r="F470" s="211">
        <f>IF(COUNTBLANK('RNEW import'!M468)=1,"",'RNEW import'!O468/10000)</f>
        <v>1.26E-2</v>
      </c>
      <c r="G470" s="217">
        <f t="shared" si="129"/>
        <v>0</v>
      </c>
      <c r="H470" s="217">
        <f t="shared" si="137"/>
        <v>0</v>
      </c>
      <c r="I470" s="329">
        <f t="shared" si="130"/>
        <v>0</v>
      </c>
      <c r="J470" s="237" t="str">
        <f t="shared" si="132"/>
        <v/>
      </c>
      <c r="K470" s="238" t="str">
        <f t="shared" si="133"/>
        <v/>
      </c>
      <c r="L470" s="238" t="str">
        <f t="shared" si="134"/>
        <v/>
      </c>
      <c r="M470" s="238" t="str">
        <f t="shared" si="135"/>
        <v/>
      </c>
      <c r="N470" s="238" t="str">
        <f t="shared" si="136"/>
        <v/>
      </c>
      <c r="O470" s="232" t="str">
        <f t="shared" si="131"/>
        <v/>
      </c>
      <c r="P470" s="219" t="str">
        <f t="shared" si="138"/>
        <v/>
      </c>
      <c r="Q470" s="219" t="str">
        <f t="shared" si="139"/>
        <v/>
      </c>
      <c r="R470" s="219" t="str">
        <f t="shared" si="140"/>
        <v/>
      </c>
      <c r="S470" s="331" t="str">
        <f t="shared" ref="S470:S533" si="141">IF(COUNTBLANK(P470)=1,"",ROUND(IF(P470=$P$5,G470,IF(P470=$P$6,G470,IF(P470=$P$21,G470+G469+G468+G467,IF(P470=$P$23,G470,IF(P470=$P$24,G470,IF(P470=$P$4,SUMIFS(G:G,$B:$B,J470,A:A,"&lt;15"),IF(P470=$P$22,SUMIFS(G:G,$B:$B,J452,A:A,"&gt;18",A:A,"&lt;33")-S471-S472,IF(P470=$P$39,G470+G469+G468+G467,"eroare")))))))),2))</f>
        <v/>
      </c>
      <c r="T470" s="331" t="str">
        <f t="shared" ref="T470:T533" si="142">IF(COUNTBLANK(P470)=1,"",ROUND(IF(P470=$P$5,H470,IF(P470=$P$6,H470,IF(P470=$P$21,H470+H469+H468+H467,IF(P470=$P$23,H470,IF(P470=$P$24,H470,IF(P470=$P$4,SUMIFS(H:H,$B:$B,J470,A:A,"&lt;15"),IF(P470=$P$22,SUMIFS(H:H,$B:$B,J452,A:A,"&gt;18",A:A,"&lt;33")-T471-T472,IF(P470=$P$39,H470+H469+H468+H467,"eroare")))))))),2))</f>
        <v/>
      </c>
      <c r="U470" s="331" t="str">
        <f t="shared" ref="U470:U533" si="143">IF(COUNTBLANK(P470)=1,"",ROUND(IF(P470=$P$5,I470,IF(P470=$P$6,I470,IF(P470=$P$21,I470+I469+I468+I467,IF(P470=$P$23,I470,IF(P470=$P$24,I470,IF(P470=$P$4,SUMIFS(I:I,$B:$B,J470,A:A,"&lt;15"),IF(P470=$P$22,SUMIFS(I:I,$B:$B,J452,A:A,"&gt;18",A:A,"&lt;33")-U471-U472,IF(P470=$P$39,I470+I469+I468+I467,"eroare")))))))),2))</f>
        <v/>
      </c>
    </row>
    <row r="471" spans="1:21" ht="15.95" customHeight="1">
      <c r="A471" s="211">
        <f>IF(COUNTBLANK('RNEW import'!B469)=1,"",'RNEW import'!B469)</f>
        <v>36</v>
      </c>
      <c r="B471" s="211" t="str">
        <f>IF(COUNTBLANK('RNEW import'!D469)=1,"",'RNEW import'!D469)</f>
        <v>Targu Mures Shopping City SRL</v>
      </c>
      <c r="C471" s="211" t="str">
        <f>IF(COUNTBLANK('RNEW import'!E469)=1,"",'RNEW import'!E469)</f>
        <v>RTGU</v>
      </c>
      <c r="D471" s="211" t="str">
        <f>IF(COUNTBLANK('RNEW import'!K469)=1,"",'RNEW import'!K469)</f>
        <v>Regularizare Tarif distributie SDI JT Ea3</v>
      </c>
      <c r="E471" s="211">
        <f>IF(COUNTBLANK('RNEW import'!L469)=1,"",'RNEW import'!N469)</f>
        <v>0</v>
      </c>
      <c r="F471" s="211">
        <f>IF(COUNTBLANK('RNEW import'!M469)=1,"",'RNEW import'!O469/10000)</f>
        <v>9.2700000000000005E-2</v>
      </c>
      <c r="G471" s="217">
        <f t="shared" si="129"/>
        <v>0</v>
      </c>
      <c r="H471" s="217">
        <f t="shared" si="137"/>
        <v>0</v>
      </c>
      <c r="I471" s="329">
        <f t="shared" si="130"/>
        <v>0</v>
      </c>
      <c r="J471" s="237" t="str">
        <f t="shared" si="132"/>
        <v/>
      </c>
      <c r="K471" s="238" t="str">
        <f t="shared" si="133"/>
        <v/>
      </c>
      <c r="L471" s="238" t="str">
        <f t="shared" si="134"/>
        <v/>
      </c>
      <c r="M471" s="238" t="str">
        <f t="shared" si="135"/>
        <v/>
      </c>
      <c r="N471" s="238" t="str">
        <f t="shared" si="136"/>
        <v/>
      </c>
      <c r="O471" s="232" t="str">
        <f t="shared" si="131"/>
        <v/>
      </c>
      <c r="P471" s="219" t="str">
        <f t="shared" si="138"/>
        <v>Energie consumata din PV regularizare</v>
      </c>
      <c r="Q471" s="219">
        <f t="shared" si="139"/>
        <v>0</v>
      </c>
      <c r="R471" s="219">
        <f t="shared" si="140"/>
        <v>0</v>
      </c>
      <c r="S471" s="331">
        <f t="shared" si="141"/>
        <v>0</v>
      </c>
      <c r="T471" s="331">
        <f t="shared" si="142"/>
        <v>0</v>
      </c>
      <c r="U471" s="331">
        <f t="shared" si="143"/>
        <v>0</v>
      </c>
    </row>
    <row r="472" spans="1:21" ht="15.95" customHeight="1">
      <c r="A472" s="211">
        <f>IF(COUNTBLANK('RNEW import'!B470)=1,"",'RNEW import'!B470)</f>
        <v>1</v>
      </c>
      <c r="B472" s="211" t="str">
        <f>IF(COUNTBLANK('RNEW import'!D470)=1,"",'RNEW import'!D470)</f>
        <v>Constanta Shopping City SRL</v>
      </c>
      <c r="C472" s="211" t="str">
        <f>IF(COUNTBLANK('RNEW import'!E470)=1,"",'RNEW import'!E470)</f>
        <v>RCSC</v>
      </c>
      <c r="D472" s="211" t="str">
        <f>IF(COUNTBLANK('RNEW import'!K470)=1,"",'RNEW import'!K470)</f>
        <v>Energie activa 1</v>
      </c>
      <c r="E472" s="211">
        <f>IF(COUNTBLANK('RNEW import'!L470)=1,"",'RNEW import'!N470)</f>
        <v>1447555</v>
      </c>
      <c r="F472" s="211">
        <f>IF(COUNTBLANK('RNEW import'!M470)=1,"",'RNEW import'!O470/10000)</f>
        <v>0.59499999999999997</v>
      </c>
      <c r="G472" s="217">
        <f t="shared" si="129"/>
        <v>861295.23</v>
      </c>
      <c r="H472" s="217">
        <f t="shared" si="137"/>
        <v>163646.09</v>
      </c>
      <c r="I472" s="329">
        <f t="shared" si="130"/>
        <v>1024941.32</v>
      </c>
      <c r="J472" s="237" t="str">
        <f t="shared" si="132"/>
        <v>Constanta Shopping City SRL</v>
      </c>
      <c r="K472" s="238">
        <f t="shared" si="133"/>
        <v>162849.94</v>
      </c>
      <c r="L472" s="238">
        <f t="shared" si="134"/>
        <v>1165658.93</v>
      </c>
      <c r="M472" s="238">
        <f t="shared" si="135"/>
        <v>63457.43</v>
      </c>
      <c r="N472" s="238">
        <f t="shared" si="136"/>
        <v>1447555</v>
      </c>
      <c r="O472" s="232" t="str">
        <f t="shared" si="131"/>
        <v>Constanta Shopping City SRL</v>
      </c>
      <c r="P472" s="219" t="str">
        <f t="shared" si="138"/>
        <v>Enegie activa</v>
      </c>
      <c r="Q472" s="219">
        <f t="shared" si="139"/>
        <v>1447555</v>
      </c>
      <c r="R472" s="219">
        <f t="shared" si="140"/>
        <v>0.91775799999999996</v>
      </c>
      <c r="S472" s="331">
        <f t="shared" si="141"/>
        <v>1328504.6200000001</v>
      </c>
      <c r="T472" s="331">
        <f t="shared" si="142"/>
        <v>252415.88</v>
      </c>
      <c r="U472" s="331">
        <f t="shared" si="143"/>
        <v>1580920.5</v>
      </c>
    </row>
    <row r="473" spans="1:21" ht="15.95" customHeight="1">
      <c r="A473" s="211">
        <f>IF(COUNTBLANK('RNEW import'!B471)=1,"",'RNEW import'!B471)</f>
        <v>2</v>
      </c>
      <c r="B473" s="211" t="str">
        <f>IF(COUNTBLANK('RNEW import'!D471)=1,"",'RNEW import'!D471)</f>
        <v>Constanta Shopping City SRL</v>
      </c>
      <c r="C473" s="211" t="str">
        <f>IF(COUNTBLANK('RNEW import'!E471)=1,"",'RNEW import'!E471)</f>
        <v>RCSC</v>
      </c>
      <c r="D473" s="211" t="str">
        <f>IF(COUNTBLANK('RNEW import'!K471)=1,"",'RNEW import'!K471)</f>
        <v>Energie reactiva  1X</v>
      </c>
      <c r="E473" s="211">
        <f>IF(COUNTBLANK('RNEW import'!L471)=1,"",'RNEW import'!N471)</f>
        <v>0</v>
      </c>
      <c r="F473" s="211">
        <f>IF(COUNTBLANK('RNEW import'!M471)=1,"",'RNEW import'!O471/10000)</f>
        <v>0.14660000000000001</v>
      </c>
      <c r="G473" s="217">
        <f t="shared" si="129"/>
        <v>0</v>
      </c>
      <c r="H473" s="217">
        <f t="shared" si="137"/>
        <v>0</v>
      </c>
      <c r="I473" s="329">
        <f t="shared" si="130"/>
        <v>0</v>
      </c>
      <c r="J473" s="237" t="str">
        <f t="shared" si="132"/>
        <v/>
      </c>
      <c r="K473" s="238" t="str">
        <f t="shared" si="133"/>
        <v/>
      </c>
      <c r="L473" s="238" t="str">
        <f t="shared" si="134"/>
        <v/>
      </c>
      <c r="M473" s="238" t="str">
        <f t="shared" si="135"/>
        <v/>
      </c>
      <c r="N473" s="238" t="str">
        <f t="shared" si="136"/>
        <v/>
      </c>
      <c r="O473" s="232" t="str">
        <f t="shared" si="131"/>
        <v/>
      </c>
      <c r="P473" s="219" t="str">
        <f t="shared" si="138"/>
        <v>Energie reactiva 1x</v>
      </c>
      <c r="Q473" s="219">
        <f t="shared" si="139"/>
        <v>0</v>
      </c>
      <c r="R473" s="219">
        <f t="shared" si="140"/>
        <v>0.14660000000000001</v>
      </c>
      <c r="S473" s="331">
        <f t="shared" si="141"/>
        <v>0</v>
      </c>
      <c r="T473" s="331">
        <f t="shared" si="142"/>
        <v>0</v>
      </c>
      <c r="U473" s="331">
        <f t="shared" si="143"/>
        <v>0</v>
      </c>
    </row>
    <row r="474" spans="1:21" ht="15.95" customHeight="1">
      <c r="A474" s="211">
        <f>IF(COUNTBLANK('RNEW import'!B472)=1,"",'RNEW import'!B472)</f>
        <v>3</v>
      </c>
      <c r="B474" s="211" t="str">
        <f>IF(COUNTBLANK('RNEW import'!D472)=1,"",'RNEW import'!D472)</f>
        <v>Constanta Shopping City SRL</v>
      </c>
      <c r="C474" s="211" t="str">
        <f>IF(COUNTBLANK('RNEW import'!E472)=1,"",'RNEW import'!E472)</f>
        <v>RCSC</v>
      </c>
      <c r="D474" s="211" t="str">
        <f>IF(COUNTBLANK('RNEW import'!K472)=1,"",'RNEW import'!K472)</f>
        <v>Energie reactiva  3X</v>
      </c>
      <c r="E474" s="211">
        <f>IF(COUNTBLANK('RNEW import'!L472)=1,"",'RNEW import'!N472)</f>
        <v>0</v>
      </c>
      <c r="F474" s="211">
        <f>IF(COUNTBLANK('RNEW import'!M472)=1,"",'RNEW import'!O472/10000)</f>
        <v>0.43980000000000002</v>
      </c>
      <c r="G474" s="217">
        <f t="shared" si="129"/>
        <v>0</v>
      </c>
      <c r="H474" s="217">
        <f t="shared" si="137"/>
        <v>0</v>
      </c>
      <c r="I474" s="329">
        <f t="shared" si="130"/>
        <v>0</v>
      </c>
      <c r="J474" s="237" t="str">
        <f t="shared" si="132"/>
        <v/>
      </c>
      <c r="K474" s="238" t="str">
        <f t="shared" si="133"/>
        <v/>
      </c>
      <c r="L474" s="238" t="str">
        <f t="shared" si="134"/>
        <v/>
      </c>
      <c r="M474" s="238" t="str">
        <f t="shared" si="135"/>
        <v/>
      </c>
      <c r="N474" s="238" t="str">
        <f t="shared" si="136"/>
        <v/>
      </c>
      <c r="O474" s="232" t="str">
        <f t="shared" si="131"/>
        <v/>
      </c>
      <c r="P474" s="219" t="str">
        <f t="shared" si="138"/>
        <v>Energie reactiva 3x</v>
      </c>
      <c r="Q474" s="219">
        <f t="shared" si="139"/>
        <v>0</v>
      </c>
      <c r="R474" s="219">
        <f t="shared" si="140"/>
        <v>0.43980000000000002</v>
      </c>
      <c r="S474" s="331">
        <f t="shared" si="141"/>
        <v>0</v>
      </c>
      <c r="T474" s="331">
        <f t="shared" si="142"/>
        <v>0</v>
      </c>
      <c r="U474" s="331">
        <f t="shared" si="143"/>
        <v>0</v>
      </c>
    </row>
    <row r="475" spans="1:21" ht="15.95" customHeight="1">
      <c r="A475" s="211">
        <f>IF(COUNTBLANK('RNEW import'!B473)=1,"",'RNEW import'!B473)</f>
        <v>4</v>
      </c>
      <c r="B475" s="211" t="str">
        <f>IF(COUNTBLANK('RNEW import'!D473)=1,"",'RNEW import'!D473)</f>
        <v>Constanta Shopping City SRL</v>
      </c>
      <c r="C475" s="211" t="str">
        <f>IF(COUNTBLANK('RNEW import'!E473)=1,"",'RNEW import'!E473)</f>
        <v>RCSC</v>
      </c>
      <c r="D475" s="211" t="str">
        <f>IF(COUNTBLANK('RNEW import'!K473)=1,"",'RNEW import'!K473)</f>
        <v>Tarife distributie en. El IT+MT</v>
      </c>
      <c r="E475" s="211">
        <f>IF(COUNTBLANK('RNEW import'!L473)=1,"",'RNEW import'!N473)</f>
        <v>1447555</v>
      </c>
      <c r="F475" s="211">
        <f>IF(COUNTBLANK('RNEW import'!M473)=1,"",'RNEW import'!O473/10000)</f>
        <v>8.6180000000000007E-2</v>
      </c>
      <c r="G475" s="217">
        <f t="shared" si="129"/>
        <v>124750.29</v>
      </c>
      <c r="H475" s="217">
        <f t="shared" si="137"/>
        <v>23702.560000000001</v>
      </c>
      <c r="I475" s="329">
        <f t="shared" si="130"/>
        <v>148452.85</v>
      </c>
      <c r="J475" s="237" t="str">
        <f t="shared" si="132"/>
        <v/>
      </c>
      <c r="K475" s="238" t="str">
        <f t="shared" si="133"/>
        <v/>
      </c>
      <c r="L475" s="238" t="str">
        <f t="shared" si="134"/>
        <v/>
      </c>
      <c r="M475" s="238" t="str">
        <f t="shared" si="135"/>
        <v/>
      </c>
      <c r="N475" s="238" t="str">
        <f t="shared" si="136"/>
        <v/>
      </c>
      <c r="O475" s="232" t="str">
        <f t="shared" si="131"/>
        <v/>
      </c>
      <c r="P475" s="219" t="str">
        <f t="shared" si="138"/>
        <v/>
      </c>
      <c r="Q475" s="219" t="str">
        <f t="shared" si="139"/>
        <v/>
      </c>
      <c r="R475" s="219" t="str">
        <f t="shared" si="140"/>
        <v/>
      </c>
      <c r="S475" s="331" t="str">
        <f t="shared" si="141"/>
        <v/>
      </c>
      <c r="T475" s="331" t="str">
        <f t="shared" si="142"/>
        <v/>
      </c>
      <c r="U475" s="331" t="str">
        <f t="shared" si="143"/>
        <v/>
      </c>
    </row>
    <row r="476" spans="1:21" ht="15.95" customHeight="1">
      <c r="A476" s="211">
        <f>IF(COUNTBLANK('RNEW import'!B474)=1,"",'RNEW import'!B474)</f>
        <v>5</v>
      </c>
      <c r="B476" s="211" t="str">
        <f>IF(COUNTBLANK('RNEW import'!D474)=1,"",'RNEW import'!D474)</f>
        <v>Constanta Shopping City SRL</v>
      </c>
      <c r="C476" s="211" t="str">
        <f>IF(COUNTBLANK('RNEW import'!E474)=1,"",'RNEW import'!E474)</f>
        <v>RCSC</v>
      </c>
      <c r="D476" s="211" t="str">
        <f>IF(COUNTBLANK('RNEW import'!K474)=1,"",'RNEW import'!K474)</f>
        <v>Tarife distributie en. El JT</v>
      </c>
      <c r="E476" s="211">
        <f>IF(COUNTBLANK('RNEW import'!L474)=1,"",'RNEW import'!N474)</f>
        <v>0</v>
      </c>
      <c r="F476" s="211">
        <f>IF(COUNTBLANK('RNEW import'!M474)=1,"",'RNEW import'!O474/10000)</f>
        <v>0.2079</v>
      </c>
      <c r="G476" s="217">
        <f t="shared" si="129"/>
        <v>0</v>
      </c>
      <c r="H476" s="217">
        <f t="shared" si="137"/>
        <v>0</v>
      </c>
      <c r="I476" s="329">
        <f t="shared" si="130"/>
        <v>0</v>
      </c>
      <c r="J476" s="237" t="str">
        <f t="shared" si="132"/>
        <v/>
      </c>
      <c r="K476" s="238" t="str">
        <f t="shared" si="133"/>
        <v/>
      </c>
      <c r="L476" s="238" t="str">
        <f t="shared" si="134"/>
        <v/>
      </c>
      <c r="M476" s="238" t="str">
        <f t="shared" si="135"/>
        <v/>
      </c>
      <c r="N476" s="238" t="str">
        <f t="shared" si="136"/>
        <v/>
      </c>
      <c r="O476" s="232" t="str">
        <f t="shared" si="131"/>
        <v/>
      </c>
      <c r="P476" s="219" t="str">
        <f t="shared" si="138"/>
        <v/>
      </c>
      <c r="Q476" s="219" t="str">
        <f t="shared" si="139"/>
        <v/>
      </c>
      <c r="R476" s="219" t="str">
        <f t="shared" si="140"/>
        <v/>
      </c>
      <c r="S476" s="331" t="str">
        <f t="shared" si="141"/>
        <v/>
      </c>
      <c r="T476" s="331" t="str">
        <f t="shared" si="142"/>
        <v/>
      </c>
      <c r="U476" s="331" t="str">
        <f t="shared" si="143"/>
        <v/>
      </c>
    </row>
    <row r="477" spans="1:21" ht="15.95" customHeight="1">
      <c r="A477" s="211">
        <f>IF(COUNTBLANK('RNEW import'!B475)=1,"",'RNEW import'!B475)</f>
        <v>6</v>
      </c>
      <c r="B477" s="211" t="str">
        <f>IF(COUNTBLANK('RNEW import'!D475)=1,"",'RNEW import'!D475)</f>
        <v>Constanta Shopping City SRL</v>
      </c>
      <c r="C477" s="211" t="str">
        <f>IF(COUNTBLANK('RNEW import'!E475)=1,"",'RNEW import'!E475)</f>
        <v>RCSC</v>
      </c>
      <c r="D477" s="211" t="str">
        <f>IF(COUNTBLANK('RNEW import'!K475)=1,"",'RNEW import'!K475)</f>
        <v xml:space="preserve">Servicii Sistem </v>
      </c>
      <c r="E477" s="211">
        <f>IF(COUNTBLANK('RNEW import'!L475)=1,"",'RNEW import'!N475)</f>
        <v>1447555</v>
      </c>
      <c r="F477" s="211">
        <f>IF(COUNTBLANK('RNEW import'!M475)=1,"",'RNEW import'!O475/10000)</f>
        <v>1.1509999999999999E-2</v>
      </c>
      <c r="G477" s="217">
        <f t="shared" si="129"/>
        <v>16661.36</v>
      </c>
      <c r="H477" s="217">
        <f t="shared" si="137"/>
        <v>3165.66</v>
      </c>
      <c r="I477" s="329">
        <f t="shared" si="130"/>
        <v>19827.02</v>
      </c>
      <c r="J477" s="237" t="str">
        <f t="shared" si="132"/>
        <v/>
      </c>
      <c r="K477" s="238" t="str">
        <f t="shared" si="133"/>
        <v/>
      </c>
      <c r="L477" s="238" t="str">
        <f t="shared" si="134"/>
        <v/>
      </c>
      <c r="M477" s="238" t="str">
        <f t="shared" si="135"/>
        <v/>
      </c>
      <c r="N477" s="238" t="str">
        <f t="shared" si="136"/>
        <v/>
      </c>
      <c r="O477" s="232" t="str">
        <f t="shared" si="131"/>
        <v/>
      </c>
      <c r="P477" s="219" t="str">
        <f t="shared" si="138"/>
        <v/>
      </c>
      <c r="Q477" s="219" t="str">
        <f t="shared" si="139"/>
        <v/>
      </c>
      <c r="R477" s="219" t="str">
        <f t="shared" si="140"/>
        <v/>
      </c>
      <c r="S477" s="331" t="str">
        <f t="shared" si="141"/>
        <v/>
      </c>
      <c r="T477" s="331" t="str">
        <f t="shared" si="142"/>
        <v/>
      </c>
      <c r="U477" s="331" t="str">
        <f t="shared" si="143"/>
        <v/>
      </c>
    </row>
    <row r="478" spans="1:21" ht="15.95" customHeight="1">
      <c r="A478" s="211">
        <f>IF(COUNTBLANK('RNEW import'!B476)=1,"",'RNEW import'!B476)</f>
        <v>7</v>
      </c>
      <c r="B478" s="211" t="str">
        <f>IF(COUNTBLANK('RNEW import'!D476)=1,"",'RNEW import'!D476)</f>
        <v>Constanta Shopping City SRL</v>
      </c>
      <c r="C478" s="211" t="str">
        <f>IF(COUNTBLANK('RNEW import'!E476)=1,"",'RNEW import'!E476)</f>
        <v>RCSC</v>
      </c>
      <c r="D478" s="211" t="str">
        <f>IF(COUNTBLANK('RNEW import'!K476)=1,"",'RNEW import'!K476)</f>
        <v>Tarif de introducere en. el in retea (TL)</v>
      </c>
      <c r="E478" s="211">
        <f>IF(COUNTBLANK('RNEW import'!L476)=1,"",'RNEW import'!N476)</f>
        <v>1447555</v>
      </c>
      <c r="F478" s="211">
        <f>IF(COUNTBLANK('RNEW import'!M476)=1,"",'RNEW import'!O476/10000)</f>
        <v>3.3030000000000004E-2</v>
      </c>
      <c r="G478" s="217">
        <f t="shared" si="129"/>
        <v>47812.74</v>
      </c>
      <c r="H478" s="217">
        <f t="shared" si="137"/>
        <v>9084.42</v>
      </c>
      <c r="I478" s="329">
        <f t="shared" si="130"/>
        <v>56897.159999999996</v>
      </c>
      <c r="J478" s="237" t="str">
        <f t="shared" si="132"/>
        <v/>
      </c>
      <c r="K478" s="238" t="str">
        <f t="shared" si="133"/>
        <v/>
      </c>
      <c r="L478" s="238" t="str">
        <f t="shared" si="134"/>
        <v/>
      </c>
      <c r="M478" s="238" t="str">
        <f t="shared" si="135"/>
        <v/>
      </c>
      <c r="N478" s="238" t="str">
        <f t="shared" si="136"/>
        <v/>
      </c>
      <c r="O478" s="232" t="str">
        <f t="shared" si="131"/>
        <v/>
      </c>
      <c r="P478" s="219" t="str">
        <f t="shared" si="138"/>
        <v/>
      </c>
      <c r="Q478" s="219" t="str">
        <f t="shared" si="139"/>
        <v/>
      </c>
      <c r="R478" s="219" t="str">
        <f t="shared" si="140"/>
        <v/>
      </c>
      <c r="S478" s="331" t="str">
        <f t="shared" si="141"/>
        <v/>
      </c>
      <c r="T478" s="331" t="str">
        <f t="shared" si="142"/>
        <v/>
      </c>
      <c r="U478" s="331" t="str">
        <f t="shared" si="143"/>
        <v/>
      </c>
    </row>
    <row r="479" spans="1:21" ht="15.95" customHeight="1">
      <c r="A479" s="211">
        <f>IF(COUNTBLANK('RNEW import'!B477)=1,"",'RNEW import'!B477)</f>
        <v>8</v>
      </c>
      <c r="B479" s="211" t="str">
        <f>IF(COUNTBLANK('RNEW import'!D477)=1,"",'RNEW import'!D477)</f>
        <v>Constanta Shopping City SRL</v>
      </c>
      <c r="C479" s="211" t="str">
        <f>IF(COUNTBLANK('RNEW import'!E477)=1,"",'RNEW import'!E477)</f>
        <v>RCSC</v>
      </c>
      <c r="D479" s="211" t="str">
        <f>IF(COUNTBLANK('RNEW import'!K477)=1,"",'RNEW import'!K477)</f>
        <v>Tarif de introducere en.el in retea (TG)</v>
      </c>
      <c r="E479" s="211">
        <f>IF(COUNTBLANK('RNEW import'!L477)=1,"",'RNEW import'!N477)</f>
        <v>1447555</v>
      </c>
      <c r="F479" s="211">
        <f>IF(COUNTBLANK('RNEW import'!M477)=1,"",'RNEW import'!O477/10000)</f>
        <v>3.29E-3</v>
      </c>
      <c r="G479" s="217">
        <f t="shared" si="129"/>
        <v>4762.46</v>
      </c>
      <c r="H479" s="217">
        <f t="shared" si="137"/>
        <v>904.87</v>
      </c>
      <c r="I479" s="329">
        <f t="shared" si="130"/>
        <v>5667.33</v>
      </c>
      <c r="J479" s="237" t="str">
        <f t="shared" si="132"/>
        <v/>
      </c>
      <c r="K479" s="238" t="str">
        <f t="shared" si="133"/>
        <v/>
      </c>
      <c r="L479" s="238" t="str">
        <f t="shared" si="134"/>
        <v/>
      </c>
      <c r="M479" s="238" t="str">
        <f t="shared" si="135"/>
        <v/>
      </c>
      <c r="N479" s="238" t="str">
        <f t="shared" si="136"/>
        <v/>
      </c>
      <c r="O479" s="233" t="str">
        <f t="shared" si="131"/>
        <v/>
      </c>
      <c r="P479" s="219" t="str">
        <f t="shared" si="138"/>
        <v/>
      </c>
      <c r="Q479" s="219" t="str">
        <f t="shared" si="139"/>
        <v/>
      </c>
      <c r="R479" s="219" t="str">
        <f t="shared" si="140"/>
        <v/>
      </c>
      <c r="S479" s="331" t="str">
        <f t="shared" si="141"/>
        <v/>
      </c>
      <c r="T479" s="331" t="str">
        <f t="shared" si="142"/>
        <v/>
      </c>
      <c r="U479" s="331" t="str">
        <f t="shared" si="143"/>
        <v/>
      </c>
    </row>
    <row r="480" spans="1:21" ht="15.95" customHeight="1">
      <c r="A480" s="211">
        <f>IF(COUNTBLANK('RNEW import'!B478)=1,"",'RNEW import'!B478)</f>
        <v>9</v>
      </c>
      <c r="B480" s="211" t="str">
        <f>IF(COUNTBLANK('RNEW import'!D478)=1,"",'RNEW import'!D478)</f>
        <v>Constanta Shopping City SRL</v>
      </c>
      <c r="C480" s="211" t="str">
        <f>IF(COUNTBLANK('RNEW import'!E478)=1,"",'RNEW import'!E478)</f>
        <v>RCSC</v>
      </c>
      <c r="D480" s="211" t="str">
        <f>IF(COUNTBLANK('RNEW import'!K478)=1,"",'RNEW import'!K478)</f>
        <v>Contributie pentru cogenerare</v>
      </c>
      <c r="E480" s="211">
        <f>IF(COUNTBLANK('RNEW import'!L478)=1,"",'RNEW import'!N478)</f>
        <v>1447555</v>
      </c>
      <c r="F480" s="211">
        <f>IF(COUNTBLANK('RNEW import'!M478)=1,"",'RNEW import'!O478/10000)</f>
        <v>3.5000000000000001E-3</v>
      </c>
      <c r="G480" s="217">
        <f t="shared" si="129"/>
        <v>5066.4399999999996</v>
      </c>
      <c r="H480" s="217">
        <f t="shared" si="137"/>
        <v>962.62</v>
      </c>
      <c r="I480" s="329">
        <f t="shared" si="130"/>
        <v>6029.0599999999995</v>
      </c>
      <c r="J480" s="237" t="str">
        <f t="shared" si="132"/>
        <v/>
      </c>
      <c r="K480" s="238" t="str">
        <f t="shared" si="133"/>
        <v/>
      </c>
      <c r="L480" s="238" t="str">
        <f t="shared" si="134"/>
        <v/>
      </c>
      <c r="M480" s="238" t="str">
        <f t="shared" si="135"/>
        <v/>
      </c>
      <c r="N480" s="238" t="str">
        <f t="shared" si="136"/>
        <v/>
      </c>
      <c r="O480" s="218" t="str">
        <f t="shared" si="131"/>
        <v/>
      </c>
      <c r="P480" s="219" t="str">
        <f t="shared" si="138"/>
        <v/>
      </c>
      <c r="Q480" s="219" t="str">
        <f t="shared" si="139"/>
        <v/>
      </c>
      <c r="R480" s="219" t="str">
        <f t="shared" si="140"/>
        <v/>
      </c>
      <c r="S480" s="331" t="str">
        <f t="shared" si="141"/>
        <v/>
      </c>
      <c r="T480" s="331" t="str">
        <f t="shared" si="142"/>
        <v/>
      </c>
      <c r="U480" s="331" t="str">
        <f t="shared" si="143"/>
        <v/>
      </c>
    </row>
    <row r="481" spans="1:21" ht="15.95" customHeight="1">
      <c r="A481" s="211">
        <f>IF(COUNTBLANK('RNEW import'!B479)=1,"",'RNEW import'!B479)</f>
        <v>10</v>
      </c>
      <c r="B481" s="211" t="str">
        <f>IF(COUNTBLANK('RNEW import'!D479)=1,"",'RNEW import'!D479)</f>
        <v>Constanta Shopping City SRL</v>
      </c>
      <c r="C481" s="211" t="str">
        <f>IF(COUNTBLANK('RNEW import'!E479)=1,"",'RNEW import'!E479)</f>
        <v>RCSC</v>
      </c>
      <c r="D481" s="211" t="str">
        <f>IF(COUNTBLANK('RNEW import'!K479)=1,"",'RNEW import'!K479)</f>
        <v xml:space="preserve">Certificate verzi </v>
      </c>
      <c r="E481" s="211">
        <f>IF(COUNTBLANK('RNEW import'!L479)=1,"",'RNEW import'!N479)</f>
        <v>1447555</v>
      </c>
      <c r="F481" s="211">
        <f>IF(COUNTBLANK('RNEW import'!M479)=1,"",'RNEW import'!O479/10000)</f>
        <v>7.2541599999999998E-2</v>
      </c>
      <c r="G481" s="217">
        <f t="shared" si="129"/>
        <v>105007.96</v>
      </c>
      <c r="H481" s="217">
        <f t="shared" si="137"/>
        <v>19951.509999999998</v>
      </c>
      <c r="I481" s="329">
        <f t="shared" si="130"/>
        <v>124959.47</v>
      </c>
      <c r="J481" s="237" t="str">
        <f t="shared" si="132"/>
        <v/>
      </c>
      <c r="K481" s="238" t="str">
        <f t="shared" si="133"/>
        <v/>
      </c>
      <c r="L481" s="238" t="str">
        <f t="shared" si="134"/>
        <v/>
      </c>
      <c r="M481" s="238" t="str">
        <f t="shared" si="135"/>
        <v/>
      </c>
      <c r="N481" s="238" t="str">
        <f t="shared" si="136"/>
        <v/>
      </c>
      <c r="O481" s="232" t="str">
        <f t="shared" si="131"/>
        <v/>
      </c>
      <c r="P481" s="219" t="str">
        <f t="shared" si="138"/>
        <v/>
      </c>
      <c r="Q481" s="219" t="str">
        <f t="shared" si="139"/>
        <v/>
      </c>
      <c r="R481" s="219" t="str">
        <f t="shared" si="140"/>
        <v/>
      </c>
      <c r="S481" s="331" t="str">
        <f t="shared" si="141"/>
        <v/>
      </c>
      <c r="T481" s="331" t="str">
        <f t="shared" si="142"/>
        <v/>
      </c>
      <c r="U481" s="331" t="str">
        <f t="shared" si="143"/>
        <v/>
      </c>
    </row>
    <row r="482" spans="1:21" ht="15.95" customHeight="1">
      <c r="A482" s="211">
        <f>IF(COUNTBLANK('RNEW import'!B480)=1,"",'RNEW import'!B480)</f>
        <v>11</v>
      </c>
      <c r="B482" s="211" t="str">
        <f>IF(COUNTBLANK('RNEW import'!D480)=1,"",'RNEW import'!D480)</f>
        <v>Constanta Shopping City SRL</v>
      </c>
      <c r="C482" s="211" t="str">
        <f>IF(COUNTBLANK('RNEW import'!E480)=1,"",'RNEW import'!E480)</f>
        <v>RCSC</v>
      </c>
      <c r="D482" s="211" t="str">
        <f>IF(COUNTBLANK('RNEW import'!K480)=1,"",'RNEW import'!K480)</f>
        <v>Contributie CFD</v>
      </c>
      <c r="E482" s="211">
        <f>IF(COUNTBLANK('RNEW import'!L480)=1,"",'RNEW import'!N480)</f>
        <v>1447555</v>
      </c>
      <c r="F482" s="211">
        <f>IF(COUNTBLANK('RNEW import'!M480)=1,"",'RNEW import'!O480/10000)</f>
        <v>2.0599999999999999E-4</v>
      </c>
      <c r="G482" s="217">
        <f t="shared" si="129"/>
        <v>298.2</v>
      </c>
      <c r="H482" s="217">
        <f t="shared" si="137"/>
        <v>56.66</v>
      </c>
      <c r="I482" s="329">
        <f t="shared" si="130"/>
        <v>354.86</v>
      </c>
      <c r="J482" s="237" t="str">
        <f t="shared" si="132"/>
        <v/>
      </c>
      <c r="K482" s="238" t="str">
        <f t="shared" si="133"/>
        <v/>
      </c>
      <c r="L482" s="238" t="str">
        <f t="shared" si="134"/>
        <v/>
      </c>
      <c r="M482" s="238" t="str">
        <f t="shared" si="135"/>
        <v/>
      </c>
      <c r="N482" s="238" t="str">
        <f t="shared" si="136"/>
        <v/>
      </c>
      <c r="O482" s="232" t="str">
        <f t="shared" si="131"/>
        <v/>
      </c>
      <c r="P482" s="219" t="str">
        <f t="shared" si="138"/>
        <v/>
      </c>
      <c r="Q482" s="219" t="str">
        <f t="shared" si="139"/>
        <v/>
      </c>
      <c r="R482" s="219" t="str">
        <f t="shared" si="140"/>
        <v/>
      </c>
      <c r="S482" s="331" t="str">
        <f t="shared" si="141"/>
        <v/>
      </c>
      <c r="T482" s="331" t="str">
        <f t="shared" si="142"/>
        <v/>
      </c>
      <c r="U482" s="331" t="str">
        <f t="shared" si="143"/>
        <v/>
      </c>
    </row>
    <row r="483" spans="1:21" ht="15.95" customHeight="1">
      <c r="A483" s="211">
        <f>IF(COUNTBLANK('RNEW import'!B481)=1,"",'RNEW import'!B481)</f>
        <v>12</v>
      </c>
      <c r="B483" s="211" t="str">
        <f>IF(COUNTBLANK('RNEW import'!D481)=1,"",'RNEW import'!D481)</f>
        <v>Constanta Shopping City SRL</v>
      </c>
      <c r="C483" s="211" t="str">
        <f>IF(COUNTBLANK('RNEW import'!E481)=1,"",'RNEW import'!E481)</f>
        <v>RCSC</v>
      </c>
      <c r="D483" s="211" t="str">
        <f>IF(COUNTBLANK('RNEW import'!K481)=1,"",'RNEW import'!K481)</f>
        <v>Acciza</v>
      </c>
      <c r="E483" s="211">
        <f>IF(COUNTBLANK('RNEW import'!L481)=1,"",'RNEW import'!N481)</f>
        <v>1447555</v>
      </c>
      <c r="F483" s="211">
        <f>IF(COUNTBLANK('RNEW import'!M481)=1,"",'RNEW import'!O481/10000)</f>
        <v>0</v>
      </c>
      <c r="G483" s="217">
        <f t="shared" si="129"/>
        <v>0</v>
      </c>
      <c r="H483" s="217">
        <f t="shared" si="137"/>
        <v>0</v>
      </c>
      <c r="I483" s="329">
        <f t="shared" si="130"/>
        <v>0</v>
      </c>
      <c r="J483" s="237" t="str">
        <f t="shared" si="132"/>
        <v/>
      </c>
      <c r="K483" s="238" t="str">
        <f t="shared" si="133"/>
        <v/>
      </c>
      <c r="L483" s="238" t="str">
        <f t="shared" si="134"/>
        <v/>
      </c>
      <c r="M483" s="238" t="str">
        <f t="shared" si="135"/>
        <v/>
      </c>
      <c r="N483" s="238" t="str">
        <f t="shared" si="136"/>
        <v/>
      </c>
      <c r="O483" s="232" t="str">
        <f t="shared" si="131"/>
        <v/>
      </c>
      <c r="P483" s="219" t="str">
        <f t="shared" si="138"/>
        <v/>
      </c>
      <c r="Q483" s="219" t="str">
        <f t="shared" si="139"/>
        <v/>
      </c>
      <c r="R483" s="219" t="str">
        <f t="shared" si="140"/>
        <v/>
      </c>
      <c r="S483" s="331" t="str">
        <f t="shared" si="141"/>
        <v/>
      </c>
      <c r="T483" s="331" t="str">
        <f t="shared" si="142"/>
        <v/>
      </c>
      <c r="U483" s="331" t="str">
        <f t="shared" si="143"/>
        <v/>
      </c>
    </row>
    <row r="484" spans="1:21" ht="15.95" customHeight="1">
      <c r="A484" s="211">
        <f>IF(COUNTBLANK('RNEW import'!B482)=1,"",'RNEW import'!B482)</f>
        <v>13</v>
      </c>
      <c r="B484" s="211" t="str">
        <f>IF(COUNTBLANK('RNEW import'!D482)=1,"",'RNEW import'!D482)</f>
        <v>Constanta Shopping City SRL</v>
      </c>
      <c r="C484" s="211" t="str">
        <f>IF(COUNTBLANK('RNEW import'!E482)=1,"",'RNEW import'!E482)</f>
        <v>RCSC</v>
      </c>
      <c r="D484" s="211" t="str">
        <f>IF(COUNTBLANK('RNEW import'!K482)=1,"",'RNEW import'!K482)</f>
        <v>Tarif distributie SDI MT</v>
      </c>
      <c r="E484" s="211">
        <f>IF(COUNTBLANK('RNEW import'!L482)=1,"",'RNEW import'!N482)</f>
        <v>1447555</v>
      </c>
      <c r="F484" s="211">
        <f>IF(COUNTBLANK('RNEW import'!M482)=1,"",'RNEW import'!O482/10000)</f>
        <v>1.3800000000000003E-2</v>
      </c>
      <c r="G484" s="217">
        <f t="shared" si="129"/>
        <v>19976.259999999998</v>
      </c>
      <c r="H484" s="217">
        <f t="shared" si="137"/>
        <v>3795.49</v>
      </c>
      <c r="I484" s="329">
        <f t="shared" si="130"/>
        <v>23771.75</v>
      </c>
      <c r="J484" s="237" t="str">
        <f t="shared" si="132"/>
        <v/>
      </c>
      <c r="K484" s="238" t="str">
        <f t="shared" si="133"/>
        <v/>
      </c>
      <c r="L484" s="238" t="str">
        <f t="shared" si="134"/>
        <v/>
      </c>
      <c r="M484" s="238" t="str">
        <f t="shared" si="135"/>
        <v/>
      </c>
      <c r="N484" s="238" t="str">
        <f t="shared" si="136"/>
        <v/>
      </c>
      <c r="O484" s="232" t="str">
        <f t="shared" si="131"/>
        <v/>
      </c>
      <c r="P484" s="219" t="str">
        <f t="shared" si="138"/>
        <v/>
      </c>
      <c r="Q484" s="219" t="str">
        <f t="shared" si="139"/>
        <v/>
      </c>
      <c r="R484" s="219" t="str">
        <f t="shared" si="140"/>
        <v/>
      </c>
      <c r="S484" s="331" t="str">
        <f t="shared" si="141"/>
        <v/>
      </c>
      <c r="T484" s="331" t="str">
        <f t="shared" si="142"/>
        <v/>
      </c>
      <c r="U484" s="331" t="str">
        <f t="shared" si="143"/>
        <v/>
      </c>
    </row>
    <row r="485" spans="1:21" ht="15.95" customHeight="1">
      <c r="A485" s="211">
        <f>IF(COUNTBLANK('RNEW import'!B483)=1,"",'RNEW import'!B483)</f>
        <v>14</v>
      </c>
      <c r="B485" s="211" t="str">
        <f>IF(COUNTBLANK('RNEW import'!D483)=1,"",'RNEW import'!D483)</f>
        <v>Constanta Shopping City SRL</v>
      </c>
      <c r="C485" s="211" t="str">
        <f>IF(COUNTBLANK('RNEW import'!E483)=1,"",'RNEW import'!E483)</f>
        <v>RCSC</v>
      </c>
      <c r="D485" s="211" t="str">
        <f>IF(COUNTBLANK('RNEW import'!K483)=1,"",'RNEW import'!K483)</f>
        <v>Tarif distributie SDI JT</v>
      </c>
      <c r="E485" s="211">
        <f>IF(COUNTBLANK('RNEW import'!L483)=1,"",'RNEW import'!N483)</f>
        <v>1447555</v>
      </c>
      <c r="F485" s="211">
        <f>IF(COUNTBLANK('RNEW import'!M483)=1,"",'RNEW import'!O483/10000)</f>
        <v>9.8699999999999996E-2</v>
      </c>
      <c r="G485" s="217">
        <f t="shared" ref="G485:G548" si="144">ROUND(E485*F485,2)</f>
        <v>142873.68</v>
      </c>
      <c r="H485" s="217">
        <f t="shared" si="137"/>
        <v>27146</v>
      </c>
      <c r="I485" s="329">
        <f t="shared" ref="I485:I548" si="145">G485+H485</f>
        <v>170019.68</v>
      </c>
      <c r="J485" s="237" t="str">
        <f t="shared" si="132"/>
        <v/>
      </c>
      <c r="K485" s="238" t="str">
        <f t="shared" si="133"/>
        <v/>
      </c>
      <c r="L485" s="238" t="str">
        <f t="shared" si="134"/>
        <v/>
      </c>
      <c r="M485" s="238" t="str">
        <f t="shared" si="135"/>
        <v/>
      </c>
      <c r="N485" s="238" t="str">
        <f t="shared" si="136"/>
        <v/>
      </c>
      <c r="O485" s="232" t="str">
        <f t="shared" si="131"/>
        <v/>
      </c>
      <c r="P485" s="219" t="str">
        <f t="shared" si="138"/>
        <v/>
      </c>
      <c r="Q485" s="219" t="str">
        <f t="shared" si="139"/>
        <v/>
      </c>
      <c r="R485" s="219" t="str">
        <f t="shared" si="140"/>
        <v/>
      </c>
      <c r="S485" s="331" t="str">
        <f t="shared" si="141"/>
        <v/>
      </c>
      <c r="T485" s="331" t="str">
        <f t="shared" si="142"/>
        <v/>
      </c>
      <c r="U485" s="331" t="str">
        <f t="shared" si="143"/>
        <v/>
      </c>
    </row>
    <row r="486" spans="1:21" ht="15.95" customHeight="1">
      <c r="A486" s="211">
        <f>IF(COUNTBLANK('RNEW import'!B484)=1,"",'RNEW import'!B484)</f>
        <v>15</v>
      </c>
      <c r="B486" s="211" t="str">
        <f>IF(COUNTBLANK('RNEW import'!D484)=1,"",'RNEW import'!D484)</f>
        <v>Constanta Shopping City SRL</v>
      </c>
      <c r="C486" s="211" t="str">
        <f>IF(COUNTBLANK('RNEW import'!E484)=1,"",'RNEW import'!E484)</f>
        <v>RCSC</v>
      </c>
      <c r="D486" s="211" t="str">
        <f>IF(COUNTBLANK('RNEW import'!K484)=1,"",'RNEW import'!K484)</f>
        <v>Energie activa 2</v>
      </c>
      <c r="E486" s="211">
        <f>IF(COUNTBLANK('RNEW import'!L484)=1,"",'RNEW import'!N484)</f>
        <v>69144</v>
      </c>
      <c r="F486" s="211">
        <f>IF(COUNTBLANK('RNEW import'!M484)=1,"",'RNEW import'!O484/10000)</f>
        <v>0.91775760000000006</v>
      </c>
      <c r="G486" s="217">
        <f t="shared" si="144"/>
        <v>63457.43</v>
      </c>
      <c r="H486" s="217">
        <f t="shared" si="137"/>
        <v>12056.91</v>
      </c>
      <c r="I486" s="329">
        <f t="shared" si="145"/>
        <v>75514.34</v>
      </c>
      <c r="J486" s="237" t="str">
        <f t="shared" si="132"/>
        <v/>
      </c>
      <c r="K486" s="238" t="str">
        <f t="shared" si="133"/>
        <v/>
      </c>
      <c r="L486" s="238" t="str">
        <f t="shared" si="134"/>
        <v/>
      </c>
      <c r="M486" s="238" t="str">
        <f t="shared" si="135"/>
        <v/>
      </c>
      <c r="N486" s="238" t="str">
        <f t="shared" si="136"/>
        <v/>
      </c>
      <c r="O486" s="232" t="str">
        <f t="shared" ref="O486:O549" si="146">IF(A486=1,B486,"")</f>
        <v/>
      </c>
      <c r="P486" s="219" t="str">
        <f t="shared" si="138"/>
        <v/>
      </c>
      <c r="Q486" s="219" t="str">
        <f t="shared" si="139"/>
        <v/>
      </c>
      <c r="R486" s="219" t="str">
        <f t="shared" si="140"/>
        <v/>
      </c>
      <c r="S486" s="331" t="str">
        <f t="shared" si="141"/>
        <v/>
      </c>
      <c r="T486" s="331" t="str">
        <f t="shared" si="142"/>
        <v/>
      </c>
      <c r="U486" s="331" t="str">
        <f t="shared" si="143"/>
        <v/>
      </c>
    </row>
    <row r="487" spans="1:21" ht="15.95" customHeight="1">
      <c r="A487" s="211">
        <f>IF(COUNTBLANK('RNEW import'!B485)=1,"",'RNEW import'!B485)</f>
        <v>16</v>
      </c>
      <c r="B487" s="211" t="str">
        <f>IF(COUNTBLANK('RNEW import'!D485)=1,"",'RNEW import'!D485)</f>
        <v>Constanta Shopping City SRL</v>
      </c>
      <c r="C487" s="211" t="str">
        <f>IF(COUNTBLANK('RNEW import'!E485)=1,"",'RNEW import'!E485)</f>
        <v>RCSC</v>
      </c>
      <c r="D487" s="211" t="str">
        <f>IF(COUNTBLANK('RNEW import'!K485)=1,"",'RNEW import'!K485)</f>
        <v>Energie activa 3</v>
      </c>
      <c r="E487" s="211">
        <f>IF(COUNTBLANK('RNEW import'!L485)=1,"",'RNEW import'!N485)</f>
        <v>0</v>
      </c>
      <c r="F487" s="211">
        <f>IF(COUNTBLANK('RNEW import'!M485)=1,"",'RNEW import'!O485/10000)</f>
        <v>0.80525760000000002</v>
      </c>
      <c r="G487" s="217">
        <f t="shared" si="144"/>
        <v>0</v>
      </c>
      <c r="H487" s="217">
        <f t="shared" si="137"/>
        <v>0</v>
      </c>
      <c r="I487" s="329">
        <f t="shared" si="145"/>
        <v>0</v>
      </c>
      <c r="J487" s="237" t="str">
        <f t="shared" si="132"/>
        <v/>
      </c>
      <c r="K487" s="238" t="str">
        <f t="shared" si="133"/>
        <v/>
      </c>
      <c r="L487" s="238" t="str">
        <f t="shared" si="134"/>
        <v/>
      </c>
      <c r="M487" s="238" t="str">
        <f t="shared" si="135"/>
        <v/>
      </c>
      <c r="N487" s="238" t="str">
        <f t="shared" si="136"/>
        <v/>
      </c>
      <c r="O487" s="232" t="str">
        <f t="shared" si="146"/>
        <v/>
      </c>
      <c r="P487" s="219" t="str">
        <f t="shared" si="138"/>
        <v/>
      </c>
      <c r="Q487" s="219" t="str">
        <f t="shared" si="139"/>
        <v/>
      </c>
      <c r="R487" s="219" t="str">
        <f t="shared" si="140"/>
        <v/>
      </c>
      <c r="S487" s="331" t="str">
        <f t="shared" si="141"/>
        <v/>
      </c>
      <c r="T487" s="331" t="str">
        <f t="shared" si="142"/>
        <v/>
      </c>
      <c r="U487" s="331" t="str">
        <f t="shared" si="143"/>
        <v/>
      </c>
    </row>
    <row r="488" spans="1:21" ht="15.95" customHeight="1">
      <c r="A488" s="211">
        <f>IF(COUNTBLANK('RNEW import'!B486)=1,"",'RNEW import'!B486)</f>
        <v>17</v>
      </c>
      <c r="B488" s="211" t="str">
        <f>IF(COUNTBLANK('RNEW import'!D486)=1,"",'RNEW import'!D486)</f>
        <v>Constanta Shopping City SRL</v>
      </c>
      <c r="C488" s="211" t="str">
        <f>IF(COUNTBLANK('RNEW import'!E486)=1,"",'RNEW import'!E486)</f>
        <v>RCSC</v>
      </c>
      <c r="D488" s="211" t="str">
        <f>IF(COUNTBLANK('RNEW import'!K486)=1,"",'RNEW import'!K486)</f>
        <v>Tarif distributie SDI MT_</v>
      </c>
      <c r="E488" s="211">
        <f>IF(COUNTBLANK('RNEW import'!L486)=1,"",'RNEW import'!N486)</f>
        <v>0</v>
      </c>
      <c r="F488" s="211">
        <f>IF(COUNTBLANK('RNEW import'!M486)=1,"",'RNEW import'!O486/10000)</f>
        <v>1.3800000000000003E-2</v>
      </c>
      <c r="G488" s="217">
        <f t="shared" si="144"/>
        <v>0</v>
      </c>
      <c r="H488" s="217">
        <f t="shared" si="137"/>
        <v>0</v>
      </c>
      <c r="I488" s="329">
        <f t="shared" si="145"/>
        <v>0</v>
      </c>
      <c r="J488" s="237" t="str">
        <f t="shared" si="132"/>
        <v/>
      </c>
      <c r="K488" s="238" t="str">
        <f t="shared" si="133"/>
        <v/>
      </c>
      <c r="L488" s="238" t="str">
        <f t="shared" si="134"/>
        <v/>
      </c>
      <c r="M488" s="238" t="str">
        <f t="shared" si="135"/>
        <v/>
      </c>
      <c r="N488" s="238" t="str">
        <f t="shared" si="136"/>
        <v/>
      </c>
      <c r="O488" s="232" t="str">
        <f t="shared" si="146"/>
        <v/>
      </c>
      <c r="P488" s="219" t="str">
        <f t="shared" si="138"/>
        <v/>
      </c>
      <c r="Q488" s="219" t="str">
        <f t="shared" si="139"/>
        <v/>
      </c>
      <c r="R488" s="219" t="str">
        <f t="shared" si="140"/>
        <v/>
      </c>
      <c r="S488" s="331" t="str">
        <f t="shared" si="141"/>
        <v/>
      </c>
      <c r="T488" s="331" t="str">
        <f t="shared" si="142"/>
        <v/>
      </c>
      <c r="U488" s="331" t="str">
        <f t="shared" si="143"/>
        <v/>
      </c>
    </row>
    <row r="489" spans="1:21" ht="15.95" customHeight="1">
      <c r="A489" s="211">
        <f>IF(COUNTBLANK('RNEW import'!B487)=1,"",'RNEW import'!B487)</f>
        <v>18</v>
      </c>
      <c r="B489" s="211" t="str">
        <f>IF(COUNTBLANK('RNEW import'!D487)=1,"",'RNEW import'!D487)</f>
        <v>Constanta Shopping City SRL</v>
      </c>
      <c r="C489" s="211" t="str">
        <f>IF(COUNTBLANK('RNEW import'!E487)=1,"",'RNEW import'!E487)</f>
        <v>RCSC</v>
      </c>
      <c r="D489" s="211" t="str">
        <f>IF(COUNTBLANK('RNEW import'!K487)=1,"",'RNEW import'!K487)</f>
        <v>Tarif distributie SDI JT_</v>
      </c>
      <c r="E489" s="211">
        <f>IF(COUNTBLANK('RNEW import'!L487)=1,"",'RNEW import'!N487)</f>
        <v>0</v>
      </c>
      <c r="F489" s="211">
        <f>IF(COUNTBLANK('RNEW import'!M487)=1,"",'RNEW import'!O487/10000)</f>
        <v>9.8699999999999996E-2</v>
      </c>
      <c r="G489" s="217">
        <f t="shared" si="144"/>
        <v>0</v>
      </c>
      <c r="H489" s="217">
        <f t="shared" si="137"/>
        <v>0</v>
      </c>
      <c r="I489" s="329">
        <f t="shared" si="145"/>
        <v>0</v>
      </c>
      <c r="J489" s="237" t="str">
        <f t="shared" si="132"/>
        <v/>
      </c>
      <c r="K489" s="238" t="str">
        <f t="shared" si="133"/>
        <v/>
      </c>
      <c r="L489" s="238" t="str">
        <f t="shared" si="134"/>
        <v/>
      </c>
      <c r="M489" s="238" t="str">
        <f t="shared" si="135"/>
        <v/>
      </c>
      <c r="N489" s="238" t="str">
        <f t="shared" si="136"/>
        <v/>
      </c>
      <c r="O489" s="232" t="str">
        <f t="shared" si="146"/>
        <v/>
      </c>
      <c r="P489" s="219" t="str">
        <f t="shared" si="138"/>
        <v>Energie consumata din PV</v>
      </c>
      <c r="Q489" s="219">
        <f t="shared" si="139"/>
        <v>69144</v>
      </c>
      <c r="R489" s="219">
        <f t="shared" si="140"/>
        <v>0.91775799999999996</v>
      </c>
      <c r="S489" s="331">
        <f t="shared" si="141"/>
        <v>63457.43</v>
      </c>
      <c r="T489" s="331">
        <f t="shared" si="142"/>
        <v>12056.91</v>
      </c>
      <c r="U489" s="331">
        <f t="shared" si="143"/>
        <v>75514.34</v>
      </c>
    </row>
    <row r="490" spans="1:21" ht="15.95" customHeight="1">
      <c r="A490" s="211">
        <f>IF(COUNTBLANK('RNEW import'!B488)=1,"",'RNEW import'!B488)</f>
        <v>19</v>
      </c>
      <c r="B490" s="211" t="str">
        <f>IF(COUNTBLANK('RNEW import'!D488)=1,"",'RNEW import'!D488)</f>
        <v>Constanta Shopping City SRL</v>
      </c>
      <c r="C490" s="211" t="str">
        <f>IF(COUNTBLANK('RNEW import'!E488)=1,"",'RNEW import'!E488)</f>
        <v>RCSC</v>
      </c>
      <c r="D490" s="211" t="str">
        <f>IF(COUNTBLANK('RNEW import'!K488)=1,"",'RNEW import'!K488)</f>
        <v>Regularizare Energie activa 1</v>
      </c>
      <c r="E490" s="211">
        <f>IF(COUNTBLANK('RNEW import'!L488)=1,"",'RNEW import'!N488)</f>
        <v>0</v>
      </c>
      <c r="F490" s="211">
        <f>IF(COUNTBLANK('RNEW import'!M488)=1,"",'RNEW import'!O488/10000)</f>
        <v>0.59499999999999997</v>
      </c>
      <c r="G490" s="217">
        <f t="shared" si="144"/>
        <v>0</v>
      </c>
      <c r="H490" s="217">
        <f t="shared" si="137"/>
        <v>0</v>
      </c>
      <c r="I490" s="329">
        <f t="shared" si="145"/>
        <v>0</v>
      </c>
      <c r="J490" s="237" t="str">
        <f t="shared" si="132"/>
        <v/>
      </c>
      <c r="K490" s="238" t="str">
        <f t="shared" si="133"/>
        <v/>
      </c>
      <c r="L490" s="238" t="str">
        <f t="shared" si="134"/>
        <v/>
      </c>
      <c r="M490" s="238" t="str">
        <f t="shared" si="135"/>
        <v/>
      </c>
      <c r="N490" s="238" t="str">
        <f t="shared" si="136"/>
        <v/>
      </c>
      <c r="O490" s="232" t="str">
        <f t="shared" si="146"/>
        <v/>
      </c>
      <c r="P490" s="219" t="str">
        <f t="shared" si="138"/>
        <v>Energie activa regularizare</v>
      </c>
      <c r="Q490" s="219">
        <f t="shared" si="139"/>
        <v>0</v>
      </c>
      <c r="R490" s="219">
        <f t="shared" si="140"/>
        <v>0</v>
      </c>
      <c r="S490" s="331">
        <f t="shared" si="141"/>
        <v>0</v>
      </c>
      <c r="T490" s="331">
        <f t="shared" si="142"/>
        <v>0</v>
      </c>
      <c r="U490" s="331">
        <f t="shared" si="143"/>
        <v>0</v>
      </c>
    </row>
    <row r="491" spans="1:21" ht="15.95" customHeight="1">
      <c r="A491" s="211">
        <f>IF(COUNTBLANK('RNEW import'!B489)=1,"",'RNEW import'!B489)</f>
        <v>20</v>
      </c>
      <c r="B491" s="211" t="str">
        <f>IF(COUNTBLANK('RNEW import'!D489)=1,"",'RNEW import'!D489)</f>
        <v>Constanta Shopping City SRL</v>
      </c>
      <c r="C491" s="211" t="str">
        <f>IF(COUNTBLANK('RNEW import'!E489)=1,"",'RNEW import'!E489)</f>
        <v>RCSC</v>
      </c>
      <c r="D491" s="211" t="str">
        <f>IF(COUNTBLANK('RNEW import'!K489)=1,"",'RNEW import'!K489)</f>
        <v>Regularizare Energie reactiva  1X</v>
      </c>
      <c r="E491" s="211">
        <f>IF(COUNTBLANK('RNEW import'!L489)=1,"",'RNEW import'!N489)</f>
        <v>29</v>
      </c>
      <c r="F491" s="211">
        <f>IF(COUNTBLANK('RNEW import'!M489)=1,"",'RNEW import'!O489/10000)</f>
        <v>0.14660000000000001</v>
      </c>
      <c r="G491" s="217">
        <f t="shared" si="144"/>
        <v>4.25</v>
      </c>
      <c r="H491" s="217">
        <f t="shared" si="137"/>
        <v>0.81</v>
      </c>
      <c r="I491" s="329">
        <f t="shared" si="145"/>
        <v>5.0600000000000005</v>
      </c>
      <c r="J491" s="237" t="str">
        <f t="shared" si="132"/>
        <v/>
      </c>
      <c r="K491" s="238" t="str">
        <f t="shared" si="133"/>
        <v/>
      </c>
      <c r="L491" s="238" t="str">
        <f t="shared" si="134"/>
        <v/>
      </c>
      <c r="M491" s="238" t="str">
        <f t="shared" si="135"/>
        <v/>
      </c>
      <c r="N491" s="238" t="str">
        <f t="shared" si="136"/>
        <v/>
      </c>
      <c r="O491" s="232" t="str">
        <f t="shared" si="146"/>
        <v/>
      </c>
      <c r="P491" s="219" t="str">
        <f t="shared" si="138"/>
        <v>Energie reactiva 1x regularizare</v>
      </c>
      <c r="Q491" s="219">
        <f t="shared" si="139"/>
        <v>29</v>
      </c>
      <c r="R491" s="219">
        <f t="shared" si="140"/>
        <v>0.14660000000000001</v>
      </c>
      <c r="S491" s="331">
        <f t="shared" si="141"/>
        <v>4.25</v>
      </c>
      <c r="T491" s="331">
        <f t="shared" si="142"/>
        <v>0.81</v>
      </c>
      <c r="U491" s="331">
        <f t="shared" si="143"/>
        <v>5.0599999999999996</v>
      </c>
    </row>
    <row r="492" spans="1:21" ht="15.95" customHeight="1">
      <c r="A492" s="211">
        <f>IF(COUNTBLANK('RNEW import'!B490)=1,"",'RNEW import'!B490)</f>
        <v>21</v>
      </c>
      <c r="B492" s="211" t="str">
        <f>IF(COUNTBLANK('RNEW import'!D490)=1,"",'RNEW import'!D490)</f>
        <v>Constanta Shopping City SRL</v>
      </c>
      <c r="C492" s="211" t="str">
        <f>IF(COUNTBLANK('RNEW import'!E490)=1,"",'RNEW import'!E490)</f>
        <v>RCSC</v>
      </c>
      <c r="D492" s="211" t="str">
        <f>IF(COUNTBLANK('RNEW import'!K490)=1,"",'RNEW import'!K490)</f>
        <v>Regularizare Energie reactiva  3X</v>
      </c>
      <c r="E492" s="211">
        <f>IF(COUNTBLANK('RNEW import'!L490)=1,"",'RNEW import'!N490)</f>
        <v>0</v>
      </c>
      <c r="F492" s="211">
        <f>IF(COUNTBLANK('RNEW import'!M490)=1,"",'RNEW import'!O490/10000)</f>
        <v>0.43980000000000002</v>
      </c>
      <c r="G492" s="217">
        <f t="shared" si="144"/>
        <v>0</v>
      </c>
      <c r="H492" s="217">
        <f t="shared" si="137"/>
        <v>0</v>
      </c>
      <c r="I492" s="329">
        <f t="shared" si="145"/>
        <v>0</v>
      </c>
      <c r="J492" s="237" t="str">
        <f t="shared" si="132"/>
        <v/>
      </c>
      <c r="K492" s="238" t="str">
        <f t="shared" si="133"/>
        <v/>
      </c>
      <c r="L492" s="238" t="str">
        <f t="shared" si="134"/>
        <v/>
      </c>
      <c r="M492" s="238" t="str">
        <f t="shared" si="135"/>
        <v/>
      </c>
      <c r="N492" s="238" t="str">
        <f t="shared" si="136"/>
        <v/>
      </c>
      <c r="O492" s="232" t="str">
        <f t="shared" si="146"/>
        <v/>
      </c>
      <c r="P492" s="219" t="str">
        <f t="shared" si="138"/>
        <v>Energie reactiva 3x regularizare</v>
      </c>
      <c r="Q492" s="219">
        <f t="shared" si="139"/>
        <v>0</v>
      </c>
      <c r="R492" s="219">
        <f t="shared" si="140"/>
        <v>0.43980000000000002</v>
      </c>
      <c r="S492" s="331">
        <f t="shared" si="141"/>
        <v>0</v>
      </c>
      <c r="T492" s="331">
        <f t="shared" si="142"/>
        <v>0</v>
      </c>
      <c r="U492" s="331">
        <f t="shared" si="143"/>
        <v>0</v>
      </c>
    </row>
    <row r="493" spans="1:21" ht="15.95" customHeight="1">
      <c r="A493" s="211">
        <f>IF(COUNTBLANK('RNEW import'!B491)=1,"",'RNEW import'!B491)</f>
        <v>22</v>
      </c>
      <c r="B493" s="211" t="str">
        <f>IF(COUNTBLANK('RNEW import'!D491)=1,"",'RNEW import'!D491)</f>
        <v>Constanta Shopping City SRL</v>
      </c>
      <c r="C493" s="211" t="str">
        <f>IF(COUNTBLANK('RNEW import'!E491)=1,"",'RNEW import'!E491)</f>
        <v>RCSC</v>
      </c>
      <c r="D493" s="211" t="str">
        <f>IF(COUNTBLANK('RNEW import'!K491)=1,"",'RNEW import'!K491)</f>
        <v>Regularizare Tarife distributie en. El IT+MT</v>
      </c>
      <c r="E493" s="211">
        <f>IF(COUNTBLANK('RNEW import'!L491)=1,"",'RNEW import'!N491)</f>
        <v>0</v>
      </c>
      <c r="F493" s="211">
        <f>IF(COUNTBLANK('RNEW import'!M491)=1,"",'RNEW import'!O491/10000)</f>
        <v>8.6180000000000007E-2</v>
      </c>
      <c r="G493" s="217">
        <f t="shared" si="144"/>
        <v>0</v>
      </c>
      <c r="H493" s="217">
        <f t="shared" si="137"/>
        <v>0</v>
      </c>
      <c r="I493" s="329">
        <f t="shared" si="145"/>
        <v>0</v>
      </c>
      <c r="J493" s="237" t="str">
        <f t="shared" si="132"/>
        <v/>
      </c>
      <c r="K493" s="238" t="str">
        <f t="shared" si="133"/>
        <v/>
      </c>
      <c r="L493" s="238" t="str">
        <f t="shared" si="134"/>
        <v/>
      </c>
      <c r="M493" s="238" t="str">
        <f t="shared" si="135"/>
        <v/>
      </c>
      <c r="N493" s="238" t="str">
        <f t="shared" si="136"/>
        <v/>
      </c>
      <c r="O493" s="232" t="str">
        <f t="shared" si="146"/>
        <v/>
      </c>
      <c r="P493" s="219" t="str">
        <f t="shared" si="138"/>
        <v/>
      </c>
      <c r="Q493" s="219" t="str">
        <f t="shared" si="139"/>
        <v/>
      </c>
      <c r="R493" s="219" t="str">
        <f t="shared" si="140"/>
        <v/>
      </c>
      <c r="S493" s="331" t="str">
        <f t="shared" si="141"/>
        <v/>
      </c>
      <c r="T493" s="331" t="str">
        <f t="shared" si="142"/>
        <v/>
      </c>
      <c r="U493" s="331" t="str">
        <f t="shared" si="143"/>
        <v/>
      </c>
    </row>
    <row r="494" spans="1:21" ht="15.95" customHeight="1">
      <c r="A494" s="211">
        <f>IF(COUNTBLANK('RNEW import'!B492)=1,"",'RNEW import'!B492)</f>
        <v>23</v>
      </c>
      <c r="B494" s="211" t="str">
        <f>IF(COUNTBLANK('RNEW import'!D492)=1,"",'RNEW import'!D492)</f>
        <v>Constanta Shopping City SRL</v>
      </c>
      <c r="C494" s="211" t="str">
        <f>IF(COUNTBLANK('RNEW import'!E492)=1,"",'RNEW import'!E492)</f>
        <v>RCSC</v>
      </c>
      <c r="D494" s="211" t="str">
        <f>IF(COUNTBLANK('RNEW import'!K492)=1,"",'RNEW import'!K492)</f>
        <v>Regularizare Tarife distributie en. El JT</v>
      </c>
      <c r="E494" s="211">
        <f>IF(COUNTBLANK('RNEW import'!L492)=1,"",'RNEW import'!N492)</f>
        <v>0</v>
      </c>
      <c r="F494" s="211">
        <f>IF(COUNTBLANK('RNEW import'!M492)=1,"",'RNEW import'!O492/10000)</f>
        <v>0.2079</v>
      </c>
      <c r="G494" s="217">
        <f t="shared" si="144"/>
        <v>0</v>
      </c>
      <c r="H494" s="217">
        <f t="shared" si="137"/>
        <v>0</v>
      </c>
      <c r="I494" s="329">
        <f t="shared" si="145"/>
        <v>0</v>
      </c>
      <c r="J494" s="237" t="str">
        <f t="shared" si="132"/>
        <v/>
      </c>
      <c r="K494" s="238" t="str">
        <f t="shared" si="133"/>
        <v/>
      </c>
      <c r="L494" s="238" t="str">
        <f t="shared" si="134"/>
        <v/>
      </c>
      <c r="M494" s="238" t="str">
        <f t="shared" si="135"/>
        <v/>
      </c>
      <c r="N494" s="238" t="str">
        <f t="shared" si="136"/>
        <v/>
      </c>
      <c r="O494" s="232" t="str">
        <f t="shared" si="146"/>
        <v/>
      </c>
      <c r="P494" s="219" t="str">
        <f t="shared" si="138"/>
        <v/>
      </c>
      <c r="Q494" s="219" t="str">
        <f t="shared" si="139"/>
        <v/>
      </c>
      <c r="R494" s="219" t="str">
        <f t="shared" si="140"/>
        <v/>
      </c>
      <c r="S494" s="331" t="str">
        <f t="shared" si="141"/>
        <v/>
      </c>
      <c r="T494" s="331" t="str">
        <f t="shared" si="142"/>
        <v/>
      </c>
      <c r="U494" s="331" t="str">
        <f t="shared" si="143"/>
        <v/>
      </c>
    </row>
    <row r="495" spans="1:21" ht="15.95" customHeight="1">
      <c r="A495" s="211">
        <f>IF(COUNTBLANK('RNEW import'!B493)=1,"",'RNEW import'!B493)</f>
        <v>24</v>
      </c>
      <c r="B495" s="211" t="str">
        <f>IF(COUNTBLANK('RNEW import'!D493)=1,"",'RNEW import'!D493)</f>
        <v>Constanta Shopping City SRL</v>
      </c>
      <c r="C495" s="211" t="str">
        <f>IF(COUNTBLANK('RNEW import'!E493)=1,"",'RNEW import'!E493)</f>
        <v>RCSC</v>
      </c>
      <c r="D495" s="211" t="str">
        <f>IF(COUNTBLANK('RNEW import'!K493)=1,"",'RNEW import'!K493)</f>
        <v xml:space="preserve">Regularizare Servicii Sistem </v>
      </c>
      <c r="E495" s="211">
        <f>IF(COUNTBLANK('RNEW import'!L493)=1,"",'RNEW import'!N493)</f>
        <v>0</v>
      </c>
      <c r="F495" s="211">
        <f>IF(COUNTBLANK('RNEW import'!M493)=1,"",'RNEW import'!O493/10000)</f>
        <v>1.1509999999999999E-2</v>
      </c>
      <c r="G495" s="217">
        <f t="shared" si="144"/>
        <v>0</v>
      </c>
      <c r="H495" s="217">
        <f t="shared" si="137"/>
        <v>0</v>
      </c>
      <c r="I495" s="329">
        <f t="shared" si="145"/>
        <v>0</v>
      </c>
      <c r="J495" s="237" t="str">
        <f t="shared" si="132"/>
        <v/>
      </c>
      <c r="K495" s="238" t="str">
        <f t="shared" si="133"/>
        <v/>
      </c>
      <c r="L495" s="238" t="str">
        <f t="shared" si="134"/>
        <v/>
      </c>
      <c r="M495" s="238" t="str">
        <f t="shared" si="135"/>
        <v/>
      </c>
      <c r="N495" s="238" t="str">
        <f t="shared" si="136"/>
        <v/>
      </c>
      <c r="O495" s="232" t="str">
        <f t="shared" si="146"/>
        <v/>
      </c>
      <c r="P495" s="219" t="str">
        <f t="shared" si="138"/>
        <v/>
      </c>
      <c r="Q495" s="219" t="str">
        <f t="shared" si="139"/>
        <v/>
      </c>
      <c r="R495" s="219" t="str">
        <f t="shared" si="140"/>
        <v/>
      </c>
      <c r="S495" s="331" t="str">
        <f t="shared" si="141"/>
        <v/>
      </c>
      <c r="T495" s="331" t="str">
        <f t="shared" si="142"/>
        <v/>
      </c>
      <c r="U495" s="331" t="str">
        <f t="shared" si="143"/>
        <v/>
      </c>
    </row>
    <row r="496" spans="1:21" ht="15.95" customHeight="1">
      <c r="A496" s="211">
        <f>IF(COUNTBLANK('RNEW import'!B494)=1,"",'RNEW import'!B494)</f>
        <v>25</v>
      </c>
      <c r="B496" s="211" t="str">
        <f>IF(COUNTBLANK('RNEW import'!D494)=1,"",'RNEW import'!D494)</f>
        <v>Constanta Shopping City SRL</v>
      </c>
      <c r="C496" s="211" t="str">
        <f>IF(COUNTBLANK('RNEW import'!E494)=1,"",'RNEW import'!E494)</f>
        <v>RCSC</v>
      </c>
      <c r="D496" s="211" t="str">
        <f>IF(COUNTBLANK('RNEW import'!K494)=1,"",'RNEW import'!K494)</f>
        <v>Regularizare Tarif de introducere en. el in retea (TL)</v>
      </c>
      <c r="E496" s="211">
        <f>IF(COUNTBLANK('RNEW import'!L494)=1,"",'RNEW import'!N494)</f>
        <v>0</v>
      </c>
      <c r="F496" s="211">
        <f>IF(COUNTBLANK('RNEW import'!M494)=1,"",'RNEW import'!O494/10000)</f>
        <v>3.3030000000000004E-2</v>
      </c>
      <c r="G496" s="217">
        <f t="shared" si="144"/>
        <v>0</v>
      </c>
      <c r="H496" s="217">
        <f t="shared" si="137"/>
        <v>0</v>
      </c>
      <c r="I496" s="329">
        <f t="shared" si="145"/>
        <v>0</v>
      </c>
      <c r="J496" s="237" t="str">
        <f t="shared" si="132"/>
        <v/>
      </c>
      <c r="K496" s="238" t="str">
        <f t="shared" si="133"/>
        <v/>
      </c>
      <c r="L496" s="238" t="str">
        <f t="shared" si="134"/>
        <v/>
      </c>
      <c r="M496" s="238" t="str">
        <f t="shared" si="135"/>
        <v/>
      </c>
      <c r="N496" s="238" t="str">
        <f t="shared" si="136"/>
        <v/>
      </c>
      <c r="O496" s="232" t="str">
        <f t="shared" si="146"/>
        <v/>
      </c>
      <c r="P496" s="219" t="str">
        <f t="shared" si="138"/>
        <v/>
      </c>
      <c r="Q496" s="219" t="str">
        <f t="shared" si="139"/>
        <v/>
      </c>
      <c r="R496" s="219" t="str">
        <f t="shared" si="140"/>
        <v/>
      </c>
      <c r="S496" s="331" t="str">
        <f t="shared" si="141"/>
        <v/>
      </c>
      <c r="T496" s="331" t="str">
        <f t="shared" si="142"/>
        <v/>
      </c>
      <c r="U496" s="331" t="str">
        <f t="shared" si="143"/>
        <v/>
      </c>
    </row>
    <row r="497" spans="1:21" ht="15.95" customHeight="1">
      <c r="A497" s="211">
        <f>IF(COUNTBLANK('RNEW import'!B495)=1,"",'RNEW import'!B495)</f>
        <v>26</v>
      </c>
      <c r="B497" s="211" t="str">
        <f>IF(COUNTBLANK('RNEW import'!D495)=1,"",'RNEW import'!D495)</f>
        <v>Constanta Shopping City SRL</v>
      </c>
      <c r="C497" s="211" t="str">
        <f>IF(COUNTBLANK('RNEW import'!E495)=1,"",'RNEW import'!E495)</f>
        <v>RCSC</v>
      </c>
      <c r="D497" s="211" t="str">
        <f>IF(COUNTBLANK('RNEW import'!K495)=1,"",'RNEW import'!K495)</f>
        <v>Regularizare Tarif de introducere en.el in retea (TG)</v>
      </c>
      <c r="E497" s="211">
        <f>IF(COUNTBLANK('RNEW import'!L495)=1,"",'RNEW import'!N495)</f>
        <v>0</v>
      </c>
      <c r="F497" s="211">
        <f>IF(COUNTBLANK('RNEW import'!M495)=1,"",'RNEW import'!O495/10000)</f>
        <v>3.29E-3</v>
      </c>
      <c r="G497" s="217">
        <f t="shared" si="144"/>
        <v>0</v>
      </c>
      <c r="H497" s="217">
        <f t="shared" si="137"/>
        <v>0</v>
      </c>
      <c r="I497" s="329">
        <f t="shared" si="145"/>
        <v>0</v>
      </c>
      <c r="J497" s="237" t="str">
        <f t="shared" si="132"/>
        <v/>
      </c>
      <c r="K497" s="238" t="str">
        <f t="shared" si="133"/>
        <v/>
      </c>
      <c r="L497" s="238" t="str">
        <f t="shared" si="134"/>
        <v/>
      </c>
      <c r="M497" s="238" t="str">
        <f t="shared" si="135"/>
        <v/>
      </c>
      <c r="N497" s="238" t="str">
        <f t="shared" si="136"/>
        <v/>
      </c>
      <c r="O497" s="232" t="str">
        <f t="shared" si="146"/>
        <v/>
      </c>
      <c r="P497" s="219" t="str">
        <f t="shared" si="138"/>
        <v/>
      </c>
      <c r="Q497" s="219" t="str">
        <f t="shared" si="139"/>
        <v/>
      </c>
      <c r="R497" s="219" t="str">
        <f t="shared" si="140"/>
        <v/>
      </c>
      <c r="S497" s="331" t="str">
        <f t="shared" si="141"/>
        <v/>
      </c>
      <c r="T497" s="331" t="str">
        <f t="shared" si="142"/>
        <v/>
      </c>
      <c r="U497" s="331" t="str">
        <f t="shared" si="143"/>
        <v/>
      </c>
    </row>
    <row r="498" spans="1:21" ht="15.95" customHeight="1">
      <c r="A498" s="211">
        <f>IF(COUNTBLANK('RNEW import'!B496)=1,"",'RNEW import'!B496)</f>
        <v>27</v>
      </c>
      <c r="B498" s="211" t="str">
        <f>IF(COUNTBLANK('RNEW import'!D496)=1,"",'RNEW import'!D496)</f>
        <v>Constanta Shopping City SRL</v>
      </c>
      <c r="C498" s="211" t="str">
        <f>IF(COUNTBLANK('RNEW import'!E496)=1,"",'RNEW import'!E496)</f>
        <v>RCSC</v>
      </c>
      <c r="D498" s="211" t="str">
        <f>IF(COUNTBLANK('RNEW import'!K496)=1,"",'RNEW import'!K496)</f>
        <v>Regularizare Contributie pentru cogenerare</v>
      </c>
      <c r="E498" s="211">
        <f>IF(COUNTBLANK('RNEW import'!L496)=1,"",'RNEW import'!N496)</f>
        <v>0</v>
      </c>
      <c r="F498" s="211">
        <f>IF(COUNTBLANK('RNEW import'!M496)=1,"",'RNEW import'!O496/10000)</f>
        <v>3.5000000000000001E-3</v>
      </c>
      <c r="G498" s="217">
        <f t="shared" si="144"/>
        <v>0</v>
      </c>
      <c r="H498" s="217">
        <f t="shared" si="137"/>
        <v>0</v>
      </c>
      <c r="I498" s="329">
        <f t="shared" si="145"/>
        <v>0</v>
      </c>
      <c r="J498" s="237" t="str">
        <f t="shared" si="132"/>
        <v/>
      </c>
      <c r="K498" s="238" t="str">
        <f t="shared" si="133"/>
        <v/>
      </c>
      <c r="L498" s="238" t="str">
        <f t="shared" si="134"/>
        <v/>
      </c>
      <c r="M498" s="238" t="str">
        <f t="shared" si="135"/>
        <v/>
      </c>
      <c r="N498" s="238" t="str">
        <f t="shared" si="136"/>
        <v/>
      </c>
      <c r="O498" s="232" t="str">
        <f t="shared" si="146"/>
        <v/>
      </c>
      <c r="P498" s="219" t="str">
        <f t="shared" si="138"/>
        <v/>
      </c>
      <c r="Q498" s="219" t="str">
        <f t="shared" si="139"/>
        <v/>
      </c>
      <c r="R498" s="219" t="str">
        <f t="shared" si="140"/>
        <v/>
      </c>
      <c r="S498" s="331" t="str">
        <f t="shared" si="141"/>
        <v/>
      </c>
      <c r="T498" s="331" t="str">
        <f t="shared" si="142"/>
        <v/>
      </c>
      <c r="U498" s="331" t="str">
        <f t="shared" si="143"/>
        <v/>
      </c>
    </row>
    <row r="499" spans="1:21" ht="15.95" customHeight="1">
      <c r="A499" s="211">
        <f>IF(COUNTBLANK('RNEW import'!B497)=1,"",'RNEW import'!B497)</f>
        <v>28</v>
      </c>
      <c r="B499" s="211" t="str">
        <f>IF(COUNTBLANK('RNEW import'!D497)=1,"",'RNEW import'!D497)</f>
        <v>Constanta Shopping City SRL</v>
      </c>
      <c r="C499" s="211" t="str">
        <f>IF(COUNTBLANK('RNEW import'!E497)=1,"",'RNEW import'!E497)</f>
        <v>RCSC</v>
      </c>
      <c r="D499" s="211" t="str">
        <f>IF(COUNTBLANK('RNEW import'!K497)=1,"",'RNEW import'!K497)</f>
        <v xml:space="preserve">Regularizare Certificate verzi </v>
      </c>
      <c r="E499" s="211">
        <f>IF(COUNTBLANK('RNEW import'!L497)=1,"",'RNEW import'!N497)</f>
        <v>0</v>
      </c>
      <c r="F499" s="211">
        <f>IF(COUNTBLANK('RNEW import'!M497)=1,"",'RNEW import'!O497/10000)</f>
        <v>7.2541599999999998E-2</v>
      </c>
      <c r="G499" s="217">
        <f t="shared" si="144"/>
        <v>0</v>
      </c>
      <c r="H499" s="217">
        <f t="shared" si="137"/>
        <v>0</v>
      </c>
      <c r="I499" s="329">
        <f t="shared" si="145"/>
        <v>0</v>
      </c>
      <c r="J499" s="237" t="str">
        <f t="shared" si="132"/>
        <v/>
      </c>
      <c r="K499" s="238" t="str">
        <f t="shared" si="133"/>
        <v/>
      </c>
      <c r="L499" s="238" t="str">
        <f t="shared" si="134"/>
        <v/>
      </c>
      <c r="M499" s="238" t="str">
        <f t="shared" si="135"/>
        <v/>
      </c>
      <c r="N499" s="238" t="str">
        <f t="shared" si="136"/>
        <v/>
      </c>
      <c r="O499" s="232" t="str">
        <f t="shared" si="146"/>
        <v/>
      </c>
      <c r="P499" s="219" t="str">
        <f t="shared" si="138"/>
        <v/>
      </c>
      <c r="Q499" s="219" t="str">
        <f t="shared" si="139"/>
        <v/>
      </c>
      <c r="R499" s="219" t="str">
        <f t="shared" si="140"/>
        <v/>
      </c>
      <c r="S499" s="331" t="str">
        <f t="shared" si="141"/>
        <v/>
      </c>
      <c r="T499" s="331" t="str">
        <f t="shared" si="142"/>
        <v/>
      </c>
      <c r="U499" s="331" t="str">
        <f t="shared" si="143"/>
        <v/>
      </c>
    </row>
    <row r="500" spans="1:21" ht="15.95" customHeight="1">
      <c r="A500" s="211">
        <f>IF(COUNTBLANK('RNEW import'!B498)=1,"",'RNEW import'!B498)</f>
        <v>29</v>
      </c>
      <c r="B500" s="211" t="str">
        <f>IF(COUNTBLANK('RNEW import'!D498)=1,"",'RNEW import'!D498)</f>
        <v>Constanta Shopping City SRL</v>
      </c>
      <c r="C500" s="211" t="str">
        <f>IF(COUNTBLANK('RNEW import'!E498)=1,"",'RNEW import'!E498)</f>
        <v>RCSC</v>
      </c>
      <c r="D500" s="211" t="str">
        <f>IF(COUNTBLANK('RNEW import'!K498)=1,"",'RNEW import'!K498)</f>
        <v>Regularizare Contributie CFD</v>
      </c>
      <c r="E500" s="211">
        <f>IF(COUNTBLANK('RNEW import'!L498)=1,"",'RNEW import'!N498)</f>
        <v>0</v>
      </c>
      <c r="F500" s="211">
        <f>IF(COUNTBLANK('RNEW import'!M498)=1,"",'RNEW import'!O498/10000)</f>
        <v>2.0599999999999999E-4</v>
      </c>
      <c r="G500" s="217">
        <f t="shared" si="144"/>
        <v>0</v>
      </c>
      <c r="H500" s="217">
        <f t="shared" si="137"/>
        <v>0</v>
      </c>
      <c r="I500" s="329">
        <f t="shared" si="145"/>
        <v>0</v>
      </c>
      <c r="J500" s="237" t="str">
        <f t="shared" si="132"/>
        <v/>
      </c>
      <c r="K500" s="238" t="str">
        <f t="shared" si="133"/>
        <v/>
      </c>
      <c r="L500" s="238" t="str">
        <f t="shared" si="134"/>
        <v/>
      </c>
      <c r="M500" s="238" t="str">
        <f t="shared" si="135"/>
        <v/>
      </c>
      <c r="N500" s="238" t="str">
        <f t="shared" si="136"/>
        <v/>
      </c>
      <c r="O500" s="232" t="str">
        <f t="shared" si="146"/>
        <v/>
      </c>
      <c r="P500" s="219" t="str">
        <f t="shared" si="138"/>
        <v/>
      </c>
      <c r="Q500" s="219" t="str">
        <f t="shared" si="139"/>
        <v/>
      </c>
      <c r="R500" s="219" t="str">
        <f t="shared" si="140"/>
        <v/>
      </c>
      <c r="S500" s="331" t="str">
        <f t="shared" si="141"/>
        <v/>
      </c>
      <c r="T500" s="331" t="str">
        <f t="shared" si="142"/>
        <v/>
      </c>
      <c r="U500" s="331" t="str">
        <f t="shared" si="143"/>
        <v/>
      </c>
    </row>
    <row r="501" spans="1:21" ht="15.95" customHeight="1">
      <c r="A501" s="211">
        <f>IF(COUNTBLANK('RNEW import'!B499)=1,"",'RNEW import'!B499)</f>
        <v>30</v>
      </c>
      <c r="B501" s="211" t="str">
        <f>IF(COUNTBLANK('RNEW import'!D499)=1,"",'RNEW import'!D499)</f>
        <v>Constanta Shopping City SRL</v>
      </c>
      <c r="C501" s="211" t="str">
        <f>IF(COUNTBLANK('RNEW import'!E499)=1,"",'RNEW import'!E499)</f>
        <v>RCSC</v>
      </c>
      <c r="D501" s="211" t="str">
        <f>IF(COUNTBLANK('RNEW import'!K499)=1,"",'RNEW import'!K499)</f>
        <v>Regularizare Acciza</v>
      </c>
      <c r="E501" s="211">
        <f>IF(COUNTBLANK('RNEW import'!L499)=1,"",'RNEW import'!N499)</f>
        <v>0</v>
      </c>
      <c r="F501" s="211">
        <f>IF(COUNTBLANK('RNEW import'!M499)=1,"",'RNEW import'!O499/10000)</f>
        <v>0</v>
      </c>
      <c r="G501" s="217">
        <f t="shared" si="144"/>
        <v>0</v>
      </c>
      <c r="H501" s="217">
        <f t="shared" si="137"/>
        <v>0</v>
      </c>
      <c r="I501" s="329">
        <f t="shared" si="145"/>
        <v>0</v>
      </c>
      <c r="J501" s="237" t="str">
        <f t="shared" si="132"/>
        <v/>
      </c>
      <c r="K501" s="238" t="str">
        <f t="shared" si="133"/>
        <v/>
      </c>
      <c r="L501" s="238" t="str">
        <f t="shared" si="134"/>
        <v/>
      </c>
      <c r="M501" s="238" t="str">
        <f t="shared" si="135"/>
        <v/>
      </c>
      <c r="N501" s="238" t="str">
        <f t="shared" si="136"/>
        <v/>
      </c>
      <c r="O501" s="232" t="str">
        <f t="shared" si="146"/>
        <v/>
      </c>
      <c r="P501" s="219" t="str">
        <f t="shared" si="138"/>
        <v/>
      </c>
      <c r="Q501" s="219" t="str">
        <f t="shared" si="139"/>
        <v/>
      </c>
      <c r="R501" s="219" t="str">
        <f t="shared" si="140"/>
        <v/>
      </c>
      <c r="S501" s="331" t="str">
        <f t="shared" si="141"/>
        <v/>
      </c>
      <c r="T501" s="331" t="str">
        <f t="shared" si="142"/>
        <v/>
      </c>
      <c r="U501" s="331" t="str">
        <f t="shared" si="143"/>
        <v/>
      </c>
    </row>
    <row r="502" spans="1:21" ht="15.95" customHeight="1">
      <c r="A502" s="211">
        <f>IF(COUNTBLANK('RNEW import'!B500)=1,"",'RNEW import'!B500)</f>
        <v>31</v>
      </c>
      <c r="B502" s="211" t="str">
        <f>IF(COUNTBLANK('RNEW import'!D500)=1,"",'RNEW import'!D500)</f>
        <v>Constanta Shopping City SRL</v>
      </c>
      <c r="C502" s="211" t="str">
        <f>IF(COUNTBLANK('RNEW import'!E500)=1,"",'RNEW import'!E500)</f>
        <v>RCSC</v>
      </c>
      <c r="D502" s="211" t="str">
        <f>IF(COUNTBLANK('RNEW import'!K500)=1,"",'RNEW import'!K500)</f>
        <v>Regularizare Tarif distributie SDI MT Ea1</v>
      </c>
      <c r="E502" s="211">
        <f>IF(COUNTBLANK('RNEW import'!L500)=1,"",'RNEW import'!N500)</f>
        <v>0</v>
      </c>
      <c r="F502" s="211">
        <f>IF(COUNTBLANK('RNEW import'!M500)=1,"",'RNEW import'!O500/10000)</f>
        <v>1.3800000000000003E-2</v>
      </c>
      <c r="G502" s="217">
        <f t="shared" si="144"/>
        <v>0</v>
      </c>
      <c r="H502" s="217">
        <f t="shared" si="137"/>
        <v>0</v>
      </c>
      <c r="I502" s="329">
        <f t="shared" si="145"/>
        <v>0</v>
      </c>
      <c r="J502" s="237" t="str">
        <f t="shared" si="132"/>
        <v/>
      </c>
      <c r="K502" s="238" t="str">
        <f t="shared" si="133"/>
        <v/>
      </c>
      <c r="L502" s="238" t="str">
        <f t="shared" si="134"/>
        <v/>
      </c>
      <c r="M502" s="238" t="str">
        <f t="shared" si="135"/>
        <v/>
      </c>
      <c r="N502" s="238" t="str">
        <f t="shared" si="136"/>
        <v/>
      </c>
      <c r="O502" s="232" t="str">
        <f t="shared" si="146"/>
        <v/>
      </c>
      <c r="P502" s="219" t="str">
        <f t="shared" si="138"/>
        <v/>
      </c>
      <c r="Q502" s="219" t="str">
        <f t="shared" si="139"/>
        <v/>
      </c>
      <c r="R502" s="219" t="str">
        <f t="shared" si="140"/>
        <v/>
      </c>
      <c r="S502" s="331" t="str">
        <f t="shared" si="141"/>
        <v/>
      </c>
      <c r="T502" s="331" t="str">
        <f t="shared" si="142"/>
        <v/>
      </c>
      <c r="U502" s="331" t="str">
        <f t="shared" si="143"/>
        <v/>
      </c>
    </row>
    <row r="503" spans="1:21" ht="15.95" customHeight="1">
      <c r="A503" s="211">
        <f>IF(COUNTBLANK('RNEW import'!B501)=1,"",'RNEW import'!B501)</f>
        <v>32</v>
      </c>
      <c r="B503" s="211" t="str">
        <f>IF(COUNTBLANK('RNEW import'!D501)=1,"",'RNEW import'!D501)</f>
        <v>Constanta Shopping City SRL</v>
      </c>
      <c r="C503" s="211" t="str">
        <f>IF(COUNTBLANK('RNEW import'!E501)=1,"",'RNEW import'!E501)</f>
        <v>RCSC</v>
      </c>
      <c r="D503" s="211" t="str">
        <f>IF(COUNTBLANK('RNEW import'!K501)=1,"",'RNEW import'!K501)</f>
        <v>Regularizare Tarif distributie SDI JT Ea1</v>
      </c>
      <c r="E503" s="211">
        <f>IF(COUNTBLANK('RNEW import'!L501)=1,"",'RNEW import'!N501)</f>
        <v>0</v>
      </c>
      <c r="F503" s="211">
        <f>IF(COUNTBLANK('RNEW import'!M501)=1,"",'RNEW import'!O501/10000)</f>
        <v>9.8699999999999996E-2</v>
      </c>
      <c r="G503" s="217">
        <f t="shared" si="144"/>
        <v>0</v>
      </c>
      <c r="H503" s="217">
        <f t="shared" si="137"/>
        <v>0</v>
      </c>
      <c r="I503" s="329">
        <f t="shared" si="145"/>
        <v>0</v>
      </c>
      <c r="J503" s="237" t="str">
        <f t="shared" si="132"/>
        <v/>
      </c>
      <c r="K503" s="238" t="str">
        <f t="shared" si="133"/>
        <v/>
      </c>
      <c r="L503" s="238" t="str">
        <f t="shared" si="134"/>
        <v/>
      </c>
      <c r="M503" s="238" t="str">
        <f t="shared" si="135"/>
        <v/>
      </c>
      <c r="N503" s="238" t="str">
        <f t="shared" si="136"/>
        <v/>
      </c>
      <c r="O503" s="232" t="str">
        <f t="shared" si="146"/>
        <v/>
      </c>
      <c r="P503" s="219" t="str">
        <f t="shared" si="138"/>
        <v/>
      </c>
      <c r="Q503" s="219" t="str">
        <f t="shared" si="139"/>
        <v/>
      </c>
      <c r="R503" s="219" t="str">
        <f t="shared" si="140"/>
        <v/>
      </c>
      <c r="S503" s="331" t="str">
        <f t="shared" si="141"/>
        <v/>
      </c>
      <c r="T503" s="331" t="str">
        <f t="shared" si="142"/>
        <v/>
      </c>
      <c r="U503" s="331" t="str">
        <f t="shared" si="143"/>
        <v/>
      </c>
    </row>
    <row r="504" spans="1:21" ht="15.95" customHeight="1">
      <c r="A504" s="211">
        <f>IF(COUNTBLANK('RNEW import'!B502)=1,"",'RNEW import'!B502)</f>
        <v>33</v>
      </c>
      <c r="B504" s="211" t="str">
        <f>IF(COUNTBLANK('RNEW import'!D502)=1,"",'RNEW import'!D502)</f>
        <v>Constanta Shopping City SRL</v>
      </c>
      <c r="C504" s="211" t="str">
        <f>IF(COUNTBLANK('RNEW import'!E502)=1,"",'RNEW import'!E502)</f>
        <v>RCSC</v>
      </c>
      <c r="D504" s="211" t="str">
        <f>IF(COUNTBLANK('RNEW import'!K502)=1,"",'RNEW import'!K502)</f>
        <v>Regularizare Energie activa 2</v>
      </c>
      <c r="E504" s="211">
        <f>IF(COUNTBLANK('RNEW import'!L502)=1,"",'RNEW import'!N502)</f>
        <v>0</v>
      </c>
      <c r="F504" s="211">
        <f>IF(COUNTBLANK('RNEW import'!M502)=1,"",'RNEW import'!O502/10000)</f>
        <v>0.91775760000000006</v>
      </c>
      <c r="G504" s="217">
        <f t="shared" si="144"/>
        <v>0</v>
      </c>
      <c r="H504" s="217">
        <f t="shared" si="137"/>
        <v>0</v>
      </c>
      <c r="I504" s="329">
        <f t="shared" si="145"/>
        <v>0</v>
      </c>
      <c r="J504" s="237" t="str">
        <f t="shared" si="132"/>
        <v/>
      </c>
      <c r="K504" s="238" t="str">
        <f t="shared" si="133"/>
        <v/>
      </c>
      <c r="L504" s="238" t="str">
        <f t="shared" si="134"/>
        <v/>
      </c>
      <c r="M504" s="238" t="str">
        <f t="shared" si="135"/>
        <v/>
      </c>
      <c r="N504" s="238" t="str">
        <f t="shared" si="136"/>
        <v/>
      </c>
      <c r="O504" s="232" t="str">
        <f t="shared" si="146"/>
        <v/>
      </c>
      <c r="P504" s="219" t="str">
        <f t="shared" si="138"/>
        <v/>
      </c>
      <c r="Q504" s="219" t="str">
        <f t="shared" si="139"/>
        <v/>
      </c>
      <c r="R504" s="219" t="str">
        <f t="shared" si="140"/>
        <v/>
      </c>
      <c r="S504" s="331" t="str">
        <f t="shared" si="141"/>
        <v/>
      </c>
      <c r="T504" s="331" t="str">
        <f t="shared" si="142"/>
        <v/>
      </c>
      <c r="U504" s="331" t="str">
        <f t="shared" si="143"/>
        <v/>
      </c>
    </row>
    <row r="505" spans="1:21" ht="15.95" customHeight="1">
      <c r="A505" s="211">
        <f>IF(COUNTBLANK('RNEW import'!B503)=1,"",'RNEW import'!B503)</f>
        <v>34</v>
      </c>
      <c r="B505" s="211" t="str">
        <f>IF(COUNTBLANK('RNEW import'!D503)=1,"",'RNEW import'!D503)</f>
        <v>Constanta Shopping City SRL</v>
      </c>
      <c r="C505" s="211" t="str">
        <f>IF(COUNTBLANK('RNEW import'!E503)=1,"",'RNEW import'!E503)</f>
        <v>RCSC</v>
      </c>
      <c r="D505" s="211" t="str">
        <f>IF(COUNTBLANK('RNEW import'!K503)=1,"",'RNEW import'!K503)</f>
        <v>Regularizare Energie activa 3</v>
      </c>
      <c r="E505" s="211">
        <f>IF(COUNTBLANK('RNEW import'!L503)=1,"",'RNEW import'!N503)</f>
        <v>0</v>
      </c>
      <c r="F505" s="211">
        <f>IF(COUNTBLANK('RNEW import'!M503)=1,"",'RNEW import'!O503/10000)</f>
        <v>0.80525760000000002</v>
      </c>
      <c r="G505" s="217">
        <f t="shared" si="144"/>
        <v>0</v>
      </c>
      <c r="H505" s="217">
        <f t="shared" si="137"/>
        <v>0</v>
      </c>
      <c r="I505" s="329">
        <f t="shared" si="145"/>
        <v>0</v>
      </c>
      <c r="J505" s="237" t="str">
        <f t="shared" si="132"/>
        <v/>
      </c>
      <c r="K505" s="238" t="str">
        <f t="shared" si="133"/>
        <v/>
      </c>
      <c r="L505" s="238" t="str">
        <f t="shared" si="134"/>
        <v/>
      </c>
      <c r="M505" s="238" t="str">
        <f t="shared" si="135"/>
        <v/>
      </c>
      <c r="N505" s="238" t="str">
        <f t="shared" si="136"/>
        <v/>
      </c>
      <c r="O505" s="232" t="str">
        <f t="shared" si="146"/>
        <v/>
      </c>
      <c r="P505" s="219" t="str">
        <f t="shared" si="138"/>
        <v/>
      </c>
      <c r="Q505" s="219" t="str">
        <f t="shared" si="139"/>
        <v/>
      </c>
      <c r="R505" s="219" t="str">
        <f t="shared" si="140"/>
        <v/>
      </c>
      <c r="S505" s="331" t="str">
        <f t="shared" si="141"/>
        <v/>
      </c>
      <c r="T505" s="331" t="str">
        <f t="shared" si="142"/>
        <v/>
      </c>
      <c r="U505" s="331" t="str">
        <f t="shared" si="143"/>
        <v/>
      </c>
    </row>
    <row r="506" spans="1:21" ht="15.95" customHeight="1">
      <c r="A506" s="211">
        <f>IF(COUNTBLANK('RNEW import'!B504)=1,"",'RNEW import'!B504)</f>
        <v>35</v>
      </c>
      <c r="B506" s="211" t="str">
        <f>IF(COUNTBLANK('RNEW import'!D504)=1,"",'RNEW import'!D504)</f>
        <v>Constanta Shopping City SRL</v>
      </c>
      <c r="C506" s="211" t="str">
        <f>IF(COUNTBLANK('RNEW import'!E504)=1,"",'RNEW import'!E504)</f>
        <v>RCSC</v>
      </c>
      <c r="D506" s="211" t="str">
        <f>IF(COUNTBLANK('RNEW import'!K504)=1,"",'RNEW import'!K504)</f>
        <v>Regularizare Tarif distributie SDI MT Ea3</v>
      </c>
      <c r="E506" s="211">
        <f>IF(COUNTBLANK('RNEW import'!L504)=1,"",'RNEW import'!N504)</f>
        <v>0</v>
      </c>
      <c r="F506" s="211">
        <f>IF(COUNTBLANK('RNEW import'!M504)=1,"",'RNEW import'!O504/10000)</f>
        <v>1.3800000000000003E-2</v>
      </c>
      <c r="G506" s="217">
        <f t="shared" si="144"/>
        <v>0</v>
      </c>
      <c r="H506" s="217">
        <f t="shared" si="137"/>
        <v>0</v>
      </c>
      <c r="I506" s="329">
        <f t="shared" si="145"/>
        <v>0</v>
      </c>
      <c r="J506" s="237" t="str">
        <f t="shared" si="132"/>
        <v/>
      </c>
      <c r="K506" s="238" t="str">
        <f t="shared" si="133"/>
        <v/>
      </c>
      <c r="L506" s="238" t="str">
        <f t="shared" si="134"/>
        <v/>
      </c>
      <c r="M506" s="238" t="str">
        <f t="shared" si="135"/>
        <v/>
      </c>
      <c r="N506" s="238" t="str">
        <f t="shared" si="136"/>
        <v/>
      </c>
      <c r="O506" s="232" t="str">
        <f t="shared" si="146"/>
        <v/>
      </c>
      <c r="P506" s="219" t="str">
        <f t="shared" si="138"/>
        <v/>
      </c>
      <c r="Q506" s="219" t="str">
        <f t="shared" si="139"/>
        <v/>
      </c>
      <c r="R506" s="219" t="str">
        <f t="shared" si="140"/>
        <v/>
      </c>
      <c r="S506" s="331" t="str">
        <f t="shared" si="141"/>
        <v/>
      </c>
      <c r="T506" s="331" t="str">
        <f t="shared" si="142"/>
        <v/>
      </c>
      <c r="U506" s="331" t="str">
        <f t="shared" si="143"/>
        <v/>
      </c>
    </row>
    <row r="507" spans="1:21" ht="15.95" customHeight="1">
      <c r="A507" s="211">
        <f>IF(COUNTBLANK('RNEW import'!B505)=1,"",'RNEW import'!B505)</f>
        <v>36</v>
      </c>
      <c r="B507" s="211" t="str">
        <f>IF(COUNTBLANK('RNEW import'!D505)=1,"",'RNEW import'!D505)</f>
        <v>Constanta Shopping City SRL</v>
      </c>
      <c r="C507" s="211" t="str">
        <f>IF(COUNTBLANK('RNEW import'!E505)=1,"",'RNEW import'!E505)</f>
        <v>RCSC</v>
      </c>
      <c r="D507" s="211" t="str">
        <f>IF(COUNTBLANK('RNEW import'!K505)=1,"",'RNEW import'!K505)</f>
        <v>Regularizare Tarif distributie SDI JT Ea3</v>
      </c>
      <c r="E507" s="211">
        <f>IF(COUNTBLANK('RNEW import'!L505)=1,"",'RNEW import'!N505)</f>
        <v>0</v>
      </c>
      <c r="F507" s="211">
        <f>IF(COUNTBLANK('RNEW import'!M505)=1,"",'RNEW import'!O505/10000)</f>
        <v>9.8699999999999996E-2</v>
      </c>
      <c r="G507" s="217">
        <f t="shared" si="144"/>
        <v>0</v>
      </c>
      <c r="H507" s="217">
        <f t="shared" si="137"/>
        <v>0</v>
      </c>
      <c r="I507" s="329">
        <f t="shared" si="145"/>
        <v>0</v>
      </c>
      <c r="J507" s="237" t="str">
        <f t="shared" si="132"/>
        <v/>
      </c>
      <c r="K507" s="238" t="str">
        <f t="shared" si="133"/>
        <v/>
      </c>
      <c r="L507" s="238" t="str">
        <f t="shared" si="134"/>
        <v/>
      </c>
      <c r="M507" s="238" t="str">
        <f t="shared" si="135"/>
        <v/>
      </c>
      <c r="N507" s="238" t="str">
        <f t="shared" si="136"/>
        <v/>
      </c>
      <c r="O507" s="232" t="str">
        <f t="shared" si="146"/>
        <v/>
      </c>
      <c r="P507" s="219" t="str">
        <f t="shared" si="138"/>
        <v>Energie consumata din PV regularizare</v>
      </c>
      <c r="Q507" s="219">
        <f t="shared" si="139"/>
        <v>0</v>
      </c>
      <c r="R507" s="219">
        <f t="shared" si="140"/>
        <v>0</v>
      </c>
      <c r="S507" s="331">
        <f t="shared" si="141"/>
        <v>0</v>
      </c>
      <c r="T507" s="331">
        <f t="shared" si="142"/>
        <v>0</v>
      </c>
      <c r="U507" s="331">
        <f t="shared" si="143"/>
        <v>0</v>
      </c>
    </row>
    <row r="508" spans="1:21" ht="15.95" customHeight="1">
      <c r="A508" s="211">
        <f>IF(COUNTBLANK('RNEW import'!B506)=1,"",'RNEW import'!B506)</f>
        <v>1</v>
      </c>
      <c r="B508" s="211" t="str">
        <f>IF(COUNTBLANK('RNEW import'!D506)=1,"",'RNEW import'!D506)</f>
        <v>Aurora Mall Buzau SRL</v>
      </c>
      <c r="C508" s="211" t="str">
        <f>IF(COUNTBLANK('RNEW import'!E506)=1,"",'RNEW import'!E506)</f>
        <v>RAMB</v>
      </c>
      <c r="D508" s="211" t="str">
        <f>IF(COUNTBLANK('RNEW import'!K506)=1,"",'RNEW import'!K506)</f>
        <v>Energie activa 1</v>
      </c>
      <c r="E508" s="211">
        <f>IF(COUNTBLANK('RNEW import'!L506)=1,"",'RNEW import'!N506)</f>
        <v>326783</v>
      </c>
      <c r="F508" s="211">
        <f>IF(COUNTBLANK('RNEW import'!M506)=1,"",'RNEW import'!O506/10000)</f>
        <v>0.59499999999999997</v>
      </c>
      <c r="G508" s="217">
        <f t="shared" si="144"/>
        <v>194435.89</v>
      </c>
      <c r="H508" s="217">
        <f t="shared" si="137"/>
        <v>36942.82</v>
      </c>
      <c r="I508" s="329">
        <f t="shared" si="145"/>
        <v>231378.71000000002</v>
      </c>
      <c r="J508" s="237" t="str">
        <f t="shared" si="132"/>
        <v>Aurora Mall Buzau SRL</v>
      </c>
      <c r="K508" s="238">
        <f t="shared" si="133"/>
        <v>45603.119999999995</v>
      </c>
      <c r="L508" s="238">
        <f t="shared" si="134"/>
        <v>272555.75999999995</v>
      </c>
      <c r="M508" s="238">
        <f t="shared" si="135"/>
        <v>135773.32999999999</v>
      </c>
      <c r="N508" s="238">
        <f t="shared" si="136"/>
        <v>340068</v>
      </c>
      <c r="O508" s="232" t="str">
        <f t="shared" si="146"/>
        <v>Aurora Mall Buzau SRL</v>
      </c>
      <c r="P508" s="219" t="str">
        <f t="shared" si="138"/>
        <v>Enegie activa</v>
      </c>
      <c r="Q508" s="219">
        <f t="shared" si="139"/>
        <v>326783</v>
      </c>
      <c r="R508" s="219">
        <f t="shared" si="140"/>
        <v>0.96800799999999998</v>
      </c>
      <c r="S508" s="331">
        <f t="shared" si="141"/>
        <v>316328.43</v>
      </c>
      <c r="T508" s="331">
        <f t="shared" si="142"/>
        <v>60102.39</v>
      </c>
      <c r="U508" s="331">
        <f t="shared" si="143"/>
        <v>376430.82</v>
      </c>
    </row>
    <row r="509" spans="1:21" ht="15.95" customHeight="1">
      <c r="A509" s="211">
        <f>IF(COUNTBLANK('RNEW import'!B507)=1,"",'RNEW import'!B507)</f>
        <v>2</v>
      </c>
      <c r="B509" s="211" t="str">
        <f>IF(COUNTBLANK('RNEW import'!D507)=1,"",'RNEW import'!D507)</f>
        <v>Aurora Mall Buzau SRL</v>
      </c>
      <c r="C509" s="211" t="str">
        <f>IF(COUNTBLANK('RNEW import'!E507)=1,"",'RNEW import'!E507)</f>
        <v>RAMB</v>
      </c>
      <c r="D509" s="211" t="str">
        <f>IF(COUNTBLANK('RNEW import'!K507)=1,"",'RNEW import'!K507)</f>
        <v>Energie reactiva  1X</v>
      </c>
      <c r="E509" s="211">
        <f>IF(COUNTBLANK('RNEW import'!L507)=1,"",'RNEW import'!N507)</f>
        <v>0</v>
      </c>
      <c r="F509" s="211">
        <f>IF(COUNTBLANK('RNEW import'!M507)=1,"",'RNEW import'!O507/10000)</f>
        <v>0.14649999999999999</v>
      </c>
      <c r="G509" s="217">
        <f t="shared" si="144"/>
        <v>0</v>
      </c>
      <c r="H509" s="217">
        <f t="shared" si="137"/>
        <v>0</v>
      </c>
      <c r="I509" s="329">
        <f t="shared" si="145"/>
        <v>0</v>
      </c>
      <c r="J509" s="237" t="str">
        <f t="shared" si="132"/>
        <v/>
      </c>
      <c r="K509" s="238" t="str">
        <f t="shared" si="133"/>
        <v/>
      </c>
      <c r="L509" s="238" t="str">
        <f t="shared" si="134"/>
        <v/>
      </c>
      <c r="M509" s="238" t="str">
        <f t="shared" si="135"/>
        <v/>
      </c>
      <c r="N509" s="238" t="str">
        <f t="shared" si="136"/>
        <v/>
      </c>
      <c r="O509" s="232" t="str">
        <f t="shared" si="146"/>
        <v/>
      </c>
      <c r="P509" s="219" t="str">
        <f t="shared" si="138"/>
        <v>Energie reactiva 1x</v>
      </c>
      <c r="Q509" s="219">
        <f t="shared" si="139"/>
        <v>0</v>
      </c>
      <c r="R509" s="219">
        <f t="shared" si="140"/>
        <v>0.14649999999999999</v>
      </c>
      <c r="S509" s="331">
        <f t="shared" si="141"/>
        <v>0</v>
      </c>
      <c r="T509" s="331">
        <f t="shared" si="142"/>
        <v>0</v>
      </c>
      <c r="U509" s="331">
        <f t="shared" si="143"/>
        <v>0</v>
      </c>
    </row>
    <row r="510" spans="1:21" ht="15.95" customHeight="1">
      <c r="A510" s="211">
        <f>IF(COUNTBLANK('RNEW import'!B508)=1,"",'RNEW import'!B508)</f>
        <v>3</v>
      </c>
      <c r="B510" s="211" t="str">
        <f>IF(COUNTBLANK('RNEW import'!D508)=1,"",'RNEW import'!D508)</f>
        <v>Aurora Mall Buzau SRL</v>
      </c>
      <c r="C510" s="211" t="str">
        <f>IF(COUNTBLANK('RNEW import'!E508)=1,"",'RNEW import'!E508)</f>
        <v>RAMB</v>
      </c>
      <c r="D510" s="211" t="str">
        <f>IF(COUNTBLANK('RNEW import'!K508)=1,"",'RNEW import'!K508)</f>
        <v>Energie reactiva  3X</v>
      </c>
      <c r="E510" s="211">
        <f>IF(COUNTBLANK('RNEW import'!L508)=1,"",'RNEW import'!N508)</f>
        <v>0</v>
      </c>
      <c r="F510" s="211">
        <f>IF(COUNTBLANK('RNEW import'!M508)=1,"",'RNEW import'!O508/10000)</f>
        <v>0.4395</v>
      </c>
      <c r="G510" s="217">
        <f t="shared" si="144"/>
        <v>0</v>
      </c>
      <c r="H510" s="217">
        <f t="shared" si="137"/>
        <v>0</v>
      </c>
      <c r="I510" s="329">
        <f t="shared" si="145"/>
        <v>0</v>
      </c>
      <c r="J510" s="237" t="str">
        <f t="shared" si="132"/>
        <v/>
      </c>
      <c r="K510" s="238" t="str">
        <f t="shared" si="133"/>
        <v/>
      </c>
      <c r="L510" s="238" t="str">
        <f t="shared" si="134"/>
        <v/>
      </c>
      <c r="M510" s="238" t="str">
        <f t="shared" si="135"/>
        <v/>
      </c>
      <c r="N510" s="238" t="str">
        <f t="shared" si="136"/>
        <v/>
      </c>
      <c r="O510" s="232" t="str">
        <f t="shared" si="146"/>
        <v/>
      </c>
      <c r="P510" s="219" t="str">
        <f t="shared" si="138"/>
        <v>Energie reactiva 3x</v>
      </c>
      <c r="Q510" s="219">
        <f t="shared" si="139"/>
        <v>0</v>
      </c>
      <c r="R510" s="219">
        <f t="shared" si="140"/>
        <v>0.4395</v>
      </c>
      <c r="S510" s="331">
        <f t="shared" si="141"/>
        <v>0</v>
      </c>
      <c r="T510" s="331">
        <f t="shared" si="142"/>
        <v>0</v>
      </c>
      <c r="U510" s="331">
        <f t="shared" si="143"/>
        <v>0</v>
      </c>
    </row>
    <row r="511" spans="1:21" ht="15.95" customHeight="1">
      <c r="A511" s="211">
        <f>IF(COUNTBLANK('RNEW import'!B509)=1,"",'RNEW import'!B509)</f>
        <v>4</v>
      </c>
      <c r="B511" s="211" t="str">
        <f>IF(COUNTBLANK('RNEW import'!D509)=1,"",'RNEW import'!D509)</f>
        <v>Aurora Mall Buzau SRL</v>
      </c>
      <c r="C511" s="211" t="str">
        <f>IF(COUNTBLANK('RNEW import'!E509)=1,"",'RNEW import'!E509)</f>
        <v>RAMB</v>
      </c>
      <c r="D511" s="211" t="str">
        <f>IF(COUNTBLANK('RNEW import'!K509)=1,"",'RNEW import'!K509)</f>
        <v>Tarife distributie en. El IT+MT</v>
      </c>
      <c r="E511" s="211">
        <f>IF(COUNTBLANK('RNEW import'!L509)=1,"",'RNEW import'!N509)</f>
        <v>326783</v>
      </c>
      <c r="F511" s="211">
        <f>IF(COUNTBLANK('RNEW import'!M509)=1,"",'RNEW import'!O509/10000)</f>
        <v>0.11483</v>
      </c>
      <c r="G511" s="217">
        <f t="shared" si="144"/>
        <v>37524.49</v>
      </c>
      <c r="H511" s="217">
        <f t="shared" si="137"/>
        <v>7129.65</v>
      </c>
      <c r="I511" s="329">
        <f t="shared" si="145"/>
        <v>44654.14</v>
      </c>
      <c r="J511" s="237" t="str">
        <f t="shared" si="132"/>
        <v/>
      </c>
      <c r="K511" s="238" t="str">
        <f t="shared" si="133"/>
        <v/>
      </c>
      <c r="L511" s="238" t="str">
        <f t="shared" si="134"/>
        <v/>
      </c>
      <c r="M511" s="238" t="str">
        <f t="shared" si="135"/>
        <v/>
      </c>
      <c r="N511" s="238" t="str">
        <f t="shared" si="136"/>
        <v/>
      </c>
      <c r="O511" s="232" t="str">
        <f t="shared" si="146"/>
        <v/>
      </c>
      <c r="P511" s="219" t="str">
        <f t="shared" si="138"/>
        <v/>
      </c>
      <c r="Q511" s="219" t="str">
        <f t="shared" si="139"/>
        <v/>
      </c>
      <c r="R511" s="219" t="str">
        <f t="shared" si="140"/>
        <v/>
      </c>
      <c r="S511" s="331" t="str">
        <f t="shared" si="141"/>
        <v/>
      </c>
      <c r="T511" s="331" t="str">
        <f t="shared" si="142"/>
        <v/>
      </c>
      <c r="U511" s="331" t="str">
        <f t="shared" si="143"/>
        <v/>
      </c>
    </row>
    <row r="512" spans="1:21" ht="15.95" customHeight="1">
      <c r="A512" s="211">
        <f>IF(COUNTBLANK('RNEW import'!B510)=1,"",'RNEW import'!B510)</f>
        <v>5</v>
      </c>
      <c r="B512" s="211" t="str">
        <f>IF(COUNTBLANK('RNEW import'!D510)=1,"",'RNEW import'!D510)</f>
        <v>Aurora Mall Buzau SRL</v>
      </c>
      <c r="C512" s="211" t="str">
        <f>IF(COUNTBLANK('RNEW import'!E510)=1,"",'RNEW import'!E510)</f>
        <v>RAMB</v>
      </c>
      <c r="D512" s="211" t="str">
        <f>IF(COUNTBLANK('RNEW import'!K510)=1,"",'RNEW import'!K510)</f>
        <v>Tarife distributie en. El JT</v>
      </c>
      <c r="E512" s="211">
        <f>IF(COUNTBLANK('RNEW import'!L510)=1,"",'RNEW import'!N510)</f>
        <v>0</v>
      </c>
      <c r="F512" s="211">
        <f>IF(COUNTBLANK('RNEW import'!M510)=1,"",'RNEW import'!O510/10000)</f>
        <v>0.2361</v>
      </c>
      <c r="G512" s="217">
        <f t="shared" si="144"/>
        <v>0</v>
      </c>
      <c r="H512" s="217">
        <f t="shared" si="137"/>
        <v>0</v>
      </c>
      <c r="I512" s="329">
        <f t="shared" si="145"/>
        <v>0</v>
      </c>
      <c r="J512" s="237" t="str">
        <f t="shared" si="132"/>
        <v/>
      </c>
      <c r="K512" s="238" t="str">
        <f t="shared" si="133"/>
        <v/>
      </c>
      <c r="L512" s="238" t="str">
        <f t="shared" si="134"/>
        <v/>
      </c>
      <c r="M512" s="238" t="str">
        <f t="shared" si="135"/>
        <v/>
      </c>
      <c r="N512" s="238" t="str">
        <f t="shared" si="136"/>
        <v/>
      </c>
      <c r="O512" s="232" t="str">
        <f t="shared" si="146"/>
        <v/>
      </c>
      <c r="P512" s="219" t="str">
        <f t="shared" si="138"/>
        <v/>
      </c>
      <c r="Q512" s="219" t="str">
        <f t="shared" si="139"/>
        <v/>
      </c>
      <c r="R512" s="219" t="str">
        <f t="shared" si="140"/>
        <v/>
      </c>
      <c r="S512" s="331" t="str">
        <f t="shared" si="141"/>
        <v/>
      </c>
      <c r="T512" s="331" t="str">
        <f t="shared" si="142"/>
        <v/>
      </c>
      <c r="U512" s="331" t="str">
        <f t="shared" si="143"/>
        <v/>
      </c>
    </row>
    <row r="513" spans="1:21" ht="15.95" customHeight="1">
      <c r="A513" s="211">
        <f>IF(COUNTBLANK('RNEW import'!B511)=1,"",'RNEW import'!B511)</f>
        <v>6</v>
      </c>
      <c r="B513" s="211" t="str">
        <f>IF(COUNTBLANK('RNEW import'!D511)=1,"",'RNEW import'!D511)</f>
        <v>Aurora Mall Buzau SRL</v>
      </c>
      <c r="C513" s="211" t="str">
        <f>IF(COUNTBLANK('RNEW import'!E511)=1,"",'RNEW import'!E511)</f>
        <v>RAMB</v>
      </c>
      <c r="D513" s="211" t="str">
        <f>IF(COUNTBLANK('RNEW import'!K511)=1,"",'RNEW import'!K511)</f>
        <v xml:space="preserve">Servicii Sistem </v>
      </c>
      <c r="E513" s="211">
        <f>IF(COUNTBLANK('RNEW import'!L511)=1,"",'RNEW import'!N511)</f>
        <v>326783</v>
      </c>
      <c r="F513" s="211">
        <f>IF(COUNTBLANK('RNEW import'!M511)=1,"",'RNEW import'!O511/10000)</f>
        <v>1.1509999999999999E-2</v>
      </c>
      <c r="G513" s="217">
        <f t="shared" si="144"/>
        <v>3761.27</v>
      </c>
      <c r="H513" s="217">
        <f t="shared" si="137"/>
        <v>714.64</v>
      </c>
      <c r="I513" s="329">
        <f t="shared" si="145"/>
        <v>4475.91</v>
      </c>
      <c r="J513" s="237" t="str">
        <f t="shared" si="132"/>
        <v/>
      </c>
      <c r="K513" s="238" t="str">
        <f t="shared" si="133"/>
        <v/>
      </c>
      <c r="L513" s="238" t="str">
        <f t="shared" si="134"/>
        <v/>
      </c>
      <c r="M513" s="238" t="str">
        <f t="shared" si="135"/>
        <v/>
      </c>
      <c r="N513" s="238" t="str">
        <f t="shared" si="136"/>
        <v/>
      </c>
      <c r="O513" s="233" t="str">
        <f t="shared" si="146"/>
        <v/>
      </c>
      <c r="P513" s="219" t="str">
        <f t="shared" si="138"/>
        <v/>
      </c>
      <c r="Q513" s="219" t="str">
        <f t="shared" si="139"/>
        <v/>
      </c>
      <c r="R513" s="219" t="str">
        <f t="shared" si="140"/>
        <v/>
      </c>
      <c r="S513" s="331" t="str">
        <f t="shared" si="141"/>
        <v/>
      </c>
      <c r="T513" s="331" t="str">
        <f t="shared" si="142"/>
        <v/>
      </c>
      <c r="U513" s="331" t="str">
        <f t="shared" si="143"/>
        <v/>
      </c>
    </row>
    <row r="514" spans="1:21" ht="15.95" customHeight="1">
      <c r="A514" s="211">
        <f>IF(COUNTBLANK('RNEW import'!B512)=1,"",'RNEW import'!B512)</f>
        <v>7</v>
      </c>
      <c r="B514" s="211" t="str">
        <f>IF(COUNTBLANK('RNEW import'!D512)=1,"",'RNEW import'!D512)</f>
        <v>Aurora Mall Buzau SRL</v>
      </c>
      <c r="C514" s="211" t="str">
        <f>IF(COUNTBLANK('RNEW import'!E512)=1,"",'RNEW import'!E512)</f>
        <v>RAMB</v>
      </c>
      <c r="D514" s="211" t="str">
        <f>IF(COUNTBLANK('RNEW import'!K512)=1,"",'RNEW import'!K512)</f>
        <v>Tarif de introducere en. el in retea (TL)</v>
      </c>
      <c r="E514" s="211">
        <f>IF(COUNTBLANK('RNEW import'!L512)=1,"",'RNEW import'!N512)</f>
        <v>326783</v>
      </c>
      <c r="F514" s="211">
        <f>IF(COUNTBLANK('RNEW import'!M512)=1,"",'RNEW import'!O512/10000)</f>
        <v>3.3030000000000004E-2</v>
      </c>
      <c r="G514" s="217">
        <f t="shared" si="144"/>
        <v>10793.64</v>
      </c>
      <c r="H514" s="217">
        <f t="shared" si="137"/>
        <v>2050.79</v>
      </c>
      <c r="I514" s="329">
        <f t="shared" si="145"/>
        <v>12844.43</v>
      </c>
      <c r="J514" s="237" t="str">
        <f t="shared" si="132"/>
        <v/>
      </c>
      <c r="K514" s="238" t="str">
        <f t="shared" si="133"/>
        <v/>
      </c>
      <c r="L514" s="238" t="str">
        <f t="shared" si="134"/>
        <v/>
      </c>
      <c r="M514" s="238" t="str">
        <f t="shared" si="135"/>
        <v/>
      </c>
      <c r="N514" s="238" t="str">
        <f t="shared" si="136"/>
        <v/>
      </c>
      <c r="O514" s="218" t="str">
        <f t="shared" si="146"/>
        <v/>
      </c>
      <c r="P514" s="219" t="str">
        <f t="shared" si="138"/>
        <v/>
      </c>
      <c r="Q514" s="219" t="str">
        <f t="shared" si="139"/>
        <v/>
      </c>
      <c r="R514" s="219" t="str">
        <f t="shared" si="140"/>
        <v/>
      </c>
      <c r="S514" s="331" t="str">
        <f t="shared" si="141"/>
        <v/>
      </c>
      <c r="T514" s="331" t="str">
        <f t="shared" si="142"/>
        <v/>
      </c>
      <c r="U514" s="331" t="str">
        <f t="shared" si="143"/>
        <v/>
      </c>
    </row>
    <row r="515" spans="1:21" ht="15.95" customHeight="1">
      <c r="A515" s="211">
        <f>IF(COUNTBLANK('RNEW import'!B513)=1,"",'RNEW import'!B513)</f>
        <v>8</v>
      </c>
      <c r="B515" s="211" t="str">
        <f>IF(COUNTBLANK('RNEW import'!D513)=1,"",'RNEW import'!D513)</f>
        <v>Aurora Mall Buzau SRL</v>
      </c>
      <c r="C515" s="211" t="str">
        <f>IF(COUNTBLANK('RNEW import'!E513)=1,"",'RNEW import'!E513)</f>
        <v>RAMB</v>
      </c>
      <c r="D515" s="211" t="str">
        <f>IF(COUNTBLANK('RNEW import'!K513)=1,"",'RNEW import'!K513)</f>
        <v>Tarif de introducere en.el in retea (TG)</v>
      </c>
      <c r="E515" s="211">
        <f>IF(COUNTBLANK('RNEW import'!L513)=1,"",'RNEW import'!N513)</f>
        <v>326783</v>
      </c>
      <c r="F515" s="211">
        <f>IF(COUNTBLANK('RNEW import'!M513)=1,"",'RNEW import'!O513/10000)</f>
        <v>3.29E-3</v>
      </c>
      <c r="G515" s="217">
        <f t="shared" si="144"/>
        <v>1075.1199999999999</v>
      </c>
      <c r="H515" s="217">
        <f t="shared" si="137"/>
        <v>204.27</v>
      </c>
      <c r="I515" s="329">
        <f t="shared" si="145"/>
        <v>1279.3899999999999</v>
      </c>
      <c r="J515" s="237" t="str">
        <f t="shared" si="132"/>
        <v/>
      </c>
      <c r="K515" s="238" t="str">
        <f t="shared" si="133"/>
        <v/>
      </c>
      <c r="L515" s="238" t="str">
        <f t="shared" si="134"/>
        <v/>
      </c>
      <c r="M515" s="238" t="str">
        <f t="shared" si="135"/>
        <v/>
      </c>
      <c r="N515" s="238" t="str">
        <f t="shared" si="136"/>
        <v/>
      </c>
      <c r="O515" s="232" t="str">
        <f t="shared" si="146"/>
        <v/>
      </c>
      <c r="P515" s="219" t="str">
        <f t="shared" si="138"/>
        <v/>
      </c>
      <c r="Q515" s="219" t="str">
        <f t="shared" si="139"/>
        <v/>
      </c>
      <c r="R515" s="219" t="str">
        <f t="shared" si="140"/>
        <v/>
      </c>
      <c r="S515" s="331" t="str">
        <f t="shared" si="141"/>
        <v/>
      </c>
      <c r="T515" s="331" t="str">
        <f t="shared" si="142"/>
        <v/>
      </c>
      <c r="U515" s="331" t="str">
        <f t="shared" si="143"/>
        <v/>
      </c>
    </row>
    <row r="516" spans="1:21" ht="15.95" customHeight="1">
      <c r="A516" s="211">
        <f>IF(COUNTBLANK('RNEW import'!B514)=1,"",'RNEW import'!B514)</f>
        <v>9</v>
      </c>
      <c r="B516" s="211" t="str">
        <f>IF(COUNTBLANK('RNEW import'!D514)=1,"",'RNEW import'!D514)</f>
        <v>Aurora Mall Buzau SRL</v>
      </c>
      <c r="C516" s="211" t="str">
        <f>IF(COUNTBLANK('RNEW import'!E514)=1,"",'RNEW import'!E514)</f>
        <v>RAMB</v>
      </c>
      <c r="D516" s="211" t="str">
        <f>IF(COUNTBLANK('RNEW import'!K514)=1,"",'RNEW import'!K514)</f>
        <v>Contributie pentru cogenerare</v>
      </c>
      <c r="E516" s="211">
        <f>IF(COUNTBLANK('RNEW import'!L514)=1,"",'RNEW import'!N514)</f>
        <v>326783</v>
      </c>
      <c r="F516" s="211">
        <f>IF(COUNTBLANK('RNEW import'!M514)=1,"",'RNEW import'!O514/10000)</f>
        <v>3.5000000000000001E-3</v>
      </c>
      <c r="G516" s="217">
        <f t="shared" si="144"/>
        <v>1143.74</v>
      </c>
      <c r="H516" s="217">
        <f t="shared" si="137"/>
        <v>217.31</v>
      </c>
      <c r="I516" s="329">
        <f t="shared" si="145"/>
        <v>1361.05</v>
      </c>
      <c r="J516" s="237" t="str">
        <f t="shared" ref="J516:J579" si="147">IF(A516=1,B516,"")</f>
        <v/>
      </c>
      <c r="K516" s="238" t="str">
        <f t="shared" ref="K516:K579" si="148">IF(COUNTBLANK(J516)=1,"",IF(A516=1,SUMIFS(G:G,$C:$C,C516,$A:$A,"=13")+SUMIFS(G:G,$C:$C,C516,$A:$A,"=14")+SUMIFS(G:G,$C:$C,C516,$A:$A,"=17")+SUMIFS(G:G,$C:$C,C516,$A:$A,"=18")+SUMIFS(G:G,$C:$C,C516,$A:$A,"=31")+SUMIFS(G:G,$C:$C,C516,$A:$A,"=32")+SUMIFS(G:G,$C:$C,C516,$A:$A,"=35")+SUMIFS(G:G,$C:$C,C516,$A:$A,"=36"),""))</f>
        <v/>
      </c>
      <c r="L516" s="238" t="str">
        <f t="shared" ref="L516:L579" si="149">IF(COUNTBLANK(J516)=1,"",IF(A516=1,SUMIFS(G:G,$C:$C,C516,$A:$A,"&lt;13")+SUMIFS(G:G,$C:$C,C516,$A:$A,"&gt;18",$A:$A,"&lt;31")))</f>
        <v/>
      </c>
      <c r="M516" s="238" t="str">
        <f t="shared" ref="M516:M579" si="150">IF(COUNTBLANK(J516)=1,"",IF(A516=1,SUMIFS(G:G,$C:$C,C516,$A:$A,"=15")+SUMIFS(G:G,$C:$C,C516,$A:$A,"=16")+SUMIFS(G:G,$C:$C,C516,$A:$A,"=33")+SUMIFS(G:G,$C:$C,C516,$A:$A,"=34"),""))</f>
        <v/>
      </c>
      <c r="N516" s="238" t="str">
        <f t="shared" ref="N516:N579" si="151">IF(COUNTBLANK(J516)=1,"",IF(A516=1,SUMIFS(E:E,$C:$C,C516,$A:$A,"=13")+SUMIFS(E:E,$C:$C,C516,$A:$A,"=17")+SUMIFS(E:E,$C:$C,C516,$A:$A,"=31")+SUMIFS(E:E,$C:$C,C516,$A:$A,"=35"),""))</f>
        <v/>
      </c>
      <c r="O516" s="232" t="str">
        <f t="shared" si="146"/>
        <v/>
      </c>
      <c r="P516" s="219" t="str">
        <f t="shared" si="138"/>
        <v/>
      </c>
      <c r="Q516" s="219" t="str">
        <f t="shared" si="139"/>
        <v/>
      </c>
      <c r="R516" s="219" t="str">
        <f t="shared" si="140"/>
        <v/>
      </c>
      <c r="S516" s="331" t="str">
        <f t="shared" si="141"/>
        <v/>
      </c>
      <c r="T516" s="331" t="str">
        <f t="shared" si="142"/>
        <v/>
      </c>
      <c r="U516" s="331" t="str">
        <f t="shared" si="143"/>
        <v/>
      </c>
    </row>
    <row r="517" spans="1:21" ht="15.95" customHeight="1">
      <c r="A517" s="211">
        <f>IF(COUNTBLANK('RNEW import'!B515)=1,"",'RNEW import'!B515)</f>
        <v>10</v>
      </c>
      <c r="B517" s="211" t="str">
        <f>IF(COUNTBLANK('RNEW import'!D515)=1,"",'RNEW import'!D515)</f>
        <v>Aurora Mall Buzau SRL</v>
      </c>
      <c r="C517" s="211" t="str">
        <f>IF(COUNTBLANK('RNEW import'!E515)=1,"",'RNEW import'!E515)</f>
        <v>RAMB</v>
      </c>
      <c r="D517" s="211" t="str">
        <f>IF(COUNTBLANK('RNEW import'!K515)=1,"",'RNEW import'!K515)</f>
        <v xml:space="preserve">Certificate verzi </v>
      </c>
      <c r="E517" s="211">
        <f>IF(COUNTBLANK('RNEW import'!L515)=1,"",'RNEW import'!N515)</f>
        <v>326783</v>
      </c>
      <c r="F517" s="211">
        <f>IF(COUNTBLANK('RNEW import'!M515)=1,"",'RNEW import'!O515/10000)</f>
        <v>7.2541599999999998E-2</v>
      </c>
      <c r="G517" s="217">
        <f t="shared" si="144"/>
        <v>23705.360000000001</v>
      </c>
      <c r="H517" s="217">
        <f t="shared" ref="H517:H580" si="152">ROUND(G517*19%,2)</f>
        <v>4504.0200000000004</v>
      </c>
      <c r="I517" s="329">
        <f t="shared" si="145"/>
        <v>28209.38</v>
      </c>
      <c r="J517" s="237" t="str">
        <f t="shared" si="147"/>
        <v/>
      </c>
      <c r="K517" s="238" t="str">
        <f t="shared" si="148"/>
        <v/>
      </c>
      <c r="L517" s="238" t="str">
        <f t="shared" si="149"/>
        <v/>
      </c>
      <c r="M517" s="238" t="str">
        <f t="shared" si="150"/>
        <v/>
      </c>
      <c r="N517" s="238" t="str">
        <f t="shared" si="151"/>
        <v/>
      </c>
      <c r="O517" s="232" t="str">
        <f t="shared" si="146"/>
        <v/>
      </c>
      <c r="P517" s="219" t="str">
        <f t="shared" ref="P517:P580" si="153">IF(A517=1,"Enegie activa",IF(OR(A517=18),"Energie consumata din PV",IF(OR(A517=2),"Energie reactiva 1x",IF(OR(A517=3),"Energie reactiva 3x",IF(A517=19,"Energie activa regularizare",IF(OR(A517=36),"Energie consumata din PV regularizare",IF(OR(A517=20),"Energie reactiva 1x regularizare",IF(OR(A517=21),"Energie reactiva 3x regularizare",""))))))))</f>
        <v/>
      </c>
      <c r="Q517" s="219" t="str">
        <f t="shared" ref="Q517:Q580" si="154">IF(COUNTBLANK(P517)=0,IF(OR(A517=1,A517=2,A517=3,A517=19,A517=20,A517=21),E517,IF(OR(A517=18,A517=36),E514+E515,"")),"")</f>
        <v/>
      </c>
      <c r="R517" s="219" t="str">
        <f t="shared" ref="R517:R580" si="155">IF(COUNTBLANK(P517)=1,"",IF(OR(A517=2,A517=3,A517=20,A517=21),F517,IF(Q517=0,0,ROUND(S517/Q517,6))))</f>
        <v/>
      </c>
      <c r="S517" s="331" t="str">
        <f t="shared" si="141"/>
        <v/>
      </c>
      <c r="T517" s="331" t="str">
        <f t="shared" si="142"/>
        <v/>
      </c>
      <c r="U517" s="331" t="str">
        <f t="shared" si="143"/>
        <v/>
      </c>
    </row>
    <row r="518" spans="1:21" ht="15.95" customHeight="1">
      <c r="A518" s="211">
        <f>IF(COUNTBLANK('RNEW import'!B516)=1,"",'RNEW import'!B516)</f>
        <v>11</v>
      </c>
      <c r="B518" s="211" t="str">
        <f>IF(COUNTBLANK('RNEW import'!D516)=1,"",'RNEW import'!D516)</f>
        <v>Aurora Mall Buzau SRL</v>
      </c>
      <c r="C518" s="211" t="str">
        <f>IF(COUNTBLANK('RNEW import'!E516)=1,"",'RNEW import'!E516)</f>
        <v>RAMB</v>
      </c>
      <c r="D518" s="211" t="str">
        <f>IF(COUNTBLANK('RNEW import'!K516)=1,"",'RNEW import'!K516)</f>
        <v>Contributie CFD</v>
      </c>
      <c r="E518" s="211">
        <f>IF(COUNTBLANK('RNEW import'!L516)=1,"",'RNEW import'!N516)</f>
        <v>326783</v>
      </c>
      <c r="F518" s="211">
        <f>IF(COUNTBLANK('RNEW import'!M516)=1,"",'RNEW import'!O516/10000)</f>
        <v>2.0599999999999999E-4</v>
      </c>
      <c r="G518" s="217">
        <f t="shared" si="144"/>
        <v>67.319999999999993</v>
      </c>
      <c r="H518" s="217">
        <f t="shared" si="152"/>
        <v>12.79</v>
      </c>
      <c r="I518" s="329">
        <f t="shared" si="145"/>
        <v>80.109999999999985</v>
      </c>
      <c r="J518" s="237" t="str">
        <f t="shared" si="147"/>
        <v/>
      </c>
      <c r="K518" s="238" t="str">
        <f t="shared" si="148"/>
        <v/>
      </c>
      <c r="L518" s="238" t="str">
        <f t="shared" si="149"/>
        <v/>
      </c>
      <c r="M518" s="238" t="str">
        <f t="shared" si="150"/>
        <v/>
      </c>
      <c r="N518" s="238" t="str">
        <f t="shared" si="151"/>
        <v/>
      </c>
      <c r="O518" s="232" t="str">
        <f t="shared" si="146"/>
        <v/>
      </c>
      <c r="P518" s="219" t="str">
        <f t="shared" si="153"/>
        <v/>
      </c>
      <c r="Q518" s="219" t="str">
        <f t="shared" si="154"/>
        <v/>
      </c>
      <c r="R518" s="219" t="str">
        <f t="shared" si="155"/>
        <v/>
      </c>
      <c r="S518" s="331" t="str">
        <f t="shared" si="141"/>
        <v/>
      </c>
      <c r="T518" s="331" t="str">
        <f t="shared" si="142"/>
        <v/>
      </c>
      <c r="U518" s="331" t="str">
        <f t="shared" si="143"/>
        <v/>
      </c>
    </row>
    <row r="519" spans="1:21" ht="15.95" customHeight="1">
      <c r="A519" s="211">
        <f>IF(COUNTBLANK('RNEW import'!B517)=1,"",'RNEW import'!B517)</f>
        <v>12</v>
      </c>
      <c r="B519" s="211" t="str">
        <f>IF(COUNTBLANK('RNEW import'!D517)=1,"",'RNEW import'!D517)</f>
        <v>Aurora Mall Buzau SRL</v>
      </c>
      <c r="C519" s="211" t="str">
        <f>IF(COUNTBLANK('RNEW import'!E517)=1,"",'RNEW import'!E517)</f>
        <v>RAMB</v>
      </c>
      <c r="D519" s="211" t="str">
        <f>IF(COUNTBLANK('RNEW import'!K517)=1,"",'RNEW import'!K517)</f>
        <v>Acciza</v>
      </c>
      <c r="E519" s="211">
        <f>IF(COUNTBLANK('RNEW import'!L517)=1,"",'RNEW import'!N517)</f>
        <v>326783</v>
      </c>
      <c r="F519" s="211">
        <f>IF(COUNTBLANK('RNEW import'!M517)=1,"",'RNEW import'!O517/10000)</f>
        <v>0</v>
      </c>
      <c r="G519" s="217">
        <f t="shared" si="144"/>
        <v>0</v>
      </c>
      <c r="H519" s="217">
        <f t="shared" si="152"/>
        <v>0</v>
      </c>
      <c r="I519" s="329">
        <f t="shared" si="145"/>
        <v>0</v>
      </c>
      <c r="J519" s="237" t="str">
        <f t="shared" si="147"/>
        <v/>
      </c>
      <c r="K519" s="238" t="str">
        <f t="shared" si="148"/>
        <v/>
      </c>
      <c r="L519" s="238" t="str">
        <f t="shared" si="149"/>
        <v/>
      </c>
      <c r="M519" s="238" t="str">
        <f t="shared" si="150"/>
        <v/>
      </c>
      <c r="N519" s="238" t="str">
        <f t="shared" si="151"/>
        <v/>
      </c>
      <c r="O519" s="232" t="str">
        <f t="shared" si="146"/>
        <v/>
      </c>
      <c r="P519" s="219" t="str">
        <f t="shared" si="153"/>
        <v/>
      </c>
      <c r="Q519" s="219" t="str">
        <f t="shared" si="154"/>
        <v/>
      </c>
      <c r="R519" s="219" t="str">
        <f t="shared" si="155"/>
        <v/>
      </c>
      <c r="S519" s="331" t="str">
        <f t="shared" si="141"/>
        <v/>
      </c>
      <c r="T519" s="331" t="str">
        <f t="shared" si="142"/>
        <v/>
      </c>
      <c r="U519" s="331" t="str">
        <f t="shared" si="143"/>
        <v/>
      </c>
    </row>
    <row r="520" spans="1:21" ht="15.95" customHeight="1">
      <c r="A520" s="211">
        <f>IF(COUNTBLANK('RNEW import'!B518)=1,"",'RNEW import'!B518)</f>
        <v>13</v>
      </c>
      <c r="B520" s="211" t="str">
        <f>IF(COUNTBLANK('RNEW import'!D518)=1,"",'RNEW import'!D518)</f>
        <v>Aurora Mall Buzau SRL</v>
      </c>
      <c r="C520" s="211" t="str">
        <f>IF(COUNTBLANK('RNEW import'!E518)=1,"",'RNEW import'!E518)</f>
        <v>RAMB</v>
      </c>
      <c r="D520" s="211" t="str">
        <f>IF(COUNTBLANK('RNEW import'!K518)=1,"",'RNEW import'!K518)</f>
        <v>Tarif distributie SDI MT</v>
      </c>
      <c r="E520" s="211">
        <f>IF(COUNTBLANK('RNEW import'!L518)=1,"",'RNEW import'!N518)</f>
        <v>326783</v>
      </c>
      <c r="F520" s="211">
        <f>IF(COUNTBLANK('RNEW import'!M518)=1,"",'RNEW import'!O518/10000)</f>
        <v>1.49E-2</v>
      </c>
      <c r="G520" s="217">
        <f t="shared" si="144"/>
        <v>4869.07</v>
      </c>
      <c r="H520" s="217">
        <f t="shared" si="152"/>
        <v>925.12</v>
      </c>
      <c r="I520" s="329">
        <f t="shared" si="145"/>
        <v>5794.19</v>
      </c>
      <c r="J520" s="237" t="str">
        <f t="shared" si="147"/>
        <v/>
      </c>
      <c r="K520" s="238" t="str">
        <f t="shared" si="148"/>
        <v/>
      </c>
      <c r="L520" s="238" t="str">
        <f t="shared" si="149"/>
        <v/>
      </c>
      <c r="M520" s="238" t="str">
        <f t="shared" si="150"/>
        <v/>
      </c>
      <c r="N520" s="238" t="str">
        <f t="shared" si="151"/>
        <v/>
      </c>
      <c r="O520" s="232" t="str">
        <f t="shared" si="146"/>
        <v/>
      </c>
      <c r="P520" s="219" t="str">
        <f t="shared" si="153"/>
        <v/>
      </c>
      <c r="Q520" s="219" t="str">
        <f t="shared" si="154"/>
        <v/>
      </c>
      <c r="R520" s="219" t="str">
        <f t="shared" si="155"/>
        <v/>
      </c>
      <c r="S520" s="331" t="str">
        <f t="shared" si="141"/>
        <v/>
      </c>
      <c r="T520" s="331" t="str">
        <f t="shared" si="142"/>
        <v/>
      </c>
      <c r="U520" s="331" t="str">
        <f t="shared" si="143"/>
        <v/>
      </c>
    </row>
    <row r="521" spans="1:21" ht="15.95" customHeight="1">
      <c r="A521" s="211">
        <f>IF(COUNTBLANK('RNEW import'!B519)=1,"",'RNEW import'!B519)</f>
        <v>14</v>
      </c>
      <c r="B521" s="211" t="str">
        <f>IF(COUNTBLANK('RNEW import'!D519)=1,"",'RNEW import'!D519)</f>
        <v>Aurora Mall Buzau SRL</v>
      </c>
      <c r="C521" s="211" t="str">
        <f>IF(COUNTBLANK('RNEW import'!E519)=1,"",'RNEW import'!E519)</f>
        <v>RAMB</v>
      </c>
      <c r="D521" s="211" t="str">
        <f>IF(COUNTBLANK('RNEW import'!K519)=1,"",'RNEW import'!K519)</f>
        <v>Tarif distributie SDI JT</v>
      </c>
      <c r="E521" s="211">
        <f>IF(COUNTBLANK('RNEW import'!L519)=1,"",'RNEW import'!N519)</f>
        <v>326783</v>
      </c>
      <c r="F521" s="211">
        <f>IF(COUNTBLANK('RNEW import'!M519)=1,"",'RNEW import'!O519/10000)</f>
        <v>0.1192</v>
      </c>
      <c r="G521" s="217">
        <f t="shared" si="144"/>
        <v>38952.53</v>
      </c>
      <c r="H521" s="217">
        <f t="shared" si="152"/>
        <v>7400.98</v>
      </c>
      <c r="I521" s="329">
        <f t="shared" si="145"/>
        <v>46353.509999999995</v>
      </c>
      <c r="J521" s="237" t="str">
        <f t="shared" si="147"/>
        <v/>
      </c>
      <c r="K521" s="238" t="str">
        <f t="shared" si="148"/>
        <v/>
      </c>
      <c r="L521" s="238" t="str">
        <f t="shared" si="149"/>
        <v/>
      </c>
      <c r="M521" s="238" t="str">
        <f t="shared" si="150"/>
        <v/>
      </c>
      <c r="N521" s="238" t="str">
        <f t="shared" si="151"/>
        <v/>
      </c>
      <c r="O521" s="232" t="str">
        <f t="shared" si="146"/>
        <v/>
      </c>
      <c r="P521" s="219" t="str">
        <f t="shared" si="153"/>
        <v/>
      </c>
      <c r="Q521" s="219" t="str">
        <f t="shared" si="154"/>
        <v/>
      </c>
      <c r="R521" s="219" t="str">
        <f t="shared" si="155"/>
        <v/>
      </c>
      <c r="S521" s="331" t="str">
        <f t="shared" si="141"/>
        <v/>
      </c>
      <c r="T521" s="331" t="str">
        <f t="shared" si="142"/>
        <v/>
      </c>
      <c r="U521" s="331" t="str">
        <f t="shared" si="143"/>
        <v/>
      </c>
    </row>
    <row r="522" spans="1:21" ht="15.95" customHeight="1">
      <c r="A522" s="211">
        <f>IF(COUNTBLANK('RNEW import'!B520)=1,"",'RNEW import'!B520)</f>
        <v>15</v>
      </c>
      <c r="B522" s="211" t="str">
        <f>IF(COUNTBLANK('RNEW import'!D520)=1,"",'RNEW import'!D520)</f>
        <v>Aurora Mall Buzau SRL</v>
      </c>
      <c r="C522" s="211" t="str">
        <f>IF(COUNTBLANK('RNEW import'!E520)=1,"",'RNEW import'!E520)</f>
        <v>RAMB</v>
      </c>
      <c r="D522" s="211" t="str">
        <f>IF(COUNTBLANK('RNEW import'!K520)=1,"",'RNEW import'!K520)</f>
        <v>Energie activa 2</v>
      </c>
      <c r="E522" s="211">
        <f>IF(COUNTBLANK('RNEW import'!L520)=1,"",'RNEW import'!N520)</f>
        <v>128816</v>
      </c>
      <c r="F522" s="211">
        <f>IF(COUNTBLANK('RNEW import'!M520)=1,"",'RNEW import'!O520/10000)</f>
        <v>0.96800760000000008</v>
      </c>
      <c r="G522" s="217">
        <f t="shared" si="144"/>
        <v>124694.87</v>
      </c>
      <c r="H522" s="217">
        <f t="shared" si="152"/>
        <v>23692.03</v>
      </c>
      <c r="I522" s="329">
        <f t="shared" si="145"/>
        <v>148386.9</v>
      </c>
      <c r="J522" s="237" t="str">
        <f t="shared" si="147"/>
        <v/>
      </c>
      <c r="K522" s="238" t="str">
        <f t="shared" si="148"/>
        <v/>
      </c>
      <c r="L522" s="238" t="str">
        <f t="shared" si="149"/>
        <v/>
      </c>
      <c r="M522" s="238" t="str">
        <f t="shared" si="150"/>
        <v/>
      </c>
      <c r="N522" s="238" t="str">
        <f t="shared" si="151"/>
        <v/>
      </c>
      <c r="O522" s="232" t="str">
        <f t="shared" si="146"/>
        <v/>
      </c>
      <c r="P522" s="219" t="str">
        <f t="shared" si="153"/>
        <v/>
      </c>
      <c r="Q522" s="219" t="str">
        <f t="shared" si="154"/>
        <v/>
      </c>
      <c r="R522" s="219" t="str">
        <f t="shared" si="155"/>
        <v/>
      </c>
      <c r="S522" s="331" t="str">
        <f t="shared" si="141"/>
        <v/>
      </c>
      <c r="T522" s="331" t="str">
        <f t="shared" si="142"/>
        <v/>
      </c>
      <c r="U522" s="331" t="str">
        <f t="shared" si="143"/>
        <v/>
      </c>
    </row>
    <row r="523" spans="1:21" ht="15.95" customHeight="1">
      <c r="A523" s="211">
        <f>IF(COUNTBLANK('RNEW import'!B521)=1,"",'RNEW import'!B521)</f>
        <v>16</v>
      </c>
      <c r="B523" s="211" t="str">
        <f>IF(COUNTBLANK('RNEW import'!D521)=1,"",'RNEW import'!D521)</f>
        <v>Aurora Mall Buzau SRL</v>
      </c>
      <c r="C523" s="211" t="str">
        <f>IF(COUNTBLANK('RNEW import'!E521)=1,"",'RNEW import'!E521)</f>
        <v>RAMB</v>
      </c>
      <c r="D523" s="211" t="str">
        <f>IF(COUNTBLANK('RNEW import'!K521)=1,"",'RNEW import'!K521)</f>
        <v>Energie activa 3</v>
      </c>
      <c r="E523" s="211">
        <f>IF(COUNTBLANK('RNEW import'!L521)=1,"",'RNEW import'!N521)</f>
        <v>13285</v>
      </c>
      <c r="F523" s="211">
        <f>IF(COUNTBLANK('RNEW import'!M521)=1,"",'RNEW import'!O521/10000)</f>
        <v>0.83390760000000008</v>
      </c>
      <c r="G523" s="217">
        <f t="shared" si="144"/>
        <v>11078.46</v>
      </c>
      <c r="H523" s="217">
        <f t="shared" si="152"/>
        <v>2104.91</v>
      </c>
      <c r="I523" s="329">
        <f t="shared" si="145"/>
        <v>13183.369999999999</v>
      </c>
      <c r="J523" s="237" t="str">
        <f t="shared" si="147"/>
        <v/>
      </c>
      <c r="K523" s="238" t="str">
        <f t="shared" si="148"/>
        <v/>
      </c>
      <c r="L523" s="238" t="str">
        <f t="shared" si="149"/>
        <v/>
      </c>
      <c r="M523" s="238" t="str">
        <f t="shared" si="150"/>
        <v/>
      </c>
      <c r="N523" s="238" t="str">
        <f t="shared" si="151"/>
        <v/>
      </c>
      <c r="O523" s="232" t="str">
        <f t="shared" si="146"/>
        <v/>
      </c>
      <c r="P523" s="219" t="str">
        <f t="shared" si="153"/>
        <v/>
      </c>
      <c r="Q523" s="219" t="str">
        <f t="shared" si="154"/>
        <v/>
      </c>
      <c r="R523" s="219" t="str">
        <f t="shared" si="155"/>
        <v/>
      </c>
      <c r="S523" s="331" t="str">
        <f t="shared" si="141"/>
        <v/>
      </c>
      <c r="T523" s="331" t="str">
        <f t="shared" si="142"/>
        <v/>
      </c>
      <c r="U523" s="331" t="str">
        <f t="shared" si="143"/>
        <v/>
      </c>
    </row>
    <row r="524" spans="1:21" ht="15.95" customHeight="1">
      <c r="A524" s="211">
        <f>IF(COUNTBLANK('RNEW import'!B522)=1,"",'RNEW import'!B522)</f>
        <v>17</v>
      </c>
      <c r="B524" s="211" t="str">
        <f>IF(COUNTBLANK('RNEW import'!D522)=1,"",'RNEW import'!D522)</f>
        <v>Aurora Mall Buzau SRL</v>
      </c>
      <c r="C524" s="211" t="str">
        <f>IF(COUNTBLANK('RNEW import'!E522)=1,"",'RNEW import'!E522)</f>
        <v>RAMB</v>
      </c>
      <c r="D524" s="211" t="str">
        <f>IF(COUNTBLANK('RNEW import'!K522)=1,"",'RNEW import'!K522)</f>
        <v>Tarif distributie SDI MT_</v>
      </c>
      <c r="E524" s="211">
        <f>IF(COUNTBLANK('RNEW import'!L522)=1,"",'RNEW import'!N522)</f>
        <v>13285</v>
      </c>
      <c r="F524" s="211">
        <f>IF(COUNTBLANK('RNEW import'!M522)=1,"",'RNEW import'!O522/10000)</f>
        <v>1.49E-2</v>
      </c>
      <c r="G524" s="217">
        <f t="shared" si="144"/>
        <v>197.95</v>
      </c>
      <c r="H524" s="217">
        <f t="shared" si="152"/>
        <v>37.61</v>
      </c>
      <c r="I524" s="329">
        <f t="shared" si="145"/>
        <v>235.56</v>
      </c>
      <c r="J524" s="237" t="str">
        <f t="shared" si="147"/>
        <v/>
      </c>
      <c r="K524" s="238" t="str">
        <f t="shared" si="148"/>
        <v/>
      </c>
      <c r="L524" s="238" t="str">
        <f t="shared" si="149"/>
        <v/>
      </c>
      <c r="M524" s="238" t="str">
        <f t="shared" si="150"/>
        <v/>
      </c>
      <c r="N524" s="238" t="str">
        <f t="shared" si="151"/>
        <v/>
      </c>
      <c r="O524" s="232" t="str">
        <f t="shared" si="146"/>
        <v/>
      </c>
      <c r="P524" s="219" t="str">
        <f t="shared" si="153"/>
        <v/>
      </c>
      <c r="Q524" s="219" t="str">
        <f t="shared" si="154"/>
        <v/>
      </c>
      <c r="R524" s="219" t="str">
        <f t="shared" si="155"/>
        <v/>
      </c>
      <c r="S524" s="331" t="str">
        <f t="shared" si="141"/>
        <v/>
      </c>
      <c r="T524" s="331" t="str">
        <f t="shared" si="142"/>
        <v/>
      </c>
      <c r="U524" s="331" t="str">
        <f t="shared" si="143"/>
        <v/>
      </c>
    </row>
    <row r="525" spans="1:21" ht="15.95" customHeight="1">
      <c r="A525" s="211">
        <f>IF(COUNTBLANK('RNEW import'!B523)=1,"",'RNEW import'!B523)</f>
        <v>18</v>
      </c>
      <c r="B525" s="211" t="str">
        <f>IF(COUNTBLANK('RNEW import'!D523)=1,"",'RNEW import'!D523)</f>
        <v>Aurora Mall Buzau SRL</v>
      </c>
      <c r="C525" s="211" t="str">
        <f>IF(COUNTBLANK('RNEW import'!E523)=1,"",'RNEW import'!E523)</f>
        <v>RAMB</v>
      </c>
      <c r="D525" s="211" t="str">
        <f>IF(COUNTBLANK('RNEW import'!K523)=1,"",'RNEW import'!K523)</f>
        <v>Tarif distributie SDI JT_</v>
      </c>
      <c r="E525" s="211">
        <f>IF(COUNTBLANK('RNEW import'!L523)=1,"",'RNEW import'!N523)</f>
        <v>13285</v>
      </c>
      <c r="F525" s="211">
        <f>IF(COUNTBLANK('RNEW import'!M523)=1,"",'RNEW import'!O523/10000)</f>
        <v>0.1192</v>
      </c>
      <c r="G525" s="217">
        <f t="shared" si="144"/>
        <v>1583.57</v>
      </c>
      <c r="H525" s="217">
        <f t="shared" si="152"/>
        <v>300.88</v>
      </c>
      <c r="I525" s="329">
        <f t="shared" si="145"/>
        <v>1884.4499999999998</v>
      </c>
      <c r="J525" s="237" t="str">
        <f t="shared" si="147"/>
        <v/>
      </c>
      <c r="K525" s="238" t="str">
        <f t="shared" si="148"/>
        <v/>
      </c>
      <c r="L525" s="238" t="str">
        <f t="shared" si="149"/>
        <v/>
      </c>
      <c r="M525" s="238" t="str">
        <f t="shared" si="150"/>
        <v/>
      </c>
      <c r="N525" s="238" t="str">
        <f t="shared" si="151"/>
        <v/>
      </c>
      <c r="O525" s="232" t="str">
        <f t="shared" si="146"/>
        <v/>
      </c>
      <c r="P525" s="219" t="str">
        <f t="shared" si="153"/>
        <v>Energie consumata din PV</v>
      </c>
      <c r="Q525" s="219">
        <f t="shared" si="154"/>
        <v>142101</v>
      </c>
      <c r="R525" s="219">
        <f t="shared" si="155"/>
        <v>0.96800799999999998</v>
      </c>
      <c r="S525" s="331">
        <f t="shared" si="141"/>
        <v>137554.85</v>
      </c>
      <c r="T525" s="331">
        <f t="shared" si="142"/>
        <v>26135.43</v>
      </c>
      <c r="U525" s="331">
        <f t="shared" si="143"/>
        <v>163690.28</v>
      </c>
    </row>
    <row r="526" spans="1:21" ht="15.95" customHeight="1">
      <c r="A526" s="211">
        <f>IF(COUNTBLANK('RNEW import'!B524)=1,"",'RNEW import'!B524)</f>
        <v>19</v>
      </c>
      <c r="B526" s="211" t="str">
        <f>IF(COUNTBLANK('RNEW import'!D524)=1,"",'RNEW import'!D524)</f>
        <v>Aurora Mall Buzau SRL</v>
      </c>
      <c r="C526" s="211" t="str">
        <f>IF(COUNTBLANK('RNEW import'!E524)=1,"",'RNEW import'!E524)</f>
        <v>RAMB</v>
      </c>
      <c r="D526" s="211" t="str">
        <f>IF(COUNTBLANK('RNEW import'!K524)=1,"",'RNEW import'!K524)</f>
        <v>Regularizare Energie activa 1</v>
      </c>
      <c r="E526" s="211">
        <f>IF(COUNTBLANK('RNEW import'!L524)=1,"",'RNEW import'!N524)</f>
        <v>0</v>
      </c>
      <c r="F526" s="211">
        <f>IF(COUNTBLANK('RNEW import'!M524)=1,"",'RNEW import'!O524/10000)</f>
        <v>0.59499999999999997</v>
      </c>
      <c r="G526" s="217">
        <f t="shared" si="144"/>
        <v>0</v>
      </c>
      <c r="H526" s="217">
        <f t="shared" si="152"/>
        <v>0</v>
      </c>
      <c r="I526" s="329">
        <f t="shared" si="145"/>
        <v>0</v>
      </c>
      <c r="J526" s="237" t="str">
        <f t="shared" si="147"/>
        <v/>
      </c>
      <c r="K526" s="238" t="str">
        <f t="shared" si="148"/>
        <v/>
      </c>
      <c r="L526" s="238" t="str">
        <f t="shared" si="149"/>
        <v/>
      </c>
      <c r="M526" s="238" t="str">
        <f t="shared" si="150"/>
        <v/>
      </c>
      <c r="N526" s="238" t="str">
        <f t="shared" si="151"/>
        <v/>
      </c>
      <c r="O526" s="232" t="str">
        <f t="shared" si="146"/>
        <v/>
      </c>
      <c r="P526" s="219" t="str">
        <f t="shared" si="153"/>
        <v>Energie activa regularizare</v>
      </c>
      <c r="Q526" s="219">
        <f t="shared" si="154"/>
        <v>0</v>
      </c>
      <c r="R526" s="219">
        <f t="shared" si="155"/>
        <v>0</v>
      </c>
      <c r="S526" s="331">
        <f t="shared" si="141"/>
        <v>0</v>
      </c>
      <c r="T526" s="331">
        <f t="shared" si="142"/>
        <v>0</v>
      </c>
      <c r="U526" s="331">
        <f t="shared" si="143"/>
        <v>0</v>
      </c>
    </row>
    <row r="527" spans="1:21" ht="15.95" customHeight="1">
      <c r="A527" s="211">
        <f>IF(COUNTBLANK('RNEW import'!B525)=1,"",'RNEW import'!B525)</f>
        <v>20</v>
      </c>
      <c r="B527" s="211" t="str">
        <f>IF(COUNTBLANK('RNEW import'!D525)=1,"",'RNEW import'!D525)</f>
        <v>Aurora Mall Buzau SRL</v>
      </c>
      <c r="C527" s="211" t="str">
        <f>IF(COUNTBLANK('RNEW import'!E525)=1,"",'RNEW import'!E525)</f>
        <v>RAMB</v>
      </c>
      <c r="D527" s="211" t="str">
        <f>IF(COUNTBLANK('RNEW import'!K525)=1,"",'RNEW import'!K525)</f>
        <v>Regularizare Energie reactiva  1X</v>
      </c>
      <c r="E527" s="211">
        <f>IF(COUNTBLANK('RNEW import'!L525)=1,"",'RNEW import'!N525)</f>
        <v>334</v>
      </c>
      <c r="F527" s="211">
        <f>IF(COUNTBLANK('RNEW import'!M525)=1,"",'RNEW import'!O525/10000)</f>
        <v>0.14649999999999999</v>
      </c>
      <c r="G527" s="217">
        <f t="shared" si="144"/>
        <v>48.93</v>
      </c>
      <c r="H527" s="217">
        <f t="shared" si="152"/>
        <v>9.3000000000000007</v>
      </c>
      <c r="I527" s="329">
        <f t="shared" si="145"/>
        <v>58.230000000000004</v>
      </c>
      <c r="J527" s="237" t="str">
        <f t="shared" si="147"/>
        <v/>
      </c>
      <c r="K527" s="238" t="str">
        <f t="shared" si="148"/>
        <v/>
      </c>
      <c r="L527" s="238" t="str">
        <f t="shared" si="149"/>
        <v/>
      </c>
      <c r="M527" s="238" t="str">
        <f t="shared" si="150"/>
        <v/>
      </c>
      <c r="N527" s="238" t="str">
        <f t="shared" si="151"/>
        <v/>
      </c>
      <c r="O527" s="232" t="str">
        <f t="shared" si="146"/>
        <v/>
      </c>
      <c r="P527" s="219" t="str">
        <f t="shared" si="153"/>
        <v>Energie reactiva 1x regularizare</v>
      </c>
      <c r="Q527" s="219">
        <f t="shared" si="154"/>
        <v>334</v>
      </c>
      <c r="R527" s="219">
        <f t="shared" si="155"/>
        <v>0.14649999999999999</v>
      </c>
      <c r="S527" s="331">
        <f t="shared" si="141"/>
        <v>48.93</v>
      </c>
      <c r="T527" s="331">
        <f t="shared" si="142"/>
        <v>9.3000000000000007</v>
      </c>
      <c r="U527" s="331">
        <f t="shared" si="143"/>
        <v>58.23</v>
      </c>
    </row>
    <row r="528" spans="1:21" ht="15.95" customHeight="1">
      <c r="A528" s="211">
        <f>IF(COUNTBLANK('RNEW import'!B526)=1,"",'RNEW import'!B526)</f>
        <v>21</v>
      </c>
      <c r="B528" s="211" t="str">
        <f>IF(COUNTBLANK('RNEW import'!D526)=1,"",'RNEW import'!D526)</f>
        <v>Aurora Mall Buzau SRL</v>
      </c>
      <c r="C528" s="211" t="str">
        <f>IF(COUNTBLANK('RNEW import'!E526)=1,"",'RNEW import'!E526)</f>
        <v>RAMB</v>
      </c>
      <c r="D528" s="211" t="str">
        <f>IF(COUNTBLANK('RNEW import'!K526)=1,"",'RNEW import'!K526)</f>
        <v>Regularizare Energie reactiva  3X</v>
      </c>
      <c r="E528" s="211">
        <f>IF(COUNTBLANK('RNEW import'!L526)=1,"",'RNEW import'!N526)</f>
        <v>0</v>
      </c>
      <c r="F528" s="211">
        <f>IF(COUNTBLANK('RNEW import'!M526)=1,"",'RNEW import'!O526/10000)</f>
        <v>0.4395</v>
      </c>
      <c r="G528" s="217">
        <f t="shared" si="144"/>
        <v>0</v>
      </c>
      <c r="H528" s="217">
        <f t="shared" si="152"/>
        <v>0</v>
      </c>
      <c r="I528" s="329">
        <f t="shared" si="145"/>
        <v>0</v>
      </c>
      <c r="J528" s="237" t="str">
        <f t="shared" si="147"/>
        <v/>
      </c>
      <c r="K528" s="238" t="str">
        <f t="shared" si="148"/>
        <v/>
      </c>
      <c r="L528" s="238" t="str">
        <f t="shared" si="149"/>
        <v/>
      </c>
      <c r="M528" s="238" t="str">
        <f t="shared" si="150"/>
        <v/>
      </c>
      <c r="N528" s="238" t="str">
        <f t="shared" si="151"/>
        <v/>
      </c>
      <c r="O528" s="232" t="str">
        <f t="shared" si="146"/>
        <v/>
      </c>
      <c r="P528" s="219" t="str">
        <f t="shared" si="153"/>
        <v>Energie reactiva 3x regularizare</v>
      </c>
      <c r="Q528" s="219">
        <f t="shared" si="154"/>
        <v>0</v>
      </c>
      <c r="R528" s="219">
        <f t="shared" si="155"/>
        <v>0.4395</v>
      </c>
      <c r="S528" s="331">
        <f t="shared" si="141"/>
        <v>0</v>
      </c>
      <c r="T528" s="331">
        <f t="shared" si="142"/>
        <v>0</v>
      </c>
      <c r="U528" s="331">
        <f t="shared" si="143"/>
        <v>0</v>
      </c>
    </row>
    <row r="529" spans="1:21" ht="15.95" customHeight="1">
      <c r="A529" s="211">
        <f>IF(COUNTBLANK('RNEW import'!B527)=1,"",'RNEW import'!B527)</f>
        <v>22</v>
      </c>
      <c r="B529" s="211" t="str">
        <f>IF(COUNTBLANK('RNEW import'!D527)=1,"",'RNEW import'!D527)</f>
        <v>Aurora Mall Buzau SRL</v>
      </c>
      <c r="C529" s="211" t="str">
        <f>IF(COUNTBLANK('RNEW import'!E527)=1,"",'RNEW import'!E527)</f>
        <v>RAMB</v>
      </c>
      <c r="D529" s="211" t="str">
        <f>IF(COUNTBLANK('RNEW import'!K527)=1,"",'RNEW import'!K527)</f>
        <v>Regularizare Tarife distributie en. El IT+MT</v>
      </c>
      <c r="E529" s="211">
        <f>IF(COUNTBLANK('RNEW import'!L527)=1,"",'RNEW import'!N527)</f>
        <v>0</v>
      </c>
      <c r="F529" s="211">
        <f>IF(COUNTBLANK('RNEW import'!M527)=1,"",'RNEW import'!O527/10000)</f>
        <v>0.11483</v>
      </c>
      <c r="G529" s="217">
        <f t="shared" si="144"/>
        <v>0</v>
      </c>
      <c r="H529" s="217">
        <f t="shared" si="152"/>
        <v>0</v>
      </c>
      <c r="I529" s="329">
        <f t="shared" si="145"/>
        <v>0</v>
      </c>
      <c r="J529" s="237" t="str">
        <f t="shared" si="147"/>
        <v/>
      </c>
      <c r="K529" s="238" t="str">
        <f t="shared" si="148"/>
        <v/>
      </c>
      <c r="L529" s="238" t="str">
        <f t="shared" si="149"/>
        <v/>
      </c>
      <c r="M529" s="238" t="str">
        <f t="shared" si="150"/>
        <v/>
      </c>
      <c r="N529" s="238" t="str">
        <f t="shared" si="151"/>
        <v/>
      </c>
      <c r="O529" s="232" t="str">
        <f t="shared" si="146"/>
        <v/>
      </c>
      <c r="P529" s="219" t="str">
        <f t="shared" si="153"/>
        <v/>
      </c>
      <c r="Q529" s="219" t="str">
        <f t="shared" si="154"/>
        <v/>
      </c>
      <c r="R529" s="219" t="str">
        <f t="shared" si="155"/>
        <v/>
      </c>
      <c r="S529" s="331" t="str">
        <f t="shared" si="141"/>
        <v/>
      </c>
      <c r="T529" s="331" t="str">
        <f t="shared" si="142"/>
        <v/>
      </c>
      <c r="U529" s="331" t="str">
        <f t="shared" si="143"/>
        <v/>
      </c>
    </row>
    <row r="530" spans="1:21" ht="15.95" customHeight="1">
      <c r="A530" s="211">
        <f>IF(COUNTBLANK('RNEW import'!B528)=1,"",'RNEW import'!B528)</f>
        <v>23</v>
      </c>
      <c r="B530" s="211" t="str">
        <f>IF(COUNTBLANK('RNEW import'!D528)=1,"",'RNEW import'!D528)</f>
        <v>Aurora Mall Buzau SRL</v>
      </c>
      <c r="C530" s="211" t="str">
        <f>IF(COUNTBLANK('RNEW import'!E528)=1,"",'RNEW import'!E528)</f>
        <v>RAMB</v>
      </c>
      <c r="D530" s="211" t="str">
        <f>IF(COUNTBLANK('RNEW import'!K528)=1,"",'RNEW import'!K528)</f>
        <v>Regularizare Tarife distributie en. El JT</v>
      </c>
      <c r="E530" s="211">
        <f>IF(COUNTBLANK('RNEW import'!L528)=1,"",'RNEW import'!N528)</f>
        <v>0</v>
      </c>
      <c r="F530" s="211">
        <f>IF(COUNTBLANK('RNEW import'!M528)=1,"",'RNEW import'!O528/10000)</f>
        <v>0.2361</v>
      </c>
      <c r="G530" s="217">
        <f t="shared" si="144"/>
        <v>0</v>
      </c>
      <c r="H530" s="217">
        <f t="shared" si="152"/>
        <v>0</v>
      </c>
      <c r="I530" s="329">
        <f t="shared" si="145"/>
        <v>0</v>
      </c>
      <c r="J530" s="237" t="str">
        <f t="shared" si="147"/>
        <v/>
      </c>
      <c r="K530" s="238" t="str">
        <f t="shared" si="148"/>
        <v/>
      </c>
      <c r="L530" s="238" t="str">
        <f t="shared" si="149"/>
        <v/>
      </c>
      <c r="M530" s="238" t="str">
        <f t="shared" si="150"/>
        <v/>
      </c>
      <c r="N530" s="238" t="str">
        <f t="shared" si="151"/>
        <v/>
      </c>
      <c r="O530" s="232" t="str">
        <f t="shared" si="146"/>
        <v/>
      </c>
      <c r="P530" s="219" t="str">
        <f t="shared" si="153"/>
        <v/>
      </c>
      <c r="Q530" s="219" t="str">
        <f t="shared" si="154"/>
        <v/>
      </c>
      <c r="R530" s="219" t="str">
        <f t="shared" si="155"/>
        <v/>
      </c>
      <c r="S530" s="331" t="str">
        <f t="shared" si="141"/>
        <v/>
      </c>
      <c r="T530" s="331" t="str">
        <f t="shared" si="142"/>
        <v/>
      </c>
      <c r="U530" s="331" t="str">
        <f t="shared" si="143"/>
        <v/>
      </c>
    </row>
    <row r="531" spans="1:21" ht="15.95" customHeight="1">
      <c r="A531" s="211">
        <f>IF(COUNTBLANK('RNEW import'!B529)=1,"",'RNEW import'!B529)</f>
        <v>24</v>
      </c>
      <c r="B531" s="211" t="str">
        <f>IF(COUNTBLANK('RNEW import'!D529)=1,"",'RNEW import'!D529)</f>
        <v>Aurora Mall Buzau SRL</v>
      </c>
      <c r="C531" s="211" t="str">
        <f>IF(COUNTBLANK('RNEW import'!E529)=1,"",'RNEW import'!E529)</f>
        <v>RAMB</v>
      </c>
      <c r="D531" s="211" t="str">
        <f>IF(COUNTBLANK('RNEW import'!K529)=1,"",'RNEW import'!K529)</f>
        <v xml:space="preserve">Regularizare Servicii Sistem </v>
      </c>
      <c r="E531" s="211">
        <f>IF(COUNTBLANK('RNEW import'!L529)=1,"",'RNEW import'!N529)</f>
        <v>0</v>
      </c>
      <c r="F531" s="211">
        <f>IF(COUNTBLANK('RNEW import'!M529)=1,"",'RNEW import'!O529/10000)</f>
        <v>1.1509999999999999E-2</v>
      </c>
      <c r="G531" s="217">
        <f t="shared" si="144"/>
        <v>0</v>
      </c>
      <c r="H531" s="217">
        <f t="shared" si="152"/>
        <v>0</v>
      </c>
      <c r="I531" s="329">
        <f t="shared" si="145"/>
        <v>0</v>
      </c>
      <c r="J531" s="237" t="str">
        <f t="shared" si="147"/>
        <v/>
      </c>
      <c r="K531" s="238" t="str">
        <f t="shared" si="148"/>
        <v/>
      </c>
      <c r="L531" s="238" t="str">
        <f t="shared" si="149"/>
        <v/>
      </c>
      <c r="M531" s="238" t="str">
        <f t="shared" si="150"/>
        <v/>
      </c>
      <c r="N531" s="238" t="str">
        <f t="shared" si="151"/>
        <v/>
      </c>
      <c r="O531" s="232" t="str">
        <f t="shared" si="146"/>
        <v/>
      </c>
      <c r="P531" s="219" t="str">
        <f t="shared" si="153"/>
        <v/>
      </c>
      <c r="Q531" s="219" t="str">
        <f t="shared" si="154"/>
        <v/>
      </c>
      <c r="R531" s="219" t="str">
        <f t="shared" si="155"/>
        <v/>
      </c>
      <c r="S531" s="331" t="str">
        <f t="shared" si="141"/>
        <v/>
      </c>
      <c r="T531" s="331" t="str">
        <f t="shared" si="142"/>
        <v/>
      </c>
      <c r="U531" s="331" t="str">
        <f t="shared" si="143"/>
        <v/>
      </c>
    </row>
    <row r="532" spans="1:21" ht="15.95" customHeight="1">
      <c r="A532" s="211">
        <f>IF(COUNTBLANK('RNEW import'!B530)=1,"",'RNEW import'!B530)</f>
        <v>25</v>
      </c>
      <c r="B532" s="211" t="str">
        <f>IF(COUNTBLANK('RNEW import'!D530)=1,"",'RNEW import'!D530)</f>
        <v>Aurora Mall Buzau SRL</v>
      </c>
      <c r="C532" s="211" t="str">
        <f>IF(COUNTBLANK('RNEW import'!E530)=1,"",'RNEW import'!E530)</f>
        <v>RAMB</v>
      </c>
      <c r="D532" s="211" t="str">
        <f>IF(COUNTBLANK('RNEW import'!K530)=1,"",'RNEW import'!K530)</f>
        <v>Regularizare Tarif de introducere en. el in retea (TL)</v>
      </c>
      <c r="E532" s="211">
        <f>IF(COUNTBLANK('RNEW import'!L530)=1,"",'RNEW import'!N530)</f>
        <v>0</v>
      </c>
      <c r="F532" s="211">
        <f>IF(COUNTBLANK('RNEW import'!M530)=1,"",'RNEW import'!O530/10000)</f>
        <v>3.3030000000000004E-2</v>
      </c>
      <c r="G532" s="217">
        <f t="shared" si="144"/>
        <v>0</v>
      </c>
      <c r="H532" s="217">
        <f t="shared" si="152"/>
        <v>0</v>
      </c>
      <c r="I532" s="329">
        <f t="shared" si="145"/>
        <v>0</v>
      </c>
      <c r="J532" s="237" t="str">
        <f t="shared" si="147"/>
        <v/>
      </c>
      <c r="K532" s="238" t="str">
        <f t="shared" si="148"/>
        <v/>
      </c>
      <c r="L532" s="238" t="str">
        <f t="shared" si="149"/>
        <v/>
      </c>
      <c r="M532" s="238" t="str">
        <f t="shared" si="150"/>
        <v/>
      </c>
      <c r="N532" s="238" t="str">
        <f t="shared" si="151"/>
        <v/>
      </c>
      <c r="O532" s="232" t="str">
        <f t="shared" si="146"/>
        <v/>
      </c>
      <c r="P532" s="219" t="str">
        <f t="shared" si="153"/>
        <v/>
      </c>
      <c r="Q532" s="219" t="str">
        <f t="shared" si="154"/>
        <v/>
      </c>
      <c r="R532" s="219" t="str">
        <f t="shared" si="155"/>
        <v/>
      </c>
      <c r="S532" s="331" t="str">
        <f t="shared" si="141"/>
        <v/>
      </c>
      <c r="T532" s="331" t="str">
        <f t="shared" si="142"/>
        <v/>
      </c>
      <c r="U532" s="331" t="str">
        <f t="shared" si="143"/>
        <v/>
      </c>
    </row>
    <row r="533" spans="1:21" ht="15.95" customHeight="1">
      <c r="A533" s="211">
        <f>IF(COUNTBLANK('RNEW import'!B531)=1,"",'RNEW import'!B531)</f>
        <v>26</v>
      </c>
      <c r="B533" s="211" t="str">
        <f>IF(COUNTBLANK('RNEW import'!D531)=1,"",'RNEW import'!D531)</f>
        <v>Aurora Mall Buzau SRL</v>
      </c>
      <c r="C533" s="211" t="str">
        <f>IF(COUNTBLANK('RNEW import'!E531)=1,"",'RNEW import'!E531)</f>
        <v>RAMB</v>
      </c>
      <c r="D533" s="211" t="str">
        <f>IF(COUNTBLANK('RNEW import'!K531)=1,"",'RNEW import'!K531)</f>
        <v>Regularizare Tarif de introducere en.el in retea (TG)</v>
      </c>
      <c r="E533" s="211">
        <f>IF(COUNTBLANK('RNEW import'!L531)=1,"",'RNEW import'!N531)</f>
        <v>0</v>
      </c>
      <c r="F533" s="211">
        <f>IF(COUNTBLANK('RNEW import'!M531)=1,"",'RNEW import'!O531/10000)</f>
        <v>3.29E-3</v>
      </c>
      <c r="G533" s="217">
        <f t="shared" si="144"/>
        <v>0</v>
      </c>
      <c r="H533" s="217">
        <f t="shared" si="152"/>
        <v>0</v>
      </c>
      <c r="I533" s="329">
        <f t="shared" si="145"/>
        <v>0</v>
      </c>
      <c r="J533" s="237" t="str">
        <f t="shared" si="147"/>
        <v/>
      </c>
      <c r="K533" s="238" t="str">
        <f t="shared" si="148"/>
        <v/>
      </c>
      <c r="L533" s="238" t="str">
        <f t="shared" si="149"/>
        <v/>
      </c>
      <c r="M533" s="238" t="str">
        <f t="shared" si="150"/>
        <v/>
      </c>
      <c r="N533" s="238" t="str">
        <f t="shared" si="151"/>
        <v/>
      </c>
      <c r="O533" s="232" t="str">
        <f t="shared" si="146"/>
        <v/>
      </c>
      <c r="P533" s="219" t="str">
        <f t="shared" si="153"/>
        <v/>
      </c>
      <c r="Q533" s="219" t="str">
        <f t="shared" si="154"/>
        <v/>
      </c>
      <c r="R533" s="219" t="str">
        <f t="shared" si="155"/>
        <v/>
      </c>
      <c r="S533" s="331" t="str">
        <f t="shared" si="141"/>
        <v/>
      </c>
      <c r="T533" s="331" t="str">
        <f t="shared" si="142"/>
        <v/>
      </c>
      <c r="U533" s="331" t="str">
        <f t="shared" si="143"/>
        <v/>
      </c>
    </row>
    <row r="534" spans="1:21" ht="15.95" customHeight="1">
      <c r="A534" s="211">
        <f>IF(COUNTBLANK('RNEW import'!B532)=1,"",'RNEW import'!B532)</f>
        <v>27</v>
      </c>
      <c r="B534" s="211" t="str">
        <f>IF(COUNTBLANK('RNEW import'!D532)=1,"",'RNEW import'!D532)</f>
        <v>Aurora Mall Buzau SRL</v>
      </c>
      <c r="C534" s="211" t="str">
        <f>IF(COUNTBLANK('RNEW import'!E532)=1,"",'RNEW import'!E532)</f>
        <v>RAMB</v>
      </c>
      <c r="D534" s="211" t="str">
        <f>IF(COUNTBLANK('RNEW import'!K532)=1,"",'RNEW import'!K532)</f>
        <v>Regularizare Contributie pentru cogenerare</v>
      </c>
      <c r="E534" s="211">
        <f>IF(COUNTBLANK('RNEW import'!L532)=1,"",'RNEW import'!N532)</f>
        <v>0</v>
      </c>
      <c r="F534" s="211">
        <f>IF(COUNTBLANK('RNEW import'!M532)=1,"",'RNEW import'!O532/10000)</f>
        <v>3.5000000000000001E-3</v>
      </c>
      <c r="G534" s="217">
        <f t="shared" si="144"/>
        <v>0</v>
      </c>
      <c r="H534" s="217">
        <f t="shared" si="152"/>
        <v>0</v>
      </c>
      <c r="I534" s="329">
        <f t="shared" si="145"/>
        <v>0</v>
      </c>
      <c r="J534" s="237" t="str">
        <f t="shared" si="147"/>
        <v/>
      </c>
      <c r="K534" s="238" t="str">
        <f t="shared" si="148"/>
        <v/>
      </c>
      <c r="L534" s="238" t="str">
        <f t="shared" si="149"/>
        <v/>
      </c>
      <c r="M534" s="238" t="str">
        <f t="shared" si="150"/>
        <v/>
      </c>
      <c r="N534" s="238" t="str">
        <f t="shared" si="151"/>
        <v/>
      </c>
      <c r="O534" s="232" t="str">
        <f t="shared" si="146"/>
        <v/>
      </c>
      <c r="P534" s="219" t="str">
        <f t="shared" si="153"/>
        <v/>
      </c>
      <c r="Q534" s="219" t="str">
        <f t="shared" si="154"/>
        <v/>
      </c>
      <c r="R534" s="219" t="str">
        <f t="shared" si="155"/>
        <v/>
      </c>
      <c r="S534" s="331" t="str">
        <f t="shared" ref="S534:S597" si="156">IF(COUNTBLANK(P534)=1,"",ROUND(IF(P534=$P$5,G534,IF(P534=$P$6,G534,IF(P534=$P$21,G534+G533+G532+G531,IF(P534=$P$23,G534,IF(P534=$P$24,G534,IF(P534=$P$4,SUMIFS(G:G,$B:$B,J534,A:A,"&lt;15"),IF(P534=$P$22,SUMIFS(G:G,$B:$B,J516,A:A,"&gt;18",A:A,"&lt;33")-S535-S536,IF(P534=$P$39,G534+G533+G532+G531,"eroare")))))))),2))</f>
        <v/>
      </c>
      <c r="T534" s="331" t="str">
        <f t="shared" ref="T534:T597" si="157">IF(COUNTBLANK(P534)=1,"",ROUND(IF(P534=$P$5,H534,IF(P534=$P$6,H534,IF(P534=$P$21,H534+H533+H532+H531,IF(P534=$P$23,H534,IF(P534=$P$24,H534,IF(P534=$P$4,SUMIFS(H:H,$B:$B,J534,A:A,"&lt;15"),IF(P534=$P$22,SUMIFS(H:H,$B:$B,J516,A:A,"&gt;18",A:A,"&lt;33")-T535-T536,IF(P534=$P$39,H534+H533+H532+H531,"eroare")))))))),2))</f>
        <v/>
      </c>
      <c r="U534" s="331" t="str">
        <f t="shared" ref="U534:U597" si="158">IF(COUNTBLANK(P534)=1,"",ROUND(IF(P534=$P$5,I534,IF(P534=$P$6,I534,IF(P534=$P$21,I534+I533+I532+I531,IF(P534=$P$23,I534,IF(P534=$P$24,I534,IF(P534=$P$4,SUMIFS(I:I,$B:$B,J534,A:A,"&lt;15"),IF(P534=$P$22,SUMIFS(I:I,$B:$B,J516,A:A,"&gt;18",A:A,"&lt;33")-U535-U536,IF(P534=$P$39,I534+I533+I532+I531,"eroare")))))))),2))</f>
        <v/>
      </c>
    </row>
    <row r="535" spans="1:21" ht="15.95" customHeight="1">
      <c r="A535" s="211">
        <f>IF(COUNTBLANK('RNEW import'!B533)=1,"",'RNEW import'!B533)</f>
        <v>28</v>
      </c>
      <c r="B535" s="211" t="str">
        <f>IF(COUNTBLANK('RNEW import'!D533)=1,"",'RNEW import'!D533)</f>
        <v>Aurora Mall Buzau SRL</v>
      </c>
      <c r="C535" s="211" t="str">
        <f>IF(COUNTBLANK('RNEW import'!E533)=1,"",'RNEW import'!E533)</f>
        <v>RAMB</v>
      </c>
      <c r="D535" s="211" t="str">
        <f>IF(COUNTBLANK('RNEW import'!K533)=1,"",'RNEW import'!K533)</f>
        <v xml:space="preserve">Regularizare Certificate verzi </v>
      </c>
      <c r="E535" s="211">
        <f>IF(COUNTBLANK('RNEW import'!L533)=1,"",'RNEW import'!N533)</f>
        <v>0</v>
      </c>
      <c r="F535" s="211">
        <f>IF(COUNTBLANK('RNEW import'!M533)=1,"",'RNEW import'!O533/10000)</f>
        <v>7.2541599999999998E-2</v>
      </c>
      <c r="G535" s="217">
        <f t="shared" si="144"/>
        <v>0</v>
      </c>
      <c r="H535" s="217">
        <f t="shared" si="152"/>
        <v>0</v>
      </c>
      <c r="I535" s="329">
        <f t="shared" si="145"/>
        <v>0</v>
      </c>
      <c r="J535" s="237" t="str">
        <f t="shared" si="147"/>
        <v/>
      </c>
      <c r="K535" s="238" t="str">
        <f t="shared" si="148"/>
        <v/>
      </c>
      <c r="L535" s="238" t="str">
        <f t="shared" si="149"/>
        <v/>
      </c>
      <c r="M535" s="238" t="str">
        <f t="shared" si="150"/>
        <v/>
      </c>
      <c r="N535" s="238" t="str">
        <f t="shared" si="151"/>
        <v/>
      </c>
      <c r="O535" s="232" t="str">
        <f t="shared" si="146"/>
        <v/>
      </c>
      <c r="P535" s="219" t="str">
        <f t="shared" si="153"/>
        <v/>
      </c>
      <c r="Q535" s="219" t="str">
        <f t="shared" si="154"/>
        <v/>
      </c>
      <c r="R535" s="219" t="str">
        <f t="shared" si="155"/>
        <v/>
      </c>
      <c r="S535" s="331" t="str">
        <f t="shared" si="156"/>
        <v/>
      </c>
      <c r="T535" s="331" t="str">
        <f t="shared" si="157"/>
        <v/>
      </c>
      <c r="U535" s="331" t="str">
        <f t="shared" si="158"/>
        <v/>
      </c>
    </row>
    <row r="536" spans="1:21" ht="15.95" customHeight="1">
      <c r="A536" s="211">
        <f>IF(COUNTBLANK('RNEW import'!B534)=1,"",'RNEW import'!B534)</f>
        <v>29</v>
      </c>
      <c r="B536" s="211" t="str">
        <f>IF(COUNTBLANK('RNEW import'!D534)=1,"",'RNEW import'!D534)</f>
        <v>Aurora Mall Buzau SRL</v>
      </c>
      <c r="C536" s="211" t="str">
        <f>IF(COUNTBLANK('RNEW import'!E534)=1,"",'RNEW import'!E534)</f>
        <v>RAMB</v>
      </c>
      <c r="D536" s="211" t="str">
        <f>IF(COUNTBLANK('RNEW import'!K534)=1,"",'RNEW import'!K534)</f>
        <v>Regularizare Contributie CFD</v>
      </c>
      <c r="E536" s="211">
        <f>IF(COUNTBLANK('RNEW import'!L534)=1,"",'RNEW import'!N534)</f>
        <v>0</v>
      </c>
      <c r="F536" s="211">
        <f>IF(COUNTBLANK('RNEW import'!M534)=1,"",'RNEW import'!O534/10000)</f>
        <v>2.0599999999999999E-4</v>
      </c>
      <c r="G536" s="217">
        <f t="shared" si="144"/>
        <v>0</v>
      </c>
      <c r="H536" s="217">
        <f t="shared" si="152"/>
        <v>0</v>
      </c>
      <c r="I536" s="329">
        <f t="shared" si="145"/>
        <v>0</v>
      </c>
      <c r="J536" s="237" t="str">
        <f t="shared" si="147"/>
        <v/>
      </c>
      <c r="K536" s="238" t="str">
        <f t="shared" si="148"/>
        <v/>
      </c>
      <c r="L536" s="238" t="str">
        <f t="shared" si="149"/>
        <v/>
      </c>
      <c r="M536" s="238" t="str">
        <f t="shared" si="150"/>
        <v/>
      </c>
      <c r="N536" s="238" t="str">
        <f t="shared" si="151"/>
        <v/>
      </c>
      <c r="O536" s="232" t="str">
        <f t="shared" si="146"/>
        <v/>
      </c>
      <c r="P536" s="219" t="str">
        <f t="shared" si="153"/>
        <v/>
      </c>
      <c r="Q536" s="219" t="str">
        <f t="shared" si="154"/>
        <v/>
      </c>
      <c r="R536" s="219" t="str">
        <f t="shared" si="155"/>
        <v/>
      </c>
      <c r="S536" s="331" t="str">
        <f t="shared" si="156"/>
        <v/>
      </c>
      <c r="T536" s="331" t="str">
        <f t="shared" si="157"/>
        <v/>
      </c>
      <c r="U536" s="331" t="str">
        <f t="shared" si="158"/>
        <v/>
      </c>
    </row>
    <row r="537" spans="1:21" ht="15.95" customHeight="1">
      <c r="A537" s="211">
        <f>IF(COUNTBLANK('RNEW import'!B535)=1,"",'RNEW import'!B535)</f>
        <v>30</v>
      </c>
      <c r="B537" s="211" t="str">
        <f>IF(COUNTBLANK('RNEW import'!D535)=1,"",'RNEW import'!D535)</f>
        <v>Aurora Mall Buzau SRL</v>
      </c>
      <c r="C537" s="211" t="str">
        <f>IF(COUNTBLANK('RNEW import'!E535)=1,"",'RNEW import'!E535)</f>
        <v>RAMB</v>
      </c>
      <c r="D537" s="211" t="str">
        <f>IF(COUNTBLANK('RNEW import'!K535)=1,"",'RNEW import'!K535)</f>
        <v>Regularizare Acciza</v>
      </c>
      <c r="E537" s="211">
        <f>IF(COUNTBLANK('RNEW import'!L535)=1,"",'RNEW import'!N535)</f>
        <v>0</v>
      </c>
      <c r="F537" s="211">
        <f>IF(COUNTBLANK('RNEW import'!M535)=1,"",'RNEW import'!O535/10000)</f>
        <v>0</v>
      </c>
      <c r="G537" s="217">
        <f t="shared" si="144"/>
        <v>0</v>
      </c>
      <c r="H537" s="217">
        <f t="shared" si="152"/>
        <v>0</v>
      </c>
      <c r="I537" s="329">
        <f t="shared" si="145"/>
        <v>0</v>
      </c>
      <c r="J537" s="237" t="str">
        <f t="shared" si="147"/>
        <v/>
      </c>
      <c r="K537" s="238" t="str">
        <f t="shared" si="148"/>
        <v/>
      </c>
      <c r="L537" s="238" t="str">
        <f t="shared" si="149"/>
        <v/>
      </c>
      <c r="M537" s="238" t="str">
        <f t="shared" si="150"/>
        <v/>
      </c>
      <c r="N537" s="238" t="str">
        <f t="shared" si="151"/>
        <v/>
      </c>
      <c r="O537" s="232" t="str">
        <f t="shared" si="146"/>
        <v/>
      </c>
      <c r="P537" s="219" t="str">
        <f t="shared" si="153"/>
        <v/>
      </c>
      <c r="Q537" s="219" t="str">
        <f t="shared" si="154"/>
        <v/>
      </c>
      <c r="R537" s="219" t="str">
        <f t="shared" si="155"/>
        <v/>
      </c>
      <c r="S537" s="331" t="str">
        <f t="shared" si="156"/>
        <v/>
      </c>
      <c r="T537" s="331" t="str">
        <f t="shared" si="157"/>
        <v/>
      </c>
      <c r="U537" s="331" t="str">
        <f t="shared" si="158"/>
        <v/>
      </c>
    </row>
    <row r="538" spans="1:21" ht="15.95" customHeight="1">
      <c r="A538" s="211">
        <f>IF(COUNTBLANK('RNEW import'!B536)=1,"",'RNEW import'!B536)</f>
        <v>31</v>
      </c>
      <c r="B538" s="211" t="str">
        <f>IF(COUNTBLANK('RNEW import'!D536)=1,"",'RNEW import'!D536)</f>
        <v>Aurora Mall Buzau SRL</v>
      </c>
      <c r="C538" s="211" t="str">
        <f>IF(COUNTBLANK('RNEW import'!E536)=1,"",'RNEW import'!E536)</f>
        <v>RAMB</v>
      </c>
      <c r="D538" s="211" t="str">
        <f>IF(COUNTBLANK('RNEW import'!K536)=1,"",'RNEW import'!K536)</f>
        <v>Regularizare Tarif distributie SDI MT Ea1</v>
      </c>
      <c r="E538" s="211">
        <f>IF(COUNTBLANK('RNEW import'!L536)=1,"",'RNEW import'!N536)</f>
        <v>0</v>
      </c>
      <c r="F538" s="211">
        <f>IF(COUNTBLANK('RNEW import'!M536)=1,"",'RNEW import'!O536/10000)</f>
        <v>1.49E-2</v>
      </c>
      <c r="G538" s="217">
        <f t="shared" si="144"/>
        <v>0</v>
      </c>
      <c r="H538" s="217">
        <f t="shared" si="152"/>
        <v>0</v>
      </c>
      <c r="I538" s="329">
        <f t="shared" si="145"/>
        <v>0</v>
      </c>
      <c r="J538" s="237" t="str">
        <f t="shared" si="147"/>
        <v/>
      </c>
      <c r="K538" s="238" t="str">
        <f t="shared" si="148"/>
        <v/>
      </c>
      <c r="L538" s="238" t="str">
        <f t="shared" si="149"/>
        <v/>
      </c>
      <c r="M538" s="238" t="str">
        <f t="shared" si="150"/>
        <v/>
      </c>
      <c r="N538" s="238" t="str">
        <f t="shared" si="151"/>
        <v/>
      </c>
      <c r="O538" s="232" t="str">
        <f t="shared" si="146"/>
        <v/>
      </c>
      <c r="P538" s="219" t="str">
        <f t="shared" si="153"/>
        <v/>
      </c>
      <c r="Q538" s="219" t="str">
        <f t="shared" si="154"/>
        <v/>
      </c>
      <c r="R538" s="219" t="str">
        <f t="shared" si="155"/>
        <v/>
      </c>
      <c r="S538" s="331" t="str">
        <f t="shared" si="156"/>
        <v/>
      </c>
      <c r="T538" s="331" t="str">
        <f t="shared" si="157"/>
        <v/>
      </c>
      <c r="U538" s="331" t="str">
        <f t="shared" si="158"/>
        <v/>
      </c>
    </row>
    <row r="539" spans="1:21" ht="15.95" customHeight="1">
      <c r="A539" s="211">
        <f>IF(COUNTBLANK('RNEW import'!B537)=1,"",'RNEW import'!B537)</f>
        <v>32</v>
      </c>
      <c r="B539" s="211" t="str">
        <f>IF(COUNTBLANK('RNEW import'!D537)=1,"",'RNEW import'!D537)</f>
        <v>Aurora Mall Buzau SRL</v>
      </c>
      <c r="C539" s="211" t="str">
        <f>IF(COUNTBLANK('RNEW import'!E537)=1,"",'RNEW import'!E537)</f>
        <v>RAMB</v>
      </c>
      <c r="D539" s="211" t="str">
        <f>IF(COUNTBLANK('RNEW import'!K537)=1,"",'RNEW import'!K537)</f>
        <v>Regularizare Tarif distributie SDI JT Ea1</v>
      </c>
      <c r="E539" s="211">
        <f>IF(COUNTBLANK('RNEW import'!L537)=1,"",'RNEW import'!N537)</f>
        <v>0</v>
      </c>
      <c r="F539" s="211">
        <f>IF(COUNTBLANK('RNEW import'!M537)=1,"",'RNEW import'!O537/10000)</f>
        <v>0.1192</v>
      </c>
      <c r="G539" s="217">
        <f t="shared" si="144"/>
        <v>0</v>
      </c>
      <c r="H539" s="217">
        <f t="shared" si="152"/>
        <v>0</v>
      </c>
      <c r="I539" s="329">
        <f t="shared" si="145"/>
        <v>0</v>
      </c>
      <c r="J539" s="237" t="str">
        <f t="shared" si="147"/>
        <v/>
      </c>
      <c r="K539" s="238" t="str">
        <f t="shared" si="148"/>
        <v/>
      </c>
      <c r="L539" s="238" t="str">
        <f t="shared" si="149"/>
        <v/>
      </c>
      <c r="M539" s="238" t="str">
        <f t="shared" si="150"/>
        <v/>
      </c>
      <c r="N539" s="238" t="str">
        <f t="shared" si="151"/>
        <v/>
      </c>
      <c r="O539" s="232" t="str">
        <f t="shared" si="146"/>
        <v/>
      </c>
      <c r="P539" s="219" t="str">
        <f t="shared" si="153"/>
        <v/>
      </c>
      <c r="Q539" s="219" t="str">
        <f t="shared" si="154"/>
        <v/>
      </c>
      <c r="R539" s="219" t="str">
        <f t="shared" si="155"/>
        <v/>
      </c>
      <c r="S539" s="331" t="str">
        <f t="shared" si="156"/>
        <v/>
      </c>
      <c r="T539" s="331" t="str">
        <f t="shared" si="157"/>
        <v/>
      </c>
      <c r="U539" s="331" t="str">
        <f t="shared" si="158"/>
        <v/>
      </c>
    </row>
    <row r="540" spans="1:21" ht="15.95" customHeight="1">
      <c r="A540" s="211">
        <f>IF(COUNTBLANK('RNEW import'!B538)=1,"",'RNEW import'!B538)</f>
        <v>33</v>
      </c>
      <c r="B540" s="211" t="str">
        <f>IF(COUNTBLANK('RNEW import'!D538)=1,"",'RNEW import'!D538)</f>
        <v>Aurora Mall Buzau SRL</v>
      </c>
      <c r="C540" s="211" t="str">
        <f>IF(COUNTBLANK('RNEW import'!E538)=1,"",'RNEW import'!E538)</f>
        <v>RAMB</v>
      </c>
      <c r="D540" s="211" t="str">
        <f>IF(COUNTBLANK('RNEW import'!K538)=1,"",'RNEW import'!K538)</f>
        <v>Regularizare Energie activa 2</v>
      </c>
      <c r="E540" s="211">
        <f>IF(COUNTBLANK('RNEW import'!L538)=1,"",'RNEW import'!N538)</f>
        <v>0</v>
      </c>
      <c r="F540" s="211">
        <f>IF(COUNTBLANK('RNEW import'!M538)=1,"",'RNEW import'!O538/10000)</f>
        <v>0.96800760000000008</v>
      </c>
      <c r="G540" s="217">
        <f t="shared" si="144"/>
        <v>0</v>
      </c>
      <c r="H540" s="217">
        <f t="shared" si="152"/>
        <v>0</v>
      </c>
      <c r="I540" s="329">
        <f t="shared" si="145"/>
        <v>0</v>
      </c>
      <c r="J540" s="237" t="str">
        <f t="shared" si="147"/>
        <v/>
      </c>
      <c r="K540" s="238" t="str">
        <f t="shared" si="148"/>
        <v/>
      </c>
      <c r="L540" s="238" t="str">
        <f t="shared" si="149"/>
        <v/>
      </c>
      <c r="M540" s="238" t="str">
        <f t="shared" si="150"/>
        <v/>
      </c>
      <c r="N540" s="238" t="str">
        <f t="shared" si="151"/>
        <v/>
      </c>
      <c r="O540" s="232" t="str">
        <f t="shared" si="146"/>
        <v/>
      </c>
      <c r="P540" s="219" t="str">
        <f t="shared" si="153"/>
        <v/>
      </c>
      <c r="Q540" s="219" t="str">
        <f t="shared" si="154"/>
        <v/>
      </c>
      <c r="R540" s="219" t="str">
        <f t="shared" si="155"/>
        <v/>
      </c>
      <c r="S540" s="331" t="str">
        <f t="shared" si="156"/>
        <v/>
      </c>
      <c r="T540" s="331" t="str">
        <f t="shared" si="157"/>
        <v/>
      </c>
      <c r="U540" s="331" t="str">
        <f t="shared" si="158"/>
        <v/>
      </c>
    </row>
    <row r="541" spans="1:21" ht="15.95" customHeight="1">
      <c r="A541" s="211">
        <f>IF(COUNTBLANK('RNEW import'!B539)=1,"",'RNEW import'!B539)</f>
        <v>34</v>
      </c>
      <c r="B541" s="211" t="str">
        <f>IF(COUNTBLANK('RNEW import'!D539)=1,"",'RNEW import'!D539)</f>
        <v>Aurora Mall Buzau SRL</v>
      </c>
      <c r="C541" s="211" t="str">
        <f>IF(COUNTBLANK('RNEW import'!E539)=1,"",'RNEW import'!E539)</f>
        <v>RAMB</v>
      </c>
      <c r="D541" s="211" t="str">
        <f>IF(COUNTBLANK('RNEW import'!K539)=1,"",'RNEW import'!K539)</f>
        <v>Regularizare Energie activa 3</v>
      </c>
      <c r="E541" s="211">
        <f>IF(COUNTBLANK('RNEW import'!L539)=1,"",'RNEW import'!N539)</f>
        <v>0</v>
      </c>
      <c r="F541" s="211">
        <f>IF(COUNTBLANK('RNEW import'!M539)=1,"",'RNEW import'!O539/10000)</f>
        <v>0.83390760000000008</v>
      </c>
      <c r="G541" s="217">
        <f t="shared" si="144"/>
        <v>0</v>
      </c>
      <c r="H541" s="217">
        <f t="shared" si="152"/>
        <v>0</v>
      </c>
      <c r="I541" s="329">
        <f t="shared" si="145"/>
        <v>0</v>
      </c>
      <c r="J541" s="237" t="str">
        <f t="shared" si="147"/>
        <v/>
      </c>
      <c r="K541" s="238" t="str">
        <f t="shared" si="148"/>
        <v/>
      </c>
      <c r="L541" s="238" t="str">
        <f t="shared" si="149"/>
        <v/>
      </c>
      <c r="M541" s="238" t="str">
        <f t="shared" si="150"/>
        <v/>
      </c>
      <c r="N541" s="238" t="str">
        <f t="shared" si="151"/>
        <v/>
      </c>
      <c r="O541" s="232" t="str">
        <f t="shared" si="146"/>
        <v/>
      </c>
      <c r="P541" s="219" t="str">
        <f t="shared" si="153"/>
        <v/>
      </c>
      <c r="Q541" s="219" t="str">
        <f t="shared" si="154"/>
        <v/>
      </c>
      <c r="R541" s="219" t="str">
        <f t="shared" si="155"/>
        <v/>
      </c>
      <c r="S541" s="331" t="str">
        <f t="shared" si="156"/>
        <v/>
      </c>
      <c r="T541" s="331" t="str">
        <f t="shared" si="157"/>
        <v/>
      </c>
      <c r="U541" s="331" t="str">
        <f t="shared" si="158"/>
        <v/>
      </c>
    </row>
    <row r="542" spans="1:21" ht="15.95" customHeight="1">
      <c r="A542" s="211">
        <f>IF(COUNTBLANK('RNEW import'!B540)=1,"",'RNEW import'!B540)</f>
        <v>35</v>
      </c>
      <c r="B542" s="211" t="str">
        <f>IF(COUNTBLANK('RNEW import'!D540)=1,"",'RNEW import'!D540)</f>
        <v>Aurora Mall Buzau SRL</v>
      </c>
      <c r="C542" s="211" t="str">
        <f>IF(COUNTBLANK('RNEW import'!E540)=1,"",'RNEW import'!E540)</f>
        <v>RAMB</v>
      </c>
      <c r="D542" s="211" t="str">
        <f>IF(COUNTBLANK('RNEW import'!K540)=1,"",'RNEW import'!K540)</f>
        <v>Regularizare Tarif distributie SDI MT Ea3</v>
      </c>
      <c r="E542" s="211">
        <f>IF(COUNTBLANK('RNEW import'!L540)=1,"",'RNEW import'!N540)</f>
        <v>0</v>
      </c>
      <c r="F542" s="211">
        <f>IF(COUNTBLANK('RNEW import'!M540)=1,"",'RNEW import'!O540/10000)</f>
        <v>1.49E-2</v>
      </c>
      <c r="G542" s="217">
        <f t="shared" si="144"/>
        <v>0</v>
      </c>
      <c r="H542" s="217">
        <f t="shared" si="152"/>
        <v>0</v>
      </c>
      <c r="I542" s="329">
        <f t="shared" si="145"/>
        <v>0</v>
      </c>
      <c r="J542" s="237" t="str">
        <f t="shared" si="147"/>
        <v/>
      </c>
      <c r="K542" s="238" t="str">
        <f t="shared" si="148"/>
        <v/>
      </c>
      <c r="L542" s="238" t="str">
        <f t="shared" si="149"/>
        <v/>
      </c>
      <c r="M542" s="238" t="str">
        <f t="shared" si="150"/>
        <v/>
      </c>
      <c r="N542" s="238" t="str">
        <f t="shared" si="151"/>
        <v/>
      </c>
      <c r="O542" s="232" t="str">
        <f t="shared" si="146"/>
        <v/>
      </c>
      <c r="P542" s="219" t="str">
        <f t="shared" si="153"/>
        <v/>
      </c>
      <c r="Q542" s="219" t="str">
        <f t="shared" si="154"/>
        <v/>
      </c>
      <c r="R542" s="219" t="str">
        <f t="shared" si="155"/>
        <v/>
      </c>
      <c r="S542" s="331" t="str">
        <f t="shared" si="156"/>
        <v/>
      </c>
      <c r="T542" s="331" t="str">
        <f t="shared" si="157"/>
        <v/>
      </c>
      <c r="U542" s="331" t="str">
        <f t="shared" si="158"/>
        <v/>
      </c>
    </row>
    <row r="543" spans="1:21" ht="15.95" customHeight="1">
      <c r="A543" s="211">
        <f>IF(COUNTBLANK('RNEW import'!B541)=1,"",'RNEW import'!B541)</f>
        <v>36</v>
      </c>
      <c r="B543" s="211" t="str">
        <f>IF(COUNTBLANK('RNEW import'!D541)=1,"",'RNEW import'!D541)</f>
        <v>Aurora Mall Buzau SRL</v>
      </c>
      <c r="C543" s="211" t="str">
        <f>IF(COUNTBLANK('RNEW import'!E541)=1,"",'RNEW import'!E541)</f>
        <v>RAMB</v>
      </c>
      <c r="D543" s="211" t="str">
        <f>IF(COUNTBLANK('RNEW import'!K541)=1,"",'RNEW import'!K541)</f>
        <v>Regularizare Tarif distributie SDI JT Ea3</v>
      </c>
      <c r="E543" s="211">
        <f>IF(COUNTBLANK('RNEW import'!L541)=1,"",'RNEW import'!N541)</f>
        <v>0</v>
      </c>
      <c r="F543" s="211">
        <f>IF(COUNTBLANK('RNEW import'!M541)=1,"",'RNEW import'!O541/10000)</f>
        <v>0.1192</v>
      </c>
      <c r="G543" s="217">
        <f t="shared" si="144"/>
        <v>0</v>
      </c>
      <c r="H543" s="217">
        <f t="shared" si="152"/>
        <v>0</v>
      </c>
      <c r="I543" s="329">
        <f t="shared" si="145"/>
        <v>0</v>
      </c>
      <c r="J543" s="237" t="str">
        <f t="shared" si="147"/>
        <v/>
      </c>
      <c r="K543" s="238" t="str">
        <f t="shared" si="148"/>
        <v/>
      </c>
      <c r="L543" s="238" t="str">
        <f t="shared" si="149"/>
        <v/>
      </c>
      <c r="M543" s="238" t="str">
        <f t="shared" si="150"/>
        <v/>
      </c>
      <c r="N543" s="238" t="str">
        <f t="shared" si="151"/>
        <v/>
      </c>
      <c r="O543" s="232" t="str">
        <f t="shared" si="146"/>
        <v/>
      </c>
      <c r="P543" s="219" t="str">
        <f t="shared" si="153"/>
        <v>Energie consumata din PV regularizare</v>
      </c>
      <c r="Q543" s="219">
        <f t="shared" si="154"/>
        <v>0</v>
      </c>
      <c r="R543" s="219">
        <f t="shared" si="155"/>
        <v>0</v>
      </c>
      <c r="S543" s="331">
        <f t="shared" si="156"/>
        <v>0</v>
      </c>
      <c r="T543" s="331">
        <f t="shared" si="157"/>
        <v>0</v>
      </c>
      <c r="U543" s="331">
        <f t="shared" si="158"/>
        <v>0</v>
      </c>
    </row>
    <row r="544" spans="1:21" ht="15.95" customHeight="1">
      <c r="A544" s="211">
        <f>IF(COUNTBLANK('RNEW import'!B542)=1,"",'RNEW import'!B542)</f>
        <v>1</v>
      </c>
      <c r="B544" s="211" t="str">
        <f>IF(COUNTBLANK('RNEW import'!D542)=1,"",'RNEW import'!D542)</f>
        <v>General Building Management SRL</v>
      </c>
      <c r="C544" s="211" t="str">
        <f>IF(COUNTBLANK('RNEW import'!E542)=1,"",'RNEW import'!E542)</f>
        <v>RGBM</v>
      </c>
      <c r="D544" s="211" t="str">
        <f>IF(COUNTBLANK('RNEW import'!K542)=1,"",'RNEW import'!K542)</f>
        <v>Energie activa 1</v>
      </c>
      <c r="E544" s="211">
        <f>IF(COUNTBLANK('RNEW import'!L542)=1,"",'RNEW import'!N542)</f>
        <v>840199</v>
      </c>
      <c r="F544" s="211">
        <f>IF(COUNTBLANK('RNEW import'!M542)=1,"",'RNEW import'!O542/10000)</f>
        <v>0.59499999999999997</v>
      </c>
      <c r="G544" s="217">
        <f t="shared" si="144"/>
        <v>499918.41</v>
      </c>
      <c r="H544" s="217">
        <f t="shared" si="152"/>
        <v>94984.5</v>
      </c>
      <c r="I544" s="329">
        <f t="shared" si="145"/>
        <v>594902.90999999992</v>
      </c>
      <c r="J544" s="237" t="str">
        <f t="shared" si="147"/>
        <v>General Building Management SRL</v>
      </c>
      <c r="K544" s="238">
        <f t="shared" si="148"/>
        <v>115883.59</v>
      </c>
      <c r="L544" s="238">
        <f t="shared" si="149"/>
        <v>721584.04999999981</v>
      </c>
      <c r="M544" s="238">
        <f t="shared" si="150"/>
        <v>448675.83</v>
      </c>
      <c r="N544" s="238">
        <f t="shared" si="151"/>
        <v>966502</v>
      </c>
      <c r="O544" s="232" t="str">
        <f t="shared" si="146"/>
        <v>General Building Management SRL</v>
      </c>
      <c r="P544" s="219" t="str">
        <f t="shared" si="153"/>
        <v>Enegie activa</v>
      </c>
      <c r="Q544" s="219">
        <f t="shared" si="154"/>
        <v>840199</v>
      </c>
      <c r="R544" s="219">
        <f t="shared" si="155"/>
        <v>0.97511800000000004</v>
      </c>
      <c r="S544" s="331">
        <f t="shared" si="156"/>
        <v>819292.83</v>
      </c>
      <c r="T544" s="331">
        <f t="shared" si="157"/>
        <v>155665.64000000001</v>
      </c>
      <c r="U544" s="331">
        <f t="shared" si="158"/>
        <v>974958.47</v>
      </c>
    </row>
    <row r="545" spans="1:21" ht="15.95" customHeight="1">
      <c r="A545" s="211">
        <f>IF(COUNTBLANK('RNEW import'!B543)=1,"",'RNEW import'!B543)</f>
        <v>2</v>
      </c>
      <c r="B545" s="211" t="str">
        <f>IF(COUNTBLANK('RNEW import'!D543)=1,"",'RNEW import'!D543)</f>
        <v>General Building Management SRL</v>
      </c>
      <c r="C545" s="211" t="str">
        <f>IF(COUNTBLANK('RNEW import'!E543)=1,"",'RNEW import'!E543)</f>
        <v>RGBM</v>
      </c>
      <c r="D545" s="211" t="str">
        <f>IF(COUNTBLANK('RNEW import'!K543)=1,"",'RNEW import'!K543)</f>
        <v>Energie reactiva  1X</v>
      </c>
      <c r="E545" s="211">
        <f>IF(COUNTBLANK('RNEW import'!L543)=1,"",'RNEW import'!N543)</f>
        <v>0</v>
      </c>
      <c r="F545" s="211">
        <f>IF(COUNTBLANK('RNEW import'!M543)=1,"",'RNEW import'!O543/10000)</f>
        <v>0.14649999999999999</v>
      </c>
      <c r="G545" s="217">
        <f t="shared" si="144"/>
        <v>0</v>
      </c>
      <c r="H545" s="217">
        <f t="shared" si="152"/>
        <v>0</v>
      </c>
      <c r="I545" s="329">
        <f t="shared" si="145"/>
        <v>0</v>
      </c>
      <c r="J545" s="237" t="str">
        <f t="shared" si="147"/>
        <v/>
      </c>
      <c r="K545" s="238" t="str">
        <f t="shared" si="148"/>
        <v/>
      </c>
      <c r="L545" s="238" t="str">
        <f t="shared" si="149"/>
        <v/>
      </c>
      <c r="M545" s="238" t="str">
        <f t="shared" si="150"/>
        <v/>
      </c>
      <c r="N545" s="238" t="str">
        <f t="shared" si="151"/>
        <v/>
      </c>
      <c r="O545" s="232" t="str">
        <f t="shared" si="146"/>
        <v/>
      </c>
      <c r="P545" s="219" t="str">
        <f t="shared" si="153"/>
        <v>Energie reactiva 1x</v>
      </c>
      <c r="Q545" s="219">
        <f t="shared" si="154"/>
        <v>0</v>
      </c>
      <c r="R545" s="219">
        <f t="shared" si="155"/>
        <v>0.14649999999999999</v>
      </c>
      <c r="S545" s="331">
        <f t="shared" si="156"/>
        <v>0</v>
      </c>
      <c r="T545" s="331">
        <f t="shared" si="157"/>
        <v>0</v>
      </c>
      <c r="U545" s="331">
        <f t="shared" si="158"/>
        <v>0</v>
      </c>
    </row>
    <row r="546" spans="1:21" ht="15.95" customHeight="1">
      <c r="A546" s="211">
        <f>IF(COUNTBLANK('RNEW import'!B544)=1,"",'RNEW import'!B544)</f>
        <v>3</v>
      </c>
      <c r="B546" s="211" t="str">
        <f>IF(COUNTBLANK('RNEW import'!D544)=1,"",'RNEW import'!D544)</f>
        <v>General Building Management SRL</v>
      </c>
      <c r="C546" s="211" t="str">
        <f>IF(COUNTBLANK('RNEW import'!E544)=1,"",'RNEW import'!E544)</f>
        <v>RGBM</v>
      </c>
      <c r="D546" s="211" t="str">
        <f>IF(COUNTBLANK('RNEW import'!K544)=1,"",'RNEW import'!K544)</f>
        <v>Energie reactiva  3X</v>
      </c>
      <c r="E546" s="211">
        <f>IF(COUNTBLANK('RNEW import'!L544)=1,"",'RNEW import'!N544)</f>
        <v>0</v>
      </c>
      <c r="F546" s="211">
        <f>IF(COUNTBLANK('RNEW import'!M544)=1,"",'RNEW import'!O544/10000)</f>
        <v>0.4395</v>
      </c>
      <c r="G546" s="217">
        <f t="shared" si="144"/>
        <v>0</v>
      </c>
      <c r="H546" s="217">
        <f t="shared" si="152"/>
        <v>0</v>
      </c>
      <c r="I546" s="329">
        <f t="shared" si="145"/>
        <v>0</v>
      </c>
      <c r="J546" s="237" t="str">
        <f t="shared" si="147"/>
        <v/>
      </c>
      <c r="K546" s="238" t="str">
        <f t="shared" si="148"/>
        <v/>
      </c>
      <c r="L546" s="238" t="str">
        <f t="shared" si="149"/>
        <v/>
      </c>
      <c r="M546" s="238" t="str">
        <f t="shared" si="150"/>
        <v/>
      </c>
      <c r="N546" s="238" t="str">
        <f t="shared" si="151"/>
        <v/>
      </c>
      <c r="O546" s="232" t="str">
        <f t="shared" si="146"/>
        <v/>
      </c>
      <c r="P546" s="219" t="str">
        <f t="shared" si="153"/>
        <v>Energie reactiva 3x</v>
      </c>
      <c r="Q546" s="219">
        <f t="shared" si="154"/>
        <v>0</v>
      </c>
      <c r="R546" s="219">
        <f t="shared" si="155"/>
        <v>0.4395</v>
      </c>
      <c r="S546" s="331">
        <f t="shared" si="156"/>
        <v>0</v>
      </c>
      <c r="T546" s="331">
        <f t="shared" si="157"/>
        <v>0</v>
      </c>
      <c r="U546" s="331">
        <f t="shared" si="158"/>
        <v>0</v>
      </c>
    </row>
    <row r="547" spans="1:21" ht="15.95" customHeight="1">
      <c r="A547" s="211">
        <f>IF(COUNTBLANK('RNEW import'!B545)=1,"",'RNEW import'!B545)</f>
        <v>4</v>
      </c>
      <c r="B547" s="211" t="str">
        <f>IF(COUNTBLANK('RNEW import'!D545)=1,"",'RNEW import'!D545)</f>
        <v>General Building Management SRL</v>
      </c>
      <c r="C547" s="211" t="str">
        <f>IF(COUNTBLANK('RNEW import'!E545)=1,"",'RNEW import'!E545)</f>
        <v>RGBM</v>
      </c>
      <c r="D547" s="211" t="str">
        <f>IF(COUNTBLANK('RNEW import'!K545)=1,"",'RNEW import'!K545)</f>
        <v>Tarife distributie en. El IT+MT</v>
      </c>
      <c r="E547" s="211">
        <f>IF(COUNTBLANK('RNEW import'!L545)=1,"",'RNEW import'!N545)</f>
        <v>840199</v>
      </c>
      <c r="F547" s="211">
        <f>IF(COUNTBLANK('RNEW import'!M545)=1,"",'RNEW import'!O545/10000)</f>
        <v>0.13613999999999998</v>
      </c>
      <c r="G547" s="217">
        <f t="shared" si="144"/>
        <v>114384.69</v>
      </c>
      <c r="H547" s="217">
        <f t="shared" si="152"/>
        <v>21733.09</v>
      </c>
      <c r="I547" s="329">
        <f t="shared" si="145"/>
        <v>136117.78</v>
      </c>
      <c r="J547" s="237" t="str">
        <f t="shared" si="147"/>
        <v/>
      </c>
      <c r="K547" s="238" t="str">
        <f t="shared" si="148"/>
        <v/>
      </c>
      <c r="L547" s="238" t="str">
        <f t="shared" si="149"/>
        <v/>
      </c>
      <c r="M547" s="238" t="str">
        <f t="shared" si="150"/>
        <v/>
      </c>
      <c r="N547" s="238" t="str">
        <f t="shared" si="151"/>
        <v/>
      </c>
      <c r="O547" s="233" t="str">
        <f t="shared" si="146"/>
        <v/>
      </c>
      <c r="P547" s="219" t="str">
        <f t="shared" si="153"/>
        <v/>
      </c>
      <c r="Q547" s="219" t="str">
        <f t="shared" si="154"/>
        <v/>
      </c>
      <c r="R547" s="219" t="str">
        <f t="shared" si="155"/>
        <v/>
      </c>
      <c r="S547" s="331" t="str">
        <f t="shared" si="156"/>
        <v/>
      </c>
      <c r="T547" s="331" t="str">
        <f t="shared" si="157"/>
        <v/>
      </c>
      <c r="U547" s="331" t="str">
        <f t="shared" si="158"/>
        <v/>
      </c>
    </row>
    <row r="548" spans="1:21" ht="15.95" customHeight="1">
      <c r="A548" s="211">
        <f>IF(COUNTBLANK('RNEW import'!B546)=1,"",'RNEW import'!B546)</f>
        <v>5</v>
      </c>
      <c r="B548" s="211" t="str">
        <f>IF(COUNTBLANK('RNEW import'!D546)=1,"",'RNEW import'!D546)</f>
        <v>General Building Management SRL</v>
      </c>
      <c r="C548" s="211" t="str">
        <f>IF(COUNTBLANK('RNEW import'!E546)=1,"",'RNEW import'!E546)</f>
        <v>RGBM</v>
      </c>
      <c r="D548" s="211" t="str">
        <f>IF(COUNTBLANK('RNEW import'!K546)=1,"",'RNEW import'!K546)</f>
        <v>Tarife distributie en. El JT</v>
      </c>
      <c r="E548" s="211">
        <f>IF(COUNTBLANK('RNEW import'!L546)=1,"",'RNEW import'!N546)</f>
        <v>0</v>
      </c>
      <c r="F548" s="211">
        <f>IF(COUNTBLANK('RNEW import'!M546)=1,"",'RNEW import'!O546/10000)</f>
        <v>0.22738999999999995</v>
      </c>
      <c r="G548" s="217">
        <f t="shared" si="144"/>
        <v>0</v>
      </c>
      <c r="H548" s="217">
        <f t="shared" si="152"/>
        <v>0</v>
      </c>
      <c r="I548" s="329">
        <f t="shared" si="145"/>
        <v>0</v>
      </c>
      <c r="J548" s="237" t="str">
        <f t="shared" si="147"/>
        <v/>
      </c>
      <c r="K548" s="238" t="str">
        <f t="shared" si="148"/>
        <v/>
      </c>
      <c r="L548" s="238" t="str">
        <f t="shared" si="149"/>
        <v/>
      </c>
      <c r="M548" s="238" t="str">
        <f t="shared" si="150"/>
        <v/>
      </c>
      <c r="N548" s="238" t="str">
        <f t="shared" si="151"/>
        <v/>
      </c>
      <c r="O548" s="218" t="str">
        <f t="shared" si="146"/>
        <v/>
      </c>
      <c r="P548" s="219" t="str">
        <f t="shared" si="153"/>
        <v/>
      </c>
      <c r="Q548" s="219" t="str">
        <f t="shared" si="154"/>
        <v/>
      </c>
      <c r="R548" s="219" t="str">
        <f t="shared" si="155"/>
        <v/>
      </c>
      <c r="S548" s="331" t="str">
        <f t="shared" si="156"/>
        <v/>
      </c>
      <c r="T548" s="331" t="str">
        <f t="shared" si="157"/>
        <v/>
      </c>
      <c r="U548" s="331" t="str">
        <f t="shared" si="158"/>
        <v/>
      </c>
    </row>
    <row r="549" spans="1:21" ht="15.95" customHeight="1">
      <c r="A549" s="211">
        <f>IF(COUNTBLANK('RNEW import'!B547)=1,"",'RNEW import'!B547)</f>
        <v>6</v>
      </c>
      <c r="B549" s="211" t="str">
        <f>IF(COUNTBLANK('RNEW import'!D547)=1,"",'RNEW import'!D547)</f>
        <v>General Building Management SRL</v>
      </c>
      <c r="C549" s="211" t="str">
        <f>IF(COUNTBLANK('RNEW import'!E547)=1,"",'RNEW import'!E547)</f>
        <v>RGBM</v>
      </c>
      <c r="D549" s="211" t="str">
        <f>IF(COUNTBLANK('RNEW import'!K547)=1,"",'RNEW import'!K547)</f>
        <v xml:space="preserve">Servicii Sistem </v>
      </c>
      <c r="E549" s="211">
        <f>IF(COUNTBLANK('RNEW import'!L547)=1,"",'RNEW import'!N547)</f>
        <v>840199</v>
      </c>
      <c r="F549" s="211">
        <f>IF(COUNTBLANK('RNEW import'!M547)=1,"",'RNEW import'!O547/10000)</f>
        <v>1.1509999999999999E-2</v>
      </c>
      <c r="G549" s="217">
        <f t="shared" ref="G549:G612" si="159">ROUND(E549*F549,2)</f>
        <v>9670.69</v>
      </c>
      <c r="H549" s="217">
        <f t="shared" si="152"/>
        <v>1837.43</v>
      </c>
      <c r="I549" s="329">
        <f t="shared" ref="I549:I612" si="160">G549+H549</f>
        <v>11508.12</v>
      </c>
      <c r="J549" s="237" t="str">
        <f t="shared" si="147"/>
        <v/>
      </c>
      <c r="K549" s="238" t="str">
        <f t="shared" si="148"/>
        <v/>
      </c>
      <c r="L549" s="238" t="str">
        <f t="shared" si="149"/>
        <v/>
      </c>
      <c r="M549" s="238" t="str">
        <f t="shared" si="150"/>
        <v/>
      </c>
      <c r="N549" s="238" t="str">
        <f t="shared" si="151"/>
        <v/>
      </c>
      <c r="O549" s="232" t="str">
        <f t="shared" si="146"/>
        <v/>
      </c>
      <c r="P549" s="219" t="str">
        <f t="shared" si="153"/>
        <v/>
      </c>
      <c r="Q549" s="219" t="str">
        <f t="shared" si="154"/>
        <v/>
      </c>
      <c r="R549" s="219" t="str">
        <f t="shared" si="155"/>
        <v/>
      </c>
      <c r="S549" s="331" t="str">
        <f t="shared" si="156"/>
        <v/>
      </c>
      <c r="T549" s="331" t="str">
        <f t="shared" si="157"/>
        <v/>
      </c>
      <c r="U549" s="331" t="str">
        <f t="shared" si="158"/>
        <v/>
      </c>
    </row>
    <row r="550" spans="1:21" ht="15.95" customHeight="1">
      <c r="A550" s="211">
        <f>IF(COUNTBLANK('RNEW import'!B548)=1,"",'RNEW import'!B548)</f>
        <v>7</v>
      </c>
      <c r="B550" s="211" t="str">
        <f>IF(COUNTBLANK('RNEW import'!D548)=1,"",'RNEW import'!D548)</f>
        <v>General Building Management SRL</v>
      </c>
      <c r="C550" s="211" t="str">
        <f>IF(COUNTBLANK('RNEW import'!E548)=1,"",'RNEW import'!E548)</f>
        <v>RGBM</v>
      </c>
      <c r="D550" s="211" t="str">
        <f>IF(COUNTBLANK('RNEW import'!K548)=1,"",'RNEW import'!K548)</f>
        <v>Tarif de introducere en. el in retea (TL)</v>
      </c>
      <c r="E550" s="211">
        <f>IF(COUNTBLANK('RNEW import'!L548)=1,"",'RNEW import'!N548)</f>
        <v>840199</v>
      </c>
      <c r="F550" s="211">
        <f>IF(COUNTBLANK('RNEW import'!M548)=1,"",'RNEW import'!O548/10000)</f>
        <v>3.3030000000000004E-2</v>
      </c>
      <c r="G550" s="217">
        <f t="shared" si="159"/>
        <v>27751.77</v>
      </c>
      <c r="H550" s="217">
        <f t="shared" si="152"/>
        <v>5272.84</v>
      </c>
      <c r="I550" s="329">
        <f t="shared" si="160"/>
        <v>33024.61</v>
      </c>
      <c r="J550" s="237" t="str">
        <f t="shared" si="147"/>
        <v/>
      </c>
      <c r="K550" s="238" t="str">
        <f t="shared" si="148"/>
        <v/>
      </c>
      <c r="L550" s="238" t="str">
        <f t="shared" si="149"/>
        <v/>
      </c>
      <c r="M550" s="238" t="str">
        <f t="shared" si="150"/>
        <v/>
      </c>
      <c r="N550" s="238" t="str">
        <f t="shared" si="151"/>
        <v/>
      </c>
      <c r="O550" s="232" t="str">
        <f t="shared" ref="O550:O613" si="161">IF(A550=1,B550,"")</f>
        <v/>
      </c>
      <c r="P550" s="219" t="str">
        <f t="shared" si="153"/>
        <v/>
      </c>
      <c r="Q550" s="219" t="str">
        <f t="shared" si="154"/>
        <v/>
      </c>
      <c r="R550" s="219" t="str">
        <f t="shared" si="155"/>
        <v/>
      </c>
      <c r="S550" s="331" t="str">
        <f t="shared" si="156"/>
        <v/>
      </c>
      <c r="T550" s="331" t="str">
        <f t="shared" si="157"/>
        <v/>
      </c>
      <c r="U550" s="331" t="str">
        <f t="shared" si="158"/>
        <v/>
      </c>
    </row>
    <row r="551" spans="1:21" ht="15.95" customHeight="1">
      <c r="A551" s="211">
        <f>IF(COUNTBLANK('RNEW import'!B549)=1,"",'RNEW import'!B549)</f>
        <v>8</v>
      </c>
      <c r="B551" s="211" t="str">
        <f>IF(COUNTBLANK('RNEW import'!D549)=1,"",'RNEW import'!D549)</f>
        <v>General Building Management SRL</v>
      </c>
      <c r="C551" s="211" t="str">
        <f>IF(COUNTBLANK('RNEW import'!E549)=1,"",'RNEW import'!E549)</f>
        <v>RGBM</v>
      </c>
      <c r="D551" s="211" t="str">
        <f>IF(COUNTBLANK('RNEW import'!K549)=1,"",'RNEW import'!K549)</f>
        <v>Tarif de introducere en.el in retea (TG)</v>
      </c>
      <c r="E551" s="211">
        <f>IF(COUNTBLANK('RNEW import'!L549)=1,"",'RNEW import'!N549)</f>
        <v>840199</v>
      </c>
      <c r="F551" s="211">
        <f>IF(COUNTBLANK('RNEW import'!M549)=1,"",'RNEW import'!O549/10000)</f>
        <v>3.29E-3</v>
      </c>
      <c r="G551" s="217">
        <f t="shared" si="159"/>
        <v>2764.25</v>
      </c>
      <c r="H551" s="217">
        <f t="shared" si="152"/>
        <v>525.21</v>
      </c>
      <c r="I551" s="329">
        <f t="shared" si="160"/>
        <v>3289.46</v>
      </c>
      <c r="J551" s="237" t="str">
        <f t="shared" si="147"/>
        <v/>
      </c>
      <c r="K551" s="238" t="str">
        <f t="shared" si="148"/>
        <v/>
      </c>
      <c r="L551" s="238" t="str">
        <f t="shared" si="149"/>
        <v/>
      </c>
      <c r="M551" s="238" t="str">
        <f t="shared" si="150"/>
        <v/>
      </c>
      <c r="N551" s="238" t="str">
        <f t="shared" si="151"/>
        <v/>
      </c>
      <c r="O551" s="232" t="str">
        <f t="shared" si="161"/>
        <v/>
      </c>
      <c r="P551" s="219" t="str">
        <f t="shared" si="153"/>
        <v/>
      </c>
      <c r="Q551" s="219" t="str">
        <f t="shared" si="154"/>
        <v/>
      </c>
      <c r="R551" s="219" t="str">
        <f t="shared" si="155"/>
        <v/>
      </c>
      <c r="S551" s="331" t="str">
        <f t="shared" si="156"/>
        <v/>
      </c>
      <c r="T551" s="331" t="str">
        <f t="shared" si="157"/>
        <v/>
      </c>
      <c r="U551" s="331" t="str">
        <f t="shared" si="158"/>
        <v/>
      </c>
    </row>
    <row r="552" spans="1:21" ht="15.95" customHeight="1">
      <c r="A552" s="211">
        <f>IF(COUNTBLANK('RNEW import'!B550)=1,"",'RNEW import'!B550)</f>
        <v>9</v>
      </c>
      <c r="B552" s="211" t="str">
        <f>IF(COUNTBLANK('RNEW import'!D550)=1,"",'RNEW import'!D550)</f>
        <v>General Building Management SRL</v>
      </c>
      <c r="C552" s="211" t="str">
        <f>IF(COUNTBLANK('RNEW import'!E550)=1,"",'RNEW import'!E550)</f>
        <v>RGBM</v>
      </c>
      <c r="D552" s="211" t="str">
        <f>IF(COUNTBLANK('RNEW import'!K550)=1,"",'RNEW import'!K550)</f>
        <v>Contributie pentru cogenerare</v>
      </c>
      <c r="E552" s="211">
        <f>IF(COUNTBLANK('RNEW import'!L550)=1,"",'RNEW import'!N550)</f>
        <v>840199</v>
      </c>
      <c r="F552" s="211">
        <f>IF(COUNTBLANK('RNEW import'!M550)=1,"",'RNEW import'!O550/10000)</f>
        <v>3.5000000000000001E-3</v>
      </c>
      <c r="G552" s="217">
        <f t="shared" si="159"/>
        <v>2940.7</v>
      </c>
      <c r="H552" s="217">
        <f t="shared" si="152"/>
        <v>558.73</v>
      </c>
      <c r="I552" s="329">
        <f t="shared" si="160"/>
        <v>3499.43</v>
      </c>
      <c r="J552" s="237" t="str">
        <f t="shared" si="147"/>
        <v/>
      </c>
      <c r="K552" s="238" t="str">
        <f t="shared" si="148"/>
        <v/>
      </c>
      <c r="L552" s="238" t="str">
        <f t="shared" si="149"/>
        <v/>
      </c>
      <c r="M552" s="238" t="str">
        <f t="shared" si="150"/>
        <v/>
      </c>
      <c r="N552" s="238" t="str">
        <f t="shared" si="151"/>
        <v/>
      </c>
      <c r="O552" s="232" t="str">
        <f t="shared" si="161"/>
        <v/>
      </c>
      <c r="P552" s="219" t="str">
        <f t="shared" si="153"/>
        <v/>
      </c>
      <c r="Q552" s="219" t="str">
        <f t="shared" si="154"/>
        <v/>
      </c>
      <c r="R552" s="219" t="str">
        <f t="shared" si="155"/>
        <v/>
      </c>
      <c r="S552" s="331" t="str">
        <f t="shared" si="156"/>
        <v/>
      </c>
      <c r="T552" s="331" t="str">
        <f t="shared" si="157"/>
        <v/>
      </c>
      <c r="U552" s="331" t="str">
        <f t="shared" si="158"/>
        <v/>
      </c>
    </row>
    <row r="553" spans="1:21" ht="15.95" customHeight="1">
      <c r="A553" s="211">
        <f>IF(COUNTBLANK('RNEW import'!B551)=1,"",'RNEW import'!B551)</f>
        <v>10</v>
      </c>
      <c r="B553" s="211" t="str">
        <f>IF(COUNTBLANK('RNEW import'!D551)=1,"",'RNEW import'!D551)</f>
        <v>General Building Management SRL</v>
      </c>
      <c r="C553" s="211" t="str">
        <f>IF(COUNTBLANK('RNEW import'!E551)=1,"",'RNEW import'!E551)</f>
        <v>RGBM</v>
      </c>
      <c r="D553" s="211" t="str">
        <f>IF(COUNTBLANK('RNEW import'!K551)=1,"",'RNEW import'!K551)</f>
        <v xml:space="preserve">Certificate verzi </v>
      </c>
      <c r="E553" s="211">
        <f>IF(COUNTBLANK('RNEW import'!L551)=1,"",'RNEW import'!N551)</f>
        <v>840199</v>
      </c>
      <c r="F553" s="211">
        <f>IF(COUNTBLANK('RNEW import'!M551)=1,"",'RNEW import'!O551/10000)</f>
        <v>7.2541599999999998E-2</v>
      </c>
      <c r="G553" s="217">
        <f t="shared" si="159"/>
        <v>60949.38</v>
      </c>
      <c r="H553" s="217">
        <f t="shared" si="152"/>
        <v>11580.38</v>
      </c>
      <c r="I553" s="329">
        <f t="shared" si="160"/>
        <v>72529.759999999995</v>
      </c>
      <c r="J553" s="237" t="str">
        <f t="shared" si="147"/>
        <v/>
      </c>
      <c r="K553" s="238" t="str">
        <f t="shared" si="148"/>
        <v/>
      </c>
      <c r="L553" s="238" t="str">
        <f t="shared" si="149"/>
        <v/>
      </c>
      <c r="M553" s="238" t="str">
        <f t="shared" si="150"/>
        <v/>
      </c>
      <c r="N553" s="238" t="str">
        <f t="shared" si="151"/>
        <v/>
      </c>
      <c r="O553" s="232" t="str">
        <f t="shared" si="161"/>
        <v/>
      </c>
      <c r="P553" s="219" t="str">
        <f t="shared" si="153"/>
        <v/>
      </c>
      <c r="Q553" s="219" t="str">
        <f t="shared" si="154"/>
        <v/>
      </c>
      <c r="R553" s="219" t="str">
        <f t="shared" si="155"/>
        <v/>
      </c>
      <c r="S553" s="331" t="str">
        <f t="shared" si="156"/>
        <v/>
      </c>
      <c r="T553" s="331" t="str">
        <f t="shared" si="157"/>
        <v/>
      </c>
      <c r="U553" s="331" t="str">
        <f t="shared" si="158"/>
        <v/>
      </c>
    </row>
    <row r="554" spans="1:21" ht="15.95" customHeight="1">
      <c r="A554" s="211">
        <f>IF(COUNTBLANK('RNEW import'!B552)=1,"",'RNEW import'!B552)</f>
        <v>11</v>
      </c>
      <c r="B554" s="211" t="str">
        <f>IF(COUNTBLANK('RNEW import'!D552)=1,"",'RNEW import'!D552)</f>
        <v>General Building Management SRL</v>
      </c>
      <c r="C554" s="211" t="str">
        <f>IF(COUNTBLANK('RNEW import'!E552)=1,"",'RNEW import'!E552)</f>
        <v>RGBM</v>
      </c>
      <c r="D554" s="211" t="str">
        <f>IF(COUNTBLANK('RNEW import'!K552)=1,"",'RNEW import'!K552)</f>
        <v>Contributie CFD</v>
      </c>
      <c r="E554" s="211">
        <f>IF(COUNTBLANK('RNEW import'!L552)=1,"",'RNEW import'!N552)</f>
        <v>840199</v>
      </c>
      <c r="F554" s="211">
        <f>IF(COUNTBLANK('RNEW import'!M552)=1,"",'RNEW import'!O552/10000)</f>
        <v>2.0599999999999999E-4</v>
      </c>
      <c r="G554" s="217">
        <f t="shared" si="159"/>
        <v>173.08</v>
      </c>
      <c r="H554" s="217">
        <f t="shared" si="152"/>
        <v>32.89</v>
      </c>
      <c r="I554" s="329">
        <f t="shared" si="160"/>
        <v>205.97000000000003</v>
      </c>
      <c r="J554" s="237" t="str">
        <f t="shared" si="147"/>
        <v/>
      </c>
      <c r="K554" s="238" t="str">
        <f t="shared" si="148"/>
        <v/>
      </c>
      <c r="L554" s="238" t="str">
        <f t="shared" si="149"/>
        <v/>
      </c>
      <c r="M554" s="238" t="str">
        <f t="shared" si="150"/>
        <v/>
      </c>
      <c r="N554" s="238" t="str">
        <f t="shared" si="151"/>
        <v/>
      </c>
      <c r="O554" s="232" t="str">
        <f t="shared" si="161"/>
        <v/>
      </c>
      <c r="P554" s="219" t="str">
        <f t="shared" si="153"/>
        <v/>
      </c>
      <c r="Q554" s="219" t="str">
        <f t="shared" si="154"/>
        <v/>
      </c>
      <c r="R554" s="219" t="str">
        <f t="shared" si="155"/>
        <v/>
      </c>
      <c r="S554" s="331" t="str">
        <f t="shared" si="156"/>
        <v/>
      </c>
      <c r="T554" s="331" t="str">
        <f t="shared" si="157"/>
        <v/>
      </c>
      <c r="U554" s="331" t="str">
        <f t="shared" si="158"/>
        <v/>
      </c>
    </row>
    <row r="555" spans="1:21" ht="15.95" customHeight="1">
      <c r="A555" s="211">
        <f>IF(COUNTBLANK('RNEW import'!B553)=1,"",'RNEW import'!B553)</f>
        <v>12</v>
      </c>
      <c r="B555" s="211" t="str">
        <f>IF(COUNTBLANK('RNEW import'!D553)=1,"",'RNEW import'!D553)</f>
        <v>General Building Management SRL</v>
      </c>
      <c r="C555" s="211" t="str">
        <f>IF(COUNTBLANK('RNEW import'!E553)=1,"",'RNEW import'!E553)</f>
        <v>RGBM</v>
      </c>
      <c r="D555" s="211" t="str">
        <f>IF(COUNTBLANK('RNEW import'!K553)=1,"",'RNEW import'!K553)</f>
        <v>Acciza</v>
      </c>
      <c r="E555" s="211">
        <f>IF(COUNTBLANK('RNEW import'!L553)=1,"",'RNEW import'!N553)</f>
        <v>840199</v>
      </c>
      <c r="F555" s="211">
        <f>IF(COUNTBLANK('RNEW import'!M553)=1,"",'RNEW import'!O553/10000)</f>
        <v>0</v>
      </c>
      <c r="G555" s="217">
        <f t="shared" si="159"/>
        <v>0</v>
      </c>
      <c r="H555" s="217">
        <f t="shared" si="152"/>
        <v>0</v>
      </c>
      <c r="I555" s="329">
        <f t="shared" si="160"/>
        <v>0</v>
      </c>
      <c r="J555" s="237" t="str">
        <f t="shared" si="147"/>
        <v/>
      </c>
      <c r="K555" s="238" t="str">
        <f t="shared" si="148"/>
        <v/>
      </c>
      <c r="L555" s="238" t="str">
        <f t="shared" si="149"/>
        <v/>
      </c>
      <c r="M555" s="238" t="str">
        <f t="shared" si="150"/>
        <v/>
      </c>
      <c r="N555" s="238" t="str">
        <f t="shared" si="151"/>
        <v/>
      </c>
      <c r="O555" s="232" t="str">
        <f t="shared" si="161"/>
        <v/>
      </c>
      <c r="P555" s="219" t="str">
        <f t="shared" si="153"/>
        <v/>
      </c>
      <c r="Q555" s="219" t="str">
        <f t="shared" si="154"/>
        <v/>
      </c>
      <c r="R555" s="219" t="str">
        <f t="shared" si="155"/>
        <v/>
      </c>
      <c r="S555" s="331" t="str">
        <f t="shared" si="156"/>
        <v/>
      </c>
      <c r="T555" s="331" t="str">
        <f t="shared" si="157"/>
        <v/>
      </c>
      <c r="U555" s="331" t="str">
        <f t="shared" si="158"/>
        <v/>
      </c>
    </row>
    <row r="556" spans="1:21" ht="15.95" customHeight="1">
      <c r="A556" s="211">
        <f>IF(COUNTBLANK('RNEW import'!B554)=1,"",'RNEW import'!B554)</f>
        <v>13</v>
      </c>
      <c r="B556" s="211" t="str">
        <f>IF(COUNTBLANK('RNEW import'!D554)=1,"",'RNEW import'!D554)</f>
        <v>General Building Management SRL</v>
      </c>
      <c r="C556" s="211" t="str">
        <f>IF(COUNTBLANK('RNEW import'!E554)=1,"",'RNEW import'!E554)</f>
        <v>RGBM</v>
      </c>
      <c r="D556" s="211" t="str">
        <f>IF(COUNTBLANK('RNEW import'!K554)=1,"",'RNEW import'!K554)</f>
        <v>Tarif distributie SDI MT</v>
      </c>
      <c r="E556" s="211">
        <f>IF(COUNTBLANK('RNEW import'!L554)=1,"",'RNEW import'!N554)</f>
        <v>840199</v>
      </c>
      <c r="F556" s="211">
        <f>IF(COUNTBLANK('RNEW import'!M554)=1,"",'RNEW import'!O554/10000)</f>
        <v>1.7000000000000001E-2</v>
      </c>
      <c r="G556" s="217">
        <f t="shared" si="159"/>
        <v>14283.38</v>
      </c>
      <c r="H556" s="217">
        <f t="shared" si="152"/>
        <v>2713.84</v>
      </c>
      <c r="I556" s="329">
        <f t="shared" si="160"/>
        <v>16997.22</v>
      </c>
      <c r="J556" s="237" t="str">
        <f t="shared" si="147"/>
        <v/>
      </c>
      <c r="K556" s="238" t="str">
        <f t="shared" si="148"/>
        <v/>
      </c>
      <c r="L556" s="238" t="str">
        <f t="shared" si="149"/>
        <v/>
      </c>
      <c r="M556" s="238" t="str">
        <f t="shared" si="150"/>
        <v/>
      </c>
      <c r="N556" s="238" t="str">
        <f t="shared" si="151"/>
        <v/>
      </c>
      <c r="O556" s="232" t="str">
        <f t="shared" si="161"/>
        <v/>
      </c>
      <c r="P556" s="219" t="str">
        <f t="shared" si="153"/>
        <v/>
      </c>
      <c r="Q556" s="219" t="str">
        <f t="shared" si="154"/>
        <v/>
      </c>
      <c r="R556" s="219" t="str">
        <f t="shared" si="155"/>
        <v/>
      </c>
      <c r="S556" s="331" t="str">
        <f t="shared" si="156"/>
        <v/>
      </c>
      <c r="T556" s="331" t="str">
        <f t="shared" si="157"/>
        <v/>
      </c>
      <c r="U556" s="331" t="str">
        <f t="shared" si="158"/>
        <v/>
      </c>
    </row>
    <row r="557" spans="1:21" ht="15.95" customHeight="1">
      <c r="A557" s="211">
        <f>IF(COUNTBLANK('RNEW import'!B555)=1,"",'RNEW import'!B555)</f>
        <v>14</v>
      </c>
      <c r="B557" s="211" t="str">
        <f>IF(COUNTBLANK('RNEW import'!D555)=1,"",'RNEW import'!D555)</f>
        <v>General Building Management SRL</v>
      </c>
      <c r="C557" s="211" t="str">
        <f>IF(COUNTBLANK('RNEW import'!E555)=1,"",'RNEW import'!E555)</f>
        <v>RGBM</v>
      </c>
      <c r="D557" s="211" t="str">
        <f>IF(COUNTBLANK('RNEW import'!K555)=1,"",'RNEW import'!K555)</f>
        <v>Tarif distributie SDI JT</v>
      </c>
      <c r="E557" s="211">
        <f>IF(COUNTBLANK('RNEW import'!L555)=1,"",'RNEW import'!N555)</f>
        <v>840199</v>
      </c>
      <c r="F557" s="211">
        <f>IF(COUNTBLANK('RNEW import'!M555)=1,"",'RNEW import'!O555/10000)</f>
        <v>0.10290000000000001</v>
      </c>
      <c r="G557" s="217">
        <f t="shared" si="159"/>
        <v>86456.48</v>
      </c>
      <c r="H557" s="217">
        <f t="shared" si="152"/>
        <v>16426.73</v>
      </c>
      <c r="I557" s="329">
        <f t="shared" si="160"/>
        <v>102883.20999999999</v>
      </c>
      <c r="J557" s="237" t="str">
        <f t="shared" si="147"/>
        <v/>
      </c>
      <c r="K557" s="238" t="str">
        <f t="shared" si="148"/>
        <v/>
      </c>
      <c r="L557" s="238" t="str">
        <f t="shared" si="149"/>
        <v/>
      </c>
      <c r="M557" s="238" t="str">
        <f t="shared" si="150"/>
        <v/>
      </c>
      <c r="N557" s="238" t="str">
        <f t="shared" si="151"/>
        <v/>
      </c>
      <c r="O557" s="232" t="str">
        <f t="shared" si="161"/>
        <v/>
      </c>
      <c r="P557" s="219" t="str">
        <f t="shared" si="153"/>
        <v/>
      </c>
      <c r="Q557" s="219" t="str">
        <f t="shared" si="154"/>
        <v/>
      </c>
      <c r="R557" s="219" t="str">
        <f t="shared" si="155"/>
        <v/>
      </c>
      <c r="S557" s="331" t="str">
        <f t="shared" si="156"/>
        <v/>
      </c>
      <c r="T557" s="331" t="str">
        <f t="shared" si="157"/>
        <v/>
      </c>
      <c r="U557" s="331" t="str">
        <f t="shared" si="158"/>
        <v/>
      </c>
    </row>
    <row r="558" spans="1:21" ht="15.95" customHeight="1">
      <c r="A558" s="211">
        <f>IF(COUNTBLANK('RNEW import'!B556)=1,"",'RNEW import'!B556)</f>
        <v>15</v>
      </c>
      <c r="B558" s="211" t="str">
        <f>IF(COUNTBLANK('RNEW import'!D556)=1,"",'RNEW import'!D556)</f>
        <v>General Building Management SRL</v>
      </c>
      <c r="C558" s="211" t="str">
        <f>IF(COUNTBLANK('RNEW import'!E556)=1,"",'RNEW import'!E556)</f>
        <v>RGBM</v>
      </c>
      <c r="D558" s="211" t="str">
        <f>IF(COUNTBLANK('RNEW import'!K556)=1,"",'RNEW import'!K556)</f>
        <v>Energie activa 2</v>
      </c>
      <c r="E558" s="211">
        <f>IF(COUNTBLANK('RNEW import'!L556)=1,"",'RNEW import'!N556)</f>
        <v>349352</v>
      </c>
      <c r="F558" s="211">
        <f>IF(COUNTBLANK('RNEW import'!M556)=1,"",'RNEW import'!O556/10000)</f>
        <v>0.97511759999999992</v>
      </c>
      <c r="G558" s="217">
        <f t="shared" si="159"/>
        <v>340659.28</v>
      </c>
      <c r="H558" s="217">
        <f t="shared" si="152"/>
        <v>64725.26</v>
      </c>
      <c r="I558" s="329">
        <f t="shared" si="160"/>
        <v>405384.54000000004</v>
      </c>
      <c r="J558" s="237" t="str">
        <f t="shared" si="147"/>
        <v/>
      </c>
      <c r="K558" s="238" t="str">
        <f t="shared" si="148"/>
        <v/>
      </c>
      <c r="L558" s="238" t="str">
        <f t="shared" si="149"/>
        <v/>
      </c>
      <c r="M558" s="238" t="str">
        <f t="shared" si="150"/>
        <v/>
      </c>
      <c r="N558" s="238" t="str">
        <f t="shared" si="151"/>
        <v/>
      </c>
      <c r="O558" s="232" t="str">
        <f t="shared" si="161"/>
        <v/>
      </c>
      <c r="P558" s="219" t="str">
        <f t="shared" si="153"/>
        <v/>
      </c>
      <c r="Q558" s="219" t="str">
        <f t="shared" si="154"/>
        <v/>
      </c>
      <c r="R558" s="219" t="str">
        <f t="shared" si="155"/>
        <v/>
      </c>
      <c r="S558" s="331" t="str">
        <f t="shared" si="156"/>
        <v/>
      </c>
      <c r="T558" s="331" t="str">
        <f t="shared" si="157"/>
        <v/>
      </c>
      <c r="U558" s="331" t="str">
        <f t="shared" si="158"/>
        <v/>
      </c>
    </row>
    <row r="559" spans="1:21" ht="15.95" customHeight="1">
      <c r="A559" s="211">
        <f>IF(COUNTBLANK('RNEW import'!B557)=1,"",'RNEW import'!B557)</f>
        <v>16</v>
      </c>
      <c r="B559" s="211" t="str">
        <f>IF(COUNTBLANK('RNEW import'!D557)=1,"",'RNEW import'!D557)</f>
        <v>General Building Management SRL</v>
      </c>
      <c r="C559" s="211" t="str">
        <f>IF(COUNTBLANK('RNEW import'!E557)=1,"",'RNEW import'!E557)</f>
        <v>RGBM</v>
      </c>
      <c r="D559" s="211" t="str">
        <f>IF(COUNTBLANK('RNEW import'!K557)=1,"",'RNEW import'!K557)</f>
        <v>Energie activa 3</v>
      </c>
      <c r="E559" s="211">
        <f>IF(COUNTBLANK('RNEW import'!L557)=1,"",'RNEW import'!N557)</f>
        <v>126303</v>
      </c>
      <c r="F559" s="211">
        <f>IF(COUNTBLANK('RNEW import'!M557)=1,"",'RNEW import'!O557/10000)</f>
        <v>0.85521759999999991</v>
      </c>
      <c r="G559" s="217">
        <f t="shared" si="159"/>
        <v>108016.55</v>
      </c>
      <c r="H559" s="217">
        <f t="shared" si="152"/>
        <v>20523.14</v>
      </c>
      <c r="I559" s="329">
        <f t="shared" si="160"/>
        <v>128539.69</v>
      </c>
      <c r="J559" s="237" t="str">
        <f t="shared" si="147"/>
        <v/>
      </c>
      <c r="K559" s="238" t="str">
        <f t="shared" si="148"/>
        <v/>
      </c>
      <c r="L559" s="238" t="str">
        <f t="shared" si="149"/>
        <v/>
      </c>
      <c r="M559" s="238" t="str">
        <f t="shared" si="150"/>
        <v/>
      </c>
      <c r="N559" s="238" t="str">
        <f t="shared" si="151"/>
        <v/>
      </c>
      <c r="O559" s="232" t="str">
        <f t="shared" si="161"/>
        <v/>
      </c>
      <c r="P559" s="219" t="str">
        <f t="shared" si="153"/>
        <v/>
      </c>
      <c r="Q559" s="219" t="str">
        <f t="shared" si="154"/>
        <v/>
      </c>
      <c r="R559" s="219" t="str">
        <f t="shared" si="155"/>
        <v/>
      </c>
      <c r="S559" s="331" t="str">
        <f t="shared" si="156"/>
        <v/>
      </c>
      <c r="T559" s="331" t="str">
        <f t="shared" si="157"/>
        <v/>
      </c>
      <c r="U559" s="331" t="str">
        <f t="shared" si="158"/>
        <v/>
      </c>
    </row>
    <row r="560" spans="1:21" ht="15.95" customHeight="1">
      <c r="A560" s="211">
        <f>IF(COUNTBLANK('RNEW import'!B558)=1,"",'RNEW import'!B558)</f>
        <v>17</v>
      </c>
      <c r="B560" s="211" t="str">
        <f>IF(COUNTBLANK('RNEW import'!D558)=1,"",'RNEW import'!D558)</f>
        <v>General Building Management SRL</v>
      </c>
      <c r="C560" s="211" t="str">
        <f>IF(COUNTBLANK('RNEW import'!E558)=1,"",'RNEW import'!E558)</f>
        <v>RGBM</v>
      </c>
      <c r="D560" s="211" t="str">
        <f>IF(COUNTBLANK('RNEW import'!K558)=1,"",'RNEW import'!K558)</f>
        <v>Tarif distributie SDI MT_</v>
      </c>
      <c r="E560" s="211">
        <f>IF(COUNTBLANK('RNEW import'!L558)=1,"",'RNEW import'!N558)</f>
        <v>126303</v>
      </c>
      <c r="F560" s="211">
        <f>IF(COUNTBLANK('RNEW import'!M558)=1,"",'RNEW import'!O558/10000)</f>
        <v>1.7000000000000001E-2</v>
      </c>
      <c r="G560" s="217">
        <f t="shared" si="159"/>
        <v>2147.15</v>
      </c>
      <c r="H560" s="217">
        <f t="shared" si="152"/>
        <v>407.96</v>
      </c>
      <c r="I560" s="329">
        <f t="shared" si="160"/>
        <v>2555.11</v>
      </c>
      <c r="J560" s="237" t="str">
        <f t="shared" si="147"/>
        <v/>
      </c>
      <c r="K560" s="238" t="str">
        <f t="shared" si="148"/>
        <v/>
      </c>
      <c r="L560" s="238" t="str">
        <f t="shared" si="149"/>
        <v/>
      </c>
      <c r="M560" s="238" t="str">
        <f t="shared" si="150"/>
        <v/>
      </c>
      <c r="N560" s="238" t="str">
        <f t="shared" si="151"/>
        <v/>
      </c>
      <c r="O560" s="232" t="str">
        <f t="shared" si="161"/>
        <v/>
      </c>
      <c r="P560" s="219" t="str">
        <f t="shared" si="153"/>
        <v/>
      </c>
      <c r="Q560" s="219" t="str">
        <f t="shared" si="154"/>
        <v/>
      </c>
      <c r="R560" s="219" t="str">
        <f t="shared" si="155"/>
        <v/>
      </c>
      <c r="S560" s="331" t="str">
        <f t="shared" si="156"/>
        <v/>
      </c>
      <c r="T560" s="331" t="str">
        <f t="shared" si="157"/>
        <v/>
      </c>
      <c r="U560" s="331" t="str">
        <f t="shared" si="158"/>
        <v/>
      </c>
    </row>
    <row r="561" spans="1:21" ht="15.95" customHeight="1">
      <c r="A561" s="211">
        <f>IF(COUNTBLANK('RNEW import'!B559)=1,"",'RNEW import'!B559)</f>
        <v>18</v>
      </c>
      <c r="B561" s="211" t="str">
        <f>IF(COUNTBLANK('RNEW import'!D559)=1,"",'RNEW import'!D559)</f>
        <v>General Building Management SRL</v>
      </c>
      <c r="C561" s="211" t="str">
        <f>IF(COUNTBLANK('RNEW import'!E559)=1,"",'RNEW import'!E559)</f>
        <v>RGBM</v>
      </c>
      <c r="D561" s="211" t="str">
        <f>IF(COUNTBLANK('RNEW import'!K559)=1,"",'RNEW import'!K559)</f>
        <v>Tarif distributie SDI JT_</v>
      </c>
      <c r="E561" s="211">
        <f>IF(COUNTBLANK('RNEW import'!L559)=1,"",'RNEW import'!N559)</f>
        <v>126303</v>
      </c>
      <c r="F561" s="211">
        <f>IF(COUNTBLANK('RNEW import'!M559)=1,"",'RNEW import'!O559/10000)</f>
        <v>0.10290000000000001</v>
      </c>
      <c r="G561" s="217">
        <f t="shared" si="159"/>
        <v>12996.58</v>
      </c>
      <c r="H561" s="217">
        <f t="shared" si="152"/>
        <v>2469.35</v>
      </c>
      <c r="I561" s="329">
        <f t="shared" si="160"/>
        <v>15465.93</v>
      </c>
      <c r="J561" s="237" t="str">
        <f t="shared" si="147"/>
        <v/>
      </c>
      <c r="K561" s="238" t="str">
        <f t="shared" si="148"/>
        <v/>
      </c>
      <c r="L561" s="238" t="str">
        <f t="shared" si="149"/>
        <v/>
      </c>
      <c r="M561" s="238" t="str">
        <f t="shared" si="150"/>
        <v/>
      </c>
      <c r="N561" s="238" t="str">
        <f t="shared" si="151"/>
        <v/>
      </c>
      <c r="O561" s="232" t="str">
        <f t="shared" si="161"/>
        <v/>
      </c>
      <c r="P561" s="219" t="str">
        <f t="shared" si="153"/>
        <v>Energie consumata din PV</v>
      </c>
      <c r="Q561" s="219">
        <f t="shared" si="154"/>
        <v>475655</v>
      </c>
      <c r="R561" s="219">
        <f t="shared" si="155"/>
        <v>0.97511800000000004</v>
      </c>
      <c r="S561" s="331">
        <f t="shared" si="156"/>
        <v>463819.56</v>
      </c>
      <c r="T561" s="331">
        <f t="shared" si="157"/>
        <v>88125.71</v>
      </c>
      <c r="U561" s="331">
        <f t="shared" si="158"/>
        <v>551945.27</v>
      </c>
    </row>
    <row r="562" spans="1:21" ht="15.95" customHeight="1">
      <c r="A562" s="211">
        <f>IF(COUNTBLANK('RNEW import'!B560)=1,"",'RNEW import'!B560)</f>
        <v>19</v>
      </c>
      <c r="B562" s="211" t="str">
        <f>IF(COUNTBLANK('RNEW import'!D560)=1,"",'RNEW import'!D560)</f>
        <v>General Building Management SRL</v>
      </c>
      <c r="C562" s="211" t="str">
        <f>IF(COUNTBLANK('RNEW import'!E560)=1,"",'RNEW import'!E560)</f>
        <v>RGBM</v>
      </c>
      <c r="D562" s="211" t="str">
        <f>IF(COUNTBLANK('RNEW import'!K560)=1,"",'RNEW import'!K560)</f>
        <v>Regularizare Energie activa 1</v>
      </c>
      <c r="E562" s="211">
        <f>IF(COUNTBLANK('RNEW import'!L560)=1,"",'RNEW import'!N560)</f>
        <v>0</v>
      </c>
      <c r="F562" s="211">
        <f>IF(COUNTBLANK('RNEW import'!M560)=1,"",'RNEW import'!O560/10000)</f>
        <v>0.59499999999999997</v>
      </c>
      <c r="G562" s="217">
        <f t="shared" si="159"/>
        <v>0</v>
      </c>
      <c r="H562" s="217">
        <f t="shared" si="152"/>
        <v>0</v>
      </c>
      <c r="I562" s="329">
        <f t="shared" si="160"/>
        <v>0</v>
      </c>
      <c r="J562" s="237" t="str">
        <f t="shared" si="147"/>
        <v/>
      </c>
      <c r="K562" s="238" t="str">
        <f t="shared" si="148"/>
        <v/>
      </c>
      <c r="L562" s="238" t="str">
        <f t="shared" si="149"/>
        <v/>
      </c>
      <c r="M562" s="238" t="str">
        <f t="shared" si="150"/>
        <v/>
      </c>
      <c r="N562" s="238" t="str">
        <f t="shared" si="151"/>
        <v/>
      </c>
      <c r="O562" s="232" t="str">
        <f t="shared" si="161"/>
        <v/>
      </c>
      <c r="P562" s="219" t="str">
        <f t="shared" si="153"/>
        <v>Energie activa regularizare</v>
      </c>
      <c r="Q562" s="219">
        <f t="shared" si="154"/>
        <v>0</v>
      </c>
      <c r="R562" s="219">
        <f t="shared" si="155"/>
        <v>0</v>
      </c>
      <c r="S562" s="331">
        <f t="shared" si="156"/>
        <v>0</v>
      </c>
      <c r="T562" s="331">
        <f t="shared" si="157"/>
        <v>0</v>
      </c>
      <c r="U562" s="331">
        <f t="shared" si="158"/>
        <v>0</v>
      </c>
    </row>
    <row r="563" spans="1:21" ht="15.95" customHeight="1">
      <c r="A563" s="211">
        <f>IF(COUNTBLANK('RNEW import'!B561)=1,"",'RNEW import'!B561)</f>
        <v>20</v>
      </c>
      <c r="B563" s="211" t="str">
        <f>IF(COUNTBLANK('RNEW import'!D561)=1,"",'RNEW import'!D561)</f>
        <v>General Building Management SRL</v>
      </c>
      <c r="C563" s="211" t="str">
        <f>IF(COUNTBLANK('RNEW import'!E561)=1,"",'RNEW import'!E561)</f>
        <v>RGBM</v>
      </c>
      <c r="D563" s="211" t="str">
        <f>IF(COUNTBLANK('RNEW import'!K561)=1,"",'RNEW import'!K561)</f>
        <v>Regularizare Energie reactiva  1X</v>
      </c>
      <c r="E563" s="211">
        <f>IF(COUNTBLANK('RNEW import'!L561)=1,"",'RNEW import'!N561)</f>
        <v>2819</v>
      </c>
      <c r="F563" s="211">
        <f>IF(COUNTBLANK('RNEW import'!M561)=1,"",'RNEW import'!O561/10000)</f>
        <v>0.14649999999999999</v>
      </c>
      <c r="G563" s="217">
        <f t="shared" si="159"/>
        <v>412.98</v>
      </c>
      <c r="H563" s="217">
        <f t="shared" si="152"/>
        <v>78.47</v>
      </c>
      <c r="I563" s="329">
        <f t="shared" si="160"/>
        <v>491.45000000000005</v>
      </c>
      <c r="J563" s="237" t="str">
        <f t="shared" si="147"/>
        <v/>
      </c>
      <c r="K563" s="238" t="str">
        <f t="shared" si="148"/>
        <v/>
      </c>
      <c r="L563" s="238" t="str">
        <f t="shared" si="149"/>
        <v/>
      </c>
      <c r="M563" s="238" t="str">
        <f t="shared" si="150"/>
        <v/>
      </c>
      <c r="N563" s="238" t="str">
        <f t="shared" si="151"/>
        <v/>
      </c>
      <c r="O563" s="232" t="str">
        <f t="shared" si="161"/>
        <v/>
      </c>
      <c r="P563" s="219" t="str">
        <f t="shared" si="153"/>
        <v>Energie reactiva 1x regularizare</v>
      </c>
      <c r="Q563" s="219">
        <f t="shared" si="154"/>
        <v>2819</v>
      </c>
      <c r="R563" s="219">
        <f t="shared" si="155"/>
        <v>0.14649999999999999</v>
      </c>
      <c r="S563" s="331">
        <f t="shared" si="156"/>
        <v>412.98</v>
      </c>
      <c r="T563" s="331">
        <f t="shared" si="157"/>
        <v>78.47</v>
      </c>
      <c r="U563" s="331">
        <f t="shared" si="158"/>
        <v>491.45</v>
      </c>
    </row>
    <row r="564" spans="1:21" ht="15.95" customHeight="1">
      <c r="A564" s="211">
        <f>IF(COUNTBLANK('RNEW import'!B562)=1,"",'RNEW import'!B562)</f>
        <v>21</v>
      </c>
      <c r="B564" s="211" t="str">
        <f>IF(COUNTBLANK('RNEW import'!D562)=1,"",'RNEW import'!D562)</f>
        <v>General Building Management SRL</v>
      </c>
      <c r="C564" s="211" t="str">
        <f>IF(COUNTBLANK('RNEW import'!E562)=1,"",'RNEW import'!E562)</f>
        <v>RGBM</v>
      </c>
      <c r="D564" s="211" t="str">
        <f>IF(COUNTBLANK('RNEW import'!K562)=1,"",'RNEW import'!K562)</f>
        <v>Regularizare Energie reactiva  3X</v>
      </c>
      <c r="E564" s="211">
        <f>IF(COUNTBLANK('RNEW import'!L562)=1,"",'RNEW import'!N562)</f>
        <v>5957</v>
      </c>
      <c r="F564" s="211">
        <f>IF(COUNTBLANK('RNEW import'!M562)=1,"",'RNEW import'!O562/10000)</f>
        <v>0.4395</v>
      </c>
      <c r="G564" s="217">
        <f t="shared" si="159"/>
        <v>2618.1</v>
      </c>
      <c r="H564" s="217">
        <f t="shared" si="152"/>
        <v>497.44</v>
      </c>
      <c r="I564" s="329">
        <f t="shared" si="160"/>
        <v>3115.54</v>
      </c>
      <c r="J564" s="237" t="str">
        <f t="shared" si="147"/>
        <v/>
      </c>
      <c r="K564" s="238" t="str">
        <f t="shared" si="148"/>
        <v/>
      </c>
      <c r="L564" s="238" t="str">
        <f t="shared" si="149"/>
        <v/>
      </c>
      <c r="M564" s="238" t="str">
        <f t="shared" si="150"/>
        <v/>
      </c>
      <c r="N564" s="238" t="str">
        <f t="shared" si="151"/>
        <v/>
      </c>
      <c r="O564" s="232" t="str">
        <f t="shared" si="161"/>
        <v/>
      </c>
      <c r="P564" s="219" t="str">
        <f t="shared" si="153"/>
        <v>Energie reactiva 3x regularizare</v>
      </c>
      <c r="Q564" s="219">
        <f t="shared" si="154"/>
        <v>5957</v>
      </c>
      <c r="R564" s="219">
        <f t="shared" si="155"/>
        <v>0.4395</v>
      </c>
      <c r="S564" s="331">
        <f t="shared" si="156"/>
        <v>2618.1</v>
      </c>
      <c r="T564" s="331">
        <f t="shared" si="157"/>
        <v>497.44</v>
      </c>
      <c r="U564" s="331">
        <f t="shared" si="158"/>
        <v>3115.54</v>
      </c>
    </row>
    <row r="565" spans="1:21" ht="15.95" customHeight="1">
      <c r="A565" s="211">
        <f>IF(COUNTBLANK('RNEW import'!B563)=1,"",'RNEW import'!B563)</f>
        <v>22</v>
      </c>
      <c r="B565" s="211" t="str">
        <f>IF(COUNTBLANK('RNEW import'!D563)=1,"",'RNEW import'!D563)</f>
        <v>General Building Management SRL</v>
      </c>
      <c r="C565" s="211" t="str">
        <f>IF(COUNTBLANK('RNEW import'!E563)=1,"",'RNEW import'!E563)</f>
        <v>RGBM</v>
      </c>
      <c r="D565" s="211" t="str">
        <f>IF(COUNTBLANK('RNEW import'!K563)=1,"",'RNEW import'!K563)</f>
        <v>Regularizare Tarife distributie en. El IT+MT</v>
      </c>
      <c r="E565" s="211">
        <f>IF(COUNTBLANK('RNEW import'!L563)=1,"",'RNEW import'!N563)</f>
        <v>0</v>
      </c>
      <c r="F565" s="211">
        <f>IF(COUNTBLANK('RNEW import'!M563)=1,"",'RNEW import'!O563/10000)</f>
        <v>0.13613999999999998</v>
      </c>
      <c r="G565" s="217">
        <f t="shared" si="159"/>
        <v>0</v>
      </c>
      <c r="H565" s="217">
        <f t="shared" si="152"/>
        <v>0</v>
      </c>
      <c r="I565" s="329">
        <f t="shared" si="160"/>
        <v>0</v>
      </c>
      <c r="J565" s="237" t="str">
        <f t="shared" si="147"/>
        <v/>
      </c>
      <c r="K565" s="238" t="str">
        <f t="shared" si="148"/>
        <v/>
      </c>
      <c r="L565" s="238" t="str">
        <f t="shared" si="149"/>
        <v/>
      </c>
      <c r="M565" s="238" t="str">
        <f t="shared" si="150"/>
        <v/>
      </c>
      <c r="N565" s="238" t="str">
        <f t="shared" si="151"/>
        <v/>
      </c>
      <c r="O565" s="232" t="str">
        <f t="shared" si="161"/>
        <v/>
      </c>
      <c r="P565" s="219" t="str">
        <f t="shared" si="153"/>
        <v/>
      </c>
      <c r="Q565" s="219" t="str">
        <f t="shared" si="154"/>
        <v/>
      </c>
      <c r="R565" s="219" t="str">
        <f t="shared" si="155"/>
        <v/>
      </c>
      <c r="S565" s="331" t="str">
        <f t="shared" si="156"/>
        <v/>
      </c>
      <c r="T565" s="331" t="str">
        <f t="shared" si="157"/>
        <v/>
      </c>
      <c r="U565" s="331" t="str">
        <f t="shared" si="158"/>
        <v/>
      </c>
    </row>
    <row r="566" spans="1:21" ht="15.95" customHeight="1">
      <c r="A566" s="211">
        <f>IF(COUNTBLANK('RNEW import'!B564)=1,"",'RNEW import'!B564)</f>
        <v>23</v>
      </c>
      <c r="B566" s="211" t="str">
        <f>IF(COUNTBLANK('RNEW import'!D564)=1,"",'RNEW import'!D564)</f>
        <v>General Building Management SRL</v>
      </c>
      <c r="C566" s="211" t="str">
        <f>IF(COUNTBLANK('RNEW import'!E564)=1,"",'RNEW import'!E564)</f>
        <v>RGBM</v>
      </c>
      <c r="D566" s="211" t="str">
        <f>IF(COUNTBLANK('RNEW import'!K564)=1,"",'RNEW import'!K564)</f>
        <v>Regularizare Tarife distributie en. El JT</v>
      </c>
      <c r="E566" s="211">
        <f>IF(COUNTBLANK('RNEW import'!L564)=1,"",'RNEW import'!N564)</f>
        <v>0</v>
      </c>
      <c r="F566" s="211">
        <f>IF(COUNTBLANK('RNEW import'!M564)=1,"",'RNEW import'!O564/10000)</f>
        <v>0.22738999999999995</v>
      </c>
      <c r="G566" s="217">
        <f t="shared" si="159"/>
        <v>0</v>
      </c>
      <c r="H566" s="217">
        <f t="shared" si="152"/>
        <v>0</v>
      </c>
      <c r="I566" s="329">
        <f t="shared" si="160"/>
        <v>0</v>
      </c>
      <c r="J566" s="237" t="str">
        <f t="shared" si="147"/>
        <v/>
      </c>
      <c r="K566" s="238" t="str">
        <f t="shared" si="148"/>
        <v/>
      </c>
      <c r="L566" s="238" t="str">
        <f t="shared" si="149"/>
        <v/>
      </c>
      <c r="M566" s="238" t="str">
        <f t="shared" si="150"/>
        <v/>
      </c>
      <c r="N566" s="238" t="str">
        <f t="shared" si="151"/>
        <v/>
      </c>
      <c r="O566" s="232" t="str">
        <f t="shared" si="161"/>
        <v/>
      </c>
      <c r="P566" s="219" t="str">
        <f t="shared" si="153"/>
        <v/>
      </c>
      <c r="Q566" s="219" t="str">
        <f t="shared" si="154"/>
        <v/>
      </c>
      <c r="R566" s="219" t="str">
        <f t="shared" si="155"/>
        <v/>
      </c>
      <c r="S566" s="331" t="str">
        <f t="shared" si="156"/>
        <v/>
      </c>
      <c r="T566" s="331" t="str">
        <f t="shared" si="157"/>
        <v/>
      </c>
      <c r="U566" s="331" t="str">
        <f t="shared" si="158"/>
        <v/>
      </c>
    </row>
    <row r="567" spans="1:21" ht="15.95" customHeight="1">
      <c r="A567" s="211">
        <f>IF(COUNTBLANK('RNEW import'!B565)=1,"",'RNEW import'!B565)</f>
        <v>24</v>
      </c>
      <c r="B567" s="211" t="str">
        <f>IF(COUNTBLANK('RNEW import'!D565)=1,"",'RNEW import'!D565)</f>
        <v>General Building Management SRL</v>
      </c>
      <c r="C567" s="211" t="str">
        <f>IF(COUNTBLANK('RNEW import'!E565)=1,"",'RNEW import'!E565)</f>
        <v>RGBM</v>
      </c>
      <c r="D567" s="211" t="str">
        <f>IF(COUNTBLANK('RNEW import'!K565)=1,"",'RNEW import'!K565)</f>
        <v xml:space="preserve">Regularizare Servicii Sistem </v>
      </c>
      <c r="E567" s="211">
        <f>IF(COUNTBLANK('RNEW import'!L565)=1,"",'RNEW import'!N565)</f>
        <v>0</v>
      </c>
      <c r="F567" s="211">
        <f>IF(COUNTBLANK('RNEW import'!M565)=1,"",'RNEW import'!O565/10000)</f>
        <v>1.1509999999999999E-2</v>
      </c>
      <c r="G567" s="217">
        <f t="shared" si="159"/>
        <v>0</v>
      </c>
      <c r="H567" s="217">
        <f t="shared" si="152"/>
        <v>0</v>
      </c>
      <c r="I567" s="329">
        <f t="shared" si="160"/>
        <v>0</v>
      </c>
      <c r="J567" s="237" t="str">
        <f t="shared" si="147"/>
        <v/>
      </c>
      <c r="K567" s="238" t="str">
        <f t="shared" si="148"/>
        <v/>
      </c>
      <c r="L567" s="238" t="str">
        <f t="shared" si="149"/>
        <v/>
      </c>
      <c r="M567" s="238" t="str">
        <f t="shared" si="150"/>
        <v/>
      </c>
      <c r="N567" s="238" t="str">
        <f t="shared" si="151"/>
        <v/>
      </c>
      <c r="O567" s="232" t="str">
        <f t="shared" si="161"/>
        <v/>
      </c>
      <c r="P567" s="219" t="str">
        <f t="shared" si="153"/>
        <v/>
      </c>
      <c r="Q567" s="219" t="str">
        <f t="shared" si="154"/>
        <v/>
      </c>
      <c r="R567" s="219" t="str">
        <f t="shared" si="155"/>
        <v/>
      </c>
      <c r="S567" s="331" t="str">
        <f t="shared" si="156"/>
        <v/>
      </c>
      <c r="T567" s="331" t="str">
        <f t="shared" si="157"/>
        <v/>
      </c>
      <c r="U567" s="331" t="str">
        <f t="shared" si="158"/>
        <v/>
      </c>
    </row>
    <row r="568" spans="1:21" ht="15.95" customHeight="1">
      <c r="A568" s="211">
        <f>IF(COUNTBLANK('RNEW import'!B566)=1,"",'RNEW import'!B566)</f>
        <v>25</v>
      </c>
      <c r="B568" s="211" t="str">
        <f>IF(COUNTBLANK('RNEW import'!D566)=1,"",'RNEW import'!D566)</f>
        <v>General Building Management SRL</v>
      </c>
      <c r="C568" s="211" t="str">
        <f>IF(COUNTBLANK('RNEW import'!E566)=1,"",'RNEW import'!E566)</f>
        <v>RGBM</v>
      </c>
      <c r="D568" s="211" t="str">
        <f>IF(COUNTBLANK('RNEW import'!K566)=1,"",'RNEW import'!K566)</f>
        <v>Regularizare Tarif de introducere en. el in retea (TL)</v>
      </c>
      <c r="E568" s="211">
        <f>IF(COUNTBLANK('RNEW import'!L566)=1,"",'RNEW import'!N566)</f>
        <v>0</v>
      </c>
      <c r="F568" s="211">
        <f>IF(COUNTBLANK('RNEW import'!M566)=1,"",'RNEW import'!O566/10000)</f>
        <v>3.3030000000000004E-2</v>
      </c>
      <c r="G568" s="217">
        <f t="shared" si="159"/>
        <v>0</v>
      </c>
      <c r="H568" s="217">
        <f t="shared" si="152"/>
        <v>0</v>
      </c>
      <c r="I568" s="329">
        <f t="shared" si="160"/>
        <v>0</v>
      </c>
      <c r="J568" s="237" t="str">
        <f t="shared" si="147"/>
        <v/>
      </c>
      <c r="K568" s="238" t="str">
        <f t="shared" si="148"/>
        <v/>
      </c>
      <c r="L568" s="238" t="str">
        <f t="shared" si="149"/>
        <v/>
      </c>
      <c r="M568" s="238" t="str">
        <f t="shared" si="150"/>
        <v/>
      </c>
      <c r="N568" s="238" t="str">
        <f t="shared" si="151"/>
        <v/>
      </c>
      <c r="O568" s="232" t="str">
        <f t="shared" si="161"/>
        <v/>
      </c>
      <c r="P568" s="219" t="str">
        <f t="shared" si="153"/>
        <v/>
      </c>
      <c r="Q568" s="219" t="str">
        <f t="shared" si="154"/>
        <v/>
      </c>
      <c r="R568" s="219" t="str">
        <f t="shared" si="155"/>
        <v/>
      </c>
      <c r="S568" s="331" t="str">
        <f t="shared" si="156"/>
        <v/>
      </c>
      <c r="T568" s="331" t="str">
        <f t="shared" si="157"/>
        <v/>
      </c>
      <c r="U568" s="331" t="str">
        <f t="shared" si="158"/>
        <v/>
      </c>
    </row>
    <row r="569" spans="1:21" ht="15.95" customHeight="1">
      <c r="A569" s="211">
        <f>IF(COUNTBLANK('RNEW import'!B567)=1,"",'RNEW import'!B567)</f>
        <v>26</v>
      </c>
      <c r="B569" s="211" t="str">
        <f>IF(COUNTBLANK('RNEW import'!D567)=1,"",'RNEW import'!D567)</f>
        <v>General Building Management SRL</v>
      </c>
      <c r="C569" s="211" t="str">
        <f>IF(COUNTBLANK('RNEW import'!E567)=1,"",'RNEW import'!E567)</f>
        <v>RGBM</v>
      </c>
      <c r="D569" s="211" t="str">
        <f>IF(COUNTBLANK('RNEW import'!K567)=1,"",'RNEW import'!K567)</f>
        <v>Regularizare Tarif de introducere en.el in retea (TG)</v>
      </c>
      <c r="E569" s="211">
        <f>IF(COUNTBLANK('RNEW import'!L567)=1,"",'RNEW import'!N567)</f>
        <v>0</v>
      </c>
      <c r="F569" s="211">
        <f>IF(COUNTBLANK('RNEW import'!M567)=1,"",'RNEW import'!O567/10000)</f>
        <v>3.29E-3</v>
      </c>
      <c r="G569" s="217">
        <f t="shared" si="159"/>
        <v>0</v>
      </c>
      <c r="H569" s="217">
        <f t="shared" si="152"/>
        <v>0</v>
      </c>
      <c r="I569" s="329">
        <f t="shared" si="160"/>
        <v>0</v>
      </c>
      <c r="J569" s="237" t="str">
        <f t="shared" si="147"/>
        <v/>
      </c>
      <c r="K569" s="238" t="str">
        <f t="shared" si="148"/>
        <v/>
      </c>
      <c r="L569" s="238" t="str">
        <f t="shared" si="149"/>
        <v/>
      </c>
      <c r="M569" s="238" t="str">
        <f t="shared" si="150"/>
        <v/>
      </c>
      <c r="N569" s="238" t="str">
        <f t="shared" si="151"/>
        <v/>
      </c>
      <c r="O569" s="232" t="str">
        <f t="shared" si="161"/>
        <v/>
      </c>
      <c r="P569" s="219" t="str">
        <f t="shared" si="153"/>
        <v/>
      </c>
      <c r="Q569" s="219" t="str">
        <f t="shared" si="154"/>
        <v/>
      </c>
      <c r="R569" s="219" t="str">
        <f t="shared" si="155"/>
        <v/>
      </c>
      <c r="S569" s="331" t="str">
        <f t="shared" si="156"/>
        <v/>
      </c>
      <c r="T569" s="331" t="str">
        <f t="shared" si="157"/>
        <v/>
      </c>
      <c r="U569" s="331" t="str">
        <f t="shared" si="158"/>
        <v/>
      </c>
    </row>
    <row r="570" spans="1:21" ht="15.95" customHeight="1">
      <c r="A570" s="211">
        <f>IF(COUNTBLANK('RNEW import'!B568)=1,"",'RNEW import'!B568)</f>
        <v>27</v>
      </c>
      <c r="B570" s="211" t="str">
        <f>IF(COUNTBLANK('RNEW import'!D568)=1,"",'RNEW import'!D568)</f>
        <v>General Building Management SRL</v>
      </c>
      <c r="C570" s="211" t="str">
        <f>IF(COUNTBLANK('RNEW import'!E568)=1,"",'RNEW import'!E568)</f>
        <v>RGBM</v>
      </c>
      <c r="D570" s="211" t="str">
        <f>IF(COUNTBLANK('RNEW import'!K568)=1,"",'RNEW import'!K568)</f>
        <v>Regularizare Contributie pentru cogenerare</v>
      </c>
      <c r="E570" s="211">
        <f>IF(COUNTBLANK('RNEW import'!L568)=1,"",'RNEW import'!N568)</f>
        <v>0</v>
      </c>
      <c r="F570" s="211">
        <f>IF(COUNTBLANK('RNEW import'!M568)=1,"",'RNEW import'!O568/10000)</f>
        <v>3.5000000000000001E-3</v>
      </c>
      <c r="G570" s="217">
        <f t="shared" si="159"/>
        <v>0</v>
      </c>
      <c r="H570" s="217">
        <f t="shared" si="152"/>
        <v>0</v>
      </c>
      <c r="I570" s="329">
        <f t="shared" si="160"/>
        <v>0</v>
      </c>
      <c r="J570" s="237" t="str">
        <f t="shared" si="147"/>
        <v/>
      </c>
      <c r="K570" s="238" t="str">
        <f t="shared" si="148"/>
        <v/>
      </c>
      <c r="L570" s="238" t="str">
        <f t="shared" si="149"/>
        <v/>
      </c>
      <c r="M570" s="238" t="str">
        <f t="shared" si="150"/>
        <v/>
      </c>
      <c r="N570" s="238" t="str">
        <f t="shared" si="151"/>
        <v/>
      </c>
      <c r="O570" s="232" t="str">
        <f t="shared" si="161"/>
        <v/>
      </c>
      <c r="P570" s="219" t="str">
        <f t="shared" si="153"/>
        <v/>
      </c>
      <c r="Q570" s="219" t="str">
        <f t="shared" si="154"/>
        <v/>
      </c>
      <c r="R570" s="219" t="str">
        <f t="shared" si="155"/>
        <v/>
      </c>
      <c r="S570" s="331" t="str">
        <f t="shared" si="156"/>
        <v/>
      </c>
      <c r="T570" s="331" t="str">
        <f t="shared" si="157"/>
        <v/>
      </c>
      <c r="U570" s="331" t="str">
        <f t="shared" si="158"/>
        <v/>
      </c>
    </row>
    <row r="571" spans="1:21" ht="15.95" customHeight="1">
      <c r="A571" s="211">
        <f>IF(COUNTBLANK('RNEW import'!B569)=1,"",'RNEW import'!B569)</f>
        <v>28</v>
      </c>
      <c r="B571" s="211" t="str">
        <f>IF(COUNTBLANK('RNEW import'!D569)=1,"",'RNEW import'!D569)</f>
        <v>General Building Management SRL</v>
      </c>
      <c r="C571" s="211" t="str">
        <f>IF(COUNTBLANK('RNEW import'!E569)=1,"",'RNEW import'!E569)</f>
        <v>RGBM</v>
      </c>
      <c r="D571" s="211" t="str">
        <f>IF(COUNTBLANK('RNEW import'!K569)=1,"",'RNEW import'!K569)</f>
        <v xml:space="preserve">Regularizare Certificate verzi </v>
      </c>
      <c r="E571" s="211">
        <f>IF(COUNTBLANK('RNEW import'!L569)=1,"",'RNEW import'!N569)</f>
        <v>0</v>
      </c>
      <c r="F571" s="211">
        <f>IF(COUNTBLANK('RNEW import'!M569)=1,"",'RNEW import'!O569/10000)</f>
        <v>7.2541599999999998E-2</v>
      </c>
      <c r="G571" s="217">
        <f t="shared" si="159"/>
        <v>0</v>
      </c>
      <c r="H571" s="217">
        <f t="shared" si="152"/>
        <v>0</v>
      </c>
      <c r="I571" s="329">
        <f t="shared" si="160"/>
        <v>0</v>
      </c>
      <c r="J571" s="237" t="str">
        <f t="shared" si="147"/>
        <v/>
      </c>
      <c r="K571" s="238" t="str">
        <f t="shared" si="148"/>
        <v/>
      </c>
      <c r="L571" s="238" t="str">
        <f t="shared" si="149"/>
        <v/>
      </c>
      <c r="M571" s="238" t="str">
        <f t="shared" si="150"/>
        <v/>
      </c>
      <c r="N571" s="238" t="str">
        <f t="shared" si="151"/>
        <v/>
      </c>
      <c r="O571" s="232" t="str">
        <f t="shared" si="161"/>
        <v/>
      </c>
      <c r="P571" s="219" t="str">
        <f t="shared" si="153"/>
        <v/>
      </c>
      <c r="Q571" s="219" t="str">
        <f t="shared" si="154"/>
        <v/>
      </c>
      <c r="R571" s="219" t="str">
        <f t="shared" si="155"/>
        <v/>
      </c>
      <c r="S571" s="331" t="str">
        <f t="shared" si="156"/>
        <v/>
      </c>
      <c r="T571" s="331" t="str">
        <f t="shared" si="157"/>
        <v/>
      </c>
      <c r="U571" s="331" t="str">
        <f t="shared" si="158"/>
        <v/>
      </c>
    </row>
    <row r="572" spans="1:21" ht="15.95" customHeight="1">
      <c r="A572" s="211">
        <f>IF(COUNTBLANK('RNEW import'!B570)=1,"",'RNEW import'!B570)</f>
        <v>29</v>
      </c>
      <c r="B572" s="211" t="str">
        <f>IF(COUNTBLANK('RNEW import'!D570)=1,"",'RNEW import'!D570)</f>
        <v>General Building Management SRL</v>
      </c>
      <c r="C572" s="211" t="str">
        <f>IF(COUNTBLANK('RNEW import'!E570)=1,"",'RNEW import'!E570)</f>
        <v>RGBM</v>
      </c>
      <c r="D572" s="211" t="str">
        <f>IF(COUNTBLANK('RNEW import'!K570)=1,"",'RNEW import'!K570)</f>
        <v>Regularizare Contributie CFD</v>
      </c>
      <c r="E572" s="211">
        <f>IF(COUNTBLANK('RNEW import'!L570)=1,"",'RNEW import'!N570)</f>
        <v>0</v>
      </c>
      <c r="F572" s="211">
        <f>IF(COUNTBLANK('RNEW import'!M570)=1,"",'RNEW import'!O570/10000)</f>
        <v>2.0599999999999999E-4</v>
      </c>
      <c r="G572" s="217">
        <f t="shared" si="159"/>
        <v>0</v>
      </c>
      <c r="H572" s="217">
        <f t="shared" si="152"/>
        <v>0</v>
      </c>
      <c r="I572" s="329">
        <f t="shared" si="160"/>
        <v>0</v>
      </c>
      <c r="J572" s="237" t="str">
        <f t="shared" si="147"/>
        <v/>
      </c>
      <c r="K572" s="238" t="str">
        <f t="shared" si="148"/>
        <v/>
      </c>
      <c r="L572" s="238" t="str">
        <f t="shared" si="149"/>
        <v/>
      </c>
      <c r="M572" s="238" t="str">
        <f t="shared" si="150"/>
        <v/>
      </c>
      <c r="N572" s="238" t="str">
        <f t="shared" si="151"/>
        <v/>
      </c>
      <c r="O572" s="232" t="str">
        <f t="shared" si="161"/>
        <v/>
      </c>
      <c r="P572" s="219" t="str">
        <f t="shared" si="153"/>
        <v/>
      </c>
      <c r="Q572" s="219" t="str">
        <f t="shared" si="154"/>
        <v/>
      </c>
      <c r="R572" s="219" t="str">
        <f t="shared" si="155"/>
        <v/>
      </c>
      <c r="S572" s="331" t="str">
        <f t="shared" si="156"/>
        <v/>
      </c>
      <c r="T572" s="331" t="str">
        <f t="shared" si="157"/>
        <v/>
      </c>
      <c r="U572" s="331" t="str">
        <f t="shared" si="158"/>
        <v/>
      </c>
    </row>
    <row r="573" spans="1:21" ht="15.95" customHeight="1">
      <c r="A573" s="211">
        <f>IF(COUNTBLANK('RNEW import'!B571)=1,"",'RNEW import'!B571)</f>
        <v>30</v>
      </c>
      <c r="B573" s="211" t="str">
        <f>IF(COUNTBLANK('RNEW import'!D571)=1,"",'RNEW import'!D571)</f>
        <v>General Building Management SRL</v>
      </c>
      <c r="C573" s="211" t="str">
        <f>IF(COUNTBLANK('RNEW import'!E571)=1,"",'RNEW import'!E571)</f>
        <v>RGBM</v>
      </c>
      <c r="D573" s="211" t="str">
        <f>IF(COUNTBLANK('RNEW import'!K571)=1,"",'RNEW import'!K571)</f>
        <v>Regularizare Acciza</v>
      </c>
      <c r="E573" s="211">
        <f>IF(COUNTBLANK('RNEW import'!L571)=1,"",'RNEW import'!N571)</f>
        <v>0</v>
      </c>
      <c r="F573" s="211">
        <f>IF(COUNTBLANK('RNEW import'!M571)=1,"",'RNEW import'!O571/10000)</f>
        <v>0</v>
      </c>
      <c r="G573" s="217">
        <f t="shared" si="159"/>
        <v>0</v>
      </c>
      <c r="H573" s="217">
        <f t="shared" si="152"/>
        <v>0</v>
      </c>
      <c r="I573" s="329">
        <f t="shared" si="160"/>
        <v>0</v>
      </c>
      <c r="J573" s="237" t="str">
        <f t="shared" si="147"/>
        <v/>
      </c>
      <c r="K573" s="238" t="str">
        <f t="shared" si="148"/>
        <v/>
      </c>
      <c r="L573" s="238" t="str">
        <f t="shared" si="149"/>
        <v/>
      </c>
      <c r="M573" s="238" t="str">
        <f t="shared" si="150"/>
        <v/>
      </c>
      <c r="N573" s="238" t="str">
        <f t="shared" si="151"/>
        <v/>
      </c>
      <c r="O573" s="232" t="str">
        <f t="shared" si="161"/>
        <v/>
      </c>
      <c r="P573" s="219" t="str">
        <f t="shared" si="153"/>
        <v/>
      </c>
      <c r="Q573" s="219" t="str">
        <f t="shared" si="154"/>
        <v/>
      </c>
      <c r="R573" s="219" t="str">
        <f t="shared" si="155"/>
        <v/>
      </c>
      <c r="S573" s="331" t="str">
        <f t="shared" si="156"/>
        <v/>
      </c>
      <c r="T573" s="331" t="str">
        <f t="shared" si="157"/>
        <v/>
      </c>
      <c r="U573" s="331" t="str">
        <f t="shared" si="158"/>
        <v/>
      </c>
    </row>
    <row r="574" spans="1:21" ht="15.95" customHeight="1">
      <c r="A574" s="211">
        <f>IF(COUNTBLANK('RNEW import'!B572)=1,"",'RNEW import'!B572)</f>
        <v>31</v>
      </c>
      <c r="B574" s="211" t="str">
        <f>IF(COUNTBLANK('RNEW import'!D572)=1,"",'RNEW import'!D572)</f>
        <v>General Building Management SRL</v>
      </c>
      <c r="C574" s="211" t="str">
        <f>IF(COUNTBLANK('RNEW import'!E572)=1,"",'RNEW import'!E572)</f>
        <v>RGBM</v>
      </c>
      <c r="D574" s="211" t="str">
        <f>IF(COUNTBLANK('RNEW import'!K572)=1,"",'RNEW import'!K572)</f>
        <v>Regularizare Tarif distributie SDI MT Ea1</v>
      </c>
      <c r="E574" s="211">
        <f>IF(COUNTBLANK('RNEW import'!L572)=1,"",'RNEW import'!N572)</f>
        <v>0</v>
      </c>
      <c r="F574" s="211">
        <f>IF(COUNTBLANK('RNEW import'!M572)=1,"",'RNEW import'!O572/10000)</f>
        <v>1.7000000000000001E-2</v>
      </c>
      <c r="G574" s="217">
        <f t="shared" si="159"/>
        <v>0</v>
      </c>
      <c r="H574" s="217">
        <f t="shared" si="152"/>
        <v>0</v>
      </c>
      <c r="I574" s="329">
        <f t="shared" si="160"/>
        <v>0</v>
      </c>
      <c r="J574" s="237" t="str">
        <f t="shared" si="147"/>
        <v/>
      </c>
      <c r="K574" s="238" t="str">
        <f t="shared" si="148"/>
        <v/>
      </c>
      <c r="L574" s="238" t="str">
        <f t="shared" si="149"/>
        <v/>
      </c>
      <c r="M574" s="238" t="str">
        <f t="shared" si="150"/>
        <v/>
      </c>
      <c r="N574" s="238" t="str">
        <f t="shared" si="151"/>
        <v/>
      </c>
      <c r="O574" s="232" t="str">
        <f t="shared" si="161"/>
        <v/>
      </c>
      <c r="P574" s="219" t="str">
        <f t="shared" si="153"/>
        <v/>
      </c>
      <c r="Q574" s="219" t="str">
        <f t="shared" si="154"/>
        <v/>
      </c>
      <c r="R574" s="219" t="str">
        <f t="shared" si="155"/>
        <v/>
      </c>
      <c r="S574" s="331" t="str">
        <f t="shared" si="156"/>
        <v/>
      </c>
      <c r="T574" s="331" t="str">
        <f t="shared" si="157"/>
        <v/>
      </c>
      <c r="U574" s="331" t="str">
        <f t="shared" si="158"/>
        <v/>
      </c>
    </row>
    <row r="575" spans="1:21" ht="15.95" customHeight="1">
      <c r="A575" s="211">
        <f>IF(COUNTBLANK('RNEW import'!B573)=1,"",'RNEW import'!B573)</f>
        <v>32</v>
      </c>
      <c r="B575" s="211" t="str">
        <f>IF(COUNTBLANK('RNEW import'!D573)=1,"",'RNEW import'!D573)</f>
        <v>General Building Management SRL</v>
      </c>
      <c r="C575" s="211" t="str">
        <f>IF(COUNTBLANK('RNEW import'!E573)=1,"",'RNEW import'!E573)</f>
        <v>RGBM</v>
      </c>
      <c r="D575" s="211" t="str">
        <f>IF(COUNTBLANK('RNEW import'!K573)=1,"",'RNEW import'!K573)</f>
        <v>Regularizare Tarif distributie SDI JT Ea1</v>
      </c>
      <c r="E575" s="211">
        <f>IF(COUNTBLANK('RNEW import'!L573)=1,"",'RNEW import'!N573)</f>
        <v>0</v>
      </c>
      <c r="F575" s="211">
        <f>IF(COUNTBLANK('RNEW import'!M573)=1,"",'RNEW import'!O573/10000)</f>
        <v>0.10290000000000001</v>
      </c>
      <c r="G575" s="217">
        <f t="shared" si="159"/>
        <v>0</v>
      </c>
      <c r="H575" s="217">
        <f t="shared" si="152"/>
        <v>0</v>
      </c>
      <c r="I575" s="329">
        <f t="shared" si="160"/>
        <v>0</v>
      </c>
      <c r="J575" s="237" t="str">
        <f t="shared" si="147"/>
        <v/>
      </c>
      <c r="K575" s="238" t="str">
        <f t="shared" si="148"/>
        <v/>
      </c>
      <c r="L575" s="238" t="str">
        <f t="shared" si="149"/>
        <v/>
      </c>
      <c r="M575" s="238" t="str">
        <f t="shared" si="150"/>
        <v/>
      </c>
      <c r="N575" s="238" t="str">
        <f t="shared" si="151"/>
        <v/>
      </c>
      <c r="O575" s="232" t="str">
        <f t="shared" si="161"/>
        <v/>
      </c>
      <c r="P575" s="219" t="str">
        <f t="shared" si="153"/>
        <v/>
      </c>
      <c r="Q575" s="219" t="str">
        <f t="shared" si="154"/>
        <v/>
      </c>
      <c r="R575" s="219" t="str">
        <f t="shared" si="155"/>
        <v/>
      </c>
      <c r="S575" s="331" t="str">
        <f t="shared" si="156"/>
        <v/>
      </c>
      <c r="T575" s="331" t="str">
        <f t="shared" si="157"/>
        <v/>
      </c>
      <c r="U575" s="331" t="str">
        <f t="shared" si="158"/>
        <v/>
      </c>
    </row>
    <row r="576" spans="1:21" ht="15.95" customHeight="1">
      <c r="A576" s="211">
        <f>IF(COUNTBLANK('RNEW import'!B574)=1,"",'RNEW import'!B574)</f>
        <v>33</v>
      </c>
      <c r="B576" s="211" t="str">
        <f>IF(COUNTBLANK('RNEW import'!D574)=1,"",'RNEW import'!D574)</f>
        <v>General Building Management SRL</v>
      </c>
      <c r="C576" s="211" t="str">
        <f>IF(COUNTBLANK('RNEW import'!E574)=1,"",'RNEW import'!E574)</f>
        <v>RGBM</v>
      </c>
      <c r="D576" s="211" t="str">
        <f>IF(COUNTBLANK('RNEW import'!K574)=1,"",'RNEW import'!K574)</f>
        <v>Regularizare Energie activa 2</v>
      </c>
      <c r="E576" s="211">
        <f>IF(COUNTBLANK('RNEW import'!L574)=1,"",'RNEW import'!N574)</f>
        <v>0</v>
      </c>
      <c r="F576" s="211">
        <f>IF(COUNTBLANK('RNEW import'!M574)=1,"",'RNEW import'!O574/10000)</f>
        <v>0.97511759999999992</v>
      </c>
      <c r="G576" s="217">
        <f t="shared" si="159"/>
        <v>0</v>
      </c>
      <c r="H576" s="217">
        <f t="shared" si="152"/>
        <v>0</v>
      </c>
      <c r="I576" s="329">
        <f t="shared" si="160"/>
        <v>0</v>
      </c>
      <c r="J576" s="237" t="str">
        <f t="shared" si="147"/>
        <v/>
      </c>
      <c r="K576" s="238" t="str">
        <f t="shared" si="148"/>
        <v/>
      </c>
      <c r="L576" s="238" t="str">
        <f t="shared" si="149"/>
        <v/>
      </c>
      <c r="M576" s="238" t="str">
        <f t="shared" si="150"/>
        <v/>
      </c>
      <c r="N576" s="238" t="str">
        <f t="shared" si="151"/>
        <v/>
      </c>
      <c r="O576" s="232" t="str">
        <f t="shared" si="161"/>
        <v/>
      </c>
      <c r="P576" s="219" t="str">
        <f t="shared" si="153"/>
        <v/>
      </c>
      <c r="Q576" s="219" t="str">
        <f t="shared" si="154"/>
        <v/>
      </c>
      <c r="R576" s="219" t="str">
        <f t="shared" si="155"/>
        <v/>
      </c>
      <c r="S576" s="331" t="str">
        <f t="shared" si="156"/>
        <v/>
      </c>
      <c r="T576" s="331" t="str">
        <f t="shared" si="157"/>
        <v/>
      </c>
      <c r="U576" s="331" t="str">
        <f t="shared" si="158"/>
        <v/>
      </c>
    </row>
    <row r="577" spans="1:21" ht="15.95" customHeight="1">
      <c r="A577" s="211">
        <f>IF(COUNTBLANK('RNEW import'!B575)=1,"",'RNEW import'!B575)</f>
        <v>34</v>
      </c>
      <c r="B577" s="211" t="str">
        <f>IF(COUNTBLANK('RNEW import'!D575)=1,"",'RNEW import'!D575)</f>
        <v>General Building Management SRL</v>
      </c>
      <c r="C577" s="211" t="str">
        <f>IF(COUNTBLANK('RNEW import'!E575)=1,"",'RNEW import'!E575)</f>
        <v>RGBM</v>
      </c>
      <c r="D577" s="211" t="str">
        <f>IF(COUNTBLANK('RNEW import'!K575)=1,"",'RNEW import'!K575)</f>
        <v>Regularizare Energie activa 3</v>
      </c>
      <c r="E577" s="211">
        <f>IF(COUNTBLANK('RNEW import'!L575)=1,"",'RNEW import'!N575)</f>
        <v>0</v>
      </c>
      <c r="F577" s="211">
        <f>IF(COUNTBLANK('RNEW import'!M575)=1,"",'RNEW import'!O575/10000)</f>
        <v>0.85521759999999991</v>
      </c>
      <c r="G577" s="217">
        <f t="shared" si="159"/>
        <v>0</v>
      </c>
      <c r="H577" s="217">
        <f t="shared" si="152"/>
        <v>0</v>
      </c>
      <c r="I577" s="329">
        <f t="shared" si="160"/>
        <v>0</v>
      </c>
      <c r="J577" s="237" t="str">
        <f t="shared" si="147"/>
        <v/>
      </c>
      <c r="K577" s="238" t="str">
        <f t="shared" si="148"/>
        <v/>
      </c>
      <c r="L577" s="238" t="str">
        <f t="shared" si="149"/>
        <v/>
      </c>
      <c r="M577" s="238" t="str">
        <f t="shared" si="150"/>
        <v/>
      </c>
      <c r="N577" s="238" t="str">
        <f t="shared" si="151"/>
        <v/>
      </c>
      <c r="O577" s="232" t="str">
        <f t="shared" si="161"/>
        <v/>
      </c>
      <c r="P577" s="219" t="str">
        <f t="shared" si="153"/>
        <v/>
      </c>
      <c r="Q577" s="219" t="str">
        <f t="shared" si="154"/>
        <v/>
      </c>
      <c r="R577" s="219" t="str">
        <f t="shared" si="155"/>
        <v/>
      </c>
      <c r="S577" s="331" t="str">
        <f t="shared" si="156"/>
        <v/>
      </c>
      <c r="T577" s="331" t="str">
        <f t="shared" si="157"/>
        <v/>
      </c>
      <c r="U577" s="331" t="str">
        <f t="shared" si="158"/>
        <v/>
      </c>
    </row>
    <row r="578" spans="1:21" ht="15.95" customHeight="1">
      <c r="A578" s="211">
        <f>IF(COUNTBLANK('RNEW import'!B576)=1,"",'RNEW import'!B576)</f>
        <v>35</v>
      </c>
      <c r="B578" s="211" t="str">
        <f>IF(COUNTBLANK('RNEW import'!D576)=1,"",'RNEW import'!D576)</f>
        <v>General Building Management SRL</v>
      </c>
      <c r="C578" s="211" t="str">
        <f>IF(COUNTBLANK('RNEW import'!E576)=1,"",'RNEW import'!E576)</f>
        <v>RGBM</v>
      </c>
      <c r="D578" s="211" t="str">
        <f>IF(COUNTBLANK('RNEW import'!K576)=1,"",'RNEW import'!K576)</f>
        <v>Regularizare Tarif distributie SDI MT Ea3</v>
      </c>
      <c r="E578" s="211">
        <f>IF(COUNTBLANK('RNEW import'!L576)=1,"",'RNEW import'!N576)</f>
        <v>0</v>
      </c>
      <c r="F578" s="211">
        <f>IF(COUNTBLANK('RNEW import'!M576)=1,"",'RNEW import'!O576/10000)</f>
        <v>1.7000000000000001E-2</v>
      </c>
      <c r="G578" s="217">
        <f t="shared" si="159"/>
        <v>0</v>
      </c>
      <c r="H578" s="217">
        <f t="shared" si="152"/>
        <v>0</v>
      </c>
      <c r="I578" s="329">
        <f t="shared" si="160"/>
        <v>0</v>
      </c>
      <c r="J578" s="237" t="str">
        <f t="shared" si="147"/>
        <v/>
      </c>
      <c r="K578" s="238" t="str">
        <f t="shared" si="148"/>
        <v/>
      </c>
      <c r="L578" s="238" t="str">
        <f t="shared" si="149"/>
        <v/>
      </c>
      <c r="M578" s="238" t="str">
        <f t="shared" si="150"/>
        <v/>
      </c>
      <c r="N578" s="238" t="str">
        <f t="shared" si="151"/>
        <v/>
      </c>
      <c r="O578" s="232" t="str">
        <f t="shared" si="161"/>
        <v/>
      </c>
      <c r="P578" s="219" t="str">
        <f t="shared" si="153"/>
        <v/>
      </c>
      <c r="Q578" s="219" t="str">
        <f t="shared" si="154"/>
        <v/>
      </c>
      <c r="R578" s="219" t="str">
        <f t="shared" si="155"/>
        <v/>
      </c>
      <c r="S578" s="331" t="str">
        <f t="shared" si="156"/>
        <v/>
      </c>
      <c r="T578" s="331" t="str">
        <f t="shared" si="157"/>
        <v/>
      </c>
      <c r="U578" s="331" t="str">
        <f t="shared" si="158"/>
        <v/>
      </c>
    </row>
    <row r="579" spans="1:21" ht="15.95" customHeight="1">
      <c r="A579" s="211">
        <f>IF(COUNTBLANK('RNEW import'!B577)=1,"",'RNEW import'!B577)</f>
        <v>36</v>
      </c>
      <c r="B579" s="211" t="str">
        <f>IF(COUNTBLANK('RNEW import'!D577)=1,"",'RNEW import'!D577)</f>
        <v>General Building Management SRL</v>
      </c>
      <c r="C579" s="211" t="str">
        <f>IF(COUNTBLANK('RNEW import'!E577)=1,"",'RNEW import'!E577)</f>
        <v>RGBM</v>
      </c>
      <c r="D579" s="211" t="str">
        <f>IF(COUNTBLANK('RNEW import'!K577)=1,"",'RNEW import'!K577)</f>
        <v>Regularizare Tarif distributie SDI JT Ea3</v>
      </c>
      <c r="E579" s="211">
        <f>IF(COUNTBLANK('RNEW import'!L577)=1,"",'RNEW import'!N577)</f>
        <v>0</v>
      </c>
      <c r="F579" s="211">
        <f>IF(COUNTBLANK('RNEW import'!M577)=1,"",'RNEW import'!O577/10000)</f>
        <v>0.10290000000000001</v>
      </c>
      <c r="G579" s="217">
        <f t="shared" si="159"/>
        <v>0</v>
      </c>
      <c r="H579" s="217">
        <f t="shared" si="152"/>
        <v>0</v>
      </c>
      <c r="I579" s="329">
        <f t="shared" si="160"/>
        <v>0</v>
      </c>
      <c r="J579" s="237" t="str">
        <f t="shared" si="147"/>
        <v/>
      </c>
      <c r="K579" s="238" t="str">
        <f t="shared" si="148"/>
        <v/>
      </c>
      <c r="L579" s="238" t="str">
        <f t="shared" si="149"/>
        <v/>
      </c>
      <c r="M579" s="238" t="str">
        <f t="shared" si="150"/>
        <v/>
      </c>
      <c r="N579" s="238" t="str">
        <f t="shared" si="151"/>
        <v/>
      </c>
      <c r="O579" s="232" t="str">
        <f t="shared" si="161"/>
        <v/>
      </c>
      <c r="P579" s="219" t="str">
        <f t="shared" si="153"/>
        <v>Energie consumata din PV regularizare</v>
      </c>
      <c r="Q579" s="219">
        <f t="shared" si="154"/>
        <v>0</v>
      </c>
      <c r="R579" s="219">
        <f t="shared" si="155"/>
        <v>0</v>
      </c>
      <c r="S579" s="331">
        <f t="shared" si="156"/>
        <v>0</v>
      </c>
      <c r="T579" s="331">
        <f t="shared" si="157"/>
        <v>0</v>
      </c>
      <c r="U579" s="331">
        <f t="shared" si="158"/>
        <v>0</v>
      </c>
    </row>
    <row r="580" spans="1:21" ht="15.95" customHeight="1">
      <c r="A580" s="211">
        <f>IF(COUNTBLANK('RNEW import'!B578)=1,"",'RNEW import'!B578)</f>
        <v>1</v>
      </c>
      <c r="B580" s="211" t="str">
        <f>IF(COUNTBLANK('RNEW import'!D578)=1,"",'RNEW import'!D578)</f>
        <v>Mega Mall Bucuresti SRL</v>
      </c>
      <c r="C580" s="211" t="str">
        <f>IF(COUNTBLANK('RNEW import'!E578)=1,"",'RNEW import'!E578)</f>
        <v>RMEG</v>
      </c>
      <c r="D580" s="211" t="str">
        <f>IF(COUNTBLANK('RNEW import'!K578)=1,"",'RNEW import'!K578)</f>
        <v>Energie activa 1</v>
      </c>
      <c r="E580" s="211">
        <f>IF(COUNTBLANK('RNEW import'!L578)=1,"",'RNEW import'!N578)</f>
        <v>1934381</v>
      </c>
      <c r="F580" s="211">
        <f>IF(COUNTBLANK('RNEW import'!M578)=1,"",'RNEW import'!O578/10000)</f>
        <v>0.59499999999999997</v>
      </c>
      <c r="G580" s="217">
        <f t="shared" si="159"/>
        <v>1150956.7</v>
      </c>
      <c r="H580" s="217">
        <f t="shared" si="152"/>
        <v>218681.77</v>
      </c>
      <c r="I580" s="329">
        <f t="shared" si="160"/>
        <v>1369638.47</v>
      </c>
      <c r="J580" s="237" t="str">
        <f t="shared" ref="J580:J643" si="162">IF(A580=1,B580,"")</f>
        <v>Mega Mall Bucuresti SRL</v>
      </c>
      <c r="K580" s="238">
        <f t="shared" ref="K580:K643" si="163">IF(COUNTBLANK(J580)=1,"",IF(A580=1,SUMIFS(G:G,$C:$C,C580,$A:$A,"=13")+SUMIFS(G:G,$C:$C,C580,$A:$A,"=14")+SUMIFS(G:G,$C:$C,C580,$A:$A,"=17")+SUMIFS(G:G,$C:$C,C580,$A:$A,"=18")+SUMIFS(G:G,$C:$C,C580,$A:$A,"=31")+SUMIFS(G:G,$C:$C,C580,$A:$A,"=32")+SUMIFS(G:G,$C:$C,C580,$A:$A,"=35")+SUMIFS(G:G,$C:$C,C580,$A:$A,"=36"),""))</f>
        <v>184539.95</v>
      </c>
      <c r="L580" s="238">
        <f t="shared" ref="L580:L643" si="164">IF(COUNTBLANK(J580)=1,"",IF(A580=1,SUMIFS(G:G,$C:$C,C580,$A:$A,"&lt;13")+SUMIFS(G:G,$C:$C,C580,$A:$A,"&gt;18",$A:$A,"&lt;31")))</f>
        <v>1557674.9900000002</v>
      </c>
      <c r="M580" s="238">
        <f t="shared" ref="M580:M643" si="165">IF(COUNTBLANK(J580)=1,"",IF(A580=1,SUMIFS(G:G,$C:$C,C580,$A:$A,"=15")+SUMIFS(G:G,$C:$C,C580,$A:$A,"=16")+SUMIFS(G:G,$C:$C,C580,$A:$A,"=33")+SUMIFS(G:G,$C:$C,C580,$A:$A,"=34"),""))</f>
        <v>12522.74</v>
      </c>
      <c r="N580" s="238">
        <f t="shared" ref="N580:N643" si="166">IF(COUNTBLANK(J580)=1,"",IF(A580=1,SUMIFS(E:E,$C:$C,C580,$A:$A,"=13")+SUMIFS(E:E,$C:$C,C580,$A:$A,"=17")+SUMIFS(E:E,$C:$C,C580,$A:$A,"=31")+SUMIFS(E:E,$C:$C,C580,$A:$A,"=35"),""))</f>
        <v>1934381</v>
      </c>
      <c r="O580" s="232" t="str">
        <f t="shared" si="161"/>
        <v>Mega Mall Bucuresti SRL</v>
      </c>
      <c r="P580" s="219" t="str">
        <f t="shared" si="153"/>
        <v>Enegie activa</v>
      </c>
      <c r="Q580" s="219">
        <f t="shared" si="154"/>
        <v>1934381</v>
      </c>
      <c r="R580" s="219">
        <f t="shared" si="155"/>
        <v>0.90065799999999996</v>
      </c>
      <c r="S580" s="331">
        <f t="shared" si="156"/>
        <v>1742214.94</v>
      </c>
      <c r="T580" s="331">
        <f t="shared" si="157"/>
        <v>331020.83</v>
      </c>
      <c r="U580" s="331">
        <f t="shared" si="158"/>
        <v>2073235.77</v>
      </c>
    </row>
    <row r="581" spans="1:21" ht="15.95" customHeight="1">
      <c r="A581" s="211">
        <f>IF(COUNTBLANK('RNEW import'!B579)=1,"",'RNEW import'!B579)</f>
        <v>2</v>
      </c>
      <c r="B581" s="211" t="str">
        <f>IF(COUNTBLANK('RNEW import'!D579)=1,"",'RNEW import'!D579)</f>
        <v>Mega Mall Bucuresti SRL</v>
      </c>
      <c r="C581" s="211" t="str">
        <f>IF(COUNTBLANK('RNEW import'!E579)=1,"",'RNEW import'!E579)</f>
        <v>RMEG</v>
      </c>
      <c r="D581" s="211" t="str">
        <f>IF(COUNTBLANK('RNEW import'!K579)=1,"",'RNEW import'!K579)</f>
        <v>Energie reactiva  1X</v>
      </c>
      <c r="E581" s="211">
        <f>IF(COUNTBLANK('RNEW import'!L579)=1,"",'RNEW import'!N579)</f>
        <v>0</v>
      </c>
      <c r="F581" s="211">
        <f>IF(COUNTBLANK('RNEW import'!M579)=1,"",'RNEW import'!O579/10000)</f>
        <v>0.14660000000000001</v>
      </c>
      <c r="G581" s="217">
        <f t="shared" si="159"/>
        <v>0</v>
      </c>
      <c r="H581" s="217">
        <f t="shared" ref="H581:H644" si="167">ROUND(G581*19%,2)</f>
        <v>0</v>
      </c>
      <c r="I581" s="329">
        <f t="shared" si="160"/>
        <v>0</v>
      </c>
      <c r="J581" s="237" t="str">
        <f t="shared" si="162"/>
        <v/>
      </c>
      <c r="K581" s="238" t="str">
        <f t="shared" si="163"/>
        <v/>
      </c>
      <c r="L581" s="238" t="str">
        <f t="shared" si="164"/>
        <v/>
      </c>
      <c r="M581" s="238" t="str">
        <f t="shared" si="165"/>
        <v/>
      </c>
      <c r="N581" s="238" t="str">
        <f t="shared" si="166"/>
        <v/>
      </c>
      <c r="O581" s="233" t="str">
        <f t="shared" si="161"/>
        <v/>
      </c>
      <c r="P581" s="219" t="str">
        <f t="shared" ref="P581:P644" si="168">IF(A581=1,"Enegie activa",IF(OR(A581=18),"Energie consumata din PV",IF(OR(A581=2),"Energie reactiva 1x",IF(OR(A581=3),"Energie reactiva 3x",IF(A581=19,"Energie activa regularizare",IF(OR(A581=36),"Energie consumata din PV regularizare",IF(OR(A581=20),"Energie reactiva 1x regularizare",IF(OR(A581=21),"Energie reactiva 3x regularizare",""))))))))</f>
        <v>Energie reactiva 1x</v>
      </c>
      <c r="Q581" s="219">
        <f t="shared" ref="Q581:Q644" si="169">IF(COUNTBLANK(P581)=0,IF(OR(A581=1,A581=2,A581=3,A581=19,A581=20,A581=21),E581,IF(OR(A581=18,A581=36),E578+E579,"")),"")</f>
        <v>0</v>
      </c>
      <c r="R581" s="219">
        <f t="shared" ref="R581:R644" si="170">IF(COUNTBLANK(P581)=1,"",IF(OR(A581=2,A581=3,A581=20,A581=21),F581,IF(Q581=0,0,ROUND(S581/Q581,6))))</f>
        <v>0.14660000000000001</v>
      </c>
      <c r="S581" s="331">
        <f t="shared" si="156"/>
        <v>0</v>
      </c>
      <c r="T581" s="331">
        <f t="shared" si="157"/>
        <v>0</v>
      </c>
      <c r="U581" s="331">
        <f t="shared" si="158"/>
        <v>0</v>
      </c>
    </row>
    <row r="582" spans="1:21" ht="15.95" customHeight="1">
      <c r="A582" s="211">
        <f>IF(COUNTBLANK('RNEW import'!B580)=1,"",'RNEW import'!B580)</f>
        <v>3</v>
      </c>
      <c r="B582" s="211" t="str">
        <f>IF(COUNTBLANK('RNEW import'!D580)=1,"",'RNEW import'!D580)</f>
        <v>Mega Mall Bucuresti SRL</v>
      </c>
      <c r="C582" s="211" t="str">
        <f>IF(COUNTBLANK('RNEW import'!E580)=1,"",'RNEW import'!E580)</f>
        <v>RMEG</v>
      </c>
      <c r="D582" s="211" t="str">
        <f>IF(COUNTBLANK('RNEW import'!K580)=1,"",'RNEW import'!K580)</f>
        <v>Energie reactiva  3X</v>
      </c>
      <c r="E582" s="211">
        <f>IF(COUNTBLANK('RNEW import'!L580)=1,"",'RNEW import'!N580)</f>
        <v>0</v>
      </c>
      <c r="F582" s="211">
        <f>IF(COUNTBLANK('RNEW import'!M580)=1,"",'RNEW import'!O580/10000)</f>
        <v>0.43980000000000002</v>
      </c>
      <c r="G582" s="217">
        <f t="shared" si="159"/>
        <v>0</v>
      </c>
      <c r="H582" s="217">
        <f t="shared" si="167"/>
        <v>0</v>
      </c>
      <c r="I582" s="329">
        <f t="shared" si="160"/>
        <v>0</v>
      </c>
      <c r="J582" s="237" t="str">
        <f t="shared" si="162"/>
        <v/>
      </c>
      <c r="K582" s="238" t="str">
        <f t="shared" si="163"/>
        <v/>
      </c>
      <c r="L582" s="238" t="str">
        <f t="shared" si="164"/>
        <v/>
      </c>
      <c r="M582" s="238" t="str">
        <f t="shared" si="165"/>
        <v/>
      </c>
      <c r="N582" s="238" t="str">
        <f t="shared" si="166"/>
        <v/>
      </c>
      <c r="O582" s="218" t="str">
        <f t="shared" si="161"/>
        <v/>
      </c>
      <c r="P582" s="219" t="str">
        <f t="shared" si="168"/>
        <v>Energie reactiva 3x</v>
      </c>
      <c r="Q582" s="219">
        <f t="shared" si="169"/>
        <v>0</v>
      </c>
      <c r="R582" s="219">
        <f t="shared" si="170"/>
        <v>0.43980000000000002</v>
      </c>
      <c r="S582" s="331">
        <f t="shared" si="156"/>
        <v>0</v>
      </c>
      <c r="T582" s="331">
        <f t="shared" si="157"/>
        <v>0</v>
      </c>
      <c r="U582" s="331">
        <f t="shared" si="158"/>
        <v>0</v>
      </c>
    </row>
    <row r="583" spans="1:21" ht="15.95" customHeight="1">
      <c r="A583" s="211">
        <f>IF(COUNTBLANK('RNEW import'!B581)=1,"",'RNEW import'!B581)</f>
        <v>4</v>
      </c>
      <c r="B583" s="211" t="str">
        <f>IF(COUNTBLANK('RNEW import'!D581)=1,"",'RNEW import'!D581)</f>
        <v>Mega Mall Bucuresti SRL</v>
      </c>
      <c r="C583" s="211" t="str">
        <f>IF(COUNTBLANK('RNEW import'!E581)=1,"",'RNEW import'!E581)</f>
        <v>RMEG</v>
      </c>
      <c r="D583" s="211" t="str">
        <f>IF(COUNTBLANK('RNEW import'!K581)=1,"",'RNEW import'!K581)</f>
        <v>Tarife distributie en. El IT+MT</v>
      </c>
      <c r="E583" s="211">
        <f>IF(COUNTBLANK('RNEW import'!L581)=1,"",'RNEW import'!N581)</f>
        <v>1934381</v>
      </c>
      <c r="F583" s="211">
        <f>IF(COUNTBLANK('RNEW import'!M581)=1,"",'RNEW import'!O581/10000)</f>
        <v>8.6180000000000007E-2</v>
      </c>
      <c r="G583" s="217">
        <f t="shared" si="159"/>
        <v>166704.95000000001</v>
      </c>
      <c r="H583" s="217">
        <f t="shared" si="167"/>
        <v>31673.94</v>
      </c>
      <c r="I583" s="329">
        <f t="shared" si="160"/>
        <v>198378.89</v>
      </c>
      <c r="J583" s="237" t="str">
        <f t="shared" si="162"/>
        <v/>
      </c>
      <c r="K583" s="238" t="str">
        <f t="shared" si="163"/>
        <v/>
      </c>
      <c r="L583" s="238" t="str">
        <f t="shared" si="164"/>
        <v/>
      </c>
      <c r="M583" s="238" t="str">
        <f t="shared" si="165"/>
        <v/>
      </c>
      <c r="N583" s="238" t="str">
        <f t="shared" si="166"/>
        <v/>
      </c>
      <c r="O583" s="232" t="str">
        <f t="shared" si="161"/>
        <v/>
      </c>
      <c r="P583" s="219" t="str">
        <f t="shared" si="168"/>
        <v/>
      </c>
      <c r="Q583" s="219" t="str">
        <f t="shared" si="169"/>
        <v/>
      </c>
      <c r="R583" s="219" t="str">
        <f t="shared" si="170"/>
        <v/>
      </c>
      <c r="S583" s="331" t="str">
        <f t="shared" si="156"/>
        <v/>
      </c>
      <c r="T583" s="331" t="str">
        <f t="shared" si="157"/>
        <v/>
      </c>
      <c r="U583" s="331" t="str">
        <f t="shared" si="158"/>
        <v/>
      </c>
    </row>
    <row r="584" spans="1:21" ht="15.95" customHeight="1">
      <c r="A584" s="211">
        <f>IF(COUNTBLANK('RNEW import'!B582)=1,"",'RNEW import'!B582)</f>
        <v>5</v>
      </c>
      <c r="B584" s="211" t="str">
        <f>IF(COUNTBLANK('RNEW import'!D582)=1,"",'RNEW import'!D582)</f>
        <v>Mega Mall Bucuresti SRL</v>
      </c>
      <c r="C584" s="211" t="str">
        <f>IF(COUNTBLANK('RNEW import'!E582)=1,"",'RNEW import'!E582)</f>
        <v>RMEG</v>
      </c>
      <c r="D584" s="211" t="str">
        <f>IF(COUNTBLANK('RNEW import'!K582)=1,"",'RNEW import'!K582)</f>
        <v>Tarife distributie en. El JT</v>
      </c>
      <c r="E584" s="211">
        <f>IF(COUNTBLANK('RNEW import'!L582)=1,"",'RNEW import'!N582)</f>
        <v>0</v>
      </c>
      <c r="F584" s="211">
        <f>IF(COUNTBLANK('RNEW import'!M582)=1,"",'RNEW import'!O582/10000)</f>
        <v>0.2079</v>
      </c>
      <c r="G584" s="217">
        <f t="shared" si="159"/>
        <v>0</v>
      </c>
      <c r="H584" s="217">
        <f t="shared" si="167"/>
        <v>0</v>
      </c>
      <c r="I584" s="329">
        <f t="shared" si="160"/>
        <v>0</v>
      </c>
      <c r="J584" s="237" t="str">
        <f t="shared" si="162"/>
        <v/>
      </c>
      <c r="K584" s="238" t="str">
        <f t="shared" si="163"/>
        <v/>
      </c>
      <c r="L584" s="238" t="str">
        <f t="shared" si="164"/>
        <v/>
      </c>
      <c r="M584" s="238" t="str">
        <f t="shared" si="165"/>
        <v/>
      </c>
      <c r="N584" s="238" t="str">
        <f t="shared" si="166"/>
        <v/>
      </c>
      <c r="O584" s="232" t="str">
        <f t="shared" si="161"/>
        <v/>
      </c>
      <c r="P584" s="219" t="str">
        <f t="shared" si="168"/>
        <v/>
      </c>
      <c r="Q584" s="219" t="str">
        <f t="shared" si="169"/>
        <v/>
      </c>
      <c r="R584" s="219" t="str">
        <f t="shared" si="170"/>
        <v/>
      </c>
      <c r="S584" s="331" t="str">
        <f t="shared" si="156"/>
        <v/>
      </c>
      <c r="T584" s="331" t="str">
        <f t="shared" si="157"/>
        <v/>
      </c>
      <c r="U584" s="331" t="str">
        <f t="shared" si="158"/>
        <v/>
      </c>
    </row>
    <row r="585" spans="1:21" ht="15.95" customHeight="1">
      <c r="A585" s="211">
        <f>IF(COUNTBLANK('RNEW import'!B583)=1,"",'RNEW import'!B583)</f>
        <v>6</v>
      </c>
      <c r="B585" s="211" t="str">
        <f>IF(COUNTBLANK('RNEW import'!D583)=1,"",'RNEW import'!D583)</f>
        <v>Mega Mall Bucuresti SRL</v>
      </c>
      <c r="C585" s="211" t="str">
        <f>IF(COUNTBLANK('RNEW import'!E583)=1,"",'RNEW import'!E583)</f>
        <v>RMEG</v>
      </c>
      <c r="D585" s="211" t="str">
        <f>IF(COUNTBLANK('RNEW import'!K583)=1,"",'RNEW import'!K583)</f>
        <v xml:space="preserve">Servicii Sistem </v>
      </c>
      <c r="E585" s="211">
        <f>IF(COUNTBLANK('RNEW import'!L583)=1,"",'RNEW import'!N583)</f>
        <v>1934381</v>
      </c>
      <c r="F585" s="211">
        <f>IF(COUNTBLANK('RNEW import'!M583)=1,"",'RNEW import'!O583/10000)</f>
        <v>1.1509999999999999E-2</v>
      </c>
      <c r="G585" s="217">
        <f t="shared" si="159"/>
        <v>22264.73</v>
      </c>
      <c r="H585" s="217">
        <f t="shared" si="167"/>
        <v>4230.3</v>
      </c>
      <c r="I585" s="329">
        <f t="shared" si="160"/>
        <v>26495.03</v>
      </c>
      <c r="J585" s="237" t="str">
        <f t="shared" si="162"/>
        <v/>
      </c>
      <c r="K585" s="238" t="str">
        <f t="shared" si="163"/>
        <v/>
      </c>
      <c r="L585" s="238" t="str">
        <f t="shared" si="164"/>
        <v/>
      </c>
      <c r="M585" s="238" t="str">
        <f t="shared" si="165"/>
        <v/>
      </c>
      <c r="N585" s="238" t="str">
        <f t="shared" si="166"/>
        <v/>
      </c>
      <c r="O585" s="232" t="str">
        <f t="shared" si="161"/>
        <v/>
      </c>
      <c r="P585" s="219" t="str">
        <f t="shared" si="168"/>
        <v/>
      </c>
      <c r="Q585" s="219" t="str">
        <f t="shared" si="169"/>
        <v/>
      </c>
      <c r="R585" s="219" t="str">
        <f t="shared" si="170"/>
        <v/>
      </c>
      <c r="S585" s="331" t="str">
        <f t="shared" si="156"/>
        <v/>
      </c>
      <c r="T585" s="331" t="str">
        <f t="shared" si="157"/>
        <v/>
      </c>
      <c r="U585" s="331" t="str">
        <f t="shared" si="158"/>
        <v/>
      </c>
    </row>
    <row r="586" spans="1:21" ht="15.95" customHeight="1">
      <c r="A586" s="211">
        <f>IF(COUNTBLANK('RNEW import'!B584)=1,"",'RNEW import'!B584)</f>
        <v>7</v>
      </c>
      <c r="B586" s="211" t="str">
        <f>IF(COUNTBLANK('RNEW import'!D584)=1,"",'RNEW import'!D584)</f>
        <v>Mega Mall Bucuresti SRL</v>
      </c>
      <c r="C586" s="211" t="str">
        <f>IF(COUNTBLANK('RNEW import'!E584)=1,"",'RNEW import'!E584)</f>
        <v>RMEG</v>
      </c>
      <c r="D586" s="211" t="str">
        <f>IF(COUNTBLANK('RNEW import'!K584)=1,"",'RNEW import'!K584)</f>
        <v>Tarif de introducere en. el in retea (TL)</v>
      </c>
      <c r="E586" s="211">
        <f>IF(COUNTBLANK('RNEW import'!L584)=1,"",'RNEW import'!N584)</f>
        <v>1934381</v>
      </c>
      <c r="F586" s="211">
        <f>IF(COUNTBLANK('RNEW import'!M584)=1,"",'RNEW import'!O584/10000)</f>
        <v>3.3030000000000004E-2</v>
      </c>
      <c r="G586" s="217">
        <f t="shared" si="159"/>
        <v>63892.6</v>
      </c>
      <c r="H586" s="217">
        <f t="shared" si="167"/>
        <v>12139.59</v>
      </c>
      <c r="I586" s="329">
        <f t="shared" si="160"/>
        <v>76032.19</v>
      </c>
      <c r="J586" s="237" t="str">
        <f t="shared" si="162"/>
        <v/>
      </c>
      <c r="K586" s="238" t="str">
        <f t="shared" si="163"/>
        <v/>
      </c>
      <c r="L586" s="238" t="str">
        <f t="shared" si="164"/>
        <v/>
      </c>
      <c r="M586" s="238" t="str">
        <f t="shared" si="165"/>
        <v/>
      </c>
      <c r="N586" s="238" t="str">
        <f t="shared" si="166"/>
        <v/>
      </c>
      <c r="O586" s="232" t="str">
        <f t="shared" si="161"/>
        <v/>
      </c>
      <c r="P586" s="219" t="str">
        <f t="shared" si="168"/>
        <v/>
      </c>
      <c r="Q586" s="219" t="str">
        <f t="shared" si="169"/>
        <v/>
      </c>
      <c r="R586" s="219" t="str">
        <f t="shared" si="170"/>
        <v/>
      </c>
      <c r="S586" s="331" t="str">
        <f t="shared" si="156"/>
        <v/>
      </c>
      <c r="T586" s="331" t="str">
        <f t="shared" si="157"/>
        <v/>
      </c>
      <c r="U586" s="331" t="str">
        <f t="shared" si="158"/>
        <v/>
      </c>
    </row>
    <row r="587" spans="1:21" ht="15.95" customHeight="1">
      <c r="A587" s="211">
        <f>IF(COUNTBLANK('RNEW import'!B585)=1,"",'RNEW import'!B585)</f>
        <v>8</v>
      </c>
      <c r="B587" s="211" t="str">
        <f>IF(COUNTBLANK('RNEW import'!D585)=1,"",'RNEW import'!D585)</f>
        <v>Mega Mall Bucuresti SRL</v>
      </c>
      <c r="C587" s="211" t="str">
        <f>IF(COUNTBLANK('RNEW import'!E585)=1,"",'RNEW import'!E585)</f>
        <v>RMEG</v>
      </c>
      <c r="D587" s="211" t="str">
        <f>IF(COUNTBLANK('RNEW import'!K585)=1,"",'RNEW import'!K585)</f>
        <v>Tarif de introducere en.el in retea (TG)</v>
      </c>
      <c r="E587" s="211">
        <f>IF(COUNTBLANK('RNEW import'!L585)=1,"",'RNEW import'!N585)</f>
        <v>1934381</v>
      </c>
      <c r="F587" s="211">
        <f>IF(COUNTBLANK('RNEW import'!M585)=1,"",'RNEW import'!O585/10000)</f>
        <v>3.29E-3</v>
      </c>
      <c r="G587" s="217">
        <f t="shared" si="159"/>
        <v>6364.11</v>
      </c>
      <c r="H587" s="217">
        <f t="shared" si="167"/>
        <v>1209.18</v>
      </c>
      <c r="I587" s="329">
        <f t="shared" si="160"/>
        <v>7573.29</v>
      </c>
      <c r="J587" s="237" t="str">
        <f t="shared" si="162"/>
        <v/>
      </c>
      <c r="K587" s="238" t="str">
        <f t="shared" si="163"/>
        <v/>
      </c>
      <c r="L587" s="238" t="str">
        <f t="shared" si="164"/>
        <v/>
      </c>
      <c r="M587" s="238" t="str">
        <f t="shared" si="165"/>
        <v/>
      </c>
      <c r="N587" s="238" t="str">
        <f t="shared" si="166"/>
        <v/>
      </c>
      <c r="O587" s="232" t="str">
        <f t="shared" si="161"/>
        <v/>
      </c>
      <c r="P587" s="219" t="str">
        <f t="shared" si="168"/>
        <v/>
      </c>
      <c r="Q587" s="219" t="str">
        <f t="shared" si="169"/>
        <v/>
      </c>
      <c r="R587" s="219" t="str">
        <f t="shared" si="170"/>
        <v/>
      </c>
      <c r="S587" s="331" t="str">
        <f t="shared" si="156"/>
        <v/>
      </c>
      <c r="T587" s="331" t="str">
        <f t="shared" si="157"/>
        <v/>
      </c>
      <c r="U587" s="331" t="str">
        <f t="shared" si="158"/>
        <v/>
      </c>
    </row>
    <row r="588" spans="1:21" ht="15.95" customHeight="1">
      <c r="A588" s="211">
        <f>IF(COUNTBLANK('RNEW import'!B586)=1,"",'RNEW import'!B586)</f>
        <v>9</v>
      </c>
      <c r="B588" s="211" t="str">
        <f>IF(COUNTBLANK('RNEW import'!D586)=1,"",'RNEW import'!D586)</f>
        <v>Mega Mall Bucuresti SRL</v>
      </c>
      <c r="C588" s="211" t="str">
        <f>IF(COUNTBLANK('RNEW import'!E586)=1,"",'RNEW import'!E586)</f>
        <v>RMEG</v>
      </c>
      <c r="D588" s="211" t="str">
        <f>IF(COUNTBLANK('RNEW import'!K586)=1,"",'RNEW import'!K586)</f>
        <v>Contributie pentru cogenerare</v>
      </c>
      <c r="E588" s="211">
        <f>IF(COUNTBLANK('RNEW import'!L586)=1,"",'RNEW import'!N586)</f>
        <v>1934381</v>
      </c>
      <c r="F588" s="211">
        <f>IF(COUNTBLANK('RNEW import'!M586)=1,"",'RNEW import'!O586/10000)</f>
        <v>3.5000000000000001E-3</v>
      </c>
      <c r="G588" s="217">
        <f t="shared" si="159"/>
        <v>6770.33</v>
      </c>
      <c r="H588" s="217">
        <f t="shared" si="167"/>
        <v>1286.3599999999999</v>
      </c>
      <c r="I588" s="329">
        <f t="shared" si="160"/>
        <v>8056.69</v>
      </c>
      <c r="J588" s="237" t="str">
        <f t="shared" si="162"/>
        <v/>
      </c>
      <c r="K588" s="238" t="str">
        <f t="shared" si="163"/>
        <v/>
      </c>
      <c r="L588" s="238" t="str">
        <f t="shared" si="164"/>
        <v/>
      </c>
      <c r="M588" s="238" t="str">
        <f t="shared" si="165"/>
        <v/>
      </c>
      <c r="N588" s="238" t="str">
        <f t="shared" si="166"/>
        <v/>
      </c>
      <c r="O588" s="232" t="str">
        <f t="shared" si="161"/>
        <v/>
      </c>
      <c r="P588" s="219" t="str">
        <f t="shared" si="168"/>
        <v/>
      </c>
      <c r="Q588" s="219" t="str">
        <f t="shared" si="169"/>
        <v/>
      </c>
      <c r="R588" s="219" t="str">
        <f t="shared" si="170"/>
        <v/>
      </c>
      <c r="S588" s="331" t="str">
        <f t="shared" si="156"/>
        <v/>
      </c>
      <c r="T588" s="331" t="str">
        <f t="shared" si="157"/>
        <v/>
      </c>
      <c r="U588" s="331" t="str">
        <f t="shared" si="158"/>
        <v/>
      </c>
    </row>
    <row r="589" spans="1:21" ht="15.95" customHeight="1">
      <c r="A589" s="211">
        <f>IF(COUNTBLANK('RNEW import'!B587)=1,"",'RNEW import'!B587)</f>
        <v>10</v>
      </c>
      <c r="B589" s="211" t="str">
        <f>IF(COUNTBLANK('RNEW import'!D587)=1,"",'RNEW import'!D587)</f>
        <v>Mega Mall Bucuresti SRL</v>
      </c>
      <c r="C589" s="211" t="str">
        <f>IF(COUNTBLANK('RNEW import'!E587)=1,"",'RNEW import'!E587)</f>
        <v>RMEG</v>
      </c>
      <c r="D589" s="211" t="str">
        <f>IF(COUNTBLANK('RNEW import'!K587)=1,"",'RNEW import'!K587)</f>
        <v xml:space="preserve">Certificate verzi </v>
      </c>
      <c r="E589" s="211">
        <f>IF(COUNTBLANK('RNEW import'!L587)=1,"",'RNEW import'!N587)</f>
        <v>1934381</v>
      </c>
      <c r="F589" s="211">
        <f>IF(COUNTBLANK('RNEW import'!M587)=1,"",'RNEW import'!O587/10000)</f>
        <v>7.2541599999999998E-2</v>
      </c>
      <c r="G589" s="217">
        <f t="shared" si="159"/>
        <v>140323.09</v>
      </c>
      <c r="H589" s="217">
        <f t="shared" si="167"/>
        <v>26661.39</v>
      </c>
      <c r="I589" s="329">
        <f t="shared" si="160"/>
        <v>166984.47999999998</v>
      </c>
      <c r="J589" s="237" t="str">
        <f t="shared" si="162"/>
        <v/>
      </c>
      <c r="K589" s="238" t="str">
        <f t="shared" si="163"/>
        <v/>
      </c>
      <c r="L589" s="238" t="str">
        <f t="shared" si="164"/>
        <v/>
      </c>
      <c r="M589" s="238" t="str">
        <f t="shared" si="165"/>
        <v/>
      </c>
      <c r="N589" s="238" t="str">
        <f t="shared" si="166"/>
        <v/>
      </c>
      <c r="O589" s="232" t="str">
        <f t="shared" si="161"/>
        <v/>
      </c>
      <c r="P589" s="219" t="str">
        <f t="shared" si="168"/>
        <v/>
      </c>
      <c r="Q589" s="219" t="str">
        <f t="shared" si="169"/>
        <v/>
      </c>
      <c r="R589" s="219" t="str">
        <f t="shared" si="170"/>
        <v/>
      </c>
      <c r="S589" s="331" t="str">
        <f t="shared" si="156"/>
        <v/>
      </c>
      <c r="T589" s="331" t="str">
        <f t="shared" si="157"/>
        <v/>
      </c>
      <c r="U589" s="331" t="str">
        <f t="shared" si="158"/>
        <v/>
      </c>
    </row>
    <row r="590" spans="1:21" ht="15.95" customHeight="1">
      <c r="A590" s="211">
        <f>IF(COUNTBLANK('RNEW import'!B588)=1,"",'RNEW import'!B588)</f>
        <v>11</v>
      </c>
      <c r="B590" s="211" t="str">
        <f>IF(COUNTBLANK('RNEW import'!D588)=1,"",'RNEW import'!D588)</f>
        <v>Mega Mall Bucuresti SRL</v>
      </c>
      <c r="C590" s="211" t="str">
        <f>IF(COUNTBLANK('RNEW import'!E588)=1,"",'RNEW import'!E588)</f>
        <v>RMEG</v>
      </c>
      <c r="D590" s="211" t="str">
        <f>IF(COUNTBLANK('RNEW import'!K588)=1,"",'RNEW import'!K588)</f>
        <v>Contributie CFD</v>
      </c>
      <c r="E590" s="211">
        <f>IF(COUNTBLANK('RNEW import'!L588)=1,"",'RNEW import'!N588)</f>
        <v>1934381</v>
      </c>
      <c r="F590" s="211">
        <f>IF(COUNTBLANK('RNEW import'!M588)=1,"",'RNEW import'!O588/10000)</f>
        <v>2.0599999999999999E-4</v>
      </c>
      <c r="G590" s="217">
        <f t="shared" si="159"/>
        <v>398.48</v>
      </c>
      <c r="H590" s="217">
        <f t="shared" si="167"/>
        <v>75.709999999999994</v>
      </c>
      <c r="I590" s="329">
        <f t="shared" si="160"/>
        <v>474.19</v>
      </c>
      <c r="J590" s="237" t="str">
        <f t="shared" si="162"/>
        <v/>
      </c>
      <c r="K590" s="238" t="str">
        <f t="shared" si="163"/>
        <v/>
      </c>
      <c r="L590" s="238" t="str">
        <f t="shared" si="164"/>
        <v/>
      </c>
      <c r="M590" s="238" t="str">
        <f t="shared" si="165"/>
        <v/>
      </c>
      <c r="N590" s="238" t="str">
        <f t="shared" si="166"/>
        <v/>
      </c>
      <c r="O590" s="232" t="str">
        <f t="shared" si="161"/>
        <v/>
      </c>
      <c r="P590" s="219" t="str">
        <f t="shared" si="168"/>
        <v/>
      </c>
      <c r="Q590" s="219" t="str">
        <f t="shared" si="169"/>
        <v/>
      </c>
      <c r="R590" s="219" t="str">
        <f t="shared" si="170"/>
        <v/>
      </c>
      <c r="S590" s="331" t="str">
        <f t="shared" si="156"/>
        <v/>
      </c>
      <c r="T590" s="331" t="str">
        <f t="shared" si="157"/>
        <v/>
      </c>
      <c r="U590" s="331" t="str">
        <f t="shared" si="158"/>
        <v/>
      </c>
    </row>
    <row r="591" spans="1:21" ht="15.95" customHeight="1">
      <c r="A591" s="211">
        <f>IF(COUNTBLANK('RNEW import'!B589)=1,"",'RNEW import'!B589)</f>
        <v>12</v>
      </c>
      <c r="B591" s="211" t="str">
        <f>IF(COUNTBLANK('RNEW import'!D589)=1,"",'RNEW import'!D589)</f>
        <v>Mega Mall Bucuresti SRL</v>
      </c>
      <c r="C591" s="211" t="str">
        <f>IF(COUNTBLANK('RNEW import'!E589)=1,"",'RNEW import'!E589)</f>
        <v>RMEG</v>
      </c>
      <c r="D591" s="211" t="str">
        <f>IF(COUNTBLANK('RNEW import'!K589)=1,"",'RNEW import'!K589)</f>
        <v>Acciza</v>
      </c>
      <c r="E591" s="211">
        <f>IF(COUNTBLANK('RNEW import'!L589)=1,"",'RNEW import'!N589)</f>
        <v>1934381</v>
      </c>
      <c r="F591" s="211">
        <f>IF(COUNTBLANK('RNEW import'!M589)=1,"",'RNEW import'!O589/10000)</f>
        <v>0</v>
      </c>
      <c r="G591" s="217">
        <f t="shared" si="159"/>
        <v>0</v>
      </c>
      <c r="H591" s="217">
        <f t="shared" si="167"/>
        <v>0</v>
      </c>
      <c r="I591" s="329">
        <f t="shared" si="160"/>
        <v>0</v>
      </c>
      <c r="J591" s="237" t="str">
        <f t="shared" si="162"/>
        <v/>
      </c>
      <c r="K591" s="238" t="str">
        <f t="shared" si="163"/>
        <v/>
      </c>
      <c r="L591" s="238" t="str">
        <f t="shared" si="164"/>
        <v/>
      </c>
      <c r="M591" s="238" t="str">
        <f t="shared" si="165"/>
        <v/>
      </c>
      <c r="N591" s="238" t="str">
        <f t="shared" si="166"/>
        <v/>
      </c>
      <c r="O591" s="232" t="str">
        <f t="shared" si="161"/>
        <v/>
      </c>
      <c r="P591" s="219" t="str">
        <f t="shared" si="168"/>
        <v/>
      </c>
      <c r="Q591" s="219" t="str">
        <f t="shared" si="169"/>
        <v/>
      </c>
      <c r="R591" s="219" t="str">
        <f t="shared" si="170"/>
        <v/>
      </c>
      <c r="S591" s="331" t="str">
        <f t="shared" si="156"/>
        <v/>
      </c>
      <c r="T591" s="331" t="str">
        <f t="shared" si="157"/>
        <v/>
      </c>
      <c r="U591" s="331" t="str">
        <f t="shared" si="158"/>
        <v/>
      </c>
    </row>
    <row r="592" spans="1:21" ht="15.95" customHeight="1">
      <c r="A592" s="211">
        <f>IF(COUNTBLANK('RNEW import'!B590)=1,"",'RNEW import'!B590)</f>
        <v>13</v>
      </c>
      <c r="B592" s="211" t="str">
        <f>IF(COUNTBLANK('RNEW import'!D590)=1,"",'RNEW import'!D590)</f>
        <v>Mega Mall Bucuresti SRL</v>
      </c>
      <c r="C592" s="211" t="str">
        <f>IF(COUNTBLANK('RNEW import'!E590)=1,"",'RNEW import'!E590)</f>
        <v>RMEG</v>
      </c>
      <c r="D592" s="211" t="str">
        <f>IF(COUNTBLANK('RNEW import'!K590)=1,"",'RNEW import'!K590)</f>
        <v>Tarif distributie SDI MT</v>
      </c>
      <c r="E592" s="211">
        <f>IF(COUNTBLANK('RNEW import'!L590)=1,"",'RNEW import'!N590)</f>
        <v>1934381</v>
      </c>
      <c r="F592" s="211">
        <f>IF(COUNTBLANK('RNEW import'!M590)=1,"",'RNEW import'!O590/10000)</f>
        <v>1.1300000000000001E-2</v>
      </c>
      <c r="G592" s="217">
        <f t="shared" si="159"/>
        <v>21858.51</v>
      </c>
      <c r="H592" s="217">
        <f t="shared" si="167"/>
        <v>4153.12</v>
      </c>
      <c r="I592" s="329">
        <f t="shared" si="160"/>
        <v>26011.629999999997</v>
      </c>
      <c r="J592" s="237" t="str">
        <f t="shared" si="162"/>
        <v/>
      </c>
      <c r="K592" s="238" t="str">
        <f t="shared" si="163"/>
        <v/>
      </c>
      <c r="L592" s="238" t="str">
        <f t="shared" si="164"/>
        <v/>
      </c>
      <c r="M592" s="238" t="str">
        <f t="shared" si="165"/>
        <v/>
      </c>
      <c r="N592" s="238" t="str">
        <f t="shared" si="166"/>
        <v/>
      </c>
      <c r="O592" s="232" t="str">
        <f t="shared" si="161"/>
        <v/>
      </c>
      <c r="P592" s="219" t="str">
        <f t="shared" si="168"/>
        <v/>
      </c>
      <c r="Q592" s="219" t="str">
        <f t="shared" si="169"/>
        <v/>
      </c>
      <c r="R592" s="219" t="str">
        <f t="shared" si="170"/>
        <v/>
      </c>
      <c r="S592" s="331" t="str">
        <f t="shared" si="156"/>
        <v/>
      </c>
      <c r="T592" s="331" t="str">
        <f t="shared" si="157"/>
        <v/>
      </c>
      <c r="U592" s="331" t="str">
        <f t="shared" si="158"/>
        <v/>
      </c>
    </row>
    <row r="593" spans="1:21" ht="15.95" customHeight="1">
      <c r="A593" s="211">
        <f>IF(COUNTBLANK('RNEW import'!B591)=1,"",'RNEW import'!B591)</f>
        <v>14</v>
      </c>
      <c r="B593" s="211" t="str">
        <f>IF(COUNTBLANK('RNEW import'!D591)=1,"",'RNEW import'!D591)</f>
        <v>Mega Mall Bucuresti SRL</v>
      </c>
      <c r="C593" s="211" t="str">
        <f>IF(COUNTBLANK('RNEW import'!E591)=1,"",'RNEW import'!E591)</f>
        <v>RMEG</v>
      </c>
      <c r="D593" s="211" t="str">
        <f>IF(COUNTBLANK('RNEW import'!K591)=1,"",'RNEW import'!K591)</f>
        <v>Tarif distributie SDI JT</v>
      </c>
      <c r="E593" s="211">
        <f>IF(COUNTBLANK('RNEW import'!L591)=1,"",'RNEW import'!N591)</f>
        <v>1934381</v>
      </c>
      <c r="F593" s="211">
        <f>IF(COUNTBLANK('RNEW import'!M591)=1,"",'RNEW import'!O591/10000)</f>
        <v>8.4099999999999994E-2</v>
      </c>
      <c r="G593" s="217">
        <f t="shared" si="159"/>
        <v>162681.44</v>
      </c>
      <c r="H593" s="217">
        <f t="shared" si="167"/>
        <v>30909.47</v>
      </c>
      <c r="I593" s="329">
        <f t="shared" si="160"/>
        <v>193590.91</v>
      </c>
      <c r="J593" s="237" t="str">
        <f t="shared" si="162"/>
        <v/>
      </c>
      <c r="K593" s="238" t="str">
        <f t="shared" si="163"/>
        <v/>
      </c>
      <c r="L593" s="238" t="str">
        <f t="shared" si="164"/>
        <v/>
      </c>
      <c r="M593" s="238" t="str">
        <f t="shared" si="165"/>
        <v/>
      </c>
      <c r="N593" s="238" t="str">
        <f t="shared" si="166"/>
        <v/>
      </c>
      <c r="O593" s="232" t="str">
        <f t="shared" si="161"/>
        <v/>
      </c>
      <c r="P593" s="219" t="str">
        <f t="shared" si="168"/>
        <v/>
      </c>
      <c r="Q593" s="219" t="str">
        <f t="shared" si="169"/>
        <v/>
      </c>
      <c r="R593" s="219" t="str">
        <f t="shared" si="170"/>
        <v/>
      </c>
      <c r="S593" s="331" t="str">
        <f t="shared" si="156"/>
        <v/>
      </c>
      <c r="T593" s="331" t="str">
        <f t="shared" si="157"/>
        <v/>
      </c>
      <c r="U593" s="331" t="str">
        <f t="shared" si="158"/>
        <v/>
      </c>
    </row>
    <row r="594" spans="1:21" ht="15.95" customHeight="1">
      <c r="A594" s="211">
        <f>IF(COUNTBLANK('RNEW import'!B592)=1,"",'RNEW import'!B592)</f>
        <v>15</v>
      </c>
      <c r="B594" s="211" t="str">
        <f>IF(COUNTBLANK('RNEW import'!D592)=1,"",'RNEW import'!D592)</f>
        <v>Mega Mall Bucuresti SRL</v>
      </c>
      <c r="C594" s="211" t="str">
        <f>IF(COUNTBLANK('RNEW import'!E592)=1,"",'RNEW import'!E592)</f>
        <v>RMEG</v>
      </c>
      <c r="D594" s="211" t="str">
        <f>IF(COUNTBLANK('RNEW import'!K592)=1,"",'RNEW import'!K592)</f>
        <v>Energie activa 2</v>
      </c>
      <c r="E594" s="211">
        <f>IF(COUNTBLANK('RNEW import'!L592)=1,"",'RNEW import'!N592)</f>
        <v>13904</v>
      </c>
      <c r="F594" s="211">
        <f>IF(COUNTBLANK('RNEW import'!M592)=1,"",'RNEW import'!O592/10000)</f>
        <v>0.90065760000000006</v>
      </c>
      <c r="G594" s="217">
        <f t="shared" si="159"/>
        <v>12522.74</v>
      </c>
      <c r="H594" s="217">
        <f t="shared" si="167"/>
        <v>2379.3200000000002</v>
      </c>
      <c r="I594" s="329">
        <f t="shared" si="160"/>
        <v>14902.06</v>
      </c>
      <c r="J594" s="237" t="str">
        <f t="shared" si="162"/>
        <v/>
      </c>
      <c r="K594" s="238" t="str">
        <f t="shared" si="163"/>
        <v/>
      </c>
      <c r="L594" s="238" t="str">
        <f t="shared" si="164"/>
        <v/>
      </c>
      <c r="M594" s="238" t="str">
        <f t="shared" si="165"/>
        <v/>
      </c>
      <c r="N594" s="238" t="str">
        <f t="shared" si="166"/>
        <v/>
      </c>
      <c r="O594" s="232" t="str">
        <f t="shared" si="161"/>
        <v/>
      </c>
      <c r="P594" s="219" t="str">
        <f t="shared" si="168"/>
        <v/>
      </c>
      <c r="Q594" s="219" t="str">
        <f t="shared" si="169"/>
        <v/>
      </c>
      <c r="R594" s="219" t="str">
        <f t="shared" si="170"/>
        <v/>
      </c>
      <c r="S594" s="331" t="str">
        <f t="shared" si="156"/>
        <v/>
      </c>
      <c r="T594" s="331" t="str">
        <f t="shared" si="157"/>
        <v/>
      </c>
      <c r="U594" s="331" t="str">
        <f t="shared" si="158"/>
        <v/>
      </c>
    </row>
    <row r="595" spans="1:21" ht="15.95" customHeight="1">
      <c r="A595" s="211">
        <f>IF(COUNTBLANK('RNEW import'!B593)=1,"",'RNEW import'!B593)</f>
        <v>16</v>
      </c>
      <c r="B595" s="211" t="str">
        <f>IF(COUNTBLANK('RNEW import'!D593)=1,"",'RNEW import'!D593)</f>
        <v>Mega Mall Bucuresti SRL</v>
      </c>
      <c r="C595" s="211" t="str">
        <f>IF(COUNTBLANK('RNEW import'!E593)=1,"",'RNEW import'!E593)</f>
        <v>RMEG</v>
      </c>
      <c r="D595" s="211" t="str">
        <f>IF(COUNTBLANK('RNEW import'!K593)=1,"",'RNEW import'!K593)</f>
        <v>Energie activa 3</v>
      </c>
      <c r="E595" s="211">
        <f>IF(COUNTBLANK('RNEW import'!L593)=1,"",'RNEW import'!N593)</f>
        <v>0</v>
      </c>
      <c r="F595" s="211">
        <f>IF(COUNTBLANK('RNEW import'!M593)=1,"",'RNEW import'!O593/10000)</f>
        <v>0.80525760000000002</v>
      </c>
      <c r="G595" s="217">
        <f t="shared" si="159"/>
        <v>0</v>
      </c>
      <c r="H595" s="217">
        <f t="shared" si="167"/>
        <v>0</v>
      </c>
      <c r="I595" s="329">
        <f t="shared" si="160"/>
        <v>0</v>
      </c>
      <c r="J595" s="237" t="str">
        <f t="shared" si="162"/>
        <v/>
      </c>
      <c r="K595" s="238" t="str">
        <f t="shared" si="163"/>
        <v/>
      </c>
      <c r="L595" s="238" t="str">
        <f t="shared" si="164"/>
        <v/>
      </c>
      <c r="M595" s="238" t="str">
        <f t="shared" si="165"/>
        <v/>
      </c>
      <c r="N595" s="238" t="str">
        <f t="shared" si="166"/>
        <v/>
      </c>
      <c r="O595" s="232" t="str">
        <f t="shared" si="161"/>
        <v/>
      </c>
      <c r="P595" s="219" t="str">
        <f t="shared" si="168"/>
        <v/>
      </c>
      <c r="Q595" s="219" t="str">
        <f t="shared" si="169"/>
        <v/>
      </c>
      <c r="R595" s="219" t="str">
        <f t="shared" si="170"/>
        <v/>
      </c>
      <c r="S595" s="331" t="str">
        <f t="shared" si="156"/>
        <v/>
      </c>
      <c r="T595" s="331" t="str">
        <f t="shared" si="157"/>
        <v/>
      </c>
      <c r="U595" s="331" t="str">
        <f t="shared" si="158"/>
        <v/>
      </c>
    </row>
    <row r="596" spans="1:21" ht="15.95" customHeight="1">
      <c r="A596" s="211">
        <f>IF(COUNTBLANK('RNEW import'!B594)=1,"",'RNEW import'!B594)</f>
        <v>17</v>
      </c>
      <c r="B596" s="211" t="str">
        <f>IF(COUNTBLANK('RNEW import'!D594)=1,"",'RNEW import'!D594)</f>
        <v>Mega Mall Bucuresti SRL</v>
      </c>
      <c r="C596" s="211" t="str">
        <f>IF(COUNTBLANK('RNEW import'!E594)=1,"",'RNEW import'!E594)</f>
        <v>RMEG</v>
      </c>
      <c r="D596" s="211" t="str">
        <f>IF(COUNTBLANK('RNEW import'!K594)=1,"",'RNEW import'!K594)</f>
        <v>Tarif distributie SDI MT_</v>
      </c>
      <c r="E596" s="211">
        <f>IF(COUNTBLANK('RNEW import'!L594)=1,"",'RNEW import'!N594)</f>
        <v>0</v>
      </c>
      <c r="F596" s="211">
        <f>IF(COUNTBLANK('RNEW import'!M594)=1,"",'RNEW import'!O594/10000)</f>
        <v>1.1300000000000001E-2</v>
      </c>
      <c r="G596" s="217">
        <f t="shared" si="159"/>
        <v>0</v>
      </c>
      <c r="H596" s="217">
        <f t="shared" si="167"/>
        <v>0</v>
      </c>
      <c r="I596" s="329">
        <f t="shared" si="160"/>
        <v>0</v>
      </c>
      <c r="J596" s="237" t="str">
        <f t="shared" si="162"/>
        <v/>
      </c>
      <c r="K596" s="238" t="str">
        <f t="shared" si="163"/>
        <v/>
      </c>
      <c r="L596" s="238" t="str">
        <f t="shared" si="164"/>
        <v/>
      </c>
      <c r="M596" s="238" t="str">
        <f t="shared" si="165"/>
        <v/>
      </c>
      <c r="N596" s="238" t="str">
        <f t="shared" si="166"/>
        <v/>
      </c>
      <c r="O596" s="232" t="str">
        <f t="shared" si="161"/>
        <v/>
      </c>
      <c r="P596" s="219" t="str">
        <f t="shared" si="168"/>
        <v/>
      </c>
      <c r="Q596" s="219" t="str">
        <f t="shared" si="169"/>
        <v/>
      </c>
      <c r="R596" s="219" t="str">
        <f t="shared" si="170"/>
        <v/>
      </c>
      <c r="S596" s="331" t="str">
        <f t="shared" si="156"/>
        <v/>
      </c>
      <c r="T596" s="331" t="str">
        <f t="shared" si="157"/>
        <v/>
      </c>
      <c r="U596" s="331" t="str">
        <f t="shared" si="158"/>
        <v/>
      </c>
    </row>
    <row r="597" spans="1:21" ht="15.95" customHeight="1">
      <c r="A597" s="211">
        <f>IF(COUNTBLANK('RNEW import'!B595)=1,"",'RNEW import'!B595)</f>
        <v>18</v>
      </c>
      <c r="B597" s="211" t="str">
        <f>IF(COUNTBLANK('RNEW import'!D595)=1,"",'RNEW import'!D595)</f>
        <v>Mega Mall Bucuresti SRL</v>
      </c>
      <c r="C597" s="211" t="str">
        <f>IF(COUNTBLANK('RNEW import'!E595)=1,"",'RNEW import'!E595)</f>
        <v>RMEG</v>
      </c>
      <c r="D597" s="211" t="str">
        <f>IF(COUNTBLANK('RNEW import'!K595)=1,"",'RNEW import'!K595)</f>
        <v>Tarif distributie SDI JT_</v>
      </c>
      <c r="E597" s="211">
        <f>IF(COUNTBLANK('RNEW import'!L595)=1,"",'RNEW import'!N595)</f>
        <v>0</v>
      </c>
      <c r="F597" s="211">
        <f>IF(COUNTBLANK('RNEW import'!M595)=1,"",'RNEW import'!O595/10000)</f>
        <v>8.4099999999999994E-2</v>
      </c>
      <c r="G597" s="217">
        <f t="shared" si="159"/>
        <v>0</v>
      </c>
      <c r="H597" s="217">
        <f t="shared" si="167"/>
        <v>0</v>
      </c>
      <c r="I597" s="329">
        <f t="shared" si="160"/>
        <v>0</v>
      </c>
      <c r="J597" s="237" t="str">
        <f t="shared" si="162"/>
        <v/>
      </c>
      <c r="K597" s="238" t="str">
        <f t="shared" si="163"/>
        <v/>
      </c>
      <c r="L597" s="238" t="str">
        <f t="shared" si="164"/>
        <v/>
      </c>
      <c r="M597" s="238" t="str">
        <f t="shared" si="165"/>
        <v/>
      </c>
      <c r="N597" s="238" t="str">
        <f t="shared" si="166"/>
        <v/>
      </c>
      <c r="O597" s="232" t="str">
        <f t="shared" si="161"/>
        <v/>
      </c>
      <c r="P597" s="219" t="str">
        <f t="shared" si="168"/>
        <v>Energie consumata din PV</v>
      </c>
      <c r="Q597" s="219">
        <f t="shared" si="169"/>
        <v>13904</v>
      </c>
      <c r="R597" s="219">
        <f t="shared" si="170"/>
        <v>0.90065700000000004</v>
      </c>
      <c r="S597" s="331">
        <f t="shared" si="156"/>
        <v>12522.74</v>
      </c>
      <c r="T597" s="331">
        <f t="shared" si="157"/>
        <v>2379.3200000000002</v>
      </c>
      <c r="U597" s="331">
        <f t="shared" si="158"/>
        <v>14902.06</v>
      </c>
    </row>
    <row r="598" spans="1:21" ht="15.95" customHeight="1">
      <c r="A598" s="211">
        <f>IF(COUNTBLANK('RNEW import'!B596)=1,"",'RNEW import'!B596)</f>
        <v>19</v>
      </c>
      <c r="B598" s="211" t="str">
        <f>IF(COUNTBLANK('RNEW import'!D596)=1,"",'RNEW import'!D596)</f>
        <v>Mega Mall Bucuresti SRL</v>
      </c>
      <c r="C598" s="211" t="str">
        <f>IF(COUNTBLANK('RNEW import'!E596)=1,"",'RNEW import'!E596)</f>
        <v>RMEG</v>
      </c>
      <c r="D598" s="211" t="str">
        <f>IF(COUNTBLANK('RNEW import'!K596)=1,"",'RNEW import'!K596)</f>
        <v>Regularizare Energie activa 1</v>
      </c>
      <c r="E598" s="211">
        <f>IF(COUNTBLANK('RNEW import'!L596)=1,"",'RNEW import'!N596)</f>
        <v>0</v>
      </c>
      <c r="F598" s="211">
        <f>IF(COUNTBLANK('RNEW import'!M596)=1,"",'RNEW import'!O596/10000)</f>
        <v>0.59499999999999997</v>
      </c>
      <c r="G598" s="217">
        <f t="shared" si="159"/>
        <v>0</v>
      </c>
      <c r="H598" s="217">
        <f t="shared" si="167"/>
        <v>0</v>
      </c>
      <c r="I598" s="329">
        <f t="shared" si="160"/>
        <v>0</v>
      </c>
      <c r="J598" s="237" t="str">
        <f t="shared" si="162"/>
        <v/>
      </c>
      <c r="K598" s="238" t="str">
        <f t="shared" si="163"/>
        <v/>
      </c>
      <c r="L598" s="238" t="str">
        <f t="shared" si="164"/>
        <v/>
      </c>
      <c r="M598" s="238" t="str">
        <f t="shared" si="165"/>
        <v/>
      </c>
      <c r="N598" s="238" t="str">
        <f t="shared" si="166"/>
        <v/>
      </c>
      <c r="O598" s="232" t="str">
        <f t="shared" si="161"/>
        <v/>
      </c>
      <c r="P598" s="219" t="str">
        <f t="shared" si="168"/>
        <v>Energie activa regularizare</v>
      </c>
      <c r="Q598" s="219">
        <f t="shared" si="169"/>
        <v>0</v>
      </c>
      <c r="R598" s="219">
        <f t="shared" si="170"/>
        <v>0</v>
      </c>
      <c r="S598" s="331">
        <f t="shared" ref="S598:S661" si="171">IF(COUNTBLANK(P598)=1,"",ROUND(IF(P598=$P$5,G598,IF(P598=$P$6,G598,IF(P598=$P$21,G598+G597+G596+G595,IF(P598=$P$23,G598,IF(P598=$P$24,G598,IF(P598=$P$4,SUMIFS(G:G,$B:$B,J598,A:A,"&lt;15"),IF(P598=$P$22,SUMIFS(G:G,$B:$B,J580,A:A,"&gt;18",A:A,"&lt;33")-S599-S600,IF(P598=$P$39,G598+G597+G596+G595,"eroare")))))))),2))</f>
        <v>0</v>
      </c>
      <c r="T598" s="331">
        <f t="shared" ref="T598:T661" si="172">IF(COUNTBLANK(P598)=1,"",ROUND(IF(P598=$P$5,H598,IF(P598=$P$6,H598,IF(P598=$P$21,H598+H597+H596+H595,IF(P598=$P$23,H598,IF(P598=$P$24,H598,IF(P598=$P$4,SUMIFS(H:H,$B:$B,J598,A:A,"&lt;15"),IF(P598=$P$22,SUMIFS(H:H,$B:$B,J580,A:A,"&gt;18",A:A,"&lt;33")-T599-T600,IF(P598=$P$39,H598+H597+H596+H595,"eroare")))))))),2))</f>
        <v>0</v>
      </c>
      <c r="U598" s="331">
        <f t="shared" ref="U598:U661" si="173">IF(COUNTBLANK(P598)=1,"",ROUND(IF(P598=$P$5,I598,IF(P598=$P$6,I598,IF(P598=$P$21,I598+I597+I596+I595,IF(P598=$P$23,I598,IF(P598=$P$24,I598,IF(P598=$P$4,SUMIFS(I:I,$B:$B,J598,A:A,"&lt;15"),IF(P598=$P$22,SUMIFS(I:I,$B:$B,J580,A:A,"&gt;18",A:A,"&lt;33")-U599-U600,IF(P598=$P$39,I598+I597+I596+I595,"eroare")))))))),2))</f>
        <v>0</v>
      </c>
    </row>
    <row r="599" spans="1:21" ht="15.95" customHeight="1">
      <c r="A599" s="211">
        <f>IF(COUNTBLANK('RNEW import'!B597)=1,"",'RNEW import'!B597)</f>
        <v>20</v>
      </c>
      <c r="B599" s="211" t="str">
        <f>IF(COUNTBLANK('RNEW import'!D597)=1,"",'RNEW import'!D597)</f>
        <v>Mega Mall Bucuresti SRL</v>
      </c>
      <c r="C599" s="211" t="str">
        <f>IF(COUNTBLANK('RNEW import'!E597)=1,"",'RNEW import'!E597)</f>
        <v>RMEG</v>
      </c>
      <c r="D599" s="211" t="str">
        <f>IF(COUNTBLANK('RNEW import'!K597)=1,"",'RNEW import'!K597)</f>
        <v>Regularizare Energie reactiva  1X</v>
      </c>
      <c r="E599" s="211">
        <f>IF(COUNTBLANK('RNEW import'!L597)=1,"",'RNEW import'!N597)</f>
        <v>0</v>
      </c>
      <c r="F599" s="211">
        <f>IF(COUNTBLANK('RNEW import'!M597)=1,"",'RNEW import'!O597/10000)</f>
        <v>0.14660000000000001</v>
      </c>
      <c r="G599" s="217">
        <f t="shared" si="159"/>
        <v>0</v>
      </c>
      <c r="H599" s="217">
        <f t="shared" si="167"/>
        <v>0</v>
      </c>
      <c r="I599" s="329">
        <f t="shared" si="160"/>
        <v>0</v>
      </c>
      <c r="J599" s="237" t="str">
        <f t="shared" si="162"/>
        <v/>
      </c>
      <c r="K599" s="238" t="str">
        <f t="shared" si="163"/>
        <v/>
      </c>
      <c r="L599" s="238" t="str">
        <f t="shared" si="164"/>
        <v/>
      </c>
      <c r="M599" s="238" t="str">
        <f t="shared" si="165"/>
        <v/>
      </c>
      <c r="N599" s="238" t="str">
        <f t="shared" si="166"/>
        <v/>
      </c>
      <c r="O599" s="232" t="str">
        <f t="shared" si="161"/>
        <v/>
      </c>
      <c r="P599" s="219" t="str">
        <f t="shared" si="168"/>
        <v>Energie reactiva 1x regularizare</v>
      </c>
      <c r="Q599" s="219">
        <f t="shared" si="169"/>
        <v>0</v>
      </c>
      <c r="R599" s="219">
        <f t="shared" si="170"/>
        <v>0.14660000000000001</v>
      </c>
      <c r="S599" s="331">
        <f t="shared" si="171"/>
        <v>0</v>
      </c>
      <c r="T599" s="331">
        <f t="shared" si="172"/>
        <v>0</v>
      </c>
      <c r="U599" s="331">
        <f t="shared" si="173"/>
        <v>0</v>
      </c>
    </row>
    <row r="600" spans="1:21" ht="15.95" customHeight="1">
      <c r="A600" s="211">
        <f>IF(COUNTBLANK('RNEW import'!B598)=1,"",'RNEW import'!B598)</f>
        <v>21</v>
      </c>
      <c r="B600" s="211" t="str">
        <f>IF(COUNTBLANK('RNEW import'!D598)=1,"",'RNEW import'!D598)</f>
        <v>Mega Mall Bucuresti SRL</v>
      </c>
      <c r="C600" s="211" t="str">
        <f>IF(COUNTBLANK('RNEW import'!E598)=1,"",'RNEW import'!E598)</f>
        <v>RMEG</v>
      </c>
      <c r="D600" s="211" t="str">
        <f>IF(COUNTBLANK('RNEW import'!K598)=1,"",'RNEW import'!K598)</f>
        <v>Regularizare Energie reactiva  3X</v>
      </c>
      <c r="E600" s="211">
        <f>IF(COUNTBLANK('RNEW import'!L598)=1,"",'RNEW import'!N598)</f>
        <v>0</v>
      </c>
      <c r="F600" s="211">
        <f>IF(COUNTBLANK('RNEW import'!M598)=1,"",'RNEW import'!O598/10000)</f>
        <v>0.43980000000000002</v>
      </c>
      <c r="G600" s="217">
        <f t="shared" si="159"/>
        <v>0</v>
      </c>
      <c r="H600" s="217">
        <f t="shared" si="167"/>
        <v>0</v>
      </c>
      <c r="I600" s="329">
        <f t="shared" si="160"/>
        <v>0</v>
      </c>
      <c r="J600" s="237" t="str">
        <f t="shared" si="162"/>
        <v/>
      </c>
      <c r="K600" s="238" t="str">
        <f t="shared" si="163"/>
        <v/>
      </c>
      <c r="L600" s="238" t="str">
        <f t="shared" si="164"/>
        <v/>
      </c>
      <c r="M600" s="238" t="str">
        <f t="shared" si="165"/>
        <v/>
      </c>
      <c r="N600" s="238" t="str">
        <f t="shared" si="166"/>
        <v/>
      </c>
      <c r="O600" s="232" t="str">
        <f t="shared" si="161"/>
        <v/>
      </c>
      <c r="P600" s="219" t="str">
        <f t="shared" si="168"/>
        <v>Energie reactiva 3x regularizare</v>
      </c>
      <c r="Q600" s="219">
        <f t="shared" si="169"/>
        <v>0</v>
      </c>
      <c r="R600" s="219">
        <f t="shared" si="170"/>
        <v>0.43980000000000002</v>
      </c>
      <c r="S600" s="331">
        <f t="shared" si="171"/>
        <v>0</v>
      </c>
      <c r="T600" s="331">
        <f t="shared" si="172"/>
        <v>0</v>
      </c>
      <c r="U600" s="331">
        <f t="shared" si="173"/>
        <v>0</v>
      </c>
    </row>
    <row r="601" spans="1:21" ht="15.95" customHeight="1">
      <c r="A601" s="211">
        <f>IF(COUNTBLANK('RNEW import'!B599)=1,"",'RNEW import'!B599)</f>
        <v>22</v>
      </c>
      <c r="B601" s="211" t="str">
        <f>IF(COUNTBLANK('RNEW import'!D599)=1,"",'RNEW import'!D599)</f>
        <v>Mega Mall Bucuresti SRL</v>
      </c>
      <c r="C601" s="211" t="str">
        <f>IF(COUNTBLANK('RNEW import'!E599)=1,"",'RNEW import'!E599)</f>
        <v>RMEG</v>
      </c>
      <c r="D601" s="211" t="str">
        <f>IF(COUNTBLANK('RNEW import'!K599)=1,"",'RNEW import'!K599)</f>
        <v>Regularizare Tarife distributie en. El IT+MT</v>
      </c>
      <c r="E601" s="211">
        <f>IF(COUNTBLANK('RNEW import'!L599)=1,"",'RNEW import'!N599)</f>
        <v>0</v>
      </c>
      <c r="F601" s="211">
        <f>IF(COUNTBLANK('RNEW import'!M599)=1,"",'RNEW import'!O599/10000)</f>
        <v>8.6180000000000007E-2</v>
      </c>
      <c r="G601" s="217">
        <f t="shared" si="159"/>
        <v>0</v>
      </c>
      <c r="H601" s="217">
        <f t="shared" si="167"/>
        <v>0</v>
      </c>
      <c r="I601" s="329">
        <f t="shared" si="160"/>
        <v>0</v>
      </c>
      <c r="J601" s="237" t="str">
        <f t="shared" si="162"/>
        <v/>
      </c>
      <c r="K601" s="238" t="str">
        <f t="shared" si="163"/>
        <v/>
      </c>
      <c r="L601" s="238" t="str">
        <f t="shared" si="164"/>
        <v/>
      </c>
      <c r="M601" s="238" t="str">
        <f t="shared" si="165"/>
        <v/>
      </c>
      <c r="N601" s="238" t="str">
        <f t="shared" si="166"/>
        <v/>
      </c>
      <c r="O601" s="232" t="str">
        <f t="shared" si="161"/>
        <v/>
      </c>
      <c r="P601" s="219" t="str">
        <f t="shared" si="168"/>
        <v/>
      </c>
      <c r="Q601" s="219" t="str">
        <f t="shared" si="169"/>
        <v/>
      </c>
      <c r="R601" s="219" t="str">
        <f t="shared" si="170"/>
        <v/>
      </c>
      <c r="S601" s="331" t="str">
        <f t="shared" si="171"/>
        <v/>
      </c>
      <c r="T601" s="331" t="str">
        <f t="shared" si="172"/>
        <v/>
      </c>
      <c r="U601" s="331" t="str">
        <f t="shared" si="173"/>
        <v/>
      </c>
    </row>
    <row r="602" spans="1:21" ht="15.95" customHeight="1">
      <c r="A602" s="211">
        <f>IF(COUNTBLANK('RNEW import'!B600)=1,"",'RNEW import'!B600)</f>
        <v>23</v>
      </c>
      <c r="B602" s="211" t="str">
        <f>IF(COUNTBLANK('RNEW import'!D600)=1,"",'RNEW import'!D600)</f>
        <v>Mega Mall Bucuresti SRL</v>
      </c>
      <c r="C602" s="211" t="str">
        <f>IF(COUNTBLANK('RNEW import'!E600)=1,"",'RNEW import'!E600)</f>
        <v>RMEG</v>
      </c>
      <c r="D602" s="211" t="str">
        <f>IF(COUNTBLANK('RNEW import'!K600)=1,"",'RNEW import'!K600)</f>
        <v>Regularizare Tarife distributie en. El JT</v>
      </c>
      <c r="E602" s="211">
        <f>IF(COUNTBLANK('RNEW import'!L600)=1,"",'RNEW import'!N600)</f>
        <v>0</v>
      </c>
      <c r="F602" s="211">
        <f>IF(COUNTBLANK('RNEW import'!M600)=1,"",'RNEW import'!O600/10000)</f>
        <v>0.2079</v>
      </c>
      <c r="G602" s="217">
        <f t="shared" si="159"/>
        <v>0</v>
      </c>
      <c r="H602" s="217">
        <f t="shared" si="167"/>
        <v>0</v>
      </c>
      <c r="I602" s="329">
        <f t="shared" si="160"/>
        <v>0</v>
      </c>
      <c r="J602" s="237" t="str">
        <f t="shared" si="162"/>
        <v/>
      </c>
      <c r="K602" s="238" t="str">
        <f t="shared" si="163"/>
        <v/>
      </c>
      <c r="L602" s="238" t="str">
        <f t="shared" si="164"/>
        <v/>
      </c>
      <c r="M602" s="238" t="str">
        <f t="shared" si="165"/>
        <v/>
      </c>
      <c r="N602" s="238" t="str">
        <f t="shared" si="166"/>
        <v/>
      </c>
      <c r="O602" s="232" t="str">
        <f t="shared" si="161"/>
        <v/>
      </c>
      <c r="P602" s="219" t="str">
        <f t="shared" si="168"/>
        <v/>
      </c>
      <c r="Q602" s="219" t="str">
        <f t="shared" si="169"/>
        <v/>
      </c>
      <c r="R602" s="219" t="str">
        <f t="shared" si="170"/>
        <v/>
      </c>
      <c r="S602" s="331" t="str">
        <f t="shared" si="171"/>
        <v/>
      </c>
      <c r="T602" s="331" t="str">
        <f t="shared" si="172"/>
        <v/>
      </c>
      <c r="U602" s="331" t="str">
        <f t="shared" si="173"/>
        <v/>
      </c>
    </row>
    <row r="603" spans="1:21" ht="15.95" customHeight="1">
      <c r="A603" s="211">
        <f>IF(COUNTBLANK('RNEW import'!B601)=1,"",'RNEW import'!B601)</f>
        <v>24</v>
      </c>
      <c r="B603" s="211" t="str">
        <f>IF(COUNTBLANK('RNEW import'!D601)=1,"",'RNEW import'!D601)</f>
        <v>Mega Mall Bucuresti SRL</v>
      </c>
      <c r="C603" s="211" t="str">
        <f>IF(COUNTBLANK('RNEW import'!E601)=1,"",'RNEW import'!E601)</f>
        <v>RMEG</v>
      </c>
      <c r="D603" s="211" t="str">
        <f>IF(COUNTBLANK('RNEW import'!K601)=1,"",'RNEW import'!K601)</f>
        <v xml:space="preserve">Regularizare Servicii Sistem </v>
      </c>
      <c r="E603" s="211">
        <f>IF(COUNTBLANK('RNEW import'!L601)=1,"",'RNEW import'!N601)</f>
        <v>0</v>
      </c>
      <c r="F603" s="211">
        <f>IF(COUNTBLANK('RNEW import'!M601)=1,"",'RNEW import'!O601/10000)</f>
        <v>1.1509999999999999E-2</v>
      </c>
      <c r="G603" s="217">
        <f t="shared" si="159"/>
        <v>0</v>
      </c>
      <c r="H603" s="217">
        <f t="shared" si="167"/>
        <v>0</v>
      </c>
      <c r="I603" s="329">
        <f t="shared" si="160"/>
        <v>0</v>
      </c>
      <c r="J603" s="237" t="str">
        <f t="shared" si="162"/>
        <v/>
      </c>
      <c r="K603" s="238" t="str">
        <f t="shared" si="163"/>
        <v/>
      </c>
      <c r="L603" s="238" t="str">
        <f t="shared" si="164"/>
        <v/>
      </c>
      <c r="M603" s="238" t="str">
        <f t="shared" si="165"/>
        <v/>
      </c>
      <c r="N603" s="238" t="str">
        <f t="shared" si="166"/>
        <v/>
      </c>
      <c r="O603" s="232" t="str">
        <f t="shared" si="161"/>
        <v/>
      </c>
      <c r="P603" s="219" t="str">
        <f t="shared" si="168"/>
        <v/>
      </c>
      <c r="Q603" s="219" t="str">
        <f t="shared" si="169"/>
        <v/>
      </c>
      <c r="R603" s="219" t="str">
        <f t="shared" si="170"/>
        <v/>
      </c>
      <c r="S603" s="331" t="str">
        <f t="shared" si="171"/>
        <v/>
      </c>
      <c r="T603" s="331" t="str">
        <f t="shared" si="172"/>
        <v/>
      </c>
      <c r="U603" s="331" t="str">
        <f t="shared" si="173"/>
        <v/>
      </c>
    </row>
    <row r="604" spans="1:21" ht="15.95" customHeight="1">
      <c r="A604" s="211">
        <f>IF(COUNTBLANK('RNEW import'!B602)=1,"",'RNEW import'!B602)</f>
        <v>25</v>
      </c>
      <c r="B604" s="211" t="str">
        <f>IF(COUNTBLANK('RNEW import'!D602)=1,"",'RNEW import'!D602)</f>
        <v>Mega Mall Bucuresti SRL</v>
      </c>
      <c r="C604" s="211" t="str">
        <f>IF(COUNTBLANK('RNEW import'!E602)=1,"",'RNEW import'!E602)</f>
        <v>RMEG</v>
      </c>
      <c r="D604" s="211" t="str">
        <f>IF(COUNTBLANK('RNEW import'!K602)=1,"",'RNEW import'!K602)</f>
        <v>Regularizare Tarif de introducere en. el in retea (TL)</v>
      </c>
      <c r="E604" s="211">
        <f>IF(COUNTBLANK('RNEW import'!L602)=1,"",'RNEW import'!N602)</f>
        <v>0</v>
      </c>
      <c r="F604" s="211">
        <f>IF(COUNTBLANK('RNEW import'!M602)=1,"",'RNEW import'!O602/10000)</f>
        <v>3.3030000000000004E-2</v>
      </c>
      <c r="G604" s="217">
        <f t="shared" si="159"/>
        <v>0</v>
      </c>
      <c r="H604" s="217">
        <f t="shared" si="167"/>
        <v>0</v>
      </c>
      <c r="I604" s="329">
        <f t="shared" si="160"/>
        <v>0</v>
      </c>
      <c r="J604" s="237" t="str">
        <f t="shared" si="162"/>
        <v/>
      </c>
      <c r="K604" s="238" t="str">
        <f t="shared" si="163"/>
        <v/>
      </c>
      <c r="L604" s="238" t="str">
        <f t="shared" si="164"/>
        <v/>
      </c>
      <c r="M604" s="238" t="str">
        <f t="shared" si="165"/>
        <v/>
      </c>
      <c r="N604" s="238" t="str">
        <f t="shared" si="166"/>
        <v/>
      </c>
      <c r="O604" s="232" t="str">
        <f t="shared" si="161"/>
        <v/>
      </c>
      <c r="P604" s="219" t="str">
        <f t="shared" si="168"/>
        <v/>
      </c>
      <c r="Q604" s="219" t="str">
        <f t="shared" si="169"/>
        <v/>
      </c>
      <c r="R604" s="219" t="str">
        <f t="shared" si="170"/>
        <v/>
      </c>
      <c r="S604" s="331" t="str">
        <f t="shared" si="171"/>
        <v/>
      </c>
      <c r="T604" s="331" t="str">
        <f t="shared" si="172"/>
        <v/>
      </c>
      <c r="U604" s="331" t="str">
        <f t="shared" si="173"/>
        <v/>
      </c>
    </row>
    <row r="605" spans="1:21" ht="15.95" customHeight="1">
      <c r="A605" s="211">
        <f>IF(COUNTBLANK('RNEW import'!B603)=1,"",'RNEW import'!B603)</f>
        <v>26</v>
      </c>
      <c r="B605" s="211" t="str">
        <f>IF(COUNTBLANK('RNEW import'!D603)=1,"",'RNEW import'!D603)</f>
        <v>Mega Mall Bucuresti SRL</v>
      </c>
      <c r="C605" s="211" t="str">
        <f>IF(COUNTBLANK('RNEW import'!E603)=1,"",'RNEW import'!E603)</f>
        <v>RMEG</v>
      </c>
      <c r="D605" s="211" t="str">
        <f>IF(COUNTBLANK('RNEW import'!K603)=1,"",'RNEW import'!K603)</f>
        <v>Regularizare Tarif de introducere en.el in retea (TG)</v>
      </c>
      <c r="E605" s="211">
        <f>IF(COUNTBLANK('RNEW import'!L603)=1,"",'RNEW import'!N603)</f>
        <v>0</v>
      </c>
      <c r="F605" s="211">
        <f>IF(COUNTBLANK('RNEW import'!M603)=1,"",'RNEW import'!O603/10000)</f>
        <v>3.29E-3</v>
      </c>
      <c r="G605" s="217">
        <f t="shared" si="159"/>
        <v>0</v>
      </c>
      <c r="H605" s="217">
        <f t="shared" si="167"/>
        <v>0</v>
      </c>
      <c r="I605" s="329">
        <f t="shared" si="160"/>
        <v>0</v>
      </c>
      <c r="J605" s="237" t="str">
        <f t="shared" si="162"/>
        <v/>
      </c>
      <c r="K605" s="238" t="str">
        <f t="shared" si="163"/>
        <v/>
      </c>
      <c r="L605" s="238" t="str">
        <f t="shared" si="164"/>
        <v/>
      </c>
      <c r="M605" s="238" t="str">
        <f t="shared" si="165"/>
        <v/>
      </c>
      <c r="N605" s="238" t="str">
        <f t="shared" si="166"/>
        <v/>
      </c>
      <c r="O605" s="232" t="str">
        <f t="shared" si="161"/>
        <v/>
      </c>
      <c r="P605" s="219" t="str">
        <f t="shared" si="168"/>
        <v/>
      </c>
      <c r="Q605" s="219" t="str">
        <f t="shared" si="169"/>
        <v/>
      </c>
      <c r="R605" s="219" t="str">
        <f t="shared" si="170"/>
        <v/>
      </c>
      <c r="S605" s="331" t="str">
        <f t="shared" si="171"/>
        <v/>
      </c>
      <c r="T605" s="331" t="str">
        <f t="shared" si="172"/>
        <v/>
      </c>
      <c r="U605" s="331" t="str">
        <f t="shared" si="173"/>
        <v/>
      </c>
    </row>
    <row r="606" spans="1:21" ht="15.95" customHeight="1">
      <c r="A606" s="211">
        <f>IF(COUNTBLANK('RNEW import'!B604)=1,"",'RNEW import'!B604)</f>
        <v>27</v>
      </c>
      <c r="B606" s="211" t="str">
        <f>IF(COUNTBLANK('RNEW import'!D604)=1,"",'RNEW import'!D604)</f>
        <v>Mega Mall Bucuresti SRL</v>
      </c>
      <c r="C606" s="211" t="str">
        <f>IF(COUNTBLANK('RNEW import'!E604)=1,"",'RNEW import'!E604)</f>
        <v>RMEG</v>
      </c>
      <c r="D606" s="211" t="str">
        <f>IF(COUNTBLANK('RNEW import'!K604)=1,"",'RNEW import'!K604)</f>
        <v>Regularizare Contributie pentru cogenerare</v>
      </c>
      <c r="E606" s="211">
        <f>IF(COUNTBLANK('RNEW import'!L604)=1,"",'RNEW import'!N604)</f>
        <v>0</v>
      </c>
      <c r="F606" s="211">
        <f>IF(COUNTBLANK('RNEW import'!M604)=1,"",'RNEW import'!O604/10000)</f>
        <v>3.5000000000000001E-3</v>
      </c>
      <c r="G606" s="217">
        <f t="shared" si="159"/>
        <v>0</v>
      </c>
      <c r="H606" s="217">
        <f t="shared" si="167"/>
        <v>0</v>
      </c>
      <c r="I606" s="329">
        <f t="shared" si="160"/>
        <v>0</v>
      </c>
      <c r="J606" s="237" t="str">
        <f t="shared" si="162"/>
        <v/>
      </c>
      <c r="K606" s="238" t="str">
        <f t="shared" si="163"/>
        <v/>
      </c>
      <c r="L606" s="238" t="str">
        <f t="shared" si="164"/>
        <v/>
      </c>
      <c r="M606" s="238" t="str">
        <f t="shared" si="165"/>
        <v/>
      </c>
      <c r="N606" s="238" t="str">
        <f t="shared" si="166"/>
        <v/>
      </c>
      <c r="O606" s="232" t="str">
        <f t="shared" si="161"/>
        <v/>
      </c>
      <c r="P606" s="219" t="str">
        <f t="shared" si="168"/>
        <v/>
      </c>
      <c r="Q606" s="219" t="str">
        <f t="shared" si="169"/>
        <v/>
      </c>
      <c r="R606" s="219" t="str">
        <f t="shared" si="170"/>
        <v/>
      </c>
      <c r="S606" s="331" t="str">
        <f t="shared" si="171"/>
        <v/>
      </c>
      <c r="T606" s="331" t="str">
        <f t="shared" si="172"/>
        <v/>
      </c>
      <c r="U606" s="331" t="str">
        <f t="shared" si="173"/>
        <v/>
      </c>
    </row>
    <row r="607" spans="1:21" ht="15.95" customHeight="1">
      <c r="A607" s="211">
        <f>IF(COUNTBLANK('RNEW import'!B605)=1,"",'RNEW import'!B605)</f>
        <v>28</v>
      </c>
      <c r="B607" s="211" t="str">
        <f>IF(COUNTBLANK('RNEW import'!D605)=1,"",'RNEW import'!D605)</f>
        <v>Mega Mall Bucuresti SRL</v>
      </c>
      <c r="C607" s="211" t="str">
        <f>IF(COUNTBLANK('RNEW import'!E605)=1,"",'RNEW import'!E605)</f>
        <v>RMEG</v>
      </c>
      <c r="D607" s="211" t="str">
        <f>IF(COUNTBLANK('RNEW import'!K605)=1,"",'RNEW import'!K605)</f>
        <v xml:space="preserve">Regularizare Certificate verzi </v>
      </c>
      <c r="E607" s="211">
        <f>IF(COUNTBLANK('RNEW import'!L605)=1,"",'RNEW import'!N605)</f>
        <v>0</v>
      </c>
      <c r="F607" s="211">
        <f>IF(COUNTBLANK('RNEW import'!M605)=1,"",'RNEW import'!O605/10000)</f>
        <v>7.2541599999999998E-2</v>
      </c>
      <c r="G607" s="217">
        <f t="shared" si="159"/>
        <v>0</v>
      </c>
      <c r="H607" s="217">
        <f t="shared" si="167"/>
        <v>0</v>
      </c>
      <c r="I607" s="329">
        <f t="shared" si="160"/>
        <v>0</v>
      </c>
      <c r="J607" s="237" t="str">
        <f t="shared" si="162"/>
        <v/>
      </c>
      <c r="K607" s="238" t="str">
        <f t="shared" si="163"/>
        <v/>
      </c>
      <c r="L607" s="238" t="str">
        <f t="shared" si="164"/>
        <v/>
      </c>
      <c r="M607" s="238" t="str">
        <f t="shared" si="165"/>
        <v/>
      </c>
      <c r="N607" s="238" t="str">
        <f t="shared" si="166"/>
        <v/>
      </c>
      <c r="O607" s="232" t="str">
        <f t="shared" si="161"/>
        <v/>
      </c>
      <c r="P607" s="219" t="str">
        <f t="shared" si="168"/>
        <v/>
      </c>
      <c r="Q607" s="219" t="str">
        <f t="shared" si="169"/>
        <v/>
      </c>
      <c r="R607" s="219" t="str">
        <f t="shared" si="170"/>
        <v/>
      </c>
      <c r="S607" s="331" t="str">
        <f t="shared" si="171"/>
        <v/>
      </c>
      <c r="T607" s="331" t="str">
        <f t="shared" si="172"/>
        <v/>
      </c>
      <c r="U607" s="331" t="str">
        <f t="shared" si="173"/>
        <v/>
      </c>
    </row>
    <row r="608" spans="1:21" ht="15.95" customHeight="1">
      <c r="A608" s="211">
        <f>IF(COUNTBLANK('RNEW import'!B606)=1,"",'RNEW import'!B606)</f>
        <v>29</v>
      </c>
      <c r="B608" s="211" t="str">
        <f>IF(COUNTBLANK('RNEW import'!D606)=1,"",'RNEW import'!D606)</f>
        <v>Mega Mall Bucuresti SRL</v>
      </c>
      <c r="C608" s="211" t="str">
        <f>IF(COUNTBLANK('RNEW import'!E606)=1,"",'RNEW import'!E606)</f>
        <v>RMEG</v>
      </c>
      <c r="D608" s="211" t="str">
        <f>IF(COUNTBLANK('RNEW import'!K606)=1,"",'RNEW import'!K606)</f>
        <v>Regularizare Contributie CFD</v>
      </c>
      <c r="E608" s="211">
        <f>IF(COUNTBLANK('RNEW import'!L606)=1,"",'RNEW import'!N606)</f>
        <v>0</v>
      </c>
      <c r="F608" s="211">
        <f>IF(COUNTBLANK('RNEW import'!M606)=1,"",'RNEW import'!O606/10000)</f>
        <v>2.0599999999999999E-4</v>
      </c>
      <c r="G608" s="217">
        <f t="shared" si="159"/>
        <v>0</v>
      </c>
      <c r="H608" s="217">
        <f t="shared" si="167"/>
        <v>0</v>
      </c>
      <c r="I608" s="329">
        <f t="shared" si="160"/>
        <v>0</v>
      </c>
      <c r="J608" s="237" t="str">
        <f t="shared" si="162"/>
        <v/>
      </c>
      <c r="K608" s="238" t="str">
        <f t="shared" si="163"/>
        <v/>
      </c>
      <c r="L608" s="238" t="str">
        <f t="shared" si="164"/>
        <v/>
      </c>
      <c r="M608" s="238" t="str">
        <f t="shared" si="165"/>
        <v/>
      </c>
      <c r="N608" s="238" t="str">
        <f t="shared" si="166"/>
        <v/>
      </c>
      <c r="O608" s="232" t="str">
        <f t="shared" si="161"/>
        <v/>
      </c>
      <c r="P608" s="219" t="str">
        <f t="shared" si="168"/>
        <v/>
      </c>
      <c r="Q608" s="219" t="str">
        <f t="shared" si="169"/>
        <v/>
      </c>
      <c r="R608" s="219" t="str">
        <f t="shared" si="170"/>
        <v/>
      </c>
      <c r="S608" s="331" t="str">
        <f t="shared" si="171"/>
        <v/>
      </c>
      <c r="T608" s="331" t="str">
        <f t="shared" si="172"/>
        <v/>
      </c>
      <c r="U608" s="331" t="str">
        <f t="shared" si="173"/>
        <v/>
      </c>
    </row>
    <row r="609" spans="1:21" ht="15.95" customHeight="1">
      <c r="A609" s="211">
        <f>IF(COUNTBLANK('RNEW import'!B607)=1,"",'RNEW import'!B607)</f>
        <v>30</v>
      </c>
      <c r="B609" s="211" t="str">
        <f>IF(COUNTBLANK('RNEW import'!D607)=1,"",'RNEW import'!D607)</f>
        <v>Mega Mall Bucuresti SRL</v>
      </c>
      <c r="C609" s="211" t="str">
        <f>IF(COUNTBLANK('RNEW import'!E607)=1,"",'RNEW import'!E607)</f>
        <v>RMEG</v>
      </c>
      <c r="D609" s="211" t="str">
        <f>IF(COUNTBLANK('RNEW import'!K607)=1,"",'RNEW import'!K607)</f>
        <v>Regularizare Acciza</v>
      </c>
      <c r="E609" s="211">
        <f>IF(COUNTBLANK('RNEW import'!L607)=1,"",'RNEW import'!N607)</f>
        <v>0</v>
      </c>
      <c r="F609" s="211">
        <f>IF(COUNTBLANK('RNEW import'!M607)=1,"",'RNEW import'!O607/10000)</f>
        <v>0</v>
      </c>
      <c r="G609" s="217">
        <f t="shared" si="159"/>
        <v>0</v>
      </c>
      <c r="H609" s="217">
        <f t="shared" si="167"/>
        <v>0</v>
      </c>
      <c r="I609" s="329">
        <f t="shared" si="160"/>
        <v>0</v>
      </c>
      <c r="J609" s="237" t="str">
        <f t="shared" si="162"/>
        <v/>
      </c>
      <c r="K609" s="238" t="str">
        <f t="shared" si="163"/>
        <v/>
      </c>
      <c r="L609" s="238" t="str">
        <f t="shared" si="164"/>
        <v/>
      </c>
      <c r="M609" s="238" t="str">
        <f t="shared" si="165"/>
        <v/>
      </c>
      <c r="N609" s="238" t="str">
        <f t="shared" si="166"/>
        <v/>
      </c>
      <c r="O609" s="232" t="str">
        <f t="shared" si="161"/>
        <v/>
      </c>
      <c r="P609" s="219" t="str">
        <f t="shared" si="168"/>
        <v/>
      </c>
      <c r="Q609" s="219" t="str">
        <f t="shared" si="169"/>
        <v/>
      </c>
      <c r="R609" s="219" t="str">
        <f t="shared" si="170"/>
        <v/>
      </c>
      <c r="S609" s="331" t="str">
        <f t="shared" si="171"/>
        <v/>
      </c>
      <c r="T609" s="331" t="str">
        <f t="shared" si="172"/>
        <v/>
      </c>
      <c r="U609" s="331" t="str">
        <f t="shared" si="173"/>
        <v/>
      </c>
    </row>
    <row r="610" spans="1:21" ht="15.95" customHeight="1">
      <c r="A610" s="211">
        <f>IF(COUNTBLANK('RNEW import'!B608)=1,"",'RNEW import'!B608)</f>
        <v>31</v>
      </c>
      <c r="B610" s="211" t="str">
        <f>IF(COUNTBLANK('RNEW import'!D608)=1,"",'RNEW import'!D608)</f>
        <v>Mega Mall Bucuresti SRL</v>
      </c>
      <c r="C610" s="211" t="str">
        <f>IF(COUNTBLANK('RNEW import'!E608)=1,"",'RNEW import'!E608)</f>
        <v>RMEG</v>
      </c>
      <c r="D610" s="211" t="str">
        <f>IF(COUNTBLANK('RNEW import'!K608)=1,"",'RNEW import'!K608)</f>
        <v>Regularizare Tarif distributie SDI MT Ea1</v>
      </c>
      <c r="E610" s="211">
        <f>IF(COUNTBLANK('RNEW import'!L608)=1,"",'RNEW import'!N608)</f>
        <v>0</v>
      </c>
      <c r="F610" s="211">
        <f>IF(COUNTBLANK('RNEW import'!M608)=1,"",'RNEW import'!O608/10000)</f>
        <v>1.1300000000000001E-2</v>
      </c>
      <c r="G610" s="217">
        <f t="shared" si="159"/>
        <v>0</v>
      </c>
      <c r="H610" s="217">
        <f t="shared" si="167"/>
        <v>0</v>
      </c>
      <c r="I610" s="329">
        <f t="shared" si="160"/>
        <v>0</v>
      </c>
      <c r="J610" s="237" t="str">
        <f t="shared" si="162"/>
        <v/>
      </c>
      <c r="K610" s="238" t="str">
        <f t="shared" si="163"/>
        <v/>
      </c>
      <c r="L610" s="238" t="str">
        <f t="shared" si="164"/>
        <v/>
      </c>
      <c r="M610" s="238" t="str">
        <f t="shared" si="165"/>
        <v/>
      </c>
      <c r="N610" s="238" t="str">
        <f t="shared" si="166"/>
        <v/>
      </c>
      <c r="O610" s="232" t="str">
        <f t="shared" si="161"/>
        <v/>
      </c>
      <c r="P610" s="219" t="str">
        <f t="shared" si="168"/>
        <v/>
      </c>
      <c r="Q610" s="219" t="str">
        <f t="shared" si="169"/>
        <v/>
      </c>
      <c r="R610" s="219" t="str">
        <f t="shared" si="170"/>
        <v/>
      </c>
      <c r="S610" s="331" t="str">
        <f t="shared" si="171"/>
        <v/>
      </c>
      <c r="T610" s="331" t="str">
        <f t="shared" si="172"/>
        <v/>
      </c>
      <c r="U610" s="331" t="str">
        <f t="shared" si="173"/>
        <v/>
      </c>
    </row>
    <row r="611" spans="1:21" ht="15.95" customHeight="1">
      <c r="A611" s="211">
        <f>IF(COUNTBLANK('RNEW import'!B609)=1,"",'RNEW import'!B609)</f>
        <v>32</v>
      </c>
      <c r="B611" s="211" t="str">
        <f>IF(COUNTBLANK('RNEW import'!D609)=1,"",'RNEW import'!D609)</f>
        <v>Mega Mall Bucuresti SRL</v>
      </c>
      <c r="C611" s="211" t="str">
        <f>IF(COUNTBLANK('RNEW import'!E609)=1,"",'RNEW import'!E609)</f>
        <v>RMEG</v>
      </c>
      <c r="D611" s="211" t="str">
        <f>IF(COUNTBLANK('RNEW import'!K609)=1,"",'RNEW import'!K609)</f>
        <v>Regularizare Tarif distributie SDI JT Ea1</v>
      </c>
      <c r="E611" s="211">
        <f>IF(COUNTBLANK('RNEW import'!L609)=1,"",'RNEW import'!N609)</f>
        <v>0</v>
      </c>
      <c r="F611" s="211">
        <f>IF(COUNTBLANK('RNEW import'!M609)=1,"",'RNEW import'!O609/10000)</f>
        <v>8.4099999999999994E-2</v>
      </c>
      <c r="G611" s="217">
        <f t="shared" si="159"/>
        <v>0</v>
      </c>
      <c r="H611" s="217">
        <f t="shared" si="167"/>
        <v>0</v>
      </c>
      <c r="I611" s="329">
        <f t="shared" si="160"/>
        <v>0</v>
      </c>
      <c r="J611" s="237" t="str">
        <f t="shared" si="162"/>
        <v/>
      </c>
      <c r="K611" s="238" t="str">
        <f t="shared" si="163"/>
        <v/>
      </c>
      <c r="L611" s="238" t="str">
        <f t="shared" si="164"/>
        <v/>
      </c>
      <c r="M611" s="238" t="str">
        <f t="shared" si="165"/>
        <v/>
      </c>
      <c r="N611" s="238" t="str">
        <f t="shared" si="166"/>
        <v/>
      </c>
      <c r="O611" s="232" t="str">
        <f t="shared" si="161"/>
        <v/>
      </c>
      <c r="P611" s="219" t="str">
        <f t="shared" si="168"/>
        <v/>
      </c>
      <c r="Q611" s="219" t="str">
        <f t="shared" si="169"/>
        <v/>
      </c>
      <c r="R611" s="219" t="str">
        <f t="shared" si="170"/>
        <v/>
      </c>
      <c r="S611" s="331" t="str">
        <f t="shared" si="171"/>
        <v/>
      </c>
      <c r="T611" s="331" t="str">
        <f t="shared" si="172"/>
        <v/>
      </c>
      <c r="U611" s="331" t="str">
        <f t="shared" si="173"/>
        <v/>
      </c>
    </row>
    <row r="612" spans="1:21" ht="15.95" customHeight="1">
      <c r="A612" s="211">
        <f>IF(COUNTBLANK('RNEW import'!B610)=1,"",'RNEW import'!B610)</f>
        <v>33</v>
      </c>
      <c r="B612" s="211" t="str">
        <f>IF(COUNTBLANK('RNEW import'!D610)=1,"",'RNEW import'!D610)</f>
        <v>Mega Mall Bucuresti SRL</v>
      </c>
      <c r="C612" s="211" t="str">
        <f>IF(COUNTBLANK('RNEW import'!E610)=1,"",'RNEW import'!E610)</f>
        <v>RMEG</v>
      </c>
      <c r="D612" s="211" t="str">
        <f>IF(COUNTBLANK('RNEW import'!K610)=1,"",'RNEW import'!K610)</f>
        <v>Regularizare Energie activa 2</v>
      </c>
      <c r="E612" s="211">
        <f>IF(COUNTBLANK('RNEW import'!L610)=1,"",'RNEW import'!N610)</f>
        <v>0</v>
      </c>
      <c r="F612" s="211">
        <f>IF(COUNTBLANK('RNEW import'!M610)=1,"",'RNEW import'!O610/10000)</f>
        <v>0.90065760000000006</v>
      </c>
      <c r="G612" s="217">
        <f t="shared" si="159"/>
        <v>0</v>
      </c>
      <c r="H612" s="217">
        <f t="shared" si="167"/>
        <v>0</v>
      </c>
      <c r="I612" s="329">
        <f t="shared" si="160"/>
        <v>0</v>
      </c>
      <c r="J612" s="237" t="str">
        <f t="shared" si="162"/>
        <v/>
      </c>
      <c r="K612" s="238" t="str">
        <f t="shared" si="163"/>
        <v/>
      </c>
      <c r="L612" s="238" t="str">
        <f t="shared" si="164"/>
        <v/>
      </c>
      <c r="M612" s="238" t="str">
        <f t="shared" si="165"/>
        <v/>
      </c>
      <c r="N612" s="238" t="str">
        <f t="shared" si="166"/>
        <v/>
      </c>
      <c r="O612" s="232" t="str">
        <f t="shared" si="161"/>
        <v/>
      </c>
      <c r="P612" s="219" t="str">
        <f t="shared" si="168"/>
        <v/>
      </c>
      <c r="Q612" s="219" t="str">
        <f t="shared" si="169"/>
        <v/>
      </c>
      <c r="R612" s="219" t="str">
        <f t="shared" si="170"/>
        <v/>
      </c>
      <c r="S612" s="331" t="str">
        <f t="shared" si="171"/>
        <v/>
      </c>
      <c r="T612" s="331" t="str">
        <f t="shared" si="172"/>
        <v/>
      </c>
      <c r="U612" s="331" t="str">
        <f t="shared" si="173"/>
        <v/>
      </c>
    </row>
    <row r="613" spans="1:21" ht="15.95" customHeight="1">
      <c r="A613" s="211">
        <f>IF(COUNTBLANK('RNEW import'!B611)=1,"",'RNEW import'!B611)</f>
        <v>34</v>
      </c>
      <c r="B613" s="211" t="str">
        <f>IF(COUNTBLANK('RNEW import'!D611)=1,"",'RNEW import'!D611)</f>
        <v>Mega Mall Bucuresti SRL</v>
      </c>
      <c r="C613" s="211" t="str">
        <f>IF(COUNTBLANK('RNEW import'!E611)=1,"",'RNEW import'!E611)</f>
        <v>RMEG</v>
      </c>
      <c r="D613" s="211" t="str">
        <f>IF(COUNTBLANK('RNEW import'!K611)=1,"",'RNEW import'!K611)</f>
        <v>Regularizare Energie activa 3</v>
      </c>
      <c r="E613" s="211">
        <f>IF(COUNTBLANK('RNEW import'!L611)=1,"",'RNEW import'!N611)</f>
        <v>0</v>
      </c>
      <c r="F613" s="211">
        <f>IF(COUNTBLANK('RNEW import'!M611)=1,"",'RNEW import'!O611/10000)</f>
        <v>0.80525760000000002</v>
      </c>
      <c r="G613" s="217">
        <f t="shared" ref="G613:G676" si="174">ROUND(E613*F613,2)</f>
        <v>0</v>
      </c>
      <c r="H613" s="217">
        <f t="shared" si="167"/>
        <v>0</v>
      </c>
      <c r="I613" s="329">
        <f t="shared" ref="I613:I676" si="175">G613+H613</f>
        <v>0</v>
      </c>
      <c r="J613" s="237" t="str">
        <f t="shared" si="162"/>
        <v/>
      </c>
      <c r="K613" s="238" t="str">
        <f t="shared" si="163"/>
        <v/>
      </c>
      <c r="L613" s="238" t="str">
        <f t="shared" si="164"/>
        <v/>
      </c>
      <c r="M613" s="238" t="str">
        <f t="shared" si="165"/>
        <v/>
      </c>
      <c r="N613" s="238" t="str">
        <f t="shared" si="166"/>
        <v/>
      </c>
      <c r="O613" s="232" t="str">
        <f t="shared" si="161"/>
        <v/>
      </c>
      <c r="P613" s="219" t="str">
        <f t="shared" si="168"/>
        <v/>
      </c>
      <c r="Q613" s="219" t="str">
        <f t="shared" si="169"/>
        <v/>
      </c>
      <c r="R613" s="219" t="str">
        <f t="shared" si="170"/>
        <v/>
      </c>
      <c r="S613" s="331" t="str">
        <f t="shared" si="171"/>
        <v/>
      </c>
      <c r="T613" s="331" t="str">
        <f t="shared" si="172"/>
        <v/>
      </c>
      <c r="U613" s="331" t="str">
        <f t="shared" si="173"/>
        <v/>
      </c>
    </row>
    <row r="614" spans="1:21" ht="15.95" customHeight="1">
      <c r="A614" s="211">
        <f>IF(COUNTBLANK('RNEW import'!B612)=1,"",'RNEW import'!B612)</f>
        <v>35</v>
      </c>
      <c r="B614" s="211" t="str">
        <f>IF(COUNTBLANK('RNEW import'!D612)=1,"",'RNEW import'!D612)</f>
        <v>Mega Mall Bucuresti SRL</v>
      </c>
      <c r="C614" s="211" t="str">
        <f>IF(COUNTBLANK('RNEW import'!E612)=1,"",'RNEW import'!E612)</f>
        <v>RMEG</v>
      </c>
      <c r="D614" s="211" t="str">
        <f>IF(COUNTBLANK('RNEW import'!K612)=1,"",'RNEW import'!K612)</f>
        <v>Regularizare Tarif distributie SDI MT Ea3</v>
      </c>
      <c r="E614" s="211">
        <f>IF(COUNTBLANK('RNEW import'!L612)=1,"",'RNEW import'!N612)</f>
        <v>0</v>
      </c>
      <c r="F614" s="211">
        <f>IF(COUNTBLANK('RNEW import'!M612)=1,"",'RNEW import'!O612/10000)</f>
        <v>1.1300000000000001E-2</v>
      </c>
      <c r="G614" s="217">
        <f t="shared" si="174"/>
        <v>0</v>
      </c>
      <c r="H614" s="217">
        <f t="shared" si="167"/>
        <v>0</v>
      </c>
      <c r="I614" s="329">
        <f t="shared" si="175"/>
        <v>0</v>
      </c>
      <c r="J614" s="237" t="str">
        <f t="shared" si="162"/>
        <v/>
      </c>
      <c r="K614" s="238" t="str">
        <f t="shared" si="163"/>
        <v/>
      </c>
      <c r="L614" s="238" t="str">
        <f t="shared" si="164"/>
        <v/>
      </c>
      <c r="M614" s="238" t="str">
        <f t="shared" si="165"/>
        <v/>
      </c>
      <c r="N614" s="238" t="str">
        <f t="shared" si="166"/>
        <v/>
      </c>
      <c r="O614" s="232" t="str">
        <f t="shared" ref="O614:O677" si="176">IF(A614=1,B614,"")</f>
        <v/>
      </c>
      <c r="P614" s="219" t="str">
        <f t="shared" si="168"/>
        <v/>
      </c>
      <c r="Q614" s="219" t="str">
        <f t="shared" si="169"/>
        <v/>
      </c>
      <c r="R614" s="219" t="str">
        <f t="shared" si="170"/>
        <v/>
      </c>
      <c r="S614" s="331" t="str">
        <f t="shared" si="171"/>
        <v/>
      </c>
      <c r="T614" s="331" t="str">
        <f t="shared" si="172"/>
        <v/>
      </c>
      <c r="U614" s="331" t="str">
        <f t="shared" si="173"/>
        <v/>
      </c>
    </row>
    <row r="615" spans="1:21" ht="15.95" customHeight="1">
      <c r="A615" s="211">
        <f>IF(COUNTBLANK('RNEW import'!B613)=1,"",'RNEW import'!B613)</f>
        <v>36</v>
      </c>
      <c r="B615" s="211" t="str">
        <f>IF(COUNTBLANK('RNEW import'!D613)=1,"",'RNEW import'!D613)</f>
        <v>Mega Mall Bucuresti SRL</v>
      </c>
      <c r="C615" s="211" t="str">
        <f>IF(COUNTBLANK('RNEW import'!E613)=1,"",'RNEW import'!E613)</f>
        <v>RMEG</v>
      </c>
      <c r="D615" s="211" t="str">
        <f>IF(COUNTBLANK('RNEW import'!K613)=1,"",'RNEW import'!K613)</f>
        <v>Regularizare Tarif distributie SDI JT Ea3</v>
      </c>
      <c r="E615" s="211">
        <f>IF(COUNTBLANK('RNEW import'!L613)=1,"",'RNEW import'!N613)</f>
        <v>0</v>
      </c>
      <c r="F615" s="211">
        <f>IF(COUNTBLANK('RNEW import'!M613)=1,"",'RNEW import'!O613/10000)</f>
        <v>8.4099999999999994E-2</v>
      </c>
      <c r="G615" s="217">
        <f t="shared" si="174"/>
        <v>0</v>
      </c>
      <c r="H615" s="217">
        <f t="shared" si="167"/>
        <v>0</v>
      </c>
      <c r="I615" s="329">
        <f t="shared" si="175"/>
        <v>0</v>
      </c>
      <c r="J615" s="237" t="str">
        <f t="shared" si="162"/>
        <v/>
      </c>
      <c r="K615" s="238" t="str">
        <f t="shared" si="163"/>
        <v/>
      </c>
      <c r="L615" s="238" t="str">
        <f t="shared" si="164"/>
        <v/>
      </c>
      <c r="M615" s="238" t="str">
        <f t="shared" si="165"/>
        <v/>
      </c>
      <c r="N615" s="238" t="str">
        <f t="shared" si="166"/>
        <v/>
      </c>
      <c r="O615" s="233" t="str">
        <f t="shared" si="176"/>
        <v/>
      </c>
      <c r="P615" s="219" t="str">
        <f t="shared" si="168"/>
        <v>Energie consumata din PV regularizare</v>
      </c>
      <c r="Q615" s="219">
        <f t="shared" si="169"/>
        <v>0</v>
      </c>
      <c r="R615" s="219">
        <f t="shared" si="170"/>
        <v>0</v>
      </c>
      <c r="S615" s="331">
        <f t="shared" si="171"/>
        <v>0</v>
      </c>
      <c r="T615" s="331">
        <f t="shared" si="172"/>
        <v>0</v>
      </c>
      <c r="U615" s="331">
        <f t="shared" si="173"/>
        <v>0</v>
      </c>
    </row>
    <row r="616" spans="1:21" ht="15.95" customHeight="1">
      <c r="A616" s="211">
        <f>IF(COUNTBLANK('RNEW import'!B614)=1,"",'RNEW import'!B614)</f>
        <v>1</v>
      </c>
      <c r="B616" s="211" t="str">
        <f>IF(COUNTBLANK('RNEW import'!D614)=1,"",'RNEW import'!D614)</f>
        <v>Severin Shopping Center SRL</v>
      </c>
      <c r="C616" s="211" t="str">
        <f>IF(COUNTBLANK('RNEW import'!E614)=1,"",'RNEW import'!E614)</f>
        <v>RSEV</v>
      </c>
      <c r="D616" s="211" t="str">
        <f>IF(COUNTBLANK('RNEW import'!K614)=1,"",'RNEW import'!K614)</f>
        <v>Energie activa 1</v>
      </c>
      <c r="E616" s="211">
        <f>IF(COUNTBLANK('RNEW import'!L614)=1,"",'RNEW import'!N614)</f>
        <v>206035</v>
      </c>
      <c r="F616" s="211">
        <f>IF(COUNTBLANK('RNEW import'!M614)=1,"",'RNEW import'!O614/10000)</f>
        <v>0.59499999999999997</v>
      </c>
      <c r="G616" s="217">
        <f t="shared" si="174"/>
        <v>122590.83</v>
      </c>
      <c r="H616" s="217">
        <f t="shared" si="167"/>
        <v>23292.26</v>
      </c>
      <c r="I616" s="329">
        <f t="shared" si="175"/>
        <v>145883.09</v>
      </c>
      <c r="J616" s="237" t="str">
        <f t="shared" si="162"/>
        <v>Severin Shopping Center SRL</v>
      </c>
      <c r="K616" s="238">
        <f t="shared" si="163"/>
        <v>20032.3</v>
      </c>
      <c r="L616" s="238">
        <f t="shared" si="164"/>
        <v>178937.89999999997</v>
      </c>
      <c r="M616" s="238">
        <f t="shared" si="165"/>
        <v>153738.01999999999</v>
      </c>
      <c r="N616" s="238">
        <f t="shared" si="166"/>
        <v>167075</v>
      </c>
      <c r="O616" s="218" t="str">
        <f t="shared" si="176"/>
        <v>Severin Shopping Center SRL</v>
      </c>
      <c r="P616" s="219" t="str">
        <f t="shared" si="168"/>
        <v>Enegie activa</v>
      </c>
      <c r="Q616" s="219">
        <f t="shared" si="169"/>
        <v>206035</v>
      </c>
      <c r="R616" s="219">
        <f t="shared" si="170"/>
        <v>0.95244499999999999</v>
      </c>
      <c r="S616" s="331">
        <f t="shared" si="171"/>
        <v>196237.06</v>
      </c>
      <c r="T616" s="331">
        <f t="shared" si="172"/>
        <v>37285.019999999997</v>
      </c>
      <c r="U616" s="331">
        <f t="shared" si="173"/>
        <v>233522.08</v>
      </c>
    </row>
    <row r="617" spans="1:21" ht="15.95" customHeight="1">
      <c r="A617" s="211">
        <f>IF(COUNTBLANK('RNEW import'!B615)=1,"",'RNEW import'!B615)</f>
        <v>2</v>
      </c>
      <c r="B617" s="211" t="str">
        <f>IF(COUNTBLANK('RNEW import'!D615)=1,"",'RNEW import'!D615)</f>
        <v>Severin Shopping Center SRL</v>
      </c>
      <c r="C617" s="211" t="str">
        <f>IF(COUNTBLANK('RNEW import'!E615)=1,"",'RNEW import'!E615)</f>
        <v>RSEV</v>
      </c>
      <c r="D617" s="211" t="str">
        <f>IF(COUNTBLANK('RNEW import'!K615)=1,"",'RNEW import'!K615)</f>
        <v>Energie reactiva  1X</v>
      </c>
      <c r="E617" s="211">
        <f>IF(COUNTBLANK('RNEW import'!L615)=1,"",'RNEW import'!N615)</f>
        <v>0</v>
      </c>
      <c r="F617" s="211">
        <f>IF(COUNTBLANK('RNEW import'!M615)=1,"",'RNEW import'!O615/10000)</f>
        <v>0.14649999999999999</v>
      </c>
      <c r="G617" s="217">
        <f t="shared" si="174"/>
        <v>0</v>
      </c>
      <c r="H617" s="217">
        <f t="shared" si="167"/>
        <v>0</v>
      </c>
      <c r="I617" s="329">
        <f t="shared" si="175"/>
        <v>0</v>
      </c>
      <c r="J617" s="237" t="str">
        <f t="shared" si="162"/>
        <v/>
      </c>
      <c r="K617" s="238" t="str">
        <f t="shared" si="163"/>
        <v/>
      </c>
      <c r="L617" s="238" t="str">
        <f t="shared" si="164"/>
        <v/>
      </c>
      <c r="M617" s="238" t="str">
        <f t="shared" si="165"/>
        <v/>
      </c>
      <c r="N617" s="238" t="str">
        <f t="shared" si="166"/>
        <v/>
      </c>
      <c r="O617" s="232" t="str">
        <f t="shared" si="176"/>
        <v/>
      </c>
      <c r="P617" s="219" t="str">
        <f t="shared" si="168"/>
        <v>Energie reactiva 1x</v>
      </c>
      <c r="Q617" s="219">
        <f t="shared" si="169"/>
        <v>0</v>
      </c>
      <c r="R617" s="219">
        <f t="shared" si="170"/>
        <v>0.14649999999999999</v>
      </c>
      <c r="S617" s="331">
        <f t="shared" si="171"/>
        <v>0</v>
      </c>
      <c r="T617" s="331">
        <f t="shared" si="172"/>
        <v>0</v>
      </c>
      <c r="U617" s="331">
        <f t="shared" si="173"/>
        <v>0</v>
      </c>
    </row>
    <row r="618" spans="1:21" ht="15.95" customHeight="1">
      <c r="A618" s="211">
        <f>IF(COUNTBLANK('RNEW import'!B616)=1,"",'RNEW import'!B616)</f>
        <v>3</v>
      </c>
      <c r="B618" s="211" t="str">
        <f>IF(COUNTBLANK('RNEW import'!D616)=1,"",'RNEW import'!D616)</f>
        <v>Severin Shopping Center SRL</v>
      </c>
      <c r="C618" s="211" t="str">
        <f>IF(COUNTBLANK('RNEW import'!E616)=1,"",'RNEW import'!E616)</f>
        <v>RSEV</v>
      </c>
      <c r="D618" s="211" t="str">
        <f>IF(COUNTBLANK('RNEW import'!K616)=1,"",'RNEW import'!K616)</f>
        <v>Energie reactiva  3X</v>
      </c>
      <c r="E618" s="211">
        <f>IF(COUNTBLANK('RNEW import'!L616)=1,"",'RNEW import'!N616)</f>
        <v>0</v>
      </c>
      <c r="F618" s="211">
        <f>IF(COUNTBLANK('RNEW import'!M616)=1,"",'RNEW import'!O616/10000)</f>
        <v>0.4395</v>
      </c>
      <c r="G618" s="217">
        <f t="shared" si="174"/>
        <v>0</v>
      </c>
      <c r="H618" s="217">
        <f t="shared" si="167"/>
        <v>0</v>
      </c>
      <c r="I618" s="329">
        <f t="shared" si="175"/>
        <v>0</v>
      </c>
      <c r="J618" s="237" t="str">
        <f t="shared" si="162"/>
        <v/>
      </c>
      <c r="K618" s="238" t="str">
        <f t="shared" si="163"/>
        <v/>
      </c>
      <c r="L618" s="238" t="str">
        <f t="shared" si="164"/>
        <v/>
      </c>
      <c r="M618" s="238" t="str">
        <f t="shared" si="165"/>
        <v/>
      </c>
      <c r="N618" s="238" t="str">
        <f t="shared" si="166"/>
        <v/>
      </c>
      <c r="O618" s="232" t="str">
        <f t="shared" si="176"/>
        <v/>
      </c>
      <c r="P618" s="219" t="str">
        <f t="shared" si="168"/>
        <v>Energie reactiva 3x</v>
      </c>
      <c r="Q618" s="219">
        <f t="shared" si="169"/>
        <v>0</v>
      </c>
      <c r="R618" s="219">
        <f t="shared" si="170"/>
        <v>0.4395</v>
      </c>
      <c r="S618" s="331">
        <f t="shared" si="171"/>
        <v>0</v>
      </c>
      <c r="T618" s="331">
        <f t="shared" si="172"/>
        <v>0</v>
      </c>
      <c r="U618" s="331">
        <f t="shared" si="173"/>
        <v>0</v>
      </c>
    </row>
    <row r="619" spans="1:21" ht="15.95" customHeight="1">
      <c r="A619" s="211">
        <f>IF(COUNTBLANK('RNEW import'!B617)=1,"",'RNEW import'!B617)</f>
        <v>4</v>
      </c>
      <c r="B619" s="211" t="str">
        <f>IF(COUNTBLANK('RNEW import'!D617)=1,"",'RNEW import'!D617)</f>
        <v>Severin Shopping Center SRL</v>
      </c>
      <c r="C619" s="211" t="str">
        <f>IF(COUNTBLANK('RNEW import'!E617)=1,"",'RNEW import'!E617)</f>
        <v>RSEV</v>
      </c>
      <c r="D619" s="211" t="str">
        <f>IF(COUNTBLANK('RNEW import'!K617)=1,"",'RNEW import'!K617)</f>
        <v>Tarife distributie en. El IT+MT</v>
      </c>
      <c r="E619" s="211">
        <f>IF(COUNTBLANK('RNEW import'!L617)=1,"",'RNEW import'!N617)</f>
        <v>206035</v>
      </c>
      <c r="F619" s="211">
        <f>IF(COUNTBLANK('RNEW import'!M617)=1,"",'RNEW import'!O617/10000)</f>
        <v>0.13613999999999998</v>
      </c>
      <c r="G619" s="217">
        <f t="shared" si="174"/>
        <v>28049.599999999999</v>
      </c>
      <c r="H619" s="217">
        <f t="shared" si="167"/>
        <v>5329.42</v>
      </c>
      <c r="I619" s="329">
        <f t="shared" si="175"/>
        <v>33379.019999999997</v>
      </c>
      <c r="J619" s="237" t="str">
        <f t="shared" si="162"/>
        <v/>
      </c>
      <c r="K619" s="238" t="str">
        <f t="shared" si="163"/>
        <v/>
      </c>
      <c r="L619" s="238" t="str">
        <f t="shared" si="164"/>
        <v/>
      </c>
      <c r="M619" s="238" t="str">
        <f t="shared" si="165"/>
        <v/>
      </c>
      <c r="N619" s="238" t="str">
        <f t="shared" si="166"/>
        <v/>
      </c>
      <c r="O619" s="232" t="str">
        <f t="shared" si="176"/>
        <v/>
      </c>
      <c r="P619" s="219" t="str">
        <f t="shared" si="168"/>
        <v/>
      </c>
      <c r="Q619" s="219" t="str">
        <f t="shared" si="169"/>
        <v/>
      </c>
      <c r="R619" s="219" t="str">
        <f t="shared" si="170"/>
        <v/>
      </c>
      <c r="S619" s="331" t="str">
        <f t="shared" si="171"/>
        <v/>
      </c>
      <c r="T619" s="331" t="str">
        <f t="shared" si="172"/>
        <v/>
      </c>
      <c r="U619" s="331" t="str">
        <f t="shared" si="173"/>
        <v/>
      </c>
    </row>
    <row r="620" spans="1:21" ht="15.95" customHeight="1">
      <c r="A620" s="211">
        <f>IF(COUNTBLANK('RNEW import'!B618)=1,"",'RNEW import'!B618)</f>
        <v>5</v>
      </c>
      <c r="B620" s="211" t="str">
        <f>IF(COUNTBLANK('RNEW import'!D618)=1,"",'RNEW import'!D618)</f>
        <v>Severin Shopping Center SRL</v>
      </c>
      <c r="C620" s="211" t="str">
        <f>IF(COUNTBLANK('RNEW import'!E618)=1,"",'RNEW import'!E618)</f>
        <v>RSEV</v>
      </c>
      <c r="D620" s="211" t="str">
        <f>IF(COUNTBLANK('RNEW import'!K618)=1,"",'RNEW import'!K618)</f>
        <v>Tarife distributie en. El JT</v>
      </c>
      <c r="E620" s="211">
        <f>IF(COUNTBLANK('RNEW import'!L618)=1,"",'RNEW import'!N618)</f>
        <v>0</v>
      </c>
      <c r="F620" s="211">
        <f>IF(COUNTBLANK('RNEW import'!M618)=1,"",'RNEW import'!O618/10000)</f>
        <v>0.22738999999999995</v>
      </c>
      <c r="G620" s="217">
        <f t="shared" si="174"/>
        <v>0</v>
      </c>
      <c r="H620" s="217">
        <f t="shared" si="167"/>
        <v>0</v>
      </c>
      <c r="I620" s="329">
        <f t="shared" si="175"/>
        <v>0</v>
      </c>
      <c r="J620" s="237" t="str">
        <f t="shared" si="162"/>
        <v/>
      </c>
      <c r="K620" s="238" t="str">
        <f t="shared" si="163"/>
        <v/>
      </c>
      <c r="L620" s="238" t="str">
        <f t="shared" si="164"/>
        <v/>
      </c>
      <c r="M620" s="238" t="str">
        <f t="shared" si="165"/>
        <v/>
      </c>
      <c r="N620" s="238" t="str">
        <f t="shared" si="166"/>
        <v/>
      </c>
      <c r="O620" s="232" t="str">
        <f t="shared" si="176"/>
        <v/>
      </c>
      <c r="P620" s="219" t="str">
        <f t="shared" si="168"/>
        <v/>
      </c>
      <c r="Q620" s="219" t="str">
        <f t="shared" si="169"/>
        <v/>
      </c>
      <c r="R620" s="219" t="str">
        <f t="shared" si="170"/>
        <v/>
      </c>
      <c r="S620" s="331" t="str">
        <f t="shared" si="171"/>
        <v/>
      </c>
      <c r="T620" s="331" t="str">
        <f t="shared" si="172"/>
        <v/>
      </c>
      <c r="U620" s="331" t="str">
        <f t="shared" si="173"/>
        <v/>
      </c>
    </row>
    <row r="621" spans="1:21" ht="15.95" customHeight="1">
      <c r="A621" s="211">
        <f>IF(COUNTBLANK('RNEW import'!B619)=1,"",'RNEW import'!B619)</f>
        <v>6</v>
      </c>
      <c r="B621" s="211" t="str">
        <f>IF(COUNTBLANK('RNEW import'!D619)=1,"",'RNEW import'!D619)</f>
        <v>Severin Shopping Center SRL</v>
      </c>
      <c r="C621" s="211" t="str">
        <f>IF(COUNTBLANK('RNEW import'!E619)=1,"",'RNEW import'!E619)</f>
        <v>RSEV</v>
      </c>
      <c r="D621" s="211" t="str">
        <f>IF(COUNTBLANK('RNEW import'!K619)=1,"",'RNEW import'!K619)</f>
        <v xml:space="preserve">Servicii Sistem </v>
      </c>
      <c r="E621" s="211">
        <f>IF(COUNTBLANK('RNEW import'!L619)=1,"",'RNEW import'!N619)</f>
        <v>206035</v>
      </c>
      <c r="F621" s="211">
        <f>IF(COUNTBLANK('RNEW import'!M619)=1,"",'RNEW import'!O619/10000)</f>
        <v>1.1509999999999999E-2</v>
      </c>
      <c r="G621" s="217">
        <f t="shared" si="174"/>
        <v>2371.46</v>
      </c>
      <c r="H621" s="217">
        <f t="shared" si="167"/>
        <v>450.58</v>
      </c>
      <c r="I621" s="329">
        <f t="shared" si="175"/>
        <v>2822.04</v>
      </c>
      <c r="J621" s="237" t="str">
        <f t="shared" si="162"/>
        <v/>
      </c>
      <c r="K621" s="238" t="str">
        <f t="shared" si="163"/>
        <v/>
      </c>
      <c r="L621" s="238" t="str">
        <f t="shared" si="164"/>
        <v/>
      </c>
      <c r="M621" s="238" t="str">
        <f t="shared" si="165"/>
        <v/>
      </c>
      <c r="N621" s="238" t="str">
        <f t="shared" si="166"/>
        <v/>
      </c>
      <c r="O621" s="232" t="str">
        <f t="shared" si="176"/>
        <v/>
      </c>
      <c r="P621" s="219" t="str">
        <f t="shared" si="168"/>
        <v/>
      </c>
      <c r="Q621" s="219" t="str">
        <f t="shared" si="169"/>
        <v/>
      </c>
      <c r="R621" s="219" t="str">
        <f t="shared" si="170"/>
        <v/>
      </c>
      <c r="S621" s="331" t="str">
        <f t="shared" si="171"/>
        <v/>
      </c>
      <c r="T621" s="331" t="str">
        <f t="shared" si="172"/>
        <v/>
      </c>
      <c r="U621" s="331" t="str">
        <f t="shared" si="173"/>
        <v/>
      </c>
    </row>
    <row r="622" spans="1:21" ht="15.95" customHeight="1">
      <c r="A622" s="211">
        <f>IF(COUNTBLANK('RNEW import'!B620)=1,"",'RNEW import'!B620)</f>
        <v>7</v>
      </c>
      <c r="B622" s="211" t="str">
        <f>IF(COUNTBLANK('RNEW import'!D620)=1,"",'RNEW import'!D620)</f>
        <v>Severin Shopping Center SRL</v>
      </c>
      <c r="C622" s="211" t="str">
        <f>IF(COUNTBLANK('RNEW import'!E620)=1,"",'RNEW import'!E620)</f>
        <v>RSEV</v>
      </c>
      <c r="D622" s="211" t="str">
        <f>IF(COUNTBLANK('RNEW import'!K620)=1,"",'RNEW import'!K620)</f>
        <v>Tarif de introducere en. el in retea (TL)</v>
      </c>
      <c r="E622" s="211">
        <f>IF(COUNTBLANK('RNEW import'!L620)=1,"",'RNEW import'!N620)</f>
        <v>206035</v>
      </c>
      <c r="F622" s="211">
        <f>IF(COUNTBLANK('RNEW import'!M620)=1,"",'RNEW import'!O620/10000)</f>
        <v>3.3030000000000004E-2</v>
      </c>
      <c r="G622" s="217">
        <f t="shared" si="174"/>
        <v>6805.34</v>
      </c>
      <c r="H622" s="217">
        <f t="shared" si="167"/>
        <v>1293.01</v>
      </c>
      <c r="I622" s="329">
        <f t="shared" si="175"/>
        <v>8098.35</v>
      </c>
      <c r="J622" s="237" t="str">
        <f t="shared" si="162"/>
        <v/>
      </c>
      <c r="K622" s="238" t="str">
        <f t="shared" si="163"/>
        <v/>
      </c>
      <c r="L622" s="238" t="str">
        <f t="shared" si="164"/>
        <v/>
      </c>
      <c r="M622" s="238" t="str">
        <f t="shared" si="165"/>
        <v/>
      </c>
      <c r="N622" s="238" t="str">
        <f t="shared" si="166"/>
        <v/>
      </c>
      <c r="O622" s="232" t="str">
        <f t="shared" si="176"/>
        <v/>
      </c>
      <c r="P622" s="219" t="str">
        <f t="shared" si="168"/>
        <v/>
      </c>
      <c r="Q622" s="219" t="str">
        <f t="shared" si="169"/>
        <v/>
      </c>
      <c r="R622" s="219" t="str">
        <f t="shared" si="170"/>
        <v/>
      </c>
      <c r="S622" s="331" t="str">
        <f t="shared" si="171"/>
        <v/>
      </c>
      <c r="T622" s="331" t="str">
        <f t="shared" si="172"/>
        <v/>
      </c>
      <c r="U622" s="331" t="str">
        <f t="shared" si="173"/>
        <v/>
      </c>
    </row>
    <row r="623" spans="1:21" ht="15.95" customHeight="1">
      <c r="A623" s="211">
        <f>IF(COUNTBLANK('RNEW import'!B621)=1,"",'RNEW import'!B621)</f>
        <v>8</v>
      </c>
      <c r="B623" s="211" t="str">
        <f>IF(COUNTBLANK('RNEW import'!D621)=1,"",'RNEW import'!D621)</f>
        <v>Severin Shopping Center SRL</v>
      </c>
      <c r="C623" s="211" t="str">
        <f>IF(COUNTBLANK('RNEW import'!E621)=1,"",'RNEW import'!E621)</f>
        <v>RSEV</v>
      </c>
      <c r="D623" s="211" t="str">
        <f>IF(COUNTBLANK('RNEW import'!K621)=1,"",'RNEW import'!K621)</f>
        <v>Tarif de introducere en.el in retea (TG)</v>
      </c>
      <c r="E623" s="211">
        <f>IF(COUNTBLANK('RNEW import'!L621)=1,"",'RNEW import'!N621)</f>
        <v>206035</v>
      </c>
      <c r="F623" s="211">
        <f>IF(COUNTBLANK('RNEW import'!M621)=1,"",'RNEW import'!O621/10000)</f>
        <v>3.29E-3</v>
      </c>
      <c r="G623" s="217">
        <f t="shared" si="174"/>
        <v>677.86</v>
      </c>
      <c r="H623" s="217">
        <f t="shared" si="167"/>
        <v>128.79</v>
      </c>
      <c r="I623" s="329">
        <f t="shared" si="175"/>
        <v>806.65</v>
      </c>
      <c r="J623" s="237" t="str">
        <f t="shared" si="162"/>
        <v/>
      </c>
      <c r="K623" s="238" t="str">
        <f t="shared" si="163"/>
        <v/>
      </c>
      <c r="L623" s="238" t="str">
        <f t="shared" si="164"/>
        <v/>
      </c>
      <c r="M623" s="238" t="str">
        <f t="shared" si="165"/>
        <v/>
      </c>
      <c r="N623" s="238" t="str">
        <f t="shared" si="166"/>
        <v/>
      </c>
      <c r="O623" s="232" t="str">
        <f t="shared" si="176"/>
        <v/>
      </c>
      <c r="P623" s="219" t="str">
        <f t="shared" si="168"/>
        <v/>
      </c>
      <c r="Q623" s="219" t="str">
        <f t="shared" si="169"/>
        <v/>
      </c>
      <c r="R623" s="219" t="str">
        <f t="shared" si="170"/>
        <v/>
      </c>
      <c r="S623" s="331" t="str">
        <f t="shared" si="171"/>
        <v/>
      </c>
      <c r="T623" s="331" t="str">
        <f t="shared" si="172"/>
        <v/>
      </c>
      <c r="U623" s="331" t="str">
        <f t="shared" si="173"/>
        <v/>
      </c>
    </row>
    <row r="624" spans="1:21" ht="15.95" customHeight="1">
      <c r="A624" s="211">
        <f>IF(COUNTBLANK('RNEW import'!B622)=1,"",'RNEW import'!B622)</f>
        <v>9</v>
      </c>
      <c r="B624" s="211" t="str">
        <f>IF(COUNTBLANK('RNEW import'!D622)=1,"",'RNEW import'!D622)</f>
        <v>Severin Shopping Center SRL</v>
      </c>
      <c r="C624" s="211" t="str">
        <f>IF(COUNTBLANK('RNEW import'!E622)=1,"",'RNEW import'!E622)</f>
        <v>RSEV</v>
      </c>
      <c r="D624" s="211" t="str">
        <f>IF(COUNTBLANK('RNEW import'!K622)=1,"",'RNEW import'!K622)</f>
        <v>Contributie pentru cogenerare</v>
      </c>
      <c r="E624" s="211">
        <f>IF(COUNTBLANK('RNEW import'!L622)=1,"",'RNEW import'!N622)</f>
        <v>206035</v>
      </c>
      <c r="F624" s="211">
        <f>IF(COUNTBLANK('RNEW import'!M622)=1,"",'RNEW import'!O622/10000)</f>
        <v>3.5000000000000001E-3</v>
      </c>
      <c r="G624" s="217">
        <f t="shared" si="174"/>
        <v>721.12</v>
      </c>
      <c r="H624" s="217">
        <f t="shared" si="167"/>
        <v>137.01</v>
      </c>
      <c r="I624" s="329">
        <f t="shared" si="175"/>
        <v>858.13</v>
      </c>
      <c r="J624" s="237" t="str">
        <f t="shared" si="162"/>
        <v/>
      </c>
      <c r="K624" s="238" t="str">
        <f t="shared" si="163"/>
        <v/>
      </c>
      <c r="L624" s="238" t="str">
        <f t="shared" si="164"/>
        <v/>
      </c>
      <c r="M624" s="238" t="str">
        <f t="shared" si="165"/>
        <v/>
      </c>
      <c r="N624" s="238" t="str">
        <f t="shared" si="166"/>
        <v/>
      </c>
      <c r="O624" s="232" t="str">
        <f t="shared" si="176"/>
        <v/>
      </c>
      <c r="P624" s="219" t="str">
        <f t="shared" si="168"/>
        <v/>
      </c>
      <c r="Q624" s="219" t="str">
        <f t="shared" si="169"/>
        <v/>
      </c>
      <c r="R624" s="219" t="str">
        <f t="shared" si="170"/>
        <v/>
      </c>
      <c r="S624" s="331" t="str">
        <f t="shared" si="171"/>
        <v/>
      </c>
      <c r="T624" s="331" t="str">
        <f t="shared" si="172"/>
        <v/>
      </c>
      <c r="U624" s="331" t="str">
        <f t="shared" si="173"/>
        <v/>
      </c>
    </row>
    <row r="625" spans="1:21" ht="15.95" customHeight="1">
      <c r="A625" s="211">
        <f>IF(COUNTBLANK('RNEW import'!B623)=1,"",'RNEW import'!B623)</f>
        <v>10</v>
      </c>
      <c r="B625" s="211" t="str">
        <f>IF(COUNTBLANK('RNEW import'!D623)=1,"",'RNEW import'!D623)</f>
        <v>Severin Shopping Center SRL</v>
      </c>
      <c r="C625" s="211" t="str">
        <f>IF(COUNTBLANK('RNEW import'!E623)=1,"",'RNEW import'!E623)</f>
        <v>RSEV</v>
      </c>
      <c r="D625" s="211" t="str">
        <f>IF(COUNTBLANK('RNEW import'!K623)=1,"",'RNEW import'!K623)</f>
        <v xml:space="preserve">Certificate verzi </v>
      </c>
      <c r="E625" s="211">
        <f>IF(COUNTBLANK('RNEW import'!L623)=1,"",'RNEW import'!N623)</f>
        <v>206035</v>
      </c>
      <c r="F625" s="211">
        <f>IF(COUNTBLANK('RNEW import'!M623)=1,"",'RNEW import'!O623/10000)</f>
        <v>7.2541599999999998E-2</v>
      </c>
      <c r="G625" s="217">
        <f t="shared" si="174"/>
        <v>14946.11</v>
      </c>
      <c r="H625" s="217">
        <f t="shared" si="167"/>
        <v>2839.76</v>
      </c>
      <c r="I625" s="329">
        <f t="shared" si="175"/>
        <v>17785.870000000003</v>
      </c>
      <c r="J625" s="237" t="str">
        <f t="shared" si="162"/>
        <v/>
      </c>
      <c r="K625" s="238" t="str">
        <f t="shared" si="163"/>
        <v/>
      </c>
      <c r="L625" s="238" t="str">
        <f t="shared" si="164"/>
        <v/>
      </c>
      <c r="M625" s="238" t="str">
        <f t="shared" si="165"/>
        <v/>
      </c>
      <c r="N625" s="238" t="str">
        <f t="shared" si="166"/>
        <v/>
      </c>
      <c r="O625" s="232" t="str">
        <f t="shared" si="176"/>
        <v/>
      </c>
      <c r="P625" s="219" t="str">
        <f t="shared" si="168"/>
        <v/>
      </c>
      <c r="Q625" s="219" t="str">
        <f t="shared" si="169"/>
        <v/>
      </c>
      <c r="R625" s="219" t="str">
        <f t="shared" si="170"/>
        <v/>
      </c>
      <c r="S625" s="331" t="str">
        <f t="shared" si="171"/>
        <v/>
      </c>
      <c r="T625" s="331" t="str">
        <f t="shared" si="172"/>
        <v/>
      </c>
      <c r="U625" s="331" t="str">
        <f t="shared" si="173"/>
        <v/>
      </c>
    </row>
    <row r="626" spans="1:21" ht="15.95" customHeight="1">
      <c r="A626" s="211">
        <f>IF(COUNTBLANK('RNEW import'!B624)=1,"",'RNEW import'!B624)</f>
        <v>11</v>
      </c>
      <c r="B626" s="211" t="str">
        <f>IF(COUNTBLANK('RNEW import'!D624)=1,"",'RNEW import'!D624)</f>
        <v>Severin Shopping Center SRL</v>
      </c>
      <c r="C626" s="211" t="str">
        <f>IF(COUNTBLANK('RNEW import'!E624)=1,"",'RNEW import'!E624)</f>
        <v>RSEV</v>
      </c>
      <c r="D626" s="211" t="str">
        <f>IF(COUNTBLANK('RNEW import'!K624)=1,"",'RNEW import'!K624)</f>
        <v>Contributie CFD</v>
      </c>
      <c r="E626" s="211">
        <f>IF(COUNTBLANK('RNEW import'!L624)=1,"",'RNEW import'!N624)</f>
        <v>206035</v>
      </c>
      <c r="F626" s="211">
        <f>IF(COUNTBLANK('RNEW import'!M624)=1,"",'RNEW import'!O624/10000)</f>
        <v>2.0599999999999999E-4</v>
      </c>
      <c r="G626" s="217">
        <f t="shared" si="174"/>
        <v>42.44</v>
      </c>
      <c r="H626" s="217">
        <f t="shared" si="167"/>
        <v>8.06</v>
      </c>
      <c r="I626" s="329">
        <f t="shared" si="175"/>
        <v>50.5</v>
      </c>
      <c r="J626" s="237" t="str">
        <f t="shared" si="162"/>
        <v/>
      </c>
      <c r="K626" s="238" t="str">
        <f t="shared" si="163"/>
        <v/>
      </c>
      <c r="L626" s="238" t="str">
        <f t="shared" si="164"/>
        <v/>
      </c>
      <c r="M626" s="238" t="str">
        <f t="shared" si="165"/>
        <v/>
      </c>
      <c r="N626" s="238" t="str">
        <f t="shared" si="166"/>
        <v/>
      </c>
      <c r="O626" s="232" t="str">
        <f t="shared" si="176"/>
        <v/>
      </c>
      <c r="P626" s="219" t="str">
        <f t="shared" si="168"/>
        <v/>
      </c>
      <c r="Q626" s="219" t="str">
        <f t="shared" si="169"/>
        <v/>
      </c>
      <c r="R626" s="219" t="str">
        <f t="shared" si="170"/>
        <v/>
      </c>
      <c r="S626" s="331" t="str">
        <f t="shared" si="171"/>
        <v/>
      </c>
      <c r="T626" s="331" t="str">
        <f t="shared" si="172"/>
        <v/>
      </c>
      <c r="U626" s="331" t="str">
        <f t="shared" si="173"/>
        <v/>
      </c>
    </row>
    <row r="627" spans="1:21" ht="15.95" customHeight="1">
      <c r="A627" s="211">
        <f>IF(COUNTBLANK('RNEW import'!B625)=1,"",'RNEW import'!B625)</f>
        <v>12</v>
      </c>
      <c r="B627" s="211" t="str">
        <f>IF(COUNTBLANK('RNEW import'!D625)=1,"",'RNEW import'!D625)</f>
        <v>Severin Shopping Center SRL</v>
      </c>
      <c r="C627" s="211" t="str">
        <f>IF(COUNTBLANK('RNEW import'!E625)=1,"",'RNEW import'!E625)</f>
        <v>RSEV</v>
      </c>
      <c r="D627" s="211" t="str">
        <f>IF(COUNTBLANK('RNEW import'!K625)=1,"",'RNEW import'!K625)</f>
        <v>Acciza</v>
      </c>
      <c r="E627" s="211">
        <f>IF(COUNTBLANK('RNEW import'!L625)=1,"",'RNEW import'!N625)</f>
        <v>206035</v>
      </c>
      <c r="F627" s="211">
        <f>IF(COUNTBLANK('RNEW import'!M625)=1,"",'RNEW import'!O625/10000)</f>
        <v>0</v>
      </c>
      <c r="G627" s="217">
        <f t="shared" si="174"/>
        <v>0</v>
      </c>
      <c r="H627" s="217">
        <f t="shared" si="167"/>
        <v>0</v>
      </c>
      <c r="I627" s="329">
        <f t="shared" si="175"/>
        <v>0</v>
      </c>
      <c r="J627" s="237" t="str">
        <f t="shared" si="162"/>
        <v/>
      </c>
      <c r="K627" s="238" t="str">
        <f t="shared" si="163"/>
        <v/>
      </c>
      <c r="L627" s="238" t="str">
        <f t="shared" si="164"/>
        <v/>
      </c>
      <c r="M627" s="238" t="str">
        <f t="shared" si="165"/>
        <v/>
      </c>
      <c r="N627" s="238" t="str">
        <f t="shared" si="166"/>
        <v/>
      </c>
      <c r="O627" s="232" t="str">
        <f t="shared" si="176"/>
        <v/>
      </c>
      <c r="P627" s="219" t="str">
        <f t="shared" si="168"/>
        <v/>
      </c>
      <c r="Q627" s="219" t="str">
        <f t="shared" si="169"/>
        <v/>
      </c>
      <c r="R627" s="219" t="str">
        <f t="shared" si="170"/>
        <v/>
      </c>
      <c r="S627" s="331" t="str">
        <f t="shared" si="171"/>
        <v/>
      </c>
      <c r="T627" s="331" t="str">
        <f t="shared" si="172"/>
        <v/>
      </c>
      <c r="U627" s="331" t="str">
        <f t="shared" si="173"/>
        <v/>
      </c>
    </row>
    <row r="628" spans="1:21" ht="15.95" customHeight="1">
      <c r="A628" s="211">
        <f>IF(COUNTBLANK('RNEW import'!B626)=1,"",'RNEW import'!B626)</f>
        <v>13</v>
      </c>
      <c r="B628" s="211" t="str">
        <f>IF(COUNTBLANK('RNEW import'!D626)=1,"",'RNEW import'!D626)</f>
        <v>Severin Shopping Center SRL</v>
      </c>
      <c r="C628" s="211" t="str">
        <f>IF(COUNTBLANK('RNEW import'!E626)=1,"",'RNEW import'!E626)</f>
        <v>RSEV</v>
      </c>
      <c r="D628" s="211" t="str">
        <f>IF(COUNTBLANK('RNEW import'!K626)=1,"",'RNEW import'!K626)</f>
        <v>Tarif distributie SDI MT</v>
      </c>
      <c r="E628" s="211">
        <f>IF(COUNTBLANK('RNEW import'!L626)=1,"",'RNEW import'!N626)</f>
        <v>167075</v>
      </c>
      <c r="F628" s="211">
        <f>IF(COUNTBLANK('RNEW import'!M626)=1,"",'RNEW import'!O626/10000)</f>
        <v>1.7000000000000001E-2</v>
      </c>
      <c r="G628" s="217">
        <f t="shared" si="174"/>
        <v>2840.28</v>
      </c>
      <c r="H628" s="217">
        <f t="shared" si="167"/>
        <v>539.65</v>
      </c>
      <c r="I628" s="329">
        <f t="shared" si="175"/>
        <v>3379.9300000000003</v>
      </c>
      <c r="J628" s="237" t="str">
        <f t="shared" si="162"/>
        <v/>
      </c>
      <c r="K628" s="238" t="str">
        <f t="shared" si="163"/>
        <v/>
      </c>
      <c r="L628" s="238" t="str">
        <f t="shared" si="164"/>
        <v/>
      </c>
      <c r="M628" s="238" t="str">
        <f t="shared" si="165"/>
        <v/>
      </c>
      <c r="N628" s="238" t="str">
        <f t="shared" si="166"/>
        <v/>
      </c>
      <c r="O628" s="232" t="str">
        <f t="shared" si="176"/>
        <v/>
      </c>
      <c r="P628" s="219" t="str">
        <f t="shared" si="168"/>
        <v/>
      </c>
      <c r="Q628" s="219" t="str">
        <f t="shared" si="169"/>
        <v/>
      </c>
      <c r="R628" s="219" t="str">
        <f t="shared" si="170"/>
        <v/>
      </c>
      <c r="S628" s="331" t="str">
        <f t="shared" si="171"/>
        <v/>
      </c>
      <c r="T628" s="331" t="str">
        <f t="shared" si="172"/>
        <v/>
      </c>
      <c r="U628" s="331" t="str">
        <f t="shared" si="173"/>
        <v/>
      </c>
    </row>
    <row r="629" spans="1:21" ht="15.95" customHeight="1">
      <c r="A629" s="211">
        <f>IF(COUNTBLANK('RNEW import'!B627)=1,"",'RNEW import'!B627)</f>
        <v>14</v>
      </c>
      <c r="B629" s="211" t="str">
        <f>IF(COUNTBLANK('RNEW import'!D627)=1,"",'RNEW import'!D627)</f>
        <v>Severin Shopping Center SRL</v>
      </c>
      <c r="C629" s="211" t="str">
        <f>IF(COUNTBLANK('RNEW import'!E627)=1,"",'RNEW import'!E627)</f>
        <v>RSEV</v>
      </c>
      <c r="D629" s="211" t="str">
        <f>IF(COUNTBLANK('RNEW import'!K627)=1,"",'RNEW import'!K627)</f>
        <v>Tarif distributie SDI JT</v>
      </c>
      <c r="E629" s="211">
        <f>IF(COUNTBLANK('RNEW import'!L627)=1,"",'RNEW import'!N627)</f>
        <v>167075</v>
      </c>
      <c r="F629" s="211">
        <f>IF(COUNTBLANK('RNEW import'!M627)=1,"",'RNEW import'!O627/10000)</f>
        <v>0.10290000000000001</v>
      </c>
      <c r="G629" s="217">
        <f t="shared" si="174"/>
        <v>17192.02</v>
      </c>
      <c r="H629" s="217">
        <f t="shared" si="167"/>
        <v>3266.48</v>
      </c>
      <c r="I629" s="329">
        <f t="shared" si="175"/>
        <v>20458.5</v>
      </c>
      <c r="J629" s="237" t="str">
        <f t="shared" si="162"/>
        <v/>
      </c>
      <c r="K629" s="238" t="str">
        <f t="shared" si="163"/>
        <v/>
      </c>
      <c r="L629" s="238" t="str">
        <f t="shared" si="164"/>
        <v/>
      </c>
      <c r="M629" s="238" t="str">
        <f t="shared" si="165"/>
        <v/>
      </c>
      <c r="N629" s="238" t="str">
        <f t="shared" si="166"/>
        <v/>
      </c>
      <c r="O629" s="232" t="str">
        <f t="shared" si="176"/>
        <v/>
      </c>
      <c r="P629" s="219" t="str">
        <f t="shared" si="168"/>
        <v/>
      </c>
      <c r="Q629" s="219" t="str">
        <f t="shared" si="169"/>
        <v/>
      </c>
      <c r="R629" s="219" t="str">
        <f t="shared" si="170"/>
        <v/>
      </c>
      <c r="S629" s="331" t="str">
        <f t="shared" si="171"/>
        <v/>
      </c>
      <c r="T629" s="331" t="str">
        <f t="shared" si="172"/>
        <v/>
      </c>
      <c r="U629" s="331" t="str">
        <f t="shared" si="173"/>
        <v/>
      </c>
    </row>
    <row r="630" spans="1:21" ht="15.95" customHeight="1">
      <c r="A630" s="211">
        <f>IF(COUNTBLANK('RNEW import'!B628)=1,"",'RNEW import'!B628)</f>
        <v>15</v>
      </c>
      <c r="B630" s="211" t="str">
        <f>IF(COUNTBLANK('RNEW import'!D628)=1,"",'RNEW import'!D628)</f>
        <v>Severin Shopping Center SRL</v>
      </c>
      <c r="C630" s="211" t="str">
        <f>IF(COUNTBLANK('RNEW import'!E628)=1,"",'RNEW import'!E628)</f>
        <v>RSEV</v>
      </c>
      <c r="D630" s="211" t="str">
        <f>IF(COUNTBLANK('RNEW import'!K628)=1,"",'RNEW import'!K628)</f>
        <v>Energie activa 2</v>
      </c>
      <c r="E630" s="211">
        <f>IF(COUNTBLANK('RNEW import'!L628)=1,"",'RNEW import'!N628)</f>
        <v>157661</v>
      </c>
      <c r="F630" s="211">
        <f>IF(COUNTBLANK('RNEW import'!M628)=1,"",'RNEW import'!O628/10000)</f>
        <v>0.97511759999999992</v>
      </c>
      <c r="G630" s="217">
        <f t="shared" si="174"/>
        <v>153738.01999999999</v>
      </c>
      <c r="H630" s="217">
        <f t="shared" si="167"/>
        <v>29210.22</v>
      </c>
      <c r="I630" s="329">
        <f t="shared" si="175"/>
        <v>182948.24</v>
      </c>
      <c r="J630" s="237" t="str">
        <f t="shared" si="162"/>
        <v/>
      </c>
      <c r="K630" s="238" t="str">
        <f t="shared" si="163"/>
        <v/>
      </c>
      <c r="L630" s="238" t="str">
        <f t="shared" si="164"/>
        <v/>
      </c>
      <c r="M630" s="238" t="str">
        <f t="shared" si="165"/>
        <v/>
      </c>
      <c r="N630" s="238" t="str">
        <f t="shared" si="166"/>
        <v/>
      </c>
      <c r="O630" s="232" t="str">
        <f t="shared" si="176"/>
        <v/>
      </c>
      <c r="P630" s="219" t="str">
        <f t="shared" si="168"/>
        <v/>
      </c>
      <c r="Q630" s="219" t="str">
        <f t="shared" si="169"/>
        <v/>
      </c>
      <c r="R630" s="219" t="str">
        <f t="shared" si="170"/>
        <v/>
      </c>
      <c r="S630" s="331" t="str">
        <f t="shared" si="171"/>
        <v/>
      </c>
      <c r="T630" s="331" t="str">
        <f t="shared" si="172"/>
        <v/>
      </c>
      <c r="U630" s="331" t="str">
        <f t="shared" si="173"/>
        <v/>
      </c>
    </row>
    <row r="631" spans="1:21" ht="15.95" customHeight="1">
      <c r="A631" s="211">
        <f>IF(COUNTBLANK('RNEW import'!B629)=1,"",'RNEW import'!B629)</f>
        <v>16</v>
      </c>
      <c r="B631" s="211" t="str">
        <f>IF(COUNTBLANK('RNEW import'!D629)=1,"",'RNEW import'!D629)</f>
        <v>Severin Shopping Center SRL</v>
      </c>
      <c r="C631" s="211" t="str">
        <f>IF(COUNTBLANK('RNEW import'!E629)=1,"",'RNEW import'!E629)</f>
        <v>RSEV</v>
      </c>
      <c r="D631" s="211" t="str">
        <f>IF(COUNTBLANK('RNEW import'!K629)=1,"",'RNEW import'!K629)</f>
        <v>Energie activa 3</v>
      </c>
      <c r="E631" s="211">
        <f>IF(COUNTBLANK('RNEW import'!L629)=1,"",'RNEW import'!N629)</f>
        <v>0</v>
      </c>
      <c r="F631" s="211">
        <f>IF(COUNTBLANK('RNEW import'!M629)=1,"",'RNEW import'!O629/10000)</f>
        <v>0.85521759999999991</v>
      </c>
      <c r="G631" s="217">
        <f t="shared" si="174"/>
        <v>0</v>
      </c>
      <c r="H631" s="217">
        <f t="shared" si="167"/>
        <v>0</v>
      </c>
      <c r="I631" s="329">
        <f t="shared" si="175"/>
        <v>0</v>
      </c>
      <c r="J631" s="237" t="str">
        <f t="shared" si="162"/>
        <v/>
      </c>
      <c r="K631" s="238" t="str">
        <f t="shared" si="163"/>
        <v/>
      </c>
      <c r="L631" s="238" t="str">
        <f t="shared" si="164"/>
        <v/>
      </c>
      <c r="M631" s="238" t="str">
        <f t="shared" si="165"/>
        <v/>
      </c>
      <c r="N631" s="238" t="str">
        <f t="shared" si="166"/>
        <v/>
      </c>
      <c r="O631" s="232" t="str">
        <f t="shared" si="176"/>
        <v/>
      </c>
      <c r="P631" s="219" t="str">
        <f t="shared" si="168"/>
        <v/>
      </c>
      <c r="Q631" s="219" t="str">
        <f t="shared" si="169"/>
        <v/>
      </c>
      <c r="R631" s="219" t="str">
        <f t="shared" si="170"/>
        <v/>
      </c>
      <c r="S631" s="331" t="str">
        <f t="shared" si="171"/>
        <v/>
      </c>
      <c r="T631" s="331" t="str">
        <f t="shared" si="172"/>
        <v/>
      </c>
      <c r="U631" s="331" t="str">
        <f t="shared" si="173"/>
        <v/>
      </c>
    </row>
    <row r="632" spans="1:21" ht="15.95" customHeight="1">
      <c r="A632" s="211">
        <f>IF(COUNTBLANK('RNEW import'!B630)=1,"",'RNEW import'!B630)</f>
        <v>17</v>
      </c>
      <c r="B632" s="211" t="str">
        <f>IF(COUNTBLANK('RNEW import'!D630)=1,"",'RNEW import'!D630)</f>
        <v>Severin Shopping Center SRL</v>
      </c>
      <c r="C632" s="211" t="str">
        <f>IF(COUNTBLANK('RNEW import'!E630)=1,"",'RNEW import'!E630)</f>
        <v>RSEV</v>
      </c>
      <c r="D632" s="211" t="str">
        <f>IF(COUNTBLANK('RNEW import'!K630)=1,"",'RNEW import'!K630)</f>
        <v>Tarif distributie SDI MT_</v>
      </c>
      <c r="E632" s="211">
        <f>IF(COUNTBLANK('RNEW import'!L630)=1,"",'RNEW import'!N630)</f>
        <v>0</v>
      </c>
      <c r="F632" s="211">
        <f>IF(COUNTBLANK('RNEW import'!M630)=1,"",'RNEW import'!O630/10000)</f>
        <v>1.7000000000000001E-2</v>
      </c>
      <c r="G632" s="217">
        <f t="shared" si="174"/>
        <v>0</v>
      </c>
      <c r="H632" s="217">
        <f t="shared" si="167"/>
        <v>0</v>
      </c>
      <c r="I632" s="329">
        <f t="shared" si="175"/>
        <v>0</v>
      </c>
      <c r="J632" s="237" t="str">
        <f t="shared" si="162"/>
        <v/>
      </c>
      <c r="K632" s="238" t="str">
        <f t="shared" si="163"/>
        <v/>
      </c>
      <c r="L632" s="238" t="str">
        <f t="shared" si="164"/>
        <v/>
      </c>
      <c r="M632" s="238" t="str">
        <f t="shared" si="165"/>
        <v/>
      </c>
      <c r="N632" s="238" t="str">
        <f t="shared" si="166"/>
        <v/>
      </c>
      <c r="O632" s="232" t="str">
        <f t="shared" si="176"/>
        <v/>
      </c>
      <c r="P632" s="219" t="str">
        <f t="shared" si="168"/>
        <v/>
      </c>
      <c r="Q632" s="219" t="str">
        <f t="shared" si="169"/>
        <v/>
      </c>
      <c r="R632" s="219" t="str">
        <f t="shared" si="170"/>
        <v/>
      </c>
      <c r="S632" s="331" t="str">
        <f t="shared" si="171"/>
        <v/>
      </c>
      <c r="T632" s="331" t="str">
        <f t="shared" si="172"/>
        <v/>
      </c>
      <c r="U632" s="331" t="str">
        <f t="shared" si="173"/>
        <v/>
      </c>
    </row>
    <row r="633" spans="1:21" ht="15.95" customHeight="1">
      <c r="A633" s="211">
        <f>IF(COUNTBLANK('RNEW import'!B631)=1,"",'RNEW import'!B631)</f>
        <v>18</v>
      </c>
      <c r="B633" s="211" t="str">
        <f>IF(COUNTBLANK('RNEW import'!D631)=1,"",'RNEW import'!D631)</f>
        <v>Severin Shopping Center SRL</v>
      </c>
      <c r="C633" s="211" t="str">
        <f>IF(COUNTBLANK('RNEW import'!E631)=1,"",'RNEW import'!E631)</f>
        <v>RSEV</v>
      </c>
      <c r="D633" s="211" t="str">
        <f>IF(COUNTBLANK('RNEW import'!K631)=1,"",'RNEW import'!K631)</f>
        <v>Tarif distributie SDI JT_</v>
      </c>
      <c r="E633" s="211">
        <f>IF(COUNTBLANK('RNEW import'!L631)=1,"",'RNEW import'!N631)</f>
        <v>0</v>
      </c>
      <c r="F633" s="211">
        <f>IF(COUNTBLANK('RNEW import'!M631)=1,"",'RNEW import'!O631/10000)</f>
        <v>0.10290000000000001</v>
      </c>
      <c r="G633" s="217">
        <f t="shared" si="174"/>
        <v>0</v>
      </c>
      <c r="H633" s="217">
        <f t="shared" si="167"/>
        <v>0</v>
      </c>
      <c r="I633" s="329">
        <f t="shared" si="175"/>
        <v>0</v>
      </c>
      <c r="J633" s="237" t="str">
        <f t="shared" si="162"/>
        <v/>
      </c>
      <c r="K633" s="238" t="str">
        <f t="shared" si="163"/>
        <v/>
      </c>
      <c r="L633" s="238" t="str">
        <f t="shared" si="164"/>
        <v/>
      </c>
      <c r="M633" s="238" t="str">
        <f t="shared" si="165"/>
        <v/>
      </c>
      <c r="N633" s="238" t="str">
        <f t="shared" si="166"/>
        <v/>
      </c>
      <c r="O633" s="232" t="str">
        <f t="shared" si="176"/>
        <v/>
      </c>
      <c r="P633" s="219" t="str">
        <f t="shared" si="168"/>
        <v>Energie consumata din PV</v>
      </c>
      <c r="Q633" s="219">
        <f t="shared" si="169"/>
        <v>157661</v>
      </c>
      <c r="R633" s="219">
        <f t="shared" si="170"/>
        <v>0.97511800000000004</v>
      </c>
      <c r="S633" s="331">
        <f t="shared" si="171"/>
        <v>153738.01999999999</v>
      </c>
      <c r="T633" s="331">
        <f t="shared" si="172"/>
        <v>29210.22</v>
      </c>
      <c r="U633" s="331">
        <f t="shared" si="173"/>
        <v>182948.24</v>
      </c>
    </row>
    <row r="634" spans="1:21" ht="15.95" customHeight="1">
      <c r="A634" s="211">
        <f>IF(COUNTBLANK('RNEW import'!B632)=1,"",'RNEW import'!B632)</f>
        <v>19</v>
      </c>
      <c r="B634" s="211" t="str">
        <f>IF(COUNTBLANK('RNEW import'!D632)=1,"",'RNEW import'!D632)</f>
        <v>Severin Shopping Center SRL</v>
      </c>
      <c r="C634" s="211" t="str">
        <f>IF(COUNTBLANK('RNEW import'!E632)=1,"",'RNEW import'!E632)</f>
        <v>RSEV</v>
      </c>
      <c r="D634" s="211" t="str">
        <f>IF(COUNTBLANK('RNEW import'!K632)=1,"",'RNEW import'!K632)</f>
        <v>Regularizare Energie activa 1</v>
      </c>
      <c r="E634" s="211">
        <f>IF(COUNTBLANK('RNEW import'!L632)=1,"",'RNEW import'!N632)</f>
        <v>1563</v>
      </c>
      <c r="F634" s="211">
        <f>IF(COUNTBLANK('RNEW import'!M632)=1,"",'RNEW import'!O632/10000)</f>
        <v>0.59499999999999997</v>
      </c>
      <c r="G634" s="217">
        <f t="shared" si="174"/>
        <v>929.99</v>
      </c>
      <c r="H634" s="217">
        <f t="shared" si="167"/>
        <v>176.7</v>
      </c>
      <c r="I634" s="329">
        <f t="shared" si="175"/>
        <v>1106.69</v>
      </c>
      <c r="J634" s="237" t="str">
        <f t="shared" si="162"/>
        <v/>
      </c>
      <c r="K634" s="238" t="str">
        <f t="shared" si="163"/>
        <v/>
      </c>
      <c r="L634" s="238" t="str">
        <f t="shared" si="164"/>
        <v/>
      </c>
      <c r="M634" s="238" t="str">
        <f t="shared" si="165"/>
        <v/>
      </c>
      <c r="N634" s="238" t="str">
        <f t="shared" si="166"/>
        <v/>
      </c>
      <c r="O634" s="232" t="str">
        <f t="shared" si="176"/>
        <v/>
      </c>
      <c r="P634" s="219" t="str">
        <f t="shared" si="168"/>
        <v>Energie activa regularizare</v>
      </c>
      <c r="Q634" s="219">
        <f t="shared" si="169"/>
        <v>1563</v>
      </c>
      <c r="R634" s="219">
        <f t="shared" si="170"/>
        <v>0.85522100000000001</v>
      </c>
      <c r="S634" s="331">
        <f t="shared" si="171"/>
        <v>1336.71</v>
      </c>
      <c r="T634" s="331">
        <f t="shared" si="172"/>
        <v>253.98</v>
      </c>
      <c r="U634" s="331">
        <f t="shared" si="173"/>
        <v>1590.69</v>
      </c>
    </row>
    <row r="635" spans="1:21" ht="15.95" customHeight="1">
      <c r="A635" s="211">
        <f>IF(COUNTBLANK('RNEW import'!B633)=1,"",'RNEW import'!B633)</f>
        <v>20</v>
      </c>
      <c r="B635" s="211" t="str">
        <f>IF(COUNTBLANK('RNEW import'!D633)=1,"",'RNEW import'!D633)</f>
        <v>Severin Shopping Center SRL</v>
      </c>
      <c r="C635" s="211" t="str">
        <f>IF(COUNTBLANK('RNEW import'!E633)=1,"",'RNEW import'!E633)</f>
        <v>RSEV</v>
      </c>
      <c r="D635" s="211" t="str">
        <f>IF(COUNTBLANK('RNEW import'!K633)=1,"",'RNEW import'!K633)</f>
        <v>Regularizare Energie reactiva  1X</v>
      </c>
      <c r="E635" s="211">
        <f>IF(COUNTBLANK('RNEW import'!L633)=1,"",'RNEW import'!N633)</f>
        <v>3853</v>
      </c>
      <c r="F635" s="211">
        <f>IF(COUNTBLANK('RNEW import'!M633)=1,"",'RNEW import'!O633/10000)</f>
        <v>0.14649999999999999</v>
      </c>
      <c r="G635" s="217">
        <f t="shared" si="174"/>
        <v>564.46</v>
      </c>
      <c r="H635" s="217">
        <f t="shared" si="167"/>
        <v>107.25</v>
      </c>
      <c r="I635" s="329">
        <f t="shared" si="175"/>
        <v>671.71</v>
      </c>
      <c r="J635" s="237" t="str">
        <f t="shared" si="162"/>
        <v/>
      </c>
      <c r="K635" s="238" t="str">
        <f t="shared" si="163"/>
        <v/>
      </c>
      <c r="L635" s="238" t="str">
        <f t="shared" si="164"/>
        <v/>
      </c>
      <c r="M635" s="238" t="str">
        <f t="shared" si="165"/>
        <v/>
      </c>
      <c r="N635" s="238" t="str">
        <f t="shared" si="166"/>
        <v/>
      </c>
      <c r="O635" s="232" t="str">
        <f t="shared" si="176"/>
        <v/>
      </c>
      <c r="P635" s="219" t="str">
        <f t="shared" si="168"/>
        <v>Energie reactiva 1x regularizare</v>
      </c>
      <c r="Q635" s="219">
        <f t="shared" si="169"/>
        <v>3853</v>
      </c>
      <c r="R635" s="219">
        <f t="shared" si="170"/>
        <v>0.14649999999999999</v>
      </c>
      <c r="S635" s="331">
        <f t="shared" si="171"/>
        <v>564.46</v>
      </c>
      <c r="T635" s="331">
        <f t="shared" si="172"/>
        <v>107.25</v>
      </c>
      <c r="U635" s="331">
        <f t="shared" si="173"/>
        <v>671.71</v>
      </c>
    </row>
    <row r="636" spans="1:21" ht="15.95" customHeight="1">
      <c r="A636" s="211">
        <f>IF(COUNTBLANK('RNEW import'!B634)=1,"",'RNEW import'!B634)</f>
        <v>21</v>
      </c>
      <c r="B636" s="211" t="str">
        <f>IF(COUNTBLANK('RNEW import'!D634)=1,"",'RNEW import'!D634)</f>
        <v>Severin Shopping Center SRL</v>
      </c>
      <c r="C636" s="211" t="str">
        <f>IF(COUNTBLANK('RNEW import'!E634)=1,"",'RNEW import'!E634)</f>
        <v>RSEV</v>
      </c>
      <c r="D636" s="211" t="str">
        <f>IF(COUNTBLANK('RNEW import'!K634)=1,"",'RNEW import'!K634)</f>
        <v>Regularizare Energie reactiva  3X</v>
      </c>
      <c r="E636" s="211">
        <f>IF(COUNTBLANK('RNEW import'!L634)=1,"",'RNEW import'!N634)</f>
        <v>1893</v>
      </c>
      <c r="F636" s="211">
        <f>IF(COUNTBLANK('RNEW import'!M634)=1,"",'RNEW import'!O634/10000)</f>
        <v>0.4395</v>
      </c>
      <c r="G636" s="217">
        <f t="shared" si="174"/>
        <v>831.97</v>
      </c>
      <c r="H636" s="217">
        <f t="shared" si="167"/>
        <v>158.07</v>
      </c>
      <c r="I636" s="329">
        <f t="shared" si="175"/>
        <v>990.04</v>
      </c>
      <c r="J636" s="237" t="str">
        <f t="shared" si="162"/>
        <v/>
      </c>
      <c r="K636" s="238" t="str">
        <f t="shared" si="163"/>
        <v/>
      </c>
      <c r="L636" s="238" t="str">
        <f t="shared" si="164"/>
        <v/>
      </c>
      <c r="M636" s="238" t="str">
        <f t="shared" si="165"/>
        <v/>
      </c>
      <c r="N636" s="238" t="str">
        <f t="shared" si="166"/>
        <v/>
      </c>
      <c r="O636" s="232" t="str">
        <f t="shared" si="176"/>
        <v/>
      </c>
      <c r="P636" s="219" t="str">
        <f t="shared" si="168"/>
        <v>Energie reactiva 3x regularizare</v>
      </c>
      <c r="Q636" s="219">
        <f t="shared" si="169"/>
        <v>1893</v>
      </c>
      <c r="R636" s="219">
        <f t="shared" si="170"/>
        <v>0.4395</v>
      </c>
      <c r="S636" s="331">
        <f t="shared" si="171"/>
        <v>831.97</v>
      </c>
      <c r="T636" s="331">
        <f t="shared" si="172"/>
        <v>158.07</v>
      </c>
      <c r="U636" s="331">
        <f t="shared" si="173"/>
        <v>990.04</v>
      </c>
    </row>
    <row r="637" spans="1:21" ht="15.95" customHeight="1">
      <c r="A637" s="211">
        <f>IF(COUNTBLANK('RNEW import'!B635)=1,"",'RNEW import'!B635)</f>
        <v>22</v>
      </c>
      <c r="B637" s="211" t="str">
        <f>IF(COUNTBLANK('RNEW import'!D635)=1,"",'RNEW import'!D635)</f>
        <v>Severin Shopping Center SRL</v>
      </c>
      <c r="C637" s="211" t="str">
        <f>IF(COUNTBLANK('RNEW import'!E635)=1,"",'RNEW import'!E635)</f>
        <v>RSEV</v>
      </c>
      <c r="D637" s="211" t="str">
        <f>IF(COUNTBLANK('RNEW import'!K635)=1,"",'RNEW import'!K635)</f>
        <v>Regularizare Tarife distributie en. El IT+MT</v>
      </c>
      <c r="E637" s="211">
        <f>IF(COUNTBLANK('RNEW import'!L635)=1,"",'RNEW import'!N635)</f>
        <v>1563</v>
      </c>
      <c r="F637" s="211">
        <f>IF(COUNTBLANK('RNEW import'!M635)=1,"",'RNEW import'!O635/10000)</f>
        <v>0.13613999999999998</v>
      </c>
      <c r="G637" s="217">
        <f t="shared" si="174"/>
        <v>212.79</v>
      </c>
      <c r="H637" s="217">
        <f t="shared" si="167"/>
        <v>40.43</v>
      </c>
      <c r="I637" s="329">
        <f t="shared" si="175"/>
        <v>253.22</v>
      </c>
      <c r="J637" s="237" t="str">
        <f t="shared" si="162"/>
        <v/>
      </c>
      <c r="K637" s="238" t="str">
        <f t="shared" si="163"/>
        <v/>
      </c>
      <c r="L637" s="238" t="str">
        <f t="shared" si="164"/>
        <v/>
      </c>
      <c r="M637" s="238" t="str">
        <f t="shared" si="165"/>
        <v/>
      </c>
      <c r="N637" s="238" t="str">
        <f t="shared" si="166"/>
        <v/>
      </c>
      <c r="O637" s="232" t="str">
        <f t="shared" si="176"/>
        <v/>
      </c>
      <c r="P637" s="219" t="str">
        <f t="shared" si="168"/>
        <v/>
      </c>
      <c r="Q637" s="219" t="str">
        <f t="shared" si="169"/>
        <v/>
      </c>
      <c r="R637" s="219" t="str">
        <f t="shared" si="170"/>
        <v/>
      </c>
      <c r="S637" s="331" t="str">
        <f t="shared" si="171"/>
        <v/>
      </c>
      <c r="T637" s="331" t="str">
        <f t="shared" si="172"/>
        <v/>
      </c>
      <c r="U637" s="331" t="str">
        <f t="shared" si="173"/>
        <v/>
      </c>
    </row>
    <row r="638" spans="1:21" ht="15.95" customHeight="1">
      <c r="A638" s="211">
        <f>IF(COUNTBLANK('RNEW import'!B636)=1,"",'RNEW import'!B636)</f>
        <v>23</v>
      </c>
      <c r="B638" s="211" t="str">
        <f>IF(COUNTBLANK('RNEW import'!D636)=1,"",'RNEW import'!D636)</f>
        <v>Severin Shopping Center SRL</v>
      </c>
      <c r="C638" s="211" t="str">
        <f>IF(COUNTBLANK('RNEW import'!E636)=1,"",'RNEW import'!E636)</f>
        <v>RSEV</v>
      </c>
      <c r="D638" s="211" t="str">
        <f>IF(COUNTBLANK('RNEW import'!K636)=1,"",'RNEW import'!K636)</f>
        <v>Regularizare Tarife distributie en. El JT</v>
      </c>
      <c r="E638" s="211">
        <f>IF(COUNTBLANK('RNEW import'!L636)=1,"",'RNEW import'!N636)</f>
        <v>0</v>
      </c>
      <c r="F638" s="211">
        <f>IF(COUNTBLANK('RNEW import'!M636)=1,"",'RNEW import'!O636/10000)</f>
        <v>0.22738999999999995</v>
      </c>
      <c r="G638" s="217">
        <f t="shared" si="174"/>
        <v>0</v>
      </c>
      <c r="H638" s="217">
        <f t="shared" si="167"/>
        <v>0</v>
      </c>
      <c r="I638" s="329">
        <f t="shared" si="175"/>
        <v>0</v>
      </c>
      <c r="J638" s="237" t="str">
        <f t="shared" si="162"/>
        <v/>
      </c>
      <c r="K638" s="238" t="str">
        <f t="shared" si="163"/>
        <v/>
      </c>
      <c r="L638" s="238" t="str">
        <f t="shared" si="164"/>
        <v/>
      </c>
      <c r="M638" s="238" t="str">
        <f t="shared" si="165"/>
        <v/>
      </c>
      <c r="N638" s="238" t="str">
        <f t="shared" si="166"/>
        <v/>
      </c>
      <c r="O638" s="232" t="str">
        <f t="shared" si="176"/>
        <v/>
      </c>
      <c r="P638" s="219" t="str">
        <f t="shared" si="168"/>
        <v/>
      </c>
      <c r="Q638" s="219" t="str">
        <f t="shared" si="169"/>
        <v/>
      </c>
      <c r="R638" s="219" t="str">
        <f t="shared" si="170"/>
        <v/>
      </c>
      <c r="S638" s="331" t="str">
        <f t="shared" si="171"/>
        <v/>
      </c>
      <c r="T638" s="331" t="str">
        <f t="shared" si="172"/>
        <v/>
      </c>
      <c r="U638" s="331" t="str">
        <f t="shared" si="173"/>
        <v/>
      </c>
    </row>
    <row r="639" spans="1:21" ht="15.95" customHeight="1">
      <c r="A639" s="211">
        <f>IF(COUNTBLANK('RNEW import'!B637)=1,"",'RNEW import'!B637)</f>
        <v>24</v>
      </c>
      <c r="B639" s="211" t="str">
        <f>IF(COUNTBLANK('RNEW import'!D637)=1,"",'RNEW import'!D637)</f>
        <v>Severin Shopping Center SRL</v>
      </c>
      <c r="C639" s="211" t="str">
        <f>IF(COUNTBLANK('RNEW import'!E637)=1,"",'RNEW import'!E637)</f>
        <v>RSEV</v>
      </c>
      <c r="D639" s="211" t="str">
        <f>IF(COUNTBLANK('RNEW import'!K637)=1,"",'RNEW import'!K637)</f>
        <v xml:space="preserve">Regularizare Servicii Sistem </v>
      </c>
      <c r="E639" s="211">
        <f>IF(COUNTBLANK('RNEW import'!L637)=1,"",'RNEW import'!N637)</f>
        <v>1563</v>
      </c>
      <c r="F639" s="211">
        <f>IF(COUNTBLANK('RNEW import'!M637)=1,"",'RNEW import'!O637/10000)</f>
        <v>1.1509999999999999E-2</v>
      </c>
      <c r="G639" s="217">
        <f t="shared" si="174"/>
        <v>17.989999999999998</v>
      </c>
      <c r="H639" s="217">
        <f t="shared" si="167"/>
        <v>3.42</v>
      </c>
      <c r="I639" s="329">
        <f t="shared" si="175"/>
        <v>21.409999999999997</v>
      </c>
      <c r="J639" s="237" t="str">
        <f t="shared" si="162"/>
        <v/>
      </c>
      <c r="K639" s="238" t="str">
        <f t="shared" si="163"/>
        <v/>
      </c>
      <c r="L639" s="238" t="str">
        <f t="shared" si="164"/>
        <v/>
      </c>
      <c r="M639" s="238" t="str">
        <f t="shared" si="165"/>
        <v/>
      </c>
      <c r="N639" s="238" t="str">
        <f t="shared" si="166"/>
        <v/>
      </c>
      <c r="O639" s="232" t="str">
        <f t="shared" si="176"/>
        <v/>
      </c>
      <c r="P639" s="219" t="str">
        <f t="shared" si="168"/>
        <v/>
      </c>
      <c r="Q639" s="219" t="str">
        <f t="shared" si="169"/>
        <v/>
      </c>
      <c r="R639" s="219" t="str">
        <f t="shared" si="170"/>
        <v/>
      </c>
      <c r="S639" s="331" t="str">
        <f t="shared" si="171"/>
        <v/>
      </c>
      <c r="T639" s="331" t="str">
        <f t="shared" si="172"/>
        <v/>
      </c>
      <c r="U639" s="331" t="str">
        <f t="shared" si="173"/>
        <v/>
      </c>
    </row>
    <row r="640" spans="1:21" ht="15.95" customHeight="1">
      <c r="A640" s="211">
        <f>IF(COUNTBLANK('RNEW import'!B638)=1,"",'RNEW import'!B638)</f>
        <v>25</v>
      </c>
      <c r="B640" s="211" t="str">
        <f>IF(COUNTBLANK('RNEW import'!D638)=1,"",'RNEW import'!D638)</f>
        <v>Severin Shopping Center SRL</v>
      </c>
      <c r="C640" s="211" t="str">
        <f>IF(COUNTBLANK('RNEW import'!E638)=1,"",'RNEW import'!E638)</f>
        <v>RSEV</v>
      </c>
      <c r="D640" s="211" t="str">
        <f>IF(COUNTBLANK('RNEW import'!K638)=1,"",'RNEW import'!K638)</f>
        <v>Regularizare Tarif de introducere en. el in retea (TL)</v>
      </c>
      <c r="E640" s="211">
        <f>IF(COUNTBLANK('RNEW import'!L638)=1,"",'RNEW import'!N638)</f>
        <v>1563</v>
      </c>
      <c r="F640" s="211">
        <f>IF(COUNTBLANK('RNEW import'!M638)=1,"",'RNEW import'!O638/10000)</f>
        <v>3.3030000000000004E-2</v>
      </c>
      <c r="G640" s="217">
        <f t="shared" si="174"/>
        <v>51.63</v>
      </c>
      <c r="H640" s="217">
        <f t="shared" si="167"/>
        <v>9.81</v>
      </c>
      <c r="I640" s="329">
        <f t="shared" si="175"/>
        <v>61.440000000000005</v>
      </c>
      <c r="J640" s="237" t="str">
        <f t="shared" si="162"/>
        <v/>
      </c>
      <c r="K640" s="238" t="str">
        <f t="shared" si="163"/>
        <v/>
      </c>
      <c r="L640" s="238" t="str">
        <f t="shared" si="164"/>
        <v/>
      </c>
      <c r="M640" s="238" t="str">
        <f t="shared" si="165"/>
        <v/>
      </c>
      <c r="N640" s="238" t="str">
        <f t="shared" si="166"/>
        <v/>
      </c>
      <c r="O640" s="232" t="str">
        <f t="shared" si="176"/>
        <v/>
      </c>
      <c r="P640" s="219" t="str">
        <f t="shared" si="168"/>
        <v/>
      </c>
      <c r="Q640" s="219" t="str">
        <f t="shared" si="169"/>
        <v/>
      </c>
      <c r="R640" s="219" t="str">
        <f t="shared" si="170"/>
        <v/>
      </c>
      <c r="S640" s="331" t="str">
        <f t="shared" si="171"/>
        <v/>
      </c>
      <c r="T640" s="331" t="str">
        <f t="shared" si="172"/>
        <v/>
      </c>
      <c r="U640" s="331" t="str">
        <f t="shared" si="173"/>
        <v/>
      </c>
    </row>
    <row r="641" spans="1:21" ht="15.95" customHeight="1">
      <c r="A641" s="211">
        <f>IF(COUNTBLANK('RNEW import'!B639)=1,"",'RNEW import'!B639)</f>
        <v>26</v>
      </c>
      <c r="B641" s="211" t="str">
        <f>IF(COUNTBLANK('RNEW import'!D639)=1,"",'RNEW import'!D639)</f>
        <v>Severin Shopping Center SRL</v>
      </c>
      <c r="C641" s="211" t="str">
        <f>IF(COUNTBLANK('RNEW import'!E639)=1,"",'RNEW import'!E639)</f>
        <v>RSEV</v>
      </c>
      <c r="D641" s="211" t="str">
        <f>IF(COUNTBLANK('RNEW import'!K639)=1,"",'RNEW import'!K639)</f>
        <v>Regularizare Tarif de introducere en.el in retea (TG)</v>
      </c>
      <c r="E641" s="211">
        <f>IF(COUNTBLANK('RNEW import'!L639)=1,"",'RNEW import'!N639)</f>
        <v>1563</v>
      </c>
      <c r="F641" s="211">
        <f>IF(COUNTBLANK('RNEW import'!M639)=1,"",'RNEW import'!O639/10000)</f>
        <v>3.29E-3</v>
      </c>
      <c r="G641" s="217">
        <f t="shared" si="174"/>
        <v>5.14</v>
      </c>
      <c r="H641" s="217">
        <f t="shared" si="167"/>
        <v>0.98</v>
      </c>
      <c r="I641" s="329">
        <f t="shared" si="175"/>
        <v>6.1199999999999992</v>
      </c>
      <c r="J641" s="237" t="str">
        <f t="shared" si="162"/>
        <v/>
      </c>
      <c r="K641" s="238" t="str">
        <f t="shared" si="163"/>
        <v/>
      </c>
      <c r="L641" s="238" t="str">
        <f t="shared" si="164"/>
        <v/>
      </c>
      <c r="M641" s="238" t="str">
        <f t="shared" si="165"/>
        <v/>
      </c>
      <c r="N641" s="238" t="str">
        <f t="shared" si="166"/>
        <v/>
      </c>
      <c r="O641" s="232" t="str">
        <f t="shared" si="176"/>
        <v/>
      </c>
      <c r="P641" s="219" t="str">
        <f t="shared" si="168"/>
        <v/>
      </c>
      <c r="Q641" s="219" t="str">
        <f t="shared" si="169"/>
        <v/>
      </c>
      <c r="R641" s="219" t="str">
        <f t="shared" si="170"/>
        <v/>
      </c>
      <c r="S641" s="331" t="str">
        <f t="shared" si="171"/>
        <v/>
      </c>
      <c r="T641" s="331" t="str">
        <f t="shared" si="172"/>
        <v/>
      </c>
      <c r="U641" s="331" t="str">
        <f t="shared" si="173"/>
        <v/>
      </c>
    </row>
    <row r="642" spans="1:21" ht="15.95" customHeight="1">
      <c r="A642" s="211">
        <f>IF(COUNTBLANK('RNEW import'!B640)=1,"",'RNEW import'!B640)</f>
        <v>27</v>
      </c>
      <c r="B642" s="211" t="str">
        <f>IF(COUNTBLANK('RNEW import'!D640)=1,"",'RNEW import'!D640)</f>
        <v>Severin Shopping Center SRL</v>
      </c>
      <c r="C642" s="211" t="str">
        <f>IF(COUNTBLANK('RNEW import'!E640)=1,"",'RNEW import'!E640)</f>
        <v>RSEV</v>
      </c>
      <c r="D642" s="211" t="str">
        <f>IF(COUNTBLANK('RNEW import'!K640)=1,"",'RNEW import'!K640)</f>
        <v>Regularizare Contributie pentru cogenerare</v>
      </c>
      <c r="E642" s="211">
        <f>IF(COUNTBLANK('RNEW import'!L640)=1,"",'RNEW import'!N640)</f>
        <v>1563</v>
      </c>
      <c r="F642" s="211">
        <f>IF(COUNTBLANK('RNEW import'!M640)=1,"",'RNEW import'!O640/10000)</f>
        <v>3.5000000000000001E-3</v>
      </c>
      <c r="G642" s="217">
        <f t="shared" si="174"/>
        <v>5.47</v>
      </c>
      <c r="H642" s="217">
        <f t="shared" si="167"/>
        <v>1.04</v>
      </c>
      <c r="I642" s="329">
        <f t="shared" si="175"/>
        <v>6.51</v>
      </c>
      <c r="J642" s="237" t="str">
        <f t="shared" si="162"/>
        <v/>
      </c>
      <c r="K642" s="238" t="str">
        <f t="shared" si="163"/>
        <v/>
      </c>
      <c r="L642" s="238" t="str">
        <f t="shared" si="164"/>
        <v/>
      </c>
      <c r="M642" s="238" t="str">
        <f t="shared" si="165"/>
        <v/>
      </c>
      <c r="N642" s="238" t="str">
        <f t="shared" si="166"/>
        <v/>
      </c>
      <c r="O642" s="232" t="str">
        <f t="shared" si="176"/>
        <v/>
      </c>
      <c r="P642" s="219" t="str">
        <f t="shared" si="168"/>
        <v/>
      </c>
      <c r="Q642" s="219" t="str">
        <f t="shared" si="169"/>
        <v/>
      </c>
      <c r="R642" s="219" t="str">
        <f t="shared" si="170"/>
        <v/>
      </c>
      <c r="S642" s="331" t="str">
        <f t="shared" si="171"/>
        <v/>
      </c>
      <c r="T642" s="331" t="str">
        <f t="shared" si="172"/>
        <v/>
      </c>
      <c r="U642" s="331" t="str">
        <f t="shared" si="173"/>
        <v/>
      </c>
    </row>
    <row r="643" spans="1:21" ht="15.95" customHeight="1">
      <c r="A643" s="211">
        <f>IF(COUNTBLANK('RNEW import'!B641)=1,"",'RNEW import'!B641)</f>
        <v>28</v>
      </c>
      <c r="B643" s="211" t="str">
        <f>IF(COUNTBLANK('RNEW import'!D641)=1,"",'RNEW import'!D641)</f>
        <v>Severin Shopping Center SRL</v>
      </c>
      <c r="C643" s="211" t="str">
        <f>IF(COUNTBLANK('RNEW import'!E641)=1,"",'RNEW import'!E641)</f>
        <v>RSEV</v>
      </c>
      <c r="D643" s="211" t="str">
        <f>IF(COUNTBLANK('RNEW import'!K641)=1,"",'RNEW import'!K641)</f>
        <v xml:space="preserve">Regularizare Certificate verzi </v>
      </c>
      <c r="E643" s="211">
        <f>IF(COUNTBLANK('RNEW import'!L641)=1,"",'RNEW import'!N641)</f>
        <v>1563</v>
      </c>
      <c r="F643" s="211">
        <f>IF(COUNTBLANK('RNEW import'!M641)=1,"",'RNEW import'!O641/10000)</f>
        <v>7.2541599999999998E-2</v>
      </c>
      <c r="G643" s="217">
        <f t="shared" si="174"/>
        <v>113.38</v>
      </c>
      <c r="H643" s="217">
        <f t="shared" si="167"/>
        <v>21.54</v>
      </c>
      <c r="I643" s="329">
        <f t="shared" si="175"/>
        <v>134.91999999999999</v>
      </c>
      <c r="J643" s="237" t="str">
        <f t="shared" si="162"/>
        <v/>
      </c>
      <c r="K643" s="238" t="str">
        <f t="shared" si="163"/>
        <v/>
      </c>
      <c r="L643" s="238" t="str">
        <f t="shared" si="164"/>
        <v/>
      </c>
      <c r="M643" s="238" t="str">
        <f t="shared" si="165"/>
        <v/>
      </c>
      <c r="N643" s="238" t="str">
        <f t="shared" si="166"/>
        <v/>
      </c>
      <c r="O643" s="232" t="str">
        <f t="shared" si="176"/>
        <v/>
      </c>
      <c r="P643" s="219" t="str">
        <f t="shared" si="168"/>
        <v/>
      </c>
      <c r="Q643" s="219" t="str">
        <f t="shared" si="169"/>
        <v/>
      </c>
      <c r="R643" s="219" t="str">
        <f t="shared" si="170"/>
        <v/>
      </c>
      <c r="S643" s="331" t="str">
        <f t="shared" si="171"/>
        <v/>
      </c>
      <c r="T643" s="331" t="str">
        <f t="shared" si="172"/>
        <v/>
      </c>
      <c r="U643" s="331" t="str">
        <f t="shared" si="173"/>
        <v/>
      </c>
    </row>
    <row r="644" spans="1:21" ht="15.95" customHeight="1">
      <c r="A644" s="211">
        <f>IF(COUNTBLANK('RNEW import'!B642)=1,"",'RNEW import'!B642)</f>
        <v>29</v>
      </c>
      <c r="B644" s="211" t="str">
        <f>IF(COUNTBLANK('RNEW import'!D642)=1,"",'RNEW import'!D642)</f>
        <v>Severin Shopping Center SRL</v>
      </c>
      <c r="C644" s="211" t="str">
        <f>IF(COUNTBLANK('RNEW import'!E642)=1,"",'RNEW import'!E642)</f>
        <v>RSEV</v>
      </c>
      <c r="D644" s="211" t="str">
        <f>IF(COUNTBLANK('RNEW import'!K642)=1,"",'RNEW import'!K642)</f>
        <v>Regularizare Contributie CFD</v>
      </c>
      <c r="E644" s="211">
        <f>IF(COUNTBLANK('RNEW import'!L642)=1,"",'RNEW import'!N642)</f>
        <v>1563</v>
      </c>
      <c r="F644" s="211">
        <f>IF(COUNTBLANK('RNEW import'!M642)=1,"",'RNEW import'!O642/10000)</f>
        <v>2.0599999999999999E-4</v>
      </c>
      <c r="G644" s="217">
        <f t="shared" si="174"/>
        <v>0.32</v>
      </c>
      <c r="H644" s="217">
        <f t="shared" si="167"/>
        <v>0.06</v>
      </c>
      <c r="I644" s="329">
        <f t="shared" si="175"/>
        <v>0.38</v>
      </c>
      <c r="J644" s="237" t="str">
        <f t="shared" ref="J644:J707" si="177">IF(A644=1,B644,"")</f>
        <v/>
      </c>
      <c r="K644" s="238" t="str">
        <f t="shared" ref="K644:K707" si="178">IF(COUNTBLANK(J644)=1,"",IF(A644=1,SUMIFS(G:G,$C:$C,C644,$A:$A,"=13")+SUMIFS(G:G,$C:$C,C644,$A:$A,"=14")+SUMIFS(G:G,$C:$C,C644,$A:$A,"=17")+SUMIFS(G:G,$C:$C,C644,$A:$A,"=18")+SUMIFS(G:G,$C:$C,C644,$A:$A,"=31")+SUMIFS(G:G,$C:$C,C644,$A:$A,"=32")+SUMIFS(G:G,$C:$C,C644,$A:$A,"=35")+SUMIFS(G:G,$C:$C,C644,$A:$A,"=36"),""))</f>
        <v/>
      </c>
      <c r="L644" s="238" t="str">
        <f t="shared" ref="L644:L707" si="179">IF(COUNTBLANK(J644)=1,"",IF(A644=1,SUMIFS(G:G,$C:$C,C644,$A:$A,"&lt;13")+SUMIFS(G:G,$C:$C,C644,$A:$A,"&gt;18",$A:$A,"&lt;31")))</f>
        <v/>
      </c>
      <c r="M644" s="238" t="str">
        <f t="shared" ref="M644:M707" si="180">IF(COUNTBLANK(J644)=1,"",IF(A644=1,SUMIFS(G:G,$C:$C,C644,$A:$A,"=15")+SUMIFS(G:G,$C:$C,C644,$A:$A,"=16")+SUMIFS(G:G,$C:$C,C644,$A:$A,"=33")+SUMIFS(G:G,$C:$C,C644,$A:$A,"=34"),""))</f>
        <v/>
      </c>
      <c r="N644" s="238" t="str">
        <f t="shared" ref="N644:N707" si="181">IF(COUNTBLANK(J644)=1,"",IF(A644=1,SUMIFS(E:E,$C:$C,C644,$A:$A,"=13")+SUMIFS(E:E,$C:$C,C644,$A:$A,"=17")+SUMIFS(E:E,$C:$C,C644,$A:$A,"=31")+SUMIFS(E:E,$C:$C,C644,$A:$A,"=35"),""))</f>
        <v/>
      </c>
      <c r="O644" s="232" t="str">
        <f t="shared" si="176"/>
        <v/>
      </c>
      <c r="P644" s="219" t="str">
        <f t="shared" si="168"/>
        <v/>
      </c>
      <c r="Q644" s="219" t="str">
        <f t="shared" si="169"/>
        <v/>
      </c>
      <c r="R644" s="219" t="str">
        <f t="shared" si="170"/>
        <v/>
      </c>
      <c r="S644" s="331" t="str">
        <f t="shared" si="171"/>
        <v/>
      </c>
      <c r="T644" s="331" t="str">
        <f t="shared" si="172"/>
        <v/>
      </c>
      <c r="U644" s="331" t="str">
        <f t="shared" si="173"/>
        <v/>
      </c>
    </row>
    <row r="645" spans="1:21" ht="15.95" customHeight="1">
      <c r="A645" s="211">
        <f>IF(COUNTBLANK('RNEW import'!B643)=1,"",'RNEW import'!B643)</f>
        <v>30</v>
      </c>
      <c r="B645" s="211" t="str">
        <f>IF(COUNTBLANK('RNEW import'!D643)=1,"",'RNEW import'!D643)</f>
        <v>Severin Shopping Center SRL</v>
      </c>
      <c r="C645" s="211" t="str">
        <f>IF(COUNTBLANK('RNEW import'!E643)=1,"",'RNEW import'!E643)</f>
        <v>RSEV</v>
      </c>
      <c r="D645" s="211" t="str">
        <f>IF(COUNTBLANK('RNEW import'!K643)=1,"",'RNEW import'!K643)</f>
        <v>Regularizare Acciza</v>
      </c>
      <c r="E645" s="211">
        <f>IF(COUNTBLANK('RNEW import'!L643)=1,"",'RNEW import'!N643)</f>
        <v>1563</v>
      </c>
      <c r="F645" s="211">
        <f>IF(COUNTBLANK('RNEW import'!M643)=1,"",'RNEW import'!O643/10000)</f>
        <v>0</v>
      </c>
      <c r="G645" s="217">
        <f t="shared" si="174"/>
        <v>0</v>
      </c>
      <c r="H645" s="217">
        <f t="shared" ref="H645:H708" si="182">ROUND(G645*19%,2)</f>
        <v>0</v>
      </c>
      <c r="I645" s="329">
        <f t="shared" si="175"/>
        <v>0</v>
      </c>
      <c r="J645" s="237" t="str">
        <f t="shared" si="177"/>
        <v/>
      </c>
      <c r="K645" s="238" t="str">
        <f t="shared" si="178"/>
        <v/>
      </c>
      <c r="L645" s="238" t="str">
        <f t="shared" si="179"/>
        <v/>
      </c>
      <c r="M645" s="238" t="str">
        <f t="shared" si="180"/>
        <v/>
      </c>
      <c r="N645" s="238" t="str">
        <f t="shared" si="181"/>
        <v/>
      </c>
      <c r="O645" s="232" t="str">
        <f t="shared" si="176"/>
        <v/>
      </c>
      <c r="P645" s="219" t="str">
        <f t="shared" ref="P645:P708" si="183">IF(A645=1,"Enegie activa",IF(OR(A645=18),"Energie consumata din PV",IF(OR(A645=2),"Energie reactiva 1x",IF(OR(A645=3),"Energie reactiva 3x",IF(A645=19,"Energie activa regularizare",IF(OR(A645=36),"Energie consumata din PV regularizare",IF(OR(A645=20),"Energie reactiva 1x regularizare",IF(OR(A645=21),"Energie reactiva 3x regularizare",""))))))))</f>
        <v/>
      </c>
      <c r="Q645" s="219" t="str">
        <f t="shared" ref="Q645:Q708" si="184">IF(COUNTBLANK(P645)=0,IF(OR(A645=1,A645=2,A645=3,A645=19,A645=20,A645=21),E645,IF(OR(A645=18,A645=36),E642+E643,"")),"")</f>
        <v/>
      </c>
      <c r="R645" s="219" t="str">
        <f t="shared" ref="R645:R708" si="185">IF(COUNTBLANK(P645)=1,"",IF(OR(A645=2,A645=3,A645=20,A645=21),F645,IF(Q645=0,0,ROUND(S645/Q645,6))))</f>
        <v/>
      </c>
      <c r="S645" s="331" t="str">
        <f t="shared" si="171"/>
        <v/>
      </c>
      <c r="T645" s="331" t="str">
        <f t="shared" si="172"/>
        <v/>
      </c>
      <c r="U645" s="331" t="str">
        <f t="shared" si="173"/>
        <v/>
      </c>
    </row>
    <row r="646" spans="1:21" ht="15.95" customHeight="1">
      <c r="A646" s="211">
        <f>IF(COUNTBLANK('RNEW import'!B644)=1,"",'RNEW import'!B644)</f>
        <v>31</v>
      </c>
      <c r="B646" s="211" t="str">
        <f>IF(COUNTBLANK('RNEW import'!D644)=1,"",'RNEW import'!D644)</f>
        <v>Severin Shopping Center SRL</v>
      </c>
      <c r="C646" s="211" t="str">
        <f>IF(COUNTBLANK('RNEW import'!E644)=1,"",'RNEW import'!E644)</f>
        <v>RSEV</v>
      </c>
      <c r="D646" s="211" t="str">
        <f>IF(COUNTBLANK('RNEW import'!K644)=1,"",'RNEW import'!K644)</f>
        <v>Regularizare Tarif distributie SDI MT Ea1</v>
      </c>
      <c r="E646" s="211">
        <f>IF(COUNTBLANK('RNEW import'!L644)=1,"",'RNEW import'!N644)</f>
        <v>0</v>
      </c>
      <c r="F646" s="211">
        <f>IF(COUNTBLANK('RNEW import'!M644)=1,"",'RNEW import'!O644/10000)</f>
        <v>1.7000000000000001E-2</v>
      </c>
      <c r="G646" s="217">
        <f t="shared" si="174"/>
        <v>0</v>
      </c>
      <c r="H646" s="217">
        <f t="shared" si="182"/>
        <v>0</v>
      </c>
      <c r="I646" s="329">
        <f t="shared" si="175"/>
        <v>0</v>
      </c>
      <c r="J646" s="237" t="str">
        <f t="shared" si="177"/>
        <v/>
      </c>
      <c r="K646" s="238" t="str">
        <f t="shared" si="178"/>
        <v/>
      </c>
      <c r="L646" s="238" t="str">
        <f t="shared" si="179"/>
        <v/>
      </c>
      <c r="M646" s="238" t="str">
        <f t="shared" si="180"/>
        <v/>
      </c>
      <c r="N646" s="238" t="str">
        <f t="shared" si="181"/>
        <v/>
      </c>
      <c r="O646" s="232" t="str">
        <f t="shared" si="176"/>
        <v/>
      </c>
      <c r="P646" s="219" t="str">
        <f t="shared" si="183"/>
        <v/>
      </c>
      <c r="Q646" s="219" t="str">
        <f t="shared" si="184"/>
        <v/>
      </c>
      <c r="R646" s="219" t="str">
        <f t="shared" si="185"/>
        <v/>
      </c>
      <c r="S646" s="331" t="str">
        <f t="shared" si="171"/>
        <v/>
      </c>
      <c r="T646" s="331" t="str">
        <f t="shared" si="172"/>
        <v/>
      </c>
      <c r="U646" s="331" t="str">
        <f t="shared" si="173"/>
        <v/>
      </c>
    </row>
    <row r="647" spans="1:21" ht="15.95" customHeight="1">
      <c r="A647" s="211">
        <f>IF(COUNTBLANK('RNEW import'!B645)=1,"",'RNEW import'!B645)</f>
        <v>32</v>
      </c>
      <c r="B647" s="211" t="str">
        <f>IF(COUNTBLANK('RNEW import'!D645)=1,"",'RNEW import'!D645)</f>
        <v>Severin Shopping Center SRL</v>
      </c>
      <c r="C647" s="211" t="str">
        <f>IF(COUNTBLANK('RNEW import'!E645)=1,"",'RNEW import'!E645)</f>
        <v>RSEV</v>
      </c>
      <c r="D647" s="211" t="str">
        <f>IF(COUNTBLANK('RNEW import'!K645)=1,"",'RNEW import'!K645)</f>
        <v>Regularizare Tarif distributie SDI JT Ea1</v>
      </c>
      <c r="E647" s="211">
        <f>IF(COUNTBLANK('RNEW import'!L645)=1,"",'RNEW import'!N645)</f>
        <v>0</v>
      </c>
      <c r="F647" s="211">
        <f>IF(COUNTBLANK('RNEW import'!M645)=1,"",'RNEW import'!O645/10000)</f>
        <v>0.10290000000000001</v>
      </c>
      <c r="G647" s="217">
        <f t="shared" si="174"/>
        <v>0</v>
      </c>
      <c r="H647" s="217">
        <f t="shared" si="182"/>
        <v>0</v>
      </c>
      <c r="I647" s="329">
        <f t="shared" si="175"/>
        <v>0</v>
      </c>
      <c r="J647" s="237" t="str">
        <f t="shared" si="177"/>
        <v/>
      </c>
      <c r="K647" s="238" t="str">
        <f t="shared" si="178"/>
        <v/>
      </c>
      <c r="L647" s="238" t="str">
        <f t="shared" si="179"/>
        <v/>
      </c>
      <c r="M647" s="238" t="str">
        <f t="shared" si="180"/>
        <v/>
      </c>
      <c r="N647" s="238" t="str">
        <f t="shared" si="181"/>
        <v/>
      </c>
      <c r="O647" s="232" t="str">
        <f t="shared" si="176"/>
        <v/>
      </c>
      <c r="P647" s="219" t="str">
        <f t="shared" si="183"/>
        <v/>
      </c>
      <c r="Q647" s="219" t="str">
        <f t="shared" si="184"/>
        <v/>
      </c>
      <c r="R647" s="219" t="str">
        <f t="shared" si="185"/>
        <v/>
      </c>
      <c r="S647" s="331" t="str">
        <f t="shared" si="171"/>
        <v/>
      </c>
      <c r="T647" s="331" t="str">
        <f t="shared" si="172"/>
        <v/>
      </c>
      <c r="U647" s="331" t="str">
        <f t="shared" si="173"/>
        <v/>
      </c>
    </row>
    <row r="648" spans="1:21" ht="15.95" customHeight="1">
      <c r="A648" s="211">
        <f>IF(COUNTBLANK('RNEW import'!B646)=1,"",'RNEW import'!B646)</f>
        <v>33</v>
      </c>
      <c r="B648" s="211" t="str">
        <f>IF(COUNTBLANK('RNEW import'!D646)=1,"",'RNEW import'!D646)</f>
        <v>Severin Shopping Center SRL</v>
      </c>
      <c r="C648" s="211" t="str">
        <f>IF(COUNTBLANK('RNEW import'!E646)=1,"",'RNEW import'!E646)</f>
        <v>RSEV</v>
      </c>
      <c r="D648" s="211" t="str">
        <f>IF(COUNTBLANK('RNEW import'!K646)=1,"",'RNEW import'!K646)</f>
        <v>Regularizare Energie activa 2</v>
      </c>
      <c r="E648" s="211">
        <f>IF(COUNTBLANK('RNEW import'!L646)=1,"",'RNEW import'!N646)</f>
        <v>0</v>
      </c>
      <c r="F648" s="211">
        <f>IF(COUNTBLANK('RNEW import'!M646)=1,"",'RNEW import'!O646/10000)</f>
        <v>0.97511759999999992</v>
      </c>
      <c r="G648" s="217">
        <f t="shared" si="174"/>
        <v>0</v>
      </c>
      <c r="H648" s="217">
        <f t="shared" si="182"/>
        <v>0</v>
      </c>
      <c r="I648" s="329">
        <f t="shared" si="175"/>
        <v>0</v>
      </c>
      <c r="J648" s="237" t="str">
        <f t="shared" si="177"/>
        <v/>
      </c>
      <c r="K648" s="238" t="str">
        <f t="shared" si="178"/>
        <v/>
      </c>
      <c r="L648" s="238" t="str">
        <f t="shared" si="179"/>
        <v/>
      </c>
      <c r="M648" s="238" t="str">
        <f t="shared" si="180"/>
        <v/>
      </c>
      <c r="N648" s="238" t="str">
        <f t="shared" si="181"/>
        <v/>
      </c>
      <c r="O648" s="232" t="str">
        <f t="shared" si="176"/>
        <v/>
      </c>
      <c r="P648" s="219" t="str">
        <f t="shared" si="183"/>
        <v/>
      </c>
      <c r="Q648" s="219" t="str">
        <f t="shared" si="184"/>
        <v/>
      </c>
      <c r="R648" s="219" t="str">
        <f t="shared" si="185"/>
        <v/>
      </c>
      <c r="S648" s="331" t="str">
        <f t="shared" si="171"/>
        <v/>
      </c>
      <c r="T648" s="331" t="str">
        <f t="shared" si="172"/>
        <v/>
      </c>
      <c r="U648" s="331" t="str">
        <f t="shared" si="173"/>
        <v/>
      </c>
    </row>
    <row r="649" spans="1:21" ht="15.95" customHeight="1">
      <c r="A649" s="211">
        <f>IF(COUNTBLANK('RNEW import'!B647)=1,"",'RNEW import'!B647)</f>
        <v>34</v>
      </c>
      <c r="B649" s="211" t="str">
        <f>IF(COUNTBLANK('RNEW import'!D647)=1,"",'RNEW import'!D647)</f>
        <v>Severin Shopping Center SRL</v>
      </c>
      <c r="C649" s="211" t="str">
        <f>IF(COUNTBLANK('RNEW import'!E647)=1,"",'RNEW import'!E647)</f>
        <v>RSEV</v>
      </c>
      <c r="D649" s="211" t="str">
        <f>IF(COUNTBLANK('RNEW import'!K647)=1,"",'RNEW import'!K647)</f>
        <v>Regularizare Energie activa 3</v>
      </c>
      <c r="E649" s="211">
        <f>IF(COUNTBLANK('RNEW import'!L647)=1,"",'RNEW import'!N647)</f>
        <v>0</v>
      </c>
      <c r="F649" s="211">
        <f>IF(COUNTBLANK('RNEW import'!M647)=1,"",'RNEW import'!O647/10000)</f>
        <v>0.85521759999999991</v>
      </c>
      <c r="G649" s="217">
        <f t="shared" si="174"/>
        <v>0</v>
      </c>
      <c r="H649" s="217">
        <f t="shared" si="182"/>
        <v>0</v>
      </c>
      <c r="I649" s="329">
        <f t="shared" si="175"/>
        <v>0</v>
      </c>
      <c r="J649" s="237" t="str">
        <f t="shared" si="177"/>
        <v/>
      </c>
      <c r="K649" s="238" t="str">
        <f t="shared" si="178"/>
        <v/>
      </c>
      <c r="L649" s="238" t="str">
        <f t="shared" si="179"/>
        <v/>
      </c>
      <c r="M649" s="238" t="str">
        <f t="shared" si="180"/>
        <v/>
      </c>
      <c r="N649" s="238" t="str">
        <f t="shared" si="181"/>
        <v/>
      </c>
      <c r="O649" s="233" t="str">
        <f t="shared" si="176"/>
        <v/>
      </c>
      <c r="P649" s="219" t="str">
        <f t="shared" si="183"/>
        <v/>
      </c>
      <c r="Q649" s="219" t="str">
        <f t="shared" si="184"/>
        <v/>
      </c>
      <c r="R649" s="219" t="str">
        <f t="shared" si="185"/>
        <v/>
      </c>
      <c r="S649" s="331" t="str">
        <f t="shared" si="171"/>
        <v/>
      </c>
      <c r="T649" s="331" t="str">
        <f t="shared" si="172"/>
        <v/>
      </c>
      <c r="U649" s="331" t="str">
        <f t="shared" si="173"/>
        <v/>
      </c>
    </row>
    <row r="650" spans="1:21" ht="15.95" customHeight="1">
      <c r="A650" s="211">
        <f>IF(COUNTBLANK('RNEW import'!B648)=1,"",'RNEW import'!B648)</f>
        <v>35</v>
      </c>
      <c r="B650" s="211" t="str">
        <f>IF(COUNTBLANK('RNEW import'!D648)=1,"",'RNEW import'!D648)</f>
        <v>Severin Shopping Center SRL</v>
      </c>
      <c r="C650" s="211" t="str">
        <f>IF(COUNTBLANK('RNEW import'!E648)=1,"",'RNEW import'!E648)</f>
        <v>RSEV</v>
      </c>
      <c r="D650" s="211" t="str">
        <f>IF(COUNTBLANK('RNEW import'!K648)=1,"",'RNEW import'!K648)</f>
        <v>Regularizare Tarif distributie SDI MT Ea3</v>
      </c>
      <c r="E650" s="211">
        <f>IF(COUNTBLANK('RNEW import'!L648)=1,"",'RNEW import'!N648)</f>
        <v>0</v>
      </c>
      <c r="F650" s="211">
        <f>IF(COUNTBLANK('RNEW import'!M648)=1,"",'RNEW import'!O648/10000)</f>
        <v>1.7000000000000001E-2</v>
      </c>
      <c r="G650" s="217">
        <f t="shared" si="174"/>
        <v>0</v>
      </c>
      <c r="H650" s="217">
        <f t="shared" si="182"/>
        <v>0</v>
      </c>
      <c r="I650" s="329">
        <f t="shared" si="175"/>
        <v>0</v>
      </c>
      <c r="J650" s="237" t="str">
        <f t="shared" si="177"/>
        <v/>
      </c>
      <c r="K650" s="238" t="str">
        <f t="shared" si="178"/>
        <v/>
      </c>
      <c r="L650" s="238" t="str">
        <f t="shared" si="179"/>
        <v/>
      </c>
      <c r="M650" s="238" t="str">
        <f t="shared" si="180"/>
        <v/>
      </c>
      <c r="N650" s="238" t="str">
        <f t="shared" si="181"/>
        <v/>
      </c>
      <c r="O650" s="218" t="str">
        <f t="shared" si="176"/>
        <v/>
      </c>
      <c r="P650" s="219" t="str">
        <f t="shared" si="183"/>
        <v/>
      </c>
      <c r="Q650" s="219" t="str">
        <f t="shared" si="184"/>
        <v/>
      </c>
      <c r="R650" s="219" t="str">
        <f t="shared" si="185"/>
        <v/>
      </c>
      <c r="S650" s="331" t="str">
        <f t="shared" si="171"/>
        <v/>
      </c>
      <c r="T650" s="331" t="str">
        <f t="shared" si="172"/>
        <v/>
      </c>
      <c r="U650" s="331" t="str">
        <f t="shared" si="173"/>
        <v/>
      </c>
    </row>
    <row r="651" spans="1:21" ht="15.95" customHeight="1">
      <c r="A651" s="211">
        <f>IF(COUNTBLANK('RNEW import'!B649)=1,"",'RNEW import'!B649)</f>
        <v>36</v>
      </c>
      <c r="B651" s="211" t="str">
        <f>IF(COUNTBLANK('RNEW import'!D649)=1,"",'RNEW import'!D649)</f>
        <v>Severin Shopping Center SRL</v>
      </c>
      <c r="C651" s="211" t="str">
        <f>IF(COUNTBLANK('RNEW import'!E649)=1,"",'RNEW import'!E649)</f>
        <v>RSEV</v>
      </c>
      <c r="D651" s="211" t="str">
        <f>IF(COUNTBLANK('RNEW import'!K649)=1,"",'RNEW import'!K649)</f>
        <v>Regularizare Tarif distributie SDI JT Ea3</v>
      </c>
      <c r="E651" s="211">
        <f>IF(COUNTBLANK('RNEW import'!L649)=1,"",'RNEW import'!N649)</f>
        <v>0</v>
      </c>
      <c r="F651" s="211">
        <f>IF(COUNTBLANK('RNEW import'!M649)=1,"",'RNEW import'!O649/10000)</f>
        <v>0.10290000000000001</v>
      </c>
      <c r="G651" s="217">
        <f t="shared" si="174"/>
        <v>0</v>
      </c>
      <c r="H651" s="217">
        <f t="shared" si="182"/>
        <v>0</v>
      </c>
      <c r="I651" s="329">
        <f t="shared" si="175"/>
        <v>0</v>
      </c>
      <c r="J651" s="237" t="str">
        <f t="shared" si="177"/>
        <v/>
      </c>
      <c r="K651" s="238" t="str">
        <f t="shared" si="178"/>
        <v/>
      </c>
      <c r="L651" s="238" t="str">
        <f t="shared" si="179"/>
        <v/>
      </c>
      <c r="M651" s="238" t="str">
        <f t="shared" si="180"/>
        <v/>
      </c>
      <c r="N651" s="238" t="str">
        <f t="shared" si="181"/>
        <v/>
      </c>
      <c r="O651" s="232" t="str">
        <f t="shared" si="176"/>
        <v/>
      </c>
      <c r="P651" s="219" t="str">
        <f t="shared" si="183"/>
        <v>Energie consumata din PV regularizare</v>
      </c>
      <c r="Q651" s="219">
        <f t="shared" si="184"/>
        <v>0</v>
      </c>
      <c r="R651" s="219">
        <f t="shared" si="185"/>
        <v>0</v>
      </c>
      <c r="S651" s="331">
        <f t="shared" si="171"/>
        <v>0</v>
      </c>
      <c r="T651" s="331">
        <f t="shared" si="172"/>
        <v>0</v>
      </c>
      <c r="U651" s="331">
        <f t="shared" si="173"/>
        <v>0</v>
      </c>
    </row>
    <row r="652" spans="1:21" ht="15.95" customHeight="1">
      <c r="A652" s="211">
        <f>IF(COUNTBLANK('RNEW import'!B650)=1,"",'RNEW import'!B650)</f>
        <v>1</v>
      </c>
      <c r="B652" s="211" t="str">
        <f>IF(COUNTBLANK('RNEW import'!D650)=1,"",'RNEW import'!D650)</f>
        <v>Iris Titan Shopping Center SRL</v>
      </c>
      <c r="C652" s="211" t="str">
        <f>IF(COUNTBLANK('RNEW import'!E650)=1,"",'RNEW import'!E650)</f>
        <v>RITS</v>
      </c>
      <c r="D652" s="211" t="str">
        <f>IF(COUNTBLANK('RNEW import'!K650)=1,"",'RNEW import'!K650)</f>
        <v>Energie activa 1</v>
      </c>
      <c r="E652" s="211">
        <f>IF(COUNTBLANK('RNEW import'!L650)=1,"",'RNEW import'!N650)</f>
        <v>794597</v>
      </c>
      <c r="F652" s="211">
        <f>IF(COUNTBLANK('RNEW import'!M650)=1,"",'RNEW import'!O650/10000)</f>
        <v>0.59499999999999997</v>
      </c>
      <c r="G652" s="217">
        <f t="shared" si="174"/>
        <v>472785.22</v>
      </c>
      <c r="H652" s="217">
        <f t="shared" si="182"/>
        <v>89829.19</v>
      </c>
      <c r="I652" s="329">
        <f t="shared" si="175"/>
        <v>562614.40999999992</v>
      </c>
      <c r="J652" s="237" t="str">
        <f t="shared" si="177"/>
        <v>Iris Titan Shopping Center SRL</v>
      </c>
      <c r="K652" s="238">
        <f t="shared" si="178"/>
        <v>78306.52</v>
      </c>
      <c r="L652" s="238">
        <f t="shared" si="179"/>
        <v>640337.8899999999</v>
      </c>
      <c r="M652" s="238">
        <f t="shared" si="180"/>
        <v>83541.47</v>
      </c>
      <c r="N652" s="238">
        <f t="shared" si="181"/>
        <v>820823</v>
      </c>
      <c r="O652" s="232" t="str">
        <f t="shared" si="176"/>
        <v>Iris Titan Shopping Center SRL</v>
      </c>
      <c r="P652" s="219" t="str">
        <f t="shared" si="183"/>
        <v>Enegie activa</v>
      </c>
      <c r="Q652" s="219">
        <f t="shared" si="184"/>
        <v>794597</v>
      </c>
      <c r="R652" s="219">
        <f t="shared" si="185"/>
        <v>0.90065799999999996</v>
      </c>
      <c r="S652" s="331">
        <f t="shared" si="171"/>
        <v>715659.84</v>
      </c>
      <c r="T652" s="331">
        <f t="shared" si="172"/>
        <v>135975.35999999999</v>
      </c>
      <c r="U652" s="331">
        <f t="shared" si="173"/>
        <v>851635.19999999995</v>
      </c>
    </row>
    <row r="653" spans="1:21" ht="15.95" customHeight="1">
      <c r="A653" s="211">
        <f>IF(COUNTBLANK('RNEW import'!B651)=1,"",'RNEW import'!B651)</f>
        <v>2</v>
      </c>
      <c r="B653" s="211" t="str">
        <f>IF(COUNTBLANK('RNEW import'!D651)=1,"",'RNEW import'!D651)</f>
        <v>Iris Titan Shopping Center SRL</v>
      </c>
      <c r="C653" s="211" t="str">
        <f>IF(COUNTBLANK('RNEW import'!E651)=1,"",'RNEW import'!E651)</f>
        <v>RITS</v>
      </c>
      <c r="D653" s="211" t="str">
        <f>IF(COUNTBLANK('RNEW import'!K651)=1,"",'RNEW import'!K651)</f>
        <v>Energie reactiva  1X</v>
      </c>
      <c r="E653" s="211">
        <f>IF(COUNTBLANK('RNEW import'!L651)=1,"",'RNEW import'!N651)</f>
        <v>0</v>
      </c>
      <c r="F653" s="211">
        <f>IF(COUNTBLANK('RNEW import'!M651)=1,"",'RNEW import'!O651/10000)</f>
        <v>0.14660000000000001</v>
      </c>
      <c r="G653" s="217">
        <f t="shared" si="174"/>
        <v>0</v>
      </c>
      <c r="H653" s="217">
        <f t="shared" si="182"/>
        <v>0</v>
      </c>
      <c r="I653" s="329">
        <f t="shared" si="175"/>
        <v>0</v>
      </c>
      <c r="J653" s="237" t="str">
        <f t="shared" si="177"/>
        <v/>
      </c>
      <c r="K653" s="238" t="str">
        <f t="shared" si="178"/>
        <v/>
      </c>
      <c r="L653" s="238" t="str">
        <f t="shared" si="179"/>
        <v/>
      </c>
      <c r="M653" s="238" t="str">
        <f t="shared" si="180"/>
        <v/>
      </c>
      <c r="N653" s="238" t="str">
        <f t="shared" si="181"/>
        <v/>
      </c>
      <c r="O653" s="232" t="str">
        <f t="shared" si="176"/>
        <v/>
      </c>
      <c r="P653" s="219" t="str">
        <f t="shared" si="183"/>
        <v>Energie reactiva 1x</v>
      </c>
      <c r="Q653" s="219">
        <f t="shared" si="184"/>
        <v>0</v>
      </c>
      <c r="R653" s="219">
        <f t="shared" si="185"/>
        <v>0.14660000000000001</v>
      </c>
      <c r="S653" s="331">
        <f t="shared" si="171"/>
        <v>0</v>
      </c>
      <c r="T653" s="331">
        <f t="shared" si="172"/>
        <v>0</v>
      </c>
      <c r="U653" s="331">
        <f t="shared" si="173"/>
        <v>0</v>
      </c>
    </row>
    <row r="654" spans="1:21" ht="15.95" customHeight="1">
      <c r="A654" s="211">
        <f>IF(COUNTBLANK('RNEW import'!B652)=1,"",'RNEW import'!B652)</f>
        <v>3</v>
      </c>
      <c r="B654" s="211" t="str">
        <f>IF(COUNTBLANK('RNEW import'!D652)=1,"",'RNEW import'!D652)</f>
        <v>Iris Titan Shopping Center SRL</v>
      </c>
      <c r="C654" s="211" t="str">
        <f>IF(COUNTBLANK('RNEW import'!E652)=1,"",'RNEW import'!E652)</f>
        <v>RITS</v>
      </c>
      <c r="D654" s="211" t="str">
        <f>IF(COUNTBLANK('RNEW import'!K652)=1,"",'RNEW import'!K652)</f>
        <v>Energie reactiva  3X</v>
      </c>
      <c r="E654" s="211">
        <f>IF(COUNTBLANK('RNEW import'!L652)=1,"",'RNEW import'!N652)</f>
        <v>0</v>
      </c>
      <c r="F654" s="211">
        <f>IF(COUNTBLANK('RNEW import'!M652)=1,"",'RNEW import'!O652/10000)</f>
        <v>0.43980000000000002</v>
      </c>
      <c r="G654" s="217">
        <f t="shared" si="174"/>
        <v>0</v>
      </c>
      <c r="H654" s="217">
        <f t="shared" si="182"/>
        <v>0</v>
      </c>
      <c r="I654" s="329">
        <f t="shared" si="175"/>
        <v>0</v>
      </c>
      <c r="J654" s="237" t="str">
        <f t="shared" si="177"/>
        <v/>
      </c>
      <c r="K654" s="238" t="str">
        <f t="shared" si="178"/>
        <v/>
      </c>
      <c r="L654" s="238" t="str">
        <f t="shared" si="179"/>
        <v/>
      </c>
      <c r="M654" s="238" t="str">
        <f t="shared" si="180"/>
        <v/>
      </c>
      <c r="N654" s="238" t="str">
        <f t="shared" si="181"/>
        <v/>
      </c>
      <c r="O654" s="232" t="str">
        <f t="shared" si="176"/>
        <v/>
      </c>
      <c r="P654" s="219" t="str">
        <f t="shared" si="183"/>
        <v>Energie reactiva 3x</v>
      </c>
      <c r="Q654" s="219">
        <f t="shared" si="184"/>
        <v>0</v>
      </c>
      <c r="R654" s="219">
        <f t="shared" si="185"/>
        <v>0.43980000000000002</v>
      </c>
      <c r="S654" s="331">
        <f t="shared" si="171"/>
        <v>0</v>
      </c>
      <c r="T654" s="331">
        <f t="shared" si="172"/>
        <v>0</v>
      </c>
      <c r="U654" s="331">
        <f t="shared" si="173"/>
        <v>0</v>
      </c>
    </row>
    <row r="655" spans="1:21" ht="15.95" customHeight="1">
      <c r="A655" s="211">
        <f>IF(COUNTBLANK('RNEW import'!B653)=1,"",'RNEW import'!B653)</f>
        <v>4</v>
      </c>
      <c r="B655" s="211" t="str">
        <f>IF(COUNTBLANK('RNEW import'!D653)=1,"",'RNEW import'!D653)</f>
        <v>Iris Titan Shopping Center SRL</v>
      </c>
      <c r="C655" s="211" t="str">
        <f>IF(COUNTBLANK('RNEW import'!E653)=1,"",'RNEW import'!E653)</f>
        <v>RITS</v>
      </c>
      <c r="D655" s="211" t="str">
        <f>IF(COUNTBLANK('RNEW import'!K653)=1,"",'RNEW import'!K653)</f>
        <v>Tarife distributie en. El IT+MT</v>
      </c>
      <c r="E655" s="211">
        <f>IF(COUNTBLANK('RNEW import'!L653)=1,"",'RNEW import'!N653)</f>
        <v>794597</v>
      </c>
      <c r="F655" s="211">
        <f>IF(COUNTBLANK('RNEW import'!M653)=1,"",'RNEW import'!O653/10000)</f>
        <v>8.6180000000000007E-2</v>
      </c>
      <c r="G655" s="217">
        <f t="shared" si="174"/>
        <v>68478.37</v>
      </c>
      <c r="H655" s="217">
        <f t="shared" si="182"/>
        <v>13010.89</v>
      </c>
      <c r="I655" s="329">
        <f t="shared" si="175"/>
        <v>81489.259999999995</v>
      </c>
      <c r="J655" s="237" t="str">
        <f t="shared" si="177"/>
        <v/>
      </c>
      <c r="K655" s="238" t="str">
        <f t="shared" si="178"/>
        <v/>
      </c>
      <c r="L655" s="238" t="str">
        <f t="shared" si="179"/>
        <v/>
      </c>
      <c r="M655" s="238" t="str">
        <f t="shared" si="180"/>
        <v/>
      </c>
      <c r="N655" s="238" t="str">
        <f t="shared" si="181"/>
        <v/>
      </c>
      <c r="O655" s="232" t="str">
        <f t="shared" si="176"/>
        <v/>
      </c>
      <c r="P655" s="219" t="str">
        <f t="shared" si="183"/>
        <v/>
      </c>
      <c r="Q655" s="219" t="str">
        <f t="shared" si="184"/>
        <v/>
      </c>
      <c r="R655" s="219" t="str">
        <f t="shared" si="185"/>
        <v/>
      </c>
      <c r="S655" s="331" t="str">
        <f t="shared" si="171"/>
        <v/>
      </c>
      <c r="T655" s="331" t="str">
        <f t="shared" si="172"/>
        <v/>
      </c>
      <c r="U655" s="331" t="str">
        <f t="shared" si="173"/>
        <v/>
      </c>
    </row>
    <row r="656" spans="1:21" ht="15.95" customHeight="1">
      <c r="A656" s="211">
        <f>IF(COUNTBLANK('RNEW import'!B654)=1,"",'RNEW import'!B654)</f>
        <v>5</v>
      </c>
      <c r="B656" s="211" t="str">
        <f>IF(COUNTBLANK('RNEW import'!D654)=1,"",'RNEW import'!D654)</f>
        <v>Iris Titan Shopping Center SRL</v>
      </c>
      <c r="C656" s="211" t="str">
        <f>IF(COUNTBLANK('RNEW import'!E654)=1,"",'RNEW import'!E654)</f>
        <v>RITS</v>
      </c>
      <c r="D656" s="211" t="str">
        <f>IF(COUNTBLANK('RNEW import'!K654)=1,"",'RNEW import'!K654)</f>
        <v>Tarife distributie en. El JT</v>
      </c>
      <c r="E656" s="211">
        <f>IF(COUNTBLANK('RNEW import'!L654)=1,"",'RNEW import'!N654)</f>
        <v>0</v>
      </c>
      <c r="F656" s="211">
        <f>IF(COUNTBLANK('RNEW import'!M654)=1,"",'RNEW import'!O654/10000)</f>
        <v>0.2079</v>
      </c>
      <c r="G656" s="217">
        <f t="shared" si="174"/>
        <v>0</v>
      </c>
      <c r="H656" s="217">
        <f t="shared" si="182"/>
        <v>0</v>
      </c>
      <c r="I656" s="329">
        <f t="shared" si="175"/>
        <v>0</v>
      </c>
      <c r="J656" s="237" t="str">
        <f t="shared" si="177"/>
        <v/>
      </c>
      <c r="K656" s="238" t="str">
        <f t="shared" si="178"/>
        <v/>
      </c>
      <c r="L656" s="238" t="str">
        <f t="shared" si="179"/>
        <v/>
      </c>
      <c r="M656" s="238" t="str">
        <f t="shared" si="180"/>
        <v/>
      </c>
      <c r="N656" s="238" t="str">
        <f t="shared" si="181"/>
        <v/>
      </c>
      <c r="O656" s="232" t="str">
        <f t="shared" si="176"/>
        <v/>
      </c>
      <c r="P656" s="219" t="str">
        <f t="shared" si="183"/>
        <v/>
      </c>
      <c r="Q656" s="219" t="str">
        <f t="shared" si="184"/>
        <v/>
      </c>
      <c r="R656" s="219" t="str">
        <f t="shared" si="185"/>
        <v/>
      </c>
      <c r="S656" s="331" t="str">
        <f t="shared" si="171"/>
        <v/>
      </c>
      <c r="T656" s="331" t="str">
        <f t="shared" si="172"/>
        <v/>
      </c>
      <c r="U656" s="331" t="str">
        <f t="shared" si="173"/>
        <v/>
      </c>
    </row>
    <row r="657" spans="1:21" ht="15.95" customHeight="1">
      <c r="A657" s="211">
        <f>IF(COUNTBLANK('RNEW import'!B655)=1,"",'RNEW import'!B655)</f>
        <v>6</v>
      </c>
      <c r="B657" s="211" t="str">
        <f>IF(COUNTBLANK('RNEW import'!D655)=1,"",'RNEW import'!D655)</f>
        <v>Iris Titan Shopping Center SRL</v>
      </c>
      <c r="C657" s="211" t="str">
        <f>IF(COUNTBLANK('RNEW import'!E655)=1,"",'RNEW import'!E655)</f>
        <v>RITS</v>
      </c>
      <c r="D657" s="211" t="str">
        <f>IF(COUNTBLANK('RNEW import'!K655)=1,"",'RNEW import'!K655)</f>
        <v xml:space="preserve">Servicii Sistem </v>
      </c>
      <c r="E657" s="211">
        <f>IF(COUNTBLANK('RNEW import'!L655)=1,"",'RNEW import'!N655)</f>
        <v>794597</v>
      </c>
      <c r="F657" s="211">
        <f>IF(COUNTBLANK('RNEW import'!M655)=1,"",'RNEW import'!O655/10000)</f>
        <v>1.1509999999999999E-2</v>
      </c>
      <c r="G657" s="217">
        <f t="shared" si="174"/>
        <v>9145.81</v>
      </c>
      <c r="H657" s="217">
        <f t="shared" si="182"/>
        <v>1737.7</v>
      </c>
      <c r="I657" s="329">
        <f t="shared" si="175"/>
        <v>10883.51</v>
      </c>
      <c r="J657" s="237" t="str">
        <f t="shared" si="177"/>
        <v/>
      </c>
      <c r="K657" s="238" t="str">
        <f t="shared" si="178"/>
        <v/>
      </c>
      <c r="L657" s="238" t="str">
        <f t="shared" si="179"/>
        <v/>
      </c>
      <c r="M657" s="238" t="str">
        <f t="shared" si="180"/>
        <v/>
      </c>
      <c r="N657" s="238" t="str">
        <f t="shared" si="181"/>
        <v/>
      </c>
      <c r="O657" s="232" t="str">
        <f t="shared" si="176"/>
        <v/>
      </c>
      <c r="P657" s="219" t="str">
        <f t="shared" si="183"/>
        <v/>
      </c>
      <c r="Q657" s="219" t="str">
        <f t="shared" si="184"/>
        <v/>
      </c>
      <c r="R657" s="219" t="str">
        <f t="shared" si="185"/>
        <v/>
      </c>
      <c r="S657" s="331" t="str">
        <f t="shared" si="171"/>
        <v/>
      </c>
      <c r="T657" s="331" t="str">
        <f t="shared" si="172"/>
        <v/>
      </c>
      <c r="U657" s="331" t="str">
        <f t="shared" si="173"/>
        <v/>
      </c>
    </row>
    <row r="658" spans="1:21" ht="15.95" customHeight="1">
      <c r="A658" s="211">
        <f>IF(COUNTBLANK('RNEW import'!B656)=1,"",'RNEW import'!B656)</f>
        <v>7</v>
      </c>
      <c r="B658" s="211" t="str">
        <f>IF(COUNTBLANK('RNEW import'!D656)=1,"",'RNEW import'!D656)</f>
        <v>Iris Titan Shopping Center SRL</v>
      </c>
      <c r="C658" s="211" t="str">
        <f>IF(COUNTBLANK('RNEW import'!E656)=1,"",'RNEW import'!E656)</f>
        <v>RITS</v>
      </c>
      <c r="D658" s="211" t="str">
        <f>IF(COUNTBLANK('RNEW import'!K656)=1,"",'RNEW import'!K656)</f>
        <v>Tarif de introducere en. el in retea (TL)</v>
      </c>
      <c r="E658" s="211">
        <f>IF(COUNTBLANK('RNEW import'!L656)=1,"",'RNEW import'!N656)</f>
        <v>794597</v>
      </c>
      <c r="F658" s="211">
        <f>IF(COUNTBLANK('RNEW import'!M656)=1,"",'RNEW import'!O656/10000)</f>
        <v>3.3030000000000004E-2</v>
      </c>
      <c r="G658" s="217">
        <f t="shared" si="174"/>
        <v>26245.54</v>
      </c>
      <c r="H658" s="217">
        <f t="shared" si="182"/>
        <v>4986.6499999999996</v>
      </c>
      <c r="I658" s="329">
        <f t="shared" si="175"/>
        <v>31232.190000000002</v>
      </c>
      <c r="J658" s="237" t="str">
        <f t="shared" si="177"/>
        <v/>
      </c>
      <c r="K658" s="238" t="str">
        <f t="shared" si="178"/>
        <v/>
      </c>
      <c r="L658" s="238" t="str">
        <f t="shared" si="179"/>
        <v/>
      </c>
      <c r="M658" s="238" t="str">
        <f t="shared" si="180"/>
        <v/>
      </c>
      <c r="N658" s="238" t="str">
        <f t="shared" si="181"/>
        <v/>
      </c>
      <c r="O658" s="232" t="str">
        <f t="shared" si="176"/>
        <v/>
      </c>
      <c r="P658" s="219" t="str">
        <f t="shared" si="183"/>
        <v/>
      </c>
      <c r="Q658" s="219" t="str">
        <f t="shared" si="184"/>
        <v/>
      </c>
      <c r="R658" s="219" t="str">
        <f t="shared" si="185"/>
        <v/>
      </c>
      <c r="S658" s="331" t="str">
        <f t="shared" si="171"/>
        <v/>
      </c>
      <c r="T658" s="331" t="str">
        <f t="shared" si="172"/>
        <v/>
      </c>
      <c r="U658" s="331" t="str">
        <f t="shared" si="173"/>
        <v/>
      </c>
    </row>
    <row r="659" spans="1:21" ht="15.95" customHeight="1">
      <c r="A659" s="211">
        <f>IF(COUNTBLANK('RNEW import'!B657)=1,"",'RNEW import'!B657)</f>
        <v>8</v>
      </c>
      <c r="B659" s="211" t="str">
        <f>IF(COUNTBLANK('RNEW import'!D657)=1,"",'RNEW import'!D657)</f>
        <v>Iris Titan Shopping Center SRL</v>
      </c>
      <c r="C659" s="211" t="str">
        <f>IF(COUNTBLANK('RNEW import'!E657)=1,"",'RNEW import'!E657)</f>
        <v>RITS</v>
      </c>
      <c r="D659" s="211" t="str">
        <f>IF(COUNTBLANK('RNEW import'!K657)=1,"",'RNEW import'!K657)</f>
        <v>Tarif de introducere en.el in retea (TG)</v>
      </c>
      <c r="E659" s="211">
        <f>IF(COUNTBLANK('RNEW import'!L657)=1,"",'RNEW import'!N657)</f>
        <v>794597</v>
      </c>
      <c r="F659" s="211">
        <f>IF(COUNTBLANK('RNEW import'!M657)=1,"",'RNEW import'!O657/10000)</f>
        <v>3.29E-3</v>
      </c>
      <c r="G659" s="217">
        <f t="shared" si="174"/>
        <v>2614.2199999999998</v>
      </c>
      <c r="H659" s="217">
        <f t="shared" si="182"/>
        <v>496.7</v>
      </c>
      <c r="I659" s="329">
        <f t="shared" si="175"/>
        <v>3110.9199999999996</v>
      </c>
      <c r="J659" s="237" t="str">
        <f t="shared" si="177"/>
        <v/>
      </c>
      <c r="K659" s="238" t="str">
        <f t="shared" si="178"/>
        <v/>
      </c>
      <c r="L659" s="238" t="str">
        <f t="shared" si="179"/>
        <v/>
      </c>
      <c r="M659" s="238" t="str">
        <f t="shared" si="180"/>
        <v/>
      </c>
      <c r="N659" s="238" t="str">
        <f t="shared" si="181"/>
        <v/>
      </c>
      <c r="O659" s="232" t="str">
        <f t="shared" si="176"/>
        <v/>
      </c>
      <c r="P659" s="219" t="str">
        <f t="shared" si="183"/>
        <v/>
      </c>
      <c r="Q659" s="219" t="str">
        <f t="shared" si="184"/>
        <v/>
      </c>
      <c r="R659" s="219" t="str">
        <f t="shared" si="185"/>
        <v/>
      </c>
      <c r="S659" s="331" t="str">
        <f t="shared" si="171"/>
        <v/>
      </c>
      <c r="T659" s="331" t="str">
        <f t="shared" si="172"/>
        <v/>
      </c>
      <c r="U659" s="331" t="str">
        <f t="shared" si="173"/>
        <v/>
      </c>
    </row>
    <row r="660" spans="1:21" ht="15.95" customHeight="1">
      <c r="A660" s="211">
        <f>IF(COUNTBLANK('RNEW import'!B658)=1,"",'RNEW import'!B658)</f>
        <v>9</v>
      </c>
      <c r="B660" s="211" t="str">
        <f>IF(COUNTBLANK('RNEW import'!D658)=1,"",'RNEW import'!D658)</f>
        <v>Iris Titan Shopping Center SRL</v>
      </c>
      <c r="C660" s="211" t="str">
        <f>IF(COUNTBLANK('RNEW import'!E658)=1,"",'RNEW import'!E658)</f>
        <v>RITS</v>
      </c>
      <c r="D660" s="211" t="str">
        <f>IF(COUNTBLANK('RNEW import'!K658)=1,"",'RNEW import'!K658)</f>
        <v>Contributie pentru cogenerare</v>
      </c>
      <c r="E660" s="211">
        <f>IF(COUNTBLANK('RNEW import'!L658)=1,"",'RNEW import'!N658)</f>
        <v>794597</v>
      </c>
      <c r="F660" s="211">
        <f>IF(COUNTBLANK('RNEW import'!M658)=1,"",'RNEW import'!O658/10000)</f>
        <v>3.5000000000000001E-3</v>
      </c>
      <c r="G660" s="217">
        <f t="shared" si="174"/>
        <v>2781.09</v>
      </c>
      <c r="H660" s="217">
        <f t="shared" si="182"/>
        <v>528.41</v>
      </c>
      <c r="I660" s="329">
        <f t="shared" si="175"/>
        <v>3309.5</v>
      </c>
      <c r="J660" s="237" t="str">
        <f t="shared" si="177"/>
        <v/>
      </c>
      <c r="K660" s="238" t="str">
        <f t="shared" si="178"/>
        <v/>
      </c>
      <c r="L660" s="238" t="str">
        <f t="shared" si="179"/>
        <v/>
      </c>
      <c r="M660" s="238" t="str">
        <f t="shared" si="180"/>
        <v/>
      </c>
      <c r="N660" s="238" t="str">
        <f t="shared" si="181"/>
        <v/>
      </c>
      <c r="O660" s="232" t="str">
        <f t="shared" si="176"/>
        <v/>
      </c>
      <c r="P660" s="219" t="str">
        <f t="shared" si="183"/>
        <v/>
      </c>
      <c r="Q660" s="219" t="str">
        <f t="shared" si="184"/>
        <v/>
      </c>
      <c r="R660" s="219" t="str">
        <f t="shared" si="185"/>
        <v/>
      </c>
      <c r="S660" s="331" t="str">
        <f t="shared" si="171"/>
        <v/>
      </c>
      <c r="T660" s="331" t="str">
        <f t="shared" si="172"/>
        <v/>
      </c>
      <c r="U660" s="331" t="str">
        <f t="shared" si="173"/>
        <v/>
      </c>
    </row>
    <row r="661" spans="1:21" ht="15.95" customHeight="1">
      <c r="A661" s="211">
        <f>IF(COUNTBLANK('RNEW import'!B659)=1,"",'RNEW import'!B659)</f>
        <v>10</v>
      </c>
      <c r="B661" s="211" t="str">
        <f>IF(COUNTBLANK('RNEW import'!D659)=1,"",'RNEW import'!D659)</f>
        <v>Iris Titan Shopping Center SRL</v>
      </c>
      <c r="C661" s="211" t="str">
        <f>IF(COUNTBLANK('RNEW import'!E659)=1,"",'RNEW import'!E659)</f>
        <v>RITS</v>
      </c>
      <c r="D661" s="211" t="str">
        <f>IF(COUNTBLANK('RNEW import'!K659)=1,"",'RNEW import'!K659)</f>
        <v xml:space="preserve">Certificate verzi </v>
      </c>
      <c r="E661" s="211">
        <f>IF(COUNTBLANK('RNEW import'!L659)=1,"",'RNEW import'!N659)</f>
        <v>794597</v>
      </c>
      <c r="F661" s="211">
        <f>IF(COUNTBLANK('RNEW import'!M659)=1,"",'RNEW import'!O659/10000)</f>
        <v>7.2541599999999998E-2</v>
      </c>
      <c r="G661" s="217">
        <f t="shared" si="174"/>
        <v>57641.34</v>
      </c>
      <c r="H661" s="217">
        <f t="shared" si="182"/>
        <v>10951.85</v>
      </c>
      <c r="I661" s="329">
        <f t="shared" si="175"/>
        <v>68593.19</v>
      </c>
      <c r="J661" s="237" t="str">
        <f t="shared" si="177"/>
        <v/>
      </c>
      <c r="K661" s="238" t="str">
        <f t="shared" si="178"/>
        <v/>
      </c>
      <c r="L661" s="238" t="str">
        <f t="shared" si="179"/>
        <v/>
      </c>
      <c r="M661" s="238" t="str">
        <f t="shared" si="180"/>
        <v/>
      </c>
      <c r="N661" s="238" t="str">
        <f t="shared" si="181"/>
        <v/>
      </c>
      <c r="O661" s="232" t="str">
        <f t="shared" si="176"/>
        <v/>
      </c>
      <c r="P661" s="219" t="str">
        <f t="shared" si="183"/>
        <v/>
      </c>
      <c r="Q661" s="219" t="str">
        <f t="shared" si="184"/>
        <v/>
      </c>
      <c r="R661" s="219" t="str">
        <f t="shared" si="185"/>
        <v/>
      </c>
      <c r="S661" s="331" t="str">
        <f t="shared" si="171"/>
        <v/>
      </c>
      <c r="T661" s="331" t="str">
        <f t="shared" si="172"/>
        <v/>
      </c>
      <c r="U661" s="331" t="str">
        <f t="shared" si="173"/>
        <v/>
      </c>
    </row>
    <row r="662" spans="1:21" ht="15.95" customHeight="1">
      <c r="A662" s="211">
        <f>IF(COUNTBLANK('RNEW import'!B660)=1,"",'RNEW import'!B660)</f>
        <v>11</v>
      </c>
      <c r="B662" s="211" t="str">
        <f>IF(COUNTBLANK('RNEW import'!D660)=1,"",'RNEW import'!D660)</f>
        <v>Iris Titan Shopping Center SRL</v>
      </c>
      <c r="C662" s="211" t="str">
        <f>IF(COUNTBLANK('RNEW import'!E660)=1,"",'RNEW import'!E660)</f>
        <v>RITS</v>
      </c>
      <c r="D662" s="211" t="str">
        <f>IF(COUNTBLANK('RNEW import'!K660)=1,"",'RNEW import'!K660)</f>
        <v>Contributie CFD</v>
      </c>
      <c r="E662" s="211">
        <f>IF(COUNTBLANK('RNEW import'!L660)=1,"",'RNEW import'!N660)</f>
        <v>794597</v>
      </c>
      <c r="F662" s="211">
        <f>IF(COUNTBLANK('RNEW import'!M660)=1,"",'RNEW import'!O660/10000)</f>
        <v>2.0599999999999999E-4</v>
      </c>
      <c r="G662" s="217">
        <f t="shared" si="174"/>
        <v>163.69</v>
      </c>
      <c r="H662" s="217">
        <f t="shared" si="182"/>
        <v>31.1</v>
      </c>
      <c r="I662" s="329">
        <f t="shared" si="175"/>
        <v>194.79</v>
      </c>
      <c r="J662" s="237" t="str">
        <f t="shared" si="177"/>
        <v/>
      </c>
      <c r="K662" s="238" t="str">
        <f t="shared" si="178"/>
        <v/>
      </c>
      <c r="L662" s="238" t="str">
        <f t="shared" si="179"/>
        <v/>
      </c>
      <c r="M662" s="238" t="str">
        <f t="shared" si="180"/>
        <v/>
      </c>
      <c r="N662" s="238" t="str">
        <f t="shared" si="181"/>
        <v/>
      </c>
      <c r="O662" s="232" t="str">
        <f t="shared" si="176"/>
        <v/>
      </c>
      <c r="P662" s="219" t="str">
        <f t="shared" si="183"/>
        <v/>
      </c>
      <c r="Q662" s="219" t="str">
        <f t="shared" si="184"/>
        <v/>
      </c>
      <c r="R662" s="219" t="str">
        <f t="shared" si="185"/>
        <v/>
      </c>
      <c r="S662" s="331" t="str">
        <f t="shared" ref="S662:S725" si="186">IF(COUNTBLANK(P662)=1,"",ROUND(IF(P662=$P$5,G662,IF(P662=$P$6,G662,IF(P662=$P$21,G662+G661+G660+G659,IF(P662=$P$23,G662,IF(P662=$P$24,G662,IF(P662=$P$4,SUMIFS(G:G,$B:$B,J662,A:A,"&lt;15"),IF(P662=$P$22,SUMIFS(G:G,$B:$B,J644,A:A,"&gt;18",A:A,"&lt;33")-S663-S664,IF(P662=$P$39,G662+G661+G660+G659,"eroare")))))))),2))</f>
        <v/>
      </c>
      <c r="T662" s="331" t="str">
        <f t="shared" ref="T662:T725" si="187">IF(COUNTBLANK(P662)=1,"",ROUND(IF(P662=$P$5,H662,IF(P662=$P$6,H662,IF(P662=$P$21,H662+H661+H660+H659,IF(P662=$P$23,H662,IF(P662=$P$24,H662,IF(P662=$P$4,SUMIFS(H:H,$B:$B,J662,A:A,"&lt;15"),IF(P662=$P$22,SUMIFS(H:H,$B:$B,J644,A:A,"&gt;18",A:A,"&lt;33")-T663-T664,IF(P662=$P$39,H662+H661+H660+H659,"eroare")))))))),2))</f>
        <v/>
      </c>
      <c r="U662" s="331" t="str">
        <f t="shared" ref="U662:U725" si="188">IF(COUNTBLANK(P662)=1,"",ROUND(IF(P662=$P$5,I662,IF(P662=$P$6,I662,IF(P662=$P$21,I662+I661+I660+I659,IF(P662=$P$23,I662,IF(P662=$P$24,I662,IF(P662=$P$4,SUMIFS(I:I,$B:$B,J662,A:A,"&lt;15"),IF(P662=$P$22,SUMIFS(I:I,$B:$B,J644,A:A,"&gt;18",A:A,"&lt;33")-U663-U664,IF(P662=$P$39,I662+I661+I660+I659,"eroare")))))))),2))</f>
        <v/>
      </c>
    </row>
    <row r="663" spans="1:21" ht="15.95" customHeight="1">
      <c r="A663" s="211">
        <f>IF(COUNTBLANK('RNEW import'!B661)=1,"",'RNEW import'!B661)</f>
        <v>12</v>
      </c>
      <c r="B663" s="211" t="str">
        <f>IF(COUNTBLANK('RNEW import'!D661)=1,"",'RNEW import'!D661)</f>
        <v>Iris Titan Shopping Center SRL</v>
      </c>
      <c r="C663" s="211" t="str">
        <f>IF(COUNTBLANK('RNEW import'!E661)=1,"",'RNEW import'!E661)</f>
        <v>RITS</v>
      </c>
      <c r="D663" s="211" t="str">
        <f>IF(COUNTBLANK('RNEW import'!K661)=1,"",'RNEW import'!K661)</f>
        <v>Acciza</v>
      </c>
      <c r="E663" s="211">
        <f>IF(COUNTBLANK('RNEW import'!L661)=1,"",'RNEW import'!N661)</f>
        <v>794597</v>
      </c>
      <c r="F663" s="211">
        <f>IF(COUNTBLANK('RNEW import'!M661)=1,"",'RNEW import'!O661/10000)</f>
        <v>0</v>
      </c>
      <c r="G663" s="217">
        <f t="shared" si="174"/>
        <v>0</v>
      </c>
      <c r="H663" s="217">
        <f t="shared" si="182"/>
        <v>0</v>
      </c>
      <c r="I663" s="329">
        <f t="shared" si="175"/>
        <v>0</v>
      </c>
      <c r="J663" s="237" t="str">
        <f t="shared" si="177"/>
        <v/>
      </c>
      <c r="K663" s="238" t="str">
        <f t="shared" si="178"/>
        <v/>
      </c>
      <c r="L663" s="238" t="str">
        <f t="shared" si="179"/>
        <v/>
      </c>
      <c r="M663" s="238" t="str">
        <f t="shared" si="180"/>
        <v/>
      </c>
      <c r="N663" s="238" t="str">
        <f t="shared" si="181"/>
        <v/>
      </c>
      <c r="O663" s="232" t="str">
        <f t="shared" si="176"/>
        <v/>
      </c>
      <c r="P663" s="219" t="str">
        <f t="shared" si="183"/>
        <v/>
      </c>
      <c r="Q663" s="219" t="str">
        <f t="shared" si="184"/>
        <v/>
      </c>
      <c r="R663" s="219" t="str">
        <f t="shared" si="185"/>
        <v/>
      </c>
      <c r="S663" s="331" t="str">
        <f t="shared" si="186"/>
        <v/>
      </c>
      <c r="T663" s="331" t="str">
        <f t="shared" si="187"/>
        <v/>
      </c>
      <c r="U663" s="331" t="str">
        <f t="shared" si="188"/>
        <v/>
      </c>
    </row>
    <row r="664" spans="1:21" ht="15.95" customHeight="1">
      <c r="A664" s="211">
        <f>IF(COUNTBLANK('RNEW import'!B662)=1,"",'RNEW import'!B662)</f>
        <v>13</v>
      </c>
      <c r="B664" s="211" t="str">
        <f>IF(COUNTBLANK('RNEW import'!D662)=1,"",'RNEW import'!D662)</f>
        <v>Iris Titan Shopping Center SRL</v>
      </c>
      <c r="C664" s="211" t="str">
        <f>IF(COUNTBLANK('RNEW import'!E662)=1,"",'RNEW import'!E662)</f>
        <v>RITS</v>
      </c>
      <c r="D664" s="211" t="str">
        <f>IF(COUNTBLANK('RNEW import'!K662)=1,"",'RNEW import'!K662)</f>
        <v>Tarif distributie SDI MT</v>
      </c>
      <c r="E664" s="211">
        <f>IF(COUNTBLANK('RNEW import'!L662)=1,"",'RNEW import'!N662)</f>
        <v>794597</v>
      </c>
      <c r="F664" s="211">
        <f>IF(COUNTBLANK('RNEW import'!M662)=1,"",'RNEW import'!O662/10000)</f>
        <v>1.1300000000000001E-2</v>
      </c>
      <c r="G664" s="217">
        <f t="shared" si="174"/>
        <v>8978.9500000000007</v>
      </c>
      <c r="H664" s="217">
        <f t="shared" si="182"/>
        <v>1706</v>
      </c>
      <c r="I664" s="329">
        <f t="shared" si="175"/>
        <v>10684.95</v>
      </c>
      <c r="J664" s="237" t="str">
        <f t="shared" si="177"/>
        <v/>
      </c>
      <c r="K664" s="238" t="str">
        <f t="shared" si="178"/>
        <v/>
      </c>
      <c r="L664" s="238" t="str">
        <f t="shared" si="179"/>
        <v/>
      </c>
      <c r="M664" s="238" t="str">
        <f t="shared" si="180"/>
        <v/>
      </c>
      <c r="N664" s="238" t="str">
        <f t="shared" si="181"/>
        <v/>
      </c>
      <c r="O664" s="232" t="str">
        <f t="shared" si="176"/>
        <v/>
      </c>
      <c r="P664" s="219" t="str">
        <f t="shared" si="183"/>
        <v/>
      </c>
      <c r="Q664" s="219" t="str">
        <f t="shared" si="184"/>
        <v/>
      </c>
      <c r="R664" s="219" t="str">
        <f t="shared" si="185"/>
        <v/>
      </c>
      <c r="S664" s="331" t="str">
        <f t="shared" si="186"/>
        <v/>
      </c>
      <c r="T664" s="331" t="str">
        <f t="shared" si="187"/>
        <v/>
      </c>
      <c r="U664" s="331" t="str">
        <f t="shared" si="188"/>
        <v/>
      </c>
    </row>
    <row r="665" spans="1:21" ht="15.95" customHeight="1">
      <c r="A665" s="211">
        <f>IF(COUNTBLANK('RNEW import'!B663)=1,"",'RNEW import'!B663)</f>
        <v>14</v>
      </c>
      <c r="B665" s="211" t="str">
        <f>IF(COUNTBLANK('RNEW import'!D663)=1,"",'RNEW import'!D663)</f>
        <v>Iris Titan Shopping Center SRL</v>
      </c>
      <c r="C665" s="211" t="str">
        <f>IF(COUNTBLANK('RNEW import'!E663)=1,"",'RNEW import'!E663)</f>
        <v>RITS</v>
      </c>
      <c r="D665" s="211" t="str">
        <f>IF(COUNTBLANK('RNEW import'!K663)=1,"",'RNEW import'!K663)</f>
        <v>Tarif distributie SDI JT</v>
      </c>
      <c r="E665" s="211">
        <f>IF(COUNTBLANK('RNEW import'!L663)=1,"",'RNEW import'!N663)</f>
        <v>794597</v>
      </c>
      <c r="F665" s="211">
        <f>IF(COUNTBLANK('RNEW import'!M663)=1,"",'RNEW import'!O663/10000)</f>
        <v>8.4099999999999994E-2</v>
      </c>
      <c r="G665" s="217">
        <f t="shared" si="174"/>
        <v>66825.61</v>
      </c>
      <c r="H665" s="217">
        <f t="shared" si="182"/>
        <v>12696.87</v>
      </c>
      <c r="I665" s="329">
        <f t="shared" si="175"/>
        <v>79522.48</v>
      </c>
      <c r="J665" s="237" t="str">
        <f t="shared" si="177"/>
        <v/>
      </c>
      <c r="K665" s="238" t="str">
        <f t="shared" si="178"/>
        <v/>
      </c>
      <c r="L665" s="238" t="str">
        <f t="shared" si="179"/>
        <v/>
      </c>
      <c r="M665" s="238" t="str">
        <f t="shared" si="180"/>
        <v/>
      </c>
      <c r="N665" s="238" t="str">
        <f t="shared" si="181"/>
        <v/>
      </c>
      <c r="O665" s="232" t="str">
        <f t="shared" si="176"/>
        <v/>
      </c>
      <c r="P665" s="219" t="str">
        <f t="shared" si="183"/>
        <v/>
      </c>
      <c r="Q665" s="219" t="str">
        <f t="shared" si="184"/>
        <v/>
      </c>
      <c r="R665" s="219" t="str">
        <f t="shared" si="185"/>
        <v/>
      </c>
      <c r="S665" s="331" t="str">
        <f t="shared" si="186"/>
        <v/>
      </c>
      <c r="T665" s="331" t="str">
        <f t="shared" si="187"/>
        <v/>
      </c>
      <c r="U665" s="331" t="str">
        <f t="shared" si="188"/>
        <v/>
      </c>
    </row>
    <row r="666" spans="1:21" ht="15.95" customHeight="1">
      <c r="A666" s="211">
        <f>IF(COUNTBLANK('RNEW import'!B664)=1,"",'RNEW import'!B664)</f>
        <v>15</v>
      </c>
      <c r="B666" s="211" t="str">
        <f>IF(COUNTBLANK('RNEW import'!D664)=1,"",'RNEW import'!D664)</f>
        <v>Iris Titan Shopping Center SRL</v>
      </c>
      <c r="C666" s="211" t="str">
        <f>IF(COUNTBLANK('RNEW import'!E664)=1,"",'RNEW import'!E664)</f>
        <v>RITS</v>
      </c>
      <c r="D666" s="211" t="str">
        <f>IF(COUNTBLANK('RNEW import'!K664)=1,"",'RNEW import'!K664)</f>
        <v>Energie activa 2</v>
      </c>
      <c r="E666" s="211">
        <f>IF(COUNTBLANK('RNEW import'!L664)=1,"",'RNEW import'!N664)</f>
        <v>69308</v>
      </c>
      <c r="F666" s="211">
        <f>IF(COUNTBLANK('RNEW import'!M664)=1,"",'RNEW import'!O664/10000)</f>
        <v>0.90065760000000006</v>
      </c>
      <c r="G666" s="217">
        <f t="shared" si="174"/>
        <v>62422.78</v>
      </c>
      <c r="H666" s="217">
        <f t="shared" si="182"/>
        <v>11860.33</v>
      </c>
      <c r="I666" s="329">
        <f t="shared" si="175"/>
        <v>74283.11</v>
      </c>
      <c r="J666" s="237" t="str">
        <f t="shared" si="177"/>
        <v/>
      </c>
      <c r="K666" s="238" t="str">
        <f t="shared" si="178"/>
        <v/>
      </c>
      <c r="L666" s="238" t="str">
        <f t="shared" si="179"/>
        <v/>
      </c>
      <c r="M666" s="238" t="str">
        <f t="shared" si="180"/>
        <v/>
      </c>
      <c r="N666" s="238" t="str">
        <f t="shared" si="181"/>
        <v/>
      </c>
      <c r="O666" s="232" t="str">
        <f t="shared" si="176"/>
        <v/>
      </c>
      <c r="P666" s="219" t="str">
        <f t="shared" si="183"/>
        <v/>
      </c>
      <c r="Q666" s="219" t="str">
        <f t="shared" si="184"/>
        <v/>
      </c>
      <c r="R666" s="219" t="str">
        <f t="shared" si="185"/>
        <v/>
      </c>
      <c r="S666" s="331" t="str">
        <f t="shared" si="186"/>
        <v/>
      </c>
      <c r="T666" s="331" t="str">
        <f t="shared" si="187"/>
        <v/>
      </c>
      <c r="U666" s="331" t="str">
        <f t="shared" si="188"/>
        <v/>
      </c>
    </row>
    <row r="667" spans="1:21" ht="15.95" customHeight="1">
      <c r="A667" s="211">
        <f>IF(COUNTBLANK('RNEW import'!B665)=1,"",'RNEW import'!B665)</f>
        <v>16</v>
      </c>
      <c r="B667" s="211" t="str">
        <f>IF(COUNTBLANK('RNEW import'!D665)=1,"",'RNEW import'!D665)</f>
        <v>Iris Titan Shopping Center SRL</v>
      </c>
      <c r="C667" s="211" t="str">
        <f>IF(COUNTBLANK('RNEW import'!E665)=1,"",'RNEW import'!E665)</f>
        <v>RITS</v>
      </c>
      <c r="D667" s="211" t="str">
        <f>IF(COUNTBLANK('RNEW import'!K665)=1,"",'RNEW import'!K665)</f>
        <v>Energie activa 3</v>
      </c>
      <c r="E667" s="211">
        <f>IF(COUNTBLANK('RNEW import'!L665)=1,"",'RNEW import'!N665)</f>
        <v>26226</v>
      </c>
      <c r="F667" s="211">
        <f>IF(COUNTBLANK('RNEW import'!M665)=1,"",'RNEW import'!O665/10000)</f>
        <v>0.80525760000000002</v>
      </c>
      <c r="G667" s="217">
        <f t="shared" si="174"/>
        <v>21118.69</v>
      </c>
      <c r="H667" s="217">
        <f t="shared" si="182"/>
        <v>4012.55</v>
      </c>
      <c r="I667" s="329">
        <f t="shared" si="175"/>
        <v>25131.239999999998</v>
      </c>
      <c r="J667" s="237" t="str">
        <f t="shared" si="177"/>
        <v/>
      </c>
      <c r="K667" s="238" t="str">
        <f t="shared" si="178"/>
        <v/>
      </c>
      <c r="L667" s="238" t="str">
        <f t="shared" si="179"/>
        <v/>
      </c>
      <c r="M667" s="238" t="str">
        <f t="shared" si="180"/>
        <v/>
      </c>
      <c r="N667" s="238" t="str">
        <f t="shared" si="181"/>
        <v/>
      </c>
      <c r="O667" s="232" t="str">
        <f t="shared" si="176"/>
        <v/>
      </c>
      <c r="P667" s="219" t="str">
        <f t="shared" si="183"/>
        <v/>
      </c>
      <c r="Q667" s="219" t="str">
        <f t="shared" si="184"/>
        <v/>
      </c>
      <c r="R667" s="219" t="str">
        <f t="shared" si="185"/>
        <v/>
      </c>
      <c r="S667" s="331" t="str">
        <f t="shared" si="186"/>
        <v/>
      </c>
      <c r="T667" s="331" t="str">
        <f t="shared" si="187"/>
        <v/>
      </c>
      <c r="U667" s="331" t="str">
        <f t="shared" si="188"/>
        <v/>
      </c>
    </row>
    <row r="668" spans="1:21" ht="15.95" customHeight="1">
      <c r="A668" s="211">
        <f>IF(COUNTBLANK('RNEW import'!B666)=1,"",'RNEW import'!B666)</f>
        <v>17</v>
      </c>
      <c r="B668" s="211" t="str">
        <f>IF(COUNTBLANK('RNEW import'!D666)=1,"",'RNEW import'!D666)</f>
        <v>Iris Titan Shopping Center SRL</v>
      </c>
      <c r="C668" s="211" t="str">
        <f>IF(COUNTBLANK('RNEW import'!E666)=1,"",'RNEW import'!E666)</f>
        <v>RITS</v>
      </c>
      <c r="D668" s="211" t="str">
        <f>IF(COUNTBLANK('RNEW import'!K666)=1,"",'RNEW import'!K666)</f>
        <v>Tarif distributie SDI MT_</v>
      </c>
      <c r="E668" s="211">
        <f>IF(COUNTBLANK('RNEW import'!L666)=1,"",'RNEW import'!N666)</f>
        <v>26226</v>
      </c>
      <c r="F668" s="211">
        <f>IF(COUNTBLANK('RNEW import'!M666)=1,"",'RNEW import'!O666/10000)</f>
        <v>1.1300000000000001E-2</v>
      </c>
      <c r="G668" s="217">
        <f t="shared" si="174"/>
        <v>296.35000000000002</v>
      </c>
      <c r="H668" s="217">
        <f t="shared" si="182"/>
        <v>56.31</v>
      </c>
      <c r="I668" s="329">
        <f t="shared" si="175"/>
        <v>352.66</v>
      </c>
      <c r="J668" s="237" t="str">
        <f t="shared" si="177"/>
        <v/>
      </c>
      <c r="K668" s="238" t="str">
        <f t="shared" si="178"/>
        <v/>
      </c>
      <c r="L668" s="238" t="str">
        <f t="shared" si="179"/>
        <v/>
      </c>
      <c r="M668" s="238" t="str">
        <f t="shared" si="180"/>
        <v/>
      </c>
      <c r="N668" s="238" t="str">
        <f t="shared" si="181"/>
        <v/>
      </c>
      <c r="O668" s="232" t="str">
        <f t="shared" si="176"/>
        <v/>
      </c>
      <c r="P668" s="219" t="str">
        <f t="shared" si="183"/>
        <v/>
      </c>
      <c r="Q668" s="219" t="str">
        <f t="shared" si="184"/>
        <v/>
      </c>
      <c r="R668" s="219" t="str">
        <f t="shared" si="185"/>
        <v/>
      </c>
      <c r="S668" s="331" t="str">
        <f t="shared" si="186"/>
        <v/>
      </c>
      <c r="T668" s="331" t="str">
        <f t="shared" si="187"/>
        <v/>
      </c>
      <c r="U668" s="331" t="str">
        <f t="shared" si="188"/>
        <v/>
      </c>
    </row>
    <row r="669" spans="1:21" ht="15.95" customHeight="1">
      <c r="A669" s="211">
        <f>IF(COUNTBLANK('RNEW import'!B667)=1,"",'RNEW import'!B667)</f>
        <v>18</v>
      </c>
      <c r="B669" s="211" t="str">
        <f>IF(COUNTBLANK('RNEW import'!D667)=1,"",'RNEW import'!D667)</f>
        <v>Iris Titan Shopping Center SRL</v>
      </c>
      <c r="C669" s="211" t="str">
        <f>IF(COUNTBLANK('RNEW import'!E667)=1,"",'RNEW import'!E667)</f>
        <v>RITS</v>
      </c>
      <c r="D669" s="211" t="str">
        <f>IF(COUNTBLANK('RNEW import'!K667)=1,"",'RNEW import'!K667)</f>
        <v>Tarif distributie SDI JT_</v>
      </c>
      <c r="E669" s="211">
        <f>IF(COUNTBLANK('RNEW import'!L667)=1,"",'RNEW import'!N667)</f>
        <v>26226</v>
      </c>
      <c r="F669" s="211">
        <f>IF(COUNTBLANK('RNEW import'!M667)=1,"",'RNEW import'!O667/10000)</f>
        <v>8.4099999999999994E-2</v>
      </c>
      <c r="G669" s="217">
        <f t="shared" si="174"/>
        <v>2205.61</v>
      </c>
      <c r="H669" s="217">
        <f t="shared" si="182"/>
        <v>419.07</v>
      </c>
      <c r="I669" s="329">
        <f t="shared" si="175"/>
        <v>2624.6800000000003</v>
      </c>
      <c r="J669" s="237" t="str">
        <f t="shared" si="177"/>
        <v/>
      </c>
      <c r="K669" s="238" t="str">
        <f t="shared" si="178"/>
        <v/>
      </c>
      <c r="L669" s="238" t="str">
        <f t="shared" si="179"/>
        <v/>
      </c>
      <c r="M669" s="238" t="str">
        <f t="shared" si="180"/>
        <v/>
      </c>
      <c r="N669" s="238" t="str">
        <f t="shared" si="181"/>
        <v/>
      </c>
      <c r="O669" s="232" t="str">
        <f t="shared" si="176"/>
        <v/>
      </c>
      <c r="P669" s="219" t="str">
        <f t="shared" si="183"/>
        <v>Energie consumata din PV</v>
      </c>
      <c r="Q669" s="219">
        <f t="shared" si="184"/>
        <v>95534</v>
      </c>
      <c r="R669" s="219">
        <f t="shared" si="185"/>
        <v>0.90065799999999996</v>
      </c>
      <c r="S669" s="331">
        <f t="shared" si="186"/>
        <v>86043.43</v>
      </c>
      <c r="T669" s="331">
        <f t="shared" si="187"/>
        <v>16348.26</v>
      </c>
      <c r="U669" s="331">
        <f t="shared" si="188"/>
        <v>102391.69</v>
      </c>
    </row>
    <row r="670" spans="1:21" ht="15.95" customHeight="1">
      <c r="A670" s="211">
        <f>IF(COUNTBLANK('RNEW import'!B668)=1,"",'RNEW import'!B668)</f>
        <v>19</v>
      </c>
      <c r="B670" s="211" t="str">
        <f>IF(COUNTBLANK('RNEW import'!D668)=1,"",'RNEW import'!D668)</f>
        <v>Iris Titan Shopping Center SRL</v>
      </c>
      <c r="C670" s="211" t="str">
        <f>IF(COUNTBLANK('RNEW import'!E668)=1,"",'RNEW import'!E668)</f>
        <v>RITS</v>
      </c>
      <c r="D670" s="211" t="str">
        <f>IF(COUNTBLANK('RNEW import'!K668)=1,"",'RNEW import'!K668)</f>
        <v>Regularizare Energie activa 1</v>
      </c>
      <c r="E670" s="211">
        <f>IF(COUNTBLANK('RNEW import'!L668)=1,"",'RNEW import'!N668)</f>
        <v>0</v>
      </c>
      <c r="F670" s="211">
        <f>IF(COUNTBLANK('RNEW import'!M668)=1,"",'RNEW import'!O668/10000)</f>
        <v>0.59499999999999997</v>
      </c>
      <c r="G670" s="217">
        <f t="shared" si="174"/>
        <v>0</v>
      </c>
      <c r="H670" s="217">
        <f t="shared" si="182"/>
        <v>0</v>
      </c>
      <c r="I670" s="329">
        <f t="shared" si="175"/>
        <v>0</v>
      </c>
      <c r="J670" s="237" t="str">
        <f t="shared" si="177"/>
        <v/>
      </c>
      <c r="K670" s="238" t="str">
        <f t="shared" si="178"/>
        <v/>
      </c>
      <c r="L670" s="238" t="str">
        <f t="shared" si="179"/>
        <v/>
      </c>
      <c r="M670" s="238" t="str">
        <f t="shared" si="180"/>
        <v/>
      </c>
      <c r="N670" s="238" t="str">
        <f t="shared" si="181"/>
        <v/>
      </c>
      <c r="O670" s="232" t="str">
        <f t="shared" si="176"/>
        <v/>
      </c>
      <c r="P670" s="219" t="str">
        <f t="shared" si="183"/>
        <v>Energie activa regularizare</v>
      </c>
      <c r="Q670" s="219">
        <f t="shared" si="184"/>
        <v>0</v>
      </c>
      <c r="R670" s="219">
        <f t="shared" si="185"/>
        <v>0</v>
      </c>
      <c r="S670" s="331">
        <f t="shared" si="186"/>
        <v>0</v>
      </c>
      <c r="T670" s="331">
        <f t="shared" si="187"/>
        <v>0</v>
      </c>
      <c r="U670" s="331">
        <f t="shared" si="188"/>
        <v>0</v>
      </c>
    </row>
    <row r="671" spans="1:21" ht="15.95" customHeight="1">
      <c r="A671" s="211">
        <f>IF(COUNTBLANK('RNEW import'!B669)=1,"",'RNEW import'!B669)</f>
        <v>20</v>
      </c>
      <c r="B671" s="211" t="str">
        <f>IF(COUNTBLANK('RNEW import'!D669)=1,"",'RNEW import'!D669)</f>
        <v>Iris Titan Shopping Center SRL</v>
      </c>
      <c r="C671" s="211" t="str">
        <f>IF(COUNTBLANK('RNEW import'!E669)=1,"",'RNEW import'!E669)</f>
        <v>RITS</v>
      </c>
      <c r="D671" s="211" t="str">
        <f>IF(COUNTBLANK('RNEW import'!K669)=1,"",'RNEW import'!K669)</f>
        <v>Regularizare Energie reactiva  1X</v>
      </c>
      <c r="E671" s="211">
        <f>IF(COUNTBLANK('RNEW import'!L669)=1,"",'RNEW import'!N669)</f>
        <v>3292</v>
      </c>
      <c r="F671" s="211">
        <f>IF(COUNTBLANK('RNEW import'!M669)=1,"",'RNEW import'!O669/10000)</f>
        <v>0.14660000000000001</v>
      </c>
      <c r="G671" s="217">
        <f t="shared" si="174"/>
        <v>482.61</v>
      </c>
      <c r="H671" s="217">
        <f t="shared" si="182"/>
        <v>91.7</v>
      </c>
      <c r="I671" s="329">
        <f t="shared" si="175"/>
        <v>574.31000000000006</v>
      </c>
      <c r="J671" s="237" t="str">
        <f t="shared" si="177"/>
        <v/>
      </c>
      <c r="K671" s="238" t="str">
        <f t="shared" si="178"/>
        <v/>
      </c>
      <c r="L671" s="238" t="str">
        <f t="shared" si="179"/>
        <v/>
      </c>
      <c r="M671" s="238" t="str">
        <f t="shared" si="180"/>
        <v/>
      </c>
      <c r="N671" s="238" t="str">
        <f t="shared" si="181"/>
        <v/>
      </c>
      <c r="O671" s="232" t="str">
        <f t="shared" si="176"/>
        <v/>
      </c>
      <c r="P671" s="219" t="str">
        <f t="shared" si="183"/>
        <v>Energie reactiva 1x regularizare</v>
      </c>
      <c r="Q671" s="219">
        <f t="shared" si="184"/>
        <v>3292</v>
      </c>
      <c r="R671" s="219">
        <f t="shared" si="185"/>
        <v>0.14660000000000001</v>
      </c>
      <c r="S671" s="331">
        <f t="shared" si="186"/>
        <v>482.61</v>
      </c>
      <c r="T671" s="331">
        <f t="shared" si="187"/>
        <v>91.7</v>
      </c>
      <c r="U671" s="331">
        <f t="shared" si="188"/>
        <v>574.30999999999995</v>
      </c>
    </row>
    <row r="672" spans="1:21" ht="15.95" customHeight="1">
      <c r="A672" s="211">
        <f>IF(COUNTBLANK('RNEW import'!B670)=1,"",'RNEW import'!B670)</f>
        <v>21</v>
      </c>
      <c r="B672" s="211" t="str">
        <f>IF(COUNTBLANK('RNEW import'!D670)=1,"",'RNEW import'!D670)</f>
        <v>Iris Titan Shopping Center SRL</v>
      </c>
      <c r="C672" s="211" t="str">
        <f>IF(COUNTBLANK('RNEW import'!E670)=1,"",'RNEW import'!E670)</f>
        <v>RITS</v>
      </c>
      <c r="D672" s="211" t="str">
        <f>IF(COUNTBLANK('RNEW import'!K670)=1,"",'RNEW import'!K670)</f>
        <v>Regularizare Energie reactiva  3X</v>
      </c>
      <c r="E672" s="211">
        <f>IF(COUNTBLANK('RNEW import'!L670)=1,"",'RNEW import'!N670)</f>
        <v>0</v>
      </c>
      <c r="F672" s="211">
        <f>IF(COUNTBLANK('RNEW import'!M670)=1,"",'RNEW import'!O670/10000)</f>
        <v>0.43980000000000002</v>
      </c>
      <c r="G672" s="217">
        <f t="shared" si="174"/>
        <v>0</v>
      </c>
      <c r="H672" s="217">
        <f t="shared" si="182"/>
        <v>0</v>
      </c>
      <c r="I672" s="329">
        <f t="shared" si="175"/>
        <v>0</v>
      </c>
      <c r="J672" s="237" t="str">
        <f t="shared" si="177"/>
        <v/>
      </c>
      <c r="K672" s="238" t="str">
        <f t="shared" si="178"/>
        <v/>
      </c>
      <c r="L672" s="238" t="str">
        <f t="shared" si="179"/>
        <v/>
      </c>
      <c r="M672" s="238" t="str">
        <f t="shared" si="180"/>
        <v/>
      </c>
      <c r="N672" s="238" t="str">
        <f t="shared" si="181"/>
        <v/>
      </c>
      <c r="O672" s="232" t="str">
        <f t="shared" si="176"/>
        <v/>
      </c>
      <c r="P672" s="219" t="str">
        <f t="shared" si="183"/>
        <v>Energie reactiva 3x regularizare</v>
      </c>
      <c r="Q672" s="219">
        <f t="shared" si="184"/>
        <v>0</v>
      </c>
      <c r="R672" s="219">
        <f t="shared" si="185"/>
        <v>0.43980000000000002</v>
      </c>
      <c r="S672" s="331">
        <f t="shared" si="186"/>
        <v>0</v>
      </c>
      <c r="T672" s="331">
        <f t="shared" si="187"/>
        <v>0</v>
      </c>
      <c r="U672" s="331">
        <f t="shared" si="188"/>
        <v>0</v>
      </c>
    </row>
    <row r="673" spans="1:21" ht="15.95" customHeight="1">
      <c r="A673" s="211">
        <f>IF(COUNTBLANK('RNEW import'!B671)=1,"",'RNEW import'!B671)</f>
        <v>22</v>
      </c>
      <c r="B673" s="211" t="str">
        <f>IF(COUNTBLANK('RNEW import'!D671)=1,"",'RNEW import'!D671)</f>
        <v>Iris Titan Shopping Center SRL</v>
      </c>
      <c r="C673" s="211" t="str">
        <f>IF(COUNTBLANK('RNEW import'!E671)=1,"",'RNEW import'!E671)</f>
        <v>RITS</v>
      </c>
      <c r="D673" s="211" t="str">
        <f>IF(COUNTBLANK('RNEW import'!K671)=1,"",'RNEW import'!K671)</f>
        <v>Regularizare Tarife distributie en. El IT+MT</v>
      </c>
      <c r="E673" s="211">
        <f>IF(COUNTBLANK('RNEW import'!L671)=1,"",'RNEW import'!N671)</f>
        <v>0</v>
      </c>
      <c r="F673" s="211">
        <f>IF(COUNTBLANK('RNEW import'!M671)=1,"",'RNEW import'!O671/10000)</f>
        <v>8.6180000000000007E-2</v>
      </c>
      <c r="G673" s="217">
        <f t="shared" si="174"/>
        <v>0</v>
      </c>
      <c r="H673" s="217">
        <f t="shared" si="182"/>
        <v>0</v>
      </c>
      <c r="I673" s="329">
        <f t="shared" si="175"/>
        <v>0</v>
      </c>
      <c r="J673" s="237" t="str">
        <f t="shared" si="177"/>
        <v/>
      </c>
      <c r="K673" s="238" t="str">
        <f t="shared" si="178"/>
        <v/>
      </c>
      <c r="L673" s="238" t="str">
        <f t="shared" si="179"/>
        <v/>
      </c>
      <c r="M673" s="238" t="str">
        <f t="shared" si="180"/>
        <v/>
      </c>
      <c r="N673" s="238" t="str">
        <f t="shared" si="181"/>
        <v/>
      </c>
      <c r="O673" s="232" t="str">
        <f t="shared" si="176"/>
        <v/>
      </c>
      <c r="P673" s="219" t="str">
        <f t="shared" si="183"/>
        <v/>
      </c>
      <c r="Q673" s="219" t="str">
        <f t="shared" si="184"/>
        <v/>
      </c>
      <c r="R673" s="219" t="str">
        <f t="shared" si="185"/>
        <v/>
      </c>
      <c r="S673" s="331" t="str">
        <f t="shared" si="186"/>
        <v/>
      </c>
      <c r="T673" s="331" t="str">
        <f t="shared" si="187"/>
        <v/>
      </c>
      <c r="U673" s="331" t="str">
        <f t="shared" si="188"/>
        <v/>
      </c>
    </row>
    <row r="674" spans="1:21" ht="15.95" customHeight="1">
      <c r="A674" s="211">
        <f>IF(COUNTBLANK('RNEW import'!B672)=1,"",'RNEW import'!B672)</f>
        <v>23</v>
      </c>
      <c r="B674" s="211" t="str">
        <f>IF(COUNTBLANK('RNEW import'!D672)=1,"",'RNEW import'!D672)</f>
        <v>Iris Titan Shopping Center SRL</v>
      </c>
      <c r="C674" s="211" t="str">
        <f>IF(COUNTBLANK('RNEW import'!E672)=1,"",'RNEW import'!E672)</f>
        <v>RITS</v>
      </c>
      <c r="D674" s="211" t="str">
        <f>IF(COUNTBLANK('RNEW import'!K672)=1,"",'RNEW import'!K672)</f>
        <v>Regularizare Tarife distributie en. El JT</v>
      </c>
      <c r="E674" s="211">
        <f>IF(COUNTBLANK('RNEW import'!L672)=1,"",'RNEW import'!N672)</f>
        <v>0</v>
      </c>
      <c r="F674" s="211">
        <f>IF(COUNTBLANK('RNEW import'!M672)=1,"",'RNEW import'!O672/10000)</f>
        <v>0.2079</v>
      </c>
      <c r="G674" s="217">
        <f t="shared" si="174"/>
        <v>0</v>
      </c>
      <c r="H674" s="217">
        <f t="shared" si="182"/>
        <v>0</v>
      </c>
      <c r="I674" s="329">
        <f t="shared" si="175"/>
        <v>0</v>
      </c>
      <c r="J674" s="237" t="str">
        <f t="shared" si="177"/>
        <v/>
      </c>
      <c r="K674" s="238" t="str">
        <f t="shared" si="178"/>
        <v/>
      </c>
      <c r="L674" s="238" t="str">
        <f t="shared" si="179"/>
        <v/>
      </c>
      <c r="M674" s="238" t="str">
        <f t="shared" si="180"/>
        <v/>
      </c>
      <c r="N674" s="238" t="str">
        <f t="shared" si="181"/>
        <v/>
      </c>
      <c r="O674" s="232" t="str">
        <f t="shared" si="176"/>
        <v/>
      </c>
      <c r="P674" s="219" t="str">
        <f t="shared" si="183"/>
        <v/>
      </c>
      <c r="Q674" s="219" t="str">
        <f t="shared" si="184"/>
        <v/>
      </c>
      <c r="R674" s="219" t="str">
        <f t="shared" si="185"/>
        <v/>
      </c>
      <c r="S674" s="331" t="str">
        <f t="shared" si="186"/>
        <v/>
      </c>
      <c r="T674" s="331" t="str">
        <f t="shared" si="187"/>
        <v/>
      </c>
      <c r="U674" s="331" t="str">
        <f t="shared" si="188"/>
        <v/>
      </c>
    </row>
    <row r="675" spans="1:21" ht="15.95" customHeight="1">
      <c r="A675" s="211">
        <f>IF(COUNTBLANK('RNEW import'!B673)=1,"",'RNEW import'!B673)</f>
        <v>24</v>
      </c>
      <c r="B675" s="211" t="str">
        <f>IF(COUNTBLANK('RNEW import'!D673)=1,"",'RNEW import'!D673)</f>
        <v>Iris Titan Shopping Center SRL</v>
      </c>
      <c r="C675" s="211" t="str">
        <f>IF(COUNTBLANK('RNEW import'!E673)=1,"",'RNEW import'!E673)</f>
        <v>RITS</v>
      </c>
      <c r="D675" s="211" t="str">
        <f>IF(COUNTBLANK('RNEW import'!K673)=1,"",'RNEW import'!K673)</f>
        <v xml:space="preserve">Regularizare Servicii Sistem </v>
      </c>
      <c r="E675" s="211">
        <f>IF(COUNTBLANK('RNEW import'!L673)=1,"",'RNEW import'!N673)</f>
        <v>0</v>
      </c>
      <c r="F675" s="211">
        <f>IF(COUNTBLANK('RNEW import'!M673)=1,"",'RNEW import'!O673/10000)</f>
        <v>1.1509999999999999E-2</v>
      </c>
      <c r="G675" s="217">
        <f t="shared" si="174"/>
        <v>0</v>
      </c>
      <c r="H675" s="217">
        <f t="shared" si="182"/>
        <v>0</v>
      </c>
      <c r="I675" s="329">
        <f t="shared" si="175"/>
        <v>0</v>
      </c>
      <c r="J675" s="237" t="str">
        <f t="shared" si="177"/>
        <v/>
      </c>
      <c r="K675" s="238" t="str">
        <f t="shared" si="178"/>
        <v/>
      </c>
      <c r="L675" s="238" t="str">
        <f t="shared" si="179"/>
        <v/>
      </c>
      <c r="M675" s="238" t="str">
        <f t="shared" si="180"/>
        <v/>
      </c>
      <c r="N675" s="238" t="str">
        <f t="shared" si="181"/>
        <v/>
      </c>
      <c r="O675" s="232" t="str">
        <f t="shared" si="176"/>
        <v/>
      </c>
      <c r="P675" s="219" t="str">
        <f t="shared" si="183"/>
        <v/>
      </c>
      <c r="Q675" s="219" t="str">
        <f t="shared" si="184"/>
        <v/>
      </c>
      <c r="R675" s="219" t="str">
        <f t="shared" si="185"/>
        <v/>
      </c>
      <c r="S675" s="331" t="str">
        <f t="shared" si="186"/>
        <v/>
      </c>
      <c r="T675" s="331" t="str">
        <f t="shared" si="187"/>
        <v/>
      </c>
      <c r="U675" s="331" t="str">
        <f t="shared" si="188"/>
        <v/>
      </c>
    </row>
    <row r="676" spans="1:21" ht="15.95" customHeight="1">
      <c r="A676" s="211">
        <f>IF(COUNTBLANK('RNEW import'!B674)=1,"",'RNEW import'!B674)</f>
        <v>25</v>
      </c>
      <c r="B676" s="211" t="str">
        <f>IF(COUNTBLANK('RNEW import'!D674)=1,"",'RNEW import'!D674)</f>
        <v>Iris Titan Shopping Center SRL</v>
      </c>
      <c r="C676" s="211" t="str">
        <f>IF(COUNTBLANK('RNEW import'!E674)=1,"",'RNEW import'!E674)</f>
        <v>RITS</v>
      </c>
      <c r="D676" s="211" t="str">
        <f>IF(COUNTBLANK('RNEW import'!K674)=1,"",'RNEW import'!K674)</f>
        <v>Regularizare Tarif de introducere en. el in retea (TL)</v>
      </c>
      <c r="E676" s="211">
        <f>IF(COUNTBLANK('RNEW import'!L674)=1,"",'RNEW import'!N674)</f>
        <v>0</v>
      </c>
      <c r="F676" s="211">
        <f>IF(COUNTBLANK('RNEW import'!M674)=1,"",'RNEW import'!O674/10000)</f>
        <v>3.3030000000000004E-2</v>
      </c>
      <c r="G676" s="217">
        <f t="shared" si="174"/>
        <v>0</v>
      </c>
      <c r="H676" s="217">
        <f t="shared" si="182"/>
        <v>0</v>
      </c>
      <c r="I676" s="329">
        <f t="shared" si="175"/>
        <v>0</v>
      </c>
      <c r="J676" s="237" t="str">
        <f t="shared" si="177"/>
        <v/>
      </c>
      <c r="K676" s="238" t="str">
        <f t="shared" si="178"/>
        <v/>
      </c>
      <c r="L676" s="238" t="str">
        <f t="shared" si="179"/>
        <v/>
      </c>
      <c r="M676" s="238" t="str">
        <f t="shared" si="180"/>
        <v/>
      </c>
      <c r="N676" s="238" t="str">
        <f t="shared" si="181"/>
        <v/>
      </c>
      <c r="O676" s="232" t="str">
        <f t="shared" si="176"/>
        <v/>
      </c>
      <c r="P676" s="219" t="str">
        <f t="shared" si="183"/>
        <v/>
      </c>
      <c r="Q676" s="219" t="str">
        <f t="shared" si="184"/>
        <v/>
      </c>
      <c r="R676" s="219" t="str">
        <f t="shared" si="185"/>
        <v/>
      </c>
      <c r="S676" s="331" t="str">
        <f t="shared" si="186"/>
        <v/>
      </c>
      <c r="T676" s="331" t="str">
        <f t="shared" si="187"/>
        <v/>
      </c>
      <c r="U676" s="331" t="str">
        <f t="shared" si="188"/>
        <v/>
      </c>
    </row>
    <row r="677" spans="1:21" ht="15.95" customHeight="1">
      <c r="A677" s="211">
        <f>IF(COUNTBLANK('RNEW import'!B675)=1,"",'RNEW import'!B675)</f>
        <v>26</v>
      </c>
      <c r="B677" s="211" t="str">
        <f>IF(COUNTBLANK('RNEW import'!D675)=1,"",'RNEW import'!D675)</f>
        <v>Iris Titan Shopping Center SRL</v>
      </c>
      <c r="C677" s="211" t="str">
        <f>IF(COUNTBLANK('RNEW import'!E675)=1,"",'RNEW import'!E675)</f>
        <v>RITS</v>
      </c>
      <c r="D677" s="211" t="str">
        <f>IF(COUNTBLANK('RNEW import'!K675)=1,"",'RNEW import'!K675)</f>
        <v>Regularizare Tarif de introducere en.el in retea (TG)</v>
      </c>
      <c r="E677" s="211">
        <f>IF(COUNTBLANK('RNEW import'!L675)=1,"",'RNEW import'!N675)</f>
        <v>0</v>
      </c>
      <c r="F677" s="211">
        <f>IF(COUNTBLANK('RNEW import'!M675)=1,"",'RNEW import'!O675/10000)</f>
        <v>3.29E-3</v>
      </c>
      <c r="G677" s="217">
        <f t="shared" ref="G677:G740" si="189">ROUND(E677*F677,2)</f>
        <v>0</v>
      </c>
      <c r="H677" s="217">
        <f t="shared" si="182"/>
        <v>0</v>
      </c>
      <c r="I677" s="329">
        <f t="shared" ref="I677:I740" si="190">G677+H677</f>
        <v>0</v>
      </c>
      <c r="J677" s="237" t="str">
        <f t="shared" si="177"/>
        <v/>
      </c>
      <c r="K677" s="238" t="str">
        <f t="shared" si="178"/>
        <v/>
      </c>
      <c r="L677" s="238" t="str">
        <f t="shared" si="179"/>
        <v/>
      </c>
      <c r="M677" s="238" t="str">
        <f t="shared" si="180"/>
        <v/>
      </c>
      <c r="N677" s="238" t="str">
        <f t="shared" si="181"/>
        <v/>
      </c>
      <c r="O677" s="232" t="str">
        <f t="shared" si="176"/>
        <v/>
      </c>
      <c r="P677" s="219" t="str">
        <f t="shared" si="183"/>
        <v/>
      </c>
      <c r="Q677" s="219" t="str">
        <f t="shared" si="184"/>
        <v/>
      </c>
      <c r="R677" s="219" t="str">
        <f t="shared" si="185"/>
        <v/>
      </c>
      <c r="S677" s="331" t="str">
        <f t="shared" si="186"/>
        <v/>
      </c>
      <c r="T677" s="331" t="str">
        <f t="shared" si="187"/>
        <v/>
      </c>
      <c r="U677" s="331" t="str">
        <f t="shared" si="188"/>
        <v/>
      </c>
    </row>
    <row r="678" spans="1:21" ht="15.95" customHeight="1">
      <c r="A678" s="211">
        <f>IF(COUNTBLANK('RNEW import'!B676)=1,"",'RNEW import'!B676)</f>
        <v>27</v>
      </c>
      <c r="B678" s="211" t="str">
        <f>IF(COUNTBLANK('RNEW import'!D676)=1,"",'RNEW import'!D676)</f>
        <v>Iris Titan Shopping Center SRL</v>
      </c>
      <c r="C678" s="211" t="str">
        <f>IF(COUNTBLANK('RNEW import'!E676)=1,"",'RNEW import'!E676)</f>
        <v>RITS</v>
      </c>
      <c r="D678" s="211" t="str">
        <f>IF(COUNTBLANK('RNEW import'!K676)=1,"",'RNEW import'!K676)</f>
        <v>Regularizare Contributie pentru cogenerare</v>
      </c>
      <c r="E678" s="211">
        <f>IF(COUNTBLANK('RNEW import'!L676)=1,"",'RNEW import'!N676)</f>
        <v>0</v>
      </c>
      <c r="F678" s="211">
        <f>IF(COUNTBLANK('RNEW import'!M676)=1,"",'RNEW import'!O676/10000)</f>
        <v>3.5000000000000001E-3</v>
      </c>
      <c r="G678" s="217">
        <f t="shared" si="189"/>
        <v>0</v>
      </c>
      <c r="H678" s="217">
        <f t="shared" si="182"/>
        <v>0</v>
      </c>
      <c r="I678" s="329">
        <f t="shared" si="190"/>
        <v>0</v>
      </c>
      <c r="J678" s="237" t="str">
        <f t="shared" si="177"/>
        <v/>
      </c>
      <c r="K678" s="238" t="str">
        <f t="shared" si="178"/>
        <v/>
      </c>
      <c r="L678" s="238" t="str">
        <f t="shared" si="179"/>
        <v/>
      </c>
      <c r="M678" s="238" t="str">
        <f t="shared" si="180"/>
        <v/>
      </c>
      <c r="N678" s="238" t="str">
        <f t="shared" si="181"/>
        <v/>
      </c>
      <c r="O678" s="232" t="str">
        <f t="shared" ref="O678:O741" si="191">IF(A678=1,B678,"")</f>
        <v/>
      </c>
      <c r="P678" s="219" t="str">
        <f t="shared" si="183"/>
        <v/>
      </c>
      <c r="Q678" s="219" t="str">
        <f t="shared" si="184"/>
        <v/>
      </c>
      <c r="R678" s="219" t="str">
        <f t="shared" si="185"/>
        <v/>
      </c>
      <c r="S678" s="331" t="str">
        <f t="shared" si="186"/>
        <v/>
      </c>
      <c r="T678" s="331" t="str">
        <f t="shared" si="187"/>
        <v/>
      </c>
      <c r="U678" s="331" t="str">
        <f t="shared" si="188"/>
        <v/>
      </c>
    </row>
    <row r="679" spans="1:21" ht="15.95" customHeight="1">
      <c r="A679" s="211">
        <f>IF(COUNTBLANK('RNEW import'!B677)=1,"",'RNEW import'!B677)</f>
        <v>28</v>
      </c>
      <c r="B679" s="211" t="str">
        <f>IF(COUNTBLANK('RNEW import'!D677)=1,"",'RNEW import'!D677)</f>
        <v>Iris Titan Shopping Center SRL</v>
      </c>
      <c r="C679" s="211" t="str">
        <f>IF(COUNTBLANK('RNEW import'!E677)=1,"",'RNEW import'!E677)</f>
        <v>RITS</v>
      </c>
      <c r="D679" s="211" t="str">
        <f>IF(COUNTBLANK('RNEW import'!K677)=1,"",'RNEW import'!K677)</f>
        <v xml:space="preserve">Regularizare Certificate verzi </v>
      </c>
      <c r="E679" s="211">
        <f>IF(COUNTBLANK('RNEW import'!L677)=1,"",'RNEW import'!N677)</f>
        <v>0</v>
      </c>
      <c r="F679" s="211">
        <f>IF(COUNTBLANK('RNEW import'!M677)=1,"",'RNEW import'!O677/10000)</f>
        <v>7.2541599999999998E-2</v>
      </c>
      <c r="G679" s="217">
        <f t="shared" si="189"/>
        <v>0</v>
      </c>
      <c r="H679" s="217">
        <f t="shared" si="182"/>
        <v>0</v>
      </c>
      <c r="I679" s="329">
        <f t="shared" si="190"/>
        <v>0</v>
      </c>
      <c r="J679" s="237" t="str">
        <f t="shared" si="177"/>
        <v/>
      </c>
      <c r="K679" s="238" t="str">
        <f t="shared" si="178"/>
        <v/>
      </c>
      <c r="L679" s="238" t="str">
        <f t="shared" si="179"/>
        <v/>
      </c>
      <c r="M679" s="238" t="str">
        <f t="shared" si="180"/>
        <v/>
      </c>
      <c r="N679" s="238" t="str">
        <f t="shared" si="181"/>
        <v/>
      </c>
      <c r="O679" s="232" t="str">
        <f t="shared" si="191"/>
        <v/>
      </c>
      <c r="P679" s="219" t="str">
        <f t="shared" si="183"/>
        <v/>
      </c>
      <c r="Q679" s="219" t="str">
        <f t="shared" si="184"/>
        <v/>
      </c>
      <c r="R679" s="219" t="str">
        <f t="shared" si="185"/>
        <v/>
      </c>
      <c r="S679" s="331" t="str">
        <f t="shared" si="186"/>
        <v/>
      </c>
      <c r="T679" s="331" t="str">
        <f t="shared" si="187"/>
        <v/>
      </c>
      <c r="U679" s="331" t="str">
        <f t="shared" si="188"/>
        <v/>
      </c>
    </row>
    <row r="680" spans="1:21" ht="15.95" customHeight="1">
      <c r="A680" s="211">
        <f>IF(COUNTBLANK('RNEW import'!B678)=1,"",'RNEW import'!B678)</f>
        <v>29</v>
      </c>
      <c r="B680" s="211" t="str">
        <f>IF(COUNTBLANK('RNEW import'!D678)=1,"",'RNEW import'!D678)</f>
        <v>Iris Titan Shopping Center SRL</v>
      </c>
      <c r="C680" s="211" t="str">
        <f>IF(COUNTBLANK('RNEW import'!E678)=1,"",'RNEW import'!E678)</f>
        <v>RITS</v>
      </c>
      <c r="D680" s="211" t="str">
        <f>IF(COUNTBLANK('RNEW import'!K678)=1,"",'RNEW import'!K678)</f>
        <v>Regularizare Contributie CFD</v>
      </c>
      <c r="E680" s="211">
        <f>IF(COUNTBLANK('RNEW import'!L678)=1,"",'RNEW import'!N678)</f>
        <v>0</v>
      </c>
      <c r="F680" s="211">
        <f>IF(COUNTBLANK('RNEW import'!M678)=1,"",'RNEW import'!O678/10000)</f>
        <v>2.0599999999999999E-4</v>
      </c>
      <c r="G680" s="217">
        <f t="shared" si="189"/>
        <v>0</v>
      </c>
      <c r="H680" s="217">
        <f t="shared" si="182"/>
        <v>0</v>
      </c>
      <c r="I680" s="329">
        <f t="shared" si="190"/>
        <v>0</v>
      </c>
      <c r="J680" s="237" t="str">
        <f t="shared" si="177"/>
        <v/>
      </c>
      <c r="K680" s="238" t="str">
        <f t="shared" si="178"/>
        <v/>
      </c>
      <c r="L680" s="238" t="str">
        <f t="shared" si="179"/>
        <v/>
      </c>
      <c r="M680" s="238" t="str">
        <f t="shared" si="180"/>
        <v/>
      </c>
      <c r="N680" s="238" t="str">
        <f t="shared" si="181"/>
        <v/>
      </c>
      <c r="O680" s="232" t="str">
        <f t="shared" si="191"/>
        <v/>
      </c>
      <c r="P680" s="219" t="str">
        <f t="shared" si="183"/>
        <v/>
      </c>
      <c r="Q680" s="219" t="str">
        <f t="shared" si="184"/>
        <v/>
      </c>
      <c r="R680" s="219" t="str">
        <f t="shared" si="185"/>
        <v/>
      </c>
      <c r="S680" s="331" t="str">
        <f t="shared" si="186"/>
        <v/>
      </c>
      <c r="T680" s="331" t="str">
        <f t="shared" si="187"/>
        <v/>
      </c>
      <c r="U680" s="331" t="str">
        <f t="shared" si="188"/>
        <v/>
      </c>
    </row>
    <row r="681" spans="1:21" ht="15.95" customHeight="1">
      <c r="A681" s="211">
        <f>IF(COUNTBLANK('RNEW import'!B679)=1,"",'RNEW import'!B679)</f>
        <v>30</v>
      </c>
      <c r="B681" s="211" t="str">
        <f>IF(COUNTBLANK('RNEW import'!D679)=1,"",'RNEW import'!D679)</f>
        <v>Iris Titan Shopping Center SRL</v>
      </c>
      <c r="C681" s="211" t="str">
        <f>IF(COUNTBLANK('RNEW import'!E679)=1,"",'RNEW import'!E679)</f>
        <v>RITS</v>
      </c>
      <c r="D681" s="211" t="str">
        <f>IF(COUNTBLANK('RNEW import'!K679)=1,"",'RNEW import'!K679)</f>
        <v>Regularizare Acciza</v>
      </c>
      <c r="E681" s="211">
        <f>IF(COUNTBLANK('RNEW import'!L679)=1,"",'RNEW import'!N679)</f>
        <v>0</v>
      </c>
      <c r="F681" s="211">
        <f>IF(COUNTBLANK('RNEW import'!M679)=1,"",'RNEW import'!O679/10000)</f>
        <v>0</v>
      </c>
      <c r="G681" s="217">
        <f t="shared" si="189"/>
        <v>0</v>
      </c>
      <c r="H681" s="217">
        <f t="shared" si="182"/>
        <v>0</v>
      </c>
      <c r="I681" s="329">
        <f t="shared" si="190"/>
        <v>0</v>
      </c>
      <c r="J681" s="237" t="str">
        <f t="shared" si="177"/>
        <v/>
      </c>
      <c r="K681" s="238" t="str">
        <f t="shared" si="178"/>
        <v/>
      </c>
      <c r="L681" s="238" t="str">
        <f t="shared" si="179"/>
        <v/>
      </c>
      <c r="M681" s="238" t="str">
        <f t="shared" si="180"/>
        <v/>
      </c>
      <c r="N681" s="238" t="str">
        <f t="shared" si="181"/>
        <v/>
      </c>
      <c r="O681" s="232" t="str">
        <f t="shared" si="191"/>
        <v/>
      </c>
      <c r="P681" s="219" t="str">
        <f t="shared" si="183"/>
        <v/>
      </c>
      <c r="Q681" s="219" t="str">
        <f t="shared" si="184"/>
        <v/>
      </c>
      <c r="R681" s="219" t="str">
        <f t="shared" si="185"/>
        <v/>
      </c>
      <c r="S681" s="331" t="str">
        <f t="shared" si="186"/>
        <v/>
      </c>
      <c r="T681" s="331" t="str">
        <f t="shared" si="187"/>
        <v/>
      </c>
      <c r="U681" s="331" t="str">
        <f t="shared" si="188"/>
        <v/>
      </c>
    </row>
    <row r="682" spans="1:21" ht="15.95" customHeight="1">
      <c r="A682" s="211">
        <f>IF(COUNTBLANK('RNEW import'!B680)=1,"",'RNEW import'!B680)</f>
        <v>31</v>
      </c>
      <c r="B682" s="211" t="str">
        <f>IF(COUNTBLANK('RNEW import'!D680)=1,"",'RNEW import'!D680)</f>
        <v>Iris Titan Shopping Center SRL</v>
      </c>
      <c r="C682" s="211" t="str">
        <f>IF(COUNTBLANK('RNEW import'!E680)=1,"",'RNEW import'!E680)</f>
        <v>RITS</v>
      </c>
      <c r="D682" s="211" t="str">
        <f>IF(COUNTBLANK('RNEW import'!K680)=1,"",'RNEW import'!K680)</f>
        <v>Regularizare Tarif distributie SDI MT Ea1</v>
      </c>
      <c r="E682" s="211">
        <f>IF(COUNTBLANK('RNEW import'!L680)=1,"",'RNEW import'!N680)</f>
        <v>0</v>
      </c>
      <c r="F682" s="211">
        <f>IF(COUNTBLANK('RNEW import'!M680)=1,"",'RNEW import'!O680/10000)</f>
        <v>1.1300000000000001E-2</v>
      </c>
      <c r="G682" s="217">
        <f t="shared" si="189"/>
        <v>0</v>
      </c>
      <c r="H682" s="217">
        <f t="shared" si="182"/>
        <v>0</v>
      </c>
      <c r="I682" s="329">
        <f t="shared" si="190"/>
        <v>0</v>
      </c>
      <c r="J682" s="237" t="str">
        <f t="shared" si="177"/>
        <v/>
      </c>
      <c r="K682" s="238" t="str">
        <f t="shared" si="178"/>
        <v/>
      </c>
      <c r="L682" s="238" t="str">
        <f t="shared" si="179"/>
        <v/>
      </c>
      <c r="M682" s="238" t="str">
        <f t="shared" si="180"/>
        <v/>
      </c>
      <c r="N682" s="238" t="str">
        <f t="shared" si="181"/>
        <v/>
      </c>
      <c r="O682" s="232" t="str">
        <f t="shared" si="191"/>
        <v/>
      </c>
      <c r="P682" s="219" t="str">
        <f t="shared" si="183"/>
        <v/>
      </c>
      <c r="Q682" s="219" t="str">
        <f t="shared" si="184"/>
        <v/>
      </c>
      <c r="R682" s="219" t="str">
        <f t="shared" si="185"/>
        <v/>
      </c>
      <c r="S682" s="331" t="str">
        <f t="shared" si="186"/>
        <v/>
      </c>
      <c r="T682" s="331" t="str">
        <f t="shared" si="187"/>
        <v/>
      </c>
      <c r="U682" s="331" t="str">
        <f t="shared" si="188"/>
        <v/>
      </c>
    </row>
    <row r="683" spans="1:21" ht="15.95" customHeight="1">
      <c r="A683" s="211">
        <f>IF(COUNTBLANK('RNEW import'!B681)=1,"",'RNEW import'!B681)</f>
        <v>32</v>
      </c>
      <c r="B683" s="211" t="str">
        <f>IF(COUNTBLANK('RNEW import'!D681)=1,"",'RNEW import'!D681)</f>
        <v>Iris Titan Shopping Center SRL</v>
      </c>
      <c r="C683" s="211" t="str">
        <f>IF(COUNTBLANK('RNEW import'!E681)=1,"",'RNEW import'!E681)</f>
        <v>RITS</v>
      </c>
      <c r="D683" s="211" t="str">
        <f>IF(COUNTBLANK('RNEW import'!K681)=1,"",'RNEW import'!K681)</f>
        <v>Regularizare Tarif distributie SDI JT Ea1</v>
      </c>
      <c r="E683" s="211">
        <f>IF(COUNTBLANK('RNEW import'!L681)=1,"",'RNEW import'!N681)</f>
        <v>0</v>
      </c>
      <c r="F683" s="211">
        <f>IF(COUNTBLANK('RNEW import'!M681)=1,"",'RNEW import'!O681/10000)</f>
        <v>8.4099999999999994E-2</v>
      </c>
      <c r="G683" s="217">
        <f t="shared" si="189"/>
        <v>0</v>
      </c>
      <c r="H683" s="217">
        <f t="shared" si="182"/>
        <v>0</v>
      </c>
      <c r="I683" s="329">
        <f t="shared" si="190"/>
        <v>0</v>
      </c>
      <c r="J683" s="237" t="str">
        <f t="shared" si="177"/>
        <v/>
      </c>
      <c r="K683" s="238" t="str">
        <f t="shared" si="178"/>
        <v/>
      </c>
      <c r="L683" s="238" t="str">
        <f t="shared" si="179"/>
        <v/>
      </c>
      <c r="M683" s="238" t="str">
        <f t="shared" si="180"/>
        <v/>
      </c>
      <c r="N683" s="238" t="str">
        <f t="shared" si="181"/>
        <v/>
      </c>
      <c r="O683" s="233" t="str">
        <f t="shared" si="191"/>
        <v/>
      </c>
      <c r="P683" s="219" t="str">
        <f t="shared" si="183"/>
        <v/>
      </c>
      <c r="Q683" s="219" t="str">
        <f t="shared" si="184"/>
        <v/>
      </c>
      <c r="R683" s="219" t="str">
        <f t="shared" si="185"/>
        <v/>
      </c>
      <c r="S683" s="331" t="str">
        <f t="shared" si="186"/>
        <v/>
      </c>
      <c r="T683" s="331" t="str">
        <f t="shared" si="187"/>
        <v/>
      </c>
      <c r="U683" s="331" t="str">
        <f t="shared" si="188"/>
        <v/>
      </c>
    </row>
    <row r="684" spans="1:21" ht="15.95" customHeight="1">
      <c r="A684" s="211">
        <f>IF(COUNTBLANK('RNEW import'!B682)=1,"",'RNEW import'!B682)</f>
        <v>33</v>
      </c>
      <c r="B684" s="211" t="str">
        <f>IF(COUNTBLANK('RNEW import'!D682)=1,"",'RNEW import'!D682)</f>
        <v>Iris Titan Shopping Center SRL</v>
      </c>
      <c r="C684" s="211" t="str">
        <f>IF(COUNTBLANK('RNEW import'!E682)=1,"",'RNEW import'!E682)</f>
        <v>RITS</v>
      </c>
      <c r="D684" s="211" t="str">
        <f>IF(COUNTBLANK('RNEW import'!K682)=1,"",'RNEW import'!K682)</f>
        <v>Regularizare Energie activa 2</v>
      </c>
      <c r="E684" s="211">
        <f>IF(COUNTBLANK('RNEW import'!L682)=1,"",'RNEW import'!N682)</f>
        <v>0</v>
      </c>
      <c r="F684" s="211">
        <f>IF(COUNTBLANK('RNEW import'!M682)=1,"",'RNEW import'!O682/10000)</f>
        <v>0.90065760000000006</v>
      </c>
      <c r="G684" s="217">
        <f t="shared" si="189"/>
        <v>0</v>
      </c>
      <c r="H684" s="217">
        <f t="shared" si="182"/>
        <v>0</v>
      </c>
      <c r="I684" s="329">
        <f t="shared" si="190"/>
        <v>0</v>
      </c>
      <c r="J684" s="237" t="str">
        <f t="shared" si="177"/>
        <v/>
      </c>
      <c r="K684" s="238" t="str">
        <f t="shared" si="178"/>
        <v/>
      </c>
      <c r="L684" s="238" t="str">
        <f t="shared" si="179"/>
        <v/>
      </c>
      <c r="M684" s="238" t="str">
        <f t="shared" si="180"/>
        <v/>
      </c>
      <c r="N684" s="238" t="str">
        <f t="shared" si="181"/>
        <v/>
      </c>
      <c r="O684" s="218" t="str">
        <f t="shared" si="191"/>
        <v/>
      </c>
      <c r="P684" s="219" t="str">
        <f t="shared" si="183"/>
        <v/>
      </c>
      <c r="Q684" s="219" t="str">
        <f t="shared" si="184"/>
        <v/>
      </c>
      <c r="R684" s="219" t="str">
        <f t="shared" si="185"/>
        <v/>
      </c>
      <c r="S684" s="331" t="str">
        <f t="shared" si="186"/>
        <v/>
      </c>
      <c r="T684" s="331" t="str">
        <f t="shared" si="187"/>
        <v/>
      </c>
      <c r="U684" s="331" t="str">
        <f t="shared" si="188"/>
        <v/>
      </c>
    </row>
    <row r="685" spans="1:21" ht="15.95" customHeight="1">
      <c r="A685" s="211">
        <f>IF(COUNTBLANK('RNEW import'!B683)=1,"",'RNEW import'!B683)</f>
        <v>34</v>
      </c>
      <c r="B685" s="211" t="str">
        <f>IF(COUNTBLANK('RNEW import'!D683)=1,"",'RNEW import'!D683)</f>
        <v>Iris Titan Shopping Center SRL</v>
      </c>
      <c r="C685" s="211" t="str">
        <f>IF(COUNTBLANK('RNEW import'!E683)=1,"",'RNEW import'!E683)</f>
        <v>RITS</v>
      </c>
      <c r="D685" s="211" t="str">
        <f>IF(COUNTBLANK('RNEW import'!K683)=1,"",'RNEW import'!K683)</f>
        <v>Regularizare Energie activa 3</v>
      </c>
      <c r="E685" s="211">
        <f>IF(COUNTBLANK('RNEW import'!L683)=1,"",'RNEW import'!N683)</f>
        <v>0</v>
      </c>
      <c r="F685" s="211">
        <f>IF(COUNTBLANK('RNEW import'!M683)=1,"",'RNEW import'!O683/10000)</f>
        <v>0.80525760000000002</v>
      </c>
      <c r="G685" s="217">
        <f t="shared" si="189"/>
        <v>0</v>
      </c>
      <c r="H685" s="217">
        <f t="shared" si="182"/>
        <v>0</v>
      </c>
      <c r="I685" s="329">
        <f t="shared" si="190"/>
        <v>0</v>
      </c>
      <c r="J685" s="237" t="str">
        <f t="shared" si="177"/>
        <v/>
      </c>
      <c r="K685" s="238" t="str">
        <f t="shared" si="178"/>
        <v/>
      </c>
      <c r="L685" s="238" t="str">
        <f t="shared" si="179"/>
        <v/>
      </c>
      <c r="M685" s="238" t="str">
        <f t="shared" si="180"/>
        <v/>
      </c>
      <c r="N685" s="238" t="str">
        <f t="shared" si="181"/>
        <v/>
      </c>
      <c r="O685" s="232" t="str">
        <f t="shared" si="191"/>
        <v/>
      </c>
      <c r="P685" s="219" t="str">
        <f t="shared" si="183"/>
        <v/>
      </c>
      <c r="Q685" s="219" t="str">
        <f t="shared" si="184"/>
        <v/>
      </c>
      <c r="R685" s="219" t="str">
        <f t="shared" si="185"/>
        <v/>
      </c>
      <c r="S685" s="331" t="str">
        <f t="shared" si="186"/>
        <v/>
      </c>
      <c r="T685" s="331" t="str">
        <f t="shared" si="187"/>
        <v/>
      </c>
      <c r="U685" s="331" t="str">
        <f t="shared" si="188"/>
        <v/>
      </c>
    </row>
    <row r="686" spans="1:21" ht="15.95" customHeight="1">
      <c r="A686" s="211">
        <f>IF(COUNTBLANK('RNEW import'!B684)=1,"",'RNEW import'!B684)</f>
        <v>35</v>
      </c>
      <c r="B686" s="211" t="str">
        <f>IF(COUNTBLANK('RNEW import'!D684)=1,"",'RNEW import'!D684)</f>
        <v>Iris Titan Shopping Center SRL</v>
      </c>
      <c r="C686" s="211" t="str">
        <f>IF(COUNTBLANK('RNEW import'!E684)=1,"",'RNEW import'!E684)</f>
        <v>RITS</v>
      </c>
      <c r="D686" s="211" t="str">
        <f>IF(COUNTBLANK('RNEW import'!K684)=1,"",'RNEW import'!K684)</f>
        <v>Regularizare Tarif distributie SDI MT Ea3</v>
      </c>
      <c r="E686" s="211">
        <f>IF(COUNTBLANK('RNEW import'!L684)=1,"",'RNEW import'!N684)</f>
        <v>0</v>
      </c>
      <c r="F686" s="211">
        <f>IF(COUNTBLANK('RNEW import'!M684)=1,"",'RNEW import'!O684/10000)</f>
        <v>1.1300000000000001E-2</v>
      </c>
      <c r="G686" s="217">
        <f t="shared" si="189"/>
        <v>0</v>
      </c>
      <c r="H686" s="217">
        <f t="shared" si="182"/>
        <v>0</v>
      </c>
      <c r="I686" s="329">
        <f t="shared" si="190"/>
        <v>0</v>
      </c>
      <c r="J686" s="237" t="str">
        <f t="shared" si="177"/>
        <v/>
      </c>
      <c r="K686" s="238" t="str">
        <f t="shared" si="178"/>
        <v/>
      </c>
      <c r="L686" s="238" t="str">
        <f t="shared" si="179"/>
        <v/>
      </c>
      <c r="M686" s="238" t="str">
        <f t="shared" si="180"/>
        <v/>
      </c>
      <c r="N686" s="238" t="str">
        <f t="shared" si="181"/>
        <v/>
      </c>
      <c r="O686" s="232" t="str">
        <f t="shared" si="191"/>
        <v/>
      </c>
      <c r="P686" s="219" t="str">
        <f t="shared" si="183"/>
        <v/>
      </c>
      <c r="Q686" s="219" t="str">
        <f t="shared" si="184"/>
        <v/>
      </c>
      <c r="R686" s="219" t="str">
        <f t="shared" si="185"/>
        <v/>
      </c>
      <c r="S686" s="331" t="str">
        <f t="shared" si="186"/>
        <v/>
      </c>
      <c r="T686" s="331" t="str">
        <f t="shared" si="187"/>
        <v/>
      </c>
      <c r="U686" s="331" t="str">
        <f t="shared" si="188"/>
        <v/>
      </c>
    </row>
    <row r="687" spans="1:21" ht="15.95" customHeight="1">
      <c r="A687" s="211">
        <f>IF(COUNTBLANK('RNEW import'!B685)=1,"",'RNEW import'!B685)</f>
        <v>36</v>
      </c>
      <c r="B687" s="211" t="str">
        <f>IF(COUNTBLANK('RNEW import'!D685)=1,"",'RNEW import'!D685)</f>
        <v>Iris Titan Shopping Center SRL</v>
      </c>
      <c r="C687" s="211" t="str">
        <f>IF(COUNTBLANK('RNEW import'!E685)=1,"",'RNEW import'!E685)</f>
        <v>RITS</v>
      </c>
      <c r="D687" s="211" t="str">
        <f>IF(COUNTBLANK('RNEW import'!K685)=1,"",'RNEW import'!K685)</f>
        <v>Regularizare Tarif distributie SDI JT Ea3</v>
      </c>
      <c r="E687" s="211">
        <f>IF(COUNTBLANK('RNEW import'!L685)=1,"",'RNEW import'!N685)</f>
        <v>0</v>
      </c>
      <c r="F687" s="211">
        <f>IF(COUNTBLANK('RNEW import'!M685)=1,"",'RNEW import'!O685/10000)</f>
        <v>8.4099999999999994E-2</v>
      </c>
      <c r="G687" s="217">
        <f t="shared" si="189"/>
        <v>0</v>
      </c>
      <c r="H687" s="217">
        <f t="shared" si="182"/>
        <v>0</v>
      </c>
      <c r="I687" s="329">
        <f t="shared" si="190"/>
        <v>0</v>
      </c>
      <c r="J687" s="237" t="str">
        <f t="shared" si="177"/>
        <v/>
      </c>
      <c r="K687" s="238" t="str">
        <f t="shared" si="178"/>
        <v/>
      </c>
      <c r="L687" s="238" t="str">
        <f t="shared" si="179"/>
        <v/>
      </c>
      <c r="M687" s="238" t="str">
        <f t="shared" si="180"/>
        <v/>
      </c>
      <c r="N687" s="238" t="str">
        <f t="shared" si="181"/>
        <v/>
      </c>
      <c r="O687" s="232" t="str">
        <f t="shared" si="191"/>
        <v/>
      </c>
      <c r="P687" s="219" t="str">
        <f t="shared" si="183"/>
        <v>Energie consumata din PV regularizare</v>
      </c>
      <c r="Q687" s="219">
        <f t="shared" si="184"/>
        <v>0</v>
      </c>
      <c r="R687" s="219">
        <f t="shared" si="185"/>
        <v>0</v>
      </c>
      <c r="S687" s="331">
        <f t="shared" si="186"/>
        <v>0</v>
      </c>
      <c r="T687" s="331">
        <f t="shared" si="187"/>
        <v>0</v>
      </c>
      <c r="U687" s="331">
        <f t="shared" si="188"/>
        <v>0</v>
      </c>
    </row>
    <row r="688" spans="1:21" ht="15.95" customHeight="1">
      <c r="A688" s="211">
        <f>IF(COUNTBLANK('RNEW import'!B686)=1,"",'RNEW import'!B686)</f>
        <v>1</v>
      </c>
      <c r="B688" s="211" t="str">
        <f>IF(COUNTBLANK('RNEW import'!D686)=1,"",'RNEW import'!D686)</f>
        <v>NRE Sibiu Shopping City SRL</v>
      </c>
      <c r="C688" s="211" t="str">
        <f>IF(COUNTBLANK('RNEW import'!E686)=1,"",'RNEW import'!E686)</f>
        <v>RNSS</v>
      </c>
      <c r="D688" s="211" t="str">
        <f>IF(COUNTBLANK('RNEW import'!K686)=1,"",'RNEW import'!K686)</f>
        <v>Energie activa 1</v>
      </c>
      <c r="E688" s="211">
        <f>IF(COUNTBLANK('RNEW import'!L686)=1,"",'RNEW import'!N686)</f>
        <v>312565</v>
      </c>
      <c r="F688" s="211">
        <f>IF(COUNTBLANK('RNEW import'!M686)=1,"",'RNEW import'!O686/10000)</f>
        <v>0.59499999999999997</v>
      </c>
      <c r="G688" s="217">
        <f t="shared" si="189"/>
        <v>185976.18</v>
      </c>
      <c r="H688" s="217">
        <f t="shared" si="182"/>
        <v>35335.47</v>
      </c>
      <c r="I688" s="329">
        <f t="shared" si="190"/>
        <v>221311.65</v>
      </c>
      <c r="J688" s="237" t="str">
        <f t="shared" si="177"/>
        <v>NRE Sibiu Shopping City SRL</v>
      </c>
      <c r="K688" s="238">
        <f t="shared" si="178"/>
        <v>32602.14</v>
      </c>
      <c r="L688" s="238">
        <f t="shared" si="179"/>
        <v>261614.17</v>
      </c>
      <c r="M688" s="238">
        <f t="shared" si="180"/>
        <v>176603.9</v>
      </c>
      <c r="N688" s="238">
        <f t="shared" si="181"/>
        <v>309612</v>
      </c>
      <c r="O688" s="232" t="str">
        <f t="shared" si="191"/>
        <v>NRE Sibiu Shopping City SRL</v>
      </c>
      <c r="P688" s="219" t="str">
        <f t="shared" si="183"/>
        <v>Enegie activa</v>
      </c>
      <c r="Q688" s="219">
        <f t="shared" si="184"/>
        <v>312565</v>
      </c>
      <c r="R688" s="219">
        <f t="shared" si="185"/>
        <v>0.94044300000000003</v>
      </c>
      <c r="S688" s="331">
        <f t="shared" si="186"/>
        <v>293949.68</v>
      </c>
      <c r="T688" s="331">
        <f t="shared" si="187"/>
        <v>55850.43</v>
      </c>
      <c r="U688" s="331">
        <f t="shared" si="188"/>
        <v>349800.11</v>
      </c>
    </row>
    <row r="689" spans="1:21" ht="15.95" customHeight="1">
      <c r="A689" s="211">
        <f>IF(COUNTBLANK('RNEW import'!B687)=1,"",'RNEW import'!B687)</f>
        <v>2</v>
      </c>
      <c r="B689" s="211" t="str">
        <f>IF(COUNTBLANK('RNEW import'!D687)=1,"",'RNEW import'!D687)</f>
        <v>NRE Sibiu Shopping City SRL</v>
      </c>
      <c r="C689" s="211" t="str">
        <f>IF(COUNTBLANK('RNEW import'!E687)=1,"",'RNEW import'!E687)</f>
        <v>RNSS</v>
      </c>
      <c r="D689" s="211" t="str">
        <f>IF(COUNTBLANK('RNEW import'!K687)=1,"",'RNEW import'!K687)</f>
        <v>Energie reactiva  1X</v>
      </c>
      <c r="E689" s="211">
        <f>IF(COUNTBLANK('RNEW import'!L687)=1,"",'RNEW import'!N687)</f>
        <v>0</v>
      </c>
      <c r="F689" s="211">
        <f>IF(COUNTBLANK('RNEW import'!M687)=1,"",'RNEW import'!O687/10000)</f>
        <v>0.14649999999999999</v>
      </c>
      <c r="G689" s="217">
        <f t="shared" si="189"/>
        <v>0</v>
      </c>
      <c r="H689" s="217">
        <f t="shared" si="182"/>
        <v>0</v>
      </c>
      <c r="I689" s="329">
        <f t="shared" si="190"/>
        <v>0</v>
      </c>
      <c r="J689" s="237" t="str">
        <f t="shared" si="177"/>
        <v/>
      </c>
      <c r="K689" s="238" t="str">
        <f t="shared" si="178"/>
        <v/>
      </c>
      <c r="L689" s="238" t="str">
        <f t="shared" si="179"/>
        <v/>
      </c>
      <c r="M689" s="238" t="str">
        <f t="shared" si="180"/>
        <v/>
      </c>
      <c r="N689" s="238" t="str">
        <f t="shared" si="181"/>
        <v/>
      </c>
      <c r="O689" s="232" t="str">
        <f t="shared" si="191"/>
        <v/>
      </c>
      <c r="P689" s="219" t="str">
        <f t="shared" si="183"/>
        <v>Energie reactiva 1x</v>
      </c>
      <c r="Q689" s="219">
        <f t="shared" si="184"/>
        <v>0</v>
      </c>
      <c r="R689" s="219">
        <f t="shared" si="185"/>
        <v>0.14649999999999999</v>
      </c>
      <c r="S689" s="331">
        <f t="shared" si="186"/>
        <v>0</v>
      </c>
      <c r="T689" s="331">
        <f t="shared" si="187"/>
        <v>0</v>
      </c>
      <c r="U689" s="331">
        <f t="shared" si="188"/>
        <v>0</v>
      </c>
    </row>
    <row r="690" spans="1:21" ht="15.95" customHeight="1">
      <c r="A690" s="211">
        <f>IF(COUNTBLANK('RNEW import'!B688)=1,"",'RNEW import'!B688)</f>
        <v>3</v>
      </c>
      <c r="B690" s="211" t="str">
        <f>IF(COUNTBLANK('RNEW import'!D688)=1,"",'RNEW import'!D688)</f>
        <v>NRE Sibiu Shopping City SRL</v>
      </c>
      <c r="C690" s="211" t="str">
        <f>IF(COUNTBLANK('RNEW import'!E688)=1,"",'RNEW import'!E688)</f>
        <v>RNSS</v>
      </c>
      <c r="D690" s="211" t="str">
        <f>IF(COUNTBLANK('RNEW import'!K688)=1,"",'RNEW import'!K688)</f>
        <v>Energie reactiva  3X</v>
      </c>
      <c r="E690" s="211">
        <f>IF(COUNTBLANK('RNEW import'!L688)=1,"",'RNEW import'!N688)</f>
        <v>0</v>
      </c>
      <c r="F690" s="211">
        <f>IF(COUNTBLANK('RNEW import'!M688)=1,"",'RNEW import'!O688/10000)</f>
        <v>0.4395</v>
      </c>
      <c r="G690" s="217">
        <f t="shared" si="189"/>
        <v>0</v>
      </c>
      <c r="H690" s="217">
        <f t="shared" si="182"/>
        <v>0</v>
      </c>
      <c r="I690" s="329">
        <f t="shared" si="190"/>
        <v>0</v>
      </c>
      <c r="J690" s="237" t="str">
        <f t="shared" si="177"/>
        <v/>
      </c>
      <c r="K690" s="238" t="str">
        <f t="shared" si="178"/>
        <v/>
      </c>
      <c r="L690" s="238" t="str">
        <f t="shared" si="179"/>
        <v/>
      </c>
      <c r="M690" s="238" t="str">
        <f t="shared" si="180"/>
        <v/>
      </c>
      <c r="N690" s="238" t="str">
        <f t="shared" si="181"/>
        <v/>
      </c>
      <c r="O690" s="232" t="str">
        <f t="shared" si="191"/>
        <v/>
      </c>
      <c r="P690" s="219" t="str">
        <f t="shared" si="183"/>
        <v>Energie reactiva 3x</v>
      </c>
      <c r="Q690" s="219">
        <f t="shared" si="184"/>
        <v>0</v>
      </c>
      <c r="R690" s="219">
        <f t="shared" si="185"/>
        <v>0.4395</v>
      </c>
      <c r="S690" s="331">
        <f t="shared" si="186"/>
        <v>0</v>
      </c>
      <c r="T690" s="331">
        <f t="shared" si="187"/>
        <v>0</v>
      </c>
      <c r="U690" s="331">
        <f t="shared" si="188"/>
        <v>0</v>
      </c>
    </row>
    <row r="691" spans="1:21" ht="15.95" customHeight="1">
      <c r="A691" s="211">
        <f>IF(COUNTBLANK('RNEW import'!B689)=1,"",'RNEW import'!B689)</f>
        <v>4</v>
      </c>
      <c r="B691" s="211" t="str">
        <f>IF(COUNTBLANK('RNEW import'!D689)=1,"",'RNEW import'!D689)</f>
        <v>NRE Sibiu Shopping City SRL</v>
      </c>
      <c r="C691" s="211" t="str">
        <f>IF(COUNTBLANK('RNEW import'!E689)=1,"",'RNEW import'!E689)</f>
        <v>RNSS</v>
      </c>
      <c r="D691" s="211" t="str">
        <f>IF(COUNTBLANK('RNEW import'!K689)=1,"",'RNEW import'!K689)</f>
        <v>Tarife distributie en. El IT+MT</v>
      </c>
      <c r="E691" s="211">
        <f>IF(COUNTBLANK('RNEW import'!L689)=1,"",'RNEW import'!N689)</f>
        <v>312565</v>
      </c>
      <c r="F691" s="211">
        <f>IF(COUNTBLANK('RNEW import'!M689)=1,"",'RNEW import'!O689/10000)</f>
        <v>0.11483</v>
      </c>
      <c r="G691" s="217">
        <f t="shared" si="189"/>
        <v>35891.839999999997</v>
      </c>
      <c r="H691" s="217">
        <f t="shared" si="182"/>
        <v>6819.45</v>
      </c>
      <c r="I691" s="329">
        <f t="shared" si="190"/>
        <v>42711.289999999994</v>
      </c>
      <c r="J691" s="237" t="str">
        <f t="shared" si="177"/>
        <v/>
      </c>
      <c r="K691" s="238" t="str">
        <f t="shared" si="178"/>
        <v/>
      </c>
      <c r="L691" s="238" t="str">
        <f t="shared" si="179"/>
        <v/>
      </c>
      <c r="M691" s="238" t="str">
        <f t="shared" si="180"/>
        <v/>
      </c>
      <c r="N691" s="238" t="str">
        <f t="shared" si="181"/>
        <v/>
      </c>
      <c r="O691" s="232" t="str">
        <f t="shared" si="191"/>
        <v/>
      </c>
      <c r="P691" s="219" t="str">
        <f t="shared" si="183"/>
        <v/>
      </c>
      <c r="Q691" s="219" t="str">
        <f t="shared" si="184"/>
        <v/>
      </c>
      <c r="R691" s="219" t="str">
        <f t="shared" si="185"/>
        <v/>
      </c>
      <c r="S691" s="331" t="str">
        <f t="shared" si="186"/>
        <v/>
      </c>
      <c r="T691" s="331" t="str">
        <f t="shared" si="187"/>
        <v/>
      </c>
      <c r="U691" s="331" t="str">
        <f t="shared" si="188"/>
        <v/>
      </c>
    </row>
    <row r="692" spans="1:21" ht="15.95" customHeight="1">
      <c r="A692" s="211">
        <f>IF(COUNTBLANK('RNEW import'!B690)=1,"",'RNEW import'!B690)</f>
        <v>5</v>
      </c>
      <c r="B692" s="211" t="str">
        <f>IF(COUNTBLANK('RNEW import'!D690)=1,"",'RNEW import'!D690)</f>
        <v>NRE Sibiu Shopping City SRL</v>
      </c>
      <c r="C692" s="211" t="str">
        <f>IF(COUNTBLANK('RNEW import'!E690)=1,"",'RNEW import'!E690)</f>
        <v>RNSS</v>
      </c>
      <c r="D692" s="211" t="str">
        <f>IF(COUNTBLANK('RNEW import'!K690)=1,"",'RNEW import'!K690)</f>
        <v>Tarife distributie en. El JT</v>
      </c>
      <c r="E692" s="211">
        <f>IF(COUNTBLANK('RNEW import'!L690)=1,"",'RNEW import'!N690)</f>
        <v>2953</v>
      </c>
      <c r="F692" s="211">
        <f>IF(COUNTBLANK('RNEW import'!M690)=1,"",'RNEW import'!O690/10000)</f>
        <v>0.2361</v>
      </c>
      <c r="G692" s="217">
        <f t="shared" si="189"/>
        <v>697.2</v>
      </c>
      <c r="H692" s="217">
        <f t="shared" si="182"/>
        <v>132.47</v>
      </c>
      <c r="I692" s="329">
        <f t="shared" si="190"/>
        <v>829.67000000000007</v>
      </c>
      <c r="J692" s="237" t="str">
        <f t="shared" si="177"/>
        <v/>
      </c>
      <c r="K692" s="238" t="str">
        <f t="shared" si="178"/>
        <v/>
      </c>
      <c r="L692" s="238" t="str">
        <f t="shared" si="179"/>
        <v/>
      </c>
      <c r="M692" s="238" t="str">
        <f t="shared" si="180"/>
        <v/>
      </c>
      <c r="N692" s="238" t="str">
        <f t="shared" si="181"/>
        <v/>
      </c>
      <c r="O692" s="232" t="str">
        <f t="shared" si="191"/>
        <v/>
      </c>
      <c r="P692" s="219" t="str">
        <f t="shared" si="183"/>
        <v/>
      </c>
      <c r="Q692" s="219" t="str">
        <f t="shared" si="184"/>
        <v/>
      </c>
      <c r="R692" s="219" t="str">
        <f t="shared" si="185"/>
        <v/>
      </c>
      <c r="S692" s="331" t="str">
        <f t="shared" si="186"/>
        <v/>
      </c>
      <c r="T692" s="331" t="str">
        <f t="shared" si="187"/>
        <v/>
      </c>
      <c r="U692" s="331" t="str">
        <f t="shared" si="188"/>
        <v/>
      </c>
    </row>
    <row r="693" spans="1:21" ht="15.95" customHeight="1">
      <c r="A693" s="211">
        <f>IF(COUNTBLANK('RNEW import'!B691)=1,"",'RNEW import'!B691)</f>
        <v>6</v>
      </c>
      <c r="B693" s="211" t="str">
        <f>IF(COUNTBLANK('RNEW import'!D691)=1,"",'RNEW import'!D691)</f>
        <v>NRE Sibiu Shopping City SRL</v>
      </c>
      <c r="C693" s="211" t="str">
        <f>IF(COUNTBLANK('RNEW import'!E691)=1,"",'RNEW import'!E691)</f>
        <v>RNSS</v>
      </c>
      <c r="D693" s="211" t="str">
        <f>IF(COUNTBLANK('RNEW import'!K691)=1,"",'RNEW import'!K691)</f>
        <v xml:space="preserve">Servicii Sistem </v>
      </c>
      <c r="E693" s="211">
        <f>IF(COUNTBLANK('RNEW import'!L691)=1,"",'RNEW import'!N691)</f>
        <v>312565</v>
      </c>
      <c r="F693" s="211">
        <f>IF(COUNTBLANK('RNEW import'!M691)=1,"",'RNEW import'!O691/10000)</f>
        <v>1.1509999999999999E-2</v>
      </c>
      <c r="G693" s="217">
        <f t="shared" si="189"/>
        <v>3597.62</v>
      </c>
      <c r="H693" s="217">
        <f t="shared" si="182"/>
        <v>683.55</v>
      </c>
      <c r="I693" s="329">
        <f t="shared" si="190"/>
        <v>4281.17</v>
      </c>
      <c r="J693" s="237" t="str">
        <f t="shared" si="177"/>
        <v/>
      </c>
      <c r="K693" s="238" t="str">
        <f t="shared" si="178"/>
        <v/>
      </c>
      <c r="L693" s="238" t="str">
        <f t="shared" si="179"/>
        <v/>
      </c>
      <c r="M693" s="238" t="str">
        <f t="shared" si="180"/>
        <v/>
      </c>
      <c r="N693" s="238" t="str">
        <f t="shared" si="181"/>
        <v/>
      </c>
      <c r="O693" s="232" t="str">
        <f t="shared" si="191"/>
        <v/>
      </c>
      <c r="P693" s="219" t="str">
        <f t="shared" si="183"/>
        <v/>
      </c>
      <c r="Q693" s="219" t="str">
        <f t="shared" si="184"/>
        <v/>
      </c>
      <c r="R693" s="219" t="str">
        <f t="shared" si="185"/>
        <v/>
      </c>
      <c r="S693" s="331" t="str">
        <f t="shared" si="186"/>
        <v/>
      </c>
      <c r="T693" s="331" t="str">
        <f t="shared" si="187"/>
        <v/>
      </c>
      <c r="U693" s="331" t="str">
        <f t="shared" si="188"/>
        <v/>
      </c>
    </row>
    <row r="694" spans="1:21" ht="15.95" customHeight="1">
      <c r="A694" s="211">
        <f>IF(COUNTBLANK('RNEW import'!B692)=1,"",'RNEW import'!B692)</f>
        <v>7</v>
      </c>
      <c r="B694" s="211" t="str">
        <f>IF(COUNTBLANK('RNEW import'!D692)=1,"",'RNEW import'!D692)</f>
        <v>NRE Sibiu Shopping City SRL</v>
      </c>
      <c r="C694" s="211" t="str">
        <f>IF(COUNTBLANK('RNEW import'!E692)=1,"",'RNEW import'!E692)</f>
        <v>RNSS</v>
      </c>
      <c r="D694" s="211" t="str">
        <f>IF(COUNTBLANK('RNEW import'!K692)=1,"",'RNEW import'!K692)</f>
        <v>Tarif de introducere en. el in retea (TL)</v>
      </c>
      <c r="E694" s="211">
        <f>IF(COUNTBLANK('RNEW import'!L692)=1,"",'RNEW import'!N692)</f>
        <v>312565</v>
      </c>
      <c r="F694" s="211">
        <f>IF(COUNTBLANK('RNEW import'!M692)=1,"",'RNEW import'!O692/10000)</f>
        <v>3.3030000000000004E-2</v>
      </c>
      <c r="G694" s="217">
        <f t="shared" si="189"/>
        <v>10324.02</v>
      </c>
      <c r="H694" s="217">
        <f t="shared" si="182"/>
        <v>1961.56</v>
      </c>
      <c r="I694" s="329">
        <f t="shared" si="190"/>
        <v>12285.58</v>
      </c>
      <c r="J694" s="237" t="str">
        <f t="shared" si="177"/>
        <v/>
      </c>
      <c r="K694" s="238" t="str">
        <f t="shared" si="178"/>
        <v/>
      </c>
      <c r="L694" s="238" t="str">
        <f t="shared" si="179"/>
        <v/>
      </c>
      <c r="M694" s="238" t="str">
        <f t="shared" si="180"/>
        <v/>
      </c>
      <c r="N694" s="238" t="str">
        <f t="shared" si="181"/>
        <v/>
      </c>
      <c r="O694" s="232" t="str">
        <f t="shared" si="191"/>
        <v/>
      </c>
      <c r="P694" s="219" t="str">
        <f t="shared" si="183"/>
        <v/>
      </c>
      <c r="Q694" s="219" t="str">
        <f t="shared" si="184"/>
        <v/>
      </c>
      <c r="R694" s="219" t="str">
        <f t="shared" si="185"/>
        <v/>
      </c>
      <c r="S694" s="331" t="str">
        <f t="shared" si="186"/>
        <v/>
      </c>
      <c r="T694" s="331" t="str">
        <f t="shared" si="187"/>
        <v/>
      </c>
      <c r="U694" s="331" t="str">
        <f t="shared" si="188"/>
        <v/>
      </c>
    </row>
    <row r="695" spans="1:21" ht="15.95" customHeight="1">
      <c r="A695" s="211">
        <f>IF(COUNTBLANK('RNEW import'!B693)=1,"",'RNEW import'!B693)</f>
        <v>8</v>
      </c>
      <c r="B695" s="211" t="str">
        <f>IF(COUNTBLANK('RNEW import'!D693)=1,"",'RNEW import'!D693)</f>
        <v>NRE Sibiu Shopping City SRL</v>
      </c>
      <c r="C695" s="211" t="str">
        <f>IF(COUNTBLANK('RNEW import'!E693)=1,"",'RNEW import'!E693)</f>
        <v>RNSS</v>
      </c>
      <c r="D695" s="211" t="str">
        <f>IF(COUNTBLANK('RNEW import'!K693)=1,"",'RNEW import'!K693)</f>
        <v>Tarif de introducere en.el in retea (TG)</v>
      </c>
      <c r="E695" s="211">
        <f>IF(COUNTBLANK('RNEW import'!L693)=1,"",'RNEW import'!N693)</f>
        <v>312565</v>
      </c>
      <c r="F695" s="211">
        <f>IF(COUNTBLANK('RNEW import'!M693)=1,"",'RNEW import'!O693/10000)</f>
        <v>3.29E-3</v>
      </c>
      <c r="G695" s="217">
        <f t="shared" si="189"/>
        <v>1028.3399999999999</v>
      </c>
      <c r="H695" s="217">
        <f t="shared" si="182"/>
        <v>195.38</v>
      </c>
      <c r="I695" s="329">
        <f t="shared" si="190"/>
        <v>1223.7199999999998</v>
      </c>
      <c r="J695" s="237" t="str">
        <f t="shared" si="177"/>
        <v/>
      </c>
      <c r="K695" s="238" t="str">
        <f t="shared" si="178"/>
        <v/>
      </c>
      <c r="L695" s="238" t="str">
        <f t="shared" si="179"/>
        <v/>
      </c>
      <c r="M695" s="238" t="str">
        <f t="shared" si="180"/>
        <v/>
      </c>
      <c r="N695" s="238" t="str">
        <f t="shared" si="181"/>
        <v/>
      </c>
      <c r="O695" s="232" t="str">
        <f t="shared" si="191"/>
        <v/>
      </c>
      <c r="P695" s="219" t="str">
        <f t="shared" si="183"/>
        <v/>
      </c>
      <c r="Q695" s="219" t="str">
        <f t="shared" si="184"/>
        <v/>
      </c>
      <c r="R695" s="219" t="str">
        <f t="shared" si="185"/>
        <v/>
      </c>
      <c r="S695" s="331" t="str">
        <f t="shared" si="186"/>
        <v/>
      </c>
      <c r="T695" s="331" t="str">
        <f t="shared" si="187"/>
        <v/>
      </c>
      <c r="U695" s="331" t="str">
        <f t="shared" si="188"/>
        <v/>
      </c>
    </row>
    <row r="696" spans="1:21" ht="15.95" customHeight="1">
      <c r="A696" s="211">
        <f>IF(COUNTBLANK('RNEW import'!B694)=1,"",'RNEW import'!B694)</f>
        <v>9</v>
      </c>
      <c r="B696" s="211" t="str">
        <f>IF(COUNTBLANK('RNEW import'!D694)=1,"",'RNEW import'!D694)</f>
        <v>NRE Sibiu Shopping City SRL</v>
      </c>
      <c r="C696" s="211" t="str">
        <f>IF(COUNTBLANK('RNEW import'!E694)=1,"",'RNEW import'!E694)</f>
        <v>RNSS</v>
      </c>
      <c r="D696" s="211" t="str">
        <f>IF(COUNTBLANK('RNEW import'!K694)=1,"",'RNEW import'!K694)</f>
        <v>Contributie pentru cogenerare</v>
      </c>
      <c r="E696" s="211">
        <f>IF(COUNTBLANK('RNEW import'!L694)=1,"",'RNEW import'!N694)</f>
        <v>312565</v>
      </c>
      <c r="F696" s="211">
        <f>IF(COUNTBLANK('RNEW import'!M694)=1,"",'RNEW import'!O694/10000)</f>
        <v>3.5000000000000001E-3</v>
      </c>
      <c r="G696" s="217">
        <f t="shared" si="189"/>
        <v>1093.98</v>
      </c>
      <c r="H696" s="217">
        <f t="shared" si="182"/>
        <v>207.86</v>
      </c>
      <c r="I696" s="329">
        <f t="shared" si="190"/>
        <v>1301.8400000000001</v>
      </c>
      <c r="J696" s="237" t="str">
        <f t="shared" si="177"/>
        <v/>
      </c>
      <c r="K696" s="238" t="str">
        <f t="shared" si="178"/>
        <v/>
      </c>
      <c r="L696" s="238" t="str">
        <f t="shared" si="179"/>
        <v/>
      </c>
      <c r="M696" s="238" t="str">
        <f t="shared" si="180"/>
        <v/>
      </c>
      <c r="N696" s="238" t="str">
        <f t="shared" si="181"/>
        <v/>
      </c>
      <c r="O696" s="232" t="str">
        <f t="shared" si="191"/>
        <v/>
      </c>
      <c r="P696" s="219" t="str">
        <f t="shared" si="183"/>
        <v/>
      </c>
      <c r="Q696" s="219" t="str">
        <f t="shared" si="184"/>
        <v/>
      </c>
      <c r="R696" s="219" t="str">
        <f t="shared" si="185"/>
        <v/>
      </c>
      <c r="S696" s="331" t="str">
        <f t="shared" si="186"/>
        <v/>
      </c>
      <c r="T696" s="331" t="str">
        <f t="shared" si="187"/>
        <v/>
      </c>
      <c r="U696" s="331" t="str">
        <f t="shared" si="188"/>
        <v/>
      </c>
    </row>
    <row r="697" spans="1:21" ht="15.95" customHeight="1">
      <c r="A697" s="211">
        <f>IF(COUNTBLANK('RNEW import'!B695)=1,"",'RNEW import'!B695)</f>
        <v>10</v>
      </c>
      <c r="B697" s="211" t="str">
        <f>IF(COUNTBLANK('RNEW import'!D695)=1,"",'RNEW import'!D695)</f>
        <v>NRE Sibiu Shopping City SRL</v>
      </c>
      <c r="C697" s="211" t="str">
        <f>IF(COUNTBLANK('RNEW import'!E695)=1,"",'RNEW import'!E695)</f>
        <v>RNSS</v>
      </c>
      <c r="D697" s="211" t="str">
        <f>IF(COUNTBLANK('RNEW import'!K695)=1,"",'RNEW import'!K695)</f>
        <v xml:space="preserve">Certificate verzi </v>
      </c>
      <c r="E697" s="211">
        <f>IF(COUNTBLANK('RNEW import'!L695)=1,"",'RNEW import'!N695)</f>
        <v>312565</v>
      </c>
      <c r="F697" s="211">
        <f>IF(COUNTBLANK('RNEW import'!M695)=1,"",'RNEW import'!O695/10000)</f>
        <v>7.2541599999999998E-2</v>
      </c>
      <c r="G697" s="217">
        <f t="shared" si="189"/>
        <v>22673.97</v>
      </c>
      <c r="H697" s="217">
        <f t="shared" si="182"/>
        <v>4308.05</v>
      </c>
      <c r="I697" s="329">
        <f t="shared" si="190"/>
        <v>26982.02</v>
      </c>
      <c r="J697" s="237" t="str">
        <f t="shared" si="177"/>
        <v/>
      </c>
      <c r="K697" s="238" t="str">
        <f t="shared" si="178"/>
        <v/>
      </c>
      <c r="L697" s="238" t="str">
        <f t="shared" si="179"/>
        <v/>
      </c>
      <c r="M697" s="238" t="str">
        <f t="shared" si="180"/>
        <v/>
      </c>
      <c r="N697" s="238" t="str">
        <f t="shared" si="181"/>
        <v/>
      </c>
      <c r="O697" s="232" t="str">
        <f t="shared" si="191"/>
        <v/>
      </c>
      <c r="P697" s="219" t="str">
        <f t="shared" si="183"/>
        <v/>
      </c>
      <c r="Q697" s="219" t="str">
        <f t="shared" si="184"/>
        <v/>
      </c>
      <c r="R697" s="219" t="str">
        <f t="shared" si="185"/>
        <v/>
      </c>
      <c r="S697" s="331" t="str">
        <f t="shared" si="186"/>
        <v/>
      </c>
      <c r="T697" s="331" t="str">
        <f t="shared" si="187"/>
        <v/>
      </c>
      <c r="U697" s="331" t="str">
        <f t="shared" si="188"/>
        <v/>
      </c>
    </row>
    <row r="698" spans="1:21" ht="15.95" customHeight="1">
      <c r="A698" s="211">
        <f>IF(COUNTBLANK('RNEW import'!B696)=1,"",'RNEW import'!B696)</f>
        <v>11</v>
      </c>
      <c r="B698" s="211" t="str">
        <f>IF(COUNTBLANK('RNEW import'!D696)=1,"",'RNEW import'!D696)</f>
        <v>NRE Sibiu Shopping City SRL</v>
      </c>
      <c r="C698" s="211" t="str">
        <f>IF(COUNTBLANK('RNEW import'!E696)=1,"",'RNEW import'!E696)</f>
        <v>RNSS</v>
      </c>
      <c r="D698" s="211" t="str">
        <f>IF(COUNTBLANK('RNEW import'!K696)=1,"",'RNEW import'!K696)</f>
        <v>Contributie CFD</v>
      </c>
      <c r="E698" s="211">
        <f>IF(COUNTBLANK('RNEW import'!L696)=1,"",'RNEW import'!N696)</f>
        <v>312565</v>
      </c>
      <c r="F698" s="211">
        <f>IF(COUNTBLANK('RNEW import'!M696)=1,"",'RNEW import'!O696/10000)</f>
        <v>2.0599999999999999E-4</v>
      </c>
      <c r="G698" s="217">
        <f t="shared" si="189"/>
        <v>64.39</v>
      </c>
      <c r="H698" s="217">
        <f t="shared" si="182"/>
        <v>12.23</v>
      </c>
      <c r="I698" s="329">
        <f t="shared" si="190"/>
        <v>76.62</v>
      </c>
      <c r="J698" s="237" t="str">
        <f t="shared" si="177"/>
        <v/>
      </c>
      <c r="K698" s="238" t="str">
        <f t="shared" si="178"/>
        <v/>
      </c>
      <c r="L698" s="238" t="str">
        <f t="shared" si="179"/>
        <v/>
      </c>
      <c r="M698" s="238" t="str">
        <f t="shared" si="180"/>
        <v/>
      </c>
      <c r="N698" s="238" t="str">
        <f t="shared" si="181"/>
        <v/>
      </c>
      <c r="O698" s="232" t="str">
        <f t="shared" si="191"/>
        <v/>
      </c>
      <c r="P698" s="219" t="str">
        <f t="shared" si="183"/>
        <v/>
      </c>
      <c r="Q698" s="219" t="str">
        <f t="shared" si="184"/>
        <v/>
      </c>
      <c r="R698" s="219" t="str">
        <f t="shared" si="185"/>
        <v/>
      </c>
      <c r="S698" s="331" t="str">
        <f t="shared" si="186"/>
        <v/>
      </c>
      <c r="T698" s="331" t="str">
        <f t="shared" si="187"/>
        <v/>
      </c>
      <c r="U698" s="331" t="str">
        <f t="shared" si="188"/>
        <v/>
      </c>
    </row>
    <row r="699" spans="1:21" ht="15.95" customHeight="1">
      <c r="A699" s="211">
        <f>IF(COUNTBLANK('RNEW import'!B697)=1,"",'RNEW import'!B697)</f>
        <v>12</v>
      </c>
      <c r="B699" s="211" t="str">
        <f>IF(COUNTBLANK('RNEW import'!D697)=1,"",'RNEW import'!D697)</f>
        <v>NRE Sibiu Shopping City SRL</v>
      </c>
      <c r="C699" s="211" t="str">
        <f>IF(COUNTBLANK('RNEW import'!E697)=1,"",'RNEW import'!E697)</f>
        <v>RNSS</v>
      </c>
      <c r="D699" s="211" t="str">
        <f>IF(COUNTBLANK('RNEW import'!K697)=1,"",'RNEW import'!K697)</f>
        <v>Acciza</v>
      </c>
      <c r="E699" s="211">
        <f>IF(COUNTBLANK('RNEW import'!L697)=1,"",'RNEW import'!N697)</f>
        <v>312565</v>
      </c>
      <c r="F699" s="211">
        <f>IF(COUNTBLANK('RNEW import'!M697)=1,"",'RNEW import'!O697/10000)</f>
        <v>0</v>
      </c>
      <c r="G699" s="217">
        <f t="shared" si="189"/>
        <v>0</v>
      </c>
      <c r="H699" s="217">
        <f t="shared" si="182"/>
        <v>0</v>
      </c>
      <c r="I699" s="329">
        <f t="shared" si="190"/>
        <v>0</v>
      </c>
      <c r="J699" s="237" t="str">
        <f t="shared" si="177"/>
        <v/>
      </c>
      <c r="K699" s="238" t="str">
        <f t="shared" si="178"/>
        <v/>
      </c>
      <c r="L699" s="238" t="str">
        <f t="shared" si="179"/>
        <v/>
      </c>
      <c r="M699" s="238" t="str">
        <f t="shared" si="180"/>
        <v/>
      </c>
      <c r="N699" s="238" t="str">
        <f t="shared" si="181"/>
        <v/>
      </c>
      <c r="O699" s="232" t="str">
        <f t="shared" si="191"/>
        <v/>
      </c>
      <c r="P699" s="219" t="str">
        <f t="shared" si="183"/>
        <v/>
      </c>
      <c r="Q699" s="219" t="str">
        <f t="shared" si="184"/>
        <v/>
      </c>
      <c r="R699" s="219" t="str">
        <f t="shared" si="185"/>
        <v/>
      </c>
      <c r="S699" s="331" t="str">
        <f t="shared" si="186"/>
        <v/>
      </c>
      <c r="T699" s="331" t="str">
        <f t="shared" si="187"/>
        <v/>
      </c>
      <c r="U699" s="331" t="str">
        <f t="shared" si="188"/>
        <v/>
      </c>
    </row>
    <row r="700" spans="1:21" ht="15.95" customHeight="1">
      <c r="A700" s="211">
        <f>IF(COUNTBLANK('RNEW import'!B698)=1,"",'RNEW import'!B698)</f>
        <v>13</v>
      </c>
      <c r="B700" s="211" t="str">
        <f>IF(COUNTBLANK('RNEW import'!D698)=1,"",'RNEW import'!D698)</f>
        <v>NRE Sibiu Shopping City SRL</v>
      </c>
      <c r="C700" s="211" t="str">
        <f>IF(COUNTBLANK('RNEW import'!E698)=1,"",'RNEW import'!E698)</f>
        <v>RNSS</v>
      </c>
      <c r="D700" s="211" t="str">
        <f>IF(COUNTBLANK('RNEW import'!K698)=1,"",'RNEW import'!K698)</f>
        <v>Tarif distributie SDI MT</v>
      </c>
      <c r="E700" s="211">
        <f>IF(COUNTBLANK('RNEW import'!L698)=1,"",'RNEW import'!N698)</f>
        <v>309612</v>
      </c>
      <c r="F700" s="211">
        <f>IF(COUNTBLANK('RNEW import'!M698)=1,"",'RNEW import'!O698/10000)</f>
        <v>1.26E-2</v>
      </c>
      <c r="G700" s="217">
        <f t="shared" si="189"/>
        <v>3901.11</v>
      </c>
      <c r="H700" s="217">
        <f t="shared" si="182"/>
        <v>741.21</v>
      </c>
      <c r="I700" s="329">
        <f t="shared" si="190"/>
        <v>4642.32</v>
      </c>
      <c r="J700" s="237" t="str">
        <f t="shared" si="177"/>
        <v/>
      </c>
      <c r="K700" s="238" t="str">
        <f t="shared" si="178"/>
        <v/>
      </c>
      <c r="L700" s="238" t="str">
        <f t="shared" si="179"/>
        <v/>
      </c>
      <c r="M700" s="238" t="str">
        <f t="shared" si="180"/>
        <v/>
      </c>
      <c r="N700" s="238" t="str">
        <f t="shared" si="181"/>
        <v/>
      </c>
      <c r="O700" s="232" t="str">
        <f t="shared" si="191"/>
        <v/>
      </c>
      <c r="P700" s="219" t="str">
        <f t="shared" si="183"/>
        <v/>
      </c>
      <c r="Q700" s="219" t="str">
        <f t="shared" si="184"/>
        <v/>
      </c>
      <c r="R700" s="219" t="str">
        <f t="shared" si="185"/>
        <v/>
      </c>
      <c r="S700" s="331" t="str">
        <f t="shared" si="186"/>
        <v/>
      </c>
      <c r="T700" s="331" t="str">
        <f t="shared" si="187"/>
        <v/>
      </c>
      <c r="U700" s="331" t="str">
        <f t="shared" si="188"/>
        <v/>
      </c>
    </row>
    <row r="701" spans="1:21" ht="15.95" customHeight="1">
      <c r="A701" s="211">
        <f>IF(COUNTBLANK('RNEW import'!B699)=1,"",'RNEW import'!B699)</f>
        <v>14</v>
      </c>
      <c r="B701" s="211" t="str">
        <f>IF(COUNTBLANK('RNEW import'!D699)=1,"",'RNEW import'!D699)</f>
        <v>NRE Sibiu Shopping City SRL</v>
      </c>
      <c r="C701" s="211" t="str">
        <f>IF(COUNTBLANK('RNEW import'!E699)=1,"",'RNEW import'!E699)</f>
        <v>RNSS</v>
      </c>
      <c r="D701" s="211" t="str">
        <f>IF(COUNTBLANK('RNEW import'!K699)=1,"",'RNEW import'!K699)</f>
        <v>Tarif distributie SDI JT</v>
      </c>
      <c r="E701" s="211">
        <f>IF(COUNTBLANK('RNEW import'!L699)=1,"",'RNEW import'!N699)</f>
        <v>309612</v>
      </c>
      <c r="F701" s="211">
        <f>IF(COUNTBLANK('RNEW import'!M699)=1,"",'RNEW import'!O699/10000)</f>
        <v>9.2700000000000005E-2</v>
      </c>
      <c r="G701" s="217">
        <f t="shared" si="189"/>
        <v>28701.03</v>
      </c>
      <c r="H701" s="217">
        <f t="shared" si="182"/>
        <v>5453.2</v>
      </c>
      <c r="I701" s="329">
        <f t="shared" si="190"/>
        <v>34154.229999999996</v>
      </c>
      <c r="J701" s="237" t="str">
        <f t="shared" si="177"/>
        <v/>
      </c>
      <c r="K701" s="238" t="str">
        <f t="shared" si="178"/>
        <v/>
      </c>
      <c r="L701" s="238" t="str">
        <f t="shared" si="179"/>
        <v/>
      </c>
      <c r="M701" s="238" t="str">
        <f t="shared" si="180"/>
        <v/>
      </c>
      <c r="N701" s="238" t="str">
        <f t="shared" si="181"/>
        <v/>
      </c>
      <c r="O701" s="232" t="str">
        <f t="shared" si="191"/>
        <v/>
      </c>
      <c r="P701" s="219" t="str">
        <f t="shared" si="183"/>
        <v/>
      </c>
      <c r="Q701" s="219" t="str">
        <f t="shared" si="184"/>
        <v/>
      </c>
      <c r="R701" s="219" t="str">
        <f t="shared" si="185"/>
        <v/>
      </c>
      <c r="S701" s="331" t="str">
        <f t="shared" si="186"/>
        <v/>
      </c>
      <c r="T701" s="331" t="str">
        <f t="shared" si="187"/>
        <v/>
      </c>
      <c r="U701" s="331" t="str">
        <f t="shared" si="188"/>
        <v/>
      </c>
    </row>
    <row r="702" spans="1:21" ht="15.95" customHeight="1">
      <c r="A702" s="211">
        <f>IF(COUNTBLANK('RNEW import'!B700)=1,"",'RNEW import'!B700)</f>
        <v>15</v>
      </c>
      <c r="B702" s="211" t="str">
        <f>IF(COUNTBLANK('RNEW import'!D700)=1,"",'RNEW import'!D700)</f>
        <v>NRE Sibiu Shopping City SRL</v>
      </c>
      <c r="C702" s="211" t="str">
        <f>IF(COUNTBLANK('RNEW import'!E700)=1,"",'RNEW import'!E700)</f>
        <v>RNSS</v>
      </c>
      <c r="D702" s="211" t="str">
        <f>IF(COUNTBLANK('RNEW import'!K700)=1,"",'RNEW import'!K700)</f>
        <v>Energie activa 2</v>
      </c>
      <c r="E702" s="211">
        <f>IF(COUNTBLANK('RNEW import'!L700)=1,"",'RNEW import'!N700)</f>
        <v>188035</v>
      </c>
      <c r="F702" s="211">
        <f>IF(COUNTBLANK('RNEW import'!M700)=1,"",'RNEW import'!O700/10000)</f>
        <v>0.93920760000000014</v>
      </c>
      <c r="G702" s="217">
        <f t="shared" si="189"/>
        <v>176603.9</v>
      </c>
      <c r="H702" s="217">
        <f t="shared" si="182"/>
        <v>33554.74</v>
      </c>
      <c r="I702" s="329">
        <f t="shared" si="190"/>
        <v>210158.63999999998</v>
      </c>
      <c r="J702" s="237" t="str">
        <f t="shared" si="177"/>
        <v/>
      </c>
      <c r="K702" s="238" t="str">
        <f t="shared" si="178"/>
        <v/>
      </c>
      <c r="L702" s="238" t="str">
        <f t="shared" si="179"/>
        <v/>
      </c>
      <c r="M702" s="238" t="str">
        <f t="shared" si="180"/>
        <v/>
      </c>
      <c r="N702" s="238" t="str">
        <f t="shared" si="181"/>
        <v/>
      </c>
      <c r="O702" s="232" t="str">
        <f t="shared" si="191"/>
        <v/>
      </c>
      <c r="P702" s="219" t="str">
        <f t="shared" si="183"/>
        <v/>
      </c>
      <c r="Q702" s="219" t="str">
        <f t="shared" si="184"/>
        <v/>
      </c>
      <c r="R702" s="219" t="str">
        <f t="shared" si="185"/>
        <v/>
      </c>
      <c r="S702" s="331" t="str">
        <f t="shared" si="186"/>
        <v/>
      </c>
      <c r="T702" s="331" t="str">
        <f t="shared" si="187"/>
        <v/>
      </c>
      <c r="U702" s="331" t="str">
        <f t="shared" si="188"/>
        <v/>
      </c>
    </row>
    <row r="703" spans="1:21" ht="15.95" customHeight="1">
      <c r="A703" s="211">
        <f>IF(COUNTBLANK('RNEW import'!B701)=1,"",'RNEW import'!B701)</f>
        <v>16</v>
      </c>
      <c r="B703" s="211" t="str">
        <f>IF(COUNTBLANK('RNEW import'!D701)=1,"",'RNEW import'!D701)</f>
        <v>NRE Sibiu Shopping City SRL</v>
      </c>
      <c r="C703" s="211" t="str">
        <f>IF(COUNTBLANK('RNEW import'!E701)=1,"",'RNEW import'!E701)</f>
        <v>RNSS</v>
      </c>
      <c r="D703" s="211" t="str">
        <f>IF(COUNTBLANK('RNEW import'!K701)=1,"",'RNEW import'!K701)</f>
        <v>Energie activa 3</v>
      </c>
      <c r="E703" s="211">
        <f>IF(COUNTBLANK('RNEW import'!L701)=1,"",'RNEW import'!N701)</f>
        <v>0</v>
      </c>
      <c r="F703" s="211">
        <f>IF(COUNTBLANK('RNEW import'!M701)=1,"",'RNEW import'!O701/10000)</f>
        <v>0.83390760000000008</v>
      </c>
      <c r="G703" s="217">
        <f t="shared" si="189"/>
        <v>0</v>
      </c>
      <c r="H703" s="217">
        <f t="shared" si="182"/>
        <v>0</v>
      </c>
      <c r="I703" s="329">
        <f t="shared" si="190"/>
        <v>0</v>
      </c>
      <c r="J703" s="237" t="str">
        <f t="shared" si="177"/>
        <v/>
      </c>
      <c r="K703" s="238" t="str">
        <f t="shared" si="178"/>
        <v/>
      </c>
      <c r="L703" s="238" t="str">
        <f t="shared" si="179"/>
        <v/>
      </c>
      <c r="M703" s="238" t="str">
        <f t="shared" si="180"/>
        <v/>
      </c>
      <c r="N703" s="238" t="str">
        <f t="shared" si="181"/>
        <v/>
      </c>
      <c r="O703" s="232" t="str">
        <f t="shared" si="191"/>
        <v/>
      </c>
      <c r="P703" s="219" t="str">
        <f t="shared" si="183"/>
        <v/>
      </c>
      <c r="Q703" s="219" t="str">
        <f t="shared" si="184"/>
        <v/>
      </c>
      <c r="R703" s="219" t="str">
        <f t="shared" si="185"/>
        <v/>
      </c>
      <c r="S703" s="331" t="str">
        <f t="shared" si="186"/>
        <v/>
      </c>
      <c r="T703" s="331" t="str">
        <f t="shared" si="187"/>
        <v/>
      </c>
      <c r="U703" s="331" t="str">
        <f t="shared" si="188"/>
        <v/>
      </c>
    </row>
    <row r="704" spans="1:21" ht="15.95" customHeight="1">
      <c r="A704" s="211">
        <f>IF(COUNTBLANK('RNEW import'!B702)=1,"",'RNEW import'!B702)</f>
        <v>17</v>
      </c>
      <c r="B704" s="211" t="str">
        <f>IF(COUNTBLANK('RNEW import'!D702)=1,"",'RNEW import'!D702)</f>
        <v>NRE Sibiu Shopping City SRL</v>
      </c>
      <c r="C704" s="211" t="str">
        <f>IF(COUNTBLANK('RNEW import'!E702)=1,"",'RNEW import'!E702)</f>
        <v>RNSS</v>
      </c>
      <c r="D704" s="211" t="str">
        <f>IF(COUNTBLANK('RNEW import'!K702)=1,"",'RNEW import'!K702)</f>
        <v>Tarif distributie SDI MT_</v>
      </c>
      <c r="E704" s="211">
        <f>IF(COUNTBLANK('RNEW import'!L702)=1,"",'RNEW import'!N702)</f>
        <v>0</v>
      </c>
      <c r="F704" s="211">
        <f>IF(COUNTBLANK('RNEW import'!M702)=1,"",'RNEW import'!O702/10000)</f>
        <v>1.26E-2</v>
      </c>
      <c r="G704" s="217">
        <f t="shared" si="189"/>
        <v>0</v>
      </c>
      <c r="H704" s="217">
        <f t="shared" si="182"/>
        <v>0</v>
      </c>
      <c r="I704" s="329">
        <f t="shared" si="190"/>
        <v>0</v>
      </c>
      <c r="J704" s="237" t="str">
        <f t="shared" si="177"/>
        <v/>
      </c>
      <c r="K704" s="238" t="str">
        <f t="shared" si="178"/>
        <v/>
      </c>
      <c r="L704" s="238" t="str">
        <f t="shared" si="179"/>
        <v/>
      </c>
      <c r="M704" s="238" t="str">
        <f t="shared" si="180"/>
        <v/>
      </c>
      <c r="N704" s="238" t="str">
        <f t="shared" si="181"/>
        <v/>
      </c>
      <c r="O704" s="232" t="str">
        <f t="shared" si="191"/>
        <v/>
      </c>
      <c r="P704" s="219" t="str">
        <f t="shared" si="183"/>
        <v/>
      </c>
      <c r="Q704" s="219" t="str">
        <f t="shared" si="184"/>
        <v/>
      </c>
      <c r="R704" s="219" t="str">
        <f t="shared" si="185"/>
        <v/>
      </c>
      <c r="S704" s="331" t="str">
        <f t="shared" si="186"/>
        <v/>
      </c>
      <c r="T704" s="331" t="str">
        <f t="shared" si="187"/>
        <v/>
      </c>
      <c r="U704" s="331" t="str">
        <f t="shared" si="188"/>
        <v/>
      </c>
    </row>
    <row r="705" spans="1:21" ht="15.95" customHeight="1">
      <c r="A705" s="211">
        <f>IF(COUNTBLANK('RNEW import'!B703)=1,"",'RNEW import'!B703)</f>
        <v>18</v>
      </c>
      <c r="B705" s="211" t="str">
        <f>IF(COUNTBLANK('RNEW import'!D703)=1,"",'RNEW import'!D703)</f>
        <v>NRE Sibiu Shopping City SRL</v>
      </c>
      <c r="C705" s="211" t="str">
        <f>IF(COUNTBLANK('RNEW import'!E703)=1,"",'RNEW import'!E703)</f>
        <v>RNSS</v>
      </c>
      <c r="D705" s="211" t="str">
        <f>IF(COUNTBLANK('RNEW import'!K703)=1,"",'RNEW import'!K703)</f>
        <v>Tarif distributie SDI JT_</v>
      </c>
      <c r="E705" s="211">
        <f>IF(COUNTBLANK('RNEW import'!L703)=1,"",'RNEW import'!N703)</f>
        <v>0</v>
      </c>
      <c r="F705" s="211">
        <f>IF(COUNTBLANK('RNEW import'!M703)=1,"",'RNEW import'!O703/10000)</f>
        <v>9.2700000000000005E-2</v>
      </c>
      <c r="G705" s="217">
        <f t="shared" si="189"/>
        <v>0</v>
      </c>
      <c r="H705" s="217">
        <f t="shared" si="182"/>
        <v>0</v>
      </c>
      <c r="I705" s="329">
        <f t="shared" si="190"/>
        <v>0</v>
      </c>
      <c r="J705" s="237" t="str">
        <f t="shared" si="177"/>
        <v/>
      </c>
      <c r="K705" s="238" t="str">
        <f t="shared" si="178"/>
        <v/>
      </c>
      <c r="L705" s="238" t="str">
        <f t="shared" si="179"/>
        <v/>
      </c>
      <c r="M705" s="238" t="str">
        <f t="shared" si="180"/>
        <v/>
      </c>
      <c r="N705" s="238" t="str">
        <f t="shared" si="181"/>
        <v/>
      </c>
      <c r="O705" s="232" t="str">
        <f t="shared" si="191"/>
        <v/>
      </c>
      <c r="P705" s="219" t="str">
        <f t="shared" si="183"/>
        <v>Energie consumata din PV</v>
      </c>
      <c r="Q705" s="219">
        <f t="shared" si="184"/>
        <v>188035</v>
      </c>
      <c r="R705" s="219">
        <f t="shared" si="185"/>
        <v>0.93920800000000004</v>
      </c>
      <c r="S705" s="331">
        <f t="shared" si="186"/>
        <v>176603.9</v>
      </c>
      <c r="T705" s="331">
        <f t="shared" si="187"/>
        <v>33554.74</v>
      </c>
      <c r="U705" s="331">
        <f t="shared" si="188"/>
        <v>210158.64</v>
      </c>
    </row>
    <row r="706" spans="1:21" ht="15.95" customHeight="1">
      <c r="A706" s="211">
        <f>IF(COUNTBLANK('RNEW import'!B704)=1,"",'RNEW import'!B704)</f>
        <v>19</v>
      </c>
      <c r="B706" s="211" t="str">
        <f>IF(COUNTBLANK('RNEW import'!D704)=1,"",'RNEW import'!D704)</f>
        <v>NRE Sibiu Shopping City SRL</v>
      </c>
      <c r="C706" s="211" t="str">
        <f>IF(COUNTBLANK('RNEW import'!E704)=1,"",'RNEW import'!E704)</f>
        <v>RNSS</v>
      </c>
      <c r="D706" s="211" t="str">
        <f>IF(COUNTBLANK('RNEW import'!K704)=1,"",'RNEW import'!K704)</f>
        <v>Regularizare Energie activa 1</v>
      </c>
      <c r="E706" s="211">
        <f>IF(COUNTBLANK('RNEW import'!L704)=1,"",'RNEW import'!N704)</f>
        <v>0</v>
      </c>
      <c r="F706" s="211">
        <f>IF(COUNTBLANK('RNEW import'!M704)=1,"",'RNEW import'!O704/10000)</f>
        <v>0.59499999999999997</v>
      </c>
      <c r="G706" s="217">
        <f t="shared" si="189"/>
        <v>0</v>
      </c>
      <c r="H706" s="217">
        <f t="shared" si="182"/>
        <v>0</v>
      </c>
      <c r="I706" s="329">
        <f t="shared" si="190"/>
        <v>0</v>
      </c>
      <c r="J706" s="237" t="str">
        <f t="shared" si="177"/>
        <v/>
      </c>
      <c r="K706" s="238" t="str">
        <f t="shared" si="178"/>
        <v/>
      </c>
      <c r="L706" s="238" t="str">
        <f t="shared" si="179"/>
        <v/>
      </c>
      <c r="M706" s="238" t="str">
        <f t="shared" si="180"/>
        <v/>
      </c>
      <c r="N706" s="238" t="str">
        <f t="shared" si="181"/>
        <v/>
      </c>
      <c r="O706" s="232" t="str">
        <f t="shared" si="191"/>
        <v/>
      </c>
      <c r="P706" s="219" t="str">
        <f t="shared" si="183"/>
        <v>Energie activa regularizare</v>
      </c>
      <c r="Q706" s="219">
        <f t="shared" si="184"/>
        <v>0</v>
      </c>
      <c r="R706" s="219">
        <f t="shared" si="185"/>
        <v>0</v>
      </c>
      <c r="S706" s="331">
        <f t="shared" si="186"/>
        <v>0</v>
      </c>
      <c r="T706" s="331">
        <f t="shared" si="187"/>
        <v>0</v>
      </c>
      <c r="U706" s="331">
        <f t="shared" si="188"/>
        <v>0</v>
      </c>
    </row>
    <row r="707" spans="1:21" ht="15.95" customHeight="1">
      <c r="A707" s="211">
        <f>IF(COUNTBLANK('RNEW import'!B705)=1,"",'RNEW import'!B705)</f>
        <v>20</v>
      </c>
      <c r="B707" s="211" t="str">
        <f>IF(COUNTBLANK('RNEW import'!D705)=1,"",'RNEW import'!D705)</f>
        <v>NRE Sibiu Shopping City SRL</v>
      </c>
      <c r="C707" s="211" t="str">
        <f>IF(COUNTBLANK('RNEW import'!E705)=1,"",'RNEW import'!E705)</f>
        <v>RNSS</v>
      </c>
      <c r="D707" s="211" t="str">
        <f>IF(COUNTBLANK('RNEW import'!K705)=1,"",'RNEW import'!K705)</f>
        <v>Regularizare Energie reactiva  1X</v>
      </c>
      <c r="E707" s="211">
        <f>IF(COUNTBLANK('RNEW import'!L705)=1,"",'RNEW import'!N705)</f>
        <v>944</v>
      </c>
      <c r="F707" s="211">
        <f>IF(COUNTBLANK('RNEW import'!M705)=1,"",'RNEW import'!O705/10000)</f>
        <v>0.14649999999999999</v>
      </c>
      <c r="G707" s="217">
        <f t="shared" si="189"/>
        <v>138.30000000000001</v>
      </c>
      <c r="H707" s="217">
        <f t="shared" si="182"/>
        <v>26.28</v>
      </c>
      <c r="I707" s="329">
        <f t="shared" si="190"/>
        <v>164.58</v>
      </c>
      <c r="J707" s="237" t="str">
        <f t="shared" si="177"/>
        <v/>
      </c>
      <c r="K707" s="238" t="str">
        <f t="shared" si="178"/>
        <v/>
      </c>
      <c r="L707" s="238" t="str">
        <f t="shared" si="179"/>
        <v/>
      </c>
      <c r="M707" s="238" t="str">
        <f t="shared" si="180"/>
        <v/>
      </c>
      <c r="N707" s="238" t="str">
        <f t="shared" si="181"/>
        <v/>
      </c>
      <c r="O707" s="232" t="str">
        <f t="shared" si="191"/>
        <v/>
      </c>
      <c r="P707" s="219" t="str">
        <f t="shared" si="183"/>
        <v>Energie reactiva 1x regularizare</v>
      </c>
      <c r="Q707" s="219">
        <f t="shared" si="184"/>
        <v>944</v>
      </c>
      <c r="R707" s="219">
        <f t="shared" si="185"/>
        <v>0.14649999999999999</v>
      </c>
      <c r="S707" s="331">
        <f t="shared" si="186"/>
        <v>138.30000000000001</v>
      </c>
      <c r="T707" s="331">
        <f t="shared" si="187"/>
        <v>26.28</v>
      </c>
      <c r="U707" s="331">
        <f t="shared" si="188"/>
        <v>164.58</v>
      </c>
    </row>
    <row r="708" spans="1:21" ht="15.95" customHeight="1">
      <c r="A708" s="211">
        <f>IF(COUNTBLANK('RNEW import'!B706)=1,"",'RNEW import'!B706)</f>
        <v>21</v>
      </c>
      <c r="B708" s="211" t="str">
        <f>IF(COUNTBLANK('RNEW import'!D706)=1,"",'RNEW import'!D706)</f>
        <v>NRE Sibiu Shopping City SRL</v>
      </c>
      <c r="C708" s="211" t="str">
        <f>IF(COUNTBLANK('RNEW import'!E706)=1,"",'RNEW import'!E706)</f>
        <v>RNSS</v>
      </c>
      <c r="D708" s="211" t="str">
        <f>IF(COUNTBLANK('RNEW import'!K706)=1,"",'RNEW import'!K706)</f>
        <v>Regularizare Energie reactiva  3X</v>
      </c>
      <c r="E708" s="211">
        <f>IF(COUNTBLANK('RNEW import'!L706)=1,"",'RNEW import'!N706)</f>
        <v>292</v>
      </c>
      <c r="F708" s="211">
        <f>IF(COUNTBLANK('RNEW import'!M706)=1,"",'RNEW import'!O706/10000)</f>
        <v>0.4395</v>
      </c>
      <c r="G708" s="217">
        <f t="shared" si="189"/>
        <v>128.33000000000001</v>
      </c>
      <c r="H708" s="217">
        <f t="shared" si="182"/>
        <v>24.38</v>
      </c>
      <c r="I708" s="329">
        <f t="shared" si="190"/>
        <v>152.71</v>
      </c>
      <c r="J708" s="237" t="str">
        <f t="shared" ref="J708:J718" si="192">IF(A708=1,B708,"")</f>
        <v/>
      </c>
      <c r="K708" s="238" t="str">
        <f t="shared" ref="K708:K771" si="193">IF(COUNTBLANK(J708)=1,"",IF(A708=1,SUMIFS(G:G,$C:$C,C708,$A:$A,"=13")+SUMIFS(G:G,$C:$C,C708,$A:$A,"=14")+SUMIFS(G:G,$C:$C,C708,$A:$A,"=17")+SUMIFS(G:G,$C:$C,C708,$A:$A,"=18")+SUMIFS(G:G,$C:$C,C708,$A:$A,"=31")+SUMIFS(G:G,$C:$C,C708,$A:$A,"=32")+SUMIFS(G:G,$C:$C,C708,$A:$A,"=35")+SUMIFS(G:G,$C:$C,C708,$A:$A,"=36"),""))</f>
        <v/>
      </c>
      <c r="L708" s="238" t="str">
        <f t="shared" ref="L708:L771" si="194">IF(COUNTBLANK(J708)=1,"",IF(A708=1,SUMIFS(G:G,$C:$C,C708,$A:$A,"&lt;13")+SUMIFS(G:G,$C:$C,C708,$A:$A,"&gt;18",$A:$A,"&lt;31")))</f>
        <v/>
      </c>
      <c r="M708" s="238" t="str">
        <f t="shared" ref="M708:M771" si="195">IF(COUNTBLANK(J708)=1,"",IF(A708=1,SUMIFS(G:G,$C:$C,C708,$A:$A,"=15")+SUMIFS(G:G,$C:$C,C708,$A:$A,"=16")+SUMIFS(G:G,$C:$C,C708,$A:$A,"=33")+SUMIFS(G:G,$C:$C,C708,$A:$A,"=34"),""))</f>
        <v/>
      </c>
      <c r="N708" s="238" t="str">
        <f t="shared" ref="N708:N771" si="196">IF(COUNTBLANK(J708)=1,"",IF(A708=1,SUMIFS(E:E,$C:$C,C708,$A:$A,"=13")+SUMIFS(E:E,$C:$C,C708,$A:$A,"=17")+SUMIFS(E:E,$C:$C,C708,$A:$A,"=31")+SUMIFS(E:E,$C:$C,C708,$A:$A,"=35"),""))</f>
        <v/>
      </c>
      <c r="O708" s="232" t="str">
        <f t="shared" si="191"/>
        <v/>
      </c>
      <c r="P708" s="219" t="str">
        <f t="shared" si="183"/>
        <v>Energie reactiva 3x regularizare</v>
      </c>
      <c r="Q708" s="219">
        <f t="shared" si="184"/>
        <v>292</v>
      </c>
      <c r="R708" s="219">
        <f t="shared" si="185"/>
        <v>0.4395</v>
      </c>
      <c r="S708" s="331">
        <f t="shared" si="186"/>
        <v>128.33000000000001</v>
      </c>
      <c r="T708" s="331">
        <f t="shared" si="187"/>
        <v>24.38</v>
      </c>
      <c r="U708" s="331">
        <f t="shared" si="188"/>
        <v>152.71</v>
      </c>
    </row>
    <row r="709" spans="1:21" ht="15.95" customHeight="1">
      <c r="A709" s="211">
        <f>IF(COUNTBLANK('RNEW import'!B707)=1,"",'RNEW import'!B707)</f>
        <v>22</v>
      </c>
      <c r="B709" s="211" t="str">
        <f>IF(COUNTBLANK('RNEW import'!D707)=1,"",'RNEW import'!D707)</f>
        <v>NRE Sibiu Shopping City SRL</v>
      </c>
      <c r="C709" s="211" t="str">
        <f>IF(COUNTBLANK('RNEW import'!E707)=1,"",'RNEW import'!E707)</f>
        <v>RNSS</v>
      </c>
      <c r="D709" s="211" t="str">
        <f>IF(COUNTBLANK('RNEW import'!K707)=1,"",'RNEW import'!K707)</f>
        <v>Regularizare Tarife distributie en. El IT+MT</v>
      </c>
      <c r="E709" s="211">
        <f>IF(COUNTBLANK('RNEW import'!L707)=1,"",'RNEW import'!N707)</f>
        <v>0</v>
      </c>
      <c r="F709" s="211">
        <f>IF(COUNTBLANK('RNEW import'!M707)=1,"",'RNEW import'!O707/10000)</f>
        <v>0.11483</v>
      </c>
      <c r="G709" s="217">
        <f t="shared" si="189"/>
        <v>0</v>
      </c>
      <c r="H709" s="217">
        <f t="shared" ref="H709:H772" si="197">ROUND(G709*19%,2)</f>
        <v>0</v>
      </c>
      <c r="I709" s="329">
        <f t="shared" si="190"/>
        <v>0</v>
      </c>
      <c r="J709" s="237" t="str">
        <f t="shared" si="192"/>
        <v/>
      </c>
      <c r="K709" s="238" t="str">
        <f t="shared" si="193"/>
        <v/>
      </c>
      <c r="L709" s="238" t="str">
        <f t="shared" si="194"/>
        <v/>
      </c>
      <c r="M709" s="238" t="str">
        <f t="shared" si="195"/>
        <v/>
      </c>
      <c r="N709" s="238" t="str">
        <f t="shared" si="196"/>
        <v/>
      </c>
      <c r="O709" s="232" t="str">
        <f t="shared" si="191"/>
        <v/>
      </c>
      <c r="P709" s="219" t="str">
        <f t="shared" ref="P709:P772" si="198">IF(A709=1,"Enegie activa",IF(OR(A709=18),"Energie consumata din PV",IF(OR(A709=2),"Energie reactiva 1x",IF(OR(A709=3),"Energie reactiva 3x",IF(A709=19,"Energie activa regularizare",IF(OR(A709=36),"Energie consumata din PV regularizare",IF(OR(A709=20),"Energie reactiva 1x regularizare",IF(OR(A709=21),"Energie reactiva 3x regularizare",""))))))))</f>
        <v/>
      </c>
      <c r="Q709" s="219" t="str">
        <f t="shared" ref="Q709:Q772" si="199">IF(COUNTBLANK(P709)=0,IF(OR(A709=1,A709=2,A709=3,A709=19,A709=20,A709=21),E709,IF(OR(A709=18,A709=36),E706+E707,"")),"")</f>
        <v/>
      </c>
      <c r="R709" s="219" t="str">
        <f t="shared" ref="R709:R772" si="200">IF(COUNTBLANK(P709)=1,"",IF(OR(A709=2,A709=3,A709=20,A709=21),F709,IF(Q709=0,0,ROUND(S709/Q709,6))))</f>
        <v/>
      </c>
      <c r="S709" s="331" t="str">
        <f t="shared" si="186"/>
        <v/>
      </c>
      <c r="T709" s="331" t="str">
        <f t="shared" si="187"/>
        <v/>
      </c>
      <c r="U709" s="331" t="str">
        <f t="shared" si="188"/>
        <v/>
      </c>
    </row>
    <row r="710" spans="1:21" ht="15.95" customHeight="1">
      <c r="A710" s="211">
        <f>IF(COUNTBLANK('RNEW import'!B708)=1,"",'RNEW import'!B708)</f>
        <v>23</v>
      </c>
      <c r="B710" s="211" t="str">
        <f>IF(COUNTBLANK('RNEW import'!D708)=1,"",'RNEW import'!D708)</f>
        <v>NRE Sibiu Shopping City SRL</v>
      </c>
      <c r="C710" s="211" t="str">
        <f>IF(COUNTBLANK('RNEW import'!E708)=1,"",'RNEW import'!E708)</f>
        <v>RNSS</v>
      </c>
      <c r="D710" s="211" t="str">
        <f>IF(COUNTBLANK('RNEW import'!K708)=1,"",'RNEW import'!K708)</f>
        <v>Regularizare Tarife distributie en. El JT</v>
      </c>
      <c r="E710" s="211">
        <f>IF(COUNTBLANK('RNEW import'!L708)=1,"",'RNEW import'!N708)</f>
        <v>0</v>
      </c>
      <c r="F710" s="211">
        <f>IF(COUNTBLANK('RNEW import'!M708)=1,"",'RNEW import'!O708/10000)</f>
        <v>0.2361</v>
      </c>
      <c r="G710" s="217">
        <f t="shared" si="189"/>
        <v>0</v>
      </c>
      <c r="H710" s="217">
        <f t="shared" si="197"/>
        <v>0</v>
      </c>
      <c r="I710" s="329">
        <f t="shared" si="190"/>
        <v>0</v>
      </c>
      <c r="J710" s="237" t="str">
        <f t="shared" si="192"/>
        <v/>
      </c>
      <c r="K710" s="238" t="str">
        <f t="shared" si="193"/>
        <v/>
      </c>
      <c r="L710" s="238" t="str">
        <f t="shared" si="194"/>
        <v/>
      </c>
      <c r="M710" s="238" t="str">
        <f t="shared" si="195"/>
        <v/>
      </c>
      <c r="N710" s="238" t="str">
        <f t="shared" si="196"/>
        <v/>
      </c>
      <c r="O710" s="232" t="str">
        <f t="shared" si="191"/>
        <v/>
      </c>
      <c r="P710" s="219" t="str">
        <f t="shared" si="198"/>
        <v/>
      </c>
      <c r="Q710" s="219" t="str">
        <f t="shared" si="199"/>
        <v/>
      </c>
      <c r="R710" s="219" t="str">
        <f t="shared" si="200"/>
        <v/>
      </c>
      <c r="S710" s="331" t="str">
        <f t="shared" si="186"/>
        <v/>
      </c>
      <c r="T710" s="331" t="str">
        <f t="shared" si="187"/>
        <v/>
      </c>
      <c r="U710" s="331" t="str">
        <f t="shared" si="188"/>
        <v/>
      </c>
    </row>
    <row r="711" spans="1:21" ht="15.95" customHeight="1">
      <c r="A711" s="211">
        <f>IF(COUNTBLANK('RNEW import'!B709)=1,"",'RNEW import'!B709)</f>
        <v>24</v>
      </c>
      <c r="B711" s="211" t="str">
        <f>IF(COUNTBLANK('RNEW import'!D709)=1,"",'RNEW import'!D709)</f>
        <v>NRE Sibiu Shopping City SRL</v>
      </c>
      <c r="C711" s="211" t="str">
        <f>IF(COUNTBLANK('RNEW import'!E709)=1,"",'RNEW import'!E709)</f>
        <v>RNSS</v>
      </c>
      <c r="D711" s="211" t="str">
        <f>IF(COUNTBLANK('RNEW import'!K709)=1,"",'RNEW import'!K709)</f>
        <v xml:space="preserve">Regularizare Servicii Sistem </v>
      </c>
      <c r="E711" s="211">
        <f>IF(COUNTBLANK('RNEW import'!L709)=1,"",'RNEW import'!N709)</f>
        <v>0</v>
      </c>
      <c r="F711" s="211">
        <f>IF(COUNTBLANK('RNEW import'!M709)=1,"",'RNEW import'!O709/10000)</f>
        <v>1.1509999999999999E-2</v>
      </c>
      <c r="G711" s="217">
        <f t="shared" si="189"/>
        <v>0</v>
      </c>
      <c r="H711" s="217">
        <f t="shared" si="197"/>
        <v>0</v>
      </c>
      <c r="I711" s="329">
        <f t="shared" si="190"/>
        <v>0</v>
      </c>
      <c r="J711" s="237" t="str">
        <f t="shared" si="192"/>
        <v/>
      </c>
      <c r="K711" s="238" t="str">
        <f t="shared" si="193"/>
        <v/>
      </c>
      <c r="L711" s="238" t="str">
        <f t="shared" si="194"/>
        <v/>
      </c>
      <c r="M711" s="238" t="str">
        <f t="shared" si="195"/>
        <v/>
      </c>
      <c r="N711" s="238" t="str">
        <f t="shared" si="196"/>
        <v/>
      </c>
      <c r="O711" s="232" t="str">
        <f t="shared" si="191"/>
        <v/>
      </c>
      <c r="P711" s="219" t="str">
        <f t="shared" si="198"/>
        <v/>
      </c>
      <c r="Q711" s="219" t="str">
        <f t="shared" si="199"/>
        <v/>
      </c>
      <c r="R711" s="219" t="str">
        <f t="shared" si="200"/>
        <v/>
      </c>
      <c r="S711" s="331" t="str">
        <f t="shared" si="186"/>
        <v/>
      </c>
      <c r="T711" s="331" t="str">
        <f t="shared" si="187"/>
        <v/>
      </c>
      <c r="U711" s="331" t="str">
        <f t="shared" si="188"/>
        <v/>
      </c>
    </row>
    <row r="712" spans="1:21" ht="15.95" customHeight="1">
      <c r="A712" s="211">
        <f>IF(COUNTBLANK('RNEW import'!B710)=1,"",'RNEW import'!B710)</f>
        <v>25</v>
      </c>
      <c r="B712" s="211" t="str">
        <f>IF(COUNTBLANK('RNEW import'!D710)=1,"",'RNEW import'!D710)</f>
        <v>NRE Sibiu Shopping City SRL</v>
      </c>
      <c r="C712" s="211" t="str">
        <f>IF(COUNTBLANK('RNEW import'!E710)=1,"",'RNEW import'!E710)</f>
        <v>RNSS</v>
      </c>
      <c r="D712" s="211" t="str">
        <f>IF(COUNTBLANK('RNEW import'!K710)=1,"",'RNEW import'!K710)</f>
        <v>Regularizare Tarif de introducere en. el in retea (TL)</v>
      </c>
      <c r="E712" s="211">
        <f>IF(COUNTBLANK('RNEW import'!L710)=1,"",'RNEW import'!N710)</f>
        <v>0</v>
      </c>
      <c r="F712" s="211">
        <f>IF(COUNTBLANK('RNEW import'!M710)=1,"",'RNEW import'!O710/10000)</f>
        <v>3.3030000000000004E-2</v>
      </c>
      <c r="G712" s="217">
        <f t="shared" si="189"/>
        <v>0</v>
      </c>
      <c r="H712" s="217">
        <f t="shared" si="197"/>
        <v>0</v>
      </c>
      <c r="I712" s="329">
        <f t="shared" si="190"/>
        <v>0</v>
      </c>
      <c r="J712" s="237" t="str">
        <f t="shared" si="192"/>
        <v/>
      </c>
      <c r="K712" s="238" t="str">
        <f t="shared" si="193"/>
        <v/>
      </c>
      <c r="L712" s="238" t="str">
        <f t="shared" si="194"/>
        <v/>
      </c>
      <c r="M712" s="238" t="str">
        <f t="shared" si="195"/>
        <v/>
      </c>
      <c r="N712" s="238" t="str">
        <f t="shared" si="196"/>
        <v/>
      </c>
      <c r="O712" s="232" t="str">
        <f t="shared" si="191"/>
        <v/>
      </c>
      <c r="P712" s="219" t="str">
        <f t="shared" si="198"/>
        <v/>
      </c>
      <c r="Q712" s="219" t="str">
        <f t="shared" si="199"/>
        <v/>
      </c>
      <c r="R712" s="219" t="str">
        <f t="shared" si="200"/>
        <v/>
      </c>
      <c r="S712" s="331" t="str">
        <f t="shared" si="186"/>
        <v/>
      </c>
      <c r="T712" s="331" t="str">
        <f t="shared" si="187"/>
        <v/>
      </c>
      <c r="U712" s="331" t="str">
        <f t="shared" si="188"/>
        <v/>
      </c>
    </row>
    <row r="713" spans="1:21" ht="15.95" customHeight="1">
      <c r="A713" s="211">
        <f>IF(COUNTBLANK('RNEW import'!B711)=1,"",'RNEW import'!B711)</f>
        <v>26</v>
      </c>
      <c r="B713" s="211" t="str">
        <f>IF(COUNTBLANK('RNEW import'!D711)=1,"",'RNEW import'!D711)</f>
        <v>NRE Sibiu Shopping City SRL</v>
      </c>
      <c r="C713" s="211" t="str">
        <f>IF(COUNTBLANK('RNEW import'!E711)=1,"",'RNEW import'!E711)</f>
        <v>RNSS</v>
      </c>
      <c r="D713" s="211" t="str">
        <f>IF(COUNTBLANK('RNEW import'!K711)=1,"",'RNEW import'!K711)</f>
        <v>Regularizare Tarif de introducere en.el in retea (TG)</v>
      </c>
      <c r="E713" s="211">
        <f>IF(COUNTBLANK('RNEW import'!L711)=1,"",'RNEW import'!N711)</f>
        <v>0</v>
      </c>
      <c r="F713" s="211">
        <f>IF(COUNTBLANK('RNEW import'!M711)=1,"",'RNEW import'!O711/10000)</f>
        <v>3.29E-3</v>
      </c>
      <c r="G713" s="217">
        <f t="shared" si="189"/>
        <v>0</v>
      </c>
      <c r="H713" s="217">
        <f t="shared" si="197"/>
        <v>0</v>
      </c>
      <c r="I713" s="329">
        <f t="shared" si="190"/>
        <v>0</v>
      </c>
      <c r="J713" s="237" t="str">
        <f t="shared" si="192"/>
        <v/>
      </c>
      <c r="K713" s="238" t="str">
        <f t="shared" si="193"/>
        <v/>
      </c>
      <c r="L713" s="238" t="str">
        <f t="shared" si="194"/>
        <v/>
      </c>
      <c r="M713" s="238" t="str">
        <f t="shared" si="195"/>
        <v/>
      </c>
      <c r="N713" s="238" t="str">
        <f t="shared" si="196"/>
        <v/>
      </c>
      <c r="O713" s="232" t="str">
        <f t="shared" si="191"/>
        <v/>
      </c>
      <c r="P713" s="219" t="str">
        <f t="shared" si="198"/>
        <v/>
      </c>
      <c r="Q713" s="219" t="str">
        <f t="shared" si="199"/>
        <v/>
      </c>
      <c r="R713" s="219" t="str">
        <f t="shared" si="200"/>
        <v/>
      </c>
      <c r="S713" s="331" t="str">
        <f t="shared" si="186"/>
        <v/>
      </c>
      <c r="T713" s="331" t="str">
        <f t="shared" si="187"/>
        <v/>
      </c>
      <c r="U713" s="331" t="str">
        <f t="shared" si="188"/>
        <v/>
      </c>
    </row>
    <row r="714" spans="1:21" ht="15.95" customHeight="1">
      <c r="A714" s="211">
        <f>IF(COUNTBLANK('RNEW import'!B712)=1,"",'RNEW import'!B712)</f>
        <v>27</v>
      </c>
      <c r="B714" s="211" t="str">
        <f>IF(COUNTBLANK('RNEW import'!D712)=1,"",'RNEW import'!D712)</f>
        <v>NRE Sibiu Shopping City SRL</v>
      </c>
      <c r="C714" s="211" t="str">
        <f>IF(COUNTBLANK('RNEW import'!E712)=1,"",'RNEW import'!E712)</f>
        <v>RNSS</v>
      </c>
      <c r="D714" s="211" t="str">
        <f>IF(COUNTBLANK('RNEW import'!K712)=1,"",'RNEW import'!K712)</f>
        <v>Regularizare Contributie pentru cogenerare</v>
      </c>
      <c r="E714" s="211">
        <f>IF(COUNTBLANK('RNEW import'!L712)=1,"",'RNEW import'!N712)</f>
        <v>0</v>
      </c>
      <c r="F714" s="211">
        <f>IF(COUNTBLANK('RNEW import'!M712)=1,"",'RNEW import'!O712/10000)</f>
        <v>3.5000000000000001E-3</v>
      </c>
      <c r="G714" s="217">
        <f t="shared" si="189"/>
        <v>0</v>
      </c>
      <c r="H714" s="217">
        <f t="shared" si="197"/>
        <v>0</v>
      </c>
      <c r="I714" s="329">
        <f t="shared" si="190"/>
        <v>0</v>
      </c>
      <c r="J714" s="237" t="str">
        <f t="shared" si="192"/>
        <v/>
      </c>
      <c r="K714" s="238" t="str">
        <f t="shared" si="193"/>
        <v/>
      </c>
      <c r="L714" s="238" t="str">
        <f t="shared" si="194"/>
        <v/>
      </c>
      <c r="M714" s="238" t="str">
        <f t="shared" si="195"/>
        <v/>
      </c>
      <c r="N714" s="238" t="str">
        <f t="shared" si="196"/>
        <v/>
      </c>
      <c r="O714" s="232" t="str">
        <f t="shared" si="191"/>
        <v/>
      </c>
      <c r="P714" s="219" t="str">
        <f t="shared" si="198"/>
        <v/>
      </c>
      <c r="Q714" s="219" t="str">
        <f t="shared" si="199"/>
        <v/>
      </c>
      <c r="R714" s="219" t="str">
        <f t="shared" si="200"/>
        <v/>
      </c>
      <c r="S714" s="331" t="str">
        <f t="shared" si="186"/>
        <v/>
      </c>
      <c r="T714" s="331" t="str">
        <f t="shared" si="187"/>
        <v/>
      </c>
      <c r="U714" s="331" t="str">
        <f t="shared" si="188"/>
        <v/>
      </c>
    </row>
    <row r="715" spans="1:21" ht="15.95" customHeight="1">
      <c r="A715" s="211">
        <f>IF(COUNTBLANK('RNEW import'!B713)=1,"",'RNEW import'!B713)</f>
        <v>28</v>
      </c>
      <c r="B715" s="211" t="str">
        <f>IF(COUNTBLANK('RNEW import'!D713)=1,"",'RNEW import'!D713)</f>
        <v>NRE Sibiu Shopping City SRL</v>
      </c>
      <c r="C715" s="211" t="str">
        <f>IF(COUNTBLANK('RNEW import'!E713)=1,"",'RNEW import'!E713)</f>
        <v>RNSS</v>
      </c>
      <c r="D715" s="211" t="str">
        <f>IF(COUNTBLANK('RNEW import'!K713)=1,"",'RNEW import'!K713)</f>
        <v xml:space="preserve">Regularizare Certificate verzi </v>
      </c>
      <c r="E715" s="211">
        <f>IF(COUNTBLANK('RNEW import'!L713)=1,"",'RNEW import'!N713)</f>
        <v>0</v>
      </c>
      <c r="F715" s="211">
        <f>IF(COUNTBLANK('RNEW import'!M713)=1,"",'RNEW import'!O713/10000)</f>
        <v>7.2541599999999998E-2</v>
      </c>
      <c r="G715" s="217">
        <f t="shared" si="189"/>
        <v>0</v>
      </c>
      <c r="H715" s="217">
        <f t="shared" si="197"/>
        <v>0</v>
      </c>
      <c r="I715" s="329">
        <f t="shared" si="190"/>
        <v>0</v>
      </c>
      <c r="J715" s="237" t="str">
        <f t="shared" si="192"/>
        <v/>
      </c>
      <c r="K715" s="238" t="str">
        <f t="shared" si="193"/>
        <v/>
      </c>
      <c r="L715" s="238" t="str">
        <f t="shared" si="194"/>
        <v/>
      </c>
      <c r="M715" s="238" t="str">
        <f t="shared" si="195"/>
        <v/>
      </c>
      <c r="N715" s="238" t="str">
        <f t="shared" si="196"/>
        <v/>
      </c>
      <c r="O715" s="232" t="str">
        <f t="shared" si="191"/>
        <v/>
      </c>
      <c r="P715" s="219" t="str">
        <f t="shared" si="198"/>
        <v/>
      </c>
      <c r="Q715" s="219" t="str">
        <f t="shared" si="199"/>
        <v/>
      </c>
      <c r="R715" s="219" t="str">
        <f t="shared" si="200"/>
        <v/>
      </c>
      <c r="S715" s="331" t="str">
        <f t="shared" si="186"/>
        <v/>
      </c>
      <c r="T715" s="331" t="str">
        <f t="shared" si="187"/>
        <v/>
      </c>
      <c r="U715" s="331" t="str">
        <f t="shared" si="188"/>
        <v/>
      </c>
    </row>
    <row r="716" spans="1:21" ht="15.95" customHeight="1">
      <c r="A716" s="211">
        <f>IF(COUNTBLANK('RNEW import'!B714)=1,"",'RNEW import'!B714)</f>
        <v>29</v>
      </c>
      <c r="B716" s="211" t="str">
        <f>IF(COUNTBLANK('RNEW import'!D714)=1,"",'RNEW import'!D714)</f>
        <v>NRE Sibiu Shopping City SRL</v>
      </c>
      <c r="C716" s="211" t="str">
        <f>IF(COUNTBLANK('RNEW import'!E714)=1,"",'RNEW import'!E714)</f>
        <v>RNSS</v>
      </c>
      <c r="D716" s="211" t="str">
        <f>IF(COUNTBLANK('RNEW import'!K714)=1,"",'RNEW import'!K714)</f>
        <v>Regularizare Contributie CFD</v>
      </c>
      <c r="E716" s="211">
        <f>IF(COUNTBLANK('RNEW import'!L714)=1,"",'RNEW import'!N714)</f>
        <v>0</v>
      </c>
      <c r="F716" s="211">
        <f>IF(COUNTBLANK('RNEW import'!M714)=1,"",'RNEW import'!O714/10000)</f>
        <v>2.0599999999999999E-4</v>
      </c>
      <c r="G716" s="217">
        <f t="shared" si="189"/>
        <v>0</v>
      </c>
      <c r="H716" s="217">
        <f t="shared" si="197"/>
        <v>0</v>
      </c>
      <c r="I716" s="329">
        <f t="shared" si="190"/>
        <v>0</v>
      </c>
      <c r="J716" s="237" t="str">
        <f t="shared" si="192"/>
        <v/>
      </c>
      <c r="K716" s="238" t="str">
        <f t="shared" si="193"/>
        <v/>
      </c>
      <c r="L716" s="238" t="str">
        <f t="shared" si="194"/>
        <v/>
      </c>
      <c r="M716" s="238" t="str">
        <f t="shared" si="195"/>
        <v/>
      </c>
      <c r="N716" s="238" t="str">
        <f t="shared" si="196"/>
        <v/>
      </c>
      <c r="O716" s="232" t="str">
        <f t="shared" si="191"/>
        <v/>
      </c>
      <c r="P716" s="219" t="str">
        <f t="shared" si="198"/>
        <v/>
      </c>
      <c r="Q716" s="219" t="str">
        <f t="shared" si="199"/>
        <v/>
      </c>
      <c r="R716" s="219" t="str">
        <f t="shared" si="200"/>
        <v/>
      </c>
      <c r="S716" s="331" t="str">
        <f t="shared" si="186"/>
        <v/>
      </c>
      <c r="T716" s="331" t="str">
        <f t="shared" si="187"/>
        <v/>
      </c>
      <c r="U716" s="331" t="str">
        <f t="shared" si="188"/>
        <v/>
      </c>
    </row>
    <row r="717" spans="1:21" ht="15.95" customHeight="1">
      <c r="A717" s="211">
        <f>IF(COUNTBLANK('RNEW import'!B715)=1,"",'RNEW import'!B715)</f>
        <v>30</v>
      </c>
      <c r="B717" s="211" t="str">
        <f>IF(COUNTBLANK('RNEW import'!D715)=1,"",'RNEW import'!D715)</f>
        <v>NRE Sibiu Shopping City SRL</v>
      </c>
      <c r="C717" s="211" t="str">
        <f>IF(COUNTBLANK('RNEW import'!E715)=1,"",'RNEW import'!E715)</f>
        <v>RNSS</v>
      </c>
      <c r="D717" s="211" t="str">
        <f>IF(COUNTBLANK('RNEW import'!K715)=1,"",'RNEW import'!K715)</f>
        <v>Regularizare Acciza</v>
      </c>
      <c r="E717" s="211">
        <f>IF(COUNTBLANK('RNEW import'!L715)=1,"",'RNEW import'!N715)</f>
        <v>0</v>
      </c>
      <c r="F717" s="211">
        <f>IF(COUNTBLANK('RNEW import'!M715)=1,"",'RNEW import'!O715/10000)</f>
        <v>0</v>
      </c>
      <c r="G717" s="217">
        <f t="shared" si="189"/>
        <v>0</v>
      </c>
      <c r="H717" s="217">
        <f t="shared" si="197"/>
        <v>0</v>
      </c>
      <c r="I717" s="329">
        <f t="shared" si="190"/>
        <v>0</v>
      </c>
      <c r="J717" s="237" t="str">
        <f t="shared" si="192"/>
        <v/>
      </c>
      <c r="K717" s="238" t="str">
        <f t="shared" si="193"/>
        <v/>
      </c>
      <c r="L717" s="238" t="str">
        <f t="shared" si="194"/>
        <v/>
      </c>
      <c r="M717" s="238" t="str">
        <f t="shared" si="195"/>
        <v/>
      </c>
      <c r="N717" s="238" t="str">
        <f t="shared" si="196"/>
        <v/>
      </c>
      <c r="O717" s="233" t="str">
        <f t="shared" si="191"/>
        <v/>
      </c>
      <c r="P717" s="219" t="str">
        <f t="shared" si="198"/>
        <v/>
      </c>
      <c r="Q717" s="219" t="str">
        <f t="shared" si="199"/>
        <v/>
      </c>
      <c r="R717" s="219" t="str">
        <f t="shared" si="200"/>
        <v/>
      </c>
      <c r="S717" s="331" t="str">
        <f t="shared" si="186"/>
        <v/>
      </c>
      <c r="T717" s="331" t="str">
        <f t="shared" si="187"/>
        <v/>
      </c>
      <c r="U717" s="331" t="str">
        <f t="shared" si="188"/>
        <v/>
      </c>
    </row>
    <row r="718" spans="1:21" ht="15.95" customHeight="1">
      <c r="A718" s="211">
        <f>IF(COUNTBLANK('RNEW import'!B716)=1,"",'RNEW import'!B716)</f>
        <v>31</v>
      </c>
      <c r="B718" s="211" t="str">
        <f>IF(COUNTBLANK('RNEW import'!D716)=1,"",'RNEW import'!D716)</f>
        <v>NRE Sibiu Shopping City SRL</v>
      </c>
      <c r="C718" s="211" t="str">
        <f>IF(COUNTBLANK('RNEW import'!E716)=1,"",'RNEW import'!E716)</f>
        <v>RNSS</v>
      </c>
      <c r="D718" s="211" t="str">
        <f>IF(COUNTBLANK('RNEW import'!K716)=1,"",'RNEW import'!K716)</f>
        <v>Regularizare Tarif distributie SDI MT Ea1</v>
      </c>
      <c r="E718" s="211">
        <f>IF(COUNTBLANK('RNEW import'!L716)=1,"",'RNEW import'!N716)</f>
        <v>0</v>
      </c>
      <c r="F718" s="211">
        <f>IF(COUNTBLANK('RNEW import'!M716)=1,"",'RNEW import'!O716/10000)</f>
        <v>1.26E-2</v>
      </c>
      <c r="G718" s="217">
        <f t="shared" si="189"/>
        <v>0</v>
      </c>
      <c r="H718" s="217">
        <f t="shared" si="197"/>
        <v>0</v>
      </c>
      <c r="I718" s="329">
        <f t="shared" si="190"/>
        <v>0</v>
      </c>
      <c r="J718" s="237" t="str">
        <f t="shared" si="192"/>
        <v/>
      </c>
      <c r="K718" s="238" t="str">
        <f t="shared" si="193"/>
        <v/>
      </c>
      <c r="L718" s="238" t="str">
        <f t="shared" si="194"/>
        <v/>
      </c>
      <c r="M718" s="238" t="str">
        <f t="shared" si="195"/>
        <v/>
      </c>
      <c r="N718" s="238" t="str">
        <f t="shared" si="196"/>
        <v/>
      </c>
      <c r="O718" s="218" t="str">
        <f t="shared" si="191"/>
        <v/>
      </c>
      <c r="P718" s="219" t="str">
        <f t="shared" si="198"/>
        <v/>
      </c>
      <c r="Q718" s="219" t="str">
        <f t="shared" si="199"/>
        <v/>
      </c>
      <c r="R718" s="219" t="str">
        <f t="shared" si="200"/>
        <v/>
      </c>
      <c r="S718" s="331" t="str">
        <f t="shared" si="186"/>
        <v/>
      </c>
      <c r="T718" s="331" t="str">
        <f t="shared" si="187"/>
        <v/>
      </c>
      <c r="U718" s="331" t="str">
        <f t="shared" si="188"/>
        <v/>
      </c>
    </row>
    <row r="719" spans="1:21" ht="15.95" customHeight="1">
      <c r="A719" s="211">
        <f>IF(COUNTBLANK('RNEW import'!B717)=1,"",'RNEW import'!B717)</f>
        <v>32</v>
      </c>
      <c r="B719" s="211" t="str">
        <f>IF(COUNTBLANK('RNEW import'!D717)=1,"",'RNEW import'!D717)</f>
        <v>NRE Sibiu Shopping City SRL</v>
      </c>
      <c r="C719" s="211" t="str">
        <f>IF(COUNTBLANK('RNEW import'!E717)=1,"",'RNEW import'!E717)</f>
        <v>RNSS</v>
      </c>
      <c r="D719" s="211" t="str">
        <f>IF(COUNTBLANK('RNEW import'!K717)=1,"",'RNEW import'!K717)</f>
        <v>Regularizare Tarif distributie SDI JT Ea1</v>
      </c>
      <c r="E719" s="211">
        <f>IF(COUNTBLANK('RNEW import'!L717)=1,"",'RNEW import'!N717)</f>
        <v>0</v>
      </c>
      <c r="F719" s="211">
        <f>IF(COUNTBLANK('RNEW import'!M717)=1,"",'RNEW import'!O717/10000)</f>
        <v>9.2700000000000005E-2</v>
      </c>
      <c r="G719" s="217">
        <f t="shared" si="189"/>
        <v>0</v>
      </c>
      <c r="H719" s="217">
        <f t="shared" si="197"/>
        <v>0</v>
      </c>
      <c r="I719" s="329">
        <f t="shared" si="190"/>
        <v>0</v>
      </c>
      <c r="J719" s="237" t="str">
        <f t="shared" ref="J719:J750" si="201">IF(A719=1,B719,"")</f>
        <v/>
      </c>
      <c r="K719" s="238" t="str">
        <f t="shared" si="193"/>
        <v/>
      </c>
      <c r="L719" s="238" t="str">
        <f t="shared" si="194"/>
        <v/>
      </c>
      <c r="M719" s="238" t="str">
        <f t="shared" si="195"/>
        <v/>
      </c>
      <c r="N719" s="238" t="str">
        <f t="shared" si="196"/>
        <v/>
      </c>
      <c r="O719" s="232" t="str">
        <f t="shared" si="191"/>
        <v/>
      </c>
      <c r="P719" s="219" t="str">
        <f t="shared" si="198"/>
        <v/>
      </c>
      <c r="Q719" s="219" t="str">
        <f t="shared" si="199"/>
        <v/>
      </c>
      <c r="R719" s="219" t="str">
        <f t="shared" si="200"/>
        <v/>
      </c>
      <c r="S719" s="331" t="str">
        <f t="shared" si="186"/>
        <v/>
      </c>
      <c r="T719" s="331" t="str">
        <f t="shared" si="187"/>
        <v/>
      </c>
      <c r="U719" s="331" t="str">
        <f t="shared" si="188"/>
        <v/>
      </c>
    </row>
    <row r="720" spans="1:21" ht="15.95" customHeight="1">
      <c r="A720" s="211">
        <f>IF(COUNTBLANK('RNEW import'!B718)=1,"",'RNEW import'!B718)</f>
        <v>33</v>
      </c>
      <c r="B720" s="211" t="str">
        <f>IF(COUNTBLANK('RNEW import'!D718)=1,"",'RNEW import'!D718)</f>
        <v>NRE Sibiu Shopping City SRL</v>
      </c>
      <c r="C720" s="211" t="str">
        <f>IF(COUNTBLANK('RNEW import'!E718)=1,"",'RNEW import'!E718)</f>
        <v>RNSS</v>
      </c>
      <c r="D720" s="211" t="str">
        <f>IF(COUNTBLANK('RNEW import'!K718)=1,"",'RNEW import'!K718)</f>
        <v>Regularizare Energie activa 2</v>
      </c>
      <c r="E720" s="211">
        <f>IF(COUNTBLANK('RNEW import'!L718)=1,"",'RNEW import'!N718)</f>
        <v>0</v>
      </c>
      <c r="F720" s="211">
        <f>IF(COUNTBLANK('RNEW import'!M718)=1,"",'RNEW import'!O718/10000)</f>
        <v>0.93920760000000014</v>
      </c>
      <c r="G720" s="217">
        <f t="shared" si="189"/>
        <v>0</v>
      </c>
      <c r="H720" s="217">
        <f t="shared" si="197"/>
        <v>0</v>
      </c>
      <c r="I720" s="329">
        <f t="shared" si="190"/>
        <v>0</v>
      </c>
      <c r="J720" s="237" t="str">
        <f t="shared" si="201"/>
        <v/>
      </c>
      <c r="K720" s="238" t="str">
        <f t="shared" si="193"/>
        <v/>
      </c>
      <c r="L720" s="238" t="str">
        <f t="shared" si="194"/>
        <v/>
      </c>
      <c r="M720" s="238" t="str">
        <f t="shared" si="195"/>
        <v/>
      </c>
      <c r="N720" s="238" t="str">
        <f t="shared" si="196"/>
        <v/>
      </c>
      <c r="O720" s="232" t="str">
        <f t="shared" si="191"/>
        <v/>
      </c>
      <c r="P720" s="219" t="str">
        <f t="shared" si="198"/>
        <v/>
      </c>
      <c r="Q720" s="219" t="str">
        <f t="shared" si="199"/>
        <v/>
      </c>
      <c r="R720" s="219" t="str">
        <f t="shared" si="200"/>
        <v/>
      </c>
      <c r="S720" s="331" t="str">
        <f t="shared" si="186"/>
        <v/>
      </c>
      <c r="T720" s="331" t="str">
        <f t="shared" si="187"/>
        <v/>
      </c>
      <c r="U720" s="331" t="str">
        <f t="shared" si="188"/>
        <v/>
      </c>
    </row>
    <row r="721" spans="1:21" ht="15.95" customHeight="1">
      <c r="A721" s="211">
        <f>IF(COUNTBLANK('RNEW import'!B719)=1,"",'RNEW import'!B719)</f>
        <v>34</v>
      </c>
      <c r="B721" s="211" t="str">
        <f>IF(COUNTBLANK('RNEW import'!D719)=1,"",'RNEW import'!D719)</f>
        <v>NRE Sibiu Shopping City SRL</v>
      </c>
      <c r="C721" s="211" t="str">
        <f>IF(COUNTBLANK('RNEW import'!E719)=1,"",'RNEW import'!E719)</f>
        <v>RNSS</v>
      </c>
      <c r="D721" s="211" t="str">
        <f>IF(COUNTBLANK('RNEW import'!K719)=1,"",'RNEW import'!K719)</f>
        <v>Regularizare Energie activa 3</v>
      </c>
      <c r="E721" s="211">
        <f>IF(COUNTBLANK('RNEW import'!L719)=1,"",'RNEW import'!N719)</f>
        <v>0</v>
      </c>
      <c r="F721" s="211">
        <f>IF(COUNTBLANK('RNEW import'!M719)=1,"",'RNEW import'!O719/10000)</f>
        <v>0.83390760000000008</v>
      </c>
      <c r="G721" s="217">
        <f t="shared" si="189"/>
        <v>0</v>
      </c>
      <c r="H721" s="217">
        <f t="shared" si="197"/>
        <v>0</v>
      </c>
      <c r="I721" s="329">
        <f t="shared" si="190"/>
        <v>0</v>
      </c>
      <c r="J721" s="237" t="str">
        <f t="shared" si="201"/>
        <v/>
      </c>
      <c r="K721" s="238" t="str">
        <f t="shared" si="193"/>
        <v/>
      </c>
      <c r="L721" s="238" t="str">
        <f t="shared" si="194"/>
        <v/>
      </c>
      <c r="M721" s="238" t="str">
        <f t="shared" si="195"/>
        <v/>
      </c>
      <c r="N721" s="238" t="str">
        <f t="shared" si="196"/>
        <v/>
      </c>
      <c r="O721" s="232" t="str">
        <f t="shared" si="191"/>
        <v/>
      </c>
      <c r="P721" s="219" t="str">
        <f t="shared" si="198"/>
        <v/>
      </c>
      <c r="Q721" s="219" t="str">
        <f t="shared" si="199"/>
        <v/>
      </c>
      <c r="R721" s="219" t="str">
        <f t="shared" si="200"/>
        <v/>
      </c>
      <c r="S721" s="331" t="str">
        <f t="shared" si="186"/>
        <v/>
      </c>
      <c r="T721" s="331" t="str">
        <f t="shared" si="187"/>
        <v/>
      </c>
      <c r="U721" s="331" t="str">
        <f t="shared" si="188"/>
        <v/>
      </c>
    </row>
    <row r="722" spans="1:21" ht="15.95" customHeight="1">
      <c r="A722" s="211">
        <f>IF(COUNTBLANK('RNEW import'!B720)=1,"",'RNEW import'!B720)</f>
        <v>35</v>
      </c>
      <c r="B722" s="211" t="str">
        <f>IF(COUNTBLANK('RNEW import'!D720)=1,"",'RNEW import'!D720)</f>
        <v>NRE Sibiu Shopping City SRL</v>
      </c>
      <c r="C722" s="211" t="str">
        <f>IF(COUNTBLANK('RNEW import'!E720)=1,"",'RNEW import'!E720)</f>
        <v>RNSS</v>
      </c>
      <c r="D722" s="211" t="str">
        <f>IF(COUNTBLANK('RNEW import'!K720)=1,"",'RNEW import'!K720)</f>
        <v>Regularizare Tarif distributie SDI MT Ea3</v>
      </c>
      <c r="E722" s="211">
        <f>IF(COUNTBLANK('RNEW import'!L720)=1,"",'RNEW import'!N720)</f>
        <v>0</v>
      </c>
      <c r="F722" s="211">
        <f>IF(COUNTBLANK('RNEW import'!M720)=1,"",'RNEW import'!O720/10000)</f>
        <v>1.26E-2</v>
      </c>
      <c r="G722" s="217">
        <f t="shared" si="189"/>
        <v>0</v>
      </c>
      <c r="H722" s="217">
        <f t="shared" si="197"/>
        <v>0</v>
      </c>
      <c r="I722" s="329">
        <f t="shared" si="190"/>
        <v>0</v>
      </c>
      <c r="J722" s="237" t="str">
        <f t="shared" si="201"/>
        <v/>
      </c>
      <c r="K722" s="238" t="str">
        <f t="shared" si="193"/>
        <v/>
      </c>
      <c r="L722" s="238" t="str">
        <f t="shared" si="194"/>
        <v/>
      </c>
      <c r="M722" s="238" t="str">
        <f t="shared" si="195"/>
        <v/>
      </c>
      <c r="N722" s="238" t="str">
        <f t="shared" si="196"/>
        <v/>
      </c>
      <c r="O722" s="232" t="str">
        <f t="shared" si="191"/>
        <v/>
      </c>
      <c r="P722" s="219" t="str">
        <f t="shared" si="198"/>
        <v/>
      </c>
      <c r="Q722" s="219" t="str">
        <f t="shared" si="199"/>
        <v/>
      </c>
      <c r="R722" s="219" t="str">
        <f t="shared" si="200"/>
        <v/>
      </c>
      <c r="S722" s="331" t="str">
        <f t="shared" si="186"/>
        <v/>
      </c>
      <c r="T722" s="331" t="str">
        <f t="shared" si="187"/>
        <v/>
      </c>
      <c r="U722" s="331" t="str">
        <f t="shared" si="188"/>
        <v/>
      </c>
    </row>
    <row r="723" spans="1:21" ht="15.95" customHeight="1">
      <c r="A723" s="211">
        <f>IF(COUNTBLANK('RNEW import'!B721)=1,"",'RNEW import'!B721)</f>
        <v>36</v>
      </c>
      <c r="B723" s="211" t="str">
        <f>IF(COUNTBLANK('RNEW import'!D721)=1,"",'RNEW import'!D721)</f>
        <v>NRE Sibiu Shopping City SRL</v>
      </c>
      <c r="C723" s="211" t="str">
        <f>IF(COUNTBLANK('RNEW import'!E721)=1,"",'RNEW import'!E721)</f>
        <v>RNSS</v>
      </c>
      <c r="D723" s="211" t="str">
        <f>IF(COUNTBLANK('RNEW import'!K721)=1,"",'RNEW import'!K721)</f>
        <v>Regularizare Tarif distributie SDI JT Ea3</v>
      </c>
      <c r="E723" s="211">
        <f>IF(COUNTBLANK('RNEW import'!L721)=1,"",'RNEW import'!N721)</f>
        <v>0</v>
      </c>
      <c r="F723" s="211">
        <f>IF(COUNTBLANK('RNEW import'!M721)=1,"",'RNEW import'!O721/10000)</f>
        <v>9.2700000000000005E-2</v>
      </c>
      <c r="G723" s="217">
        <f t="shared" si="189"/>
        <v>0</v>
      </c>
      <c r="H723" s="217">
        <f t="shared" si="197"/>
        <v>0</v>
      </c>
      <c r="I723" s="329">
        <f t="shared" si="190"/>
        <v>0</v>
      </c>
      <c r="J723" s="237" t="str">
        <f t="shared" si="201"/>
        <v/>
      </c>
      <c r="K723" s="238" t="str">
        <f t="shared" si="193"/>
        <v/>
      </c>
      <c r="L723" s="238" t="str">
        <f t="shared" si="194"/>
        <v/>
      </c>
      <c r="M723" s="238" t="str">
        <f t="shared" si="195"/>
        <v/>
      </c>
      <c r="N723" s="238" t="str">
        <f t="shared" si="196"/>
        <v/>
      </c>
      <c r="O723" s="232" t="str">
        <f t="shared" si="191"/>
        <v/>
      </c>
      <c r="P723" s="219" t="str">
        <f t="shared" si="198"/>
        <v>Energie consumata din PV regularizare</v>
      </c>
      <c r="Q723" s="219">
        <f t="shared" si="199"/>
        <v>0</v>
      </c>
      <c r="R723" s="219">
        <f t="shared" si="200"/>
        <v>0</v>
      </c>
      <c r="S723" s="331">
        <f t="shared" si="186"/>
        <v>0</v>
      </c>
      <c r="T723" s="331">
        <f t="shared" si="187"/>
        <v>0</v>
      </c>
      <c r="U723" s="331">
        <f t="shared" si="188"/>
        <v>0</v>
      </c>
    </row>
    <row r="724" spans="1:21" ht="15.95" customHeight="1">
      <c r="A724" s="211">
        <f>IF(COUNTBLANK('RNEW import'!B722)=1,"",'RNEW import'!B722)</f>
        <v>1</v>
      </c>
      <c r="B724" s="211" t="str">
        <f>IF(COUNTBLANK('RNEW import'!D722)=1,"",'RNEW import'!D722)</f>
        <v>Sibiu Shopping City 2 SRL</v>
      </c>
      <c r="C724" s="211" t="str">
        <f>IF(COUNTBLANK('RNEW import'!E722)=1,"",'RNEW import'!E722)</f>
        <v>RSSC</v>
      </c>
      <c r="D724" s="211" t="str">
        <f>IF(COUNTBLANK('RNEW import'!K722)=1,"",'RNEW import'!K722)</f>
        <v>Energie activa 1</v>
      </c>
      <c r="E724" s="211">
        <f>IF(COUNTBLANK('RNEW import'!L722)=1,"",'RNEW import'!N722)</f>
        <v>89775</v>
      </c>
      <c r="F724" s="211">
        <f>IF(COUNTBLANK('RNEW import'!M722)=1,"",'RNEW import'!O722/10000)</f>
        <v>0.59499999999999997</v>
      </c>
      <c r="G724" s="217">
        <f t="shared" si="189"/>
        <v>53416.13</v>
      </c>
      <c r="H724" s="217">
        <f t="shared" si="197"/>
        <v>10149.06</v>
      </c>
      <c r="I724" s="329">
        <f t="shared" si="190"/>
        <v>63565.189999999995</v>
      </c>
      <c r="J724" s="237" t="str">
        <f t="shared" si="201"/>
        <v>Sibiu Shopping City 2 SRL</v>
      </c>
      <c r="K724" s="238">
        <f t="shared" si="193"/>
        <v>9636.32</v>
      </c>
      <c r="L724" s="238">
        <f t="shared" si="194"/>
        <v>75730.810000000012</v>
      </c>
      <c r="M724" s="238">
        <f t="shared" si="195"/>
        <v>38411.57</v>
      </c>
      <c r="N724" s="238">
        <f t="shared" si="196"/>
        <v>91513</v>
      </c>
      <c r="O724" s="232" t="str">
        <f t="shared" si="191"/>
        <v>Sibiu Shopping City 2 SRL</v>
      </c>
      <c r="P724" s="219" t="str">
        <f t="shared" si="198"/>
        <v>Enegie activa</v>
      </c>
      <c r="Q724" s="219">
        <f t="shared" si="199"/>
        <v>89775</v>
      </c>
      <c r="R724" s="219">
        <f t="shared" si="200"/>
        <v>0.94446099999999999</v>
      </c>
      <c r="S724" s="331">
        <f t="shared" si="186"/>
        <v>84789.03</v>
      </c>
      <c r="T724" s="331">
        <f t="shared" si="187"/>
        <v>16109.91</v>
      </c>
      <c r="U724" s="331">
        <f t="shared" si="188"/>
        <v>100898.94</v>
      </c>
    </row>
    <row r="725" spans="1:21" ht="15.95" customHeight="1">
      <c r="A725" s="211">
        <f>IF(COUNTBLANK('RNEW import'!B723)=1,"",'RNEW import'!B723)</f>
        <v>2</v>
      </c>
      <c r="B725" s="211" t="str">
        <f>IF(COUNTBLANK('RNEW import'!D723)=1,"",'RNEW import'!D723)</f>
        <v>Sibiu Shopping City 2 SRL</v>
      </c>
      <c r="C725" s="211" t="str">
        <f>IF(COUNTBLANK('RNEW import'!E723)=1,"",'RNEW import'!E723)</f>
        <v>RSSC</v>
      </c>
      <c r="D725" s="211" t="str">
        <f>IF(COUNTBLANK('RNEW import'!K723)=1,"",'RNEW import'!K723)</f>
        <v>Energie reactiva  1X</v>
      </c>
      <c r="E725" s="211">
        <f>IF(COUNTBLANK('RNEW import'!L723)=1,"",'RNEW import'!N723)</f>
        <v>0</v>
      </c>
      <c r="F725" s="211">
        <f>IF(COUNTBLANK('RNEW import'!M723)=1,"",'RNEW import'!O723/10000)</f>
        <v>0.14649999999999999</v>
      </c>
      <c r="G725" s="217">
        <f t="shared" si="189"/>
        <v>0</v>
      </c>
      <c r="H725" s="217">
        <f t="shared" si="197"/>
        <v>0</v>
      </c>
      <c r="I725" s="329">
        <f t="shared" si="190"/>
        <v>0</v>
      </c>
      <c r="J725" s="237" t="str">
        <f t="shared" si="201"/>
        <v/>
      </c>
      <c r="K725" s="238" t="str">
        <f t="shared" si="193"/>
        <v/>
      </c>
      <c r="L725" s="238" t="str">
        <f t="shared" si="194"/>
        <v/>
      </c>
      <c r="M725" s="238" t="str">
        <f t="shared" si="195"/>
        <v/>
      </c>
      <c r="N725" s="238" t="str">
        <f t="shared" si="196"/>
        <v/>
      </c>
      <c r="O725" s="232" t="str">
        <f t="shared" si="191"/>
        <v/>
      </c>
      <c r="P725" s="219" t="str">
        <f t="shared" si="198"/>
        <v>Energie reactiva 1x</v>
      </c>
      <c r="Q725" s="219">
        <f t="shared" si="199"/>
        <v>0</v>
      </c>
      <c r="R725" s="219">
        <f t="shared" si="200"/>
        <v>0.14649999999999999</v>
      </c>
      <c r="S725" s="331">
        <f t="shared" si="186"/>
        <v>0</v>
      </c>
      <c r="T725" s="331">
        <f t="shared" si="187"/>
        <v>0</v>
      </c>
      <c r="U725" s="331">
        <f t="shared" si="188"/>
        <v>0</v>
      </c>
    </row>
    <row r="726" spans="1:21" ht="15.95" customHeight="1">
      <c r="A726" s="211">
        <f>IF(COUNTBLANK('RNEW import'!B724)=1,"",'RNEW import'!B724)</f>
        <v>3</v>
      </c>
      <c r="B726" s="211" t="str">
        <f>IF(COUNTBLANK('RNEW import'!D724)=1,"",'RNEW import'!D724)</f>
        <v>Sibiu Shopping City 2 SRL</v>
      </c>
      <c r="C726" s="211" t="str">
        <f>IF(COUNTBLANK('RNEW import'!E724)=1,"",'RNEW import'!E724)</f>
        <v>RSSC</v>
      </c>
      <c r="D726" s="211" t="str">
        <f>IF(COUNTBLANK('RNEW import'!K724)=1,"",'RNEW import'!K724)</f>
        <v>Energie reactiva  3X</v>
      </c>
      <c r="E726" s="211">
        <f>IF(COUNTBLANK('RNEW import'!L724)=1,"",'RNEW import'!N724)</f>
        <v>0</v>
      </c>
      <c r="F726" s="211">
        <f>IF(COUNTBLANK('RNEW import'!M724)=1,"",'RNEW import'!O724/10000)</f>
        <v>0.4395</v>
      </c>
      <c r="G726" s="217">
        <f t="shared" si="189"/>
        <v>0</v>
      </c>
      <c r="H726" s="217">
        <f t="shared" si="197"/>
        <v>0</v>
      </c>
      <c r="I726" s="329">
        <f t="shared" si="190"/>
        <v>0</v>
      </c>
      <c r="J726" s="237" t="str">
        <f t="shared" si="201"/>
        <v/>
      </c>
      <c r="K726" s="238" t="str">
        <f t="shared" si="193"/>
        <v/>
      </c>
      <c r="L726" s="238" t="str">
        <f t="shared" si="194"/>
        <v/>
      </c>
      <c r="M726" s="238" t="str">
        <f t="shared" si="195"/>
        <v/>
      </c>
      <c r="N726" s="238" t="str">
        <f t="shared" si="196"/>
        <v/>
      </c>
      <c r="O726" s="232" t="str">
        <f t="shared" si="191"/>
        <v/>
      </c>
      <c r="P726" s="219" t="str">
        <f t="shared" si="198"/>
        <v>Energie reactiva 3x</v>
      </c>
      <c r="Q726" s="219">
        <f t="shared" si="199"/>
        <v>0</v>
      </c>
      <c r="R726" s="219">
        <f t="shared" si="200"/>
        <v>0.4395</v>
      </c>
      <c r="S726" s="331">
        <f t="shared" ref="S726:S786" si="202">IF(COUNTBLANK(P726)=1,"",ROUND(IF(P726=$P$5,G726,IF(P726=$P$6,G726,IF(P726=$P$21,G726+G725+G724+G723,IF(P726=$P$23,G726,IF(P726=$P$24,G726,IF(P726=$P$4,SUMIFS(G:G,$B:$B,J726,A:A,"&lt;15"),IF(P726=$P$22,SUMIFS(G:G,$B:$B,J708,A:A,"&gt;18",A:A,"&lt;33")-S727-S728,IF(P726=$P$39,G726+G725+G724+G723,"eroare")))))))),2))</f>
        <v>0</v>
      </c>
      <c r="T726" s="331">
        <f t="shared" ref="T726:T789" si="203">IF(COUNTBLANK(P726)=1,"",ROUND(IF(P726=$P$5,H726,IF(P726=$P$6,H726,IF(P726=$P$21,H726+H725+H724+H723,IF(P726=$P$23,H726,IF(P726=$P$24,H726,IF(P726=$P$4,SUMIFS(H:H,$B:$B,J726,A:A,"&lt;15"),IF(P726=$P$22,SUMIFS(H:H,$B:$B,J708,A:A,"&gt;18",A:A,"&lt;33")-T727-T728,IF(P726=$P$39,H726+H725+H724+H723,"eroare")))))))),2))</f>
        <v>0</v>
      </c>
      <c r="U726" s="331">
        <f t="shared" ref="U726:U789" si="204">IF(COUNTBLANK(P726)=1,"",ROUND(IF(P726=$P$5,I726,IF(P726=$P$6,I726,IF(P726=$P$21,I726+I725+I724+I723,IF(P726=$P$23,I726,IF(P726=$P$24,I726,IF(P726=$P$4,SUMIFS(I:I,$B:$B,J726,A:A,"&lt;15"),IF(P726=$P$22,SUMIFS(I:I,$B:$B,J708,A:A,"&gt;18",A:A,"&lt;33")-U727-U728,IF(P726=$P$39,I726+I725+I724+I723,"eroare")))))))),2))</f>
        <v>0</v>
      </c>
    </row>
    <row r="727" spans="1:21" ht="15.95" customHeight="1">
      <c r="A727" s="211">
        <f>IF(COUNTBLANK('RNEW import'!B725)=1,"",'RNEW import'!B725)</f>
        <v>4</v>
      </c>
      <c r="B727" s="211" t="str">
        <f>IF(COUNTBLANK('RNEW import'!D725)=1,"",'RNEW import'!D725)</f>
        <v>Sibiu Shopping City 2 SRL</v>
      </c>
      <c r="C727" s="211" t="str">
        <f>IF(COUNTBLANK('RNEW import'!E725)=1,"",'RNEW import'!E725)</f>
        <v>RSSC</v>
      </c>
      <c r="D727" s="211" t="str">
        <f>IF(COUNTBLANK('RNEW import'!K725)=1,"",'RNEW import'!K725)</f>
        <v>Tarife distributie en. El IT+MT</v>
      </c>
      <c r="E727" s="211">
        <f>IF(COUNTBLANK('RNEW import'!L725)=1,"",'RNEW import'!N725)</f>
        <v>89775</v>
      </c>
      <c r="F727" s="211">
        <f>IF(COUNTBLANK('RNEW import'!M725)=1,"",'RNEW import'!O725/10000)</f>
        <v>0.11483</v>
      </c>
      <c r="G727" s="217">
        <f t="shared" si="189"/>
        <v>10308.86</v>
      </c>
      <c r="H727" s="217">
        <f t="shared" si="197"/>
        <v>1958.68</v>
      </c>
      <c r="I727" s="329">
        <f t="shared" si="190"/>
        <v>12267.54</v>
      </c>
      <c r="J727" s="237" t="str">
        <f t="shared" si="201"/>
        <v/>
      </c>
      <c r="K727" s="238" t="str">
        <f t="shared" si="193"/>
        <v/>
      </c>
      <c r="L727" s="238" t="str">
        <f t="shared" si="194"/>
        <v/>
      </c>
      <c r="M727" s="238" t="str">
        <f t="shared" si="195"/>
        <v/>
      </c>
      <c r="N727" s="238" t="str">
        <f t="shared" si="196"/>
        <v/>
      </c>
      <c r="O727" s="232" t="str">
        <f t="shared" si="191"/>
        <v/>
      </c>
      <c r="P727" s="219" t="str">
        <f t="shared" si="198"/>
        <v/>
      </c>
      <c r="Q727" s="219" t="str">
        <f t="shared" si="199"/>
        <v/>
      </c>
      <c r="R727" s="219" t="str">
        <f t="shared" si="200"/>
        <v/>
      </c>
      <c r="S727" s="331" t="str">
        <f t="shared" si="202"/>
        <v/>
      </c>
      <c r="T727" s="331" t="str">
        <f t="shared" si="203"/>
        <v/>
      </c>
      <c r="U727" s="331" t="str">
        <f t="shared" si="204"/>
        <v/>
      </c>
    </row>
    <row r="728" spans="1:21" ht="15.95" customHeight="1">
      <c r="A728" s="211">
        <f>IF(COUNTBLANK('RNEW import'!B726)=1,"",'RNEW import'!B726)</f>
        <v>5</v>
      </c>
      <c r="B728" s="211" t="str">
        <f>IF(COUNTBLANK('RNEW import'!D726)=1,"",'RNEW import'!D726)</f>
        <v>Sibiu Shopping City 2 SRL</v>
      </c>
      <c r="C728" s="211" t="str">
        <f>IF(COUNTBLANK('RNEW import'!E726)=1,"",'RNEW import'!E726)</f>
        <v>RSSC</v>
      </c>
      <c r="D728" s="211" t="str">
        <f>IF(COUNTBLANK('RNEW import'!K726)=1,"",'RNEW import'!K726)</f>
        <v>Tarife distributie en. El JT</v>
      </c>
      <c r="E728" s="211">
        <f>IF(COUNTBLANK('RNEW import'!L726)=1,"",'RNEW import'!N726)</f>
        <v>3606</v>
      </c>
      <c r="F728" s="211">
        <f>IF(COUNTBLANK('RNEW import'!M726)=1,"",'RNEW import'!O726/10000)</f>
        <v>0.2361</v>
      </c>
      <c r="G728" s="217">
        <f t="shared" si="189"/>
        <v>851.38</v>
      </c>
      <c r="H728" s="217">
        <f t="shared" si="197"/>
        <v>161.76</v>
      </c>
      <c r="I728" s="329">
        <f t="shared" si="190"/>
        <v>1013.14</v>
      </c>
      <c r="J728" s="237" t="str">
        <f t="shared" si="201"/>
        <v/>
      </c>
      <c r="K728" s="238" t="str">
        <f t="shared" si="193"/>
        <v/>
      </c>
      <c r="L728" s="238" t="str">
        <f t="shared" si="194"/>
        <v/>
      </c>
      <c r="M728" s="238" t="str">
        <f t="shared" si="195"/>
        <v/>
      </c>
      <c r="N728" s="238" t="str">
        <f t="shared" si="196"/>
        <v/>
      </c>
      <c r="O728" s="232" t="str">
        <f t="shared" si="191"/>
        <v/>
      </c>
      <c r="P728" s="219" t="str">
        <f t="shared" si="198"/>
        <v/>
      </c>
      <c r="Q728" s="219" t="str">
        <f t="shared" si="199"/>
        <v/>
      </c>
      <c r="R728" s="219" t="str">
        <f t="shared" si="200"/>
        <v/>
      </c>
      <c r="S728" s="331" t="str">
        <f t="shared" si="202"/>
        <v/>
      </c>
      <c r="T728" s="331" t="str">
        <f t="shared" si="203"/>
        <v/>
      </c>
      <c r="U728" s="331" t="str">
        <f t="shared" si="204"/>
        <v/>
      </c>
    </row>
    <row r="729" spans="1:21" ht="15.95" customHeight="1">
      <c r="A729" s="211">
        <f>IF(COUNTBLANK('RNEW import'!B727)=1,"",'RNEW import'!B727)</f>
        <v>6</v>
      </c>
      <c r="B729" s="211" t="str">
        <f>IF(COUNTBLANK('RNEW import'!D727)=1,"",'RNEW import'!D727)</f>
        <v>Sibiu Shopping City 2 SRL</v>
      </c>
      <c r="C729" s="211" t="str">
        <f>IF(COUNTBLANK('RNEW import'!E727)=1,"",'RNEW import'!E727)</f>
        <v>RSSC</v>
      </c>
      <c r="D729" s="211" t="str">
        <f>IF(COUNTBLANK('RNEW import'!K727)=1,"",'RNEW import'!K727)</f>
        <v xml:space="preserve">Servicii Sistem </v>
      </c>
      <c r="E729" s="211">
        <f>IF(COUNTBLANK('RNEW import'!L727)=1,"",'RNEW import'!N727)</f>
        <v>89775</v>
      </c>
      <c r="F729" s="211">
        <f>IF(COUNTBLANK('RNEW import'!M727)=1,"",'RNEW import'!O727/10000)</f>
        <v>1.1509999999999999E-2</v>
      </c>
      <c r="G729" s="217">
        <f t="shared" si="189"/>
        <v>1033.31</v>
      </c>
      <c r="H729" s="217">
        <f t="shared" si="197"/>
        <v>196.33</v>
      </c>
      <c r="I729" s="329">
        <f t="shared" si="190"/>
        <v>1229.6399999999999</v>
      </c>
      <c r="J729" s="237" t="str">
        <f t="shared" si="201"/>
        <v/>
      </c>
      <c r="K729" s="238" t="str">
        <f t="shared" si="193"/>
        <v/>
      </c>
      <c r="L729" s="238" t="str">
        <f t="shared" si="194"/>
        <v/>
      </c>
      <c r="M729" s="238" t="str">
        <f t="shared" si="195"/>
        <v/>
      </c>
      <c r="N729" s="238" t="str">
        <f t="shared" si="196"/>
        <v/>
      </c>
      <c r="O729" s="232" t="str">
        <f t="shared" si="191"/>
        <v/>
      </c>
      <c r="P729" s="219" t="str">
        <f t="shared" si="198"/>
        <v/>
      </c>
      <c r="Q729" s="219" t="str">
        <f t="shared" si="199"/>
        <v/>
      </c>
      <c r="R729" s="219" t="str">
        <f t="shared" si="200"/>
        <v/>
      </c>
      <c r="S729" s="331" t="str">
        <f t="shared" si="202"/>
        <v/>
      </c>
      <c r="T729" s="331" t="str">
        <f t="shared" si="203"/>
        <v/>
      </c>
      <c r="U729" s="331" t="str">
        <f t="shared" si="204"/>
        <v/>
      </c>
    </row>
    <row r="730" spans="1:21" ht="15.95" customHeight="1">
      <c r="A730" s="211">
        <f>IF(COUNTBLANK('RNEW import'!B728)=1,"",'RNEW import'!B728)</f>
        <v>7</v>
      </c>
      <c r="B730" s="211" t="str">
        <f>IF(COUNTBLANK('RNEW import'!D728)=1,"",'RNEW import'!D728)</f>
        <v>Sibiu Shopping City 2 SRL</v>
      </c>
      <c r="C730" s="211" t="str">
        <f>IF(COUNTBLANK('RNEW import'!E728)=1,"",'RNEW import'!E728)</f>
        <v>RSSC</v>
      </c>
      <c r="D730" s="211" t="str">
        <f>IF(COUNTBLANK('RNEW import'!K728)=1,"",'RNEW import'!K728)</f>
        <v>Tarif de introducere en. el in retea (TL)</v>
      </c>
      <c r="E730" s="211">
        <f>IF(COUNTBLANK('RNEW import'!L728)=1,"",'RNEW import'!N728)</f>
        <v>89775</v>
      </c>
      <c r="F730" s="211">
        <f>IF(COUNTBLANK('RNEW import'!M728)=1,"",'RNEW import'!O728/10000)</f>
        <v>3.3030000000000004E-2</v>
      </c>
      <c r="G730" s="217">
        <f t="shared" si="189"/>
        <v>2965.27</v>
      </c>
      <c r="H730" s="217">
        <f t="shared" si="197"/>
        <v>563.4</v>
      </c>
      <c r="I730" s="329">
        <f t="shared" si="190"/>
        <v>3528.67</v>
      </c>
      <c r="J730" s="237" t="str">
        <f t="shared" si="201"/>
        <v/>
      </c>
      <c r="K730" s="238" t="str">
        <f t="shared" si="193"/>
        <v/>
      </c>
      <c r="L730" s="238" t="str">
        <f t="shared" si="194"/>
        <v/>
      </c>
      <c r="M730" s="238" t="str">
        <f t="shared" si="195"/>
        <v/>
      </c>
      <c r="N730" s="238" t="str">
        <f t="shared" si="196"/>
        <v/>
      </c>
      <c r="O730" s="232" t="str">
        <f t="shared" si="191"/>
        <v/>
      </c>
      <c r="P730" s="219" t="str">
        <f t="shared" si="198"/>
        <v/>
      </c>
      <c r="Q730" s="219" t="str">
        <f t="shared" si="199"/>
        <v/>
      </c>
      <c r="R730" s="219" t="str">
        <f t="shared" si="200"/>
        <v/>
      </c>
      <c r="S730" s="331" t="str">
        <f t="shared" si="202"/>
        <v/>
      </c>
      <c r="T730" s="331" t="str">
        <f t="shared" si="203"/>
        <v/>
      </c>
      <c r="U730" s="331" t="str">
        <f t="shared" si="204"/>
        <v/>
      </c>
    </row>
    <row r="731" spans="1:21" ht="15.95" customHeight="1">
      <c r="A731" s="211">
        <f>IF(COUNTBLANK('RNEW import'!B729)=1,"",'RNEW import'!B729)</f>
        <v>8</v>
      </c>
      <c r="B731" s="211" t="str">
        <f>IF(COUNTBLANK('RNEW import'!D729)=1,"",'RNEW import'!D729)</f>
        <v>Sibiu Shopping City 2 SRL</v>
      </c>
      <c r="C731" s="211" t="str">
        <f>IF(COUNTBLANK('RNEW import'!E729)=1,"",'RNEW import'!E729)</f>
        <v>RSSC</v>
      </c>
      <c r="D731" s="211" t="str">
        <f>IF(COUNTBLANK('RNEW import'!K729)=1,"",'RNEW import'!K729)</f>
        <v>Tarif de introducere en.el in retea (TG)</v>
      </c>
      <c r="E731" s="211">
        <f>IF(COUNTBLANK('RNEW import'!L729)=1,"",'RNEW import'!N729)</f>
        <v>89775</v>
      </c>
      <c r="F731" s="211">
        <f>IF(COUNTBLANK('RNEW import'!M729)=1,"",'RNEW import'!O729/10000)</f>
        <v>3.29E-3</v>
      </c>
      <c r="G731" s="217">
        <f t="shared" si="189"/>
        <v>295.36</v>
      </c>
      <c r="H731" s="217">
        <f t="shared" si="197"/>
        <v>56.12</v>
      </c>
      <c r="I731" s="329">
        <f t="shared" si="190"/>
        <v>351.48</v>
      </c>
      <c r="J731" s="237" t="str">
        <f t="shared" si="201"/>
        <v/>
      </c>
      <c r="K731" s="238" t="str">
        <f t="shared" si="193"/>
        <v/>
      </c>
      <c r="L731" s="238" t="str">
        <f t="shared" si="194"/>
        <v/>
      </c>
      <c r="M731" s="238" t="str">
        <f t="shared" si="195"/>
        <v/>
      </c>
      <c r="N731" s="238" t="str">
        <f t="shared" si="196"/>
        <v/>
      </c>
      <c r="O731" s="232" t="str">
        <f t="shared" si="191"/>
        <v/>
      </c>
      <c r="P731" s="219" t="str">
        <f t="shared" si="198"/>
        <v/>
      </c>
      <c r="Q731" s="219" t="str">
        <f t="shared" si="199"/>
        <v/>
      </c>
      <c r="R731" s="219" t="str">
        <f t="shared" si="200"/>
        <v/>
      </c>
      <c r="S731" s="331" t="str">
        <f t="shared" si="202"/>
        <v/>
      </c>
      <c r="T731" s="331" t="str">
        <f t="shared" si="203"/>
        <v/>
      </c>
      <c r="U731" s="331" t="str">
        <f t="shared" si="204"/>
        <v/>
      </c>
    </row>
    <row r="732" spans="1:21" ht="15.95" customHeight="1">
      <c r="A732" s="211">
        <f>IF(COUNTBLANK('RNEW import'!B730)=1,"",'RNEW import'!B730)</f>
        <v>9</v>
      </c>
      <c r="B732" s="211" t="str">
        <f>IF(COUNTBLANK('RNEW import'!D730)=1,"",'RNEW import'!D730)</f>
        <v>Sibiu Shopping City 2 SRL</v>
      </c>
      <c r="C732" s="211" t="str">
        <f>IF(COUNTBLANK('RNEW import'!E730)=1,"",'RNEW import'!E730)</f>
        <v>RSSC</v>
      </c>
      <c r="D732" s="211" t="str">
        <f>IF(COUNTBLANK('RNEW import'!K730)=1,"",'RNEW import'!K730)</f>
        <v>Contributie pentru cogenerare</v>
      </c>
      <c r="E732" s="211">
        <f>IF(COUNTBLANK('RNEW import'!L730)=1,"",'RNEW import'!N730)</f>
        <v>89775</v>
      </c>
      <c r="F732" s="211">
        <f>IF(COUNTBLANK('RNEW import'!M730)=1,"",'RNEW import'!O730/10000)</f>
        <v>3.5000000000000001E-3</v>
      </c>
      <c r="G732" s="217">
        <f t="shared" si="189"/>
        <v>314.20999999999998</v>
      </c>
      <c r="H732" s="217">
        <f t="shared" si="197"/>
        <v>59.7</v>
      </c>
      <c r="I732" s="329">
        <f t="shared" si="190"/>
        <v>373.90999999999997</v>
      </c>
      <c r="J732" s="237" t="str">
        <f t="shared" si="201"/>
        <v/>
      </c>
      <c r="K732" s="238" t="str">
        <f t="shared" si="193"/>
        <v/>
      </c>
      <c r="L732" s="238" t="str">
        <f t="shared" si="194"/>
        <v/>
      </c>
      <c r="M732" s="238" t="str">
        <f t="shared" si="195"/>
        <v/>
      </c>
      <c r="N732" s="238" t="str">
        <f t="shared" si="196"/>
        <v/>
      </c>
      <c r="O732" s="232" t="str">
        <f t="shared" si="191"/>
        <v/>
      </c>
      <c r="P732" s="219" t="str">
        <f t="shared" si="198"/>
        <v/>
      </c>
      <c r="Q732" s="219" t="str">
        <f t="shared" si="199"/>
        <v/>
      </c>
      <c r="R732" s="219" t="str">
        <f t="shared" si="200"/>
        <v/>
      </c>
      <c r="S732" s="331" t="str">
        <f t="shared" si="202"/>
        <v/>
      </c>
      <c r="T732" s="331" t="str">
        <f t="shared" si="203"/>
        <v/>
      </c>
      <c r="U732" s="331" t="str">
        <f t="shared" si="204"/>
        <v/>
      </c>
    </row>
    <row r="733" spans="1:21" ht="15.95" customHeight="1">
      <c r="A733" s="211">
        <f>IF(COUNTBLANK('RNEW import'!B731)=1,"",'RNEW import'!B731)</f>
        <v>10</v>
      </c>
      <c r="B733" s="211" t="str">
        <f>IF(COUNTBLANK('RNEW import'!D731)=1,"",'RNEW import'!D731)</f>
        <v>Sibiu Shopping City 2 SRL</v>
      </c>
      <c r="C733" s="211" t="str">
        <f>IF(COUNTBLANK('RNEW import'!E731)=1,"",'RNEW import'!E731)</f>
        <v>RSSC</v>
      </c>
      <c r="D733" s="211" t="str">
        <f>IF(COUNTBLANK('RNEW import'!K731)=1,"",'RNEW import'!K731)</f>
        <v xml:space="preserve">Certificate verzi </v>
      </c>
      <c r="E733" s="211">
        <f>IF(COUNTBLANK('RNEW import'!L731)=1,"",'RNEW import'!N731)</f>
        <v>89775</v>
      </c>
      <c r="F733" s="211">
        <f>IF(COUNTBLANK('RNEW import'!M731)=1,"",'RNEW import'!O731/10000)</f>
        <v>7.2541599999999998E-2</v>
      </c>
      <c r="G733" s="217">
        <f t="shared" si="189"/>
        <v>6512.42</v>
      </c>
      <c r="H733" s="217">
        <f t="shared" si="197"/>
        <v>1237.3599999999999</v>
      </c>
      <c r="I733" s="329">
        <f t="shared" si="190"/>
        <v>7749.78</v>
      </c>
      <c r="J733" s="237" t="str">
        <f t="shared" si="201"/>
        <v/>
      </c>
      <c r="K733" s="238" t="str">
        <f t="shared" si="193"/>
        <v/>
      </c>
      <c r="L733" s="238" t="str">
        <f t="shared" si="194"/>
        <v/>
      </c>
      <c r="M733" s="238" t="str">
        <f t="shared" si="195"/>
        <v/>
      </c>
      <c r="N733" s="238" t="str">
        <f t="shared" si="196"/>
        <v/>
      </c>
      <c r="O733" s="232" t="str">
        <f t="shared" si="191"/>
        <v/>
      </c>
      <c r="P733" s="219" t="str">
        <f t="shared" si="198"/>
        <v/>
      </c>
      <c r="Q733" s="219" t="str">
        <f t="shared" si="199"/>
        <v/>
      </c>
      <c r="R733" s="219" t="str">
        <f t="shared" si="200"/>
        <v/>
      </c>
      <c r="S733" s="331" t="str">
        <f t="shared" si="202"/>
        <v/>
      </c>
      <c r="T733" s="331" t="str">
        <f t="shared" si="203"/>
        <v/>
      </c>
      <c r="U733" s="331" t="str">
        <f t="shared" si="204"/>
        <v/>
      </c>
    </row>
    <row r="734" spans="1:21" ht="15.95" customHeight="1">
      <c r="A734" s="211">
        <f>IF(COUNTBLANK('RNEW import'!B732)=1,"",'RNEW import'!B732)</f>
        <v>11</v>
      </c>
      <c r="B734" s="211" t="str">
        <f>IF(COUNTBLANK('RNEW import'!D732)=1,"",'RNEW import'!D732)</f>
        <v>Sibiu Shopping City 2 SRL</v>
      </c>
      <c r="C734" s="211" t="str">
        <f>IF(COUNTBLANK('RNEW import'!E732)=1,"",'RNEW import'!E732)</f>
        <v>RSSC</v>
      </c>
      <c r="D734" s="211" t="str">
        <f>IF(COUNTBLANK('RNEW import'!K732)=1,"",'RNEW import'!K732)</f>
        <v>Contributie CFD</v>
      </c>
      <c r="E734" s="211">
        <f>IF(COUNTBLANK('RNEW import'!L732)=1,"",'RNEW import'!N732)</f>
        <v>89775</v>
      </c>
      <c r="F734" s="211">
        <f>IF(COUNTBLANK('RNEW import'!M732)=1,"",'RNEW import'!O732/10000)</f>
        <v>2.0599999999999999E-4</v>
      </c>
      <c r="G734" s="217">
        <f t="shared" si="189"/>
        <v>18.489999999999998</v>
      </c>
      <c r="H734" s="217">
        <f t="shared" si="197"/>
        <v>3.51</v>
      </c>
      <c r="I734" s="329">
        <f t="shared" si="190"/>
        <v>22</v>
      </c>
      <c r="J734" s="237" t="str">
        <f t="shared" si="201"/>
        <v/>
      </c>
      <c r="K734" s="238" t="str">
        <f t="shared" si="193"/>
        <v/>
      </c>
      <c r="L734" s="238" t="str">
        <f t="shared" si="194"/>
        <v/>
      </c>
      <c r="M734" s="238" t="str">
        <f t="shared" si="195"/>
        <v/>
      </c>
      <c r="N734" s="238" t="str">
        <f t="shared" si="196"/>
        <v/>
      </c>
      <c r="O734" s="232" t="str">
        <f t="shared" si="191"/>
        <v/>
      </c>
      <c r="P734" s="219" t="str">
        <f t="shared" si="198"/>
        <v/>
      </c>
      <c r="Q734" s="219" t="str">
        <f t="shared" si="199"/>
        <v/>
      </c>
      <c r="R734" s="219" t="str">
        <f t="shared" si="200"/>
        <v/>
      </c>
      <c r="S734" s="331" t="str">
        <f t="shared" si="202"/>
        <v/>
      </c>
      <c r="T734" s="331" t="str">
        <f t="shared" si="203"/>
        <v/>
      </c>
      <c r="U734" s="331" t="str">
        <f t="shared" si="204"/>
        <v/>
      </c>
    </row>
    <row r="735" spans="1:21" ht="15.95" customHeight="1">
      <c r="A735" s="211">
        <f>IF(COUNTBLANK('RNEW import'!B733)=1,"",'RNEW import'!B733)</f>
        <v>12</v>
      </c>
      <c r="B735" s="211" t="str">
        <f>IF(COUNTBLANK('RNEW import'!D733)=1,"",'RNEW import'!D733)</f>
        <v>Sibiu Shopping City 2 SRL</v>
      </c>
      <c r="C735" s="211" t="str">
        <f>IF(COUNTBLANK('RNEW import'!E733)=1,"",'RNEW import'!E733)</f>
        <v>RSSC</v>
      </c>
      <c r="D735" s="211" t="str">
        <f>IF(COUNTBLANK('RNEW import'!K733)=1,"",'RNEW import'!K733)</f>
        <v>Acciza</v>
      </c>
      <c r="E735" s="211">
        <f>IF(COUNTBLANK('RNEW import'!L733)=1,"",'RNEW import'!N733)</f>
        <v>89775</v>
      </c>
      <c r="F735" s="211">
        <f>IF(COUNTBLANK('RNEW import'!M733)=1,"",'RNEW import'!O733/10000)</f>
        <v>0</v>
      </c>
      <c r="G735" s="217">
        <f t="shared" si="189"/>
        <v>0</v>
      </c>
      <c r="H735" s="217">
        <f t="shared" si="197"/>
        <v>0</v>
      </c>
      <c r="I735" s="329">
        <f t="shared" si="190"/>
        <v>0</v>
      </c>
      <c r="J735" s="237" t="str">
        <f t="shared" si="201"/>
        <v/>
      </c>
      <c r="K735" s="238" t="str">
        <f t="shared" si="193"/>
        <v/>
      </c>
      <c r="L735" s="238" t="str">
        <f t="shared" si="194"/>
        <v/>
      </c>
      <c r="M735" s="238" t="str">
        <f t="shared" si="195"/>
        <v/>
      </c>
      <c r="N735" s="238" t="str">
        <f t="shared" si="196"/>
        <v/>
      </c>
      <c r="O735" s="232" t="str">
        <f t="shared" si="191"/>
        <v/>
      </c>
      <c r="P735" s="219" t="str">
        <f t="shared" si="198"/>
        <v/>
      </c>
      <c r="Q735" s="219" t="str">
        <f t="shared" si="199"/>
        <v/>
      </c>
      <c r="R735" s="219" t="str">
        <f t="shared" si="200"/>
        <v/>
      </c>
      <c r="S735" s="331" t="str">
        <f t="shared" si="202"/>
        <v/>
      </c>
      <c r="T735" s="331" t="str">
        <f t="shared" si="203"/>
        <v/>
      </c>
      <c r="U735" s="331" t="str">
        <f t="shared" si="204"/>
        <v/>
      </c>
    </row>
    <row r="736" spans="1:21" ht="15.95" customHeight="1">
      <c r="A736" s="211">
        <f>IF(COUNTBLANK('RNEW import'!B734)=1,"",'RNEW import'!B734)</f>
        <v>13</v>
      </c>
      <c r="B736" s="211" t="str">
        <f>IF(COUNTBLANK('RNEW import'!D734)=1,"",'RNEW import'!D734)</f>
        <v>Sibiu Shopping City 2 SRL</v>
      </c>
      <c r="C736" s="211" t="str">
        <f>IF(COUNTBLANK('RNEW import'!E734)=1,"",'RNEW import'!E734)</f>
        <v>RSSC</v>
      </c>
      <c r="D736" s="211" t="str">
        <f>IF(COUNTBLANK('RNEW import'!K734)=1,"",'RNEW import'!K734)</f>
        <v>Tarif distributie SDI MT</v>
      </c>
      <c r="E736" s="211">
        <f>IF(COUNTBLANK('RNEW import'!L734)=1,"",'RNEW import'!N734)</f>
        <v>86169</v>
      </c>
      <c r="F736" s="211">
        <f>IF(COUNTBLANK('RNEW import'!M734)=1,"",'RNEW import'!O734/10000)</f>
        <v>1.26E-2</v>
      </c>
      <c r="G736" s="217">
        <f t="shared" si="189"/>
        <v>1085.73</v>
      </c>
      <c r="H736" s="217">
        <f t="shared" si="197"/>
        <v>206.29</v>
      </c>
      <c r="I736" s="329">
        <f t="shared" si="190"/>
        <v>1292.02</v>
      </c>
      <c r="J736" s="237" t="str">
        <f t="shared" si="201"/>
        <v/>
      </c>
      <c r="K736" s="238" t="str">
        <f t="shared" si="193"/>
        <v/>
      </c>
      <c r="L736" s="238" t="str">
        <f t="shared" si="194"/>
        <v/>
      </c>
      <c r="M736" s="238" t="str">
        <f t="shared" si="195"/>
        <v/>
      </c>
      <c r="N736" s="238" t="str">
        <f t="shared" si="196"/>
        <v/>
      </c>
      <c r="O736" s="232" t="str">
        <f t="shared" si="191"/>
        <v/>
      </c>
      <c r="P736" s="219" t="str">
        <f t="shared" si="198"/>
        <v/>
      </c>
      <c r="Q736" s="219" t="str">
        <f t="shared" si="199"/>
        <v/>
      </c>
      <c r="R736" s="219" t="str">
        <f t="shared" si="200"/>
        <v/>
      </c>
      <c r="S736" s="331" t="str">
        <f t="shared" si="202"/>
        <v/>
      </c>
      <c r="T736" s="331" t="str">
        <f t="shared" si="203"/>
        <v/>
      </c>
      <c r="U736" s="331" t="str">
        <f t="shared" si="204"/>
        <v/>
      </c>
    </row>
    <row r="737" spans="1:21" ht="15.95" customHeight="1">
      <c r="A737" s="211">
        <f>IF(COUNTBLANK('RNEW import'!B735)=1,"",'RNEW import'!B735)</f>
        <v>14</v>
      </c>
      <c r="B737" s="211" t="str">
        <f>IF(COUNTBLANK('RNEW import'!D735)=1,"",'RNEW import'!D735)</f>
        <v>Sibiu Shopping City 2 SRL</v>
      </c>
      <c r="C737" s="211" t="str">
        <f>IF(COUNTBLANK('RNEW import'!E735)=1,"",'RNEW import'!E735)</f>
        <v>RSSC</v>
      </c>
      <c r="D737" s="211" t="str">
        <f>IF(COUNTBLANK('RNEW import'!K735)=1,"",'RNEW import'!K735)</f>
        <v>Tarif distributie SDI JT</v>
      </c>
      <c r="E737" s="211">
        <f>IF(COUNTBLANK('RNEW import'!L735)=1,"",'RNEW import'!N735)</f>
        <v>86169</v>
      </c>
      <c r="F737" s="211">
        <f>IF(COUNTBLANK('RNEW import'!M735)=1,"",'RNEW import'!O735/10000)</f>
        <v>9.2700000000000005E-2</v>
      </c>
      <c r="G737" s="217">
        <f t="shared" si="189"/>
        <v>7987.87</v>
      </c>
      <c r="H737" s="217">
        <f t="shared" si="197"/>
        <v>1517.7</v>
      </c>
      <c r="I737" s="329">
        <f t="shared" si="190"/>
        <v>9505.57</v>
      </c>
      <c r="J737" s="237" t="str">
        <f t="shared" si="201"/>
        <v/>
      </c>
      <c r="K737" s="238" t="str">
        <f t="shared" si="193"/>
        <v/>
      </c>
      <c r="L737" s="238" t="str">
        <f t="shared" si="194"/>
        <v/>
      </c>
      <c r="M737" s="238" t="str">
        <f t="shared" si="195"/>
        <v/>
      </c>
      <c r="N737" s="238" t="str">
        <f t="shared" si="196"/>
        <v/>
      </c>
      <c r="O737" s="232" t="str">
        <f t="shared" si="191"/>
        <v/>
      </c>
      <c r="P737" s="219" t="str">
        <f t="shared" si="198"/>
        <v/>
      </c>
      <c r="Q737" s="219" t="str">
        <f t="shared" si="199"/>
        <v/>
      </c>
      <c r="R737" s="219" t="str">
        <f t="shared" si="200"/>
        <v/>
      </c>
      <c r="S737" s="331" t="str">
        <f t="shared" si="202"/>
        <v/>
      </c>
      <c r="T737" s="331" t="str">
        <f t="shared" si="203"/>
        <v/>
      </c>
      <c r="U737" s="331" t="str">
        <f t="shared" si="204"/>
        <v/>
      </c>
    </row>
    <row r="738" spans="1:21" ht="15.95" customHeight="1">
      <c r="A738" s="211">
        <f>IF(COUNTBLANK('RNEW import'!B736)=1,"",'RNEW import'!B736)</f>
        <v>15</v>
      </c>
      <c r="B738" s="211" t="str">
        <f>IF(COUNTBLANK('RNEW import'!D736)=1,"",'RNEW import'!D736)</f>
        <v>Sibiu Shopping City 2 SRL</v>
      </c>
      <c r="C738" s="211" t="str">
        <f>IF(COUNTBLANK('RNEW import'!E736)=1,"",'RNEW import'!E736)</f>
        <v>RSSC</v>
      </c>
      <c r="D738" s="211" t="str">
        <f>IF(COUNTBLANK('RNEW import'!K736)=1,"",'RNEW import'!K736)</f>
        <v>Energie activa 2</v>
      </c>
      <c r="E738" s="211">
        <f>IF(COUNTBLANK('RNEW import'!L736)=1,"",'RNEW import'!N736)</f>
        <v>36153</v>
      </c>
      <c r="F738" s="211">
        <f>IF(COUNTBLANK('RNEW import'!M736)=1,"",'RNEW import'!O736/10000)</f>
        <v>0.93920760000000014</v>
      </c>
      <c r="G738" s="217">
        <f t="shared" si="189"/>
        <v>33955.17</v>
      </c>
      <c r="H738" s="217">
        <f t="shared" si="197"/>
        <v>6451.48</v>
      </c>
      <c r="I738" s="329">
        <f t="shared" si="190"/>
        <v>40406.649999999994</v>
      </c>
      <c r="J738" s="237" t="str">
        <f t="shared" si="201"/>
        <v/>
      </c>
      <c r="K738" s="238" t="str">
        <f t="shared" si="193"/>
        <v/>
      </c>
      <c r="L738" s="238" t="str">
        <f t="shared" si="194"/>
        <v/>
      </c>
      <c r="M738" s="238" t="str">
        <f t="shared" si="195"/>
        <v/>
      </c>
      <c r="N738" s="238" t="str">
        <f t="shared" si="196"/>
        <v/>
      </c>
      <c r="O738" s="232" t="str">
        <f t="shared" si="191"/>
        <v/>
      </c>
      <c r="P738" s="219" t="str">
        <f t="shared" si="198"/>
        <v/>
      </c>
      <c r="Q738" s="219" t="str">
        <f t="shared" si="199"/>
        <v/>
      </c>
      <c r="R738" s="219" t="str">
        <f t="shared" si="200"/>
        <v/>
      </c>
      <c r="S738" s="331" t="str">
        <f t="shared" si="202"/>
        <v/>
      </c>
      <c r="T738" s="331" t="str">
        <f t="shared" si="203"/>
        <v/>
      </c>
      <c r="U738" s="331" t="str">
        <f t="shared" si="204"/>
        <v/>
      </c>
    </row>
    <row r="739" spans="1:21" ht="15.95" customHeight="1">
      <c r="A739" s="211">
        <f>IF(COUNTBLANK('RNEW import'!B737)=1,"",'RNEW import'!B737)</f>
        <v>16</v>
      </c>
      <c r="B739" s="211" t="str">
        <f>IF(COUNTBLANK('RNEW import'!D737)=1,"",'RNEW import'!D737)</f>
        <v>Sibiu Shopping City 2 SRL</v>
      </c>
      <c r="C739" s="211" t="str">
        <f>IF(COUNTBLANK('RNEW import'!E737)=1,"",'RNEW import'!E737)</f>
        <v>RSSC</v>
      </c>
      <c r="D739" s="211" t="str">
        <f>IF(COUNTBLANK('RNEW import'!K737)=1,"",'RNEW import'!K737)</f>
        <v>Energie activa 3</v>
      </c>
      <c r="E739" s="211">
        <f>IF(COUNTBLANK('RNEW import'!L737)=1,"",'RNEW import'!N737)</f>
        <v>5344</v>
      </c>
      <c r="F739" s="211">
        <f>IF(COUNTBLANK('RNEW import'!M737)=1,"",'RNEW import'!O737/10000)</f>
        <v>0.83390760000000008</v>
      </c>
      <c r="G739" s="217">
        <f t="shared" si="189"/>
        <v>4456.3999999999996</v>
      </c>
      <c r="H739" s="217">
        <f t="shared" si="197"/>
        <v>846.72</v>
      </c>
      <c r="I739" s="329">
        <f t="shared" si="190"/>
        <v>5303.12</v>
      </c>
      <c r="J739" s="237" t="str">
        <f t="shared" si="201"/>
        <v/>
      </c>
      <c r="K739" s="238" t="str">
        <f t="shared" si="193"/>
        <v/>
      </c>
      <c r="L739" s="238" t="str">
        <f t="shared" si="194"/>
        <v/>
      </c>
      <c r="M739" s="238" t="str">
        <f t="shared" si="195"/>
        <v/>
      </c>
      <c r="N739" s="238" t="str">
        <f t="shared" si="196"/>
        <v/>
      </c>
      <c r="O739" s="232" t="str">
        <f t="shared" si="191"/>
        <v/>
      </c>
      <c r="P739" s="219" t="str">
        <f t="shared" si="198"/>
        <v/>
      </c>
      <c r="Q739" s="219" t="str">
        <f t="shared" si="199"/>
        <v/>
      </c>
      <c r="R739" s="219" t="str">
        <f t="shared" si="200"/>
        <v/>
      </c>
      <c r="S739" s="331" t="str">
        <f t="shared" si="202"/>
        <v/>
      </c>
      <c r="T739" s="331" t="str">
        <f t="shared" si="203"/>
        <v/>
      </c>
      <c r="U739" s="331" t="str">
        <f t="shared" si="204"/>
        <v/>
      </c>
    </row>
    <row r="740" spans="1:21" ht="15.95" customHeight="1">
      <c r="A740" s="211">
        <f>IF(COUNTBLANK('RNEW import'!B738)=1,"",'RNEW import'!B738)</f>
        <v>17</v>
      </c>
      <c r="B740" s="211" t="str">
        <f>IF(COUNTBLANK('RNEW import'!D738)=1,"",'RNEW import'!D738)</f>
        <v>Sibiu Shopping City 2 SRL</v>
      </c>
      <c r="C740" s="211" t="str">
        <f>IF(COUNTBLANK('RNEW import'!E738)=1,"",'RNEW import'!E738)</f>
        <v>RSSC</v>
      </c>
      <c r="D740" s="211" t="str">
        <f>IF(COUNTBLANK('RNEW import'!K738)=1,"",'RNEW import'!K738)</f>
        <v>Tarif distributie SDI MT_</v>
      </c>
      <c r="E740" s="211">
        <f>IF(COUNTBLANK('RNEW import'!L738)=1,"",'RNEW import'!N738)</f>
        <v>5344</v>
      </c>
      <c r="F740" s="211">
        <f>IF(COUNTBLANK('RNEW import'!M738)=1,"",'RNEW import'!O738/10000)</f>
        <v>1.26E-2</v>
      </c>
      <c r="G740" s="217">
        <f t="shared" si="189"/>
        <v>67.33</v>
      </c>
      <c r="H740" s="217">
        <f t="shared" si="197"/>
        <v>12.79</v>
      </c>
      <c r="I740" s="329">
        <f t="shared" si="190"/>
        <v>80.12</v>
      </c>
      <c r="J740" s="237" t="str">
        <f t="shared" si="201"/>
        <v/>
      </c>
      <c r="K740" s="238" t="str">
        <f t="shared" si="193"/>
        <v/>
      </c>
      <c r="L740" s="238" t="str">
        <f t="shared" si="194"/>
        <v/>
      </c>
      <c r="M740" s="238" t="str">
        <f t="shared" si="195"/>
        <v/>
      </c>
      <c r="N740" s="238" t="str">
        <f t="shared" si="196"/>
        <v/>
      </c>
      <c r="O740" s="232" t="str">
        <f t="shared" si="191"/>
        <v/>
      </c>
      <c r="P740" s="219" t="str">
        <f t="shared" si="198"/>
        <v/>
      </c>
      <c r="Q740" s="219" t="str">
        <f t="shared" si="199"/>
        <v/>
      </c>
      <c r="R740" s="219" t="str">
        <f t="shared" si="200"/>
        <v/>
      </c>
      <c r="S740" s="331" t="str">
        <f t="shared" si="202"/>
        <v/>
      </c>
      <c r="T740" s="331" t="str">
        <f t="shared" si="203"/>
        <v/>
      </c>
      <c r="U740" s="331" t="str">
        <f t="shared" si="204"/>
        <v/>
      </c>
    </row>
    <row r="741" spans="1:21" ht="15.95" customHeight="1">
      <c r="A741" s="211">
        <f>IF(COUNTBLANK('RNEW import'!B739)=1,"",'RNEW import'!B739)</f>
        <v>18</v>
      </c>
      <c r="B741" s="211" t="str">
        <f>IF(COUNTBLANK('RNEW import'!D739)=1,"",'RNEW import'!D739)</f>
        <v>Sibiu Shopping City 2 SRL</v>
      </c>
      <c r="C741" s="211" t="str">
        <f>IF(COUNTBLANK('RNEW import'!E739)=1,"",'RNEW import'!E739)</f>
        <v>RSSC</v>
      </c>
      <c r="D741" s="211" t="str">
        <f>IF(COUNTBLANK('RNEW import'!K739)=1,"",'RNEW import'!K739)</f>
        <v>Tarif distributie SDI JT_</v>
      </c>
      <c r="E741" s="211">
        <f>IF(COUNTBLANK('RNEW import'!L739)=1,"",'RNEW import'!N739)</f>
        <v>5344</v>
      </c>
      <c r="F741" s="211">
        <f>IF(COUNTBLANK('RNEW import'!M739)=1,"",'RNEW import'!O739/10000)</f>
        <v>9.2700000000000005E-2</v>
      </c>
      <c r="G741" s="217">
        <f t="shared" ref="G741:G804" si="205">ROUND(E741*F741,2)</f>
        <v>495.39</v>
      </c>
      <c r="H741" s="217">
        <f t="shared" si="197"/>
        <v>94.12</v>
      </c>
      <c r="I741" s="329">
        <f t="shared" ref="I741:I804" si="206">G741+H741</f>
        <v>589.51</v>
      </c>
      <c r="J741" s="237" t="str">
        <f t="shared" si="201"/>
        <v/>
      </c>
      <c r="K741" s="238" t="str">
        <f t="shared" si="193"/>
        <v/>
      </c>
      <c r="L741" s="238" t="str">
        <f t="shared" si="194"/>
        <v/>
      </c>
      <c r="M741" s="238" t="str">
        <f t="shared" si="195"/>
        <v/>
      </c>
      <c r="N741" s="238" t="str">
        <f t="shared" si="196"/>
        <v/>
      </c>
      <c r="O741" s="232" t="str">
        <f t="shared" si="191"/>
        <v/>
      </c>
      <c r="P741" s="219" t="str">
        <f t="shared" si="198"/>
        <v>Energie consumata din PV</v>
      </c>
      <c r="Q741" s="219">
        <f t="shared" si="199"/>
        <v>41497</v>
      </c>
      <c r="R741" s="219">
        <f t="shared" si="200"/>
        <v>0.93920700000000001</v>
      </c>
      <c r="S741" s="331">
        <f t="shared" si="202"/>
        <v>38974.29</v>
      </c>
      <c r="T741" s="331">
        <f t="shared" si="203"/>
        <v>7405.11</v>
      </c>
      <c r="U741" s="331">
        <f t="shared" si="204"/>
        <v>46379.4</v>
      </c>
    </row>
    <row r="742" spans="1:21" ht="15.95" customHeight="1">
      <c r="A742" s="211">
        <f>IF(COUNTBLANK('RNEW import'!B740)=1,"",'RNEW import'!B740)</f>
        <v>19</v>
      </c>
      <c r="B742" s="211" t="str">
        <f>IF(COUNTBLANK('RNEW import'!D740)=1,"",'RNEW import'!D740)</f>
        <v>Sibiu Shopping City 2 SRL</v>
      </c>
      <c r="C742" s="211" t="str">
        <f>IF(COUNTBLANK('RNEW import'!E740)=1,"",'RNEW import'!E740)</f>
        <v>RSSC</v>
      </c>
      <c r="D742" s="211" t="str">
        <f>IF(COUNTBLANK('RNEW import'!K740)=1,"",'RNEW import'!K740)</f>
        <v>Regularizare Energie activa 1</v>
      </c>
      <c r="E742" s="211">
        <f>IF(COUNTBLANK('RNEW import'!L740)=1,"",'RNEW import'!N740)</f>
        <v>0</v>
      </c>
      <c r="F742" s="211">
        <f>IF(COUNTBLANK('RNEW import'!M740)=1,"",'RNEW import'!O740/10000)</f>
        <v>0.59499999999999997</v>
      </c>
      <c r="G742" s="217">
        <f t="shared" si="205"/>
        <v>0</v>
      </c>
      <c r="H742" s="217">
        <f t="shared" si="197"/>
        <v>0</v>
      </c>
      <c r="I742" s="329">
        <f t="shared" si="206"/>
        <v>0</v>
      </c>
      <c r="J742" s="237" t="str">
        <f t="shared" si="201"/>
        <v/>
      </c>
      <c r="K742" s="238" t="str">
        <f t="shared" si="193"/>
        <v/>
      </c>
      <c r="L742" s="238" t="str">
        <f t="shared" si="194"/>
        <v/>
      </c>
      <c r="M742" s="238" t="str">
        <f t="shared" si="195"/>
        <v/>
      </c>
      <c r="N742" s="238" t="str">
        <f t="shared" si="196"/>
        <v/>
      </c>
      <c r="O742" s="232" t="str">
        <f t="shared" ref="O742:O775" si="207">IF(A742=1,B742,"")</f>
        <v/>
      </c>
      <c r="P742" s="219" t="str">
        <f t="shared" si="198"/>
        <v>Energie activa regularizare</v>
      </c>
      <c r="Q742" s="219">
        <f t="shared" si="199"/>
        <v>0</v>
      </c>
      <c r="R742" s="219">
        <f t="shared" si="200"/>
        <v>0</v>
      </c>
      <c r="S742" s="331">
        <f t="shared" si="202"/>
        <v>0</v>
      </c>
      <c r="T742" s="331">
        <f t="shared" si="203"/>
        <v>0</v>
      </c>
      <c r="U742" s="331">
        <f t="shared" si="204"/>
        <v>0</v>
      </c>
    </row>
    <row r="743" spans="1:21" ht="15.95" customHeight="1">
      <c r="A743" s="211">
        <f>IF(COUNTBLANK('RNEW import'!B741)=1,"",'RNEW import'!B741)</f>
        <v>20</v>
      </c>
      <c r="B743" s="211" t="str">
        <f>IF(COUNTBLANK('RNEW import'!D741)=1,"",'RNEW import'!D741)</f>
        <v>Sibiu Shopping City 2 SRL</v>
      </c>
      <c r="C743" s="211" t="str">
        <f>IF(COUNTBLANK('RNEW import'!E741)=1,"",'RNEW import'!E741)</f>
        <v>RSSC</v>
      </c>
      <c r="D743" s="211" t="str">
        <f>IF(COUNTBLANK('RNEW import'!K741)=1,"",'RNEW import'!K741)</f>
        <v>Regularizare Energie reactiva  1X</v>
      </c>
      <c r="E743" s="211">
        <f>IF(COUNTBLANK('RNEW import'!L741)=1,"",'RNEW import'!N741)</f>
        <v>105</v>
      </c>
      <c r="F743" s="211">
        <f>IF(COUNTBLANK('RNEW import'!M741)=1,"",'RNEW import'!O741/10000)</f>
        <v>0.14649999999999999</v>
      </c>
      <c r="G743" s="217">
        <f t="shared" si="205"/>
        <v>15.38</v>
      </c>
      <c r="H743" s="217">
        <f t="shared" si="197"/>
        <v>2.92</v>
      </c>
      <c r="I743" s="329">
        <f t="shared" si="206"/>
        <v>18.3</v>
      </c>
      <c r="J743" s="237" t="str">
        <f t="shared" si="201"/>
        <v/>
      </c>
      <c r="K743" s="238" t="str">
        <f t="shared" si="193"/>
        <v/>
      </c>
      <c r="L743" s="238" t="str">
        <f t="shared" si="194"/>
        <v/>
      </c>
      <c r="M743" s="238" t="str">
        <f t="shared" si="195"/>
        <v/>
      </c>
      <c r="N743" s="238" t="str">
        <f t="shared" si="196"/>
        <v/>
      </c>
      <c r="O743" s="232" t="str">
        <f t="shared" si="207"/>
        <v/>
      </c>
      <c r="P743" s="219" t="str">
        <f t="shared" si="198"/>
        <v>Energie reactiva 1x regularizare</v>
      </c>
      <c r="Q743" s="219">
        <f t="shared" si="199"/>
        <v>105</v>
      </c>
      <c r="R743" s="219">
        <f t="shared" si="200"/>
        <v>0.14649999999999999</v>
      </c>
      <c r="S743" s="331">
        <f t="shared" si="202"/>
        <v>15.38</v>
      </c>
      <c r="T743" s="331">
        <f t="shared" si="203"/>
        <v>2.92</v>
      </c>
      <c r="U743" s="331">
        <f t="shared" si="204"/>
        <v>18.3</v>
      </c>
    </row>
    <row r="744" spans="1:21" ht="15.95" customHeight="1">
      <c r="A744" s="211">
        <f>IF(COUNTBLANK('RNEW import'!B742)=1,"",'RNEW import'!B742)</f>
        <v>21</v>
      </c>
      <c r="B744" s="211" t="str">
        <f>IF(COUNTBLANK('RNEW import'!D742)=1,"",'RNEW import'!D742)</f>
        <v>Sibiu Shopping City 2 SRL</v>
      </c>
      <c r="C744" s="211" t="str">
        <f>IF(COUNTBLANK('RNEW import'!E742)=1,"",'RNEW import'!E742)</f>
        <v>RSSC</v>
      </c>
      <c r="D744" s="211" t="str">
        <f>IF(COUNTBLANK('RNEW import'!K742)=1,"",'RNEW import'!K742)</f>
        <v>Regularizare Energie reactiva  3X</v>
      </c>
      <c r="E744" s="211">
        <f>IF(COUNTBLANK('RNEW import'!L742)=1,"",'RNEW import'!N742)</f>
        <v>0</v>
      </c>
      <c r="F744" s="211">
        <f>IF(COUNTBLANK('RNEW import'!M742)=1,"",'RNEW import'!O742/10000)</f>
        <v>0.4395</v>
      </c>
      <c r="G744" s="217">
        <f t="shared" si="205"/>
        <v>0</v>
      </c>
      <c r="H744" s="217">
        <f t="shared" si="197"/>
        <v>0</v>
      </c>
      <c r="I744" s="329">
        <f t="shared" si="206"/>
        <v>0</v>
      </c>
      <c r="J744" s="237" t="str">
        <f t="shared" si="201"/>
        <v/>
      </c>
      <c r="K744" s="238" t="str">
        <f t="shared" si="193"/>
        <v/>
      </c>
      <c r="L744" s="238" t="str">
        <f t="shared" si="194"/>
        <v/>
      </c>
      <c r="M744" s="238" t="str">
        <f t="shared" si="195"/>
        <v/>
      </c>
      <c r="N744" s="238" t="str">
        <f t="shared" si="196"/>
        <v/>
      </c>
      <c r="O744" s="232" t="str">
        <f t="shared" si="207"/>
        <v/>
      </c>
      <c r="P744" s="219" t="str">
        <f t="shared" si="198"/>
        <v>Energie reactiva 3x regularizare</v>
      </c>
      <c r="Q744" s="219">
        <f t="shared" si="199"/>
        <v>0</v>
      </c>
      <c r="R744" s="219">
        <f t="shared" si="200"/>
        <v>0.4395</v>
      </c>
      <c r="S744" s="331">
        <f t="shared" si="202"/>
        <v>0</v>
      </c>
      <c r="T744" s="331">
        <f t="shared" si="203"/>
        <v>0</v>
      </c>
      <c r="U744" s="331">
        <f t="shared" si="204"/>
        <v>0</v>
      </c>
    </row>
    <row r="745" spans="1:21" ht="15.95" customHeight="1">
      <c r="A745" s="211">
        <f>IF(COUNTBLANK('RNEW import'!B743)=1,"",'RNEW import'!B743)</f>
        <v>22</v>
      </c>
      <c r="B745" s="211" t="str">
        <f>IF(COUNTBLANK('RNEW import'!D743)=1,"",'RNEW import'!D743)</f>
        <v>Sibiu Shopping City 2 SRL</v>
      </c>
      <c r="C745" s="211" t="str">
        <f>IF(COUNTBLANK('RNEW import'!E743)=1,"",'RNEW import'!E743)</f>
        <v>RSSC</v>
      </c>
      <c r="D745" s="211" t="str">
        <f>IF(COUNTBLANK('RNEW import'!K743)=1,"",'RNEW import'!K743)</f>
        <v>Regularizare Tarife distributie en. El IT+MT</v>
      </c>
      <c r="E745" s="211">
        <f>IF(COUNTBLANK('RNEW import'!L743)=1,"",'RNEW import'!N743)</f>
        <v>0</v>
      </c>
      <c r="F745" s="211">
        <f>IF(COUNTBLANK('RNEW import'!M743)=1,"",'RNEW import'!O743/10000)</f>
        <v>0.11483</v>
      </c>
      <c r="G745" s="217">
        <f t="shared" si="205"/>
        <v>0</v>
      </c>
      <c r="H745" s="217">
        <f t="shared" si="197"/>
        <v>0</v>
      </c>
      <c r="I745" s="329">
        <f t="shared" si="206"/>
        <v>0</v>
      </c>
      <c r="J745" s="237" t="str">
        <f t="shared" si="201"/>
        <v/>
      </c>
      <c r="K745" s="238" t="str">
        <f t="shared" si="193"/>
        <v/>
      </c>
      <c r="L745" s="238" t="str">
        <f t="shared" si="194"/>
        <v/>
      </c>
      <c r="M745" s="238" t="str">
        <f t="shared" si="195"/>
        <v/>
      </c>
      <c r="N745" s="238" t="str">
        <f t="shared" si="196"/>
        <v/>
      </c>
      <c r="O745" s="232" t="str">
        <f t="shared" si="207"/>
        <v/>
      </c>
      <c r="P745" s="219" t="str">
        <f t="shared" si="198"/>
        <v/>
      </c>
      <c r="Q745" s="219" t="str">
        <f t="shared" si="199"/>
        <v/>
      </c>
      <c r="R745" s="219" t="str">
        <f t="shared" si="200"/>
        <v/>
      </c>
      <c r="S745" s="331" t="str">
        <f t="shared" si="202"/>
        <v/>
      </c>
      <c r="T745" s="331" t="str">
        <f t="shared" si="203"/>
        <v/>
      </c>
      <c r="U745" s="331" t="str">
        <f t="shared" si="204"/>
        <v/>
      </c>
    </row>
    <row r="746" spans="1:21" ht="15.95" customHeight="1">
      <c r="A746" s="211">
        <f>IF(COUNTBLANK('RNEW import'!B744)=1,"",'RNEW import'!B744)</f>
        <v>23</v>
      </c>
      <c r="B746" s="211" t="str">
        <f>IF(COUNTBLANK('RNEW import'!D744)=1,"",'RNEW import'!D744)</f>
        <v>Sibiu Shopping City 2 SRL</v>
      </c>
      <c r="C746" s="211" t="str">
        <f>IF(COUNTBLANK('RNEW import'!E744)=1,"",'RNEW import'!E744)</f>
        <v>RSSC</v>
      </c>
      <c r="D746" s="211" t="str">
        <f>IF(COUNTBLANK('RNEW import'!K744)=1,"",'RNEW import'!K744)</f>
        <v>Regularizare Tarife distributie en. El JT</v>
      </c>
      <c r="E746" s="211">
        <f>IF(COUNTBLANK('RNEW import'!L744)=1,"",'RNEW import'!N744)</f>
        <v>0</v>
      </c>
      <c r="F746" s="211">
        <f>IF(COUNTBLANK('RNEW import'!M744)=1,"",'RNEW import'!O744/10000)</f>
        <v>0.2361</v>
      </c>
      <c r="G746" s="217">
        <f t="shared" si="205"/>
        <v>0</v>
      </c>
      <c r="H746" s="217">
        <f t="shared" si="197"/>
        <v>0</v>
      </c>
      <c r="I746" s="329">
        <f t="shared" si="206"/>
        <v>0</v>
      </c>
      <c r="J746" s="237" t="str">
        <f t="shared" si="201"/>
        <v/>
      </c>
      <c r="K746" s="238" t="str">
        <f t="shared" si="193"/>
        <v/>
      </c>
      <c r="L746" s="238" t="str">
        <f t="shared" si="194"/>
        <v/>
      </c>
      <c r="M746" s="238" t="str">
        <f t="shared" si="195"/>
        <v/>
      </c>
      <c r="N746" s="238" t="str">
        <f t="shared" si="196"/>
        <v/>
      </c>
      <c r="O746" s="232" t="str">
        <f t="shared" si="207"/>
        <v/>
      </c>
      <c r="P746" s="219" t="str">
        <f t="shared" si="198"/>
        <v/>
      </c>
      <c r="Q746" s="219" t="str">
        <f t="shared" si="199"/>
        <v/>
      </c>
      <c r="R746" s="219" t="str">
        <f t="shared" si="200"/>
        <v/>
      </c>
      <c r="S746" s="331" t="str">
        <f t="shared" si="202"/>
        <v/>
      </c>
      <c r="T746" s="331" t="str">
        <f t="shared" si="203"/>
        <v/>
      </c>
      <c r="U746" s="331" t="str">
        <f t="shared" si="204"/>
        <v/>
      </c>
    </row>
    <row r="747" spans="1:21" ht="15.95" customHeight="1">
      <c r="A747" s="211">
        <f>IF(COUNTBLANK('RNEW import'!B745)=1,"",'RNEW import'!B745)</f>
        <v>24</v>
      </c>
      <c r="B747" s="211" t="str">
        <f>IF(COUNTBLANK('RNEW import'!D745)=1,"",'RNEW import'!D745)</f>
        <v>Sibiu Shopping City 2 SRL</v>
      </c>
      <c r="C747" s="211" t="str">
        <f>IF(COUNTBLANK('RNEW import'!E745)=1,"",'RNEW import'!E745)</f>
        <v>RSSC</v>
      </c>
      <c r="D747" s="211" t="str">
        <f>IF(COUNTBLANK('RNEW import'!K745)=1,"",'RNEW import'!K745)</f>
        <v xml:space="preserve">Regularizare Servicii Sistem </v>
      </c>
      <c r="E747" s="211">
        <f>IF(COUNTBLANK('RNEW import'!L745)=1,"",'RNEW import'!N745)</f>
        <v>0</v>
      </c>
      <c r="F747" s="211">
        <f>IF(COUNTBLANK('RNEW import'!M745)=1,"",'RNEW import'!O745/10000)</f>
        <v>1.1509999999999999E-2</v>
      </c>
      <c r="G747" s="217">
        <f t="shared" si="205"/>
        <v>0</v>
      </c>
      <c r="H747" s="217">
        <f t="shared" si="197"/>
        <v>0</v>
      </c>
      <c r="I747" s="329">
        <f t="shared" si="206"/>
        <v>0</v>
      </c>
      <c r="J747" s="237" t="str">
        <f t="shared" si="201"/>
        <v/>
      </c>
      <c r="K747" s="238" t="str">
        <f t="shared" si="193"/>
        <v/>
      </c>
      <c r="L747" s="238" t="str">
        <f t="shared" si="194"/>
        <v/>
      </c>
      <c r="M747" s="238" t="str">
        <f t="shared" si="195"/>
        <v/>
      </c>
      <c r="N747" s="238" t="str">
        <f t="shared" si="196"/>
        <v/>
      </c>
      <c r="O747" s="232" t="str">
        <f t="shared" si="207"/>
        <v/>
      </c>
      <c r="P747" s="219" t="str">
        <f t="shared" si="198"/>
        <v/>
      </c>
      <c r="Q747" s="219" t="str">
        <f t="shared" si="199"/>
        <v/>
      </c>
      <c r="R747" s="219" t="str">
        <f t="shared" si="200"/>
        <v/>
      </c>
      <c r="S747" s="331" t="str">
        <f t="shared" si="202"/>
        <v/>
      </c>
      <c r="T747" s="331" t="str">
        <f t="shared" si="203"/>
        <v/>
      </c>
      <c r="U747" s="331" t="str">
        <f t="shared" si="204"/>
        <v/>
      </c>
    </row>
    <row r="748" spans="1:21" ht="15.95" customHeight="1">
      <c r="A748" s="211">
        <f>IF(COUNTBLANK('RNEW import'!B746)=1,"",'RNEW import'!B746)</f>
        <v>25</v>
      </c>
      <c r="B748" s="211" t="str">
        <f>IF(COUNTBLANK('RNEW import'!D746)=1,"",'RNEW import'!D746)</f>
        <v>Sibiu Shopping City 2 SRL</v>
      </c>
      <c r="C748" s="211" t="str">
        <f>IF(COUNTBLANK('RNEW import'!E746)=1,"",'RNEW import'!E746)</f>
        <v>RSSC</v>
      </c>
      <c r="D748" s="211" t="str">
        <f>IF(COUNTBLANK('RNEW import'!K746)=1,"",'RNEW import'!K746)</f>
        <v>Regularizare Tarif de introducere en. el in retea (TL)</v>
      </c>
      <c r="E748" s="211">
        <f>IF(COUNTBLANK('RNEW import'!L746)=1,"",'RNEW import'!N746)</f>
        <v>0</v>
      </c>
      <c r="F748" s="211">
        <f>IF(COUNTBLANK('RNEW import'!M746)=1,"",'RNEW import'!O746/10000)</f>
        <v>3.3030000000000004E-2</v>
      </c>
      <c r="G748" s="217">
        <f t="shared" si="205"/>
        <v>0</v>
      </c>
      <c r="H748" s="217">
        <f t="shared" si="197"/>
        <v>0</v>
      </c>
      <c r="I748" s="329">
        <f t="shared" si="206"/>
        <v>0</v>
      </c>
      <c r="J748" s="237" t="str">
        <f t="shared" si="201"/>
        <v/>
      </c>
      <c r="K748" s="238" t="str">
        <f t="shared" si="193"/>
        <v/>
      </c>
      <c r="L748" s="238" t="str">
        <f t="shared" si="194"/>
        <v/>
      </c>
      <c r="M748" s="238" t="str">
        <f t="shared" si="195"/>
        <v/>
      </c>
      <c r="N748" s="238" t="str">
        <f t="shared" si="196"/>
        <v/>
      </c>
      <c r="O748" s="232" t="str">
        <f t="shared" si="207"/>
        <v/>
      </c>
      <c r="P748" s="219" t="str">
        <f t="shared" si="198"/>
        <v/>
      </c>
      <c r="Q748" s="219" t="str">
        <f t="shared" si="199"/>
        <v/>
      </c>
      <c r="R748" s="219" t="str">
        <f t="shared" si="200"/>
        <v/>
      </c>
      <c r="S748" s="331" t="str">
        <f t="shared" si="202"/>
        <v/>
      </c>
      <c r="T748" s="331" t="str">
        <f t="shared" si="203"/>
        <v/>
      </c>
      <c r="U748" s="331" t="str">
        <f t="shared" si="204"/>
        <v/>
      </c>
    </row>
    <row r="749" spans="1:21" ht="15.95" customHeight="1">
      <c r="A749" s="211">
        <f>IF(COUNTBLANK('RNEW import'!B747)=1,"",'RNEW import'!B747)</f>
        <v>26</v>
      </c>
      <c r="B749" s="211" t="str">
        <f>IF(COUNTBLANK('RNEW import'!D747)=1,"",'RNEW import'!D747)</f>
        <v>Sibiu Shopping City 2 SRL</v>
      </c>
      <c r="C749" s="211" t="str">
        <f>IF(COUNTBLANK('RNEW import'!E747)=1,"",'RNEW import'!E747)</f>
        <v>RSSC</v>
      </c>
      <c r="D749" s="211" t="str">
        <f>IF(COUNTBLANK('RNEW import'!K747)=1,"",'RNEW import'!K747)</f>
        <v>Regularizare Tarif de introducere en.el in retea (TG)</v>
      </c>
      <c r="E749" s="211">
        <f>IF(COUNTBLANK('RNEW import'!L747)=1,"",'RNEW import'!N747)</f>
        <v>0</v>
      </c>
      <c r="F749" s="211">
        <f>IF(COUNTBLANK('RNEW import'!M747)=1,"",'RNEW import'!O747/10000)</f>
        <v>3.29E-3</v>
      </c>
      <c r="G749" s="217">
        <f t="shared" si="205"/>
        <v>0</v>
      </c>
      <c r="H749" s="217">
        <f t="shared" si="197"/>
        <v>0</v>
      </c>
      <c r="I749" s="329">
        <f t="shared" si="206"/>
        <v>0</v>
      </c>
      <c r="J749" s="237" t="str">
        <f t="shared" si="201"/>
        <v/>
      </c>
      <c r="K749" s="238" t="str">
        <f t="shared" si="193"/>
        <v/>
      </c>
      <c r="L749" s="238" t="str">
        <f t="shared" si="194"/>
        <v/>
      </c>
      <c r="M749" s="238" t="str">
        <f t="shared" si="195"/>
        <v/>
      </c>
      <c r="N749" s="238" t="str">
        <f t="shared" si="196"/>
        <v/>
      </c>
      <c r="O749" s="232" t="str">
        <f t="shared" si="207"/>
        <v/>
      </c>
      <c r="P749" s="219" t="str">
        <f t="shared" si="198"/>
        <v/>
      </c>
      <c r="Q749" s="219" t="str">
        <f t="shared" si="199"/>
        <v/>
      </c>
      <c r="R749" s="219" t="str">
        <f t="shared" si="200"/>
        <v/>
      </c>
      <c r="S749" s="331" t="str">
        <f t="shared" si="202"/>
        <v/>
      </c>
      <c r="T749" s="331" t="str">
        <f t="shared" si="203"/>
        <v/>
      </c>
      <c r="U749" s="331" t="str">
        <f t="shared" si="204"/>
        <v/>
      </c>
    </row>
    <row r="750" spans="1:21" ht="15.95" customHeight="1">
      <c r="A750" s="211">
        <f>IF(COUNTBLANK('RNEW import'!B748)=1,"",'RNEW import'!B748)</f>
        <v>27</v>
      </c>
      <c r="B750" s="211" t="str">
        <f>IF(COUNTBLANK('RNEW import'!D748)=1,"",'RNEW import'!D748)</f>
        <v>Sibiu Shopping City 2 SRL</v>
      </c>
      <c r="C750" s="211" t="str">
        <f>IF(COUNTBLANK('RNEW import'!E748)=1,"",'RNEW import'!E748)</f>
        <v>RSSC</v>
      </c>
      <c r="D750" s="211" t="str">
        <f>IF(COUNTBLANK('RNEW import'!K748)=1,"",'RNEW import'!K748)</f>
        <v>Regularizare Contributie pentru cogenerare</v>
      </c>
      <c r="E750" s="211">
        <f>IF(COUNTBLANK('RNEW import'!L748)=1,"",'RNEW import'!N748)</f>
        <v>0</v>
      </c>
      <c r="F750" s="211">
        <f>IF(COUNTBLANK('RNEW import'!M748)=1,"",'RNEW import'!O748/10000)</f>
        <v>3.5000000000000001E-3</v>
      </c>
      <c r="G750" s="217">
        <f t="shared" si="205"/>
        <v>0</v>
      </c>
      <c r="H750" s="217">
        <f t="shared" si="197"/>
        <v>0</v>
      </c>
      <c r="I750" s="329">
        <f t="shared" si="206"/>
        <v>0</v>
      </c>
      <c r="J750" s="237" t="str">
        <f t="shared" si="201"/>
        <v/>
      </c>
      <c r="K750" s="238" t="str">
        <f t="shared" si="193"/>
        <v/>
      </c>
      <c r="L750" s="238" t="str">
        <f t="shared" si="194"/>
        <v/>
      </c>
      <c r="M750" s="238" t="str">
        <f t="shared" si="195"/>
        <v/>
      </c>
      <c r="N750" s="238" t="str">
        <f t="shared" si="196"/>
        <v/>
      </c>
      <c r="O750" s="232" t="str">
        <f t="shared" si="207"/>
        <v/>
      </c>
      <c r="P750" s="219" t="str">
        <f t="shared" si="198"/>
        <v/>
      </c>
      <c r="Q750" s="219" t="str">
        <f t="shared" si="199"/>
        <v/>
      </c>
      <c r="R750" s="219" t="str">
        <f t="shared" si="200"/>
        <v/>
      </c>
      <c r="S750" s="331" t="str">
        <f t="shared" si="202"/>
        <v/>
      </c>
      <c r="T750" s="331" t="str">
        <f t="shared" si="203"/>
        <v/>
      </c>
      <c r="U750" s="331" t="str">
        <f t="shared" si="204"/>
        <v/>
      </c>
    </row>
    <row r="751" spans="1:21" ht="15.95" customHeight="1">
      <c r="A751" s="211">
        <f>IF(COUNTBLANK('RNEW import'!B749)=1,"",'RNEW import'!B749)</f>
        <v>28</v>
      </c>
      <c r="B751" s="211" t="str">
        <f>IF(COUNTBLANK('RNEW import'!D749)=1,"",'RNEW import'!D749)</f>
        <v>Sibiu Shopping City 2 SRL</v>
      </c>
      <c r="C751" s="211" t="str">
        <f>IF(COUNTBLANK('RNEW import'!E749)=1,"",'RNEW import'!E749)</f>
        <v>RSSC</v>
      </c>
      <c r="D751" s="211" t="str">
        <f>IF(COUNTBLANK('RNEW import'!K749)=1,"",'RNEW import'!K749)</f>
        <v xml:space="preserve">Regularizare Certificate verzi </v>
      </c>
      <c r="E751" s="211">
        <f>IF(COUNTBLANK('RNEW import'!L749)=1,"",'RNEW import'!N749)</f>
        <v>0</v>
      </c>
      <c r="F751" s="211">
        <f>IF(COUNTBLANK('RNEW import'!M749)=1,"",'RNEW import'!O749/10000)</f>
        <v>7.2541599999999998E-2</v>
      </c>
      <c r="G751" s="217">
        <f t="shared" si="205"/>
        <v>0</v>
      </c>
      <c r="H751" s="217">
        <f t="shared" si="197"/>
        <v>0</v>
      </c>
      <c r="I751" s="329">
        <f t="shared" si="206"/>
        <v>0</v>
      </c>
      <c r="J751" s="237" t="str">
        <f>IF(A751=1,B751,"")</f>
        <v/>
      </c>
      <c r="K751" s="238" t="str">
        <f t="shared" si="193"/>
        <v/>
      </c>
      <c r="L751" s="238" t="str">
        <f t="shared" si="194"/>
        <v/>
      </c>
      <c r="M751" s="238" t="str">
        <f t="shared" si="195"/>
        <v/>
      </c>
      <c r="N751" s="238" t="str">
        <f t="shared" si="196"/>
        <v/>
      </c>
      <c r="O751" s="233" t="str">
        <f t="shared" si="207"/>
        <v/>
      </c>
      <c r="P751" s="219" t="str">
        <f t="shared" si="198"/>
        <v/>
      </c>
      <c r="Q751" s="219" t="str">
        <f t="shared" si="199"/>
        <v/>
      </c>
      <c r="R751" s="219" t="str">
        <f t="shared" si="200"/>
        <v/>
      </c>
      <c r="S751" s="331" t="str">
        <f t="shared" si="202"/>
        <v/>
      </c>
      <c r="T751" s="331" t="str">
        <f t="shared" si="203"/>
        <v/>
      </c>
      <c r="U751" s="331" t="str">
        <f t="shared" si="204"/>
        <v/>
      </c>
    </row>
    <row r="752" spans="1:21" ht="15.95" customHeight="1">
      <c r="A752" s="211">
        <f>IF(COUNTBLANK('RNEW import'!B750)=1,"",'RNEW import'!B750)</f>
        <v>29</v>
      </c>
      <c r="B752" s="211" t="str">
        <f>IF(COUNTBLANK('RNEW import'!D750)=1,"",'RNEW import'!D750)</f>
        <v>Sibiu Shopping City 2 SRL</v>
      </c>
      <c r="C752" s="211" t="str">
        <f>IF(COUNTBLANK('RNEW import'!E750)=1,"",'RNEW import'!E750)</f>
        <v>RSSC</v>
      </c>
      <c r="D752" s="211" t="str">
        <f>IF(COUNTBLANK('RNEW import'!K750)=1,"",'RNEW import'!K750)</f>
        <v>Regularizare Contributie CFD</v>
      </c>
      <c r="E752" s="211">
        <f>IF(COUNTBLANK('RNEW import'!L750)=1,"",'RNEW import'!N750)</f>
        <v>0</v>
      </c>
      <c r="F752" s="211">
        <f>IF(COUNTBLANK('RNEW import'!M750)=1,"",'RNEW import'!O750/10000)</f>
        <v>2.0599999999999999E-4</v>
      </c>
      <c r="G752" s="217">
        <f t="shared" si="205"/>
        <v>0</v>
      </c>
      <c r="H752" s="217">
        <f t="shared" si="197"/>
        <v>0</v>
      </c>
      <c r="I752" s="329">
        <f t="shared" si="206"/>
        <v>0</v>
      </c>
      <c r="J752" s="237" t="str">
        <f t="shared" ref="J752:J795" si="208">IF(A752=1,B752,"")</f>
        <v/>
      </c>
      <c r="K752" s="238" t="str">
        <f t="shared" si="193"/>
        <v/>
      </c>
      <c r="L752" s="238" t="str">
        <f t="shared" si="194"/>
        <v/>
      </c>
      <c r="M752" s="238" t="str">
        <f t="shared" si="195"/>
        <v/>
      </c>
      <c r="N752" s="238" t="str">
        <f t="shared" si="196"/>
        <v/>
      </c>
      <c r="O752" s="218" t="str">
        <f t="shared" si="207"/>
        <v/>
      </c>
      <c r="P752" s="219" t="str">
        <f t="shared" si="198"/>
        <v/>
      </c>
      <c r="Q752" s="219" t="str">
        <f t="shared" si="199"/>
        <v/>
      </c>
      <c r="R752" s="219" t="str">
        <f t="shared" si="200"/>
        <v/>
      </c>
      <c r="S752" s="331" t="str">
        <f t="shared" si="202"/>
        <v/>
      </c>
      <c r="T752" s="331" t="str">
        <f t="shared" si="203"/>
        <v/>
      </c>
      <c r="U752" s="331" t="str">
        <f t="shared" si="204"/>
        <v/>
      </c>
    </row>
    <row r="753" spans="1:21" ht="15.95" customHeight="1">
      <c r="A753" s="211">
        <f>IF(COUNTBLANK('RNEW import'!B751)=1,"",'RNEW import'!B751)</f>
        <v>30</v>
      </c>
      <c r="B753" s="211" t="str">
        <f>IF(COUNTBLANK('RNEW import'!D751)=1,"",'RNEW import'!D751)</f>
        <v>Sibiu Shopping City 2 SRL</v>
      </c>
      <c r="C753" s="211" t="str">
        <f>IF(COUNTBLANK('RNEW import'!E751)=1,"",'RNEW import'!E751)</f>
        <v>RSSC</v>
      </c>
      <c r="D753" s="211" t="str">
        <f>IF(COUNTBLANK('RNEW import'!K751)=1,"",'RNEW import'!K751)</f>
        <v>Regularizare Acciza</v>
      </c>
      <c r="E753" s="211">
        <f>IF(COUNTBLANK('RNEW import'!L751)=1,"",'RNEW import'!N751)</f>
        <v>0</v>
      </c>
      <c r="F753" s="211">
        <f>IF(COUNTBLANK('RNEW import'!M751)=1,"",'RNEW import'!O751/10000)</f>
        <v>0</v>
      </c>
      <c r="G753" s="217">
        <f t="shared" si="205"/>
        <v>0</v>
      </c>
      <c r="H753" s="217">
        <f t="shared" si="197"/>
        <v>0</v>
      </c>
      <c r="I753" s="329">
        <f t="shared" si="206"/>
        <v>0</v>
      </c>
      <c r="J753" s="237" t="str">
        <f t="shared" si="208"/>
        <v/>
      </c>
      <c r="K753" s="238" t="str">
        <f t="shared" si="193"/>
        <v/>
      </c>
      <c r="L753" s="238" t="str">
        <f t="shared" si="194"/>
        <v/>
      </c>
      <c r="M753" s="238" t="str">
        <f t="shared" si="195"/>
        <v/>
      </c>
      <c r="N753" s="238" t="str">
        <f t="shared" si="196"/>
        <v/>
      </c>
      <c r="O753" s="232" t="str">
        <f t="shared" si="207"/>
        <v/>
      </c>
      <c r="P753" s="219" t="str">
        <f t="shared" si="198"/>
        <v/>
      </c>
      <c r="Q753" s="219" t="str">
        <f t="shared" si="199"/>
        <v/>
      </c>
      <c r="R753" s="219" t="str">
        <f t="shared" si="200"/>
        <v/>
      </c>
      <c r="S753" s="331" t="str">
        <f t="shared" si="202"/>
        <v/>
      </c>
      <c r="T753" s="331" t="str">
        <f t="shared" si="203"/>
        <v/>
      </c>
      <c r="U753" s="331" t="str">
        <f t="shared" si="204"/>
        <v/>
      </c>
    </row>
    <row r="754" spans="1:21">
      <c r="A754" s="211">
        <f>IF(COUNTBLANK('RNEW import'!B752)=1,"",'RNEW import'!B752)</f>
        <v>31</v>
      </c>
      <c r="B754" s="211" t="str">
        <f>IF(COUNTBLANK('RNEW import'!D752)=1,"",'RNEW import'!D752)</f>
        <v>Sibiu Shopping City 2 SRL</v>
      </c>
      <c r="C754" s="211" t="str">
        <f>IF(COUNTBLANK('RNEW import'!E752)=1,"",'RNEW import'!E752)</f>
        <v>RSSC</v>
      </c>
      <c r="D754" s="211" t="str">
        <f>IF(COUNTBLANK('RNEW import'!K752)=1,"",'RNEW import'!K752)</f>
        <v>Regularizare Tarif distributie SDI MT Ea1</v>
      </c>
      <c r="E754" s="211">
        <f>IF(COUNTBLANK('RNEW import'!L752)=1,"",'RNEW import'!N752)</f>
        <v>0</v>
      </c>
      <c r="F754" s="211">
        <f>IF(COUNTBLANK('RNEW import'!M752)=1,"",'RNEW import'!O752/10000)</f>
        <v>1.26E-2</v>
      </c>
      <c r="G754" s="217">
        <f t="shared" si="205"/>
        <v>0</v>
      </c>
      <c r="H754" s="217">
        <f t="shared" si="197"/>
        <v>0</v>
      </c>
      <c r="I754" s="329">
        <f t="shared" si="206"/>
        <v>0</v>
      </c>
      <c r="J754" s="237" t="str">
        <f t="shared" si="208"/>
        <v/>
      </c>
      <c r="K754" s="238" t="str">
        <f t="shared" si="193"/>
        <v/>
      </c>
      <c r="L754" s="238" t="str">
        <f t="shared" si="194"/>
        <v/>
      </c>
      <c r="M754" s="238" t="str">
        <f t="shared" si="195"/>
        <v/>
      </c>
      <c r="N754" s="238" t="str">
        <f t="shared" si="196"/>
        <v/>
      </c>
      <c r="O754" s="232" t="str">
        <f t="shared" si="207"/>
        <v/>
      </c>
      <c r="P754" s="219" t="str">
        <f t="shared" si="198"/>
        <v/>
      </c>
      <c r="Q754" s="219" t="str">
        <f t="shared" si="199"/>
        <v/>
      </c>
      <c r="R754" s="219" t="str">
        <f t="shared" si="200"/>
        <v/>
      </c>
      <c r="S754" s="331" t="str">
        <f t="shared" si="202"/>
        <v/>
      </c>
      <c r="T754" s="331" t="str">
        <f t="shared" si="203"/>
        <v/>
      </c>
      <c r="U754" s="331" t="str">
        <f t="shared" si="204"/>
        <v/>
      </c>
    </row>
    <row r="755" spans="1:21">
      <c r="A755" s="211">
        <f>IF(COUNTBLANK('RNEW import'!B753)=1,"",'RNEW import'!B753)</f>
        <v>32</v>
      </c>
      <c r="B755" s="211" t="str">
        <f>IF(COUNTBLANK('RNEW import'!D753)=1,"",'RNEW import'!D753)</f>
        <v>Sibiu Shopping City 2 SRL</v>
      </c>
      <c r="C755" s="211" t="str">
        <f>IF(COUNTBLANK('RNEW import'!E753)=1,"",'RNEW import'!E753)</f>
        <v>RSSC</v>
      </c>
      <c r="D755" s="211" t="str">
        <f>IF(COUNTBLANK('RNEW import'!K753)=1,"",'RNEW import'!K753)</f>
        <v>Regularizare Tarif distributie SDI JT Ea1</v>
      </c>
      <c r="E755" s="211">
        <f>IF(COUNTBLANK('RNEW import'!L753)=1,"",'RNEW import'!N753)</f>
        <v>0</v>
      </c>
      <c r="F755" s="211">
        <f>IF(COUNTBLANK('RNEW import'!M753)=1,"",'RNEW import'!O753/10000)</f>
        <v>9.2700000000000005E-2</v>
      </c>
      <c r="G755" s="217">
        <f t="shared" si="205"/>
        <v>0</v>
      </c>
      <c r="H755" s="217">
        <f t="shared" si="197"/>
        <v>0</v>
      </c>
      <c r="I755" s="329">
        <f t="shared" si="206"/>
        <v>0</v>
      </c>
      <c r="J755" s="237" t="str">
        <f t="shared" si="208"/>
        <v/>
      </c>
      <c r="K755" s="238" t="str">
        <f t="shared" si="193"/>
        <v/>
      </c>
      <c r="L755" s="238" t="str">
        <f t="shared" si="194"/>
        <v/>
      </c>
      <c r="M755" s="238" t="str">
        <f t="shared" si="195"/>
        <v/>
      </c>
      <c r="N755" s="238" t="str">
        <f t="shared" si="196"/>
        <v/>
      </c>
      <c r="O755" s="232" t="str">
        <f t="shared" si="207"/>
        <v/>
      </c>
      <c r="P755" s="219" t="str">
        <f t="shared" si="198"/>
        <v/>
      </c>
      <c r="Q755" s="219" t="str">
        <f t="shared" si="199"/>
        <v/>
      </c>
      <c r="R755" s="219" t="str">
        <f t="shared" si="200"/>
        <v/>
      </c>
      <c r="S755" s="331" t="str">
        <f t="shared" si="202"/>
        <v/>
      </c>
      <c r="T755" s="331" t="str">
        <f t="shared" si="203"/>
        <v/>
      </c>
      <c r="U755" s="331" t="str">
        <f t="shared" si="204"/>
        <v/>
      </c>
    </row>
    <row r="756" spans="1:21">
      <c r="A756" s="211">
        <f>IF(COUNTBLANK('RNEW import'!B754)=1,"",'RNEW import'!B754)</f>
        <v>33</v>
      </c>
      <c r="B756" s="211" t="str">
        <f>IF(COUNTBLANK('RNEW import'!D754)=1,"",'RNEW import'!D754)</f>
        <v>Sibiu Shopping City 2 SRL</v>
      </c>
      <c r="C756" s="211" t="str">
        <f>IF(COUNTBLANK('RNEW import'!E754)=1,"",'RNEW import'!E754)</f>
        <v>RSSC</v>
      </c>
      <c r="D756" s="211" t="str">
        <f>IF(COUNTBLANK('RNEW import'!K754)=1,"",'RNEW import'!K754)</f>
        <v>Regularizare Energie activa 2</v>
      </c>
      <c r="E756" s="211">
        <f>IF(COUNTBLANK('RNEW import'!L754)=1,"",'RNEW import'!N754)</f>
        <v>0</v>
      </c>
      <c r="F756" s="211">
        <f>IF(COUNTBLANK('RNEW import'!M754)=1,"",'RNEW import'!O754/10000)</f>
        <v>0.93920760000000014</v>
      </c>
      <c r="G756" s="217">
        <f t="shared" si="205"/>
        <v>0</v>
      </c>
      <c r="H756" s="217">
        <f t="shared" si="197"/>
        <v>0</v>
      </c>
      <c r="I756" s="329">
        <f t="shared" si="206"/>
        <v>0</v>
      </c>
      <c r="J756" s="237" t="str">
        <f t="shared" si="208"/>
        <v/>
      </c>
      <c r="K756" s="238" t="str">
        <f t="shared" si="193"/>
        <v/>
      </c>
      <c r="L756" s="238" t="str">
        <f t="shared" si="194"/>
        <v/>
      </c>
      <c r="M756" s="238" t="str">
        <f t="shared" si="195"/>
        <v/>
      </c>
      <c r="N756" s="238" t="str">
        <f t="shared" si="196"/>
        <v/>
      </c>
      <c r="O756" s="232" t="str">
        <f t="shared" si="207"/>
        <v/>
      </c>
      <c r="P756" s="219" t="str">
        <f t="shared" si="198"/>
        <v/>
      </c>
      <c r="Q756" s="219" t="str">
        <f t="shared" si="199"/>
        <v/>
      </c>
      <c r="R756" s="219" t="str">
        <f t="shared" si="200"/>
        <v/>
      </c>
      <c r="S756" s="331" t="str">
        <f t="shared" si="202"/>
        <v/>
      </c>
      <c r="T756" s="331" t="str">
        <f t="shared" si="203"/>
        <v/>
      </c>
      <c r="U756" s="331" t="str">
        <f t="shared" si="204"/>
        <v/>
      </c>
    </row>
    <row r="757" spans="1:21">
      <c r="A757" s="211">
        <f>IF(COUNTBLANK('RNEW import'!B755)=1,"",'RNEW import'!B755)</f>
        <v>34</v>
      </c>
      <c r="B757" s="211" t="str">
        <f>IF(COUNTBLANK('RNEW import'!D755)=1,"",'RNEW import'!D755)</f>
        <v>Sibiu Shopping City 2 SRL</v>
      </c>
      <c r="C757" s="211" t="str">
        <f>IF(COUNTBLANK('RNEW import'!E755)=1,"",'RNEW import'!E755)</f>
        <v>RSSC</v>
      </c>
      <c r="D757" s="211" t="str">
        <f>IF(COUNTBLANK('RNEW import'!K755)=1,"",'RNEW import'!K755)</f>
        <v>Regularizare Energie activa 3</v>
      </c>
      <c r="E757" s="211">
        <f>IF(COUNTBLANK('RNEW import'!L755)=1,"",'RNEW import'!N755)</f>
        <v>0</v>
      </c>
      <c r="F757" s="211">
        <f>IF(COUNTBLANK('RNEW import'!M755)=1,"",'RNEW import'!O755/10000)</f>
        <v>0.83390760000000008</v>
      </c>
      <c r="G757" s="217">
        <f t="shared" si="205"/>
        <v>0</v>
      </c>
      <c r="H757" s="217">
        <f t="shared" si="197"/>
        <v>0</v>
      </c>
      <c r="I757" s="329">
        <f t="shared" si="206"/>
        <v>0</v>
      </c>
      <c r="J757" s="237" t="str">
        <f t="shared" si="208"/>
        <v/>
      </c>
      <c r="K757" s="238" t="str">
        <f t="shared" si="193"/>
        <v/>
      </c>
      <c r="L757" s="238" t="str">
        <f t="shared" si="194"/>
        <v/>
      </c>
      <c r="M757" s="238" t="str">
        <f t="shared" si="195"/>
        <v/>
      </c>
      <c r="N757" s="238" t="str">
        <f t="shared" si="196"/>
        <v/>
      </c>
      <c r="O757" s="232" t="str">
        <f t="shared" si="207"/>
        <v/>
      </c>
      <c r="P757" s="219" t="str">
        <f t="shared" si="198"/>
        <v/>
      </c>
      <c r="Q757" s="219" t="str">
        <f t="shared" si="199"/>
        <v/>
      </c>
      <c r="R757" s="219" t="str">
        <f t="shared" si="200"/>
        <v/>
      </c>
      <c r="S757" s="331" t="str">
        <f t="shared" si="202"/>
        <v/>
      </c>
      <c r="T757" s="331" t="str">
        <f t="shared" si="203"/>
        <v/>
      </c>
      <c r="U757" s="331" t="str">
        <f t="shared" si="204"/>
        <v/>
      </c>
    </row>
    <row r="758" spans="1:21">
      <c r="A758" s="211">
        <f>IF(COUNTBLANK('RNEW import'!B756)=1,"",'RNEW import'!B756)</f>
        <v>35</v>
      </c>
      <c r="B758" s="211" t="str">
        <f>IF(COUNTBLANK('RNEW import'!D756)=1,"",'RNEW import'!D756)</f>
        <v>Sibiu Shopping City 2 SRL</v>
      </c>
      <c r="C758" s="211" t="str">
        <f>IF(COUNTBLANK('RNEW import'!E756)=1,"",'RNEW import'!E756)</f>
        <v>RSSC</v>
      </c>
      <c r="D758" s="211" t="str">
        <f>IF(COUNTBLANK('RNEW import'!K756)=1,"",'RNEW import'!K756)</f>
        <v>Regularizare Tarif distributie SDI MT Ea3</v>
      </c>
      <c r="E758" s="211">
        <f>IF(COUNTBLANK('RNEW import'!L756)=1,"",'RNEW import'!N756)</f>
        <v>0</v>
      </c>
      <c r="F758" s="211">
        <f>IF(COUNTBLANK('RNEW import'!M756)=1,"",'RNEW import'!O756/10000)</f>
        <v>1.26E-2</v>
      </c>
      <c r="G758" s="217">
        <f t="shared" si="205"/>
        <v>0</v>
      </c>
      <c r="H758" s="217">
        <f t="shared" si="197"/>
        <v>0</v>
      </c>
      <c r="I758" s="329">
        <f t="shared" si="206"/>
        <v>0</v>
      </c>
      <c r="J758" s="237" t="str">
        <f t="shared" si="208"/>
        <v/>
      </c>
      <c r="K758" s="238" t="str">
        <f t="shared" si="193"/>
        <v/>
      </c>
      <c r="L758" s="238" t="str">
        <f t="shared" si="194"/>
        <v/>
      </c>
      <c r="M758" s="238" t="str">
        <f t="shared" si="195"/>
        <v/>
      </c>
      <c r="N758" s="238" t="str">
        <f t="shared" si="196"/>
        <v/>
      </c>
      <c r="O758" s="232" t="str">
        <f t="shared" si="207"/>
        <v/>
      </c>
      <c r="P758" s="219" t="str">
        <f t="shared" si="198"/>
        <v/>
      </c>
      <c r="Q758" s="219" t="str">
        <f t="shared" si="199"/>
        <v/>
      </c>
      <c r="R758" s="219" t="str">
        <f t="shared" si="200"/>
        <v/>
      </c>
      <c r="S758" s="331" t="str">
        <f t="shared" si="202"/>
        <v/>
      </c>
      <c r="T758" s="331" t="str">
        <f t="shared" si="203"/>
        <v/>
      </c>
      <c r="U758" s="331" t="str">
        <f t="shared" si="204"/>
        <v/>
      </c>
    </row>
    <row r="759" spans="1:21">
      <c r="A759" s="211">
        <f>IF(COUNTBLANK('RNEW import'!B757)=1,"",'RNEW import'!B757)</f>
        <v>36</v>
      </c>
      <c r="B759" s="211" t="str">
        <f>IF(COUNTBLANK('RNEW import'!D757)=1,"",'RNEW import'!D757)</f>
        <v>Sibiu Shopping City 2 SRL</v>
      </c>
      <c r="C759" s="211" t="str">
        <f>IF(COUNTBLANK('RNEW import'!E757)=1,"",'RNEW import'!E757)</f>
        <v>RSSC</v>
      </c>
      <c r="D759" s="211" t="str">
        <f>IF(COUNTBLANK('RNEW import'!K757)=1,"",'RNEW import'!K757)</f>
        <v>Regularizare Tarif distributie SDI JT Ea3</v>
      </c>
      <c r="E759" s="211">
        <f>IF(COUNTBLANK('RNEW import'!L757)=1,"",'RNEW import'!N757)</f>
        <v>0</v>
      </c>
      <c r="F759" s="211">
        <f>IF(COUNTBLANK('RNEW import'!M757)=1,"",'RNEW import'!O757/10000)</f>
        <v>9.2700000000000005E-2</v>
      </c>
      <c r="G759" s="217">
        <f t="shared" si="205"/>
        <v>0</v>
      </c>
      <c r="H759" s="217">
        <f t="shared" si="197"/>
        <v>0</v>
      </c>
      <c r="I759" s="329">
        <f t="shared" si="206"/>
        <v>0</v>
      </c>
      <c r="J759" s="237" t="str">
        <f t="shared" si="208"/>
        <v/>
      </c>
      <c r="K759" s="238" t="str">
        <f t="shared" si="193"/>
        <v/>
      </c>
      <c r="L759" s="238" t="str">
        <f t="shared" si="194"/>
        <v/>
      </c>
      <c r="M759" s="238" t="str">
        <f t="shared" si="195"/>
        <v/>
      </c>
      <c r="N759" s="238" t="str">
        <f t="shared" si="196"/>
        <v/>
      </c>
      <c r="O759" s="232" t="str">
        <f t="shared" si="207"/>
        <v/>
      </c>
      <c r="P759" s="219" t="str">
        <f t="shared" si="198"/>
        <v>Energie consumata din PV regularizare</v>
      </c>
      <c r="Q759" s="219">
        <f t="shared" si="199"/>
        <v>0</v>
      </c>
      <c r="R759" s="219">
        <f t="shared" si="200"/>
        <v>0</v>
      </c>
      <c r="S759" s="331">
        <f t="shared" si="202"/>
        <v>0</v>
      </c>
      <c r="T759" s="331">
        <f t="shared" si="203"/>
        <v>0</v>
      </c>
      <c r="U759" s="331">
        <f t="shared" si="204"/>
        <v>0</v>
      </c>
    </row>
    <row r="760" spans="1:21">
      <c r="A760" s="211">
        <f>IF(COUNTBLANK('RNEW import'!B758)=1,"",'RNEW import'!B758)</f>
        <v>1</v>
      </c>
      <c r="B760" s="211" t="str">
        <f>IF(COUNTBLANK('RNEW import'!D758)=1,"",'RNEW import'!D758)</f>
        <v>Retail Park Pitesti SRL</v>
      </c>
      <c r="C760" s="211" t="str">
        <f>IF(COUNTBLANK('RNEW import'!E758)=1,"",'RNEW import'!E758)</f>
        <v>RRPP</v>
      </c>
      <c r="D760" s="211" t="str">
        <f>IF(COUNTBLANK('RNEW import'!K758)=1,"",'RNEW import'!K758)</f>
        <v>Energie activa 1</v>
      </c>
      <c r="E760" s="211">
        <f>IF(COUNTBLANK('RNEW import'!L758)=1,"",'RNEW import'!N758)</f>
        <v>132914</v>
      </c>
      <c r="F760" s="211">
        <f>IF(COUNTBLANK('RNEW import'!M758)=1,"",'RNEW import'!O758/10000)</f>
        <v>0.59499999999999997</v>
      </c>
      <c r="G760" s="217">
        <f t="shared" si="205"/>
        <v>79083.83</v>
      </c>
      <c r="H760" s="217">
        <f t="shared" si="197"/>
        <v>15025.93</v>
      </c>
      <c r="I760" s="329">
        <f t="shared" si="206"/>
        <v>94109.760000000009</v>
      </c>
      <c r="J760" s="237" t="str">
        <f t="shared" si="208"/>
        <v>Retail Park Pitesti SRL</v>
      </c>
      <c r="K760" s="238">
        <f t="shared" si="193"/>
        <v>18118.93</v>
      </c>
      <c r="L760" s="238">
        <f t="shared" si="194"/>
        <v>119898.97999999998</v>
      </c>
      <c r="M760" s="238">
        <f t="shared" si="195"/>
        <v>105502.63</v>
      </c>
      <c r="N760" s="238">
        <f t="shared" si="196"/>
        <v>151117</v>
      </c>
      <c r="O760" s="232" t="str">
        <f t="shared" si="207"/>
        <v>Retail Park Pitesti SRL</v>
      </c>
      <c r="P760" s="219" t="str">
        <f t="shared" si="198"/>
        <v>Enegie activa</v>
      </c>
      <c r="Q760" s="219">
        <f t="shared" si="199"/>
        <v>132914</v>
      </c>
      <c r="R760" s="219">
        <f t="shared" si="200"/>
        <v>0.97511800000000004</v>
      </c>
      <c r="S760" s="331">
        <f t="shared" si="202"/>
        <v>129606.78</v>
      </c>
      <c r="T760" s="331">
        <f t="shared" si="203"/>
        <v>24625.29</v>
      </c>
      <c r="U760" s="331">
        <f t="shared" si="204"/>
        <v>154232.07</v>
      </c>
    </row>
    <row r="761" spans="1:21">
      <c r="A761" s="211">
        <f>IF(COUNTBLANK('RNEW import'!B759)=1,"",'RNEW import'!B759)</f>
        <v>2</v>
      </c>
      <c r="B761" s="211" t="str">
        <f>IF(COUNTBLANK('RNEW import'!D759)=1,"",'RNEW import'!D759)</f>
        <v>Retail Park Pitesti SRL</v>
      </c>
      <c r="C761" s="211" t="str">
        <f>IF(COUNTBLANK('RNEW import'!E759)=1,"",'RNEW import'!E759)</f>
        <v>RRPP</v>
      </c>
      <c r="D761" s="211" t="str">
        <f>IF(COUNTBLANK('RNEW import'!K759)=1,"",'RNEW import'!K759)</f>
        <v>Energie reactiva  1X</v>
      </c>
      <c r="E761" s="211">
        <f>IF(COUNTBLANK('RNEW import'!L759)=1,"",'RNEW import'!N759)</f>
        <v>0</v>
      </c>
      <c r="F761" s="211">
        <f>IF(COUNTBLANK('RNEW import'!M759)=1,"",'RNEW import'!O759/10000)</f>
        <v>0.14649999999999999</v>
      </c>
      <c r="G761" s="217">
        <f t="shared" si="205"/>
        <v>0</v>
      </c>
      <c r="H761" s="217">
        <f t="shared" si="197"/>
        <v>0</v>
      </c>
      <c r="I761" s="329">
        <f t="shared" si="206"/>
        <v>0</v>
      </c>
      <c r="J761" s="237" t="str">
        <f t="shared" si="208"/>
        <v/>
      </c>
      <c r="K761" s="238" t="str">
        <f t="shared" si="193"/>
        <v/>
      </c>
      <c r="L761" s="238" t="str">
        <f t="shared" si="194"/>
        <v/>
      </c>
      <c r="M761" s="238" t="str">
        <f t="shared" si="195"/>
        <v/>
      </c>
      <c r="N761" s="238" t="str">
        <f t="shared" si="196"/>
        <v/>
      </c>
      <c r="O761" s="232" t="str">
        <f t="shared" si="207"/>
        <v/>
      </c>
      <c r="P761" s="219" t="str">
        <f t="shared" si="198"/>
        <v>Energie reactiva 1x</v>
      </c>
      <c r="Q761" s="219">
        <f t="shared" si="199"/>
        <v>0</v>
      </c>
      <c r="R761" s="219">
        <f t="shared" si="200"/>
        <v>0.14649999999999999</v>
      </c>
      <c r="S761" s="331">
        <f t="shared" si="202"/>
        <v>0</v>
      </c>
      <c r="T761" s="331">
        <f t="shared" si="203"/>
        <v>0</v>
      </c>
      <c r="U761" s="331">
        <f t="shared" si="204"/>
        <v>0</v>
      </c>
    </row>
    <row r="762" spans="1:21">
      <c r="A762" s="211">
        <f>IF(COUNTBLANK('RNEW import'!B760)=1,"",'RNEW import'!B760)</f>
        <v>3</v>
      </c>
      <c r="B762" s="211" t="str">
        <f>IF(COUNTBLANK('RNEW import'!D760)=1,"",'RNEW import'!D760)</f>
        <v>Retail Park Pitesti SRL</v>
      </c>
      <c r="C762" s="211" t="str">
        <f>IF(COUNTBLANK('RNEW import'!E760)=1,"",'RNEW import'!E760)</f>
        <v>RRPP</v>
      </c>
      <c r="D762" s="211" t="str">
        <f>IF(COUNTBLANK('RNEW import'!K760)=1,"",'RNEW import'!K760)</f>
        <v>Energie reactiva  3X</v>
      </c>
      <c r="E762" s="211">
        <f>IF(COUNTBLANK('RNEW import'!L760)=1,"",'RNEW import'!N760)</f>
        <v>0</v>
      </c>
      <c r="F762" s="211">
        <f>IF(COUNTBLANK('RNEW import'!M760)=1,"",'RNEW import'!O760/10000)</f>
        <v>0.4395</v>
      </c>
      <c r="G762" s="217">
        <f t="shared" si="205"/>
        <v>0</v>
      </c>
      <c r="H762" s="217">
        <f t="shared" si="197"/>
        <v>0</v>
      </c>
      <c r="I762" s="329">
        <f t="shared" si="206"/>
        <v>0</v>
      </c>
      <c r="J762" s="237" t="str">
        <f t="shared" si="208"/>
        <v/>
      </c>
      <c r="K762" s="238" t="str">
        <f t="shared" si="193"/>
        <v/>
      </c>
      <c r="L762" s="238" t="str">
        <f t="shared" si="194"/>
        <v/>
      </c>
      <c r="M762" s="238" t="str">
        <f t="shared" si="195"/>
        <v/>
      </c>
      <c r="N762" s="238" t="str">
        <f t="shared" si="196"/>
        <v/>
      </c>
      <c r="O762" s="232" t="str">
        <f t="shared" si="207"/>
        <v/>
      </c>
      <c r="P762" s="219" t="str">
        <f t="shared" si="198"/>
        <v>Energie reactiva 3x</v>
      </c>
      <c r="Q762" s="219">
        <f t="shared" si="199"/>
        <v>0</v>
      </c>
      <c r="R762" s="219">
        <f t="shared" si="200"/>
        <v>0.4395</v>
      </c>
      <c r="S762" s="331">
        <f t="shared" si="202"/>
        <v>0</v>
      </c>
      <c r="T762" s="331">
        <f t="shared" si="203"/>
        <v>0</v>
      </c>
      <c r="U762" s="331">
        <f t="shared" si="204"/>
        <v>0</v>
      </c>
    </row>
    <row r="763" spans="1:21">
      <c r="A763" s="211">
        <f>IF(COUNTBLANK('RNEW import'!B761)=1,"",'RNEW import'!B761)</f>
        <v>4</v>
      </c>
      <c r="B763" s="211" t="str">
        <f>IF(COUNTBLANK('RNEW import'!D761)=1,"",'RNEW import'!D761)</f>
        <v>Retail Park Pitesti SRL</v>
      </c>
      <c r="C763" s="211" t="str">
        <f>IF(COUNTBLANK('RNEW import'!E761)=1,"",'RNEW import'!E761)</f>
        <v>RRPP</v>
      </c>
      <c r="D763" s="211" t="str">
        <f>IF(COUNTBLANK('RNEW import'!K761)=1,"",'RNEW import'!K761)</f>
        <v>Tarife distributie en. El IT+MT</v>
      </c>
      <c r="E763" s="211">
        <f>IF(COUNTBLANK('RNEW import'!L761)=1,"",'RNEW import'!N761)</f>
        <v>132914</v>
      </c>
      <c r="F763" s="211">
        <f>IF(COUNTBLANK('RNEW import'!M761)=1,"",'RNEW import'!O761/10000)</f>
        <v>0.13613999999999998</v>
      </c>
      <c r="G763" s="217">
        <f t="shared" si="205"/>
        <v>18094.91</v>
      </c>
      <c r="H763" s="217">
        <f t="shared" si="197"/>
        <v>3438.03</v>
      </c>
      <c r="I763" s="329">
        <f t="shared" si="206"/>
        <v>21532.94</v>
      </c>
      <c r="J763" s="237" t="str">
        <f t="shared" si="208"/>
        <v/>
      </c>
      <c r="K763" s="238" t="str">
        <f t="shared" si="193"/>
        <v/>
      </c>
      <c r="L763" s="238" t="str">
        <f t="shared" si="194"/>
        <v/>
      </c>
      <c r="M763" s="238" t="str">
        <f t="shared" si="195"/>
        <v/>
      </c>
      <c r="N763" s="238" t="str">
        <f t="shared" si="196"/>
        <v/>
      </c>
      <c r="O763" s="232" t="str">
        <f t="shared" si="207"/>
        <v/>
      </c>
      <c r="P763" s="219" t="str">
        <f t="shared" si="198"/>
        <v/>
      </c>
      <c r="Q763" s="219" t="str">
        <f t="shared" si="199"/>
        <v/>
      </c>
      <c r="R763" s="219" t="str">
        <f t="shared" si="200"/>
        <v/>
      </c>
      <c r="S763" s="331" t="str">
        <f t="shared" si="202"/>
        <v/>
      </c>
      <c r="T763" s="331" t="str">
        <f t="shared" si="203"/>
        <v/>
      </c>
      <c r="U763" s="331" t="str">
        <f t="shared" si="204"/>
        <v/>
      </c>
    </row>
    <row r="764" spans="1:21">
      <c r="A764" s="211">
        <f>IF(COUNTBLANK('RNEW import'!B762)=1,"",'RNEW import'!B762)</f>
        <v>5</v>
      </c>
      <c r="B764" s="211" t="str">
        <f>IF(COUNTBLANK('RNEW import'!D762)=1,"",'RNEW import'!D762)</f>
        <v>Retail Park Pitesti SRL</v>
      </c>
      <c r="C764" s="211" t="str">
        <f>IF(COUNTBLANK('RNEW import'!E762)=1,"",'RNEW import'!E762)</f>
        <v>RRPP</v>
      </c>
      <c r="D764" s="211" t="str">
        <f>IF(COUNTBLANK('RNEW import'!K762)=1,"",'RNEW import'!K762)</f>
        <v>Tarife distributie en. El JT</v>
      </c>
      <c r="E764" s="211">
        <f>IF(COUNTBLANK('RNEW import'!L762)=1,"",'RNEW import'!N762)</f>
        <v>0</v>
      </c>
      <c r="F764" s="211">
        <f>IF(COUNTBLANK('RNEW import'!M762)=1,"",'RNEW import'!O762/10000)</f>
        <v>0.22738999999999995</v>
      </c>
      <c r="G764" s="217">
        <f t="shared" si="205"/>
        <v>0</v>
      </c>
      <c r="H764" s="217">
        <f t="shared" si="197"/>
        <v>0</v>
      </c>
      <c r="I764" s="329">
        <f t="shared" si="206"/>
        <v>0</v>
      </c>
      <c r="J764" s="237" t="str">
        <f t="shared" si="208"/>
        <v/>
      </c>
      <c r="K764" s="238" t="str">
        <f t="shared" si="193"/>
        <v/>
      </c>
      <c r="L764" s="238" t="str">
        <f t="shared" si="194"/>
        <v/>
      </c>
      <c r="M764" s="238" t="str">
        <f t="shared" si="195"/>
        <v/>
      </c>
      <c r="N764" s="238" t="str">
        <f t="shared" si="196"/>
        <v/>
      </c>
      <c r="O764" s="232" t="str">
        <f t="shared" si="207"/>
        <v/>
      </c>
      <c r="P764" s="219" t="str">
        <f t="shared" si="198"/>
        <v/>
      </c>
      <c r="Q764" s="219" t="str">
        <f t="shared" si="199"/>
        <v/>
      </c>
      <c r="R764" s="219" t="str">
        <f t="shared" si="200"/>
        <v/>
      </c>
      <c r="S764" s="331" t="str">
        <f t="shared" si="202"/>
        <v/>
      </c>
      <c r="T764" s="331" t="str">
        <f t="shared" si="203"/>
        <v/>
      </c>
      <c r="U764" s="331" t="str">
        <f t="shared" si="204"/>
        <v/>
      </c>
    </row>
    <row r="765" spans="1:21">
      <c r="A765" s="211">
        <f>IF(COUNTBLANK('RNEW import'!B763)=1,"",'RNEW import'!B763)</f>
        <v>6</v>
      </c>
      <c r="B765" s="211" t="str">
        <f>IF(COUNTBLANK('RNEW import'!D763)=1,"",'RNEW import'!D763)</f>
        <v>Retail Park Pitesti SRL</v>
      </c>
      <c r="C765" s="211" t="str">
        <f>IF(COUNTBLANK('RNEW import'!E763)=1,"",'RNEW import'!E763)</f>
        <v>RRPP</v>
      </c>
      <c r="D765" s="211" t="str">
        <f>IF(COUNTBLANK('RNEW import'!K763)=1,"",'RNEW import'!K763)</f>
        <v xml:space="preserve">Servicii Sistem </v>
      </c>
      <c r="E765" s="211">
        <f>IF(COUNTBLANK('RNEW import'!L763)=1,"",'RNEW import'!N763)</f>
        <v>132914</v>
      </c>
      <c r="F765" s="211">
        <f>IF(COUNTBLANK('RNEW import'!M763)=1,"",'RNEW import'!O763/10000)</f>
        <v>1.1509999999999999E-2</v>
      </c>
      <c r="G765" s="217">
        <f t="shared" si="205"/>
        <v>1529.84</v>
      </c>
      <c r="H765" s="217">
        <f t="shared" si="197"/>
        <v>290.67</v>
      </c>
      <c r="I765" s="329">
        <f t="shared" si="206"/>
        <v>1820.51</v>
      </c>
      <c r="J765" s="237" t="str">
        <f t="shared" si="208"/>
        <v/>
      </c>
      <c r="K765" s="238" t="str">
        <f t="shared" si="193"/>
        <v/>
      </c>
      <c r="L765" s="238" t="str">
        <f t="shared" si="194"/>
        <v/>
      </c>
      <c r="M765" s="238" t="str">
        <f t="shared" si="195"/>
        <v/>
      </c>
      <c r="N765" s="238" t="str">
        <f t="shared" si="196"/>
        <v/>
      </c>
      <c r="O765" s="232" t="str">
        <f t="shared" si="207"/>
        <v/>
      </c>
      <c r="P765" s="219" t="str">
        <f t="shared" si="198"/>
        <v/>
      </c>
      <c r="Q765" s="219" t="str">
        <f t="shared" si="199"/>
        <v/>
      </c>
      <c r="R765" s="219" t="str">
        <f t="shared" si="200"/>
        <v/>
      </c>
      <c r="S765" s="331" t="str">
        <f t="shared" si="202"/>
        <v/>
      </c>
      <c r="T765" s="331" t="str">
        <f t="shared" si="203"/>
        <v/>
      </c>
      <c r="U765" s="331" t="str">
        <f t="shared" si="204"/>
        <v/>
      </c>
    </row>
    <row r="766" spans="1:21">
      <c r="A766" s="211">
        <f>IF(COUNTBLANK('RNEW import'!B764)=1,"",'RNEW import'!B764)</f>
        <v>7</v>
      </c>
      <c r="B766" s="211" t="str">
        <f>IF(COUNTBLANK('RNEW import'!D764)=1,"",'RNEW import'!D764)</f>
        <v>Retail Park Pitesti SRL</v>
      </c>
      <c r="C766" s="211" t="str">
        <f>IF(COUNTBLANK('RNEW import'!E764)=1,"",'RNEW import'!E764)</f>
        <v>RRPP</v>
      </c>
      <c r="D766" s="211" t="str">
        <f>IF(COUNTBLANK('RNEW import'!K764)=1,"",'RNEW import'!K764)</f>
        <v>Tarif de introducere en. el in retea (TL)</v>
      </c>
      <c r="E766" s="211">
        <f>IF(COUNTBLANK('RNEW import'!L764)=1,"",'RNEW import'!N764)</f>
        <v>132914</v>
      </c>
      <c r="F766" s="211">
        <f>IF(COUNTBLANK('RNEW import'!M764)=1,"",'RNEW import'!O764/10000)</f>
        <v>3.3030000000000004E-2</v>
      </c>
      <c r="G766" s="217">
        <f t="shared" si="205"/>
        <v>4390.1499999999996</v>
      </c>
      <c r="H766" s="217">
        <f t="shared" si="197"/>
        <v>834.13</v>
      </c>
      <c r="I766" s="329">
        <f t="shared" si="206"/>
        <v>5224.28</v>
      </c>
      <c r="J766" s="237" t="str">
        <f t="shared" si="208"/>
        <v/>
      </c>
      <c r="K766" s="238" t="str">
        <f t="shared" si="193"/>
        <v/>
      </c>
      <c r="L766" s="238" t="str">
        <f t="shared" si="194"/>
        <v/>
      </c>
      <c r="M766" s="238" t="str">
        <f t="shared" si="195"/>
        <v/>
      </c>
      <c r="N766" s="238" t="str">
        <f t="shared" si="196"/>
        <v/>
      </c>
      <c r="O766" s="232" t="str">
        <f t="shared" si="207"/>
        <v/>
      </c>
      <c r="P766" s="219" t="str">
        <f t="shared" si="198"/>
        <v/>
      </c>
      <c r="Q766" s="219" t="str">
        <f t="shared" si="199"/>
        <v/>
      </c>
      <c r="R766" s="219" t="str">
        <f t="shared" si="200"/>
        <v/>
      </c>
      <c r="S766" s="331" t="str">
        <f t="shared" si="202"/>
        <v/>
      </c>
      <c r="T766" s="331" t="str">
        <f t="shared" si="203"/>
        <v/>
      </c>
      <c r="U766" s="331" t="str">
        <f t="shared" si="204"/>
        <v/>
      </c>
    </row>
    <row r="767" spans="1:21">
      <c r="A767" s="211">
        <f>IF(COUNTBLANK('RNEW import'!B765)=1,"",'RNEW import'!B765)</f>
        <v>8</v>
      </c>
      <c r="B767" s="211" t="str">
        <f>IF(COUNTBLANK('RNEW import'!D765)=1,"",'RNEW import'!D765)</f>
        <v>Retail Park Pitesti SRL</v>
      </c>
      <c r="C767" s="211" t="str">
        <f>IF(COUNTBLANK('RNEW import'!E765)=1,"",'RNEW import'!E765)</f>
        <v>RRPP</v>
      </c>
      <c r="D767" s="211" t="str">
        <f>IF(COUNTBLANK('RNEW import'!K765)=1,"",'RNEW import'!K765)</f>
        <v>Tarif de introducere en.el in retea (TG)</v>
      </c>
      <c r="E767" s="211">
        <f>IF(COUNTBLANK('RNEW import'!L765)=1,"",'RNEW import'!N765)</f>
        <v>132914</v>
      </c>
      <c r="F767" s="211">
        <f>IF(COUNTBLANK('RNEW import'!M765)=1,"",'RNEW import'!O765/10000)</f>
        <v>3.29E-3</v>
      </c>
      <c r="G767" s="217">
        <f t="shared" si="205"/>
        <v>437.29</v>
      </c>
      <c r="H767" s="217">
        <f t="shared" si="197"/>
        <v>83.09</v>
      </c>
      <c r="I767" s="329">
        <f t="shared" si="206"/>
        <v>520.38</v>
      </c>
      <c r="J767" s="237" t="str">
        <f t="shared" si="208"/>
        <v/>
      </c>
      <c r="K767" s="238" t="str">
        <f t="shared" si="193"/>
        <v/>
      </c>
      <c r="L767" s="238" t="str">
        <f t="shared" si="194"/>
        <v/>
      </c>
      <c r="M767" s="238" t="str">
        <f t="shared" si="195"/>
        <v/>
      </c>
      <c r="N767" s="238" t="str">
        <f t="shared" si="196"/>
        <v/>
      </c>
      <c r="O767" s="232" t="str">
        <f t="shared" si="207"/>
        <v/>
      </c>
      <c r="P767" s="219" t="str">
        <f t="shared" si="198"/>
        <v/>
      </c>
      <c r="Q767" s="219" t="str">
        <f t="shared" si="199"/>
        <v/>
      </c>
      <c r="R767" s="219" t="str">
        <f t="shared" si="200"/>
        <v/>
      </c>
      <c r="S767" s="331" t="str">
        <f t="shared" si="202"/>
        <v/>
      </c>
      <c r="T767" s="331" t="str">
        <f t="shared" si="203"/>
        <v/>
      </c>
      <c r="U767" s="331" t="str">
        <f t="shared" si="204"/>
        <v/>
      </c>
    </row>
    <row r="768" spans="1:21">
      <c r="A768" s="211">
        <f>IF(COUNTBLANK('RNEW import'!B766)=1,"",'RNEW import'!B766)</f>
        <v>9</v>
      </c>
      <c r="B768" s="211" t="str">
        <f>IF(COUNTBLANK('RNEW import'!D766)=1,"",'RNEW import'!D766)</f>
        <v>Retail Park Pitesti SRL</v>
      </c>
      <c r="C768" s="211" t="str">
        <f>IF(COUNTBLANK('RNEW import'!E766)=1,"",'RNEW import'!E766)</f>
        <v>RRPP</v>
      </c>
      <c r="D768" s="211" t="str">
        <f>IF(COUNTBLANK('RNEW import'!K766)=1,"",'RNEW import'!K766)</f>
        <v>Contributie pentru cogenerare</v>
      </c>
      <c r="E768" s="211">
        <f>IF(COUNTBLANK('RNEW import'!L766)=1,"",'RNEW import'!N766)</f>
        <v>132914</v>
      </c>
      <c r="F768" s="211">
        <f>IF(COUNTBLANK('RNEW import'!M766)=1,"",'RNEW import'!O766/10000)</f>
        <v>3.5000000000000001E-3</v>
      </c>
      <c r="G768" s="217">
        <f t="shared" si="205"/>
        <v>465.2</v>
      </c>
      <c r="H768" s="217">
        <f t="shared" si="197"/>
        <v>88.39</v>
      </c>
      <c r="I768" s="329">
        <f t="shared" si="206"/>
        <v>553.59</v>
      </c>
      <c r="J768" s="237" t="str">
        <f t="shared" si="208"/>
        <v/>
      </c>
      <c r="K768" s="238" t="str">
        <f t="shared" si="193"/>
        <v/>
      </c>
      <c r="L768" s="238" t="str">
        <f t="shared" si="194"/>
        <v/>
      </c>
      <c r="M768" s="238" t="str">
        <f t="shared" si="195"/>
        <v/>
      </c>
      <c r="N768" s="238" t="str">
        <f t="shared" si="196"/>
        <v/>
      </c>
      <c r="O768" s="232" t="str">
        <f t="shared" si="207"/>
        <v/>
      </c>
      <c r="P768" s="219" t="str">
        <f t="shared" si="198"/>
        <v/>
      </c>
      <c r="Q768" s="219" t="str">
        <f t="shared" si="199"/>
        <v/>
      </c>
      <c r="R768" s="219" t="str">
        <f t="shared" si="200"/>
        <v/>
      </c>
      <c r="S768" s="331" t="str">
        <f t="shared" si="202"/>
        <v/>
      </c>
      <c r="T768" s="331" t="str">
        <f t="shared" si="203"/>
        <v/>
      </c>
      <c r="U768" s="331" t="str">
        <f t="shared" si="204"/>
        <v/>
      </c>
    </row>
    <row r="769" spans="1:21">
      <c r="A769" s="211">
        <f>IF(COUNTBLANK('RNEW import'!B767)=1,"",'RNEW import'!B767)</f>
        <v>10</v>
      </c>
      <c r="B769" s="211" t="str">
        <f>IF(COUNTBLANK('RNEW import'!D767)=1,"",'RNEW import'!D767)</f>
        <v>Retail Park Pitesti SRL</v>
      </c>
      <c r="C769" s="211" t="str">
        <f>IF(COUNTBLANK('RNEW import'!E767)=1,"",'RNEW import'!E767)</f>
        <v>RRPP</v>
      </c>
      <c r="D769" s="211" t="str">
        <f>IF(COUNTBLANK('RNEW import'!K767)=1,"",'RNEW import'!K767)</f>
        <v xml:space="preserve">Certificate verzi </v>
      </c>
      <c r="E769" s="211">
        <f>IF(COUNTBLANK('RNEW import'!L767)=1,"",'RNEW import'!N767)</f>
        <v>132914</v>
      </c>
      <c r="F769" s="211">
        <f>IF(COUNTBLANK('RNEW import'!M767)=1,"",'RNEW import'!O767/10000)</f>
        <v>7.2541599999999998E-2</v>
      </c>
      <c r="G769" s="217">
        <f t="shared" si="205"/>
        <v>9641.7900000000009</v>
      </c>
      <c r="H769" s="217">
        <f t="shared" si="197"/>
        <v>1831.94</v>
      </c>
      <c r="I769" s="329">
        <f t="shared" si="206"/>
        <v>11473.730000000001</v>
      </c>
      <c r="J769" s="237" t="str">
        <f t="shared" si="208"/>
        <v/>
      </c>
      <c r="K769" s="238" t="str">
        <f t="shared" si="193"/>
        <v/>
      </c>
      <c r="L769" s="238" t="str">
        <f t="shared" si="194"/>
        <v/>
      </c>
      <c r="M769" s="238" t="str">
        <f t="shared" si="195"/>
        <v/>
      </c>
      <c r="N769" s="238" t="str">
        <f t="shared" si="196"/>
        <v/>
      </c>
      <c r="O769" s="232" t="str">
        <f t="shared" si="207"/>
        <v/>
      </c>
      <c r="P769" s="219" t="str">
        <f t="shared" si="198"/>
        <v/>
      </c>
      <c r="Q769" s="219" t="str">
        <f t="shared" si="199"/>
        <v/>
      </c>
      <c r="R769" s="219" t="str">
        <f t="shared" si="200"/>
        <v/>
      </c>
      <c r="S769" s="331" t="str">
        <f t="shared" si="202"/>
        <v/>
      </c>
      <c r="T769" s="331" t="str">
        <f t="shared" si="203"/>
        <v/>
      </c>
      <c r="U769" s="331" t="str">
        <f t="shared" si="204"/>
        <v/>
      </c>
    </row>
    <row r="770" spans="1:21">
      <c r="A770" s="211">
        <f>IF(COUNTBLANK('RNEW import'!B768)=1,"",'RNEW import'!B768)</f>
        <v>11</v>
      </c>
      <c r="B770" s="211" t="str">
        <f>IF(COUNTBLANK('RNEW import'!D768)=1,"",'RNEW import'!D768)</f>
        <v>Retail Park Pitesti SRL</v>
      </c>
      <c r="C770" s="211" t="str">
        <f>IF(COUNTBLANK('RNEW import'!E768)=1,"",'RNEW import'!E768)</f>
        <v>RRPP</v>
      </c>
      <c r="D770" s="211" t="str">
        <f>IF(COUNTBLANK('RNEW import'!K768)=1,"",'RNEW import'!K768)</f>
        <v>Contributie CFD</v>
      </c>
      <c r="E770" s="211">
        <f>IF(COUNTBLANK('RNEW import'!L768)=1,"",'RNEW import'!N768)</f>
        <v>132914</v>
      </c>
      <c r="F770" s="211">
        <f>IF(COUNTBLANK('RNEW import'!M768)=1,"",'RNEW import'!O768/10000)</f>
        <v>2.0599999999999999E-4</v>
      </c>
      <c r="G770" s="217">
        <f t="shared" si="205"/>
        <v>27.38</v>
      </c>
      <c r="H770" s="217">
        <f t="shared" si="197"/>
        <v>5.2</v>
      </c>
      <c r="I770" s="329">
        <f t="shared" si="206"/>
        <v>32.58</v>
      </c>
      <c r="J770" s="237" t="str">
        <f t="shared" si="208"/>
        <v/>
      </c>
      <c r="K770" s="238" t="str">
        <f t="shared" si="193"/>
        <v/>
      </c>
      <c r="L770" s="238" t="str">
        <f t="shared" si="194"/>
        <v/>
      </c>
      <c r="M770" s="238" t="str">
        <f t="shared" si="195"/>
        <v/>
      </c>
      <c r="N770" s="238" t="str">
        <f t="shared" si="196"/>
        <v/>
      </c>
      <c r="O770" s="232" t="str">
        <f t="shared" si="207"/>
        <v/>
      </c>
      <c r="P770" s="219" t="str">
        <f t="shared" si="198"/>
        <v/>
      </c>
      <c r="Q770" s="219" t="str">
        <f t="shared" si="199"/>
        <v/>
      </c>
      <c r="R770" s="219" t="str">
        <f t="shared" si="200"/>
        <v/>
      </c>
      <c r="S770" s="331" t="str">
        <f t="shared" si="202"/>
        <v/>
      </c>
      <c r="T770" s="331" t="str">
        <f t="shared" si="203"/>
        <v/>
      </c>
      <c r="U770" s="331" t="str">
        <f t="shared" si="204"/>
        <v/>
      </c>
    </row>
    <row r="771" spans="1:21">
      <c r="A771" s="211">
        <f>IF(COUNTBLANK('RNEW import'!B769)=1,"",'RNEW import'!B769)</f>
        <v>12</v>
      </c>
      <c r="B771" s="211" t="str">
        <f>IF(COUNTBLANK('RNEW import'!D769)=1,"",'RNEW import'!D769)</f>
        <v>Retail Park Pitesti SRL</v>
      </c>
      <c r="C771" s="211" t="str">
        <f>IF(COUNTBLANK('RNEW import'!E769)=1,"",'RNEW import'!E769)</f>
        <v>RRPP</v>
      </c>
      <c r="D771" s="211" t="str">
        <f>IF(COUNTBLANK('RNEW import'!K769)=1,"",'RNEW import'!K769)</f>
        <v>Acciza</v>
      </c>
      <c r="E771" s="211">
        <f>IF(COUNTBLANK('RNEW import'!L769)=1,"",'RNEW import'!N769)</f>
        <v>132914</v>
      </c>
      <c r="F771" s="211">
        <f>IF(COUNTBLANK('RNEW import'!M769)=1,"",'RNEW import'!O769/10000)</f>
        <v>0</v>
      </c>
      <c r="G771" s="217">
        <f t="shared" si="205"/>
        <v>0</v>
      </c>
      <c r="H771" s="217">
        <f t="shared" si="197"/>
        <v>0</v>
      </c>
      <c r="I771" s="329">
        <f t="shared" si="206"/>
        <v>0</v>
      </c>
      <c r="J771" s="237" t="str">
        <f t="shared" si="208"/>
        <v/>
      </c>
      <c r="K771" s="238" t="str">
        <f t="shared" si="193"/>
        <v/>
      </c>
      <c r="L771" s="238" t="str">
        <f t="shared" si="194"/>
        <v/>
      </c>
      <c r="M771" s="238" t="str">
        <f t="shared" si="195"/>
        <v/>
      </c>
      <c r="N771" s="238" t="str">
        <f t="shared" si="196"/>
        <v/>
      </c>
      <c r="O771" s="232" t="str">
        <f t="shared" si="207"/>
        <v/>
      </c>
      <c r="P771" s="219" t="str">
        <f t="shared" si="198"/>
        <v/>
      </c>
      <c r="Q771" s="219" t="str">
        <f t="shared" si="199"/>
        <v/>
      </c>
      <c r="R771" s="219" t="str">
        <f t="shared" si="200"/>
        <v/>
      </c>
      <c r="S771" s="331" t="str">
        <f t="shared" si="202"/>
        <v/>
      </c>
      <c r="T771" s="331" t="str">
        <f t="shared" si="203"/>
        <v/>
      </c>
      <c r="U771" s="331" t="str">
        <f t="shared" si="204"/>
        <v/>
      </c>
    </row>
    <row r="772" spans="1:21">
      <c r="A772" s="211">
        <f>IF(COUNTBLANK('RNEW import'!B770)=1,"",'RNEW import'!B770)</f>
        <v>13</v>
      </c>
      <c r="B772" s="211" t="str">
        <f>IF(COUNTBLANK('RNEW import'!D770)=1,"",'RNEW import'!D770)</f>
        <v>Retail Park Pitesti SRL</v>
      </c>
      <c r="C772" s="211" t="str">
        <f>IF(COUNTBLANK('RNEW import'!E770)=1,"",'RNEW import'!E770)</f>
        <v>RRPP</v>
      </c>
      <c r="D772" s="211" t="str">
        <f>IF(COUNTBLANK('RNEW import'!K770)=1,"",'RNEW import'!K770)</f>
        <v>Tarif distributie SDI MT</v>
      </c>
      <c r="E772" s="211">
        <f>IF(COUNTBLANK('RNEW import'!L770)=1,"",'RNEW import'!N770)</f>
        <v>132914</v>
      </c>
      <c r="F772" s="211">
        <f>IF(COUNTBLANK('RNEW import'!M770)=1,"",'RNEW import'!O770/10000)</f>
        <v>1.7000000000000001E-2</v>
      </c>
      <c r="G772" s="217">
        <f t="shared" si="205"/>
        <v>2259.54</v>
      </c>
      <c r="H772" s="217">
        <f t="shared" si="197"/>
        <v>429.31</v>
      </c>
      <c r="I772" s="329">
        <f t="shared" si="206"/>
        <v>2688.85</v>
      </c>
      <c r="J772" s="237" t="str">
        <f t="shared" si="208"/>
        <v/>
      </c>
      <c r="K772" s="238" t="str">
        <f t="shared" ref="K772:K835" si="209">IF(COUNTBLANK(J772)=1,"",IF(A772=1,SUMIFS(G:G,$C:$C,C772,$A:$A,"=13")+SUMIFS(G:G,$C:$C,C772,$A:$A,"=14")+SUMIFS(G:G,$C:$C,C772,$A:$A,"=17")+SUMIFS(G:G,$C:$C,C772,$A:$A,"=18")+SUMIFS(G:G,$C:$C,C772,$A:$A,"=31")+SUMIFS(G:G,$C:$C,C772,$A:$A,"=32")+SUMIFS(G:G,$C:$C,C772,$A:$A,"=35")+SUMIFS(G:G,$C:$C,C772,$A:$A,"=36"),""))</f>
        <v/>
      </c>
      <c r="L772" s="238" t="str">
        <f t="shared" ref="L772:L835" si="210">IF(COUNTBLANK(J772)=1,"",IF(A772=1,SUMIFS(G:G,$C:$C,C772,$A:$A,"&lt;13")+SUMIFS(G:G,$C:$C,C772,$A:$A,"&gt;18",$A:$A,"&lt;31")))</f>
        <v/>
      </c>
      <c r="M772" s="238" t="str">
        <f t="shared" ref="M772:M835" si="211">IF(COUNTBLANK(J772)=1,"",IF(A772=1,SUMIFS(G:G,$C:$C,C772,$A:$A,"=15")+SUMIFS(G:G,$C:$C,C772,$A:$A,"=16")+SUMIFS(G:G,$C:$C,C772,$A:$A,"=33")+SUMIFS(G:G,$C:$C,C772,$A:$A,"=34"),""))</f>
        <v/>
      </c>
      <c r="N772" s="238" t="str">
        <f t="shared" ref="N772:N835" si="212">IF(COUNTBLANK(J772)=1,"",IF(A772=1,SUMIFS(E:E,$C:$C,C772,$A:$A,"=13")+SUMIFS(E:E,$C:$C,C772,$A:$A,"=17")+SUMIFS(E:E,$C:$C,C772,$A:$A,"=31")+SUMIFS(E:E,$C:$C,C772,$A:$A,"=35"),""))</f>
        <v/>
      </c>
      <c r="O772" s="232" t="str">
        <f t="shared" si="207"/>
        <v/>
      </c>
      <c r="P772" s="219" t="str">
        <f t="shared" si="198"/>
        <v/>
      </c>
      <c r="Q772" s="219" t="str">
        <f t="shared" si="199"/>
        <v/>
      </c>
      <c r="R772" s="219" t="str">
        <f t="shared" si="200"/>
        <v/>
      </c>
      <c r="S772" s="331" t="str">
        <f t="shared" si="202"/>
        <v/>
      </c>
      <c r="T772" s="331" t="str">
        <f t="shared" si="203"/>
        <v/>
      </c>
      <c r="U772" s="331" t="str">
        <f t="shared" si="204"/>
        <v/>
      </c>
    </row>
    <row r="773" spans="1:21">
      <c r="A773" s="211">
        <f>IF(COUNTBLANK('RNEW import'!B771)=1,"",'RNEW import'!B771)</f>
        <v>14</v>
      </c>
      <c r="B773" s="211" t="str">
        <f>IF(COUNTBLANK('RNEW import'!D771)=1,"",'RNEW import'!D771)</f>
        <v>Retail Park Pitesti SRL</v>
      </c>
      <c r="C773" s="211" t="str">
        <f>IF(COUNTBLANK('RNEW import'!E771)=1,"",'RNEW import'!E771)</f>
        <v>RRPP</v>
      </c>
      <c r="D773" s="211" t="str">
        <f>IF(COUNTBLANK('RNEW import'!K771)=1,"",'RNEW import'!K771)</f>
        <v>Tarif distributie SDI JT</v>
      </c>
      <c r="E773" s="211">
        <f>IF(COUNTBLANK('RNEW import'!L771)=1,"",'RNEW import'!N771)</f>
        <v>132914</v>
      </c>
      <c r="F773" s="211">
        <f>IF(COUNTBLANK('RNEW import'!M771)=1,"",'RNEW import'!O771/10000)</f>
        <v>0.10290000000000001</v>
      </c>
      <c r="G773" s="217">
        <f t="shared" si="205"/>
        <v>13676.85</v>
      </c>
      <c r="H773" s="217">
        <f t="shared" ref="H773:H836" si="213">ROUND(G773*19%,2)</f>
        <v>2598.6</v>
      </c>
      <c r="I773" s="329">
        <f t="shared" si="206"/>
        <v>16275.45</v>
      </c>
      <c r="J773" s="237" t="str">
        <f t="shared" si="208"/>
        <v/>
      </c>
      <c r="K773" s="238" t="str">
        <f t="shared" si="209"/>
        <v/>
      </c>
      <c r="L773" s="238" t="str">
        <f t="shared" si="210"/>
        <v/>
      </c>
      <c r="M773" s="238" t="str">
        <f t="shared" si="211"/>
        <v/>
      </c>
      <c r="N773" s="238" t="str">
        <f t="shared" si="212"/>
        <v/>
      </c>
      <c r="O773" s="232" t="str">
        <f t="shared" si="207"/>
        <v/>
      </c>
      <c r="P773" s="219" t="str">
        <f t="shared" ref="P773:P836" si="214">IF(A773=1,"Enegie activa",IF(OR(A773=18),"Energie consumata din PV",IF(OR(A773=2),"Energie reactiva 1x",IF(OR(A773=3),"Energie reactiva 3x",IF(A773=19,"Energie activa regularizare",IF(OR(A773=36),"Energie consumata din PV regularizare",IF(OR(A773=20),"Energie reactiva 1x regularizare",IF(OR(A773=21),"Energie reactiva 3x regularizare",""))))))))</f>
        <v/>
      </c>
      <c r="Q773" s="219" t="str">
        <f t="shared" ref="Q773:Q836" si="215">IF(COUNTBLANK(P773)=0,IF(OR(A773=1,A773=2,A773=3,A773=19,A773=20,A773=21),E773,IF(OR(A773=18,A773=36),E770+E771,"")),"")</f>
        <v/>
      </c>
      <c r="R773" s="219" t="str">
        <f t="shared" ref="R773:R836" si="216">IF(COUNTBLANK(P773)=1,"",IF(OR(A773=2,A773=3,A773=20,A773=21),F773,IF(Q773=0,0,ROUND(S773/Q773,6))))</f>
        <v/>
      </c>
      <c r="S773" s="331" t="str">
        <f t="shared" si="202"/>
        <v/>
      </c>
      <c r="T773" s="331" t="str">
        <f t="shared" si="203"/>
        <v/>
      </c>
      <c r="U773" s="331" t="str">
        <f t="shared" si="204"/>
        <v/>
      </c>
    </row>
    <row r="774" spans="1:21">
      <c r="A774" s="211">
        <f>IF(COUNTBLANK('RNEW import'!B772)=1,"",'RNEW import'!B772)</f>
        <v>15</v>
      </c>
      <c r="B774" s="211" t="str">
        <f>IF(COUNTBLANK('RNEW import'!D772)=1,"",'RNEW import'!D772)</f>
        <v>Retail Park Pitesti SRL</v>
      </c>
      <c r="C774" s="211" t="str">
        <f>IF(COUNTBLANK('RNEW import'!E772)=1,"",'RNEW import'!E772)</f>
        <v>RRPP</v>
      </c>
      <c r="D774" s="211" t="str">
        <f>IF(COUNTBLANK('RNEW import'!K772)=1,"",'RNEW import'!K772)</f>
        <v>Energie activa 2</v>
      </c>
      <c r="E774" s="211">
        <f>IF(COUNTBLANK('RNEW import'!L772)=1,"",'RNEW import'!N772)</f>
        <v>92230</v>
      </c>
      <c r="F774" s="211">
        <f>IF(COUNTBLANK('RNEW import'!M772)=1,"",'RNEW import'!O772/10000)</f>
        <v>0.97511759999999992</v>
      </c>
      <c r="G774" s="217">
        <f t="shared" si="205"/>
        <v>89935.1</v>
      </c>
      <c r="H774" s="217">
        <f t="shared" si="213"/>
        <v>17087.669999999998</v>
      </c>
      <c r="I774" s="329">
        <f t="shared" si="206"/>
        <v>107022.77</v>
      </c>
      <c r="J774" s="237" t="str">
        <f t="shared" si="208"/>
        <v/>
      </c>
      <c r="K774" s="238" t="str">
        <f t="shared" si="209"/>
        <v/>
      </c>
      <c r="L774" s="238" t="str">
        <f t="shared" si="210"/>
        <v/>
      </c>
      <c r="M774" s="238" t="str">
        <f t="shared" si="211"/>
        <v/>
      </c>
      <c r="N774" s="238" t="str">
        <f t="shared" si="212"/>
        <v/>
      </c>
      <c r="O774" s="232" t="str">
        <f t="shared" si="207"/>
        <v/>
      </c>
      <c r="P774" s="219" t="str">
        <f t="shared" si="214"/>
        <v/>
      </c>
      <c r="Q774" s="219" t="str">
        <f t="shared" si="215"/>
        <v/>
      </c>
      <c r="R774" s="219" t="str">
        <f t="shared" si="216"/>
        <v/>
      </c>
      <c r="S774" s="331" t="str">
        <f t="shared" si="202"/>
        <v/>
      </c>
      <c r="T774" s="331" t="str">
        <f t="shared" si="203"/>
        <v/>
      </c>
      <c r="U774" s="331" t="str">
        <f t="shared" si="204"/>
        <v/>
      </c>
    </row>
    <row r="775" spans="1:21">
      <c r="A775" s="211">
        <f>IF(COUNTBLANK('RNEW import'!B773)=1,"",'RNEW import'!B773)</f>
        <v>16</v>
      </c>
      <c r="B775" s="211" t="str">
        <f>IF(COUNTBLANK('RNEW import'!D773)=1,"",'RNEW import'!D773)</f>
        <v>Retail Park Pitesti SRL</v>
      </c>
      <c r="C775" s="211" t="str">
        <f>IF(COUNTBLANK('RNEW import'!E773)=1,"",'RNEW import'!E773)</f>
        <v>RRPP</v>
      </c>
      <c r="D775" s="211" t="str">
        <f>IF(COUNTBLANK('RNEW import'!K773)=1,"",'RNEW import'!K773)</f>
        <v>Energie activa 3</v>
      </c>
      <c r="E775" s="211">
        <f>IF(COUNTBLANK('RNEW import'!L773)=1,"",'RNEW import'!N773)</f>
        <v>18203</v>
      </c>
      <c r="F775" s="211">
        <f>IF(COUNTBLANK('RNEW import'!M773)=1,"",'RNEW import'!O773/10000)</f>
        <v>0.85521759999999991</v>
      </c>
      <c r="G775" s="217">
        <f t="shared" si="205"/>
        <v>15567.53</v>
      </c>
      <c r="H775" s="217">
        <f t="shared" si="213"/>
        <v>2957.83</v>
      </c>
      <c r="I775" s="329">
        <f t="shared" si="206"/>
        <v>18525.36</v>
      </c>
      <c r="J775" s="237" t="str">
        <f t="shared" si="208"/>
        <v/>
      </c>
      <c r="K775" s="238" t="str">
        <f t="shared" si="209"/>
        <v/>
      </c>
      <c r="L775" s="238" t="str">
        <f t="shared" si="210"/>
        <v/>
      </c>
      <c r="M775" s="238" t="str">
        <f t="shared" si="211"/>
        <v/>
      </c>
      <c r="N775" s="238" t="str">
        <f t="shared" si="212"/>
        <v/>
      </c>
      <c r="O775" s="232" t="str">
        <f t="shared" si="207"/>
        <v/>
      </c>
      <c r="P775" s="219" t="str">
        <f t="shared" si="214"/>
        <v/>
      </c>
      <c r="Q775" s="219" t="str">
        <f t="shared" si="215"/>
        <v/>
      </c>
      <c r="R775" s="219" t="str">
        <f t="shared" si="216"/>
        <v/>
      </c>
      <c r="S775" s="331" t="str">
        <f t="shared" si="202"/>
        <v/>
      </c>
      <c r="T775" s="331" t="str">
        <f t="shared" si="203"/>
        <v/>
      </c>
      <c r="U775" s="331" t="str">
        <f t="shared" si="204"/>
        <v/>
      </c>
    </row>
    <row r="776" spans="1:21">
      <c r="A776" s="211">
        <f>IF(COUNTBLANK('RNEW import'!B774)=1,"",'RNEW import'!B774)</f>
        <v>17</v>
      </c>
      <c r="B776" s="211" t="str">
        <f>IF(COUNTBLANK('RNEW import'!D774)=1,"",'RNEW import'!D774)</f>
        <v>Retail Park Pitesti SRL</v>
      </c>
      <c r="C776" s="211" t="str">
        <f>IF(COUNTBLANK('RNEW import'!E774)=1,"",'RNEW import'!E774)</f>
        <v>RRPP</v>
      </c>
      <c r="D776" s="211" t="str">
        <f>IF(COUNTBLANK('RNEW import'!K774)=1,"",'RNEW import'!K774)</f>
        <v>Tarif distributie SDI MT_</v>
      </c>
      <c r="E776" s="211">
        <f>IF(COUNTBLANK('RNEW import'!L774)=1,"",'RNEW import'!N774)</f>
        <v>18203</v>
      </c>
      <c r="F776" s="211">
        <f>IF(COUNTBLANK('RNEW import'!M774)=1,"",'RNEW import'!O774/10000)</f>
        <v>1.7000000000000001E-2</v>
      </c>
      <c r="G776" s="217">
        <f t="shared" si="205"/>
        <v>309.45</v>
      </c>
      <c r="H776" s="217">
        <f t="shared" si="213"/>
        <v>58.8</v>
      </c>
      <c r="I776" s="329">
        <f t="shared" si="206"/>
        <v>368.25</v>
      </c>
      <c r="J776" s="237" t="str">
        <f t="shared" si="208"/>
        <v/>
      </c>
      <c r="K776" s="238" t="str">
        <f t="shared" si="209"/>
        <v/>
      </c>
      <c r="L776" s="238" t="str">
        <f t="shared" si="210"/>
        <v/>
      </c>
      <c r="M776" s="238" t="str">
        <f t="shared" si="211"/>
        <v/>
      </c>
      <c r="N776" s="238" t="str">
        <f t="shared" si="212"/>
        <v/>
      </c>
      <c r="O776" s="232" t="str">
        <f t="shared" ref="O776:O809" si="217">IF(A776=1,B776,"")</f>
        <v/>
      </c>
      <c r="P776" s="219" t="str">
        <f t="shared" si="214"/>
        <v/>
      </c>
      <c r="Q776" s="219" t="str">
        <f t="shared" si="215"/>
        <v/>
      </c>
      <c r="R776" s="219" t="str">
        <f t="shared" si="216"/>
        <v/>
      </c>
      <c r="S776" s="331" t="str">
        <f t="shared" si="202"/>
        <v/>
      </c>
      <c r="T776" s="331" t="str">
        <f t="shared" si="203"/>
        <v/>
      </c>
      <c r="U776" s="331" t="str">
        <f t="shared" si="204"/>
        <v/>
      </c>
    </row>
    <row r="777" spans="1:21">
      <c r="A777" s="211">
        <f>IF(COUNTBLANK('RNEW import'!B775)=1,"",'RNEW import'!B775)</f>
        <v>18</v>
      </c>
      <c r="B777" s="211" t="str">
        <f>IF(COUNTBLANK('RNEW import'!D775)=1,"",'RNEW import'!D775)</f>
        <v>Retail Park Pitesti SRL</v>
      </c>
      <c r="C777" s="211" t="str">
        <f>IF(COUNTBLANK('RNEW import'!E775)=1,"",'RNEW import'!E775)</f>
        <v>RRPP</v>
      </c>
      <c r="D777" s="211" t="str">
        <f>IF(COUNTBLANK('RNEW import'!K775)=1,"",'RNEW import'!K775)</f>
        <v>Tarif distributie SDI JT_</v>
      </c>
      <c r="E777" s="211">
        <f>IF(COUNTBLANK('RNEW import'!L775)=1,"",'RNEW import'!N775)</f>
        <v>18203</v>
      </c>
      <c r="F777" s="211">
        <f>IF(COUNTBLANK('RNEW import'!M775)=1,"",'RNEW import'!O775/10000)</f>
        <v>0.10290000000000001</v>
      </c>
      <c r="G777" s="217">
        <f t="shared" si="205"/>
        <v>1873.09</v>
      </c>
      <c r="H777" s="217">
        <f t="shared" si="213"/>
        <v>355.89</v>
      </c>
      <c r="I777" s="329">
        <f t="shared" si="206"/>
        <v>2228.98</v>
      </c>
      <c r="J777" s="237" t="str">
        <f t="shared" si="208"/>
        <v/>
      </c>
      <c r="K777" s="238" t="str">
        <f t="shared" si="209"/>
        <v/>
      </c>
      <c r="L777" s="238" t="str">
        <f t="shared" si="210"/>
        <v/>
      </c>
      <c r="M777" s="238" t="str">
        <f t="shared" si="211"/>
        <v/>
      </c>
      <c r="N777" s="238" t="str">
        <f t="shared" si="212"/>
        <v/>
      </c>
      <c r="O777" s="232" t="str">
        <f t="shared" si="217"/>
        <v/>
      </c>
      <c r="P777" s="219" t="str">
        <f t="shared" si="214"/>
        <v>Energie consumata din PV</v>
      </c>
      <c r="Q777" s="219">
        <f t="shared" si="215"/>
        <v>110433</v>
      </c>
      <c r="R777" s="219">
        <f t="shared" si="216"/>
        <v>0.97511800000000004</v>
      </c>
      <c r="S777" s="331">
        <f t="shared" si="202"/>
        <v>107685.17</v>
      </c>
      <c r="T777" s="331">
        <f t="shared" si="203"/>
        <v>20460.189999999999</v>
      </c>
      <c r="U777" s="331">
        <f t="shared" si="204"/>
        <v>128145.36</v>
      </c>
    </row>
    <row r="778" spans="1:21">
      <c r="A778" s="211">
        <f>IF(COUNTBLANK('RNEW import'!B776)=1,"",'RNEW import'!B776)</f>
        <v>19</v>
      </c>
      <c r="B778" s="211" t="str">
        <f>IF(COUNTBLANK('RNEW import'!D776)=1,"",'RNEW import'!D776)</f>
        <v>Retail Park Pitesti SRL</v>
      </c>
      <c r="C778" s="211" t="str">
        <f>IF(COUNTBLANK('RNEW import'!E776)=1,"",'RNEW import'!E776)</f>
        <v>RRPP</v>
      </c>
      <c r="D778" s="211" t="str">
        <f>IF(COUNTBLANK('RNEW import'!K776)=1,"",'RNEW import'!K776)</f>
        <v>Regularizare Energie activa 1</v>
      </c>
      <c r="E778" s="211">
        <f>IF(COUNTBLANK('RNEW import'!L776)=1,"",'RNEW import'!N776)</f>
        <v>0</v>
      </c>
      <c r="F778" s="211">
        <f>IF(COUNTBLANK('RNEW import'!M776)=1,"",'RNEW import'!O776/10000)</f>
        <v>0.59499999999999997</v>
      </c>
      <c r="G778" s="217">
        <f t="shared" si="205"/>
        <v>0</v>
      </c>
      <c r="H778" s="217">
        <f t="shared" si="213"/>
        <v>0</v>
      </c>
      <c r="I778" s="329">
        <f t="shared" si="206"/>
        <v>0</v>
      </c>
      <c r="J778" s="237" t="str">
        <f t="shared" si="208"/>
        <v/>
      </c>
      <c r="K778" s="238" t="str">
        <f t="shared" si="209"/>
        <v/>
      </c>
      <c r="L778" s="238" t="str">
        <f t="shared" si="210"/>
        <v/>
      </c>
      <c r="M778" s="238" t="str">
        <f t="shared" si="211"/>
        <v/>
      </c>
      <c r="N778" s="238" t="str">
        <f t="shared" si="212"/>
        <v/>
      </c>
      <c r="O778" s="232" t="str">
        <f t="shared" si="217"/>
        <v/>
      </c>
      <c r="P778" s="219" t="str">
        <f t="shared" si="214"/>
        <v>Energie activa regularizare</v>
      </c>
      <c r="Q778" s="219">
        <f t="shared" si="215"/>
        <v>0</v>
      </c>
      <c r="R778" s="219">
        <f t="shared" si="216"/>
        <v>0</v>
      </c>
      <c r="S778" s="331">
        <f t="shared" si="202"/>
        <v>0</v>
      </c>
      <c r="T778" s="331">
        <f t="shared" si="203"/>
        <v>0</v>
      </c>
      <c r="U778" s="331">
        <f t="shared" si="204"/>
        <v>0</v>
      </c>
    </row>
    <row r="779" spans="1:21">
      <c r="A779" s="211">
        <f>IF(COUNTBLANK('RNEW import'!B777)=1,"",'RNEW import'!B777)</f>
        <v>20</v>
      </c>
      <c r="B779" s="211" t="str">
        <f>IF(COUNTBLANK('RNEW import'!D777)=1,"",'RNEW import'!D777)</f>
        <v>Retail Park Pitesti SRL</v>
      </c>
      <c r="C779" s="211" t="str">
        <f>IF(COUNTBLANK('RNEW import'!E777)=1,"",'RNEW import'!E777)</f>
        <v>RRPP</v>
      </c>
      <c r="D779" s="211" t="str">
        <f>IF(COUNTBLANK('RNEW import'!K777)=1,"",'RNEW import'!K777)</f>
        <v>Regularizare Energie reactiva  1X</v>
      </c>
      <c r="E779" s="211">
        <f>IF(COUNTBLANK('RNEW import'!L777)=1,"",'RNEW import'!N777)</f>
        <v>11931</v>
      </c>
      <c r="F779" s="211">
        <f>IF(COUNTBLANK('RNEW import'!M777)=1,"",'RNEW import'!O777/10000)</f>
        <v>0.14649999999999999</v>
      </c>
      <c r="G779" s="217">
        <f t="shared" si="205"/>
        <v>1747.89</v>
      </c>
      <c r="H779" s="217">
        <f t="shared" si="213"/>
        <v>332.1</v>
      </c>
      <c r="I779" s="329">
        <f t="shared" si="206"/>
        <v>2079.9900000000002</v>
      </c>
      <c r="J779" s="237" t="str">
        <f t="shared" si="208"/>
        <v/>
      </c>
      <c r="K779" s="238" t="str">
        <f t="shared" si="209"/>
        <v/>
      </c>
      <c r="L779" s="238" t="str">
        <f t="shared" si="210"/>
        <v/>
      </c>
      <c r="M779" s="238" t="str">
        <f t="shared" si="211"/>
        <v/>
      </c>
      <c r="N779" s="238" t="str">
        <f t="shared" si="212"/>
        <v/>
      </c>
      <c r="O779" s="232" t="str">
        <f t="shared" si="217"/>
        <v/>
      </c>
      <c r="P779" s="219" t="str">
        <f t="shared" si="214"/>
        <v>Energie reactiva 1x regularizare</v>
      </c>
      <c r="Q779" s="219">
        <f t="shared" si="215"/>
        <v>11931</v>
      </c>
      <c r="R779" s="219">
        <f t="shared" si="216"/>
        <v>0.14649999999999999</v>
      </c>
      <c r="S779" s="331">
        <f t="shared" si="202"/>
        <v>1747.89</v>
      </c>
      <c r="T779" s="331">
        <f t="shared" si="203"/>
        <v>332.1</v>
      </c>
      <c r="U779" s="331">
        <f t="shared" si="204"/>
        <v>2079.9899999999998</v>
      </c>
    </row>
    <row r="780" spans="1:21">
      <c r="A780" s="211">
        <f>IF(COUNTBLANK('RNEW import'!B778)=1,"",'RNEW import'!B778)</f>
        <v>21</v>
      </c>
      <c r="B780" s="211" t="str">
        <f>IF(COUNTBLANK('RNEW import'!D778)=1,"",'RNEW import'!D778)</f>
        <v>Retail Park Pitesti SRL</v>
      </c>
      <c r="C780" s="211" t="str">
        <f>IF(COUNTBLANK('RNEW import'!E778)=1,"",'RNEW import'!E778)</f>
        <v>RRPP</v>
      </c>
      <c r="D780" s="211" t="str">
        <f>IF(COUNTBLANK('RNEW import'!K778)=1,"",'RNEW import'!K778)</f>
        <v>Regularizare Energie reactiva  3X</v>
      </c>
      <c r="E780" s="211">
        <f>IF(COUNTBLANK('RNEW import'!L778)=1,"",'RNEW import'!N778)</f>
        <v>10195</v>
      </c>
      <c r="F780" s="211">
        <f>IF(COUNTBLANK('RNEW import'!M778)=1,"",'RNEW import'!O778/10000)</f>
        <v>0.4395</v>
      </c>
      <c r="G780" s="217">
        <f t="shared" si="205"/>
        <v>4480.7</v>
      </c>
      <c r="H780" s="217">
        <f t="shared" si="213"/>
        <v>851.33</v>
      </c>
      <c r="I780" s="329">
        <f t="shared" si="206"/>
        <v>5332.03</v>
      </c>
      <c r="J780" s="237" t="str">
        <f t="shared" si="208"/>
        <v/>
      </c>
      <c r="K780" s="238" t="str">
        <f t="shared" si="209"/>
        <v/>
      </c>
      <c r="L780" s="238" t="str">
        <f t="shared" si="210"/>
        <v/>
      </c>
      <c r="M780" s="238" t="str">
        <f t="shared" si="211"/>
        <v/>
      </c>
      <c r="N780" s="238" t="str">
        <f t="shared" si="212"/>
        <v/>
      </c>
      <c r="O780" s="232" t="str">
        <f t="shared" si="217"/>
        <v/>
      </c>
      <c r="P780" s="219" t="str">
        <f t="shared" si="214"/>
        <v>Energie reactiva 3x regularizare</v>
      </c>
      <c r="Q780" s="219">
        <f t="shared" si="215"/>
        <v>10195</v>
      </c>
      <c r="R780" s="219">
        <f t="shared" si="216"/>
        <v>0.4395</v>
      </c>
      <c r="S780" s="331">
        <f t="shared" si="202"/>
        <v>4480.7</v>
      </c>
      <c r="T780" s="331">
        <f t="shared" si="203"/>
        <v>851.33</v>
      </c>
      <c r="U780" s="331">
        <f t="shared" si="204"/>
        <v>5332.03</v>
      </c>
    </row>
    <row r="781" spans="1:21">
      <c r="A781" s="211">
        <f>IF(COUNTBLANK('RNEW import'!B779)=1,"",'RNEW import'!B779)</f>
        <v>22</v>
      </c>
      <c r="B781" s="211" t="str">
        <f>IF(COUNTBLANK('RNEW import'!D779)=1,"",'RNEW import'!D779)</f>
        <v>Retail Park Pitesti SRL</v>
      </c>
      <c r="C781" s="211" t="str">
        <f>IF(COUNTBLANK('RNEW import'!E779)=1,"",'RNEW import'!E779)</f>
        <v>RRPP</v>
      </c>
      <c r="D781" s="211" t="str">
        <f>IF(COUNTBLANK('RNEW import'!K779)=1,"",'RNEW import'!K779)</f>
        <v>Regularizare Tarife distributie en. El IT+MT</v>
      </c>
      <c r="E781" s="211">
        <f>IF(COUNTBLANK('RNEW import'!L779)=1,"",'RNEW import'!N779)</f>
        <v>0</v>
      </c>
      <c r="F781" s="211">
        <f>IF(COUNTBLANK('RNEW import'!M779)=1,"",'RNEW import'!O779/10000)</f>
        <v>0.13613999999999998</v>
      </c>
      <c r="G781" s="217">
        <f t="shared" si="205"/>
        <v>0</v>
      </c>
      <c r="H781" s="217">
        <f t="shared" si="213"/>
        <v>0</v>
      </c>
      <c r="I781" s="329">
        <f t="shared" si="206"/>
        <v>0</v>
      </c>
      <c r="J781" s="237" t="str">
        <f t="shared" si="208"/>
        <v/>
      </c>
      <c r="K781" s="238" t="str">
        <f t="shared" si="209"/>
        <v/>
      </c>
      <c r="L781" s="238" t="str">
        <f t="shared" si="210"/>
        <v/>
      </c>
      <c r="M781" s="238" t="str">
        <f t="shared" si="211"/>
        <v/>
      </c>
      <c r="N781" s="238" t="str">
        <f t="shared" si="212"/>
        <v/>
      </c>
      <c r="O781" s="232" t="str">
        <f t="shared" si="217"/>
        <v/>
      </c>
      <c r="P781" s="219" t="str">
        <f t="shared" si="214"/>
        <v/>
      </c>
      <c r="Q781" s="219" t="str">
        <f t="shared" si="215"/>
        <v/>
      </c>
      <c r="R781" s="219" t="str">
        <f t="shared" si="216"/>
        <v/>
      </c>
      <c r="S781" s="331" t="str">
        <f t="shared" si="202"/>
        <v/>
      </c>
      <c r="T781" s="331" t="str">
        <f t="shared" si="203"/>
        <v/>
      </c>
      <c r="U781" s="331" t="str">
        <f t="shared" si="204"/>
        <v/>
      </c>
    </row>
    <row r="782" spans="1:21">
      <c r="A782" s="211">
        <f>IF(COUNTBLANK('RNEW import'!B780)=1,"",'RNEW import'!B780)</f>
        <v>23</v>
      </c>
      <c r="B782" s="211" t="str">
        <f>IF(COUNTBLANK('RNEW import'!D780)=1,"",'RNEW import'!D780)</f>
        <v>Retail Park Pitesti SRL</v>
      </c>
      <c r="C782" s="211" t="str">
        <f>IF(COUNTBLANK('RNEW import'!E780)=1,"",'RNEW import'!E780)</f>
        <v>RRPP</v>
      </c>
      <c r="D782" s="211" t="str">
        <f>IF(COUNTBLANK('RNEW import'!K780)=1,"",'RNEW import'!K780)</f>
        <v>Regularizare Tarife distributie en. El JT</v>
      </c>
      <c r="E782" s="211">
        <f>IF(COUNTBLANK('RNEW import'!L780)=1,"",'RNEW import'!N780)</f>
        <v>0</v>
      </c>
      <c r="F782" s="211">
        <f>IF(COUNTBLANK('RNEW import'!M780)=1,"",'RNEW import'!O780/10000)</f>
        <v>0.22738999999999995</v>
      </c>
      <c r="G782" s="217">
        <f t="shared" si="205"/>
        <v>0</v>
      </c>
      <c r="H782" s="217">
        <f t="shared" si="213"/>
        <v>0</v>
      </c>
      <c r="I782" s="329">
        <f t="shared" si="206"/>
        <v>0</v>
      </c>
      <c r="J782" s="237" t="str">
        <f t="shared" si="208"/>
        <v/>
      </c>
      <c r="K782" s="238" t="str">
        <f t="shared" si="209"/>
        <v/>
      </c>
      <c r="L782" s="238" t="str">
        <f t="shared" si="210"/>
        <v/>
      </c>
      <c r="M782" s="238" t="str">
        <f t="shared" si="211"/>
        <v/>
      </c>
      <c r="N782" s="238" t="str">
        <f t="shared" si="212"/>
        <v/>
      </c>
      <c r="O782" s="232" t="str">
        <f t="shared" si="217"/>
        <v/>
      </c>
      <c r="P782" s="219" t="str">
        <f t="shared" si="214"/>
        <v/>
      </c>
      <c r="Q782" s="219" t="str">
        <f t="shared" si="215"/>
        <v/>
      </c>
      <c r="R782" s="219" t="str">
        <f t="shared" si="216"/>
        <v/>
      </c>
      <c r="S782" s="331" t="str">
        <f t="shared" si="202"/>
        <v/>
      </c>
      <c r="T782" s="331" t="str">
        <f t="shared" si="203"/>
        <v/>
      </c>
      <c r="U782" s="331" t="str">
        <f t="shared" si="204"/>
        <v/>
      </c>
    </row>
    <row r="783" spans="1:21">
      <c r="A783" s="211">
        <f>IF(COUNTBLANK('RNEW import'!B781)=1,"",'RNEW import'!B781)</f>
        <v>24</v>
      </c>
      <c r="B783" s="211" t="str">
        <f>IF(COUNTBLANK('RNEW import'!D781)=1,"",'RNEW import'!D781)</f>
        <v>Retail Park Pitesti SRL</v>
      </c>
      <c r="C783" s="211" t="str">
        <f>IF(COUNTBLANK('RNEW import'!E781)=1,"",'RNEW import'!E781)</f>
        <v>RRPP</v>
      </c>
      <c r="D783" s="211" t="str">
        <f>IF(COUNTBLANK('RNEW import'!K781)=1,"",'RNEW import'!K781)</f>
        <v xml:space="preserve">Regularizare Servicii Sistem </v>
      </c>
      <c r="E783" s="211">
        <f>IF(COUNTBLANK('RNEW import'!L781)=1,"",'RNEW import'!N781)</f>
        <v>0</v>
      </c>
      <c r="F783" s="211">
        <f>IF(COUNTBLANK('RNEW import'!M781)=1,"",'RNEW import'!O781/10000)</f>
        <v>1.1509999999999999E-2</v>
      </c>
      <c r="G783" s="217">
        <f t="shared" si="205"/>
        <v>0</v>
      </c>
      <c r="H783" s="217">
        <f t="shared" si="213"/>
        <v>0</v>
      </c>
      <c r="I783" s="329">
        <f t="shared" si="206"/>
        <v>0</v>
      </c>
      <c r="J783" s="237" t="str">
        <f t="shared" si="208"/>
        <v/>
      </c>
      <c r="K783" s="238" t="str">
        <f t="shared" si="209"/>
        <v/>
      </c>
      <c r="L783" s="238" t="str">
        <f t="shared" si="210"/>
        <v/>
      </c>
      <c r="M783" s="238" t="str">
        <f t="shared" si="211"/>
        <v/>
      </c>
      <c r="N783" s="238" t="str">
        <f t="shared" si="212"/>
        <v/>
      </c>
      <c r="O783" s="232" t="str">
        <f t="shared" si="217"/>
        <v/>
      </c>
      <c r="P783" s="219" t="str">
        <f t="shared" si="214"/>
        <v/>
      </c>
      <c r="Q783" s="219" t="str">
        <f t="shared" si="215"/>
        <v/>
      </c>
      <c r="R783" s="219" t="str">
        <f t="shared" si="216"/>
        <v/>
      </c>
      <c r="S783" s="331" t="str">
        <f t="shared" si="202"/>
        <v/>
      </c>
      <c r="T783" s="331" t="str">
        <f t="shared" si="203"/>
        <v/>
      </c>
      <c r="U783" s="331" t="str">
        <f t="shared" si="204"/>
        <v/>
      </c>
    </row>
    <row r="784" spans="1:21">
      <c r="A784" s="211">
        <f>IF(COUNTBLANK('RNEW import'!B782)=1,"",'RNEW import'!B782)</f>
        <v>25</v>
      </c>
      <c r="B784" s="211" t="str">
        <f>IF(COUNTBLANK('RNEW import'!D782)=1,"",'RNEW import'!D782)</f>
        <v>Retail Park Pitesti SRL</v>
      </c>
      <c r="C784" s="211" t="str">
        <f>IF(COUNTBLANK('RNEW import'!E782)=1,"",'RNEW import'!E782)</f>
        <v>RRPP</v>
      </c>
      <c r="D784" s="211" t="str">
        <f>IF(COUNTBLANK('RNEW import'!K782)=1,"",'RNEW import'!K782)</f>
        <v>Regularizare Tarif de introducere en. el in retea (TL)</v>
      </c>
      <c r="E784" s="211">
        <f>IF(COUNTBLANK('RNEW import'!L782)=1,"",'RNEW import'!N782)</f>
        <v>0</v>
      </c>
      <c r="F784" s="211">
        <f>IF(COUNTBLANK('RNEW import'!M782)=1,"",'RNEW import'!O782/10000)</f>
        <v>3.3030000000000004E-2</v>
      </c>
      <c r="G784" s="217">
        <f t="shared" si="205"/>
        <v>0</v>
      </c>
      <c r="H784" s="217">
        <f t="shared" si="213"/>
        <v>0</v>
      </c>
      <c r="I784" s="329">
        <f t="shared" si="206"/>
        <v>0</v>
      </c>
      <c r="J784" s="237" t="str">
        <f t="shared" si="208"/>
        <v/>
      </c>
      <c r="K784" s="238" t="str">
        <f t="shared" si="209"/>
        <v/>
      </c>
      <c r="L784" s="238" t="str">
        <f t="shared" si="210"/>
        <v/>
      </c>
      <c r="M784" s="238" t="str">
        <f t="shared" si="211"/>
        <v/>
      </c>
      <c r="N784" s="238" t="str">
        <f t="shared" si="212"/>
        <v/>
      </c>
      <c r="O784" s="232" t="str">
        <f t="shared" si="217"/>
        <v/>
      </c>
      <c r="P784" s="219" t="str">
        <f t="shared" si="214"/>
        <v/>
      </c>
      <c r="Q784" s="219" t="str">
        <f t="shared" si="215"/>
        <v/>
      </c>
      <c r="R784" s="219" t="str">
        <f t="shared" si="216"/>
        <v/>
      </c>
      <c r="S784" s="331" t="str">
        <f t="shared" si="202"/>
        <v/>
      </c>
      <c r="T784" s="331" t="str">
        <f t="shared" si="203"/>
        <v/>
      </c>
      <c r="U784" s="331" t="str">
        <f t="shared" si="204"/>
        <v/>
      </c>
    </row>
    <row r="785" spans="1:21">
      <c r="A785" s="211">
        <f>IF(COUNTBLANK('RNEW import'!B783)=1,"",'RNEW import'!B783)</f>
        <v>26</v>
      </c>
      <c r="B785" s="211" t="str">
        <f>IF(COUNTBLANK('RNEW import'!D783)=1,"",'RNEW import'!D783)</f>
        <v>Retail Park Pitesti SRL</v>
      </c>
      <c r="C785" s="211" t="str">
        <f>IF(COUNTBLANK('RNEW import'!E783)=1,"",'RNEW import'!E783)</f>
        <v>RRPP</v>
      </c>
      <c r="D785" s="211" t="str">
        <f>IF(COUNTBLANK('RNEW import'!K783)=1,"",'RNEW import'!K783)</f>
        <v>Regularizare Tarif de introducere en.el in retea (TG)</v>
      </c>
      <c r="E785" s="211">
        <f>IF(COUNTBLANK('RNEW import'!L783)=1,"",'RNEW import'!N783)</f>
        <v>0</v>
      </c>
      <c r="F785" s="211">
        <f>IF(COUNTBLANK('RNEW import'!M783)=1,"",'RNEW import'!O783/10000)</f>
        <v>3.29E-3</v>
      </c>
      <c r="G785" s="217">
        <f t="shared" si="205"/>
        <v>0</v>
      </c>
      <c r="H785" s="217">
        <f t="shared" si="213"/>
        <v>0</v>
      </c>
      <c r="I785" s="329">
        <f t="shared" si="206"/>
        <v>0</v>
      </c>
      <c r="J785" s="237" t="str">
        <f t="shared" si="208"/>
        <v/>
      </c>
      <c r="K785" s="238" t="str">
        <f t="shared" si="209"/>
        <v/>
      </c>
      <c r="L785" s="238" t="str">
        <f t="shared" si="210"/>
        <v/>
      </c>
      <c r="M785" s="238" t="str">
        <f t="shared" si="211"/>
        <v/>
      </c>
      <c r="N785" s="238" t="str">
        <f t="shared" si="212"/>
        <v/>
      </c>
      <c r="O785" s="233" t="str">
        <f t="shared" si="217"/>
        <v/>
      </c>
      <c r="P785" s="219" t="str">
        <f t="shared" si="214"/>
        <v/>
      </c>
      <c r="Q785" s="219" t="str">
        <f t="shared" si="215"/>
        <v/>
      </c>
      <c r="R785" s="219" t="str">
        <f t="shared" si="216"/>
        <v/>
      </c>
      <c r="S785" s="331" t="str">
        <f t="shared" si="202"/>
        <v/>
      </c>
      <c r="T785" s="331" t="str">
        <f t="shared" si="203"/>
        <v/>
      </c>
      <c r="U785" s="331" t="str">
        <f t="shared" si="204"/>
        <v/>
      </c>
    </row>
    <row r="786" spans="1:21">
      <c r="A786" s="211">
        <f>IF(COUNTBLANK('RNEW import'!B784)=1,"",'RNEW import'!B784)</f>
        <v>27</v>
      </c>
      <c r="B786" s="211" t="str">
        <f>IF(COUNTBLANK('RNEW import'!D784)=1,"",'RNEW import'!D784)</f>
        <v>Retail Park Pitesti SRL</v>
      </c>
      <c r="C786" s="211" t="str">
        <f>IF(COUNTBLANK('RNEW import'!E784)=1,"",'RNEW import'!E784)</f>
        <v>RRPP</v>
      </c>
      <c r="D786" s="211" t="str">
        <f>IF(COUNTBLANK('RNEW import'!K784)=1,"",'RNEW import'!K784)</f>
        <v>Regularizare Contributie pentru cogenerare</v>
      </c>
      <c r="E786" s="211">
        <f>IF(COUNTBLANK('RNEW import'!L784)=1,"",'RNEW import'!N784)</f>
        <v>0</v>
      </c>
      <c r="F786" s="211">
        <f>IF(COUNTBLANK('RNEW import'!M784)=1,"",'RNEW import'!O784/10000)</f>
        <v>3.5000000000000001E-3</v>
      </c>
      <c r="G786" s="217">
        <f t="shared" si="205"/>
        <v>0</v>
      </c>
      <c r="H786" s="217">
        <f t="shared" si="213"/>
        <v>0</v>
      </c>
      <c r="I786" s="329">
        <f t="shared" si="206"/>
        <v>0</v>
      </c>
      <c r="J786" s="237" t="str">
        <f t="shared" si="208"/>
        <v/>
      </c>
      <c r="K786" s="238" t="str">
        <f t="shared" si="209"/>
        <v/>
      </c>
      <c r="L786" s="238" t="str">
        <f t="shared" si="210"/>
        <v/>
      </c>
      <c r="M786" s="238" t="str">
        <f t="shared" si="211"/>
        <v/>
      </c>
      <c r="N786" s="238" t="str">
        <f t="shared" si="212"/>
        <v/>
      </c>
      <c r="O786" s="218" t="str">
        <f t="shared" si="217"/>
        <v/>
      </c>
      <c r="P786" s="219" t="str">
        <f t="shared" si="214"/>
        <v/>
      </c>
      <c r="Q786" s="219" t="str">
        <f t="shared" si="215"/>
        <v/>
      </c>
      <c r="R786" s="219" t="str">
        <f t="shared" si="216"/>
        <v/>
      </c>
      <c r="S786" s="331" t="str">
        <f t="shared" si="202"/>
        <v/>
      </c>
      <c r="T786" s="331" t="str">
        <f t="shared" si="203"/>
        <v/>
      </c>
      <c r="U786" s="331" t="str">
        <f t="shared" si="204"/>
        <v/>
      </c>
    </row>
    <row r="787" spans="1:21">
      <c r="A787" s="211">
        <f>IF(COUNTBLANK('RNEW import'!B785)=1,"",'RNEW import'!B785)</f>
        <v>28</v>
      </c>
      <c r="B787" s="211" t="str">
        <f>IF(COUNTBLANK('RNEW import'!D785)=1,"",'RNEW import'!D785)</f>
        <v>Retail Park Pitesti SRL</v>
      </c>
      <c r="C787" s="211" t="str">
        <f>IF(COUNTBLANK('RNEW import'!E785)=1,"",'RNEW import'!E785)</f>
        <v>RRPP</v>
      </c>
      <c r="D787" s="211" t="str">
        <f>IF(COUNTBLANK('RNEW import'!K785)=1,"",'RNEW import'!K785)</f>
        <v xml:space="preserve">Regularizare Certificate verzi </v>
      </c>
      <c r="E787" s="211">
        <f>IF(COUNTBLANK('RNEW import'!L785)=1,"",'RNEW import'!N785)</f>
        <v>0</v>
      </c>
      <c r="F787" s="211">
        <f>IF(COUNTBLANK('RNEW import'!M785)=1,"",'RNEW import'!O785/10000)</f>
        <v>7.2541599999999998E-2</v>
      </c>
      <c r="G787" s="217">
        <f t="shared" si="205"/>
        <v>0</v>
      </c>
      <c r="H787" s="217">
        <f t="shared" si="213"/>
        <v>0</v>
      </c>
      <c r="I787" s="329">
        <f t="shared" si="206"/>
        <v>0</v>
      </c>
      <c r="J787" s="237" t="str">
        <f t="shared" si="208"/>
        <v/>
      </c>
      <c r="K787" s="238" t="str">
        <f t="shared" si="209"/>
        <v/>
      </c>
      <c r="L787" s="238" t="str">
        <f t="shared" si="210"/>
        <v/>
      </c>
      <c r="M787" s="238" t="str">
        <f t="shared" si="211"/>
        <v/>
      </c>
      <c r="N787" s="238" t="str">
        <f t="shared" si="212"/>
        <v/>
      </c>
      <c r="O787" s="232" t="str">
        <f t="shared" si="217"/>
        <v/>
      </c>
      <c r="P787" s="219" t="str">
        <f t="shared" si="214"/>
        <v/>
      </c>
      <c r="Q787" s="219" t="str">
        <f t="shared" si="215"/>
        <v/>
      </c>
      <c r="R787" s="219" t="str">
        <f t="shared" si="216"/>
        <v/>
      </c>
      <c r="S787" s="331" t="str">
        <f t="shared" ref="S787:S795" si="218">IF(COUNTBLANK(P787)=1,"",ROUND(IF(P787=$P$5,G787,IF(P787=$P$6,G787,IF(P787=$P$21,G787+G786+G785+G784,IF(P787=$P$23,G787,IF(P787=$P$24,G787,IF(P787=$P$4,SUMIFS(G:G,$B:$B,J787,A:A,"&lt;15"),IF(P787=$P$22,SUMIFS(G:G,$B:$B,J769,A:A,"&gt;18",A:A,"&lt;33")-S788-S789,IF(P787=$P$39,G787+G786+G785+G784,"eroare")))))))),2))</f>
        <v/>
      </c>
      <c r="T787" s="331" t="str">
        <f t="shared" si="203"/>
        <v/>
      </c>
      <c r="U787" s="331" t="str">
        <f t="shared" si="204"/>
        <v/>
      </c>
    </row>
    <row r="788" spans="1:21">
      <c r="A788" s="211">
        <f>IF(COUNTBLANK('RNEW import'!B786)=1,"",'RNEW import'!B786)</f>
        <v>29</v>
      </c>
      <c r="B788" s="211" t="str">
        <f>IF(COUNTBLANK('RNEW import'!D786)=1,"",'RNEW import'!D786)</f>
        <v>Retail Park Pitesti SRL</v>
      </c>
      <c r="C788" s="211" t="str">
        <f>IF(COUNTBLANK('RNEW import'!E786)=1,"",'RNEW import'!E786)</f>
        <v>RRPP</v>
      </c>
      <c r="D788" s="211" t="str">
        <f>IF(COUNTBLANK('RNEW import'!K786)=1,"",'RNEW import'!K786)</f>
        <v>Regularizare Contributie CFD</v>
      </c>
      <c r="E788" s="211">
        <f>IF(COUNTBLANK('RNEW import'!L786)=1,"",'RNEW import'!N786)</f>
        <v>0</v>
      </c>
      <c r="F788" s="211">
        <f>IF(COUNTBLANK('RNEW import'!M786)=1,"",'RNEW import'!O786/10000)</f>
        <v>2.0599999999999999E-4</v>
      </c>
      <c r="G788" s="217">
        <f t="shared" si="205"/>
        <v>0</v>
      </c>
      <c r="H788" s="217">
        <f t="shared" si="213"/>
        <v>0</v>
      </c>
      <c r="I788" s="329">
        <f t="shared" si="206"/>
        <v>0</v>
      </c>
      <c r="J788" s="237" t="str">
        <f t="shared" si="208"/>
        <v/>
      </c>
      <c r="K788" s="238" t="str">
        <f t="shared" si="209"/>
        <v/>
      </c>
      <c r="L788" s="238" t="str">
        <f t="shared" si="210"/>
        <v/>
      </c>
      <c r="M788" s="238" t="str">
        <f t="shared" si="211"/>
        <v/>
      </c>
      <c r="N788" s="238" t="str">
        <f t="shared" si="212"/>
        <v/>
      </c>
      <c r="O788" s="232" t="str">
        <f t="shared" si="217"/>
        <v/>
      </c>
      <c r="P788" s="219" t="str">
        <f t="shared" si="214"/>
        <v/>
      </c>
      <c r="Q788" s="219" t="str">
        <f t="shared" si="215"/>
        <v/>
      </c>
      <c r="R788" s="219" t="str">
        <f t="shared" si="216"/>
        <v/>
      </c>
      <c r="S788" s="331" t="str">
        <f t="shared" si="218"/>
        <v/>
      </c>
      <c r="T788" s="331" t="str">
        <f t="shared" si="203"/>
        <v/>
      </c>
      <c r="U788" s="331" t="str">
        <f t="shared" si="204"/>
        <v/>
      </c>
    </row>
    <row r="789" spans="1:21">
      <c r="A789" s="211">
        <f>IF(COUNTBLANK('RNEW import'!B787)=1,"",'RNEW import'!B787)</f>
        <v>30</v>
      </c>
      <c r="B789" s="211" t="str">
        <f>IF(COUNTBLANK('RNEW import'!D787)=1,"",'RNEW import'!D787)</f>
        <v>Retail Park Pitesti SRL</v>
      </c>
      <c r="C789" s="211" t="str">
        <f>IF(COUNTBLANK('RNEW import'!E787)=1,"",'RNEW import'!E787)</f>
        <v>RRPP</v>
      </c>
      <c r="D789" s="211" t="str">
        <f>IF(COUNTBLANK('RNEW import'!K787)=1,"",'RNEW import'!K787)</f>
        <v>Regularizare Acciza</v>
      </c>
      <c r="E789" s="211">
        <f>IF(COUNTBLANK('RNEW import'!L787)=1,"",'RNEW import'!N787)</f>
        <v>0</v>
      </c>
      <c r="F789" s="211">
        <f>IF(COUNTBLANK('RNEW import'!M787)=1,"",'RNEW import'!O787/10000)</f>
        <v>0</v>
      </c>
      <c r="G789" s="217">
        <f t="shared" si="205"/>
        <v>0</v>
      </c>
      <c r="H789" s="217">
        <f t="shared" si="213"/>
        <v>0</v>
      </c>
      <c r="I789" s="329">
        <f t="shared" si="206"/>
        <v>0</v>
      </c>
      <c r="J789" s="237" t="str">
        <f t="shared" si="208"/>
        <v/>
      </c>
      <c r="K789" s="238" t="str">
        <f t="shared" si="209"/>
        <v/>
      </c>
      <c r="L789" s="238" t="str">
        <f t="shared" si="210"/>
        <v/>
      </c>
      <c r="M789" s="238" t="str">
        <f t="shared" si="211"/>
        <v/>
      </c>
      <c r="N789" s="238" t="str">
        <f t="shared" si="212"/>
        <v/>
      </c>
      <c r="O789" s="232" t="str">
        <f t="shared" si="217"/>
        <v/>
      </c>
      <c r="P789" s="219" t="str">
        <f t="shared" si="214"/>
        <v/>
      </c>
      <c r="Q789" s="219" t="str">
        <f t="shared" si="215"/>
        <v/>
      </c>
      <c r="R789" s="219" t="str">
        <f t="shared" si="216"/>
        <v/>
      </c>
      <c r="S789" s="331" t="str">
        <f t="shared" si="218"/>
        <v/>
      </c>
      <c r="T789" s="331" t="str">
        <f t="shared" si="203"/>
        <v/>
      </c>
      <c r="U789" s="331" t="str">
        <f t="shared" si="204"/>
        <v/>
      </c>
    </row>
    <row r="790" spans="1:21">
      <c r="A790" s="211">
        <f>IF(COUNTBLANK('RNEW import'!B788)=1,"",'RNEW import'!B788)</f>
        <v>31</v>
      </c>
      <c r="B790" s="211" t="str">
        <f>IF(COUNTBLANK('RNEW import'!D788)=1,"",'RNEW import'!D788)</f>
        <v>Retail Park Pitesti SRL</v>
      </c>
      <c r="C790" s="211" t="str">
        <f>IF(COUNTBLANK('RNEW import'!E788)=1,"",'RNEW import'!E788)</f>
        <v>RRPP</v>
      </c>
      <c r="D790" s="211" t="str">
        <f>IF(COUNTBLANK('RNEW import'!K788)=1,"",'RNEW import'!K788)</f>
        <v>Regularizare Tarif distributie SDI MT Ea1</v>
      </c>
      <c r="E790" s="211">
        <f>IF(COUNTBLANK('RNEW import'!L788)=1,"",'RNEW import'!N788)</f>
        <v>0</v>
      </c>
      <c r="F790" s="211">
        <f>IF(COUNTBLANK('RNEW import'!M788)=1,"",'RNEW import'!O788/10000)</f>
        <v>1.7000000000000001E-2</v>
      </c>
      <c r="G790" s="217">
        <f t="shared" si="205"/>
        <v>0</v>
      </c>
      <c r="H790" s="217">
        <f t="shared" si="213"/>
        <v>0</v>
      </c>
      <c r="I790" s="329">
        <f t="shared" si="206"/>
        <v>0</v>
      </c>
      <c r="J790" s="237" t="str">
        <f t="shared" si="208"/>
        <v/>
      </c>
      <c r="K790" s="238" t="str">
        <f t="shared" si="209"/>
        <v/>
      </c>
      <c r="L790" s="238" t="str">
        <f t="shared" si="210"/>
        <v/>
      </c>
      <c r="M790" s="238" t="str">
        <f t="shared" si="211"/>
        <v/>
      </c>
      <c r="N790" s="238" t="str">
        <f t="shared" si="212"/>
        <v/>
      </c>
      <c r="O790" s="232" t="str">
        <f t="shared" si="217"/>
        <v/>
      </c>
      <c r="P790" s="219" t="str">
        <f t="shared" si="214"/>
        <v/>
      </c>
      <c r="Q790" s="219" t="str">
        <f t="shared" si="215"/>
        <v/>
      </c>
      <c r="R790" s="219" t="str">
        <f t="shared" si="216"/>
        <v/>
      </c>
      <c r="S790" s="331" t="str">
        <f t="shared" si="218"/>
        <v/>
      </c>
      <c r="T790" s="331" t="str">
        <f t="shared" ref="T790:T795" si="219">IF(COUNTBLANK(P790)=1,"",ROUND(IF(P790=$P$5,H790,IF(P790=$P$6,H790,IF(P790=$P$21,H790+H789+H788+H787,IF(P790=$P$23,H790,IF(P790=$P$24,H790,IF(P790=$P$4,SUMIFS(H:H,$B:$B,J790,A:A,"&lt;15"),IF(P790=$P$22,SUMIFS(H:H,$B:$B,J772,A:A,"&gt;18",A:A,"&lt;33")-T791-T792,IF(P790=$P$39,H790+H789+H788+H787,"eroare")))))))),2))</f>
        <v/>
      </c>
      <c r="U790" s="331" t="str">
        <f t="shared" ref="U790:U795" si="220">IF(COUNTBLANK(P790)=1,"",ROUND(IF(P790=$P$5,I790,IF(P790=$P$6,I790,IF(P790=$P$21,I790+I789+I788+I787,IF(P790=$P$23,I790,IF(P790=$P$24,I790,IF(P790=$P$4,SUMIFS(I:I,$B:$B,J790,A:A,"&lt;15"),IF(P790=$P$22,SUMIFS(I:I,$B:$B,J772,A:A,"&gt;18",A:A,"&lt;33")-U791-U792,IF(P790=$P$39,I790+I789+I788+I787,"eroare")))))))),2))</f>
        <v/>
      </c>
    </row>
    <row r="791" spans="1:21">
      <c r="A791" s="211">
        <f>IF(COUNTBLANK('RNEW import'!B789)=1,"",'RNEW import'!B789)</f>
        <v>32</v>
      </c>
      <c r="B791" s="211" t="str">
        <f>IF(COUNTBLANK('RNEW import'!D789)=1,"",'RNEW import'!D789)</f>
        <v>Retail Park Pitesti SRL</v>
      </c>
      <c r="C791" s="211" t="str">
        <f>IF(COUNTBLANK('RNEW import'!E789)=1,"",'RNEW import'!E789)</f>
        <v>RRPP</v>
      </c>
      <c r="D791" s="211" t="str">
        <f>IF(COUNTBLANK('RNEW import'!K789)=1,"",'RNEW import'!K789)</f>
        <v>Regularizare Tarif distributie SDI JT Ea1</v>
      </c>
      <c r="E791" s="211">
        <f>IF(COUNTBLANK('RNEW import'!L789)=1,"",'RNEW import'!N789)</f>
        <v>0</v>
      </c>
      <c r="F791" s="211">
        <f>IF(COUNTBLANK('RNEW import'!M789)=1,"",'RNEW import'!O789/10000)</f>
        <v>0.10290000000000001</v>
      </c>
      <c r="G791" s="217">
        <f t="shared" si="205"/>
        <v>0</v>
      </c>
      <c r="H791" s="217">
        <f t="shared" si="213"/>
        <v>0</v>
      </c>
      <c r="I791" s="329">
        <f t="shared" si="206"/>
        <v>0</v>
      </c>
      <c r="J791" s="237" t="str">
        <f t="shared" si="208"/>
        <v/>
      </c>
      <c r="K791" s="238" t="str">
        <f t="shared" si="209"/>
        <v/>
      </c>
      <c r="L791" s="238" t="str">
        <f t="shared" si="210"/>
        <v/>
      </c>
      <c r="M791" s="238" t="str">
        <f t="shared" si="211"/>
        <v/>
      </c>
      <c r="N791" s="238" t="str">
        <f t="shared" si="212"/>
        <v/>
      </c>
      <c r="O791" s="232" t="str">
        <f t="shared" si="217"/>
        <v/>
      </c>
      <c r="P791" s="219" t="str">
        <f t="shared" si="214"/>
        <v/>
      </c>
      <c r="Q791" s="219" t="str">
        <f t="shared" si="215"/>
        <v/>
      </c>
      <c r="R791" s="219" t="str">
        <f t="shared" si="216"/>
        <v/>
      </c>
      <c r="S791" s="331" t="str">
        <f t="shared" si="218"/>
        <v/>
      </c>
      <c r="T791" s="331" t="str">
        <f t="shared" si="219"/>
        <v/>
      </c>
      <c r="U791" s="331" t="str">
        <f t="shared" si="220"/>
        <v/>
      </c>
    </row>
    <row r="792" spans="1:21">
      <c r="A792" s="211">
        <f>IF(COUNTBLANK('RNEW import'!B790)=1,"",'RNEW import'!B790)</f>
        <v>33</v>
      </c>
      <c r="B792" s="211" t="str">
        <f>IF(COUNTBLANK('RNEW import'!D790)=1,"",'RNEW import'!D790)</f>
        <v>Retail Park Pitesti SRL</v>
      </c>
      <c r="C792" s="211" t="str">
        <f>IF(COUNTBLANK('RNEW import'!E790)=1,"",'RNEW import'!E790)</f>
        <v>RRPP</v>
      </c>
      <c r="D792" s="211" t="str">
        <f>IF(COUNTBLANK('RNEW import'!K790)=1,"",'RNEW import'!K790)</f>
        <v>Regularizare Energie activa 2</v>
      </c>
      <c r="E792" s="211">
        <f>IF(COUNTBLANK('RNEW import'!L790)=1,"",'RNEW import'!N790)</f>
        <v>0</v>
      </c>
      <c r="F792" s="211">
        <f>IF(COUNTBLANK('RNEW import'!M790)=1,"",'RNEW import'!O790/10000)</f>
        <v>0.97511759999999992</v>
      </c>
      <c r="G792" s="217">
        <f t="shared" si="205"/>
        <v>0</v>
      </c>
      <c r="H792" s="217">
        <f t="shared" si="213"/>
        <v>0</v>
      </c>
      <c r="I792" s="329">
        <f t="shared" si="206"/>
        <v>0</v>
      </c>
      <c r="J792" s="237" t="str">
        <f t="shared" si="208"/>
        <v/>
      </c>
      <c r="K792" s="238" t="str">
        <f t="shared" si="209"/>
        <v/>
      </c>
      <c r="L792" s="238" t="str">
        <f t="shared" si="210"/>
        <v/>
      </c>
      <c r="M792" s="238" t="str">
        <f t="shared" si="211"/>
        <v/>
      </c>
      <c r="N792" s="238" t="str">
        <f t="shared" si="212"/>
        <v/>
      </c>
      <c r="O792" s="232" t="str">
        <f t="shared" si="217"/>
        <v/>
      </c>
      <c r="P792" s="219" t="str">
        <f t="shared" si="214"/>
        <v/>
      </c>
      <c r="Q792" s="219" t="str">
        <f t="shared" si="215"/>
        <v/>
      </c>
      <c r="R792" s="219" t="str">
        <f t="shared" si="216"/>
        <v/>
      </c>
      <c r="S792" s="331" t="str">
        <f t="shared" si="218"/>
        <v/>
      </c>
      <c r="T792" s="331" t="str">
        <f t="shared" si="219"/>
        <v/>
      </c>
      <c r="U792" s="331" t="str">
        <f t="shared" si="220"/>
        <v/>
      </c>
    </row>
    <row r="793" spans="1:21">
      <c r="A793" s="211">
        <f>IF(COUNTBLANK('RNEW import'!B791)=1,"",'RNEW import'!B791)</f>
        <v>34</v>
      </c>
      <c r="B793" s="211" t="str">
        <f>IF(COUNTBLANK('RNEW import'!D791)=1,"",'RNEW import'!D791)</f>
        <v>Retail Park Pitesti SRL</v>
      </c>
      <c r="C793" s="211" t="str">
        <f>IF(COUNTBLANK('RNEW import'!E791)=1,"",'RNEW import'!E791)</f>
        <v>RRPP</v>
      </c>
      <c r="D793" s="211" t="str">
        <f>IF(COUNTBLANK('RNEW import'!K791)=1,"",'RNEW import'!K791)</f>
        <v>Regularizare Energie activa 3</v>
      </c>
      <c r="E793" s="211">
        <f>IF(COUNTBLANK('RNEW import'!L791)=1,"",'RNEW import'!N791)</f>
        <v>0</v>
      </c>
      <c r="F793" s="211">
        <f>IF(COUNTBLANK('RNEW import'!M791)=1,"",'RNEW import'!O791/10000)</f>
        <v>0.85521759999999991</v>
      </c>
      <c r="G793" s="217">
        <f t="shared" si="205"/>
        <v>0</v>
      </c>
      <c r="H793" s="217">
        <f t="shared" si="213"/>
        <v>0</v>
      </c>
      <c r="I793" s="329">
        <f t="shared" si="206"/>
        <v>0</v>
      </c>
      <c r="J793" s="237" t="str">
        <f t="shared" si="208"/>
        <v/>
      </c>
      <c r="K793" s="238" t="str">
        <f t="shared" si="209"/>
        <v/>
      </c>
      <c r="L793" s="238" t="str">
        <f t="shared" si="210"/>
        <v/>
      </c>
      <c r="M793" s="238" t="str">
        <f t="shared" si="211"/>
        <v/>
      </c>
      <c r="N793" s="238" t="str">
        <f t="shared" si="212"/>
        <v/>
      </c>
      <c r="O793" s="232" t="str">
        <f t="shared" si="217"/>
        <v/>
      </c>
      <c r="P793" s="219" t="str">
        <f t="shared" si="214"/>
        <v/>
      </c>
      <c r="Q793" s="219" t="str">
        <f t="shared" si="215"/>
        <v/>
      </c>
      <c r="R793" s="219" t="str">
        <f t="shared" si="216"/>
        <v/>
      </c>
      <c r="S793" s="331" t="str">
        <f t="shared" si="218"/>
        <v/>
      </c>
      <c r="T793" s="331" t="str">
        <f t="shared" si="219"/>
        <v/>
      </c>
      <c r="U793" s="331" t="str">
        <f t="shared" si="220"/>
        <v/>
      </c>
    </row>
    <row r="794" spans="1:21">
      <c r="A794" s="211">
        <f>IF(COUNTBLANK('RNEW import'!B792)=1,"",'RNEW import'!B792)</f>
        <v>35</v>
      </c>
      <c r="B794" s="211" t="str">
        <f>IF(COUNTBLANK('RNEW import'!D792)=1,"",'RNEW import'!D792)</f>
        <v>Retail Park Pitesti SRL</v>
      </c>
      <c r="C794" s="211" t="str">
        <f>IF(COUNTBLANK('RNEW import'!E792)=1,"",'RNEW import'!E792)</f>
        <v>RRPP</v>
      </c>
      <c r="D794" s="211" t="str">
        <f>IF(COUNTBLANK('RNEW import'!K792)=1,"",'RNEW import'!K792)</f>
        <v>Regularizare Tarif distributie SDI MT Ea3</v>
      </c>
      <c r="E794" s="211">
        <f>IF(COUNTBLANK('RNEW import'!L792)=1,"",'RNEW import'!N792)</f>
        <v>0</v>
      </c>
      <c r="F794" s="211">
        <f>IF(COUNTBLANK('RNEW import'!M792)=1,"",'RNEW import'!O792/10000)</f>
        <v>1.7000000000000001E-2</v>
      </c>
      <c r="G794" s="217">
        <f t="shared" si="205"/>
        <v>0</v>
      </c>
      <c r="H794" s="217">
        <f t="shared" si="213"/>
        <v>0</v>
      </c>
      <c r="I794" s="329">
        <f t="shared" si="206"/>
        <v>0</v>
      </c>
      <c r="J794" s="237" t="str">
        <f t="shared" si="208"/>
        <v/>
      </c>
      <c r="K794" s="238" t="str">
        <f t="shared" si="209"/>
        <v/>
      </c>
      <c r="L794" s="238" t="str">
        <f t="shared" si="210"/>
        <v/>
      </c>
      <c r="M794" s="238" t="str">
        <f t="shared" si="211"/>
        <v/>
      </c>
      <c r="N794" s="238" t="str">
        <f t="shared" si="212"/>
        <v/>
      </c>
      <c r="O794" s="232" t="str">
        <f t="shared" si="217"/>
        <v/>
      </c>
      <c r="P794" s="219" t="str">
        <f t="shared" si="214"/>
        <v/>
      </c>
      <c r="Q794" s="219" t="str">
        <f t="shared" si="215"/>
        <v/>
      </c>
      <c r="R794" s="219" t="str">
        <f t="shared" si="216"/>
        <v/>
      </c>
      <c r="S794" s="331" t="str">
        <f t="shared" si="218"/>
        <v/>
      </c>
      <c r="T794" s="331" t="str">
        <f t="shared" si="219"/>
        <v/>
      </c>
      <c r="U794" s="331" t="str">
        <f t="shared" si="220"/>
        <v/>
      </c>
    </row>
    <row r="795" spans="1:21">
      <c r="A795" s="211">
        <f>IF(COUNTBLANK('RNEW import'!B793)=1,"",'RNEW import'!B793)</f>
        <v>36</v>
      </c>
      <c r="B795" s="211" t="str">
        <f>IF(COUNTBLANK('RNEW import'!D793)=1,"",'RNEW import'!D793)</f>
        <v>Retail Park Pitesti SRL</v>
      </c>
      <c r="C795" s="211" t="str">
        <f>IF(COUNTBLANK('RNEW import'!E793)=1,"",'RNEW import'!E793)</f>
        <v>RRPP</v>
      </c>
      <c r="D795" s="211" t="str">
        <f>IF(COUNTBLANK('RNEW import'!K793)=1,"",'RNEW import'!K793)</f>
        <v>Regularizare Tarif distributie SDI JT Ea3</v>
      </c>
      <c r="E795" s="211">
        <f>IF(COUNTBLANK('RNEW import'!L793)=1,"",'RNEW import'!N793)</f>
        <v>0</v>
      </c>
      <c r="F795" s="211">
        <f>IF(COUNTBLANK('RNEW import'!M793)=1,"",'RNEW import'!O793/10000)</f>
        <v>0.10290000000000001</v>
      </c>
      <c r="G795" s="217">
        <f t="shared" si="205"/>
        <v>0</v>
      </c>
      <c r="H795" s="217">
        <f t="shared" si="213"/>
        <v>0</v>
      </c>
      <c r="I795" s="329">
        <f t="shared" si="206"/>
        <v>0</v>
      </c>
      <c r="J795" s="237" t="str">
        <f t="shared" si="208"/>
        <v/>
      </c>
      <c r="K795" s="238" t="str">
        <f t="shared" si="209"/>
        <v/>
      </c>
      <c r="L795" s="238" t="str">
        <f t="shared" si="210"/>
        <v/>
      </c>
      <c r="M795" s="238" t="str">
        <f t="shared" si="211"/>
        <v/>
      </c>
      <c r="N795" s="238" t="str">
        <f t="shared" si="212"/>
        <v/>
      </c>
      <c r="O795" s="232" t="str">
        <f t="shared" si="217"/>
        <v/>
      </c>
      <c r="P795" s="219" t="str">
        <f t="shared" si="214"/>
        <v>Energie consumata din PV regularizare</v>
      </c>
      <c r="Q795" s="219">
        <f t="shared" si="215"/>
        <v>0</v>
      </c>
      <c r="R795" s="219">
        <f t="shared" si="216"/>
        <v>0</v>
      </c>
      <c r="S795" s="331">
        <f t="shared" si="218"/>
        <v>0</v>
      </c>
      <c r="T795" s="331">
        <f t="shared" si="219"/>
        <v>0</v>
      </c>
      <c r="U795" s="331">
        <f t="shared" si="220"/>
        <v>0</v>
      </c>
    </row>
    <row r="796" spans="1:21" ht="30">
      <c r="A796" s="211">
        <f>IF(COUNTBLANK('RNEW import'!B794)=1,"",'RNEW import'!B794)</f>
        <v>1</v>
      </c>
      <c r="B796" s="211" t="str">
        <f>IF(COUNTBLANK('RNEW import'!D794)=1,"",'RNEW import'!D794)</f>
        <v>Nepi Ten Development Solutions  SRL</v>
      </c>
      <c r="C796" s="211" t="str">
        <f>IF(COUNTBLANK('RNEW import'!E794)=1,"",'RNEW import'!E794)</f>
        <v>RN10_Alba</v>
      </c>
      <c r="D796" s="211" t="str">
        <f>IF(COUNTBLANK('RNEW import'!K794)=1,"",'RNEW import'!K794)</f>
        <v>Energie activa 1</v>
      </c>
      <c r="E796" s="211">
        <f>IF(COUNTBLANK('RNEW import'!L794)=1,"",'RNEW import'!N794)</f>
        <v>13329</v>
      </c>
      <c r="F796" s="211">
        <f>IF(COUNTBLANK('RNEW import'!M794)=1,"",'RNEW import'!O794/10000)</f>
        <v>0.59499999999999997</v>
      </c>
      <c r="G796" s="217">
        <f t="shared" si="205"/>
        <v>7930.76</v>
      </c>
      <c r="H796" s="217">
        <f t="shared" si="213"/>
        <v>1506.84</v>
      </c>
      <c r="I796" s="329">
        <f t="shared" si="206"/>
        <v>9437.6</v>
      </c>
      <c r="J796" s="263" t="str">
        <f>IF(A796=1,_xlfn.CONCAT(B796," - ",RIGHT(C796,LEN(C796)-FIND("_",C796,1))),"")</f>
        <v>Nepi Ten Development Solutions  SRL - Alba</v>
      </c>
      <c r="K796" s="238">
        <f t="shared" si="209"/>
        <v>1403.55</v>
      </c>
      <c r="L796" s="238">
        <f t="shared" si="210"/>
        <v>11117.81</v>
      </c>
      <c r="M796" s="238">
        <f t="shared" si="211"/>
        <v>14067.45</v>
      </c>
      <c r="N796" s="238">
        <f t="shared" si="212"/>
        <v>13329</v>
      </c>
      <c r="O796" s="232" t="str">
        <f t="shared" si="217"/>
        <v>Nepi Ten Development Solutions  SRL</v>
      </c>
      <c r="P796" s="219" t="str">
        <f t="shared" si="214"/>
        <v>Enegie activa</v>
      </c>
      <c r="Q796" s="219">
        <f t="shared" si="215"/>
        <v>13329</v>
      </c>
      <c r="R796" s="219">
        <f t="shared" si="216"/>
        <v>0.93920899999999996</v>
      </c>
      <c r="S796" s="330">
        <f t="shared" ref="S796:S859" si="221">IF(COUNTBLANK(P796)=1,"",ROUND(IF(P796=$P$5,G796,IF(P796=$P$6,G796,IF(P796=$P$21,G796+G795+G794+G793,IF(P796=$P$23,G796,IF(P796=$P$24,G796,IF(P796=$P$4,SUMIFS(G:G,$C:$C,_xlfn.CONCAT("RN10_",RIGHT(J796,LEN(J796)-FIND("-",J796,1)-1)),A:A,"&lt;15"),IF(P796=$P$22,SUMIFS(G:G,$C:$C,_xlfn.CONCAT("RN10_",RIGHT(J778,LEN(J778)-FIND("-",J778,1)-1)),A:A,"&gt;18",A:A,"&lt;33")-S797-S798,IF(P796=$P$39,G796+G795+G794+G793,"eroare")))))))),2))</f>
        <v>12518.72</v>
      </c>
      <c r="T796" s="330">
        <f>IF(COUNTBLANK(P796)=1,"",ROUND(IF(P796=$P$5,H796,IF(P796=$P$6,H796,IF(P796=$P$21,H796+H795+H794+H793,IF(P796=$P$23,H796,IF(P796=$P$24,H796,IF(P796=$P$4,SUMIFS(H:H,$C:$C,_xlfn.CONCAT("RN10_",RIGHT(J796,LEN(J796)-FIND("-",J796,1)-1)),A:A,"&lt;15"),IF(P796=$P$22,SUMIFS(H:H,$C:$C,_xlfn.CONCAT("RN10_",RIGHT(J778,LEN(J778)-FIND("-",J778,1)-1)),A:A,"&gt;18",A:A,"&lt;33")-T797-T798,IF(P796=$P$39,H796+H795+H794+H793,"eroare")))))))),2))</f>
        <v>2378.54</v>
      </c>
      <c r="U796" s="330">
        <f>IF(COUNTBLANK(P796)=1,"",ROUND(IF(P796=$P$5,I796,IF(P796=$P$6,I796,IF(P796=$P$21,I796+I795+I794+I793,IF(P796=$P$23,I796,IF(P796=$P$24,I796,IF(P796=$P$4,SUMIFS(I:I,$C:$C,_xlfn.CONCAT("RN10_",RIGHT(J796,LEN(J796)-FIND("-",J796,1)-1)),A:A,"&lt;15"),IF(P796=$P$22,SUMIFS(I:I,$C:$C,_xlfn.CONCAT("RN10_",RIGHT(J778,LEN(J778)-FIND("-",J778,1)-1)),A:A,"&gt;18",A:A,"&lt;33")-U797-U798,IF(P796=$P$39,I796+I795+I794+I793,"eroare")))))))),2))</f>
        <v>14897.26</v>
      </c>
    </row>
    <row r="797" spans="1:21">
      <c r="A797" s="211">
        <f>IF(COUNTBLANK('RNEW import'!B795)=1,"",'RNEW import'!B795)</f>
        <v>2</v>
      </c>
      <c r="B797" s="211" t="str">
        <f>IF(COUNTBLANK('RNEW import'!D795)=1,"",'RNEW import'!D795)</f>
        <v>Nepi Ten Development Solutions  SRL</v>
      </c>
      <c r="C797" s="211" t="str">
        <f>IF(COUNTBLANK('RNEW import'!E795)=1,"",'RNEW import'!E795)</f>
        <v>RN10_Alba</v>
      </c>
      <c r="D797" s="211" t="str">
        <f>IF(COUNTBLANK('RNEW import'!K795)=1,"",'RNEW import'!K795)</f>
        <v>Energie reactiva  1X</v>
      </c>
      <c r="E797" s="211">
        <f>IF(COUNTBLANK('RNEW import'!L795)=1,"",'RNEW import'!N795)</f>
        <v>0</v>
      </c>
      <c r="F797" s="211">
        <f>IF(COUNTBLANK('RNEW import'!M795)=1,"",'RNEW import'!O795/10000)</f>
        <v>0.14649999999999999</v>
      </c>
      <c r="G797" s="217">
        <f t="shared" si="205"/>
        <v>0</v>
      </c>
      <c r="H797" s="217">
        <f t="shared" si="213"/>
        <v>0</v>
      </c>
      <c r="I797" s="329">
        <f t="shared" si="206"/>
        <v>0</v>
      </c>
      <c r="J797" s="263" t="str">
        <f t="shared" ref="J797:J816" si="222">IF(A797=1,_xlfn.CONCAT(B797," - ",RIGHT(C797,LEN(C797)-FIND("_",C797,1))),"")</f>
        <v/>
      </c>
      <c r="K797" s="238" t="str">
        <f t="shared" si="209"/>
        <v/>
      </c>
      <c r="L797" s="238" t="str">
        <f t="shared" si="210"/>
        <v/>
      </c>
      <c r="M797" s="238" t="str">
        <f t="shared" si="211"/>
        <v/>
      </c>
      <c r="N797" s="238" t="str">
        <f t="shared" si="212"/>
        <v/>
      </c>
      <c r="O797" s="232" t="str">
        <f t="shared" si="217"/>
        <v/>
      </c>
      <c r="P797" s="219" t="str">
        <f t="shared" si="214"/>
        <v>Energie reactiva 1x</v>
      </c>
      <c r="Q797" s="219">
        <f t="shared" si="215"/>
        <v>0</v>
      </c>
      <c r="R797" s="219">
        <f t="shared" si="216"/>
        <v>0.14649999999999999</v>
      </c>
      <c r="S797" s="330">
        <f t="shared" si="221"/>
        <v>0</v>
      </c>
      <c r="T797" s="330">
        <f t="shared" ref="T797:T860" si="223">IF(COUNTBLANK(P797)=1,"",ROUND(IF(P797=$P$5,H797,IF(P797=$P$6,H797,IF(P797=$P$21,H797+H796+H795+H794,IF(P797=$P$23,H797,IF(P797=$P$24,H797,IF(P797=$P$4,SUMIFS(H:H,$C:$C,_xlfn.CONCAT("RN10_",RIGHT(J797,LEN(J797)-FIND("-",J797,1)-1)),A:A,"&lt;15"),IF(P797=$P$22,SUMIFS(H:H,$C:$C,_xlfn.CONCAT("RN10_",RIGHT(J779,LEN(J779)-FIND("-",J779,1)-1)),A:A,"&gt;18",A:A,"&lt;33")-T798-T799,IF(P797=$P$39,H797+H796+H795+H794,"eroare")))))))),2))</f>
        <v>0</v>
      </c>
      <c r="U797" s="330">
        <f t="shared" ref="U797:U860" si="224">IF(COUNTBLANK(P797)=1,"",ROUND(IF(P797=$P$5,I797,IF(P797=$P$6,I797,IF(P797=$P$21,I797+I796+I795+I794,IF(P797=$P$23,I797,IF(P797=$P$24,I797,IF(P797=$P$4,SUMIFS(I:I,$C:$C,_xlfn.CONCAT("RN10_",RIGHT(J797,LEN(J797)-FIND("-",J797,1)-1)),A:A,"&lt;15"),IF(P797=$P$22,SUMIFS(I:I,$C:$C,_xlfn.CONCAT("RN10_",RIGHT(J779,LEN(J779)-FIND("-",J779,1)-1)),A:A,"&gt;18",A:A,"&lt;33")-U798-U799,IF(P797=$P$39,I797+I796+I795+I794,"eroare")))))))),2))</f>
        <v>0</v>
      </c>
    </row>
    <row r="798" spans="1:21">
      <c r="A798" s="211">
        <f>IF(COUNTBLANK('RNEW import'!B796)=1,"",'RNEW import'!B796)</f>
        <v>3</v>
      </c>
      <c r="B798" s="211" t="str">
        <f>IF(COUNTBLANK('RNEW import'!D796)=1,"",'RNEW import'!D796)</f>
        <v>Nepi Ten Development Solutions  SRL</v>
      </c>
      <c r="C798" s="211" t="str">
        <f>IF(COUNTBLANK('RNEW import'!E796)=1,"",'RNEW import'!E796)</f>
        <v>RN10_Alba</v>
      </c>
      <c r="D798" s="211" t="str">
        <f>IF(COUNTBLANK('RNEW import'!K796)=1,"",'RNEW import'!K796)</f>
        <v>Energie reactiva  3X</v>
      </c>
      <c r="E798" s="211">
        <f>IF(COUNTBLANK('RNEW import'!L796)=1,"",'RNEW import'!N796)</f>
        <v>0</v>
      </c>
      <c r="F798" s="211">
        <f>IF(COUNTBLANK('RNEW import'!M796)=1,"",'RNEW import'!O796/10000)</f>
        <v>0.4395</v>
      </c>
      <c r="G798" s="217">
        <f t="shared" si="205"/>
        <v>0</v>
      </c>
      <c r="H798" s="217">
        <f t="shared" si="213"/>
        <v>0</v>
      </c>
      <c r="I798" s="329">
        <f t="shared" si="206"/>
        <v>0</v>
      </c>
      <c r="J798" s="263" t="str">
        <f t="shared" si="222"/>
        <v/>
      </c>
      <c r="K798" s="238" t="str">
        <f t="shared" si="209"/>
        <v/>
      </c>
      <c r="L798" s="238" t="str">
        <f t="shared" si="210"/>
        <v/>
      </c>
      <c r="M798" s="238" t="str">
        <f t="shared" si="211"/>
        <v/>
      </c>
      <c r="N798" s="238" t="str">
        <f t="shared" si="212"/>
        <v/>
      </c>
      <c r="O798" s="232" t="str">
        <f t="shared" si="217"/>
        <v/>
      </c>
      <c r="P798" s="219" t="str">
        <f t="shared" si="214"/>
        <v>Energie reactiva 3x</v>
      </c>
      <c r="Q798" s="219">
        <f t="shared" si="215"/>
        <v>0</v>
      </c>
      <c r="R798" s="219">
        <f t="shared" si="216"/>
        <v>0.4395</v>
      </c>
      <c r="S798" s="330">
        <f t="shared" si="221"/>
        <v>0</v>
      </c>
      <c r="T798" s="330">
        <f t="shared" si="223"/>
        <v>0</v>
      </c>
      <c r="U798" s="330">
        <f t="shared" si="224"/>
        <v>0</v>
      </c>
    </row>
    <row r="799" spans="1:21">
      <c r="A799" s="211">
        <f>IF(COUNTBLANK('RNEW import'!B797)=1,"",'RNEW import'!B797)</f>
        <v>4</v>
      </c>
      <c r="B799" s="211" t="str">
        <f>IF(COUNTBLANK('RNEW import'!D797)=1,"",'RNEW import'!D797)</f>
        <v>Nepi Ten Development Solutions  SRL</v>
      </c>
      <c r="C799" s="211" t="str">
        <f>IF(COUNTBLANK('RNEW import'!E797)=1,"",'RNEW import'!E797)</f>
        <v>RN10_Alba</v>
      </c>
      <c r="D799" s="211" t="str">
        <f>IF(COUNTBLANK('RNEW import'!K797)=1,"",'RNEW import'!K797)</f>
        <v>Tarife distributie en. El IT+MT</v>
      </c>
      <c r="E799" s="211">
        <f>IF(COUNTBLANK('RNEW import'!L797)=1,"",'RNEW import'!N797)</f>
        <v>13329</v>
      </c>
      <c r="F799" s="211">
        <f>IF(COUNTBLANK('RNEW import'!M797)=1,"",'RNEW import'!O797/10000)</f>
        <v>0.11483</v>
      </c>
      <c r="G799" s="217">
        <f t="shared" si="205"/>
        <v>1530.57</v>
      </c>
      <c r="H799" s="217">
        <f t="shared" si="213"/>
        <v>290.81</v>
      </c>
      <c r="I799" s="329">
        <f t="shared" si="206"/>
        <v>1821.3799999999999</v>
      </c>
      <c r="J799" s="263" t="str">
        <f t="shared" si="222"/>
        <v/>
      </c>
      <c r="K799" s="238" t="str">
        <f t="shared" si="209"/>
        <v/>
      </c>
      <c r="L799" s="238" t="str">
        <f t="shared" si="210"/>
        <v/>
      </c>
      <c r="M799" s="238" t="str">
        <f t="shared" si="211"/>
        <v/>
      </c>
      <c r="N799" s="238" t="str">
        <f t="shared" si="212"/>
        <v/>
      </c>
      <c r="O799" s="232" t="str">
        <f t="shared" si="217"/>
        <v/>
      </c>
      <c r="P799" s="219" t="str">
        <f t="shared" si="214"/>
        <v/>
      </c>
      <c r="Q799" s="219" t="str">
        <f t="shared" si="215"/>
        <v/>
      </c>
      <c r="R799" s="219" t="str">
        <f t="shared" si="216"/>
        <v/>
      </c>
      <c r="S799" s="330" t="str">
        <f t="shared" si="221"/>
        <v/>
      </c>
      <c r="T799" s="330" t="str">
        <f t="shared" si="223"/>
        <v/>
      </c>
      <c r="U799" s="330" t="str">
        <f t="shared" si="224"/>
        <v/>
      </c>
    </row>
    <row r="800" spans="1:21">
      <c r="A800" s="211">
        <f>IF(COUNTBLANK('RNEW import'!B798)=1,"",'RNEW import'!B798)</f>
        <v>5</v>
      </c>
      <c r="B800" s="211" t="str">
        <f>IF(COUNTBLANK('RNEW import'!D798)=1,"",'RNEW import'!D798)</f>
        <v>Nepi Ten Development Solutions  SRL</v>
      </c>
      <c r="C800" s="211" t="str">
        <f>IF(COUNTBLANK('RNEW import'!E798)=1,"",'RNEW import'!E798)</f>
        <v>RN10_Alba</v>
      </c>
      <c r="D800" s="211" t="str">
        <f>IF(COUNTBLANK('RNEW import'!K798)=1,"",'RNEW import'!K798)</f>
        <v>Tarife distributie en. El JT</v>
      </c>
      <c r="E800" s="211">
        <f>IF(COUNTBLANK('RNEW import'!L798)=1,"",'RNEW import'!N798)</f>
        <v>0</v>
      </c>
      <c r="F800" s="211">
        <f>IF(COUNTBLANK('RNEW import'!M798)=1,"",'RNEW import'!O798/10000)</f>
        <v>0.2361</v>
      </c>
      <c r="G800" s="217">
        <f t="shared" si="205"/>
        <v>0</v>
      </c>
      <c r="H800" s="217">
        <f t="shared" si="213"/>
        <v>0</v>
      </c>
      <c r="I800" s="329">
        <f t="shared" si="206"/>
        <v>0</v>
      </c>
      <c r="J800" s="263" t="str">
        <f t="shared" si="222"/>
        <v/>
      </c>
      <c r="K800" s="238" t="str">
        <f t="shared" si="209"/>
        <v/>
      </c>
      <c r="L800" s="238" t="str">
        <f t="shared" si="210"/>
        <v/>
      </c>
      <c r="M800" s="238" t="str">
        <f t="shared" si="211"/>
        <v/>
      </c>
      <c r="N800" s="238" t="str">
        <f t="shared" si="212"/>
        <v/>
      </c>
      <c r="O800" s="232" t="str">
        <f t="shared" si="217"/>
        <v/>
      </c>
      <c r="P800" s="219" t="str">
        <f t="shared" si="214"/>
        <v/>
      </c>
      <c r="Q800" s="219" t="str">
        <f t="shared" si="215"/>
        <v/>
      </c>
      <c r="R800" s="219" t="str">
        <f t="shared" si="216"/>
        <v/>
      </c>
      <c r="S800" s="330" t="str">
        <f t="shared" si="221"/>
        <v/>
      </c>
      <c r="T800" s="330" t="str">
        <f t="shared" si="223"/>
        <v/>
      </c>
      <c r="U800" s="330" t="str">
        <f t="shared" si="224"/>
        <v/>
      </c>
    </row>
    <row r="801" spans="1:21">
      <c r="A801" s="211">
        <f>IF(COUNTBLANK('RNEW import'!B799)=1,"",'RNEW import'!B799)</f>
        <v>6</v>
      </c>
      <c r="B801" s="211" t="str">
        <f>IF(COUNTBLANK('RNEW import'!D799)=1,"",'RNEW import'!D799)</f>
        <v>Nepi Ten Development Solutions  SRL</v>
      </c>
      <c r="C801" s="211" t="str">
        <f>IF(COUNTBLANK('RNEW import'!E799)=1,"",'RNEW import'!E799)</f>
        <v>RN10_Alba</v>
      </c>
      <c r="D801" s="211" t="str">
        <f>IF(COUNTBLANK('RNEW import'!K799)=1,"",'RNEW import'!K799)</f>
        <v xml:space="preserve">Servicii Sistem </v>
      </c>
      <c r="E801" s="211">
        <f>IF(COUNTBLANK('RNEW import'!L799)=1,"",'RNEW import'!N799)</f>
        <v>13329</v>
      </c>
      <c r="F801" s="211">
        <f>IF(COUNTBLANK('RNEW import'!M799)=1,"",'RNEW import'!O799/10000)</f>
        <v>1.1509999999999999E-2</v>
      </c>
      <c r="G801" s="217">
        <f t="shared" si="205"/>
        <v>153.41999999999999</v>
      </c>
      <c r="H801" s="217">
        <f t="shared" si="213"/>
        <v>29.15</v>
      </c>
      <c r="I801" s="329">
        <f t="shared" si="206"/>
        <v>182.57</v>
      </c>
      <c r="J801" s="263" t="str">
        <f t="shared" si="222"/>
        <v/>
      </c>
      <c r="K801" s="238" t="str">
        <f t="shared" si="209"/>
        <v/>
      </c>
      <c r="L801" s="238" t="str">
        <f t="shared" si="210"/>
        <v/>
      </c>
      <c r="M801" s="238" t="str">
        <f t="shared" si="211"/>
        <v/>
      </c>
      <c r="N801" s="238" t="str">
        <f t="shared" si="212"/>
        <v/>
      </c>
      <c r="O801" s="232" t="str">
        <f t="shared" si="217"/>
        <v/>
      </c>
      <c r="P801" s="219" t="str">
        <f t="shared" si="214"/>
        <v/>
      </c>
      <c r="Q801" s="219" t="str">
        <f t="shared" si="215"/>
        <v/>
      </c>
      <c r="R801" s="219" t="str">
        <f t="shared" si="216"/>
        <v/>
      </c>
      <c r="S801" s="330" t="str">
        <f t="shared" si="221"/>
        <v/>
      </c>
      <c r="T801" s="330" t="str">
        <f t="shared" si="223"/>
        <v/>
      </c>
      <c r="U801" s="330" t="str">
        <f t="shared" si="224"/>
        <v/>
      </c>
    </row>
    <row r="802" spans="1:21">
      <c r="A802" s="211">
        <f>IF(COUNTBLANK('RNEW import'!B800)=1,"",'RNEW import'!B800)</f>
        <v>7</v>
      </c>
      <c r="B802" s="211" t="str">
        <f>IF(COUNTBLANK('RNEW import'!D800)=1,"",'RNEW import'!D800)</f>
        <v>Nepi Ten Development Solutions  SRL</v>
      </c>
      <c r="C802" s="211" t="str">
        <f>IF(COUNTBLANK('RNEW import'!E800)=1,"",'RNEW import'!E800)</f>
        <v>RN10_Alba</v>
      </c>
      <c r="D802" s="211" t="str">
        <f>IF(COUNTBLANK('RNEW import'!K800)=1,"",'RNEW import'!K800)</f>
        <v>Tarif de introducere en. el in retea (TL)</v>
      </c>
      <c r="E802" s="211">
        <f>IF(COUNTBLANK('RNEW import'!L800)=1,"",'RNEW import'!N800)</f>
        <v>13329</v>
      </c>
      <c r="F802" s="211">
        <f>IF(COUNTBLANK('RNEW import'!M800)=1,"",'RNEW import'!O800/10000)</f>
        <v>3.3030000000000004E-2</v>
      </c>
      <c r="G802" s="217">
        <f t="shared" si="205"/>
        <v>440.26</v>
      </c>
      <c r="H802" s="217">
        <f t="shared" si="213"/>
        <v>83.65</v>
      </c>
      <c r="I802" s="329">
        <f t="shared" si="206"/>
        <v>523.91</v>
      </c>
      <c r="J802" s="263" t="str">
        <f t="shared" si="222"/>
        <v/>
      </c>
      <c r="K802" s="238" t="str">
        <f t="shared" si="209"/>
        <v/>
      </c>
      <c r="L802" s="238" t="str">
        <f t="shared" si="210"/>
        <v/>
      </c>
      <c r="M802" s="238" t="str">
        <f t="shared" si="211"/>
        <v/>
      </c>
      <c r="N802" s="238" t="str">
        <f t="shared" si="212"/>
        <v/>
      </c>
      <c r="O802" s="232" t="str">
        <f t="shared" si="217"/>
        <v/>
      </c>
      <c r="P802" s="219" t="str">
        <f t="shared" si="214"/>
        <v/>
      </c>
      <c r="Q802" s="219" t="str">
        <f t="shared" si="215"/>
        <v/>
      </c>
      <c r="R802" s="219" t="str">
        <f t="shared" si="216"/>
        <v/>
      </c>
      <c r="S802" s="330" t="str">
        <f t="shared" si="221"/>
        <v/>
      </c>
      <c r="T802" s="330" t="str">
        <f t="shared" si="223"/>
        <v/>
      </c>
      <c r="U802" s="330" t="str">
        <f t="shared" si="224"/>
        <v/>
      </c>
    </row>
    <row r="803" spans="1:21">
      <c r="A803" s="211">
        <f>IF(COUNTBLANK('RNEW import'!B801)=1,"",'RNEW import'!B801)</f>
        <v>8</v>
      </c>
      <c r="B803" s="211" t="str">
        <f>IF(COUNTBLANK('RNEW import'!D801)=1,"",'RNEW import'!D801)</f>
        <v>Nepi Ten Development Solutions  SRL</v>
      </c>
      <c r="C803" s="211" t="str">
        <f>IF(COUNTBLANK('RNEW import'!E801)=1,"",'RNEW import'!E801)</f>
        <v>RN10_Alba</v>
      </c>
      <c r="D803" s="211" t="str">
        <f>IF(COUNTBLANK('RNEW import'!K801)=1,"",'RNEW import'!K801)</f>
        <v>Tarif de introducere en.el in retea (TG)</v>
      </c>
      <c r="E803" s="211">
        <f>IF(COUNTBLANK('RNEW import'!L801)=1,"",'RNEW import'!N801)</f>
        <v>13329</v>
      </c>
      <c r="F803" s="211">
        <f>IF(COUNTBLANK('RNEW import'!M801)=1,"",'RNEW import'!O801/10000)</f>
        <v>3.29E-3</v>
      </c>
      <c r="G803" s="217">
        <f t="shared" si="205"/>
        <v>43.85</v>
      </c>
      <c r="H803" s="217">
        <f t="shared" si="213"/>
        <v>8.33</v>
      </c>
      <c r="I803" s="329">
        <f t="shared" si="206"/>
        <v>52.18</v>
      </c>
      <c r="J803" s="263" t="str">
        <f t="shared" si="222"/>
        <v/>
      </c>
      <c r="K803" s="238" t="str">
        <f t="shared" si="209"/>
        <v/>
      </c>
      <c r="L803" s="238" t="str">
        <f t="shared" si="210"/>
        <v/>
      </c>
      <c r="M803" s="238" t="str">
        <f t="shared" si="211"/>
        <v/>
      </c>
      <c r="N803" s="238" t="str">
        <f t="shared" si="212"/>
        <v/>
      </c>
      <c r="O803" s="232" t="str">
        <f t="shared" si="217"/>
        <v/>
      </c>
      <c r="P803" s="219" t="str">
        <f t="shared" si="214"/>
        <v/>
      </c>
      <c r="Q803" s="219" t="str">
        <f t="shared" si="215"/>
        <v/>
      </c>
      <c r="R803" s="219" t="str">
        <f t="shared" si="216"/>
        <v/>
      </c>
      <c r="S803" s="330" t="str">
        <f t="shared" si="221"/>
        <v/>
      </c>
      <c r="T803" s="330" t="str">
        <f t="shared" si="223"/>
        <v/>
      </c>
      <c r="U803" s="330" t="str">
        <f t="shared" si="224"/>
        <v/>
      </c>
    </row>
    <row r="804" spans="1:21">
      <c r="A804" s="211">
        <f>IF(COUNTBLANK('RNEW import'!B802)=1,"",'RNEW import'!B802)</f>
        <v>9</v>
      </c>
      <c r="B804" s="211" t="str">
        <f>IF(COUNTBLANK('RNEW import'!D802)=1,"",'RNEW import'!D802)</f>
        <v>Nepi Ten Development Solutions  SRL</v>
      </c>
      <c r="C804" s="211" t="str">
        <f>IF(COUNTBLANK('RNEW import'!E802)=1,"",'RNEW import'!E802)</f>
        <v>RN10_Alba</v>
      </c>
      <c r="D804" s="211" t="str">
        <f>IF(COUNTBLANK('RNEW import'!K802)=1,"",'RNEW import'!K802)</f>
        <v>Contributie pentru cogenerare</v>
      </c>
      <c r="E804" s="211">
        <f>IF(COUNTBLANK('RNEW import'!L802)=1,"",'RNEW import'!N802)</f>
        <v>13329</v>
      </c>
      <c r="F804" s="211">
        <f>IF(COUNTBLANK('RNEW import'!M802)=1,"",'RNEW import'!O802/10000)</f>
        <v>3.5000000000000001E-3</v>
      </c>
      <c r="G804" s="217">
        <f t="shared" si="205"/>
        <v>46.65</v>
      </c>
      <c r="H804" s="217">
        <f t="shared" si="213"/>
        <v>8.86</v>
      </c>
      <c r="I804" s="329">
        <f t="shared" si="206"/>
        <v>55.51</v>
      </c>
      <c r="J804" s="263" t="str">
        <f t="shared" si="222"/>
        <v/>
      </c>
      <c r="K804" s="238" t="str">
        <f t="shared" si="209"/>
        <v/>
      </c>
      <c r="L804" s="238" t="str">
        <f t="shared" si="210"/>
        <v/>
      </c>
      <c r="M804" s="238" t="str">
        <f t="shared" si="211"/>
        <v/>
      </c>
      <c r="N804" s="238" t="str">
        <f t="shared" si="212"/>
        <v/>
      </c>
      <c r="O804" s="232" t="str">
        <f t="shared" si="217"/>
        <v/>
      </c>
      <c r="P804" s="219" t="str">
        <f t="shared" si="214"/>
        <v/>
      </c>
      <c r="Q804" s="219" t="str">
        <f t="shared" si="215"/>
        <v/>
      </c>
      <c r="R804" s="219" t="str">
        <f t="shared" si="216"/>
        <v/>
      </c>
      <c r="S804" s="330" t="str">
        <f t="shared" si="221"/>
        <v/>
      </c>
      <c r="T804" s="330" t="str">
        <f t="shared" si="223"/>
        <v/>
      </c>
      <c r="U804" s="330" t="str">
        <f t="shared" si="224"/>
        <v/>
      </c>
    </row>
    <row r="805" spans="1:21">
      <c r="A805" s="211">
        <f>IF(COUNTBLANK('RNEW import'!B803)=1,"",'RNEW import'!B803)</f>
        <v>10</v>
      </c>
      <c r="B805" s="211" t="str">
        <f>IF(COUNTBLANK('RNEW import'!D803)=1,"",'RNEW import'!D803)</f>
        <v>Nepi Ten Development Solutions  SRL</v>
      </c>
      <c r="C805" s="211" t="str">
        <f>IF(COUNTBLANK('RNEW import'!E803)=1,"",'RNEW import'!E803)</f>
        <v>RN10_Alba</v>
      </c>
      <c r="D805" s="211" t="str">
        <f>IF(COUNTBLANK('RNEW import'!K803)=1,"",'RNEW import'!K803)</f>
        <v xml:space="preserve">Certificate verzi </v>
      </c>
      <c r="E805" s="211">
        <f>IF(COUNTBLANK('RNEW import'!L803)=1,"",'RNEW import'!N803)</f>
        <v>13329</v>
      </c>
      <c r="F805" s="211">
        <f>IF(COUNTBLANK('RNEW import'!M803)=1,"",'RNEW import'!O803/10000)</f>
        <v>7.2541599999999998E-2</v>
      </c>
      <c r="G805" s="217">
        <f t="shared" ref="G805:G868" si="225">ROUND(E805*F805,2)</f>
        <v>966.91</v>
      </c>
      <c r="H805" s="217">
        <f t="shared" si="213"/>
        <v>183.71</v>
      </c>
      <c r="I805" s="329">
        <f t="shared" ref="I805:I868" si="226">G805+H805</f>
        <v>1150.6199999999999</v>
      </c>
      <c r="J805" s="263" t="str">
        <f t="shared" si="222"/>
        <v/>
      </c>
      <c r="K805" s="238" t="str">
        <f t="shared" si="209"/>
        <v/>
      </c>
      <c r="L805" s="238" t="str">
        <f t="shared" si="210"/>
        <v/>
      </c>
      <c r="M805" s="238" t="str">
        <f t="shared" si="211"/>
        <v/>
      </c>
      <c r="N805" s="238" t="str">
        <f t="shared" si="212"/>
        <v/>
      </c>
      <c r="O805" s="232" t="str">
        <f t="shared" si="217"/>
        <v/>
      </c>
      <c r="P805" s="219" t="str">
        <f t="shared" si="214"/>
        <v/>
      </c>
      <c r="Q805" s="219" t="str">
        <f t="shared" si="215"/>
        <v/>
      </c>
      <c r="R805" s="219" t="str">
        <f t="shared" si="216"/>
        <v/>
      </c>
      <c r="S805" s="330" t="str">
        <f t="shared" si="221"/>
        <v/>
      </c>
      <c r="T805" s="330" t="str">
        <f t="shared" si="223"/>
        <v/>
      </c>
      <c r="U805" s="330" t="str">
        <f t="shared" si="224"/>
        <v/>
      </c>
    </row>
    <row r="806" spans="1:21">
      <c r="A806" s="211">
        <f>IF(COUNTBLANK('RNEW import'!B804)=1,"",'RNEW import'!B804)</f>
        <v>11</v>
      </c>
      <c r="B806" s="211" t="str">
        <f>IF(COUNTBLANK('RNEW import'!D804)=1,"",'RNEW import'!D804)</f>
        <v>Nepi Ten Development Solutions  SRL</v>
      </c>
      <c r="C806" s="211" t="str">
        <f>IF(COUNTBLANK('RNEW import'!E804)=1,"",'RNEW import'!E804)</f>
        <v>RN10_Alba</v>
      </c>
      <c r="D806" s="211" t="str">
        <f>IF(COUNTBLANK('RNEW import'!K804)=1,"",'RNEW import'!K804)</f>
        <v>Contributie CFD</v>
      </c>
      <c r="E806" s="211">
        <f>IF(COUNTBLANK('RNEW import'!L804)=1,"",'RNEW import'!N804)</f>
        <v>13329</v>
      </c>
      <c r="F806" s="211">
        <f>IF(COUNTBLANK('RNEW import'!M804)=1,"",'RNEW import'!O804/10000)</f>
        <v>2.0599999999999999E-4</v>
      </c>
      <c r="G806" s="217">
        <f t="shared" si="225"/>
        <v>2.75</v>
      </c>
      <c r="H806" s="217">
        <f t="shared" si="213"/>
        <v>0.52</v>
      </c>
      <c r="I806" s="329">
        <f t="shared" si="226"/>
        <v>3.27</v>
      </c>
      <c r="J806" s="263" t="str">
        <f t="shared" si="222"/>
        <v/>
      </c>
      <c r="K806" s="238" t="str">
        <f t="shared" si="209"/>
        <v/>
      </c>
      <c r="L806" s="238" t="str">
        <f t="shared" si="210"/>
        <v/>
      </c>
      <c r="M806" s="238" t="str">
        <f t="shared" si="211"/>
        <v/>
      </c>
      <c r="N806" s="238" t="str">
        <f t="shared" si="212"/>
        <v/>
      </c>
      <c r="O806" s="232" t="str">
        <f t="shared" si="217"/>
        <v/>
      </c>
      <c r="P806" s="219" t="str">
        <f t="shared" si="214"/>
        <v/>
      </c>
      <c r="Q806" s="219" t="str">
        <f t="shared" si="215"/>
        <v/>
      </c>
      <c r="R806" s="219" t="str">
        <f t="shared" si="216"/>
        <v/>
      </c>
      <c r="S806" s="330" t="str">
        <f t="shared" si="221"/>
        <v/>
      </c>
      <c r="T806" s="330" t="str">
        <f t="shared" si="223"/>
        <v/>
      </c>
      <c r="U806" s="330" t="str">
        <f t="shared" si="224"/>
        <v/>
      </c>
    </row>
    <row r="807" spans="1:21">
      <c r="A807" s="211">
        <f>IF(COUNTBLANK('RNEW import'!B805)=1,"",'RNEW import'!B805)</f>
        <v>12</v>
      </c>
      <c r="B807" s="211" t="str">
        <f>IF(COUNTBLANK('RNEW import'!D805)=1,"",'RNEW import'!D805)</f>
        <v>Nepi Ten Development Solutions  SRL</v>
      </c>
      <c r="C807" s="211" t="str">
        <f>IF(COUNTBLANK('RNEW import'!E805)=1,"",'RNEW import'!E805)</f>
        <v>RN10_Alba</v>
      </c>
      <c r="D807" s="211" t="str">
        <f>IF(COUNTBLANK('RNEW import'!K805)=1,"",'RNEW import'!K805)</f>
        <v>Acciza</v>
      </c>
      <c r="E807" s="211">
        <f>IF(COUNTBLANK('RNEW import'!L805)=1,"",'RNEW import'!N805)</f>
        <v>13329</v>
      </c>
      <c r="F807" s="211">
        <f>IF(COUNTBLANK('RNEW import'!M805)=1,"",'RNEW import'!O805/10000)</f>
        <v>0</v>
      </c>
      <c r="G807" s="217">
        <f t="shared" si="225"/>
        <v>0</v>
      </c>
      <c r="H807" s="217">
        <f t="shared" si="213"/>
        <v>0</v>
      </c>
      <c r="I807" s="329">
        <f t="shared" si="226"/>
        <v>0</v>
      </c>
      <c r="J807" s="263" t="str">
        <f t="shared" si="222"/>
        <v/>
      </c>
      <c r="K807" s="238" t="str">
        <f t="shared" si="209"/>
        <v/>
      </c>
      <c r="L807" s="238" t="str">
        <f t="shared" si="210"/>
        <v/>
      </c>
      <c r="M807" s="238" t="str">
        <f t="shared" si="211"/>
        <v/>
      </c>
      <c r="N807" s="238" t="str">
        <f t="shared" si="212"/>
        <v/>
      </c>
      <c r="O807" s="232" t="str">
        <f t="shared" si="217"/>
        <v/>
      </c>
      <c r="P807" s="219" t="str">
        <f t="shared" si="214"/>
        <v/>
      </c>
      <c r="Q807" s="219" t="str">
        <f t="shared" si="215"/>
        <v/>
      </c>
      <c r="R807" s="219" t="str">
        <f t="shared" si="216"/>
        <v/>
      </c>
      <c r="S807" s="330" t="str">
        <f t="shared" si="221"/>
        <v/>
      </c>
      <c r="T807" s="330" t="str">
        <f t="shared" si="223"/>
        <v/>
      </c>
      <c r="U807" s="330" t="str">
        <f t="shared" si="224"/>
        <v/>
      </c>
    </row>
    <row r="808" spans="1:21">
      <c r="A808" s="211">
        <f>IF(COUNTBLANK('RNEW import'!B806)=1,"",'RNEW import'!B806)</f>
        <v>13</v>
      </c>
      <c r="B808" s="211" t="str">
        <f>IF(COUNTBLANK('RNEW import'!D806)=1,"",'RNEW import'!D806)</f>
        <v>Nepi Ten Development Solutions  SRL</v>
      </c>
      <c r="C808" s="211" t="str">
        <f>IF(COUNTBLANK('RNEW import'!E806)=1,"",'RNEW import'!E806)</f>
        <v>RN10_Alba</v>
      </c>
      <c r="D808" s="211" t="str">
        <f>IF(COUNTBLANK('RNEW import'!K806)=1,"",'RNEW import'!K806)</f>
        <v>Tarif distributie SDI MT</v>
      </c>
      <c r="E808" s="211">
        <f>IF(COUNTBLANK('RNEW import'!L806)=1,"",'RNEW import'!N806)</f>
        <v>13329</v>
      </c>
      <c r="F808" s="211">
        <f>IF(COUNTBLANK('RNEW import'!M806)=1,"",'RNEW import'!O806/10000)</f>
        <v>1.26E-2</v>
      </c>
      <c r="G808" s="217">
        <f t="shared" si="225"/>
        <v>167.95</v>
      </c>
      <c r="H808" s="217">
        <f t="shared" si="213"/>
        <v>31.91</v>
      </c>
      <c r="I808" s="329">
        <f t="shared" si="226"/>
        <v>199.85999999999999</v>
      </c>
      <c r="J808" s="263" t="str">
        <f t="shared" si="222"/>
        <v/>
      </c>
      <c r="K808" s="238" t="str">
        <f t="shared" si="209"/>
        <v/>
      </c>
      <c r="L808" s="238" t="str">
        <f t="shared" si="210"/>
        <v/>
      </c>
      <c r="M808" s="238" t="str">
        <f t="shared" si="211"/>
        <v/>
      </c>
      <c r="N808" s="238" t="str">
        <f t="shared" si="212"/>
        <v/>
      </c>
      <c r="O808" s="232" t="str">
        <f t="shared" si="217"/>
        <v/>
      </c>
      <c r="P808" s="219" t="str">
        <f t="shared" si="214"/>
        <v/>
      </c>
      <c r="Q808" s="219" t="str">
        <f t="shared" si="215"/>
        <v/>
      </c>
      <c r="R808" s="219" t="str">
        <f t="shared" si="216"/>
        <v/>
      </c>
      <c r="S808" s="330" t="str">
        <f t="shared" si="221"/>
        <v/>
      </c>
      <c r="T808" s="330" t="str">
        <f t="shared" si="223"/>
        <v/>
      </c>
      <c r="U808" s="330" t="str">
        <f t="shared" si="224"/>
        <v/>
      </c>
    </row>
    <row r="809" spans="1:21">
      <c r="A809" s="211">
        <f>IF(COUNTBLANK('RNEW import'!B807)=1,"",'RNEW import'!B807)</f>
        <v>14</v>
      </c>
      <c r="B809" s="211" t="str">
        <f>IF(COUNTBLANK('RNEW import'!D807)=1,"",'RNEW import'!D807)</f>
        <v>Nepi Ten Development Solutions  SRL</v>
      </c>
      <c r="C809" s="211" t="str">
        <f>IF(COUNTBLANK('RNEW import'!E807)=1,"",'RNEW import'!E807)</f>
        <v>RN10_Alba</v>
      </c>
      <c r="D809" s="211" t="str">
        <f>IF(COUNTBLANK('RNEW import'!K807)=1,"",'RNEW import'!K807)</f>
        <v>Tarif distributie SDI JT</v>
      </c>
      <c r="E809" s="211">
        <f>IF(COUNTBLANK('RNEW import'!L807)=1,"",'RNEW import'!N807)</f>
        <v>13329</v>
      </c>
      <c r="F809" s="211">
        <f>IF(COUNTBLANK('RNEW import'!M807)=1,"",'RNEW import'!O807/10000)</f>
        <v>9.2700000000000005E-2</v>
      </c>
      <c r="G809" s="217">
        <f t="shared" si="225"/>
        <v>1235.5999999999999</v>
      </c>
      <c r="H809" s="217">
        <f t="shared" si="213"/>
        <v>234.76</v>
      </c>
      <c r="I809" s="329">
        <f t="shared" si="226"/>
        <v>1470.36</v>
      </c>
      <c r="J809" s="263" t="str">
        <f t="shared" si="222"/>
        <v/>
      </c>
      <c r="K809" s="238" t="str">
        <f t="shared" si="209"/>
        <v/>
      </c>
      <c r="L809" s="238" t="str">
        <f t="shared" si="210"/>
        <v/>
      </c>
      <c r="M809" s="238" t="str">
        <f t="shared" si="211"/>
        <v/>
      </c>
      <c r="N809" s="238" t="str">
        <f t="shared" si="212"/>
        <v/>
      </c>
      <c r="O809" s="232" t="str">
        <f t="shared" si="217"/>
        <v/>
      </c>
      <c r="P809" s="219" t="str">
        <f t="shared" si="214"/>
        <v/>
      </c>
      <c r="Q809" s="219" t="str">
        <f t="shared" si="215"/>
        <v/>
      </c>
      <c r="R809" s="219" t="str">
        <f t="shared" si="216"/>
        <v/>
      </c>
      <c r="S809" s="330" t="str">
        <f t="shared" si="221"/>
        <v/>
      </c>
      <c r="T809" s="330" t="str">
        <f t="shared" si="223"/>
        <v/>
      </c>
      <c r="U809" s="330" t="str">
        <f t="shared" si="224"/>
        <v/>
      </c>
    </row>
    <row r="810" spans="1:21">
      <c r="A810" s="211">
        <f>IF(COUNTBLANK('RNEW import'!B808)=1,"",'RNEW import'!B808)</f>
        <v>15</v>
      </c>
      <c r="B810" s="211" t="str">
        <f>IF(COUNTBLANK('RNEW import'!D808)=1,"",'RNEW import'!D808)</f>
        <v>Nepi Ten Development Solutions  SRL</v>
      </c>
      <c r="C810" s="211" t="str">
        <f>IF(COUNTBLANK('RNEW import'!E808)=1,"",'RNEW import'!E808)</f>
        <v>RN10_Alba</v>
      </c>
      <c r="D810" s="211" t="str">
        <f>IF(COUNTBLANK('RNEW import'!K808)=1,"",'RNEW import'!K808)</f>
        <v>Energie activa 2</v>
      </c>
      <c r="E810" s="211">
        <f>IF(COUNTBLANK('RNEW import'!L808)=1,"",'RNEW import'!N808)</f>
        <v>14978</v>
      </c>
      <c r="F810" s="211">
        <f>IF(COUNTBLANK('RNEW import'!M808)=1,"",'RNEW import'!O808/10000)</f>
        <v>0.93920760000000014</v>
      </c>
      <c r="G810" s="217">
        <f t="shared" si="225"/>
        <v>14067.45</v>
      </c>
      <c r="H810" s="217">
        <f t="shared" si="213"/>
        <v>2672.82</v>
      </c>
      <c r="I810" s="329">
        <f t="shared" si="226"/>
        <v>16740.27</v>
      </c>
      <c r="J810" s="263" t="str">
        <f t="shared" si="222"/>
        <v/>
      </c>
      <c r="K810" s="238" t="str">
        <f t="shared" si="209"/>
        <v/>
      </c>
      <c r="L810" s="238" t="str">
        <f t="shared" si="210"/>
        <v/>
      </c>
      <c r="M810" s="238" t="str">
        <f t="shared" si="211"/>
        <v/>
      </c>
      <c r="N810" s="238" t="str">
        <f t="shared" si="212"/>
        <v/>
      </c>
      <c r="O810" s="232" t="str">
        <f t="shared" ref="O810:O873" si="227">IF(A810=1,B810,"")</f>
        <v/>
      </c>
      <c r="P810" s="219" t="str">
        <f t="shared" si="214"/>
        <v/>
      </c>
      <c r="Q810" s="219" t="str">
        <f t="shared" si="215"/>
        <v/>
      </c>
      <c r="R810" s="219" t="str">
        <f t="shared" si="216"/>
        <v/>
      </c>
      <c r="S810" s="330" t="str">
        <f t="shared" si="221"/>
        <v/>
      </c>
      <c r="T810" s="330" t="str">
        <f t="shared" si="223"/>
        <v/>
      </c>
      <c r="U810" s="330" t="str">
        <f t="shared" si="224"/>
        <v/>
      </c>
    </row>
    <row r="811" spans="1:21">
      <c r="A811" s="211">
        <f>IF(COUNTBLANK('RNEW import'!B809)=1,"",'RNEW import'!B809)</f>
        <v>16</v>
      </c>
      <c r="B811" s="211" t="str">
        <f>IF(COUNTBLANK('RNEW import'!D809)=1,"",'RNEW import'!D809)</f>
        <v>Nepi Ten Development Solutions  SRL</v>
      </c>
      <c r="C811" s="211" t="str">
        <f>IF(COUNTBLANK('RNEW import'!E809)=1,"",'RNEW import'!E809)</f>
        <v>RN10_Alba</v>
      </c>
      <c r="D811" s="211" t="str">
        <f>IF(COUNTBLANK('RNEW import'!K809)=1,"",'RNEW import'!K809)</f>
        <v>Energie activa 3</v>
      </c>
      <c r="E811" s="211">
        <f>IF(COUNTBLANK('RNEW import'!L809)=1,"",'RNEW import'!N809)</f>
        <v>0</v>
      </c>
      <c r="F811" s="211">
        <f>IF(COUNTBLANK('RNEW import'!M809)=1,"",'RNEW import'!O809/10000)</f>
        <v>0.83390760000000008</v>
      </c>
      <c r="G811" s="217">
        <f t="shared" si="225"/>
        <v>0</v>
      </c>
      <c r="H811" s="217">
        <f t="shared" si="213"/>
        <v>0</v>
      </c>
      <c r="I811" s="329">
        <f t="shared" si="226"/>
        <v>0</v>
      </c>
      <c r="J811" s="263" t="str">
        <f t="shared" si="222"/>
        <v/>
      </c>
      <c r="K811" s="238" t="str">
        <f t="shared" si="209"/>
        <v/>
      </c>
      <c r="L811" s="238" t="str">
        <f t="shared" si="210"/>
        <v/>
      </c>
      <c r="M811" s="238" t="str">
        <f t="shared" si="211"/>
        <v/>
      </c>
      <c r="N811" s="238" t="str">
        <f t="shared" si="212"/>
        <v/>
      </c>
      <c r="O811" s="232" t="str">
        <f t="shared" si="227"/>
        <v/>
      </c>
      <c r="P811" s="219" t="str">
        <f t="shared" si="214"/>
        <v/>
      </c>
      <c r="Q811" s="219" t="str">
        <f t="shared" si="215"/>
        <v/>
      </c>
      <c r="R811" s="219" t="str">
        <f t="shared" si="216"/>
        <v/>
      </c>
      <c r="S811" s="330" t="str">
        <f t="shared" si="221"/>
        <v/>
      </c>
      <c r="T811" s="330" t="str">
        <f t="shared" si="223"/>
        <v/>
      </c>
      <c r="U811" s="330" t="str">
        <f t="shared" si="224"/>
        <v/>
      </c>
    </row>
    <row r="812" spans="1:21">
      <c r="A812" s="211">
        <f>IF(COUNTBLANK('RNEW import'!B810)=1,"",'RNEW import'!B810)</f>
        <v>17</v>
      </c>
      <c r="B812" s="211" t="str">
        <f>IF(COUNTBLANK('RNEW import'!D810)=1,"",'RNEW import'!D810)</f>
        <v>Nepi Ten Development Solutions  SRL</v>
      </c>
      <c r="C812" s="211" t="str">
        <f>IF(COUNTBLANK('RNEW import'!E810)=1,"",'RNEW import'!E810)</f>
        <v>RN10_Alba</v>
      </c>
      <c r="D812" s="211" t="str">
        <f>IF(COUNTBLANK('RNEW import'!K810)=1,"",'RNEW import'!K810)</f>
        <v>Tarif distributie SDI MT_</v>
      </c>
      <c r="E812" s="211">
        <f>IF(COUNTBLANK('RNEW import'!L810)=1,"",'RNEW import'!N810)</f>
        <v>0</v>
      </c>
      <c r="F812" s="211">
        <f>IF(COUNTBLANK('RNEW import'!M810)=1,"",'RNEW import'!O810/10000)</f>
        <v>1.26E-2</v>
      </c>
      <c r="G812" s="217">
        <f t="shared" si="225"/>
        <v>0</v>
      </c>
      <c r="H812" s="217">
        <f t="shared" si="213"/>
        <v>0</v>
      </c>
      <c r="I812" s="329">
        <f t="shared" si="226"/>
        <v>0</v>
      </c>
      <c r="J812" s="263" t="str">
        <f t="shared" si="222"/>
        <v/>
      </c>
      <c r="K812" s="238" t="str">
        <f t="shared" si="209"/>
        <v/>
      </c>
      <c r="L812" s="238" t="str">
        <f t="shared" si="210"/>
        <v/>
      </c>
      <c r="M812" s="238" t="str">
        <f t="shared" si="211"/>
        <v/>
      </c>
      <c r="N812" s="238" t="str">
        <f t="shared" si="212"/>
        <v/>
      </c>
      <c r="O812" s="232" t="str">
        <f t="shared" si="227"/>
        <v/>
      </c>
      <c r="P812" s="219" t="str">
        <f t="shared" si="214"/>
        <v/>
      </c>
      <c r="Q812" s="219" t="str">
        <f t="shared" si="215"/>
        <v/>
      </c>
      <c r="R812" s="219" t="str">
        <f t="shared" si="216"/>
        <v/>
      </c>
      <c r="S812" s="330" t="str">
        <f t="shared" si="221"/>
        <v/>
      </c>
      <c r="T812" s="330" t="str">
        <f t="shared" si="223"/>
        <v/>
      </c>
      <c r="U812" s="330" t="str">
        <f t="shared" si="224"/>
        <v/>
      </c>
    </row>
    <row r="813" spans="1:21">
      <c r="A813" s="211">
        <f>IF(COUNTBLANK('RNEW import'!B811)=1,"",'RNEW import'!B811)</f>
        <v>18</v>
      </c>
      <c r="B813" s="211" t="str">
        <f>IF(COUNTBLANK('RNEW import'!D811)=1,"",'RNEW import'!D811)</f>
        <v>Nepi Ten Development Solutions  SRL</v>
      </c>
      <c r="C813" s="211" t="str">
        <f>IF(COUNTBLANK('RNEW import'!E811)=1,"",'RNEW import'!E811)</f>
        <v>RN10_Alba</v>
      </c>
      <c r="D813" s="211" t="str">
        <f>IF(COUNTBLANK('RNEW import'!K811)=1,"",'RNEW import'!K811)</f>
        <v>Tarif distributie SDI JT_</v>
      </c>
      <c r="E813" s="211">
        <f>IF(COUNTBLANK('RNEW import'!L811)=1,"",'RNEW import'!N811)</f>
        <v>0</v>
      </c>
      <c r="F813" s="211">
        <f>IF(COUNTBLANK('RNEW import'!M811)=1,"",'RNEW import'!O811/10000)</f>
        <v>9.2700000000000005E-2</v>
      </c>
      <c r="G813" s="217">
        <f t="shared" si="225"/>
        <v>0</v>
      </c>
      <c r="H813" s="217">
        <f t="shared" si="213"/>
        <v>0</v>
      </c>
      <c r="I813" s="329">
        <f t="shared" si="226"/>
        <v>0</v>
      </c>
      <c r="J813" s="263" t="str">
        <f t="shared" si="222"/>
        <v/>
      </c>
      <c r="K813" s="238" t="str">
        <f t="shared" si="209"/>
        <v/>
      </c>
      <c r="L813" s="238" t="str">
        <f t="shared" si="210"/>
        <v/>
      </c>
      <c r="M813" s="238" t="str">
        <f t="shared" si="211"/>
        <v/>
      </c>
      <c r="N813" s="238" t="str">
        <f t="shared" si="212"/>
        <v/>
      </c>
      <c r="O813" s="232" t="str">
        <f t="shared" si="227"/>
        <v/>
      </c>
      <c r="P813" s="219" t="str">
        <f t="shared" si="214"/>
        <v>Energie consumata din PV</v>
      </c>
      <c r="Q813" s="219">
        <f t="shared" si="215"/>
        <v>14978</v>
      </c>
      <c r="R813" s="219">
        <f t="shared" si="216"/>
        <v>0.93920800000000004</v>
      </c>
      <c r="S813" s="330">
        <f t="shared" si="221"/>
        <v>14067.45</v>
      </c>
      <c r="T813" s="330">
        <f t="shared" si="223"/>
        <v>2672.82</v>
      </c>
      <c r="U813" s="330">
        <f t="shared" si="224"/>
        <v>16740.27</v>
      </c>
    </row>
    <row r="814" spans="1:21">
      <c r="A814" s="211">
        <f>IF(COUNTBLANK('RNEW import'!B812)=1,"",'RNEW import'!B812)</f>
        <v>19</v>
      </c>
      <c r="B814" s="211" t="str">
        <f>IF(COUNTBLANK('RNEW import'!D812)=1,"",'RNEW import'!D812)</f>
        <v>Nepi Ten Development Solutions  SRL</v>
      </c>
      <c r="C814" s="211" t="str">
        <f>IF(COUNTBLANK('RNEW import'!E812)=1,"",'RNEW import'!E812)</f>
        <v>RN10_Alba</v>
      </c>
      <c r="D814" s="211" t="str">
        <f>IF(COUNTBLANK('RNEW import'!K812)=1,"",'RNEW import'!K812)</f>
        <v>Regularizare Energie activa 1</v>
      </c>
      <c r="E814" s="211">
        <f>IF(COUNTBLANK('RNEW import'!L812)=1,"",'RNEW import'!N812)</f>
        <v>0</v>
      </c>
      <c r="F814" s="211">
        <f>IF(COUNTBLANK('RNEW import'!M812)=1,"",'RNEW import'!O812/10000)</f>
        <v>0.59499999999999997</v>
      </c>
      <c r="G814" s="217">
        <f t="shared" si="225"/>
        <v>0</v>
      </c>
      <c r="H814" s="217">
        <f t="shared" si="213"/>
        <v>0</v>
      </c>
      <c r="I814" s="329">
        <f t="shared" si="226"/>
        <v>0</v>
      </c>
      <c r="J814" s="263" t="str">
        <f t="shared" si="222"/>
        <v/>
      </c>
      <c r="K814" s="238" t="str">
        <f t="shared" si="209"/>
        <v/>
      </c>
      <c r="L814" s="238" t="str">
        <f t="shared" si="210"/>
        <v/>
      </c>
      <c r="M814" s="238" t="str">
        <f t="shared" si="211"/>
        <v/>
      </c>
      <c r="N814" s="238" t="str">
        <f t="shared" si="212"/>
        <v/>
      </c>
      <c r="O814" s="232" t="str">
        <f t="shared" si="227"/>
        <v/>
      </c>
      <c r="P814" s="219" t="str">
        <f t="shared" si="214"/>
        <v>Energie activa regularizare</v>
      </c>
      <c r="Q814" s="219">
        <f t="shared" si="215"/>
        <v>0</v>
      </c>
      <c r="R814" s="219">
        <f t="shared" si="216"/>
        <v>0</v>
      </c>
      <c r="S814" s="330">
        <f t="shared" si="221"/>
        <v>0</v>
      </c>
      <c r="T814" s="330">
        <f t="shared" si="223"/>
        <v>0</v>
      </c>
      <c r="U814" s="330">
        <f t="shared" si="224"/>
        <v>0</v>
      </c>
    </row>
    <row r="815" spans="1:21">
      <c r="A815" s="211">
        <f>IF(COUNTBLANK('RNEW import'!B813)=1,"",'RNEW import'!B813)</f>
        <v>20</v>
      </c>
      <c r="B815" s="211" t="str">
        <f>IF(COUNTBLANK('RNEW import'!D813)=1,"",'RNEW import'!D813)</f>
        <v>Nepi Ten Development Solutions  SRL</v>
      </c>
      <c r="C815" s="211" t="str">
        <f>IF(COUNTBLANK('RNEW import'!E813)=1,"",'RNEW import'!E813)</f>
        <v>RN10_Alba</v>
      </c>
      <c r="D815" s="211" t="str">
        <f>IF(COUNTBLANK('RNEW import'!K813)=1,"",'RNEW import'!K813)</f>
        <v>Regularizare Energie reactiva  1X</v>
      </c>
      <c r="E815" s="211">
        <f>IF(COUNTBLANK('RNEW import'!L813)=1,"",'RNEW import'!N813)</f>
        <v>9</v>
      </c>
      <c r="F815" s="211">
        <f>IF(COUNTBLANK('RNEW import'!M813)=1,"",'RNEW import'!O813/10000)</f>
        <v>0.14649999999999999</v>
      </c>
      <c r="G815" s="217">
        <f t="shared" si="225"/>
        <v>1.32</v>
      </c>
      <c r="H815" s="217">
        <f t="shared" si="213"/>
        <v>0.25</v>
      </c>
      <c r="I815" s="329">
        <f t="shared" si="226"/>
        <v>1.57</v>
      </c>
      <c r="J815" s="263" t="str">
        <f t="shared" si="222"/>
        <v/>
      </c>
      <c r="K815" s="238" t="str">
        <f t="shared" si="209"/>
        <v/>
      </c>
      <c r="L815" s="238" t="str">
        <f t="shared" si="210"/>
        <v/>
      </c>
      <c r="M815" s="238" t="str">
        <f t="shared" si="211"/>
        <v/>
      </c>
      <c r="N815" s="238" t="str">
        <f t="shared" si="212"/>
        <v/>
      </c>
      <c r="O815" s="232" t="str">
        <f t="shared" si="227"/>
        <v/>
      </c>
      <c r="P815" s="219" t="str">
        <f t="shared" si="214"/>
        <v>Energie reactiva 1x regularizare</v>
      </c>
      <c r="Q815" s="219">
        <f t="shared" si="215"/>
        <v>9</v>
      </c>
      <c r="R815" s="219">
        <f t="shared" si="216"/>
        <v>0.14649999999999999</v>
      </c>
      <c r="S815" s="330">
        <f t="shared" si="221"/>
        <v>1.32</v>
      </c>
      <c r="T815" s="330">
        <f t="shared" si="223"/>
        <v>0.25</v>
      </c>
      <c r="U815" s="330">
        <f t="shared" si="224"/>
        <v>1.57</v>
      </c>
    </row>
    <row r="816" spans="1:21">
      <c r="A816" s="211">
        <f>IF(COUNTBLANK('RNEW import'!B814)=1,"",'RNEW import'!B814)</f>
        <v>21</v>
      </c>
      <c r="B816" s="211" t="str">
        <f>IF(COUNTBLANK('RNEW import'!D814)=1,"",'RNEW import'!D814)</f>
        <v>Nepi Ten Development Solutions  SRL</v>
      </c>
      <c r="C816" s="211" t="str">
        <f>IF(COUNTBLANK('RNEW import'!E814)=1,"",'RNEW import'!E814)</f>
        <v>RN10_Alba</v>
      </c>
      <c r="D816" s="211" t="str">
        <f>IF(COUNTBLANK('RNEW import'!K814)=1,"",'RNEW import'!K814)</f>
        <v>Regularizare Energie reactiva  3X</v>
      </c>
      <c r="E816" s="211">
        <f>IF(COUNTBLANK('RNEW import'!L814)=1,"",'RNEW import'!N814)</f>
        <v>3</v>
      </c>
      <c r="F816" s="211">
        <f>IF(COUNTBLANK('RNEW import'!M814)=1,"",'RNEW import'!O814/10000)</f>
        <v>0.4395</v>
      </c>
      <c r="G816" s="217">
        <f t="shared" si="225"/>
        <v>1.32</v>
      </c>
      <c r="H816" s="217">
        <f t="shared" si="213"/>
        <v>0.25</v>
      </c>
      <c r="I816" s="329">
        <f t="shared" si="226"/>
        <v>1.57</v>
      </c>
      <c r="J816" s="263" t="str">
        <f t="shared" si="222"/>
        <v/>
      </c>
      <c r="K816" s="238" t="str">
        <f t="shared" si="209"/>
        <v/>
      </c>
      <c r="L816" s="238" t="str">
        <f t="shared" si="210"/>
        <v/>
      </c>
      <c r="M816" s="238" t="str">
        <f t="shared" si="211"/>
        <v/>
      </c>
      <c r="N816" s="238" t="str">
        <f t="shared" si="212"/>
        <v/>
      </c>
      <c r="O816" s="232" t="str">
        <f t="shared" si="227"/>
        <v/>
      </c>
      <c r="P816" s="219" t="str">
        <f t="shared" si="214"/>
        <v>Energie reactiva 3x regularizare</v>
      </c>
      <c r="Q816" s="219">
        <f t="shared" si="215"/>
        <v>3</v>
      </c>
      <c r="R816" s="219">
        <f t="shared" si="216"/>
        <v>0.4395</v>
      </c>
      <c r="S816" s="330">
        <f t="shared" si="221"/>
        <v>1.32</v>
      </c>
      <c r="T816" s="330">
        <f t="shared" si="223"/>
        <v>0.25</v>
      </c>
      <c r="U816" s="330">
        <f t="shared" si="224"/>
        <v>1.57</v>
      </c>
    </row>
    <row r="817" spans="1:21">
      <c r="A817" s="211">
        <f>IF(COUNTBLANK('RNEW import'!B815)=1,"",'RNEW import'!B815)</f>
        <v>22</v>
      </c>
      <c r="B817" s="211" t="str">
        <f>IF(COUNTBLANK('RNEW import'!D815)=1,"",'RNEW import'!D815)</f>
        <v>Nepi Ten Development Solutions  SRL</v>
      </c>
      <c r="C817" s="211" t="str">
        <f>IF(COUNTBLANK('RNEW import'!E815)=1,"",'RNEW import'!E815)</f>
        <v>RN10_Alba</v>
      </c>
      <c r="D817" s="211" t="str">
        <f>IF(COUNTBLANK('RNEW import'!K815)=1,"",'RNEW import'!K815)</f>
        <v>Regularizare Tarife distributie en. El IT+MT</v>
      </c>
      <c r="E817" s="211">
        <f>IF(COUNTBLANK('RNEW import'!L815)=1,"",'RNEW import'!N815)</f>
        <v>0</v>
      </c>
      <c r="F817" s="211">
        <f>IF(COUNTBLANK('RNEW import'!M815)=1,"",'RNEW import'!O815/10000)</f>
        <v>0.11483</v>
      </c>
      <c r="G817" s="217">
        <f t="shared" si="225"/>
        <v>0</v>
      </c>
      <c r="H817" s="217">
        <f t="shared" si="213"/>
        <v>0</v>
      </c>
      <c r="I817" s="329">
        <f t="shared" si="226"/>
        <v>0</v>
      </c>
      <c r="J817" s="263" t="str">
        <f t="shared" ref="J817:J880" si="228">IF(A817=1,_xlfn.CONCAT(B817," - ",RIGHT(C817,LEN(C817)-FIND("_",C817,1))),"")</f>
        <v/>
      </c>
      <c r="K817" s="238" t="str">
        <f t="shared" si="209"/>
        <v/>
      </c>
      <c r="L817" s="238" t="str">
        <f t="shared" si="210"/>
        <v/>
      </c>
      <c r="M817" s="238" t="str">
        <f t="shared" si="211"/>
        <v/>
      </c>
      <c r="N817" s="238" t="str">
        <f t="shared" si="212"/>
        <v/>
      </c>
      <c r="O817" s="232" t="str">
        <f t="shared" si="227"/>
        <v/>
      </c>
      <c r="P817" s="219" t="str">
        <f t="shared" si="214"/>
        <v/>
      </c>
      <c r="Q817" s="219" t="str">
        <f t="shared" si="215"/>
        <v/>
      </c>
      <c r="R817" s="219" t="str">
        <f t="shared" si="216"/>
        <v/>
      </c>
      <c r="S817" s="330" t="str">
        <f t="shared" si="221"/>
        <v/>
      </c>
      <c r="T817" s="330" t="str">
        <f t="shared" si="223"/>
        <v/>
      </c>
      <c r="U817" s="330" t="str">
        <f t="shared" si="224"/>
        <v/>
      </c>
    </row>
    <row r="818" spans="1:21">
      <c r="A818" s="211">
        <f>IF(COUNTBLANK('RNEW import'!B816)=1,"",'RNEW import'!B816)</f>
        <v>23</v>
      </c>
      <c r="B818" s="211" t="str">
        <f>IF(COUNTBLANK('RNEW import'!D816)=1,"",'RNEW import'!D816)</f>
        <v>Nepi Ten Development Solutions  SRL</v>
      </c>
      <c r="C818" s="211" t="str">
        <f>IF(COUNTBLANK('RNEW import'!E816)=1,"",'RNEW import'!E816)</f>
        <v>RN10_Alba</v>
      </c>
      <c r="D818" s="211" t="str">
        <f>IF(COUNTBLANK('RNEW import'!K816)=1,"",'RNEW import'!K816)</f>
        <v>Regularizare Tarife distributie en. El JT</v>
      </c>
      <c r="E818" s="211">
        <f>IF(COUNTBLANK('RNEW import'!L816)=1,"",'RNEW import'!N816)</f>
        <v>0</v>
      </c>
      <c r="F818" s="211">
        <f>IF(COUNTBLANK('RNEW import'!M816)=1,"",'RNEW import'!O816/10000)</f>
        <v>0.2361</v>
      </c>
      <c r="G818" s="217">
        <f t="shared" si="225"/>
        <v>0</v>
      </c>
      <c r="H818" s="217">
        <f t="shared" si="213"/>
        <v>0</v>
      </c>
      <c r="I818" s="329">
        <f t="shared" si="226"/>
        <v>0</v>
      </c>
      <c r="J818" s="263" t="str">
        <f t="shared" si="228"/>
        <v/>
      </c>
      <c r="K818" s="238" t="str">
        <f t="shared" si="209"/>
        <v/>
      </c>
      <c r="L818" s="238" t="str">
        <f t="shared" si="210"/>
        <v/>
      </c>
      <c r="M818" s="238" t="str">
        <f t="shared" si="211"/>
        <v/>
      </c>
      <c r="N818" s="238" t="str">
        <f t="shared" si="212"/>
        <v/>
      </c>
      <c r="O818" s="232" t="str">
        <f t="shared" si="227"/>
        <v/>
      </c>
      <c r="P818" s="219" t="str">
        <f t="shared" si="214"/>
        <v/>
      </c>
      <c r="Q818" s="219" t="str">
        <f t="shared" si="215"/>
        <v/>
      </c>
      <c r="R818" s="219" t="str">
        <f t="shared" si="216"/>
        <v/>
      </c>
      <c r="S818" s="330" t="str">
        <f t="shared" si="221"/>
        <v/>
      </c>
      <c r="T818" s="330" t="str">
        <f t="shared" si="223"/>
        <v/>
      </c>
      <c r="U818" s="330" t="str">
        <f t="shared" si="224"/>
        <v/>
      </c>
    </row>
    <row r="819" spans="1:21">
      <c r="A819" s="211">
        <f>IF(COUNTBLANK('RNEW import'!B817)=1,"",'RNEW import'!B817)</f>
        <v>24</v>
      </c>
      <c r="B819" s="211" t="str">
        <f>IF(COUNTBLANK('RNEW import'!D817)=1,"",'RNEW import'!D817)</f>
        <v>Nepi Ten Development Solutions  SRL</v>
      </c>
      <c r="C819" s="211" t="str">
        <f>IF(COUNTBLANK('RNEW import'!E817)=1,"",'RNEW import'!E817)</f>
        <v>RN10_Alba</v>
      </c>
      <c r="D819" s="211" t="str">
        <f>IF(COUNTBLANK('RNEW import'!K817)=1,"",'RNEW import'!K817)</f>
        <v xml:space="preserve">Regularizare Servicii Sistem </v>
      </c>
      <c r="E819" s="211">
        <f>IF(COUNTBLANK('RNEW import'!L817)=1,"",'RNEW import'!N817)</f>
        <v>0</v>
      </c>
      <c r="F819" s="211">
        <f>IF(COUNTBLANK('RNEW import'!M817)=1,"",'RNEW import'!O817/10000)</f>
        <v>1.1509999999999999E-2</v>
      </c>
      <c r="G819" s="217">
        <f t="shared" si="225"/>
        <v>0</v>
      </c>
      <c r="H819" s="217">
        <f t="shared" si="213"/>
        <v>0</v>
      </c>
      <c r="I819" s="329">
        <f t="shared" si="226"/>
        <v>0</v>
      </c>
      <c r="J819" s="263" t="str">
        <f t="shared" si="228"/>
        <v/>
      </c>
      <c r="K819" s="238" t="str">
        <f t="shared" si="209"/>
        <v/>
      </c>
      <c r="L819" s="238" t="str">
        <f t="shared" si="210"/>
        <v/>
      </c>
      <c r="M819" s="238" t="str">
        <f t="shared" si="211"/>
        <v/>
      </c>
      <c r="N819" s="238" t="str">
        <f t="shared" si="212"/>
        <v/>
      </c>
      <c r="O819" s="233" t="str">
        <f t="shared" si="227"/>
        <v/>
      </c>
      <c r="P819" s="219" t="str">
        <f t="shared" si="214"/>
        <v/>
      </c>
      <c r="Q819" s="219" t="str">
        <f t="shared" si="215"/>
        <v/>
      </c>
      <c r="R819" s="219" t="str">
        <f t="shared" si="216"/>
        <v/>
      </c>
      <c r="S819" s="330" t="str">
        <f t="shared" si="221"/>
        <v/>
      </c>
      <c r="T819" s="330" t="str">
        <f t="shared" si="223"/>
        <v/>
      </c>
      <c r="U819" s="330" t="str">
        <f t="shared" si="224"/>
        <v/>
      </c>
    </row>
    <row r="820" spans="1:21">
      <c r="A820" s="211">
        <f>IF(COUNTBLANK('RNEW import'!B818)=1,"",'RNEW import'!B818)</f>
        <v>25</v>
      </c>
      <c r="B820" s="211" t="str">
        <f>IF(COUNTBLANK('RNEW import'!D818)=1,"",'RNEW import'!D818)</f>
        <v>Nepi Ten Development Solutions  SRL</v>
      </c>
      <c r="C820" s="211" t="str">
        <f>IF(COUNTBLANK('RNEW import'!E818)=1,"",'RNEW import'!E818)</f>
        <v>RN10_Alba</v>
      </c>
      <c r="D820" s="211" t="str">
        <f>IF(COUNTBLANK('RNEW import'!K818)=1,"",'RNEW import'!K818)</f>
        <v>Regularizare Tarif de introducere en. el in retea (TL)</v>
      </c>
      <c r="E820" s="211">
        <f>IF(COUNTBLANK('RNEW import'!L818)=1,"",'RNEW import'!N818)</f>
        <v>0</v>
      </c>
      <c r="F820" s="211">
        <f>IF(COUNTBLANK('RNEW import'!M818)=1,"",'RNEW import'!O818/10000)</f>
        <v>3.3030000000000004E-2</v>
      </c>
      <c r="G820" s="217">
        <f t="shared" si="225"/>
        <v>0</v>
      </c>
      <c r="H820" s="217">
        <f t="shared" si="213"/>
        <v>0</v>
      </c>
      <c r="I820" s="329">
        <f t="shared" si="226"/>
        <v>0</v>
      </c>
      <c r="J820" s="263" t="str">
        <f t="shared" si="228"/>
        <v/>
      </c>
      <c r="K820" s="238" t="str">
        <f t="shared" si="209"/>
        <v/>
      </c>
      <c r="L820" s="238" t="str">
        <f t="shared" si="210"/>
        <v/>
      </c>
      <c r="M820" s="238" t="str">
        <f t="shared" si="211"/>
        <v/>
      </c>
      <c r="N820" s="238" t="str">
        <f t="shared" si="212"/>
        <v/>
      </c>
      <c r="O820" s="218" t="str">
        <f t="shared" si="227"/>
        <v/>
      </c>
      <c r="P820" s="219" t="str">
        <f t="shared" si="214"/>
        <v/>
      </c>
      <c r="Q820" s="219" t="str">
        <f t="shared" si="215"/>
        <v/>
      </c>
      <c r="R820" s="219" t="str">
        <f t="shared" si="216"/>
        <v/>
      </c>
      <c r="S820" s="330" t="str">
        <f t="shared" si="221"/>
        <v/>
      </c>
      <c r="T820" s="330" t="str">
        <f t="shared" si="223"/>
        <v/>
      </c>
      <c r="U820" s="330" t="str">
        <f t="shared" si="224"/>
        <v/>
      </c>
    </row>
    <row r="821" spans="1:21">
      <c r="A821" s="211">
        <f>IF(COUNTBLANK('RNEW import'!B819)=1,"",'RNEW import'!B819)</f>
        <v>26</v>
      </c>
      <c r="B821" s="211" t="str">
        <f>IF(COUNTBLANK('RNEW import'!D819)=1,"",'RNEW import'!D819)</f>
        <v>Nepi Ten Development Solutions  SRL</v>
      </c>
      <c r="C821" s="211" t="str">
        <f>IF(COUNTBLANK('RNEW import'!E819)=1,"",'RNEW import'!E819)</f>
        <v>RN10_Alba</v>
      </c>
      <c r="D821" s="211" t="str">
        <f>IF(COUNTBLANK('RNEW import'!K819)=1,"",'RNEW import'!K819)</f>
        <v>Regularizare Tarif de introducere en.el in retea (TG)</v>
      </c>
      <c r="E821" s="211">
        <f>IF(COUNTBLANK('RNEW import'!L819)=1,"",'RNEW import'!N819)</f>
        <v>0</v>
      </c>
      <c r="F821" s="211">
        <f>IF(COUNTBLANK('RNEW import'!M819)=1,"",'RNEW import'!O819/10000)</f>
        <v>3.29E-3</v>
      </c>
      <c r="G821" s="217">
        <f t="shared" si="225"/>
        <v>0</v>
      </c>
      <c r="H821" s="217">
        <f t="shared" si="213"/>
        <v>0</v>
      </c>
      <c r="I821" s="329">
        <f t="shared" si="226"/>
        <v>0</v>
      </c>
      <c r="J821" s="263" t="str">
        <f t="shared" si="228"/>
        <v/>
      </c>
      <c r="K821" s="238" t="str">
        <f t="shared" si="209"/>
        <v/>
      </c>
      <c r="L821" s="238" t="str">
        <f t="shared" si="210"/>
        <v/>
      </c>
      <c r="M821" s="238" t="str">
        <f t="shared" si="211"/>
        <v/>
      </c>
      <c r="N821" s="238" t="str">
        <f t="shared" si="212"/>
        <v/>
      </c>
      <c r="O821" s="232" t="str">
        <f t="shared" si="227"/>
        <v/>
      </c>
      <c r="P821" s="219" t="str">
        <f t="shared" si="214"/>
        <v/>
      </c>
      <c r="Q821" s="219" t="str">
        <f t="shared" si="215"/>
        <v/>
      </c>
      <c r="R821" s="219" t="str">
        <f t="shared" si="216"/>
        <v/>
      </c>
      <c r="S821" s="330" t="str">
        <f t="shared" si="221"/>
        <v/>
      </c>
      <c r="T821" s="330" t="str">
        <f t="shared" si="223"/>
        <v/>
      </c>
      <c r="U821" s="330" t="str">
        <f t="shared" si="224"/>
        <v/>
      </c>
    </row>
    <row r="822" spans="1:21">
      <c r="A822" s="211">
        <f>IF(COUNTBLANK('RNEW import'!B820)=1,"",'RNEW import'!B820)</f>
        <v>27</v>
      </c>
      <c r="B822" s="211" t="str">
        <f>IF(COUNTBLANK('RNEW import'!D820)=1,"",'RNEW import'!D820)</f>
        <v>Nepi Ten Development Solutions  SRL</v>
      </c>
      <c r="C822" s="211" t="str">
        <f>IF(COUNTBLANK('RNEW import'!E820)=1,"",'RNEW import'!E820)</f>
        <v>RN10_Alba</v>
      </c>
      <c r="D822" s="211" t="str">
        <f>IF(COUNTBLANK('RNEW import'!K820)=1,"",'RNEW import'!K820)</f>
        <v>Regularizare Contributie pentru cogenerare</v>
      </c>
      <c r="E822" s="211">
        <f>IF(COUNTBLANK('RNEW import'!L820)=1,"",'RNEW import'!N820)</f>
        <v>0</v>
      </c>
      <c r="F822" s="211">
        <f>IF(COUNTBLANK('RNEW import'!M820)=1,"",'RNEW import'!O820/10000)</f>
        <v>3.5000000000000001E-3</v>
      </c>
      <c r="G822" s="217">
        <f t="shared" si="225"/>
        <v>0</v>
      </c>
      <c r="H822" s="217">
        <f t="shared" si="213"/>
        <v>0</v>
      </c>
      <c r="I822" s="329">
        <f t="shared" si="226"/>
        <v>0</v>
      </c>
      <c r="J822" s="263" t="str">
        <f t="shared" si="228"/>
        <v/>
      </c>
      <c r="K822" s="238" t="str">
        <f t="shared" si="209"/>
        <v/>
      </c>
      <c r="L822" s="238" t="str">
        <f t="shared" si="210"/>
        <v/>
      </c>
      <c r="M822" s="238" t="str">
        <f t="shared" si="211"/>
        <v/>
      </c>
      <c r="N822" s="238" t="str">
        <f t="shared" si="212"/>
        <v/>
      </c>
      <c r="O822" s="232" t="str">
        <f t="shared" si="227"/>
        <v/>
      </c>
      <c r="P822" s="219" t="str">
        <f t="shared" si="214"/>
        <v/>
      </c>
      <c r="Q822" s="219" t="str">
        <f t="shared" si="215"/>
        <v/>
      </c>
      <c r="R822" s="219" t="str">
        <f t="shared" si="216"/>
        <v/>
      </c>
      <c r="S822" s="330" t="str">
        <f t="shared" si="221"/>
        <v/>
      </c>
      <c r="T822" s="330" t="str">
        <f t="shared" si="223"/>
        <v/>
      </c>
      <c r="U822" s="330" t="str">
        <f t="shared" si="224"/>
        <v/>
      </c>
    </row>
    <row r="823" spans="1:21">
      <c r="A823" s="211">
        <f>IF(COUNTBLANK('RNEW import'!B821)=1,"",'RNEW import'!B821)</f>
        <v>28</v>
      </c>
      <c r="B823" s="211" t="str">
        <f>IF(COUNTBLANK('RNEW import'!D821)=1,"",'RNEW import'!D821)</f>
        <v>Nepi Ten Development Solutions  SRL</v>
      </c>
      <c r="C823" s="211" t="str">
        <f>IF(COUNTBLANK('RNEW import'!E821)=1,"",'RNEW import'!E821)</f>
        <v>RN10_Alba</v>
      </c>
      <c r="D823" s="211" t="str">
        <f>IF(COUNTBLANK('RNEW import'!K821)=1,"",'RNEW import'!K821)</f>
        <v xml:space="preserve">Regularizare Certificate verzi </v>
      </c>
      <c r="E823" s="211">
        <f>IF(COUNTBLANK('RNEW import'!L821)=1,"",'RNEW import'!N821)</f>
        <v>0</v>
      </c>
      <c r="F823" s="211">
        <f>IF(COUNTBLANK('RNEW import'!M821)=1,"",'RNEW import'!O821/10000)</f>
        <v>7.2541599999999998E-2</v>
      </c>
      <c r="G823" s="217">
        <f t="shared" si="225"/>
        <v>0</v>
      </c>
      <c r="H823" s="217">
        <f t="shared" si="213"/>
        <v>0</v>
      </c>
      <c r="I823" s="329">
        <f t="shared" si="226"/>
        <v>0</v>
      </c>
      <c r="J823" s="263" t="str">
        <f t="shared" si="228"/>
        <v/>
      </c>
      <c r="K823" s="238" t="str">
        <f t="shared" si="209"/>
        <v/>
      </c>
      <c r="L823" s="238" t="str">
        <f t="shared" si="210"/>
        <v/>
      </c>
      <c r="M823" s="238" t="str">
        <f t="shared" si="211"/>
        <v/>
      </c>
      <c r="N823" s="238" t="str">
        <f t="shared" si="212"/>
        <v/>
      </c>
      <c r="O823" s="232" t="str">
        <f t="shared" si="227"/>
        <v/>
      </c>
      <c r="P823" s="219" t="str">
        <f t="shared" si="214"/>
        <v/>
      </c>
      <c r="Q823" s="219" t="str">
        <f t="shared" si="215"/>
        <v/>
      </c>
      <c r="R823" s="219" t="str">
        <f t="shared" si="216"/>
        <v/>
      </c>
      <c r="S823" s="330" t="str">
        <f t="shared" si="221"/>
        <v/>
      </c>
      <c r="T823" s="330" t="str">
        <f t="shared" si="223"/>
        <v/>
      </c>
      <c r="U823" s="330" t="str">
        <f t="shared" si="224"/>
        <v/>
      </c>
    </row>
    <row r="824" spans="1:21">
      <c r="A824" s="211">
        <f>IF(COUNTBLANK('RNEW import'!B822)=1,"",'RNEW import'!B822)</f>
        <v>29</v>
      </c>
      <c r="B824" s="211" t="str">
        <f>IF(COUNTBLANK('RNEW import'!D822)=1,"",'RNEW import'!D822)</f>
        <v>Nepi Ten Development Solutions  SRL</v>
      </c>
      <c r="C824" s="211" t="str">
        <f>IF(COUNTBLANK('RNEW import'!E822)=1,"",'RNEW import'!E822)</f>
        <v>RN10_Alba</v>
      </c>
      <c r="D824" s="211" t="str">
        <f>IF(COUNTBLANK('RNEW import'!K822)=1,"",'RNEW import'!K822)</f>
        <v>Regularizare Contributie CFD</v>
      </c>
      <c r="E824" s="211">
        <f>IF(COUNTBLANK('RNEW import'!L822)=1,"",'RNEW import'!N822)</f>
        <v>0</v>
      </c>
      <c r="F824" s="211">
        <f>IF(COUNTBLANK('RNEW import'!M822)=1,"",'RNEW import'!O822/10000)</f>
        <v>2.0599999999999999E-4</v>
      </c>
      <c r="G824" s="217">
        <f t="shared" si="225"/>
        <v>0</v>
      </c>
      <c r="H824" s="217">
        <f t="shared" si="213"/>
        <v>0</v>
      </c>
      <c r="I824" s="329">
        <f t="shared" si="226"/>
        <v>0</v>
      </c>
      <c r="J824" s="263" t="str">
        <f t="shared" si="228"/>
        <v/>
      </c>
      <c r="K824" s="238" t="str">
        <f t="shared" si="209"/>
        <v/>
      </c>
      <c r="L824" s="238" t="str">
        <f t="shared" si="210"/>
        <v/>
      </c>
      <c r="M824" s="238" t="str">
        <f t="shared" si="211"/>
        <v/>
      </c>
      <c r="N824" s="238" t="str">
        <f t="shared" si="212"/>
        <v/>
      </c>
      <c r="O824" s="232" t="str">
        <f t="shared" si="227"/>
        <v/>
      </c>
      <c r="P824" s="219" t="str">
        <f t="shared" si="214"/>
        <v/>
      </c>
      <c r="Q824" s="219" t="str">
        <f t="shared" si="215"/>
        <v/>
      </c>
      <c r="R824" s="219" t="str">
        <f t="shared" si="216"/>
        <v/>
      </c>
      <c r="S824" s="330" t="str">
        <f t="shared" si="221"/>
        <v/>
      </c>
      <c r="T824" s="330" t="str">
        <f t="shared" si="223"/>
        <v/>
      </c>
      <c r="U824" s="330" t="str">
        <f t="shared" si="224"/>
        <v/>
      </c>
    </row>
    <row r="825" spans="1:21">
      <c r="A825" s="211">
        <f>IF(COUNTBLANK('RNEW import'!B823)=1,"",'RNEW import'!B823)</f>
        <v>30</v>
      </c>
      <c r="B825" s="211" t="str">
        <f>IF(COUNTBLANK('RNEW import'!D823)=1,"",'RNEW import'!D823)</f>
        <v>Nepi Ten Development Solutions  SRL</v>
      </c>
      <c r="C825" s="211" t="str">
        <f>IF(COUNTBLANK('RNEW import'!E823)=1,"",'RNEW import'!E823)</f>
        <v>RN10_Alba</v>
      </c>
      <c r="D825" s="211" t="str">
        <f>IF(COUNTBLANK('RNEW import'!K823)=1,"",'RNEW import'!K823)</f>
        <v>Regularizare Acciza</v>
      </c>
      <c r="E825" s="211">
        <f>IF(COUNTBLANK('RNEW import'!L823)=1,"",'RNEW import'!N823)</f>
        <v>0</v>
      </c>
      <c r="F825" s="211">
        <f>IF(COUNTBLANK('RNEW import'!M823)=1,"",'RNEW import'!O823/10000)</f>
        <v>0</v>
      </c>
      <c r="G825" s="217">
        <f t="shared" si="225"/>
        <v>0</v>
      </c>
      <c r="H825" s="217">
        <f t="shared" si="213"/>
        <v>0</v>
      </c>
      <c r="I825" s="329">
        <f t="shared" si="226"/>
        <v>0</v>
      </c>
      <c r="J825" s="263" t="str">
        <f t="shared" si="228"/>
        <v/>
      </c>
      <c r="K825" s="238" t="str">
        <f t="shared" si="209"/>
        <v/>
      </c>
      <c r="L825" s="238" t="str">
        <f t="shared" si="210"/>
        <v/>
      </c>
      <c r="M825" s="238" t="str">
        <f t="shared" si="211"/>
        <v/>
      </c>
      <c r="N825" s="238" t="str">
        <f t="shared" si="212"/>
        <v/>
      </c>
      <c r="O825" s="232" t="str">
        <f t="shared" si="227"/>
        <v/>
      </c>
      <c r="P825" s="219" t="str">
        <f t="shared" si="214"/>
        <v/>
      </c>
      <c r="Q825" s="219" t="str">
        <f t="shared" si="215"/>
        <v/>
      </c>
      <c r="R825" s="219" t="str">
        <f t="shared" si="216"/>
        <v/>
      </c>
      <c r="S825" s="330" t="str">
        <f t="shared" si="221"/>
        <v/>
      </c>
      <c r="T825" s="330" t="str">
        <f t="shared" si="223"/>
        <v/>
      </c>
      <c r="U825" s="330" t="str">
        <f t="shared" si="224"/>
        <v/>
      </c>
    </row>
    <row r="826" spans="1:21">
      <c r="A826" s="211">
        <f>IF(COUNTBLANK('RNEW import'!B824)=1,"",'RNEW import'!B824)</f>
        <v>31</v>
      </c>
      <c r="B826" s="211" t="str">
        <f>IF(COUNTBLANK('RNEW import'!D824)=1,"",'RNEW import'!D824)</f>
        <v>Nepi Ten Development Solutions  SRL</v>
      </c>
      <c r="C826" s="211" t="str">
        <f>IF(COUNTBLANK('RNEW import'!E824)=1,"",'RNEW import'!E824)</f>
        <v>RN10_Alba</v>
      </c>
      <c r="D826" s="211" t="str">
        <f>IF(COUNTBLANK('RNEW import'!K824)=1,"",'RNEW import'!K824)</f>
        <v>Regularizare Tarif distributie SDI MT Ea1</v>
      </c>
      <c r="E826" s="211">
        <f>IF(COUNTBLANK('RNEW import'!L824)=1,"",'RNEW import'!N824)</f>
        <v>0</v>
      </c>
      <c r="F826" s="211">
        <f>IF(COUNTBLANK('RNEW import'!M824)=1,"",'RNEW import'!O824/10000)</f>
        <v>1.26E-2</v>
      </c>
      <c r="G826" s="217">
        <f t="shared" si="225"/>
        <v>0</v>
      </c>
      <c r="H826" s="217">
        <f t="shared" si="213"/>
        <v>0</v>
      </c>
      <c r="I826" s="329">
        <f t="shared" si="226"/>
        <v>0</v>
      </c>
      <c r="J826" s="263" t="str">
        <f t="shared" si="228"/>
        <v/>
      </c>
      <c r="K826" s="238" t="str">
        <f t="shared" si="209"/>
        <v/>
      </c>
      <c r="L826" s="238" t="str">
        <f t="shared" si="210"/>
        <v/>
      </c>
      <c r="M826" s="238" t="str">
        <f t="shared" si="211"/>
        <v/>
      </c>
      <c r="N826" s="238" t="str">
        <f t="shared" si="212"/>
        <v/>
      </c>
      <c r="O826" s="232" t="str">
        <f t="shared" si="227"/>
        <v/>
      </c>
      <c r="P826" s="219" t="str">
        <f t="shared" si="214"/>
        <v/>
      </c>
      <c r="Q826" s="219" t="str">
        <f t="shared" si="215"/>
        <v/>
      </c>
      <c r="R826" s="219" t="str">
        <f t="shared" si="216"/>
        <v/>
      </c>
      <c r="S826" s="330" t="str">
        <f t="shared" si="221"/>
        <v/>
      </c>
      <c r="T826" s="330" t="str">
        <f t="shared" si="223"/>
        <v/>
      </c>
      <c r="U826" s="330" t="str">
        <f t="shared" si="224"/>
        <v/>
      </c>
    </row>
    <row r="827" spans="1:21">
      <c r="A827" s="211">
        <f>IF(COUNTBLANK('RNEW import'!B825)=1,"",'RNEW import'!B825)</f>
        <v>32</v>
      </c>
      <c r="B827" s="211" t="str">
        <f>IF(COUNTBLANK('RNEW import'!D825)=1,"",'RNEW import'!D825)</f>
        <v>Nepi Ten Development Solutions  SRL</v>
      </c>
      <c r="C827" s="211" t="str">
        <f>IF(COUNTBLANK('RNEW import'!E825)=1,"",'RNEW import'!E825)</f>
        <v>RN10_Alba</v>
      </c>
      <c r="D827" s="211" t="str">
        <f>IF(COUNTBLANK('RNEW import'!K825)=1,"",'RNEW import'!K825)</f>
        <v>Regularizare Tarif distributie SDI JT Ea1</v>
      </c>
      <c r="E827" s="211">
        <f>IF(COUNTBLANK('RNEW import'!L825)=1,"",'RNEW import'!N825)</f>
        <v>0</v>
      </c>
      <c r="F827" s="211">
        <f>IF(COUNTBLANK('RNEW import'!M825)=1,"",'RNEW import'!O825/10000)</f>
        <v>9.2700000000000005E-2</v>
      </c>
      <c r="G827" s="217">
        <f t="shared" si="225"/>
        <v>0</v>
      </c>
      <c r="H827" s="217">
        <f t="shared" si="213"/>
        <v>0</v>
      </c>
      <c r="I827" s="329">
        <f t="shared" si="226"/>
        <v>0</v>
      </c>
      <c r="J827" s="263" t="str">
        <f t="shared" si="228"/>
        <v/>
      </c>
      <c r="K827" s="238" t="str">
        <f t="shared" si="209"/>
        <v/>
      </c>
      <c r="L827" s="238" t="str">
        <f t="shared" si="210"/>
        <v/>
      </c>
      <c r="M827" s="238" t="str">
        <f t="shared" si="211"/>
        <v/>
      </c>
      <c r="N827" s="238" t="str">
        <f t="shared" si="212"/>
        <v/>
      </c>
      <c r="O827" s="232" t="str">
        <f t="shared" si="227"/>
        <v/>
      </c>
      <c r="P827" s="219" t="str">
        <f t="shared" si="214"/>
        <v/>
      </c>
      <c r="Q827" s="219" t="str">
        <f t="shared" si="215"/>
        <v/>
      </c>
      <c r="R827" s="219" t="str">
        <f t="shared" si="216"/>
        <v/>
      </c>
      <c r="S827" s="330" t="str">
        <f t="shared" si="221"/>
        <v/>
      </c>
      <c r="T827" s="330" t="str">
        <f t="shared" si="223"/>
        <v/>
      </c>
      <c r="U827" s="330" t="str">
        <f t="shared" si="224"/>
        <v/>
      </c>
    </row>
    <row r="828" spans="1:21">
      <c r="A828" s="211">
        <f>IF(COUNTBLANK('RNEW import'!B826)=1,"",'RNEW import'!B826)</f>
        <v>33</v>
      </c>
      <c r="B828" s="211" t="str">
        <f>IF(COUNTBLANK('RNEW import'!D826)=1,"",'RNEW import'!D826)</f>
        <v>Nepi Ten Development Solutions  SRL</v>
      </c>
      <c r="C828" s="211" t="str">
        <f>IF(COUNTBLANK('RNEW import'!E826)=1,"",'RNEW import'!E826)</f>
        <v>RN10_Alba</v>
      </c>
      <c r="D828" s="211" t="str">
        <f>IF(COUNTBLANK('RNEW import'!K826)=1,"",'RNEW import'!K826)</f>
        <v>Regularizare Energie activa 2</v>
      </c>
      <c r="E828" s="211">
        <f>IF(COUNTBLANK('RNEW import'!L826)=1,"",'RNEW import'!N826)</f>
        <v>0</v>
      </c>
      <c r="F828" s="211">
        <f>IF(COUNTBLANK('RNEW import'!M826)=1,"",'RNEW import'!O826/10000)</f>
        <v>0.93920760000000014</v>
      </c>
      <c r="G828" s="217">
        <f t="shared" si="225"/>
        <v>0</v>
      </c>
      <c r="H828" s="217">
        <f t="shared" si="213"/>
        <v>0</v>
      </c>
      <c r="I828" s="329">
        <f t="shared" si="226"/>
        <v>0</v>
      </c>
      <c r="J828" s="263" t="str">
        <f t="shared" si="228"/>
        <v/>
      </c>
      <c r="K828" s="238" t="str">
        <f t="shared" si="209"/>
        <v/>
      </c>
      <c r="L828" s="238" t="str">
        <f t="shared" si="210"/>
        <v/>
      </c>
      <c r="M828" s="238" t="str">
        <f t="shared" si="211"/>
        <v/>
      </c>
      <c r="N828" s="238" t="str">
        <f t="shared" si="212"/>
        <v/>
      </c>
      <c r="O828" s="232" t="str">
        <f t="shared" si="227"/>
        <v/>
      </c>
      <c r="P828" s="219" t="str">
        <f t="shared" si="214"/>
        <v/>
      </c>
      <c r="Q828" s="219" t="str">
        <f t="shared" si="215"/>
        <v/>
      </c>
      <c r="R828" s="219" t="str">
        <f t="shared" si="216"/>
        <v/>
      </c>
      <c r="S828" s="330" t="str">
        <f t="shared" si="221"/>
        <v/>
      </c>
      <c r="T828" s="330" t="str">
        <f t="shared" si="223"/>
        <v/>
      </c>
      <c r="U828" s="330" t="str">
        <f t="shared" si="224"/>
        <v/>
      </c>
    </row>
    <row r="829" spans="1:21">
      <c r="A829" s="211">
        <f>IF(COUNTBLANK('RNEW import'!B827)=1,"",'RNEW import'!B827)</f>
        <v>34</v>
      </c>
      <c r="B829" s="211" t="str">
        <f>IF(COUNTBLANK('RNEW import'!D827)=1,"",'RNEW import'!D827)</f>
        <v>Nepi Ten Development Solutions  SRL</v>
      </c>
      <c r="C829" s="211" t="str">
        <f>IF(COUNTBLANK('RNEW import'!E827)=1,"",'RNEW import'!E827)</f>
        <v>RN10_Alba</v>
      </c>
      <c r="D829" s="211" t="str">
        <f>IF(COUNTBLANK('RNEW import'!K827)=1,"",'RNEW import'!K827)</f>
        <v>Regularizare Energie activa 3</v>
      </c>
      <c r="E829" s="211">
        <f>IF(COUNTBLANK('RNEW import'!L827)=1,"",'RNEW import'!N827)</f>
        <v>0</v>
      </c>
      <c r="F829" s="211">
        <f>IF(COUNTBLANK('RNEW import'!M827)=1,"",'RNEW import'!O827/10000)</f>
        <v>0.83390760000000008</v>
      </c>
      <c r="G829" s="217">
        <f t="shared" si="225"/>
        <v>0</v>
      </c>
      <c r="H829" s="217">
        <f t="shared" si="213"/>
        <v>0</v>
      </c>
      <c r="I829" s="329">
        <f t="shared" si="226"/>
        <v>0</v>
      </c>
      <c r="J829" s="263" t="str">
        <f t="shared" si="228"/>
        <v/>
      </c>
      <c r="K829" s="238" t="str">
        <f t="shared" si="209"/>
        <v/>
      </c>
      <c r="L829" s="238" t="str">
        <f t="shared" si="210"/>
        <v/>
      </c>
      <c r="M829" s="238" t="str">
        <f t="shared" si="211"/>
        <v/>
      </c>
      <c r="N829" s="238" t="str">
        <f t="shared" si="212"/>
        <v/>
      </c>
      <c r="O829" s="232" t="str">
        <f t="shared" si="227"/>
        <v/>
      </c>
      <c r="P829" s="219" t="str">
        <f t="shared" si="214"/>
        <v/>
      </c>
      <c r="Q829" s="219" t="str">
        <f t="shared" si="215"/>
        <v/>
      </c>
      <c r="R829" s="219" t="str">
        <f t="shared" si="216"/>
        <v/>
      </c>
      <c r="S829" s="330" t="str">
        <f t="shared" si="221"/>
        <v/>
      </c>
      <c r="T829" s="330" t="str">
        <f t="shared" si="223"/>
        <v/>
      </c>
      <c r="U829" s="330" t="str">
        <f t="shared" si="224"/>
        <v/>
      </c>
    </row>
    <row r="830" spans="1:21">
      <c r="A830" s="211">
        <f>IF(COUNTBLANK('RNEW import'!B828)=1,"",'RNEW import'!B828)</f>
        <v>35</v>
      </c>
      <c r="B830" s="211" t="str">
        <f>IF(COUNTBLANK('RNEW import'!D828)=1,"",'RNEW import'!D828)</f>
        <v>Nepi Ten Development Solutions  SRL</v>
      </c>
      <c r="C830" s="211" t="str">
        <f>IF(COUNTBLANK('RNEW import'!E828)=1,"",'RNEW import'!E828)</f>
        <v>RN10_Alba</v>
      </c>
      <c r="D830" s="211" t="str">
        <f>IF(COUNTBLANK('RNEW import'!K828)=1,"",'RNEW import'!K828)</f>
        <v>Regularizare Tarif distributie SDI MT Ea3</v>
      </c>
      <c r="E830" s="211">
        <f>IF(COUNTBLANK('RNEW import'!L828)=1,"",'RNEW import'!N828)</f>
        <v>0</v>
      </c>
      <c r="F830" s="211">
        <f>IF(COUNTBLANK('RNEW import'!M828)=1,"",'RNEW import'!O828/10000)</f>
        <v>1.26E-2</v>
      </c>
      <c r="G830" s="217">
        <f t="shared" si="225"/>
        <v>0</v>
      </c>
      <c r="H830" s="217">
        <f t="shared" si="213"/>
        <v>0</v>
      </c>
      <c r="I830" s="329">
        <f t="shared" si="226"/>
        <v>0</v>
      </c>
      <c r="J830" s="263" t="str">
        <f t="shared" si="228"/>
        <v/>
      </c>
      <c r="K830" s="238" t="str">
        <f t="shared" si="209"/>
        <v/>
      </c>
      <c r="L830" s="238" t="str">
        <f t="shared" si="210"/>
        <v/>
      </c>
      <c r="M830" s="238" t="str">
        <f t="shared" si="211"/>
        <v/>
      </c>
      <c r="N830" s="238" t="str">
        <f t="shared" si="212"/>
        <v/>
      </c>
      <c r="O830" s="232" t="str">
        <f t="shared" si="227"/>
        <v/>
      </c>
      <c r="P830" s="219" t="str">
        <f t="shared" si="214"/>
        <v/>
      </c>
      <c r="Q830" s="219" t="str">
        <f t="shared" si="215"/>
        <v/>
      </c>
      <c r="R830" s="219" t="str">
        <f t="shared" si="216"/>
        <v/>
      </c>
      <c r="S830" s="330" t="str">
        <f t="shared" si="221"/>
        <v/>
      </c>
      <c r="T830" s="330" t="str">
        <f t="shared" si="223"/>
        <v/>
      </c>
      <c r="U830" s="330" t="str">
        <f t="shared" si="224"/>
        <v/>
      </c>
    </row>
    <row r="831" spans="1:21">
      <c r="A831" s="211">
        <f>IF(COUNTBLANK('RNEW import'!B829)=1,"",'RNEW import'!B829)</f>
        <v>36</v>
      </c>
      <c r="B831" s="211" t="str">
        <f>IF(COUNTBLANK('RNEW import'!D829)=1,"",'RNEW import'!D829)</f>
        <v>Nepi Ten Development Solutions  SRL</v>
      </c>
      <c r="C831" s="211" t="str">
        <f>IF(COUNTBLANK('RNEW import'!E829)=1,"",'RNEW import'!E829)</f>
        <v>RN10_Alba</v>
      </c>
      <c r="D831" s="211" t="str">
        <f>IF(COUNTBLANK('RNEW import'!K829)=1,"",'RNEW import'!K829)</f>
        <v>Regularizare Tarif distributie SDI JT Ea3</v>
      </c>
      <c r="E831" s="211">
        <f>IF(COUNTBLANK('RNEW import'!L829)=1,"",'RNEW import'!N829)</f>
        <v>0</v>
      </c>
      <c r="F831" s="211">
        <f>IF(COUNTBLANK('RNEW import'!M829)=1,"",'RNEW import'!O829/10000)</f>
        <v>9.2700000000000005E-2</v>
      </c>
      <c r="G831" s="217">
        <f t="shared" si="225"/>
        <v>0</v>
      </c>
      <c r="H831" s="217">
        <f t="shared" si="213"/>
        <v>0</v>
      </c>
      <c r="I831" s="329">
        <f t="shared" si="226"/>
        <v>0</v>
      </c>
      <c r="J831" s="263" t="str">
        <f t="shared" si="228"/>
        <v/>
      </c>
      <c r="K831" s="238" t="str">
        <f t="shared" si="209"/>
        <v/>
      </c>
      <c r="L831" s="238" t="str">
        <f t="shared" si="210"/>
        <v/>
      </c>
      <c r="M831" s="238" t="str">
        <f t="shared" si="211"/>
        <v/>
      </c>
      <c r="N831" s="238" t="str">
        <f t="shared" si="212"/>
        <v/>
      </c>
      <c r="O831" s="232" t="str">
        <f t="shared" si="227"/>
        <v/>
      </c>
      <c r="P831" s="219" t="str">
        <f t="shared" si="214"/>
        <v>Energie consumata din PV regularizare</v>
      </c>
      <c r="Q831" s="219">
        <f t="shared" si="215"/>
        <v>0</v>
      </c>
      <c r="R831" s="219">
        <f t="shared" si="216"/>
        <v>0</v>
      </c>
      <c r="S831" s="330">
        <f t="shared" si="221"/>
        <v>0</v>
      </c>
      <c r="T831" s="330">
        <f t="shared" si="223"/>
        <v>0</v>
      </c>
      <c r="U831" s="330">
        <f t="shared" si="224"/>
        <v>0</v>
      </c>
    </row>
    <row r="832" spans="1:21" ht="30">
      <c r="A832" s="211">
        <f>IF(COUNTBLANK('RNEW import'!B830)=1,"",'RNEW import'!B830)</f>
        <v>1</v>
      </c>
      <c r="B832" s="211" t="str">
        <f>IF(COUNTBLANK('RNEW import'!D830)=1,"",'RNEW import'!D830)</f>
        <v>Nepi Ten Development Solutions  SRL</v>
      </c>
      <c r="C832" s="211" t="str">
        <f>IF(COUNTBLANK('RNEW import'!E830)=1,"",'RNEW import'!E830)</f>
        <v>RN10_Sfantul Gheorghe</v>
      </c>
      <c r="D832" s="211" t="str">
        <f>IF(COUNTBLANK('RNEW import'!K830)=1,"",'RNEW import'!K830)</f>
        <v>Energie activa 1</v>
      </c>
      <c r="E832" s="211">
        <f>IF(COUNTBLANK('RNEW import'!L830)=1,"",'RNEW import'!N830)</f>
        <v>6107</v>
      </c>
      <c r="F832" s="211">
        <f>IF(COUNTBLANK('RNEW import'!M830)=1,"",'RNEW import'!O830/10000)</f>
        <v>0.59499999999999997</v>
      </c>
      <c r="G832" s="217">
        <f t="shared" si="225"/>
        <v>3633.67</v>
      </c>
      <c r="H832" s="217">
        <f t="shared" si="213"/>
        <v>690.4</v>
      </c>
      <c r="I832" s="329">
        <f t="shared" si="226"/>
        <v>4324.07</v>
      </c>
      <c r="J832" s="263" t="str">
        <f t="shared" si="228"/>
        <v>Nepi Ten Development Solutions  SRL - Sfantul Gheorghe</v>
      </c>
      <c r="K832" s="238">
        <f t="shared" si="209"/>
        <v>643.07000000000005</v>
      </c>
      <c r="L832" s="238">
        <f t="shared" si="210"/>
        <v>5100.7300000000014</v>
      </c>
      <c r="M832" s="238">
        <f t="shared" si="211"/>
        <v>10331.280000000001</v>
      </c>
      <c r="N832" s="238">
        <f t="shared" si="212"/>
        <v>6107</v>
      </c>
      <c r="O832" s="232" t="str">
        <f t="shared" si="227"/>
        <v>Nepi Ten Development Solutions  SRL</v>
      </c>
      <c r="P832" s="219" t="str">
        <f t="shared" si="214"/>
        <v>Enegie activa</v>
      </c>
      <c r="Q832" s="219">
        <f t="shared" si="215"/>
        <v>6107</v>
      </c>
      <c r="R832" s="219">
        <f t="shared" si="216"/>
        <v>0.93920700000000001</v>
      </c>
      <c r="S832" s="330">
        <f t="shared" si="221"/>
        <v>5735.74</v>
      </c>
      <c r="T832" s="330">
        <f t="shared" si="223"/>
        <v>1089.79</v>
      </c>
      <c r="U832" s="330">
        <f t="shared" si="224"/>
        <v>6825.53</v>
      </c>
    </row>
    <row r="833" spans="1:21">
      <c r="A833" s="211">
        <f>IF(COUNTBLANK('RNEW import'!B831)=1,"",'RNEW import'!B831)</f>
        <v>2</v>
      </c>
      <c r="B833" s="211" t="str">
        <f>IF(COUNTBLANK('RNEW import'!D831)=1,"",'RNEW import'!D831)</f>
        <v>Nepi Ten Development Solutions  SRL</v>
      </c>
      <c r="C833" s="211" t="str">
        <f>IF(COUNTBLANK('RNEW import'!E831)=1,"",'RNEW import'!E831)</f>
        <v>RN10_Sfantul Gheorghe</v>
      </c>
      <c r="D833" s="211" t="str">
        <f>IF(COUNTBLANK('RNEW import'!K831)=1,"",'RNEW import'!K831)</f>
        <v>Energie reactiva  1X</v>
      </c>
      <c r="E833" s="211">
        <f>IF(COUNTBLANK('RNEW import'!L831)=1,"",'RNEW import'!N831)</f>
        <v>0</v>
      </c>
      <c r="F833" s="211">
        <f>IF(COUNTBLANK('RNEW import'!M831)=1,"",'RNEW import'!O831/10000)</f>
        <v>0.14649999999999999</v>
      </c>
      <c r="G833" s="217">
        <f t="shared" si="225"/>
        <v>0</v>
      </c>
      <c r="H833" s="217">
        <f t="shared" si="213"/>
        <v>0</v>
      </c>
      <c r="I833" s="329">
        <f t="shared" si="226"/>
        <v>0</v>
      </c>
      <c r="J833" s="263" t="str">
        <f t="shared" si="228"/>
        <v/>
      </c>
      <c r="K833" s="238" t="str">
        <f t="shared" si="209"/>
        <v/>
      </c>
      <c r="L833" s="238" t="str">
        <f t="shared" si="210"/>
        <v/>
      </c>
      <c r="M833" s="238" t="str">
        <f t="shared" si="211"/>
        <v/>
      </c>
      <c r="N833" s="238" t="str">
        <f t="shared" si="212"/>
        <v/>
      </c>
      <c r="O833" s="232" t="str">
        <f t="shared" si="227"/>
        <v/>
      </c>
      <c r="P833" s="219" t="str">
        <f t="shared" si="214"/>
        <v>Energie reactiva 1x</v>
      </c>
      <c r="Q833" s="219">
        <f t="shared" si="215"/>
        <v>0</v>
      </c>
      <c r="R833" s="219">
        <f t="shared" si="216"/>
        <v>0.14649999999999999</v>
      </c>
      <c r="S833" s="330">
        <f t="shared" si="221"/>
        <v>0</v>
      </c>
      <c r="T833" s="330">
        <f t="shared" si="223"/>
        <v>0</v>
      </c>
      <c r="U833" s="330">
        <f t="shared" si="224"/>
        <v>0</v>
      </c>
    </row>
    <row r="834" spans="1:21">
      <c r="A834" s="211">
        <f>IF(COUNTBLANK('RNEW import'!B832)=1,"",'RNEW import'!B832)</f>
        <v>3</v>
      </c>
      <c r="B834" s="211" t="str">
        <f>IF(COUNTBLANK('RNEW import'!D832)=1,"",'RNEW import'!D832)</f>
        <v>Nepi Ten Development Solutions  SRL</v>
      </c>
      <c r="C834" s="211" t="str">
        <f>IF(COUNTBLANK('RNEW import'!E832)=1,"",'RNEW import'!E832)</f>
        <v>RN10_Sfantul Gheorghe</v>
      </c>
      <c r="D834" s="211" t="str">
        <f>IF(COUNTBLANK('RNEW import'!K832)=1,"",'RNEW import'!K832)</f>
        <v>Energie reactiva  3X</v>
      </c>
      <c r="E834" s="211">
        <f>IF(COUNTBLANK('RNEW import'!L832)=1,"",'RNEW import'!N832)</f>
        <v>0</v>
      </c>
      <c r="F834" s="211">
        <f>IF(COUNTBLANK('RNEW import'!M832)=1,"",'RNEW import'!O832/10000)</f>
        <v>0.4395</v>
      </c>
      <c r="G834" s="217">
        <f t="shared" si="225"/>
        <v>0</v>
      </c>
      <c r="H834" s="217">
        <f t="shared" si="213"/>
        <v>0</v>
      </c>
      <c r="I834" s="329">
        <f t="shared" si="226"/>
        <v>0</v>
      </c>
      <c r="J834" s="263" t="str">
        <f t="shared" si="228"/>
        <v/>
      </c>
      <c r="K834" s="238" t="str">
        <f t="shared" si="209"/>
        <v/>
      </c>
      <c r="L834" s="238" t="str">
        <f t="shared" si="210"/>
        <v/>
      </c>
      <c r="M834" s="238" t="str">
        <f t="shared" si="211"/>
        <v/>
      </c>
      <c r="N834" s="238" t="str">
        <f t="shared" si="212"/>
        <v/>
      </c>
      <c r="O834" s="232" t="str">
        <f t="shared" si="227"/>
        <v/>
      </c>
      <c r="P834" s="219" t="str">
        <f t="shared" si="214"/>
        <v>Energie reactiva 3x</v>
      </c>
      <c r="Q834" s="219">
        <f t="shared" si="215"/>
        <v>0</v>
      </c>
      <c r="R834" s="219">
        <f t="shared" si="216"/>
        <v>0.4395</v>
      </c>
      <c r="S834" s="330">
        <f t="shared" si="221"/>
        <v>0</v>
      </c>
      <c r="T834" s="330">
        <f t="shared" si="223"/>
        <v>0</v>
      </c>
      <c r="U834" s="330">
        <f t="shared" si="224"/>
        <v>0</v>
      </c>
    </row>
    <row r="835" spans="1:21">
      <c r="A835" s="211">
        <f>IF(COUNTBLANK('RNEW import'!B833)=1,"",'RNEW import'!B833)</f>
        <v>4</v>
      </c>
      <c r="B835" s="211" t="str">
        <f>IF(COUNTBLANK('RNEW import'!D833)=1,"",'RNEW import'!D833)</f>
        <v>Nepi Ten Development Solutions  SRL</v>
      </c>
      <c r="C835" s="211" t="str">
        <f>IF(COUNTBLANK('RNEW import'!E833)=1,"",'RNEW import'!E833)</f>
        <v>RN10_Sfantul Gheorghe</v>
      </c>
      <c r="D835" s="211" t="str">
        <f>IF(COUNTBLANK('RNEW import'!K833)=1,"",'RNEW import'!K833)</f>
        <v>Tarife distributie en. El IT+MT</v>
      </c>
      <c r="E835" s="211">
        <f>IF(COUNTBLANK('RNEW import'!L833)=1,"",'RNEW import'!N833)</f>
        <v>6107</v>
      </c>
      <c r="F835" s="211">
        <f>IF(COUNTBLANK('RNEW import'!M833)=1,"",'RNEW import'!O833/10000)</f>
        <v>0.11483</v>
      </c>
      <c r="G835" s="217">
        <f t="shared" si="225"/>
        <v>701.27</v>
      </c>
      <c r="H835" s="217">
        <f t="shared" si="213"/>
        <v>133.24</v>
      </c>
      <c r="I835" s="329">
        <f t="shared" si="226"/>
        <v>834.51</v>
      </c>
      <c r="J835" s="263" t="str">
        <f t="shared" si="228"/>
        <v/>
      </c>
      <c r="K835" s="238" t="str">
        <f t="shared" si="209"/>
        <v/>
      </c>
      <c r="L835" s="238" t="str">
        <f t="shared" si="210"/>
        <v/>
      </c>
      <c r="M835" s="238" t="str">
        <f t="shared" si="211"/>
        <v/>
      </c>
      <c r="N835" s="238" t="str">
        <f t="shared" si="212"/>
        <v/>
      </c>
      <c r="O835" s="232" t="str">
        <f t="shared" si="227"/>
        <v/>
      </c>
      <c r="P835" s="219" t="str">
        <f t="shared" si="214"/>
        <v/>
      </c>
      <c r="Q835" s="219" t="str">
        <f t="shared" si="215"/>
        <v/>
      </c>
      <c r="R835" s="219" t="str">
        <f t="shared" si="216"/>
        <v/>
      </c>
      <c r="S835" s="330" t="str">
        <f t="shared" si="221"/>
        <v/>
      </c>
      <c r="T835" s="330" t="str">
        <f t="shared" si="223"/>
        <v/>
      </c>
      <c r="U835" s="330" t="str">
        <f t="shared" si="224"/>
        <v/>
      </c>
    </row>
    <row r="836" spans="1:21">
      <c r="A836" s="211">
        <f>IF(COUNTBLANK('RNEW import'!B834)=1,"",'RNEW import'!B834)</f>
        <v>5</v>
      </c>
      <c r="B836" s="211" t="str">
        <f>IF(COUNTBLANK('RNEW import'!D834)=1,"",'RNEW import'!D834)</f>
        <v>Nepi Ten Development Solutions  SRL</v>
      </c>
      <c r="C836" s="211" t="str">
        <f>IF(COUNTBLANK('RNEW import'!E834)=1,"",'RNEW import'!E834)</f>
        <v>RN10_Sfantul Gheorghe</v>
      </c>
      <c r="D836" s="211" t="str">
        <f>IF(COUNTBLANK('RNEW import'!K834)=1,"",'RNEW import'!K834)</f>
        <v>Tarife distributie en. El JT</v>
      </c>
      <c r="E836" s="211">
        <f>IF(COUNTBLANK('RNEW import'!L834)=1,"",'RNEW import'!N834)</f>
        <v>0</v>
      </c>
      <c r="F836" s="211">
        <f>IF(COUNTBLANK('RNEW import'!M834)=1,"",'RNEW import'!O834/10000)</f>
        <v>0.2361</v>
      </c>
      <c r="G836" s="217">
        <f t="shared" si="225"/>
        <v>0</v>
      </c>
      <c r="H836" s="217">
        <f t="shared" si="213"/>
        <v>0</v>
      </c>
      <c r="I836" s="329">
        <f t="shared" si="226"/>
        <v>0</v>
      </c>
      <c r="J836" s="263" t="str">
        <f t="shared" si="228"/>
        <v/>
      </c>
      <c r="K836" s="238" t="str">
        <f t="shared" ref="K836:K899" si="229">IF(COUNTBLANK(J836)=1,"",IF(A836=1,SUMIFS(G:G,$C:$C,C836,$A:$A,"=13")+SUMIFS(G:G,$C:$C,C836,$A:$A,"=14")+SUMIFS(G:G,$C:$C,C836,$A:$A,"=17")+SUMIFS(G:G,$C:$C,C836,$A:$A,"=18")+SUMIFS(G:G,$C:$C,C836,$A:$A,"=31")+SUMIFS(G:G,$C:$C,C836,$A:$A,"=32")+SUMIFS(G:G,$C:$C,C836,$A:$A,"=35")+SUMIFS(G:G,$C:$C,C836,$A:$A,"=36"),""))</f>
        <v/>
      </c>
      <c r="L836" s="238" t="str">
        <f t="shared" ref="L836:L899" si="230">IF(COUNTBLANK(J836)=1,"",IF(A836=1,SUMIFS(G:G,$C:$C,C836,$A:$A,"&lt;13")+SUMIFS(G:G,$C:$C,C836,$A:$A,"&gt;18",$A:$A,"&lt;31")))</f>
        <v/>
      </c>
      <c r="M836" s="238" t="str">
        <f t="shared" ref="M836:M899" si="231">IF(COUNTBLANK(J836)=1,"",IF(A836=1,SUMIFS(G:G,$C:$C,C836,$A:$A,"=15")+SUMIFS(G:G,$C:$C,C836,$A:$A,"=16")+SUMIFS(G:G,$C:$C,C836,$A:$A,"=33")+SUMIFS(G:G,$C:$C,C836,$A:$A,"=34"),""))</f>
        <v/>
      </c>
      <c r="N836" s="238" t="str">
        <f t="shared" ref="N836:N899" si="232">IF(COUNTBLANK(J836)=1,"",IF(A836=1,SUMIFS(E:E,$C:$C,C836,$A:$A,"=13")+SUMIFS(E:E,$C:$C,C836,$A:$A,"=17")+SUMIFS(E:E,$C:$C,C836,$A:$A,"=31")+SUMIFS(E:E,$C:$C,C836,$A:$A,"=35"),""))</f>
        <v/>
      </c>
      <c r="O836" s="232" t="str">
        <f t="shared" si="227"/>
        <v/>
      </c>
      <c r="P836" s="219" t="str">
        <f t="shared" si="214"/>
        <v/>
      </c>
      <c r="Q836" s="219" t="str">
        <f t="shared" si="215"/>
        <v/>
      </c>
      <c r="R836" s="219" t="str">
        <f t="shared" si="216"/>
        <v/>
      </c>
      <c r="S836" s="330" t="str">
        <f t="shared" si="221"/>
        <v/>
      </c>
      <c r="T836" s="330" t="str">
        <f t="shared" si="223"/>
        <v/>
      </c>
      <c r="U836" s="330" t="str">
        <f t="shared" si="224"/>
        <v/>
      </c>
    </row>
    <row r="837" spans="1:21">
      <c r="A837" s="211">
        <f>IF(COUNTBLANK('RNEW import'!B835)=1,"",'RNEW import'!B835)</f>
        <v>6</v>
      </c>
      <c r="B837" s="211" t="str">
        <f>IF(COUNTBLANK('RNEW import'!D835)=1,"",'RNEW import'!D835)</f>
        <v>Nepi Ten Development Solutions  SRL</v>
      </c>
      <c r="C837" s="211" t="str">
        <f>IF(COUNTBLANK('RNEW import'!E835)=1,"",'RNEW import'!E835)</f>
        <v>RN10_Sfantul Gheorghe</v>
      </c>
      <c r="D837" s="211" t="str">
        <f>IF(COUNTBLANK('RNEW import'!K835)=1,"",'RNEW import'!K835)</f>
        <v xml:space="preserve">Servicii Sistem </v>
      </c>
      <c r="E837" s="211">
        <f>IF(COUNTBLANK('RNEW import'!L835)=1,"",'RNEW import'!N835)</f>
        <v>6107</v>
      </c>
      <c r="F837" s="211">
        <f>IF(COUNTBLANK('RNEW import'!M835)=1,"",'RNEW import'!O835/10000)</f>
        <v>1.1509999999999999E-2</v>
      </c>
      <c r="G837" s="217">
        <f t="shared" si="225"/>
        <v>70.290000000000006</v>
      </c>
      <c r="H837" s="217">
        <f t="shared" ref="H837:H900" si="233">ROUND(G837*19%,2)</f>
        <v>13.36</v>
      </c>
      <c r="I837" s="329">
        <f t="shared" si="226"/>
        <v>83.65</v>
      </c>
      <c r="J837" s="263" t="str">
        <f t="shared" si="228"/>
        <v/>
      </c>
      <c r="K837" s="238" t="str">
        <f t="shared" si="229"/>
        <v/>
      </c>
      <c r="L837" s="238" t="str">
        <f t="shared" si="230"/>
        <v/>
      </c>
      <c r="M837" s="238" t="str">
        <f t="shared" si="231"/>
        <v/>
      </c>
      <c r="N837" s="238" t="str">
        <f t="shared" si="232"/>
        <v/>
      </c>
      <c r="O837" s="232" t="str">
        <f t="shared" si="227"/>
        <v/>
      </c>
      <c r="P837" s="219" t="str">
        <f t="shared" ref="P837:P900" si="234">IF(A837=1,"Enegie activa",IF(OR(A837=18),"Energie consumata din PV",IF(OR(A837=2),"Energie reactiva 1x",IF(OR(A837=3),"Energie reactiva 3x",IF(A837=19,"Energie activa regularizare",IF(OR(A837=36),"Energie consumata din PV regularizare",IF(OR(A837=20),"Energie reactiva 1x regularizare",IF(OR(A837=21),"Energie reactiva 3x regularizare",""))))))))</f>
        <v/>
      </c>
      <c r="Q837" s="219" t="str">
        <f t="shared" ref="Q837:Q900" si="235">IF(COUNTBLANK(P837)=0,IF(OR(A837=1,A837=2,A837=3,A837=19,A837=20,A837=21),E837,IF(OR(A837=18,A837=36),E834+E835,"")),"")</f>
        <v/>
      </c>
      <c r="R837" s="219" t="str">
        <f t="shared" ref="R837:R900" si="236">IF(COUNTBLANK(P837)=1,"",IF(OR(A837=2,A837=3,A837=20,A837=21),F837,IF(Q837=0,0,ROUND(S837/Q837,6))))</f>
        <v/>
      </c>
      <c r="S837" s="330" t="str">
        <f t="shared" si="221"/>
        <v/>
      </c>
      <c r="T837" s="330" t="str">
        <f t="shared" si="223"/>
        <v/>
      </c>
      <c r="U837" s="330" t="str">
        <f t="shared" si="224"/>
        <v/>
      </c>
    </row>
    <row r="838" spans="1:21">
      <c r="A838" s="211">
        <f>IF(COUNTBLANK('RNEW import'!B836)=1,"",'RNEW import'!B836)</f>
        <v>7</v>
      </c>
      <c r="B838" s="211" t="str">
        <f>IF(COUNTBLANK('RNEW import'!D836)=1,"",'RNEW import'!D836)</f>
        <v>Nepi Ten Development Solutions  SRL</v>
      </c>
      <c r="C838" s="211" t="str">
        <f>IF(COUNTBLANK('RNEW import'!E836)=1,"",'RNEW import'!E836)</f>
        <v>RN10_Sfantul Gheorghe</v>
      </c>
      <c r="D838" s="211" t="str">
        <f>IF(COUNTBLANK('RNEW import'!K836)=1,"",'RNEW import'!K836)</f>
        <v>Tarif de introducere en. el in retea (TL)</v>
      </c>
      <c r="E838" s="211">
        <f>IF(COUNTBLANK('RNEW import'!L836)=1,"",'RNEW import'!N836)</f>
        <v>6107</v>
      </c>
      <c r="F838" s="211">
        <f>IF(COUNTBLANK('RNEW import'!M836)=1,"",'RNEW import'!O836/10000)</f>
        <v>3.3030000000000004E-2</v>
      </c>
      <c r="G838" s="217">
        <f t="shared" si="225"/>
        <v>201.71</v>
      </c>
      <c r="H838" s="217">
        <f t="shared" si="233"/>
        <v>38.32</v>
      </c>
      <c r="I838" s="329">
        <f t="shared" si="226"/>
        <v>240.03</v>
      </c>
      <c r="J838" s="263" t="str">
        <f t="shared" si="228"/>
        <v/>
      </c>
      <c r="K838" s="238" t="str">
        <f t="shared" si="229"/>
        <v/>
      </c>
      <c r="L838" s="238" t="str">
        <f t="shared" si="230"/>
        <v/>
      </c>
      <c r="M838" s="238" t="str">
        <f t="shared" si="231"/>
        <v/>
      </c>
      <c r="N838" s="238" t="str">
        <f t="shared" si="232"/>
        <v/>
      </c>
      <c r="O838" s="232" t="str">
        <f t="shared" si="227"/>
        <v/>
      </c>
      <c r="P838" s="219" t="str">
        <f t="shared" si="234"/>
        <v/>
      </c>
      <c r="Q838" s="219" t="str">
        <f t="shared" si="235"/>
        <v/>
      </c>
      <c r="R838" s="219" t="str">
        <f t="shared" si="236"/>
        <v/>
      </c>
      <c r="S838" s="330" t="str">
        <f t="shared" si="221"/>
        <v/>
      </c>
      <c r="T838" s="330" t="str">
        <f t="shared" si="223"/>
        <v/>
      </c>
      <c r="U838" s="330" t="str">
        <f t="shared" si="224"/>
        <v/>
      </c>
    </row>
    <row r="839" spans="1:21">
      <c r="A839" s="211">
        <f>IF(COUNTBLANK('RNEW import'!B837)=1,"",'RNEW import'!B837)</f>
        <v>8</v>
      </c>
      <c r="B839" s="211" t="str">
        <f>IF(COUNTBLANK('RNEW import'!D837)=1,"",'RNEW import'!D837)</f>
        <v>Nepi Ten Development Solutions  SRL</v>
      </c>
      <c r="C839" s="211" t="str">
        <f>IF(COUNTBLANK('RNEW import'!E837)=1,"",'RNEW import'!E837)</f>
        <v>RN10_Sfantul Gheorghe</v>
      </c>
      <c r="D839" s="211" t="str">
        <f>IF(COUNTBLANK('RNEW import'!K837)=1,"",'RNEW import'!K837)</f>
        <v>Tarif de introducere en.el in retea (TG)</v>
      </c>
      <c r="E839" s="211">
        <f>IF(COUNTBLANK('RNEW import'!L837)=1,"",'RNEW import'!N837)</f>
        <v>6107</v>
      </c>
      <c r="F839" s="211">
        <f>IF(COUNTBLANK('RNEW import'!M837)=1,"",'RNEW import'!O837/10000)</f>
        <v>3.29E-3</v>
      </c>
      <c r="G839" s="217">
        <f t="shared" si="225"/>
        <v>20.09</v>
      </c>
      <c r="H839" s="217">
        <f t="shared" si="233"/>
        <v>3.82</v>
      </c>
      <c r="I839" s="329">
        <f t="shared" si="226"/>
        <v>23.91</v>
      </c>
      <c r="J839" s="263" t="str">
        <f t="shared" si="228"/>
        <v/>
      </c>
      <c r="K839" s="238" t="str">
        <f t="shared" si="229"/>
        <v/>
      </c>
      <c r="L839" s="238" t="str">
        <f t="shared" si="230"/>
        <v/>
      </c>
      <c r="M839" s="238" t="str">
        <f t="shared" si="231"/>
        <v/>
      </c>
      <c r="N839" s="238" t="str">
        <f t="shared" si="232"/>
        <v/>
      </c>
      <c r="O839" s="232" t="str">
        <f t="shared" si="227"/>
        <v/>
      </c>
      <c r="P839" s="219" t="str">
        <f t="shared" si="234"/>
        <v/>
      </c>
      <c r="Q839" s="219" t="str">
        <f t="shared" si="235"/>
        <v/>
      </c>
      <c r="R839" s="219" t="str">
        <f t="shared" si="236"/>
        <v/>
      </c>
      <c r="S839" s="330" t="str">
        <f t="shared" si="221"/>
        <v/>
      </c>
      <c r="T839" s="330" t="str">
        <f t="shared" si="223"/>
        <v/>
      </c>
      <c r="U839" s="330" t="str">
        <f t="shared" si="224"/>
        <v/>
      </c>
    </row>
    <row r="840" spans="1:21">
      <c r="A840" s="211">
        <f>IF(COUNTBLANK('RNEW import'!B838)=1,"",'RNEW import'!B838)</f>
        <v>9</v>
      </c>
      <c r="B840" s="211" t="str">
        <f>IF(COUNTBLANK('RNEW import'!D838)=1,"",'RNEW import'!D838)</f>
        <v>Nepi Ten Development Solutions  SRL</v>
      </c>
      <c r="C840" s="211" t="str">
        <f>IF(COUNTBLANK('RNEW import'!E838)=1,"",'RNEW import'!E838)</f>
        <v>RN10_Sfantul Gheorghe</v>
      </c>
      <c r="D840" s="211" t="str">
        <f>IF(COUNTBLANK('RNEW import'!K838)=1,"",'RNEW import'!K838)</f>
        <v>Contributie pentru cogenerare</v>
      </c>
      <c r="E840" s="211">
        <f>IF(COUNTBLANK('RNEW import'!L838)=1,"",'RNEW import'!N838)</f>
        <v>6107</v>
      </c>
      <c r="F840" s="211">
        <f>IF(COUNTBLANK('RNEW import'!M838)=1,"",'RNEW import'!O838/10000)</f>
        <v>3.5000000000000001E-3</v>
      </c>
      <c r="G840" s="217">
        <f t="shared" si="225"/>
        <v>21.37</v>
      </c>
      <c r="H840" s="217">
        <f t="shared" si="233"/>
        <v>4.0599999999999996</v>
      </c>
      <c r="I840" s="329">
        <f t="shared" si="226"/>
        <v>25.43</v>
      </c>
      <c r="J840" s="263" t="str">
        <f t="shared" si="228"/>
        <v/>
      </c>
      <c r="K840" s="238" t="str">
        <f t="shared" si="229"/>
        <v/>
      </c>
      <c r="L840" s="238" t="str">
        <f t="shared" si="230"/>
        <v/>
      </c>
      <c r="M840" s="238" t="str">
        <f t="shared" si="231"/>
        <v/>
      </c>
      <c r="N840" s="238" t="str">
        <f t="shared" si="232"/>
        <v/>
      </c>
      <c r="O840" s="232" t="str">
        <f t="shared" si="227"/>
        <v/>
      </c>
      <c r="P840" s="219" t="str">
        <f t="shared" si="234"/>
        <v/>
      </c>
      <c r="Q840" s="219" t="str">
        <f t="shared" si="235"/>
        <v/>
      </c>
      <c r="R840" s="219" t="str">
        <f t="shared" si="236"/>
        <v/>
      </c>
      <c r="S840" s="330" t="str">
        <f t="shared" si="221"/>
        <v/>
      </c>
      <c r="T840" s="330" t="str">
        <f t="shared" si="223"/>
        <v/>
      </c>
      <c r="U840" s="330" t="str">
        <f t="shared" si="224"/>
        <v/>
      </c>
    </row>
    <row r="841" spans="1:21">
      <c r="A841" s="211">
        <f>IF(COUNTBLANK('RNEW import'!B839)=1,"",'RNEW import'!B839)</f>
        <v>10</v>
      </c>
      <c r="B841" s="211" t="str">
        <f>IF(COUNTBLANK('RNEW import'!D839)=1,"",'RNEW import'!D839)</f>
        <v>Nepi Ten Development Solutions  SRL</v>
      </c>
      <c r="C841" s="211" t="str">
        <f>IF(COUNTBLANK('RNEW import'!E839)=1,"",'RNEW import'!E839)</f>
        <v>RN10_Sfantul Gheorghe</v>
      </c>
      <c r="D841" s="211" t="str">
        <f>IF(COUNTBLANK('RNEW import'!K839)=1,"",'RNEW import'!K839)</f>
        <v xml:space="preserve">Certificate verzi </v>
      </c>
      <c r="E841" s="211">
        <f>IF(COUNTBLANK('RNEW import'!L839)=1,"",'RNEW import'!N839)</f>
        <v>6107</v>
      </c>
      <c r="F841" s="211">
        <f>IF(COUNTBLANK('RNEW import'!M839)=1,"",'RNEW import'!O839/10000)</f>
        <v>7.2541599999999998E-2</v>
      </c>
      <c r="G841" s="217">
        <f t="shared" si="225"/>
        <v>443.01</v>
      </c>
      <c r="H841" s="217">
        <f t="shared" si="233"/>
        <v>84.17</v>
      </c>
      <c r="I841" s="329">
        <f t="shared" si="226"/>
        <v>527.17999999999995</v>
      </c>
      <c r="J841" s="263" t="str">
        <f t="shared" si="228"/>
        <v/>
      </c>
      <c r="K841" s="238" t="str">
        <f t="shared" si="229"/>
        <v/>
      </c>
      <c r="L841" s="238" t="str">
        <f t="shared" si="230"/>
        <v/>
      </c>
      <c r="M841" s="238" t="str">
        <f t="shared" si="231"/>
        <v/>
      </c>
      <c r="N841" s="238" t="str">
        <f t="shared" si="232"/>
        <v/>
      </c>
      <c r="O841" s="232" t="str">
        <f t="shared" si="227"/>
        <v/>
      </c>
      <c r="P841" s="219" t="str">
        <f t="shared" si="234"/>
        <v/>
      </c>
      <c r="Q841" s="219" t="str">
        <f t="shared" si="235"/>
        <v/>
      </c>
      <c r="R841" s="219" t="str">
        <f t="shared" si="236"/>
        <v/>
      </c>
      <c r="S841" s="330" t="str">
        <f t="shared" si="221"/>
        <v/>
      </c>
      <c r="T841" s="330" t="str">
        <f t="shared" si="223"/>
        <v/>
      </c>
      <c r="U841" s="330" t="str">
        <f t="shared" si="224"/>
        <v/>
      </c>
    </row>
    <row r="842" spans="1:21">
      <c r="A842" s="211">
        <f>IF(COUNTBLANK('RNEW import'!B840)=1,"",'RNEW import'!B840)</f>
        <v>11</v>
      </c>
      <c r="B842" s="211" t="str">
        <f>IF(COUNTBLANK('RNEW import'!D840)=1,"",'RNEW import'!D840)</f>
        <v>Nepi Ten Development Solutions  SRL</v>
      </c>
      <c r="C842" s="211" t="str">
        <f>IF(COUNTBLANK('RNEW import'!E840)=1,"",'RNEW import'!E840)</f>
        <v>RN10_Sfantul Gheorghe</v>
      </c>
      <c r="D842" s="211" t="str">
        <f>IF(COUNTBLANK('RNEW import'!K840)=1,"",'RNEW import'!K840)</f>
        <v>Contributie CFD</v>
      </c>
      <c r="E842" s="211">
        <f>IF(COUNTBLANK('RNEW import'!L840)=1,"",'RNEW import'!N840)</f>
        <v>6107</v>
      </c>
      <c r="F842" s="211">
        <f>IF(COUNTBLANK('RNEW import'!M840)=1,"",'RNEW import'!O840/10000)</f>
        <v>2.0599999999999999E-4</v>
      </c>
      <c r="G842" s="217">
        <f t="shared" si="225"/>
        <v>1.26</v>
      </c>
      <c r="H842" s="217">
        <f t="shared" si="233"/>
        <v>0.24</v>
      </c>
      <c r="I842" s="329">
        <f t="shared" si="226"/>
        <v>1.5</v>
      </c>
      <c r="J842" s="263" t="str">
        <f t="shared" si="228"/>
        <v/>
      </c>
      <c r="K842" s="238" t="str">
        <f t="shared" si="229"/>
        <v/>
      </c>
      <c r="L842" s="238" t="str">
        <f t="shared" si="230"/>
        <v/>
      </c>
      <c r="M842" s="238" t="str">
        <f t="shared" si="231"/>
        <v/>
      </c>
      <c r="N842" s="238" t="str">
        <f t="shared" si="232"/>
        <v/>
      </c>
      <c r="O842" s="232" t="str">
        <f t="shared" si="227"/>
        <v/>
      </c>
      <c r="P842" s="219" t="str">
        <f t="shared" si="234"/>
        <v/>
      </c>
      <c r="Q842" s="219" t="str">
        <f t="shared" si="235"/>
        <v/>
      </c>
      <c r="R842" s="219" t="str">
        <f t="shared" si="236"/>
        <v/>
      </c>
      <c r="S842" s="330" t="str">
        <f t="shared" si="221"/>
        <v/>
      </c>
      <c r="T842" s="330" t="str">
        <f t="shared" si="223"/>
        <v/>
      </c>
      <c r="U842" s="330" t="str">
        <f t="shared" si="224"/>
        <v/>
      </c>
    </row>
    <row r="843" spans="1:21">
      <c r="A843" s="211">
        <f>IF(COUNTBLANK('RNEW import'!B841)=1,"",'RNEW import'!B841)</f>
        <v>12</v>
      </c>
      <c r="B843" s="211" t="str">
        <f>IF(COUNTBLANK('RNEW import'!D841)=1,"",'RNEW import'!D841)</f>
        <v>Nepi Ten Development Solutions  SRL</v>
      </c>
      <c r="C843" s="211" t="str">
        <f>IF(COUNTBLANK('RNEW import'!E841)=1,"",'RNEW import'!E841)</f>
        <v>RN10_Sfantul Gheorghe</v>
      </c>
      <c r="D843" s="211" t="str">
        <f>IF(COUNTBLANK('RNEW import'!K841)=1,"",'RNEW import'!K841)</f>
        <v>Acciza</v>
      </c>
      <c r="E843" s="211">
        <f>IF(COUNTBLANK('RNEW import'!L841)=1,"",'RNEW import'!N841)</f>
        <v>6107</v>
      </c>
      <c r="F843" s="211">
        <f>IF(COUNTBLANK('RNEW import'!M841)=1,"",'RNEW import'!O841/10000)</f>
        <v>0</v>
      </c>
      <c r="G843" s="217">
        <f t="shared" si="225"/>
        <v>0</v>
      </c>
      <c r="H843" s="217">
        <f t="shared" si="233"/>
        <v>0</v>
      </c>
      <c r="I843" s="329">
        <f t="shared" si="226"/>
        <v>0</v>
      </c>
      <c r="J843" s="263" t="str">
        <f t="shared" si="228"/>
        <v/>
      </c>
      <c r="K843" s="238" t="str">
        <f t="shared" si="229"/>
        <v/>
      </c>
      <c r="L843" s="238" t="str">
        <f t="shared" si="230"/>
        <v/>
      </c>
      <c r="M843" s="238" t="str">
        <f t="shared" si="231"/>
        <v/>
      </c>
      <c r="N843" s="238" t="str">
        <f t="shared" si="232"/>
        <v/>
      </c>
      <c r="O843" s="232" t="str">
        <f t="shared" si="227"/>
        <v/>
      </c>
      <c r="P843" s="219" t="str">
        <f t="shared" si="234"/>
        <v/>
      </c>
      <c r="Q843" s="219" t="str">
        <f t="shared" si="235"/>
        <v/>
      </c>
      <c r="R843" s="219" t="str">
        <f t="shared" si="236"/>
        <v/>
      </c>
      <c r="S843" s="330" t="str">
        <f t="shared" si="221"/>
        <v/>
      </c>
      <c r="T843" s="330" t="str">
        <f t="shared" si="223"/>
        <v/>
      </c>
      <c r="U843" s="330" t="str">
        <f t="shared" si="224"/>
        <v/>
      </c>
    </row>
    <row r="844" spans="1:21">
      <c r="A844" s="211">
        <f>IF(COUNTBLANK('RNEW import'!B842)=1,"",'RNEW import'!B842)</f>
        <v>13</v>
      </c>
      <c r="B844" s="211" t="str">
        <f>IF(COUNTBLANK('RNEW import'!D842)=1,"",'RNEW import'!D842)</f>
        <v>Nepi Ten Development Solutions  SRL</v>
      </c>
      <c r="C844" s="211" t="str">
        <f>IF(COUNTBLANK('RNEW import'!E842)=1,"",'RNEW import'!E842)</f>
        <v>RN10_Sfantul Gheorghe</v>
      </c>
      <c r="D844" s="211" t="str">
        <f>IF(COUNTBLANK('RNEW import'!K842)=1,"",'RNEW import'!K842)</f>
        <v>Tarif distributie SDI MT</v>
      </c>
      <c r="E844" s="211">
        <f>IF(COUNTBLANK('RNEW import'!L842)=1,"",'RNEW import'!N842)</f>
        <v>6107</v>
      </c>
      <c r="F844" s="211">
        <f>IF(COUNTBLANK('RNEW import'!M842)=1,"",'RNEW import'!O842/10000)</f>
        <v>1.26E-2</v>
      </c>
      <c r="G844" s="217">
        <f t="shared" si="225"/>
        <v>76.95</v>
      </c>
      <c r="H844" s="217">
        <f t="shared" si="233"/>
        <v>14.62</v>
      </c>
      <c r="I844" s="329">
        <f t="shared" si="226"/>
        <v>91.570000000000007</v>
      </c>
      <c r="J844" s="263" t="str">
        <f t="shared" si="228"/>
        <v/>
      </c>
      <c r="K844" s="238" t="str">
        <f t="shared" si="229"/>
        <v/>
      </c>
      <c r="L844" s="238" t="str">
        <f t="shared" si="230"/>
        <v/>
      </c>
      <c r="M844" s="238" t="str">
        <f t="shared" si="231"/>
        <v/>
      </c>
      <c r="N844" s="238" t="str">
        <f t="shared" si="232"/>
        <v/>
      </c>
      <c r="O844" s="232" t="str">
        <f t="shared" si="227"/>
        <v/>
      </c>
      <c r="P844" s="219" t="str">
        <f t="shared" si="234"/>
        <v/>
      </c>
      <c r="Q844" s="219" t="str">
        <f t="shared" si="235"/>
        <v/>
      </c>
      <c r="R844" s="219" t="str">
        <f t="shared" si="236"/>
        <v/>
      </c>
      <c r="S844" s="330" t="str">
        <f t="shared" si="221"/>
        <v/>
      </c>
      <c r="T844" s="330" t="str">
        <f t="shared" si="223"/>
        <v/>
      </c>
      <c r="U844" s="330" t="str">
        <f t="shared" si="224"/>
        <v/>
      </c>
    </row>
    <row r="845" spans="1:21">
      <c r="A845" s="211">
        <f>IF(COUNTBLANK('RNEW import'!B843)=1,"",'RNEW import'!B843)</f>
        <v>14</v>
      </c>
      <c r="B845" s="211" t="str">
        <f>IF(COUNTBLANK('RNEW import'!D843)=1,"",'RNEW import'!D843)</f>
        <v>Nepi Ten Development Solutions  SRL</v>
      </c>
      <c r="C845" s="211" t="str">
        <f>IF(COUNTBLANK('RNEW import'!E843)=1,"",'RNEW import'!E843)</f>
        <v>RN10_Sfantul Gheorghe</v>
      </c>
      <c r="D845" s="211" t="str">
        <f>IF(COUNTBLANK('RNEW import'!K843)=1,"",'RNEW import'!K843)</f>
        <v>Tarif distributie SDI JT</v>
      </c>
      <c r="E845" s="211">
        <f>IF(COUNTBLANK('RNEW import'!L843)=1,"",'RNEW import'!N843)</f>
        <v>6107</v>
      </c>
      <c r="F845" s="211">
        <f>IF(COUNTBLANK('RNEW import'!M843)=1,"",'RNEW import'!O843/10000)</f>
        <v>9.2700000000000005E-2</v>
      </c>
      <c r="G845" s="217">
        <f t="shared" si="225"/>
        <v>566.12</v>
      </c>
      <c r="H845" s="217">
        <f t="shared" si="233"/>
        <v>107.56</v>
      </c>
      <c r="I845" s="329">
        <f t="shared" si="226"/>
        <v>673.68000000000006</v>
      </c>
      <c r="J845" s="263" t="str">
        <f t="shared" si="228"/>
        <v/>
      </c>
      <c r="K845" s="238" t="str">
        <f t="shared" si="229"/>
        <v/>
      </c>
      <c r="L845" s="238" t="str">
        <f t="shared" si="230"/>
        <v/>
      </c>
      <c r="M845" s="238" t="str">
        <f t="shared" si="231"/>
        <v/>
      </c>
      <c r="N845" s="238" t="str">
        <f t="shared" si="232"/>
        <v/>
      </c>
      <c r="O845" s="232" t="str">
        <f t="shared" si="227"/>
        <v/>
      </c>
      <c r="P845" s="219" t="str">
        <f t="shared" si="234"/>
        <v/>
      </c>
      <c r="Q845" s="219" t="str">
        <f t="shared" si="235"/>
        <v/>
      </c>
      <c r="R845" s="219" t="str">
        <f t="shared" si="236"/>
        <v/>
      </c>
      <c r="S845" s="330" t="str">
        <f t="shared" si="221"/>
        <v/>
      </c>
      <c r="T845" s="330" t="str">
        <f t="shared" si="223"/>
        <v/>
      </c>
      <c r="U845" s="330" t="str">
        <f t="shared" si="224"/>
        <v/>
      </c>
    </row>
    <row r="846" spans="1:21">
      <c r="A846" s="211">
        <f>IF(COUNTBLANK('RNEW import'!B844)=1,"",'RNEW import'!B844)</f>
        <v>15</v>
      </c>
      <c r="B846" s="211" t="str">
        <f>IF(COUNTBLANK('RNEW import'!D844)=1,"",'RNEW import'!D844)</f>
        <v>Nepi Ten Development Solutions  SRL</v>
      </c>
      <c r="C846" s="211" t="str">
        <f>IF(COUNTBLANK('RNEW import'!E844)=1,"",'RNEW import'!E844)</f>
        <v>RN10_Sfantul Gheorghe</v>
      </c>
      <c r="D846" s="211" t="str">
        <f>IF(COUNTBLANK('RNEW import'!K844)=1,"",'RNEW import'!K844)</f>
        <v>Energie activa 2</v>
      </c>
      <c r="E846" s="211">
        <f>IF(COUNTBLANK('RNEW import'!L844)=1,"",'RNEW import'!N844)</f>
        <v>11000</v>
      </c>
      <c r="F846" s="211">
        <f>IF(COUNTBLANK('RNEW import'!M844)=1,"",'RNEW import'!O844/10000)</f>
        <v>0.93920760000000014</v>
      </c>
      <c r="G846" s="217">
        <f t="shared" si="225"/>
        <v>10331.280000000001</v>
      </c>
      <c r="H846" s="217">
        <f t="shared" si="233"/>
        <v>1962.94</v>
      </c>
      <c r="I846" s="329">
        <f t="shared" si="226"/>
        <v>12294.220000000001</v>
      </c>
      <c r="J846" s="263" t="str">
        <f t="shared" si="228"/>
        <v/>
      </c>
      <c r="K846" s="238" t="str">
        <f t="shared" si="229"/>
        <v/>
      </c>
      <c r="L846" s="238" t="str">
        <f t="shared" si="230"/>
        <v/>
      </c>
      <c r="M846" s="238" t="str">
        <f t="shared" si="231"/>
        <v/>
      </c>
      <c r="N846" s="238" t="str">
        <f t="shared" si="232"/>
        <v/>
      </c>
      <c r="O846" s="232" t="str">
        <f t="shared" si="227"/>
        <v/>
      </c>
      <c r="P846" s="219" t="str">
        <f t="shared" si="234"/>
        <v/>
      </c>
      <c r="Q846" s="219" t="str">
        <f t="shared" si="235"/>
        <v/>
      </c>
      <c r="R846" s="219" t="str">
        <f t="shared" si="236"/>
        <v/>
      </c>
      <c r="S846" s="330" t="str">
        <f t="shared" si="221"/>
        <v/>
      </c>
      <c r="T846" s="330" t="str">
        <f t="shared" si="223"/>
        <v/>
      </c>
      <c r="U846" s="330" t="str">
        <f t="shared" si="224"/>
        <v/>
      </c>
    </row>
    <row r="847" spans="1:21">
      <c r="A847" s="211">
        <f>IF(COUNTBLANK('RNEW import'!B845)=1,"",'RNEW import'!B845)</f>
        <v>16</v>
      </c>
      <c r="B847" s="211" t="str">
        <f>IF(COUNTBLANK('RNEW import'!D845)=1,"",'RNEW import'!D845)</f>
        <v>Nepi Ten Development Solutions  SRL</v>
      </c>
      <c r="C847" s="211" t="str">
        <f>IF(COUNTBLANK('RNEW import'!E845)=1,"",'RNEW import'!E845)</f>
        <v>RN10_Sfantul Gheorghe</v>
      </c>
      <c r="D847" s="211" t="str">
        <f>IF(COUNTBLANK('RNEW import'!K845)=1,"",'RNEW import'!K845)</f>
        <v>Energie activa 3</v>
      </c>
      <c r="E847" s="211">
        <f>IF(COUNTBLANK('RNEW import'!L845)=1,"",'RNEW import'!N845)</f>
        <v>0</v>
      </c>
      <c r="F847" s="211">
        <f>IF(COUNTBLANK('RNEW import'!M845)=1,"",'RNEW import'!O845/10000)</f>
        <v>0.83390760000000008</v>
      </c>
      <c r="G847" s="217">
        <f t="shared" si="225"/>
        <v>0</v>
      </c>
      <c r="H847" s="217">
        <f t="shared" si="233"/>
        <v>0</v>
      </c>
      <c r="I847" s="329">
        <f t="shared" si="226"/>
        <v>0</v>
      </c>
      <c r="J847" s="263" t="str">
        <f t="shared" si="228"/>
        <v/>
      </c>
      <c r="K847" s="238" t="str">
        <f t="shared" si="229"/>
        <v/>
      </c>
      <c r="L847" s="238" t="str">
        <f t="shared" si="230"/>
        <v/>
      </c>
      <c r="M847" s="238" t="str">
        <f t="shared" si="231"/>
        <v/>
      </c>
      <c r="N847" s="238" t="str">
        <f t="shared" si="232"/>
        <v/>
      </c>
      <c r="O847" s="232" t="str">
        <f t="shared" si="227"/>
        <v/>
      </c>
      <c r="P847" s="219" t="str">
        <f t="shared" si="234"/>
        <v/>
      </c>
      <c r="Q847" s="219" t="str">
        <f t="shared" si="235"/>
        <v/>
      </c>
      <c r="R847" s="219" t="str">
        <f t="shared" si="236"/>
        <v/>
      </c>
      <c r="S847" s="330" t="str">
        <f t="shared" si="221"/>
        <v/>
      </c>
      <c r="T847" s="330" t="str">
        <f t="shared" si="223"/>
        <v/>
      </c>
      <c r="U847" s="330" t="str">
        <f t="shared" si="224"/>
        <v/>
      </c>
    </row>
    <row r="848" spans="1:21">
      <c r="A848" s="211">
        <f>IF(COUNTBLANK('RNEW import'!B846)=1,"",'RNEW import'!B846)</f>
        <v>17</v>
      </c>
      <c r="B848" s="211" t="str">
        <f>IF(COUNTBLANK('RNEW import'!D846)=1,"",'RNEW import'!D846)</f>
        <v>Nepi Ten Development Solutions  SRL</v>
      </c>
      <c r="C848" s="211" t="str">
        <f>IF(COUNTBLANK('RNEW import'!E846)=1,"",'RNEW import'!E846)</f>
        <v>RN10_Sfantul Gheorghe</v>
      </c>
      <c r="D848" s="211" t="str">
        <f>IF(COUNTBLANK('RNEW import'!K846)=1,"",'RNEW import'!K846)</f>
        <v>Tarif distributie SDI MT_</v>
      </c>
      <c r="E848" s="211">
        <f>IF(COUNTBLANK('RNEW import'!L846)=1,"",'RNEW import'!N846)</f>
        <v>0</v>
      </c>
      <c r="F848" s="211">
        <f>IF(COUNTBLANK('RNEW import'!M846)=1,"",'RNEW import'!O846/10000)</f>
        <v>1.26E-2</v>
      </c>
      <c r="G848" s="217">
        <f t="shared" si="225"/>
        <v>0</v>
      </c>
      <c r="H848" s="217">
        <f t="shared" si="233"/>
        <v>0</v>
      </c>
      <c r="I848" s="329">
        <f t="shared" si="226"/>
        <v>0</v>
      </c>
      <c r="J848" s="263" t="str">
        <f t="shared" si="228"/>
        <v/>
      </c>
      <c r="K848" s="238" t="str">
        <f t="shared" si="229"/>
        <v/>
      </c>
      <c r="L848" s="238" t="str">
        <f t="shared" si="230"/>
        <v/>
      </c>
      <c r="M848" s="238" t="str">
        <f t="shared" si="231"/>
        <v/>
      </c>
      <c r="N848" s="238" t="str">
        <f t="shared" si="232"/>
        <v/>
      </c>
      <c r="O848" s="232" t="str">
        <f t="shared" si="227"/>
        <v/>
      </c>
      <c r="P848" s="219" t="str">
        <f t="shared" si="234"/>
        <v/>
      </c>
      <c r="Q848" s="219" t="str">
        <f t="shared" si="235"/>
        <v/>
      </c>
      <c r="R848" s="219" t="str">
        <f t="shared" si="236"/>
        <v/>
      </c>
      <c r="S848" s="330" t="str">
        <f t="shared" si="221"/>
        <v/>
      </c>
      <c r="T848" s="330" t="str">
        <f t="shared" si="223"/>
        <v/>
      </c>
      <c r="U848" s="330" t="str">
        <f t="shared" si="224"/>
        <v/>
      </c>
    </row>
    <row r="849" spans="1:21">
      <c r="A849" s="211">
        <f>IF(COUNTBLANK('RNEW import'!B847)=1,"",'RNEW import'!B847)</f>
        <v>18</v>
      </c>
      <c r="B849" s="211" t="str">
        <f>IF(COUNTBLANK('RNEW import'!D847)=1,"",'RNEW import'!D847)</f>
        <v>Nepi Ten Development Solutions  SRL</v>
      </c>
      <c r="C849" s="211" t="str">
        <f>IF(COUNTBLANK('RNEW import'!E847)=1,"",'RNEW import'!E847)</f>
        <v>RN10_Sfantul Gheorghe</v>
      </c>
      <c r="D849" s="211" t="str">
        <f>IF(COUNTBLANK('RNEW import'!K847)=1,"",'RNEW import'!K847)</f>
        <v>Tarif distributie SDI JT_</v>
      </c>
      <c r="E849" s="211">
        <f>IF(COUNTBLANK('RNEW import'!L847)=1,"",'RNEW import'!N847)</f>
        <v>0</v>
      </c>
      <c r="F849" s="211">
        <f>IF(COUNTBLANK('RNEW import'!M847)=1,"",'RNEW import'!O847/10000)</f>
        <v>9.2700000000000005E-2</v>
      </c>
      <c r="G849" s="217">
        <f t="shared" si="225"/>
        <v>0</v>
      </c>
      <c r="H849" s="217">
        <f t="shared" si="233"/>
        <v>0</v>
      </c>
      <c r="I849" s="329">
        <f t="shared" si="226"/>
        <v>0</v>
      </c>
      <c r="J849" s="263" t="str">
        <f t="shared" si="228"/>
        <v/>
      </c>
      <c r="K849" s="238" t="str">
        <f t="shared" si="229"/>
        <v/>
      </c>
      <c r="L849" s="238" t="str">
        <f t="shared" si="230"/>
        <v/>
      </c>
      <c r="M849" s="238" t="str">
        <f t="shared" si="231"/>
        <v/>
      </c>
      <c r="N849" s="238" t="str">
        <f t="shared" si="232"/>
        <v/>
      </c>
      <c r="O849" s="232" t="str">
        <f t="shared" si="227"/>
        <v/>
      </c>
      <c r="P849" s="219" t="str">
        <f t="shared" si="234"/>
        <v>Energie consumata din PV</v>
      </c>
      <c r="Q849" s="219">
        <f t="shared" si="235"/>
        <v>11000</v>
      </c>
      <c r="R849" s="219">
        <f t="shared" si="236"/>
        <v>0.93920700000000001</v>
      </c>
      <c r="S849" s="330">
        <f t="shared" si="221"/>
        <v>10331.280000000001</v>
      </c>
      <c r="T849" s="330">
        <f t="shared" si="223"/>
        <v>1962.94</v>
      </c>
      <c r="U849" s="330">
        <f t="shared" si="224"/>
        <v>12294.22</v>
      </c>
    </row>
    <row r="850" spans="1:21">
      <c r="A850" s="211">
        <f>IF(COUNTBLANK('RNEW import'!B848)=1,"",'RNEW import'!B848)</f>
        <v>19</v>
      </c>
      <c r="B850" s="211" t="str">
        <f>IF(COUNTBLANK('RNEW import'!D848)=1,"",'RNEW import'!D848)</f>
        <v>Nepi Ten Development Solutions  SRL</v>
      </c>
      <c r="C850" s="211" t="str">
        <f>IF(COUNTBLANK('RNEW import'!E848)=1,"",'RNEW import'!E848)</f>
        <v>RN10_Sfantul Gheorghe</v>
      </c>
      <c r="D850" s="211" t="str">
        <f>IF(COUNTBLANK('RNEW import'!K848)=1,"",'RNEW import'!K848)</f>
        <v>Regularizare Energie activa 1</v>
      </c>
      <c r="E850" s="211">
        <f>IF(COUNTBLANK('RNEW import'!L848)=1,"",'RNEW import'!N848)</f>
        <v>0</v>
      </c>
      <c r="F850" s="211">
        <f>IF(COUNTBLANK('RNEW import'!M848)=1,"",'RNEW import'!O848/10000)</f>
        <v>0.59499999999999997</v>
      </c>
      <c r="G850" s="217">
        <f t="shared" si="225"/>
        <v>0</v>
      </c>
      <c r="H850" s="217">
        <f t="shared" si="233"/>
        <v>0</v>
      </c>
      <c r="I850" s="329">
        <f t="shared" si="226"/>
        <v>0</v>
      </c>
      <c r="J850" s="263" t="str">
        <f t="shared" si="228"/>
        <v/>
      </c>
      <c r="K850" s="238" t="str">
        <f t="shared" si="229"/>
        <v/>
      </c>
      <c r="L850" s="238" t="str">
        <f t="shared" si="230"/>
        <v/>
      </c>
      <c r="M850" s="238" t="str">
        <f t="shared" si="231"/>
        <v/>
      </c>
      <c r="N850" s="238" t="str">
        <f t="shared" si="232"/>
        <v/>
      </c>
      <c r="O850" s="232" t="str">
        <f t="shared" si="227"/>
        <v/>
      </c>
      <c r="P850" s="219" t="str">
        <f t="shared" si="234"/>
        <v>Energie activa regularizare</v>
      </c>
      <c r="Q850" s="219">
        <f t="shared" si="235"/>
        <v>0</v>
      </c>
      <c r="R850" s="219">
        <f t="shared" si="236"/>
        <v>0</v>
      </c>
      <c r="S850" s="330">
        <f t="shared" si="221"/>
        <v>0</v>
      </c>
      <c r="T850" s="330">
        <f t="shared" si="223"/>
        <v>0</v>
      </c>
      <c r="U850" s="330">
        <f t="shared" si="224"/>
        <v>0</v>
      </c>
    </row>
    <row r="851" spans="1:21">
      <c r="A851" s="211">
        <f>IF(COUNTBLANK('RNEW import'!B849)=1,"",'RNEW import'!B849)</f>
        <v>20</v>
      </c>
      <c r="B851" s="211" t="str">
        <f>IF(COUNTBLANK('RNEW import'!D849)=1,"",'RNEW import'!D849)</f>
        <v>Nepi Ten Development Solutions  SRL</v>
      </c>
      <c r="C851" s="211" t="str">
        <f>IF(COUNTBLANK('RNEW import'!E849)=1,"",'RNEW import'!E849)</f>
        <v>RN10_Sfantul Gheorghe</v>
      </c>
      <c r="D851" s="211" t="str">
        <f>IF(COUNTBLANK('RNEW import'!K849)=1,"",'RNEW import'!K849)</f>
        <v>Regularizare Energie reactiva  1X</v>
      </c>
      <c r="E851" s="211">
        <f>IF(COUNTBLANK('RNEW import'!L849)=1,"",'RNEW import'!N849)</f>
        <v>10</v>
      </c>
      <c r="F851" s="211">
        <f>IF(COUNTBLANK('RNEW import'!M849)=1,"",'RNEW import'!O849/10000)</f>
        <v>0.14649999999999999</v>
      </c>
      <c r="G851" s="217">
        <f t="shared" si="225"/>
        <v>1.47</v>
      </c>
      <c r="H851" s="217">
        <f t="shared" si="233"/>
        <v>0.28000000000000003</v>
      </c>
      <c r="I851" s="329">
        <f t="shared" si="226"/>
        <v>1.75</v>
      </c>
      <c r="J851" s="263" t="str">
        <f t="shared" si="228"/>
        <v/>
      </c>
      <c r="K851" s="238" t="str">
        <f t="shared" si="229"/>
        <v/>
      </c>
      <c r="L851" s="238" t="str">
        <f t="shared" si="230"/>
        <v/>
      </c>
      <c r="M851" s="238" t="str">
        <f t="shared" si="231"/>
        <v/>
      </c>
      <c r="N851" s="238" t="str">
        <f t="shared" si="232"/>
        <v/>
      </c>
      <c r="O851" s="232" t="str">
        <f t="shared" si="227"/>
        <v/>
      </c>
      <c r="P851" s="219" t="str">
        <f t="shared" si="234"/>
        <v>Energie reactiva 1x regularizare</v>
      </c>
      <c r="Q851" s="219">
        <f t="shared" si="235"/>
        <v>10</v>
      </c>
      <c r="R851" s="219">
        <f t="shared" si="236"/>
        <v>0.14649999999999999</v>
      </c>
      <c r="S851" s="330">
        <f t="shared" si="221"/>
        <v>1.47</v>
      </c>
      <c r="T851" s="330">
        <f t="shared" si="223"/>
        <v>0.28000000000000003</v>
      </c>
      <c r="U851" s="330">
        <f t="shared" si="224"/>
        <v>1.75</v>
      </c>
    </row>
    <row r="852" spans="1:21">
      <c r="A852" s="211">
        <f>IF(COUNTBLANK('RNEW import'!B850)=1,"",'RNEW import'!B850)</f>
        <v>21</v>
      </c>
      <c r="B852" s="211" t="str">
        <f>IF(COUNTBLANK('RNEW import'!D850)=1,"",'RNEW import'!D850)</f>
        <v>Nepi Ten Development Solutions  SRL</v>
      </c>
      <c r="C852" s="211" t="str">
        <f>IF(COUNTBLANK('RNEW import'!E850)=1,"",'RNEW import'!E850)</f>
        <v>RN10_Sfantul Gheorghe</v>
      </c>
      <c r="D852" s="211" t="str">
        <f>IF(COUNTBLANK('RNEW import'!K850)=1,"",'RNEW import'!K850)</f>
        <v>Regularizare Energie reactiva  3X</v>
      </c>
      <c r="E852" s="211">
        <f>IF(COUNTBLANK('RNEW import'!L850)=1,"",'RNEW import'!N850)</f>
        <v>15</v>
      </c>
      <c r="F852" s="211">
        <f>IF(COUNTBLANK('RNEW import'!M850)=1,"",'RNEW import'!O850/10000)</f>
        <v>0.4395</v>
      </c>
      <c r="G852" s="217">
        <f t="shared" si="225"/>
        <v>6.59</v>
      </c>
      <c r="H852" s="217">
        <f t="shared" si="233"/>
        <v>1.25</v>
      </c>
      <c r="I852" s="329">
        <f t="shared" si="226"/>
        <v>7.84</v>
      </c>
      <c r="J852" s="263" t="str">
        <f t="shared" si="228"/>
        <v/>
      </c>
      <c r="K852" s="238" t="str">
        <f t="shared" si="229"/>
        <v/>
      </c>
      <c r="L852" s="238" t="str">
        <f t="shared" si="230"/>
        <v/>
      </c>
      <c r="M852" s="238" t="str">
        <f t="shared" si="231"/>
        <v/>
      </c>
      <c r="N852" s="238" t="str">
        <f t="shared" si="232"/>
        <v/>
      </c>
      <c r="O852" s="232" t="str">
        <f t="shared" si="227"/>
        <v/>
      </c>
      <c r="P852" s="219" t="str">
        <f t="shared" si="234"/>
        <v>Energie reactiva 3x regularizare</v>
      </c>
      <c r="Q852" s="219">
        <f t="shared" si="235"/>
        <v>15</v>
      </c>
      <c r="R852" s="219">
        <f t="shared" si="236"/>
        <v>0.4395</v>
      </c>
      <c r="S852" s="330">
        <f t="shared" si="221"/>
        <v>6.59</v>
      </c>
      <c r="T852" s="330">
        <f t="shared" si="223"/>
        <v>1.25</v>
      </c>
      <c r="U852" s="330">
        <f t="shared" si="224"/>
        <v>7.84</v>
      </c>
    </row>
    <row r="853" spans="1:21">
      <c r="A853" s="211">
        <f>IF(COUNTBLANK('RNEW import'!B851)=1,"",'RNEW import'!B851)</f>
        <v>22</v>
      </c>
      <c r="B853" s="211" t="str">
        <f>IF(COUNTBLANK('RNEW import'!D851)=1,"",'RNEW import'!D851)</f>
        <v>Nepi Ten Development Solutions  SRL</v>
      </c>
      <c r="C853" s="211" t="str">
        <f>IF(COUNTBLANK('RNEW import'!E851)=1,"",'RNEW import'!E851)</f>
        <v>RN10_Sfantul Gheorghe</v>
      </c>
      <c r="D853" s="211" t="str">
        <f>IF(COUNTBLANK('RNEW import'!K851)=1,"",'RNEW import'!K851)</f>
        <v>Regularizare Tarife distributie en. El IT+MT</v>
      </c>
      <c r="E853" s="211">
        <f>IF(COUNTBLANK('RNEW import'!L851)=1,"",'RNEW import'!N851)</f>
        <v>0</v>
      </c>
      <c r="F853" s="211">
        <f>IF(COUNTBLANK('RNEW import'!M851)=1,"",'RNEW import'!O851/10000)</f>
        <v>0.11483</v>
      </c>
      <c r="G853" s="217">
        <f t="shared" si="225"/>
        <v>0</v>
      </c>
      <c r="H853" s="217">
        <f t="shared" si="233"/>
        <v>0</v>
      </c>
      <c r="I853" s="329">
        <f t="shared" si="226"/>
        <v>0</v>
      </c>
      <c r="J853" s="263" t="str">
        <f t="shared" si="228"/>
        <v/>
      </c>
      <c r="K853" s="238" t="str">
        <f t="shared" si="229"/>
        <v/>
      </c>
      <c r="L853" s="238" t="str">
        <f t="shared" si="230"/>
        <v/>
      </c>
      <c r="M853" s="238" t="str">
        <f t="shared" si="231"/>
        <v/>
      </c>
      <c r="N853" s="238" t="str">
        <f t="shared" si="232"/>
        <v/>
      </c>
      <c r="O853" s="233" t="str">
        <f t="shared" si="227"/>
        <v/>
      </c>
      <c r="P853" s="219" t="str">
        <f t="shared" si="234"/>
        <v/>
      </c>
      <c r="Q853" s="219" t="str">
        <f t="shared" si="235"/>
        <v/>
      </c>
      <c r="R853" s="219" t="str">
        <f t="shared" si="236"/>
        <v/>
      </c>
      <c r="S853" s="330" t="str">
        <f t="shared" si="221"/>
        <v/>
      </c>
      <c r="T853" s="330" t="str">
        <f t="shared" si="223"/>
        <v/>
      </c>
      <c r="U853" s="330" t="str">
        <f t="shared" si="224"/>
        <v/>
      </c>
    </row>
    <row r="854" spans="1:21">
      <c r="A854" s="211">
        <f>IF(COUNTBLANK('RNEW import'!B852)=1,"",'RNEW import'!B852)</f>
        <v>23</v>
      </c>
      <c r="B854" s="211" t="str">
        <f>IF(COUNTBLANK('RNEW import'!D852)=1,"",'RNEW import'!D852)</f>
        <v>Nepi Ten Development Solutions  SRL</v>
      </c>
      <c r="C854" s="211" t="str">
        <f>IF(COUNTBLANK('RNEW import'!E852)=1,"",'RNEW import'!E852)</f>
        <v>RN10_Sfantul Gheorghe</v>
      </c>
      <c r="D854" s="211" t="str">
        <f>IF(COUNTBLANK('RNEW import'!K852)=1,"",'RNEW import'!K852)</f>
        <v>Regularizare Tarife distributie en. El JT</v>
      </c>
      <c r="E854" s="211">
        <f>IF(COUNTBLANK('RNEW import'!L852)=1,"",'RNEW import'!N852)</f>
        <v>0</v>
      </c>
      <c r="F854" s="211">
        <f>IF(COUNTBLANK('RNEW import'!M852)=1,"",'RNEW import'!O852/10000)</f>
        <v>0.2361</v>
      </c>
      <c r="G854" s="217">
        <f t="shared" si="225"/>
        <v>0</v>
      </c>
      <c r="H854" s="217">
        <f t="shared" si="233"/>
        <v>0</v>
      </c>
      <c r="I854" s="329">
        <f t="shared" si="226"/>
        <v>0</v>
      </c>
      <c r="J854" s="263" t="str">
        <f t="shared" si="228"/>
        <v/>
      </c>
      <c r="K854" s="238" t="str">
        <f t="shared" si="229"/>
        <v/>
      </c>
      <c r="L854" s="238" t="str">
        <f t="shared" si="230"/>
        <v/>
      </c>
      <c r="M854" s="238" t="str">
        <f t="shared" si="231"/>
        <v/>
      </c>
      <c r="N854" s="238" t="str">
        <f t="shared" si="232"/>
        <v/>
      </c>
      <c r="O854" s="218" t="str">
        <f t="shared" si="227"/>
        <v/>
      </c>
      <c r="P854" s="219" t="str">
        <f t="shared" si="234"/>
        <v/>
      </c>
      <c r="Q854" s="219" t="str">
        <f t="shared" si="235"/>
        <v/>
      </c>
      <c r="R854" s="219" t="str">
        <f t="shared" si="236"/>
        <v/>
      </c>
      <c r="S854" s="330" t="str">
        <f t="shared" si="221"/>
        <v/>
      </c>
      <c r="T854" s="330" t="str">
        <f t="shared" si="223"/>
        <v/>
      </c>
      <c r="U854" s="330" t="str">
        <f t="shared" si="224"/>
        <v/>
      </c>
    </row>
    <row r="855" spans="1:21">
      <c r="A855" s="211">
        <f>IF(COUNTBLANK('RNEW import'!B853)=1,"",'RNEW import'!B853)</f>
        <v>24</v>
      </c>
      <c r="B855" s="211" t="str">
        <f>IF(COUNTBLANK('RNEW import'!D853)=1,"",'RNEW import'!D853)</f>
        <v>Nepi Ten Development Solutions  SRL</v>
      </c>
      <c r="C855" s="211" t="str">
        <f>IF(COUNTBLANK('RNEW import'!E853)=1,"",'RNEW import'!E853)</f>
        <v>RN10_Sfantul Gheorghe</v>
      </c>
      <c r="D855" s="211" t="str">
        <f>IF(COUNTBLANK('RNEW import'!K853)=1,"",'RNEW import'!K853)</f>
        <v xml:space="preserve">Regularizare Servicii Sistem </v>
      </c>
      <c r="E855" s="211">
        <f>IF(COUNTBLANK('RNEW import'!L853)=1,"",'RNEW import'!N853)</f>
        <v>0</v>
      </c>
      <c r="F855" s="211">
        <f>IF(COUNTBLANK('RNEW import'!M853)=1,"",'RNEW import'!O853/10000)</f>
        <v>1.1509999999999999E-2</v>
      </c>
      <c r="G855" s="217">
        <f t="shared" si="225"/>
        <v>0</v>
      </c>
      <c r="H855" s="217">
        <f t="shared" si="233"/>
        <v>0</v>
      </c>
      <c r="I855" s="329">
        <f t="shared" si="226"/>
        <v>0</v>
      </c>
      <c r="J855" s="263" t="str">
        <f t="shared" si="228"/>
        <v/>
      </c>
      <c r="K855" s="238" t="str">
        <f t="shared" si="229"/>
        <v/>
      </c>
      <c r="L855" s="238" t="str">
        <f t="shared" si="230"/>
        <v/>
      </c>
      <c r="M855" s="238" t="str">
        <f t="shared" si="231"/>
        <v/>
      </c>
      <c r="N855" s="238" t="str">
        <f t="shared" si="232"/>
        <v/>
      </c>
      <c r="O855" s="232" t="str">
        <f t="shared" si="227"/>
        <v/>
      </c>
      <c r="P855" s="219" t="str">
        <f t="shared" si="234"/>
        <v/>
      </c>
      <c r="Q855" s="219" t="str">
        <f t="shared" si="235"/>
        <v/>
      </c>
      <c r="R855" s="219" t="str">
        <f t="shared" si="236"/>
        <v/>
      </c>
      <c r="S855" s="330" t="str">
        <f t="shared" si="221"/>
        <v/>
      </c>
      <c r="T855" s="330" t="str">
        <f t="shared" si="223"/>
        <v/>
      </c>
      <c r="U855" s="330" t="str">
        <f t="shared" si="224"/>
        <v/>
      </c>
    </row>
    <row r="856" spans="1:21">
      <c r="A856" s="211">
        <f>IF(COUNTBLANK('RNEW import'!B854)=1,"",'RNEW import'!B854)</f>
        <v>25</v>
      </c>
      <c r="B856" s="211" t="str">
        <f>IF(COUNTBLANK('RNEW import'!D854)=1,"",'RNEW import'!D854)</f>
        <v>Nepi Ten Development Solutions  SRL</v>
      </c>
      <c r="C856" s="211" t="str">
        <f>IF(COUNTBLANK('RNEW import'!E854)=1,"",'RNEW import'!E854)</f>
        <v>RN10_Sfantul Gheorghe</v>
      </c>
      <c r="D856" s="211" t="str">
        <f>IF(COUNTBLANK('RNEW import'!K854)=1,"",'RNEW import'!K854)</f>
        <v>Regularizare Tarif de introducere en. el in retea (TL)</v>
      </c>
      <c r="E856" s="211">
        <f>IF(COUNTBLANK('RNEW import'!L854)=1,"",'RNEW import'!N854)</f>
        <v>0</v>
      </c>
      <c r="F856" s="211">
        <f>IF(COUNTBLANK('RNEW import'!M854)=1,"",'RNEW import'!O854/10000)</f>
        <v>3.3030000000000004E-2</v>
      </c>
      <c r="G856" s="217">
        <f t="shared" si="225"/>
        <v>0</v>
      </c>
      <c r="H856" s="217">
        <f t="shared" si="233"/>
        <v>0</v>
      </c>
      <c r="I856" s="329">
        <f t="shared" si="226"/>
        <v>0</v>
      </c>
      <c r="J856" s="263" t="str">
        <f t="shared" si="228"/>
        <v/>
      </c>
      <c r="K856" s="238" t="str">
        <f t="shared" si="229"/>
        <v/>
      </c>
      <c r="L856" s="238" t="str">
        <f t="shared" si="230"/>
        <v/>
      </c>
      <c r="M856" s="238" t="str">
        <f t="shared" si="231"/>
        <v/>
      </c>
      <c r="N856" s="238" t="str">
        <f t="shared" si="232"/>
        <v/>
      </c>
      <c r="O856" s="232" t="str">
        <f t="shared" si="227"/>
        <v/>
      </c>
      <c r="P856" s="219" t="str">
        <f t="shared" si="234"/>
        <v/>
      </c>
      <c r="Q856" s="219" t="str">
        <f t="shared" si="235"/>
        <v/>
      </c>
      <c r="R856" s="219" t="str">
        <f t="shared" si="236"/>
        <v/>
      </c>
      <c r="S856" s="330" t="str">
        <f t="shared" si="221"/>
        <v/>
      </c>
      <c r="T856" s="330" t="str">
        <f t="shared" si="223"/>
        <v/>
      </c>
      <c r="U856" s="330" t="str">
        <f t="shared" si="224"/>
        <v/>
      </c>
    </row>
    <row r="857" spans="1:21">
      <c r="A857" s="211">
        <f>IF(COUNTBLANK('RNEW import'!B855)=1,"",'RNEW import'!B855)</f>
        <v>26</v>
      </c>
      <c r="B857" s="211" t="str">
        <f>IF(COUNTBLANK('RNEW import'!D855)=1,"",'RNEW import'!D855)</f>
        <v>Nepi Ten Development Solutions  SRL</v>
      </c>
      <c r="C857" s="211" t="str">
        <f>IF(COUNTBLANK('RNEW import'!E855)=1,"",'RNEW import'!E855)</f>
        <v>RN10_Sfantul Gheorghe</v>
      </c>
      <c r="D857" s="211" t="str">
        <f>IF(COUNTBLANK('RNEW import'!K855)=1,"",'RNEW import'!K855)</f>
        <v>Regularizare Tarif de introducere en.el in retea (TG)</v>
      </c>
      <c r="E857" s="211">
        <f>IF(COUNTBLANK('RNEW import'!L855)=1,"",'RNEW import'!N855)</f>
        <v>0</v>
      </c>
      <c r="F857" s="211">
        <f>IF(COUNTBLANK('RNEW import'!M855)=1,"",'RNEW import'!O855/10000)</f>
        <v>3.29E-3</v>
      </c>
      <c r="G857" s="217">
        <f t="shared" si="225"/>
        <v>0</v>
      </c>
      <c r="H857" s="217">
        <f t="shared" si="233"/>
        <v>0</v>
      </c>
      <c r="I857" s="329">
        <f t="shared" si="226"/>
        <v>0</v>
      </c>
      <c r="J857" s="263" t="str">
        <f t="shared" si="228"/>
        <v/>
      </c>
      <c r="K857" s="238" t="str">
        <f t="shared" si="229"/>
        <v/>
      </c>
      <c r="L857" s="238" t="str">
        <f t="shared" si="230"/>
        <v/>
      </c>
      <c r="M857" s="238" t="str">
        <f t="shared" si="231"/>
        <v/>
      </c>
      <c r="N857" s="238" t="str">
        <f t="shared" si="232"/>
        <v/>
      </c>
      <c r="O857" s="232" t="str">
        <f t="shared" si="227"/>
        <v/>
      </c>
      <c r="P857" s="219" t="str">
        <f t="shared" si="234"/>
        <v/>
      </c>
      <c r="Q857" s="219" t="str">
        <f t="shared" si="235"/>
        <v/>
      </c>
      <c r="R857" s="219" t="str">
        <f t="shared" si="236"/>
        <v/>
      </c>
      <c r="S857" s="330" t="str">
        <f t="shared" si="221"/>
        <v/>
      </c>
      <c r="T857" s="330" t="str">
        <f t="shared" si="223"/>
        <v/>
      </c>
      <c r="U857" s="330" t="str">
        <f t="shared" si="224"/>
        <v/>
      </c>
    </row>
    <row r="858" spans="1:21">
      <c r="A858" s="211">
        <f>IF(COUNTBLANK('RNEW import'!B856)=1,"",'RNEW import'!B856)</f>
        <v>27</v>
      </c>
      <c r="B858" s="211" t="str">
        <f>IF(COUNTBLANK('RNEW import'!D856)=1,"",'RNEW import'!D856)</f>
        <v>Nepi Ten Development Solutions  SRL</v>
      </c>
      <c r="C858" s="211" t="str">
        <f>IF(COUNTBLANK('RNEW import'!E856)=1,"",'RNEW import'!E856)</f>
        <v>RN10_Sfantul Gheorghe</v>
      </c>
      <c r="D858" s="211" t="str">
        <f>IF(COUNTBLANK('RNEW import'!K856)=1,"",'RNEW import'!K856)</f>
        <v>Regularizare Contributie pentru cogenerare</v>
      </c>
      <c r="E858" s="211">
        <f>IF(COUNTBLANK('RNEW import'!L856)=1,"",'RNEW import'!N856)</f>
        <v>0</v>
      </c>
      <c r="F858" s="211">
        <f>IF(COUNTBLANK('RNEW import'!M856)=1,"",'RNEW import'!O856/10000)</f>
        <v>3.5000000000000001E-3</v>
      </c>
      <c r="G858" s="217">
        <f t="shared" si="225"/>
        <v>0</v>
      </c>
      <c r="H858" s="217">
        <f t="shared" si="233"/>
        <v>0</v>
      </c>
      <c r="I858" s="329">
        <f t="shared" si="226"/>
        <v>0</v>
      </c>
      <c r="J858" s="263" t="str">
        <f t="shared" si="228"/>
        <v/>
      </c>
      <c r="K858" s="238" t="str">
        <f t="shared" si="229"/>
        <v/>
      </c>
      <c r="L858" s="238" t="str">
        <f t="shared" si="230"/>
        <v/>
      </c>
      <c r="M858" s="238" t="str">
        <f t="shared" si="231"/>
        <v/>
      </c>
      <c r="N858" s="238" t="str">
        <f t="shared" si="232"/>
        <v/>
      </c>
      <c r="O858" s="232" t="str">
        <f t="shared" si="227"/>
        <v/>
      </c>
      <c r="P858" s="219" t="str">
        <f t="shared" si="234"/>
        <v/>
      </c>
      <c r="Q858" s="219" t="str">
        <f t="shared" si="235"/>
        <v/>
      </c>
      <c r="R858" s="219" t="str">
        <f t="shared" si="236"/>
        <v/>
      </c>
      <c r="S858" s="330" t="str">
        <f t="shared" si="221"/>
        <v/>
      </c>
      <c r="T858" s="330" t="str">
        <f t="shared" si="223"/>
        <v/>
      </c>
      <c r="U858" s="330" t="str">
        <f t="shared" si="224"/>
        <v/>
      </c>
    </row>
    <row r="859" spans="1:21">
      <c r="A859" s="211">
        <f>IF(COUNTBLANK('RNEW import'!B857)=1,"",'RNEW import'!B857)</f>
        <v>28</v>
      </c>
      <c r="B859" s="211" t="str">
        <f>IF(COUNTBLANK('RNEW import'!D857)=1,"",'RNEW import'!D857)</f>
        <v>Nepi Ten Development Solutions  SRL</v>
      </c>
      <c r="C859" s="211" t="str">
        <f>IF(COUNTBLANK('RNEW import'!E857)=1,"",'RNEW import'!E857)</f>
        <v>RN10_Sfantul Gheorghe</v>
      </c>
      <c r="D859" s="211" t="str">
        <f>IF(COUNTBLANK('RNEW import'!K857)=1,"",'RNEW import'!K857)</f>
        <v xml:space="preserve">Regularizare Certificate verzi </v>
      </c>
      <c r="E859" s="211">
        <f>IF(COUNTBLANK('RNEW import'!L857)=1,"",'RNEW import'!N857)</f>
        <v>0</v>
      </c>
      <c r="F859" s="211">
        <f>IF(COUNTBLANK('RNEW import'!M857)=1,"",'RNEW import'!O857/10000)</f>
        <v>7.2541599999999998E-2</v>
      </c>
      <c r="G859" s="217">
        <f t="shared" si="225"/>
        <v>0</v>
      </c>
      <c r="H859" s="217">
        <f t="shared" si="233"/>
        <v>0</v>
      </c>
      <c r="I859" s="329">
        <f t="shared" si="226"/>
        <v>0</v>
      </c>
      <c r="J859" s="263" t="str">
        <f t="shared" si="228"/>
        <v/>
      </c>
      <c r="K859" s="238" t="str">
        <f t="shared" si="229"/>
        <v/>
      </c>
      <c r="L859" s="238" t="str">
        <f t="shared" si="230"/>
        <v/>
      </c>
      <c r="M859" s="238" t="str">
        <f t="shared" si="231"/>
        <v/>
      </c>
      <c r="N859" s="238" t="str">
        <f t="shared" si="232"/>
        <v/>
      </c>
      <c r="O859" s="232" t="str">
        <f t="shared" si="227"/>
        <v/>
      </c>
      <c r="P859" s="219" t="str">
        <f t="shared" si="234"/>
        <v/>
      </c>
      <c r="Q859" s="219" t="str">
        <f t="shared" si="235"/>
        <v/>
      </c>
      <c r="R859" s="219" t="str">
        <f t="shared" si="236"/>
        <v/>
      </c>
      <c r="S859" s="330" t="str">
        <f t="shared" si="221"/>
        <v/>
      </c>
      <c r="T859" s="330" t="str">
        <f t="shared" si="223"/>
        <v/>
      </c>
      <c r="U859" s="330" t="str">
        <f t="shared" si="224"/>
        <v/>
      </c>
    </row>
    <row r="860" spans="1:21">
      <c r="A860" s="211">
        <f>IF(COUNTBLANK('RNEW import'!B858)=1,"",'RNEW import'!B858)</f>
        <v>29</v>
      </c>
      <c r="B860" s="211" t="str">
        <f>IF(COUNTBLANK('RNEW import'!D858)=1,"",'RNEW import'!D858)</f>
        <v>Nepi Ten Development Solutions  SRL</v>
      </c>
      <c r="C860" s="211" t="str">
        <f>IF(COUNTBLANK('RNEW import'!E858)=1,"",'RNEW import'!E858)</f>
        <v>RN10_Sfantul Gheorghe</v>
      </c>
      <c r="D860" s="211" t="str">
        <f>IF(COUNTBLANK('RNEW import'!K858)=1,"",'RNEW import'!K858)</f>
        <v>Regularizare Contributie CFD</v>
      </c>
      <c r="E860" s="211">
        <f>IF(COUNTBLANK('RNEW import'!L858)=1,"",'RNEW import'!N858)</f>
        <v>0</v>
      </c>
      <c r="F860" s="211">
        <f>IF(COUNTBLANK('RNEW import'!M858)=1,"",'RNEW import'!O858/10000)</f>
        <v>2.0599999999999999E-4</v>
      </c>
      <c r="G860" s="217">
        <f t="shared" si="225"/>
        <v>0</v>
      </c>
      <c r="H860" s="217">
        <f t="shared" si="233"/>
        <v>0</v>
      </c>
      <c r="I860" s="329">
        <f t="shared" si="226"/>
        <v>0</v>
      </c>
      <c r="J860" s="263" t="str">
        <f t="shared" si="228"/>
        <v/>
      </c>
      <c r="K860" s="238" t="str">
        <f t="shared" si="229"/>
        <v/>
      </c>
      <c r="L860" s="238" t="str">
        <f t="shared" si="230"/>
        <v/>
      </c>
      <c r="M860" s="238" t="str">
        <f t="shared" si="231"/>
        <v/>
      </c>
      <c r="N860" s="238" t="str">
        <f t="shared" si="232"/>
        <v/>
      </c>
      <c r="O860" s="232" t="str">
        <f t="shared" si="227"/>
        <v/>
      </c>
      <c r="P860" s="219" t="str">
        <f t="shared" si="234"/>
        <v/>
      </c>
      <c r="Q860" s="219" t="str">
        <f t="shared" si="235"/>
        <v/>
      </c>
      <c r="R860" s="219" t="str">
        <f t="shared" si="236"/>
        <v/>
      </c>
      <c r="S860" s="330" t="str">
        <f t="shared" ref="S860:S923" si="237">IF(COUNTBLANK(P860)=1,"",ROUND(IF(P860=$P$5,G860,IF(P860=$P$6,G860,IF(P860=$P$21,G860+G859+G858+G857,IF(P860=$P$23,G860,IF(P860=$P$24,G860,IF(P860=$P$4,SUMIFS(G:G,$C:$C,_xlfn.CONCAT("RN10_",RIGHT(J860,LEN(J860)-FIND("-",J860,1)-1)),A:A,"&lt;15"),IF(P860=$P$22,SUMIFS(G:G,$C:$C,_xlfn.CONCAT("RN10_",RIGHT(J842,LEN(J842)-FIND("-",J842,1)-1)),A:A,"&gt;18",A:A,"&lt;33")-S861-S862,IF(P860=$P$39,G860+G859+G858+G857,"eroare")))))))),2))</f>
        <v/>
      </c>
      <c r="T860" s="330" t="str">
        <f t="shared" si="223"/>
        <v/>
      </c>
      <c r="U860" s="330" t="str">
        <f t="shared" si="224"/>
        <v/>
      </c>
    </row>
    <row r="861" spans="1:21">
      <c r="A861" s="211">
        <f>IF(COUNTBLANK('RNEW import'!B859)=1,"",'RNEW import'!B859)</f>
        <v>30</v>
      </c>
      <c r="B861" s="211" t="str">
        <f>IF(COUNTBLANK('RNEW import'!D859)=1,"",'RNEW import'!D859)</f>
        <v>Nepi Ten Development Solutions  SRL</v>
      </c>
      <c r="C861" s="211" t="str">
        <f>IF(COUNTBLANK('RNEW import'!E859)=1,"",'RNEW import'!E859)</f>
        <v>RN10_Sfantul Gheorghe</v>
      </c>
      <c r="D861" s="211" t="str">
        <f>IF(COUNTBLANK('RNEW import'!K859)=1,"",'RNEW import'!K859)</f>
        <v>Regularizare Acciza</v>
      </c>
      <c r="E861" s="211">
        <f>IF(COUNTBLANK('RNEW import'!L859)=1,"",'RNEW import'!N859)</f>
        <v>0</v>
      </c>
      <c r="F861" s="211">
        <f>IF(COUNTBLANK('RNEW import'!M859)=1,"",'RNEW import'!O859/10000)</f>
        <v>0</v>
      </c>
      <c r="G861" s="217">
        <f t="shared" si="225"/>
        <v>0</v>
      </c>
      <c r="H861" s="217">
        <f t="shared" si="233"/>
        <v>0</v>
      </c>
      <c r="I861" s="329">
        <f t="shared" si="226"/>
        <v>0</v>
      </c>
      <c r="J861" s="263" t="str">
        <f t="shared" si="228"/>
        <v/>
      </c>
      <c r="K861" s="238" t="str">
        <f t="shared" si="229"/>
        <v/>
      </c>
      <c r="L861" s="238" t="str">
        <f t="shared" si="230"/>
        <v/>
      </c>
      <c r="M861" s="238" t="str">
        <f t="shared" si="231"/>
        <v/>
      </c>
      <c r="N861" s="238" t="str">
        <f t="shared" si="232"/>
        <v/>
      </c>
      <c r="O861" s="232" t="str">
        <f t="shared" si="227"/>
        <v/>
      </c>
      <c r="P861" s="219" t="str">
        <f t="shared" si="234"/>
        <v/>
      </c>
      <c r="Q861" s="219" t="str">
        <f t="shared" si="235"/>
        <v/>
      </c>
      <c r="R861" s="219" t="str">
        <f t="shared" si="236"/>
        <v/>
      </c>
      <c r="S861" s="330" t="str">
        <f t="shared" si="237"/>
        <v/>
      </c>
      <c r="T861" s="330" t="str">
        <f t="shared" ref="T861:T924" si="238">IF(COUNTBLANK(P861)=1,"",ROUND(IF(P861=$P$5,H861,IF(P861=$P$6,H861,IF(P861=$P$21,H861+H860+H859+H858,IF(P861=$P$23,H861,IF(P861=$P$24,H861,IF(P861=$P$4,SUMIFS(H:H,$C:$C,_xlfn.CONCAT("RN10_",RIGHT(J861,LEN(J861)-FIND("-",J861,1)-1)),A:A,"&lt;15"),IF(P861=$P$22,SUMIFS(H:H,$C:$C,_xlfn.CONCAT("RN10_",RIGHT(J843,LEN(J843)-FIND("-",J843,1)-1)),A:A,"&gt;18",A:A,"&lt;33")-T862-T863,IF(P861=$P$39,H861+H860+H859+H858,"eroare")))))))),2))</f>
        <v/>
      </c>
      <c r="U861" s="330" t="str">
        <f t="shared" ref="U861:U924" si="239">IF(COUNTBLANK(P861)=1,"",ROUND(IF(P861=$P$5,I861,IF(P861=$P$6,I861,IF(P861=$P$21,I861+I860+I859+I858,IF(P861=$P$23,I861,IF(P861=$P$24,I861,IF(P861=$P$4,SUMIFS(I:I,$C:$C,_xlfn.CONCAT("RN10_",RIGHT(J861,LEN(J861)-FIND("-",J861,1)-1)),A:A,"&lt;15"),IF(P861=$P$22,SUMIFS(I:I,$C:$C,_xlfn.CONCAT("RN10_",RIGHT(J843,LEN(J843)-FIND("-",J843,1)-1)),A:A,"&gt;18",A:A,"&lt;33")-U862-U863,IF(P861=$P$39,I861+I860+I859+I858,"eroare")))))))),2))</f>
        <v/>
      </c>
    </row>
    <row r="862" spans="1:21">
      <c r="A862" s="211">
        <f>IF(COUNTBLANK('RNEW import'!B860)=1,"",'RNEW import'!B860)</f>
        <v>31</v>
      </c>
      <c r="B862" s="211" t="str">
        <f>IF(COUNTBLANK('RNEW import'!D860)=1,"",'RNEW import'!D860)</f>
        <v>Nepi Ten Development Solutions  SRL</v>
      </c>
      <c r="C862" s="211" t="str">
        <f>IF(COUNTBLANK('RNEW import'!E860)=1,"",'RNEW import'!E860)</f>
        <v>RN10_Sfantul Gheorghe</v>
      </c>
      <c r="D862" s="211" t="str">
        <f>IF(COUNTBLANK('RNEW import'!K860)=1,"",'RNEW import'!K860)</f>
        <v>Regularizare Tarif distributie SDI MT Ea1</v>
      </c>
      <c r="E862" s="211">
        <f>IF(COUNTBLANK('RNEW import'!L860)=1,"",'RNEW import'!N860)</f>
        <v>0</v>
      </c>
      <c r="F862" s="211">
        <f>IF(COUNTBLANK('RNEW import'!M860)=1,"",'RNEW import'!O860/10000)</f>
        <v>1.26E-2</v>
      </c>
      <c r="G862" s="217">
        <f t="shared" si="225"/>
        <v>0</v>
      </c>
      <c r="H862" s="217">
        <f t="shared" si="233"/>
        <v>0</v>
      </c>
      <c r="I862" s="329">
        <f t="shared" si="226"/>
        <v>0</v>
      </c>
      <c r="J862" s="263" t="str">
        <f t="shared" si="228"/>
        <v/>
      </c>
      <c r="K862" s="238" t="str">
        <f t="shared" si="229"/>
        <v/>
      </c>
      <c r="L862" s="238" t="str">
        <f t="shared" si="230"/>
        <v/>
      </c>
      <c r="M862" s="238" t="str">
        <f t="shared" si="231"/>
        <v/>
      </c>
      <c r="N862" s="238" t="str">
        <f t="shared" si="232"/>
        <v/>
      </c>
      <c r="O862" s="232" t="str">
        <f t="shared" si="227"/>
        <v/>
      </c>
      <c r="P862" s="219" t="str">
        <f t="shared" si="234"/>
        <v/>
      </c>
      <c r="Q862" s="219" t="str">
        <f t="shared" si="235"/>
        <v/>
      </c>
      <c r="R862" s="219" t="str">
        <f t="shared" si="236"/>
        <v/>
      </c>
      <c r="S862" s="330" t="str">
        <f t="shared" si="237"/>
        <v/>
      </c>
      <c r="T862" s="330" t="str">
        <f t="shared" si="238"/>
        <v/>
      </c>
      <c r="U862" s="330" t="str">
        <f t="shared" si="239"/>
        <v/>
      </c>
    </row>
    <row r="863" spans="1:21">
      <c r="A863" s="211">
        <f>IF(COUNTBLANK('RNEW import'!B861)=1,"",'RNEW import'!B861)</f>
        <v>32</v>
      </c>
      <c r="B863" s="211" t="str">
        <f>IF(COUNTBLANK('RNEW import'!D861)=1,"",'RNEW import'!D861)</f>
        <v>Nepi Ten Development Solutions  SRL</v>
      </c>
      <c r="C863" s="211" t="str">
        <f>IF(COUNTBLANK('RNEW import'!E861)=1,"",'RNEW import'!E861)</f>
        <v>RN10_Sfantul Gheorghe</v>
      </c>
      <c r="D863" s="211" t="str">
        <f>IF(COUNTBLANK('RNEW import'!K861)=1,"",'RNEW import'!K861)</f>
        <v>Regularizare Tarif distributie SDI JT Ea1</v>
      </c>
      <c r="E863" s="211">
        <f>IF(COUNTBLANK('RNEW import'!L861)=1,"",'RNEW import'!N861)</f>
        <v>0</v>
      </c>
      <c r="F863" s="211">
        <f>IF(COUNTBLANK('RNEW import'!M861)=1,"",'RNEW import'!O861/10000)</f>
        <v>9.2700000000000005E-2</v>
      </c>
      <c r="G863" s="217">
        <f t="shared" si="225"/>
        <v>0</v>
      </c>
      <c r="H863" s="217">
        <f t="shared" si="233"/>
        <v>0</v>
      </c>
      <c r="I863" s="329">
        <f t="shared" si="226"/>
        <v>0</v>
      </c>
      <c r="J863" s="263" t="str">
        <f t="shared" si="228"/>
        <v/>
      </c>
      <c r="K863" s="238" t="str">
        <f t="shared" si="229"/>
        <v/>
      </c>
      <c r="L863" s="238" t="str">
        <f t="shared" si="230"/>
        <v/>
      </c>
      <c r="M863" s="238" t="str">
        <f t="shared" si="231"/>
        <v/>
      </c>
      <c r="N863" s="238" t="str">
        <f t="shared" si="232"/>
        <v/>
      </c>
      <c r="O863" s="232" t="str">
        <f t="shared" si="227"/>
        <v/>
      </c>
      <c r="P863" s="219" t="str">
        <f t="shared" si="234"/>
        <v/>
      </c>
      <c r="Q863" s="219" t="str">
        <f t="shared" si="235"/>
        <v/>
      </c>
      <c r="R863" s="219" t="str">
        <f t="shared" si="236"/>
        <v/>
      </c>
      <c r="S863" s="330" t="str">
        <f t="shared" si="237"/>
        <v/>
      </c>
      <c r="T863" s="330" t="str">
        <f t="shared" si="238"/>
        <v/>
      </c>
      <c r="U863" s="330" t="str">
        <f t="shared" si="239"/>
        <v/>
      </c>
    </row>
    <row r="864" spans="1:21">
      <c r="A864" s="211">
        <f>IF(COUNTBLANK('RNEW import'!B862)=1,"",'RNEW import'!B862)</f>
        <v>33</v>
      </c>
      <c r="B864" s="211" t="str">
        <f>IF(COUNTBLANK('RNEW import'!D862)=1,"",'RNEW import'!D862)</f>
        <v>Nepi Ten Development Solutions  SRL</v>
      </c>
      <c r="C864" s="211" t="str">
        <f>IF(COUNTBLANK('RNEW import'!E862)=1,"",'RNEW import'!E862)</f>
        <v>RN10_Sfantul Gheorghe</v>
      </c>
      <c r="D864" s="211" t="str">
        <f>IF(COUNTBLANK('RNEW import'!K862)=1,"",'RNEW import'!K862)</f>
        <v>Regularizare Energie activa 2</v>
      </c>
      <c r="E864" s="211">
        <f>IF(COUNTBLANK('RNEW import'!L862)=1,"",'RNEW import'!N862)</f>
        <v>0</v>
      </c>
      <c r="F864" s="211">
        <f>IF(COUNTBLANK('RNEW import'!M862)=1,"",'RNEW import'!O862/10000)</f>
        <v>0.93920760000000014</v>
      </c>
      <c r="G864" s="217">
        <f t="shared" si="225"/>
        <v>0</v>
      </c>
      <c r="H864" s="217">
        <f t="shared" si="233"/>
        <v>0</v>
      </c>
      <c r="I864" s="329">
        <f t="shared" si="226"/>
        <v>0</v>
      </c>
      <c r="J864" s="263" t="str">
        <f t="shared" si="228"/>
        <v/>
      </c>
      <c r="K864" s="238" t="str">
        <f t="shared" si="229"/>
        <v/>
      </c>
      <c r="L864" s="238" t="str">
        <f t="shared" si="230"/>
        <v/>
      </c>
      <c r="M864" s="238" t="str">
        <f t="shared" si="231"/>
        <v/>
      </c>
      <c r="N864" s="238" t="str">
        <f t="shared" si="232"/>
        <v/>
      </c>
      <c r="O864" s="232" t="str">
        <f t="shared" si="227"/>
        <v/>
      </c>
      <c r="P864" s="219" t="str">
        <f t="shared" si="234"/>
        <v/>
      </c>
      <c r="Q864" s="219" t="str">
        <f t="shared" si="235"/>
        <v/>
      </c>
      <c r="R864" s="219" t="str">
        <f t="shared" si="236"/>
        <v/>
      </c>
      <c r="S864" s="330" t="str">
        <f t="shared" si="237"/>
        <v/>
      </c>
      <c r="T864" s="330" t="str">
        <f t="shared" si="238"/>
        <v/>
      </c>
      <c r="U864" s="330" t="str">
        <f t="shared" si="239"/>
        <v/>
      </c>
    </row>
    <row r="865" spans="1:21">
      <c r="A865" s="211">
        <f>IF(COUNTBLANK('RNEW import'!B863)=1,"",'RNEW import'!B863)</f>
        <v>34</v>
      </c>
      <c r="B865" s="211" t="str">
        <f>IF(COUNTBLANK('RNEW import'!D863)=1,"",'RNEW import'!D863)</f>
        <v>Nepi Ten Development Solutions  SRL</v>
      </c>
      <c r="C865" s="211" t="str">
        <f>IF(COUNTBLANK('RNEW import'!E863)=1,"",'RNEW import'!E863)</f>
        <v>RN10_Sfantul Gheorghe</v>
      </c>
      <c r="D865" s="211" t="str">
        <f>IF(COUNTBLANK('RNEW import'!K863)=1,"",'RNEW import'!K863)</f>
        <v>Regularizare Energie activa 3</v>
      </c>
      <c r="E865" s="211">
        <f>IF(COUNTBLANK('RNEW import'!L863)=1,"",'RNEW import'!N863)</f>
        <v>0</v>
      </c>
      <c r="F865" s="211">
        <f>IF(COUNTBLANK('RNEW import'!M863)=1,"",'RNEW import'!O863/10000)</f>
        <v>0.83390760000000008</v>
      </c>
      <c r="G865" s="217">
        <f t="shared" si="225"/>
        <v>0</v>
      </c>
      <c r="H865" s="217">
        <f t="shared" si="233"/>
        <v>0</v>
      </c>
      <c r="I865" s="329">
        <f t="shared" si="226"/>
        <v>0</v>
      </c>
      <c r="J865" s="263" t="str">
        <f t="shared" si="228"/>
        <v/>
      </c>
      <c r="K865" s="238" t="str">
        <f t="shared" si="229"/>
        <v/>
      </c>
      <c r="L865" s="238" t="str">
        <f t="shared" si="230"/>
        <v/>
      </c>
      <c r="M865" s="238" t="str">
        <f t="shared" si="231"/>
        <v/>
      </c>
      <c r="N865" s="238" t="str">
        <f t="shared" si="232"/>
        <v/>
      </c>
      <c r="O865" s="232" t="str">
        <f t="shared" si="227"/>
        <v/>
      </c>
      <c r="P865" s="219" t="str">
        <f t="shared" si="234"/>
        <v/>
      </c>
      <c r="Q865" s="219" t="str">
        <f t="shared" si="235"/>
        <v/>
      </c>
      <c r="R865" s="219" t="str">
        <f t="shared" si="236"/>
        <v/>
      </c>
      <c r="S865" s="330" t="str">
        <f t="shared" si="237"/>
        <v/>
      </c>
      <c r="T865" s="330" t="str">
        <f t="shared" si="238"/>
        <v/>
      </c>
      <c r="U865" s="330" t="str">
        <f t="shared" si="239"/>
        <v/>
      </c>
    </row>
    <row r="866" spans="1:21">
      <c r="A866" s="211">
        <f>IF(COUNTBLANK('RNEW import'!B864)=1,"",'RNEW import'!B864)</f>
        <v>35</v>
      </c>
      <c r="B866" s="211" t="str">
        <f>IF(COUNTBLANK('RNEW import'!D864)=1,"",'RNEW import'!D864)</f>
        <v>Nepi Ten Development Solutions  SRL</v>
      </c>
      <c r="C866" s="211" t="str">
        <f>IF(COUNTBLANK('RNEW import'!E864)=1,"",'RNEW import'!E864)</f>
        <v>RN10_Sfantul Gheorghe</v>
      </c>
      <c r="D866" s="211" t="str">
        <f>IF(COUNTBLANK('RNEW import'!K864)=1,"",'RNEW import'!K864)</f>
        <v>Regularizare Tarif distributie SDI MT Ea3</v>
      </c>
      <c r="E866" s="211">
        <f>IF(COUNTBLANK('RNEW import'!L864)=1,"",'RNEW import'!N864)</f>
        <v>0</v>
      </c>
      <c r="F866" s="211">
        <f>IF(COUNTBLANK('RNEW import'!M864)=1,"",'RNEW import'!O864/10000)</f>
        <v>1.26E-2</v>
      </c>
      <c r="G866" s="217">
        <f t="shared" si="225"/>
        <v>0</v>
      </c>
      <c r="H866" s="217">
        <f t="shared" si="233"/>
        <v>0</v>
      </c>
      <c r="I866" s="329">
        <f t="shared" si="226"/>
        <v>0</v>
      </c>
      <c r="J866" s="263" t="str">
        <f t="shared" si="228"/>
        <v/>
      </c>
      <c r="K866" s="238" t="str">
        <f t="shared" si="229"/>
        <v/>
      </c>
      <c r="L866" s="238" t="str">
        <f t="shared" si="230"/>
        <v/>
      </c>
      <c r="M866" s="238" t="str">
        <f t="shared" si="231"/>
        <v/>
      </c>
      <c r="N866" s="238" t="str">
        <f t="shared" si="232"/>
        <v/>
      </c>
      <c r="O866" s="232" t="str">
        <f t="shared" si="227"/>
        <v/>
      </c>
      <c r="P866" s="219" t="str">
        <f t="shared" si="234"/>
        <v/>
      </c>
      <c r="Q866" s="219" t="str">
        <f t="shared" si="235"/>
        <v/>
      </c>
      <c r="R866" s="219" t="str">
        <f t="shared" si="236"/>
        <v/>
      </c>
      <c r="S866" s="330" t="str">
        <f t="shared" si="237"/>
        <v/>
      </c>
      <c r="T866" s="330" t="str">
        <f t="shared" si="238"/>
        <v/>
      </c>
      <c r="U866" s="330" t="str">
        <f t="shared" si="239"/>
        <v/>
      </c>
    </row>
    <row r="867" spans="1:21">
      <c r="A867" s="211">
        <f>IF(COUNTBLANK('RNEW import'!B865)=1,"",'RNEW import'!B865)</f>
        <v>36</v>
      </c>
      <c r="B867" s="211" t="str">
        <f>IF(COUNTBLANK('RNEW import'!D865)=1,"",'RNEW import'!D865)</f>
        <v>Nepi Ten Development Solutions  SRL</v>
      </c>
      <c r="C867" s="211" t="str">
        <f>IF(COUNTBLANK('RNEW import'!E865)=1,"",'RNEW import'!E865)</f>
        <v>RN10_Sfantul Gheorghe</v>
      </c>
      <c r="D867" s="211" t="str">
        <f>IF(COUNTBLANK('RNEW import'!K865)=1,"",'RNEW import'!K865)</f>
        <v>Regularizare Tarif distributie SDI JT Ea3</v>
      </c>
      <c r="E867" s="211">
        <f>IF(COUNTBLANK('RNEW import'!L865)=1,"",'RNEW import'!N865)</f>
        <v>0</v>
      </c>
      <c r="F867" s="211">
        <f>IF(COUNTBLANK('RNEW import'!M865)=1,"",'RNEW import'!O865/10000)</f>
        <v>9.2700000000000005E-2</v>
      </c>
      <c r="G867" s="217">
        <f t="shared" si="225"/>
        <v>0</v>
      </c>
      <c r="H867" s="217">
        <f t="shared" si="233"/>
        <v>0</v>
      </c>
      <c r="I867" s="329">
        <f t="shared" si="226"/>
        <v>0</v>
      </c>
      <c r="J867" s="263" t="str">
        <f t="shared" si="228"/>
        <v/>
      </c>
      <c r="K867" s="238" t="str">
        <f t="shared" si="229"/>
        <v/>
      </c>
      <c r="L867" s="238" t="str">
        <f t="shared" si="230"/>
        <v/>
      </c>
      <c r="M867" s="238" t="str">
        <f t="shared" si="231"/>
        <v/>
      </c>
      <c r="N867" s="238" t="str">
        <f t="shared" si="232"/>
        <v/>
      </c>
      <c r="O867" s="232" t="str">
        <f t="shared" si="227"/>
        <v/>
      </c>
      <c r="P867" s="219" t="str">
        <f t="shared" si="234"/>
        <v>Energie consumata din PV regularizare</v>
      </c>
      <c r="Q867" s="219">
        <f t="shared" si="235"/>
        <v>0</v>
      </c>
      <c r="R867" s="219">
        <f t="shared" si="236"/>
        <v>0</v>
      </c>
      <c r="S867" s="330">
        <f t="shared" si="237"/>
        <v>0</v>
      </c>
      <c r="T867" s="330">
        <f t="shared" si="238"/>
        <v>0</v>
      </c>
      <c r="U867" s="330">
        <f t="shared" si="239"/>
        <v>0</v>
      </c>
    </row>
    <row r="868" spans="1:21" ht="30">
      <c r="A868" s="211">
        <f>IF(COUNTBLANK('RNEW import'!B866)=1,"",'RNEW import'!B866)</f>
        <v>1</v>
      </c>
      <c r="B868" s="211" t="str">
        <f>IF(COUNTBLANK('RNEW import'!D866)=1,"",'RNEW import'!D866)</f>
        <v>Nepi Ten Development Solutions  SRL</v>
      </c>
      <c r="C868" s="211" t="str">
        <f>IF(COUNTBLANK('RNEW import'!E866)=1,"",'RNEW import'!E866)</f>
        <v>RN10_Sighisoara</v>
      </c>
      <c r="D868" s="211" t="str">
        <f>IF(COUNTBLANK('RNEW import'!K866)=1,"",'RNEW import'!K866)</f>
        <v>Energie activa 1</v>
      </c>
      <c r="E868" s="211">
        <f>IF(COUNTBLANK('RNEW import'!L866)=1,"",'RNEW import'!N866)</f>
        <v>10441</v>
      </c>
      <c r="F868" s="211">
        <f>IF(COUNTBLANK('RNEW import'!M866)=1,"",'RNEW import'!O866/10000)</f>
        <v>0.59499999999999997</v>
      </c>
      <c r="G868" s="217">
        <f t="shared" si="225"/>
        <v>6212.4</v>
      </c>
      <c r="H868" s="217">
        <f t="shared" si="233"/>
        <v>1180.3599999999999</v>
      </c>
      <c r="I868" s="329">
        <f t="shared" si="226"/>
        <v>7392.7599999999993</v>
      </c>
      <c r="J868" s="263" t="str">
        <f t="shared" si="228"/>
        <v>Nepi Ten Development Solutions  SRL - Sighisoara</v>
      </c>
      <c r="K868" s="238">
        <f t="shared" si="229"/>
        <v>1099.44</v>
      </c>
      <c r="L868" s="238">
        <f t="shared" si="230"/>
        <v>8752.99</v>
      </c>
      <c r="M868" s="238">
        <f t="shared" si="231"/>
        <v>18762.55</v>
      </c>
      <c r="N868" s="238">
        <f t="shared" si="232"/>
        <v>10441</v>
      </c>
      <c r="O868" s="232" t="str">
        <f t="shared" si="227"/>
        <v>Nepi Ten Development Solutions  SRL</v>
      </c>
      <c r="P868" s="219" t="str">
        <f t="shared" si="234"/>
        <v>Enegie activa</v>
      </c>
      <c r="Q868" s="219">
        <f t="shared" si="235"/>
        <v>10441</v>
      </c>
      <c r="R868" s="219">
        <f t="shared" si="236"/>
        <v>0.93920899999999996</v>
      </c>
      <c r="S868" s="330">
        <f t="shared" si="237"/>
        <v>9806.2800000000007</v>
      </c>
      <c r="T868" s="330">
        <f t="shared" si="238"/>
        <v>1863.21</v>
      </c>
      <c r="U868" s="330">
        <f t="shared" si="239"/>
        <v>11669.49</v>
      </c>
    </row>
    <row r="869" spans="1:21">
      <c r="A869" s="211">
        <f>IF(COUNTBLANK('RNEW import'!B867)=1,"",'RNEW import'!B867)</f>
        <v>2</v>
      </c>
      <c r="B869" s="211" t="str">
        <f>IF(COUNTBLANK('RNEW import'!D867)=1,"",'RNEW import'!D867)</f>
        <v>Nepi Ten Development Solutions  SRL</v>
      </c>
      <c r="C869" s="211" t="str">
        <f>IF(COUNTBLANK('RNEW import'!E867)=1,"",'RNEW import'!E867)</f>
        <v>RN10_Sighisoara</v>
      </c>
      <c r="D869" s="211" t="str">
        <f>IF(COUNTBLANK('RNEW import'!K867)=1,"",'RNEW import'!K867)</f>
        <v>Energie reactiva  1X</v>
      </c>
      <c r="E869" s="211">
        <f>IF(COUNTBLANK('RNEW import'!L867)=1,"",'RNEW import'!N867)</f>
        <v>0</v>
      </c>
      <c r="F869" s="211">
        <f>IF(COUNTBLANK('RNEW import'!M867)=1,"",'RNEW import'!O867/10000)</f>
        <v>0.14649999999999999</v>
      </c>
      <c r="G869" s="217">
        <f t="shared" ref="G869:G932" si="240">ROUND(E869*F869,2)</f>
        <v>0</v>
      </c>
      <c r="H869" s="217">
        <f t="shared" si="233"/>
        <v>0</v>
      </c>
      <c r="I869" s="329">
        <f t="shared" ref="I869:I932" si="241">G869+H869</f>
        <v>0</v>
      </c>
      <c r="J869" s="263" t="str">
        <f t="shared" si="228"/>
        <v/>
      </c>
      <c r="K869" s="238" t="str">
        <f t="shared" si="229"/>
        <v/>
      </c>
      <c r="L869" s="238" t="str">
        <f t="shared" si="230"/>
        <v/>
      </c>
      <c r="M869" s="238" t="str">
        <f t="shared" si="231"/>
        <v/>
      </c>
      <c r="N869" s="238" t="str">
        <f t="shared" si="232"/>
        <v/>
      </c>
      <c r="O869" s="232" t="str">
        <f t="shared" si="227"/>
        <v/>
      </c>
      <c r="P869" s="219" t="str">
        <f t="shared" si="234"/>
        <v>Energie reactiva 1x</v>
      </c>
      <c r="Q869" s="219">
        <f t="shared" si="235"/>
        <v>0</v>
      </c>
      <c r="R869" s="219">
        <f t="shared" si="236"/>
        <v>0.14649999999999999</v>
      </c>
      <c r="S869" s="330">
        <f t="shared" si="237"/>
        <v>0</v>
      </c>
      <c r="T869" s="330">
        <f t="shared" si="238"/>
        <v>0</v>
      </c>
      <c r="U869" s="330">
        <f t="shared" si="239"/>
        <v>0</v>
      </c>
    </row>
    <row r="870" spans="1:21">
      <c r="A870" s="211">
        <f>IF(COUNTBLANK('RNEW import'!B868)=1,"",'RNEW import'!B868)</f>
        <v>3</v>
      </c>
      <c r="B870" s="211" t="str">
        <f>IF(COUNTBLANK('RNEW import'!D868)=1,"",'RNEW import'!D868)</f>
        <v>Nepi Ten Development Solutions  SRL</v>
      </c>
      <c r="C870" s="211" t="str">
        <f>IF(COUNTBLANK('RNEW import'!E868)=1,"",'RNEW import'!E868)</f>
        <v>RN10_Sighisoara</v>
      </c>
      <c r="D870" s="211" t="str">
        <f>IF(COUNTBLANK('RNEW import'!K868)=1,"",'RNEW import'!K868)</f>
        <v>Energie reactiva  3X</v>
      </c>
      <c r="E870" s="211">
        <f>IF(COUNTBLANK('RNEW import'!L868)=1,"",'RNEW import'!N868)</f>
        <v>0</v>
      </c>
      <c r="F870" s="211">
        <f>IF(COUNTBLANK('RNEW import'!M868)=1,"",'RNEW import'!O868/10000)</f>
        <v>0.4395</v>
      </c>
      <c r="G870" s="217">
        <f t="shared" si="240"/>
        <v>0</v>
      </c>
      <c r="H870" s="217">
        <f t="shared" si="233"/>
        <v>0</v>
      </c>
      <c r="I870" s="329">
        <f t="shared" si="241"/>
        <v>0</v>
      </c>
      <c r="J870" s="263" t="str">
        <f t="shared" si="228"/>
        <v/>
      </c>
      <c r="K870" s="238" t="str">
        <f t="shared" si="229"/>
        <v/>
      </c>
      <c r="L870" s="238" t="str">
        <f t="shared" si="230"/>
        <v/>
      </c>
      <c r="M870" s="238" t="str">
        <f t="shared" si="231"/>
        <v/>
      </c>
      <c r="N870" s="238" t="str">
        <f t="shared" si="232"/>
        <v/>
      </c>
      <c r="O870" s="232" t="str">
        <f t="shared" si="227"/>
        <v/>
      </c>
      <c r="P870" s="219" t="str">
        <f t="shared" si="234"/>
        <v>Energie reactiva 3x</v>
      </c>
      <c r="Q870" s="219">
        <f t="shared" si="235"/>
        <v>0</v>
      </c>
      <c r="R870" s="219">
        <f t="shared" si="236"/>
        <v>0.4395</v>
      </c>
      <c r="S870" s="330">
        <f t="shared" si="237"/>
        <v>0</v>
      </c>
      <c r="T870" s="330">
        <f t="shared" si="238"/>
        <v>0</v>
      </c>
      <c r="U870" s="330">
        <f t="shared" si="239"/>
        <v>0</v>
      </c>
    </row>
    <row r="871" spans="1:21">
      <c r="A871" s="211">
        <f>IF(COUNTBLANK('RNEW import'!B869)=1,"",'RNEW import'!B869)</f>
        <v>4</v>
      </c>
      <c r="B871" s="211" t="str">
        <f>IF(COUNTBLANK('RNEW import'!D869)=1,"",'RNEW import'!D869)</f>
        <v>Nepi Ten Development Solutions  SRL</v>
      </c>
      <c r="C871" s="211" t="str">
        <f>IF(COUNTBLANK('RNEW import'!E869)=1,"",'RNEW import'!E869)</f>
        <v>RN10_Sighisoara</v>
      </c>
      <c r="D871" s="211" t="str">
        <f>IF(COUNTBLANK('RNEW import'!K869)=1,"",'RNEW import'!K869)</f>
        <v>Tarife distributie en. El IT+MT</v>
      </c>
      <c r="E871" s="211">
        <f>IF(COUNTBLANK('RNEW import'!L869)=1,"",'RNEW import'!N869)</f>
        <v>10441</v>
      </c>
      <c r="F871" s="211">
        <f>IF(COUNTBLANK('RNEW import'!M869)=1,"",'RNEW import'!O869/10000)</f>
        <v>0.11483</v>
      </c>
      <c r="G871" s="217">
        <f t="shared" si="240"/>
        <v>1198.94</v>
      </c>
      <c r="H871" s="217">
        <f t="shared" si="233"/>
        <v>227.8</v>
      </c>
      <c r="I871" s="329">
        <f t="shared" si="241"/>
        <v>1426.74</v>
      </c>
      <c r="J871" s="263" t="str">
        <f t="shared" si="228"/>
        <v/>
      </c>
      <c r="K871" s="238" t="str">
        <f t="shared" si="229"/>
        <v/>
      </c>
      <c r="L871" s="238" t="str">
        <f t="shared" si="230"/>
        <v/>
      </c>
      <c r="M871" s="238" t="str">
        <f t="shared" si="231"/>
        <v/>
      </c>
      <c r="N871" s="238" t="str">
        <f t="shared" si="232"/>
        <v/>
      </c>
      <c r="O871" s="232" t="str">
        <f t="shared" si="227"/>
        <v/>
      </c>
      <c r="P871" s="219" t="str">
        <f t="shared" si="234"/>
        <v/>
      </c>
      <c r="Q871" s="219" t="str">
        <f t="shared" si="235"/>
        <v/>
      </c>
      <c r="R871" s="219" t="str">
        <f t="shared" si="236"/>
        <v/>
      </c>
      <c r="S871" s="330" t="str">
        <f t="shared" si="237"/>
        <v/>
      </c>
      <c r="T871" s="330" t="str">
        <f t="shared" si="238"/>
        <v/>
      </c>
      <c r="U871" s="330" t="str">
        <f t="shared" si="239"/>
        <v/>
      </c>
    </row>
    <row r="872" spans="1:21">
      <c r="A872" s="211">
        <f>IF(COUNTBLANK('RNEW import'!B870)=1,"",'RNEW import'!B870)</f>
        <v>5</v>
      </c>
      <c r="B872" s="211" t="str">
        <f>IF(COUNTBLANK('RNEW import'!D870)=1,"",'RNEW import'!D870)</f>
        <v>Nepi Ten Development Solutions  SRL</v>
      </c>
      <c r="C872" s="211" t="str">
        <f>IF(COUNTBLANK('RNEW import'!E870)=1,"",'RNEW import'!E870)</f>
        <v>RN10_Sighisoara</v>
      </c>
      <c r="D872" s="211" t="str">
        <f>IF(COUNTBLANK('RNEW import'!K870)=1,"",'RNEW import'!K870)</f>
        <v>Tarife distributie en. El JT</v>
      </c>
      <c r="E872" s="211">
        <f>IF(COUNTBLANK('RNEW import'!L870)=1,"",'RNEW import'!N870)</f>
        <v>0</v>
      </c>
      <c r="F872" s="211">
        <f>IF(COUNTBLANK('RNEW import'!M870)=1,"",'RNEW import'!O870/10000)</f>
        <v>0.2361</v>
      </c>
      <c r="G872" s="217">
        <f t="shared" si="240"/>
        <v>0</v>
      </c>
      <c r="H872" s="217">
        <f t="shared" si="233"/>
        <v>0</v>
      </c>
      <c r="I872" s="329">
        <f t="shared" si="241"/>
        <v>0</v>
      </c>
      <c r="J872" s="263" t="str">
        <f t="shared" si="228"/>
        <v/>
      </c>
      <c r="K872" s="238" t="str">
        <f t="shared" si="229"/>
        <v/>
      </c>
      <c r="L872" s="238" t="str">
        <f t="shared" si="230"/>
        <v/>
      </c>
      <c r="M872" s="238" t="str">
        <f t="shared" si="231"/>
        <v/>
      </c>
      <c r="N872" s="238" t="str">
        <f t="shared" si="232"/>
        <v/>
      </c>
      <c r="O872" s="232" t="str">
        <f t="shared" si="227"/>
        <v/>
      </c>
      <c r="P872" s="219" t="str">
        <f t="shared" si="234"/>
        <v/>
      </c>
      <c r="Q872" s="219" t="str">
        <f t="shared" si="235"/>
        <v/>
      </c>
      <c r="R872" s="219" t="str">
        <f t="shared" si="236"/>
        <v/>
      </c>
      <c r="S872" s="330" t="str">
        <f t="shared" si="237"/>
        <v/>
      </c>
      <c r="T872" s="330" t="str">
        <f t="shared" si="238"/>
        <v/>
      </c>
      <c r="U872" s="330" t="str">
        <f t="shared" si="239"/>
        <v/>
      </c>
    </row>
    <row r="873" spans="1:21">
      <c r="A873" s="211">
        <f>IF(COUNTBLANK('RNEW import'!B871)=1,"",'RNEW import'!B871)</f>
        <v>6</v>
      </c>
      <c r="B873" s="211" t="str">
        <f>IF(COUNTBLANK('RNEW import'!D871)=1,"",'RNEW import'!D871)</f>
        <v>Nepi Ten Development Solutions  SRL</v>
      </c>
      <c r="C873" s="211" t="str">
        <f>IF(COUNTBLANK('RNEW import'!E871)=1,"",'RNEW import'!E871)</f>
        <v>RN10_Sighisoara</v>
      </c>
      <c r="D873" s="211" t="str">
        <f>IF(COUNTBLANK('RNEW import'!K871)=1,"",'RNEW import'!K871)</f>
        <v xml:space="preserve">Servicii Sistem </v>
      </c>
      <c r="E873" s="211">
        <f>IF(COUNTBLANK('RNEW import'!L871)=1,"",'RNEW import'!N871)</f>
        <v>10441</v>
      </c>
      <c r="F873" s="211">
        <f>IF(COUNTBLANK('RNEW import'!M871)=1,"",'RNEW import'!O871/10000)</f>
        <v>1.1509999999999999E-2</v>
      </c>
      <c r="G873" s="217">
        <f t="shared" si="240"/>
        <v>120.18</v>
      </c>
      <c r="H873" s="217">
        <f t="shared" si="233"/>
        <v>22.83</v>
      </c>
      <c r="I873" s="329">
        <f t="shared" si="241"/>
        <v>143.01</v>
      </c>
      <c r="J873" s="263" t="str">
        <f t="shared" si="228"/>
        <v/>
      </c>
      <c r="K873" s="238" t="str">
        <f t="shared" si="229"/>
        <v/>
      </c>
      <c r="L873" s="238" t="str">
        <f t="shared" si="230"/>
        <v/>
      </c>
      <c r="M873" s="238" t="str">
        <f t="shared" si="231"/>
        <v/>
      </c>
      <c r="N873" s="238" t="str">
        <f t="shared" si="232"/>
        <v/>
      </c>
      <c r="O873" s="232" t="str">
        <f t="shared" si="227"/>
        <v/>
      </c>
      <c r="P873" s="219" t="str">
        <f t="shared" si="234"/>
        <v/>
      </c>
      <c r="Q873" s="219" t="str">
        <f t="shared" si="235"/>
        <v/>
      </c>
      <c r="R873" s="219" t="str">
        <f t="shared" si="236"/>
        <v/>
      </c>
      <c r="S873" s="330" t="str">
        <f t="shared" si="237"/>
        <v/>
      </c>
      <c r="T873" s="330" t="str">
        <f t="shared" si="238"/>
        <v/>
      </c>
      <c r="U873" s="330" t="str">
        <f t="shared" si="239"/>
        <v/>
      </c>
    </row>
    <row r="874" spans="1:21">
      <c r="A874" s="211">
        <f>IF(COUNTBLANK('RNEW import'!B872)=1,"",'RNEW import'!B872)</f>
        <v>7</v>
      </c>
      <c r="B874" s="211" t="str">
        <f>IF(COUNTBLANK('RNEW import'!D872)=1,"",'RNEW import'!D872)</f>
        <v>Nepi Ten Development Solutions  SRL</v>
      </c>
      <c r="C874" s="211" t="str">
        <f>IF(COUNTBLANK('RNEW import'!E872)=1,"",'RNEW import'!E872)</f>
        <v>RN10_Sighisoara</v>
      </c>
      <c r="D874" s="211" t="str">
        <f>IF(COUNTBLANK('RNEW import'!K872)=1,"",'RNEW import'!K872)</f>
        <v>Tarif de introducere en. el in retea (TL)</v>
      </c>
      <c r="E874" s="211">
        <f>IF(COUNTBLANK('RNEW import'!L872)=1,"",'RNEW import'!N872)</f>
        <v>10441</v>
      </c>
      <c r="F874" s="211">
        <f>IF(COUNTBLANK('RNEW import'!M872)=1,"",'RNEW import'!O872/10000)</f>
        <v>3.3030000000000004E-2</v>
      </c>
      <c r="G874" s="217">
        <f t="shared" si="240"/>
        <v>344.87</v>
      </c>
      <c r="H874" s="217">
        <f t="shared" si="233"/>
        <v>65.53</v>
      </c>
      <c r="I874" s="329">
        <f t="shared" si="241"/>
        <v>410.4</v>
      </c>
      <c r="J874" s="263" t="str">
        <f t="shared" si="228"/>
        <v/>
      </c>
      <c r="K874" s="238" t="str">
        <f t="shared" si="229"/>
        <v/>
      </c>
      <c r="L874" s="238" t="str">
        <f t="shared" si="230"/>
        <v/>
      </c>
      <c r="M874" s="238" t="str">
        <f t="shared" si="231"/>
        <v/>
      </c>
      <c r="N874" s="238" t="str">
        <f t="shared" si="232"/>
        <v/>
      </c>
      <c r="O874" s="232" t="str">
        <f t="shared" ref="O874:O937" si="242">IF(A874=1,B874,"")</f>
        <v/>
      </c>
      <c r="P874" s="219" t="str">
        <f t="shared" si="234"/>
        <v/>
      </c>
      <c r="Q874" s="219" t="str">
        <f t="shared" si="235"/>
        <v/>
      </c>
      <c r="R874" s="219" t="str">
        <f t="shared" si="236"/>
        <v/>
      </c>
      <c r="S874" s="330" t="str">
        <f t="shared" si="237"/>
        <v/>
      </c>
      <c r="T874" s="330" t="str">
        <f t="shared" si="238"/>
        <v/>
      </c>
      <c r="U874" s="330" t="str">
        <f t="shared" si="239"/>
        <v/>
      </c>
    </row>
    <row r="875" spans="1:21">
      <c r="A875" s="211">
        <f>IF(COUNTBLANK('RNEW import'!B873)=1,"",'RNEW import'!B873)</f>
        <v>8</v>
      </c>
      <c r="B875" s="211" t="str">
        <f>IF(COUNTBLANK('RNEW import'!D873)=1,"",'RNEW import'!D873)</f>
        <v>Nepi Ten Development Solutions  SRL</v>
      </c>
      <c r="C875" s="211" t="str">
        <f>IF(COUNTBLANK('RNEW import'!E873)=1,"",'RNEW import'!E873)</f>
        <v>RN10_Sighisoara</v>
      </c>
      <c r="D875" s="211" t="str">
        <f>IF(COUNTBLANK('RNEW import'!K873)=1,"",'RNEW import'!K873)</f>
        <v>Tarif de introducere en.el in retea (TG)</v>
      </c>
      <c r="E875" s="211">
        <f>IF(COUNTBLANK('RNEW import'!L873)=1,"",'RNEW import'!N873)</f>
        <v>10441</v>
      </c>
      <c r="F875" s="211">
        <f>IF(COUNTBLANK('RNEW import'!M873)=1,"",'RNEW import'!O873/10000)</f>
        <v>3.29E-3</v>
      </c>
      <c r="G875" s="217">
        <f t="shared" si="240"/>
        <v>34.35</v>
      </c>
      <c r="H875" s="217">
        <f t="shared" si="233"/>
        <v>6.53</v>
      </c>
      <c r="I875" s="329">
        <f t="shared" si="241"/>
        <v>40.880000000000003</v>
      </c>
      <c r="J875" s="263" t="str">
        <f t="shared" si="228"/>
        <v/>
      </c>
      <c r="K875" s="238" t="str">
        <f t="shared" si="229"/>
        <v/>
      </c>
      <c r="L875" s="238" t="str">
        <f t="shared" si="230"/>
        <v/>
      </c>
      <c r="M875" s="238" t="str">
        <f t="shared" si="231"/>
        <v/>
      </c>
      <c r="N875" s="238" t="str">
        <f t="shared" si="232"/>
        <v/>
      </c>
      <c r="O875" s="232" t="str">
        <f t="shared" si="242"/>
        <v/>
      </c>
      <c r="P875" s="219" t="str">
        <f t="shared" si="234"/>
        <v/>
      </c>
      <c r="Q875" s="219" t="str">
        <f t="shared" si="235"/>
        <v/>
      </c>
      <c r="R875" s="219" t="str">
        <f t="shared" si="236"/>
        <v/>
      </c>
      <c r="S875" s="330" t="str">
        <f t="shared" si="237"/>
        <v/>
      </c>
      <c r="T875" s="330" t="str">
        <f t="shared" si="238"/>
        <v/>
      </c>
      <c r="U875" s="330" t="str">
        <f t="shared" si="239"/>
        <v/>
      </c>
    </row>
    <row r="876" spans="1:21">
      <c r="A876" s="211">
        <f>IF(COUNTBLANK('RNEW import'!B874)=1,"",'RNEW import'!B874)</f>
        <v>9</v>
      </c>
      <c r="B876" s="211" t="str">
        <f>IF(COUNTBLANK('RNEW import'!D874)=1,"",'RNEW import'!D874)</f>
        <v>Nepi Ten Development Solutions  SRL</v>
      </c>
      <c r="C876" s="211" t="str">
        <f>IF(COUNTBLANK('RNEW import'!E874)=1,"",'RNEW import'!E874)</f>
        <v>RN10_Sighisoara</v>
      </c>
      <c r="D876" s="211" t="str">
        <f>IF(COUNTBLANK('RNEW import'!K874)=1,"",'RNEW import'!K874)</f>
        <v>Contributie pentru cogenerare</v>
      </c>
      <c r="E876" s="211">
        <f>IF(COUNTBLANK('RNEW import'!L874)=1,"",'RNEW import'!N874)</f>
        <v>10441</v>
      </c>
      <c r="F876" s="211">
        <f>IF(COUNTBLANK('RNEW import'!M874)=1,"",'RNEW import'!O874/10000)</f>
        <v>3.5000000000000001E-3</v>
      </c>
      <c r="G876" s="217">
        <f t="shared" si="240"/>
        <v>36.54</v>
      </c>
      <c r="H876" s="217">
        <f t="shared" si="233"/>
        <v>6.94</v>
      </c>
      <c r="I876" s="329">
        <f t="shared" si="241"/>
        <v>43.48</v>
      </c>
      <c r="J876" s="263" t="str">
        <f t="shared" si="228"/>
        <v/>
      </c>
      <c r="K876" s="238" t="str">
        <f t="shared" si="229"/>
        <v/>
      </c>
      <c r="L876" s="238" t="str">
        <f t="shared" si="230"/>
        <v/>
      </c>
      <c r="M876" s="238" t="str">
        <f t="shared" si="231"/>
        <v/>
      </c>
      <c r="N876" s="238" t="str">
        <f t="shared" si="232"/>
        <v/>
      </c>
      <c r="O876" s="232" t="str">
        <f t="shared" si="242"/>
        <v/>
      </c>
      <c r="P876" s="219" t="str">
        <f t="shared" si="234"/>
        <v/>
      </c>
      <c r="Q876" s="219" t="str">
        <f t="shared" si="235"/>
        <v/>
      </c>
      <c r="R876" s="219" t="str">
        <f t="shared" si="236"/>
        <v/>
      </c>
      <c r="S876" s="330" t="str">
        <f t="shared" si="237"/>
        <v/>
      </c>
      <c r="T876" s="330" t="str">
        <f t="shared" si="238"/>
        <v/>
      </c>
      <c r="U876" s="330" t="str">
        <f t="shared" si="239"/>
        <v/>
      </c>
    </row>
    <row r="877" spans="1:21">
      <c r="A877" s="211">
        <f>IF(COUNTBLANK('RNEW import'!B875)=1,"",'RNEW import'!B875)</f>
        <v>10</v>
      </c>
      <c r="B877" s="211" t="str">
        <f>IF(COUNTBLANK('RNEW import'!D875)=1,"",'RNEW import'!D875)</f>
        <v>Nepi Ten Development Solutions  SRL</v>
      </c>
      <c r="C877" s="211" t="str">
        <f>IF(COUNTBLANK('RNEW import'!E875)=1,"",'RNEW import'!E875)</f>
        <v>RN10_Sighisoara</v>
      </c>
      <c r="D877" s="211" t="str">
        <f>IF(COUNTBLANK('RNEW import'!K875)=1,"",'RNEW import'!K875)</f>
        <v xml:space="preserve">Certificate verzi </v>
      </c>
      <c r="E877" s="211">
        <f>IF(COUNTBLANK('RNEW import'!L875)=1,"",'RNEW import'!N875)</f>
        <v>10441</v>
      </c>
      <c r="F877" s="211">
        <f>IF(COUNTBLANK('RNEW import'!M875)=1,"",'RNEW import'!O875/10000)</f>
        <v>7.2541599999999998E-2</v>
      </c>
      <c r="G877" s="217">
        <f t="shared" si="240"/>
        <v>757.41</v>
      </c>
      <c r="H877" s="217">
        <f t="shared" si="233"/>
        <v>143.91</v>
      </c>
      <c r="I877" s="329">
        <f t="shared" si="241"/>
        <v>901.31999999999994</v>
      </c>
      <c r="J877" s="263" t="str">
        <f t="shared" si="228"/>
        <v/>
      </c>
      <c r="K877" s="238" t="str">
        <f t="shared" si="229"/>
        <v/>
      </c>
      <c r="L877" s="238" t="str">
        <f t="shared" si="230"/>
        <v/>
      </c>
      <c r="M877" s="238" t="str">
        <f t="shared" si="231"/>
        <v/>
      </c>
      <c r="N877" s="238" t="str">
        <f t="shared" si="232"/>
        <v/>
      </c>
      <c r="O877" s="232" t="str">
        <f t="shared" si="242"/>
        <v/>
      </c>
      <c r="P877" s="219" t="str">
        <f t="shared" si="234"/>
        <v/>
      </c>
      <c r="Q877" s="219" t="str">
        <f t="shared" si="235"/>
        <v/>
      </c>
      <c r="R877" s="219" t="str">
        <f t="shared" si="236"/>
        <v/>
      </c>
      <c r="S877" s="330" t="str">
        <f t="shared" si="237"/>
        <v/>
      </c>
      <c r="T877" s="330" t="str">
        <f t="shared" si="238"/>
        <v/>
      </c>
      <c r="U877" s="330" t="str">
        <f t="shared" si="239"/>
        <v/>
      </c>
    </row>
    <row r="878" spans="1:21">
      <c r="A878" s="211">
        <f>IF(COUNTBLANK('RNEW import'!B876)=1,"",'RNEW import'!B876)</f>
        <v>11</v>
      </c>
      <c r="B878" s="211" t="str">
        <f>IF(COUNTBLANK('RNEW import'!D876)=1,"",'RNEW import'!D876)</f>
        <v>Nepi Ten Development Solutions  SRL</v>
      </c>
      <c r="C878" s="211" t="str">
        <f>IF(COUNTBLANK('RNEW import'!E876)=1,"",'RNEW import'!E876)</f>
        <v>RN10_Sighisoara</v>
      </c>
      <c r="D878" s="211" t="str">
        <f>IF(COUNTBLANK('RNEW import'!K876)=1,"",'RNEW import'!K876)</f>
        <v>Contributie CFD</v>
      </c>
      <c r="E878" s="211">
        <f>IF(COUNTBLANK('RNEW import'!L876)=1,"",'RNEW import'!N876)</f>
        <v>10441</v>
      </c>
      <c r="F878" s="211">
        <f>IF(COUNTBLANK('RNEW import'!M876)=1,"",'RNEW import'!O876/10000)</f>
        <v>2.0599999999999999E-4</v>
      </c>
      <c r="G878" s="217">
        <f t="shared" si="240"/>
        <v>2.15</v>
      </c>
      <c r="H878" s="217">
        <f t="shared" si="233"/>
        <v>0.41</v>
      </c>
      <c r="I878" s="329">
        <f t="shared" si="241"/>
        <v>2.56</v>
      </c>
      <c r="J878" s="263" t="str">
        <f t="shared" si="228"/>
        <v/>
      </c>
      <c r="K878" s="238" t="str">
        <f t="shared" si="229"/>
        <v/>
      </c>
      <c r="L878" s="238" t="str">
        <f t="shared" si="230"/>
        <v/>
      </c>
      <c r="M878" s="238" t="str">
        <f t="shared" si="231"/>
        <v/>
      </c>
      <c r="N878" s="238" t="str">
        <f t="shared" si="232"/>
        <v/>
      </c>
      <c r="O878" s="232" t="str">
        <f t="shared" si="242"/>
        <v/>
      </c>
      <c r="P878" s="219" t="str">
        <f t="shared" si="234"/>
        <v/>
      </c>
      <c r="Q878" s="219" t="str">
        <f t="shared" si="235"/>
        <v/>
      </c>
      <c r="R878" s="219" t="str">
        <f t="shared" si="236"/>
        <v/>
      </c>
      <c r="S878" s="330" t="str">
        <f t="shared" si="237"/>
        <v/>
      </c>
      <c r="T878" s="330" t="str">
        <f t="shared" si="238"/>
        <v/>
      </c>
      <c r="U878" s="330" t="str">
        <f t="shared" si="239"/>
        <v/>
      </c>
    </row>
    <row r="879" spans="1:21">
      <c r="A879" s="211">
        <f>IF(COUNTBLANK('RNEW import'!B877)=1,"",'RNEW import'!B877)</f>
        <v>12</v>
      </c>
      <c r="B879" s="211" t="str">
        <f>IF(COUNTBLANK('RNEW import'!D877)=1,"",'RNEW import'!D877)</f>
        <v>Nepi Ten Development Solutions  SRL</v>
      </c>
      <c r="C879" s="211" t="str">
        <f>IF(COUNTBLANK('RNEW import'!E877)=1,"",'RNEW import'!E877)</f>
        <v>RN10_Sighisoara</v>
      </c>
      <c r="D879" s="211" t="str">
        <f>IF(COUNTBLANK('RNEW import'!K877)=1,"",'RNEW import'!K877)</f>
        <v>Acciza</v>
      </c>
      <c r="E879" s="211">
        <f>IF(COUNTBLANK('RNEW import'!L877)=1,"",'RNEW import'!N877)</f>
        <v>10441</v>
      </c>
      <c r="F879" s="211">
        <f>IF(COUNTBLANK('RNEW import'!M877)=1,"",'RNEW import'!O877/10000)</f>
        <v>0</v>
      </c>
      <c r="G879" s="217">
        <f t="shared" si="240"/>
        <v>0</v>
      </c>
      <c r="H879" s="217">
        <f t="shared" si="233"/>
        <v>0</v>
      </c>
      <c r="I879" s="329">
        <f t="shared" si="241"/>
        <v>0</v>
      </c>
      <c r="J879" s="263" t="str">
        <f t="shared" si="228"/>
        <v/>
      </c>
      <c r="K879" s="238" t="str">
        <f t="shared" si="229"/>
        <v/>
      </c>
      <c r="L879" s="238" t="str">
        <f t="shared" si="230"/>
        <v/>
      </c>
      <c r="M879" s="238" t="str">
        <f t="shared" si="231"/>
        <v/>
      </c>
      <c r="N879" s="238" t="str">
        <f t="shared" si="232"/>
        <v/>
      </c>
      <c r="O879" s="232" t="str">
        <f t="shared" si="242"/>
        <v/>
      </c>
      <c r="P879" s="219" t="str">
        <f t="shared" si="234"/>
        <v/>
      </c>
      <c r="Q879" s="219" t="str">
        <f t="shared" si="235"/>
        <v/>
      </c>
      <c r="R879" s="219" t="str">
        <f t="shared" si="236"/>
        <v/>
      </c>
      <c r="S879" s="330" t="str">
        <f t="shared" si="237"/>
        <v/>
      </c>
      <c r="T879" s="330" t="str">
        <f t="shared" si="238"/>
        <v/>
      </c>
      <c r="U879" s="330" t="str">
        <f t="shared" si="239"/>
        <v/>
      </c>
    </row>
    <row r="880" spans="1:21">
      <c r="A880" s="211">
        <f>IF(COUNTBLANK('RNEW import'!B878)=1,"",'RNEW import'!B878)</f>
        <v>13</v>
      </c>
      <c r="B880" s="211" t="str">
        <f>IF(COUNTBLANK('RNEW import'!D878)=1,"",'RNEW import'!D878)</f>
        <v>Nepi Ten Development Solutions  SRL</v>
      </c>
      <c r="C880" s="211" t="str">
        <f>IF(COUNTBLANK('RNEW import'!E878)=1,"",'RNEW import'!E878)</f>
        <v>RN10_Sighisoara</v>
      </c>
      <c r="D880" s="211" t="str">
        <f>IF(COUNTBLANK('RNEW import'!K878)=1,"",'RNEW import'!K878)</f>
        <v>Tarif distributie SDI MT</v>
      </c>
      <c r="E880" s="211">
        <f>IF(COUNTBLANK('RNEW import'!L878)=1,"",'RNEW import'!N878)</f>
        <v>10441</v>
      </c>
      <c r="F880" s="211">
        <f>IF(COUNTBLANK('RNEW import'!M878)=1,"",'RNEW import'!O878/10000)</f>
        <v>1.26E-2</v>
      </c>
      <c r="G880" s="217">
        <f t="shared" si="240"/>
        <v>131.56</v>
      </c>
      <c r="H880" s="217">
        <f t="shared" si="233"/>
        <v>25</v>
      </c>
      <c r="I880" s="329">
        <f t="shared" si="241"/>
        <v>156.56</v>
      </c>
      <c r="J880" s="263" t="str">
        <f t="shared" si="228"/>
        <v/>
      </c>
      <c r="K880" s="238" t="str">
        <f t="shared" si="229"/>
        <v/>
      </c>
      <c r="L880" s="238" t="str">
        <f t="shared" si="230"/>
        <v/>
      </c>
      <c r="M880" s="238" t="str">
        <f t="shared" si="231"/>
        <v/>
      </c>
      <c r="N880" s="238" t="str">
        <f t="shared" si="232"/>
        <v/>
      </c>
      <c r="O880" s="232" t="str">
        <f t="shared" si="242"/>
        <v/>
      </c>
      <c r="P880" s="219" t="str">
        <f t="shared" si="234"/>
        <v/>
      </c>
      <c r="Q880" s="219" t="str">
        <f t="shared" si="235"/>
        <v/>
      </c>
      <c r="R880" s="219" t="str">
        <f t="shared" si="236"/>
        <v/>
      </c>
      <c r="S880" s="330" t="str">
        <f t="shared" si="237"/>
        <v/>
      </c>
      <c r="T880" s="330" t="str">
        <f t="shared" si="238"/>
        <v/>
      </c>
      <c r="U880" s="330" t="str">
        <f t="shared" si="239"/>
        <v/>
      </c>
    </row>
    <row r="881" spans="1:21">
      <c r="A881" s="211">
        <f>IF(COUNTBLANK('RNEW import'!B879)=1,"",'RNEW import'!B879)</f>
        <v>14</v>
      </c>
      <c r="B881" s="211" t="str">
        <f>IF(COUNTBLANK('RNEW import'!D879)=1,"",'RNEW import'!D879)</f>
        <v>Nepi Ten Development Solutions  SRL</v>
      </c>
      <c r="C881" s="211" t="str">
        <f>IF(COUNTBLANK('RNEW import'!E879)=1,"",'RNEW import'!E879)</f>
        <v>RN10_Sighisoara</v>
      </c>
      <c r="D881" s="211" t="str">
        <f>IF(COUNTBLANK('RNEW import'!K879)=1,"",'RNEW import'!K879)</f>
        <v>Tarif distributie SDI JT</v>
      </c>
      <c r="E881" s="211">
        <f>IF(COUNTBLANK('RNEW import'!L879)=1,"",'RNEW import'!N879)</f>
        <v>10441</v>
      </c>
      <c r="F881" s="211">
        <f>IF(COUNTBLANK('RNEW import'!M879)=1,"",'RNEW import'!O879/10000)</f>
        <v>9.2700000000000005E-2</v>
      </c>
      <c r="G881" s="217">
        <f t="shared" si="240"/>
        <v>967.88</v>
      </c>
      <c r="H881" s="217">
        <f t="shared" si="233"/>
        <v>183.9</v>
      </c>
      <c r="I881" s="329">
        <f t="shared" si="241"/>
        <v>1151.78</v>
      </c>
      <c r="J881" s="263" t="str">
        <f t="shared" ref="J881:J944" si="243">IF(A881=1,_xlfn.CONCAT(B881," - ",RIGHT(C881,LEN(C881)-FIND("_",C881,1))),"")</f>
        <v/>
      </c>
      <c r="K881" s="238" t="str">
        <f t="shared" si="229"/>
        <v/>
      </c>
      <c r="L881" s="238" t="str">
        <f t="shared" si="230"/>
        <v/>
      </c>
      <c r="M881" s="238" t="str">
        <f t="shared" si="231"/>
        <v/>
      </c>
      <c r="N881" s="238" t="str">
        <f t="shared" si="232"/>
        <v/>
      </c>
      <c r="O881" s="232" t="str">
        <f t="shared" si="242"/>
        <v/>
      </c>
      <c r="P881" s="219" t="str">
        <f t="shared" si="234"/>
        <v/>
      </c>
      <c r="Q881" s="219" t="str">
        <f t="shared" si="235"/>
        <v/>
      </c>
      <c r="R881" s="219" t="str">
        <f t="shared" si="236"/>
        <v/>
      </c>
      <c r="S881" s="330" t="str">
        <f t="shared" si="237"/>
        <v/>
      </c>
      <c r="T881" s="330" t="str">
        <f t="shared" si="238"/>
        <v/>
      </c>
      <c r="U881" s="330" t="str">
        <f t="shared" si="239"/>
        <v/>
      </c>
    </row>
    <row r="882" spans="1:21">
      <c r="A882" s="211">
        <f>IF(COUNTBLANK('RNEW import'!B880)=1,"",'RNEW import'!B880)</f>
        <v>15</v>
      </c>
      <c r="B882" s="211" t="str">
        <f>IF(COUNTBLANK('RNEW import'!D880)=1,"",'RNEW import'!D880)</f>
        <v>Nepi Ten Development Solutions  SRL</v>
      </c>
      <c r="C882" s="211" t="str">
        <f>IF(COUNTBLANK('RNEW import'!E880)=1,"",'RNEW import'!E880)</f>
        <v>RN10_Sighisoara</v>
      </c>
      <c r="D882" s="211" t="str">
        <f>IF(COUNTBLANK('RNEW import'!K880)=1,"",'RNEW import'!K880)</f>
        <v>Energie activa 2</v>
      </c>
      <c r="E882" s="211">
        <f>IF(COUNTBLANK('RNEW import'!L880)=1,"",'RNEW import'!N880)</f>
        <v>19977</v>
      </c>
      <c r="F882" s="211">
        <f>IF(COUNTBLANK('RNEW import'!M880)=1,"",'RNEW import'!O880/10000)</f>
        <v>0.93920760000000014</v>
      </c>
      <c r="G882" s="217">
        <f t="shared" si="240"/>
        <v>18762.55</v>
      </c>
      <c r="H882" s="217">
        <f t="shared" si="233"/>
        <v>3564.88</v>
      </c>
      <c r="I882" s="329">
        <f t="shared" si="241"/>
        <v>22327.43</v>
      </c>
      <c r="J882" s="263" t="str">
        <f t="shared" si="243"/>
        <v/>
      </c>
      <c r="K882" s="238" t="str">
        <f t="shared" si="229"/>
        <v/>
      </c>
      <c r="L882" s="238" t="str">
        <f t="shared" si="230"/>
        <v/>
      </c>
      <c r="M882" s="238" t="str">
        <f t="shared" si="231"/>
        <v/>
      </c>
      <c r="N882" s="238" t="str">
        <f t="shared" si="232"/>
        <v/>
      </c>
      <c r="O882" s="232" t="str">
        <f t="shared" si="242"/>
        <v/>
      </c>
      <c r="P882" s="219" t="str">
        <f t="shared" si="234"/>
        <v/>
      </c>
      <c r="Q882" s="219" t="str">
        <f t="shared" si="235"/>
        <v/>
      </c>
      <c r="R882" s="219" t="str">
        <f t="shared" si="236"/>
        <v/>
      </c>
      <c r="S882" s="330" t="str">
        <f t="shared" si="237"/>
        <v/>
      </c>
      <c r="T882" s="330" t="str">
        <f t="shared" si="238"/>
        <v/>
      </c>
      <c r="U882" s="330" t="str">
        <f t="shared" si="239"/>
        <v/>
      </c>
    </row>
    <row r="883" spans="1:21">
      <c r="A883" s="211">
        <f>IF(COUNTBLANK('RNEW import'!B881)=1,"",'RNEW import'!B881)</f>
        <v>16</v>
      </c>
      <c r="B883" s="211" t="str">
        <f>IF(COUNTBLANK('RNEW import'!D881)=1,"",'RNEW import'!D881)</f>
        <v>Nepi Ten Development Solutions  SRL</v>
      </c>
      <c r="C883" s="211" t="str">
        <f>IF(COUNTBLANK('RNEW import'!E881)=1,"",'RNEW import'!E881)</f>
        <v>RN10_Sighisoara</v>
      </c>
      <c r="D883" s="211" t="str">
        <f>IF(COUNTBLANK('RNEW import'!K881)=1,"",'RNEW import'!K881)</f>
        <v>Energie activa 3</v>
      </c>
      <c r="E883" s="211">
        <f>IF(COUNTBLANK('RNEW import'!L881)=1,"",'RNEW import'!N881)</f>
        <v>0</v>
      </c>
      <c r="F883" s="211">
        <f>IF(COUNTBLANK('RNEW import'!M881)=1,"",'RNEW import'!O881/10000)</f>
        <v>0.83390760000000008</v>
      </c>
      <c r="G883" s="217">
        <f t="shared" si="240"/>
        <v>0</v>
      </c>
      <c r="H883" s="217">
        <f t="shared" si="233"/>
        <v>0</v>
      </c>
      <c r="I883" s="329">
        <f t="shared" si="241"/>
        <v>0</v>
      </c>
      <c r="J883" s="263" t="str">
        <f t="shared" si="243"/>
        <v/>
      </c>
      <c r="K883" s="238" t="str">
        <f t="shared" si="229"/>
        <v/>
      </c>
      <c r="L883" s="238" t="str">
        <f t="shared" si="230"/>
        <v/>
      </c>
      <c r="M883" s="238" t="str">
        <f t="shared" si="231"/>
        <v/>
      </c>
      <c r="N883" s="238" t="str">
        <f t="shared" si="232"/>
        <v/>
      </c>
      <c r="O883" s="232" t="str">
        <f t="shared" si="242"/>
        <v/>
      </c>
      <c r="P883" s="219" t="str">
        <f t="shared" si="234"/>
        <v/>
      </c>
      <c r="Q883" s="219" t="str">
        <f t="shared" si="235"/>
        <v/>
      </c>
      <c r="R883" s="219" t="str">
        <f t="shared" si="236"/>
        <v/>
      </c>
      <c r="S883" s="330" t="str">
        <f t="shared" si="237"/>
        <v/>
      </c>
      <c r="T883" s="330" t="str">
        <f t="shared" si="238"/>
        <v/>
      </c>
      <c r="U883" s="330" t="str">
        <f t="shared" si="239"/>
        <v/>
      </c>
    </row>
    <row r="884" spans="1:21">
      <c r="A884" s="211">
        <f>IF(COUNTBLANK('RNEW import'!B882)=1,"",'RNEW import'!B882)</f>
        <v>17</v>
      </c>
      <c r="B884" s="211" t="str">
        <f>IF(COUNTBLANK('RNEW import'!D882)=1,"",'RNEW import'!D882)</f>
        <v>Nepi Ten Development Solutions  SRL</v>
      </c>
      <c r="C884" s="211" t="str">
        <f>IF(COUNTBLANK('RNEW import'!E882)=1,"",'RNEW import'!E882)</f>
        <v>RN10_Sighisoara</v>
      </c>
      <c r="D884" s="211" t="str">
        <f>IF(COUNTBLANK('RNEW import'!K882)=1,"",'RNEW import'!K882)</f>
        <v>Tarif distributie SDI MT_</v>
      </c>
      <c r="E884" s="211">
        <f>IF(COUNTBLANK('RNEW import'!L882)=1,"",'RNEW import'!N882)</f>
        <v>0</v>
      </c>
      <c r="F884" s="211">
        <f>IF(COUNTBLANK('RNEW import'!M882)=1,"",'RNEW import'!O882/10000)</f>
        <v>1.26E-2</v>
      </c>
      <c r="G884" s="217">
        <f t="shared" si="240"/>
        <v>0</v>
      </c>
      <c r="H884" s="217">
        <f t="shared" si="233"/>
        <v>0</v>
      </c>
      <c r="I884" s="329">
        <f t="shared" si="241"/>
        <v>0</v>
      </c>
      <c r="J884" s="263" t="str">
        <f t="shared" si="243"/>
        <v/>
      </c>
      <c r="K884" s="238" t="str">
        <f t="shared" si="229"/>
        <v/>
      </c>
      <c r="L884" s="238" t="str">
        <f t="shared" si="230"/>
        <v/>
      </c>
      <c r="M884" s="238" t="str">
        <f t="shared" si="231"/>
        <v/>
      </c>
      <c r="N884" s="238" t="str">
        <f t="shared" si="232"/>
        <v/>
      </c>
      <c r="O884" s="232" t="str">
        <f t="shared" si="242"/>
        <v/>
      </c>
      <c r="P884" s="219" t="str">
        <f t="shared" si="234"/>
        <v/>
      </c>
      <c r="Q884" s="219" t="str">
        <f t="shared" si="235"/>
        <v/>
      </c>
      <c r="R884" s="219" t="str">
        <f t="shared" si="236"/>
        <v/>
      </c>
      <c r="S884" s="330" t="str">
        <f t="shared" si="237"/>
        <v/>
      </c>
      <c r="T884" s="330" t="str">
        <f t="shared" si="238"/>
        <v/>
      </c>
      <c r="U884" s="330" t="str">
        <f t="shared" si="239"/>
        <v/>
      </c>
    </row>
    <row r="885" spans="1:21">
      <c r="A885" s="211">
        <f>IF(COUNTBLANK('RNEW import'!B883)=1,"",'RNEW import'!B883)</f>
        <v>18</v>
      </c>
      <c r="B885" s="211" t="str">
        <f>IF(COUNTBLANK('RNEW import'!D883)=1,"",'RNEW import'!D883)</f>
        <v>Nepi Ten Development Solutions  SRL</v>
      </c>
      <c r="C885" s="211" t="str">
        <f>IF(COUNTBLANK('RNEW import'!E883)=1,"",'RNEW import'!E883)</f>
        <v>RN10_Sighisoara</v>
      </c>
      <c r="D885" s="211" t="str">
        <f>IF(COUNTBLANK('RNEW import'!K883)=1,"",'RNEW import'!K883)</f>
        <v>Tarif distributie SDI JT_</v>
      </c>
      <c r="E885" s="211">
        <f>IF(COUNTBLANK('RNEW import'!L883)=1,"",'RNEW import'!N883)</f>
        <v>0</v>
      </c>
      <c r="F885" s="211">
        <f>IF(COUNTBLANK('RNEW import'!M883)=1,"",'RNEW import'!O883/10000)</f>
        <v>9.2700000000000005E-2</v>
      </c>
      <c r="G885" s="217">
        <f t="shared" si="240"/>
        <v>0</v>
      </c>
      <c r="H885" s="217">
        <f t="shared" si="233"/>
        <v>0</v>
      </c>
      <c r="I885" s="329">
        <f t="shared" si="241"/>
        <v>0</v>
      </c>
      <c r="J885" s="263" t="str">
        <f t="shared" si="243"/>
        <v/>
      </c>
      <c r="K885" s="238" t="str">
        <f t="shared" si="229"/>
        <v/>
      </c>
      <c r="L885" s="238" t="str">
        <f t="shared" si="230"/>
        <v/>
      </c>
      <c r="M885" s="238" t="str">
        <f t="shared" si="231"/>
        <v/>
      </c>
      <c r="N885" s="238" t="str">
        <f t="shared" si="232"/>
        <v/>
      </c>
      <c r="O885" s="232" t="str">
        <f t="shared" si="242"/>
        <v/>
      </c>
      <c r="P885" s="219" t="str">
        <f t="shared" si="234"/>
        <v>Energie consumata din PV</v>
      </c>
      <c r="Q885" s="219">
        <f t="shared" si="235"/>
        <v>19977</v>
      </c>
      <c r="R885" s="219">
        <f t="shared" si="236"/>
        <v>0.93920800000000004</v>
      </c>
      <c r="S885" s="330">
        <f t="shared" si="237"/>
        <v>18762.55</v>
      </c>
      <c r="T885" s="330">
        <f t="shared" si="238"/>
        <v>3564.88</v>
      </c>
      <c r="U885" s="330">
        <f t="shared" si="239"/>
        <v>22327.43</v>
      </c>
    </row>
    <row r="886" spans="1:21">
      <c r="A886" s="211">
        <f>IF(COUNTBLANK('RNEW import'!B884)=1,"",'RNEW import'!B884)</f>
        <v>19</v>
      </c>
      <c r="B886" s="211" t="str">
        <f>IF(COUNTBLANK('RNEW import'!D884)=1,"",'RNEW import'!D884)</f>
        <v>Nepi Ten Development Solutions  SRL</v>
      </c>
      <c r="C886" s="211" t="str">
        <f>IF(COUNTBLANK('RNEW import'!E884)=1,"",'RNEW import'!E884)</f>
        <v>RN10_Sighisoara</v>
      </c>
      <c r="D886" s="211" t="str">
        <f>IF(COUNTBLANK('RNEW import'!K884)=1,"",'RNEW import'!K884)</f>
        <v>Regularizare Energie activa 1</v>
      </c>
      <c r="E886" s="211">
        <f>IF(COUNTBLANK('RNEW import'!L884)=1,"",'RNEW import'!N884)</f>
        <v>0</v>
      </c>
      <c r="F886" s="211">
        <f>IF(COUNTBLANK('RNEW import'!M884)=1,"",'RNEW import'!O884/10000)</f>
        <v>0.59499999999999997</v>
      </c>
      <c r="G886" s="217">
        <f t="shared" si="240"/>
        <v>0</v>
      </c>
      <c r="H886" s="217">
        <f t="shared" si="233"/>
        <v>0</v>
      </c>
      <c r="I886" s="329">
        <f t="shared" si="241"/>
        <v>0</v>
      </c>
      <c r="J886" s="263" t="str">
        <f t="shared" si="243"/>
        <v/>
      </c>
      <c r="K886" s="238" t="str">
        <f t="shared" si="229"/>
        <v/>
      </c>
      <c r="L886" s="238" t="str">
        <f t="shared" si="230"/>
        <v/>
      </c>
      <c r="M886" s="238" t="str">
        <f t="shared" si="231"/>
        <v/>
      </c>
      <c r="N886" s="238" t="str">
        <f t="shared" si="232"/>
        <v/>
      </c>
      <c r="O886" s="232" t="str">
        <f t="shared" si="242"/>
        <v/>
      </c>
      <c r="P886" s="219" t="str">
        <f t="shared" si="234"/>
        <v>Energie activa regularizare</v>
      </c>
      <c r="Q886" s="219">
        <f t="shared" si="235"/>
        <v>0</v>
      </c>
      <c r="R886" s="219">
        <f t="shared" si="236"/>
        <v>0</v>
      </c>
      <c r="S886" s="330">
        <f t="shared" si="237"/>
        <v>0</v>
      </c>
      <c r="T886" s="330">
        <f t="shared" si="238"/>
        <v>0</v>
      </c>
      <c r="U886" s="330">
        <f t="shared" si="239"/>
        <v>0</v>
      </c>
    </row>
    <row r="887" spans="1:21">
      <c r="A887" s="211">
        <f>IF(COUNTBLANK('RNEW import'!B885)=1,"",'RNEW import'!B885)</f>
        <v>20</v>
      </c>
      <c r="B887" s="211" t="str">
        <f>IF(COUNTBLANK('RNEW import'!D885)=1,"",'RNEW import'!D885)</f>
        <v>Nepi Ten Development Solutions  SRL</v>
      </c>
      <c r="C887" s="211" t="str">
        <f>IF(COUNTBLANK('RNEW import'!E885)=1,"",'RNEW import'!E885)</f>
        <v>RN10_Sighisoara</v>
      </c>
      <c r="D887" s="211" t="str">
        <f>IF(COUNTBLANK('RNEW import'!K885)=1,"",'RNEW import'!K885)</f>
        <v>Regularizare Energie reactiva  1X</v>
      </c>
      <c r="E887" s="211">
        <f>IF(COUNTBLANK('RNEW import'!L885)=1,"",'RNEW import'!N885)</f>
        <v>81</v>
      </c>
      <c r="F887" s="211">
        <f>IF(COUNTBLANK('RNEW import'!M885)=1,"",'RNEW import'!O885/10000)</f>
        <v>0.14649999999999999</v>
      </c>
      <c r="G887" s="217">
        <f t="shared" si="240"/>
        <v>11.87</v>
      </c>
      <c r="H887" s="217">
        <f t="shared" si="233"/>
        <v>2.2599999999999998</v>
      </c>
      <c r="I887" s="329">
        <f t="shared" si="241"/>
        <v>14.129999999999999</v>
      </c>
      <c r="J887" s="263" t="str">
        <f t="shared" si="243"/>
        <v/>
      </c>
      <c r="K887" s="238" t="str">
        <f t="shared" si="229"/>
        <v/>
      </c>
      <c r="L887" s="238" t="str">
        <f t="shared" si="230"/>
        <v/>
      </c>
      <c r="M887" s="238" t="str">
        <f t="shared" si="231"/>
        <v/>
      </c>
      <c r="N887" s="238" t="str">
        <f t="shared" si="232"/>
        <v/>
      </c>
      <c r="O887" s="233" t="str">
        <f t="shared" si="242"/>
        <v/>
      </c>
      <c r="P887" s="219" t="str">
        <f t="shared" si="234"/>
        <v>Energie reactiva 1x regularizare</v>
      </c>
      <c r="Q887" s="219">
        <f t="shared" si="235"/>
        <v>81</v>
      </c>
      <c r="R887" s="219">
        <f t="shared" si="236"/>
        <v>0.14649999999999999</v>
      </c>
      <c r="S887" s="330">
        <f t="shared" si="237"/>
        <v>11.87</v>
      </c>
      <c r="T887" s="330">
        <f t="shared" si="238"/>
        <v>2.2599999999999998</v>
      </c>
      <c r="U887" s="330">
        <f t="shared" si="239"/>
        <v>14.13</v>
      </c>
    </row>
    <row r="888" spans="1:21">
      <c r="A888" s="211">
        <f>IF(COUNTBLANK('RNEW import'!B886)=1,"",'RNEW import'!B886)</f>
        <v>21</v>
      </c>
      <c r="B888" s="211" t="str">
        <f>IF(COUNTBLANK('RNEW import'!D886)=1,"",'RNEW import'!D886)</f>
        <v>Nepi Ten Development Solutions  SRL</v>
      </c>
      <c r="C888" s="211" t="str">
        <f>IF(COUNTBLANK('RNEW import'!E886)=1,"",'RNEW import'!E886)</f>
        <v>RN10_Sighisoara</v>
      </c>
      <c r="D888" s="211" t="str">
        <f>IF(COUNTBLANK('RNEW import'!K886)=1,"",'RNEW import'!K886)</f>
        <v>Regularizare Energie reactiva  3X</v>
      </c>
      <c r="E888" s="211">
        <f>IF(COUNTBLANK('RNEW import'!L886)=1,"",'RNEW import'!N886)</f>
        <v>78</v>
      </c>
      <c r="F888" s="211">
        <f>IF(COUNTBLANK('RNEW import'!M886)=1,"",'RNEW import'!O886/10000)</f>
        <v>0.4395</v>
      </c>
      <c r="G888" s="217">
        <f t="shared" si="240"/>
        <v>34.28</v>
      </c>
      <c r="H888" s="217">
        <f t="shared" si="233"/>
        <v>6.51</v>
      </c>
      <c r="I888" s="329">
        <f t="shared" si="241"/>
        <v>40.79</v>
      </c>
      <c r="J888" s="263" t="str">
        <f t="shared" si="243"/>
        <v/>
      </c>
      <c r="K888" s="238" t="str">
        <f t="shared" si="229"/>
        <v/>
      </c>
      <c r="L888" s="238" t="str">
        <f t="shared" si="230"/>
        <v/>
      </c>
      <c r="M888" s="238" t="str">
        <f t="shared" si="231"/>
        <v/>
      </c>
      <c r="N888" s="238" t="str">
        <f t="shared" si="232"/>
        <v/>
      </c>
      <c r="O888" s="218" t="str">
        <f t="shared" si="242"/>
        <v/>
      </c>
      <c r="P888" s="219" t="str">
        <f t="shared" si="234"/>
        <v>Energie reactiva 3x regularizare</v>
      </c>
      <c r="Q888" s="219">
        <f t="shared" si="235"/>
        <v>78</v>
      </c>
      <c r="R888" s="219">
        <f t="shared" si="236"/>
        <v>0.4395</v>
      </c>
      <c r="S888" s="330">
        <f t="shared" si="237"/>
        <v>34.28</v>
      </c>
      <c r="T888" s="330">
        <f t="shared" si="238"/>
        <v>6.51</v>
      </c>
      <c r="U888" s="330">
        <f t="shared" si="239"/>
        <v>40.79</v>
      </c>
    </row>
    <row r="889" spans="1:21">
      <c r="A889" s="211">
        <f>IF(COUNTBLANK('RNEW import'!B887)=1,"",'RNEW import'!B887)</f>
        <v>22</v>
      </c>
      <c r="B889" s="211" t="str">
        <f>IF(COUNTBLANK('RNEW import'!D887)=1,"",'RNEW import'!D887)</f>
        <v>Nepi Ten Development Solutions  SRL</v>
      </c>
      <c r="C889" s="211" t="str">
        <f>IF(COUNTBLANK('RNEW import'!E887)=1,"",'RNEW import'!E887)</f>
        <v>RN10_Sighisoara</v>
      </c>
      <c r="D889" s="211" t="str">
        <f>IF(COUNTBLANK('RNEW import'!K887)=1,"",'RNEW import'!K887)</f>
        <v>Regularizare Tarife distributie en. El IT+MT</v>
      </c>
      <c r="E889" s="211">
        <f>IF(COUNTBLANK('RNEW import'!L887)=1,"",'RNEW import'!N887)</f>
        <v>0</v>
      </c>
      <c r="F889" s="211">
        <f>IF(COUNTBLANK('RNEW import'!M887)=1,"",'RNEW import'!O887/10000)</f>
        <v>0.11483</v>
      </c>
      <c r="G889" s="217">
        <f t="shared" si="240"/>
        <v>0</v>
      </c>
      <c r="H889" s="217">
        <f t="shared" si="233"/>
        <v>0</v>
      </c>
      <c r="I889" s="329">
        <f t="shared" si="241"/>
        <v>0</v>
      </c>
      <c r="J889" s="263" t="str">
        <f t="shared" si="243"/>
        <v/>
      </c>
      <c r="K889" s="238" t="str">
        <f t="shared" si="229"/>
        <v/>
      </c>
      <c r="L889" s="238" t="str">
        <f t="shared" si="230"/>
        <v/>
      </c>
      <c r="M889" s="238" t="str">
        <f t="shared" si="231"/>
        <v/>
      </c>
      <c r="N889" s="238" t="str">
        <f t="shared" si="232"/>
        <v/>
      </c>
      <c r="O889" s="232" t="str">
        <f t="shared" si="242"/>
        <v/>
      </c>
      <c r="P889" s="219" t="str">
        <f t="shared" si="234"/>
        <v/>
      </c>
      <c r="Q889" s="219" t="str">
        <f t="shared" si="235"/>
        <v/>
      </c>
      <c r="R889" s="219" t="str">
        <f t="shared" si="236"/>
        <v/>
      </c>
      <c r="S889" s="330" t="str">
        <f t="shared" si="237"/>
        <v/>
      </c>
      <c r="T889" s="330" t="str">
        <f t="shared" si="238"/>
        <v/>
      </c>
      <c r="U889" s="330" t="str">
        <f t="shared" si="239"/>
        <v/>
      </c>
    </row>
    <row r="890" spans="1:21">
      <c r="A890" s="211">
        <f>IF(COUNTBLANK('RNEW import'!B888)=1,"",'RNEW import'!B888)</f>
        <v>23</v>
      </c>
      <c r="B890" s="211" t="str">
        <f>IF(COUNTBLANK('RNEW import'!D888)=1,"",'RNEW import'!D888)</f>
        <v>Nepi Ten Development Solutions  SRL</v>
      </c>
      <c r="C890" s="211" t="str">
        <f>IF(COUNTBLANK('RNEW import'!E888)=1,"",'RNEW import'!E888)</f>
        <v>RN10_Sighisoara</v>
      </c>
      <c r="D890" s="211" t="str">
        <f>IF(COUNTBLANK('RNEW import'!K888)=1,"",'RNEW import'!K888)</f>
        <v>Regularizare Tarife distributie en. El JT</v>
      </c>
      <c r="E890" s="211">
        <f>IF(COUNTBLANK('RNEW import'!L888)=1,"",'RNEW import'!N888)</f>
        <v>0</v>
      </c>
      <c r="F890" s="211">
        <f>IF(COUNTBLANK('RNEW import'!M888)=1,"",'RNEW import'!O888/10000)</f>
        <v>0.2361</v>
      </c>
      <c r="G890" s="217">
        <f t="shared" si="240"/>
        <v>0</v>
      </c>
      <c r="H890" s="217">
        <f t="shared" si="233"/>
        <v>0</v>
      </c>
      <c r="I890" s="329">
        <f t="shared" si="241"/>
        <v>0</v>
      </c>
      <c r="J890" s="263" t="str">
        <f t="shared" si="243"/>
        <v/>
      </c>
      <c r="K890" s="238" t="str">
        <f t="shared" si="229"/>
        <v/>
      </c>
      <c r="L890" s="238" t="str">
        <f t="shared" si="230"/>
        <v/>
      </c>
      <c r="M890" s="238" t="str">
        <f t="shared" si="231"/>
        <v/>
      </c>
      <c r="N890" s="238" t="str">
        <f t="shared" si="232"/>
        <v/>
      </c>
      <c r="O890" s="232" t="str">
        <f t="shared" si="242"/>
        <v/>
      </c>
      <c r="P890" s="219" t="str">
        <f t="shared" si="234"/>
        <v/>
      </c>
      <c r="Q890" s="219" t="str">
        <f t="shared" si="235"/>
        <v/>
      </c>
      <c r="R890" s="219" t="str">
        <f t="shared" si="236"/>
        <v/>
      </c>
      <c r="S890" s="330" t="str">
        <f t="shared" si="237"/>
        <v/>
      </c>
      <c r="T890" s="330" t="str">
        <f t="shared" si="238"/>
        <v/>
      </c>
      <c r="U890" s="330" t="str">
        <f t="shared" si="239"/>
        <v/>
      </c>
    </row>
    <row r="891" spans="1:21">
      <c r="A891" s="211">
        <f>IF(COUNTBLANK('RNEW import'!B889)=1,"",'RNEW import'!B889)</f>
        <v>24</v>
      </c>
      <c r="B891" s="211" t="str">
        <f>IF(COUNTBLANK('RNEW import'!D889)=1,"",'RNEW import'!D889)</f>
        <v>Nepi Ten Development Solutions  SRL</v>
      </c>
      <c r="C891" s="211" t="str">
        <f>IF(COUNTBLANK('RNEW import'!E889)=1,"",'RNEW import'!E889)</f>
        <v>RN10_Sighisoara</v>
      </c>
      <c r="D891" s="211" t="str">
        <f>IF(COUNTBLANK('RNEW import'!K889)=1,"",'RNEW import'!K889)</f>
        <v xml:space="preserve">Regularizare Servicii Sistem </v>
      </c>
      <c r="E891" s="211">
        <f>IF(COUNTBLANK('RNEW import'!L889)=1,"",'RNEW import'!N889)</f>
        <v>0</v>
      </c>
      <c r="F891" s="211">
        <f>IF(COUNTBLANK('RNEW import'!M889)=1,"",'RNEW import'!O889/10000)</f>
        <v>1.1509999999999999E-2</v>
      </c>
      <c r="G891" s="217">
        <f t="shared" si="240"/>
        <v>0</v>
      </c>
      <c r="H891" s="217">
        <f t="shared" si="233"/>
        <v>0</v>
      </c>
      <c r="I891" s="329">
        <f t="shared" si="241"/>
        <v>0</v>
      </c>
      <c r="J891" s="263" t="str">
        <f t="shared" si="243"/>
        <v/>
      </c>
      <c r="K891" s="238" t="str">
        <f t="shared" si="229"/>
        <v/>
      </c>
      <c r="L891" s="238" t="str">
        <f t="shared" si="230"/>
        <v/>
      </c>
      <c r="M891" s="238" t="str">
        <f t="shared" si="231"/>
        <v/>
      </c>
      <c r="N891" s="238" t="str">
        <f t="shared" si="232"/>
        <v/>
      </c>
      <c r="O891" s="232" t="str">
        <f t="shared" si="242"/>
        <v/>
      </c>
      <c r="P891" s="219" t="str">
        <f t="shared" si="234"/>
        <v/>
      </c>
      <c r="Q891" s="219" t="str">
        <f t="shared" si="235"/>
        <v/>
      </c>
      <c r="R891" s="219" t="str">
        <f t="shared" si="236"/>
        <v/>
      </c>
      <c r="S891" s="330" t="str">
        <f t="shared" si="237"/>
        <v/>
      </c>
      <c r="T891" s="330" t="str">
        <f t="shared" si="238"/>
        <v/>
      </c>
      <c r="U891" s="330" t="str">
        <f t="shared" si="239"/>
        <v/>
      </c>
    </row>
    <row r="892" spans="1:21">
      <c r="A892" s="211">
        <f>IF(COUNTBLANK('RNEW import'!B890)=1,"",'RNEW import'!B890)</f>
        <v>25</v>
      </c>
      <c r="B892" s="211" t="str">
        <f>IF(COUNTBLANK('RNEW import'!D890)=1,"",'RNEW import'!D890)</f>
        <v>Nepi Ten Development Solutions  SRL</v>
      </c>
      <c r="C892" s="211" t="str">
        <f>IF(COUNTBLANK('RNEW import'!E890)=1,"",'RNEW import'!E890)</f>
        <v>RN10_Sighisoara</v>
      </c>
      <c r="D892" s="211" t="str">
        <f>IF(COUNTBLANK('RNEW import'!K890)=1,"",'RNEW import'!K890)</f>
        <v>Regularizare Tarif de introducere en. el in retea (TL)</v>
      </c>
      <c r="E892" s="211">
        <f>IF(COUNTBLANK('RNEW import'!L890)=1,"",'RNEW import'!N890)</f>
        <v>0</v>
      </c>
      <c r="F892" s="211">
        <f>IF(COUNTBLANK('RNEW import'!M890)=1,"",'RNEW import'!O890/10000)</f>
        <v>3.3030000000000004E-2</v>
      </c>
      <c r="G892" s="217">
        <f t="shared" si="240"/>
        <v>0</v>
      </c>
      <c r="H892" s="217">
        <f t="shared" si="233"/>
        <v>0</v>
      </c>
      <c r="I892" s="329">
        <f t="shared" si="241"/>
        <v>0</v>
      </c>
      <c r="J892" s="263" t="str">
        <f t="shared" si="243"/>
        <v/>
      </c>
      <c r="K892" s="238" t="str">
        <f t="shared" si="229"/>
        <v/>
      </c>
      <c r="L892" s="238" t="str">
        <f t="shared" si="230"/>
        <v/>
      </c>
      <c r="M892" s="238" t="str">
        <f t="shared" si="231"/>
        <v/>
      </c>
      <c r="N892" s="238" t="str">
        <f t="shared" si="232"/>
        <v/>
      </c>
      <c r="O892" s="232" t="str">
        <f t="shared" si="242"/>
        <v/>
      </c>
      <c r="P892" s="219" t="str">
        <f t="shared" si="234"/>
        <v/>
      </c>
      <c r="Q892" s="219" t="str">
        <f t="shared" si="235"/>
        <v/>
      </c>
      <c r="R892" s="219" t="str">
        <f t="shared" si="236"/>
        <v/>
      </c>
      <c r="S892" s="330" t="str">
        <f t="shared" si="237"/>
        <v/>
      </c>
      <c r="T892" s="330" t="str">
        <f t="shared" si="238"/>
        <v/>
      </c>
      <c r="U892" s="330" t="str">
        <f t="shared" si="239"/>
        <v/>
      </c>
    </row>
    <row r="893" spans="1:21">
      <c r="A893" s="211">
        <f>IF(COUNTBLANK('RNEW import'!B891)=1,"",'RNEW import'!B891)</f>
        <v>26</v>
      </c>
      <c r="B893" s="211" t="str">
        <f>IF(COUNTBLANK('RNEW import'!D891)=1,"",'RNEW import'!D891)</f>
        <v>Nepi Ten Development Solutions  SRL</v>
      </c>
      <c r="C893" s="211" t="str">
        <f>IF(COUNTBLANK('RNEW import'!E891)=1,"",'RNEW import'!E891)</f>
        <v>RN10_Sighisoara</v>
      </c>
      <c r="D893" s="211" t="str">
        <f>IF(COUNTBLANK('RNEW import'!K891)=1,"",'RNEW import'!K891)</f>
        <v>Regularizare Tarif de introducere en.el in retea (TG)</v>
      </c>
      <c r="E893" s="211">
        <f>IF(COUNTBLANK('RNEW import'!L891)=1,"",'RNEW import'!N891)</f>
        <v>0</v>
      </c>
      <c r="F893" s="211">
        <f>IF(COUNTBLANK('RNEW import'!M891)=1,"",'RNEW import'!O891/10000)</f>
        <v>3.29E-3</v>
      </c>
      <c r="G893" s="217">
        <f t="shared" si="240"/>
        <v>0</v>
      </c>
      <c r="H893" s="217">
        <f t="shared" si="233"/>
        <v>0</v>
      </c>
      <c r="I893" s="329">
        <f t="shared" si="241"/>
        <v>0</v>
      </c>
      <c r="J893" s="263" t="str">
        <f t="shared" si="243"/>
        <v/>
      </c>
      <c r="K893" s="238" t="str">
        <f t="shared" si="229"/>
        <v/>
      </c>
      <c r="L893" s="238" t="str">
        <f t="shared" si="230"/>
        <v/>
      </c>
      <c r="M893" s="238" t="str">
        <f t="shared" si="231"/>
        <v/>
      </c>
      <c r="N893" s="238" t="str">
        <f t="shared" si="232"/>
        <v/>
      </c>
      <c r="O893" s="232" t="str">
        <f t="shared" si="242"/>
        <v/>
      </c>
      <c r="P893" s="219" t="str">
        <f t="shared" si="234"/>
        <v/>
      </c>
      <c r="Q893" s="219" t="str">
        <f t="shared" si="235"/>
        <v/>
      </c>
      <c r="R893" s="219" t="str">
        <f t="shared" si="236"/>
        <v/>
      </c>
      <c r="S893" s="330" t="str">
        <f t="shared" si="237"/>
        <v/>
      </c>
      <c r="T893" s="330" t="str">
        <f t="shared" si="238"/>
        <v/>
      </c>
      <c r="U893" s="330" t="str">
        <f t="shared" si="239"/>
        <v/>
      </c>
    </row>
    <row r="894" spans="1:21">
      <c r="A894" s="211">
        <f>IF(COUNTBLANK('RNEW import'!B892)=1,"",'RNEW import'!B892)</f>
        <v>27</v>
      </c>
      <c r="B894" s="211" t="str">
        <f>IF(COUNTBLANK('RNEW import'!D892)=1,"",'RNEW import'!D892)</f>
        <v>Nepi Ten Development Solutions  SRL</v>
      </c>
      <c r="C894" s="211" t="str">
        <f>IF(COUNTBLANK('RNEW import'!E892)=1,"",'RNEW import'!E892)</f>
        <v>RN10_Sighisoara</v>
      </c>
      <c r="D894" s="211" t="str">
        <f>IF(COUNTBLANK('RNEW import'!K892)=1,"",'RNEW import'!K892)</f>
        <v>Regularizare Contributie pentru cogenerare</v>
      </c>
      <c r="E894" s="211">
        <f>IF(COUNTBLANK('RNEW import'!L892)=1,"",'RNEW import'!N892)</f>
        <v>0</v>
      </c>
      <c r="F894" s="211">
        <f>IF(COUNTBLANK('RNEW import'!M892)=1,"",'RNEW import'!O892/10000)</f>
        <v>3.5000000000000001E-3</v>
      </c>
      <c r="G894" s="217">
        <f t="shared" si="240"/>
        <v>0</v>
      </c>
      <c r="H894" s="217">
        <f t="shared" si="233"/>
        <v>0</v>
      </c>
      <c r="I894" s="329">
        <f t="shared" si="241"/>
        <v>0</v>
      </c>
      <c r="J894" s="263" t="str">
        <f t="shared" si="243"/>
        <v/>
      </c>
      <c r="K894" s="238" t="str">
        <f t="shared" si="229"/>
        <v/>
      </c>
      <c r="L894" s="238" t="str">
        <f t="shared" si="230"/>
        <v/>
      </c>
      <c r="M894" s="238" t="str">
        <f t="shared" si="231"/>
        <v/>
      </c>
      <c r="N894" s="238" t="str">
        <f t="shared" si="232"/>
        <v/>
      </c>
      <c r="O894" s="232" t="str">
        <f t="shared" si="242"/>
        <v/>
      </c>
      <c r="P894" s="219" t="str">
        <f t="shared" si="234"/>
        <v/>
      </c>
      <c r="Q894" s="219" t="str">
        <f t="shared" si="235"/>
        <v/>
      </c>
      <c r="R894" s="219" t="str">
        <f t="shared" si="236"/>
        <v/>
      </c>
      <c r="S894" s="330" t="str">
        <f t="shared" si="237"/>
        <v/>
      </c>
      <c r="T894" s="330" t="str">
        <f t="shared" si="238"/>
        <v/>
      </c>
      <c r="U894" s="330" t="str">
        <f t="shared" si="239"/>
        <v/>
      </c>
    </row>
    <row r="895" spans="1:21">
      <c r="A895" s="211">
        <f>IF(COUNTBLANK('RNEW import'!B893)=1,"",'RNEW import'!B893)</f>
        <v>28</v>
      </c>
      <c r="B895" s="211" t="str">
        <f>IF(COUNTBLANK('RNEW import'!D893)=1,"",'RNEW import'!D893)</f>
        <v>Nepi Ten Development Solutions  SRL</v>
      </c>
      <c r="C895" s="211" t="str">
        <f>IF(COUNTBLANK('RNEW import'!E893)=1,"",'RNEW import'!E893)</f>
        <v>RN10_Sighisoara</v>
      </c>
      <c r="D895" s="211" t="str">
        <f>IF(COUNTBLANK('RNEW import'!K893)=1,"",'RNEW import'!K893)</f>
        <v xml:space="preserve">Regularizare Certificate verzi </v>
      </c>
      <c r="E895" s="211">
        <f>IF(COUNTBLANK('RNEW import'!L893)=1,"",'RNEW import'!N893)</f>
        <v>0</v>
      </c>
      <c r="F895" s="211">
        <f>IF(COUNTBLANK('RNEW import'!M893)=1,"",'RNEW import'!O893/10000)</f>
        <v>7.2541599999999998E-2</v>
      </c>
      <c r="G895" s="217">
        <f t="shared" si="240"/>
        <v>0</v>
      </c>
      <c r="H895" s="217">
        <f t="shared" si="233"/>
        <v>0</v>
      </c>
      <c r="I895" s="329">
        <f t="shared" si="241"/>
        <v>0</v>
      </c>
      <c r="J895" s="263" t="str">
        <f t="shared" si="243"/>
        <v/>
      </c>
      <c r="K895" s="238" t="str">
        <f t="shared" si="229"/>
        <v/>
      </c>
      <c r="L895" s="238" t="str">
        <f t="shared" si="230"/>
        <v/>
      </c>
      <c r="M895" s="238" t="str">
        <f t="shared" si="231"/>
        <v/>
      </c>
      <c r="N895" s="238" t="str">
        <f t="shared" si="232"/>
        <v/>
      </c>
      <c r="O895" s="232" t="str">
        <f t="shared" si="242"/>
        <v/>
      </c>
      <c r="P895" s="219" t="str">
        <f t="shared" si="234"/>
        <v/>
      </c>
      <c r="Q895" s="219" t="str">
        <f t="shared" si="235"/>
        <v/>
      </c>
      <c r="R895" s="219" t="str">
        <f t="shared" si="236"/>
        <v/>
      </c>
      <c r="S895" s="330" t="str">
        <f t="shared" si="237"/>
        <v/>
      </c>
      <c r="T895" s="330" t="str">
        <f t="shared" si="238"/>
        <v/>
      </c>
      <c r="U895" s="330" t="str">
        <f t="shared" si="239"/>
        <v/>
      </c>
    </row>
    <row r="896" spans="1:21">
      <c r="A896" s="211">
        <f>IF(COUNTBLANK('RNEW import'!B894)=1,"",'RNEW import'!B894)</f>
        <v>29</v>
      </c>
      <c r="B896" s="211" t="str">
        <f>IF(COUNTBLANK('RNEW import'!D894)=1,"",'RNEW import'!D894)</f>
        <v>Nepi Ten Development Solutions  SRL</v>
      </c>
      <c r="C896" s="211" t="str">
        <f>IF(COUNTBLANK('RNEW import'!E894)=1,"",'RNEW import'!E894)</f>
        <v>RN10_Sighisoara</v>
      </c>
      <c r="D896" s="211" t="str">
        <f>IF(COUNTBLANK('RNEW import'!K894)=1,"",'RNEW import'!K894)</f>
        <v>Regularizare Contributie CFD</v>
      </c>
      <c r="E896" s="211">
        <f>IF(COUNTBLANK('RNEW import'!L894)=1,"",'RNEW import'!N894)</f>
        <v>0</v>
      </c>
      <c r="F896" s="211">
        <f>IF(COUNTBLANK('RNEW import'!M894)=1,"",'RNEW import'!O894/10000)</f>
        <v>2.0599999999999999E-4</v>
      </c>
      <c r="G896" s="217">
        <f t="shared" si="240"/>
        <v>0</v>
      </c>
      <c r="H896" s="217">
        <f t="shared" si="233"/>
        <v>0</v>
      </c>
      <c r="I896" s="329">
        <f t="shared" si="241"/>
        <v>0</v>
      </c>
      <c r="J896" s="263" t="str">
        <f t="shared" si="243"/>
        <v/>
      </c>
      <c r="K896" s="238" t="str">
        <f t="shared" si="229"/>
        <v/>
      </c>
      <c r="L896" s="238" t="str">
        <f t="shared" si="230"/>
        <v/>
      </c>
      <c r="M896" s="238" t="str">
        <f t="shared" si="231"/>
        <v/>
      </c>
      <c r="N896" s="238" t="str">
        <f t="shared" si="232"/>
        <v/>
      </c>
      <c r="O896" s="232" t="str">
        <f t="shared" si="242"/>
        <v/>
      </c>
      <c r="P896" s="219" t="str">
        <f t="shared" si="234"/>
        <v/>
      </c>
      <c r="Q896" s="219" t="str">
        <f t="shared" si="235"/>
        <v/>
      </c>
      <c r="R896" s="219" t="str">
        <f t="shared" si="236"/>
        <v/>
      </c>
      <c r="S896" s="330" t="str">
        <f t="shared" si="237"/>
        <v/>
      </c>
      <c r="T896" s="330" t="str">
        <f t="shared" si="238"/>
        <v/>
      </c>
      <c r="U896" s="330" t="str">
        <f t="shared" si="239"/>
        <v/>
      </c>
    </row>
    <row r="897" spans="1:21">
      <c r="A897" s="211">
        <f>IF(COUNTBLANK('RNEW import'!B895)=1,"",'RNEW import'!B895)</f>
        <v>30</v>
      </c>
      <c r="B897" s="211" t="str">
        <f>IF(COUNTBLANK('RNEW import'!D895)=1,"",'RNEW import'!D895)</f>
        <v>Nepi Ten Development Solutions  SRL</v>
      </c>
      <c r="C897" s="211" t="str">
        <f>IF(COUNTBLANK('RNEW import'!E895)=1,"",'RNEW import'!E895)</f>
        <v>RN10_Sighisoara</v>
      </c>
      <c r="D897" s="211" t="str">
        <f>IF(COUNTBLANK('RNEW import'!K895)=1,"",'RNEW import'!K895)</f>
        <v>Regularizare Acciza</v>
      </c>
      <c r="E897" s="211">
        <f>IF(COUNTBLANK('RNEW import'!L895)=1,"",'RNEW import'!N895)</f>
        <v>0</v>
      </c>
      <c r="F897" s="211">
        <f>IF(COUNTBLANK('RNEW import'!M895)=1,"",'RNEW import'!O895/10000)</f>
        <v>0</v>
      </c>
      <c r="G897" s="217">
        <f t="shared" si="240"/>
        <v>0</v>
      </c>
      <c r="H897" s="217">
        <f t="shared" si="233"/>
        <v>0</v>
      </c>
      <c r="I897" s="329">
        <f t="shared" si="241"/>
        <v>0</v>
      </c>
      <c r="J897" s="263" t="str">
        <f t="shared" si="243"/>
        <v/>
      </c>
      <c r="K897" s="238" t="str">
        <f t="shared" si="229"/>
        <v/>
      </c>
      <c r="L897" s="238" t="str">
        <f t="shared" si="230"/>
        <v/>
      </c>
      <c r="M897" s="238" t="str">
        <f t="shared" si="231"/>
        <v/>
      </c>
      <c r="N897" s="238" t="str">
        <f t="shared" si="232"/>
        <v/>
      </c>
      <c r="O897" s="232" t="str">
        <f t="shared" si="242"/>
        <v/>
      </c>
      <c r="P897" s="219" t="str">
        <f t="shared" si="234"/>
        <v/>
      </c>
      <c r="Q897" s="219" t="str">
        <f t="shared" si="235"/>
        <v/>
      </c>
      <c r="R897" s="219" t="str">
        <f t="shared" si="236"/>
        <v/>
      </c>
      <c r="S897" s="330" t="str">
        <f t="shared" si="237"/>
        <v/>
      </c>
      <c r="T897" s="330" t="str">
        <f t="shared" si="238"/>
        <v/>
      </c>
      <c r="U897" s="330" t="str">
        <f t="shared" si="239"/>
        <v/>
      </c>
    </row>
    <row r="898" spans="1:21">
      <c r="A898" s="211">
        <f>IF(COUNTBLANK('RNEW import'!B896)=1,"",'RNEW import'!B896)</f>
        <v>31</v>
      </c>
      <c r="B898" s="211" t="str">
        <f>IF(COUNTBLANK('RNEW import'!D896)=1,"",'RNEW import'!D896)</f>
        <v>Nepi Ten Development Solutions  SRL</v>
      </c>
      <c r="C898" s="211" t="str">
        <f>IF(COUNTBLANK('RNEW import'!E896)=1,"",'RNEW import'!E896)</f>
        <v>RN10_Sighisoara</v>
      </c>
      <c r="D898" s="211" t="str">
        <f>IF(COUNTBLANK('RNEW import'!K896)=1,"",'RNEW import'!K896)</f>
        <v>Regularizare Tarif distributie SDI MT Ea1</v>
      </c>
      <c r="E898" s="211">
        <f>IF(COUNTBLANK('RNEW import'!L896)=1,"",'RNEW import'!N896)</f>
        <v>0</v>
      </c>
      <c r="F898" s="211">
        <f>IF(COUNTBLANK('RNEW import'!M896)=1,"",'RNEW import'!O896/10000)</f>
        <v>1.26E-2</v>
      </c>
      <c r="G898" s="217">
        <f t="shared" si="240"/>
        <v>0</v>
      </c>
      <c r="H898" s="217">
        <f t="shared" si="233"/>
        <v>0</v>
      </c>
      <c r="I898" s="329">
        <f t="shared" si="241"/>
        <v>0</v>
      </c>
      <c r="J898" s="263" t="str">
        <f t="shared" si="243"/>
        <v/>
      </c>
      <c r="K898" s="238" t="str">
        <f t="shared" si="229"/>
        <v/>
      </c>
      <c r="L898" s="238" t="str">
        <f t="shared" si="230"/>
        <v/>
      </c>
      <c r="M898" s="238" t="str">
        <f t="shared" si="231"/>
        <v/>
      </c>
      <c r="N898" s="238" t="str">
        <f t="shared" si="232"/>
        <v/>
      </c>
      <c r="O898" s="232" t="str">
        <f t="shared" si="242"/>
        <v/>
      </c>
      <c r="P898" s="219" t="str">
        <f t="shared" si="234"/>
        <v/>
      </c>
      <c r="Q898" s="219" t="str">
        <f t="shared" si="235"/>
        <v/>
      </c>
      <c r="R898" s="219" t="str">
        <f t="shared" si="236"/>
        <v/>
      </c>
      <c r="S898" s="330" t="str">
        <f t="shared" si="237"/>
        <v/>
      </c>
      <c r="T898" s="330" t="str">
        <f t="shared" si="238"/>
        <v/>
      </c>
      <c r="U898" s="330" t="str">
        <f t="shared" si="239"/>
        <v/>
      </c>
    </row>
    <row r="899" spans="1:21">
      <c r="A899" s="211">
        <f>IF(COUNTBLANK('RNEW import'!B897)=1,"",'RNEW import'!B897)</f>
        <v>32</v>
      </c>
      <c r="B899" s="211" t="str">
        <f>IF(COUNTBLANK('RNEW import'!D897)=1,"",'RNEW import'!D897)</f>
        <v>Nepi Ten Development Solutions  SRL</v>
      </c>
      <c r="C899" s="211" t="str">
        <f>IF(COUNTBLANK('RNEW import'!E897)=1,"",'RNEW import'!E897)</f>
        <v>RN10_Sighisoara</v>
      </c>
      <c r="D899" s="211" t="str">
        <f>IF(COUNTBLANK('RNEW import'!K897)=1,"",'RNEW import'!K897)</f>
        <v>Regularizare Tarif distributie SDI JT Ea1</v>
      </c>
      <c r="E899" s="211">
        <f>IF(COUNTBLANK('RNEW import'!L897)=1,"",'RNEW import'!N897)</f>
        <v>0</v>
      </c>
      <c r="F899" s="211">
        <f>IF(COUNTBLANK('RNEW import'!M897)=1,"",'RNEW import'!O897/10000)</f>
        <v>9.2700000000000005E-2</v>
      </c>
      <c r="G899" s="217">
        <f t="shared" si="240"/>
        <v>0</v>
      </c>
      <c r="H899" s="217">
        <f t="shared" si="233"/>
        <v>0</v>
      </c>
      <c r="I899" s="329">
        <f t="shared" si="241"/>
        <v>0</v>
      </c>
      <c r="J899" s="263" t="str">
        <f t="shared" si="243"/>
        <v/>
      </c>
      <c r="K899" s="238" t="str">
        <f t="shared" si="229"/>
        <v/>
      </c>
      <c r="L899" s="238" t="str">
        <f t="shared" si="230"/>
        <v/>
      </c>
      <c r="M899" s="238" t="str">
        <f t="shared" si="231"/>
        <v/>
      </c>
      <c r="N899" s="238" t="str">
        <f t="shared" si="232"/>
        <v/>
      </c>
      <c r="O899" s="232" t="str">
        <f t="shared" si="242"/>
        <v/>
      </c>
      <c r="P899" s="219" t="str">
        <f t="shared" si="234"/>
        <v/>
      </c>
      <c r="Q899" s="219" t="str">
        <f t="shared" si="235"/>
        <v/>
      </c>
      <c r="R899" s="219" t="str">
        <f t="shared" si="236"/>
        <v/>
      </c>
      <c r="S899" s="330" t="str">
        <f t="shared" si="237"/>
        <v/>
      </c>
      <c r="T899" s="330" t="str">
        <f t="shared" si="238"/>
        <v/>
      </c>
      <c r="U899" s="330" t="str">
        <f t="shared" si="239"/>
        <v/>
      </c>
    </row>
    <row r="900" spans="1:21">
      <c r="A900" s="211">
        <f>IF(COUNTBLANK('RNEW import'!B898)=1,"",'RNEW import'!B898)</f>
        <v>33</v>
      </c>
      <c r="B900" s="211" t="str">
        <f>IF(COUNTBLANK('RNEW import'!D898)=1,"",'RNEW import'!D898)</f>
        <v>Nepi Ten Development Solutions  SRL</v>
      </c>
      <c r="C900" s="211" t="str">
        <f>IF(COUNTBLANK('RNEW import'!E898)=1,"",'RNEW import'!E898)</f>
        <v>RN10_Sighisoara</v>
      </c>
      <c r="D900" s="211" t="str">
        <f>IF(COUNTBLANK('RNEW import'!K898)=1,"",'RNEW import'!K898)</f>
        <v>Regularizare Energie activa 2</v>
      </c>
      <c r="E900" s="211">
        <f>IF(COUNTBLANK('RNEW import'!L898)=1,"",'RNEW import'!N898)</f>
        <v>0</v>
      </c>
      <c r="F900" s="211">
        <f>IF(COUNTBLANK('RNEW import'!M898)=1,"",'RNEW import'!O898/10000)</f>
        <v>0.93920760000000014</v>
      </c>
      <c r="G900" s="217">
        <f t="shared" si="240"/>
        <v>0</v>
      </c>
      <c r="H900" s="217">
        <f t="shared" si="233"/>
        <v>0</v>
      </c>
      <c r="I900" s="329">
        <f t="shared" si="241"/>
        <v>0</v>
      </c>
      <c r="J900" s="263" t="str">
        <f t="shared" si="243"/>
        <v/>
      </c>
      <c r="K900" s="238" t="str">
        <f t="shared" ref="K900:K963" si="244">IF(COUNTBLANK(J900)=1,"",IF(A900=1,SUMIFS(G:G,$C:$C,C900,$A:$A,"=13")+SUMIFS(G:G,$C:$C,C900,$A:$A,"=14")+SUMIFS(G:G,$C:$C,C900,$A:$A,"=17")+SUMIFS(G:G,$C:$C,C900,$A:$A,"=18")+SUMIFS(G:G,$C:$C,C900,$A:$A,"=31")+SUMIFS(G:G,$C:$C,C900,$A:$A,"=32")+SUMIFS(G:G,$C:$C,C900,$A:$A,"=35")+SUMIFS(G:G,$C:$C,C900,$A:$A,"=36"),""))</f>
        <v/>
      </c>
      <c r="L900" s="238" t="str">
        <f t="shared" ref="L900:L963" si="245">IF(COUNTBLANK(J900)=1,"",IF(A900=1,SUMIFS(G:G,$C:$C,C900,$A:$A,"&lt;13")+SUMIFS(G:G,$C:$C,C900,$A:$A,"&gt;18",$A:$A,"&lt;31")))</f>
        <v/>
      </c>
      <c r="M900" s="238" t="str">
        <f t="shared" ref="M900:M963" si="246">IF(COUNTBLANK(J900)=1,"",IF(A900=1,SUMIFS(G:G,$C:$C,C900,$A:$A,"=15")+SUMIFS(G:G,$C:$C,C900,$A:$A,"=16")+SUMIFS(G:G,$C:$C,C900,$A:$A,"=33")+SUMIFS(G:G,$C:$C,C900,$A:$A,"=34"),""))</f>
        <v/>
      </c>
      <c r="N900" s="238" t="str">
        <f t="shared" ref="N900:N963" si="247">IF(COUNTBLANK(J900)=1,"",IF(A900=1,SUMIFS(E:E,$C:$C,C900,$A:$A,"=13")+SUMIFS(E:E,$C:$C,C900,$A:$A,"=17")+SUMIFS(E:E,$C:$C,C900,$A:$A,"=31")+SUMIFS(E:E,$C:$C,C900,$A:$A,"=35"),""))</f>
        <v/>
      </c>
      <c r="O900" s="232" t="str">
        <f t="shared" si="242"/>
        <v/>
      </c>
      <c r="P900" s="219" t="str">
        <f t="shared" si="234"/>
        <v/>
      </c>
      <c r="Q900" s="219" t="str">
        <f t="shared" si="235"/>
        <v/>
      </c>
      <c r="R900" s="219" t="str">
        <f t="shared" si="236"/>
        <v/>
      </c>
      <c r="S900" s="330" t="str">
        <f t="shared" si="237"/>
        <v/>
      </c>
      <c r="T900" s="330" t="str">
        <f t="shared" si="238"/>
        <v/>
      </c>
      <c r="U900" s="330" t="str">
        <f t="shared" si="239"/>
        <v/>
      </c>
    </row>
    <row r="901" spans="1:21">
      <c r="A901" s="211">
        <f>IF(COUNTBLANK('RNEW import'!B899)=1,"",'RNEW import'!B899)</f>
        <v>34</v>
      </c>
      <c r="B901" s="211" t="str">
        <f>IF(COUNTBLANK('RNEW import'!D899)=1,"",'RNEW import'!D899)</f>
        <v>Nepi Ten Development Solutions  SRL</v>
      </c>
      <c r="C901" s="211" t="str">
        <f>IF(COUNTBLANK('RNEW import'!E899)=1,"",'RNEW import'!E899)</f>
        <v>RN10_Sighisoara</v>
      </c>
      <c r="D901" s="211" t="str">
        <f>IF(COUNTBLANK('RNEW import'!K899)=1,"",'RNEW import'!K899)</f>
        <v>Regularizare Energie activa 3</v>
      </c>
      <c r="E901" s="211">
        <f>IF(COUNTBLANK('RNEW import'!L899)=1,"",'RNEW import'!N899)</f>
        <v>0</v>
      </c>
      <c r="F901" s="211">
        <f>IF(COUNTBLANK('RNEW import'!M899)=1,"",'RNEW import'!O899/10000)</f>
        <v>0.83390760000000008</v>
      </c>
      <c r="G901" s="217">
        <f t="shared" si="240"/>
        <v>0</v>
      </c>
      <c r="H901" s="217">
        <f t="shared" ref="H901:H964" si="248">ROUND(G901*19%,2)</f>
        <v>0</v>
      </c>
      <c r="I901" s="329">
        <f t="shared" si="241"/>
        <v>0</v>
      </c>
      <c r="J901" s="263" t="str">
        <f t="shared" si="243"/>
        <v/>
      </c>
      <c r="K901" s="238" t="str">
        <f t="shared" si="244"/>
        <v/>
      </c>
      <c r="L901" s="238" t="str">
        <f t="shared" si="245"/>
        <v/>
      </c>
      <c r="M901" s="238" t="str">
        <f t="shared" si="246"/>
        <v/>
      </c>
      <c r="N901" s="238" t="str">
        <f t="shared" si="247"/>
        <v/>
      </c>
      <c r="O901" s="232" t="str">
        <f t="shared" si="242"/>
        <v/>
      </c>
      <c r="P901" s="219" t="str">
        <f t="shared" ref="P901:P964" si="249">IF(A901=1,"Enegie activa",IF(OR(A901=18),"Energie consumata din PV",IF(OR(A901=2),"Energie reactiva 1x",IF(OR(A901=3),"Energie reactiva 3x",IF(A901=19,"Energie activa regularizare",IF(OR(A901=36),"Energie consumata din PV regularizare",IF(OR(A901=20),"Energie reactiva 1x regularizare",IF(OR(A901=21),"Energie reactiva 3x regularizare",""))))))))</f>
        <v/>
      </c>
      <c r="Q901" s="219" t="str">
        <f t="shared" ref="Q901:Q964" si="250">IF(COUNTBLANK(P901)=0,IF(OR(A901=1,A901=2,A901=3,A901=19,A901=20,A901=21),E901,IF(OR(A901=18,A901=36),E898+E899,"")),"")</f>
        <v/>
      </c>
      <c r="R901" s="219" t="str">
        <f t="shared" ref="R901:R964" si="251">IF(COUNTBLANK(P901)=1,"",IF(OR(A901=2,A901=3,A901=20,A901=21),F901,IF(Q901=0,0,ROUND(S901/Q901,6))))</f>
        <v/>
      </c>
      <c r="S901" s="330" t="str">
        <f t="shared" si="237"/>
        <v/>
      </c>
      <c r="T901" s="330" t="str">
        <f t="shared" si="238"/>
        <v/>
      </c>
      <c r="U901" s="330" t="str">
        <f t="shared" si="239"/>
        <v/>
      </c>
    </row>
    <row r="902" spans="1:21">
      <c r="A902" s="211">
        <f>IF(COUNTBLANK('RNEW import'!B900)=1,"",'RNEW import'!B900)</f>
        <v>35</v>
      </c>
      <c r="B902" s="211" t="str">
        <f>IF(COUNTBLANK('RNEW import'!D900)=1,"",'RNEW import'!D900)</f>
        <v>Nepi Ten Development Solutions  SRL</v>
      </c>
      <c r="C902" s="211" t="str">
        <f>IF(COUNTBLANK('RNEW import'!E900)=1,"",'RNEW import'!E900)</f>
        <v>RN10_Sighisoara</v>
      </c>
      <c r="D902" s="211" t="str">
        <f>IF(COUNTBLANK('RNEW import'!K900)=1,"",'RNEW import'!K900)</f>
        <v>Regularizare Tarif distributie SDI MT Ea3</v>
      </c>
      <c r="E902" s="211">
        <f>IF(COUNTBLANK('RNEW import'!L900)=1,"",'RNEW import'!N900)</f>
        <v>0</v>
      </c>
      <c r="F902" s="211">
        <f>IF(COUNTBLANK('RNEW import'!M900)=1,"",'RNEW import'!O900/10000)</f>
        <v>1.26E-2</v>
      </c>
      <c r="G902" s="217">
        <f t="shared" si="240"/>
        <v>0</v>
      </c>
      <c r="H902" s="217">
        <f t="shared" si="248"/>
        <v>0</v>
      </c>
      <c r="I902" s="329">
        <f t="shared" si="241"/>
        <v>0</v>
      </c>
      <c r="J902" s="263" t="str">
        <f t="shared" si="243"/>
        <v/>
      </c>
      <c r="K902" s="238" t="str">
        <f t="shared" si="244"/>
        <v/>
      </c>
      <c r="L902" s="238" t="str">
        <f t="shared" si="245"/>
        <v/>
      </c>
      <c r="M902" s="238" t="str">
        <f t="shared" si="246"/>
        <v/>
      </c>
      <c r="N902" s="238" t="str">
        <f t="shared" si="247"/>
        <v/>
      </c>
      <c r="O902" s="232" t="str">
        <f t="shared" si="242"/>
        <v/>
      </c>
      <c r="P902" s="219" t="str">
        <f t="shared" si="249"/>
        <v/>
      </c>
      <c r="Q902" s="219" t="str">
        <f t="shared" si="250"/>
        <v/>
      </c>
      <c r="R902" s="219" t="str">
        <f t="shared" si="251"/>
        <v/>
      </c>
      <c r="S902" s="330" t="str">
        <f t="shared" si="237"/>
        <v/>
      </c>
      <c r="T902" s="330" t="str">
        <f t="shared" si="238"/>
        <v/>
      </c>
      <c r="U902" s="330" t="str">
        <f t="shared" si="239"/>
        <v/>
      </c>
    </row>
    <row r="903" spans="1:21">
      <c r="A903" s="211">
        <f>IF(COUNTBLANK('RNEW import'!B901)=1,"",'RNEW import'!B901)</f>
        <v>36</v>
      </c>
      <c r="B903" s="211" t="str">
        <f>IF(COUNTBLANK('RNEW import'!D901)=1,"",'RNEW import'!D901)</f>
        <v>Nepi Ten Development Solutions  SRL</v>
      </c>
      <c r="C903" s="211" t="str">
        <f>IF(COUNTBLANK('RNEW import'!E901)=1,"",'RNEW import'!E901)</f>
        <v>RN10_Sighisoara</v>
      </c>
      <c r="D903" s="211" t="str">
        <f>IF(COUNTBLANK('RNEW import'!K901)=1,"",'RNEW import'!K901)</f>
        <v>Regularizare Tarif distributie SDI JT Ea3</v>
      </c>
      <c r="E903" s="211">
        <f>IF(COUNTBLANK('RNEW import'!L901)=1,"",'RNEW import'!N901)</f>
        <v>0</v>
      </c>
      <c r="F903" s="211">
        <f>IF(COUNTBLANK('RNEW import'!M901)=1,"",'RNEW import'!O901/10000)</f>
        <v>9.2700000000000005E-2</v>
      </c>
      <c r="G903" s="217">
        <f t="shared" si="240"/>
        <v>0</v>
      </c>
      <c r="H903" s="217">
        <f t="shared" si="248"/>
        <v>0</v>
      </c>
      <c r="I903" s="329">
        <f t="shared" si="241"/>
        <v>0</v>
      </c>
      <c r="J903" s="263" t="str">
        <f t="shared" si="243"/>
        <v/>
      </c>
      <c r="K903" s="238" t="str">
        <f t="shared" si="244"/>
        <v/>
      </c>
      <c r="L903" s="238" t="str">
        <f t="shared" si="245"/>
        <v/>
      </c>
      <c r="M903" s="238" t="str">
        <f t="shared" si="246"/>
        <v/>
      </c>
      <c r="N903" s="238" t="str">
        <f t="shared" si="247"/>
        <v/>
      </c>
      <c r="O903" s="232" t="str">
        <f t="shared" si="242"/>
        <v/>
      </c>
      <c r="P903" s="219" t="str">
        <f t="shared" si="249"/>
        <v>Energie consumata din PV regularizare</v>
      </c>
      <c r="Q903" s="219">
        <f t="shared" si="250"/>
        <v>0</v>
      </c>
      <c r="R903" s="219">
        <f t="shared" si="251"/>
        <v>0</v>
      </c>
      <c r="S903" s="330">
        <f t="shared" si="237"/>
        <v>0</v>
      </c>
      <c r="T903" s="330">
        <f t="shared" si="238"/>
        <v>0</v>
      </c>
      <c r="U903" s="330">
        <f t="shared" si="239"/>
        <v>0</v>
      </c>
    </row>
    <row r="904" spans="1:21" ht="30">
      <c r="A904" s="211">
        <f>IF(COUNTBLANK('RNEW import'!B902)=1,"",'RNEW import'!B902)</f>
        <v>1</v>
      </c>
      <c r="B904" s="211" t="str">
        <f>IF(COUNTBLANK('RNEW import'!D902)=1,"",'RNEW import'!D902)</f>
        <v>Nepi Ten Development Solutions  SRL</v>
      </c>
      <c r="C904" s="211" t="str">
        <f>IF(COUNTBLANK('RNEW import'!E902)=1,"",'RNEW import'!E902)</f>
        <v>RN10_Alexandria</v>
      </c>
      <c r="D904" s="211" t="str">
        <f>IF(COUNTBLANK('RNEW import'!K902)=1,"",'RNEW import'!K902)</f>
        <v>Energie activa 1</v>
      </c>
      <c r="E904" s="211">
        <f>IF(COUNTBLANK('RNEW import'!L902)=1,"",'RNEW import'!N902)</f>
        <v>4793</v>
      </c>
      <c r="F904" s="211">
        <f>IF(COUNTBLANK('RNEW import'!M902)=1,"",'RNEW import'!O902/10000)</f>
        <v>0.59499999999999997</v>
      </c>
      <c r="G904" s="217">
        <f t="shared" si="240"/>
        <v>2851.84</v>
      </c>
      <c r="H904" s="217">
        <f t="shared" si="248"/>
        <v>541.85</v>
      </c>
      <c r="I904" s="329">
        <f t="shared" si="241"/>
        <v>3393.69</v>
      </c>
      <c r="J904" s="263" t="str">
        <f t="shared" si="243"/>
        <v>Nepi Ten Development Solutions  SRL - Alexandria</v>
      </c>
      <c r="K904" s="238">
        <f t="shared" si="244"/>
        <v>574.67999999999995</v>
      </c>
      <c r="L904" s="238">
        <f t="shared" si="245"/>
        <v>4099.07</v>
      </c>
      <c r="M904" s="238">
        <f t="shared" si="246"/>
        <v>3600.13</v>
      </c>
      <c r="N904" s="238">
        <f t="shared" si="247"/>
        <v>4793</v>
      </c>
      <c r="O904" s="232" t="str">
        <f t="shared" si="242"/>
        <v>Nepi Ten Development Solutions  SRL</v>
      </c>
      <c r="P904" s="219" t="str">
        <f t="shared" si="249"/>
        <v>Enegie activa</v>
      </c>
      <c r="Q904" s="219">
        <f t="shared" si="250"/>
        <v>4793</v>
      </c>
      <c r="R904" s="219">
        <f t="shared" si="251"/>
        <v>0.97511999999999999</v>
      </c>
      <c r="S904" s="330">
        <f t="shared" si="237"/>
        <v>4673.75</v>
      </c>
      <c r="T904" s="330">
        <f t="shared" si="238"/>
        <v>888.02</v>
      </c>
      <c r="U904" s="330">
        <f t="shared" si="239"/>
        <v>5561.77</v>
      </c>
    </row>
    <row r="905" spans="1:21">
      <c r="A905" s="211">
        <f>IF(COUNTBLANK('RNEW import'!B903)=1,"",'RNEW import'!B903)</f>
        <v>2</v>
      </c>
      <c r="B905" s="211" t="str">
        <f>IF(COUNTBLANK('RNEW import'!D903)=1,"",'RNEW import'!D903)</f>
        <v>Nepi Ten Development Solutions  SRL</v>
      </c>
      <c r="C905" s="211" t="str">
        <f>IF(COUNTBLANK('RNEW import'!E903)=1,"",'RNEW import'!E903)</f>
        <v>RN10_Alexandria</v>
      </c>
      <c r="D905" s="211" t="str">
        <f>IF(COUNTBLANK('RNEW import'!K903)=1,"",'RNEW import'!K903)</f>
        <v>Energie reactiva  1X</v>
      </c>
      <c r="E905" s="211">
        <f>IF(COUNTBLANK('RNEW import'!L903)=1,"",'RNEW import'!N903)</f>
        <v>0</v>
      </c>
      <c r="F905" s="211">
        <f>IF(COUNTBLANK('RNEW import'!M903)=1,"",'RNEW import'!O903/10000)</f>
        <v>0.14649999999999999</v>
      </c>
      <c r="G905" s="217">
        <f t="shared" si="240"/>
        <v>0</v>
      </c>
      <c r="H905" s="217">
        <f t="shared" si="248"/>
        <v>0</v>
      </c>
      <c r="I905" s="329">
        <f t="shared" si="241"/>
        <v>0</v>
      </c>
      <c r="J905" s="263" t="str">
        <f t="shared" si="243"/>
        <v/>
      </c>
      <c r="K905" s="238" t="str">
        <f t="shared" si="244"/>
        <v/>
      </c>
      <c r="L905" s="238" t="str">
        <f t="shared" si="245"/>
        <v/>
      </c>
      <c r="M905" s="238" t="str">
        <f t="shared" si="246"/>
        <v/>
      </c>
      <c r="N905" s="238" t="str">
        <f t="shared" si="247"/>
        <v/>
      </c>
      <c r="O905" s="232" t="str">
        <f t="shared" si="242"/>
        <v/>
      </c>
      <c r="P905" s="219" t="str">
        <f t="shared" si="249"/>
        <v>Energie reactiva 1x</v>
      </c>
      <c r="Q905" s="219">
        <f t="shared" si="250"/>
        <v>0</v>
      </c>
      <c r="R905" s="219">
        <f t="shared" si="251"/>
        <v>0.14649999999999999</v>
      </c>
      <c r="S905" s="330">
        <f t="shared" si="237"/>
        <v>0</v>
      </c>
      <c r="T905" s="330">
        <f t="shared" si="238"/>
        <v>0</v>
      </c>
      <c r="U905" s="330">
        <f t="shared" si="239"/>
        <v>0</v>
      </c>
    </row>
    <row r="906" spans="1:21">
      <c r="A906" s="211">
        <f>IF(COUNTBLANK('RNEW import'!B904)=1,"",'RNEW import'!B904)</f>
        <v>3</v>
      </c>
      <c r="B906" s="211" t="str">
        <f>IF(COUNTBLANK('RNEW import'!D904)=1,"",'RNEW import'!D904)</f>
        <v>Nepi Ten Development Solutions  SRL</v>
      </c>
      <c r="C906" s="211" t="str">
        <f>IF(COUNTBLANK('RNEW import'!E904)=1,"",'RNEW import'!E904)</f>
        <v>RN10_Alexandria</v>
      </c>
      <c r="D906" s="211" t="str">
        <f>IF(COUNTBLANK('RNEW import'!K904)=1,"",'RNEW import'!K904)</f>
        <v>Energie reactiva  3X</v>
      </c>
      <c r="E906" s="211">
        <f>IF(COUNTBLANK('RNEW import'!L904)=1,"",'RNEW import'!N904)</f>
        <v>0</v>
      </c>
      <c r="F906" s="211">
        <f>IF(COUNTBLANK('RNEW import'!M904)=1,"",'RNEW import'!O904/10000)</f>
        <v>0.4395</v>
      </c>
      <c r="G906" s="217">
        <f t="shared" si="240"/>
        <v>0</v>
      </c>
      <c r="H906" s="217">
        <f t="shared" si="248"/>
        <v>0</v>
      </c>
      <c r="I906" s="329">
        <f t="shared" si="241"/>
        <v>0</v>
      </c>
      <c r="J906" s="263" t="str">
        <f t="shared" si="243"/>
        <v/>
      </c>
      <c r="K906" s="238" t="str">
        <f t="shared" si="244"/>
        <v/>
      </c>
      <c r="L906" s="238" t="str">
        <f t="shared" si="245"/>
        <v/>
      </c>
      <c r="M906" s="238" t="str">
        <f t="shared" si="246"/>
        <v/>
      </c>
      <c r="N906" s="238" t="str">
        <f t="shared" si="247"/>
        <v/>
      </c>
      <c r="O906" s="232" t="str">
        <f t="shared" si="242"/>
        <v/>
      </c>
      <c r="P906" s="219" t="str">
        <f t="shared" si="249"/>
        <v>Energie reactiva 3x</v>
      </c>
      <c r="Q906" s="219">
        <f t="shared" si="250"/>
        <v>0</v>
      </c>
      <c r="R906" s="219">
        <f t="shared" si="251"/>
        <v>0.4395</v>
      </c>
      <c r="S906" s="330">
        <f t="shared" si="237"/>
        <v>0</v>
      </c>
      <c r="T906" s="330">
        <f t="shared" si="238"/>
        <v>0</v>
      </c>
      <c r="U906" s="330">
        <f t="shared" si="239"/>
        <v>0</v>
      </c>
    </row>
    <row r="907" spans="1:21">
      <c r="A907" s="211">
        <f>IF(COUNTBLANK('RNEW import'!B905)=1,"",'RNEW import'!B905)</f>
        <v>4</v>
      </c>
      <c r="B907" s="211" t="str">
        <f>IF(COUNTBLANK('RNEW import'!D905)=1,"",'RNEW import'!D905)</f>
        <v>Nepi Ten Development Solutions  SRL</v>
      </c>
      <c r="C907" s="211" t="str">
        <f>IF(COUNTBLANK('RNEW import'!E905)=1,"",'RNEW import'!E905)</f>
        <v>RN10_Alexandria</v>
      </c>
      <c r="D907" s="211" t="str">
        <f>IF(COUNTBLANK('RNEW import'!K905)=1,"",'RNEW import'!K905)</f>
        <v>Tarife distributie en. El IT+MT</v>
      </c>
      <c r="E907" s="211">
        <f>IF(COUNTBLANK('RNEW import'!L905)=1,"",'RNEW import'!N905)</f>
        <v>4793</v>
      </c>
      <c r="F907" s="211">
        <f>IF(COUNTBLANK('RNEW import'!M905)=1,"",'RNEW import'!O905/10000)</f>
        <v>0.13613999999999998</v>
      </c>
      <c r="G907" s="217">
        <f t="shared" si="240"/>
        <v>652.52</v>
      </c>
      <c r="H907" s="217">
        <f t="shared" si="248"/>
        <v>123.98</v>
      </c>
      <c r="I907" s="329">
        <f t="shared" si="241"/>
        <v>776.5</v>
      </c>
      <c r="J907" s="263" t="str">
        <f t="shared" si="243"/>
        <v/>
      </c>
      <c r="K907" s="238" t="str">
        <f t="shared" si="244"/>
        <v/>
      </c>
      <c r="L907" s="238" t="str">
        <f t="shared" si="245"/>
        <v/>
      </c>
      <c r="M907" s="238" t="str">
        <f t="shared" si="246"/>
        <v/>
      </c>
      <c r="N907" s="238" t="str">
        <f t="shared" si="247"/>
        <v/>
      </c>
      <c r="O907" s="232" t="str">
        <f t="shared" si="242"/>
        <v/>
      </c>
      <c r="P907" s="219" t="str">
        <f t="shared" si="249"/>
        <v/>
      </c>
      <c r="Q907" s="219" t="str">
        <f t="shared" si="250"/>
        <v/>
      </c>
      <c r="R907" s="219" t="str">
        <f t="shared" si="251"/>
        <v/>
      </c>
      <c r="S907" s="330" t="str">
        <f t="shared" si="237"/>
        <v/>
      </c>
      <c r="T907" s="330" t="str">
        <f t="shared" si="238"/>
        <v/>
      </c>
      <c r="U907" s="330" t="str">
        <f t="shared" si="239"/>
        <v/>
      </c>
    </row>
    <row r="908" spans="1:21">
      <c r="A908" s="211">
        <f>IF(COUNTBLANK('RNEW import'!B906)=1,"",'RNEW import'!B906)</f>
        <v>5</v>
      </c>
      <c r="B908" s="211" t="str">
        <f>IF(COUNTBLANK('RNEW import'!D906)=1,"",'RNEW import'!D906)</f>
        <v>Nepi Ten Development Solutions  SRL</v>
      </c>
      <c r="C908" s="211" t="str">
        <f>IF(COUNTBLANK('RNEW import'!E906)=1,"",'RNEW import'!E906)</f>
        <v>RN10_Alexandria</v>
      </c>
      <c r="D908" s="211" t="str">
        <f>IF(COUNTBLANK('RNEW import'!K906)=1,"",'RNEW import'!K906)</f>
        <v>Tarife distributie en. El JT</v>
      </c>
      <c r="E908" s="211">
        <f>IF(COUNTBLANK('RNEW import'!L906)=1,"",'RNEW import'!N906)</f>
        <v>0</v>
      </c>
      <c r="F908" s="211">
        <f>IF(COUNTBLANK('RNEW import'!M906)=1,"",'RNEW import'!O906/10000)</f>
        <v>0.22738999999999995</v>
      </c>
      <c r="G908" s="217">
        <f t="shared" si="240"/>
        <v>0</v>
      </c>
      <c r="H908" s="217">
        <f t="shared" si="248"/>
        <v>0</v>
      </c>
      <c r="I908" s="329">
        <f t="shared" si="241"/>
        <v>0</v>
      </c>
      <c r="J908" s="263" t="str">
        <f t="shared" si="243"/>
        <v/>
      </c>
      <c r="K908" s="238" t="str">
        <f t="shared" si="244"/>
        <v/>
      </c>
      <c r="L908" s="238" t="str">
        <f t="shared" si="245"/>
        <v/>
      </c>
      <c r="M908" s="238" t="str">
        <f t="shared" si="246"/>
        <v/>
      </c>
      <c r="N908" s="238" t="str">
        <f t="shared" si="247"/>
        <v/>
      </c>
      <c r="O908" s="232" t="str">
        <f t="shared" si="242"/>
        <v/>
      </c>
      <c r="P908" s="219" t="str">
        <f t="shared" si="249"/>
        <v/>
      </c>
      <c r="Q908" s="219" t="str">
        <f t="shared" si="250"/>
        <v/>
      </c>
      <c r="R908" s="219" t="str">
        <f t="shared" si="251"/>
        <v/>
      </c>
      <c r="S908" s="330" t="str">
        <f t="shared" si="237"/>
        <v/>
      </c>
      <c r="T908" s="330" t="str">
        <f t="shared" si="238"/>
        <v/>
      </c>
      <c r="U908" s="330" t="str">
        <f t="shared" si="239"/>
        <v/>
      </c>
    </row>
    <row r="909" spans="1:21">
      <c r="A909" s="211">
        <f>IF(COUNTBLANK('RNEW import'!B907)=1,"",'RNEW import'!B907)</f>
        <v>6</v>
      </c>
      <c r="B909" s="211" t="str">
        <f>IF(COUNTBLANK('RNEW import'!D907)=1,"",'RNEW import'!D907)</f>
        <v>Nepi Ten Development Solutions  SRL</v>
      </c>
      <c r="C909" s="211" t="str">
        <f>IF(COUNTBLANK('RNEW import'!E907)=1,"",'RNEW import'!E907)</f>
        <v>RN10_Alexandria</v>
      </c>
      <c r="D909" s="211" t="str">
        <f>IF(COUNTBLANK('RNEW import'!K907)=1,"",'RNEW import'!K907)</f>
        <v xml:space="preserve">Servicii Sistem </v>
      </c>
      <c r="E909" s="211">
        <f>IF(COUNTBLANK('RNEW import'!L907)=1,"",'RNEW import'!N907)</f>
        <v>4793</v>
      </c>
      <c r="F909" s="211">
        <f>IF(COUNTBLANK('RNEW import'!M907)=1,"",'RNEW import'!O907/10000)</f>
        <v>1.1509999999999999E-2</v>
      </c>
      <c r="G909" s="217">
        <f t="shared" si="240"/>
        <v>55.17</v>
      </c>
      <c r="H909" s="217">
        <f t="shared" si="248"/>
        <v>10.48</v>
      </c>
      <c r="I909" s="329">
        <f t="shared" si="241"/>
        <v>65.650000000000006</v>
      </c>
      <c r="J909" s="263" t="str">
        <f t="shared" si="243"/>
        <v/>
      </c>
      <c r="K909" s="238" t="str">
        <f t="shared" si="244"/>
        <v/>
      </c>
      <c r="L909" s="238" t="str">
        <f t="shared" si="245"/>
        <v/>
      </c>
      <c r="M909" s="238" t="str">
        <f t="shared" si="246"/>
        <v/>
      </c>
      <c r="N909" s="238" t="str">
        <f t="shared" si="247"/>
        <v/>
      </c>
      <c r="O909" s="232" t="str">
        <f t="shared" si="242"/>
        <v/>
      </c>
      <c r="P909" s="219" t="str">
        <f t="shared" si="249"/>
        <v/>
      </c>
      <c r="Q909" s="219" t="str">
        <f t="shared" si="250"/>
        <v/>
      </c>
      <c r="R909" s="219" t="str">
        <f t="shared" si="251"/>
        <v/>
      </c>
      <c r="S909" s="330" t="str">
        <f t="shared" si="237"/>
        <v/>
      </c>
      <c r="T909" s="330" t="str">
        <f t="shared" si="238"/>
        <v/>
      </c>
      <c r="U909" s="330" t="str">
        <f t="shared" si="239"/>
        <v/>
      </c>
    </row>
    <row r="910" spans="1:21">
      <c r="A910" s="211">
        <f>IF(COUNTBLANK('RNEW import'!B908)=1,"",'RNEW import'!B908)</f>
        <v>7</v>
      </c>
      <c r="B910" s="211" t="str">
        <f>IF(COUNTBLANK('RNEW import'!D908)=1,"",'RNEW import'!D908)</f>
        <v>Nepi Ten Development Solutions  SRL</v>
      </c>
      <c r="C910" s="211" t="str">
        <f>IF(COUNTBLANK('RNEW import'!E908)=1,"",'RNEW import'!E908)</f>
        <v>RN10_Alexandria</v>
      </c>
      <c r="D910" s="211" t="str">
        <f>IF(COUNTBLANK('RNEW import'!K908)=1,"",'RNEW import'!K908)</f>
        <v>Tarif de introducere en. el in retea (TL)</v>
      </c>
      <c r="E910" s="211">
        <f>IF(COUNTBLANK('RNEW import'!L908)=1,"",'RNEW import'!N908)</f>
        <v>4793</v>
      </c>
      <c r="F910" s="211">
        <f>IF(COUNTBLANK('RNEW import'!M908)=1,"",'RNEW import'!O908/10000)</f>
        <v>3.3030000000000004E-2</v>
      </c>
      <c r="G910" s="217">
        <f t="shared" si="240"/>
        <v>158.31</v>
      </c>
      <c r="H910" s="217">
        <f t="shared" si="248"/>
        <v>30.08</v>
      </c>
      <c r="I910" s="329">
        <f t="shared" si="241"/>
        <v>188.39</v>
      </c>
      <c r="J910" s="263" t="str">
        <f t="shared" si="243"/>
        <v/>
      </c>
      <c r="K910" s="238" t="str">
        <f t="shared" si="244"/>
        <v/>
      </c>
      <c r="L910" s="238" t="str">
        <f t="shared" si="245"/>
        <v/>
      </c>
      <c r="M910" s="238" t="str">
        <f t="shared" si="246"/>
        <v/>
      </c>
      <c r="N910" s="238" t="str">
        <f t="shared" si="247"/>
        <v/>
      </c>
      <c r="O910" s="232" t="str">
        <f t="shared" si="242"/>
        <v/>
      </c>
      <c r="P910" s="219" t="str">
        <f t="shared" si="249"/>
        <v/>
      </c>
      <c r="Q910" s="219" t="str">
        <f t="shared" si="250"/>
        <v/>
      </c>
      <c r="R910" s="219" t="str">
        <f t="shared" si="251"/>
        <v/>
      </c>
      <c r="S910" s="330" t="str">
        <f t="shared" si="237"/>
        <v/>
      </c>
      <c r="T910" s="330" t="str">
        <f t="shared" si="238"/>
        <v/>
      </c>
      <c r="U910" s="330" t="str">
        <f t="shared" si="239"/>
        <v/>
      </c>
    </row>
    <row r="911" spans="1:21">
      <c r="A911" s="211">
        <f>IF(COUNTBLANK('RNEW import'!B909)=1,"",'RNEW import'!B909)</f>
        <v>8</v>
      </c>
      <c r="B911" s="211" t="str">
        <f>IF(COUNTBLANK('RNEW import'!D909)=1,"",'RNEW import'!D909)</f>
        <v>Nepi Ten Development Solutions  SRL</v>
      </c>
      <c r="C911" s="211" t="str">
        <f>IF(COUNTBLANK('RNEW import'!E909)=1,"",'RNEW import'!E909)</f>
        <v>RN10_Alexandria</v>
      </c>
      <c r="D911" s="211" t="str">
        <f>IF(COUNTBLANK('RNEW import'!K909)=1,"",'RNEW import'!K909)</f>
        <v>Tarif de introducere en.el in retea (TG)</v>
      </c>
      <c r="E911" s="211">
        <f>IF(COUNTBLANK('RNEW import'!L909)=1,"",'RNEW import'!N909)</f>
        <v>4793</v>
      </c>
      <c r="F911" s="211">
        <f>IF(COUNTBLANK('RNEW import'!M909)=1,"",'RNEW import'!O909/10000)</f>
        <v>3.29E-3</v>
      </c>
      <c r="G911" s="217">
        <f t="shared" si="240"/>
        <v>15.77</v>
      </c>
      <c r="H911" s="217">
        <f t="shared" si="248"/>
        <v>3</v>
      </c>
      <c r="I911" s="329">
        <f t="shared" si="241"/>
        <v>18.77</v>
      </c>
      <c r="J911" s="263" t="str">
        <f t="shared" si="243"/>
        <v/>
      </c>
      <c r="K911" s="238" t="str">
        <f t="shared" si="244"/>
        <v/>
      </c>
      <c r="L911" s="238" t="str">
        <f t="shared" si="245"/>
        <v/>
      </c>
      <c r="M911" s="238" t="str">
        <f t="shared" si="246"/>
        <v/>
      </c>
      <c r="N911" s="238" t="str">
        <f t="shared" si="247"/>
        <v/>
      </c>
      <c r="O911" s="232" t="str">
        <f t="shared" si="242"/>
        <v/>
      </c>
      <c r="P911" s="219" t="str">
        <f t="shared" si="249"/>
        <v/>
      </c>
      <c r="Q911" s="219" t="str">
        <f t="shared" si="250"/>
        <v/>
      </c>
      <c r="R911" s="219" t="str">
        <f t="shared" si="251"/>
        <v/>
      </c>
      <c r="S911" s="330" t="str">
        <f t="shared" si="237"/>
        <v/>
      </c>
      <c r="T911" s="330" t="str">
        <f t="shared" si="238"/>
        <v/>
      </c>
      <c r="U911" s="330" t="str">
        <f t="shared" si="239"/>
        <v/>
      </c>
    </row>
    <row r="912" spans="1:21">
      <c r="A912" s="211">
        <f>IF(COUNTBLANK('RNEW import'!B910)=1,"",'RNEW import'!B910)</f>
        <v>9</v>
      </c>
      <c r="B912" s="211" t="str">
        <f>IF(COUNTBLANK('RNEW import'!D910)=1,"",'RNEW import'!D910)</f>
        <v>Nepi Ten Development Solutions  SRL</v>
      </c>
      <c r="C912" s="211" t="str">
        <f>IF(COUNTBLANK('RNEW import'!E910)=1,"",'RNEW import'!E910)</f>
        <v>RN10_Alexandria</v>
      </c>
      <c r="D912" s="211" t="str">
        <f>IF(COUNTBLANK('RNEW import'!K910)=1,"",'RNEW import'!K910)</f>
        <v>Contributie pentru cogenerare</v>
      </c>
      <c r="E912" s="211">
        <f>IF(COUNTBLANK('RNEW import'!L910)=1,"",'RNEW import'!N910)</f>
        <v>4793</v>
      </c>
      <c r="F912" s="211">
        <f>IF(COUNTBLANK('RNEW import'!M910)=1,"",'RNEW import'!O910/10000)</f>
        <v>3.5000000000000001E-3</v>
      </c>
      <c r="G912" s="217">
        <f t="shared" si="240"/>
        <v>16.78</v>
      </c>
      <c r="H912" s="217">
        <f t="shared" si="248"/>
        <v>3.19</v>
      </c>
      <c r="I912" s="329">
        <f t="shared" si="241"/>
        <v>19.970000000000002</v>
      </c>
      <c r="J912" s="263" t="str">
        <f t="shared" si="243"/>
        <v/>
      </c>
      <c r="K912" s="238" t="str">
        <f t="shared" si="244"/>
        <v/>
      </c>
      <c r="L912" s="238" t="str">
        <f t="shared" si="245"/>
        <v/>
      </c>
      <c r="M912" s="238" t="str">
        <f t="shared" si="246"/>
        <v/>
      </c>
      <c r="N912" s="238" t="str">
        <f t="shared" si="247"/>
        <v/>
      </c>
      <c r="O912" s="232" t="str">
        <f t="shared" si="242"/>
        <v/>
      </c>
      <c r="P912" s="219" t="str">
        <f t="shared" si="249"/>
        <v/>
      </c>
      <c r="Q912" s="219" t="str">
        <f t="shared" si="250"/>
        <v/>
      </c>
      <c r="R912" s="219" t="str">
        <f t="shared" si="251"/>
        <v/>
      </c>
      <c r="S912" s="330" t="str">
        <f t="shared" si="237"/>
        <v/>
      </c>
      <c r="T912" s="330" t="str">
        <f t="shared" si="238"/>
        <v/>
      </c>
      <c r="U912" s="330" t="str">
        <f t="shared" si="239"/>
        <v/>
      </c>
    </row>
    <row r="913" spans="1:21">
      <c r="A913" s="211">
        <f>IF(COUNTBLANK('RNEW import'!B911)=1,"",'RNEW import'!B911)</f>
        <v>10</v>
      </c>
      <c r="B913" s="211" t="str">
        <f>IF(COUNTBLANK('RNEW import'!D911)=1,"",'RNEW import'!D911)</f>
        <v>Nepi Ten Development Solutions  SRL</v>
      </c>
      <c r="C913" s="211" t="str">
        <f>IF(COUNTBLANK('RNEW import'!E911)=1,"",'RNEW import'!E911)</f>
        <v>RN10_Alexandria</v>
      </c>
      <c r="D913" s="211" t="str">
        <f>IF(COUNTBLANK('RNEW import'!K911)=1,"",'RNEW import'!K911)</f>
        <v xml:space="preserve">Certificate verzi </v>
      </c>
      <c r="E913" s="211">
        <f>IF(COUNTBLANK('RNEW import'!L911)=1,"",'RNEW import'!N911)</f>
        <v>4793</v>
      </c>
      <c r="F913" s="211">
        <f>IF(COUNTBLANK('RNEW import'!M911)=1,"",'RNEW import'!O911/10000)</f>
        <v>7.2541599999999998E-2</v>
      </c>
      <c r="G913" s="217">
        <f t="shared" si="240"/>
        <v>347.69</v>
      </c>
      <c r="H913" s="217">
        <f t="shared" si="248"/>
        <v>66.06</v>
      </c>
      <c r="I913" s="329">
        <f t="shared" si="241"/>
        <v>413.75</v>
      </c>
      <c r="J913" s="263" t="str">
        <f t="shared" si="243"/>
        <v/>
      </c>
      <c r="K913" s="238" t="str">
        <f t="shared" si="244"/>
        <v/>
      </c>
      <c r="L913" s="238" t="str">
        <f t="shared" si="245"/>
        <v/>
      </c>
      <c r="M913" s="238" t="str">
        <f t="shared" si="246"/>
        <v/>
      </c>
      <c r="N913" s="238" t="str">
        <f t="shared" si="247"/>
        <v/>
      </c>
      <c r="O913" s="232" t="str">
        <f t="shared" si="242"/>
        <v/>
      </c>
      <c r="P913" s="219" t="str">
        <f t="shared" si="249"/>
        <v/>
      </c>
      <c r="Q913" s="219" t="str">
        <f t="shared" si="250"/>
        <v/>
      </c>
      <c r="R913" s="219" t="str">
        <f t="shared" si="251"/>
        <v/>
      </c>
      <c r="S913" s="330" t="str">
        <f t="shared" si="237"/>
        <v/>
      </c>
      <c r="T913" s="330" t="str">
        <f t="shared" si="238"/>
        <v/>
      </c>
      <c r="U913" s="330" t="str">
        <f t="shared" si="239"/>
        <v/>
      </c>
    </row>
    <row r="914" spans="1:21">
      <c r="A914" s="211">
        <f>IF(COUNTBLANK('RNEW import'!B912)=1,"",'RNEW import'!B912)</f>
        <v>11</v>
      </c>
      <c r="B914" s="211" t="str">
        <f>IF(COUNTBLANK('RNEW import'!D912)=1,"",'RNEW import'!D912)</f>
        <v>Nepi Ten Development Solutions  SRL</v>
      </c>
      <c r="C914" s="211" t="str">
        <f>IF(COUNTBLANK('RNEW import'!E912)=1,"",'RNEW import'!E912)</f>
        <v>RN10_Alexandria</v>
      </c>
      <c r="D914" s="211" t="str">
        <f>IF(COUNTBLANK('RNEW import'!K912)=1,"",'RNEW import'!K912)</f>
        <v>Contributie CFD</v>
      </c>
      <c r="E914" s="211">
        <f>IF(COUNTBLANK('RNEW import'!L912)=1,"",'RNEW import'!N912)</f>
        <v>4793</v>
      </c>
      <c r="F914" s="211">
        <f>IF(COUNTBLANK('RNEW import'!M912)=1,"",'RNEW import'!O912/10000)</f>
        <v>2.0599999999999999E-4</v>
      </c>
      <c r="G914" s="217">
        <f t="shared" si="240"/>
        <v>0.99</v>
      </c>
      <c r="H914" s="217">
        <f t="shared" si="248"/>
        <v>0.19</v>
      </c>
      <c r="I914" s="329">
        <f t="shared" si="241"/>
        <v>1.18</v>
      </c>
      <c r="J914" s="263" t="str">
        <f t="shared" si="243"/>
        <v/>
      </c>
      <c r="K914" s="238" t="str">
        <f t="shared" si="244"/>
        <v/>
      </c>
      <c r="L914" s="238" t="str">
        <f t="shared" si="245"/>
        <v/>
      </c>
      <c r="M914" s="238" t="str">
        <f t="shared" si="246"/>
        <v/>
      </c>
      <c r="N914" s="238" t="str">
        <f t="shared" si="247"/>
        <v/>
      </c>
      <c r="O914" s="232" t="str">
        <f t="shared" si="242"/>
        <v/>
      </c>
      <c r="P914" s="219" t="str">
        <f t="shared" si="249"/>
        <v/>
      </c>
      <c r="Q914" s="219" t="str">
        <f t="shared" si="250"/>
        <v/>
      </c>
      <c r="R914" s="219" t="str">
        <f t="shared" si="251"/>
        <v/>
      </c>
      <c r="S914" s="330" t="str">
        <f t="shared" si="237"/>
        <v/>
      </c>
      <c r="T914" s="330" t="str">
        <f t="shared" si="238"/>
        <v/>
      </c>
      <c r="U914" s="330" t="str">
        <f t="shared" si="239"/>
        <v/>
      </c>
    </row>
    <row r="915" spans="1:21">
      <c r="A915" s="211">
        <f>IF(COUNTBLANK('RNEW import'!B913)=1,"",'RNEW import'!B913)</f>
        <v>12</v>
      </c>
      <c r="B915" s="211" t="str">
        <f>IF(COUNTBLANK('RNEW import'!D913)=1,"",'RNEW import'!D913)</f>
        <v>Nepi Ten Development Solutions  SRL</v>
      </c>
      <c r="C915" s="211" t="str">
        <f>IF(COUNTBLANK('RNEW import'!E913)=1,"",'RNEW import'!E913)</f>
        <v>RN10_Alexandria</v>
      </c>
      <c r="D915" s="211" t="str">
        <f>IF(COUNTBLANK('RNEW import'!K913)=1,"",'RNEW import'!K913)</f>
        <v>Acciza</v>
      </c>
      <c r="E915" s="211">
        <f>IF(COUNTBLANK('RNEW import'!L913)=1,"",'RNEW import'!N913)</f>
        <v>4793</v>
      </c>
      <c r="F915" s="211">
        <f>IF(COUNTBLANK('RNEW import'!M913)=1,"",'RNEW import'!O913/10000)</f>
        <v>0</v>
      </c>
      <c r="G915" s="217">
        <f t="shared" si="240"/>
        <v>0</v>
      </c>
      <c r="H915" s="217">
        <f t="shared" si="248"/>
        <v>0</v>
      </c>
      <c r="I915" s="329">
        <f t="shared" si="241"/>
        <v>0</v>
      </c>
      <c r="J915" s="263" t="str">
        <f t="shared" si="243"/>
        <v/>
      </c>
      <c r="K915" s="238" t="str">
        <f t="shared" si="244"/>
        <v/>
      </c>
      <c r="L915" s="238" t="str">
        <f t="shared" si="245"/>
        <v/>
      </c>
      <c r="M915" s="238" t="str">
        <f t="shared" si="246"/>
        <v/>
      </c>
      <c r="N915" s="238" t="str">
        <f t="shared" si="247"/>
        <v/>
      </c>
      <c r="O915" s="232" t="str">
        <f t="shared" si="242"/>
        <v/>
      </c>
      <c r="P915" s="219" t="str">
        <f t="shared" si="249"/>
        <v/>
      </c>
      <c r="Q915" s="219" t="str">
        <f t="shared" si="250"/>
        <v/>
      </c>
      <c r="R915" s="219" t="str">
        <f t="shared" si="251"/>
        <v/>
      </c>
      <c r="S915" s="330" t="str">
        <f t="shared" si="237"/>
        <v/>
      </c>
      <c r="T915" s="330" t="str">
        <f t="shared" si="238"/>
        <v/>
      </c>
      <c r="U915" s="330" t="str">
        <f t="shared" si="239"/>
        <v/>
      </c>
    </row>
    <row r="916" spans="1:21">
      <c r="A916" s="211">
        <f>IF(COUNTBLANK('RNEW import'!B914)=1,"",'RNEW import'!B914)</f>
        <v>13</v>
      </c>
      <c r="B916" s="211" t="str">
        <f>IF(COUNTBLANK('RNEW import'!D914)=1,"",'RNEW import'!D914)</f>
        <v>Nepi Ten Development Solutions  SRL</v>
      </c>
      <c r="C916" s="211" t="str">
        <f>IF(COUNTBLANK('RNEW import'!E914)=1,"",'RNEW import'!E914)</f>
        <v>RN10_Alexandria</v>
      </c>
      <c r="D916" s="211" t="str">
        <f>IF(COUNTBLANK('RNEW import'!K914)=1,"",'RNEW import'!K914)</f>
        <v>Tarif distributie SDI MT</v>
      </c>
      <c r="E916" s="211">
        <f>IF(COUNTBLANK('RNEW import'!L914)=1,"",'RNEW import'!N914)</f>
        <v>4793</v>
      </c>
      <c r="F916" s="211">
        <f>IF(COUNTBLANK('RNEW import'!M914)=1,"",'RNEW import'!O914/10000)</f>
        <v>1.7000000000000001E-2</v>
      </c>
      <c r="G916" s="217">
        <f t="shared" si="240"/>
        <v>81.48</v>
      </c>
      <c r="H916" s="217">
        <f t="shared" si="248"/>
        <v>15.48</v>
      </c>
      <c r="I916" s="329">
        <f t="shared" si="241"/>
        <v>96.960000000000008</v>
      </c>
      <c r="J916" s="263" t="str">
        <f t="shared" si="243"/>
        <v/>
      </c>
      <c r="K916" s="238" t="str">
        <f t="shared" si="244"/>
        <v/>
      </c>
      <c r="L916" s="238" t="str">
        <f t="shared" si="245"/>
        <v/>
      </c>
      <c r="M916" s="238" t="str">
        <f t="shared" si="246"/>
        <v/>
      </c>
      <c r="N916" s="238" t="str">
        <f t="shared" si="247"/>
        <v/>
      </c>
      <c r="O916" s="232" t="str">
        <f t="shared" si="242"/>
        <v/>
      </c>
      <c r="P916" s="219" t="str">
        <f t="shared" si="249"/>
        <v/>
      </c>
      <c r="Q916" s="219" t="str">
        <f t="shared" si="250"/>
        <v/>
      </c>
      <c r="R916" s="219" t="str">
        <f t="shared" si="251"/>
        <v/>
      </c>
      <c r="S916" s="330" t="str">
        <f t="shared" si="237"/>
        <v/>
      </c>
      <c r="T916" s="330" t="str">
        <f t="shared" si="238"/>
        <v/>
      </c>
      <c r="U916" s="330" t="str">
        <f t="shared" si="239"/>
        <v/>
      </c>
    </row>
    <row r="917" spans="1:21">
      <c r="A917" s="211">
        <f>IF(COUNTBLANK('RNEW import'!B915)=1,"",'RNEW import'!B915)</f>
        <v>14</v>
      </c>
      <c r="B917" s="211" t="str">
        <f>IF(COUNTBLANK('RNEW import'!D915)=1,"",'RNEW import'!D915)</f>
        <v>Nepi Ten Development Solutions  SRL</v>
      </c>
      <c r="C917" s="211" t="str">
        <f>IF(COUNTBLANK('RNEW import'!E915)=1,"",'RNEW import'!E915)</f>
        <v>RN10_Alexandria</v>
      </c>
      <c r="D917" s="211" t="str">
        <f>IF(COUNTBLANK('RNEW import'!K915)=1,"",'RNEW import'!K915)</f>
        <v>Tarif distributie SDI JT</v>
      </c>
      <c r="E917" s="211">
        <f>IF(COUNTBLANK('RNEW import'!L915)=1,"",'RNEW import'!N915)</f>
        <v>4793</v>
      </c>
      <c r="F917" s="211">
        <f>IF(COUNTBLANK('RNEW import'!M915)=1,"",'RNEW import'!O915/10000)</f>
        <v>0.10290000000000001</v>
      </c>
      <c r="G917" s="217">
        <f t="shared" si="240"/>
        <v>493.2</v>
      </c>
      <c r="H917" s="217">
        <f t="shared" si="248"/>
        <v>93.71</v>
      </c>
      <c r="I917" s="329">
        <f t="shared" si="241"/>
        <v>586.91</v>
      </c>
      <c r="J917" s="263" t="str">
        <f t="shared" si="243"/>
        <v/>
      </c>
      <c r="K917" s="238" t="str">
        <f t="shared" si="244"/>
        <v/>
      </c>
      <c r="L917" s="238" t="str">
        <f t="shared" si="245"/>
        <v/>
      </c>
      <c r="M917" s="238" t="str">
        <f t="shared" si="246"/>
        <v/>
      </c>
      <c r="N917" s="238" t="str">
        <f t="shared" si="247"/>
        <v/>
      </c>
      <c r="O917" s="232" t="str">
        <f t="shared" si="242"/>
        <v/>
      </c>
      <c r="P917" s="219" t="str">
        <f t="shared" si="249"/>
        <v/>
      </c>
      <c r="Q917" s="219" t="str">
        <f t="shared" si="250"/>
        <v/>
      </c>
      <c r="R917" s="219" t="str">
        <f t="shared" si="251"/>
        <v/>
      </c>
      <c r="S917" s="330" t="str">
        <f t="shared" si="237"/>
        <v/>
      </c>
      <c r="T917" s="330" t="str">
        <f t="shared" si="238"/>
        <v/>
      </c>
      <c r="U917" s="330" t="str">
        <f t="shared" si="239"/>
        <v/>
      </c>
    </row>
    <row r="918" spans="1:21">
      <c r="A918" s="211">
        <f>IF(COUNTBLANK('RNEW import'!B916)=1,"",'RNEW import'!B916)</f>
        <v>15</v>
      </c>
      <c r="B918" s="211" t="str">
        <f>IF(COUNTBLANK('RNEW import'!D916)=1,"",'RNEW import'!D916)</f>
        <v>Nepi Ten Development Solutions  SRL</v>
      </c>
      <c r="C918" s="211" t="str">
        <f>IF(COUNTBLANK('RNEW import'!E916)=1,"",'RNEW import'!E916)</f>
        <v>RN10_Alexandria</v>
      </c>
      <c r="D918" s="211" t="str">
        <f>IF(COUNTBLANK('RNEW import'!K916)=1,"",'RNEW import'!K916)</f>
        <v>Energie activa 2</v>
      </c>
      <c r="E918" s="211">
        <f>IF(COUNTBLANK('RNEW import'!L916)=1,"",'RNEW import'!N916)</f>
        <v>3692</v>
      </c>
      <c r="F918" s="211">
        <f>IF(COUNTBLANK('RNEW import'!M916)=1,"",'RNEW import'!O916/10000)</f>
        <v>0.97511759999999992</v>
      </c>
      <c r="G918" s="217">
        <f t="shared" si="240"/>
        <v>3600.13</v>
      </c>
      <c r="H918" s="217">
        <f t="shared" si="248"/>
        <v>684.02</v>
      </c>
      <c r="I918" s="329">
        <f t="shared" si="241"/>
        <v>4284.1499999999996</v>
      </c>
      <c r="J918" s="263" t="str">
        <f t="shared" si="243"/>
        <v/>
      </c>
      <c r="K918" s="238" t="str">
        <f t="shared" si="244"/>
        <v/>
      </c>
      <c r="L918" s="238" t="str">
        <f t="shared" si="245"/>
        <v/>
      </c>
      <c r="M918" s="238" t="str">
        <f t="shared" si="246"/>
        <v/>
      </c>
      <c r="N918" s="238" t="str">
        <f t="shared" si="247"/>
        <v/>
      </c>
      <c r="O918" s="232" t="str">
        <f t="shared" si="242"/>
        <v/>
      </c>
      <c r="P918" s="219" t="str">
        <f t="shared" si="249"/>
        <v/>
      </c>
      <c r="Q918" s="219" t="str">
        <f t="shared" si="250"/>
        <v/>
      </c>
      <c r="R918" s="219" t="str">
        <f t="shared" si="251"/>
        <v/>
      </c>
      <c r="S918" s="330" t="str">
        <f t="shared" si="237"/>
        <v/>
      </c>
      <c r="T918" s="330" t="str">
        <f t="shared" si="238"/>
        <v/>
      </c>
      <c r="U918" s="330" t="str">
        <f t="shared" si="239"/>
        <v/>
      </c>
    </row>
    <row r="919" spans="1:21">
      <c r="A919" s="211">
        <f>IF(COUNTBLANK('RNEW import'!B917)=1,"",'RNEW import'!B917)</f>
        <v>16</v>
      </c>
      <c r="B919" s="211" t="str">
        <f>IF(COUNTBLANK('RNEW import'!D917)=1,"",'RNEW import'!D917)</f>
        <v>Nepi Ten Development Solutions  SRL</v>
      </c>
      <c r="C919" s="211" t="str">
        <f>IF(COUNTBLANK('RNEW import'!E917)=1,"",'RNEW import'!E917)</f>
        <v>RN10_Alexandria</v>
      </c>
      <c r="D919" s="211" t="str">
        <f>IF(COUNTBLANK('RNEW import'!K917)=1,"",'RNEW import'!K917)</f>
        <v>Energie activa 3</v>
      </c>
      <c r="E919" s="211">
        <f>IF(COUNTBLANK('RNEW import'!L917)=1,"",'RNEW import'!N917)</f>
        <v>0</v>
      </c>
      <c r="F919" s="211">
        <f>IF(COUNTBLANK('RNEW import'!M917)=1,"",'RNEW import'!O917/10000)</f>
        <v>0.85521759999999991</v>
      </c>
      <c r="G919" s="217">
        <f t="shared" si="240"/>
        <v>0</v>
      </c>
      <c r="H919" s="217">
        <f t="shared" si="248"/>
        <v>0</v>
      </c>
      <c r="I919" s="329">
        <f t="shared" si="241"/>
        <v>0</v>
      </c>
      <c r="J919" s="263" t="str">
        <f t="shared" si="243"/>
        <v/>
      </c>
      <c r="K919" s="238" t="str">
        <f t="shared" si="244"/>
        <v/>
      </c>
      <c r="L919" s="238" t="str">
        <f t="shared" si="245"/>
        <v/>
      </c>
      <c r="M919" s="238" t="str">
        <f t="shared" si="246"/>
        <v/>
      </c>
      <c r="N919" s="238" t="str">
        <f t="shared" si="247"/>
        <v/>
      </c>
      <c r="O919" s="232" t="str">
        <f t="shared" si="242"/>
        <v/>
      </c>
      <c r="P919" s="219" t="str">
        <f t="shared" si="249"/>
        <v/>
      </c>
      <c r="Q919" s="219" t="str">
        <f t="shared" si="250"/>
        <v/>
      </c>
      <c r="R919" s="219" t="str">
        <f t="shared" si="251"/>
        <v/>
      </c>
      <c r="S919" s="330" t="str">
        <f t="shared" si="237"/>
        <v/>
      </c>
      <c r="T919" s="330" t="str">
        <f t="shared" si="238"/>
        <v/>
      </c>
      <c r="U919" s="330" t="str">
        <f t="shared" si="239"/>
        <v/>
      </c>
    </row>
    <row r="920" spans="1:21">
      <c r="A920" s="211">
        <f>IF(COUNTBLANK('RNEW import'!B918)=1,"",'RNEW import'!B918)</f>
        <v>17</v>
      </c>
      <c r="B920" s="211" t="str">
        <f>IF(COUNTBLANK('RNEW import'!D918)=1,"",'RNEW import'!D918)</f>
        <v>Nepi Ten Development Solutions  SRL</v>
      </c>
      <c r="C920" s="211" t="str">
        <f>IF(COUNTBLANK('RNEW import'!E918)=1,"",'RNEW import'!E918)</f>
        <v>RN10_Alexandria</v>
      </c>
      <c r="D920" s="211" t="str">
        <f>IF(COUNTBLANK('RNEW import'!K918)=1,"",'RNEW import'!K918)</f>
        <v>Tarif distributie SDI MT_</v>
      </c>
      <c r="E920" s="211">
        <f>IF(COUNTBLANK('RNEW import'!L918)=1,"",'RNEW import'!N918)</f>
        <v>0</v>
      </c>
      <c r="F920" s="211">
        <f>IF(COUNTBLANK('RNEW import'!M918)=1,"",'RNEW import'!O918/10000)</f>
        <v>1.7000000000000001E-2</v>
      </c>
      <c r="G920" s="217">
        <f t="shared" si="240"/>
        <v>0</v>
      </c>
      <c r="H920" s="217">
        <f t="shared" si="248"/>
        <v>0</v>
      </c>
      <c r="I920" s="329">
        <f t="shared" si="241"/>
        <v>0</v>
      </c>
      <c r="J920" s="263" t="str">
        <f t="shared" si="243"/>
        <v/>
      </c>
      <c r="K920" s="238" t="str">
        <f t="shared" si="244"/>
        <v/>
      </c>
      <c r="L920" s="238" t="str">
        <f t="shared" si="245"/>
        <v/>
      </c>
      <c r="M920" s="238" t="str">
        <f t="shared" si="246"/>
        <v/>
      </c>
      <c r="N920" s="238" t="str">
        <f t="shared" si="247"/>
        <v/>
      </c>
      <c r="O920" s="232" t="str">
        <f t="shared" si="242"/>
        <v/>
      </c>
      <c r="P920" s="219" t="str">
        <f t="shared" si="249"/>
        <v/>
      </c>
      <c r="Q920" s="219" t="str">
        <f t="shared" si="250"/>
        <v/>
      </c>
      <c r="R920" s="219" t="str">
        <f t="shared" si="251"/>
        <v/>
      </c>
      <c r="S920" s="330" t="str">
        <f t="shared" si="237"/>
        <v/>
      </c>
      <c r="T920" s="330" t="str">
        <f t="shared" si="238"/>
        <v/>
      </c>
      <c r="U920" s="330" t="str">
        <f t="shared" si="239"/>
        <v/>
      </c>
    </row>
    <row r="921" spans="1:21">
      <c r="A921" s="211">
        <f>IF(COUNTBLANK('RNEW import'!B919)=1,"",'RNEW import'!B919)</f>
        <v>18</v>
      </c>
      <c r="B921" s="211" t="str">
        <f>IF(COUNTBLANK('RNEW import'!D919)=1,"",'RNEW import'!D919)</f>
        <v>Nepi Ten Development Solutions  SRL</v>
      </c>
      <c r="C921" s="211" t="str">
        <f>IF(COUNTBLANK('RNEW import'!E919)=1,"",'RNEW import'!E919)</f>
        <v>RN10_Alexandria</v>
      </c>
      <c r="D921" s="211" t="str">
        <f>IF(COUNTBLANK('RNEW import'!K919)=1,"",'RNEW import'!K919)</f>
        <v>Tarif distributie SDI JT_</v>
      </c>
      <c r="E921" s="211">
        <f>IF(COUNTBLANK('RNEW import'!L919)=1,"",'RNEW import'!N919)</f>
        <v>0</v>
      </c>
      <c r="F921" s="211">
        <f>IF(COUNTBLANK('RNEW import'!M919)=1,"",'RNEW import'!O919/10000)</f>
        <v>0.10290000000000001</v>
      </c>
      <c r="G921" s="217">
        <f t="shared" si="240"/>
        <v>0</v>
      </c>
      <c r="H921" s="217">
        <f t="shared" si="248"/>
        <v>0</v>
      </c>
      <c r="I921" s="329">
        <f t="shared" si="241"/>
        <v>0</v>
      </c>
      <c r="J921" s="263" t="str">
        <f t="shared" si="243"/>
        <v/>
      </c>
      <c r="K921" s="238" t="str">
        <f t="shared" si="244"/>
        <v/>
      </c>
      <c r="L921" s="238" t="str">
        <f t="shared" si="245"/>
        <v/>
      </c>
      <c r="M921" s="238" t="str">
        <f t="shared" si="246"/>
        <v/>
      </c>
      <c r="N921" s="238" t="str">
        <f t="shared" si="247"/>
        <v/>
      </c>
      <c r="O921" s="233" t="str">
        <f t="shared" si="242"/>
        <v/>
      </c>
      <c r="P921" s="219" t="str">
        <f t="shared" si="249"/>
        <v>Energie consumata din PV</v>
      </c>
      <c r="Q921" s="219">
        <f t="shared" si="250"/>
        <v>3692</v>
      </c>
      <c r="R921" s="219">
        <f t="shared" si="251"/>
        <v>0.97511599999999998</v>
      </c>
      <c r="S921" s="330">
        <f t="shared" si="237"/>
        <v>3600.13</v>
      </c>
      <c r="T921" s="330">
        <f t="shared" si="238"/>
        <v>684.02</v>
      </c>
      <c r="U921" s="330">
        <f t="shared" si="239"/>
        <v>4284.1499999999996</v>
      </c>
    </row>
    <row r="922" spans="1:21">
      <c r="A922" s="211">
        <f>IF(COUNTBLANK('RNEW import'!B920)=1,"",'RNEW import'!B920)</f>
        <v>19</v>
      </c>
      <c r="B922" s="211" t="str">
        <f>IF(COUNTBLANK('RNEW import'!D920)=1,"",'RNEW import'!D920)</f>
        <v>Nepi Ten Development Solutions  SRL</v>
      </c>
      <c r="C922" s="211" t="str">
        <f>IF(COUNTBLANK('RNEW import'!E920)=1,"",'RNEW import'!E920)</f>
        <v>RN10_Alexandria</v>
      </c>
      <c r="D922" s="211" t="str">
        <f>IF(COUNTBLANK('RNEW import'!K920)=1,"",'RNEW import'!K920)</f>
        <v>Regularizare Energie activa 1</v>
      </c>
      <c r="E922" s="211">
        <f>IF(COUNTBLANK('RNEW import'!L920)=1,"",'RNEW import'!N920)</f>
        <v>0</v>
      </c>
      <c r="F922" s="211">
        <f>IF(COUNTBLANK('RNEW import'!M920)=1,"",'RNEW import'!O920/10000)</f>
        <v>0.59499999999999997</v>
      </c>
      <c r="G922" s="217">
        <f t="shared" si="240"/>
        <v>0</v>
      </c>
      <c r="H922" s="217">
        <f t="shared" si="248"/>
        <v>0</v>
      </c>
      <c r="I922" s="329">
        <f t="shared" si="241"/>
        <v>0</v>
      </c>
      <c r="J922" s="263" t="str">
        <f t="shared" si="243"/>
        <v/>
      </c>
      <c r="K922" s="238" t="str">
        <f t="shared" si="244"/>
        <v/>
      </c>
      <c r="L922" s="238" t="str">
        <f t="shared" si="245"/>
        <v/>
      </c>
      <c r="M922" s="238" t="str">
        <f t="shared" si="246"/>
        <v/>
      </c>
      <c r="N922" s="238" t="str">
        <f t="shared" si="247"/>
        <v/>
      </c>
      <c r="O922" s="218" t="str">
        <f t="shared" si="242"/>
        <v/>
      </c>
      <c r="P922" s="219" t="str">
        <f t="shared" si="249"/>
        <v>Energie activa regularizare</v>
      </c>
      <c r="Q922" s="219">
        <f t="shared" si="250"/>
        <v>0</v>
      </c>
      <c r="R922" s="219">
        <f t="shared" si="251"/>
        <v>0</v>
      </c>
      <c r="S922" s="330">
        <f t="shared" si="237"/>
        <v>0</v>
      </c>
      <c r="T922" s="330">
        <f t="shared" si="238"/>
        <v>0</v>
      </c>
      <c r="U922" s="330">
        <f t="shared" si="239"/>
        <v>0</v>
      </c>
    </row>
    <row r="923" spans="1:21">
      <c r="A923" s="211">
        <f>IF(COUNTBLANK('RNEW import'!B921)=1,"",'RNEW import'!B921)</f>
        <v>20</v>
      </c>
      <c r="B923" s="211" t="str">
        <f>IF(COUNTBLANK('RNEW import'!D921)=1,"",'RNEW import'!D921)</f>
        <v>Nepi Ten Development Solutions  SRL</v>
      </c>
      <c r="C923" s="211" t="str">
        <f>IF(COUNTBLANK('RNEW import'!E921)=1,"",'RNEW import'!E921)</f>
        <v>RN10_Alexandria</v>
      </c>
      <c r="D923" s="211" t="str">
        <f>IF(COUNTBLANK('RNEW import'!K921)=1,"",'RNEW import'!K921)</f>
        <v>Regularizare Energie reactiva  1X</v>
      </c>
      <c r="E923" s="211">
        <f>IF(COUNTBLANK('RNEW import'!L921)=1,"",'RNEW import'!N921)</f>
        <v>0</v>
      </c>
      <c r="F923" s="211">
        <f>IF(COUNTBLANK('RNEW import'!M921)=1,"",'RNEW import'!O921/10000)</f>
        <v>0.14649999999999999</v>
      </c>
      <c r="G923" s="217">
        <f t="shared" si="240"/>
        <v>0</v>
      </c>
      <c r="H923" s="217">
        <f t="shared" si="248"/>
        <v>0</v>
      </c>
      <c r="I923" s="329">
        <f t="shared" si="241"/>
        <v>0</v>
      </c>
      <c r="J923" s="263" t="str">
        <f t="shared" si="243"/>
        <v/>
      </c>
      <c r="K923" s="238" t="str">
        <f t="shared" si="244"/>
        <v/>
      </c>
      <c r="L923" s="238" t="str">
        <f t="shared" si="245"/>
        <v/>
      </c>
      <c r="M923" s="238" t="str">
        <f t="shared" si="246"/>
        <v/>
      </c>
      <c r="N923" s="238" t="str">
        <f t="shared" si="247"/>
        <v/>
      </c>
      <c r="O923" s="232" t="str">
        <f t="shared" si="242"/>
        <v/>
      </c>
      <c r="P923" s="219" t="str">
        <f t="shared" si="249"/>
        <v>Energie reactiva 1x regularizare</v>
      </c>
      <c r="Q923" s="219">
        <f t="shared" si="250"/>
        <v>0</v>
      </c>
      <c r="R923" s="219">
        <f t="shared" si="251"/>
        <v>0.14649999999999999</v>
      </c>
      <c r="S923" s="330">
        <f t="shared" si="237"/>
        <v>0</v>
      </c>
      <c r="T923" s="330">
        <f t="shared" si="238"/>
        <v>0</v>
      </c>
      <c r="U923" s="330">
        <f t="shared" si="239"/>
        <v>0</v>
      </c>
    </row>
    <row r="924" spans="1:21">
      <c r="A924" s="211">
        <f>IF(COUNTBLANK('RNEW import'!B922)=1,"",'RNEW import'!B922)</f>
        <v>21</v>
      </c>
      <c r="B924" s="211" t="str">
        <f>IF(COUNTBLANK('RNEW import'!D922)=1,"",'RNEW import'!D922)</f>
        <v>Nepi Ten Development Solutions  SRL</v>
      </c>
      <c r="C924" s="211" t="str">
        <f>IF(COUNTBLANK('RNEW import'!E922)=1,"",'RNEW import'!E922)</f>
        <v>RN10_Alexandria</v>
      </c>
      <c r="D924" s="211" t="str">
        <f>IF(COUNTBLANK('RNEW import'!K922)=1,"",'RNEW import'!K922)</f>
        <v>Regularizare Energie reactiva  3X</v>
      </c>
      <c r="E924" s="211">
        <f>IF(COUNTBLANK('RNEW import'!L922)=1,"",'RNEW import'!N922)</f>
        <v>0</v>
      </c>
      <c r="F924" s="211">
        <f>IF(COUNTBLANK('RNEW import'!M922)=1,"",'RNEW import'!O922/10000)</f>
        <v>0.4395</v>
      </c>
      <c r="G924" s="217">
        <f t="shared" si="240"/>
        <v>0</v>
      </c>
      <c r="H924" s="217">
        <f t="shared" si="248"/>
        <v>0</v>
      </c>
      <c r="I924" s="329">
        <f t="shared" si="241"/>
        <v>0</v>
      </c>
      <c r="J924" s="263" t="str">
        <f t="shared" si="243"/>
        <v/>
      </c>
      <c r="K924" s="238" t="str">
        <f t="shared" si="244"/>
        <v/>
      </c>
      <c r="L924" s="238" t="str">
        <f t="shared" si="245"/>
        <v/>
      </c>
      <c r="M924" s="238" t="str">
        <f t="shared" si="246"/>
        <v/>
      </c>
      <c r="N924" s="238" t="str">
        <f t="shared" si="247"/>
        <v/>
      </c>
      <c r="O924" s="232" t="str">
        <f t="shared" si="242"/>
        <v/>
      </c>
      <c r="P924" s="219" t="str">
        <f t="shared" si="249"/>
        <v>Energie reactiva 3x regularizare</v>
      </c>
      <c r="Q924" s="219">
        <f t="shared" si="250"/>
        <v>0</v>
      </c>
      <c r="R924" s="219">
        <f t="shared" si="251"/>
        <v>0.4395</v>
      </c>
      <c r="S924" s="330">
        <f t="shared" ref="S924:S987" si="252">IF(COUNTBLANK(P924)=1,"",ROUND(IF(P924=$P$5,G924,IF(P924=$P$6,G924,IF(P924=$P$21,G924+G923+G922+G921,IF(P924=$P$23,G924,IF(P924=$P$24,G924,IF(P924=$P$4,SUMIFS(G:G,$C:$C,_xlfn.CONCAT("RN10_",RIGHT(J924,LEN(J924)-FIND("-",J924,1)-1)),A:A,"&lt;15"),IF(P924=$P$22,SUMIFS(G:G,$C:$C,_xlfn.CONCAT("RN10_",RIGHT(J906,LEN(J906)-FIND("-",J906,1)-1)),A:A,"&gt;18",A:A,"&lt;33")-S925-S926,IF(P924=$P$39,G924+G923+G922+G921,"eroare")))))))),2))</f>
        <v>0</v>
      </c>
      <c r="T924" s="330">
        <f t="shared" si="238"/>
        <v>0</v>
      </c>
      <c r="U924" s="330">
        <f t="shared" si="239"/>
        <v>0</v>
      </c>
    </row>
    <row r="925" spans="1:21">
      <c r="A925" s="211">
        <f>IF(COUNTBLANK('RNEW import'!B923)=1,"",'RNEW import'!B923)</f>
        <v>22</v>
      </c>
      <c r="B925" s="211" t="str">
        <f>IF(COUNTBLANK('RNEW import'!D923)=1,"",'RNEW import'!D923)</f>
        <v>Nepi Ten Development Solutions  SRL</v>
      </c>
      <c r="C925" s="211" t="str">
        <f>IF(COUNTBLANK('RNEW import'!E923)=1,"",'RNEW import'!E923)</f>
        <v>RN10_Alexandria</v>
      </c>
      <c r="D925" s="211" t="str">
        <f>IF(COUNTBLANK('RNEW import'!K923)=1,"",'RNEW import'!K923)</f>
        <v>Regularizare Tarife distributie en. El IT+MT</v>
      </c>
      <c r="E925" s="211">
        <f>IF(COUNTBLANK('RNEW import'!L923)=1,"",'RNEW import'!N923)</f>
        <v>0</v>
      </c>
      <c r="F925" s="211">
        <f>IF(COUNTBLANK('RNEW import'!M923)=1,"",'RNEW import'!O923/10000)</f>
        <v>0.13613999999999998</v>
      </c>
      <c r="G925" s="217">
        <f t="shared" si="240"/>
        <v>0</v>
      </c>
      <c r="H925" s="217">
        <f t="shared" si="248"/>
        <v>0</v>
      </c>
      <c r="I925" s="329">
        <f t="shared" si="241"/>
        <v>0</v>
      </c>
      <c r="J925" s="263" t="str">
        <f t="shared" si="243"/>
        <v/>
      </c>
      <c r="K925" s="238" t="str">
        <f t="shared" si="244"/>
        <v/>
      </c>
      <c r="L925" s="238" t="str">
        <f t="shared" si="245"/>
        <v/>
      </c>
      <c r="M925" s="238" t="str">
        <f t="shared" si="246"/>
        <v/>
      </c>
      <c r="N925" s="238" t="str">
        <f t="shared" si="247"/>
        <v/>
      </c>
      <c r="O925" s="232" t="str">
        <f t="shared" si="242"/>
        <v/>
      </c>
      <c r="P925" s="219" t="str">
        <f t="shared" si="249"/>
        <v/>
      </c>
      <c r="Q925" s="219" t="str">
        <f t="shared" si="250"/>
        <v/>
      </c>
      <c r="R925" s="219" t="str">
        <f t="shared" si="251"/>
        <v/>
      </c>
      <c r="S925" s="330" t="str">
        <f t="shared" si="252"/>
        <v/>
      </c>
      <c r="T925" s="330" t="str">
        <f t="shared" ref="T925:T988" si="253">IF(COUNTBLANK(P925)=1,"",ROUND(IF(P925=$P$5,H925,IF(P925=$P$6,H925,IF(P925=$P$21,H925+H924+H923+H922,IF(P925=$P$23,H925,IF(P925=$P$24,H925,IF(P925=$P$4,SUMIFS(H:H,$C:$C,_xlfn.CONCAT("RN10_",RIGHT(J925,LEN(J925)-FIND("-",J925,1)-1)),A:A,"&lt;15"),IF(P925=$P$22,SUMIFS(H:H,$C:$C,_xlfn.CONCAT("RN10_",RIGHT(J907,LEN(J907)-FIND("-",J907,1)-1)),A:A,"&gt;18",A:A,"&lt;33")-T926-T927,IF(P925=$P$39,H925+H924+H923+H922,"eroare")))))))),2))</f>
        <v/>
      </c>
      <c r="U925" s="330" t="str">
        <f t="shared" ref="U925:U988" si="254">IF(COUNTBLANK(P925)=1,"",ROUND(IF(P925=$P$5,I925,IF(P925=$P$6,I925,IF(P925=$P$21,I925+I924+I923+I922,IF(P925=$P$23,I925,IF(P925=$P$24,I925,IF(P925=$P$4,SUMIFS(I:I,$C:$C,_xlfn.CONCAT("RN10_",RIGHT(J925,LEN(J925)-FIND("-",J925,1)-1)),A:A,"&lt;15"),IF(P925=$P$22,SUMIFS(I:I,$C:$C,_xlfn.CONCAT("RN10_",RIGHT(J907,LEN(J907)-FIND("-",J907,1)-1)),A:A,"&gt;18",A:A,"&lt;33")-U926-U927,IF(P925=$P$39,I925+I924+I923+I922,"eroare")))))))),2))</f>
        <v/>
      </c>
    </row>
    <row r="926" spans="1:21">
      <c r="A926" s="211">
        <f>IF(COUNTBLANK('RNEW import'!B924)=1,"",'RNEW import'!B924)</f>
        <v>23</v>
      </c>
      <c r="B926" s="211" t="str">
        <f>IF(COUNTBLANK('RNEW import'!D924)=1,"",'RNEW import'!D924)</f>
        <v>Nepi Ten Development Solutions  SRL</v>
      </c>
      <c r="C926" s="211" t="str">
        <f>IF(COUNTBLANK('RNEW import'!E924)=1,"",'RNEW import'!E924)</f>
        <v>RN10_Alexandria</v>
      </c>
      <c r="D926" s="211" t="str">
        <f>IF(COUNTBLANK('RNEW import'!K924)=1,"",'RNEW import'!K924)</f>
        <v>Regularizare Tarife distributie en. El JT</v>
      </c>
      <c r="E926" s="211">
        <f>IF(COUNTBLANK('RNEW import'!L924)=1,"",'RNEW import'!N924)</f>
        <v>0</v>
      </c>
      <c r="F926" s="211">
        <f>IF(COUNTBLANK('RNEW import'!M924)=1,"",'RNEW import'!O924/10000)</f>
        <v>0.22738999999999995</v>
      </c>
      <c r="G926" s="217">
        <f t="shared" si="240"/>
        <v>0</v>
      </c>
      <c r="H926" s="217">
        <f t="shared" si="248"/>
        <v>0</v>
      </c>
      <c r="I926" s="329">
        <f t="shared" si="241"/>
        <v>0</v>
      </c>
      <c r="J926" s="263" t="str">
        <f t="shared" si="243"/>
        <v/>
      </c>
      <c r="K926" s="238" t="str">
        <f t="shared" si="244"/>
        <v/>
      </c>
      <c r="L926" s="238" t="str">
        <f t="shared" si="245"/>
        <v/>
      </c>
      <c r="M926" s="238" t="str">
        <f t="shared" si="246"/>
        <v/>
      </c>
      <c r="N926" s="238" t="str">
        <f t="shared" si="247"/>
        <v/>
      </c>
      <c r="O926" s="232" t="str">
        <f t="shared" si="242"/>
        <v/>
      </c>
      <c r="P926" s="219" t="str">
        <f t="shared" si="249"/>
        <v/>
      </c>
      <c r="Q926" s="219" t="str">
        <f t="shared" si="250"/>
        <v/>
      </c>
      <c r="R926" s="219" t="str">
        <f t="shared" si="251"/>
        <v/>
      </c>
      <c r="S926" s="330" t="str">
        <f t="shared" si="252"/>
        <v/>
      </c>
      <c r="T926" s="330" t="str">
        <f t="shared" si="253"/>
        <v/>
      </c>
      <c r="U926" s="330" t="str">
        <f t="shared" si="254"/>
        <v/>
      </c>
    </row>
    <row r="927" spans="1:21">
      <c r="A927" s="211">
        <f>IF(COUNTBLANK('RNEW import'!B925)=1,"",'RNEW import'!B925)</f>
        <v>24</v>
      </c>
      <c r="B927" s="211" t="str">
        <f>IF(COUNTBLANK('RNEW import'!D925)=1,"",'RNEW import'!D925)</f>
        <v>Nepi Ten Development Solutions  SRL</v>
      </c>
      <c r="C927" s="211" t="str">
        <f>IF(COUNTBLANK('RNEW import'!E925)=1,"",'RNEW import'!E925)</f>
        <v>RN10_Alexandria</v>
      </c>
      <c r="D927" s="211" t="str">
        <f>IF(COUNTBLANK('RNEW import'!K925)=1,"",'RNEW import'!K925)</f>
        <v xml:space="preserve">Regularizare Servicii Sistem </v>
      </c>
      <c r="E927" s="211">
        <f>IF(COUNTBLANK('RNEW import'!L925)=1,"",'RNEW import'!N925)</f>
        <v>0</v>
      </c>
      <c r="F927" s="211">
        <f>IF(COUNTBLANK('RNEW import'!M925)=1,"",'RNEW import'!O925/10000)</f>
        <v>1.1509999999999999E-2</v>
      </c>
      <c r="G927" s="217">
        <f t="shared" si="240"/>
        <v>0</v>
      </c>
      <c r="H927" s="217">
        <f t="shared" si="248"/>
        <v>0</v>
      </c>
      <c r="I927" s="329">
        <f t="shared" si="241"/>
        <v>0</v>
      </c>
      <c r="J927" s="263" t="str">
        <f t="shared" si="243"/>
        <v/>
      </c>
      <c r="K927" s="238" t="str">
        <f t="shared" si="244"/>
        <v/>
      </c>
      <c r="L927" s="238" t="str">
        <f t="shared" si="245"/>
        <v/>
      </c>
      <c r="M927" s="238" t="str">
        <f t="shared" si="246"/>
        <v/>
      </c>
      <c r="N927" s="238" t="str">
        <f t="shared" si="247"/>
        <v/>
      </c>
      <c r="O927" s="232" t="str">
        <f t="shared" si="242"/>
        <v/>
      </c>
      <c r="P927" s="219" t="str">
        <f t="shared" si="249"/>
        <v/>
      </c>
      <c r="Q927" s="219" t="str">
        <f t="shared" si="250"/>
        <v/>
      </c>
      <c r="R927" s="219" t="str">
        <f t="shared" si="251"/>
        <v/>
      </c>
      <c r="S927" s="330" t="str">
        <f t="shared" si="252"/>
        <v/>
      </c>
      <c r="T927" s="330" t="str">
        <f t="shared" si="253"/>
        <v/>
      </c>
      <c r="U927" s="330" t="str">
        <f t="shared" si="254"/>
        <v/>
      </c>
    </row>
    <row r="928" spans="1:21">
      <c r="A928" s="211">
        <f>IF(COUNTBLANK('RNEW import'!B926)=1,"",'RNEW import'!B926)</f>
        <v>25</v>
      </c>
      <c r="B928" s="211" t="str">
        <f>IF(COUNTBLANK('RNEW import'!D926)=1,"",'RNEW import'!D926)</f>
        <v>Nepi Ten Development Solutions  SRL</v>
      </c>
      <c r="C928" s="211" t="str">
        <f>IF(COUNTBLANK('RNEW import'!E926)=1,"",'RNEW import'!E926)</f>
        <v>RN10_Alexandria</v>
      </c>
      <c r="D928" s="211" t="str">
        <f>IF(COUNTBLANK('RNEW import'!K926)=1,"",'RNEW import'!K926)</f>
        <v>Regularizare Tarif de introducere en. el in retea (TL)</v>
      </c>
      <c r="E928" s="211">
        <f>IF(COUNTBLANK('RNEW import'!L926)=1,"",'RNEW import'!N926)</f>
        <v>0</v>
      </c>
      <c r="F928" s="211">
        <f>IF(COUNTBLANK('RNEW import'!M926)=1,"",'RNEW import'!O926/10000)</f>
        <v>3.3030000000000004E-2</v>
      </c>
      <c r="G928" s="217">
        <f t="shared" si="240"/>
        <v>0</v>
      </c>
      <c r="H928" s="217">
        <f t="shared" si="248"/>
        <v>0</v>
      </c>
      <c r="I928" s="329">
        <f t="shared" si="241"/>
        <v>0</v>
      </c>
      <c r="J928" s="263" t="str">
        <f t="shared" si="243"/>
        <v/>
      </c>
      <c r="K928" s="238" t="str">
        <f t="shared" si="244"/>
        <v/>
      </c>
      <c r="L928" s="238" t="str">
        <f t="shared" si="245"/>
        <v/>
      </c>
      <c r="M928" s="238" t="str">
        <f t="shared" si="246"/>
        <v/>
      </c>
      <c r="N928" s="238" t="str">
        <f t="shared" si="247"/>
        <v/>
      </c>
      <c r="O928" s="232" t="str">
        <f t="shared" si="242"/>
        <v/>
      </c>
      <c r="P928" s="219" t="str">
        <f t="shared" si="249"/>
        <v/>
      </c>
      <c r="Q928" s="219" t="str">
        <f t="shared" si="250"/>
        <v/>
      </c>
      <c r="R928" s="219" t="str">
        <f t="shared" si="251"/>
        <v/>
      </c>
      <c r="S928" s="330" t="str">
        <f t="shared" si="252"/>
        <v/>
      </c>
      <c r="T928" s="330" t="str">
        <f t="shared" si="253"/>
        <v/>
      </c>
      <c r="U928" s="330" t="str">
        <f t="shared" si="254"/>
        <v/>
      </c>
    </row>
    <row r="929" spans="1:21">
      <c r="A929" s="211">
        <f>IF(COUNTBLANK('RNEW import'!B927)=1,"",'RNEW import'!B927)</f>
        <v>26</v>
      </c>
      <c r="B929" s="211" t="str">
        <f>IF(COUNTBLANK('RNEW import'!D927)=1,"",'RNEW import'!D927)</f>
        <v>Nepi Ten Development Solutions  SRL</v>
      </c>
      <c r="C929" s="211" t="str">
        <f>IF(COUNTBLANK('RNEW import'!E927)=1,"",'RNEW import'!E927)</f>
        <v>RN10_Alexandria</v>
      </c>
      <c r="D929" s="211" t="str">
        <f>IF(COUNTBLANK('RNEW import'!K927)=1,"",'RNEW import'!K927)</f>
        <v>Regularizare Tarif de introducere en.el in retea (TG)</v>
      </c>
      <c r="E929" s="211">
        <f>IF(COUNTBLANK('RNEW import'!L927)=1,"",'RNEW import'!N927)</f>
        <v>0</v>
      </c>
      <c r="F929" s="211">
        <f>IF(COUNTBLANK('RNEW import'!M927)=1,"",'RNEW import'!O927/10000)</f>
        <v>3.29E-3</v>
      </c>
      <c r="G929" s="217">
        <f t="shared" si="240"/>
        <v>0</v>
      </c>
      <c r="H929" s="217">
        <f t="shared" si="248"/>
        <v>0</v>
      </c>
      <c r="I929" s="329">
        <f t="shared" si="241"/>
        <v>0</v>
      </c>
      <c r="J929" s="263" t="str">
        <f t="shared" si="243"/>
        <v/>
      </c>
      <c r="K929" s="238" t="str">
        <f t="shared" si="244"/>
        <v/>
      </c>
      <c r="L929" s="238" t="str">
        <f t="shared" si="245"/>
        <v/>
      </c>
      <c r="M929" s="238" t="str">
        <f t="shared" si="246"/>
        <v/>
      </c>
      <c r="N929" s="238" t="str">
        <f t="shared" si="247"/>
        <v/>
      </c>
      <c r="O929" s="232" t="str">
        <f t="shared" si="242"/>
        <v/>
      </c>
      <c r="P929" s="219" t="str">
        <f t="shared" si="249"/>
        <v/>
      </c>
      <c r="Q929" s="219" t="str">
        <f t="shared" si="250"/>
        <v/>
      </c>
      <c r="R929" s="219" t="str">
        <f t="shared" si="251"/>
        <v/>
      </c>
      <c r="S929" s="330" t="str">
        <f t="shared" si="252"/>
        <v/>
      </c>
      <c r="T929" s="330" t="str">
        <f t="shared" si="253"/>
        <v/>
      </c>
      <c r="U929" s="330" t="str">
        <f t="shared" si="254"/>
        <v/>
      </c>
    </row>
    <row r="930" spans="1:21">
      <c r="A930" s="211">
        <f>IF(COUNTBLANK('RNEW import'!B928)=1,"",'RNEW import'!B928)</f>
        <v>27</v>
      </c>
      <c r="B930" s="211" t="str">
        <f>IF(COUNTBLANK('RNEW import'!D928)=1,"",'RNEW import'!D928)</f>
        <v>Nepi Ten Development Solutions  SRL</v>
      </c>
      <c r="C930" s="211" t="str">
        <f>IF(COUNTBLANK('RNEW import'!E928)=1,"",'RNEW import'!E928)</f>
        <v>RN10_Alexandria</v>
      </c>
      <c r="D930" s="211" t="str">
        <f>IF(COUNTBLANK('RNEW import'!K928)=1,"",'RNEW import'!K928)</f>
        <v>Regularizare Contributie pentru cogenerare</v>
      </c>
      <c r="E930" s="211">
        <f>IF(COUNTBLANK('RNEW import'!L928)=1,"",'RNEW import'!N928)</f>
        <v>0</v>
      </c>
      <c r="F930" s="211">
        <f>IF(COUNTBLANK('RNEW import'!M928)=1,"",'RNEW import'!O928/10000)</f>
        <v>3.5000000000000001E-3</v>
      </c>
      <c r="G930" s="217">
        <f t="shared" si="240"/>
        <v>0</v>
      </c>
      <c r="H930" s="217">
        <f t="shared" si="248"/>
        <v>0</v>
      </c>
      <c r="I930" s="329">
        <f t="shared" si="241"/>
        <v>0</v>
      </c>
      <c r="J930" s="263" t="str">
        <f t="shared" si="243"/>
        <v/>
      </c>
      <c r="K930" s="238" t="str">
        <f t="shared" si="244"/>
        <v/>
      </c>
      <c r="L930" s="238" t="str">
        <f t="shared" si="245"/>
        <v/>
      </c>
      <c r="M930" s="238" t="str">
        <f t="shared" si="246"/>
        <v/>
      </c>
      <c r="N930" s="238" t="str">
        <f t="shared" si="247"/>
        <v/>
      </c>
      <c r="O930" s="232" t="str">
        <f t="shared" si="242"/>
        <v/>
      </c>
      <c r="P930" s="219" t="str">
        <f t="shared" si="249"/>
        <v/>
      </c>
      <c r="Q930" s="219" t="str">
        <f t="shared" si="250"/>
        <v/>
      </c>
      <c r="R930" s="219" t="str">
        <f t="shared" si="251"/>
        <v/>
      </c>
      <c r="S930" s="330" t="str">
        <f t="shared" si="252"/>
        <v/>
      </c>
      <c r="T930" s="330" t="str">
        <f t="shared" si="253"/>
        <v/>
      </c>
      <c r="U930" s="330" t="str">
        <f t="shared" si="254"/>
        <v/>
      </c>
    </row>
    <row r="931" spans="1:21">
      <c r="A931" s="211">
        <f>IF(COUNTBLANK('RNEW import'!B929)=1,"",'RNEW import'!B929)</f>
        <v>28</v>
      </c>
      <c r="B931" s="211" t="str">
        <f>IF(COUNTBLANK('RNEW import'!D929)=1,"",'RNEW import'!D929)</f>
        <v>Nepi Ten Development Solutions  SRL</v>
      </c>
      <c r="C931" s="211" t="str">
        <f>IF(COUNTBLANK('RNEW import'!E929)=1,"",'RNEW import'!E929)</f>
        <v>RN10_Alexandria</v>
      </c>
      <c r="D931" s="211" t="str">
        <f>IF(COUNTBLANK('RNEW import'!K929)=1,"",'RNEW import'!K929)</f>
        <v xml:space="preserve">Regularizare Certificate verzi </v>
      </c>
      <c r="E931" s="211">
        <f>IF(COUNTBLANK('RNEW import'!L929)=1,"",'RNEW import'!N929)</f>
        <v>0</v>
      </c>
      <c r="F931" s="211">
        <f>IF(COUNTBLANK('RNEW import'!M929)=1,"",'RNEW import'!O929/10000)</f>
        <v>7.2541599999999998E-2</v>
      </c>
      <c r="G931" s="217">
        <f t="shared" si="240"/>
        <v>0</v>
      </c>
      <c r="H931" s="217">
        <f t="shared" si="248"/>
        <v>0</v>
      </c>
      <c r="I931" s="329">
        <f t="shared" si="241"/>
        <v>0</v>
      </c>
      <c r="J931" s="263" t="str">
        <f t="shared" si="243"/>
        <v/>
      </c>
      <c r="K931" s="238" t="str">
        <f t="shared" si="244"/>
        <v/>
      </c>
      <c r="L931" s="238" t="str">
        <f t="shared" si="245"/>
        <v/>
      </c>
      <c r="M931" s="238" t="str">
        <f t="shared" si="246"/>
        <v/>
      </c>
      <c r="N931" s="238" t="str">
        <f t="shared" si="247"/>
        <v/>
      </c>
      <c r="O931" s="232" t="str">
        <f t="shared" si="242"/>
        <v/>
      </c>
      <c r="P931" s="219" t="str">
        <f t="shared" si="249"/>
        <v/>
      </c>
      <c r="Q931" s="219" t="str">
        <f t="shared" si="250"/>
        <v/>
      </c>
      <c r="R931" s="219" t="str">
        <f t="shared" si="251"/>
        <v/>
      </c>
      <c r="S931" s="330" t="str">
        <f t="shared" si="252"/>
        <v/>
      </c>
      <c r="T931" s="330" t="str">
        <f t="shared" si="253"/>
        <v/>
      </c>
      <c r="U931" s="330" t="str">
        <f t="shared" si="254"/>
        <v/>
      </c>
    </row>
    <row r="932" spans="1:21">
      <c r="A932" s="211">
        <f>IF(COUNTBLANK('RNEW import'!B930)=1,"",'RNEW import'!B930)</f>
        <v>29</v>
      </c>
      <c r="B932" s="211" t="str">
        <f>IF(COUNTBLANK('RNEW import'!D930)=1,"",'RNEW import'!D930)</f>
        <v>Nepi Ten Development Solutions  SRL</v>
      </c>
      <c r="C932" s="211" t="str">
        <f>IF(COUNTBLANK('RNEW import'!E930)=1,"",'RNEW import'!E930)</f>
        <v>RN10_Alexandria</v>
      </c>
      <c r="D932" s="211" t="str">
        <f>IF(COUNTBLANK('RNEW import'!K930)=1,"",'RNEW import'!K930)</f>
        <v>Regularizare Contributie CFD</v>
      </c>
      <c r="E932" s="211">
        <f>IF(COUNTBLANK('RNEW import'!L930)=1,"",'RNEW import'!N930)</f>
        <v>0</v>
      </c>
      <c r="F932" s="211">
        <f>IF(COUNTBLANK('RNEW import'!M930)=1,"",'RNEW import'!O930/10000)</f>
        <v>2.0599999999999999E-4</v>
      </c>
      <c r="G932" s="217">
        <f t="shared" si="240"/>
        <v>0</v>
      </c>
      <c r="H932" s="217">
        <f t="shared" si="248"/>
        <v>0</v>
      </c>
      <c r="I932" s="329">
        <f t="shared" si="241"/>
        <v>0</v>
      </c>
      <c r="J932" s="263" t="str">
        <f t="shared" si="243"/>
        <v/>
      </c>
      <c r="K932" s="238" t="str">
        <f t="shared" si="244"/>
        <v/>
      </c>
      <c r="L932" s="238" t="str">
        <f t="shared" si="245"/>
        <v/>
      </c>
      <c r="M932" s="238" t="str">
        <f t="shared" si="246"/>
        <v/>
      </c>
      <c r="N932" s="238" t="str">
        <f t="shared" si="247"/>
        <v/>
      </c>
      <c r="O932" s="232" t="str">
        <f t="shared" si="242"/>
        <v/>
      </c>
      <c r="P932" s="219" t="str">
        <f t="shared" si="249"/>
        <v/>
      </c>
      <c r="Q932" s="219" t="str">
        <f t="shared" si="250"/>
        <v/>
      </c>
      <c r="R932" s="219" t="str">
        <f t="shared" si="251"/>
        <v/>
      </c>
      <c r="S932" s="330" t="str">
        <f t="shared" si="252"/>
        <v/>
      </c>
      <c r="T932" s="330" t="str">
        <f t="shared" si="253"/>
        <v/>
      </c>
      <c r="U932" s="330" t="str">
        <f t="shared" si="254"/>
        <v/>
      </c>
    </row>
    <row r="933" spans="1:21">
      <c r="A933" s="211">
        <f>IF(COUNTBLANK('RNEW import'!B931)=1,"",'RNEW import'!B931)</f>
        <v>30</v>
      </c>
      <c r="B933" s="211" t="str">
        <f>IF(COUNTBLANK('RNEW import'!D931)=1,"",'RNEW import'!D931)</f>
        <v>Nepi Ten Development Solutions  SRL</v>
      </c>
      <c r="C933" s="211" t="str">
        <f>IF(COUNTBLANK('RNEW import'!E931)=1,"",'RNEW import'!E931)</f>
        <v>RN10_Alexandria</v>
      </c>
      <c r="D933" s="211" t="str">
        <f>IF(COUNTBLANK('RNEW import'!K931)=1,"",'RNEW import'!K931)</f>
        <v>Regularizare Acciza</v>
      </c>
      <c r="E933" s="211">
        <f>IF(COUNTBLANK('RNEW import'!L931)=1,"",'RNEW import'!N931)</f>
        <v>0</v>
      </c>
      <c r="F933" s="211">
        <f>IF(COUNTBLANK('RNEW import'!M931)=1,"",'RNEW import'!O931/10000)</f>
        <v>0</v>
      </c>
      <c r="G933" s="217">
        <f t="shared" ref="G933:G985" si="255">ROUND(E933*F933,2)</f>
        <v>0</v>
      </c>
      <c r="H933" s="217">
        <f t="shared" si="248"/>
        <v>0</v>
      </c>
      <c r="I933" s="329">
        <f t="shared" ref="I933:I985" si="256">G933+H933</f>
        <v>0</v>
      </c>
      <c r="J933" s="263" t="str">
        <f t="shared" si="243"/>
        <v/>
      </c>
      <c r="K933" s="238" t="str">
        <f t="shared" si="244"/>
        <v/>
      </c>
      <c r="L933" s="238" t="str">
        <f t="shared" si="245"/>
        <v/>
      </c>
      <c r="M933" s="238" t="str">
        <f t="shared" si="246"/>
        <v/>
      </c>
      <c r="N933" s="238" t="str">
        <f t="shared" si="247"/>
        <v/>
      </c>
      <c r="O933" s="232" t="str">
        <f t="shared" si="242"/>
        <v/>
      </c>
      <c r="P933" s="219" t="str">
        <f t="shared" si="249"/>
        <v/>
      </c>
      <c r="Q933" s="219" t="str">
        <f t="shared" si="250"/>
        <v/>
      </c>
      <c r="R933" s="219" t="str">
        <f t="shared" si="251"/>
        <v/>
      </c>
      <c r="S933" s="330" t="str">
        <f t="shared" si="252"/>
        <v/>
      </c>
      <c r="T933" s="330" t="str">
        <f t="shared" si="253"/>
        <v/>
      </c>
      <c r="U933" s="330" t="str">
        <f t="shared" si="254"/>
        <v/>
      </c>
    </row>
    <row r="934" spans="1:21">
      <c r="A934" s="211">
        <f>IF(COUNTBLANK('RNEW import'!B932)=1,"",'RNEW import'!B932)</f>
        <v>31</v>
      </c>
      <c r="B934" s="211" t="str">
        <f>IF(COUNTBLANK('RNEW import'!D932)=1,"",'RNEW import'!D932)</f>
        <v>Nepi Ten Development Solutions  SRL</v>
      </c>
      <c r="C934" s="211" t="str">
        <f>IF(COUNTBLANK('RNEW import'!E932)=1,"",'RNEW import'!E932)</f>
        <v>RN10_Alexandria</v>
      </c>
      <c r="D934" s="211" t="str">
        <f>IF(COUNTBLANK('RNEW import'!K932)=1,"",'RNEW import'!K932)</f>
        <v>Regularizare Tarif distributie SDI MT Ea1</v>
      </c>
      <c r="E934" s="211">
        <f>IF(COUNTBLANK('RNEW import'!L932)=1,"",'RNEW import'!N932)</f>
        <v>0</v>
      </c>
      <c r="F934" s="211">
        <f>IF(COUNTBLANK('RNEW import'!M932)=1,"",'RNEW import'!O932/10000)</f>
        <v>1.7000000000000001E-2</v>
      </c>
      <c r="G934" s="217">
        <f t="shared" si="255"/>
        <v>0</v>
      </c>
      <c r="H934" s="217">
        <f t="shared" si="248"/>
        <v>0</v>
      </c>
      <c r="I934" s="329">
        <f t="shared" si="256"/>
        <v>0</v>
      </c>
      <c r="J934" s="263" t="str">
        <f t="shared" si="243"/>
        <v/>
      </c>
      <c r="K934" s="238" t="str">
        <f t="shared" si="244"/>
        <v/>
      </c>
      <c r="L934" s="238" t="str">
        <f t="shared" si="245"/>
        <v/>
      </c>
      <c r="M934" s="238" t="str">
        <f t="shared" si="246"/>
        <v/>
      </c>
      <c r="N934" s="238" t="str">
        <f t="shared" si="247"/>
        <v/>
      </c>
      <c r="O934" s="232" t="str">
        <f t="shared" si="242"/>
        <v/>
      </c>
      <c r="P934" s="219" t="str">
        <f t="shared" si="249"/>
        <v/>
      </c>
      <c r="Q934" s="219" t="str">
        <f t="shared" si="250"/>
        <v/>
      </c>
      <c r="R934" s="219" t="str">
        <f t="shared" si="251"/>
        <v/>
      </c>
      <c r="S934" s="330" t="str">
        <f t="shared" si="252"/>
        <v/>
      </c>
      <c r="T934" s="330" t="str">
        <f t="shared" si="253"/>
        <v/>
      </c>
      <c r="U934" s="330" t="str">
        <f t="shared" si="254"/>
        <v/>
      </c>
    </row>
    <row r="935" spans="1:21">
      <c r="A935" s="211">
        <f>IF(COUNTBLANK('RNEW import'!B933)=1,"",'RNEW import'!B933)</f>
        <v>32</v>
      </c>
      <c r="B935" s="211" t="str">
        <f>IF(COUNTBLANK('RNEW import'!D933)=1,"",'RNEW import'!D933)</f>
        <v>Nepi Ten Development Solutions  SRL</v>
      </c>
      <c r="C935" s="211" t="str">
        <f>IF(COUNTBLANK('RNEW import'!E933)=1,"",'RNEW import'!E933)</f>
        <v>RN10_Alexandria</v>
      </c>
      <c r="D935" s="211" t="str">
        <f>IF(COUNTBLANK('RNEW import'!K933)=1,"",'RNEW import'!K933)</f>
        <v>Regularizare Tarif distributie SDI JT Ea1</v>
      </c>
      <c r="E935" s="211">
        <f>IF(COUNTBLANK('RNEW import'!L933)=1,"",'RNEW import'!N933)</f>
        <v>0</v>
      </c>
      <c r="F935" s="211">
        <f>IF(COUNTBLANK('RNEW import'!M933)=1,"",'RNEW import'!O933/10000)</f>
        <v>0.10290000000000001</v>
      </c>
      <c r="G935" s="217">
        <f t="shared" si="255"/>
        <v>0</v>
      </c>
      <c r="H935" s="217">
        <f t="shared" si="248"/>
        <v>0</v>
      </c>
      <c r="I935" s="329">
        <f t="shared" si="256"/>
        <v>0</v>
      </c>
      <c r="J935" s="263" t="str">
        <f t="shared" si="243"/>
        <v/>
      </c>
      <c r="K935" s="238" t="str">
        <f t="shared" si="244"/>
        <v/>
      </c>
      <c r="L935" s="238" t="str">
        <f t="shared" si="245"/>
        <v/>
      </c>
      <c r="M935" s="238" t="str">
        <f t="shared" si="246"/>
        <v/>
      </c>
      <c r="N935" s="238" t="str">
        <f t="shared" si="247"/>
        <v/>
      </c>
      <c r="O935" s="232" t="str">
        <f t="shared" si="242"/>
        <v/>
      </c>
      <c r="P935" s="219" t="str">
        <f t="shared" si="249"/>
        <v/>
      </c>
      <c r="Q935" s="219" t="str">
        <f t="shared" si="250"/>
        <v/>
      </c>
      <c r="R935" s="219" t="str">
        <f t="shared" si="251"/>
        <v/>
      </c>
      <c r="S935" s="330" t="str">
        <f t="shared" si="252"/>
        <v/>
      </c>
      <c r="T935" s="330" t="str">
        <f t="shared" si="253"/>
        <v/>
      </c>
      <c r="U935" s="330" t="str">
        <f t="shared" si="254"/>
        <v/>
      </c>
    </row>
    <row r="936" spans="1:21">
      <c r="A936" s="211">
        <f>IF(COUNTBLANK('RNEW import'!B934)=1,"",'RNEW import'!B934)</f>
        <v>33</v>
      </c>
      <c r="B936" s="211" t="str">
        <f>IF(COUNTBLANK('RNEW import'!D934)=1,"",'RNEW import'!D934)</f>
        <v>Nepi Ten Development Solutions  SRL</v>
      </c>
      <c r="C936" s="211" t="str">
        <f>IF(COUNTBLANK('RNEW import'!E934)=1,"",'RNEW import'!E934)</f>
        <v>RN10_Alexandria</v>
      </c>
      <c r="D936" s="211" t="str">
        <f>IF(COUNTBLANK('RNEW import'!K934)=1,"",'RNEW import'!K934)</f>
        <v>Regularizare Energie activa 2</v>
      </c>
      <c r="E936" s="211">
        <f>IF(COUNTBLANK('RNEW import'!L934)=1,"",'RNEW import'!N934)</f>
        <v>0</v>
      </c>
      <c r="F936" s="211">
        <f>IF(COUNTBLANK('RNEW import'!M934)=1,"",'RNEW import'!O934/10000)</f>
        <v>0.97511759999999992</v>
      </c>
      <c r="G936" s="217">
        <f t="shared" si="255"/>
        <v>0</v>
      </c>
      <c r="H936" s="217">
        <f t="shared" si="248"/>
        <v>0</v>
      </c>
      <c r="I936" s="329">
        <f t="shared" si="256"/>
        <v>0</v>
      </c>
      <c r="J936" s="263" t="str">
        <f t="shared" si="243"/>
        <v/>
      </c>
      <c r="K936" s="238" t="str">
        <f t="shared" si="244"/>
        <v/>
      </c>
      <c r="L936" s="238" t="str">
        <f t="shared" si="245"/>
        <v/>
      </c>
      <c r="M936" s="238" t="str">
        <f t="shared" si="246"/>
        <v/>
      </c>
      <c r="N936" s="238" t="str">
        <f t="shared" si="247"/>
        <v/>
      </c>
      <c r="O936" s="232" t="str">
        <f t="shared" si="242"/>
        <v/>
      </c>
      <c r="P936" s="219" t="str">
        <f t="shared" si="249"/>
        <v/>
      </c>
      <c r="Q936" s="219" t="str">
        <f t="shared" si="250"/>
        <v/>
      </c>
      <c r="R936" s="219" t="str">
        <f t="shared" si="251"/>
        <v/>
      </c>
      <c r="S936" s="330" t="str">
        <f t="shared" si="252"/>
        <v/>
      </c>
      <c r="T936" s="330" t="str">
        <f t="shared" si="253"/>
        <v/>
      </c>
      <c r="U936" s="330" t="str">
        <f t="shared" si="254"/>
        <v/>
      </c>
    </row>
    <row r="937" spans="1:21">
      <c r="A937" s="211">
        <f>IF(COUNTBLANK('RNEW import'!B935)=1,"",'RNEW import'!B935)</f>
        <v>34</v>
      </c>
      <c r="B937" s="211" t="str">
        <f>IF(COUNTBLANK('RNEW import'!D935)=1,"",'RNEW import'!D935)</f>
        <v>Nepi Ten Development Solutions  SRL</v>
      </c>
      <c r="C937" s="211" t="str">
        <f>IF(COUNTBLANK('RNEW import'!E935)=1,"",'RNEW import'!E935)</f>
        <v>RN10_Alexandria</v>
      </c>
      <c r="D937" s="211" t="str">
        <f>IF(COUNTBLANK('RNEW import'!K935)=1,"",'RNEW import'!K935)</f>
        <v>Regularizare Energie activa 3</v>
      </c>
      <c r="E937" s="211">
        <f>IF(COUNTBLANK('RNEW import'!L935)=1,"",'RNEW import'!N935)</f>
        <v>0</v>
      </c>
      <c r="F937" s="211">
        <f>IF(COUNTBLANK('RNEW import'!M935)=1,"",'RNEW import'!O935/10000)</f>
        <v>0.85521759999999991</v>
      </c>
      <c r="G937" s="217">
        <f t="shared" si="255"/>
        <v>0</v>
      </c>
      <c r="H937" s="217">
        <f t="shared" si="248"/>
        <v>0</v>
      </c>
      <c r="I937" s="329">
        <f t="shared" si="256"/>
        <v>0</v>
      </c>
      <c r="J937" s="263" t="str">
        <f t="shared" si="243"/>
        <v/>
      </c>
      <c r="K937" s="238" t="str">
        <f t="shared" si="244"/>
        <v/>
      </c>
      <c r="L937" s="238" t="str">
        <f t="shared" si="245"/>
        <v/>
      </c>
      <c r="M937" s="238" t="str">
        <f t="shared" si="246"/>
        <v/>
      </c>
      <c r="N937" s="238" t="str">
        <f t="shared" si="247"/>
        <v/>
      </c>
      <c r="O937" s="232" t="str">
        <f t="shared" si="242"/>
        <v/>
      </c>
      <c r="P937" s="219" t="str">
        <f t="shared" si="249"/>
        <v/>
      </c>
      <c r="Q937" s="219" t="str">
        <f t="shared" si="250"/>
        <v/>
      </c>
      <c r="R937" s="219" t="str">
        <f t="shared" si="251"/>
        <v/>
      </c>
      <c r="S937" s="330" t="str">
        <f t="shared" si="252"/>
        <v/>
      </c>
      <c r="T937" s="330" t="str">
        <f t="shared" si="253"/>
        <v/>
      </c>
      <c r="U937" s="330" t="str">
        <f t="shared" si="254"/>
        <v/>
      </c>
    </row>
    <row r="938" spans="1:21">
      <c r="A938" s="211">
        <f>IF(COUNTBLANK('RNEW import'!B936)=1,"",'RNEW import'!B936)</f>
        <v>35</v>
      </c>
      <c r="B938" s="211" t="str">
        <f>IF(COUNTBLANK('RNEW import'!D936)=1,"",'RNEW import'!D936)</f>
        <v>Nepi Ten Development Solutions  SRL</v>
      </c>
      <c r="C938" s="211" t="str">
        <f>IF(COUNTBLANK('RNEW import'!E936)=1,"",'RNEW import'!E936)</f>
        <v>RN10_Alexandria</v>
      </c>
      <c r="D938" s="211" t="str">
        <f>IF(COUNTBLANK('RNEW import'!K936)=1,"",'RNEW import'!K936)</f>
        <v>Regularizare Tarif distributie SDI MT Ea3</v>
      </c>
      <c r="E938" s="211">
        <f>IF(COUNTBLANK('RNEW import'!L936)=1,"",'RNEW import'!N936)</f>
        <v>0</v>
      </c>
      <c r="F938" s="211">
        <f>IF(COUNTBLANK('RNEW import'!M936)=1,"",'RNEW import'!O936/10000)</f>
        <v>1.7000000000000001E-2</v>
      </c>
      <c r="G938" s="217">
        <f t="shared" si="255"/>
        <v>0</v>
      </c>
      <c r="H938" s="217">
        <f t="shared" si="248"/>
        <v>0</v>
      </c>
      <c r="I938" s="329">
        <f t="shared" si="256"/>
        <v>0</v>
      </c>
      <c r="J938" s="263" t="str">
        <f t="shared" si="243"/>
        <v/>
      </c>
      <c r="K938" s="238" t="str">
        <f t="shared" si="244"/>
        <v/>
      </c>
      <c r="L938" s="238" t="str">
        <f t="shared" si="245"/>
        <v/>
      </c>
      <c r="M938" s="238" t="str">
        <f t="shared" si="246"/>
        <v/>
      </c>
      <c r="N938" s="238" t="str">
        <f t="shared" si="247"/>
        <v/>
      </c>
      <c r="O938" s="232" t="str">
        <f t="shared" ref="O938:O985" si="257">IF(A938=1,B938,"")</f>
        <v/>
      </c>
      <c r="P938" s="219" t="str">
        <f t="shared" si="249"/>
        <v/>
      </c>
      <c r="Q938" s="219" t="str">
        <f t="shared" si="250"/>
        <v/>
      </c>
      <c r="R938" s="219" t="str">
        <f t="shared" si="251"/>
        <v/>
      </c>
      <c r="S938" s="330" t="str">
        <f t="shared" si="252"/>
        <v/>
      </c>
      <c r="T938" s="330" t="str">
        <f t="shared" si="253"/>
        <v/>
      </c>
      <c r="U938" s="330" t="str">
        <f t="shared" si="254"/>
        <v/>
      </c>
    </row>
    <row r="939" spans="1:21">
      <c r="A939" s="211">
        <f>IF(COUNTBLANK('RNEW import'!B937)=1,"",'RNEW import'!B937)</f>
        <v>36</v>
      </c>
      <c r="B939" s="211" t="str">
        <f>IF(COUNTBLANK('RNEW import'!D937)=1,"",'RNEW import'!D937)</f>
        <v>Nepi Ten Development Solutions  SRL</v>
      </c>
      <c r="C939" s="211" t="str">
        <f>IF(COUNTBLANK('RNEW import'!E937)=1,"",'RNEW import'!E937)</f>
        <v>RN10_Alexandria</v>
      </c>
      <c r="D939" s="211" t="str">
        <f>IF(COUNTBLANK('RNEW import'!K937)=1,"",'RNEW import'!K937)</f>
        <v>Regularizare Tarif distributie SDI JT Ea3</v>
      </c>
      <c r="E939" s="211">
        <f>IF(COUNTBLANK('RNEW import'!L937)=1,"",'RNEW import'!N937)</f>
        <v>0</v>
      </c>
      <c r="F939" s="211">
        <f>IF(COUNTBLANK('RNEW import'!M937)=1,"",'RNEW import'!O937/10000)</f>
        <v>0.10290000000000001</v>
      </c>
      <c r="G939" s="217">
        <f t="shared" si="255"/>
        <v>0</v>
      </c>
      <c r="H939" s="217">
        <f t="shared" si="248"/>
        <v>0</v>
      </c>
      <c r="I939" s="329">
        <f t="shared" si="256"/>
        <v>0</v>
      </c>
      <c r="J939" s="263" t="str">
        <f t="shared" si="243"/>
        <v/>
      </c>
      <c r="K939" s="238" t="str">
        <f t="shared" si="244"/>
        <v/>
      </c>
      <c r="L939" s="238" t="str">
        <f t="shared" si="245"/>
        <v/>
      </c>
      <c r="M939" s="238" t="str">
        <f t="shared" si="246"/>
        <v/>
      </c>
      <c r="N939" s="238" t="str">
        <f t="shared" si="247"/>
        <v/>
      </c>
      <c r="O939" s="232" t="str">
        <f t="shared" si="257"/>
        <v/>
      </c>
      <c r="P939" s="219" t="str">
        <f t="shared" si="249"/>
        <v>Energie consumata din PV regularizare</v>
      </c>
      <c r="Q939" s="219">
        <f t="shared" si="250"/>
        <v>0</v>
      </c>
      <c r="R939" s="219">
        <f t="shared" si="251"/>
        <v>0</v>
      </c>
      <c r="S939" s="330">
        <f t="shared" si="252"/>
        <v>0</v>
      </c>
      <c r="T939" s="330">
        <f t="shared" si="253"/>
        <v>0</v>
      </c>
      <c r="U939" s="330">
        <f t="shared" si="254"/>
        <v>0</v>
      </c>
    </row>
    <row r="940" spans="1:21" ht="30">
      <c r="A940" s="211">
        <f>IF(COUNTBLANK('RNEW import'!B938)=1,"",'RNEW import'!B938)</f>
        <v>1</v>
      </c>
      <c r="B940" s="211" t="str">
        <f>IF(COUNTBLANK('RNEW import'!D938)=1,"",'RNEW import'!D938)</f>
        <v>Nepi Ten Development Solutions  SRL</v>
      </c>
      <c r="C940" s="211" t="str">
        <f>IF(COUNTBLANK('RNEW import'!E938)=1,"",'RNEW import'!E938)</f>
        <v>RN10_Vaslui</v>
      </c>
      <c r="D940" s="211" t="str">
        <f>IF(COUNTBLANK('RNEW import'!K938)=1,"",'RNEW import'!K938)</f>
        <v>Energie activa 1</v>
      </c>
      <c r="E940" s="211">
        <f>IF(COUNTBLANK('RNEW import'!L938)=1,"",'RNEW import'!N938)</f>
        <v>18663</v>
      </c>
      <c r="F940" s="211">
        <f>IF(COUNTBLANK('RNEW import'!M938)=1,"",'RNEW import'!O938/10000)</f>
        <v>0.59499999999999997</v>
      </c>
      <c r="G940" s="217">
        <f t="shared" si="255"/>
        <v>11104.49</v>
      </c>
      <c r="H940" s="217">
        <f t="shared" si="248"/>
        <v>2109.85</v>
      </c>
      <c r="I940" s="329">
        <f t="shared" si="256"/>
        <v>13214.34</v>
      </c>
      <c r="J940" s="263" t="str">
        <f t="shared" si="243"/>
        <v>Nepi Ten Development Solutions  SRL - Vaslui</v>
      </c>
      <c r="K940" s="238">
        <f t="shared" si="244"/>
        <v>2919.6099999999997</v>
      </c>
      <c r="L940" s="238">
        <f t="shared" si="245"/>
        <v>16398.419999999998</v>
      </c>
      <c r="M940" s="238">
        <f t="shared" si="246"/>
        <v>14809.240000000002</v>
      </c>
      <c r="N940" s="238">
        <f t="shared" si="247"/>
        <v>25169</v>
      </c>
      <c r="O940" s="232" t="str">
        <f t="shared" si="257"/>
        <v>Nepi Ten Development Solutions  SRL</v>
      </c>
      <c r="P940" s="219" t="str">
        <f t="shared" si="249"/>
        <v>Enegie activa</v>
      </c>
      <c r="Q940" s="219">
        <f t="shared" si="250"/>
        <v>18663</v>
      </c>
      <c r="R940" s="219">
        <f t="shared" si="251"/>
        <v>0.94855800000000001</v>
      </c>
      <c r="S940" s="330">
        <f t="shared" si="252"/>
        <v>17702.93</v>
      </c>
      <c r="T940" s="330">
        <f t="shared" si="253"/>
        <v>3363.55</v>
      </c>
      <c r="U940" s="330">
        <f t="shared" si="254"/>
        <v>21066.48</v>
      </c>
    </row>
    <row r="941" spans="1:21">
      <c r="A941" s="211">
        <f>IF(COUNTBLANK('RNEW import'!B939)=1,"",'RNEW import'!B939)</f>
        <v>2</v>
      </c>
      <c r="B941" s="211" t="str">
        <f>IF(COUNTBLANK('RNEW import'!D939)=1,"",'RNEW import'!D939)</f>
        <v>Nepi Ten Development Solutions  SRL</v>
      </c>
      <c r="C941" s="211" t="str">
        <f>IF(COUNTBLANK('RNEW import'!E939)=1,"",'RNEW import'!E939)</f>
        <v>RN10_Vaslui</v>
      </c>
      <c r="D941" s="211" t="str">
        <f>IF(COUNTBLANK('RNEW import'!K939)=1,"",'RNEW import'!K939)</f>
        <v>Energie reactiva  1X</v>
      </c>
      <c r="E941" s="211">
        <f>IF(COUNTBLANK('RNEW import'!L939)=1,"",'RNEW import'!N939)</f>
        <v>0</v>
      </c>
      <c r="F941" s="211">
        <f>IF(COUNTBLANK('RNEW import'!M939)=1,"",'RNEW import'!O939/10000)</f>
        <v>0.14660000000000001</v>
      </c>
      <c r="G941" s="217">
        <f t="shared" si="255"/>
        <v>0</v>
      </c>
      <c r="H941" s="217">
        <f t="shared" si="248"/>
        <v>0</v>
      </c>
      <c r="I941" s="329">
        <f t="shared" si="256"/>
        <v>0</v>
      </c>
      <c r="J941" s="263" t="str">
        <f t="shared" si="243"/>
        <v/>
      </c>
      <c r="K941" s="238" t="str">
        <f t="shared" si="244"/>
        <v/>
      </c>
      <c r="L941" s="238" t="str">
        <f t="shared" si="245"/>
        <v/>
      </c>
      <c r="M941" s="238" t="str">
        <f t="shared" si="246"/>
        <v/>
      </c>
      <c r="N941" s="238" t="str">
        <f t="shared" si="247"/>
        <v/>
      </c>
      <c r="O941" s="232" t="str">
        <f t="shared" si="257"/>
        <v/>
      </c>
      <c r="P941" s="219" t="str">
        <f t="shared" si="249"/>
        <v>Energie reactiva 1x</v>
      </c>
      <c r="Q941" s="219">
        <f t="shared" si="250"/>
        <v>0</v>
      </c>
      <c r="R941" s="219">
        <f t="shared" si="251"/>
        <v>0.14660000000000001</v>
      </c>
      <c r="S941" s="330">
        <f t="shared" si="252"/>
        <v>0</v>
      </c>
      <c r="T941" s="330">
        <f t="shared" si="253"/>
        <v>0</v>
      </c>
      <c r="U941" s="330">
        <f t="shared" si="254"/>
        <v>0</v>
      </c>
    </row>
    <row r="942" spans="1:21">
      <c r="A942" s="211">
        <f>IF(COUNTBLANK('RNEW import'!B940)=1,"",'RNEW import'!B940)</f>
        <v>3</v>
      </c>
      <c r="B942" s="211" t="str">
        <f>IF(COUNTBLANK('RNEW import'!D940)=1,"",'RNEW import'!D940)</f>
        <v>Nepi Ten Development Solutions  SRL</v>
      </c>
      <c r="C942" s="211" t="str">
        <f>IF(COUNTBLANK('RNEW import'!E940)=1,"",'RNEW import'!E940)</f>
        <v>RN10_Vaslui</v>
      </c>
      <c r="D942" s="211" t="str">
        <f>IF(COUNTBLANK('RNEW import'!K940)=1,"",'RNEW import'!K940)</f>
        <v>Energie reactiva  3X</v>
      </c>
      <c r="E942" s="211">
        <f>IF(COUNTBLANK('RNEW import'!L940)=1,"",'RNEW import'!N940)</f>
        <v>0</v>
      </c>
      <c r="F942" s="211">
        <f>IF(COUNTBLANK('RNEW import'!M940)=1,"",'RNEW import'!O940/10000)</f>
        <v>0.43980000000000002</v>
      </c>
      <c r="G942" s="217">
        <f t="shared" si="255"/>
        <v>0</v>
      </c>
      <c r="H942" s="217">
        <f t="shared" si="248"/>
        <v>0</v>
      </c>
      <c r="I942" s="329">
        <f t="shared" si="256"/>
        <v>0</v>
      </c>
      <c r="J942" s="263" t="str">
        <f t="shared" si="243"/>
        <v/>
      </c>
      <c r="K942" s="238" t="str">
        <f t="shared" si="244"/>
        <v/>
      </c>
      <c r="L942" s="238" t="str">
        <f t="shared" si="245"/>
        <v/>
      </c>
      <c r="M942" s="238" t="str">
        <f t="shared" si="246"/>
        <v/>
      </c>
      <c r="N942" s="238" t="str">
        <f t="shared" si="247"/>
        <v/>
      </c>
      <c r="O942" s="232" t="str">
        <f t="shared" si="257"/>
        <v/>
      </c>
      <c r="P942" s="219" t="str">
        <f t="shared" si="249"/>
        <v>Energie reactiva 3x</v>
      </c>
      <c r="Q942" s="219">
        <f t="shared" si="250"/>
        <v>0</v>
      </c>
      <c r="R942" s="219">
        <f t="shared" si="251"/>
        <v>0.43980000000000002</v>
      </c>
      <c r="S942" s="330">
        <f t="shared" si="252"/>
        <v>0</v>
      </c>
      <c r="T942" s="330">
        <f t="shared" si="253"/>
        <v>0</v>
      </c>
      <c r="U942" s="330">
        <f t="shared" si="254"/>
        <v>0</v>
      </c>
    </row>
    <row r="943" spans="1:21">
      <c r="A943" s="211">
        <f>IF(COUNTBLANK('RNEW import'!B941)=1,"",'RNEW import'!B941)</f>
        <v>4</v>
      </c>
      <c r="B943" s="211" t="str">
        <f>IF(COUNTBLANK('RNEW import'!D941)=1,"",'RNEW import'!D941)</f>
        <v>Nepi Ten Development Solutions  SRL</v>
      </c>
      <c r="C943" s="211" t="str">
        <f>IF(COUNTBLANK('RNEW import'!E941)=1,"",'RNEW import'!E941)</f>
        <v>RN10_Vaslui</v>
      </c>
      <c r="D943" s="211" t="str">
        <f>IF(COUNTBLANK('RNEW import'!K941)=1,"",'RNEW import'!K941)</f>
        <v>Tarife distributie en. El IT+MT</v>
      </c>
      <c r="E943" s="211">
        <f>IF(COUNTBLANK('RNEW import'!L941)=1,"",'RNEW import'!N941)</f>
        <v>18663</v>
      </c>
      <c r="F943" s="211">
        <f>IF(COUNTBLANK('RNEW import'!M941)=1,"",'RNEW import'!O941/10000)</f>
        <v>0.11348</v>
      </c>
      <c r="G943" s="217">
        <f t="shared" si="255"/>
        <v>2117.88</v>
      </c>
      <c r="H943" s="217">
        <f t="shared" si="248"/>
        <v>402.4</v>
      </c>
      <c r="I943" s="329">
        <f t="shared" si="256"/>
        <v>2520.2800000000002</v>
      </c>
      <c r="J943" s="263" t="str">
        <f t="shared" si="243"/>
        <v/>
      </c>
      <c r="K943" s="238" t="str">
        <f t="shared" si="244"/>
        <v/>
      </c>
      <c r="L943" s="238" t="str">
        <f t="shared" si="245"/>
        <v/>
      </c>
      <c r="M943" s="238" t="str">
        <f t="shared" si="246"/>
        <v/>
      </c>
      <c r="N943" s="238" t="str">
        <f t="shared" si="247"/>
        <v/>
      </c>
      <c r="O943" s="232" t="str">
        <f t="shared" si="257"/>
        <v/>
      </c>
      <c r="P943" s="219" t="str">
        <f t="shared" si="249"/>
        <v/>
      </c>
      <c r="Q943" s="219" t="str">
        <f t="shared" si="250"/>
        <v/>
      </c>
      <c r="R943" s="219" t="str">
        <f t="shared" si="251"/>
        <v/>
      </c>
      <c r="S943" s="330" t="str">
        <f t="shared" si="252"/>
        <v/>
      </c>
      <c r="T943" s="330" t="str">
        <f t="shared" si="253"/>
        <v/>
      </c>
      <c r="U943" s="330" t="str">
        <f t="shared" si="254"/>
        <v/>
      </c>
    </row>
    <row r="944" spans="1:21">
      <c r="A944" s="211">
        <f>IF(COUNTBLANK('RNEW import'!B942)=1,"",'RNEW import'!B942)</f>
        <v>5</v>
      </c>
      <c r="B944" s="211" t="str">
        <f>IF(COUNTBLANK('RNEW import'!D942)=1,"",'RNEW import'!D942)</f>
        <v>Nepi Ten Development Solutions  SRL</v>
      </c>
      <c r="C944" s="211" t="str">
        <f>IF(COUNTBLANK('RNEW import'!E942)=1,"",'RNEW import'!E942)</f>
        <v>RN10_Vaslui</v>
      </c>
      <c r="D944" s="211" t="str">
        <f>IF(COUNTBLANK('RNEW import'!K942)=1,"",'RNEW import'!K942)</f>
        <v>Tarife distributie en. El JT</v>
      </c>
      <c r="E944" s="211">
        <f>IF(COUNTBLANK('RNEW import'!L942)=1,"",'RNEW import'!N942)</f>
        <v>0</v>
      </c>
      <c r="F944" s="211">
        <f>IF(COUNTBLANK('RNEW import'!M942)=1,"",'RNEW import'!O942/10000)</f>
        <v>0.23974999999999999</v>
      </c>
      <c r="G944" s="217">
        <f t="shared" si="255"/>
        <v>0</v>
      </c>
      <c r="H944" s="217">
        <f t="shared" si="248"/>
        <v>0</v>
      </c>
      <c r="I944" s="329">
        <f t="shared" si="256"/>
        <v>0</v>
      </c>
      <c r="J944" s="263" t="str">
        <f t="shared" si="243"/>
        <v/>
      </c>
      <c r="K944" s="238" t="str">
        <f t="shared" si="244"/>
        <v/>
      </c>
      <c r="L944" s="238" t="str">
        <f t="shared" si="245"/>
        <v/>
      </c>
      <c r="M944" s="238" t="str">
        <f t="shared" si="246"/>
        <v/>
      </c>
      <c r="N944" s="238" t="str">
        <f t="shared" si="247"/>
        <v/>
      </c>
      <c r="O944" s="232" t="str">
        <f t="shared" si="257"/>
        <v/>
      </c>
      <c r="P944" s="219" t="str">
        <f t="shared" si="249"/>
        <v/>
      </c>
      <c r="Q944" s="219" t="str">
        <f t="shared" si="250"/>
        <v/>
      </c>
      <c r="R944" s="219" t="str">
        <f t="shared" si="251"/>
        <v/>
      </c>
      <c r="S944" s="330" t="str">
        <f t="shared" si="252"/>
        <v/>
      </c>
      <c r="T944" s="330" t="str">
        <f t="shared" si="253"/>
        <v/>
      </c>
      <c r="U944" s="330" t="str">
        <f t="shared" si="254"/>
        <v/>
      </c>
    </row>
    <row r="945" spans="1:21">
      <c r="A945" s="211">
        <f>IF(COUNTBLANK('RNEW import'!B943)=1,"",'RNEW import'!B943)</f>
        <v>6</v>
      </c>
      <c r="B945" s="211" t="str">
        <f>IF(COUNTBLANK('RNEW import'!D943)=1,"",'RNEW import'!D943)</f>
        <v>Nepi Ten Development Solutions  SRL</v>
      </c>
      <c r="C945" s="211" t="str">
        <f>IF(COUNTBLANK('RNEW import'!E943)=1,"",'RNEW import'!E943)</f>
        <v>RN10_Vaslui</v>
      </c>
      <c r="D945" s="211" t="str">
        <f>IF(COUNTBLANK('RNEW import'!K943)=1,"",'RNEW import'!K943)</f>
        <v xml:space="preserve">Servicii Sistem </v>
      </c>
      <c r="E945" s="211">
        <f>IF(COUNTBLANK('RNEW import'!L943)=1,"",'RNEW import'!N943)</f>
        <v>18663</v>
      </c>
      <c r="F945" s="211">
        <f>IF(COUNTBLANK('RNEW import'!M943)=1,"",'RNEW import'!O943/10000)</f>
        <v>1.1509999999999999E-2</v>
      </c>
      <c r="G945" s="217">
        <f t="shared" si="255"/>
        <v>214.81</v>
      </c>
      <c r="H945" s="217">
        <f t="shared" si="248"/>
        <v>40.81</v>
      </c>
      <c r="I945" s="329">
        <f t="shared" si="256"/>
        <v>255.62</v>
      </c>
      <c r="J945" s="263" t="str">
        <f t="shared" ref="J945:J985" si="258">IF(A945=1,_xlfn.CONCAT(B945," - ",RIGHT(C945,LEN(C945)-FIND("_",C945,1))),"")</f>
        <v/>
      </c>
      <c r="K945" s="238" t="str">
        <f t="shared" si="244"/>
        <v/>
      </c>
      <c r="L945" s="238" t="str">
        <f t="shared" si="245"/>
        <v/>
      </c>
      <c r="M945" s="238" t="str">
        <f t="shared" si="246"/>
        <v/>
      </c>
      <c r="N945" s="238" t="str">
        <f t="shared" si="247"/>
        <v/>
      </c>
      <c r="O945" s="232" t="str">
        <f t="shared" si="257"/>
        <v/>
      </c>
      <c r="P945" s="219" t="str">
        <f t="shared" si="249"/>
        <v/>
      </c>
      <c r="Q945" s="219" t="str">
        <f t="shared" si="250"/>
        <v/>
      </c>
      <c r="R945" s="219" t="str">
        <f t="shared" si="251"/>
        <v/>
      </c>
      <c r="S945" s="330" t="str">
        <f t="shared" si="252"/>
        <v/>
      </c>
      <c r="T945" s="330" t="str">
        <f t="shared" si="253"/>
        <v/>
      </c>
      <c r="U945" s="330" t="str">
        <f t="shared" si="254"/>
        <v/>
      </c>
    </row>
    <row r="946" spans="1:21">
      <c r="A946" s="211">
        <f>IF(COUNTBLANK('RNEW import'!B944)=1,"",'RNEW import'!B944)</f>
        <v>7</v>
      </c>
      <c r="B946" s="211" t="str">
        <f>IF(COUNTBLANK('RNEW import'!D944)=1,"",'RNEW import'!D944)</f>
        <v>Nepi Ten Development Solutions  SRL</v>
      </c>
      <c r="C946" s="211" t="str">
        <f>IF(COUNTBLANK('RNEW import'!E944)=1,"",'RNEW import'!E944)</f>
        <v>RN10_Vaslui</v>
      </c>
      <c r="D946" s="211" t="str">
        <f>IF(COUNTBLANK('RNEW import'!K944)=1,"",'RNEW import'!K944)</f>
        <v>Tarif de introducere en. el in retea (TL)</v>
      </c>
      <c r="E946" s="211">
        <f>IF(COUNTBLANK('RNEW import'!L944)=1,"",'RNEW import'!N944)</f>
        <v>18663</v>
      </c>
      <c r="F946" s="211">
        <f>IF(COUNTBLANK('RNEW import'!M944)=1,"",'RNEW import'!O944/10000)</f>
        <v>3.3030000000000004E-2</v>
      </c>
      <c r="G946" s="217">
        <f t="shared" si="255"/>
        <v>616.44000000000005</v>
      </c>
      <c r="H946" s="217">
        <f t="shared" si="248"/>
        <v>117.12</v>
      </c>
      <c r="I946" s="329">
        <f t="shared" si="256"/>
        <v>733.56000000000006</v>
      </c>
      <c r="J946" s="263" t="str">
        <f t="shared" si="258"/>
        <v/>
      </c>
      <c r="K946" s="238" t="str">
        <f t="shared" si="244"/>
        <v/>
      </c>
      <c r="L946" s="238" t="str">
        <f t="shared" si="245"/>
        <v/>
      </c>
      <c r="M946" s="238" t="str">
        <f t="shared" si="246"/>
        <v/>
      </c>
      <c r="N946" s="238" t="str">
        <f t="shared" si="247"/>
        <v/>
      </c>
      <c r="O946" s="232" t="str">
        <f t="shared" si="257"/>
        <v/>
      </c>
      <c r="P946" s="219" t="str">
        <f t="shared" si="249"/>
        <v/>
      </c>
      <c r="Q946" s="219" t="str">
        <f t="shared" si="250"/>
        <v/>
      </c>
      <c r="R946" s="219" t="str">
        <f t="shared" si="251"/>
        <v/>
      </c>
      <c r="S946" s="330" t="str">
        <f t="shared" si="252"/>
        <v/>
      </c>
      <c r="T946" s="330" t="str">
        <f t="shared" si="253"/>
        <v/>
      </c>
      <c r="U946" s="330" t="str">
        <f t="shared" si="254"/>
        <v/>
      </c>
    </row>
    <row r="947" spans="1:21">
      <c r="A947" s="211">
        <f>IF(COUNTBLANK('RNEW import'!B945)=1,"",'RNEW import'!B945)</f>
        <v>8</v>
      </c>
      <c r="B947" s="211" t="str">
        <f>IF(COUNTBLANK('RNEW import'!D945)=1,"",'RNEW import'!D945)</f>
        <v>Nepi Ten Development Solutions  SRL</v>
      </c>
      <c r="C947" s="211" t="str">
        <f>IF(COUNTBLANK('RNEW import'!E945)=1,"",'RNEW import'!E945)</f>
        <v>RN10_Vaslui</v>
      </c>
      <c r="D947" s="211" t="str">
        <f>IF(COUNTBLANK('RNEW import'!K945)=1,"",'RNEW import'!K945)</f>
        <v>Tarif de introducere en.el in retea (TG)</v>
      </c>
      <c r="E947" s="211">
        <f>IF(COUNTBLANK('RNEW import'!L945)=1,"",'RNEW import'!N945)</f>
        <v>18663</v>
      </c>
      <c r="F947" s="211">
        <f>IF(COUNTBLANK('RNEW import'!M945)=1,"",'RNEW import'!O945/10000)</f>
        <v>3.29E-3</v>
      </c>
      <c r="G947" s="217">
        <f t="shared" si="255"/>
        <v>61.4</v>
      </c>
      <c r="H947" s="217">
        <f t="shared" si="248"/>
        <v>11.67</v>
      </c>
      <c r="I947" s="329">
        <f t="shared" si="256"/>
        <v>73.069999999999993</v>
      </c>
      <c r="J947" s="263" t="str">
        <f t="shared" si="258"/>
        <v/>
      </c>
      <c r="K947" s="238" t="str">
        <f t="shared" si="244"/>
        <v/>
      </c>
      <c r="L947" s="238" t="str">
        <f t="shared" si="245"/>
        <v/>
      </c>
      <c r="M947" s="238" t="str">
        <f t="shared" si="246"/>
        <v/>
      </c>
      <c r="N947" s="238" t="str">
        <f t="shared" si="247"/>
        <v/>
      </c>
      <c r="O947" s="232" t="str">
        <f t="shared" si="257"/>
        <v/>
      </c>
      <c r="P947" s="219" t="str">
        <f t="shared" si="249"/>
        <v/>
      </c>
      <c r="Q947" s="219" t="str">
        <f t="shared" si="250"/>
        <v/>
      </c>
      <c r="R947" s="219" t="str">
        <f t="shared" si="251"/>
        <v/>
      </c>
      <c r="S947" s="330" t="str">
        <f t="shared" si="252"/>
        <v/>
      </c>
      <c r="T947" s="330" t="str">
        <f t="shared" si="253"/>
        <v/>
      </c>
      <c r="U947" s="330" t="str">
        <f t="shared" si="254"/>
        <v/>
      </c>
    </row>
    <row r="948" spans="1:21">
      <c r="A948" s="211">
        <f>IF(COUNTBLANK('RNEW import'!B946)=1,"",'RNEW import'!B946)</f>
        <v>9</v>
      </c>
      <c r="B948" s="211" t="str">
        <f>IF(COUNTBLANK('RNEW import'!D946)=1,"",'RNEW import'!D946)</f>
        <v>Nepi Ten Development Solutions  SRL</v>
      </c>
      <c r="C948" s="211" t="str">
        <f>IF(COUNTBLANK('RNEW import'!E946)=1,"",'RNEW import'!E946)</f>
        <v>RN10_Vaslui</v>
      </c>
      <c r="D948" s="211" t="str">
        <f>IF(COUNTBLANK('RNEW import'!K946)=1,"",'RNEW import'!K946)</f>
        <v>Contributie pentru cogenerare</v>
      </c>
      <c r="E948" s="211">
        <f>IF(COUNTBLANK('RNEW import'!L946)=1,"",'RNEW import'!N946)</f>
        <v>18663</v>
      </c>
      <c r="F948" s="211">
        <f>IF(COUNTBLANK('RNEW import'!M946)=1,"",'RNEW import'!O946/10000)</f>
        <v>3.5000000000000001E-3</v>
      </c>
      <c r="G948" s="217">
        <f t="shared" si="255"/>
        <v>65.319999999999993</v>
      </c>
      <c r="H948" s="217">
        <f t="shared" si="248"/>
        <v>12.41</v>
      </c>
      <c r="I948" s="329">
        <f t="shared" si="256"/>
        <v>77.72999999999999</v>
      </c>
      <c r="J948" s="263" t="str">
        <f t="shared" si="258"/>
        <v/>
      </c>
      <c r="K948" s="238" t="str">
        <f t="shared" si="244"/>
        <v/>
      </c>
      <c r="L948" s="238" t="str">
        <f t="shared" si="245"/>
        <v/>
      </c>
      <c r="M948" s="238" t="str">
        <f t="shared" si="246"/>
        <v/>
      </c>
      <c r="N948" s="238" t="str">
        <f t="shared" si="247"/>
        <v/>
      </c>
      <c r="O948" s="232" t="str">
        <f t="shared" si="257"/>
        <v/>
      </c>
      <c r="P948" s="219" t="str">
        <f t="shared" si="249"/>
        <v/>
      </c>
      <c r="Q948" s="219" t="str">
        <f t="shared" si="250"/>
        <v/>
      </c>
      <c r="R948" s="219" t="str">
        <f t="shared" si="251"/>
        <v/>
      </c>
      <c r="S948" s="330" t="str">
        <f t="shared" si="252"/>
        <v/>
      </c>
      <c r="T948" s="330" t="str">
        <f t="shared" si="253"/>
        <v/>
      </c>
      <c r="U948" s="330" t="str">
        <f t="shared" si="254"/>
        <v/>
      </c>
    </row>
    <row r="949" spans="1:21">
      <c r="A949" s="211">
        <f>IF(COUNTBLANK('RNEW import'!B947)=1,"",'RNEW import'!B947)</f>
        <v>10</v>
      </c>
      <c r="B949" s="211" t="str">
        <f>IF(COUNTBLANK('RNEW import'!D947)=1,"",'RNEW import'!D947)</f>
        <v>Nepi Ten Development Solutions  SRL</v>
      </c>
      <c r="C949" s="211" t="str">
        <f>IF(COUNTBLANK('RNEW import'!E947)=1,"",'RNEW import'!E947)</f>
        <v>RN10_Vaslui</v>
      </c>
      <c r="D949" s="211" t="str">
        <f>IF(COUNTBLANK('RNEW import'!K947)=1,"",'RNEW import'!K947)</f>
        <v xml:space="preserve">Certificate verzi </v>
      </c>
      <c r="E949" s="211">
        <f>IF(COUNTBLANK('RNEW import'!L947)=1,"",'RNEW import'!N947)</f>
        <v>18663</v>
      </c>
      <c r="F949" s="211">
        <f>IF(COUNTBLANK('RNEW import'!M947)=1,"",'RNEW import'!O947/10000)</f>
        <v>7.2541599999999998E-2</v>
      </c>
      <c r="G949" s="217">
        <f t="shared" si="255"/>
        <v>1353.84</v>
      </c>
      <c r="H949" s="217">
        <f t="shared" si="248"/>
        <v>257.23</v>
      </c>
      <c r="I949" s="329">
        <f t="shared" si="256"/>
        <v>1611.07</v>
      </c>
      <c r="J949" s="263" t="str">
        <f t="shared" si="258"/>
        <v/>
      </c>
      <c r="K949" s="238" t="str">
        <f t="shared" si="244"/>
        <v/>
      </c>
      <c r="L949" s="238" t="str">
        <f t="shared" si="245"/>
        <v/>
      </c>
      <c r="M949" s="238" t="str">
        <f t="shared" si="246"/>
        <v/>
      </c>
      <c r="N949" s="238" t="str">
        <f t="shared" si="247"/>
        <v/>
      </c>
      <c r="O949" s="232" t="str">
        <f t="shared" si="257"/>
        <v/>
      </c>
      <c r="P949" s="219" t="str">
        <f t="shared" si="249"/>
        <v/>
      </c>
      <c r="Q949" s="219" t="str">
        <f t="shared" si="250"/>
        <v/>
      </c>
      <c r="R949" s="219" t="str">
        <f t="shared" si="251"/>
        <v/>
      </c>
      <c r="S949" s="330" t="str">
        <f t="shared" si="252"/>
        <v/>
      </c>
      <c r="T949" s="330" t="str">
        <f t="shared" si="253"/>
        <v/>
      </c>
      <c r="U949" s="330" t="str">
        <f t="shared" si="254"/>
        <v/>
      </c>
    </row>
    <row r="950" spans="1:21">
      <c r="A950" s="211">
        <f>IF(COUNTBLANK('RNEW import'!B948)=1,"",'RNEW import'!B948)</f>
        <v>11</v>
      </c>
      <c r="B950" s="211" t="str">
        <f>IF(COUNTBLANK('RNEW import'!D948)=1,"",'RNEW import'!D948)</f>
        <v>Nepi Ten Development Solutions  SRL</v>
      </c>
      <c r="C950" s="211" t="str">
        <f>IF(COUNTBLANK('RNEW import'!E948)=1,"",'RNEW import'!E948)</f>
        <v>RN10_Vaslui</v>
      </c>
      <c r="D950" s="211" t="str">
        <f>IF(COUNTBLANK('RNEW import'!K948)=1,"",'RNEW import'!K948)</f>
        <v>Contributie CFD</v>
      </c>
      <c r="E950" s="211">
        <f>IF(COUNTBLANK('RNEW import'!L948)=1,"",'RNEW import'!N948)</f>
        <v>18663</v>
      </c>
      <c r="F950" s="211">
        <f>IF(COUNTBLANK('RNEW import'!M948)=1,"",'RNEW import'!O948/10000)</f>
        <v>2.0599999999999999E-4</v>
      </c>
      <c r="G950" s="217">
        <f t="shared" si="255"/>
        <v>3.84</v>
      </c>
      <c r="H950" s="217">
        <f t="shared" si="248"/>
        <v>0.73</v>
      </c>
      <c r="I950" s="329">
        <f t="shared" si="256"/>
        <v>4.57</v>
      </c>
      <c r="J950" s="263" t="str">
        <f t="shared" si="258"/>
        <v/>
      </c>
      <c r="K950" s="238" t="str">
        <f t="shared" si="244"/>
        <v/>
      </c>
      <c r="L950" s="238" t="str">
        <f t="shared" si="245"/>
        <v/>
      </c>
      <c r="M950" s="238" t="str">
        <f t="shared" si="246"/>
        <v/>
      </c>
      <c r="N950" s="238" t="str">
        <f t="shared" si="247"/>
        <v/>
      </c>
      <c r="O950" s="232" t="str">
        <f t="shared" si="257"/>
        <v/>
      </c>
      <c r="P950" s="219" t="str">
        <f t="shared" si="249"/>
        <v/>
      </c>
      <c r="Q950" s="219" t="str">
        <f t="shared" si="250"/>
        <v/>
      </c>
      <c r="R950" s="219" t="str">
        <f t="shared" si="251"/>
        <v/>
      </c>
      <c r="S950" s="330" t="str">
        <f t="shared" si="252"/>
        <v/>
      </c>
      <c r="T950" s="330" t="str">
        <f t="shared" si="253"/>
        <v/>
      </c>
      <c r="U950" s="330" t="str">
        <f t="shared" si="254"/>
        <v/>
      </c>
    </row>
    <row r="951" spans="1:21">
      <c r="A951" s="211">
        <f>IF(COUNTBLANK('RNEW import'!B949)=1,"",'RNEW import'!B949)</f>
        <v>12</v>
      </c>
      <c r="B951" s="211" t="str">
        <f>IF(COUNTBLANK('RNEW import'!D949)=1,"",'RNEW import'!D949)</f>
        <v>Nepi Ten Development Solutions  SRL</v>
      </c>
      <c r="C951" s="211" t="str">
        <f>IF(COUNTBLANK('RNEW import'!E949)=1,"",'RNEW import'!E949)</f>
        <v>RN10_Vaslui</v>
      </c>
      <c r="D951" s="211" t="str">
        <f>IF(COUNTBLANK('RNEW import'!K949)=1,"",'RNEW import'!K949)</f>
        <v>Acciza</v>
      </c>
      <c r="E951" s="211">
        <f>IF(COUNTBLANK('RNEW import'!L949)=1,"",'RNEW import'!N949)</f>
        <v>18663</v>
      </c>
      <c r="F951" s="211">
        <f>IF(COUNTBLANK('RNEW import'!M949)=1,"",'RNEW import'!O949/10000)</f>
        <v>0</v>
      </c>
      <c r="G951" s="217">
        <f t="shared" si="255"/>
        <v>0</v>
      </c>
      <c r="H951" s="217">
        <f t="shared" si="248"/>
        <v>0</v>
      </c>
      <c r="I951" s="329">
        <f t="shared" si="256"/>
        <v>0</v>
      </c>
      <c r="J951" s="263" t="str">
        <f t="shared" si="258"/>
        <v/>
      </c>
      <c r="K951" s="238" t="str">
        <f t="shared" si="244"/>
        <v/>
      </c>
      <c r="L951" s="238" t="str">
        <f t="shared" si="245"/>
        <v/>
      </c>
      <c r="M951" s="238" t="str">
        <f t="shared" si="246"/>
        <v/>
      </c>
      <c r="N951" s="238" t="str">
        <f t="shared" si="247"/>
        <v/>
      </c>
      <c r="O951" s="232" t="str">
        <f t="shared" si="257"/>
        <v/>
      </c>
      <c r="P951" s="219" t="str">
        <f t="shared" si="249"/>
        <v/>
      </c>
      <c r="Q951" s="219" t="str">
        <f t="shared" si="250"/>
        <v/>
      </c>
      <c r="R951" s="219" t="str">
        <f t="shared" si="251"/>
        <v/>
      </c>
      <c r="S951" s="330" t="str">
        <f t="shared" si="252"/>
        <v/>
      </c>
      <c r="T951" s="330" t="str">
        <f t="shared" si="253"/>
        <v/>
      </c>
      <c r="U951" s="330" t="str">
        <f t="shared" si="254"/>
        <v/>
      </c>
    </row>
    <row r="952" spans="1:21">
      <c r="A952" s="211">
        <f>IF(COUNTBLANK('RNEW import'!B950)=1,"",'RNEW import'!B950)</f>
        <v>13</v>
      </c>
      <c r="B952" s="211" t="str">
        <f>IF(COUNTBLANK('RNEW import'!D950)=1,"",'RNEW import'!D950)</f>
        <v>Nepi Ten Development Solutions  SRL</v>
      </c>
      <c r="C952" s="211" t="str">
        <f>IF(COUNTBLANK('RNEW import'!E950)=1,"",'RNEW import'!E950)</f>
        <v>RN10_Vaslui</v>
      </c>
      <c r="D952" s="211" t="str">
        <f>IF(COUNTBLANK('RNEW import'!K950)=1,"",'RNEW import'!K950)</f>
        <v>Tarif distributie SDI MT</v>
      </c>
      <c r="E952" s="211">
        <f>IF(COUNTBLANK('RNEW import'!L950)=1,"",'RNEW import'!N950)</f>
        <v>18663</v>
      </c>
      <c r="F952" s="211">
        <f>IF(COUNTBLANK('RNEW import'!M950)=1,"",'RNEW import'!O950/10000)</f>
        <v>1.3100000000000001E-2</v>
      </c>
      <c r="G952" s="217">
        <f t="shared" si="255"/>
        <v>244.49</v>
      </c>
      <c r="H952" s="217">
        <f t="shared" si="248"/>
        <v>46.45</v>
      </c>
      <c r="I952" s="329">
        <f t="shared" si="256"/>
        <v>290.94</v>
      </c>
      <c r="J952" s="263" t="str">
        <f t="shared" si="258"/>
        <v/>
      </c>
      <c r="K952" s="238" t="str">
        <f t="shared" si="244"/>
        <v/>
      </c>
      <c r="L952" s="238" t="str">
        <f t="shared" si="245"/>
        <v/>
      </c>
      <c r="M952" s="238" t="str">
        <f t="shared" si="246"/>
        <v/>
      </c>
      <c r="N952" s="238" t="str">
        <f t="shared" si="247"/>
        <v/>
      </c>
      <c r="O952" s="232" t="str">
        <f t="shared" si="257"/>
        <v/>
      </c>
      <c r="P952" s="219" t="str">
        <f t="shared" si="249"/>
        <v/>
      </c>
      <c r="Q952" s="219" t="str">
        <f t="shared" si="250"/>
        <v/>
      </c>
      <c r="R952" s="219" t="str">
        <f t="shared" si="251"/>
        <v/>
      </c>
      <c r="S952" s="330" t="str">
        <f t="shared" si="252"/>
        <v/>
      </c>
      <c r="T952" s="330" t="str">
        <f t="shared" si="253"/>
        <v/>
      </c>
      <c r="U952" s="330" t="str">
        <f t="shared" si="254"/>
        <v/>
      </c>
    </row>
    <row r="953" spans="1:21">
      <c r="A953" s="211">
        <f>IF(COUNTBLANK('RNEW import'!B951)=1,"",'RNEW import'!B951)</f>
        <v>14</v>
      </c>
      <c r="B953" s="211" t="str">
        <f>IF(COUNTBLANK('RNEW import'!D951)=1,"",'RNEW import'!D951)</f>
        <v>Nepi Ten Development Solutions  SRL</v>
      </c>
      <c r="C953" s="211" t="str">
        <f>IF(COUNTBLANK('RNEW import'!E951)=1,"",'RNEW import'!E951)</f>
        <v>RN10_Vaslui</v>
      </c>
      <c r="D953" s="211" t="str">
        <f>IF(COUNTBLANK('RNEW import'!K951)=1,"",'RNEW import'!K951)</f>
        <v>Tarif distributie SDI JT</v>
      </c>
      <c r="E953" s="211">
        <f>IF(COUNTBLANK('RNEW import'!L951)=1,"",'RNEW import'!N951)</f>
        <v>18663</v>
      </c>
      <c r="F953" s="211">
        <f>IF(COUNTBLANK('RNEW import'!M951)=1,"",'RNEW import'!O951/10000)</f>
        <v>0.10290000000000001</v>
      </c>
      <c r="G953" s="217">
        <f t="shared" si="255"/>
        <v>1920.42</v>
      </c>
      <c r="H953" s="217">
        <f t="shared" si="248"/>
        <v>364.88</v>
      </c>
      <c r="I953" s="329">
        <f t="shared" si="256"/>
        <v>2285.3000000000002</v>
      </c>
      <c r="J953" s="263" t="str">
        <f t="shared" si="258"/>
        <v/>
      </c>
      <c r="K953" s="238" t="str">
        <f t="shared" si="244"/>
        <v/>
      </c>
      <c r="L953" s="238" t="str">
        <f t="shared" si="245"/>
        <v/>
      </c>
      <c r="M953" s="238" t="str">
        <f t="shared" si="246"/>
        <v/>
      </c>
      <c r="N953" s="238" t="str">
        <f t="shared" si="247"/>
        <v/>
      </c>
      <c r="O953" s="232" t="str">
        <f t="shared" si="257"/>
        <v/>
      </c>
      <c r="P953" s="219" t="str">
        <f t="shared" si="249"/>
        <v/>
      </c>
      <c r="Q953" s="219" t="str">
        <f t="shared" si="250"/>
        <v/>
      </c>
      <c r="R953" s="219" t="str">
        <f t="shared" si="251"/>
        <v/>
      </c>
      <c r="S953" s="330" t="str">
        <f t="shared" si="252"/>
        <v/>
      </c>
      <c r="T953" s="330" t="str">
        <f t="shared" si="253"/>
        <v/>
      </c>
      <c r="U953" s="330" t="str">
        <f t="shared" si="254"/>
        <v/>
      </c>
    </row>
    <row r="954" spans="1:21">
      <c r="A954" s="211">
        <f>IF(COUNTBLANK('RNEW import'!B952)=1,"",'RNEW import'!B952)</f>
        <v>15</v>
      </c>
      <c r="B954" s="211" t="str">
        <f>IF(COUNTBLANK('RNEW import'!D952)=1,"",'RNEW import'!D952)</f>
        <v>Nepi Ten Development Solutions  SRL</v>
      </c>
      <c r="C954" s="211" t="str">
        <f>IF(COUNTBLANK('RNEW import'!E952)=1,"",'RNEW import'!E952)</f>
        <v>RN10_Vaslui</v>
      </c>
      <c r="D954" s="211" t="str">
        <f>IF(COUNTBLANK('RNEW import'!K952)=1,"",'RNEW import'!K952)</f>
        <v>Energie activa 2</v>
      </c>
      <c r="E954" s="211">
        <f>IF(COUNTBLANK('RNEW import'!L952)=1,"",'RNEW import'!N952)</f>
        <v>9902</v>
      </c>
      <c r="F954" s="211">
        <f>IF(COUNTBLANK('RNEW import'!M952)=1,"",'RNEW import'!O952/10000)</f>
        <v>0.94855759999999989</v>
      </c>
      <c r="G954" s="217">
        <f t="shared" si="255"/>
        <v>9392.6200000000008</v>
      </c>
      <c r="H954" s="217">
        <f t="shared" si="248"/>
        <v>1784.6</v>
      </c>
      <c r="I954" s="329">
        <f t="shared" si="256"/>
        <v>11177.220000000001</v>
      </c>
      <c r="J954" s="263" t="str">
        <f t="shared" si="258"/>
        <v/>
      </c>
      <c r="K954" s="238" t="str">
        <f t="shared" si="244"/>
        <v/>
      </c>
      <c r="L954" s="238" t="str">
        <f t="shared" si="245"/>
        <v/>
      </c>
      <c r="M954" s="238" t="str">
        <f t="shared" si="246"/>
        <v/>
      </c>
      <c r="N954" s="238" t="str">
        <f t="shared" si="247"/>
        <v/>
      </c>
      <c r="O954" s="232" t="str">
        <f t="shared" si="257"/>
        <v/>
      </c>
      <c r="P954" s="219" t="str">
        <f t="shared" si="249"/>
        <v/>
      </c>
      <c r="Q954" s="219" t="str">
        <f t="shared" si="250"/>
        <v/>
      </c>
      <c r="R954" s="219" t="str">
        <f t="shared" si="251"/>
        <v/>
      </c>
      <c r="S954" s="330" t="str">
        <f t="shared" si="252"/>
        <v/>
      </c>
      <c r="T954" s="330" t="str">
        <f t="shared" si="253"/>
        <v/>
      </c>
      <c r="U954" s="330" t="str">
        <f t="shared" si="254"/>
        <v/>
      </c>
    </row>
    <row r="955" spans="1:21">
      <c r="A955" s="211">
        <f>IF(COUNTBLANK('RNEW import'!B953)=1,"",'RNEW import'!B953)</f>
        <v>16</v>
      </c>
      <c r="B955" s="211" t="str">
        <f>IF(COUNTBLANK('RNEW import'!D953)=1,"",'RNEW import'!D953)</f>
        <v>Nepi Ten Development Solutions  SRL</v>
      </c>
      <c r="C955" s="211" t="str">
        <f>IF(COUNTBLANK('RNEW import'!E953)=1,"",'RNEW import'!E953)</f>
        <v>RN10_Vaslui</v>
      </c>
      <c r="D955" s="211" t="str">
        <f>IF(COUNTBLANK('RNEW import'!K953)=1,"",'RNEW import'!K953)</f>
        <v>Energie activa 3</v>
      </c>
      <c r="E955" s="211">
        <f>IF(COUNTBLANK('RNEW import'!L953)=1,"",'RNEW import'!N953)</f>
        <v>6506</v>
      </c>
      <c r="F955" s="211">
        <f>IF(COUNTBLANK('RNEW import'!M953)=1,"",'RNEW import'!O953/10000)</f>
        <v>0.83255760000000012</v>
      </c>
      <c r="G955" s="217">
        <f t="shared" si="255"/>
        <v>5416.62</v>
      </c>
      <c r="H955" s="217">
        <f t="shared" si="248"/>
        <v>1029.1600000000001</v>
      </c>
      <c r="I955" s="329">
        <f t="shared" si="256"/>
        <v>6445.78</v>
      </c>
      <c r="J955" s="263" t="str">
        <f t="shared" si="258"/>
        <v/>
      </c>
      <c r="K955" s="238" t="str">
        <f t="shared" si="244"/>
        <v/>
      </c>
      <c r="L955" s="238" t="str">
        <f t="shared" si="245"/>
        <v/>
      </c>
      <c r="M955" s="238" t="str">
        <f t="shared" si="246"/>
        <v/>
      </c>
      <c r="N955" s="238" t="str">
        <f t="shared" si="247"/>
        <v/>
      </c>
      <c r="O955" s="233" t="str">
        <f t="shared" si="257"/>
        <v/>
      </c>
      <c r="P955" s="219" t="str">
        <f t="shared" si="249"/>
        <v/>
      </c>
      <c r="Q955" s="219" t="str">
        <f t="shared" si="250"/>
        <v/>
      </c>
      <c r="R955" s="219" t="str">
        <f t="shared" si="251"/>
        <v/>
      </c>
      <c r="S955" s="330" t="str">
        <f t="shared" si="252"/>
        <v/>
      </c>
      <c r="T955" s="330" t="str">
        <f t="shared" si="253"/>
        <v/>
      </c>
      <c r="U955" s="330" t="str">
        <f t="shared" si="254"/>
        <v/>
      </c>
    </row>
    <row r="956" spans="1:21">
      <c r="A956" s="211">
        <f>IF(COUNTBLANK('RNEW import'!B954)=1,"",'RNEW import'!B954)</f>
        <v>17</v>
      </c>
      <c r="B956" s="211" t="str">
        <f>IF(COUNTBLANK('RNEW import'!D954)=1,"",'RNEW import'!D954)</f>
        <v>Nepi Ten Development Solutions  SRL</v>
      </c>
      <c r="C956" s="211" t="str">
        <f>IF(COUNTBLANK('RNEW import'!E954)=1,"",'RNEW import'!E954)</f>
        <v>RN10_Vaslui</v>
      </c>
      <c r="D956" s="211" t="str">
        <f>IF(COUNTBLANK('RNEW import'!K954)=1,"",'RNEW import'!K954)</f>
        <v>Tarif distributie SDI MT_</v>
      </c>
      <c r="E956" s="211">
        <f>IF(COUNTBLANK('RNEW import'!L954)=1,"",'RNEW import'!N954)</f>
        <v>6506</v>
      </c>
      <c r="F956" s="211">
        <f>IF(COUNTBLANK('RNEW import'!M954)=1,"",'RNEW import'!O954/10000)</f>
        <v>1.3100000000000001E-2</v>
      </c>
      <c r="G956" s="217">
        <f t="shared" si="255"/>
        <v>85.23</v>
      </c>
      <c r="H956" s="217">
        <f t="shared" si="248"/>
        <v>16.190000000000001</v>
      </c>
      <c r="I956" s="329">
        <f t="shared" si="256"/>
        <v>101.42</v>
      </c>
      <c r="J956" s="263" t="str">
        <f t="shared" si="258"/>
        <v/>
      </c>
      <c r="K956" s="238" t="str">
        <f t="shared" si="244"/>
        <v/>
      </c>
      <c r="L956" s="238" t="str">
        <f t="shared" si="245"/>
        <v/>
      </c>
      <c r="M956" s="238" t="str">
        <f t="shared" si="246"/>
        <v/>
      </c>
      <c r="N956" s="238" t="str">
        <f t="shared" si="247"/>
        <v/>
      </c>
      <c r="O956" s="218" t="str">
        <f t="shared" si="257"/>
        <v/>
      </c>
      <c r="P956" s="219" t="str">
        <f t="shared" si="249"/>
        <v/>
      </c>
      <c r="Q956" s="219" t="str">
        <f t="shared" si="250"/>
        <v/>
      </c>
      <c r="R956" s="219" t="str">
        <f t="shared" si="251"/>
        <v/>
      </c>
      <c r="S956" s="330" t="str">
        <f t="shared" si="252"/>
        <v/>
      </c>
      <c r="T956" s="330" t="str">
        <f t="shared" si="253"/>
        <v/>
      </c>
      <c r="U956" s="330" t="str">
        <f t="shared" si="254"/>
        <v/>
      </c>
    </row>
    <row r="957" spans="1:21">
      <c r="A957" s="211">
        <f>IF(COUNTBLANK('RNEW import'!B955)=1,"",'RNEW import'!B955)</f>
        <v>18</v>
      </c>
      <c r="B957" s="211" t="str">
        <f>IF(COUNTBLANK('RNEW import'!D955)=1,"",'RNEW import'!D955)</f>
        <v>Nepi Ten Development Solutions  SRL</v>
      </c>
      <c r="C957" s="211" t="str">
        <f>IF(COUNTBLANK('RNEW import'!E955)=1,"",'RNEW import'!E955)</f>
        <v>RN10_Vaslui</v>
      </c>
      <c r="D957" s="211" t="str">
        <f>IF(COUNTBLANK('RNEW import'!K955)=1,"",'RNEW import'!K955)</f>
        <v>Tarif distributie SDI JT_</v>
      </c>
      <c r="E957" s="211">
        <f>IF(COUNTBLANK('RNEW import'!L955)=1,"",'RNEW import'!N955)</f>
        <v>6506</v>
      </c>
      <c r="F957" s="211">
        <f>IF(COUNTBLANK('RNEW import'!M955)=1,"",'RNEW import'!O955/10000)</f>
        <v>0.10290000000000001</v>
      </c>
      <c r="G957" s="217">
        <f t="shared" si="255"/>
        <v>669.47</v>
      </c>
      <c r="H957" s="217">
        <f t="shared" si="248"/>
        <v>127.2</v>
      </c>
      <c r="I957" s="329">
        <f t="shared" si="256"/>
        <v>796.67000000000007</v>
      </c>
      <c r="J957" s="263" t="str">
        <f t="shared" si="258"/>
        <v/>
      </c>
      <c r="K957" s="238" t="str">
        <f t="shared" si="244"/>
        <v/>
      </c>
      <c r="L957" s="238" t="str">
        <f t="shared" si="245"/>
        <v/>
      </c>
      <c r="M957" s="238" t="str">
        <f t="shared" si="246"/>
        <v/>
      </c>
      <c r="N957" s="238" t="str">
        <f t="shared" si="247"/>
        <v/>
      </c>
      <c r="O957" s="232" t="str">
        <f t="shared" si="257"/>
        <v/>
      </c>
      <c r="P957" s="219" t="str">
        <f t="shared" si="249"/>
        <v>Energie consumata din PV</v>
      </c>
      <c r="Q957" s="219">
        <f t="shared" si="250"/>
        <v>16408</v>
      </c>
      <c r="R957" s="219">
        <f t="shared" si="251"/>
        <v>0.94855800000000001</v>
      </c>
      <c r="S957" s="330">
        <f t="shared" si="252"/>
        <v>15563.94</v>
      </c>
      <c r="T957" s="330">
        <f t="shared" si="253"/>
        <v>2957.15</v>
      </c>
      <c r="U957" s="330">
        <f t="shared" si="254"/>
        <v>18521.09</v>
      </c>
    </row>
    <row r="958" spans="1:21">
      <c r="A958" s="211">
        <f>IF(COUNTBLANK('RNEW import'!B956)=1,"",'RNEW import'!B956)</f>
        <v>19</v>
      </c>
      <c r="B958" s="211" t="str">
        <f>IF(COUNTBLANK('RNEW import'!D956)=1,"",'RNEW import'!D956)</f>
        <v>Nepi Ten Development Solutions  SRL</v>
      </c>
      <c r="C958" s="211" t="str">
        <f>IF(COUNTBLANK('RNEW import'!E956)=1,"",'RNEW import'!E956)</f>
        <v>RN10_Vaslui</v>
      </c>
      <c r="D958" s="211" t="str">
        <f>IF(COUNTBLANK('RNEW import'!K956)=1,"",'RNEW import'!K956)</f>
        <v>Regularizare Energie activa 1</v>
      </c>
      <c r="E958" s="211">
        <f>IF(COUNTBLANK('RNEW import'!L956)=1,"",'RNEW import'!N956)</f>
        <v>0</v>
      </c>
      <c r="F958" s="211">
        <f>IF(COUNTBLANK('RNEW import'!M956)=1,"",'RNEW import'!O956/10000)</f>
        <v>0.59499999999999997</v>
      </c>
      <c r="G958" s="217">
        <f t="shared" si="255"/>
        <v>0</v>
      </c>
      <c r="H958" s="217">
        <f t="shared" si="248"/>
        <v>0</v>
      </c>
      <c r="I958" s="329">
        <f t="shared" si="256"/>
        <v>0</v>
      </c>
      <c r="J958" s="263" t="str">
        <f t="shared" si="258"/>
        <v/>
      </c>
      <c r="K958" s="238" t="str">
        <f t="shared" si="244"/>
        <v/>
      </c>
      <c r="L958" s="238" t="str">
        <f t="shared" si="245"/>
        <v/>
      </c>
      <c r="M958" s="238" t="str">
        <f t="shared" si="246"/>
        <v/>
      </c>
      <c r="N958" s="238" t="str">
        <f t="shared" si="247"/>
        <v/>
      </c>
      <c r="O958" s="232" t="str">
        <f t="shared" si="257"/>
        <v/>
      </c>
      <c r="P958" s="219" t="str">
        <f t="shared" si="249"/>
        <v>Energie activa regularizare</v>
      </c>
      <c r="Q958" s="219">
        <f t="shared" si="250"/>
        <v>0</v>
      </c>
      <c r="R958" s="219">
        <f t="shared" si="251"/>
        <v>0</v>
      </c>
      <c r="S958" s="330">
        <f t="shared" si="252"/>
        <v>0</v>
      </c>
      <c r="T958" s="330">
        <f t="shared" si="253"/>
        <v>0</v>
      </c>
      <c r="U958" s="330">
        <f t="shared" si="254"/>
        <v>0</v>
      </c>
    </row>
    <row r="959" spans="1:21">
      <c r="A959" s="211">
        <f>IF(COUNTBLANK('RNEW import'!B957)=1,"",'RNEW import'!B957)</f>
        <v>20</v>
      </c>
      <c r="B959" s="211" t="str">
        <f>IF(COUNTBLANK('RNEW import'!D957)=1,"",'RNEW import'!D957)</f>
        <v>Nepi Ten Development Solutions  SRL</v>
      </c>
      <c r="C959" s="211" t="str">
        <f>IF(COUNTBLANK('RNEW import'!E957)=1,"",'RNEW import'!E957)</f>
        <v>RN10_Vaslui</v>
      </c>
      <c r="D959" s="211" t="str">
        <f>IF(COUNTBLANK('RNEW import'!K957)=1,"",'RNEW import'!K957)</f>
        <v>Regularizare Energie reactiva  1X</v>
      </c>
      <c r="E959" s="211">
        <f>IF(COUNTBLANK('RNEW import'!L957)=1,"",'RNEW import'!N957)</f>
        <v>3553</v>
      </c>
      <c r="F959" s="211">
        <f>IF(COUNTBLANK('RNEW import'!M957)=1,"",'RNEW import'!O957/10000)</f>
        <v>0.14660000000000001</v>
      </c>
      <c r="G959" s="217">
        <f t="shared" si="255"/>
        <v>520.87</v>
      </c>
      <c r="H959" s="217">
        <f t="shared" si="248"/>
        <v>98.97</v>
      </c>
      <c r="I959" s="329">
        <f t="shared" si="256"/>
        <v>619.84</v>
      </c>
      <c r="J959" s="263" t="str">
        <f t="shared" si="258"/>
        <v/>
      </c>
      <c r="K959" s="238" t="str">
        <f t="shared" si="244"/>
        <v/>
      </c>
      <c r="L959" s="238" t="str">
        <f t="shared" si="245"/>
        <v/>
      </c>
      <c r="M959" s="238" t="str">
        <f t="shared" si="246"/>
        <v/>
      </c>
      <c r="N959" s="238" t="str">
        <f t="shared" si="247"/>
        <v/>
      </c>
      <c r="O959" s="232" t="str">
        <f t="shared" si="257"/>
        <v/>
      </c>
      <c r="P959" s="219" t="str">
        <f t="shared" si="249"/>
        <v>Energie reactiva 1x regularizare</v>
      </c>
      <c r="Q959" s="219">
        <f t="shared" si="250"/>
        <v>3553</v>
      </c>
      <c r="R959" s="219">
        <f t="shared" si="251"/>
        <v>0.14660000000000001</v>
      </c>
      <c r="S959" s="330">
        <f t="shared" si="252"/>
        <v>520.87</v>
      </c>
      <c r="T959" s="330">
        <f t="shared" si="253"/>
        <v>98.97</v>
      </c>
      <c r="U959" s="330">
        <f t="shared" si="254"/>
        <v>619.84</v>
      </c>
    </row>
    <row r="960" spans="1:21">
      <c r="A960" s="211">
        <f>IF(COUNTBLANK('RNEW import'!B958)=1,"",'RNEW import'!B958)</f>
        <v>21</v>
      </c>
      <c r="B960" s="211" t="str">
        <f>IF(COUNTBLANK('RNEW import'!D958)=1,"",'RNEW import'!D958)</f>
        <v>Nepi Ten Development Solutions  SRL</v>
      </c>
      <c r="C960" s="211" t="str">
        <f>IF(COUNTBLANK('RNEW import'!E958)=1,"",'RNEW import'!E958)</f>
        <v>RN10_Vaslui</v>
      </c>
      <c r="D960" s="211" t="str">
        <f>IF(COUNTBLANK('RNEW import'!K958)=1,"",'RNEW import'!K958)</f>
        <v>Regularizare Energie reactiva  3X</v>
      </c>
      <c r="E960" s="211">
        <f>IF(COUNTBLANK('RNEW import'!L958)=1,"",'RNEW import'!N958)</f>
        <v>772</v>
      </c>
      <c r="F960" s="211">
        <f>IF(COUNTBLANK('RNEW import'!M958)=1,"",'RNEW import'!O958/10000)</f>
        <v>0.43980000000000002</v>
      </c>
      <c r="G960" s="217">
        <f t="shared" si="255"/>
        <v>339.53</v>
      </c>
      <c r="H960" s="217">
        <f t="shared" si="248"/>
        <v>64.510000000000005</v>
      </c>
      <c r="I960" s="329">
        <f t="shared" si="256"/>
        <v>404.03999999999996</v>
      </c>
      <c r="J960" s="263" t="str">
        <f t="shared" si="258"/>
        <v/>
      </c>
      <c r="K960" s="238" t="str">
        <f t="shared" si="244"/>
        <v/>
      </c>
      <c r="L960" s="238" t="str">
        <f t="shared" si="245"/>
        <v/>
      </c>
      <c r="M960" s="238" t="str">
        <f t="shared" si="246"/>
        <v/>
      </c>
      <c r="N960" s="238" t="str">
        <f t="shared" si="247"/>
        <v/>
      </c>
      <c r="O960" s="232" t="str">
        <f t="shared" si="257"/>
        <v/>
      </c>
      <c r="P960" s="219" t="str">
        <f t="shared" si="249"/>
        <v>Energie reactiva 3x regularizare</v>
      </c>
      <c r="Q960" s="219">
        <f t="shared" si="250"/>
        <v>772</v>
      </c>
      <c r="R960" s="219">
        <f t="shared" si="251"/>
        <v>0.43980000000000002</v>
      </c>
      <c r="S960" s="330">
        <f t="shared" si="252"/>
        <v>339.53</v>
      </c>
      <c r="T960" s="330">
        <f t="shared" si="253"/>
        <v>64.510000000000005</v>
      </c>
      <c r="U960" s="330">
        <f t="shared" si="254"/>
        <v>404.04</v>
      </c>
    </row>
    <row r="961" spans="1:21">
      <c r="A961" s="211">
        <f>IF(COUNTBLANK('RNEW import'!B959)=1,"",'RNEW import'!B959)</f>
        <v>22</v>
      </c>
      <c r="B961" s="211" t="str">
        <f>IF(COUNTBLANK('RNEW import'!D959)=1,"",'RNEW import'!D959)</f>
        <v>Nepi Ten Development Solutions  SRL</v>
      </c>
      <c r="C961" s="211" t="str">
        <f>IF(COUNTBLANK('RNEW import'!E959)=1,"",'RNEW import'!E959)</f>
        <v>RN10_Vaslui</v>
      </c>
      <c r="D961" s="211" t="str">
        <f>IF(COUNTBLANK('RNEW import'!K959)=1,"",'RNEW import'!K959)</f>
        <v>Regularizare Tarife distributie en. El IT+MT</v>
      </c>
      <c r="E961" s="211">
        <f>IF(COUNTBLANK('RNEW import'!L959)=1,"",'RNEW import'!N959)</f>
        <v>0</v>
      </c>
      <c r="F961" s="211">
        <f>IF(COUNTBLANK('RNEW import'!M959)=1,"",'RNEW import'!O959/10000)</f>
        <v>0.11348</v>
      </c>
      <c r="G961" s="217">
        <f t="shared" si="255"/>
        <v>0</v>
      </c>
      <c r="H961" s="217">
        <f t="shared" si="248"/>
        <v>0</v>
      </c>
      <c r="I961" s="329">
        <f t="shared" si="256"/>
        <v>0</v>
      </c>
      <c r="J961" s="263" t="str">
        <f t="shared" si="258"/>
        <v/>
      </c>
      <c r="K961" s="238" t="str">
        <f t="shared" si="244"/>
        <v/>
      </c>
      <c r="L961" s="238" t="str">
        <f t="shared" si="245"/>
        <v/>
      </c>
      <c r="M961" s="238" t="str">
        <f t="shared" si="246"/>
        <v/>
      </c>
      <c r="N961" s="238" t="str">
        <f t="shared" si="247"/>
        <v/>
      </c>
      <c r="O961" s="232" t="str">
        <f t="shared" si="257"/>
        <v/>
      </c>
      <c r="P961" s="219" t="str">
        <f t="shared" si="249"/>
        <v/>
      </c>
      <c r="Q961" s="219" t="str">
        <f t="shared" si="250"/>
        <v/>
      </c>
      <c r="R961" s="219" t="str">
        <f t="shared" si="251"/>
        <v/>
      </c>
      <c r="S961" s="330" t="str">
        <f t="shared" si="252"/>
        <v/>
      </c>
      <c r="T961" s="330" t="str">
        <f t="shared" si="253"/>
        <v/>
      </c>
      <c r="U961" s="330" t="str">
        <f t="shared" si="254"/>
        <v/>
      </c>
    </row>
    <row r="962" spans="1:21">
      <c r="A962" s="211">
        <f>IF(COUNTBLANK('RNEW import'!B960)=1,"",'RNEW import'!B960)</f>
        <v>23</v>
      </c>
      <c r="B962" s="211" t="str">
        <f>IF(COUNTBLANK('RNEW import'!D960)=1,"",'RNEW import'!D960)</f>
        <v>Nepi Ten Development Solutions  SRL</v>
      </c>
      <c r="C962" s="211" t="str">
        <f>IF(COUNTBLANK('RNEW import'!E960)=1,"",'RNEW import'!E960)</f>
        <v>RN10_Vaslui</v>
      </c>
      <c r="D962" s="211" t="str">
        <f>IF(COUNTBLANK('RNEW import'!K960)=1,"",'RNEW import'!K960)</f>
        <v>Regularizare Tarife distributie en. El JT</v>
      </c>
      <c r="E962" s="211">
        <f>IF(COUNTBLANK('RNEW import'!L960)=1,"",'RNEW import'!N960)</f>
        <v>0</v>
      </c>
      <c r="F962" s="211">
        <f>IF(COUNTBLANK('RNEW import'!M960)=1,"",'RNEW import'!O960/10000)</f>
        <v>0.23974999999999999</v>
      </c>
      <c r="G962" s="217">
        <f t="shared" si="255"/>
        <v>0</v>
      </c>
      <c r="H962" s="217">
        <f t="shared" si="248"/>
        <v>0</v>
      </c>
      <c r="I962" s="329">
        <f t="shared" si="256"/>
        <v>0</v>
      </c>
      <c r="J962" s="263" t="str">
        <f t="shared" si="258"/>
        <v/>
      </c>
      <c r="K962" s="238" t="str">
        <f t="shared" si="244"/>
        <v/>
      </c>
      <c r="L962" s="238" t="str">
        <f t="shared" si="245"/>
        <v/>
      </c>
      <c r="M962" s="238" t="str">
        <f t="shared" si="246"/>
        <v/>
      </c>
      <c r="N962" s="238" t="str">
        <f t="shared" si="247"/>
        <v/>
      </c>
      <c r="O962" s="232" t="str">
        <f t="shared" si="257"/>
        <v/>
      </c>
      <c r="P962" s="219" t="str">
        <f t="shared" si="249"/>
        <v/>
      </c>
      <c r="Q962" s="219" t="str">
        <f t="shared" si="250"/>
        <v/>
      </c>
      <c r="R962" s="219" t="str">
        <f t="shared" si="251"/>
        <v/>
      </c>
      <c r="S962" s="330" t="str">
        <f t="shared" si="252"/>
        <v/>
      </c>
      <c r="T962" s="330" t="str">
        <f t="shared" si="253"/>
        <v/>
      </c>
      <c r="U962" s="330" t="str">
        <f t="shared" si="254"/>
        <v/>
      </c>
    </row>
    <row r="963" spans="1:21">
      <c r="A963" s="211">
        <f>IF(COUNTBLANK('RNEW import'!B961)=1,"",'RNEW import'!B961)</f>
        <v>24</v>
      </c>
      <c r="B963" s="211" t="str">
        <f>IF(COUNTBLANK('RNEW import'!D961)=1,"",'RNEW import'!D961)</f>
        <v>Nepi Ten Development Solutions  SRL</v>
      </c>
      <c r="C963" s="211" t="str">
        <f>IF(COUNTBLANK('RNEW import'!E961)=1,"",'RNEW import'!E961)</f>
        <v>RN10_Vaslui</v>
      </c>
      <c r="D963" s="211" t="str">
        <f>IF(COUNTBLANK('RNEW import'!K961)=1,"",'RNEW import'!K961)</f>
        <v xml:space="preserve">Regularizare Servicii Sistem </v>
      </c>
      <c r="E963" s="211">
        <f>IF(COUNTBLANK('RNEW import'!L961)=1,"",'RNEW import'!N961)</f>
        <v>0</v>
      </c>
      <c r="F963" s="211">
        <f>IF(COUNTBLANK('RNEW import'!M961)=1,"",'RNEW import'!O961/10000)</f>
        <v>1.1509999999999999E-2</v>
      </c>
      <c r="G963" s="217">
        <f t="shared" si="255"/>
        <v>0</v>
      </c>
      <c r="H963" s="217">
        <f t="shared" si="248"/>
        <v>0</v>
      </c>
      <c r="I963" s="329">
        <f t="shared" si="256"/>
        <v>0</v>
      </c>
      <c r="J963" s="263" t="str">
        <f t="shared" si="258"/>
        <v/>
      </c>
      <c r="K963" s="238" t="str">
        <f t="shared" si="244"/>
        <v/>
      </c>
      <c r="L963" s="238" t="str">
        <f t="shared" si="245"/>
        <v/>
      </c>
      <c r="M963" s="238" t="str">
        <f t="shared" si="246"/>
        <v/>
      </c>
      <c r="N963" s="238" t="str">
        <f t="shared" si="247"/>
        <v/>
      </c>
      <c r="O963" s="232" t="str">
        <f t="shared" si="257"/>
        <v/>
      </c>
      <c r="P963" s="219" t="str">
        <f t="shared" si="249"/>
        <v/>
      </c>
      <c r="Q963" s="219" t="str">
        <f t="shared" si="250"/>
        <v/>
      </c>
      <c r="R963" s="219" t="str">
        <f t="shared" si="251"/>
        <v/>
      </c>
      <c r="S963" s="330" t="str">
        <f t="shared" si="252"/>
        <v/>
      </c>
      <c r="T963" s="330" t="str">
        <f t="shared" si="253"/>
        <v/>
      </c>
      <c r="U963" s="330" t="str">
        <f t="shared" si="254"/>
        <v/>
      </c>
    </row>
    <row r="964" spans="1:21">
      <c r="A964" s="211">
        <f>IF(COUNTBLANK('RNEW import'!B962)=1,"",'RNEW import'!B962)</f>
        <v>25</v>
      </c>
      <c r="B964" s="211" t="str">
        <f>IF(COUNTBLANK('RNEW import'!D962)=1,"",'RNEW import'!D962)</f>
        <v>Nepi Ten Development Solutions  SRL</v>
      </c>
      <c r="C964" s="211" t="str">
        <f>IF(COUNTBLANK('RNEW import'!E962)=1,"",'RNEW import'!E962)</f>
        <v>RN10_Vaslui</v>
      </c>
      <c r="D964" s="211" t="str">
        <f>IF(COUNTBLANK('RNEW import'!K962)=1,"",'RNEW import'!K962)</f>
        <v>Regularizare Tarif de introducere en. el in retea (TL)</v>
      </c>
      <c r="E964" s="211">
        <f>IF(COUNTBLANK('RNEW import'!L962)=1,"",'RNEW import'!N962)</f>
        <v>0</v>
      </c>
      <c r="F964" s="211">
        <f>IF(COUNTBLANK('RNEW import'!M962)=1,"",'RNEW import'!O962/10000)</f>
        <v>3.3030000000000004E-2</v>
      </c>
      <c r="G964" s="217">
        <f t="shared" si="255"/>
        <v>0</v>
      </c>
      <c r="H964" s="217">
        <f t="shared" si="248"/>
        <v>0</v>
      </c>
      <c r="I964" s="329">
        <f t="shared" si="256"/>
        <v>0</v>
      </c>
      <c r="J964" s="263" t="str">
        <f t="shared" si="258"/>
        <v/>
      </c>
      <c r="K964" s="238" t="str">
        <f t="shared" ref="K964:K1027" si="259">IF(COUNTBLANK(J964)=1,"",IF(A964=1,SUMIFS(G:G,$C:$C,C964,$A:$A,"=13")+SUMIFS(G:G,$C:$C,C964,$A:$A,"=14")+SUMIFS(G:G,$C:$C,C964,$A:$A,"=17")+SUMIFS(G:G,$C:$C,C964,$A:$A,"=18")+SUMIFS(G:G,$C:$C,C964,$A:$A,"=31")+SUMIFS(G:G,$C:$C,C964,$A:$A,"=32")+SUMIFS(G:G,$C:$C,C964,$A:$A,"=35")+SUMIFS(G:G,$C:$C,C964,$A:$A,"=36"),""))</f>
        <v/>
      </c>
      <c r="L964" s="238" t="str">
        <f t="shared" ref="L964:L1027" si="260">IF(COUNTBLANK(J964)=1,"",IF(A964=1,SUMIFS(G:G,$C:$C,C964,$A:$A,"&lt;13")+SUMIFS(G:G,$C:$C,C964,$A:$A,"&gt;18",$A:$A,"&lt;31")))</f>
        <v/>
      </c>
      <c r="M964" s="238" t="str">
        <f t="shared" ref="M964:M1027" si="261">IF(COUNTBLANK(J964)=1,"",IF(A964=1,SUMIFS(G:G,$C:$C,C964,$A:$A,"=15")+SUMIFS(G:G,$C:$C,C964,$A:$A,"=16")+SUMIFS(G:G,$C:$C,C964,$A:$A,"=33")+SUMIFS(G:G,$C:$C,C964,$A:$A,"=34"),""))</f>
        <v/>
      </c>
      <c r="N964" s="238" t="str">
        <f t="shared" ref="N964:N1027" si="262">IF(COUNTBLANK(J964)=1,"",IF(A964=1,SUMIFS(E:E,$C:$C,C964,$A:$A,"=13")+SUMIFS(E:E,$C:$C,C964,$A:$A,"=17")+SUMIFS(E:E,$C:$C,C964,$A:$A,"=31")+SUMIFS(E:E,$C:$C,C964,$A:$A,"=35"),""))</f>
        <v/>
      </c>
      <c r="O964" s="232" t="str">
        <f t="shared" si="257"/>
        <v/>
      </c>
      <c r="P964" s="219" t="str">
        <f t="shared" si="249"/>
        <v/>
      </c>
      <c r="Q964" s="219" t="str">
        <f t="shared" si="250"/>
        <v/>
      </c>
      <c r="R964" s="219" t="str">
        <f t="shared" si="251"/>
        <v/>
      </c>
      <c r="S964" s="330" t="str">
        <f t="shared" si="252"/>
        <v/>
      </c>
      <c r="T964" s="330" t="str">
        <f t="shared" si="253"/>
        <v/>
      </c>
      <c r="U964" s="330" t="str">
        <f t="shared" si="254"/>
        <v/>
      </c>
    </row>
    <row r="965" spans="1:21">
      <c r="A965" s="211">
        <f>IF(COUNTBLANK('RNEW import'!B963)=1,"",'RNEW import'!B963)</f>
        <v>26</v>
      </c>
      <c r="B965" s="211" t="str">
        <f>IF(COUNTBLANK('RNEW import'!D963)=1,"",'RNEW import'!D963)</f>
        <v>Nepi Ten Development Solutions  SRL</v>
      </c>
      <c r="C965" s="211" t="str">
        <f>IF(COUNTBLANK('RNEW import'!E963)=1,"",'RNEW import'!E963)</f>
        <v>RN10_Vaslui</v>
      </c>
      <c r="D965" s="211" t="str">
        <f>IF(COUNTBLANK('RNEW import'!K963)=1,"",'RNEW import'!K963)</f>
        <v>Regularizare Tarif de introducere en.el in retea (TG)</v>
      </c>
      <c r="E965" s="211">
        <f>IF(COUNTBLANK('RNEW import'!L963)=1,"",'RNEW import'!N963)</f>
        <v>0</v>
      </c>
      <c r="F965" s="211">
        <f>IF(COUNTBLANK('RNEW import'!M963)=1,"",'RNEW import'!O963/10000)</f>
        <v>3.29E-3</v>
      </c>
      <c r="G965" s="217">
        <f t="shared" si="255"/>
        <v>0</v>
      </c>
      <c r="H965" s="217">
        <f t="shared" ref="H965:H1028" si="263">ROUND(G965*19%,2)</f>
        <v>0</v>
      </c>
      <c r="I965" s="329">
        <f t="shared" si="256"/>
        <v>0</v>
      </c>
      <c r="J965" s="263" t="str">
        <f t="shared" si="258"/>
        <v/>
      </c>
      <c r="K965" s="238" t="str">
        <f t="shared" si="259"/>
        <v/>
      </c>
      <c r="L965" s="238" t="str">
        <f t="shared" si="260"/>
        <v/>
      </c>
      <c r="M965" s="238" t="str">
        <f t="shared" si="261"/>
        <v/>
      </c>
      <c r="N965" s="238" t="str">
        <f t="shared" si="262"/>
        <v/>
      </c>
      <c r="O965" s="232" t="str">
        <f t="shared" si="257"/>
        <v/>
      </c>
      <c r="P965" s="219" t="str">
        <f t="shared" ref="P965:P1028" si="264">IF(A965=1,"Enegie activa",IF(OR(A965=18),"Energie consumata din PV",IF(OR(A965=2),"Energie reactiva 1x",IF(OR(A965=3),"Energie reactiva 3x",IF(A965=19,"Energie activa regularizare",IF(OR(A965=36),"Energie consumata din PV regularizare",IF(OR(A965=20),"Energie reactiva 1x regularizare",IF(OR(A965=21),"Energie reactiva 3x regularizare",""))))))))</f>
        <v/>
      </c>
      <c r="Q965" s="219" t="str">
        <f t="shared" ref="Q965:Q1028" si="265">IF(COUNTBLANK(P965)=0,IF(OR(A965=1,A965=2,A965=3,A965=19,A965=20,A965=21),E965,IF(OR(A965=18,A965=36),E962+E963,"")),"")</f>
        <v/>
      </c>
      <c r="R965" s="219" t="str">
        <f t="shared" ref="R965:R1028" si="266">IF(COUNTBLANK(P965)=1,"",IF(OR(A965=2,A965=3,A965=20,A965=21),F965,IF(Q965=0,0,ROUND(S965/Q965,6))))</f>
        <v/>
      </c>
      <c r="S965" s="330" t="str">
        <f t="shared" si="252"/>
        <v/>
      </c>
      <c r="T965" s="330" t="str">
        <f t="shared" si="253"/>
        <v/>
      </c>
      <c r="U965" s="330" t="str">
        <f t="shared" si="254"/>
        <v/>
      </c>
    </row>
    <row r="966" spans="1:21">
      <c r="A966" s="211">
        <f>IF(COUNTBLANK('RNEW import'!B964)=1,"",'RNEW import'!B964)</f>
        <v>27</v>
      </c>
      <c r="B966" s="211" t="str">
        <f>IF(COUNTBLANK('RNEW import'!D964)=1,"",'RNEW import'!D964)</f>
        <v>Nepi Ten Development Solutions  SRL</v>
      </c>
      <c r="C966" s="211" t="str">
        <f>IF(COUNTBLANK('RNEW import'!E964)=1,"",'RNEW import'!E964)</f>
        <v>RN10_Vaslui</v>
      </c>
      <c r="D966" s="211" t="str">
        <f>IF(COUNTBLANK('RNEW import'!K964)=1,"",'RNEW import'!K964)</f>
        <v>Regularizare Contributie pentru cogenerare</v>
      </c>
      <c r="E966" s="211">
        <f>IF(COUNTBLANK('RNEW import'!L964)=1,"",'RNEW import'!N964)</f>
        <v>0</v>
      </c>
      <c r="F966" s="211">
        <f>IF(COUNTBLANK('RNEW import'!M964)=1,"",'RNEW import'!O964/10000)</f>
        <v>3.5000000000000001E-3</v>
      </c>
      <c r="G966" s="217">
        <f t="shared" si="255"/>
        <v>0</v>
      </c>
      <c r="H966" s="217">
        <f t="shared" si="263"/>
        <v>0</v>
      </c>
      <c r="I966" s="329">
        <f t="shared" si="256"/>
        <v>0</v>
      </c>
      <c r="J966" s="263" t="str">
        <f t="shared" si="258"/>
        <v/>
      </c>
      <c r="K966" s="238" t="str">
        <f t="shared" si="259"/>
        <v/>
      </c>
      <c r="L966" s="238" t="str">
        <f t="shared" si="260"/>
        <v/>
      </c>
      <c r="M966" s="238" t="str">
        <f t="shared" si="261"/>
        <v/>
      </c>
      <c r="N966" s="238" t="str">
        <f t="shared" si="262"/>
        <v/>
      </c>
      <c r="O966" s="232" t="str">
        <f t="shared" si="257"/>
        <v/>
      </c>
      <c r="P966" s="219" t="str">
        <f t="shared" si="264"/>
        <v/>
      </c>
      <c r="Q966" s="219" t="str">
        <f t="shared" si="265"/>
        <v/>
      </c>
      <c r="R966" s="219" t="str">
        <f t="shared" si="266"/>
        <v/>
      </c>
      <c r="S966" s="330" t="str">
        <f t="shared" si="252"/>
        <v/>
      </c>
      <c r="T966" s="330" t="str">
        <f t="shared" si="253"/>
        <v/>
      </c>
      <c r="U966" s="330" t="str">
        <f t="shared" si="254"/>
        <v/>
      </c>
    </row>
    <row r="967" spans="1:21">
      <c r="A967" s="211">
        <f>IF(COUNTBLANK('RNEW import'!B965)=1,"",'RNEW import'!B965)</f>
        <v>28</v>
      </c>
      <c r="B967" s="211" t="str">
        <f>IF(COUNTBLANK('RNEW import'!D965)=1,"",'RNEW import'!D965)</f>
        <v>Nepi Ten Development Solutions  SRL</v>
      </c>
      <c r="C967" s="211" t="str">
        <f>IF(COUNTBLANK('RNEW import'!E965)=1,"",'RNEW import'!E965)</f>
        <v>RN10_Vaslui</v>
      </c>
      <c r="D967" s="211" t="str">
        <f>IF(COUNTBLANK('RNEW import'!K965)=1,"",'RNEW import'!K965)</f>
        <v xml:space="preserve">Regularizare Certificate verzi </v>
      </c>
      <c r="E967" s="211">
        <f>IF(COUNTBLANK('RNEW import'!L965)=1,"",'RNEW import'!N965)</f>
        <v>0</v>
      </c>
      <c r="F967" s="211">
        <f>IF(COUNTBLANK('RNEW import'!M965)=1,"",'RNEW import'!O965/10000)</f>
        <v>7.2541599999999998E-2</v>
      </c>
      <c r="G967" s="217">
        <f t="shared" si="255"/>
        <v>0</v>
      </c>
      <c r="H967" s="217">
        <f t="shared" si="263"/>
        <v>0</v>
      </c>
      <c r="I967" s="329">
        <f t="shared" si="256"/>
        <v>0</v>
      </c>
      <c r="J967" s="263" t="str">
        <f t="shared" si="258"/>
        <v/>
      </c>
      <c r="K967" s="238" t="str">
        <f t="shared" si="259"/>
        <v/>
      </c>
      <c r="L967" s="238" t="str">
        <f t="shared" si="260"/>
        <v/>
      </c>
      <c r="M967" s="238" t="str">
        <f t="shared" si="261"/>
        <v/>
      </c>
      <c r="N967" s="238" t="str">
        <f t="shared" si="262"/>
        <v/>
      </c>
      <c r="O967" s="232" t="str">
        <f t="shared" si="257"/>
        <v/>
      </c>
      <c r="P967" s="219" t="str">
        <f t="shared" si="264"/>
        <v/>
      </c>
      <c r="Q967" s="219" t="str">
        <f t="shared" si="265"/>
        <v/>
      </c>
      <c r="R967" s="219" t="str">
        <f t="shared" si="266"/>
        <v/>
      </c>
      <c r="S967" s="330" t="str">
        <f t="shared" si="252"/>
        <v/>
      </c>
      <c r="T967" s="330" t="str">
        <f t="shared" si="253"/>
        <v/>
      </c>
      <c r="U967" s="330" t="str">
        <f t="shared" si="254"/>
        <v/>
      </c>
    </row>
    <row r="968" spans="1:21">
      <c r="A968" s="211">
        <f>IF(COUNTBLANK('RNEW import'!B966)=1,"",'RNEW import'!B966)</f>
        <v>29</v>
      </c>
      <c r="B968" s="211" t="str">
        <f>IF(COUNTBLANK('RNEW import'!D966)=1,"",'RNEW import'!D966)</f>
        <v>Nepi Ten Development Solutions  SRL</v>
      </c>
      <c r="C968" s="211" t="str">
        <f>IF(COUNTBLANK('RNEW import'!E966)=1,"",'RNEW import'!E966)</f>
        <v>RN10_Vaslui</v>
      </c>
      <c r="D968" s="211" t="str">
        <f>IF(COUNTBLANK('RNEW import'!K966)=1,"",'RNEW import'!K966)</f>
        <v>Regularizare Contributie CFD</v>
      </c>
      <c r="E968" s="211">
        <f>IF(COUNTBLANK('RNEW import'!L966)=1,"",'RNEW import'!N966)</f>
        <v>0</v>
      </c>
      <c r="F968" s="211">
        <f>IF(COUNTBLANK('RNEW import'!M966)=1,"",'RNEW import'!O966/10000)</f>
        <v>2.0599999999999999E-4</v>
      </c>
      <c r="G968" s="217">
        <f t="shared" si="255"/>
        <v>0</v>
      </c>
      <c r="H968" s="217">
        <f t="shared" si="263"/>
        <v>0</v>
      </c>
      <c r="I968" s="329">
        <f t="shared" si="256"/>
        <v>0</v>
      </c>
      <c r="J968" s="263" t="str">
        <f t="shared" si="258"/>
        <v/>
      </c>
      <c r="K968" s="238" t="str">
        <f t="shared" si="259"/>
        <v/>
      </c>
      <c r="L968" s="238" t="str">
        <f t="shared" si="260"/>
        <v/>
      </c>
      <c r="M968" s="238" t="str">
        <f t="shared" si="261"/>
        <v/>
      </c>
      <c r="N968" s="238" t="str">
        <f t="shared" si="262"/>
        <v/>
      </c>
      <c r="O968" s="232" t="str">
        <f t="shared" si="257"/>
        <v/>
      </c>
      <c r="P968" s="219" t="str">
        <f t="shared" si="264"/>
        <v/>
      </c>
      <c r="Q968" s="219" t="str">
        <f t="shared" si="265"/>
        <v/>
      </c>
      <c r="R968" s="219" t="str">
        <f t="shared" si="266"/>
        <v/>
      </c>
      <c r="S968" s="330" t="str">
        <f t="shared" si="252"/>
        <v/>
      </c>
      <c r="T968" s="330" t="str">
        <f t="shared" si="253"/>
        <v/>
      </c>
      <c r="U968" s="330" t="str">
        <f t="shared" si="254"/>
        <v/>
      </c>
    </row>
    <row r="969" spans="1:21">
      <c r="A969" s="211">
        <f>IF(COUNTBLANK('RNEW import'!B967)=1,"",'RNEW import'!B967)</f>
        <v>30</v>
      </c>
      <c r="B969" s="211" t="str">
        <f>IF(COUNTBLANK('RNEW import'!D967)=1,"",'RNEW import'!D967)</f>
        <v>Nepi Ten Development Solutions  SRL</v>
      </c>
      <c r="C969" s="211" t="str">
        <f>IF(COUNTBLANK('RNEW import'!E967)=1,"",'RNEW import'!E967)</f>
        <v>RN10_Vaslui</v>
      </c>
      <c r="D969" s="211" t="str">
        <f>IF(COUNTBLANK('RNEW import'!K967)=1,"",'RNEW import'!K967)</f>
        <v>Regularizare Acciza</v>
      </c>
      <c r="E969" s="211">
        <f>IF(COUNTBLANK('RNEW import'!L967)=1,"",'RNEW import'!N967)</f>
        <v>0</v>
      </c>
      <c r="F969" s="211">
        <f>IF(COUNTBLANK('RNEW import'!M967)=1,"",'RNEW import'!O967/10000)</f>
        <v>0</v>
      </c>
      <c r="G969" s="217">
        <f t="shared" si="255"/>
        <v>0</v>
      </c>
      <c r="H969" s="217">
        <f t="shared" si="263"/>
        <v>0</v>
      </c>
      <c r="I969" s="329">
        <f t="shared" si="256"/>
        <v>0</v>
      </c>
      <c r="J969" s="263" t="str">
        <f t="shared" si="258"/>
        <v/>
      </c>
      <c r="K969" s="238" t="str">
        <f t="shared" si="259"/>
        <v/>
      </c>
      <c r="L969" s="238" t="str">
        <f t="shared" si="260"/>
        <v/>
      </c>
      <c r="M969" s="238" t="str">
        <f t="shared" si="261"/>
        <v/>
      </c>
      <c r="N969" s="238" t="str">
        <f t="shared" si="262"/>
        <v/>
      </c>
      <c r="O969" s="232" t="str">
        <f t="shared" si="257"/>
        <v/>
      </c>
      <c r="P969" s="219" t="str">
        <f t="shared" si="264"/>
        <v/>
      </c>
      <c r="Q969" s="219" t="str">
        <f t="shared" si="265"/>
        <v/>
      </c>
      <c r="R969" s="219" t="str">
        <f t="shared" si="266"/>
        <v/>
      </c>
      <c r="S969" s="330" t="str">
        <f t="shared" si="252"/>
        <v/>
      </c>
      <c r="T969" s="330" t="str">
        <f t="shared" si="253"/>
        <v/>
      </c>
      <c r="U969" s="330" t="str">
        <f t="shared" si="254"/>
        <v/>
      </c>
    </row>
    <row r="970" spans="1:21">
      <c r="A970" s="211">
        <f>IF(COUNTBLANK('RNEW import'!B968)=1,"",'RNEW import'!B968)</f>
        <v>31</v>
      </c>
      <c r="B970" s="211" t="str">
        <f>IF(COUNTBLANK('RNEW import'!D968)=1,"",'RNEW import'!D968)</f>
        <v>Nepi Ten Development Solutions  SRL</v>
      </c>
      <c r="C970" s="211" t="str">
        <f>IF(COUNTBLANK('RNEW import'!E968)=1,"",'RNEW import'!E968)</f>
        <v>RN10_Vaslui</v>
      </c>
      <c r="D970" s="211" t="str">
        <f>IF(COUNTBLANK('RNEW import'!K968)=1,"",'RNEW import'!K968)</f>
        <v>Regularizare Tarif distributie SDI MT Ea1</v>
      </c>
      <c r="E970" s="211">
        <f>IF(COUNTBLANK('RNEW import'!L968)=1,"",'RNEW import'!N968)</f>
        <v>0</v>
      </c>
      <c r="F970" s="211">
        <f>IF(COUNTBLANK('RNEW import'!M968)=1,"",'RNEW import'!O968/10000)</f>
        <v>1.3100000000000001E-2</v>
      </c>
      <c r="G970" s="217">
        <f t="shared" si="255"/>
        <v>0</v>
      </c>
      <c r="H970" s="217">
        <f t="shared" si="263"/>
        <v>0</v>
      </c>
      <c r="I970" s="329">
        <f t="shared" si="256"/>
        <v>0</v>
      </c>
      <c r="J970" s="263" t="str">
        <f t="shared" si="258"/>
        <v/>
      </c>
      <c r="K970" s="238" t="str">
        <f t="shared" si="259"/>
        <v/>
      </c>
      <c r="L970" s="238" t="str">
        <f t="shared" si="260"/>
        <v/>
      </c>
      <c r="M970" s="238" t="str">
        <f t="shared" si="261"/>
        <v/>
      </c>
      <c r="N970" s="238" t="str">
        <f t="shared" si="262"/>
        <v/>
      </c>
      <c r="O970" s="232" t="str">
        <f t="shared" si="257"/>
        <v/>
      </c>
      <c r="P970" s="219" t="str">
        <f t="shared" si="264"/>
        <v/>
      </c>
      <c r="Q970" s="219" t="str">
        <f t="shared" si="265"/>
        <v/>
      </c>
      <c r="R970" s="219" t="str">
        <f t="shared" si="266"/>
        <v/>
      </c>
      <c r="S970" s="330" t="str">
        <f t="shared" si="252"/>
        <v/>
      </c>
      <c r="T970" s="330" t="str">
        <f t="shared" si="253"/>
        <v/>
      </c>
      <c r="U970" s="330" t="str">
        <f t="shared" si="254"/>
        <v/>
      </c>
    </row>
    <row r="971" spans="1:21">
      <c r="A971" s="211">
        <f>IF(COUNTBLANK('RNEW import'!B969)=1,"",'RNEW import'!B969)</f>
        <v>32</v>
      </c>
      <c r="B971" s="211" t="str">
        <f>IF(COUNTBLANK('RNEW import'!D969)=1,"",'RNEW import'!D969)</f>
        <v>Nepi Ten Development Solutions  SRL</v>
      </c>
      <c r="C971" s="211" t="str">
        <f>IF(COUNTBLANK('RNEW import'!E969)=1,"",'RNEW import'!E969)</f>
        <v>RN10_Vaslui</v>
      </c>
      <c r="D971" s="211" t="str">
        <f>IF(COUNTBLANK('RNEW import'!K969)=1,"",'RNEW import'!K969)</f>
        <v>Regularizare Tarif distributie SDI JT Ea1</v>
      </c>
      <c r="E971" s="211">
        <f>IF(COUNTBLANK('RNEW import'!L969)=1,"",'RNEW import'!N969)</f>
        <v>0</v>
      </c>
      <c r="F971" s="211">
        <f>IF(COUNTBLANK('RNEW import'!M969)=1,"",'RNEW import'!O969/10000)</f>
        <v>0.10290000000000001</v>
      </c>
      <c r="G971" s="217">
        <f t="shared" si="255"/>
        <v>0</v>
      </c>
      <c r="H971" s="217">
        <f t="shared" si="263"/>
        <v>0</v>
      </c>
      <c r="I971" s="329">
        <f t="shared" si="256"/>
        <v>0</v>
      </c>
      <c r="J971" s="263" t="str">
        <f t="shared" si="258"/>
        <v/>
      </c>
      <c r="K971" s="238" t="str">
        <f t="shared" si="259"/>
        <v/>
      </c>
      <c r="L971" s="238" t="str">
        <f t="shared" si="260"/>
        <v/>
      </c>
      <c r="M971" s="238" t="str">
        <f t="shared" si="261"/>
        <v/>
      </c>
      <c r="N971" s="238" t="str">
        <f t="shared" si="262"/>
        <v/>
      </c>
      <c r="O971" s="232" t="str">
        <f t="shared" si="257"/>
        <v/>
      </c>
      <c r="P971" s="219" t="str">
        <f t="shared" si="264"/>
        <v/>
      </c>
      <c r="Q971" s="219" t="str">
        <f t="shared" si="265"/>
        <v/>
      </c>
      <c r="R971" s="219" t="str">
        <f t="shared" si="266"/>
        <v/>
      </c>
      <c r="S971" s="330" t="str">
        <f t="shared" si="252"/>
        <v/>
      </c>
      <c r="T971" s="330" t="str">
        <f t="shared" si="253"/>
        <v/>
      </c>
      <c r="U971" s="330" t="str">
        <f t="shared" si="254"/>
        <v/>
      </c>
    </row>
    <row r="972" spans="1:21">
      <c r="A972" s="211">
        <f>IF(COUNTBLANK('RNEW import'!B970)=1,"",'RNEW import'!B970)</f>
        <v>33</v>
      </c>
      <c r="B972" s="211" t="str">
        <f>IF(COUNTBLANK('RNEW import'!D970)=1,"",'RNEW import'!D970)</f>
        <v>Nepi Ten Development Solutions  SRL</v>
      </c>
      <c r="C972" s="211" t="str">
        <f>IF(COUNTBLANK('RNEW import'!E970)=1,"",'RNEW import'!E970)</f>
        <v>RN10_Vaslui</v>
      </c>
      <c r="D972" s="211" t="str">
        <f>IF(COUNTBLANK('RNEW import'!K970)=1,"",'RNEW import'!K970)</f>
        <v>Regularizare Energie activa 2</v>
      </c>
      <c r="E972" s="211">
        <f>IF(COUNTBLANK('RNEW import'!L970)=1,"",'RNEW import'!N970)</f>
        <v>0</v>
      </c>
      <c r="F972" s="211">
        <f>IF(COUNTBLANK('RNEW import'!M970)=1,"",'RNEW import'!O970/10000)</f>
        <v>0.94855759999999989</v>
      </c>
      <c r="G972" s="217">
        <f t="shared" si="255"/>
        <v>0</v>
      </c>
      <c r="H972" s="217">
        <f t="shared" si="263"/>
        <v>0</v>
      </c>
      <c r="I972" s="329">
        <f t="shared" si="256"/>
        <v>0</v>
      </c>
      <c r="J972" s="263" t="str">
        <f t="shared" si="258"/>
        <v/>
      </c>
      <c r="K972" s="238" t="str">
        <f t="shared" si="259"/>
        <v/>
      </c>
      <c r="L972" s="238" t="str">
        <f t="shared" si="260"/>
        <v/>
      </c>
      <c r="M972" s="238" t="str">
        <f t="shared" si="261"/>
        <v/>
      </c>
      <c r="N972" s="238" t="str">
        <f t="shared" si="262"/>
        <v/>
      </c>
      <c r="O972" s="232" t="str">
        <f t="shared" si="257"/>
        <v/>
      </c>
      <c r="P972" s="219" t="str">
        <f t="shared" si="264"/>
        <v/>
      </c>
      <c r="Q972" s="219" t="str">
        <f t="shared" si="265"/>
        <v/>
      </c>
      <c r="R972" s="219" t="str">
        <f t="shared" si="266"/>
        <v/>
      </c>
      <c r="S972" s="330" t="str">
        <f t="shared" si="252"/>
        <v/>
      </c>
      <c r="T972" s="330" t="str">
        <f t="shared" si="253"/>
        <v/>
      </c>
      <c r="U972" s="330" t="str">
        <f t="shared" si="254"/>
        <v/>
      </c>
    </row>
    <row r="973" spans="1:21">
      <c r="A973" s="211">
        <f>IF(COUNTBLANK('RNEW import'!B971)=1,"",'RNEW import'!B971)</f>
        <v>34</v>
      </c>
      <c r="B973" s="211" t="str">
        <f>IF(COUNTBLANK('RNEW import'!D971)=1,"",'RNEW import'!D971)</f>
        <v>Nepi Ten Development Solutions  SRL</v>
      </c>
      <c r="C973" s="211" t="str">
        <f>IF(COUNTBLANK('RNEW import'!E971)=1,"",'RNEW import'!E971)</f>
        <v>RN10_Vaslui</v>
      </c>
      <c r="D973" s="211" t="str">
        <f>IF(COUNTBLANK('RNEW import'!K971)=1,"",'RNEW import'!K971)</f>
        <v>Regularizare Energie activa 3</v>
      </c>
      <c r="E973" s="211">
        <f>IF(COUNTBLANK('RNEW import'!L971)=1,"",'RNEW import'!N971)</f>
        <v>0</v>
      </c>
      <c r="F973" s="211">
        <f>IF(COUNTBLANK('RNEW import'!M971)=1,"",'RNEW import'!O971/10000)</f>
        <v>0.83255760000000012</v>
      </c>
      <c r="G973" s="217">
        <f t="shared" si="255"/>
        <v>0</v>
      </c>
      <c r="H973" s="217">
        <f t="shared" si="263"/>
        <v>0</v>
      </c>
      <c r="I973" s="329">
        <f t="shared" si="256"/>
        <v>0</v>
      </c>
      <c r="J973" s="263" t="str">
        <f t="shared" si="258"/>
        <v/>
      </c>
      <c r="K973" s="238" t="str">
        <f t="shared" si="259"/>
        <v/>
      </c>
      <c r="L973" s="238" t="str">
        <f t="shared" si="260"/>
        <v/>
      </c>
      <c r="M973" s="238" t="str">
        <f t="shared" si="261"/>
        <v/>
      </c>
      <c r="N973" s="238" t="str">
        <f t="shared" si="262"/>
        <v/>
      </c>
      <c r="O973" s="232" t="str">
        <f t="shared" si="257"/>
        <v/>
      </c>
      <c r="P973" s="219" t="str">
        <f t="shared" si="264"/>
        <v/>
      </c>
      <c r="Q973" s="219" t="str">
        <f t="shared" si="265"/>
        <v/>
      </c>
      <c r="R973" s="219" t="str">
        <f t="shared" si="266"/>
        <v/>
      </c>
      <c r="S973" s="330" t="str">
        <f t="shared" si="252"/>
        <v/>
      </c>
      <c r="T973" s="330" t="str">
        <f t="shared" si="253"/>
        <v/>
      </c>
      <c r="U973" s="330" t="str">
        <f t="shared" si="254"/>
        <v/>
      </c>
    </row>
    <row r="974" spans="1:21">
      <c r="A974" s="211">
        <f>IF(COUNTBLANK('RNEW import'!B972)=1,"",'RNEW import'!B972)</f>
        <v>35</v>
      </c>
      <c r="B974" s="211" t="str">
        <f>IF(COUNTBLANK('RNEW import'!D972)=1,"",'RNEW import'!D972)</f>
        <v>Nepi Ten Development Solutions  SRL</v>
      </c>
      <c r="C974" s="211" t="str">
        <f>IF(COUNTBLANK('RNEW import'!E972)=1,"",'RNEW import'!E972)</f>
        <v>RN10_Vaslui</v>
      </c>
      <c r="D974" s="211" t="str">
        <f>IF(COUNTBLANK('RNEW import'!K972)=1,"",'RNEW import'!K972)</f>
        <v>Regularizare Tarif distributie SDI MT Ea3</v>
      </c>
      <c r="E974" s="211">
        <f>IF(COUNTBLANK('RNEW import'!L972)=1,"",'RNEW import'!N972)</f>
        <v>0</v>
      </c>
      <c r="F974" s="211">
        <f>IF(COUNTBLANK('RNEW import'!M972)=1,"",'RNEW import'!O972/10000)</f>
        <v>1.3100000000000001E-2</v>
      </c>
      <c r="G974" s="217">
        <f t="shared" si="255"/>
        <v>0</v>
      </c>
      <c r="H974" s="217">
        <f t="shared" si="263"/>
        <v>0</v>
      </c>
      <c r="I974" s="329">
        <f t="shared" si="256"/>
        <v>0</v>
      </c>
      <c r="J974" s="263" t="str">
        <f t="shared" si="258"/>
        <v/>
      </c>
      <c r="K974" s="238" t="str">
        <f t="shared" si="259"/>
        <v/>
      </c>
      <c r="L974" s="238" t="str">
        <f t="shared" si="260"/>
        <v/>
      </c>
      <c r="M974" s="238" t="str">
        <f t="shared" si="261"/>
        <v/>
      </c>
      <c r="N974" s="238" t="str">
        <f t="shared" si="262"/>
        <v/>
      </c>
      <c r="O974" s="232" t="str">
        <f t="shared" si="257"/>
        <v/>
      </c>
      <c r="P974" s="219" t="str">
        <f t="shared" si="264"/>
        <v/>
      </c>
      <c r="Q974" s="219" t="str">
        <f t="shared" si="265"/>
        <v/>
      </c>
      <c r="R974" s="219" t="str">
        <f t="shared" si="266"/>
        <v/>
      </c>
      <c r="S974" s="330" t="str">
        <f t="shared" si="252"/>
        <v/>
      </c>
      <c r="T974" s="330" t="str">
        <f t="shared" si="253"/>
        <v/>
      </c>
      <c r="U974" s="330" t="str">
        <f t="shared" si="254"/>
        <v/>
      </c>
    </row>
    <row r="975" spans="1:21">
      <c r="A975" s="211">
        <f>IF(COUNTBLANK('RNEW import'!B973)=1,"",'RNEW import'!B973)</f>
        <v>36</v>
      </c>
      <c r="B975" s="211" t="str">
        <f>IF(COUNTBLANK('RNEW import'!D973)=1,"",'RNEW import'!D973)</f>
        <v>Nepi Ten Development Solutions  SRL</v>
      </c>
      <c r="C975" s="211" t="str">
        <f>IF(COUNTBLANK('RNEW import'!E973)=1,"",'RNEW import'!E973)</f>
        <v>RN10_Vaslui</v>
      </c>
      <c r="D975" s="211" t="str">
        <f>IF(COUNTBLANK('RNEW import'!K973)=1,"",'RNEW import'!K973)</f>
        <v>Regularizare Tarif distributie SDI JT Ea3</v>
      </c>
      <c r="E975" s="211">
        <f>IF(COUNTBLANK('RNEW import'!L973)=1,"",'RNEW import'!N973)</f>
        <v>0</v>
      </c>
      <c r="F975" s="211">
        <f>IF(COUNTBLANK('RNEW import'!M973)=1,"",'RNEW import'!O973/10000)</f>
        <v>0.10290000000000001</v>
      </c>
      <c r="G975" s="217">
        <f t="shared" si="255"/>
        <v>0</v>
      </c>
      <c r="H975" s="217">
        <f t="shared" si="263"/>
        <v>0</v>
      </c>
      <c r="I975" s="329">
        <f t="shared" si="256"/>
        <v>0</v>
      </c>
      <c r="J975" s="263" t="str">
        <f t="shared" si="258"/>
        <v/>
      </c>
      <c r="K975" s="238" t="str">
        <f t="shared" si="259"/>
        <v/>
      </c>
      <c r="L975" s="238" t="str">
        <f t="shared" si="260"/>
        <v/>
      </c>
      <c r="M975" s="238" t="str">
        <f t="shared" si="261"/>
        <v/>
      </c>
      <c r="N975" s="238" t="str">
        <f t="shared" si="262"/>
        <v/>
      </c>
      <c r="O975" s="232" t="str">
        <f t="shared" si="257"/>
        <v/>
      </c>
      <c r="P975" s="219" t="str">
        <f t="shared" si="264"/>
        <v>Energie consumata din PV regularizare</v>
      </c>
      <c r="Q975" s="219">
        <f t="shared" si="265"/>
        <v>0</v>
      </c>
      <c r="R975" s="219">
        <f t="shared" si="266"/>
        <v>0</v>
      </c>
      <c r="S975" s="330">
        <f t="shared" si="252"/>
        <v>0</v>
      </c>
      <c r="T975" s="330">
        <f t="shared" si="253"/>
        <v>0</v>
      </c>
      <c r="U975" s="330">
        <f t="shared" si="254"/>
        <v>0</v>
      </c>
    </row>
    <row r="976" spans="1:21" ht="30">
      <c r="A976" s="211">
        <f>IF(COUNTBLANK('RNEW import'!B974)=1,"",'RNEW import'!B974)</f>
        <v>1</v>
      </c>
      <c r="B976" s="211" t="str">
        <f>IF(COUNTBLANK('RNEW import'!D974)=1,"",'RNEW import'!D974)</f>
        <v>Nepi Ten Development Solutions  SRL</v>
      </c>
      <c r="C976" s="211" t="str">
        <f>IF(COUNTBLANK('RNEW import'!E974)=1,"",'RNEW import'!E974)</f>
        <v>RN10_Petrosani</v>
      </c>
      <c r="D976" s="211" t="str">
        <f>IF(COUNTBLANK('RNEW import'!K974)=1,"",'RNEW import'!K974)</f>
        <v>Energie activa 1</v>
      </c>
      <c r="E976" s="211">
        <f>IF(COUNTBLANK('RNEW import'!L974)=1,"",'RNEW import'!N974)</f>
        <v>13243</v>
      </c>
      <c r="F976" s="211">
        <f>IF(COUNTBLANK('RNEW import'!M974)=1,"",'RNEW import'!O974/10000)</f>
        <v>0.59499999999999997</v>
      </c>
      <c r="G976" s="217">
        <f t="shared" si="255"/>
        <v>7879.59</v>
      </c>
      <c r="H976" s="217">
        <f t="shared" si="263"/>
        <v>1497.12</v>
      </c>
      <c r="I976" s="329">
        <f t="shared" si="256"/>
        <v>9376.7099999999991</v>
      </c>
      <c r="J976" s="263" t="str">
        <f t="shared" si="258"/>
        <v>Nepi Ten Development Solutions  SRL - Petrosani</v>
      </c>
      <c r="K976" s="238">
        <f t="shared" si="259"/>
        <v>0</v>
      </c>
      <c r="L976" s="238">
        <f t="shared" si="260"/>
        <v>15666.470000000001</v>
      </c>
      <c r="M976" s="238">
        <f t="shared" si="261"/>
        <v>0</v>
      </c>
      <c r="N976" s="238">
        <f t="shared" si="262"/>
        <v>0</v>
      </c>
      <c r="O976" s="232" t="str">
        <f t="shared" si="257"/>
        <v>Nepi Ten Development Solutions  SRL</v>
      </c>
      <c r="P976" s="219" t="str">
        <f t="shared" si="264"/>
        <v>Enegie activa</v>
      </c>
      <c r="Q976" s="219">
        <f t="shared" si="265"/>
        <v>13243</v>
      </c>
      <c r="R976" s="219">
        <f t="shared" si="266"/>
        <v>1.0131589999999999</v>
      </c>
      <c r="S976" s="330">
        <f t="shared" si="252"/>
        <v>13417.26</v>
      </c>
      <c r="T976" s="330">
        <f t="shared" si="253"/>
        <v>2549.2800000000002</v>
      </c>
      <c r="U976" s="330">
        <f t="shared" si="254"/>
        <v>15966.54</v>
      </c>
    </row>
    <row r="977" spans="1:21">
      <c r="A977" s="211">
        <f>IF(COUNTBLANK('RNEW import'!B975)=1,"",'RNEW import'!B975)</f>
        <v>2</v>
      </c>
      <c r="B977" s="211" t="str">
        <f>IF(COUNTBLANK('RNEW import'!D975)=1,"",'RNEW import'!D975)</f>
        <v>Nepi Ten Development Solutions  SRL</v>
      </c>
      <c r="C977" s="211" t="str">
        <f>IF(COUNTBLANK('RNEW import'!E975)=1,"",'RNEW import'!E975)</f>
        <v>RN10_Petrosani</v>
      </c>
      <c r="D977" s="211" t="str">
        <f>IF(COUNTBLANK('RNEW import'!K975)=1,"",'RNEW import'!K975)</f>
        <v>Energie reactiva  1X</v>
      </c>
      <c r="E977" s="211">
        <f>IF(COUNTBLANK('RNEW import'!L975)=1,"",'RNEW import'!N975)</f>
        <v>0</v>
      </c>
      <c r="F977" s="211">
        <f>IF(COUNTBLANK('RNEW import'!M975)=1,"",'RNEW import'!O975/10000)</f>
        <v>0.14660000000000001</v>
      </c>
      <c r="G977" s="217">
        <f t="shared" si="255"/>
        <v>0</v>
      </c>
      <c r="H977" s="217">
        <f t="shared" si="263"/>
        <v>0</v>
      </c>
      <c r="I977" s="329">
        <f t="shared" si="256"/>
        <v>0</v>
      </c>
      <c r="J977" s="263" t="str">
        <f t="shared" si="258"/>
        <v/>
      </c>
      <c r="K977" s="238" t="str">
        <f t="shared" si="259"/>
        <v/>
      </c>
      <c r="L977" s="238" t="str">
        <f t="shared" si="260"/>
        <v/>
      </c>
      <c r="M977" s="238" t="str">
        <f t="shared" si="261"/>
        <v/>
      </c>
      <c r="N977" s="238" t="str">
        <f t="shared" si="262"/>
        <v/>
      </c>
      <c r="O977" s="232" t="str">
        <f t="shared" si="257"/>
        <v/>
      </c>
      <c r="P977" s="219" t="str">
        <f t="shared" si="264"/>
        <v>Energie reactiva 1x</v>
      </c>
      <c r="Q977" s="219">
        <f t="shared" si="265"/>
        <v>0</v>
      </c>
      <c r="R977" s="219">
        <f t="shared" si="266"/>
        <v>0.14660000000000001</v>
      </c>
      <c r="S977" s="330">
        <f t="shared" si="252"/>
        <v>0</v>
      </c>
      <c r="T977" s="330">
        <f t="shared" si="253"/>
        <v>0</v>
      </c>
      <c r="U977" s="330">
        <f t="shared" si="254"/>
        <v>0</v>
      </c>
    </row>
    <row r="978" spans="1:21">
      <c r="A978" s="211">
        <f>IF(COUNTBLANK('RNEW import'!B976)=1,"",'RNEW import'!B976)</f>
        <v>3</v>
      </c>
      <c r="B978" s="211" t="str">
        <f>IF(COUNTBLANK('RNEW import'!D976)=1,"",'RNEW import'!D976)</f>
        <v>Nepi Ten Development Solutions  SRL</v>
      </c>
      <c r="C978" s="211" t="str">
        <f>IF(COUNTBLANK('RNEW import'!E976)=1,"",'RNEW import'!E976)</f>
        <v>RN10_Petrosani</v>
      </c>
      <c r="D978" s="211" t="str">
        <f>IF(COUNTBLANK('RNEW import'!K976)=1,"",'RNEW import'!K976)</f>
        <v>Energie reactiva  3X</v>
      </c>
      <c r="E978" s="211">
        <f>IF(COUNTBLANK('RNEW import'!L976)=1,"",'RNEW import'!N976)</f>
        <v>0</v>
      </c>
      <c r="F978" s="211">
        <f>IF(COUNTBLANK('RNEW import'!M976)=1,"",'RNEW import'!O976/10000)</f>
        <v>0.43980000000000002</v>
      </c>
      <c r="G978" s="217">
        <f t="shared" si="255"/>
        <v>0</v>
      </c>
      <c r="H978" s="217">
        <f t="shared" si="263"/>
        <v>0</v>
      </c>
      <c r="I978" s="329">
        <f t="shared" si="256"/>
        <v>0</v>
      </c>
      <c r="J978" s="263" t="str">
        <f t="shared" si="258"/>
        <v/>
      </c>
      <c r="K978" s="238" t="str">
        <f t="shared" si="259"/>
        <v/>
      </c>
      <c r="L978" s="238" t="str">
        <f t="shared" si="260"/>
        <v/>
      </c>
      <c r="M978" s="238" t="str">
        <f t="shared" si="261"/>
        <v/>
      </c>
      <c r="N978" s="238" t="str">
        <f t="shared" si="262"/>
        <v/>
      </c>
      <c r="O978" s="232" t="str">
        <f t="shared" si="257"/>
        <v/>
      </c>
      <c r="P978" s="219" t="str">
        <f t="shared" si="264"/>
        <v>Energie reactiva 3x</v>
      </c>
      <c r="Q978" s="219">
        <f t="shared" si="265"/>
        <v>0</v>
      </c>
      <c r="R978" s="219">
        <f t="shared" si="266"/>
        <v>0.43980000000000002</v>
      </c>
      <c r="S978" s="330">
        <f t="shared" si="252"/>
        <v>0</v>
      </c>
      <c r="T978" s="330">
        <f t="shared" si="253"/>
        <v>0</v>
      </c>
      <c r="U978" s="330">
        <f t="shared" si="254"/>
        <v>0</v>
      </c>
    </row>
    <row r="979" spans="1:21">
      <c r="A979" s="211">
        <f>IF(COUNTBLANK('RNEW import'!B977)=1,"",'RNEW import'!B977)</f>
        <v>4</v>
      </c>
      <c r="B979" s="211" t="str">
        <f>IF(COUNTBLANK('RNEW import'!D977)=1,"",'RNEW import'!D977)</f>
        <v>Nepi Ten Development Solutions  SRL</v>
      </c>
      <c r="C979" s="211" t="str">
        <f>IF(COUNTBLANK('RNEW import'!E977)=1,"",'RNEW import'!E977)</f>
        <v>RN10_Petrosani</v>
      </c>
      <c r="D979" s="211" t="str">
        <f>IF(COUNTBLANK('RNEW import'!K977)=1,"",'RNEW import'!K977)</f>
        <v>Tarife distributie en. El IT+MT</v>
      </c>
      <c r="E979" s="211">
        <f>IF(COUNTBLANK('RNEW import'!L977)=1,"",'RNEW import'!N977)</f>
        <v>13243</v>
      </c>
      <c r="F979" s="211">
        <f>IF(COUNTBLANK('RNEW import'!M977)=1,"",'RNEW import'!O977/10000)</f>
        <v>8.6180000000000007E-2</v>
      </c>
      <c r="G979" s="217">
        <f t="shared" si="255"/>
        <v>1141.28</v>
      </c>
      <c r="H979" s="217">
        <f t="shared" si="263"/>
        <v>216.84</v>
      </c>
      <c r="I979" s="329">
        <f t="shared" si="256"/>
        <v>1358.12</v>
      </c>
      <c r="J979" s="263" t="str">
        <f t="shared" si="258"/>
        <v/>
      </c>
      <c r="K979" s="238" t="str">
        <f t="shared" si="259"/>
        <v/>
      </c>
      <c r="L979" s="238" t="str">
        <f t="shared" si="260"/>
        <v/>
      </c>
      <c r="M979" s="238" t="str">
        <f t="shared" si="261"/>
        <v/>
      </c>
      <c r="N979" s="238" t="str">
        <f t="shared" si="262"/>
        <v/>
      </c>
      <c r="O979" s="232" t="str">
        <f t="shared" si="257"/>
        <v/>
      </c>
      <c r="P979" s="219" t="str">
        <f t="shared" si="264"/>
        <v/>
      </c>
      <c r="Q979" s="219" t="str">
        <f t="shared" si="265"/>
        <v/>
      </c>
      <c r="R979" s="219" t="str">
        <f t="shared" si="266"/>
        <v/>
      </c>
      <c r="S979" s="330" t="str">
        <f t="shared" si="252"/>
        <v/>
      </c>
      <c r="T979" s="330" t="str">
        <f t="shared" si="253"/>
        <v/>
      </c>
      <c r="U979" s="330" t="str">
        <f t="shared" si="254"/>
        <v/>
      </c>
    </row>
    <row r="980" spans="1:21">
      <c r="A980" s="211">
        <f>IF(COUNTBLANK('RNEW import'!B978)=1,"",'RNEW import'!B978)</f>
        <v>5</v>
      </c>
      <c r="B980" s="211" t="str">
        <f>IF(COUNTBLANK('RNEW import'!D978)=1,"",'RNEW import'!D978)</f>
        <v>Nepi Ten Development Solutions  SRL</v>
      </c>
      <c r="C980" s="211" t="str">
        <f>IF(COUNTBLANK('RNEW import'!E978)=1,"",'RNEW import'!E978)</f>
        <v>RN10_Petrosani</v>
      </c>
      <c r="D980" s="211" t="str">
        <f>IF(COUNTBLANK('RNEW import'!K978)=1,"",'RNEW import'!K978)</f>
        <v>Tarife distributie en. El JT</v>
      </c>
      <c r="E980" s="211">
        <f>IF(COUNTBLANK('RNEW import'!L978)=1,"",'RNEW import'!N978)</f>
        <v>13243</v>
      </c>
      <c r="F980" s="211">
        <f>IF(COUNTBLANK('RNEW import'!M978)=1,"",'RNEW import'!O978/10000)</f>
        <v>0.2079</v>
      </c>
      <c r="G980" s="217">
        <f t="shared" si="255"/>
        <v>2753.22</v>
      </c>
      <c r="H980" s="217">
        <f t="shared" si="263"/>
        <v>523.11</v>
      </c>
      <c r="I980" s="329">
        <f t="shared" si="256"/>
        <v>3276.33</v>
      </c>
      <c r="J980" s="263" t="str">
        <f t="shared" si="258"/>
        <v/>
      </c>
      <c r="K980" s="238" t="str">
        <f t="shared" si="259"/>
        <v/>
      </c>
      <c r="L980" s="238" t="str">
        <f t="shared" si="260"/>
        <v/>
      </c>
      <c r="M980" s="238" t="str">
        <f t="shared" si="261"/>
        <v/>
      </c>
      <c r="N980" s="238" t="str">
        <f t="shared" si="262"/>
        <v/>
      </c>
      <c r="O980" s="232" t="str">
        <f t="shared" si="257"/>
        <v/>
      </c>
      <c r="P980" s="219" t="str">
        <f t="shared" si="264"/>
        <v/>
      </c>
      <c r="Q980" s="219" t="str">
        <f t="shared" si="265"/>
        <v/>
      </c>
      <c r="R980" s="219" t="str">
        <f t="shared" si="266"/>
        <v/>
      </c>
      <c r="S980" s="330" t="str">
        <f t="shared" si="252"/>
        <v/>
      </c>
      <c r="T980" s="330" t="str">
        <f t="shared" si="253"/>
        <v/>
      </c>
      <c r="U980" s="330" t="str">
        <f t="shared" si="254"/>
        <v/>
      </c>
    </row>
    <row r="981" spans="1:21">
      <c r="A981" s="211">
        <f>IF(COUNTBLANK('RNEW import'!B979)=1,"",'RNEW import'!B979)</f>
        <v>6</v>
      </c>
      <c r="B981" s="211" t="str">
        <f>IF(COUNTBLANK('RNEW import'!D979)=1,"",'RNEW import'!D979)</f>
        <v>Nepi Ten Development Solutions  SRL</v>
      </c>
      <c r="C981" s="211" t="str">
        <f>IF(COUNTBLANK('RNEW import'!E979)=1,"",'RNEW import'!E979)</f>
        <v>RN10_Petrosani</v>
      </c>
      <c r="D981" s="211" t="str">
        <f>IF(COUNTBLANK('RNEW import'!K979)=1,"",'RNEW import'!K979)</f>
        <v xml:space="preserve">Servicii Sistem </v>
      </c>
      <c r="E981" s="211">
        <f>IF(COUNTBLANK('RNEW import'!L979)=1,"",'RNEW import'!N979)</f>
        <v>13243</v>
      </c>
      <c r="F981" s="211">
        <f>IF(COUNTBLANK('RNEW import'!M979)=1,"",'RNEW import'!O979/10000)</f>
        <v>1.1509999999999999E-2</v>
      </c>
      <c r="G981" s="217">
        <f t="shared" si="255"/>
        <v>152.43</v>
      </c>
      <c r="H981" s="217">
        <f t="shared" si="263"/>
        <v>28.96</v>
      </c>
      <c r="I981" s="329">
        <f t="shared" si="256"/>
        <v>181.39000000000001</v>
      </c>
      <c r="J981" s="263" t="str">
        <f t="shared" si="258"/>
        <v/>
      </c>
      <c r="K981" s="238" t="str">
        <f t="shared" si="259"/>
        <v/>
      </c>
      <c r="L981" s="238" t="str">
        <f t="shared" si="260"/>
        <v/>
      </c>
      <c r="M981" s="238" t="str">
        <f t="shared" si="261"/>
        <v/>
      </c>
      <c r="N981" s="238" t="str">
        <f t="shared" si="262"/>
        <v/>
      </c>
      <c r="O981" s="232" t="str">
        <f t="shared" si="257"/>
        <v/>
      </c>
      <c r="P981" s="219" t="str">
        <f t="shared" si="264"/>
        <v/>
      </c>
      <c r="Q981" s="219" t="str">
        <f t="shared" si="265"/>
        <v/>
      </c>
      <c r="R981" s="219" t="str">
        <f t="shared" si="266"/>
        <v/>
      </c>
      <c r="S981" s="330" t="str">
        <f t="shared" si="252"/>
        <v/>
      </c>
      <c r="T981" s="330" t="str">
        <f t="shared" si="253"/>
        <v/>
      </c>
      <c r="U981" s="330" t="str">
        <f t="shared" si="254"/>
        <v/>
      </c>
    </row>
    <row r="982" spans="1:21">
      <c r="A982" s="211">
        <f>IF(COUNTBLANK('RNEW import'!B980)=1,"",'RNEW import'!B980)</f>
        <v>7</v>
      </c>
      <c r="B982" s="211" t="str">
        <f>IF(COUNTBLANK('RNEW import'!D980)=1,"",'RNEW import'!D980)</f>
        <v>Nepi Ten Development Solutions  SRL</v>
      </c>
      <c r="C982" s="211" t="str">
        <f>IF(COUNTBLANK('RNEW import'!E980)=1,"",'RNEW import'!E980)</f>
        <v>RN10_Petrosani</v>
      </c>
      <c r="D982" s="211" t="str">
        <f>IF(COUNTBLANK('RNEW import'!K980)=1,"",'RNEW import'!K980)</f>
        <v>Tarif de introducere en. el in retea (TL)</v>
      </c>
      <c r="E982" s="211">
        <f>IF(COUNTBLANK('RNEW import'!L980)=1,"",'RNEW import'!N980)</f>
        <v>13243</v>
      </c>
      <c r="F982" s="211">
        <f>IF(COUNTBLANK('RNEW import'!M980)=1,"",'RNEW import'!O980/10000)</f>
        <v>3.3030000000000004E-2</v>
      </c>
      <c r="G982" s="217">
        <f t="shared" si="255"/>
        <v>437.42</v>
      </c>
      <c r="H982" s="217">
        <f t="shared" si="263"/>
        <v>83.11</v>
      </c>
      <c r="I982" s="329">
        <f t="shared" si="256"/>
        <v>520.53</v>
      </c>
      <c r="J982" s="263" t="str">
        <f t="shared" si="258"/>
        <v/>
      </c>
      <c r="K982" s="238" t="str">
        <f t="shared" si="259"/>
        <v/>
      </c>
      <c r="L982" s="238" t="str">
        <f t="shared" si="260"/>
        <v/>
      </c>
      <c r="M982" s="238" t="str">
        <f t="shared" si="261"/>
        <v/>
      </c>
      <c r="N982" s="238" t="str">
        <f t="shared" si="262"/>
        <v/>
      </c>
      <c r="O982" s="232" t="str">
        <f t="shared" si="257"/>
        <v/>
      </c>
      <c r="P982" s="219" t="str">
        <f t="shared" si="264"/>
        <v/>
      </c>
      <c r="Q982" s="219" t="str">
        <f t="shared" si="265"/>
        <v/>
      </c>
      <c r="R982" s="219" t="str">
        <f t="shared" si="266"/>
        <v/>
      </c>
      <c r="S982" s="330" t="str">
        <f t="shared" si="252"/>
        <v/>
      </c>
      <c r="T982" s="330" t="str">
        <f t="shared" si="253"/>
        <v/>
      </c>
      <c r="U982" s="330" t="str">
        <f t="shared" si="254"/>
        <v/>
      </c>
    </row>
    <row r="983" spans="1:21">
      <c r="A983" s="211">
        <f>IF(COUNTBLANK('RNEW import'!B981)=1,"",'RNEW import'!B981)</f>
        <v>8</v>
      </c>
      <c r="B983" s="211" t="str">
        <f>IF(COUNTBLANK('RNEW import'!D981)=1,"",'RNEW import'!D981)</f>
        <v>Nepi Ten Development Solutions  SRL</v>
      </c>
      <c r="C983" s="211" t="str">
        <f>IF(COUNTBLANK('RNEW import'!E981)=1,"",'RNEW import'!E981)</f>
        <v>RN10_Petrosani</v>
      </c>
      <c r="D983" s="211" t="str">
        <f>IF(COUNTBLANK('RNEW import'!K981)=1,"",'RNEW import'!K981)</f>
        <v>Tarif de introducere en.el in retea (TG)</v>
      </c>
      <c r="E983" s="211">
        <f>IF(COUNTBLANK('RNEW import'!L981)=1,"",'RNEW import'!N981)</f>
        <v>13243</v>
      </c>
      <c r="F983" s="211">
        <f>IF(COUNTBLANK('RNEW import'!M981)=1,"",'RNEW import'!O981/10000)</f>
        <v>3.29E-3</v>
      </c>
      <c r="G983" s="217">
        <f t="shared" si="255"/>
        <v>43.57</v>
      </c>
      <c r="H983" s="217">
        <f t="shared" si="263"/>
        <v>8.2799999999999994</v>
      </c>
      <c r="I983" s="329">
        <f t="shared" si="256"/>
        <v>51.85</v>
      </c>
      <c r="J983" s="263" t="str">
        <f t="shared" si="258"/>
        <v/>
      </c>
      <c r="K983" s="238" t="str">
        <f t="shared" si="259"/>
        <v/>
      </c>
      <c r="L983" s="238" t="str">
        <f t="shared" si="260"/>
        <v/>
      </c>
      <c r="M983" s="238" t="str">
        <f t="shared" si="261"/>
        <v/>
      </c>
      <c r="N983" s="238" t="str">
        <f t="shared" si="262"/>
        <v/>
      </c>
      <c r="O983" s="232" t="str">
        <f t="shared" si="257"/>
        <v/>
      </c>
      <c r="P983" s="219" t="str">
        <f t="shared" si="264"/>
        <v/>
      </c>
      <c r="Q983" s="219" t="str">
        <f t="shared" si="265"/>
        <v/>
      </c>
      <c r="R983" s="219" t="str">
        <f t="shared" si="266"/>
        <v/>
      </c>
      <c r="S983" s="330" t="str">
        <f t="shared" si="252"/>
        <v/>
      </c>
      <c r="T983" s="330" t="str">
        <f t="shared" si="253"/>
        <v/>
      </c>
      <c r="U983" s="330" t="str">
        <f t="shared" si="254"/>
        <v/>
      </c>
    </row>
    <row r="984" spans="1:21">
      <c r="A984" s="211">
        <f>IF(COUNTBLANK('RNEW import'!B982)=1,"",'RNEW import'!B982)</f>
        <v>9</v>
      </c>
      <c r="B984" s="211" t="str">
        <f>IF(COUNTBLANK('RNEW import'!D982)=1,"",'RNEW import'!D982)</f>
        <v>Nepi Ten Development Solutions  SRL</v>
      </c>
      <c r="C984" s="211" t="str">
        <f>IF(COUNTBLANK('RNEW import'!E982)=1,"",'RNEW import'!E982)</f>
        <v>RN10_Petrosani</v>
      </c>
      <c r="D984" s="211" t="str">
        <f>IF(COUNTBLANK('RNEW import'!K982)=1,"",'RNEW import'!K982)</f>
        <v>Contributie pentru cogenerare</v>
      </c>
      <c r="E984" s="211">
        <f>IF(COUNTBLANK('RNEW import'!L982)=1,"",'RNEW import'!N982)</f>
        <v>13243</v>
      </c>
      <c r="F984" s="211">
        <f>IF(COUNTBLANK('RNEW import'!M982)=1,"",'RNEW import'!O982/10000)</f>
        <v>3.5000000000000001E-3</v>
      </c>
      <c r="G984" s="217">
        <f t="shared" si="255"/>
        <v>46.35</v>
      </c>
      <c r="H984" s="217">
        <f t="shared" si="263"/>
        <v>8.81</v>
      </c>
      <c r="I984" s="329">
        <f t="shared" si="256"/>
        <v>55.160000000000004</v>
      </c>
      <c r="J984" s="263" t="str">
        <f t="shared" si="258"/>
        <v/>
      </c>
      <c r="K984" s="238" t="str">
        <f t="shared" si="259"/>
        <v/>
      </c>
      <c r="L984" s="238" t="str">
        <f t="shared" si="260"/>
        <v/>
      </c>
      <c r="M984" s="238" t="str">
        <f t="shared" si="261"/>
        <v/>
      </c>
      <c r="N984" s="238" t="str">
        <f t="shared" si="262"/>
        <v/>
      </c>
      <c r="O984" s="232" t="str">
        <f t="shared" si="257"/>
        <v/>
      </c>
      <c r="P984" s="219" t="str">
        <f t="shared" si="264"/>
        <v/>
      </c>
      <c r="Q984" s="219" t="str">
        <f t="shared" si="265"/>
        <v/>
      </c>
      <c r="R984" s="219" t="str">
        <f t="shared" si="266"/>
        <v/>
      </c>
      <c r="S984" s="330" t="str">
        <f t="shared" si="252"/>
        <v/>
      </c>
      <c r="T984" s="330" t="str">
        <f t="shared" si="253"/>
        <v/>
      </c>
      <c r="U984" s="330" t="str">
        <f t="shared" si="254"/>
        <v/>
      </c>
    </row>
    <row r="985" spans="1:21">
      <c r="A985" s="211">
        <f>IF(COUNTBLANK('RNEW import'!B983)=1,"",'RNEW import'!B983)</f>
        <v>10</v>
      </c>
      <c r="B985" s="211" t="str">
        <f>IF(COUNTBLANK('RNEW import'!D983)=1,"",'RNEW import'!D983)</f>
        <v>Nepi Ten Development Solutions  SRL</v>
      </c>
      <c r="C985" s="211" t="str">
        <f>IF(COUNTBLANK('RNEW import'!E983)=1,"",'RNEW import'!E983)</f>
        <v>RN10_Petrosani</v>
      </c>
      <c r="D985" s="211" t="str">
        <f>IF(COUNTBLANK('RNEW import'!K983)=1,"",'RNEW import'!K983)</f>
        <v xml:space="preserve">Certificate verzi </v>
      </c>
      <c r="E985" s="211">
        <f>IF(COUNTBLANK('RNEW import'!L983)=1,"",'RNEW import'!N983)</f>
        <v>13243</v>
      </c>
      <c r="F985" s="211">
        <f>IF(COUNTBLANK('RNEW import'!M983)=1,"",'RNEW import'!O983/10000)</f>
        <v>7.2541599999999998E-2</v>
      </c>
      <c r="G985" s="217">
        <f t="shared" si="255"/>
        <v>960.67</v>
      </c>
      <c r="H985" s="217">
        <f t="shared" si="263"/>
        <v>182.53</v>
      </c>
      <c r="I985" s="329">
        <f t="shared" si="256"/>
        <v>1143.2</v>
      </c>
      <c r="J985" s="263" t="str">
        <f t="shared" si="258"/>
        <v/>
      </c>
      <c r="K985" s="238" t="str">
        <f t="shared" si="259"/>
        <v/>
      </c>
      <c r="L985" s="238" t="str">
        <f t="shared" si="260"/>
        <v/>
      </c>
      <c r="M985" s="238" t="str">
        <f t="shared" si="261"/>
        <v/>
      </c>
      <c r="N985" s="238" t="str">
        <f t="shared" si="262"/>
        <v/>
      </c>
      <c r="O985" s="232" t="str">
        <f t="shared" si="257"/>
        <v/>
      </c>
      <c r="P985" s="219" t="str">
        <f t="shared" si="264"/>
        <v/>
      </c>
      <c r="Q985" s="219" t="str">
        <f t="shared" si="265"/>
        <v/>
      </c>
      <c r="R985" s="219" t="str">
        <f t="shared" si="266"/>
        <v/>
      </c>
      <c r="S985" s="330" t="str">
        <f t="shared" si="252"/>
        <v/>
      </c>
      <c r="T985" s="330" t="str">
        <f t="shared" si="253"/>
        <v/>
      </c>
      <c r="U985" s="330" t="str">
        <f t="shared" si="254"/>
        <v/>
      </c>
    </row>
    <row r="986" spans="1:21">
      <c r="A986" s="211">
        <f>IF(COUNTBLANK('RNEW import'!B984)=1,"",'RNEW import'!B984)</f>
        <v>11</v>
      </c>
      <c r="B986" s="211" t="str">
        <f>IF(COUNTBLANK('RNEW import'!D984)=1,"",'RNEW import'!D984)</f>
        <v>Nepi Ten Development Solutions  SRL</v>
      </c>
      <c r="C986" s="211" t="str">
        <f>IF(COUNTBLANK('RNEW import'!E984)=1,"",'RNEW import'!E984)</f>
        <v>RN10_Petrosani</v>
      </c>
      <c r="D986" s="211" t="str">
        <f>IF(COUNTBLANK('RNEW import'!K984)=1,"",'RNEW import'!K984)</f>
        <v>Contributie CFD</v>
      </c>
      <c r="E986" s="211">
        <f>IF(COUNTBLANK('RNEW import'!L984)=1,"",'RNEW import'!N984)</f>
        <v>13243</v>
      </c>
      <c r="F986" s="211">
        <f>IF(COUNTBLANK('RNEW import'!M984)=1,"",'RNEW import'!O984/10000)</f>
        <v>2.0599999999999999E-4</v>
      </c>
      <c r="G986" s="217">
        <f t="shared" ref="G986:G1047" si="267">ROUND(E986*F986,2)</f>
        <v>2.73</v>
      </c>
      <c r="H986" s="217">
        <f t="shared" si="263"/>
        <v>0.52</v>
      </c>
      <c r="I986" s="329">
        <f t="shared" ref="I986:I1047" si="268">G986+H986</f>
        <v>3.25</v>
      </c>
      <c r="J986" s="263" t="str">
        <f t="shared" ref="J986:J1047" si="269">IF(A986=1,_xlfn.CONCAT(B986," - ",RIGHT(C986,LEN(C986)-FIND("_",C986,1))),"")</f>
        <v/>
      </c>
      <c r="K986" s="238" t="str">
        <f t="shared" si="259"/>
        <v/>
      </c>
      <c r="L986" s="238" t="str">
        <f t="shared" si="260"/>
        <v/>
      </c>
      <c r="M986" s="238" t="str">
        <f t="shared" si="261"/>
        <v/>
      </c>
      <c r="N986" s="238" t="str">
        <f t="shared" si="262"/>
        <v/>
      </c>
      <c r="O986" s="232" t="str">
        <f t="shared" ref="O986:O1047" si="270">IF(A986=1,B986,"")</f>
        <v/>
      </c>
      <c r="P986" s="219" t="str">
        <f t="shared" si="264"/>
        <v/>
      </c>
      <c r="Q986" s="219" t="str">
        <f t="shared" si="265"/>
        <v/>
      </c>
      <c r="R986" s="219" t="str">
        <f t="shared" si="266"/>
        <v/>
      </c>
      <c r="S986" s="330" t="str">
        <f t="shared" si="252"/>
        <v/>
      </c>
      <c r="T986" s="330" t="str">
        <f t="shared" si="253"/>
        <v/>
      </c>
      <c r="U986" s="330" t="str">
        <f t="shared" si="254"/>
        <v/>
      </c>
    </row>
    <row r="987" spans="1:21">
      <c r="A987" s="211">
        <f>IF(COUNTBLANK('RNEW import'!B985)=1,"",'RNEW import'!B985)</f>
        <v>12</v>
      </c>
      <c r="B987" s="211" t="str">
        <f>IF(COUNTBLANK('RNEW import'!D985)=1,"",'RNEW import'!D985)</f>
        <v>Nepi Ten Development Solutions  SRL</v>
      </c>
      <c r="C987" s="211" t="str">
        <f>IF(COUNTBLANK('RNEW import'!E985)=1,"",'RNEW import'!E985)</f>
        <v>RN10_Petrosani</v>
      </c>
      <c r="D987" s="211" t="str">
        <f>IF(COUNTBLANK('RNEW import'!K985)=1,"",'RNEW import'!K985)</f>
        <v>Acciza</v>
      </c>
      <c r="E987" s="211">
        <f>IF(COUNTBLANK('RNEW import'!L985)=1,"",'RNEW import'!N985)</f>
        <v>13243</v>
      </c>
      <c r="F987" s="211">
        <f>IF(COUNTBLANK('RNEW import'!M985)=1,"",'RNEW import'!O985/10000)</f>
        <v>0</v>
      </c>
      <c r="G987" s="217">
        <f t="shared" si="267"/>
        <v>0</v>
      </c>
      <c r="H987" s="217">
        <f t="shared" si="263"/>
        <v>0</v>
      </c>
      <c r="I987" s="329">
        <f t="shared" si="268"/>
        <v>0</v>
      </c>
      <c r="J987" s="263" t="str">
        <f t="shared" si="269"/>
        <v/>
      </c>
      <c r="K987" s="238" t="str">
        <f t="shared" si="259"/>
        <v/>
      </c>
      <c r="L987" s="238" t="str">
        <f t="shared" si="260"/>
        <v/>
      </c>
      <c r="M987" s="238" t="str">
        <f t="shared" si="261"/>
        <v/>
      </c>
      <c r="N987" s="238" t="str">
        <f t="shared" si="262"/>
        <v/>
      </c>
      <c r="O987" s="232" t="str">
        <f t="shared" si="270"/>
        <v/>
      </c>
      <c r="P987" s="219" t="str">
        <f t="shared" si="264"/>
        <v/>
      </c>
      <c r="Q987" s="219" t="str">
        <f t="shared" si="265"/>
        <v/>
      </c>
      <c r="R987" s="219" t="str">
        <f t="shared" si="266"/>
        <v/>
      </c>
      <c r="S987" s="330" t="str">
        <f t="shared" si="252"/>
        <v/>
      </c>
      <c r="T987" s="330" t="str">
        <f t="shared" si="253"/>
        <v/>
      </c>
      <c r="U987" s="330" t="str">
        <f t="shared" si="254"/>
        <v/>
      </c>
    </row>
    <row r="988" spans="1:21">
      <c r="A988" s="211">
        <f>IF(COUNTBLANK('RNEW import'!B986)=1,"",'RNEW import'!B986)</f>
        <v>13</v>
      </c>
      <c r="B988" s="211" t="str">
        <f>IF(COUNTBLANK('RNEW import'!D986)=1,"",'RNEW import'!D986)</f>
        <v>Nepi Ten Development Solutions  SRL</v>
      </c>
      <c r="C988" s="211" t="str">
        <f>IF(COUNTBLANK('RNEW import'!E986)=1,"",'RNEW import'!E986)</f>
        <v>RN10_Petrosani</v>
      </c>
      <c r="D988" s="211" t="str">
        <f>IF(COUNTBLANK('RNEW import'!K986)=1,"",'RNEW import'!K986)</f>
        <v>Tarif distributie SDI MT</v>
      </c>
      <c r="E988" s="211">
        <f>IF(COUNTBLANK('RNEW import'!L986)=1,"",'RNEW import'!N986)</f>
        <v>0</v>
      </c>
      <c r="F988" s="211">
        <f>IF(COUNTBLANK('RNEW import'!M986)=1,"",'RNEW import'!O986/10000)</f>
        <v>1.1599999999999999E-2</v>
      </c>
      <c r="G988" s="217">
        <f t="shared" si="267"/>
        <v>0</v>
      </c>
      <c r="H988" s="217">
        <f t="shared" si="263"/>
        <v>0</v>
      </c>
      <c r="I988" s="329">
        <f t="shared" si="268"/>
        <v>0</v>
      </c>
      <c r="J988" s="263" t="str">
        <f t="shared" si="269"/>
        <v/>
      </c>
      <c r="K988" s="238" t="str">
        <f t="shared" si="259"/>
        <v/>
      </c>
      <c r="L988" s="238" t="str">
        <f t="shared" si="260"/>
        <v/>
      </c>
      <c r="M988" s="238" t="str">
        <f t="shared" si="261"/>
        <v/>
      </c>
      <c r="N988" s="238" t="str">
        <f t="shared" si="262"/>
        <v/>
      </c>
      <c r="O988" s="232" t="str">
        <f t="shared" si="270"/>
        <v/>
      </c>
      <c r="P988" s="219" t="str">
        <f t="shared" si="264"/>
        <v/>
      </c>
      <c r="Q988" s="219" t="str">
        <f t="shared" si="265"/>
        <v/>
      </c>
      <c r="R988" s="219" t="str">
        <f t="shared" si="266"/>
        <v/>
      </c>
      <c r="S988" s="330" t="str">
        <f t="shared" ref="S988:S1011" si="271">IF(COUNTBLANK(P988)=1,"",ROUND(IF(P988=$P$5,G988,IF(P988=$P$6,G988,IF(P988=$P$21,G988+G987+G986+G985,IF(P988=$P$23,G988,IF(P988=$P$24,G988,IF(P988=$P$4,SUMIFS(G:G,$C:$C,_xlfn.CONCAT("RN10_",RIGHT(J988,LEN(J988)-FIND("-",J988,1)-1)),A:A,"&lt;15"),IF(P988=$P$22,SUMIFS(G:G,$C:$C,_xlfn.CONCAT("RN10_",RIGHT(J970,LEN(J970)-FIND("-",J970,1)-1)),A:A,"&gt;18",A:A,"&lt;33")-S989-S990,IF(P988=$P$39,G988+G987+G986+G985,"eroare")))))))),2))</f>
        <v/>
      </c>
      <c r="T988" s="330" t="str">
        <f t="shared" si="253"/>
        <v/>
      </c>
      <c r="U988" s="330" t="str">
        <f t="shared" si="254"/>
        <v/>
      </c>
    </row>
    <row r="989" spans="1:21">
      <c r="A989" s="211">
        <f>IF(COUNTBLANK('RNEW import'!B987)=1,"",'RNEW import'!B987)</f>
        <v>14</v>
      </c>
      <c r="B989" s="211" t="str">
        <f>IF(COUNTBLANK('RNEW import'!D987)=1,"",'RNEW import'!D987)</f>
        <v>Nepi Ten Development Solutions  SRL</v>
      </c>
      <c r="C989" s="211" t="str">
        <f>IF(COUNTBLANK('RNEW import'!E987)=1,"",'RNEW import'!E987)</f>
        <v>RN10_Petrosani</v>
      </c>
      <c r="D989" s="211" t="str">
        <f>IF(COUNTBLANK('RNEW import'!K987)=1,"",'RNEW import'!K987)</f>
        <v>Tarif distributie SDI JT</v>
      </c>
      <c r="E989" s="211">
        <f>IF(COUNTBLANK('RNEW import'!L987)=1,"",'RNEW import'!N987)</f>
        <v>0</v>
      </c>
      <c r="F989" s="211">
        <f>IF(COUNTBLANK('RNEW import'!M987)=1,"",'RNEW import'!O987/10000)</f>
        <v>8.3199999999999996E-2</v>
      </c>
      <c r="G989" s="217">
        <f t="shared" si="267"/>
        <v>0</v>
      </c>
      <c r="H989" s="217">
        <f t="shared" si="263"/>
        <v>0</v>
      </c>
      <c r="I989" s="329">
        <f t="shared" si="268"/>
        <v>0</v>
      </c>
      <c r="J989" s="263" t="str">
        <f t="shared" si="269"/>
        <v/>
      </c>
      <c r="K989" s="238" t="str">
        <f t="shared" si="259"/>
        <v/>
      </c>
      <c r="L989" s="238" t="str">
        <f t="shared" si="260"/>
        <v/>
      </c>
      <c r="M989" s="238" t="str">
        <f t="shared" si="261"/>
        <v/>
      </c>
      <c r="N989" s="238" t="str">
        <f t="shared" si="262"/>
        <v/>
      </c>
      <c r="O989" s="232" t="str">
        <f t="shared" si="270"/>
        <v/>
      </c>
      <c r="P989" s="219" t="str">
        <f t="shared" si="264"/>
        <v/>
      </c>
      <c r="Q989" s="219" t="str">
        <f t="shared" si="265"/>
        <v/>
      </c>
      <c r="R989" s="219" t="str">
        <f t="shared" si="266"/>
        <v/>
      </c>
      <c r="S989" s="330" t="str">
        <f t="shared" si="271"/>
        <v/>
      </c>
      <c r="T989" s="330" t="str">
        <f t="shared" ref="T989:T1011" si="272">IF(COUNTBLANK(P989)=1,"",ROUND(IF(P989=$P$5,H989,IF(P989=$P$6,H989,IF(P989=$P$21,H989+H988+H987+H986,IF(P989=$P$23,H989,IF(P989=$P$24,H989,IF(P989=$P$4,SUMIFS(H:H,$C:$C,_xlfn.CONCAT("RN10_",RIGHT(J989,LEN(J989)-FIND("-",J989,1)-1)),A:A,"&lt;15"),IF(P989=$P$22,SUMIFS(H:H,$C:$C,_xlfn.CONCAT("RN10_",RIGHT(J971,LEN(J971)-FIND("-",J971,1)-1)),A:A,"&gt;18",A:A,"&lt;33")-T990-T991,IF(P989=$P$39,H989+H988+H987+H986,"eroare")))))))),2))</f>
        <v/>
      </c>
      <c r="U989" s="330" t="str">
        <f t="shared" ref="U989:U1011" si="273">IF(COUNTBLANK(P989)=1,"",ROUND(IF(P989=$P$5,I989,IF(P989=$P$6,I989,IF(P989=$P$21,I989+I988+I987+I986,IF(P989=$P$23,I989,IF(P989=$P$24,I989,IF(P989=$P$4,SUMIFS(I:I,$C:$C,_xlfn.CONCAT("RN10_",RIGHT(J989,LEN(J989)-FIND("-",J989,1)-1)),A:A,"&lt;15"),IF(P989=$P$22,SUMIFS(I:I,$C:$C,_xlfn.CONCAT("RN10_",RIGHT(J971,LEN(J971)-FIND("-",J971,1)-1)),A:A,"&gt;18",A:A,"&lt;33")-U990-U991,IF(P989=$P$39,I989+I988+I987+I986,"eroare")))))))),2))</f>
        <v/>
      </c>
    </row>
    <row r="990" spans="1:21">
      <c r="A990" s="211">
        <f>IF(COUNTBLANK('RNEW import'!B988)=1,"",'RNEW import'!B988)</f>
        <v>15</v>
      </c>
      <c r="B990" s="211" t="str">
        <f>IF(COUNTBLANK('RNEW import'!D988)=1,"",'RNEW import'!D988)</f>
        <v>Nepi Ten Development Solutions  SRL</v>
      </c>
      <c r="C990" s="211" t="str">
        <f>IF(COUNTBLANK('RNEW import'!E988)=1,"",'RNEW import'!E988)</f>
        <v>RN10_Petrosani</v>
      </c>
      <c r="D990" s="211" t="str">
        <f>IF(COUNTBLANK('RNEW import'!K988)=1,"",'RNEW import'!K988)</f>
        <v>Energie activa 2</v>
      </c>
      <c r="E990" s="211">
        <f>IF(COUNTBLANK('RNEW import'!L988)=1,"",'RNEW import'!N988)</f>
        <v>0</v>
      </c>
      <c r="F990" s="211">
        <f>IF(COUNTBLANK('RNEW import'!M988)=1,"",'RNEW import'!O988/10000)</f>
        <v>0.90005760000000012</v>
      </c>
      <c r="G990" s="217">
        <f t="shared" si="267"/>
        <v>0</v>
      </c>
      <c r="H990" s="217">
        <f t="shared" si="263"/>
        <v>0</v>
      </c>
      <c r="I990" s="329">
        <f t="shared" si="268"/>
        <v>0</v>
      </c>
      <c r="J990" s="263" t="str">
        <f t="shared" si="269"/>
        <v/>
      </c>
      <c r="K990" s="238" t="str">
        <f t="shared" si="259"/>
        <v/>
      </c>
      <c r="L990" s="238" t="str">
        <f t="shared" si="260"/>
        <v/>
      </c>
      <c r="M990" s="238" t="str">
        <f t="shared" si="261"/>
        <v/>
      </c>
      <c r="N990" s="238" t="str">
        <f t="shared" si="262"/>
        <v/>
      </c>
      <c r="O990" s="232" t="str">
        <f t="shared" si="270"/>
        <v/>
      </c>
      <c r="P990" s="219" t="str">
        <f t="shared" si="264"/>
        <v/>
      </c>
      <c r="Q990" s="219" t="str">
        <f t="shared" si="265"/>
        <v/>
      </c>
      <c r="R990" s="219" t="str">
        <f t="shared" si="266"/>
        <v/>
      </c>
      <c r="S990" s="330" t="str">
        <f t="shared" si="271"/>
        <v/>
      </c>
      <c r="T990" s="330" t="str">
        <f t="shared" si="272"/>
        <v/>
      </c>
      <c r="U990" s="330" t="str">
        <f t="shared" si="273"/>
        <v/>
      </c>
    </row>
    <row r="991" spans="1:21">
      <c r="A991" s="211">
        <f>IF(COUNTBLANK('RNEW import'!B989)=1,"",'RNEW import'!B989)</f>
        <v>16</v>
      </c>
      <c r="B991" s="211" t="str">
        <f>IF(COUNTBLANK('RNEW import'!D989)=1,"",'RNEW import'!D989)</f>
        <v>Nepi Ten Development Solutions  SRL</v>
      </c>
      <c r="C991" s="211" t="str">
        <f>IF(COUNTBLANK('RNEW import'!E989)=1,"",'RNEW import'!E989)</f>
        <v>RN10_Petrosani</v>
      </c>
      <c r="D991" s="211" t="str">
        <f>IF(COUNTBLANK('RNEW import'!K989)=1,"",'RNEW import'!K989)</f>
        <v>Energie activa 3</v>
      </c>
      <c r="E991" s="211">
        <f>IF(COUNTBLANK('RNEW import'!L989)=1,"",'RNEW import'!N989)</f>
        <v>0</v>
      </c>
      <c r="F991" s="211">
        <f>IF(COUNTBLANK('RNEW import'!M989)=1,"",'RNEW import'!O989/10000)</f>
        <v>0.80525760000000002</v>
      </c>
      <c r="G991" s="217">
        <f t="shared" si="267"/>
        <v>0</v>
      </c>
      <c r="H991" s="217">
        <f t="shared" si="263"/>
        <v>0</v>
      </c>
      <c r="I991" s="329">
        <f t="shared" si="268"/>
        <v>0</v>
      </c>
      <c r="J991" s="263" t="str">
        <f t="shared" si="269"/>
        <v/>
      </c>
      <c r="K991" s="238" t="str">
        <f t="shared" si="259"/>
        <v/>
      </c>
      <c r="L991" s="238" t="str">
        <f t="shared" si="260"/>
        <v/>
      </c>
      <c r="M991" s="238" t="str">
        <f t="shared" si="261"/>
        <v/>
      </c>
      <c r="N991" s="238" t="str">
        <f t="shared" si="262"/>
        <v/>
      </c>
      <c r="O991" s="232" t="str">
        <f t="shared" si="270"/>
        <v/>
      </c>
      <c r="P991" s="219" t="str">
        <f t="shared" si="264"/>
        <v/>
      </c>
      <c r="Q991" s="219" t="str">
        <f t="shared" si="265"/>
        <v/>
      </c>
      <c r="R991" s="219" t="str">
        <f t="shared" si="266"/>
        <v/>
      </c>
      <c r="S991" s="330" t="str">
        <f t="shared" si="271"/>
        <v/>
      </c>
      <c r="T991" s="330" t="str">
        <f t="shared" si="272"/>
        <v/>
      </c>
      <c r="U991" s="330" t="str">
        <f t="shared" si="273"/>
        <v/>
      </c>
    </row>
    <row r="992" spans="1:21">
      <c r="A992" s="211">
        <f>IF(COUNTBLANK('RNEW import'!B990)=1,"",'RNEW import'!B990)</f>
        <v>17</v>
      </c>
      <c r="B992" s="211" t="str">
        <f>IF(COUNTBLANK('RNEW import'!D990)=1,"",'RNEW import'!D990)</f>
        <v>Nepi Ten Development Solutions  SRL</v>
      </c>
      <c r="C992" s="211" t="str">
        <f>IF(COUNTBLANK('RNEW import'!E990)=1,"",'RNEW import'!E990)</f>
        <v>RN10_Petrosani</v>
      </c>
      <c r="D992" s="211" t="str">
        <f>IF(COUNTBLANK('RNEW import'!K990)=1,"",'RNEW import'!K990)</f>
        <v>Tarif distributie SDI MT_</v>
      </c>
      <c r="E992" s="211">
        <f>IF(COUNTBLANK('RNEW import'!L990)=1,"",'RNEW import'!N990)</f>
        <v>0</v>
      </c>
      <c r="F992" s="211">
        <f>IF(COUNTBLANK('RNEW import'!M990)=1,"",'RNEW import'!O990/10000)</f>
        <v>1.1599999999999999E-2</v>
      </c>
      <c r="G992" s="217">
        <f t="shared" si="267"/>
        <v>0</v>
      </c>
      <c r="H992" s="217">
        <f t="shared" si="263"/>
        <v>0</v>
      </c>
      <c r="I992" s="329">
        <f t="shared" si="268"/>
        <v>0</v>
      </c>
      <c r="J992" s="263" t="str">
        <f t="shared" si="269"/>
        <v/>
      </c>
      <c r="K992" s="238" t="str">
        <f t="shared" si="259"/>
        <v/>
      </c>
      <c r="L992" s="238" t="str">
        <f t="shared" si="260"/>
        <v/>
      </c>
      <c r="M992" s="238" t="str">
        <f t="shared" si="261"/>
        <v/>
      </c>
      <c r="N992" s="238" t="str">
        <f t="shared" si="262"/>
        <v/>
      </c>
      <c r="O992" s="232" t="str">
        <f t="shared" si="270"/>
        <v/>
      </c>
      <c r="P992" s="219" t="str">
        <f t="shared" si="264"/>
        <v/>
      </c>
      <c r="Q992" s="219" t="str">
        <f t="shared" si="265"/>
        <v/>
      </c>
      <c r="R992" s="219" t="str">
        <f t="shared" si="266"/>
        <v/>
      </c>
      <c r="S992" s="330" t="str">
        <f t="shared" si="271"/>
        <v/>
      </c>
      <c r="T992" s="330" t="str">
        <f t="shared" si="272"/>
        <v/>
      </c>
      <c r="U992" s="330" t="str">
        <f t="shared" si="273"/>
        <v/>
      </c>
    </row>
    <row r="993" spans="1:21">
      <c r="A993" s="211">
        <f>IF(COUNTBLANK('RNEW import'!B991)=1,"",'RNEW import'!B991)</f>
        <v>18</v>
      </c>
      <c r="B993" s="211" t="str">
        <f>IF(COUNTBLANK('RNEW import'!D991)=1,"",'RNEW import'!D991)</f>
        <v>Nepi Ten Development Solutions  SRL</v>
      </c>
      <c r="C993" s="211" t="str">
        <f>IF(COUNTBLANK('RNEW import'!E991)=1,"",'RNEW import'!E991)</f>
        <v>RN10_Petrosani</v>
      </c>
      <c r="D993" s="211" t="str">
        <f>IF(COUNTBLANK('RNEW import'!K991)=1,"",'RNEW import'!K991)</f>
        <v>Tarif distributie SDI JT_</v>
      </c>
      <c r="E993" s="211">
        <f>IF(COUNTBLANK('RNEW import'!L991)=1,"",'RNEW import'!N991)</f>
        <v>0</v>
      </c>
      <c r="F993" s="211">
        <f>IF(COUNTBLANK('RNEW import'!M991)=1,"",'RNEW import'!O991/10000)</f>
        <v>8.3199999999999996E-2</v>
      </c>
      <c r="G993" s="217">
        <f t="shared" si="267"/>
        <v>0</v>
      </c>
      <c r="H993" s="217">
        <f t="shared" si="263"/>
        <v>0</v>
      </c>
      <c r="I993" s="329">
        <f t="shared" si="268"/>
        <v>0</v>
      </c>
      <c r="J993" s="263" t="str">
        <f t="shared" si="269"/>
        <v/>
      </c>
      <c r="K993" s="238" t="str">
        <f t="shared" si="259"/>
        <v/>
      </c>
      <c r="L993" s="238" t="str">
        <f t="shared" si="260"/>
        <v/>
      </c>
      <c r="M993" s="238" t="str">
        <f t="shared" si="261"/>
        <v/>
      </c>
      <c r="N993" s="238" t="str">
        <f t="shared" si="262"/>
        <v/>
      </c>
      <c r="O993" s="232" t="str">
        <f t="shared" si="270"/>
        <v/>
      </c>
      <c r="P993" s="219" t="str">
        <f t="shared" si="264"/>
        <v>Energie consumata din PV</v>
      </c>
      <c r="Q993" s="219">
        <f t="shared" si="265"/>
        <v>0</v>
      </c>
      <c r="R993" s="219">
        <f t="shared" si="266"/>
        <v>0</v>
      </c>
      <c r="S993" s="330">
        <f t="shared" si="271"/>
        <v>0</v>
      </c>
      <c r="T993" s="330">
        <f t="shared" si="272"/>
        <v>0</v>
      </c>
      <c r="U993" s="330">
        <f t="shared" si="273"/>
        <v>0</v>
      </c>
    </row>
    <row r="994" spans="1:21">
      <c r="A994" s="211">
        <f>IF(COUNTBLANK('RNEW import'!B992)=1,"",'RNEW import'!B992)</f>
        <v>19</v>
      </c>
      <c r="B994" s="211" t="str">
        <f>IF(COUNTBLANK('RNEW import'!D992)=1,"",'RNEW import'!D992)</f>
        <v>Nepi Ten Development Solutions  SRL</v>
      </c>
      <c r="C994" s="211" t="str">
        <f>IF(COUNTBLANK('RNEW import'!E992)=1,"",'RNEW import'!E992)</f>
        <v>RN10_Petrosani</v>
      </c>
      <c r="D994" s="211" t="str">
        <f>IF(COUNTBLANK('RNEW import'!K992)=1,"",'RNEW import'!K992)</f>
        <v>Regularizare Energie activa 1</v>
      </c>
      <c r="E994" s="211">
        <f>IF(COUNTBLANK('RNEW import'!L992)=1,"",'RNEW import'!N992)</f>
        <v>2220</v>
      </c>
      <c r="F994" s="211">
        <f>IF(COUNTBLANK('RNEW import'!M992)=1,"",'RNEW import'!O992/10000)</f>
        <v>0.59499999999999997</v>
      </c>
      <c r="G994" s="217">
        <f t="shared" si="267"/>
        <v>1320.9</v>
      </c>
      <c r="H994" s="217">
        <f t="shared" si="263"/>
        <v>250.97</v>
      </c>
      <c r="I994" s="329">
        <f t="shared" si="268"/>
        <v>1571.8700000000001</v>
      </c>
      <c r="J994" s="263" t="str">
        <f t="shared" si="269"/>
        <v/>
      </c>
      <c r="K994" s="238" t="str">
        <f t="shared" si="259"/>
        <v/>
      </c>
      <c r="L994" s="238" t="str">
        <f t="shared" si="260"/>
        <v/>
      </c>
      <c r="M994" s="238" t="str">
        <f t="shared" si="261"/>
        <v/>
      </c>
      <c r="N994" s="238" t="str">
        <f t="shared" si="262"/>
        <v/>
      </c>
      <c r="O994" s="232" t="str">
        <f t="shared" si="270"/>
        <v/>
      </c>
      <c r="P994" s="219" t="str">
        <f t="shared" si="264"/>
        <v>Energie activa regularizare</v>
      </c>
      <c r="Q994" s="219">
        <f t="shared" si="265"/>
        <v>2220</v>
      </c>
      <c r="R994" s="219">
        <f t="shared" si="266"/>
        <v>1.013158</v>
      </c>
      <c r="S994" s="330">
        <f t="shared" si="271"/>
        <v>2249.21</v>
      </c>
      <c r="T994" s="330">
        <f t="shared" si="272"/>
        <v>427.35</v>
      </c>
      <c r="U994" s="330">
        <f t="shared" si="273"/>
        <v>2676.56</v>
      </c>
    </row>
    <row r="995" spans="1:21">
      <c r="A995" s="211">
        <f>IF(COUNTBLANK('RNEW import'!B993)=1,"",'RNEW import'!B993)</f>
        <v>20</v>
      </c>
      <c r="B995" s="211" t="str">
        <f>IF(COUNTBLANK('RNEW import'!D993)=1,"",'RNEW import'!D993)</f>
        <v>Nepi Ten Development Solutions  SRL</v>
      </c>
      <c r="C995" s="211" t="str">
        <f>IF(COUNTBLANK('RNEW import'!E993)=1,"",'RNEW import'!E993)</f>
        <v>RN10_Petrosani</v>
      </c>
      <c r="D995" s="211" t="str">
        <f>IF(COUNTBLANK('RNEW import'!K993)=1,"",'RNEW import'!K993)</f>
        <v>Regularizare Energie reactiva  1X</v>
      </c>
      <c r="E995" s="211">
        <f>IF(COUNTBLANK('RNEW import'!L993)=1,"",'RNEW import'!N993)</f>
        <v>0</v>
      </c>
      <c r="F995" s="211">
        <f>IF(COUNTBLANK('RNEW import'!M993)=1,"",'RNEW import'!O993/10000)</f>
        <v>0.14660000000000001</v>
      </c>
      <c r="G995" s="217">
        <f t="shared" si="267"/>
        <v>0</v>
      </c>
      <c r="H995" s="217">
        <f t="shared" si="263"/>
        <v>0</v>
      </c>
      <c r="I995" s="329">
        <f t="shared" si="268"/>
        <v>0</v>
      </c>
      <c r="J995" s="263" t="str">
        <f t="shared" si="269"/>
        <v/>
      </c>
      <c r="K995" s="238" t="str">
        <f t="shared" si="259"/>
        <v/>
      </c>
      <c r="L995" s="238" t="str">
        <f t="shared" si="260"/>
        <v/>
      </c>
      <c r="M995" s="238" t="str">
        <f t="shared" si="261"/>
        <v/>
      </c>
      <c r="N995" s="238" t="str">
        <f t="shared" si="262"/>
        <v/>
      </c>
      <c r="O995" s="232" t="str">
        <f t="shared" si="270"/>
        <v/>
      </c>
      <c r="P995" s="219" t="str">
        <f t="shared" si="264"/>
        <v>Energie reactiva 1x regularizare</v>
      </c>
      <c r="Q995" s="219">
        <f t="shared" si="265"/>
        <v>0</v>
      </c>
      <c r="R995" s="219">
        <f t="shared" si="266"/>
        <v>0.14660000000000001</v>
      </c>
      <c r="S995" s="330">
        <f t="shared" si="271"/>
        <v>0</v>
      </c>
      <c r="T995" s="330">
        <f t="shared" si="272"/>
        <v>0</v>
      </c>
      <c r="U995" s="330">
        <f t="shared" si="273"/>
        <v>0</v>
      </c>
    </row>
    <row r="996" spans="1:21">
      <c r="A996" s="211">
        <f>IF(COUNTBLANK('RNEW import'!B994)=1,"",'RNEW import'!B994)</f>
        <v>21</v>
      </c>
      <c r="B996" s="211" t="str">
        <f>IF(COUNTBLANK('RNEW import'!D994)=1,"",'RNEW import'!D994)</f>
        <v>Nepi Ten Development Solutions  SRL</v>
      </c>
      <c r="C996" s="211" t="str">
        <f>IF(COUNTBLANK('RNEW import'!E994)=1,"",'RNEW import'!E994)</f>
        <v>RN10_Petrosani</v>
      </c>
      <c r="D996" s="211" t="str">
        <f>IF(COUNTBLANK('RNEW import'!K994)=1,"",'RNEW import'!K994)</f>
        <v>Regularizare Energie reactiva  3X</v>
      </c>
      <c r="E996" s="211">
        <f>IF(COUNTBLANK('RNEW import'!L994)=1,"",'RNEW import'!N994)</f>
        <v>0</v>
      </c>
      <c r="F996" s="211">
        <f>IF(COUNTBLANK('RNEW import'!M994)=1,"",'RNEW import'!O994/10000)</f>
        <v>0.43980000000000002</v>
      </c>
      <c r="G996" s="217">
        <f t="shared" si="267"/>
        <v>0</v>
      </c>
      <c r="H996" s="217">
        <f t="shared" si="263"/>
        <v>0</v>
      </c>
      <c r="I996" s="329">
        <f t="shared" si="268"/>
        <v>0</v>
      </c>
      <c r="J996" s="263" t="str">
        <f t="shared" si="269"/>
        <v/>
      </c>
      <c r="K996" s="238" t="str">
        <f t="shared" si="259"/>
        <v/>
      </c>
      <c r="L996" s="238" t="str">
        <f t="shared" si="260"/>
        <v/>
      </c>
      <c r="M996" s="238" t="str">
        <f t="shared" si="261"/>
        <v/>
      </c>
      <c r="N996" s="238" t="str">
        <f t="shared" si="262"/>
        <v/>
      </c>
      <c r="O996" s="232" t="str">
        <f t="shared" si="270"/>
        <v/>
      </c>
      <c r="P996" s="219" t="str">
        <f t="shared" si="264"/>
        <v>Energie reactiva 3x regularizare</v>
      </c>
      <c r="Q996" s="219">
        <f t="shared" si="265"/>
        <v>0</v>
      </c>
      <c r="R996" s="219">
        <f t="shared" si="266"/>
        <v>0.43980000000000002</v>
      </c>
      <c r="S996" s="330">
        <f t="shared" si="271"/>
        <v>0</v>
      </c>
      <c r="T996" s="330">
        <f t="shared" si="272"/>
        <v>0</v>
      </c>
      <c r="U996" s="330">
        <f t="shared" si="273"/>
        <v>0</v>
      </c>
    </row>
    <row r="997" spans="1:21">
      <c r="A997" s="211">
        <f>IF(COUNTBLANK('RNEW import'!B995)=1,"",'RNEW import'!B995)</f>
        <v>22</v>
      </c>
      <c r="B997" s="211" t="str">
        <f>IF(COUNTBLANK('RNEW import'!D995)=1,"",'RNEW import'!D995)</f>
        <v>Nepi Ten Development Solutions  SRL</v>
      </c>
      <c r="C997" s="211" t="str">
        <f>IF(COUNTBLANK('RNEW import'!E995)=1,"",'RNEW import'!E995)</f>
        <v>RN10_Petrosani</v>
      </c>
      <c r="D997" s="211" t="str">
        <f>IF(COUNTBLANK('RNEW import'!K995)=1,"",'RNEW import'!K995)</f>
        <v>Regularizare Tarife distributie en. El IT+MT</v>
      </c>
      <c r="E997" s="211">
        <f>IF(COUNTBLANK('RNEW import'!L995)=1,"",'RNEW import'!N995)</f>
        <v>2220</v>
      </c>
      <c r="F997" s="211">
        <f>IF(COUNTBLANK('RNEW import'!M995)=1,"",'RNEW import'!O995/10000)</f>
        <v>8.6180000000000007E-2</v>
      </c>
      <c r="G997" s="217">
        <f t="shared" si="267"/>
        <v>191.32</v>
      </c>
      <c r="H997" s="217">
        <f t="shared" si="263"/>
        <v>36.35</v>
      </c>
      <c r="I997" s="329">
        <f t="shared" si="268"/>
        <v>227.67</v>
      </c>
      <c r="J997" s="263" t="str">
        <f t="shared" si="269"/>
        <v/>
      </c>
      <c r="K997" s="238" t="str">
        <f t="shared" si="259"/>
        <v/>
      </c>
      <c r="L997" s="238" t="str">
        <f t="shared" si="260"/>
        <v/>
      </c>
      <c r="M997" s="238" t="str">
        <f t="shared" si="261"/>
        <v/>
      </c>
      <c r="N997" s="238" t="str">
        <f t="shared" si="262"/>
        <v/>
      </c>
      <c r="O997" s="232" t="str">
        <f t="shared" si="270"/>
        <v/>
      </c>
      <c r="P997" s="219" t="str">
        <f t="shared" si="264"/>
        <v/>
      </c>
      <c r="Q997" s="219" t="str">
        <f t="shared" si="265"/>
        <v/>
      </c>
      <c r="R997" s="219" t="str">
        <f t="shared" si="266"/>
        <v/>
      </c>
      <c r="S997" s="330" t="str">
        <f t="shared" si="271"/>
        <v/>
      </c>
      <c r="T997" s="330" t="str">
        <f t="shared" si="272"/>
        <v/>
      </c>
      <c r="U997" s="330" t="str">
        <f t="shared" si="273"/>
        <v/>
      </c>
    </row>
    <row r="998" spans="1:21">
      <c r="A998" s="211">
        <f>IF(COUNTBLANK('RNEW import'!B996)=1,"",'RNEW import'!B996)</f>
        <v>23</v>
      </c>
      <c r="B998" s="211" t="str">
        <f>IF(COUNTBLANK('RNEW import'!D996)=1,"",'RNEW import'!D996)</f>
        <v>Nepi Ten Development Solutions  SRL</v>
      </c>
      <c r="C998" s="211" t="str">
        <f>IF(COUNTBLANK('RNEW import'!E996)=1,"",'RNEW import'!E996)</f>
        <v>RN10_Petrosani</v>
      </c>
      <c r="D998" s="211" t="str">
        <f>IF(COUNTBLANK('RNEW import'!K996)=1,"",'RNEW import'!K996)</f>
        <v>Regularizare Tarife distributie en. El JT</v>
      </c>
      <c r="E998" s="211">
        <f>IF(COUNTBLANK('RNEW import'!L996)=1,"",'RNEW import'!N996)</f>
        <v>2220</v>
      </c>
      <c r="F998" s="211">
        <f>IF(COUNTBLANK('RNEW import'!M996)=1,"",'RNEW import'!O996/10000)</f>
        <v>0.2079</v>
      </c>
      <c r="G998" s="217">
        <f t="shared" si="267"/>
        <v>461.54</v>
      </c>
      <c r="H998" s="217">
        <f t="shared" si="263"/>
        <v>87.69</v>
      </c>
      <c r="I998" s="329">
        <f t="shared" si="268"/>
        <v>549.23</v>
      </c>
      <c r="J998" s="263" t="str">
        <f t="shared" si="269"/>
        <v/>
      </c>
      <c r="K998" s="238" t="str">
        <f t="shared" si="259"/>
        <v/>
      </c>
      <c r="L998" s="238" t="str">
        <f t="shared" si="260"/>
        <v/>
      </c>
      <c r="M998" s="238" t="str">
        <f t="shared" si="261"/>
        <v/>
      </c>
      <c r="N998" s="238" t="str">
        <f t="shared" si="262"/>
        <v/>
      </c>
      <c r="O998" s="232" t="str">
        <f t="shared" si="270"/>
        <v/>
      </c>
      <c r="P998" s="219" t="str">
        <f t="shared" si="264"/>
        <v/>
      </c>
      <c r="Q998" s="219" t="str">
        <f t="shared" si="265"/>
        <v/>
      </c>
      <c r="R998" s="219" t="str">
        <f t="shared" si="266"/>
        <v/>
      </c>
      <c r="S998" s="330" t="str">
        <f t="shared" si="271"/>
        <v/>
      </c>
      <c r="T998" s="330" t="str">
        <f t="shared" si="272"/>
        <v/>
      </c>
      <c r="U998" s="330" t="str">
        <f t="shared" si="273"/>
        <v/>
      </c>
    </row>
    <row r="999" spans="1:21">
      <c r="A999" s="211">
        <f>IF(COUNTBLANK('RNEW import'!B997)=1,"",'RNEW import'!B997)</f>
        <v>24</v>
      </c>
      <c r="B999" s="211" t="str">
        <f>IF(COUNTBLANK('RNEW import'!D997)=1,"",'RNEW import'!D997)</f>
        <v>Nepi Ten Development Solutions  SRL</v>
      </c>
      <c r="C999" s="211" t="str">
        <f>IF(COUNTBLANK('RNEW import'!E997)=1,"",'RNEW import'!E997)</f>
        <v>RN10_Petrosani</v>
      </c>
      <c r="D999" s="211" t="str">
        <f>IF(COUNTBLANK('RNEW import'!K997)=1,"",'RNEW import'!K997)</f>
        <v xml:space="preserve">Regularizare Servicii Sistem </v>
      </c>
      <c r="E999" s="211">
        <f>IF(COUNTBLANK('RNEW import'!L997)=1,"",'RNEW import'!N997)</f>
        <v>2220</v>
      </c>
      <c r="F999" s="211">
        <f>IF(COUNTBLANK('RNEW import'!M997)=1,"",'RNEW import'!O997/10000)</f>
        <v>1.1509999999999999E-2</v>
      </c>
      <c r="G999" s="217">
        <f t="shared" si="267"/>
        <v>25.55</v>
      </c>
      <c r="H999" s="217">
        <f t="shared" si="263"/>
        <v>4.8499999999999996</v>
      </c>
      <c r="I999" s="329">
        <f t="shared" si="268"/>
        <v>30.4</v>
      </c>
      <c r="J999" s="263" t="str">
        <f t="shared" si="269"/>
        <v/>
      </c>
      <c r="K999" s="238" t="str">
        <f t="shared" si="259"/>
        <v/>
      </c>
      <c r="L999" s="238" t="str">
        <f t="shared" si="260"/>
        <v/>
      </c>
      <c r="M999" s="238" t="str">
        <f t="shared" si="261"/>
        <v/>
      </c>
      <c r="N999" s="238" t="str">
        <f t="shared" si="262"/>
        <v/>
      </c>
      <c r="O999" s="232" t="str">
        <f t="shared" si="270"/>
        <v/>
      </c>
      <c r="P999" s="219" t="str">
        <f t="shared" si="264"/>
        <v/>
      </c>
      <c r="Q999" s="219" t="str">
        <f t="shared" si="265"/>
        <v/>
      </c>
      <c r="R999" s="219" t="str">
        <f t="shared" si="266"/>
        <v/>
      </c>
      <c r="S999" s="330" t="str">
        <f t="shared" si="271"/>
        <v/>
      </c>
      <c r="T999" s="330" t="str">
        <f t="shared" si="272"/>
        <v/>
      </c>
      <c r="U999" s="330" t="str">
        <f t="shared" si="273"/>
        <v/>
      </c>
    </row>
    <row r="1000" spans="1:21">
      <c r="A1000" s="211">
        <f>IF(COUNTBLANK('RNEW import'!B998)=1,"",'RNEW import'!B998)</f>
        <v>25</v>
      </c>
      <c r="B1000" s="211" t="str">
        <f>IF(COUNTBLANK('RNEW import'!D998)=1,"",'RNEW import'!D998)</f>
        <v>Nepi Ten Development Solutions  SRL</v>
      </c>
      <c r="C1000" s="211" t="str">
        <f>IF(COUNTBLANK('RNEW import'!E998)=1,"",'RNEW import'!E998)</f>
        <v>RN10_Petrosani</v>
      </c>
      <c r="D1000" s="211" t="str">
        <f>IF(COUNTBLANK('RNEW import'!K998)=1,"",'RNEW import'!K998)</f>
        <v>Regularizare Tarif de introducere en. el in retea (TL)</v>
      </c>
      <c r="E1000" s="211">
        <f>IF(COUNTBLANK('RNEW import'!L998)=1,"",'RNEW import'!N998)</f>
        <v>2220</v>
      </c>
      <c r="F1000" s="211">
        <f>IF(COUNTBLANK('RNEW import'!M998)=1,"",'RNEW import'!O998/10000)</f>
        <v>3.3030000000000004E-2</v>
      </c>
      <c r="G1000" s="217">
        <f t="shared" si="267"/>
        <v>73.33</v>
      </c>
      <c r="H1000" s="217">
        <f t="shared" si="263"/>
        <v>13.93</v>
      </c>
      <c r="I1000" s="329">
        <f t="shared" si="268"/>
        <v>87.259999999999991</v>
      </c>
      <c r="J1000" s="263" t="str">
        <f t="shared" si="269"/>
        <v/>
      </c>
      <c r="K1000" s="238" t="str">
        <f t="shared" si="259"/>
        <v/>
      </c>
      <c r="L1000" s="238" t="str">
        <f t="shared" si="260"/>
        <v/>
      </c>
      <c r="M1000" s="238" t="str">
        <f t="shared" si="261"/>
        <v/>
      </c>
      <c r="N1000" s="238" t="str">
        <f t="shared" si="262"/>
        <v/>
      </c>
      <c r="O1000" s="232" t="str">
        <f t="shared" si="270"/>
        <v/>
      </c>
      <c r="P1000" s="219" t="str">
        <f t="shared" si="264"/>
        <v/>
      </c>
      <c r="Q1000" s="219" t="str">
        <f t="shared" si="265"/>
        <v/>
      </c>
      <c r="R1000" s="219" t="str">
        <f t="shared" si="266"/>
        <v/>
      </c>
      <c r="S1000" s="330" t="str">
        <f t="shared" si="271"/>
        <v/>
      </c>
      <c r="T1000" s="330" t="str">
        <f t="shared" si="272"/>
        <v/>
      </c>
      <c r="U1000" s="330" t="str">
        <f t="shared" si="273"/>
        <v/>
      </c>
    </row>
    <row r="1001" spans="1:21">
      <c r="A1001" s="211">
        <f>IF(COUNTBLANK('RNEW import'!B999)=1,"",'RNEW import'!B999)</f>
        <v>26</v>
      </c>
      <c r="B1001" s="211" t="str">
        <f>IF(COUNTBLANK('RNEW import'!D999)=1,"",'RNEW import'!D999)</f>
        <v>Nepi Ten Development Solutions  SRL</v>
      </c>
      <c r="C1001" s="211" t="str">
        <f>IF(COUNTBLANK('RNEW import'!E999)=1,"",'RNEW import'!E999)</f>
        <v>RN10_Petrosani</v>
      </c>
      <c r="D1001" s="211" t="str">
        <f>IF(COUNTBLANK('RNEW import'!K999)=1,"",'RNEW import'!K999)</f>
        <v>Regularizare Tarif de introducere en.el in retea (TG)</v>
      </c>
      <c r="E1001" s="211">
        <f>IF(COUNTBLANK('RNEW import'!L999)=1,"",'RNEW import'!N999)</f>
        <v>2220</v>
      </c>
      <c r="F1001" s="211">
        <f>IF(COUNTBLANK('RNEW import'!M999)=1,"",'RNEW import'!O999/10000)</f>
        <v>3.29E-3</v>
      </c>
      <c r="G1001" s="217">
        <f t="shared" si="267"/>
        <v>7.3</v>
      </c>
      <c r="H1001" s="217">
        <f t="shared" si="263"/>
        <v>1.39</v>
      </c>
      <c r="I1001" s="329">
        <f t="shared" si="268"/>
        <v>8.69</v>
      </c>
      <c r="J1001" s="263" t="str">
        <f t="shared" si="269"/>
        <v/>
      </c>
      <c r="K1001" s="238" t="str">
        <f t="shared" si="259"/>
        <v/>
      </c>
      <c r="L1001" s="238" t="str">
        <f t="shared" si="260"/>
        <v/>
      </c>
      <c r="M1001" s="238" t="str">
        <f t="shared" si="261"/>
        <v/>
      </c>
      <c r="N1001" s="238" t="str">
        <f t="shared" si="262"/>
        <v/>
      </c>
      <c r="O1001" s="232" t="str">
        <f t="shared" si="270"/>
        <v/>
      </c>
      <c r="P1001" s="219" t="str">
        <f t="shared" si="264"/>
        <v/>
      </c>
      <c r="Q1001" s="219" t="str">
        <f t="shared" si="265"/>
        <v/>
      </c>
      <c r="R1001" s="219" t="str">
        <f t="shared" si="266"/>
        <v/>
      </c>
      <c r="S1001" s="330" t="str">
        <f t="shared" si="271"/>
        <v/>
      </c>
      <c r="T1001" s="330" t="str">
        <f t="shared" si="272"/>
        <v/>
      </c>
      <c r="U1001" s="330" t="str">
        <f t="shared" si="273"/>
        <v/>
      </c>
    </row>
    <row r="1002" spans="1:21">
      <c r="A1002" s="211">
        <f>IF(COUNTBLANK('RNEW import'!B1000)=1,"",'RNEW import'!B1000)</f>
        <v>27</v>
      </c>
      <c r="B1002" s="211" t="str">
        <f>IF(COUNTBLANK('RNEW import'!D1000)=1,"",'RNEW import'!D1000)</f>
        <v>Nepi Ten Development Solutions  SRL</v>
      </c>
      <c r="C1002" s="211" t="str">
        <f>IF(COUNTBLANK('RNEW import'!E1000)=1,"",'RNEW import'!E1000)</f>
        <v>RN10_Petrosani</v>
      </c>
      <c r="D1002" s="211" t="str">
        <f>IF(COUNTBLANK('RNEW import'!K1000)=1,"",'RNEW import'!K1000)</f>
        <v>Regularizare Contributie pentru cogenerare</v>
      </c>
      <c r="E1002" s="211">
        <f>IF(COUNTBLANK('RNEW import'!L1000)=1,"",'RNEW import'!N1000)</f>
        <v>2220</v>
      </c>
      <c r="F1002" s="211">
        <f>IF(COUNTBLANK('RNEW import'!M1000)=1,"",'RNEW import'!O1000/10000)</f>
        <v>3.5000000000000001E-3</v>
      </c>
      <c r="G1002" s="217">
        <f t="shared" si="267"/>
        <v>7.77</v>
      </c>
      <c r="H1002" s="217">
        <f t="shared" si="263"/>
        <v>1.48</v>
      </c>
      <c r="I1002" s="329">
        <f t="shared" si="268"/>
        <v>9.25</v>
      </c>
      <c r="J1002" s="263" t="str">
        <f t="shared" si="269"/>
        <v/>
      </c>
      <c r="K1002" s="238" t="str">
        <f t="shared" si="259"/>
        <v/>
      </c>
      <c r="L1002" s="238" t="str">
        <f t="shared" si="260"/>
        <v/>
      </c>
      <c r="M1002" s="238" t="str">
        <f t="shared" si="261"/>
        <v/>
      </c>
      <c r="N1002" s="238" t="str">
        <f t="shared" si="262"/>
        <v/>
      </c>
      <c r="O1002" s="232" t="str">
        <f t="shared" si="270"/>
        <v/>
      </c>
      <c r="P1002" s="219" t="str">
        <f t="shared" si="264"/>
        <v/>
      </c>
      <c r="Q1002" s="219" t="str">
        <f t="shared" si="265"/>
        <v/>
      </c>
      <c r="R1002" s="219" t="str">
        <f t="shared" si="266"/>
        <v/>
      </c>
      <c r="S1002" s="330" t="str">
        <f t="shared" si="271"/>
        <v/>
      </c>
      <c r="T1002" s="330" t="str">
        <f t="shared" si="272"/>
        <v/>
      </c>
      <c r="U1002" s="330" t="str">
        <f t="shared" si="273"/>
        <v/>
      </c>
    </row>
    <row r="1003" spans="1:21">
      <c r="A1003" s="211">
        <f>IF(COUNTBLANK('RNEW import'!B1001)=1,"",'RNEW import'!B1001)</f>
        <v>28</v>
      </c>
      <c r="B1003" s="211" t="str">
        <f>IF(COUNTBLANK('RNEW import'!D1001)=1,"",'RNEW import'!D1001)</f>
        <v>Nepi Ten Development Solutions  SRL</v>
      </c>
      <c r="C1003" s="211" t="str">
        <f>IF(COUNTBLANK('RNEW import'!E1001)=1,"",'RNEW import'!E1001)</f>
        <v>RN10_Petrosani</v>
      </c>
      <c r="D1003" s="211" t="str">
        <f>IF(COUNTBLANK('RNEW import'!K1001)=1,"",'RNEW import'!K1001)</f>
        <v xml:space="preserve">Regularizare Certificate verzi </v>
      </c>
      <c r="E1003" s="211">
        <f>IF(COUNTBLANK('RNEW import'!L1001)=1,"",'RNEW import'!N1001)</f>
        <v>2220</v>
      </c>
      <c r="F1003" s="211">
        <f>IF(COUNTBLANK('RNEW import'!M1001)=1,"",'RNEW import'!O1001/10000)</f>
        <v>7.2541599999999998E-2</v>
      </c>
      <c r="G1003" s="217">
        <f t="shared" si="267"/>
        <v>161.04</v>
      </c>
      <c r="H1003" s="217">
        <f t="shared" si="263"/>
        <v>30.6</v>
      </c>
      <c r="I1003" s="329">
        <f t="shared" si="268"/>
        <v>191.64</v>
      </c>
      <c r="J1003" s="263" t="str">
        <f t="shared" si="269"/>
        <v/>
      </c>
      <c r="K1003" s="238" t="str">
        <f t="shared" si="259"/>
        <v/>
      </c>
      <c r="L1003" s="238" t="str">
        <f t="shared" si="260"/>
        <v/>
      </c>
      <c r="M1003" s="238" t="str">
        <f t="shared" si="261"/>
        <v/>
      </c>
      <c r="N1003" s="238" t="str">
        <f t="shared" si="262"/>
        <v/>
      </c>
      <c r="O1003" s="232" t="str">
        <f t="shared" si="270"/>
        <v/>
      </c>
      <c r="P1003" s="219" t="str">
        <f t="shared" si="264"/>
        <v/>
      </c>
      <c r="Q1003" s="219" t="str">
        <f t="shared" si="265"/>
        <v/>
      </c>
      <c r="R1003" s="219" t="str">
        <f t="shared" si="266"/>
        <v/>
      </c>
      <c r="S1003" s="330" t="str">
        <f t="shared" si="271"/>
        <v/>
      </c>
      <c r="T1003" s="330" t="str">
        <f t="shared" si="272"/>
        <v/>
      </c>
      <c r="U1003" s="330" t="str">
        <f t="shared" si="273"/>
        <v/>
      </c>
    </row>
    <row r="1004" spans="1:21">
      <c r="A1004" s="211">
        <f>IF(COUNTBLANK('RNEW import'!B1002)=1,"",'RNEW import'!B1002)</f>
        <v>29</v>
      </c>
      <c r="B1004" s="211" t="str">
        <f>IF(COUNTBLANK('RNEW import'!D1002)=1,"",'RNEW import'!D1002)</f>
        <v>Nepi Ten Development Solutions  SRL</v>
      </c>
      <c r="C1004" s="211" t="str">
        <f>IF(COUNTBLANK('RNEW import'!E1002)=1,"",'RNEW import'!E1002)</f>
        <v>RN10_Petrosani</v>
      </c>
      <c r="D1004" s="211" t="str">
        <f>IF(COUNTBLANK('RNEW import'!K1002)=1,"",'RNEW import'!K1002)</f>
        <v>Regularizare Contributie CFD</v>
      </c>
      <c r="E1004" s="211">
        <f>IF(COUNTBLANK('RNEW import'!L1002)=1,"",'RNEW import'!N1002)</f>
        <v>2220</v>
      </c>
      <c r="F1004" s="211">
        <f>IF(COUNTBLANK('RNEW import'!M1002)=1,"",'RNEW import'!O1002/10000)</f>
        <v>2.0599999999999999E-4</v>
      </c>
      <c r="G1004" s="217">
        <f t="shared" si="267"/>
        <v>0.46</v>
      </c>
      <c r="H1004" s="217">
        <f t="shared" si="263"/>
        <v>0.09</v>
      </c>
      <c r="I1004" s="329">
        <f t="shared" si="268"/>
        <v>0.55000000000000004</v>
      </c>
      <c r="J1004" s="263" t="str">
        <f t="shared" si="269"/>
        <v/>
      </c>
      <c r="K1004" s="238" t="str">
        <f t="shared" si="259"/>
        <v/>
      </c>
      <c r="L1004" s="238" t="str">
        <f t="shared" si="260"/>
        <v/>
      </c>
      <c r="M1004" s="238" t="str">
        <f t="shared" si="261"/>
        <v/>
      </c>
      <c r="N1004" s="238" t="str">
        <f t="shared" si="262"/>
        <v/>
      </c>
      <c r="O1004" s="232" t="str">
        <f t="shared" si="270"/>
        <v/>
      </c>
      <c r="P1004" s="219" t="str">
        <f t="shared" si="264"/>
        <v/>
      </c>
      <c r="Q1004" s="219" t="str">
        <f t="shared" si="265"/>
        <v/>
      </c>
      <c r="R1004" s="219" t="str">
        <f t="shared" si="266"/>
        <v/>
      </c>
      <c r="S1004" s="330" t="str">
        <f t="shared" si="271"/>
        <v/>
      </c>
      <c r="T1004" s="330" t="str">
        <f t="shared" si="272"/>
        <v/>
      </c>
      <c r="U1004" s="330" t="str">
        <f t="shared" si="273"/>
        <v/>
      </c>
    </row>
    <row r="1005" spans="1:21">
      <c r="A1005" s="211">
        <f>IF(COUNTBLANK('RNEW import'!B1003)=1,"",'RNEW import'!B1003)</f>
        <v>30</v>
      </c>
      <c r="B1005" s="211" t="str">
        <f>IF(COUNTBLANK('RNEW import'!D1003)=1,"",'RNEW import'!D1003)</f>
        <v>Nepi Ten Development Solutions  SRL</v>
      </c>
      <c r="C1005" s="211" t="str">
        <f>IF(COUNTBLANK('RNEW import'!E1003)=1,"",'RNEW import'!E1003)</f>
        <v>RN10_Petrosani</v>
      </c>
      <c r="D1005" s="211" t="str">
        <f>IF(COUNTBLANK('RNEW import'!K1003)=1,"",'RNEW import'!K1003)</f>
        <v>Regularizare Acciza</v>
      </c>
      <c r="E1005" s="211">
        <f>IF(COUNTBLANK('RNEW import'!L1003)=1,"",'RNEW import'!N1003)</f>
        <v>2220</v>
      </c>
      <c r="F1005" s="211">
        <f>IF(COUNTBLANK('RNEW import'!M1003)=1,"",'RNEW import'!O1003/10000)</f>
        <v>0</v>
      </c>
      <c r="G1005" s="217">
        <f t="shared" si="267"/>
        <v>0</v>
      </c>
      <c r="H1005" s="217">
        <f t="shared" si="263"/>
        <v>0</v>
      </c>
      <c r="I1005" s="329">
        <f t="shared" si="268"/>
        <v>0</v>
      </c>
      <c r="J1005" s="263" t="str">
        <f t="shared" si="269"/>
        <v/>
      </c>
      <c r="K1005" s="238" t="str">
        <f t="shared" si="259"/>
        <v/>
      </c>
      <c r="L1005" s="238" t="str">
        <f t="shared" si="260"/>
        <v/>
      </c>
      <c r="M1005" s="238" t="str">
        <f t="shared" si="261"/>
        <v/>
      </c>
      <c r="N1005" s="238" t="str">
        <f t="shared" si="262"/>
        <v/>
      </c>
      <c r="O1005" s="232" t="str">
        <f t="shared" si="270"/>
        <v/>
      </c>
      <c r="P1005" s="219" t="str">
        <f t="shared" si="264"/>
        <v/>
      </c>
      <c r="Q1005" s="219" t="str">
        <f t="shared" si="265"/>
        <v/>
      </c>
      <c r="R1005" s="219" t="str">
        <f t="shared" si="266"/>
        <v/>
      </c>
      <c r="S1005" s="330" t="str">
        <f t="shared" si="271"/>
        <v/>
      </c>
      <c r="T1005" s="330" t="str">
        <f t="shared" si="272"/>
        <v/>
      </c>
      <c r="U1005" s="330" t="str">
        <f t="shared" si="273"/>
        <v/>
      </c>
    </row>
    <row r="1006" spans="1:21">
      <c r="A1006" s="211">
        <f>IF(COUNTBLANK('RNEW import'!B1004)=1,"",'RNEW import'!B1004)</f>
        <v>31</v>
      </c>
      <c r="B1006" s="211" t="str">
        <f>IF(COUNTBLANK('RNEW import'!D1004)=1,"",'RNEW import'!D1004)</f>
        <v>Nepi Ten Development Solutions  SRL</v>
      </c>
      <c r="C1006" s="211" t="str">
        <f>IF(COUNTBLANK('RNEW import'!E1004)=1,"",'RNEW import'!E1004)</f>
        <v>RN10_Petrosani</v>
      </c>
      <c r="D1006" s="211" t="str">
        <f>IF(COUNTBLANK('RNEW import'!K1004)=1,"",'RNEW import'!K1004)</f>
        <v>Regularizare Tarif distributie SDI MT Ea1</v>
      </c>
      <c r="E1006" s="211">
        <f>IF(COUNTBLANK('RNEW import'!L1004)=1,"",'RNEW import'!N1004)</f>
        <v>0</v>
      </c>
      <c r="F1006" s="211">
        <f>IF(COUNTBLANK('RNEW import'!M1004)=1,"",'RNEW import'!O1004/10000)</f>
        <v>1.1599999999999999E-2</v>
      </c>
      <c r="G1006" s="217">
        <f t="shared" si="267"/>
        <v>0</v>
      </c>
      <c r="H1006" s="217">
        <f t="shared" si="263"/>
        <v>0</v>
      </c>
      <c r="I1006" s="329">
        <f t="shared" si="268"/>
        <v>0</v>
      </c>
      <c r="J1006" s="263" t="str">
        <f t="shared" si="269"/>
        <v/>
      </c>
      <c r="K1006" s="238" t="str">
        <f t="shared" si="259"/>
        <v/>
      </c>
      <c r="L1006" s="238" t="str">
        <f t="shared" si="260"/>
        <v/>
      </c>
      <c r="M1006" s="238" t="str">
        <f t="shared" si="261"/>
        <v/>
      </c>
      <c r="N1006" s="238" t="str">
        <f t="shared" si="262"/>
        <v/>
      </c>
      <c r="O1006" s="232" t="str">
        <f t="shared" si="270"/>
        <v/>
      </c>
      <c r="P1006" s="219" t="str">
        <f t="shared" si="264"/>
        <v/>
      </c>
      <c r="Q1006" s="219" t="str">
        <f t="shared" si="265"/>
        <v/>
      </c>
      <c r="R1006" s="219" t="str">
        <f t="shared" si="266"/>
        <v/>
      </c>
      <c r="S1006" s="330" t="str">
        <f t="shared" si="271"/>
        <v/>
      </c>
      <c r="T1006" s="330" t="str">
        <f t="shared" si="272"/>
        <v/>
      </c>
      <c r="U1006" s="330" t="str">
        <f t="shared" si="273"/>
        <v/>
      </c>
    </row>
    <row r="1007" spans="1:21">
      <c r="A1007" s="211">
        <f>IF(COUNTBLANK('RNEW import'!B1005)=1,"",'RNEW import'!B1005)</f>
        <v>32</v>
      </c>
      <c r="B1007" s="211" t="str">
        <f>IF(COUNTBLANK('RNEW import'!D1005)=1,"",'RNEW import'!D1005)</f>
        <v>Nepi Ten Development Solutions  SRL</v>
      </c>
      <c r="C1007" s="211" t="str">
        <f>IF(COUNTBLANK('RNEW import'!E1005)=1,"",'RNEW import'!E1005)</f>
        <v>RN10_Petrosani</v>
      </c>
      <c r="D1007" s="211" t="str">
        <f>IF(COUNTBLANK('RNEW import'!K1005)=1,"",'RNEW import'!K1005)</f>
        <v>Regularizare Tarif distributie SDI JT Ea1</v>
      </c>
      <c r="E1007" s="211">
        <f>IF(COUNTBLANK('RNEW import'!L1005)=1,"",'RNEW import'!N1005)</f>
        <v>0</v>
      </c>
      <c r="F1007" s="211">
        <f>IF(COUNTBLANK('RNEW import'!M1005)=1,"",'RNEW import'!O1005/10000)</f>
        <v>8.3199999999999996E-2</v>
      </c>
      <c r="G1007" s="217">
        <f t="shared" si="267"/>
        <v>0</v>
      </c>
      <c r="H1007" s="217">
        <f t="shared" si="263"/>
        <v>0</v>
      </c>
      <c r="I1007" s="329">
        <f t="shared" si="268"/>
        <v>0</v>
      </c>
      <c r="J1007" s="263" t="str">
        <f t="shared" si="269"/>
        <v/>
      </c>
      <c r="K1007" s="238" t="str">
        <f t="shared" si="259"/>
        <v/>
      </c>
      <c r="L1007" s="238" t="str">
        <f t="shared" si="260"/>
        <v/>
      </c>
      <c r="M1007" s="238" t="str">
        <f t="shared" si="261"/>
        <v/>
      </c>
      <c r="N1007" s="238" t="str">
        <f t="shared" si="262"/>
        <v/>
      </c>
      <c r="O1007" s="232" t="str">
        <f t="shared" si="270"/>
        <v/>
      </c>
      <c r="P1007" s="219" t="str">
        <f t="shared" si="264"/>
        <v/>
      </c>
      <c r="Q1007" s="219" t="str">
        <f t="shared" si="265"/>
        <v/>
      </c>
      <c r="R1007" s="219" t="str">
        <f t="shared" si="266"/>
        <v/>
      </c>
      <c r="S1007" s="330" t="str">
        <f t="shared" si="271"/>
        <v/>
      </c>
      <c r="T1007" s="330" t="str">
        <f t="shared" si="272"/>
        <v/>
      </c>
      <c r="U1007" s="330" t="str">
        <f t="shared" si="273"/>
        <v/>
      </c>
    </row>
    <row r="1008" spans="1:21">
      <c r="A1008" s="211">
        <f>IF(COUNTBLANK('RNEW import'!B1006)=1,"",'RNEW import'!B1006)</f>
        <v>33</v>
      </c>
      <c r="B1008" s="211" t="str">
        <f>IF(COUNTBLANK('RNEW import'!D1006)=1,"",'RNEW import'!D1006)</f>
        <v>Nepi Ten Development Solutions  SRL</v>
      </c>
      <c r="C1008" s="211" t="str">
        <f>IF(COUNTBLANK('RNEW import'!E1006)=1,"",'RNEW import'!E1006)</f>
        <v>RN10_Petrosani</v>
      </c>
      <c r="D1008" s="211" t="str">
        <f>IF(COUNTBLANK('RNEW import'!K1006)=1,"",'RNEW import'!K1006)</f>
        <v>Regularizare Energie activa 2</v>
      </c>
      <c r="E1008" s="211">
        <f>IF(COUNTBLANK('RNEW import'!L1006)=1,"",'RNEW import'!N1006)</f>
        <v>0</v>
      </c>
      <c r="F1008" s="211">
        <f>IF(COUNTBLANK('RNEW import'!M1006)=1,"",'RNEW import'!O1006/10000)</f>
        <v>0.90005760000000012</v>
      </c>
      <c r="G1008" s="217">
        <f t="shared" si="267"/>
        <v>0</v>
      </c>
      <c r="H1008" s="217">
        <f t="shared" si="263"/>
        <v>0</v>
      </c>
      <c r="I1008" s="329">
        <f t="shared" si="268"/>
        <v>0</v>
      </c>
      <c r="J1008" s="263" t="str">
        <f t="shared" si="269"/>
        <v/>
      </c>
      <c r="K1008" s="238" t="str">
        <f t="shared" si="259"/>
        <v/>
      </c>
      <c r="L1008" s="238" t="str">
        <f t="shared" si="260"/>
        <v/>
      </c>
      <c r="M1008" s="238" t="str">
        <f t="shared" si="261"/>
        <v/>
      </c>
      <c r="N1008" s="238" t="str">
        <f t="shared" si="262"/>
        <v/>
      </c>
      <c r="O1008" s="232" t="str">
        <f t="shared" si="270"/>
        <v/>
      </c>
      <c r="P1008" s="219" t="str">
        <f t="shared" si="264"/>
        <v/>
      </c>
      <c r="Q1008" s="219" t="str">
        <f t="shared" si="265"/>
        <v/>
      </c>
      <c r="R1008" s="219" t="str">
        <f t="shared" si="266"/>
        <v/>
      </c>
      <c r="S1008" s="330" t="str">
        <f t="shared" si="271"/>
        <v/>
      </c>
      <c r="T1008" s="330" t="str">
        <f t="shared" si="272"/>
        <v/>
      </c>
      <c r="U1008" s="330" t="str">
        <f t="shared" si="273"/>
        <v/>
      </c>
    </row>
    <row r="1009" spans="1:21">
      <c r="A1009" s="211">
        <f>IF(COUNTBLANK('RNEW import'!B1007)=1,"",'RNEW import'!B1007)</f>
        <v>34</v>
      </c>
      <c r="B1009" s="211" t="str">
        <f>IF(COUNTBLANK('RNEW import'!D1007)=1,"",'RNEW import'!D1007)</f>
        <v>Nepi Ten Development Solutions  SRL</v>
      </c>
      <c r="C1009" s="211" t="str">
        <f>IF(COUNTBLANK('RNEW import'!E1007)=1,"",'RNEW import'!E1007)</f>
        <v>RN10_Petrosani</v>
      </c>
      <c r="D1009" s="211" t="str">
        <f>IF(COUNTBLANK('RNEW import'!K1007)=1,"",'RNEW import'!K1007)</f>
        <v>Regularizare Energie activa 3</v>
      </c>
      <c r="E1009" s="211">
        <f>IF(COUNTBLANK('RNEW import'!L1007)=1,"",'RNEW import'!N1007)</f>
        <v>0</v>
      </c>
      <c r="F1009" s="211">
        <f>IF(COUNTBLANK('RNEW import'!M1007)=1,"",'RNEW import'!O1007/10000)</f>
        <v>0.80525760000000002</v>
      </c>
      <c r="G1009" s="217">
        <f t="shared" si="267"/>
        <v>0</v>
      </c>
      <c r="H1009" s="217">
        <f t="shared" si="263"/>
        <v>0</v>
      </c>
      <c r="I1009" s="329">
        <f t="shared" si="268"/>
        <v>0</v>
      </c>
      <c r="J1009" s="263" t="str">
        <f t="shared" si="269"/>
        <v/>
      </c>
      <c r="K1009" s="238" t="str">
        <f t="shared" si="259"/>
        <v/>
      </c>
      <c r="L1009" s="238" t="str">
        <f t="shared" si="260"/>
        <v/>
      </c>
      <c r="M1009" s="238" t="str">
        <f t="shared" si="261"/>
        <v/>
      </c>
      <c r="N1009" s="238" t="str">
        <f t="shared" si="262"/>
        <v/>
      </c>
      <c r="O1009" s="232" t="str">
        <f t="shared" si="270"/>
        <v/>
      </c>
      <c r="P1009" s="219" t="str">
        <f t="shared" si="264"/>
        <v/>
      </c>
      <c r="Q1009" s="219" t="str">
        <f t="shared" si="265"/>
        <v/>
      </c>
      <c r="R1009" s="219" t="str">
        <f t="shared" si="266"/>
        <v/>
      </c>
      <c r="S1009" s="330" t="str">
        <f t="shared" si="271"/>
        <v/>
      </c>
      <c r="T1009" s="330" t="str">
        <f t="shared" si="272"/>
        <v/>
      </c>
      <c r="U1009" s="330" t="str">
        <f t="shared" si="273"/>
        <v/>
      </c>
    </row>
    <row r="1010" spans="1:21">
      <c r="A1010" s="211">
        <f>IF(COUNTBLANK('RNEW import'!B1008)=1,"",'RNEW import'!B1008)</f>
        <v>35</v>
      </c>
      <c r="B1010" s="211" t="str">
        <f>IF(COUNTBLANK('RNEW import'!D1008)=1,"",'RNEW import'!D1008)</f>
        <v>Nepi Ten Development Solutions  SRL</v>
      </c>
      <c r="C1010" s="211" t="str">
        <f>IF(COUNTBLANK('RNEW import'!E1008)=1,"",'RNEW import'!E1008)</f>
        <v>RN10_Petrosani</v>
      </c>
      <c r="D1010" s="211" t="str">
        <f>IF(COUNTBLANK('RNEW import'!K1008)=1,"",'RNEW import'!K1008)</f>
        <v>Regularizare Tarif distributie SDI MT Ea3</v>
      </c>
      <c r="E1010" s="211">
        <f>IF(COUNTBLANK('RNEW import'!L1008)=1,"",'RNEW import'!N1008)</f>
        <v>0</v>
      </c>
      <c r="F1010" s="211">
        <f>IF(COUNTBLANK('RNEW import'!M1008)=1,"",'RNEW import'!O1008/10000)</f>
        <v>1.1599999999999999E-2</v>
      </c>
      <c r="G1010" s="217">
        <f t="shared" si="267"/>
        <v>0</v>
      </c>
      <c r="H1010" s="217">
        <f t="shared" si="263"/>
        <v>0</v>
      </c>
      <c r="I1010" s="329">
        <f t="shared" si="268"/>
        <v>0</v>
      </c>
      <c r="J1010" s="263" t="str">
        <f t="shared" si="269"/>
        <v/>
      </c>
      <c r="K1010" s="238" t="str">
        <f t="shared" si="259"/>
        <v/>
      </c>
      <c r="L1010" s="238" t="str">
        <f t="shared" si="260"/>
        <v/>
      </c>
      <c r="M1010" s="238" t="str">
        <f t="shared" si="261"/>
        <v/>
      </c>
      <c r="N1010" s="238" t="str">
        <f t="shared" si="262"/>
        <v/>
      </c>
      <c r="O1010" s="232" t="str">
        <f t="shared" si="270"/>
        <v/>
      </c>
      <c r="P1010" s="219" t="str">
        <f t="shared" si="264"/>
        <v/>
      </c>
      <c r="Q1010" s="219" t="str">
        <f t="shared" si="265"/>
        <v/>
      </c>
      <c r="R1010" s="219" t="str">
        <f t="shared" si="266"/>
        <v/>
      </c>
      <c r="S1010" s="330" t="str">
        <f t="shared" si="271"/>
        <v/>
      </c>
      <c r="T1010" s="330" t="str">
        <f t="shared" si="272"/>
        <v/>
      </c>
      <c r="U1010" s="330" t="str">
        <f t="shared" si="273"/>
        <v/>
      </c>
    </row>
    <row r="1011" spans="1:21">
      <c r="A1011" s="211">
        <f>IF(COUNTBLANK('RNEW import'!B1009)=1,"",'RNEW import'!B1009)</f>
        <v>36</v>
      </c>
      <c r="B1011" s="211" t="str">
        <f>IF(COUNTBLANK('RNEW import'!D1009)=1,"",'RNEW import'!D1009)</f>
        <v>Nepi Ten Development Solutions  SRL</v>
      </c>
      <c r="C1011" s="211" t="str">
        <f>IF(COUNTBLANK('RNEW import'!E1009)=1,"",'RNEW import'!E1009)</f>
        <v>RN10_Petrosani</v>
      </c>
      <c r="D1011" s="211" t="str">
        <f>IF(COUNTBLANK('RNEW import'!K1009)=1,"",'RNEW import'!K1009)</f>
        <v>Regularizare Tarif distributie SDI JT Ea3</v>
      </c>
      <c r="E1011" s="211">
        <f>IF(COUNTBLANK('RNEW import'!L1009)=1,"",'RNEW import'!N1009)</f>
        <v>0</v>
      </c>
      <c r="F1011" s="211">
        <f>IF(COUNTBLANK('RNEW import'!M1009)=1,"",'RNEW import'!O1009/10000)</f>
        <v>8.3199999999999996E-2</v>
      </c>
      <c r="G1011" s="217">
        <f t="shared" si="267"/>
        <v>0</v>
      </c>
      <c r="H1011" s="217">
        <f t="shared" si="263"/>
        <v>0</v>
      </c>
      <c r="I1011" s="329">
        <f t="shared" si="268"/>
        <v>0</v>
      </c>
      <c r="J1011" s="263" t="str">
        <f t="shared" si="269"/>
        <v/>
      </c>
      <c r="K1011" s="238" t="str">
        <f t="shared" si="259"/>
        <v/>
      </c>
      <c r="L1011" s="238" t="str">
        <f t="shared" si="260"/>
        <v/>
      </c>
      <c r="M1011" s="238" t="str">
        <f t="shared" si="261"/>
        <v/>
      </c>
      <c r="N1011" s="238" t="str">
        <f t="shared" si="262"/>
        <v/>
      </c>
      <c r="O1011" s="232" t="str">
        <f t="shared" si="270"/>
        <v/>
      </c>
      <c r="P1011" s="219" t="str">
        <f t="shared" si="264"/>
        <v>Energie consumata din PV regularizare</v>
      </c>
      <c r="Q1011" s="219">
        <f t="shared" si="265"/>
        <v>0</v>
      </c>
      <c r="R1011" s="219">
        <f t="shared" si="266"/>
        <v>0</v>
      </c>
      <c r="S1011" s="330">
        <f t="shared" si="271"/>
        <v>0</v>
      </c>
      <c r="T1011" s="330">
        <f t="shared" si="272"/>
        <v>0</v>
      </c>
      <c r="U1011" s="330">
        <f t="shared" si="273"/>
        <v>0</v>
      </c>
    </row>
    <row r="1012" spans="1:21">
      <c r="A1012" s="211">
        <f>IF(COUNTBLANK('RNEW import'!B1010)=1,"",'RNEW import'!B1010)</f>
        <v>1</v>
      </c>
      <c r="B1012" s="211" t="str">
        <f>IF(COUNTBLANK('RNEW import'!D1010)=1,"",'RNEW import'!D1010)</f>
        <v>Nepi Bucharest One  SRL</v>
      </c>
      <c r="C1012" s="211" t="str">
        <f>IF(COUNTBLANK('RNEW import'!E1010)=1,"",'RNEW import'!E1010)</f>
        <v>RN1_Brasov</v>
      </c>
      <c r="D1012" s="211" t="str">
        <f>IF(COUNTBLANK('RNEW import'!K1010)=1,"",'RNEW import'!K1010)</f>
        <v>Energie activa 1</v>
      </c>
      <c r="E1012" s="211">
        <f>IF(COUNTBLANK('RNEW import'!L1010)=1,"",'RNEW import'!N1010)</f>
        <v>25058</v>
      </c>
      <c r="F1012" s="211">
        <f>IF(COUNTBLANK('RNEW import'!M1010)=1,"",'RNEW import'!O1010/10000)</f>
        <v>0.59499999999999997</v>
      </c>
      <c r="G1012" s="217">
        <f t="shared" si="267"/>
        <v>14909.51</v>
      </c>
      <c r="H1012" s="217">
        <f t="shared" si="263"/>
        <v>2832.81</v>
      </c>
      <c r="I1012" s="329">
        <f t="shared" si="268"/>
        <v>17742.32</v>
      </c>
      <c r="J1012" s="263" t="str">
        <f t="shared" si="269"/>
        <v>Nepi Bucharest One  SRL - Brasov</v>
      </c>
      <c r="K1012" s="238">
        <f t="shared" si="259"/>
        <v>2638.61</v>
      </c>
      <c r="L1012" s="238">
        <f t="shared" si="260"/>
        <v>20925.069999999992</v>
      </c>
      <c r="M1012" s="238">
        <f t="shared" si="261"/>
        <v>14405.57</v>
      </c>
      <c r="N1012" s="238">
        <f t="shared" si="262"/>
        <v>25058</v>
      </c>
      <c r="O1012" s="232" t="str">
        <f t="shared" si="270"/>
        <v>Nepi Bucharest One  SRL</v>
      </c>
      <c r="P1012" s="219" t="str">
        <f t="shared" si="264"/>
        <v>Enegie activa</v>
      </c>
      <c r="Q1012" s="219">
        <f t="shared" si="265"/>
        <v>25058</v>
      </c>
      <c r="R1012" s="219">
        <f t="shared" si="266"/>
        <v>0.93920800000000004</v>
      </c>
      <c r="S1012" s="332">
        <f>IF(COUNTBLANK(P1012)=1,"",ROUND(IF(P1012=$P$5,G1012,IF(P1012=$P$6,G1012,IF(P1012=$P$21,G1012+G1011+G1010+G1009,IF(P1012=$P$23,G1012,IF(P1012=$P$24,G1012,IF(P1012=$P$4,SUMIFS(G:G,$C:$C,_xlfn.CONCAT("RN1_",RIGHT(J1012,LEN(J1012)-FIND("-",J1012,1)-1)),A:A,"&lt;15"),IF(P1012=$P$22,SUMIFS(G:G,$C:$C,_xlfn.CONCAT("RN1_",RIGHT(J994,LEN(J994)-FIND("-",J994,1)-1)),A:A,"&gt;18",A:A,"&lt;33")-S1013-S1014,IF(P1012=$P$39,G1012+G1011+G1010+G1009,"eroare")))))))),2))</f>
        <v>23534.67</v>
      </c>
      <c r="T1012" s="332">
        <f>IF(COUNTBLANK(P1012)=1,"",ROUND(IF(P1012=$P$5,H1012,IF(P1012=$P$6,H1012,IF(P1012=$P$21,H1012+H1011+H1010+H1009,IF(P1012=$P$23,H1012,IF(P1012=$P$24,H1012,IF(P1012=$P$4,SUMIFS(H:H,$C:$C,_xlfn.CONCAT("RN1_",RIGHT(J1012,LEN(J1012)-FIND("-",J1012,1)-1)),A:A,"&lt;15"),IF(P1012=$P$22,SUMIFS(H:H,$C:$C,_xlfn.CONCAT("RN1_",RIGHT(J994,LEN(J994)-FIND("-",J994,1)-1)),A:A,"&gt;18",A:A,"&lt;33")-T1013-T1014,IF(P1012=$P$39,H1012+H1011+H1010+H1009,"eroare")))))))),2))</f>
        <v>4471.59</v>
      </c>
      <c r="U1012" s="332">
        <f>IF(COUNTBLANK(P1012)=1,"",ROUND(IF(P1012=$P$5,I1012,IF(P1012=$P$6,I1012,IF(P1012=$P$21,I1012+I1011+I1010+I1009,IF(P1012=$P$23,I1012,IF(P1012=$P$24,I1012,IF(P1012=$P$4,SUMIFS(I:I,$C:$C,_xlfn.CONCAT("RN1_",RIGHT(J1012,LEN(J1012)-FIND("-",J1012,1)-1)),A:A,"&lt;15"),IF(P1012=$P$22,SUMIFS(I:I,$C:$C,_xlfn.CONCAT("RN1_",RIGHT(J994,LEN(J994)-FIND("-",J994,1)-1)),A:A,"&gt;18",A:A,"&lt;33")-U1013-U1014,IF(P1012=$P$39,I1012+I1011+I1010+I1009,"eroare")))))))),2))</f>
        <v>28006.26</v>
      </c>
    </row>
    <row r="1013" spans="1:21">
      <c r="A1013" s="211">
        <f>IF(COUNTBLANK('RNEW import'!B1011)=1,"",'RNEW import'!B1011)</f>
        <v>2</v>
      </c>
      <c r="B1013" s="211" t="str">
        <f>IF(COUNTBLANK('RNEW import'!D1011)=1,"",'RNEW import'!D1011)</f>
        <v>Nepi Bucharest One  SRL</v>
      </c>
      <c r="C1013" s="211" t="str">
        <f>IF(COUNTBLANK('RNEW import'!E1011)=1,"",'RNEW import'!E1011)</f>
        <v>RN1_Brasov</v>
      </c>
      <c r="D1013" s="211" t="str">
        <f>IF(COUNTBLANK('RNEW import'!K1011)=1,"",'RNEW import'!K1011)</f>
        <v>Energie reactiva  1X</v>
      </c>
      <c r="E1013" s="211">
        <f>IF(COUNTBLANK('RNEW import'!L1011)=1,"",'RNEW import'!N1011)</f>
        <v>0</v>
      </c>
      <c r="F1013" s="211">
        <f>IF(COUNTBLANK('RNEW import'!M1011)=1,"",'RNEW import'!O1011/10000)</f>
        <v>0.14649999999999999</v>
      </c>
      <c r="G1013" s="217">
        <f t="shared" si="267"/>
        <v>0</v>
      </c>
      <c r="H1013" s="217">
        <f t="shared" si="263"/>
        <v>0</v>
      </c>
      <c r="I1013" s="329">
        <f t="shared" si="268"/>
        <v>0</v>
      </c>
      <c r="J1013" s="263" t="str">
        <f t="shared" si="269"/>
        <v/>
      </c>
      <c r="K1013" s="238" t="str">
        <f t="shared" si="259"/>
        <v/>
      </c>
      <c r="L1013" s="238" t="str">
        <f t="shared" si="260"/>
        <v/>
      </c>
      <c r="M1013" s="238" t="str">
        <f t="shared" si="261"/>
        <v/>
      </c>
      <c r="N1013" s="238" t="str">
        <f t="shared" si="262"/>
        <v/>
      </c>
      <c r="O1013" s="232" t="str">
        <f t="shared" si="270"/>
        <v/>
      </c>
      <c r="P1013" s="219" t="str">
        <f t="shared" si="264"/>
        <v>Energie reactiva 1x</v>
      </c>
      <c r="Q1013" s="219">
        <f t="shared" si="265"/>
        <v>0</v>
      </c>
      <c r="R1013" s="219">
        <f t="shared" si="266"/>
        <v>0.14649999999999999</v>
      </c>
      <c r="S1013" s="332">
        <f t="shared" ref="S1013:S1047" si="274">IF(COUNTBLANK(P1013)=1,"",ROUND(IF(P1013=$P$5,G1013,IF(P1013=$P$6,G1013,IF(P1013=$P$21,G1013+G1012+G1011+G1010,IF(P1013=$P$23,G1013,IF(P1013=$P$24,G1013,IF(P1013=$P$4,SUMIFS(G:G,$C:$C,_xlfn.CONCAT("RN1_",RIGHT(J1013,LEN(J1013)-FIND("-",J1013,1)-1)),A:A,"&lt;15"),IF(P1013=$P$22,SUMIFS(G:G,$C:$C,_xlfn.CONCAT("RN1_",RIGHT(J995,LEN(J995)-FIND("-",J995,1)-1)),A:A,"&gt;18",A:A,"&lt;33")-S1014-S1015,IF(P1013=$P$39,G1013+G1012+G1011+G1010,"eroare")))))))),2))</f>
        <v>0</v>
      </c>
      <c r="T1013" s="332">
        <f t="shared" ref="T1013:T1047" si="275">IF(COUNTBLANK(P1013)=1,"",ROUND(IF(P1013=$P$5,H1013,IF(P1013=$P$6,H1013,IF(P1013=$P$21,H1013+H1012+H1011+H1010,IF(P1013=$P$23,H1013,IF(P1013=$P$24,H1013,IF(P1013=$P$4,SUMIFS(H:H,$C:$C,_xlfn.CONCAT("RN1_",RIGHT(J1013,LEN(J1013)-FIND("-",J1013,1)-1)),A:A,"&lt;15"),IF(P1013=$P$22,SUMIFS(H:H,$C:$C,_xlfn.CONCAT("RN1_",RIGHT(J995,LEN(J995)-FIND("-",J995,1)-1)),A:A,"&gt;18",A:A,"&lt;33")-T1014-T1015,IF(P1013=$P$39,H1013+H1012+H1011+H1010,"eroare")))))))),2))</f>
        <v>0</v>
      </c>
      <c r="U1013" s="332">
        <f t="shared" ref="U1013:U1047" si="276">IF(COUNTBLANK(P1013)=1,"",ROUND(IF(P1013=$P$5,I1013,IF(P1013=$P$6,I1013,IF(P1013=$P$21,I1013+I1012+I1011+I1010,IF(P1013=$P$23,I1013,IF(P1013=$P$24,I1013,IF(P1013=$P$4,SUMIFS(I:I,$C:$C,_xlfn.CONCAT("RN1_",RIGHT(J1013,LEN(J1013)-FIND("-",J1013,1)-1)),A:A,"&lt;15"),IF(P1013=$P$22,SUMIFS(I:I,$C:$C,_xlfn.CONCAT("RN1_",RIGHT(J995,LEN(J995)-FIND("-",J995,1)-1)),A:A,"&gt;18",A:A,"&lt;33")-U1014-U1015,IF(P1013=$P$39,I1013+I1012+I1011+I1010,"eroare")))))))),2))</f>
        <v>0</v>
      </c>
    </row>
    <row r="1014" spans="1:21">
      <c r="A1014" s="211">
        <f>IF(COUNTBLANK('RNEW import'!B1012)=1,"",'RNEW import'!B1012)</f>
        <v>3</v>
      </c>
      <c r="B1014" s="211" t="str">
        <f>IF(COUNTBLANK('RNEW import'!D1012)=1,"",'RNEW import'!D1012)</f>
        <v>Nepi Bucharest One  SRL</v>
      </c>
      <c r="C1014" s="211" t="str">
        <f>IF(COUNTBLANK('RNEW import'!E1012)=1,"",'RNEW import'!E1012)</f>
        <v>RN1_Brasov</v>
      </c>
      <c r="D1014" s="211" t="str">
        <f>IF(COUNTBLANK('RNEW import'!K1012)=1,"",'RNEW import'!K1012)</f>
        <v>Energie reactiva  3X</v>
      </c>
      <c r="E1014" s="211">
        <f>IF(COUNTBLANK('RNEW import'!L1012)=1,"",'RNEW import'!N1012)</f>
        <v>0</v>
      </c>
      <c r="F1014" s="211">
        <f>IF(COUNTBLANK('RNEW import'!M1012)=1,"",'RNEW import'!O1012/10000)</f>
        <v>0.4395</v>
      </c>
      <c r="G1014" s="217">
        <f t="shared" si="267"/>
        <v>0</v>
      </c>
      <c r="H1014" s="217">
        <f t="shared" si="263"/>
        <v>0</v>
      </c>
      <c r="I1014" s="329">
        <f t="shared" si="268"/>
        <v>0</v>
      </c>
      <c r="J1014" s="263" t="str">
        <f t="shared" si="269"/>
        <v/>
      </c>
      <c r="K1014" s="238" t="str">
        <f t="shared" si="259"/>
        <v/>
      </c>
      <c r="L1014" s="238" t="str">
        <f t="shared" si="260"/>
        <v/>
      </c>
      <c r="M1014" s="238" t="str">
        <f t="shared" si="261"/>
        <v/>
      </c>
      <c r="N1014" s="238" t="str">
        <f t="shared" si="262"/>
        <v/>
      </c>
      <c r="O1014" s="232" t="str">
        <f t="shared" si="270"/>
        <v/>
      </c>
      <c r="P1014" s="219" t="str">
        <f t="shared" si="264"/>
        <v>Energie reactiva 3x</v>
      </c>
      <c r="Q1014" s="219">
        <f t="shared" si="265"/>
        <v>0</v>
      </c>
      <c r="R1014" s="219">
        <f t="shared" si="266"/>
        <v>0.4395</v>
      </c>
      <c r="S1014" s="332">
        <f t="shared" si="274"/>
        <v>0</v>
      </c>
      <c r="T1014" s="332">
        <f t="shared" si="275"/>
        <v>0</v>
      </c>
      <c r="U1014" s="332">
        <f t="shared" si="276"/>
        <v>0</v>
      </c>
    </row>
    <row r="1015" spans="1:21">
      <c r="A1015" s="211">
        <f>IF(COUNTBLANK('RNEW import'!B1013)=1,"",'RNEW import'!B1013)</f>
        <v>4</v>
      </c>
      <c r="B1015" s="211" t="str">
        <f>IF(COUNTBLANK('RNEW import'!D1013)=1,"",'RNEW import'!D1013)</f>
        <v>Nepi Bucharest One  SRL</v>
      </c>
      <c r="C1015" s="211" t="str">
        <f>IF(COUNTBLANK('RNEW import'!E1013)=1,"",'RNEW import'!E1013)</f>
        <v>RN1_Brasov</v>
      </c>
      <c r="D1015" s="211" t="str">
        <f>IF(COUNTBLANK('RNEW import'!K1013)=1,"",'RNEW import'!K1013)</f>
        <v>Tarife distributie en. El IT+MT</v>
      </c>
      <c r="E1015" s="211">
        <f>IF(COUNTBLANK('RNEW import'!L1013)=1,"",'RNEW import'!N1013)</f>
        <v>25058</v>
      </c>
      <c r="F1015" s="211">
        <f>IF(COUNTBLANK('RNEW import'!M1013)=1,"",'RNEW import'!O1013/10000)</f>
        <v>0.11483</v>
      </c>
      <c r="G1015" s="217">
        <f t="shared" si="267"/>
        <v>2877.41</v>
      </c>
      <c r="H1015" s="217">
        <f t="shared" si="263"/>
        <v>546.71</v>
      </c>
      <c r="I1015" s="329">
        <f t="shared" si="268"/>
        <v>3424.12</v>
      </c>
      <c r="J1015" s="263" t="str">
        <f t="shared" si="269"/>
        <v/>
      </c>
      <c r="K1015" s="238" t="str">
        <f t="shared" si="259"/>
        <v/>
      </c>
      <c r="L1015" s="238" t="str">
        <f t="shared" si="260"/>
        <v/>
      </c>
      <c r="M1015" s="238" t="str">
        <f t="shared" si="261"/>
        <v/>
      </c>
      <c r="N1015" s="238" t="str">
        <f t="shared" si="262"/>
        <v/>
      </c>
      <c r="O1015" s="232" t="str">
        <f t="shared" si="270"/>
        <v/>
      </c>
      <c r="P1015" s="219" t="str">
        <f t="shared" si="264"/>
        <v/>
      </c>
      <c r="Q1015" s="219" t="str">
        <f t="shared" si="265"/>
        <v/>
      </c>
      <c r="R1015" s="219" t="str">
        <f t="shared" si="266"/>
        <v/>
      </c>
      <c r="S1015" s="332" t="str">
        <f t="shared" si="274"/>
        <v/>
      </c>
      <c r="T1015" s="332" t="str">
        <f t="shared" si="275"/>
        <v/>
      </c>
      <c r="U1015" s="332" t="str">
        <f t="shared" si="276"/>
        <v/>
      </c>
    </row>
    <row r="1016" spans="1:21">
      <c r="A1016" s="211">
        <f>IF(COUNTBLANK('RNEW import'!B1014)=1,"",'RNEW import'!B1014)</f>
        <v>5</v>
      </c>
      <c r="B1016" s="211" t="str">
        <f>IF(COUNTBLANK('RNEW import'!D1014)=1,"",'RNEW import'!D1014)</f>
        <v>Nepi Bucharest One  SRL</v>
      </c>
      <c r="C1016" s="211" t="str">
        <f>IF(COUNTBLANK('RNEW import'!E1014)=1,"",'RNEW import'!E1014)</f>
        <v>RN1_Brasov</v>
      </c>
      <c r="D1016" s="211" t="str">
        <f>IF(COUNTBLANK('RNEW import'!K1014)=1,"",'RNEW import'!K1014)</f>
        <v>Tarife distributie en. El JT</v>
      </c>
      <c r="E1016" s="211">
        <f>IF(COUNTBLANK('RNEW import'!L1014)=1,"",'RNEW import'!N1014)</f>
        <v>0</v>
      </c>
      <c r="F1016" s="211">
        <f>IF(COUNTBLANK('RNEW import'!M1014)=1,"",'RNEW import'!O1014/10000)</f>
        <v>0.2361</v>
      </c>
      <c r="G1016" s="217">
        <f t="shared" si="267"/>
        <v>0</v>
      </c>
      <c r="H1016" s="217">
        <f t="shared" si="263"/>
        <v>0</v>
      </c>
      <c r="I1016" s="329">
        <f t="shared" si="268"/>
        <v>0</v>
      </c>
      <c r="J1016" s="263" t="str">
        <f t="shared" si="269"/>
        <v/>
      </c>
      <c r="K1016" s="238" t="str">
        <f t="shared" si="259"/>
        <v/>
      </c>
      <c r="L1016" s="238" t="str">
        <f t="shared" si="260"/>
        <v/>
      </c>
      <c r="M1016" s="238" t="str">
        <f t="shared" si="261"/>
        <v/>
      </c>
      <c r="N1016" s="238" t="str">
        <f t="shared" si="262"/>
        <v/>
      </c>
      <c r="O1016" s="232" t="str">
        <f t="shared" si="270"/>
        <v/>
      </c>
      <c r="P1016" s="219" t="str">
        <f t="shared" si="264"/>
        <v/>
      </c>
      <c r="Q1016" s="219" t="str">
        <f t="shared" si="265"/>
        <v/>
      </c>
      <c r="R1016" s="219" t="str">
        <f t="shared" si="266"/>
        <v/>
      </c>
      <c r="S1016" s="332" t="str">
        <f t="shared" si="274"/>
        <v/>
      </c>
      <c r="T1016" s="332" t="str">
        <f t="shared" si="275"/>
        <v/>
      </c>
      <c r="U1016" s="332" t="str">
        <f t="shared" si="276"/>
        <v/>
      </c>
    </row>
    <row r="1017" spans="1:21">
      <c r="A1017" s="211">
        <f>IF(COUNTBLANK('RNEW import'!B1015)=1,"",'RNEW import'!B1015)</f>
        <v>6</v>
      </c>
      <c r="B1017" s="211" t="str">
        <f>IF(COUNTBLANK('RNEW import'!D1015)=1,"",'RNEW import'!D1015)</f>
        <v>Nepi Bucharest One  SRL</v>
      </c>
      <c r="C1017" s="211" t="str">
        <f>IF(COUNTBLANK('RNEW import'!E1015)=1,"",'RNEW import'!E1015)</f>
        <v>RN1_Brasov</v>
      </c>
      <c r="D1017" s="211" t="str">
        <f>IF(COUNTBLANK('RNEW import'!K1015)=1,"",'RNEW import'!K1015)</f>
        <v xml:space="preserve">Servicii Sistem </v>
      </c>
      <c r="E1017" s="211">
        <f>IF(COUNTBLANK('RNEW import'!L1015)=1,"",'RNEW import'!N1015)</f>
        <v>25058</v>
      </c>
      <c r="F1017" s="211">
        <f>IF(COUNTBLANK('RNEW import'!M1015)=1,"",'RNEW import'!O1015/10000)</f>
        <v>1.1509999999999999E-2</v>
      </c>
      <c r="G1017" s="217">
        <f t="shared" si="267"/>
        <v>288.42</v>
      </c>
      <c r="H1017" s="217">
        <f t="shared" si="263"/>
        <v>54.8</v>
      </c>
      <c r="I1017" s="329">
        <f t="shared" si="268"/>
        <v>343.22</v>
      </c>
      <c r="J1017" s="263" t="str">
        <f t="shared" si="269"/>
        <v/>
      </c>
      <c r="K1017" s="238" t="str">
        <f t="shared" si="259"/>
        <v/>
      </c>
      <c r="L1017" s="238" t="str">
        <f t="shared" si="260"/>
        <v/>
      </c>
      <c r="M1017" s="238" t="str">
        <f t="shared" si="261"/>
        <v/>
      </c>
      <c r="N1017" s="238" t="str">
        <f t="shared" si="262"/>
        <v/>
      </c>
      <c r="O1017" s="232" t="str">
        <f t="shared" si="270"/>
        <v/>
      </c>
      <c r="P1017" s="219" t="str">
        <f t="shared" si="264"/>
        <v/>
      </c>
      <c r="Q1017" s="219" t="str">
        <f t="shared" si="265"/>
        <v/>
      </c>
      <c r="R1017" s="219" t="str">
        <f t="shared" si="266"/>
        <v/>
      </c>
      <c r="S1017" s="332" t="str">
        <f t="shared" si="274"/>
        <v/>
      </c>
      <c r="T1017" s="332" t="str">
        <f t="shared" si="275"/>
        <v/>
      </c>
      <c r="U1017" s="332" t="str">
        <f t="shared" si="276"/>
        <v/>
      </c>
    </row>
    <row r="1018" spans="1:21">
      <c r="A1018" s="211">
        <f>IF(COUNTBLANK('RNEW import'!B1016)=1,"",'RNEW import'!B1016)</f>
        <v>7</v>
      </c>
      <c r="B1018" s="211" t="str">
        <f>IF(COUNTBLANK('RNEW import'!D1016)=1,"",'RNEW import'!D1016)</f>
        <v>Nepi Bucharest One  SRL</v>
      </c>
      <c r="C1018" s="211" t="str">
        <f>IF(COUNTBLANK('RNEW import'!E1016)=1,"",'RNEW import'!E1016)</f>
        <v>RN1_Brasov</v>
      </c>
      <c r="D1018" s="211" t="str">
        <f>IF(COUNTBLANK('RNEW import'!K1016)=1,"",'RNEW import'!K1016)</f>
        <v>Tarif de introducere en. el in retea (TL)</v>
      </c>
      <c r="E1018" s="211">
        <f>IF(COUNTBLANK('RNEW import'!L1016)=1,"",'RNEW import'!N1016)</f>
        <v>25058</v>
      </c>
      <c r="F1018" s="211">
        <f>IF(COUNTBLANK('RNEW import'!M1016)=1,"",'RNEW import'!O1016/10000)</f>
        <v>3.3030000000000004E-2</v>
      </c>
      <c r="G1018" s="217">
        <f t="shared" si="267"/>
        <v>827.67</v>
      </c>
      <c r="H1018" s="217">
        <f t="shared" si="263"/>
        <v>157.26</v>
      </c>
      <c r="I1018" s="329">
        <f t="shared" si="268"/>
        <v>984.93</v>
      </c>
      <c r="J1018" s="263" t="str">
        <f t="shared" si="269"/>
        <v/>
      </c>
      <c r="K1018" s="238" t="str">
        <f t="shared" si="259"/>
        <v/>
      </c>
      <c r="L1018" s="238" t="str">
        <f t="shared" si="260"/>
        <v/>
      </c>
      <c r="M1018" s="238" t="str">
        <f t="shared" si="261"/>
        <v/>
      </c>
      <c r="N1018" s="238" t="str">
        <f t="shared" si="262"/>
        <v/>
      </c>
      <c r="O1018" s="232" t="str">
        <f t="shared" si="270"/>
        <v/>
      </c>
      <c r="P1018" s="219" t="str">
        <f t="shared" si="264"/>
        <v/>
      </c>
      <c r="Q1018" s="219" t="str">
        <f t="shared" si="265"/>
        <v/>
      </c>
      <c r="R1018" s="219" t="str">
        <f t="shared" si="266"/>
        <v/>
      </c>
      <c r="S1018" s="332" t="str">
        <f t="shared" si="274"/>
        <v/>
      </c>
      <c r="T1018" s="332" t="str">
        <f t="shared" si="275"/>
        <v/>
      </c>
      <c r="U1018" s="332" t="str">
        <f t="shared" si="276"/>
        <v/>
      </c>
    </row>
    <row r="1019" spans="1:21">
      <c r="A1019" s="211">
        <f>IF(COUNTBLANK('RNEW import'!B1017)=1,"",'RNEW import'!B1017)</f>
        <v>8</v>
      </c>
      <c r="B1019" s="211" t="str">
        <f>IF(COUNTBLANK('RNEW import'!D1017)=1,"",'RNEW import'!D1017)</f>
        <v>Nepi Bucharest One  SRL</v>
      </c>
      <c r="C1019" s="211" t="str">
        <f>IF(COUNTBLANK('RNEW import'!E1017)=1,"",'RNEW import'!E1017)</f>
        <v>RN1_Brasov</v>
      </c>
      <c r="D1019" s="211" t="str">
        <f>IF(COUNTBLANK('RNEW import'!K1017)=1,"",'RNEW import'!K1017)</f>
        <v>Tarif de introducere en.el in retea (TG)</v>
      </c>
      <c r="E1019" s="211">
        <f>IF(COUNTBLANK('RNEW import'!L1017)=1,"",'RNEW import'!N1017)</f>
        <v>25058</v>
      </c>
      <c r="F1019" s="211">
        <f>IF(COUNTBLANK('RNEW import'!M1017)=1,"",'RNEW import'!O1017/10000)</f>
        <v>3.29E-3</v>
      </c>
      <c r="G1019" s="217">
        <f t="shared" si="267"/>
        <v>82.44</v>
      </c>
      <c r="H1019" s="217">
        <f t="shared" si="263"/>
        <v>15.66</v>
      </c>
      <c r="I1019" s="329">
        <f t="shared" si="268"/>
        <v>98.1</v>
      </c>
      <c r="J1019" s="263" t="str">
        <f t="shared" si="269"/>
        <v/>
      </c>
      <c r="K1019" s="238" t="str">
        <f t="shared" si="259"/>
        <v/>
      </c>
      <c r="L1019" s="238" t="str">
        <f t="shared" si="260"/>
        <v/>
      </c>
      <c r="M1019" s="238" t="str">
        <f t="shared" si="261"/>
        <v/>
      </c>
      <c r="N1019" s="238" t="str">
        <f t="shared" si="262"/>
        <v/>
      </c>
      <c r="O1019" s="232" t="str">
        <f t="shared" si="270"/>
        <v/>
      </c>
      <c r="P1019" s="219" t="str">
        <f t="shared" si="264"/>
        <v/>
      </c>
      <c r="Q1019" s="219" t="str">
        <f t="shared" si="265"/>
        <v/>
      </c>
      <c r="R1019" s="219" t="str">
        <f t="shared" si="266"/>
        <v/>
      </c>
      <c r="S1019" s="332" t="str">
        <f t="shared" si="274"/>
        <v/>
      </c>
      <c r="T1019" s="332" t="str">
        <f t="shared" si="275"/>
        <v/>
      </c>
      <c r="U1019" s="332" t="str">
        <f t="shared" si="276"/>
        <v/>
      </c>
    </row>
    <row r="1020" spans="1:21">
      <c r="A1020" s="211">
        <f>IF(COUNTBLANK('RNEW import'!B1018)=1,"",'RNEW import'!B1018)</f>
        <v>9</v>
      </c>
      <c r="B1020" s="211" t="str">
        <f>IF(COUNTBLANK('RNEW import'!D1018)=1,"",'RNEW import'!D1018)</f>
        <v>Nepi Bucharest One  SRL</v>
      </c>
      <c r="C1020" s="211" t="str">
        <f>IF(COUNTBLANK('RNEW import'!E1018)=1,"",'RNEW import'!E1018)</f>
        <v>RN1_Brasov</v>
      </c>
      <c r="D1020" s="211" t="str">
        <f>IF(COUNTBLANK('RNEW import'!K1018)=1,"",'RNEW import'!K1018)</f>
        <v>Contributie pentru cogenerare</v>
      </c>
      <c r="E1020" s="211">
        <f>IF(COUNTBLANK('RNEW import'!L1018)=1,"",'RNEW import'!N1018)</f>
        <v>25058</v>
      </c>
      <c r="F1020" s="211">
        <f>IF(COUNTBLANK('RNEW import'!M1018)=1,"",'RNEW import'!O1018/10000)</f>
        <v>3.5000000000000001E-3</v>
      </c>
      <c r="G1020" s="217">
        <f t="shared" si="267"/>
        <v>87.7</v>
      </c>
      <c r="H1020" s="217">
        <f t="shared" si="263"/>
        <v>16.66</v>
      </c>
      <c r="I1020" s="329">
        <f t="shared" si="268"/>
        <v>104.36</v>
      </c>
      <c r="J1020" s="263" t="str">
        <f t="shared" si="269"/>
        <v/>
      </c>
      <c r="K1020" s="238" t="str">
        <f t="shared" si="259"/>
        <v/>
      </c>
      <c r="L1020" s="238" t="str">
        <f t="shared" si="260"/>
        <v/>
      </c>
      <c r="M1020" s="238" t="str">
        <f t="shared" si="261"/>
        <v/>
      </c>
      <c r="N1020" s="238" t="str">
        <f t="shared" si="262"/>
        <v/>
      </c>
      <c r="O1020" s="232" t="str">
        <f t="shared" si="270"/>
        <v/>
      </c>
      <c r="P1020" s="219" t="str">
        <f t="shared" si="264"/>
        <v/>
      </c>
      <c r="Q1020" s="219" t="str">
        <f t="shared" si="265"/>
        <v/>
      </c>
      <c r="R1020" s="219" t="str">
        <f t="shared" si="266"/>
        <v/>
      </c>
      <c r="S1020" s="332" t="str">
        <f t="shared" si="274"/>
        <v/>
      </c>
      <c r="T1020" s="332" t="str">
        <f t="shared" si="275"/>
        <v/>
      </c>
      <c r="U1020" s="332" t="str">
        <f t="shared" si="276"/>
        <v/>
      </c>
    </row>
    <row r="1021" spans="1:21">
      <c r="A1021" s="211">
        <f>IF(COUNTBLANK('RNEW import'!B1019)=1,"",'RNEW import'!B1019)</f>
        <v>10</v>
      </c>
      <c r="B1021" s="211" t="str">
        <f>IF(COUNTBLANK('RNEW import'!D1019)=1,"",'RNEW import'!D1019)</f>
        <v>Nepi Bucharest One  SRL</v>
      </c>
      <c r="C1021" s="211" t="str">
        <f>IF(COUNTBLANK('RNEW import'!E1019)=1,"",'RNEW import'!E1019)</f>
        <v>RN1_Brasov</v>
      </c>
      <c r="D1021" s="211" t="str">
        <f>IF(COUNTBLANK('RNEW import'!K1019)=1,"",'RNEW import'!K1019)</f>
        <v xml:space="preserve">Certificate verzi </v>
      </c>
      <c r="E1021" s="211">
        <f>IF(COUNTBLANK('RNEW import'!L1019)=1,"",'RNEW import'!N1019)</f>
        <v>25058</v>
      </c>
      <c r="F1021" s="211">
        <f>IF(COUNTBLANK('RNEW import'!M1019)=1,"",'RNEW import'!O1019/10000)</f>
        <v>7.2541599999999998E-2</v>
      </c>
      <c r="G1021" s="217">
        <f t="shared" si="267"/>
        <v>1817.75</v>
      </c>
      <c r="H1021" s="217">
        <f t="shared" si="263"/>
        <v>345.37</v>
      </c>
      <c r="I1021" s="329">
        <f t="shared" si="268"/>
        <v>2163.12</v>
      </c>
      <c r="J1021" s="263" t="str">
        <f t="shared" si="269"/>
        <v/>
      </c>
      <c r="K1021" s="238" t="str">
        <f t="shared" si="259"/>
        <v/>
      </c>
      <c r="L1021" s="238" t="str">
        <f t="shared" si="260"/>
        <v/>
      </c>
      <c r="M1021" s="238" t="str">
        <f t="shared" si="261"/>
        <v/>
      </c>
      <c r="N1021" s="238" t="str">
        <f t="shared" si="262"/>
        <v/>
      </c>
      <c r="O1021" s="232" t="str">
        <f t="shared" si="270"/>
        <v/>
      </c>
      <c r="P1021" s="219" t="str">
        <f t="shared" si="264"/>
        <v/>
      </c>
      <c r="Q1021" s="219" t="str">
        <f t="shared" si="265"/>
        <v/>
      </c>
      <c r="R1021" s="219" t="str">
        <f t="shared" si="266"/>
        <v/>
      </c>
      <c r="S1021" s="332" t="str">
        <f t="shared" si="274"/>
        <v/>
      </c>
      <c r="T1021" s="332" t="str">
        <f t="shared" si="275"/>
        <v/>
      </c>
      <c r="U1021" s="332" t="str">
        <f t="shared" si="276"/>
        <v/>
      </c>
    </row>
    <row r="1022" spans="1:21">
      <c r="A1022" s="211">
        <f>IF(COUNTBLANK('RNEW import'!B1020)=1,"",'RNEW import'!B1020)</f>
        <v>11</v>
      </c>
      <c r="B1022" s="211" t="str">
        <f>IF(COUNTBLANK('RNEW import'!D1020)=1,"",'RNEW import'!D1020)</f>
        <v>Nepi Bucharest One  SRL</v>
      </c>
      <c r="C1022" s="211" t="str">
        <f>IF(COUNTBLANK('RNEW import'!E1020)=1,"",'RNEW import'!E1020)</f>
        <v>RN1_Brasov</v>
      </c>
      <c r="D1022" s="211" t="str">
        <f>IF(COUNTBLANK('RNEW import'!K1020)=1,"",'RNEW import'!K1020)</f>
        <v>Contributie CFD</v>
      </c>
      <c r="E1022" s="211">
        <f>IF(COUNTBLANK('RNEW import'!L1020)=1,"",'RNEW import'!N1020)</f>
        <v>25058</v>
      </c>
      <c r="F1022" s="211">
        <f>IF(COUNTBLANK('RNEW import'!M1020)=1,"",'RNEW import'!O1020/10000)</f>
        <v>2.0599999999999999E-4</v>
      </c>
      <c r="G1022" s="217">
        <f t="shared" si="267"/>
        <v>5.16</v>
      </c>
      <c r="H1022" s="217">
        <f t="shared" si="263"/>
        <v>0.98</v>
      </c>
      <c r="I1022" s="329">
        <f t="shared" si="268"/>
        <v>6.1400000000000006</v>
      </c>
      <c r="J1022" s="263" t="str">
        <f t="shared" si="269"/>
        <v/>
      </c>
      <c r="K1022" s="238" t="str">
        <f t="shared" si="259"/>
        <v/>
      </c>
      <c r="L1022" s="238" t="str">
        <f t="shared" si="260"/>
        <v/>
      </c>
      <c r="M1022" s="238" t="str">
        <f t="shared" si="261"/>
        <v/>
      </c>
      <c r="N1022" s="238" t="str">
        <f t="shared" si="262"/>
        <v/>
      </c>
      <c r="O1022" s="232" t="str">
        <f t="shared" si="270"/>
        <v/>
      </c>
      <c r="P1022" s="219" t="str">
        <f t="shared" si="264"/>
        <v/>
      </c>
      <c r="Q1022" s="219" t="str">
        <f t="shared" si="265"/>
        <v/>
      </c>
      <c r="R1022" s="219" t="str">
        <f t="shared" si="266"/>
        <v/>
      </c>
      <c r="S1022" s="332" t="str">
        <f t="shared" si="274"/>
        <v/>
      </c>
      <c r="T1022" s="332" t="str">
        <f t="shared" si="275"/>
        <v/>
      </c>
      <c r="U1022" s="332" t="str">
        <f t="shared" si="276"/>
        <v/>
      </c>
    </row>
    <row r="1023" spans="1:21">
      <c r="A1023" s="211">
        <f>IF(COUNTBLANK('RNEW import'!B1021)=1,"",'RNEW import'!B1021)</f>
        <v>12</v>
      </c>
      <c r="B1023" s="211" t="str">
        <f>IF(COUNTBLANK('RNEW import'!D1021)=1,"",'RNEW import'!D1021)</f>
        <v>Nepi Bucharest One  SRL</v>
      </c>
      <c r="C1023" s="211" t="str">
        <f>IF(COUNTBLANK('RNEW import'!E1021)=1,"",'RNEW import'!E1021)</f>
        <v>RN1_Brasov</v>
      </c>
      <c r="D1023" s="211" t="str">
        <f>IF(COUNTBLANK('RNEW import'!K1021)=1,"",'RNEW import'!K1021)</f>
        <v>Acciza</v>
      </c>
      <c r="E1023" s="211">
        <f>IF(COUNTBLANK('RNEW import'!L1021)=1,"",'RNEW import'!N1021)</f>
        <v>25058</v>
      </c>
      <c r="F1023" s="211">
        <f>IF(COUNTBLANK('RNEW import'!M1021)=1,"",'RNEW import'!O1021/10000)</f>
        <v>0</v>
      </c>
      <c r="G1023" s="217">
        <f t="shared" si="267"/>
        <v>0</v>
      </c>
      <c r="H1023" s="217">
        <f t="shared" si="263"/>
        <v>0</v>
      </c>
      <c r="I1023" s="329">
        <f t="shared" si="268"/>
        <v>0</v>
      </c>
      <c r="J1023" s="263" t="str">
        <f t="shared" si="269"/>
        <v/>
      </c>
      <c r="K1023" s="238" t="str">
        <f t="shared" si="259"/>
        <v/>
      </c>
      <c r="L1023" s="238" t="str">
        <f t="shared" si="260"/>
        <v/>
      </c>
      <c r="M1023" s="238" t="str">
        <f t="shared" si="261"/>
        <v/>
      </c>
      <c r="N1023" s="238" t="str">
        <f t="shared" si="262"/>
        <v/>
      </c>
      <c r="O1023" s="232" t="str">
        <f t="shared" si="270"/>
        <v/>
      </c>
      <c r="P1023" s="219" t="str">
        <f t="shared" si="264"/>
        <v/>
      </c>
      <c r="Q1023" s="219" t="str">
        <f t="shared" si="265"/>
        <v/>
      </c>
      <c r="R1023" s="219" t="str">
        <f t="shared" si="266"/>
        <v/>
      </c>
      <c r="S1023" s="332" t="str">
        <f t="shared" si="274"/>
        <v/>
      </c>
      <c r="T1023" s="332" t="str">
        <f t="shared" si="275"/>
        <v/>
      </c>
      <c r="U1023" s="332" t="str">
        <f t="shared" si="276"/>
        <v/>
      </c>
    </row>
    <row r="1024" spans="1:21">
      <c r="A1024" s="211">
        <f>IF(COUNTBLANK('RNEW import'!B1022)=1,"",'RNEW import'!B1022)</f>
        <v>13</v>
      </c>
      <c r="B1024" s="211" t="str">
        <f>IF(COUNTBLANK('RNEW import'!D1022)=1,"",'RNEW import'!D1022)</f>
        <v>Nepi Bucharest One  SRL</v>
      </c>
      <c r="C1024" s="211" t="str">
        <f>IF(COUNTBLANK('RNEW import'!E1022)=1,"",'RNEW import'!E1022)</f>
        <v>RN1_Brasov</v>
      </c>
      <c r="D1024" s="211" t="str">
        <f>IF(COUNTBLANK('RNEW import'!K1022)=1,"",'RNEW import'!K1022)</f>
        <v>Tarif distributie SDI MT</v>
      </c>
      <c r="E1024" s="211">
        <f>IF(COUNTBLANK('RNEW import'!L1022)=1,"",'RNEW import'!N1022)</f>
        <v>25058</v>
      </c>
      <c r="F1024" s="211">
        <f>IF(COUNTBLANK('RNEW import'!M1022)=1,"",'RNEW import'!O1022/10000)</f>
        <v>1.26E-2</v>
      </c>
      <c r="G1024" s="217">
        <f t="shared" si="267"/>
        <v>315.73</v>
      </c>
      <c r="H1024" s="217">
        <f t="shared" si="263"/>
        <v>59.99</v>
      </c>
      <c r="I1024" s="329">
        <f t="shared" si="268"/>
        <v>375.72</v>
      </c>
      <c r="J1024" s="263" t="str">
        <f t="shared" si="269"/>
        <v/>
      </c>
      <c r="K1024" s="238" t="str">
        <f t="shared" si="259"/>
        <v/>
      </c>
      <c r="L1024" s="238" t="str">
        <f t="shared" si="260"/>
        <v/>
      </c>
      <c r="M1024" s="238" t="str">
        <f t="shared" si="261"/>
        <v/>
      </c>
      <c r="N1024" s="238" t="str">
        <f t="shared" si="262"/>
        <v/>
      </c>
      <c r="O1024" s="232" t="str">
        <f t="shared" si="270"/>
        <v/>
      </c>
      <c r="P1024" s="219" t="str">
        <f t="shared" si="264"/>
        <v/>
      </c>
      <c r="Q1024" s="219" t="str">
        <f t="shared" si="265"/>
        <v/>
      </c>
      <c r="R1024" s="219" t="str">
        <f t="shared" si="266"/>
        <v/>
      </c>
      <c r="S1024" s="332" t="str">
        <f t="shared" si="274"/>
        <v/>
      </c>
      <c r="T1024" s="332" t="str">
        <f t="shared" si="275"/>
        <v/>
      </c>
      <c r="U1024" s="332" t="str">
        <f t="shared" si="276"/>
        <v/>
      </c>
    </row>
    <row r="1025" spans="1:21">
      <c r="A1025" s="211">
        <f>IF(COUNTBLANK('RNEW import'!B1023)=1,"",'RNEW import'!B1023)</f>
        <v>14</v>
      </c>
      <c r="B1025" s="211" t="str">
        <f>IF(COUNTBLANK('RNEW import'!D1023)=1,"",'RNEW import'!D1023)</f>
        <v>Nepi Bucharest One  SRL</v>
      </c>
      <c r="C1025" s="211" t="str">
        <f>IF(COUNTBLANK('RNEW import'!E1023)=1,"",'RNEW import'!E1023)</f>
        <v>RN1_Brasov</v>
      </c>
      <c r="D1025" s="211" t="str">
        <f>IF(COUNTBLANK('RNEW import'!K1023)=1,"",'RNEW import'!K1023)</f>
        <v>Tarif distributie SDI JT</v>
      </c>
      <c r="E1025" s="211">
        <f>IF(COUNTBLANK('RNEW import'!L1023)=1,"",'RNEW import'!N1023)</f>
        <v>25058</v>
      </c>
      <c r="F1025" s="211">
        <f>IF(COUNTBLANK('RNEW import'!M1023)=1,"",'RNEW import'!O1023/10000)</f>
        <v>9.2700000000000005E-2</v>
      </c>
      <c r="G1025" s="217">
        <f t="shared" si="267"/>
        <v>2322.88</v>
      </c>
      <c r="H1025" s="217">
        <f t="shared" si="263"/>
        <v>441.35</v>
      </c>
      <c r="I1025" s="329">
        <f t="shared" si="268"/>
        <v>2764.23</v>
      </c>
      <c r="J1025" s="263" t="str">
        <f t="shared" si="269"/>
        <v/>
      </c>
      <c r="K1025" s="238" t="str">
        <f t="shared" si="259"/>
        <v/>
      </c>
      <c r="L1025" s="238" t="str">
        <f t="shared" si="260"/>
        <v/>
      </c>
      <c r="M1025" s="238" t="str">
        <f t="shared" si="261"/>
        <v/>
      </c>
      <c r="N1025" s="238" t="str">
        <f t="shared" si="262"/>
        <v/>
      </c>
      <c r="O1025" s="232" t="str">
        <f t="shared" si="270"/>
        <v/>
      </c>
      <c r="P1025" s="219" t="str">
        <f t="shared" si="264"/>
        <v/>
      </c>
      <c r="Q1025" s="219" t="str">
        <f t="shared" si="265"/>
        <v/>
      </c>
      <c r="R1025" s="219" t="str">
        <f t="shared" si="266"/>
        <v/>
      </c>
      <c r="S1025" s="332" t="str">
        <f t="shared" si="274"/>
        <v/>
      </c>
      <c r="T1025" s="332" t="str">
        <f t="shared" si="275"/>
        <v/>
      </c>
      <c r="U1025" s="332" t="str">
        <f t="shared" si="276"/>
        <v/>
      </c>
    </row>
    <row r="1026" spans="1:21">
      <c r="A1026" s="211">
        <f>IF(COUNTBLANK('RNEW import'!B1024)=1,"",'RNEW import'!B1024)</f>
        <v>15</v>
      </c>
      <c r="B1026" s="211" t="str">
        <f>IF(COUNTBLANK('RNEW import'!D1024)=1,"",'RNEW import'!D1024)</f>
        <v>Nepi Bucharest One  SRL</v>
      </c>
      <c r="C1026" s="211" t="str">
        <f>IF(COUNTBLANK('RNEW import'!E1024)=1,"",'RNEW import'!E1024)</f>
        <v>RN1_Brasov</v>
      </c>
      <c r="D1026" s="211" t="str">
        <f>IF(COUNTBLANK('RNEW import'!K1024)=1,"",'RNEW import'!K1024)</f>
        <v>Energie activa 2</v>
      </c>
      <c r="E1026" s="211">
        <f>IF(COUNTBLANK('RNEW import'!L1024)=1,"",'RNEW import'!N1024)</f>
        <v>15338</v>
      </c>
      <c r="F1026" s="211">
        <f>IF(COUNTBLANK('RNEW import'!M1024)=1,"",'RNEW import'!O1024/10000)</f>
        <v>0.93920760000000014</v>
      </c>
      <c r="G1026" s="217">
        <f t="shared" si="267"/>
        <v>14405.57</v>
      </c>
      <c r="H1026" s="217">
        <f t="shared" si="263"/>
        <v>2737.06</v>
      </c>
      <c r="I1026" s="329">
        <f t="shared" si="268"/>
        <v>17142.63</v>
      </c>
      <c r="J1026" s="263" t="str">
        <f t="shared" si="269"/>
        <v/>
      </c>
      <c r="K1026" s="238" t="str">
        <f t="shared" si="259"/>
        <v/>
      </c>
      <c r="L1026" s="238" t="str">
        <f t="shared" si="260"/>
        <v/>
      </c>
      <c r="M1026" s="238" t="str">
        <f t="shared" si="261"/>
        <v/>
      </c>
      <c r="N1026" s="238" t="str">
        <f t="shared" si="262"/>
        <v/>
      </c>
      <c r="O1026" s="232" t="str">
        <f t="shared" si="270"/>
        <v/>
      </c>
      <c r="P1026" s="219" t="str">
        <f t="shared" si="264"/>
        <v/>
      </c>
      <c r="Q1026" s="219" t="str">
        <f t="shared" si="265"/>
        <v/>
      </c>
      <c r="R1026" s="219" t="str">
        <f t="shared" si="266"/>
        <v/>
      </c>
      <c r="S1026" s="332" t="str">
        <f t="shared" si="274"/>
        <v/>
      </c>
      <c r="T1026" s="332" t="str">
        <f t="shared" si="275"/>
        <v/>
      </c>
      <c r="U1026" s="332" t="str">
        <f t="shared" si="276"/>
        <v/>
      </c>
    </row>
    <row r="1027" spans="1:21">
      <c r="A1027" s="211">
        <f>IF(COUNTBLANK('RNEW import'!B1025)=1,"",'RNEW import'!B1025)</f>
        <v>16</v>
      </c>
      <c r="B1027" s="211" t="str">
        <f>IF(COUNTBLANK('RNEW import'!D1025)=1,"",'RNEW import'!D1025)</f>
        <v>Nepi Bucharest One  SRL</v>
      </c>
      <c r="C1027" s="211" t="str">
        <f>IF(COUNTBLANK('RNEW import'!E1025)=1,"",'RNEW import'!E1025)</f>
        <v>RN1_Brasov</v>
      </c>
      <c r="D1027" s="211" t="str">
        <f>IF(COUNTBLANK('RNEW import'!K1025)=1,"",'RNEW import'!K1025)</f>
        <v>Energie activa 3</v>
      </c>
      <c r="E1027" s="211">
        <f>IF(COUNTBLANK('RNEW import'!L1025)=1,"",'RNEW import'!N1025)</f>
        <v>0</v>
      </c>
      <c r="F1027" s="211">
        <f>IF(COUNTBLANK('RNEW import'!M1025)=1,"",'RNEW import'!O1025/10000)</f>
        <v>0.83390760000000008</v>
      </c>
      <c r="G1027" s="217">
        <f t="shared" si="267"/>
        <v>0</v>
      </c>
      <c r="H1027" s="217">
        <f t="shared" si="263"/>
        <v>0</v>
      </c>
      <c r="I1027" s="329">
        <f t="shared" si="268"/>
        <v>0</v>
      </c>
      <c r="J1027" s="263" t="str">
        <f t="shared" si="269"/>
        <v/>
      </c>
      <c r="K1027" s="238" t="str">
        <f t="shared" si="259"/>
        <v/>
      </c>
      <c r="L1027" s="238" t="str">
        <f t="shared" si="260"/>
        <v/>
      </c>
      <c r="M1027" s="238" t="str">
        <f t="shared" si="261"/>
        <v/>
      </c>
      <c r="N1027" s="238" t="str">
        <f t="shared" si="262"/>
        <v/>
      </c>
      <c r="O1027" s="232" t="str">
        <f t="shared" si="270"/>
        <v/>
      </c>
      <c r="P1027" s="219" t="str">
        <f t="shared" si="264"/>
        <v/>
      </c>
      <c r="Q1027" s="219" t="str">
        <f t="shared" si="265"/>
        <v/>
      </c>
      <c r="R1027" s="219" t="str">
        <f t="shared" si="266"/>
        <v/>
      </c>
      <c r="S1027" s="332" t="str">
        <f t="shared" si="274"/>
        <v/>
      </c>
      <c r="T1027" s="332" t="str">
        <f t="shared" si="275"/>
        <v/>
      </c>
      <c r="U1027" s="332" t="str">
        <f t="shared" si="276"/>
        <v/>
      </c>
    </row>
    <row r="1028" spans="1:21">
      <c r="A1028" s="211">
        <f>IF(COUNTBLANK('RNEW import'!B1026)=1,"",'RNEW import'!B1026)</f>
        <v>17</v>
      </c>
      <c r="B1028" s="211" t="str">
        <f>IF(COUNTBLANK('RNEW import'!D1026)=1,"",'RNEW import'!D1026)</f>
        <v>Nepi Bucharest One  SRL</v>
      </c>
      <c r="C1028" s="211" t="str">
        <f>IF(COUNTBLANK('RNEW import'!E1026)=1,"",'RNEW import'!E1026)</f>
        <v>RN1_Brasov</v>
      </c>
      <c r="D1028" s="211" t="str">
        <f>IF(COUNTBLANK('RNEW import'!K1026)=1,"",'RNEW import'!K1026)</f>
        <v>Tarif distributie SDI MT_</v>
      </c>
      <c r="E1028" s="211">
        <f>IF(COUNTBLANK('RNEW import'!L1026)=1,"",'RNEW import'!N1026)</f>
        <v>0</v>
      </c>
      <c r="F1028" s="211">
        <f>IF(COUNTBLANK('RNEW import'!M1026)=1,"",'RNEW import'!O1026/10000)</f>
        <v>1.26E-2</v>
      </c>
      <c r="G1028" s="217">
        <f t="shared" si="267"/>
        <v>0</v>
      </c>
      <c r="H1028" s="217">
        <f t="shared" si="263"/>
        <v>0</v>
      </c>
      <c r="I1028" s="329">
        <f t="shared" si="268"/>
        <v>0</v>
      </c>
      <c r="J1028" s="263" t="str">
        <f t="shared" si="269"/>
        <v/>
      </c>
      <c r="K1028" s="238" t="str">
        <f t="shared" ref="K1028:K1047" si="277">IF(COUNTBLANK(J1028)=1,"",IF(A1028=1,SUMIFS(G:G,$C:$C,C1028,$A:$A,"=13")+SUMIFS(G:G,$C:$C,C1028,$A:$A,"=14")+SUMIFS(G:G,$C:$C,C1028,$A:$A,"=17")+SUMIFS(G:G,$C:$C,C1028,$A:$A,"=18")+SUMIFS(G:G,$C:$C,C1028,$A:$A,"=31")+SUMIFS(G:G,$C:$C,C1028,$A:$A,"=32")+SUMIFS(G:G,$C:$C,C1028,$A:$A,"=35")+SUMIFS(G:G,$C:$C,C1028,$A:$A,"=36"),""))</f>
        <v/>
      </c>
      <c r="L1028" s="238" t="str">
        <f t="shared" ref="L1028:L1047" si="278">IF(COUNTBLANK(J1028)=1,"",IF(A1028=1,SUMIFS(G:G,$C:$C,C1028,$A:$A,"&lt;13")+SUMIFS(G:G,$C:$C,C1028,$A:$A,"&gt;18",$A:$A,"&lt;31")))</f>
        <v/>
      </c>
      <c r="M1028" s="238" t="str">
        <f t="shared" ref="M1028:M1047" si="279">IF(COUNTBLANK(J1028)=1,"",IF(A1028=1,SUMIFS(G:G,$C:$C,C1028,$A:$A,"=15")+SUMIFS(G:G,$C:$C,C1028,$A:$A,"=16")+SUMIFS(G:G,$C:$C,C1028,$A:$A,"=33")+SUMIFS(G:G,$C:$C,C1028,$A:$A,"=34"),""))</f>
        <v/>
      </c>
      <c r="N1028" s="238" t="str">
        <f t="shared" ref="N1028:N1047" si="280">IF(COUNTBLANK(J1028)=1,"",IF(A1028=1,SUMIFS(E:E,$C:$C,C1028,$A:$A,"=13")+SUMIFS(E:E,$C:$C,C1028,$A:$A,"=17")+SUMIFS(E:E,$C:$C,C1028,$A:$A,"=31")+SUMIFS(E:E,$C:$C,C1028,$A:$A,"=35"),""))</f>
        <v/>
      </c>
      <c r="O1028" s="232" t="str">
        <f t="shared" si="270"/>
        <v/>
      </c>
      <c r="P1028" s="219" t="str">
        <f t="shared" si="264"/>
        <v/>
      </c>
      <c r="Q1028" s="219" t="str">
        <f t="shared" si="265"/>
        <v/>
      </c>
      <c r="R1028" s="219" t="str">
        <f t="shared" si="266"/>
        <v/>
      </c>
      <c r="S1028" s="332" t="str">
        <f t="shared" si="274"/>
        <v/>
      </c>
      <c r="T1028" s="332" t="str">
        <f t="shared" si="275"/>
        <v/>
      </c>
      <c r="U1028" s="332" t="str">
        <f t="shared" si="276"/>
        <v/>
      </c>
    </row>
    <row r="1029" spans="1:21">
      <c r="A1029" s="211">
        <f>IF(COUNTBLANK('RNEW import'!B1027)=1,"",'RNEW import'!B1027)</f>
        <v>18</v>
      </c>
      <c r="B1029" s="211" t="str">
        <f>IF(COUNTBLANK('RNEW import'!D1027)=1,"",'RNEW import'!D1027)</f>
        <v>Nepi Bucharest One  SRL</v>
      </c>
      <c r="C1029" s="211" t="str">
        <f>IF(COUNTBLANK('RNEW import'!E1027)=1,"",'RNEW import'!E1027)</f>
        <v>RN1_Brasov</v>
      </c>
      <c r="D1029" s="211" t="str">
        <f>IF(COUNTBLANK('RNEW import'!K1027)=1,"",'RNEW import'!K1027)</f>
        <v>Tarif distributie SDI JT_</v>
      </c>
      <c r="E1029" s="211">
        <f>IF(COUNTBLANK('RNEW import'!L1027)=1,"",'RNEW import'!N1027)</f>
        <v>0</v>
      </c>
      <c r="F1029" s="211">
        <f>IF(COUNTBLANK('RNEW import'!M1027)=1,"",'RNEW import'!O1027/10000)</f>
        <v>9.2700000000000005E-2</v>
      </c>
      <c r="G1029" s="217">
        <f t="shared" si="267"/>
        <v>0</v>
      </c>
      <c r="H1029" s="217">
        <f t="shared" ref="H1029:H1047" si="281">ROUND(G1029*19%,2)</f>
        <v>0</v>
      </c>
      <c r="I1029" s="329">
        <f t="shared" si="268"/>
        <v>0</v>
      </c>
      <c r="J1029" s="263" t="str">
        <f t="shared" si="269"/>
        <v/>
      </c>
      <c r="K1029" s="238" t="str">
        <f t="shared" si="277"/>
        <v/>
      </c>
      <c r="L1029" s="238" t="str">
        <f t="shared" si="278"/>
        <v/>
      </c>
      <c r="M1029" s="238" t="str">
        <f t="shared" si="279"/>
        <v/>
      </c>
      <c r="N1029" s="238" t="str">
        <f t="shared" si="280"/>
        <v/>
      </c>
      <c r="O1029" s="232" t="str">
        <f t="shared" si="270"/>
        <v/>
      </c>
      <c r="P1029" s="219" t="str">
        <f t="shared" ref="P1029:P1047" si="282">IF(A1029=1,"Enegie activa",IF(OR(A1029=18),"Energie consumata din PV",IF(OR(A1029=2),"Energie reactiva 1x",IF(OR(A1029=3),"Energie reactiva 3x",IF(A1029=19,"Energie activa regularizare",IF(OR(A1029=36),"Energie consumata din PV regularizare",IF(OR(A1029=20),"Energie reactiva 1x regularizare",IF(OR(A1029=21),"Energie reactiva 3x regularizare",""))))))))</f>
        <v>Energie consumata din PV</v>
      </c>
      <c r="Q1029" s="219">
        <f t="shared" ref="Q1029:Q1047" si="283">IF(COUNTBLANK(P1029)=0,IF(OR(A1029=1,A1029=2,A1029=3,A1029=19,A1029=20,A1029=21),E1029,IF(OR(A1029=18,A1029=36),E1026+E1027,"")),"")</f>
        <v>15338</v>
      </c>
      <c r="R1029" s="219">
        <f t="shared" ref="R1029:R1047" si="284">IF(COUNTBLANK(P1029)=1,"",IF(OR(A1029=2,A1029=3,A1029=20,A1029=21),F1029,IF(Q1029=0,0,ROUND(S1029/Q1029,6))))</f>
        <v>0.93920800000000004</v>
      </c>
      <c r="S1029" s="332">
        <f t="shared" si="274"/>
        <v>14405.57</v>
      </c>
      <c r="T1029" s="332">
        <f t="shared" si="275"/>
        <v>2737.06</v>
      </c>
      <c r="U1029" s="332">
        <f t="shared" si="276"/>
        <v>17142.63</v>
      </c>
    </row>
    <row r="1030" spans="1:21">
      <c r="A1030" s="211">
        <f>IF(COUNTBLANK('RNEW import'!B1028)=1,"",'RNEW import'!B1028)</f>
        <v>19</v>
      </c>
      <c r="B1030" s="211" t="str">
        <f>IF(COUNTBLANK('RNEW import'!D1028)=1,"",'RNEW import'!D1028)</f>
        <v>Nepi Bucharest One  SRL</v>
      </c>
      <c r="C1030" s="211" t="str">
        <f>IF(COUNTBLANK('RNEW import'!E1028)=1,"",'RNEW import'!E1028)</f>
        <v>RN1_Brasov</v>
      </c>
      <c r="D1030" s="211" t="str">
        <f>IF(COUNTBLANK('RNEW import'!K1028)=1,"",'RNEW import'!K1028)</f>
        <v>Regularizare Energie activa 1</v>
      </c>
      <c r="E1030" s="211">
        <f>IF(COUNTBLANK('RNEW import'!L1028)=1,"",'RNEW import'!N1028)</f>
        <v>0</v>
      </c>
      <c r="F1030" s="211">
        <f>IF(COUNTBLANK('RNEW import'!M1028)=1,"",'RNEW import'!O1028/10000)</f>
        <v>0.59499999999999997</v>
      </c>
      <c r="G1030" s="217">
        <f t="shared" si="267"/>
        <v>0</v>
      </c>
      <c r="H1030" s="217">
        <f t="shared" si="281"/>
        <v>0</v>
      </c>
      <c r="I1030" s="329">
        <f t="shared" si="268"/>
        <v>0</v>
      </c>
      <c r="J1030" s="263" t="str">
        <f t="shared" si="269"/>
        <v/>
      </c>
      <c r="K1030" s="238" t="str">
        <f t="shared" si="277"/>
        <v/>
      </c>
      <c r="L1030" s="238" t="str">
        <f t="shared" si="278"/>
        <v/>
      </c>
      <c r="M1030" s="238" t="str">
        <f t="shared" si="279"/>
        <v/>
      </c>
      <c r="N1030" s="238" t="str">
        <f t="shared" si="280"/>
        <v/>
      </c>
      <c r="O1030" s="232" t="str">
        <f t="shared" si="270"/>
        <v/>
      </c>
      <c r="P1030" s="219" t="str">
        <f t="shared" si="282"/>
        <v>Energie activa regularizare</v>
      </c>
      <c r="Q1030" s="219">
        <f t="shared" si="283"/>
        <v>0</v>
      </c>
      <c r="R1030" s="219">
        <f t="shared" si="284"/>
        <v>0</v>
      </c>
      <c r="S1030" s="332">
        <f t="shared" si="274"/>
        <v>0</v>
      </c>
      <c r="T1030" s="332">
        <f t="shared" si="275"/>
        <v>0</v>
      </c>
      <c r="U1030" s="332">
        <f t="shared" si="276"/>
        <v>0</v>
      </c>
    </row>
    <row r="1031" spans="1:21">
      <c r="A1031" s="211">
        <f>IF(COUNTBLANK('RNEW import'!B1029)=1,"",'RNEW import'!B1029)</f>
        <v>20</v>
      </c>
      <c r="B1031" s="211" t="str">
        <f>IF(COUNTBLANK('RNEW import'!D1029)=1,"",'RNEW import'!D1029)</f>
        <v>Nepi Bucharest One  SRL</v>
      </c>
      <c r="C1031" s="211" t="str">
        <f>IF(COUNTBLANK('RNEW import'!E1029)=1,"",'RNEW import'!E1029)</f>
        <v>RN1_Brasov</v>
      </c>
      <c r="D1031" s="211" t="str">
        <f>IF(COUNTBLANK('RNEW import'!K1029)=1,"",'RNEW import'!K1029)</f>
        <v>Regularizare Energie reactiva  1X</v>
      </c>
      <c r="E1031" s="211">
        <f>IF(COUNTBLANK('RNEW import'!L1029)=1,"",'RNEW import'!N1029)</f>
        <v>186</v>
      </c>
      <c r="F1031" s="211">
        <f>IF(COUNTBLANK('RNEW import'!M1029)=1,"",'RNEW import'!O1029/10000)</f>
        <v>0.14649999999999999</v>
      </c>
      <c r="G1031" s="217">
        <f t="shared" si="267"/>
        <v>27.25</v>
      </c>
      <c r="H1031" s="217">
        <f t="shared" si="281"/>
        <v>5.18</v>
      </c>
      <c r="I1031" s="329">
        <f t="shared" si="268"/>
        <v>32.43</v>
      </c>
      <c r="J1031" s="263" t="str">
        <f t="shared" si="269"/>
        <v/>
      </c>
      <c r="K1031" s="238" t="str">
        <f t="shared" si="277"/>
        <v/>
      </c>
      <c r="L1031" s="238" t="str">
        <f t="shared" si="278"/>
        <v/>
      </c>
      <c r="M1031" s="238" t="str">
        <f t="shared" si="279"/>
        <v/>
      </c>
      <c r="N1031" s="238" t="str">
        <f t="shared" si="280"/>
        <v/>
      </c>
      <c r="O1031" s="232" t="str">
        <f t="shared" si="270"/>
        <v/>
      </c>
      <c r="P1031" s="219" t="str">
        <f t="shared" si="282"/>
        <v>Energie reactiva 1x regularizare</v>
      </c>
      <c r="Q1031" s="219">
        <f t="shared" si="283"/>
        <v>186</v>
      </c>
      <c r="R1031" s="219">
        <f t="shared" si="284"/>
        <v>0.14649999999999999</v>
      </c>
      <c r="S1031" s="332">
        <f t="shared" si="274"/>
        <v>27.25</v>
      </c>
      <c r="T1031" s="332">
        <f t="shared" si="275"/>
        <v>5.18</v>
      </c>
      <c r="U1031" s="332">
        <f t="shared" si="276"/>
        <v>32.43</v>
      </c>
    </row>
    <row r="1032" spans="1:21">
      <c r="A1032" s="211">
        <f>IF(COUNTBLANK('RNEW import'!B1030)=1,"",'RNEW import'!B1030)</f>
        <v>21</v>
      </c>
      <c r="B1032" s="211" t="str">
        <f>IF(COUNTBLANK('RNEW import'!D1030)=1,"",'RNEW import'!D1030)</f>
        <v>Nepi Bucharest One  SRL</v>
      </c>
      <c r="C1032" s="211" t="str">
        <f>IF(COUNTBLANK('RNEW import'!E1030)=1,"",'RNEW import'!E1030)</f>
        <v>RN1_Brasov</v>
      </c>
      <c r="D1032" s="211" t="str">
        <f>IF(COUNTBLANK('RNEW import'!K1030)=1,"",'RNEW import'!K1030)</f>
        <v>Regularizare Energie reactiva  3X</v>
      </c>
      <c r="E1032" s="211">
        <f>IF(COUNTBLANK('RNEW import'!L1030)=1,"",'RNEW import'!N1030)</f>
        <v>4</v>
      </c>
      <c r="F1032" s="211">
        <f>IF(COUNTBLANK('RNEW import'!M1030)=1,"",'RNEW import'!O1030/10000)</f>
        <v>0.4395</v>
      </c>
      <c r="G1032" s="217">
        <f t="shared" si="267"/>
        <v>1.76</v>
      </c>
      <c r="H1032" s="217">
        <f t="shared" si="281"/>
        <v>0.33</v>
      </c>
      <c r="I1032" s="329">
        <f t="shared" si="268"/>
        <v>2.09</v>
      </c>
      <c r="J1032" s="263" t="str">
        <f t="shared" si="269"/>
        <v/>
      </c>
      <c r="K1032" s="238" t="str">
        <f t="shared" si="277"/>
        <v/>
      </c>
      <c r="L1032" s="238" t="str">
        <f t="shared" si="278"/>
        <v/>
      </c>
      <c r="M1032" s="238" t="str">
        <f t="shared" si="279"/>
        <v/>
      </c>
      <c r="N1032" s="238" t="str">
        <f t="shared" si="280"/>
        <v/>
      </c>
      <c r="O1032" s="232" t="str">
        <f t="shared" si="270"/>
        <v/>
      </c>
      <c r="P1032" s="219" t="str">
        <f t="shared" si="282"/>
        <v>Energie reactiva 3x regularizare</v>
      </c>
      <c r="Q1032" s="219">
        <f t="shared" si="283"/>
        <v>4</v>
      </c>
      <c r="R1032" s="219">
        <f t="shared" si="284"/>
        <v>0.4395</v>
      </c>
      <c r="S1032" s="332">
        <f t="shared" si="274"/>
        <v>1.76</v>
      </c>
      <c r="T1032" s="332">
        <f t="shared" si="275"/>
        <v>0.33</v>
      </c>
      <c r="U1032" s="332">
        <f t="shared" si="276"/>
        <v>2.09</v>
      </c>
    </row>
    <row r="1033" spans="1:21">
      <c r="A1033" s="211">
        <f>IF(COUNTBLANK('RNEW import'!B1031)=1,"",'RNEW import'!B1031)</f>
        <v>22</v>
      </c>
      <c r="B1033" s="211" t="str">
        <f>IF(COUNTBLANK('RNEW import'!D1031)=1,"",'RNEW import'!D1031)</f>
        <v>Nepi Bucharest One  SRL</v>
      </c>
      <c r="C1033" s="211" t="str">
        <f>IF(COUNTBLANK('RNEW import'!E1031)=1,"",'RNEW import'!E1031)</f>
        <v>RN1_Brasov</v>
      </c>
      <c r="D1033" s="211" t="str">
        <f>IF(COUNTBLANK('RNEW import'!K1031)=1,"",'RNEW import'!K1031)</f>
        <v>Regularizare Tarife distributie en. El IT+MT</v>
      </c>
      <c r="E1033" s="211">
        <f>IF(COUNTBLANK('RNEW import'!L1031)=1,"",'RNEW import'!N1031)</f>
        <v>0</v>
      </c>
      <c r="F1033" s="211">
        <f>IF(COUNTBLANK('RNEW import'!M1031)=1,"",'RNEW import'!O1031/10000)</f>
        <v>0.11483</v>
      </c>
      <c r="G1033" s="217">
        <f t="shared" si="267"/>
        <v>0</v>
      </c>
      <c r="H1033" s="217">
        <f t="shared" si="281"/>
        <v>0</v>
      </c>
      <c r="I1033" s="329">
        <f t="shared" si="268"/>
        <v>0</v>
      </c>
      <c r="J1033" s="263" t="str">
        <f t="shared" si="269"/>
        <v/>
      </c>
      <c r="K1033" s="238" t="str">
        <f t="shared" si="277"/>
        <v/>
      </c>
      <c r="L1033" s="238" t="str">
        <f t="shared" si="278"/>
        <v/>
      </c>
      <c r="M1033" s="238" t="str">
        <f t="shared" si="279"/>
        <v/>
      </c>
      <c r="N1033" s="238" t="str">
        <f t="shared" si="280"/>
        <v/>
      </c>
      <c r="O1033" s="232" t="str">
        <f t="shared" si="270"/>
        <v/>
      </c>
      <c r="P1033" s="219" t="str">
        <f t="shared" si="282"/>
        <v/>
      </c>
      <c r="Q1033" s="219" t="str">
        <f t="shared" si="283"/>
        <v/>
      </c>
      <c r="R1033" s="219" t="str">
        <f t="shared" si="284"/>
        <v/>
      </c>
      <c r="S1033" s="332" t="str">
        <f t="shared" si="274"/>
        <v/>
      </c>
      <c r="T1033" s="332" t="str">
        <f t="shared" si="275"/>
        <v/>
      </c>
      <c r="U1033" s="332" t="str">
        <f t="shared" si="276"/>
        <v/>
      </c>
    </row>
    <row r="1034" spans="1:21">
      <c r="A1034" s="211">
        <f>IF(COUNTBLANK('RNEW import'!B1032)=1,"",'RNEW import'!B1032)</f>
        <v>23</v>
      </c>
      <c r="B1034" s="211" t="str">
        <f>IF(COUNTBLANK('RNEW import'!D1032)=1,"",'RNEW import'!D1032)</f>
        <v>Nepi Bucharest One  SRL</v>
      </c>
      <c r="C1034" s="211" t="str">
        <f>IF(COUNTBLANK('RNEW import'!E1032)=1,"",'RNEW import'!E1032)</f>
        <v>RN1_Brasov</v>
      </c>
      <c r="D1034" s="211" t="str">
        <f>IF(COUNTBLANK('RNEW import'!K1032)=1,"",'RNEW import'!K1032)</f>
        <v>Regularizare Tarife distributie en. El JT</v>
      </c>
      <c r="E1034" s="211">
        <f>IF(COUNTBLANK('RNEW import'!L1032)=1,"",'RNEW import'!N1032)</f>
        <v>0</v>
      </c>
      <c r="F1034" s="211">
        <f>IF(COUNTBLANK('RNEW import'!M1032)=1,"",'RNEW import'!O1032/10000)</f>
        <v>0.2361</v>
      </c>
      <c r="G1034" s="217">
        <f t="shared" si="267"/>
        <v>0</v>
      </c>
      <c r="H1034" s="217">
        <f t="shared" si="281"/>
        <v>0</v>
      </c>
      <c r="I1034" s="329">
        <f t="shared" si="268"/>
        <v>0</v>
      </c>
      <c r="J1034" s="263" t="str">
        <f t="shared" si="269"/>
        <v/>
      </c>
      <c r="K1034" s="238" t="str">
        <f t="shared" si="277"/>
        <v/>
      </c>
      <c r="L1034" s="238" t="str">
        <f t="shared" si="278"/>
        <v/>
      </c>
      <c r="M1034" s="238" t="str">
        <f t="shared" si="279"/>
        <v/>
      </c>
      <c r="N1034" s="238" t="str">
        <f t="shared" si="280"/>
        <v/>
      </c>
      <c r="O1034" s="232" t="str">
        <f t="shared" si="270"/>
        <v/>
      </c>
      <c r="P1034" s="219" t="str">
        <f t="shared" si="282"/>
        <v/>
      </c>
      <c r="Q1034" s="219" t="str">
        <f t="shared" si="283"/>
        <v/>
      </c>
      <c r="R1034" s="219" t="str">
        <f t="shared" si="284"/>
        <v/>
      </c>
      <c r="S1034" s="332" t="str">
        <f t="shared" si="274"/>
        <v/>
      </c>
      <c r="T1034" s="332" t="str">
        <f t="shared" si="275"/>
        <v/>
      </c>
      <c r="U1034" s="332" t="str">
        <f t="shared" si="276"/>
        <v/>
      </c>
    </row>
    <row r="1035" spans="1:21">
      <c r="A1035" s="211">
        <f>IF(COUNTBLANK('RNEW import'!B1033)=1,"",'RNEW import'!B1033)</f>
        <v>24</v>
      </c>
      <c r="B1035" s="211" t="str">
        <f>IF(COUNTBLANK('RNEW import'!D1033)=1,"",'RNEW import'!D1033)</f>
        <v>Nepi Bucharest One  SRL</v>
      </c>
      <c r="C1035" s="211" t="str">
        <f>IF(COUNTBLANK('RNEW import'!E1033)=1,"",'RNEW import'!E1033)</f>
        <v>RN1_Brasov</v>
      </c>
      <c r="D1035" s="211" t="str">
        <f>IF(COUNTBLANK('RNEW import'!K1033)=1,"",'RNEW import'!K1033)</f>
        <v xml:space="preserve">Regularizare Servicii Sistem </v>
      </c>
      <c r="E1035" s="211">
        <f>IF(COUNTBLANK('RNEW import'!L1033)=1,"",'RNEW import'!N1033)</f>
        <v>0</v>
      </c>
      <c r="F1035" s="211">
        <f>IF(COUNTBLANK('RNEW import'!M1033)=1,"",'RNEW import'!O1033/10000)</f>
        <v>1.1509999999999999E-2</v>
      </c>
      <c r="G1035" s="217">
        <f t="shared" si="267"/>
        <v>0</v>
      </c>
      <c r="H1035" s="217">
        <f t="shared" si="281"/>
        <v>0</v>
      </c>
      <c r="I1035" s="329">
        <f t="shared" si="268"/>
        <v>0</v>
      </c>
      <c r="J1035" s="263" t="str">
        <f t="shared" si="269"/>
        <v/>
      </c>
      <c r="K1035" s="238" t="str">
        <f t="shared" si="277"/>
        <v/>
      </c>
      <c r="L1035" s="238" t="str">
        <f t="shared" si="278"/>
        <v/>
      </c>
      <c r="M1035" s="238" t="str">
        <f t="shared" si="279"/>
        <v/>
      </c>
      <c r="N1035" s="238" t="str">
        <f t="shared" si="280"/>
        <v/>
      </c>
      <c r="O1035" s="232" t="str">
        <f t="shared" si="270"/>
        <v/>
      </c>
      <c r="P1035" s="219" t="str">
        <f t="shared" si="282"/>
        <v/>
      </c>
      <c r="Q1035" s="219" t="str">
        <f t="shared" si="283"/>
        <v/>
      </c>
      <c r="R1035" s="219" t="str">
        <f t="shared" si="284"/>
        <v/>
      </c>
      <c r="S1035" s="332" t="str">
        <f t="shared" si="274"/>
        <v/>
      </c>
      <c r="T1035" s="332" t="str">
        <f t="shared" si="275"/>
        <v/>
      </c>
      <c r="U1035" s="332" t="str">
        <f t="shared" si="276"/>
        <v/>
      </c>
    </row>
    <row r="1036" spans="1:21">
      <c r="A1036" s="211">
        <f>IF(COUNTBLANK('RNEW import'!B1034)=1,"",'RNEW import'!B1034)</f>
        <v>25</v>
      </c>
      <c r="B1036" s="211" t="str">
        <f>IF(COUNTBLANK('RNEW import'!D1034)=1,"",'RNEW import'!D1034)</f>
        <v>Nepi Bucharest One  SRL</v>
      </c>
      <c r="C1036" s="211" t="str">
        <f>IF(COUNTBLANK('RNEW import'!E1034)=1,"",'RNEW import'!E1034)</f>
        <v>RN1_Brasov</v>
      </c>
      <c r="D1036" s="211" t="str">
        <f>IF(COUNTBLANK('RNEW import'!K1034)=1,"",'RNEW import'!K1034)</f>
        <v>Regularizare Tarif de introducere en. el in retea (TL)</v>
      </c>
      <c r="E1036" s="211">
        <f>IF(COUNTBLANK('RNEW import'!L1034)=1,"",'RNEW import'!N1034)</f>
        <v>0</v>
      </c>
      <c r="F1036" s="211">
        <f>IF(COUNTBLANK('RNEW import'!M1034)=1,"",'RNEW import'!O1034/10000)</f>
        <v>3.3030000000000004E-2</v>
      </c>
      <c r="G1036" s="217">
        <f t="shared" si="267"/>
        <v>0</v>
      </c>
      <c r="H1036" s="217">
        <f t="shared" si="281"/>
        <v>0</v>
      </c>
      <c r="I1036" s="329">
        <f t="shared" si="268"/>
        <v>0</v>
      </c>
      <c r="J1036" s="263" t="str">
        <f t="shared" si="269"/>
        <v/>
      </c>
      <c r="K1036" s="238" t="str">
        <f t="shared" si="277"/>
        <v/>
      </c>
      <c r="L1036" s="238" t="str">
        <f t="shared" si="278"/>
        <v/>
      </c>
      <c r="M1036" s="238" t="str">
        <f t="shared" si="279"/>
        <v/>
      </c>
      <c r="N1036" s="238" t="str">
        <f t="shared" si="280"/>
        <v/>
      </c>
      <c r="O1036" s="232" t="str">
        <f t="shared" si="270"/>
        <v/>
      </c>
      <c r="P1036" s="219" t="str">
        <f t="shared" si="282"/>
        <v/>
      </c>
      <c r="Q1036" s="219" t="str">
        <f t="shared" si="283"/>
        <v/>
      </c>
      <c r="R1036" s="219" t="str">
        <f t="shared" si="284"/>
        <v/>
      </c>
      <c r="S1036" s="332" t="str">
        <f t="shared" si="274"/>
        <v/>
      </c>
      <c r="T1036" s="332" t="str">
        <f t="shared" si="275"/>
        <v/>
      </c>
      <c r="U1036" s="332" t="str">
        <f t="shared" si="276"/>
        <v/>
      </c>
    </row>
    <row r="1037" spans="1:21">
      <c r="A1037" s="211">
        <f>IF(COUNTBLANK('RNEW import'!B1035)=1,"",'RNEW import'!B1035)</f>
        <v>26</v>
      </c>
      <c r="B1037" s="211" t="str">
        <f>IF(COUNTBLANK('RNEW import'!D1035)=1,"",'RNEW import'!D1035)</f>
        <v>Nepi Bucharest One  SRL</v>
      </c>
      <c r="C1037" s="211" t="str">
        <f>IF(COUNTBLANK('RNEW import'!E1035)=1,"",'RNEW import'!E1035)</f>
        <v>RN1_Brasov</v>
      </c>
      <c r="D1037" s="211" t="str">
        <f>IF(COUNTBLANK('RNEW import'!K1035)=1,"",'RNEW import'!K1035)</f>
        <v>Regularizare Tarif de introducere en.el in retea (TG)</v>
      </c>
      <c r="E1037" s="211">
        <f>IF(COUNTBLANK('RNEW import'!L1035)=1,"",'RNEW import'!N1035)</f>
        <v>0</v>
      </c>
      <c r="F1037" s="211">
        <f>IF(COUNTBLANK('RNEW import'!M1035)=1,"",'RNEW import'!O1035/10000)</f>
        <v>3.29E-3</v>
      </c>
      <c r="G1037" s="217">
        <f t="shared" si="267"/>
        <v>0</v>
      </c>
      <c r="H1037" s="217">
        <f t="shared" si="281"/>
        <v>0</v>
      </c>
      <c r="I1037" s="329">
        <f t="shared" si="268"/>
        <v>0</v>
      </c>
      <c r="J1037" s="263" t="str">
        <f t="shared" si="269"/>
        <v/>
      </c>
      <c r="K1037" s="238" t="str">
        <f t="shared" si="277"/>
        <v/>
      </c>
      <c r="L1037" s="238" t="str">
        <f t="shared" si="278"/>
        <v/>
      </c>
      <c r="M1037" s="238" t="str">
        <f t="shared" si="279"/>
        <v/>
      </c>
      <c r="N1037" s="238" t="str">
        <f t="shared" si="280"/>
        <v/>
      </c>
      <c r="O1037" s="232" t="str">
        <f t="shared" si="270"/>
        <v/>
      </c>
      <c r="P1037" s="219" t="str">
        <f t="shared" si="282"/>
        <v/>
      </c>
      <c r="Q1037" s="219" t="str">
        <f t="shared" si="283"/>
        <v/>
      </c>
      <c r="R1037" s="219" t="str">
        <f t="shared" si="284"/>
        <v/>
      </c>
      <c r="S1037" s="332" t="str">
        <f t="shared" si="274"/>
        <v/>
      </c>
      <c r="T1037" s="332" t="str">
        <f t="shared" si="275"/>
        <v/>
      </c>
      <c r="U1037" s="332" t="str">
        <f t="shared" si="276"/>
        <v/>
      </c>
    </row>
    <row r="1038" spans="1:21">
      <c r="A1038" s="211">
        <f>IF(COUNTBLANK('RNEW import'!B1036)=1,"",'RNEW import'!B1036)</f>
        <v>27</v>
      </c>
      <c r="B1038" s="211" t="str">
        <f>IF(COUNTBLANK('RNEW import'!D1036)=1,"",'RNEW import'!D1036)</f>
        <v>Nepi Bucharest One  SRL</v>
      </c>
      <c r="C1038" s="211" t="str">
        <f>IF(COUNTBLANK('RNEW import'!E1036)=1,"",'RNEW import'!E1036)</f>
        <v>RN1_Brasov</v>
      </c>
      <c r="D1038" s="211" t="str">
        <f>IF(COUNTBLANK('RNEW import'!K1036)=1,"",'RNEW import'!K1036)</f>
        <v>Regularizare Contributie pentru cogenerare</v>
      </c>
      <c r="E1038" s="211">
        <f>IF(COUNTBLANK('RNEW import'!L1036)=1,"",'RNEW import'!N1036)</f>
        <v>0</v>
      </c>
      <c r="F1038" s="211">
        <f>IF(COUNTBLANK('RNEW import'!M1036)=1,"",'RNEW import'!O1036/10000)</f>
        <v>3.5000000000000001E-3</v>
      </c>
      <c r="G1038" s="217">
        <f t="shared" si="267"/>
        <v>0</v>
      </c>
      <c r="H1038" s="217">
        <f t="shared" si="281"/>
        <v>0</v>
      </c>
      <c r="I1038" s="329">
        <f t="shared" si="268"/>
        <v>0</v>
      </c>
      <c r="J1038" s="263" t="str">
        <f t="shared" si="269"/>
        <v/>
      </c>
      <c r="K1038" s="238" t="str">
        <f t="shared" si="277"/>
        <v/>
      </c>
      <c r="L1038" s="238" t="str">
        <f t="shared" si="278"/>
        <v/>
      </c>
      <c r="M1038" s="238" t="str">
        <f t="shared" si="279"/>
        <v/>
      </c>
      <c r="N1038" s="238" t="str">
        <f t="shared" si="280"/>
        <v/>
      </c>
      <c r="O1038" s="232" t="str">
        <f t="shared" si="270"/>
        <v/>
      </c>
      <c r="P1038" s="219" t="str">
        <f t="shared" si="282"/>
        <v/>
      </c>
      <c r="Q1038" s="219" t="str">
        <f t="shared" si="283"/>
        <v/>
      </c>
      <c r="R1038" s="219" t="str">
        <f t="shared" si="284"/>
        <v/>
      </c>
      <c r="S1038" s="332" t="str">
        <f t="shared" si="274"/>
        <v/>
      </c>
      <c r="T1038" s="332" t="str">
        <f t="shared" si="275"/>
        <v/>
      </c>
      <c r="U1038" s="332" t="str">
        <f t="shared" si="276"/>
        <v/>
      </c>
    </row>
    <row r="1039" spans="1:21">
      <c r="A1039" s="211">
        <f>IF(COUNTBLANK('RNEW import'!B1037)=1,"",'RNEW import'!B1037)</f>
        <v>28</v>
      </c>
      <c r="B1039" s="211" t="str">
        <f>IF(COUNTBLANK('RNEW import'!D1037)=1,"",'RNEW import'!D1037)</f>
        <v>Nepi Bucharest One  SRL</v>
      </c>
      <c r="C1039" s="211" t="str">
        <f>IF(COUNTBLANK('RNEW import'!E1037)=1,"",'RNEW import'!E1037)</f>
        <v>RN1_Brasov</v>
      </c>
      <c r="D1039" s="211" t="str">
        <f>IF(COUNTBLANK('RNEW import'!K1037)=1,"",'RNEW import'!K1037)</f>
        <v xml:space="preserve">Regularizare Certificate verzi </v>
      </c>
      <c r="E1039" s="211">
        <f>IF(COUNTBLANK('RNEW import'!L1037)=1,"",'RNEW import'!N1037)</f>
        <v>0</v>
      </c>
      <c r="F1039" s="211">
        <f>IF(COUNTBLANK('RNEW import'!M1037)=1,"",'RNEW import'!O1037/10000)</f>
        <v>7.2541599999999998E-2</v>
      </c>
      <c r="G1039" s="217">
        <f t="shared" si="267"/>
        <v>0</v>
      </c>
      <c r="H1039" s="217">
        <f t="shared" si="281"/>
        <v>0</v>
      </c>
      <c r="I1039" s="329">
        <f t="shared" si="268"/>
        <v>0</v>
      </c>
      <c r="J1039" s="263" t="str">
        <f t="shared" si="269"/>
        <v/>
      </c>
      <c r="K1039" s="238" t="str">
        <f t="shared" si="277"/>
        <v/>
      </c>
      <c r="L1039" s="238" t="str">
        <f t="shared" si="278"/>
        <v/>
      </c>
      <c r="M1039" s="238" t="str">
        <f t="shared" si="279"/>
        <v/>
      </c>
      <c r="N1039" s="238" t="str">
        <f t="shared" si="280"/>
        <v/>
      </c>
      <c r="O1039" s="232" t="str">
        <f t="shared" si="270"/>
        <v/>
      </c>
      <c r="P1039" s="219" t="str">
        <f t="shared" si="282"/>
        <v/>
      </c>
      <c r="Q1039" s="219" t="str">
        <f t="shared" si="283"/>
        <v/>
      </c>
      <c r="R1039" s="219" t="str">
        <f t="shared" si="284"/>
        <v/>
      </c>
      <c r="S1039" s="332" t="str">
        <f t="shared" si="274"/>
        <v/>
      </c>
      <c r="T1039" s="332" t="str">
        <f t="shared" si="275"/>
        <v/>
      </c>
      <c r="U1039" s="332" t="str">
        <f t="shared" si="276"/>
        <v/>
      </c>
    </row>
    <row r="1040" spans="1:21">
      <c r="A1040" s="211">
        <f>IF(COUNTBLANK('RNEW import'!B1038)=1,"",'RNEW import'!B1038)</f>
        <v>29</v>
      </c>
      <c r="B1040" s="211" t="str">
        <f>IF(COUNTBLANK('RNEW import'!D1038)=1,"",'RNEW import'!D1038)</f>
        <v>Nepi Bucharest One  SRL</v>
      </c>
      <c r="C1040" s="211" t="str">
        <f>IF(COUNTBLANK('RNEW import'!E1038)=1,"",'RNEW import'!E1038)</f>
        <v>RN1_Brasov</v>
      </c>
      <c r="D1040" s="211" t="str">
        <f>IF(COUNTBLANK('RNEW import'!K1038)=1,"",'RNEW import'!K1038)</f>
        <v>Regularizare Contributie CFD</v>
      </c>
      <c r="E1040" s="211">
        <f>IF(COUNTBLANK('RNEW import'!L1038)=1,"",'RNEW import'!N1038)</f>
        <v>0</v>
      </c>
      <c r="F1040" s="211">
        <f>IF(COUNTBLANK('RNEW import'!M1038)=1,"",'RNEW import'!O1038/10000)</f>
        <v>2.0599999999999999E-4</v>
      </c>
      <c r="G1040" s="217">
        <f t="shared" si="267"/>
        <v>0</v>
      </c>
      <c r="H1040" s="217">
        <f t="shared" si="281"/>
        <v>0</v>
      </c>
      <c r="I1040" s="329">
        <f t="shared" si="268"/>
        <v>0</v>
      </c>
      <c r="J1040" s="263" t="str">
        <f t="shared" si="269"/>
        <v/>
      </c>
      <c r="K1040" s="238" t="str">
        <f t="shared" si="277"/>
        <v/>
      </c>
      <c r="L1040" s="238" t="str">
        <f t="shared" si="278"/>
        <v/>
      </c>
      <c r="M1040" s="238" t="str">
        <f t="shared" si="279"/>
        <v/>
      </c>
      <c r="N1040" s="238" t="str">
        <f t="shared" si="280"/>
        <v/>
      </c>
      <c r="O1040" s="232" t="str">
        <f t="shared" si="270"/>
        <v/>
      </c>
      <c r="P1040" s="219" t="str">
        <f t="shared" si="282"/>
        <v/>
      </c>
      <c r="Q1040" s="219" t="str">
        <f t="shared" si="283"/>
        <v/>
      </c>
      <c r="R1040" s="219" t="str">
        <f t="shared" si="284"/>
        <v/>
      </c>
      <c r="S1040" s="332" t="str">
        <f t="shared" si="274"/>
        <v/>
      </c>
      <c r="T1040" s="332" t="str">
        <f t="shared" si="275"/>
        <v/>
      </c>
      <c r="U1040" s="332" t="str">
        <f t="shared" si="276"/>
        <v/>
      </c>
    </row>
    <row r="1041" spans="1:21">
      <c r="A1041" s="211">
        <f>IF(COUNTBLANK('RNEW import'!B1039)=1,"",'RNEW import'!B1039)</f>
        <v>30</v>
      </c>
      <c r="B1041" s="211" t="str">
        <f>IF(COUNTBLANK('RNEW import'!D1039)=1,"",'RNEW import'!D1039)</f>
        <v>Nepi Bucharest One  SRL</v>
      </c>
      <c r="C1041" s="211" t="str">
        <f>IF(COUNTBLANK('RNEW import'!E1039)=1,"",'RNEW import'!E1039)</f>
        <v>RN1_Brasov</v>
      </c>
      <c r="D1041" s="211" t="str">
        <f>IF(COUNTBLANK('RNEW import'!K1039)=1,"",'RNEW import'!K1039)</f>
        <v>Regularizare Acciza</v>
      </c>
      <c r="E1041" s="211">
        <f>IF(COUNTBLANK('RNEW import'!L1039)=1,"",'RNEW import'!N1039)</f>
        <v>0</v>
      </c>
      <c r="F1041" s="211">
        <f>IF(COUNTBLANK('RNEW import'!M1039)=1,"",'RNEW import'!O1039/10000)</f>
        <v>0</v>
      </c>
      <c r="G1041" s="217">
        <f t="shared" si="267"/>
        <v>0</v>
      </c>
      <c r="H1041" s="217">
        <f t="shared" si="281"/>
        <v>0</v>
      </c>
      <c r="I1041" s="329">
        <f t="shared" si="268"/>
        <v>0</v>
      </c>
      <c r="J1041" s="263" t="str">
        <f t="shared" si="269"/>
        <v/>
      </c>
      <c r="K1041" s="238" t="str">
        <f t="shared" si="277"/>
        <v/>
      </c>
      <c r="L1041" s="238" t="str">
        <f t="shared" si="278"/>
        <v/>
      </c>
      <c r="M1041" s="238" t="str">
        <f t="shared" si="279"/>
        <v/>
      </c>
      <c r="N1041" s="238" t="str">
        <f t="shared" si="280"/>
        <v/>
      </c>
      <c r="O1041" s="232" t="str">
        <f t="shared" si="270"/>
        <v/>
      </c>
      <c r="P1041" s="219" t="str">
        <f t="shared" si="282"/>
        <v/>
      </c>
      <c r="Q1041" s="219" t="str">
        <f t="shared" si="283"/>
        <v/>
      </c>
      <c r="R1041" s="219" t="str">
        <f t="shared" si="284"/>
        <v/>
      </c>
      <c r="S1041" s="332" t="str">
        <f t="shared" si="274"/>
        <v/>
      </c>
      <c r="T1041" s="332" t="str">
        <f t="shared" si="275"/>
        <v/>
      </c>
      <c r="U1041" s="332" t="str">
        <f t="shared" si="276"/>
        <v/>
      </c>
    </row>
    <row r="1042" spans="1:21">
      <c r="A1042" s="211">
        <f>IF(COUNTBLANK('RNEW import'!B1040)=1,"",'RNEW import'!B1040)</f>
        <v>31</v>
      </c>
      <c r="B1042" s="211" t="str">
        <f>IF(COUNTBLANK('RNEW import'!D1040)=1,"",'RNEW import'!D1040)</f>
        <v>Nepi Bucharest One  SRL</v>
      </c>
      <c r="C1042" s="211" t="str">
        <f>IF(COUNTBLANK('RNEW import'!E1040)=1,"",'RNEW import'!E1040)</f>
        <v>RN1_Brasov</v>
      </c>
      <c r="D1042" s="211" t="str">
        <f>IF(COUNTBLANK('RNEW import'!K1040)=1,"",'RNEW import'!K1040)</f>
        <v>Regularizare Tarif distributie SDI MT Ea1</v>
      </c>
      <c r="E1042" s="211">
        <f>IF(COUNTBLANK('RNEW import'!L1040)=1,"",'RNEW import'!N1040)</f>
        <v>0</v>
      </c>
      <c r="F1042" s="211">
        <f>IF(COUNTBLANK('RNEW import'!M1040)=1,"",'RNEW import'!O1040/10000)</f>
        <v>1.26E-2</v>
      </c>
      <c r="G1042" s="217">
        <f t="shared" si="267"/>
        <v>0</v>
      </c>
      <c r="H1042" s="217">
        <f t="shared" si="281"/>
        <v>0</v>
      </c>
      <c r="I1042" s="329">
        <f t="shared" si="268"/>
        <v>0</v>
      </c>
      <c r="J1042" s="263" t="str">
        <f t="shared" si="269"/>
        <v/>
      </c>
      <c r="K1042" s="238" t="str">
        <f t="shared" si="277"/>
        <v/>
      </c>
      <c r="L1042" s="238" t="str">
        <f t="shared" si="278"/>
        <v/>
      </c>
      <c r="M1042" s="238" t="str">
        <f t="shared" si="279"/>
        <v/>
      </c>
      <c r="N1042" s="238" t="str">
        <f t="shared" si="280"/>
        <v/>
      </c>
      <c r="O1042" s="232" t="str">
        <f t="shared" si="270"/>
        <v/>
      </c>
      <c r="P1042" s="219" t="str">
        <f t="shared" si="282"/>
        <v/>
      </c>
      <c r="Q1042" s="219" t="str">
        <f t="shared" si="283"/>
        <v/>
      </c>
      <c r="R1042" s="219" t="str">
        <f t="shared" si="284"/>
        <v/>
      </c>
      <c r="S1042" s="332" t="str">
        <f t="shared" si="274"/>
        <v/>
      </c>
      <c r="T1042" s="332" t="str">
        <f t="shared" si="275"/>
        <v/>
      </c>
      <c r="U1042" s="332" t="str">
        <f t="shared" si="276"/>
        <v/>
      </c>
    </row>
    <row r="1043" spans="1:21">
      <c r="A1043" s="211">
        <f>IF(COUNTBLANK('RNEW import'!B1041)=1,"",'RNEW import'!B1041)</f>
        <v>32</v>
      </c>
      <c r="B1043" s="211" t="str">
        <f>IF(COUNTBLANK('RNEW import'!D1041)=1,"",'RNEW import'!D1041)</f>
        <v>Nepi Bucharest One  SRL</v>
      </c>
      <c r="C1043" s="211" t="str">
        <f>IF(COUNTBLANK('RNEW import'!E1041)=1,"",'RNEW import'!E1041)</f>
        <v>RN1_Brasov</v>
      </c>
      <c r="D1043" s="211" t="str">
        <f>IF(COUNTBLANK('RNEW import'!K1041)=1,"",'RNEW import'!K1041)</f>
        <v>Regularizare Tarif distributie SDI JT Ea1</v>
      </c>
      <c r="E1043" s="211">
        <f>IF(COUNTBLANK('RNEW import'!L1041)=1,"",'RNEW import'!N1041)</f>
        <v>0</v>
      </c>
      <c r="F1043" s="211">
        <f>IF(COUNTBLANK('RNEW import'!M1041)=1,"",'RNEW import'!O1041/10000)</f>
        <v>9.2700000000000005E-2</v>
      </c>
      <c r="G1043" s="217">
        <f t="shared" si="267"/>
        <v>0</v>
      </c>
      <c r="H1043" s="217">
        <f t="shared" si="281"/>
        <v>0</v>
      </c>
      <c r="I1043" s="329">
        <f t="shared" si="268"/>
        <v>0</v>
      </c>
      <c r="J1043" s="263" t="str">
        <f t="shared" si="269"/>
        <v/>
      </c>
      <c r="K1043" s="238" t="str">
        <f t="shared" si="277"/>
        <v/>
      </c>
      <c r="L1043" s="238" t="str">
        <f t="shared" si="278"/>
        <v/>
      </c>
      <c r="M1043" s="238" t="str">
        <f t="shared" si="279"/>
        <v/>
      </c>
      <c r="N1043" s="238" t="str">
        <f t="shared" si="280"/>
        <v/>
      </c>
      <c r="O1043" s="232" t="str">
        <f t="shared" si="270"/>
        <v/>
      </c>
      <c r="P1043" s="219" t="str">
        <f t="shared" si="282"/>
        <v/>
      </c>
      <c r="Q1043" s="219" t="str">
        <f t="shared" si="283"/>
        <v/>
      </c>
      <c r="R1043" s="219" t="str">
        <f t="shared" si="284"/>
        <v/>
      </c>
      <c r="S1043" s="332" t="str">
        <f t="shared" si="274"/>
        <v/>
      </c>
      <c r="T1043" s="332" t="str">
        <f t="shared" si="275"/>
        <v/>
      </c>
      <c r="U1043" s="332" t="str">
        <f t="shared" si="276"/>
        <v/>
      </c>
    </row>
    <row r="1044" spans="1:21">
      <c r="A1044" s="211">
        <f>IF(COUNTBLANK('RNEW import'!B1042)=1,"",'RNEW import'!B1042)</f>
        <v>33</v>
      </c>
      <c r="B1044" s="211" t="str">
        <f>IF(COUNTBLANK('RNEW import'!D1042)=1,"",'RNEW import'!D1042)</f>
        <v>Nepi Bucharest One  SRL</v>
      </c>
      <c r="C1044" s="211" t="str">
        <f>IF(COUNTBLANK('RNEW import'!E1042)=1,"",'RNEW import'!E1042)</f>
        <v>RN1_Brasov</v>
      </c>
      <c r="D1044" s="211" t="str">
        <f>IF(COUNTBLANK('RNEW import'!K1042)=1,"",'RNEW import'!K1042)</f>
        <v>Regularizare Energie activa 2</v>
      </c>
      <c r="E1044" s="211">
        <f>IF(COUNTBLANK('RNEW import'!L1042)=1,"",'RNEW import'!N1042)</f>
        <v>0</v>
      </c>
      <c r="F1044" s="211">
        <f>IF(COUNTBLANK('RNEW import'!M1042)=1,"",'RNEW import'!O1042/10000)</f>
        <v>0.93920760000000014</v>
      </c>
      <c r="G1044" s="217">
        <f t="shared" si="267"/>
        <v>0</v>
      </c>
      <c r="H1044" s="217">
        <f t="shared" si="281"/>
        <v>0</v>
      </c>
      <c r="I1044" s="329">
        <f t="shared" si="268"/>
        <v>0</v>
      </c>
      <c r="J1044" s="263" t="str">
        <f t="shared" si="269"/>
        <v/>
      </c>
      <c r="K1044" s="238" t="str">
        <f t="shared" si="277"/>
        <v/>
      </c>
      <c r="L1044" s="238" t="str">
        <f t="shared" si="278"/>
        <v/>
      </c>
      <c r="M1044" s="238" t="str">
        <f t="shared" si="279"/>
        <v/>
      </c>
      <c r="N1044" s="238" t="str">
        <f t="shared" si="280"/>
        <v/>
      </c>
      <c r="O1044" s="232" t="str">
        <f t="shared" si="270"/>
        <v/>
      </c>
      <c r="P1044" s="219" t="str">
        <f t="shared" si="282"/>
        <v/>
      </c>
      <c r="Q1044" s="219" t="str">
        <f t="shared" si="283"/>
        <v/>
      </c>
      <c r="R1044" s="219" t="str">
        <f t="shared" si="284"/>
        <v/>
      </c>
      <c r="S1044" s="332" t="str">
        <f t="shared" si="274"/>
        <v/>
      </c>
      <c r="T1044" s="332" t="str">
        <f t="shared" si="275"/>
        <v/>
      </c>
      <c r="U1044" s="332" t="str">
        <f t="shared" si="276"/>
        <v/>
      </c>
    </row>
    <row r="1045" spans="1:21">
      <c r="A1045" s="211">
        <f>IF(COUNTBLANK('RNEW import'!B1043)=1,"",'RNEW import'!B1043)</f>
        <v>34</v>
      </c>
      <c r="B1045" s="211" t="str">
        <f>IF(COUNTBLANK('RNEW import'!D1043)=1,"",'RNEW import'!D1043)</f>
        <v>Nepi Bucharest One  SRL</v>
      </c>
      <c r="C1045" s="211" t="str">
        <f>IF(COUNTBLANK('RNEW import'!E1043)=1,"",'RNEW import'!E1043)</f>
        <v>RN1_Brasov</v>
      </c>
      <c r="D1045" s="211" t="str">
        <f>IF(COUNTBLANK('RNEW import'!K1043)=1,"",'RNEW import'!K1043)</f>
        <v>Regularizare Energie activa 3</v>
      </c>
      <c r="E1045" s="211">
        <f>IF(COUNTBLANK('RNEW import'!L1043)=1,"",'RNEW import'!N1043)</f>
        <v>0</v>
      </c>
      <c r="F1045" s="211">
        <f>IF(COUNTBLANK('RNEW import'!M1043)=1,"",'RNEW import'!O1043/10000)</f>
        <v>0.83390760000000008</v>
      </c>
      <c r="G1045" s="217">
        <f t="shared" si="267"/>
        <v>0</v>
      </c>
      <c r="H1045" s="217">
        <f t="shared" si="281"/>
        <v>0</v>
      </c>
      <c r="I1045" s="329">
        <f t="shared" si="268"/>
        <v>0</v>
      </c>
      <c r="J1045" s="263" t="str">
        <f t="shared" si="269"/>
        <v/>
      </c>
      <c r="K1045" s="238" t="str">
        <f t="shared" si="277"/>
        <v/>
      </c>
      <c r="L1045" s="238" t="str">
        <f t="shared" si="278"/>
        <v/>
      </c>
      <c r="M1045" s="238" t="str">
        <f t="shared" si="279"/>
        <v/>
      </c>
      <c r="N1045" s="238" t="str">
        <f t="shared" si="280"/>
        <v/>
      </c>
      <c r="O1045" s="232" t="str">
        <f t="shared" si="270"/>
        <v/>
      </c>
      <c r="P1045" s="219" t="str">
        <f t="shared" si="282"/>
        <v/>
      </c>
      <c r="Q1045" s="219" t="str">
        <f t="shared" si="283"/>
        <v/>
      </c>
      <c r="R1045" s="219" t="str">
        <f t="shared" si="284"/>
        <v/>
      </c>
      <c r="S1045" s="332" t="str">
        <f t="shared" si="274"/>
        <v/>
      </c>
      <c r="T1045" s="332" t="str">
        <f t="shared" si="275"/>
        <v/>
      </c>
      <c r="U1045" s="332" t="str">
        <f t="shared" si="276"/>
        <v/>
      </c>
    </row>
    <row r="1046" spans="1:21">
      <c r="A1046" s="211">
        <f>IF(COUNTBLANK('RNEW import'!B1044)=1,"",'RNEW import'!B1044)</f>
        <v>35</v>
      </c>
      <c r="B1046" s="211" t="str">
        <f>IF(COUNTBLANK('RNEW import'!D1044)=1,"",'RNEW import'!D1044)</f>
        <v>Nepi Bucharest One  SRL</v>
      </c>
      <c r="C1046" s="211" t="str">
        <f>IF(COUNTBLANK('RNEW import'!E1044)=1,"",'RNEW import'!E1044)</f>
        <v>RN1_Brasov</v>
      </c>
      <c r="D1046" s="211" t="str">
        <f>IF(COUNTBLANK('RNEW import'!K1044)=1,"",'RNEW import'!K1044)</f>
        <v>Regularizare Tarif distributie SDI MT Ea3</v>
      </c>
      <c r="E1046" s="211">
        <f>IF(COUNTBLANK('RNEW import'!L1044)=1,"",'RNEW import'!N1044)</f>
        <v>0</v>
      </c>
      <c r="F1046" s="211">
        <f>IF(COUNTBLANK('RNEW import'!M1044)=1,"",'RNEW import'!O1044/10000)</f>
        <v>1.26E-2</v>
      </c>
      <c r="G1046" s="217">
        <f t="shared" si="267"/>
        <v>0</v>
      </c>
      <c r="H1046" s="217">
        <f t="shared" si="281"/>
        <v>0</v>
      </c>
      <c r="I1046" s="329">
        <f t="shared" si="268"/>
        <v>0</v>
      </c>
      <c r="J1046" s="263" t="str">
        <f t="shared" si="269"/>
        <v/>
      </c>
      <c r="K1046" s="238" t="str">
        <f t="shared" si="277"/>
        <v/>
      </c>
      <c r="L1046" s="238" t="str">
        <f t="shared" si="278"/>
        <v/>
      </c>
      <c r="M1046" s="238" t="str">
        <f t="shared" si="279"/>
        <v/>
      </c>
      <c r="N1046" s="238" t="str">
        <f t="shared" si="280"/>
        <v/>
      </c>
      <c r="O1046" s="232" t="str">
        <f t="shared" si="270"/>
        <v/>
      </c>
      <c r="P1046" s="219" t="str">
        <f t="shared" si="282"/>
        <v/>
      </c>
      <c r="Q1046" s="219" t="str">
        <f t="shared" si="283"/>
        <v/>
      </c>
      <c r="R1046" s="219" t="str">
        <f t="shared" si="284"/>
        <v/>
      </c>
      <c r="S1046" s="332" t="str">
        <f t="shared" si="274"/>
        <v/>
      </c>
      <c r="T1046" s="332" t="str">
        <f t="shared" si="275"/>
        <v/>
      </c>
      <c r="U1046" s="332" t="str">
        <f t="shared" si="276"/>
        <v/>
      </c>
    </row>
    <row r="1047" spans="1:21">
      <c r="A1047" s="211">
        <f>IF(COUNTBLANK('RNEW import'!B1045)=1,"",'RNEW import'!B1045)</f>
        <v>36</v>
      </c>
      <c r="B1047" s="211" t="str">
        <f>IF(COUNTBLANK('RNEW import'!D1045)=1,"",'RNEW import'!D1045)</f>
        <v>Nepi Bucharest One  SRL</v>
      </c>
      <c r="C1047" s="211" t="str">
        <f>IF(COUNTBLANK('RNEW import'!E1045)=1,"",'RNEW import'!E1045)</f>
        <v>RN1_Brasov</v>
      </c>
      <c r="D1047" s="211" t="str">
        <f>IF(COUNTBLANK('RNEW import'!K1045)=1,"",'RNEW import'!K1045)</f>
        <v>Regularizare Tarif distributie SDI JT Ea3</v>
      </c>
      <c r="E1047" s="211">
        <f>IF(COUNTBLANK('RNEW import'!L1045)=1,"",'RNEW import'!N1045)</f>
        <v>0</v>
      </c>
      <c r="F1047" s="211">
        <f>IF(COUNTBLANK('RNEW import'!M1045)=1,"",'RNEW import'!O1045/10000)</f>
        <v>9.2700000000000005E-2</v>
      </c>
      <c r="G1047" s="217">
        <f t="shared" si="267"/>
        <v>0</v>
      </c>
      <c r="H1047" s="217">
        <f t="shared" si="281"/>
        <v>0</v>
      </c>
      <c r="I1047" s="329">
        <f t="shared" si="268"/>
        <v>0</v>
      </c>
      <c r="J1047" s="263" t="str">
        <f t="shared" si="269"/>
        <v/>
      </c>
      <c r="K1047" s="238" t="str">
        <f t="shared" si="277"/>
        <v/>
      </c>
      <c r="L1047" s="238" t="str">
        <f t="shared" si="278"/>
        <v/>
      </c>
      <c r="M1047" s="238" t="str">
        <f t="shared" si="279"/>
        <v/>
      </c>
      <c r="N1047" s="238" t="str">
        <f t="shared" si="280"/>
        <v/>
      </c>
      <c r="O1047" s="232" t="str">
        <f t="shared" si="270"/>
        <v/>
      </c>
      <c r="P1047" s="219" t="str">
        <f t="shared" si="282"/>
        <v>Energie consumata din PV regularizare</v>
      </c>
      <c r="Q1047" s="219">
        <f t="shared" si="283"/>
        <v>0</v>
      </c>
      <c r="R1047" s="219">
        <f t="shared" si="284"/>
        <v>0</v>
      </c>
      <c r="S1047" s="332">
        <f t="shared" si="274"/>
        <v>0</v>
      </c>
      <c r="T1047" s="332">
        <f t="shared" si="275"/>
        <v>0</v>
      </c>
      <c r="U1047" s="332">
        <f t="shared" si="276"/>
        <v>0</v>
      </c>
    </row>
    <row r="1048" spans="1:21">
      <c r="E1048" s="217"/>
      <c r="G1048" s="227"/>
    </row>
    <row r="1049" spans="1:21">
      <c r="E1049" s="217"/>
      <c r="G1049" s="227"/>
    </row>
    <row r="1050" spans="1:21">
      <c r="E1050" s="217"/>
      <c r="G1050" s="227"/>
    </row>
    <row r="1051" spans="1:21">
      <c r="E1051" s="217"/>
      <c r="G1051" s="227"/>
    </row>
    <row r="1052" spans="1:21">
      <c r="E1052" s="217"/>
      <c r="G1052" s="227"/>
    </row>
    <row r="1053" spans="1:21">
      <c r="E1053" s="217"/>
      <c r="G1053" s="227"/>
    </row>
    <row r="1054" spans="1:21">
      <c r="E1054" s="217"/>
      <c r="G1054" s="227"/>
    </row>
    <row r="1055" spans="1:21">
      <c r="E1055" s="217"/>
      <c r="G1055" s="227"/>
    </row>
    <row r="1056" spans="1:21">
      <c r="E1056" s="217"/>
      <c r="G1056" s="227"/>
    </row>
    <row r="1057" spans="5:7">
      <c r="E1057" s="217"/>
      <c r="G1057" s="227"/>
    </row>
    <row r="1058" spans="5:7">
      <c r="E1058" s="217"/>
      <c r="G1058" s="227"/>
    </row>
    <row r="1059" spans="5:7">
      <c r="E1059" s="217"/>
      <c r="G1059" s="227"/>
    </row>
    <row r="1060" spans="5:7">
      <c r="E1060" s="217"/>
      <c r="G1060" s="227"/>
    </row>
    <row r="1061" spans="5:7">
      <c r="E1061" s="217"/>
      <c r="G1061" s="227"/>
    </row>
    <row r="1062" spans="5:7">
      <c r="E1062" s="217"/>
      <c r="G1062" s="227"/>
    </row>
    <row r="1063" spans="5:7">
      <c r="E1063" s="217"/>
      <c r="G1063" s="227"/>
    </row>
    <row r="1064" spans="5:7">
      <c r="E1064" s="217"/>
      <c r="G1064" s="227"/>
    </row>
    <row r="1065" spans="5:7">
      <c r="E1065" s="217"/>
      <c r="G1065" s="227"/>
    </row>
    <row r="1066" spans="5:7">
      <c r="E1066" s="217"/>
      <c r="G1066" s="227"/>
    </row>
    <row r="1067" spans="5:7">
      <c r="E1067" s="217"/>
      <c r="G1067" s="227"/>
    </row>
    <row r="1068" spans="5:7">
      <c r="E1068" s="217"/>
      <c r="G1068" s="227"/>
    </row>
    <row r="1069" spans="5:7">
      <c r="E1069" s="217"/>
      <c r="G1069" s="227"/>
    </row>
    <row r="1070" spans="5:7">
      <c r="E1070" s="217"/>
      <c r="G1070" s="227"/>
    </row>
    <row r="1071" spans="5:7">
      <c r="E1071" s="217"/>
      <c r="G1071" s="227"/>
    </row>
    <row r="1072" spans="5:7">
      <c r="E1072" s="217"/>
      <c r="G1072" s="227"/>
    </row>
    <row r="1073" spans="5:7">
      <c r="E1073" s="217"/>
      <c r="G1073" s="227"/>
    </row>
    <row r="1074" spans="5:7">
      <c r="E1074" s="217"/>
      <c r="G1074" s="227"/>
    </row>
    <row r="1075" spans="5:7">
      <c r="E1075" s="217"/>
      <c r="G1075" s="227"/>
    </row>
    <row r="1076" spans="5:7">
      <c r="E1076" s="217"/>
      <c r="G1076" s="227"/>
    </row>
    <row r="1077" spans="5:7">
      <c r="E1077" s="217"/>
      <c r="G1077" s="227"/>
    </row>
    <row r="1078" spans="5:7">
      <c r="E1078" s="217"/>
      <c r="G1078" s="227"/>
    </row>
    <row r="1079" spans="5:7">
      <c r="E1079" s="217"/>
      <c r="G1079" s="227"/>
    </row>
    <row r="1080" spans="5:7">
      <c r="E1080" s="217"/>
      <c r="G1080" s="227"/>
    </row>
    <row r="1081" spans="5:7">
      <c r="E1081" s="217"/>
      <c r="G1081" s="227"/>
    </row>
    <row r="1082" spans="5:7">
      <c r="E1082" s="217"/>
      <c r="G1082" s="227"/>
    </row>
    <row r="1083" spans="5:7">
      <c r="E1083" s="217"/>
      <c r="G1083" s="227"/>
    </row>
    <row r="1084" spans="5:7">
      <c r="E1084" s="217"/>
      <c r="G1084" s="227"/>
    </row>
    <row r="1085" spans="5:7">
      <c r="E1085" s="217"/>
      <c r="G1085" s="227"/>
    </row>
    <row r="1086" spans="5:7">
      <c r="E1086" s="217"/>
      <c r="G1086" s="227"/>
    </row>
    <row r="1087" spans="5:7">
      <c r="E1087" s="217"/>
      <c r="G1087" s="227"/>
    </row>
    <row r="1088" spans="5:7">
      <c r="E1088" s="217"/>
      <c r="G1088" s="227"/>
    </row>
    <row r="1089" spans="5:7">
      <c r="E1089" s="217"/>
      <c r="G1089" s="227"/>
    </row>
    <row r="1090" spans="5:7">
      <c r="E1090" s="217"/>
      <c r="G1090" s="227"/>
    </row>
    <row r="1091" spans="5:7">
      <c r="E1091" s="217"/>
      <c r="G1091" s="227"/>
    </row>
    <row r="1092" spans="5:7">
      <c r="E1092" s="217"/>
      <c r="G1092" s="227"/>
    </row>
    <row r="1093" spans="5:7">
      <c r="E1093" s="217"/>
      <c r="G1093" s="227"/>
    </row>
    <row r="1094" spans="5:7">
      <c r="E1094" s="217"/>
      <c r="G1094" s="227"/>
    </row>
    <row r="1095" spans="5:7">
      <c r="E1095" s="217"/>
      <c r="G1095" s="227"/>
    </row>
    <row r="1096" spans="5:7">
      <c r="E1096" s="217"/>
      <c r="G1096" s="227"/>
    </row>
    <row r="1097" spans="5:7">
      <c r="E1097" s="217"/>
      <c r="G1097" s="227"/>
    </row>
    <row r="1098" spans="5:7">
      <c r="E1098" s="217"/>
      <c r="G1098" s="227"/>
    </row>
    <row r="1099" spans="5:7">
      <c r="E1099" s="217"/>
      <c r="G1099" s="227"/>
    </row>
    <row r="1100" spans="5:7">
      <c r="E1100" s="217"/>
      <c r="G1100" s="227"/>
    </row>
    <row r="1101" spans="5:7">
      <c r="E1101" s="217"/>
      <c r="G1101" s="227"/>
    </row>
    <row r="1102" spans="5:7">
      <c r="E1102" s="217"/>
      <c r="G1102" s="227"/>
    </row>
    <row r="1103" spans="5:7">
      <c r="E1103" s="217"/>
      <c r="G1103" s="227"/>
    </row>
    <row r="1104" spans="5:7">
      <c r="E1104" s="217"/>
      <c r="G1104" s="227"/>
    </row>
    <row r="1105" spans="5:7">
      <c r="E1105" s="217"/>
      <c r="G1105" s="227"/>
    </row>
    <row r="1106" spans="5:7">
      <c r="E1106" s="217"/>
      <c r="G1106" s="227"/>
    </row>
    <row r="1107" spans="5:7">
      <c r="E1107" s="217"/>
      <c r="G1107" s="227"/>
    </row>
    <row r="1108" spans="5:7">
      <c r="E1108" s="217"/>
      <c r="G1108" s="227"/>
    </row>
    <row r="1109" spans="5:7">
      <c r="E1109" s="217"/>
      <c r="G1109" s="227"/>
    </row>
    <row r="1110" spans="5:7">
      <c r="E1110" s="217"/>
      <c r="G1110" s="227"/>
    </row>
    <row r="1111" spans="5:7">
      <c r="E1111" s="217"/>
      <c r="G1111" s="227"/>
    </row>
    <row r="1112" spans="5:7">
      <c r="E1112" s="217"/>
      <c r="G1112" s="227"/>
    </row>
    <row r="1113" spans="5:7">
      <c r="E1113" s="217"/>
      <c r="G1113" s="227"/>
    </row>
    <row r="1114" spans="5:7">
      <c r="E1114" s="217"/>
      <c r="G1114" s="227"/>
    </row>
    <row r="1115" spans="5:7">
      <c r="E1115" s="217"/>
      <c r="G1115" s="227"/>
    </row>
    <row r="1116" spans="5:7">
      <c r="E1116" s="217"/>
      <c r="G1116" s="227"/>
    </row>
    <row r="1117" spans="5:7">
      <c r="E1117" s="217"/>
      <c r="G1117" s="227"/>
    </row>
    <row r="1118" spans="5:7">
      <c r="E1118" s="217"/>
      <c r="G1118" s="227"/>
    </row>
    <row r="1119" spans="5:7">
      <c r="E1119" s="217"/>
      <c r="G1119" s="227"/>
    </row>
    <row r="1120" spans="5:7">
      <c r="E1120" s="217"/>
      <c r="G1120" s="227"/>
    </row>
    <row r="1121" spans="5:7">
      <c r="E1121" s="217"/>
      <c r="G1121" s="227"/>
    </row>
    <row r="1122" spans="5:7">
      <c r="E1122" s="217"/>
      <c r="G1122" s="227"/>
    </row>
    <row r="1123" spans="5:7">
      <c r="E1123" s="217"/>
      <c r="G1123" s="227"/>
    </row>
    <row r="1124" spans="5:7">
      <c r="E1124" s="217"/>
      <c r="G1124" s="227"/>
    </row>
    <row r="1125" spans="5:7">
      <c r="E1125" s="217"/>
      <c r="G1125" s="227"/>
    </row>
    <row r="1126" spans="5:7">
      <c r="E1126" s="217"/>
      <c r="G1126" s="227"/>
    </row>
    <row r="1127" spans="5:7">
      <c r="E1127" s="217"/>
      <c r="G1127" s="227"/>
    </row>
    <row r="1128" spans="5:7">
      <c r="E1128" s="217"/>
      <c r="G1128" s="227"/>
    </row>
    <row r="1129" spans="5:7">
      <c r="E1129" s="217"/>
      <c r="G1129" s="227"/>
    </row>
    <row r="1130" spans="5:7">
      <c r="E1130" s="217"/>
      <c r="G1130" s="227"/>
    </row>
    <row r="1131" spans="5:7">
      <c r="E1131" s="217"/>
      <c r="G1131" s="227"/>
    </row>
    <row r="1132" spans="5:7">
      <c r="E1132" s="217"/>
      <c r="G1132" s="227"/>
    </row>
    <row r="1133" spans="5:7">
      <c r="E1133" s="217"/>
      <c r="G1133" s="227"/>
    </row>
    <row r="1134" spans="5:7">
      <c r="E1134" s="217"/>
      <c r="G1134" s="227"/>
    </row>
    <row r="1135" spans="5:7">
      <c r="E1135" s="217"/>
      <c r="G1135" s="227"/>
    </row>
    <row r="1136" spans="5:7">
      <c r="E1136" s="217"/>
      <c r="G1136" s="227"/>
    </row>
    <row r="1137" spans="5:7">
      <c r="E1137" s="217"/>
      <c r="G1137" s="227"/>
    </row>
    <row r="1138" spans="5:7">
      <c r="E1138" s="217"/>
      <c r="G1138" s="227"/>
    </row>
    <row r="1139" spans="5:7">
      <c r="E1139" s="217"/>
      <c r="G1139" s="227"/>
    </row>
    <row r="1140" spans="5:7">
      <c r="E1140" s="217"/>
      <c r="G1140" s="227"/>
    </row>
    <row r="1141" spans="5:7">
      <c r="E1141" s="217"/>
      <c r="G1141" s="227"/>
    </row>
    <row r="1142" spans="5:7">
      <c r="E1142" s="217"/>
      <c r="G1142" s="227"/>
    </row>
    <row r="1143" spans="5:7">
      <c r="E1143" s="217"/>
      <c r="G1143" s="227"/>
    </row>
    <row r="1144" spans="5:7">
      <c r="E1144" s="217"/>
      <c r="G1144" s="227"/>
    </row>
    <row r="1145" spans="5:7">
      <c r="E1145" s="217"/>
      <c r="G1145" s="227"/>
    </row>
    <row r="1146" spans="5:7">
      <c r="E1146" s="217"/>
      <c r="G1146" s="227"/>
    </row>
    <row r="1147" spans="5:7">
      <c r="E1147" s="217"/>
      <c r="G1147" s="227"/>
    </row>
    <row r="1148" spans="5:7">
      <c r="E1148" s="217"/>
      <c r="G1148" s="227"/>
    </row>
    <row r="1149" spans="5:7">
      <c r="E1149" s="217"/>
      <c r="G1149" s="227"/>
    </row>
    <row r="1150" spans="5:7">
      <c r="E1150" s="217"/>
      <c r="G1150" s="227"/>
    </row>
    <row r="1151" spans="5:7">
      <c r="E1151" s="217"/>
      <c r="G1151" s="227"/>
    </row>
    <row r="1152" spans="5:7">
      <c r="E1152" s="217"/>
      <c r="G1152" s="227"/>
    </row>
    <row r="1153" spans="5:7">
      <c r="E1153" s="217"/>
      <c r="G1153" s="227"/>
    </row>
    <row r="1154" spans="5:7">
      <c r="E1154" s="217"/>
      <c r="G1154" s="227"/>
    </row>
    <row r="1155" spans="5:7">
      <c r="E1155" s="217"/>
      <c r="G1155" s="227"/>
    </row>
    <row r="1156" spans="5:7">
      <c r="E1156" s="217"/>
      <c r="G1156" s="227"/>
    </row>
    <row r="1157" spans="5:7">
      <c r="E1157" s="217"/>
      <c r="G1157" s="227"/>
    </row>
    <row r="1158" spans="5:7">
      <c r="E1158" s="217"/>
      <c r="G1158" s="227"/>
    </row>
    <row r="1159" spans="5:7">
      <c r="E1159" s="217"/>
      <c r="G1159" s="227"/>
    </row>
    <row r="1160" spans="5:7">
      <c r="E1160" s="217"/>
      <c r="G1160" s="227"/>
    </row>
    <row r="1161" spans="5:7">
      <c r="E1161" s="217"/>
      <c r="G1161" s="227"/>
    </row>
    <row r="1162" spans="5:7">
      <c r="E1162" s="217"/>
      <c r="G1162" s="227"/>
    </row>
    <row r="1163" spans="5:7">
      <c r="E1163" s="217"/>
      <c r="G1163" s="227"/>
    </row>
    <row r="1164" spans="5:7">
      <c r="E1164" s="217"/>
      <c r="G1164" s="227"/>
    </row>
    <row r="1165" spans="5:7">
      <c r="E1165" s="217"/>
      <c r="G1165" s="227"/>
    </row>
    <row r="1166" spans="5:7">
      <c r="E1166" s="217"/>
      <c r="G1166" s="227"/>
    </row>
    <row r="1167" spans="5:7">
      <c r="E1167" s="217"/>
      <c r="G1167" s="227"/>
    </row>
    <row r="1168" spans="5:7">
      <c r="E1168" s="217"/>
      <c r="G1168" s="227"/>
    </row>
    <row r="1169" spans="5:7">
      <c r="E1169" s="217"/>
      <c r="G1169" s="227"/>
    </row>
    <row r="1170" spans="5:7">
      <c r="E1170" s="217"/>
      <c r="G1170" s="227"/>
    </row>
    <row r="1171" spans="5:7">
      <c r="E1171" s="217"/>
      <c r="G1171" s="227"/>
    </row>
    <row r="1172" spans="5:7">
      <c r="E1172" s="217"/>
      <c r="G1172" s="227"/>
    </row>
    <row r="1173" spans="5:7">
      <c r="E1173" s="217"/>
      <c r="G1173" s="227"/>
    </row>
    <row r="1174" spans="5:7">
      <c r="E1174" s="217"/>
      <c r="G1174" s="227"/>
    </row>
    <row r="1175" spans="5:7">
      <c r="E1175" s="217"/>
      <c r="G1175" s="227"/>
    </row>
    <row r="1176" spans="5:7">
      <c r="E1176" s="217"/>
      <c r="G1176" s="227"/>
    </row>
    <row r="1177" spans="5:7">
      <c r="E1177" s="217"/>
      <c r="G1177" s="227"/>
    </row>
    <row r="1178" spans="5:7">
      <c r="E1178" s="217"/>
      <c r="G1178" s="227"/>
    </row>
    <row r="1179" spans="5:7">
      <c r="E1179" s="217"/>
      <c r="G1179" s="227"/>
    </row>
    <row r="1180" spans="5:7">
      <c r="E1180" s="217"/>
      <c r="G1180" s="227"/>
    </row>
    <row r="1181" spans="5:7">
      <c r="E1181" s="217"/>
      <c r="G1181" s="227"/>
    </row>
    <row r="1182" spans="5:7">
      <c r="E1182" s="217"/>
      <c r="G1182" s="227"/>
    </row>
    <row r="1183" spans="5:7">
      <c r="E1183" s="217"/>
      <c r="G1183" s="227"/>
    </row>
    <row r="1184" spans="5:7">
      <c r="E1184" s="217"/>
      <c r="G1184" s="227"/>
    </row>
    <row r="1185" spans="5:7">
      <c r="E1185" s="217"/>
      <c r="G1185" s="227"/>
    </row>
    <row r="1186" spans="5:7">
      <c r="E1186" s="217"/>
      <c r="G1186" s="227"/>
    </row>
    <row r="1187" spans="5:7">
      <c r="E1187" s="217"/>
      <c r="G1187" s="227"/>
    </row>
    <row r="1188" spans="5:7">
      <c r="E1188" s="217"/>
      <c r="G1188" s="227"/>
    </row>
    <row r="1189" spans="5:7">
      <c r="E1189" s="217"/>
      <c r="G1189" s="227"/>
    </row>
    <row r="1190" spans="5:7">
      <c r="E1190" s="217"/>
      <c r="G1190" s="227"/>
    </row>
    <row r="1191" spans="5:7">
      <c r="E1191" s="217"/>
      <c r="G1191" s="227"/>
    </row>
    <row r="1192" spans="5:7">
      <c r="E1192" s="217"/>
      <c r="G1192" s="227"/>
    </row>
    <row r="1193" spans="5:7">
      <c r="E1193" s="217"/>
      <c r="G1193" s="227"/>
    </row>
    <row r="1194" spans="5:7">
      <c r="E1194" s="217"/>
      <c r="G1194" s="227"/>
    </row>
    <row r="1195" spans="5:7">
      <c r="E1195" s="217"/>
      <c r="G1195" s="227"/>
    </row>
    <row r="1196" spans="5:7">
      <c r="E1196" s="217"/>
      <c r="G1196" s="227"/>
    </row>
    <row r="1197" spans="5:7">
      <c r="E1197" s="217"/>
      <c r="G1197" s="227"/>
    </row>
    <row r="1198" spans="5:7">
      <c r="E1198" s="217"/>
      <c r="G1198" s="227"/>
    </row>
    <row r="1199" spans="5:7">
      <c r="E1199" s="217"/>
      <c r="G1199" s="227"/>
    </row>
    <row r="1200" spans="5:7">
      <c r="E1200" s="217"/>
      <c r="G1200" s="227"/>
    </row>
    <row r="1201" spans="5:7">
      <c r="E1201" s="217"/>
      <c r="G1201" s="227"/>
    </row>
    <row r="1202" spans="5:7">
      <c r="E1202" s="217"/>
      <c r="G1202" s="227"/>
    </row>
    <row r="1203" spans="5:7">
      <c r="E1203" s="217"/>
      <c r="G1203" s="227"/>
    </row>
    <row r="1204" spans="5:7">
      <c r="E1204" s="217"/>
      <c r="G1204" s="227"/>
    </row>
    <row r="1205" spans="5:7">
      <c r="E1205" s="217"/>
      <c r="G1205" s="227"/>
    </row>
    <row r="1206" spans="5:7">
      <c r="E1206" s="217"/>
      <c r="G1206" s="227"/>
    </row>
    <row r="1207" spans="5:7">
      <c r="E1207" s="217"/>
      <c r="G1207" s="227"/>
    </row>
    <row r="1208" spans="5:7">
      <c r="E1208" s="217"/>
      <c r="G1208" s="227"/>
    </row>
    <row r="1209" spans="5:7">
      <c r="E1209" s="217"/>
      <c r="G1209" s="227"/>
    </row>
    <row r="1210" spans="5:7">
      <c r="E1210" s="217"/>
      <c r="G1210" s="227"/>
    </row>
    <row r="1211" spans="5:7">
      <c r="E1211" s="217"/>
      <c r="G1211" s="227"/>
    </row>
    <row r="1212" spans="5:7">
      <c r="E1212" s="217"/>
      <c r="G1212" s="227"/>
    </row>
    <row r="1213" spans="5:7">
      <c r="E1213" s="217"/>
      <c r="G1213" s="227"/>
    </row>
    <row r="1214" spans="5:7">
      <c r="E1214" s="217"/>
      <c r="G1214" s="227"/>
    </row>
    <row r="1215" spans="5:7">
      <c r="E1215" s="217"/>
      <c r="G1215" s="227"/>
    </row>
    <row r="1216" spans="5:7">
      <c r="E1216" s="217"/>
      <c r="G1216" s="227"/>
    </row>
    <row r="1217" spans="5:7">
      <c r="E1217" s="217"/>
      <c r="G1217" s="227"/>
    </row>
    <row r="1218" spans="5:7">
      <c r="E1218" s="217"/>
      <c r="G1218" s="227"/>
    </row>
    <row r="1219" spans="5:7">
      <c r="E1219" s="217"/>
      <c r="G1219" s="227"/>
    </row>
    <row r="1220" spans="5:7">
      <c r="E1220" s="217"/>
      <c r="G1220" s="227"/>
    </row>
    <row r="1221" spans="5:7">
      <c r="E1221" s="217"/>
      <c r="G1221" s="227"/>
    </row>
    <row r="1222" spans="5:7">
      <c r="E1222" s="217"/>
      <c r="G1222" s="227"/>
    </row>
    <row r="1223" spans="5:7">
      <c r="E1223" s="217"/>
      <c r="G1223" s="227"/>
    </row>
    <row r="1224" spans="5:7">
      <c r="E1224" s="217"/>
      <c r="G1224" s="227"/>
    </row>
    <row r="1225" spans="5:7">
      <c r="E1225" s="217"/>
      <c r="G1225" s="227"/>
    </row>
    <row r="1226" spans="5:7">
      <c r="E1226" s="217"/>
      <c r="G1226" s="227"/>
    </row>
    <row r="1227" spans="5:7">
      <c r="E1227" s="217"/>
      <c r="G1227" s="227"/>
    </row>
    <row r="1228" spans="5:7">
      <c r="E1228" s="217"/>
      <c r="G1228" s="227"/>
    </row>
    <row r="1229" spans="5:7">
      <c r="E1229" s="217"/>
      <c r="G1229" s="227"/>
    </row>
  </sheetData>
  <autoFilter ref="A2:U989" xr:uid="{C6FF600B-2BF1-46DB-B649-D74434DA38BB}"/>
  <mergeCells count="3">
    <mergeCell ref="Z1:AB1"/>
    <mergeCell ref="AD1:AI1"/>
    <mergeCell ref="AJ1:AM2"/>
  </mergeCells>
  <phoneticPr fontId="9" type="noConversion"/>
  <conditionalFormatting sqref="AJ3:AM31">
    <cfRule type="containsText" dxfId="2" priority="3" operator="containsText" text="not ok">
      <formula>NOT(ISERROR(SEARCH("not ok",AJ3)))</formula>
    </cfRule>
    <cfRule type="containsText" dxfId="1" priority="4" operator="containsText" text="ok">
      <formula>NOT(ISERROR(SEARCH("ok",AJ3)))</formula>
    </cfRule>
  </conditionalFormatting>
  <conditionalFormatting sqref="AN3:AP31">
    <cfRule type="cellIs" dxfId="0" priority="1" operator="not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A80F0-080E-9C4E-9448-20E70FCFD9AA}">
  <dimension ref="A1:AM86"/>
  <sheetViews>
    <sheetView tabSelected="1" topLeftCell="A55" workbookViewId="0">
      <selection activeCell="L73" sqref="L73:N73"/>
    </sheetView>
  </sheetViews>
  <sheetFormatPr defaultColWidth="10.625" defaultRowHeight="15.75"/>
  <cols>
    <col min="1" max="5" width="2.375" customWidth="1"/>
    <col min="6" max="6" width="1.75" customWidth="1"/>
    <col min="7" max="7" width="2.375" hidden="1" customWidth="1"/>
    <col min="8" max="19" width="2.375" customWidth="1"/>
    <col min="20" max="20" width="2" customWidth="1"/>
    <col min="21" max="22" width="2.375" customWidth="1"/>
    <col min="23" max="23" width="2.875" customWidth="1"/>
    <col min="24" max="27" width="2.375" customWidth="1"/>
    <col min="28" max="28" width="1.25" customWidth="1"/>
    <col min="29" max="32" width="2.375" customWidth="1"/>
    <col min="33" max="33" width="1.375" customWidth="1"/>
    <col min="34" max="37" width="2.375" customWidth="1"/>
    <col min="38" max="38" width="2.625" customWidth="1"/>
    <col min="39" max="39" width="0.5" customWidth="1"/>
    <col min="51" max="51" width="10.625" customWidth="1"/>
  </cols>
  <sheetData>
    <row r="1" spans="1:39">
      <c r="A1" s="619" t="s">
        <v>901</v>
      </c>
      <c r="B1" s="619"/>
      <c r="C1" s="619"/>
      <c r="D1" s="619"/>
      <c r="E1" s="619"/>
      <c r="F1" s="619"/>
      <c r="G1" s="619"/>
      <c r="H1" s="619"/>
      <c r="I1" s="619"/>
      <c r="J1" s="619"/>
      <c r="K1" s="619"/>
      <c r="L1" s="619"/>
      <c r="M1" s="619"/>
      <c r="N1" s="619"/>
      <c r="O1" s="619"/>
      <c r="P1" s="619"/>
      <c r="Q1" s="619"/>
      <c r="R1" s="619"/>
      <c r="S1" s="619"/>
      <c r="T1" s="619"/>
      <c r="U1" s="619"/>
      <c r="V1" s="619"/>
      <c r="W1" s="619"/>
      <c r="X1" s="619"/>
      <c r="Y1" s="619"/>
      <c r="Z1" s="619"/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</row>
    <row r="2" spans="1:39">
      <c r="A2" s="619"/>
      <c r="B2" s="619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</row>
    <row r="3" spans="1:39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</row>
    <row r="4" spans="1:39" ht="15.95" customHeight="1">
      <c r="A4" s="620" t="s">
        <v>735</v>
      </c>
      <c r="B4" s="621"/>
      <c r="C4" s="621"/>
      <c r="D4" s="621"/>
      <c r="E4" s="621"/>
      <c r="F4" s="621"/>
      <c r="G4" s="622"/>
      <c r="H4" s="620" t="s">
        <v>49</v>
      </c>
      <c r="I4" s="621"/>
      <c r="J4" s="621"/>
      <c r="K4" s="621"/>
      <c r="L4" s="621"/>
      <c r="M4" s="621"/>
      <c r="N4" s="621"/>
      <c r="O4" s="621"/>
      <c r="P4" s="621"/>
      <c r="Q4" s="621"/>
      <c r="R4" s="621"/>
      <c r="S4" s="621"/>
      <c r="T4" s="621"/>
      <c r="U4" s="621"/>
      <c r="V4" s="621"/>
      <c r="W4" s="621"/>
      <c r="X4" s="621"/>
      <c r="Y4" s="621"/>
      <c r="Z4" s="621"/>
      <c r="AA4" s="621"/>
      <c r="AB4" s="621"/>
      <c r="AC4" s="621"/>
      <c r="AD4" s="621"/>
      <c r="AE4" s="621"/>
      <c r="AF4" s="621"/>
      <c r="AG4" s="621"/>
      <c r="AH4" s="621"/>
      <c r="AI4" s="621"/>
      <c r="AJ4" s="621"/>
      <c r="AK4" s="621"/>
      <c r="AL4" s="621"/>
      <c r="AM4" s="622"/>
    </row>
    <row r="5" spans="1:39" ht="15.95" customHeight="1">
      <c r="A5" s="620" t="s">
        <v>859</v>
      </c>
      <c r="B5" s="621"/>
      <c r="C5" s="621"/>
      <c r="D5" s="621"/>
      <c r="E5" s="621"/>
      <c r="F5" s="621"/>
      <c r="G5" s="622"/>
      <c r="H5" s="620">
        <v>51544913</v>
      </c>
      <c r="I5" s="621"/>
      <c r="J5" s="621"/>
      <c r="K5" s="621"/>
      <c r="L5" s="621"/>
      <c r="M5" s="621"/>
      <c r="N5" s="621"/>
      <c r="O5" s="621"/>
      <c r="P5" s="621"/>
      <c r="Q5" s="621"/>
      <c r="R5" s="621"/>
      <c r="S5" s="621"/>
      <c r="T5" s="621"/>
      <c r="U5" s="621"/>
      <c r="V5" s="621"/>
      <c r="W5" s="621" t="s">
        <v>860</v>
      </c>
      <c r="X5" s="621"/>
      <c r="Y5" s="621"/>
      <c r="Z5" s="621"/>
      <c r="AA5" s="621" t="e">
        <f>_xlfn.CONCAT(#REF!,"_",1)</f>
        <v>#REF!</v>
      </c>
      <c r="AB5" s="621"/>
      <c r="AC5" s="621"/>
      <c r="AD5" s="621"/>
      <c r="AE5" s="621"/>
      <c r="AF5" s="621"/>
      <c r="AG5" s="621"/>
      <c r="AH5" s="621"/>
      <c r="AI5" s="621"/>
      <c r="AJ5" s="621"/>
      <c r="AK5" s="621"/>
      <c r="AL5" s="621"/>
      <c r="AM5" s="622"/>
    </row>
    <row r="6" spans="1:39">
      <c r="A6" s="620" t="s">
        <v>902</v>
      </c>
      <c r="B6" s="621"/>
      <c r="C6" s="621"/>
      <c r="D6" s="621"/>
      <c r="E6" s="621"/>
      <c r="F6" s="621"/>
      <c r="G6" s="622"/>
      <c r="H6" s="620">
        <v>71689655</v>
      </c>
      <c r="I6" s="621"/>
      <c r="J6" s="621"/>
      <c r="K6" s="621"/>
      <c r="L6" s="621"/>
      <c r="M6" s="621"/>
      <c r="N6" s="621"/>
      <c r="O6" s="621"/>
      <c r="P6" s="621"/>
      <c r="Q6" s="621"/>
      <c r="R6" s="621"/>
      <c r="S6" s="621"/>
      <c r="T6" s="621"/>
      <c r="U6" s="621"/>
      <c r="V6" s="621"/>
      <c r="W6" s="621" t="s">
        <v>860</v>
      </c>
      <c r="X6" s="621"/>
      <c r="Y6" s="621"/>
      <c r="Z6" s="621"/>
      <c r="AA6" s="621" t="e">
        <f>_xlfn.CONCAT(#REF!,"_",1)</f>
        <v>#REF!</v>
      </c>
      <c r="AB6" s="621"/>
      <c r="AC6" s="621"/>
      <c r="AD6" s="621"/>
      <c r="AE6" s="621"/>
      <c r="AF6" s="621"/>
      <c r="AG6" s="621"/>
      <c r="AH6" s="621"/>
      <c r="AI6" s="621"/>
      <c r="AJ6" s="621"/>
      <c r="AK6" s="621"/>
      <c r="AL6" s="621"/>
      <c r="AM6" s="622"/>
    </row>
    <row r="7" spans="1:39">
      <c r="A7" s="620" t="s">
        <v>748</v>
      </c>
      <c r="B7" s="621"/>
      <c r="C7" s="621"/>
      <c r="D7" s="621"/>
      <c r="E7" s="621"/>
      <c r="F7" s="621"/>
      <c r="G7" s="622"/>
      <c r="H7" s="620" t="str">
        <f>"59401020000375096971689655"</f>
        <v>59401020000375096971689655</v>
      </c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T7" s="621"/>
      <c r="U7" s="621"/>
      <c r="V7" s="621"/>
      <c r="W7" s="621" t="s">
        <v>860</v>
      </c>
      <c r="X7" s="621"/>
      <c r="Y7" s="621"/>
      <c r="Z7" s="621"/>
      <c r="AA7" s="621" t="e">
        <f>_xlfn.CONCAT(#REF!,"_",1)</f>
        <v>#REF!</v>
      </c>
      <c r="AB7" s="621"/>
      <c r="AC7" s="621"/>
      <c r="AD7" s="621"/>
      <c r="AE7" s="621"/>
      <c r="AF7" s="621"/>
      <c r="AG7" s="621"/>
      <c r="AH7" s="621"/>
      <c r="AI7" s="621"/>
      <c r="AJ7" s="621"/>
      <c r="AK7" s="621"/>
      <c r="AL7" s="621"/>
      <c r="AM7" s="622"/>
    </row>
    <row r="9" spans="1:39">
      <c r="A9" s="641" t="s">
        <v>697</v>
      </c>
      <c r="B9" s="642"/>
      <c r="C9" s="642"/>
      <c r="D9" s="642"/>
      <c r="E9" s="642"/>
      <c r="F9" s="642"/>
      <c r="G9" s="643"/>
      <c r="H9" s="632" t="s">
        <v>713</v>
      </c>
      <c r="I9" s="633"/>
      <c r="J9" s="633"/>
      <c r="K9" s="634"/>
      <c r="L9" s="632" t="s">
        <v>714</v>
      </c>
      <c r="M9" s="633"/>
      <c r="N9" s="633"/>
      <c r="O9" s="633"/>
      <c r="P9" s="634"/>
      <c r="Q9" s="641" t="s">
        <v>519</v>
      </c>
      <c r="R9" s="642"/>
      <c r="S9" s="643"/>
      <c r="T9" s="641" t="s">
        <v>715</v>
      </c>
      <c r="U9" s="642"/>
      <c r="V9" s="642"/>
      <c r="W9" s="643"/>
      <c r="X9" s="632" t="s">
        <v>732</v>
      </c>
      <c r="Y9" s="633"/>
      <c r="Z9" s="633"/>
      <c r="AA9" s="633"/>
      <c r="AB9" s="634"/>
      <c r="AC9" s="632" t="s">
        <v>734</v>
      </c>
      <c r="AD9" s="633"/>
      <c r="AE9" s="633"/>
      <c r="AF9" s="633"/>
      <c r="AG9" s="634"/>
      <c r="AH9" s="632" t="s">
        <v>756</v>
      </c>
      <c r="AI9" s="633"/>
      <c r="AJ9" s="633"/>
      <c r="AK9" s="633"/>
      <c r="AL9" s="633"/>
      <c r="AM9" s="634"/>
    </row>
    <row r="10" spans="1:39" ht="21" customHeight="1">
      <c r="A10" s="644"/>
      <c r="B10" s="645"/>
      <c r="C10" s="645"/>
      <c r="D10" s="645"/>
      <c r="E10" s="645"/>
      <c r="F10" s="645"/>
      <c r="G10" s="646"/>
      <c r="H10" s="635"/>
      <c r="I10" s="636"/>
      <c r="J10" s="636"/>
      <c r="K10" s="637"/>
      <c r="L10" s="635"/>
      <c r="M10" s="636"/>
      <c r="N10" s="636"/>
      <c r="O10" s="636"/>
      <c r="P10" s="637"/>
      <c r="Q10" s="644"/>
      <c r="R10" s="645"/>
      <c r="S10" s="646"/>
      <c r="T10" s="644"/>
      <c r="U10" s="645"/>
      <c r="V10" s="645"/>
      <c r="W10" s="646"/>
      <c r="X10" s="635"/>
      <c r="Y10" s="636"/>
      <c r="Z10" s="636"/>
      <c r="AA10" s="636"/>
      <c r="AB10" s="637"/>
      <c r="AC10" s="635"/>
      <c r="AD10" s="636"/>
      <c r="AE10" s="636"/>
      <c r="AF10" s="636"/>
      <c r="AG10" s="637"/>
      <c r="AH10" s="635"/>
      <c r="AI10" s="636"/>
      <c r="AJ10" s="636"/>
      <c r="AK10" s="636"/>
      <c r="AL10" s="636"/>
      <c r="AM10" s="637"/>
    </row>
    <row r="11" spans="1:39">
      <c r="A11" s="619">
        <v>84100100</v>
      </c>
      <c r="B11" s="619"/>
      <c r="C11" s="619"/>
      <c r="D11" s="619"/>
      <c r="E11" s="619"/>
      <c r="F11" s="619"/>
      <c r="G11" s="619"/>
      <c r="H11" s="619" t="s">
        <v>730</v>
      </c>
      <c r="I11" s="619"/>
      <c r="J11" s="619"/>
      <c r="K11" s="638"/>
      <c r="L11" s="629">
        <f>'Date masura OD'!$I$5</f>
        <v>45778</v>
      </c>
      <c r="M11" s="630"/>
      <c r="N11" s="630"/>
      <c r="O11" s="630"/>
      <c r="P11" s="631"/>
      <c r="Q11" s="639" t="s">
        <v>446</v>
      </c>
      <c r="R11" s="639"/>
      <c r="S11" s="619"/>
      <c r="T11" s="619">
        <v>1</v>
      </c>
      <c r="U11" s="619"/>
      <c r="V11" s="619"/>
      <c r="W11" s="619"/>
      <c r="X11" s="640">
        <f>'Date masura OD'!L56</f>
        <v>15722549</v>
      </c>
      <c r="Y11" s="640"/>
      <c r="Z11" s="640"/>
      <c r="AA11" s="640"/>
      <c r="AB11" s="640"/>
      <c r="AC11" s="640">
        <f>'Date masura OD'!M56</f>
        <v>15833001</v>
      </c>
      <c r="AD11" s="640"/>
      <c r="AE11" s="640"/>
      <c r="AF11" s="640"/>
      <c r="AG11" s="640"/>
      <c r="AH11" s="640">
        <f>AC11-X11</f>
        <v>110452</v>
      </c>
      <c r="AI11" s="640"/>
      <c r="AJ11" s="640"/>
      <c r="AK11" s="640"/>
      <c r="AL11" s="640"/>
      <c r="AM11" s="640"/>
    </row>
    <row r="12" spans="1:39">
      <c r="A12" s="619"/>
      <c r="B12" s="619"/>
      <c r="C12" s="619"/>
      <c r="D12" s="619"/>
      <c r="E12" s="619"/>
      <c r="F12" s="619"/>
      <c r="G12" s="619"/>
      <c r="H12" s="619"/>
      <c r="I12" s="619"/>
      <c r="J12" s="619"/>
      <c r="K12" s="638"/>
      <c r="L12" s="623" t="s">
        <v>69</v>
      </c>
      <c r="M12" s="624"/>
      <c r="N12" s="624"/>
      <c r="O12" s="624"/>
      <c r="P12" s="625"/>
      <c r="Q12" s="639"/>
      <c r="R12" s="639"/>
      <c r="S12" s="619"/>
      <c r="T12" s="619"/>
      <c r="U12" s="619"/>
      <c r="V12" s="619"/>
      <c r="W12" s="619"/>
      <c r="X12" s="640"/>
      <c r="Y12" s="640"/>
      <c r="Z12" s="640"/>
      <c r="AA12" s="640"/>
      <c r="AB12" s="640"/>
      <c r="AC12" s="640"/>
      <c r="AD12" s="640"/>
      <c r="AE12" s="640"/>
      <c r="AF12" s="640"/>
      <c r="AG12" s="640"/>
      <c r="AH12" s="640"/>
      <c r="AI12" s="640"/>
      <c r="AJ12" s="640"/>
      <c r="AK12" s="640"/>
      <c r="AL12" s="640"/>
      <c r="AM12" s="640"/>
    </row>
    <row r="13" spans="1:39">
      <c r="A13" s="619"/>
      <c r="B13" s="619"/>
      <c r="C13" s="619"/>
      <c r="D13" s="619"/>
      <c r="E13" s="619"/>
      <c r="F13" s="619"/>
      <c r="G13" s="619"/>
      <c r="H13" s="619"/>
      <c r="I13" s="619"/>
      <c r="J13" s="619"/>
      <c r="K13" s="638"/>
      <c r="L13" s="626">
        <f>'Date masura OD'!$J$5</f>
        <v>45808</v>
      </c>
      <c r="M13" s="627"/>
      <c r="N13" s="627"/>
      <c r="O13" s="627"/>
      <c r="P13" s="628"/>
      <c r="Q13" s="639"/>
      <c r="R13" s="639"/>
      <c r="S13" s="619"/>
      <c r="T13" s="619"/>
      <c r="U13" s="619"/>
      <c r="V13" s="619"/>
      <c r="W13" s="619"/>
      <c r="X13" s="640"/>
      <c r="Y13" s="640"/>
      <c r="Z13" s="640"/>
      <c r="AA13" s="640"/>
      <c r="AB13" s="640"/>
      <c r="AC13" s="640"/>
      <c r="AD13" s="640"/>
      <c r="AE13" s="640"/>
      <c r="AF13" s="640"/>
      <c r="AG13" s="640"/>
      <c r="AH13" s="640"/>
      <c r="AI13" s="640"/>
      <c r="AJ13" s="640"/>
      <c r="AK13" s="640"/>
      <c r="AL13" s="640"/>
      <c r="AM13" s="640"/>
    </row>
    <row r="14" spans="1:39">
      <c r="A14" s="619"/>
      <c r="B14" s="619"/>
      <c r="C14" s="619"/>
      <c r="D14" s="619"/>
      <c r="E14" s="619"/>
      <c r="F14" s="619"/>
      <c r="G14" s="619"/>
      <c r="H14" s="619" t="s">
        <v>696</v>
      </c>
      <c r="I14" s="619"/>
      <c r="J14" s="619"/>
      <c r="K14" s="619"/>
      <c r="L14" s="629">
        <f t="shared" ref="L14:L19" si="0">L11</f>
        <v>45778</v>
      </c>
      <c r="M14" s="630"/>
      <c r="N14" s="630"/>
      <c r="O14" s="630"/>
      <c r="P14" s="631"/>
      <c r="Q14" s="619" t="s">
        <v>720</v>
      </c>
      <c r="R14" s="619"/>
      <c r="S14" s="619"/>
      <c r="T14" s="619">
        <f>T11</f>
        <v>1</v>
      </c>
      <c r="U14" s="619"/>
      <c r="V14" s="619"/>
      <c r="W14" s="619"/>
      <c r="X14" s="640">
        <f>'Date masura OD'!N56</f>
        <v>399820</v>
      </c>
      <c r="Y14" s="640"/>
      <c r="Z14" s="640"/>
      <c r="AA14" s="640"/>
      <c r="AB14" s="640"/>
      <c r="AC14" s="640">
        <v>399797</v>
      </c>
      <c r="AD14" s="640"/>
      <c r="AE14" s="640"/>
      <c r="AF14" s="640"/>
      <c r="AG14" s="640"/>
      <c r="AH14" s="640">
        <f>AC14-X14</f>
        <v>-23</v>
      </c>
      <c r="AI14" s="640"/>
      <c r="AJ14" s="640"/>
      <c r="AK14" s="640"/>
      <c r="AL14" s="640"/>
      <c r="AM14" s="640"/>
    </row>
    <row r="15" spans="1:39">
      <c r="A15" s="619"/>
      <c r="B15" s="619"/>
      <c r="C15" s="619"/>
      <c r="D15" s="619"/>
      <c r="E15" s="619"/>
      <c r="F15" s="619"/>
      <c r="G15" s="619"/>
      <c r="H15" s="619"/>
      <c r="I15" s="619"/>
      <c r="J15" s="619"/>
      <c r="K15" s="619"/>
      <c r="L15" s="623" t="str">
        <f t="shared" si="0"/>
        <v>-</v>
      </c>
      <c r="M15" s="624"/>
      <c r="N15" s="624"/>
      <c r="O15" s="624"/>
      <c r="P15" s="625"/>
      <c r="Q15" s="619"/>
      <c r="R15" s="619"/>
      <c r="S15" s="619"/>
      <c r="T15" s="619"/>
      <c r="U15" s="619"/>
      <c r="V15" s="619"/>
      <c r="W15" s="619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</row>
    <row r="16" spans="1:39">
      <c r="A16" s="619"/>
      <c r="B16" s="619"/>
      <c r="C16" s="619"/>
      <c r="D16" s="619"/>
      <c r="E16" s="619"/>
      <c r="F16" s="619"/>
      <c r="G16" s="619"/>
      <c r="H16" s="619"/>
      <c r="I16" s="619"/>
      <c r="J16" s="619"/>
      <c r="K16" s="619"/>
      <c r="L16" s="626">
        <f t="shared" si="0"/>
        <v>45808</v>
      </c>
      <c r="M16" s="627"/>
      <c r="N16" s="627"/>
      <c r="O16" s="627"/>
      <c r="P16" s="628"/>
      <c r="Q16" s="619"/>
      <c r="R16" s="619"/>
      <c r="S16" s="619"/>
      <c r="T16" s="619"/>
      <c r="U16" s="619"/>
      <c r="V16" s="619"/>
      <c r="W16" s="619"/>
      <c r="X16" s="640"/>
      <c r="Y16" s="640"/>
      <c r="Z16" s="640"/>
      <c r="AA16" s="640"/>
      <c r="AB16" s="640"/>
      <c r="AC16" s="640"/>
      <c r="AD16" s="640"/>
      <c r="AE16" s="640"/>
      <c r="AF16" s="640"/>
      <c r="AG16" s="640"/>
      <c r="AH16" s="640"/>
      <c r="AI16" s="640"/>
      <c r="AJ16" s="640"/>
      <c r="AK16" s="640"/>
      <c r="AL16" s="640"/>
      <c r="AM16" s="640"/>
    </row>
    <row r="17" spans="1:39">
      <c r="A17" s="619"/>
      <c r="B17" s="619"/>
      <c r="C17" s="619"/>
      <c r="D17" s="619"/>
      <c r="E17" s="619"/>
      <c r="F17" s="619"/>
      <c r="G17" s="619"/>
      <c r="H17" s="619" t="s">
        <v>731</v>
      </c>
      <c r="I17" s="619"/>
      <c r="J17" s="619"/>
      <c r="K17" s="619"/>
      <c r="L17" s="629">
        <f t="shared" si="0"/>
        <v>45778</v>
      </c>
      <c r="M17" s="630"/>
      <c r="N17" s="630"/>
      <c r="O17" s="630"/>
      <c r="P17" s="631"/>
      <c r="Q17" s="619" t="s">
        <v>720</v>
      </c>
      <c r="R17" s="619"/>
      <c r="S17" s="619"/>
      <c r="T17" s="619">
        <f>T14</f>
        <v>1</v>
      </c>
      <c r="U17" s="619"/>
      <c r="V17" s="619"/>
      <c r="W17" s="619"/>
      <c r="X17" s="640">
        <f>'Date masura OD'!P56</f>
        <v>2533741</v>
      </c>
      <c r="Y17" s="640"/>
      <c r="Z17" s="640"/>
      <c r="AA17" s="640"/>
      <c r="AB17" s="640"/>
      <c r="AC17" s="640">
        <v>2414025</v>
      </c>
      <c r="AD17" s="640"/>
      <c r="AE17" s="640"/>
      <c r="AF17" s="640"/>
      <c r="AG17" s="640"/>
      <c r="AH17" s="640">
        <f>AC17-X17</f>
        <v>-119716</v>
      </c>
      <c r="AI17" s="640"/>
      <c r="AJ17" s="640"/>
      <c r="AK17" s="640"/>
      <c r="AL17" s="640"/>
      <c r="AM17" s="640"/>
    </row>
    <row r="18" spans="1:39">
      <c r="A18" s="619"/>
      <c r="B18" s="619"/>
      <c r="C18" s="619"/>
      <c r="D18" s="619"/>
      <c r="E18" s="619"/>
      <c r="F18" s="619"/>
      <c r="G18" s="619"/>
      <c r="H18" s="619"/>
      <c r="I18" s="619"/>
      <c r="J18" s="619"/>
      <c r="K18" s="619"/>
      <c r="L18" s="623" t="str">
        <f t="shared" si="0"/>
        <v>-</v>
      </c>
      <c r="M18" s="624"/>
      <c r="N18" s="624"/>
      <c r="O18" s="624"/>
      <c r="P18" s="625"/>
      <c r="Q18" s="619"/>
      <c r="R18" s="619"/>
      <c r="S18" s="619"/>
      <c r="T18" s="619"/>
      <c r="U18" s="619"/>
      <c r="V18" s="619"/>
      <c r="W18" s="619"/>
      <c r="X18" s="640"/>
      <c r="Y18" s="640"/>
      <c r="Z18" s="640"/>
      <c r="AA18" s="640"/>
      <c r="AB18" s="640"/>
      <c r="AC18" s="640"/>
      <c r="AD18" s="640"/>
      <c r="AE18" s="640"/>
      <c r="AF18" s="640"/>
      <c r="AG18" s="640"/>
      <c r="AH18" s="640"/>
      <c r="AI18" s="640"/>
      <c r="AJ18" s="640"/>
      <c r="AK18" s="640"/>
      <c r="AL18" s="640"/>
      <c r="AM18" s="640"/>
    </row>
    <row r="19" spans="1:39">
      <c r="A19" s="619"/>
      <c r="B19" s="619"/>
      <c r="C19" s="619"/>
      <c r="D19" s="619"/>
      <c r="E19" s="619"/>
      <c r="F19" s="619"/>
      <c r="G19" s="619"/>
      <c r="H19" s="619"/>
      <c r="I19" s="619"/>
      <c r="J19" s="619"/>
      <c r="K19" s="619"/>
      <c r="L19" s="626">
        <f t="shared" si="0"/>
        <v>45808</v>
      </c>
      <c r="M19" s="627"/>
      <c r="N19" s="627"/>
      <c r="O19" s="627"/>
      <c r="P19" s="628"/>
      <c r="Q19" s="619"/>
      <c r="R19" s="619"/>
      <c r="S19" s="619"/>
      <c r="T19" s="619"/>
      <c r="U19" s="619"/>
      <c r="V19" s="619"/>
      <c r="W19" s="619"/>
      <c r="X19" s="640"/>
      <c r="Y19" s="640"/>
      <c r="Z19" s="640"/>
      <c r="AA19" s="640"/>
      <c r="AB19" s="640"/>
      <c r="AC19" s="640"/>
      <c r="AD19" s="640"/>
      <c r="AE19" s="640"/>
      <c r="AF19" s="640"/>
      <c r="AG19" s="640"/>
      <c r="AH19" s="640"/>
      <c r="AI19" s="640"/>
      <c r="AJ19" s="640"/>
      <c r="AK19" s="640"/>
      <c r="AL19" s="640"/>
      <c r="AM19" s="640"/>
    </row>
    <row r="21" spans="1:39">
      <c r="A21" s="620" t="s">
        <v>735</v>
      </c>
      <c r="B21" s="621"/>
      <c r="C21" s="621"/>
      <c r="D21" s="621"/>
      <c r="E21" s="621"/>
      <c r="F21" s="621"/>
      <c r="G21" s="622"/>
      <c r="H21" s="620" t="str">
        <f>H4</f>
        <v>DN65B, 117140, loc. Geamana, jud. Arges</v>
      </c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21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21"/>
      <c r="AF21" s="621"/>
      <c r="AG21" s="621"/>
      <c r="AH21" s="621"/>
      <c r="AI21" s="621"/>
      <c r="AJ21" s="621"/>
      <c r="AK21" s="621"/>
      <c r="AL21" s="621"/>
      <c r="AM21" s="622"/>
    </row>
    <row r="22" spans="1:39" ht="15.95" customHeight="1">
      <c r="A22" s="620" t="s">
        <v>859</v>
      </c>
      <c r="B22" s="621"/>
      <c r="C22" s="621"/>
      <c r="D22" s="621"/>
      <c r="E22" s="621"/>
      <c r="F22" s="621"/>
      <c r="G22" s="622"/>
      <c r="H22" s="620">
        <f>H5</f>
        <v>51544913</v>
      </c>
      <c r="I22" s="621"/>
      <c r="J22" s="621"/>
      <c r="K22" s="621"/>
      <c r="L22" s="621"/>
      <c r="M22" s="621"/>
      <c r="N22" s="621"/>
      <c r="O22" s="621"/>
      <c r="P22" s="621"/>
      <c r="Q22" s="621"/>
      <c r="R22" s="621"/>
      <c r="S22" s="621"/>
      <c r="T22" s="621"/>
      <c r="U22" s="621"/>
      <c r="V22" s="621"/>
      <c r="W22" s="621"/>
      <c r="X22" s="621"/>
      <c r="Y22" s="621"/>
      <c r="Z22" s="621"/>
      <c r="AA22" s="621"/>
      <c r="AB22" s="621"/>
      <c r="AC22" s="621"/>
      <c r="AD22" s="621"/>
      <c r="AE22" s="621"/>
      <c r="AF22" s="621"/>
      <c r="AG22" s="621"/>
      <c r="AH22" s="621"/>
      <c r="AI22" s="621"/>
      <c r="AJ22" s="621"/>
      <c r="AK22" s="621"/>
      <c r="AL22" s="621"/>
      <c r="AM22" s="622"/>
    </row>
    <row r="23" spans="1:39">
      <c r="A23" s="620" t="s">
        <v>902</v>
      </c>
      <c r="B23" s="621"/>
      <c r="C23" s="621"/>
      <c r="D23" s="621"/>
      <c r="E23" s="621"/>
      <c r="F23" s="621"/>
      <c r="G23" s="622"/>
      <c r="H23" s="620">
        <v>71448223</v>
      </c>
      <c r="I23" s="621"/>
      <c r="J23" s="621"/>
      <c r="K23" s="621"/>
      <c r="L23" s="621"/>
      <c r="M23" s="621"/>
      <c r="N23" s="621"/>
      <c r="O23" s="621"/>
      <c r="P23" s="621"/>
      <c r="Q23" s="621"/>
      <c r="R23" s="621"/>
      <c r="S23" s="621"/>
      <c r="T23" s="621"/>
      <c r="U23" s="621"/>
      <c r="V23" s="621"/>
      <c r="W23" s="621" t="s">
        <v>860</v>
      </c>
      <c r="X23" s="621"/>
      <c r="Y23" s="621"/>
      <c r="Z23" s="621"/>
      <c r="AA23" s="621" t="e">
        <f>_xlfn.CONCAT(#REF!,"_",1)</f>
        <v>#REF!</v>
      </c>
      <c r="AB23" s="621"/>
      <c r="AC23" s="621"/>
      <c r="AD23" s="621"/>
      <c r="AE23" s="621"/>
      <c r="AF23" s="621"/>
      <c r="AG23" s="621"/>
      <c r="AH23" s="621"/>
      <c r="AI23" s="621"/>
      <c r="AJ23" s="621"/>
      <c r="AK23" s="621"/>
      <c r="AL23" s="621"/>
      <c r="AM23" s="622"/>
    </row>
    <row r="24" spans="1:39">
      <c r="A24" s="620" t="s">
        <v>748</v>
      </c>
      <c r="B24" s="621"/>
      <c r="C24" s="621"/>
      <c r="D24" s="621"/>
      <c r="E24" s="621"/>
      <c r="F24" s="621"/>
      <c r="G24" s="622"/>
      <c r="H24" s="620" t="str">
        <f>"59401020000375096971448223"</f>
        <v>59401020000375096971448223</v>
      </c>
      <c r="I24" s="621"/>
      <c r="J24" s="621"/>
      <c r="K24" s="621"/>
      <c r="L24" s="621"/>
      <c r="M24" s="621"/>
      <c r="N24" s="621"/>
      <c r="O24" s="621"/>
      <c r="P24" s="621"/>
      <c r="Q24" s="621"/>
      <c r="R24" s="621"/>
      <c r="S24" s="621"/>
      <c r="T24" s="621"/>
      <c r="U24" s="621"/>
      <c r="V24" s="621"/>
      <c r="W24" s="621" t="s">
        <v>860</v>
      </c>
      <c r="X24" s="621"/>
      <c r="Y24" s="621"/>
      <c r="Z24" s="621"/>
      <c r="AA24" s="621" t="e">
        <f>_xlfn.CONCAT(#REF!,"_",1)</f>
        <v>#REF!</v>
      </c>
      <c r="AB24" s="621"/>
      <c r="AC24" s="621"/>
      <c r="AD24" s="621"/>
      <c r="AE24" s="621"/>
      <c r="AF24" s="621"/>
      <c r="AG24" s="621"/>
      <c r="AH24" s="621"/>
      <c r="AI24" s="621"/>
      <c r="AJ24" s="621"/>
      <c r="AK24" s="621"/>
      <c r="AL24" s="621"/>
      <c r="AM24" s="622"/>
    </row>
    <row r="26" spans="1:39">
      <c r="A26" s="641" t="s">
        <v>697</v>
      </c>
      <c r="B26" s="642"/>
      <c r="C26" s="642"/>
      <c r="D26" s="642"/>
      <c r="E26" s="642"/>
      <c r="F26" s="642"/>
      <c r="G26" s="643"/>
      <c r="H26" s="632" t="s">
        <v>713</v>
      </c>
      <c r="I26" s="633"/>
      <c r="J26" s="633"/>
      <c r="K26" s="634"/>
      <c r="L26" s="632" t="s">
        <v>714</v>
      </c>
      <c r="M26" s="633"/>
      <c r="N26" s="633"/>
      <c r="O26" s="633"/>
      <c r="P26" s="634"/>
      <c r="Q26" s="641" t="s">
        <v>519</v>
      </c>
      <c r="R26" s="642"/>
      <c r="S26" s="643"/>
      <c r="T26" s="641" t="s">
        <v>715</v>
      </c>
      <c r="U26" s="642"/>
      <c r="V26" s="642"/>
      <c r="W26" s="643"/>
      <c r="X26" s="632" t="s">
        <v>732</v>
      </c>
      <c r="Y26" s="633"/>
      <c r="Z26" s="633"/>
      <c r="AA26" s="633"/>
      <c r="AB26" s="634"/>
      <c r="AC26" s="632" t="s">
        <v>734</v>
      </c>
      <c r="AD26" s="633"/>
      <c r="AE26" s="633"/>
      <c r="AF26" s="633"/>
      <c r="AG26" s="634"/>
      <c r="AH26" s="632" t="s">
        <v>756</v>
      </c>
      <c r="AI26" s="633"/>
      <c r="AJ26" s="633"/>
      <c r="AK26" s="633"/>
      <c r="AL26" s="633"/>
      <c r="AM26" s="634"/>
    </row>
    <row r="27" spans="1:39" ht="21" customHeight="1">
      <c r="A27" s="644"/>
      <c r="B27" s="645"/>
      <c r="C27" s="645"/>
      <c r="D27" s="645"/>
      <c r="E27" s="645"/>
      <c r="F27" s="645"/>
      <c r="G27" s="646"/>
      <c r="H27" s="635"/>
      <c r="I27" s="636"/>
      <c r="J27" s="636"/>
      <c r="K27" s="637"/>
      <c r="L27" s="635"/>
      <c r="M27" s="636"/>
      <c r="N27" s="636"/>
      <c r="O27" s="636"/>
      <c r="P27" s="637"/>
      <c r="Q27" s="644"/>
      <c r="R27" s="645"/>
      <c r="S27" s="646"/>
      <c r="T27" s="644"/>
      <c r="U27" s="645"/>
      <c r="V27" s="645"/>
      <c r="W27" s="646"/>
      <c r="X27" s="635"/>
      <c r="Y27" s="636"/>
      <c r="Z27" s="636"/>
      <c r="AA27" s="636"/>
      <c r="AB27" s="637"/>
      <c r="AC27" s="635"/>
      <c r="AD27" s="636"/>
      <c r="AE27" s="636"/>
      <c r="AF27" s="636"/>
      <c r="AG27" s="637"/>
      <c r="AH27" s="635"/>
      <c r="AI27" s="636"/>
      <c r="AJ27" s="636"/>
      <c r="AK27" s="636"/>
      <c r="AL27" s="636"/>
      <c r="AM27" s="637"/>
    </row>
    <row r="28" spans="1:39">
      <c r="A28" s="619">
        <v>90075870</v>
      </c>
      <c r="B28" s="619"/>
      <c r="C28" s="619"/>
      <c r="D28" s="619"/>
      <c r="E28" s="619"/>
      <c r="F28" s="619"/>
      <c r="G28" s="619"/>
      <c r="H28" s="619" t="s">
        <v>730</v>
      </c>
      <c r="I28" s="619"/>
      <c r="J28" s="619"/>
      <c r="K28" s="638"/>
      <c r="L28" s="629">
        <f>'Date masura OD'!$I$5</f>
        <v>45778</v>
      </c>
      <c r="M28" s="630"/>
      <c r="N28" s="630"/>
      <c r="O28" s="630"/>
      <c r="P28" s="631"/>
      <c r="Q28" s="639" t="s">
        <v>446</v>
      </c>
      <c r="R28" s="639"/>
      <c r="S28" s="619"/>
      <c r="T28" s="619">
        <v>1</v>
      </c>
      <c r="U28" s="619"/>
      <c r="V28" s="619"/>
      <c r="W28" s="619"/>
      <c r="X28" s="640">
        <f>'Date masura OD'!L57</f>
        <v>4243801</v>
      </c>
      <c r="Y28" s="640"/>
      <c r="Z28" s="640"/>
      <c r="AA28" s="640"/>
      <c r="AB28" s="640"/>
      <c r="AC28" s="640">
        <f>'Date masura OD'!M57</f>
        <v>4374126</v>
      </c>
      <c r="AD28" s="640"/>
      <c r="AE28" s="640"/>
      <c r="AF28" s="640"/>
      <c r="AG28" s="640"/>
      <c r="AH28" s="640">
        <f>AC28-X28</f>
        <v>130325</v>
      </c>
      <c r="AI28" s="640"/>
      <c r="AJ28" s="640"/>
      <c r="AK28" s="640"/>
      <c r="AL28" s="640"/>
      <c r="AM28" s="640"/>
    </row>
    <row r="29" spans="1:39">
      <c r="A29" s="619"/>
      <c r="B29" s="619"/>
      <c r="C29" s="619"/>
      <c r="D29" s="619"/>
      <c r="E29" s="619"/>
      <c r="F29" s="619"/>
      <c r="G29" s="619"/>
      <c r="H29" s="619"/>
      <c r="I29" s="619"/>
      <c r="J29" s="619"/>
      <c r="K29" s="638"/>
      <c r="L29" s="623" t="s">
        <v>69</v>
      </c>
      <c r="M29" s="624"/>
      <c r="N29" s="624"/>
      <c r="O29" s="624"/>
      <c r="P29" s="625"/>
      <c r="Q29" s="639"/>
      <c r="R29" s="639"/>
      <c r="S29" s="619"/>
      <c r="T29" s="619"/>
      <c r="U29" s="619"/>
      <c r="V29" s="619"/>
      <c r="W29" s="619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640"/>
      <c r="AL29" s="640"/>
      <c r="AM29" s="640"/>
    </row>
    <row r="30" spans="1:39">
      <c r="A30" s="619"/>
      <c r="B30" s="619"/>
      <c r="C30" s="619"/>
      <c r="D30" s="619"/>
      <c r="E30" s="619"/>
      <c r="F30" s="619"/>
      <c r="G30" s="619"/>
      <c r="H30" s="619"/>
      <c r="I30" s="619"/>
      <c r="J30" s="619"/>
      <c r="K30" s="638"/>
      <c r="L30" s="626">
        <f>'Date masura OD'!$J$5</f>
        <v>45808</v>
      </c>
      <c r="M30" s="627"/>
      <c r="N30" s="627"/>
      <c r="O30" s="627"/>
      <c r="P30" s="628"/>
      <c r="Q30" s="639"/>
      <c r="R30" s="639"/>
      <c r="S30" s="619"/>
      <c r="T30" s="619"/>
      <c r="U30" s="619"/>
      <c r="V30" s="619"/>
      <c r="W30" s="619"/>
      <c r="X30" s="640"/>
      <c r="Y30" s="640"/>
      <c r="Z30" s="640"/>
      <c r="AA30" s="640"/>
      <c r="AB30" s="640"/>
      <c r="AC30" s="640"/>
      <c r="AD30" s="640"/>
      <c r="AE30" s="640"/>
      <c r="AF30" s="640"/>
      <c r="AG30" s="640"/>
      <c r="AH30" s="640"/>
      <c r="AI30" s="640"/>
      <c r="AJ30" s="640"/>
      <c r="AK30" s="640"/>
      <c r="AL30" s="640"/>
      <c r="AM30" s="640"/>
    </row>
    <row r="31" spans="1:39">
      <c r="A31" s="619"/>
      <c r="B31" s="619"/>
      <c r="C31" s="619"/>
      <c r="D31" s="619"/>
      <c r="E31" s="619"/>
      <c r="F31" s="619"/>
      <c r="G31" s="619"/>
      <c r="H31" s="619" t="s">
        <v>696</v>
      </c>
      <c r="I31" s="619"/>
      <c r="J31" s="619"/>
      <c r="K31" s="619"/>
      <c r="L31" s="629">
        <f t="shared" ref="L31:L36" si="1">L28</f>
        <v>45778</v>
      </c>
      <c r="M31" s="630"/>
      <c r="N31" s="630"/>
      <c r="O31" s="630"/>
      <c r="P31" s="631"/>
      <c r="Q31" s="619" t="s">
        <v>720</v>
      </c>
      <c r="R31" s="619"/>
      <c r="S31" s="619"/>
      <c r="T31" s="619">
        <f>T28</f>
        <v>1</v>
      </c>
      <c r="U31" s="619"/>
      <c r="V31" s="619"/>
      <c r="W31" s="619"/>
      <c r="X31" s="640">
        <f>'Date masura OD'!N57</f>
        <v>28630</v>
      </c>
      <c r="Y31" s="640"/>
      <c r="Z31" s="640"/>
      <c r="AA31" s="640"/>
      <c r="AB31" s="640"/>
      <c r="AC31" s="640">
        <v>28616</v>
      </c>
      <c r="AD31" s="640"/>
      <c r="AE31" s="640"/>
      <c r="AF31" s="640"/>
      <c r="AG31" s="640"/>
      <c r="AH31" s="640">
        <f>AC31-X31</f>
        <v>-14</v>
      </c>
      <c r="AI31" s="640"/>
      <c r="AJ31" s="640"/>
      <c r="AK31" s="640"/>
      <c r="AL31" s="640"/>
      <c r="AM31" s="640"/>
    </row>
    <row r="32" spans="1:39">
      <c r="A32" s="619"/>
      <c r="B32" s="619"/>
      <c r="C32" s="619"/>
      <c r="D32" s="619"/>
      <c r="E32" s="619"/>
      <c r="F32" s="619"/>
      <c r="G32" s="619"/>
      <c r="H32" s="619"/>
      <c r="I32" s="619"/>
      <c r="J32" s="619"/>
      <c r="K32" s="619"/>
      <c r="L32" s="623" t="str">
        <f t="shared" si="1"/>
        <v>-</v>
      </c>
      <c r="M32" s="624"/>
      <c r="N32" s="624"/>
      <c r="O32" s="624"/>
      <c r="P32" s="625"/>
      <c r="Q32" s="619"/>
      <c r="R32" s="619"/>
      <c r="S32" s="619"/>
      <c r="T32" s="619"/>
      <c r="U32" s="619"/>
      <c r="V32" s="619"/>
      <c r="W32" s="619"/>
      <c r="X32" s="640"/>
      <c r="Y32" s="640"/>
      <c r="Z32" s="640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>
      <c r="A33" s="619"/>
      <c r="B33" s="619"/>
      <c r="C33" s="619"/>
      <c r="D33" s="619"/>
      <c r="E33" s="619"/>
      <c r="F33" s="619"/>
      <c r="G33" s="619"/>
      <c r="H33" s="619"/>
      <c r="I33" s="619"/>
      <c r="J33" s="619"/>
      <c r="K33" s="619"/>
      <c r="L33" s="626">
        <f t="shared" si="1"/>
        <v>45808</v>
      </c>
      <c r="M33" s="627"/>
      <c r="N33" s="627"/>
      <c r="O33" s="627"/>
      <c r="P33" s="628"/>
      <c r="Q33" s="619"/>
      <c r="R33" s="619"/>
      <c r="S33" s="619"/>
      <c r="T33" s="619"/>
      <c r="U33" s="619"/>
      <c r="V33" s="619"/>
      <c r="W33" s="619"/>
      <c r="X33" s="640"/>
      <c r="Y33" s="640"/>
      <c r="Z33" s="640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4" spans="1:39">
      <c r="A34" s="619"/>
      <c r="B34" s="619"/>
      <c r="C34" s="619"/>
      <c r="D34" s="619"/>
      <c r="E34" s="619"/>
      <c r="F34" s="619"/>
      <c r="G34" s="619"/>
      <c r="H34" s="619" t="s">
        <v>731</v>
      </c>
      <c r="I34" s="619"/>
      <c r="J34" s="619"/>
      <c r="K34" s="619"/>
      <c r="L34" s="629">
        <f t="shared" si="1"/>
        <v>45778</v>
      </c>
      <c r="M34" s="630"/>
      <c r="N34" s="630"/>
      <c r="O34" s="630"/>
      <c r="P34" s="631"/>
      <c r="Q34" s="619" t="s">
        <v>720</v>
      </c>
      <c r="R34" s="619"/>
      <c r="S34" s="619"/>
      <c r="T34" s="619">
        <f>T31</f>
        <v>1</v>
      </c>
      <c r="U34" s="619"/>
      <c r="V34" s="619"/>
      <c r="W34" s="619"/>
      <c r="X34" s="640">
        <f>'Date masura OD'!P57</f>
        <v>738474</v>
      </c>
      <c r="Y34" s="640"/>
      <c r="Z34" s="640"/>
      <c r="AA34" s="640"/>
      <c r="AB34" s="640"/>
      <c r="AC34" s="640">
        <v>612669</v>
      </c>
      <c r="AD34" s="640"/>
      <c r="AE34" s="640"/>
      <c r="AF34" s="640"/>
      <c r="AG34" s="640"/>
      <c r="AH34" s="640">
        <f>AC34-X34</f>
        <v>-125805</v>
      </c>
      <c r="AI34" s="640"/>
      <c r="AJ34" s="640"/>
      <c r="AK34" s="640"/>
      <c r="AL34" s="640"/>
      <c r="AM34" s="640"/>
    </row>
    <row r="35" spans="1:39">
      <c r="A35" s="619"/>
      <c r="B35" s="619"/>
      <c r="C35" s="619"/>
      <c r="D35" s="619"/>
      <c r="E35" s="619"/>
      <c r="F35" s="619"/>
      <c r="G35" s="619"/>
      <c r="H35" s="619"/>
      <c r="I35" s="619"/>
      <c r="J35" s="619"/>
      <c r="K35" s="619"/>
      <c r="L35" s="623" t="str">
        <f t="shared" si="1"/>
        <v>-</v>
      </c>
      <c r="M35" s="624"/>
      <c r="N35" s="624"/>
      <c r="O35" s="624"/>
      <c r="P35" s="625"/>
      <c r="Q35" s="619"/>
      <c r="R35" s="619"/>
      <c r="S35" s="619"/>
      <c r="T35" s="619"/>
      <c r="U35" s="619"/>
      <c r="V35" s="619"/>
      <c r="W35" s="619"/>
      <c r="X35" s="640"/>
      <c r="Y35" s="640"/>
      <c r="Z35" s="640"/>
      <c r="AA35" s="640"/>
      <c r="AB35" s="640"/>
      <c r="AC35" s="640"/>
      <c r="AD35" s="640"/>
      <c r="AE35" s="640"/>
      <c r="AF35" s="640"/>
      <c r="AG35" s="640"/>
      <c r="AH35" s="640"/>
      <c r="AI35" s="640"/>
      <c r="AJ35" s="640"/>
      <c r="AK35" s="640"/>
      <c r="AL35" s="640"/>
      <c r="AM35" s="640"/>
    </row>
    <row r="36" spans="1:39">
      <c r="A36" s="619"/>
      <c r="B36" s="619"/>
      <c r="C36" s="619"/>
      <c r="D36" s="619"/>
      <c r="E36" s="619"/>
      <c r="F36" s="619"/>
      <c r="G36" s="619"/>
      <c r="H36" s="619"/>
      <c r="I36" s="619"/>
      <c r="J36" s="619"/>
      <c r="K36" s="619"/>
      <c r="L36" s="626">
        <f t="shared" si="1"/>
        <v>45808</v>
      </c>
      <c r="M36" s="627"/>
      <c r="N36" s="627"/>
      <c r="O36" s="627"/>
      <c r="P36" s="628"/>
      <c r="Q36" s="619"/>
      <c r="R36" s="619"/>
      <c r="S36" s="619"/>
      <c r="T36" s="619"/>
      <c r="U36" s="619"/>
      <c r="V36" s="619"/>
      <c r="W36" s="619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</row>
    <row r="37" spans="1:39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</row>
    <row r="38" spans="1:39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</row>
    <row r="39" spans="1:39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</row>
    <row r="40" spans="1:39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</row>
    <row r="41" spans="1:39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</row>
    <row r="42" spans="1:39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</row>
    <row r="43" spans="1:39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</row>
    <row r="44" spans="1:39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</row>
    <row r="45" spans="1:39">
      <c r="A45" s="624" t="s">
        <v>1430</v>
      </c>
      <c r="B45" s="624"/>
      <c r="C45" s="624"/>
      <c r="D45" s="624"/>
      <c r="E45" s="624"/>
      <c r="F45" s="624"/>
      <c r="G45" s="624"/>
      <c r="H45" s="624"/>
      <c r="I45" s="624"/>
      <c r="J45" s="624"/>
      <c r="K45" s="624"/>
      <c r="L45" s="624"/>
      <c r="M45" s="624"/>
      <c r="N45" s="624"/>
      <c r="O45" s="624"/>
      <c r="P45" s="624"/>
      <c r="Q45" s="624"/>
      <c r="R45" s="624"/>
      <c r="S45" s="624"/>
      <c r="T45" s="624"/>
      <c r="U45" s="624"/>
      <c r="V45" s="624"/>
      <c r="W45" s="624"/>
      <c r="X45" s="624"/>
      <c r="Y45" s="624"/>
      <c r="Z45" s="624"/>
      <c r="AA45" s="624"/>
      <c r="AB45" s="624"/>
      <c r="AC45" s="624"/>
      <c r="AD45" s="624"/>
      <c r="AE45" s="624"/>
      <c r="AF45" s="624"/>
      <c r="AG45" s="624"/>
      <c r="AH45" s="624"/>
      <c r="AI45" s="624"/>
      <c r="AJ45" s="624"/>
      <c r="AK45" s="624"/>
      <c r="AL45" s="624"/>
      <c r="AM45" s="624"/>
    </row>
    <row r="47" spans="1:39">
      <c r="A47" s="649" t="s">
        <v>748</v>
      </c>
      <c r="B47" s="649"/>
      <c r="C47" s="649"/>
      <c r="D47" s="649"/>
      <c r="E47" s="649"/>
      <c r="F47" s="649"/>
      <c r="G47" s="649"/>
      <c r="H47" s="649"/>
      <c r="I47" s="649"/>
      <c r="J47" s="649"/>
      <c r="K47" s="649"/>
      <c r="L47" s="649"/>
      <c r="M47" s="650" t="s">
        <v>404</v>
      </c>
      <c r="N47" s="650"/>
      <c r="O47" s="650"/>
      <c r="P47" s="650"/>
      <c r="Q47" s="650"/>
      <c r="R47" s="650"/>
      <c r="S47" s="650"/>
      <c r="T47" s="650"/>
      <c r="U47" s="650"/>
      <c r="V47" s="650"/>
      <c r="W47" s="650"/>
      <c r="X47" s="650"/>
      <c r="Y47" s="650"/>
      <c r="Z47" s="650"/>
      <c r="AA47" s="650"/>
      <c r="AB47" s="650"/>
      <c r="AC47" s="650"/>
      <c r="AD47" s="650"/>
      <c r="AE47" s="650"/>
      <c r="AF47" s="650"/>
      <c r="AG47" s="650"/>
      <c r="AH47" s="650"/>
      <c r="AI47" s="650" t="s">
        <v>695</v>
      </c>
      <c r="AJ47" s="650"/>
      <c r="AK47" s="650"/>
      <c r="AL47" s="650"/>
      <c r="AM47" s="650"/>
    </row>
    <row r="48" spans="1:39">
      <c r="A48" s="649" t="s">
        <v>746</v>
      </c>
      <c r="B48" s="649"/>
      <c r="C48" s="649"/>
      <c r="D48" s="649"/>
      <c r="E48" s="649"/>
      <c r="F48" s="649"/>
      <c r="G48" s="649"/>
      <c r="H48" s="649"/>
      <c r="I48" s="649"/>
      <c r="J48" s="649"/>
      <c r="K48" s="649"/>
      <c r="L48" s="649"/>
      <c r="M48" s="650" t="s">
        <v>515</v>
      </c>
      <c r="N48" s="650"/>
      <c r="O48" s="650"/>
      <c r="P48" s="650"/>
      <c r="Q48" s="650"/>
      <c r="R48" s="650"/>
      <c r="S48" s="650"/>
      <c r="T48" s="650"/>
      <c r="U48" s="650"/>
      <c r="V48" s="650"/>
      <c r="W48" s="650"/>
      <c r="X48" s="650"/>
      <c r="Y48" s="650"/>
      <c r="Z48" s="650"/>
      <c r="AA48" s="650"/>
      <c r="AB48" s="650"/>
      <c r="AC48" s="650"/>
      <c r="AD48" s="650"/>
      <c r="AE48" s="650"/>
      <c r="AF48" s="650"/>
      <c r="AG48" s="650"/>
      <c r="AH48" s="650"/>
      <c r="AI48" s="619" t="s">
        <v>661</v>
      </c>
      <c r="AJ48" s="619"/>
      <c r="AK48" s="619"/>
      <c r="AL48" s="619"/>
      <c r="AM48" s="619"/>
    </row>
    <row r="49" spans="1:39">
      <c r="A49" s="649" t="s">
        <v>747</v>
      </c>
      <c r="B49" s="649"/>
      <c r="C49" s="649"/>
      <c r="D49" s="649"/>
      <c r="E49" s="649"/>
      <c r="F49" s="649"/>
      <c r="G49" s="649"/>
      <c r="H49" s="649"/>
      <c r="I49" s="649"/>
      <c r="J49" s="649"/>
      <c r="K49" s="649"/>
      <c r="L49" s="649"/>
      <c r="M49" s="650" t="s">
        <v>1157</v>
      </c>
      <c r="N49" s="650"/>
      <c r="O49" s="650"/>
      <c r="P49" s="650"/>
      <c r="Q49" s="650"/>
      <c r="R49" s="650"/>
      <c r="S49" s="650"/>
      <c r="T49" s="650"/>
      <c r="U49" s="650"/>
      <c r="V49" s="650"/>
      <c r="W49" s="650"/>
      <c r="X49" s="650"/>
      <c r="Y49" s="650"/>
      <c r="Z49" s="650"/>
      <c r="AA49" s="650"/>
      <c r="AB49" s="650"/>
      <c r="AC49" s="650"/>
      <c r="AD49" s="650"/>
      <c r="AE49" s="650"/>
      <c r="AF49" s="650"/>
      <c r="AG49" s="650"/>
      <c r="AH49" s="650"/>
      <c r="AI49" s="619"/>
      <c r="AJ49" s="619"/>
      <c r="AK49" s="619"/>
      <c r="AL49" s="619"/>
      <c r="AM49" s="619"/>
    </row>
    <row r="50" spans="1:39">
      <c r="A50" s="648" t="s">
        <v>697</v>
      </c>
      <c r="B50" s="648"/>
      <c r="C50" s="648"/>
      <c r="D50" s="648"/>
      <c r="E50" s="648"/>
      <c r="F50" s="648"/>
      <c r="G50" s="647" t="s">
        <v>713</v>
      </c>
      <c r="H50" s="647"/>
      <c r="I50" s="647"/>
      <c r="J50" s="647" t="s">
        <v>714</v>
      </c>
      <c r="K50" s="647"/>
      <c r="L50" s="647"/>
      <c r="M50" s="648" t="s">
        <v>519</v>
      </c>
      <c r="N50" s="648"/>
      <c r="O50" s="648" t="s">
        <v>715</v>
      </c>
      <c r="P50" s="648"/>
      <c r="Q50" s="648"/>
      <c r="R50" s="647" t="s">
        <v>732</v>
      </c>
      <c r="S50" s="647"/>
      <c r="T50" s="647"/>
      <c r="U50" s="647" t="s">
        <v>734</v>
      </c>
      <c r="V50" s="647"/>
      <c r="W50" s="647"/>
      <c r="X50" s="647" t="s">
        <v>1425</v>
      </c>
      <c r="Y50" s="647"/>
      <c r="Z50" s="647"/>
      <c r="AA50" s="647" t="s">
        <v>716</v>
      </c>
      <c r="AB50" s="647"/>
      <c r="AC50" s="647"/>
      <c r="AD50" s="647" t="s">
        <v>717</v>
      </c>
      <c r="AE50" s="647"/>
      <c r="AF50" s="647" t="s">
        <v>718</v>
      </c>
      <c r="AG50" s="647"/>
      <c r="AH50" s="647"/>
      <c r="AI50" s="647" t="s">
        <v>719</v>
      </c>
      <c r="AJ50" s="647"/>
      <c r="AK50" s="647" t="s">
        <v>733</v>
      </c>
      <c r="AL50" s="647"/>
      <c r="AM50" s="647"/>
    </row>
    <row r="51" spans="1:39">
      <c r="A51" s="648"/>
      <c r="B51" s="648"/>
      <c r="C51" s="648"/>
      <c r="D51" s="648"/>
      <c r="E51" s="648"/>
      <c r="F51" s="648"/>
      <c r="G51" s="647"/>
      <c r="H51" s="647"/>
      <c r="I51" s="647"/>
      <c r="J51" s="647"/>
      <c r="K51" s="647"/>
      <c r="L51" s="647"/>
      <c r="M51" s="648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>
      <c r="A52" s="648"/>
      <c r="B52" s="648"/>
      <c r="C52" s="648"/>
      <c r="D52" s="648"/>
      <c r="E52" s="648"/>
      <c r="F52" s="648"/>
      <c r="G52" s="647"/>
      <c r="H52" s="647"/>
      <c r="I52" s="647"/>
      <c r="J52" s="647"/>
      <c r="K52" s="647"/>
      <c r="L52" s="647"/>
      <c r="M52" s="648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5.95" customHeight="1">
      <c r="A53" s="647">
        <v>23298245</v>
      </c>
      <c r="B53" s="647"/>
      <c r="C53" s="647"/>
      <c r="D53" s="647"/>
      <c r="E53" s="647"/>
      <c r="F53" s="647"/>
      <c r="G53" s="648" t="s">
        <v>730</v>
      </c>
      <c r="H53" s="648"/>
      <c r="I53" s="648"/>
      <c r="J53" s="652">
        <f>L11</f>
        <v>45778</v>
      </c>
      <c r="K53" s="652"/>
      <c r="L53" s="652"/>
      <c r="M53" s="648" t="s">
        <v>446</v>
      </c>
      <c r="N53" s="648"/>
      <c r="O53" s="648">
        <v>500</v>
      </c>
      <c r="P53" s="648"/>
      <c r="Q53" s="648"/>
      <c r="R53" s="647" t="s">
        <v>1444</v>
      </c>
      <c r="S53" s="647"/>
      <c r="T53" s="647"/>
      <c r="U53" s="647" t="s">
        <v>1501</v>
      </c>
      <c r="V53" s="647"/>
      <c r="W53" s="647"/>
      <c r="X53" s="647">
        <v>200.32</v>
      </c>
      <c r="Y53" s="647"/>
      <c r="Z53" s="647"/>
      <c r="AA53" s="647" t="s">
        <v>69</v>
      </c>
      <c r="AB53" s="647"/>
      <c r="AC53" s="647"/>
      <c r="AD53" s="647" t="s">
        <v>69</v>
      </c>
      <c r="AE53" s="647"/>
      <c r="AF53" s="647">
        <f>X53*O53</f>
        <v>100160</v>
      </c>
      <c r="AG53" s="647"/>
      <c r="AH53" s="647"/>
      <c r="AI53" s="647">
        <f>J55-J53+1</f>
        <v>31</v>
      </c>
      <c r="AJ53" s="647"/>
      <c r="AK53" s="647">
        <f>AF53/AI53</f>
        <v>3230.9677419354839</v>
      </c>
      <c r="AL53" s="647"/>
      <c r="AM53" s="647"/>
    </row>
    <row r="54" spans="1:39">
      <c r="A54" s="647"/>
      <c r="B54" s="647"/>
      <c r="C54" s="647"/>
      <c r="D54" s="647"/>
      <c r="E54" s="647"/>
      <c r="F54" s="647"/>
      <c r="G54" s="648"/>
      <c r="H54" s="648"/>
      <c r="I54" s="648"/>
      <c r="J54" s="648" t="s">
        <v>69</v>
      </c>
      <c r="K54" s="648"/>
      <c r="L54" s="648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>
      <c r="A55" s="647"/>
      <c r="B55" s="647"/>
      <c r="C55" s="647"/>
      <c r="D55" s="647"/>
      <c r="E55" s="647"/>
      <c r="F55" s="647"/>
      <c r="G55" s="648"/>
      <c r="H55" s="648"/>
      <c r="I55" s="648"/>
      <c r="J55" s="651">
        <f>L13</f>
        <v>45808</v>
      </c>
      <c r="K55" s="651"/>
      <c r="L55" s="651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5.95" customHeight="1">
      <c r="A56" s="647"/>
      <c r="B56" s="647"/>
      <c r="C56" s="647"/>
      <c r="D56" s="647"/>
      <c r="E56" s="647"/>
      <c r="F56" s="647"/>
      <c r="G56" s="648" t="s">
        <v>696</v>
      </c>
      <c r="H56" s="648"/>
      <c r="I56" s="648"/>
      <c r="J56" s="652">
        <f>J53</f>
        <v>45778</v>
      </c>
      <c r="K56" s="652"/>
      <c r="L56" s="652"/>
      <c r="M56" s="648" t="s">
        <v>720</v>
      </c>
      <c r="N56" s="648"/>
      <c r="O56" s="648">
        <v>500</v>
      </c>
      <c r="P56" s="648"/>
      <c r="Q56" s="648"/>
      <c r="R56" s="647" t="s">
        <v>1445</v>
      </c>
      <c r="S56" s="647"/>
      <c r="T56" s="647"/>
      <c r="U56" s="647" t="s">
        <v>1445</v>
      </c>
      <c r="V56" s="647"/>
      <c r="W56" s="647"/>
      <c r="X56" s="647">
        <v>26.51</v>
      </c>
      <c r="Y56" s="647"/>
      <c r="Z56" s="647"/>
      <c r="AA56" s="647" t="s">
        <v>69</v>
      </c>
      <c r="AB56" s="647"/>
      <c r="AC56" s="647"/>
      <c r="AD56" s="647" t="s">
        <v>69</v>
      </c>
      <c r="AE56" s="647"/>
      <c r="AF56" s="647">
        <v>0</v>
      </c>
      <c r="AG56" s="647"/>
      <c r="AH56" s="647"/>
      <c r="AI56" s="647">
        <f>J58-J56+1</f>
        <v>31</v>
      </c>
      <c r="AJ56" s="647"/>
      <c r="AK56" s="647">
        <v>0</v>
      </c>
      <c r="AL56" s="647"/>
      <c r="AM56" s="647"/>
    </row>
    <row r="57" spans="1:39">
      <c r="A57" s="647"/>
      <c r="B57" s="647"/>
      <c r="C57" s="647"/>
      <c r="D57" s="647"/>
      <c r="E57" s="647"/>
      <c r="F57" s="647"/>
      <c r="G57" s="648"/>
      <c r="H57" s="648"/>
      <c r="I57" s="648"/>
      <c r="J57" s="648" t="s">
        <v>69</v>
      </c>
      <c r="K57" s="648"/>
      <c r="L57" s="648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>
      <c r="A58" s="647"/>
      <c r="B58" s="647"/>
      <c r="C58" s="647"/>
      <c r="D58" s="647"/>
      <c r="E58" s="647"/>
      <c r="F58" s="647"/>
      <c r="G58" s="648"/>
      <c r="H58" s="648"/>
      <c r="I58" s="648"/>
      <c r="J58" s="651">
        <f>J55</f>
        <v>45808</v>
      </c>
      <c r="K58" s="651"/>
      <c r="L58" s="651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5.95" customHeight="1">
      <c r="A59" s="647"/>
      <c r="B59" s="647"/>
      <c r="C59" s="647"/>
      <c r="D59" s="647"/>
      <c r="E59" s="647"/>
      <c r="F59" s="647"/>
      <c r="G59" s="648" t="s">
        <v>731</v>
      </c>
      <c r="H59" s="648"/>
      <c r="I59" s="648"/>
      <c r="J59" s="652">
        <f>J53</f>
        <v>45778</v>
      </c>
      <c r="K59" s="652"/>
      <c r="L59" s="652"/>
      <c r="M59" s="648" t="s">
        <v>720</v>
      </c>
      <c r="N59" s="648"/>
      <c r="O59" s="648">
        <v>500</v>
      </c>
      <c r="P59" s="648"/>
      <c r="Q59" s="648"/>
      <c r="R59" s="647" t="s">
        <v>1446</v>
      </c>
      <c r="S59" s="647"/>
      <c r="T59" s="647"/>
      <c r="U59" s="647" t="s">
        <v>1446</v>
      </c>
      <c r="V59" s="647"/>
      <c r="W59" s="647"/>
      <c r="X59" s="647">
        <v>0.22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v>0</v>
      </c>
      <c r="AG59" s="647"/>
      <c r="AH59" s="647"/>
      <c r="AI59" s="647">
        <f>J61-J59+1</f>
        <v>31</v>
      </c>
      <c r="AJ59" s="647"/>
      <c r="AK59" s="647">
        <v>0</v>
      </c>
      <c r="AL59" s="647"/>
      <c r="AM59" s="647"/>
    </row>
    <row r="60" spans="1:39">
      <c r="A60" s="647"/>
      <c r="B60" s="647"/>
      <c r="C60" s="647"/>
      <c r="D60" s="647"/>
      <c r="E60" s="647"/>
      <c r="F60" s="647"/>
      <c r="G60" s="648"/>
      <c r="H60" s="648"/>
      <c r="I60" s="648"/>
      <c r="J60" s="648" t="s">
        <v>69</v>
      </c>
      <c r="K60" s="648"/>
      <c r="L60" s="648"/>
      <c r="M60" s="648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>
      <c r="A61" s="647"/>
      <c r="B61" s="647"/>
      <c r="C61" s="647"/>
      <c r="D61" s="647"/>
      <c r="E61" s="647"/>
      <c r="F61" s="647"/>
      <c r="G61" s="648"/>
      <c r="H61" s="648"/>
      <c r="I61" s="648"/>
      <c r="J61" s="651">
        <f>J55</f>
        <v>45808</v>
      </c>
      <c r="K61" s="651"/>
      <c r="L61" s="651"/>
      <c r="M61" s="648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5.95" customHeight="1">
      <c r="A62" s="647">
        <v>23298256</v>
      </c>
      <c r="B62" s="647"/>
      <c r="C62" s="647"/>
      <c r="D62" s="647"/>
      <c r="E62" s="647"/>
      <c r="F62" s="647"/>
      <c r="G62" s="648" t="s">
        <v>1301</v>
      </c>
      <c r="H62" s="648"/>
      <c r="I62" s="648"/>
      <c r="J62" s="652">
        <f>J53</f>
        <v>45778</v>
      </c>
      <c r="K62" s="652"/>
      <c r="L62" s="652"/>
      <c r="M62" s="648" t="s">
        <v>446</v>
      </c>
      <c r="N62" s="648"/>
      <c r="O62" s="648">
        <v>300</v>
      </c>
      <c r="P62" s="648"/>
      <c r="Q62" s="648"/>
      <c r="R62" s="647" t="s">
        <v>1447</v>
      </c>
      <c r="S62" s="647"/>
      <c r="T62" s="647"/>
      <c r="U62" s="647" t="s">
        <v>1502</v>
      </c>
      <c r="V62" s="647"/>
      <c r="W62" s="647"/>
      <c r="X62" s="647">
        <v>225.58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X62*O62</f>
        <v>67674</v>
      </c>
      <c r="AG62" s="647"/>
      <c r="AH62" s="647"/>
      <c r="AI62" s="647">
        <f>J64-J62+1</f>
        <v>31</v>
      </c>
      <c r="AJ62" s="647"/>
      <c r="AK62" s="647">
        <f>AF62/AI62</f>
        <v>2183.0322580645161</v>
      </c>
      <c r="AL62" s="647"/>
      <c r="AM62" s="647"/>
    </row>
    <row r="63" spans="1:39">
      <c r="A63" s="647"/>
      <c r="B63" s="647"/>
      <c r="C63" s="647"/>
      <c r="D63" s="647"/>
      <c r="E63" s="647"/>
      <c r="F63" s="647"/>
      <c r="G63" s="648"/>
      <c r="H63" s="648"/>
      <c r="I63" s="648"/>
      <c r="J63" s="648" t="s">
        <v>69</v>
      </c>
      <c r="K63" s="648"/>
      <c r="L63" s="648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>
      <c r="A64" s="647"/>
      <c r="B64" s="647"/>
      <c r="C64" s="647"/>
      <c r="D64" s="647"/>
      <c r="E64" s="647"/>
      <c r="F64" s="647"/>
      <c r="G64" s="648"/>
      <c r="H64" s="648"/>
      <c r="I64" s="648"/>
      <c r="J64" s="651">
        <f>J55</f>
        <v>45808</v>
      </c>
      <c r="K64" s="651"/>
      <c r="L64" s="651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>
      <c r="A65" s="647" t="s">
        <v>899</v>
      </c>
      <c r="B65" s="647"/>
      <c r="C65" s="647"/>
      <c r="D65" s="647"/>
      <c r="E65" s="647"/>
      <c r="F65" s="647"/>
      <c r="G65" s="648" t="s">
        <v>730</v>
      </c>
      <c r="H65" s="648"/>
      <c r="I65" s="648"/>
      <c r="J65" s="652">
        <f>J53</f>
        <v>45778</v>
      </c>
      <c r="K65" s="652"/>
      <c r="L65" s="652"/>
      <c r="M65" s="648" t="s">
        <v>446</v>
      </c>
      <c r="N65" s="648"/>
      <c r="O65" s="648" t="s">
        <v>69</v>
      </c>
      <c r="P65" s="648"/>
      <c r="Q65" s="648"/>
      <c r="R65" s="647" t="s">
        <v>69</v>
      </c>
      <c r="S65" s="647"/>
      <c r="T65" s="647"/>
      <c r="U65" s="647" t="s">
        <v>69</v>
      </c>
      <c r="V65" s="647"/>
      <c r="W65" s="647"/>
      <c r="X65" s="647">
        <v>1078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X65</f>
        <v>1078</v>
      </c>
      <c r="AG65" s="647"/>
      <c r="AH65" s="647"/>
      <c r="AI65" s="647">
        <f>J67-J65+1</f>
        <v>31</v>
      </c>
      <c r="AJ65" s="647"/>
      <c r="AK65" s="647">
        <f>AF65/AI65</f>
        <v>34.774193548387096</v>
      </c>
      <c r="AL65" s="647"/>
      <c r="AM65" s="647"/>
    </row>
    <row r="66" spans="1:39">
      <c r="A66" s="647"/>
      <c r="B66" s="647"/>
      <c r="C66" s="647"/>
      <c r="D66" s="647"/>
      <c r="E66" s="647"/>
      <c r="F66" s="647"/>
      <c r="G66" s="648"/>
      <c r="H66" s="648"/>
      <c r="I66" s="648"/>
      <c r="J66" s="648" t="s">
        <v>69</v>
      </c>
      <c r="K66" s="648"/>
      <c r="L66" s="648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21" customHeight="1">
      <c r="A67" s="647"/>
      <c r="B67" s="647"/>
      <c r="C67" s="647"/>
      <c r="D67" s="647"/>
      <c r="E67" s="647"/>
      <c r="F67" s="647"/>
      <c r="G67" s="648"/>
      <c r="H67" s="648"/>
      <c r="I67" s="648"/>
      <c r="J67" s="651">
        <f>J55</f>
        <v>45808</v>
      </c>
      <c r="K67" s="651"/>
      <c r="L67" s="651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>
      <c r="A68" s="624" t="s">
        <v>903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624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624"/>
      <c r="AL68" s="624"/>
      <c r="AM68" s="624"/>
    </row>
    <row r="70" spans="1:39" ht="33.75">
      <c r="A70" s="66" t="s">
        <v>721</v>
      </c>
      <c r="B70" s="648" t="s">
        <v>95</v>
      </c>
      <c r="C70" s="648"/>
      <c r="D70" s="648"/>
      <c r="E70" s="648"/>
      <c r="F70" s="648"/>
      <c r="G70" s="648"/>
      <c r="H70" s="648"/>
      <c r="I70" s="648"/>
      <c r="J70" s="648"/>
      <c r="K70" s="648"/>
      <c r="L70" s="64" t="s">
        <v>709</v>
      </c>
      <c r="M70" s="69"/>
      <c r="N70" s="69"/>
      <c r="O70" s="64"/>
      <c r="P70" s="69"/>
      <c r="Q70" s="69"/>
      <c r="R70" s="647" t="s">
        <v>722</v>
      </c>
      <c r="S70" s="647"/>
      <c r="T70" s="647"/>
      <c r="U70" s="647"/>
      <c r="V70" s="648" t="s">
        <v>519</v>
      </c>
      <c r="W70" s="648"/>
      <c r="X70" s="647" t="s">
        <v>723</v>
      </c>
      <c r="Y70" s="647"/>
      <c r="Z70" s="647"/>
      <c r="AA70" s="647"/>
      <c r="AB70" s="647" t="s">
        <v>724</v>
      </c>
      <c r="AC70" s="647"/>
      <c r="AD70" s="647"/>
      <c r="AE70" s="647"/>
      <c r="AF70" s="647" t="s">
        <v>725</v>
      </c>
      <c r="AG70" s="647"/>
      <c r="AH70" s="647"/>
      <c r="AI70" s="647"/>
      <c r="AJ70" s="647" t="s">
        <v>726</v>
      </c>
      <c r="AK70" s="647"/>
      <c r="AL70" s="647"/>
      <c r="AM70" s="647"/>
    </row>
    <row r="71" spans="1:39">
      <c r="A71" s="65">
        <v>1</v>
      </c>
      <c r="B71" s="654" t="s">
        <v>72</v>
      </c>
      <c r="C71" s="654"/>
      <c r="D71" s="654"/>
      <c r="E71" s="654"/>
      <c r="F71" s="654"/>
      <c r="G71" s="654"/>
      <c r="H71" s="654"/>
      <c r="I71" s="654"/>
      <c r="J71" s="654"/>
      <c r="K71" s="654"/>
      <c r="L71" s="655">
        <v>45748</v>
      </c>
      <c r="M71" s="656"/>
      <c r="N71" s="657"/>
      <c r="O71" s="655">
        <v>45777</v>
      </c>
      <c r="P71" s="656"/>
      <c r="Q71" s="657"/>
      <c r="R71" s="653" t="s">
        <v>69</v>
      </c>
      <c r="S71" s="653"/>
      <c r="T71" s="653"/>
      <c r="U71" s="653"/>
      <c r="V71" s="658" t="s">
        <v>727</v>
      </c>
      <c r="W71" s="658"/>
      <c r="X71" s="659">
        <v>0.14649999999999999</v>
      </c>
      <c r="Y71" s="659"/>
      <c r="Z71" s="659"/>
      <c r="AA71" s="659"/>
      <c r="AB71" s="653" t="s">
        <v>69</v>
      </c>
      <c r="AC71" s="653"/>
      <c r="AD71" s="653"/>
      <c r="AE71" s="653"/>
      <c r="AF71" s="653" t="s">
        <v>69</v>
      </c>
      <c r="AG71" s="653"/>
      <c r="AH71" s="653"/>
      <c r="AI71" s="653"/>
      <c r="AJ71" s="653" t="s">
        <v>69</v>
      </c>
      <c r="AK71" s="653"/>
      <c r="AL71" s="653"/>
      <c r="AM71" s="653"/>
    </row>
    <row r="72" spans="1:39">
      <c r="A72" s="65">
        <f t="shared" ref="A72:A77" si="2">A71+1</f>
        <v>2</v>
      </c>
      <c r="B72" s="654" t="s">
        <v>73</v>
      </c>
      <c r="C72" s="654"/>
      <c r="D72" s="654"/>
      <c r="E72" s="654"/>
      <c r="F72" s="654"/>
      <c r="G72" s="654"/>
      <c r="H72" s="654"/>
      <c r="I72" s="654"/>
      <c r="J72" s="654"/>
      <c r="K72" s="654"/>
      <c r="L72" s="655">
        <v>45748</v>
      </c>
      <c r="M72" s="656"/>
      <c r="N72" s="657"/>
      <c r="O72" s="655">
        <v>45777</v>
      </c>
      <c r="P72" s="656"/>
      <c r="Q72" s="657"/>
      <c r="R72" s="653" t="s">
        <v>69</v>
      </c>
      <c r="S72" s="653"/>
      <c r="T72" s="653"/>
      <c r="U72" s="653"/>
      <c r="V72" s="658" t="s">
        <v>727</v>
      </c>
      <c r="W72" s="658"/>
      <c r="X72" s="659">
        <v>0.4395</v>
      </c>
      <c r="Y72" s="659"/>
      <c r="Z72" s="659"/>
      <c r="AA72" s="659"/>
      <c r="AB72" s="653" t="s">
        <v>69</v>
      </c>
      <c r="AC72" s="653"/>
      <c r="AD72" s="653"/>
      <c r="AE72" s="653"/>
      <c r="AF72" s="653" t="s">
        <v>69</v>
      </c>
      <c r="AG72" s="653"/>
      <c r="AH72" s="653"/>
      <c r="AI72" s="653"/>
      <c r="AJ72" s="653" t="s">
        <v>69</v>
      </c>
      <c r="AK72" s="653"/>
      <c r="AL72" s="653"/>
      <c r="AM72" s="653"/>
    </row>
    <row r="73" spans="1:39">
      <c r="A73" s="65">
        <f t="shared" si="2"/>
        <v>3</v>
      </c>
      <c r="B73" s="654" t="s">
        <v>868</v>
      </c>
      <c r="C73" s="654"/>
      <c r="D73" s="654"/>
      <c r="E73" s="654"/>
      <c r="F73" s="654"/>
      <c r="G73" s="654"/>
      <c r="H73" s="654"/>
      <c r="I73" s="654"/>
      <c r="J73" s="654"/>
      <c r="K73" s="654"/>
      <c r="L73" s="655">
        <v>45748</v>
      </c>
      <c r="M73" s="656"/>
      <c r="N73" s="657"/>
      <c r="O73" s="655">
        <v>45777</v>
      </c>
      <c r="P73" s="656"/>
      <c r="Q73" s="657"/>
      <c r="R73" s="653">
        <f>AG85</f>
        <v>101238</v>
      </c>
      <c r="S73" s="653"/>
      <c r="T73" s="653"/>
      <c r="U73" s="653"/>
      <c r="V73" s="658" t="s">
        <v>446</v>
      </c>
      <c r="W73" s="658"/>
      <c r="X73" s="659">
        <v>0.13614000000000001</v>
      </c>
      <c r="Y73" s="659"/>
      <c r="Z73" s="659"/>
      <c r="AA73" s="659"/>
      <c r="AB73" s="653">
        <f>R73*X73</f>
        <v>13782.54132</v>
      </c>
      <c r="AC73" s="653"/>
      <c r="AD73" s="653"/>
      <c r="AE73" s="653"/>
      <c r="AF73" s="653">
        <f>ROUND(AB73*19%,2)</f>
        <v>2618.6799999999998</v>
      </c>
      <c r="AG73" s="653"/>
      <c r="AH73" s="653"/>
      <c r="AI73" s="653"/>
      <c r="AJ73" s="653">
        <f>AB73+AF73</f>
        <v>16401.221320000001</v>
      </c>
      <c r="AK73" s="653"/>
      <c r="AL73" s="653"/>
      <c r="AM73" s="653"/>
    </row>
    <row r="74" spans="1:39">
      <c r="A74" s="65">
        <f t="shared" si="2"/>
        <v>4</v>
      </c>
      <c r="B74" s="654" t="s">
        <v>757</v>
      </c>
      <c r="C74" s="654"/>
      <c r="D74" s="654"/>
      <c r="E74" s="654"/>
      <c r="F74" s="654"/>
      <c r="G74" s="654"/>
      <c r="H74" s="654"/>
      <c r="I74" s="654"/>
      <c r="J74" s="654"/>
      <c r="K74" s="654"/>
      <c r="L74" s="655">
        <v>45748</v>
      </c>
      <c r="M74" s="656"/>
      <c r="N74" s="657"/>
      <c r="O74" s="655">
        <v>45777</v>
      </c>
      <c r="P74" s="656"/>
      <c r="Q74" s="657"/>
      <c r="R74" s="653" t="s">
        <v>69</v>
      </c>
      <c r="S74" s="653"/>
      <c r="T74" s="653"/>
      <c r="U74" s="653"/>
      <c r="V74" s="658" t="s">
        <v>446</v>
      </c>
      <c r="W74" s="658"/>
      <c r="X74" s="659">
        <v>0.22739000000000001</v>
      </c>
      <c r="Y74" s="659"/>
      <c r="Z74" s="659"/>
      <c r="AA74" s="659"/>
      <c r="AB74" s="653" t="s">
        <v>69</v>
      </c>
      <c r="AC74" s="653"/>
      <c r="AD74" s="653"/>
      <c r="AE74" s="653"/>
      <c r="AF74" s="653" t="s">
        <v>69</v>
      </c>
      <c r="AG74" s="653"/>
      <c r="AH74" s="653"/>
      <c r="AI74" s="653"/>
      <c r="AJ74" s="653" t="s">
        <v>69</v>
      </c>
      <c r="AK74" s="653"/>
      <c r="AL74" s="653"/>
      <c r="AM74" s="653"/>
    </row>
    <row r="75" spans="1:39">
      <c r="A75" s="65">
        <f t="shared" si="2"/>
        <v>5</v>
      </c>
      <c r="B75" s="654" t="s">
        <v>80</v>
      </c>
      <c r="C75" s="654"/>
      <c r="D75" s="654"/>
      <c r="E75" s="654"/>
      <c r="F75" s="654"/>
      <c r="G75" s="654"/>
      <c r="H75" s="654"/>
      <c r="I75" s="654"/>
      <c r="J75" s="654"/>
      <c r="K75" s="654"/>
      <c r="L75" s="655">
        <v>45748</v>
      </c>
      <c r="M75" s="656"/>
      <c r="N75" s="657"/>
      <c r="O75" s="655">
        <v>45777</v>
      </c>
      <c r="P75" s="656"/>
      <c r="Q75" s="657"/>
      <c r="R75" s="653">
        <f>R73</f>
        <v>101238</v>
      </c>
      <c r="S75" s="653"/>
      <c r="T75" s="653"/>
      <c r="U75" s="653"/>
      <c r="V75" s="658" t="s">
        <v>446</v>
      </c>
      <c r="W75" s="658"/>
      <c r="X75" s="659">
        <v>1.7000000000000001E-2</v>
      </c>
      <c r="Y75" s="659"/>
      <c r="Z75" s="659"/>
      <c r="AA75" s="659"/>
      <c r="AB75" s="653">
        <f>R75*X75</f>
        <v>1721.046</v>
      </c>
      <c r="AC75" s="653"/>
      <c r="AD75" s="653"/>
      <c r="AE75" s="653"/>
      <c r="AF75" s="653">
        <f>ROUND(AB75*19%,2)</f>
        <v>327</v>
      </c>
      <c r="AG75" s="653"/>
      <c r="AH75" s="653"/>
      <c r="AI75" s="653"/>
      <c r="AJ75" s="653">
        <f>AB75+AF75</f>
        <v>2048.0460000000003</v>
      </c>
      <c r="AK75" s="653"/>
      <c r="AL75" s="653"/>
      <c r="AM75" s="653"/>
    </row>
    <row r="76" spans="1:39">
      <c r="A76" s="65">
        <f t="shared" si="2"/>
        <v>6</v>
      </c>
      <c r="B76" s="654" t="s">
        <v>81</v>
      </c>
      <c r="C76" s="654"/>
      <c r="D76" s="654"/>
      <c r="E76" s="654"/>
      <c r="F76" s="654"/>
      <c r="G76" s="654"/>
      <c r="H76" s="654"/>
      <c r="I76" s="654"/>
      <c r="J76" s="654"/>
      <c r="K76" s="654"/>
      <c r="L76" s="652">
        <v>45748</v>
      </c>
      <c r="M76" s="652"/>
      <c r="N76" s="652"/>
      <c r="O76" s="652">
        <v>45777</v>
      </c>
      <c r="P76" s="652"/>
      <c r="Q76" s="652"/>
      <c r="R76" s="653" t="s">
        <v>69</v>
      </c>
      <c r="S76" s="653"/>
      <c r="T76" s="653"/>
      <c r="U76" s="653"/>
      <c r="V76" s="658" t="s">
        <v>446</v>
      </c>
      <c r="W76" s="658"/>
      <c r="X76" s="659" t="s">
        <v>69</v>
      </c>
      <c r="Y76" s="659"/>
      <c r="Z76" s="659"/>
      <c r="AA76" s="659"/>
      <c r="AB76" s="653" t="s">
        <v>69</v>
      </c>
      <c r="AC76" s="653"/>
      <c r="AD76" s="653"/>
      <c r="AE76" s="653"/>
      <c r="AF76" s="653" t="s">
        <v>69</v>
      </c>
      <c r="AG76" s="653"/>
      <c r="AH76" s="653"/>
      <c r="AI76" s="653"/>
      <c r="AJ76" s="653" t="s">
        <v>69</v>
      </c>
      <c r="AK76" s="653"/>
      <c r="AL76" s="653"/>
      <c r="AM76" s="653"/>
    </row>
    <row r="77" spans="1:39">
      <c r="A77" s="65">
        <f t="shared" si="2"/>
        <v>7</v>
      </c>
      <c r="B77" s="654" t="s">
        <v>904</v>
      </c>
      <c r="C77" s="654"/>
      <c r="D77" s="654"/>
      <c r="E77" s="654"/>
      <c r="F77" s="654"/>
      <c r="G77" s="654"/>
      <c r="H77" s="654"/>
      <c r="I77" s="654"/>
      <c r="J77" s="654"/>
      <c r="K77" s="654"/>
      <c r="L77" s="652">
        <v>45748</v>
      </c>
      <c r="M77" s="652"/>
      <c r="N77" s="652"/>
      <c r="O77" s="652">
        <v>45777</v>
      </c>
      <c r="P77" s="652"/>
      <c r="Q77" s="652"/>
      <c r="R77" s="653" t="s">
        <v>69</v>
      </c>
      <c r="S77" s="653"/>
      <c r="T77" s="653"/>
      <c r="U77" s="653"/>
      <c r="V77" s="658" t="s">
        <v>69</v>
      </c>
      <c r="W77" s="658"/>
      <c r="X77" s="659" t="s">
        <v>69</v>
      </c>
      <c r="Y77" s="659"/>
      <c r="Z77" s="659"/>
      <c r="AA77" s="659"/>
      <c r="AB77" s="653">
        <f>SUM(AB71:AE76)</f>
        <v>15503.587320000001</v>
      </c>
      <c r="AC77" s="653"/>
      <c r="AD77" s="653"/>
      <c r="AE77" s="653"/>
      <c r="AF77" s="653">
        <f>SUM(AF71:AI76)</f>
        <v>2945.68</v>
      </c>
      <c r="AG77" s="653"/>
      <c r="AH77" s="653"/>
      <c r="AI77" s="653"/>
      <c r="AJ77" s="653">
        <f>SUM(AJ71:AM76)</f>
        <v>18449.267319999999</v>
      </c>
      <c r="AK77" s="653"/>
      <c r="AL77" s="653"/>
      <c r="AM77" s="653"/>
    </row>
    <row r="79" spans="1:39">
      <c r="A79" s="624" t="s">
        <v>905</v>
      </c>
      <c r="B79" s="624"/>
      <c r="C79" s="624"/>
      <c r="D79" s="624"/>
      <c r="E79" s="624"/>
      <c r="F79" s="624"/>
      <c r="G79" s="624"/>
      <c r="H79" s="624"/>
      <c r="I79" s="624"/>
      <c r="J79" s="624"/>
      <c r="K79" s="624"/>
      <c r="L79" s="624"/>
      <c r="M79" s="624"/>
      <c r="N79" s="624"/>
      <c r="O79" s="624"/>
      <c r="P79" s="624"/>
      <c r="Q79" s="624"/>
      <c r="R79" s="624"/>
      <c r="S79" s="624"/>
      <c r="T79" s="624"/>
      <c r="U79" s="624"/>
      <c r="V79" s="624"/>
      <c r="W79" s="624"/>
      <c r="X79" s="624"/>
      <c r="Y79" s="624"/>
      <c r="Z79" s="624"/>
      <c r="AA79" s="624"/>
      <c r="AB79" s="624"/>
      <c r="AC79" s="624"/>
      <c r="AD79" s="624"/>
      <c r="AE79" s="624"/>
      <c r="AF79" s="624"/>
      <c r="AG79" s="624"/>
      <c r="AH79" s="624"/>
      <c r="AI79" s="624"/>
      <c r="AJ79" s="624"/>
      <c r="AK79" s="624"/>
      <c r="AL79" s="624"/>
      <c r="AM79" s="624"/>
    </row>
    <row r="80" spans="1:39" ht="15.95" customHeight="1">
      <c r="A80" s="648" t="s">
        <v>95</v>
      </c>
      <c r="B80" s="648"/>
      <c r="C80" s="648"/>
      <c r="D80" s="648"/>
      <c r="E80" s="648"/>
      <c r="F80" s="648"/>
      <c r="G80" s="648"/>
      <c r="H80" s="648"/>
      <c r="I80" s="648"/>
      <c r="J80" s="648"/>
      <c r="K80" s="673" t="s">
        <v>520</v>
      </c>
      <c r="L80" s="674"/>
      <c r="M80" s="674"/>
      <c r="N80" s="674"/>
      <c r="O80" s="674"/>
      <c r="P80" s="674"/>
      <c r="Q80" s="674"/>
      <c r="R80" s="674"/>
      <c r="S80" s="648" t="s">
        <v>519</v>
      </c>
      <c r="T80" s="648"/>
      <c r="U80" s="675" t="s">
        <v>413</v>
      </c>
      <c r="V80" s="676"/>
      <c r="W80" s="676"/>
      <c r="X80" s="677"/>
      <c r="Y80" s="647" t="s">
        <v>444</v>
      </c>
      <c r="Z80" s="647"/>
      <c r="AA80" s="647"/>
      <c r="AB80" s="647"/>
      <c r="AC80" s="647" t="s">
        <v>445</v>
      </c>
      <c r="AD80" s="647"/>
      <c r="AE80" s="647"/>
      <c r="AF80" s="647"/>
      <c r="AG80" s="647" t="s">
        <v>756</v>
      </c>
      <c r="AH80" s="647"/>
      <c r="AI80" s="647"/>
      <c r="AJ80" s="647"/>
      <c r="AK80" s="647"/>
      <c r="AL80" s="647"/>
      <c r="AM80" s="647"/>
    </row>
    <row r="81" spans="1:39" ht="15.95" customHeight="1">
      <c r="A81" s="667" t="s">
        <v>906</v>
      </c>
      <c r="B81" s="671"/>
      <c r="C81" s="671"/>
      <c r="D81" s="671"/>
      <c r="E81" s="671"/>
      <c r="F81" s="671"/>
      <c r="G81" s="671"/>
      <c r="H81" s="671"/>
      <c r="I81" s="671"/>
      <c r="J81" s="668"/>
      <c r="K81" s="660" t="str">
        <f>M47</f>
        <v>59401020000375096971448223/2</v>
      </c>
      <c r="L81" s="661"/>
      <c r="M81" s="661"/>
      <c r="N81" s="661"/>
      <c r="O81" s="661"/>
      <c r="P81" s="661"/>
      <c r="Q81" s="661"/>
      <c r="R81" s="662"/>
      <c r="S81" s="667" t="s">
        <v>446</v>
      </c>
      <c r="T81" s="668"/>
      <c r="U81" s="660">
        <v>500</v>
      </c>
      <c r="V81" s="661"/>
      <c r="W81" s="661"/>
      <c r="X81" s="662"/>
      <c r="Y81" s="660" t="str">
        <f>R53</f>
        <v>2132.32 (citit)</v>
      </c>
      <c r="Z81" s="661"/>
      <c r="AA81" s="661"/>
      <c r="AB81" s="662"/>
      <c r="AC81" s="660" t="str">
        <f>U53</f>
        <v>2332.64 (citit)</v>
      </c>
      <c r="AD81" s="661"/>
      <c r="AE81" s="661"/>
      <c r="AF81" s="662"/>
      <c r="AG81" s="666">
        <f>AF53</f>
        <v>100160</v>
      </c>
      <c r="AH81" s="666"/>
      <c r="AI81" s="666"/>
      <c r="AJ81" s="666"/>
      <c r="AK81" s="666"/>
      <c r="AL81" s="666"/>
      <c r="AM81" s="666"/>
    </row>
    <row r="82" spans="1:39" ht="15.95" customHeight="1">
      <c r="A82" s="669"/>
      <c r="B82" s="672"/>
      <c r="C82" s="672"/>
      <c r="D82" s="672"/>
      <c r="E82" s="672"/>
      <c r="F82" s="672"/>
      <c r="G82" s="672"/>
      <c r="H82" s="672"/>
      <c r="I82" s="672"/>
      <c r="J82" s="670"/>
      <c r="K82" s="663"/>
      <c r="L82" s="664"/>
      <c r="M82" s="664"/>
      <c r="N82" s="664"/>
      <c r="O82" s="664"/>
      <c r="P82" s="664"/>
      <c r="Q82" s="664"/>
      <c r="R82" s="665"/>
      <c r="S82" s="669"/>
      <c r="T82" s="670"/>
      <c r="U82" s="663"/>
      <c r="V82" s="664"/>
      <c r="W82" s="664"/>
      <c r="X82" s="665"/>
      <c r="Y82" s="663"/>
      <c r="Z82" s="664"/>
      <c r="AA82" s="664"/>
      <c r="AB82" s="665"/>
      <c r="AC82" s="663"/>
      <c r="AD82" s="664"/>
      <c r="AE82" s="664"/>
      <c r="AF82" s="665"/>
      <c r="AG82" s="666"/>
      <c r="AH82" s="666"/>
      <c r="AI82" s="666"/>
      <c r="AJ82" s="666"/>
      <c r="AK82" s="666"/>
      <c r="AL82" s="666"/>
      <c r="AM82" s="666"/>
    </row>
    <row r="83" spans="1:39">
      <c r="A83" s="667" t="s">
        <v>907</v>
      </c>
      <c r="B83" s="671"/>
      <c r="C83" s="671"/>
      <c r="D83" s="671"/>
      <c r="E83" s="671"/>
      <c r="F83" s="671"/>
      <c r="G83" s="671"/>
      <c r="H83" s="671"/>
      <c r="I83" s="671"/>
      <c r="J83" s="668"/>
      <c r="K83" s="660" t="s">
        <v>69</v>
      </c>
      <c r="L83" s="661"/>
      <c r="M83" s="661"/>
      <c r="N83" s="661"/>
      <c r="O83" s="661"/>
      <c r="P83" s="661"/>
      <c r="Q83" s="661"/>
      <c r="R83" s="662"/>
      <c r="S83" s="667" t="s">
        <v>446</v>
      </c>
      <c r="T83" s="668"/>
      <c r="U83" s="660" t="s">
        <v>69</v>
      </c>
      <c r="V83" s="661"/>
      <c r="W83" s="661"/>
      <c r="X83" s="662"/>
      <c r="Y83" s="660" t="s">
        <v>69</v>
      </c>
      <c r="Z83" s="661"/>
      <c r="AA83" s="661"/>
      <c r="AB83" s="662"/>
      <c r="AC83" s="660" t="s">
        <v>69</v>
      </c>
      <c r="AD83" s="661"/>
      <c r="AE83" s="661"/>
      <c r="AF83" s="662"/>
      <c r="AG83" s="666">
        <f>AF65</f>
        <v>1078</v>
      </c>
      <c r="AH83" s="666"/>
      <c r="AI83" s="666"/>
      <c r="AJ83" s="666"/>
      <c r="AK83" s="666"/>
      <c r="AL83" s="666"/>
      <c r="AM83" s="666"/>
    </row>
    <row r="84" spans="1:39">
      <c r="A84" s="669" t="s">
        <v>907</v>
      </c>
      <c r="B84" s="672"/>
      <c r="C84" s="672"/>
      <c r="D84" s="672"/>
      <c r="E84" s="672"/>
      <c r="F84" s="672"/>
      <c r="G84" s="672"/>
      <c r="H84" s="672"/>
      <c r="I84" s="672"/>
      <c r="J84" s="670"/>
      <c r="K84" s="663" t="s">
        <v>95</v>
      </c>
      <c r="L84" s="664"/>
      <c r="M84" s="664"/>
      <c r="N84" s="664"/>
      <c r="O84" s="664"/>
      <c r="P84" s="664"/>
      <c r="Q84" s="664"/>
      <c r="R84" s="665"/>
      <c r="S84" s="669"/>
      <c r="T84" s="670"/>
      <c r="U84" s="663"/>
      <c r="V84" s="664"/>
      <c r="W84" s="664"/>
      <c r="X84" s="665"/>
      <c r="Y84" s="663"/>
      <c r="Z84" s="664"/>
      <c r="AA84" s="664"/>
      <c r="AB84" s="665"/>
      <c r="AC84" s="663"/>
      <c r="AD84" s="664"/>
      <c r="AE84" s="664"/>
      <c r="AF84" s="665"/>
      <c r="AG84" s="666"/>
      <c r="AH84" s="666"/>
      <c r="AI84" s="666"/>
      <c r="AJ84" s="666"/>
      <c r="AK84" s="666"/>
      <c r="AL84" s="666"/>
      <c r="AM84" s="666"/>
    </row>
    <row r="85" spans="1:39">
      <c r="A85" s="678" t="s">
        <v>908</v>
      </c>
      <c r="B85" s="679"/>
      <c r="C85" s="679"/>
      <c r="D85" s="679"/>
      <c r="E85" s="679"/>
      <c r="F85" s="679"/>
      <c r="G85" s="679"/>
      <c r="H85" s="679"/>
      <c r="I85" s="679"/>
      <c r="J85" s="680"/>
      <c r="K85" s="684"/>
      <c r="L85" s="685"/>
      <c r="M85" s="685"/>
      <c r="N85" s="685"/>
      <c r="O85" s="685"/>
      <c r="P85" s="685"/>
      <c r="Q85" s="685"/>
      <c r="R85" s="686"/>
      <c r="S85" s="667" t="s">
        <v>446</v>
      </c>
      <c r="T85" s="668"/>
      <c r="U85" s="684" t="s">
        <v>69</v>
      </c>
      <c r="V85" s="685"/>
      <c r="W85" s="685"/>
      <c r="X85" s="686"/>
      <c r="Y85" s="684" t="s">
        <v>69</v>
      </c>
      <c r="Z85" s="685"/>
      <c r="AA85" s="685"/>
      <c r="AB85" s="686"/>
      <c r="AC85" s="684" t="s">
        <v>69</v>
      </c>
      <c r="AD85" s="685"/>
      <c r="AE85" s="685"/>
      <c r="AF85" s="686"/>
      <c r="AG85" s="647">
        <f>AG81+AG83</f>
        <v>101238</v>
      </c>
      <c r="AH85" s="647"/>
      <c r="AI85" s="647"/>
      <c r="AJ85" s="647"/>
      <c r="AK85" s="647"/>
      <c r="AL85" s="647"/>
      <c r="AM85" s="647"/>
    </row>
    <row r="86" spans="1:39">
      <c r="A86" s="681" t="s">
        <v>907</v>
      </c>
      <c r="B86" s="682"/>
      <c r="C86" s="682"/>
      <c r="D86" s="682"/>
      <c r="E86" s="682"/>
      <c r="F86" s="682"/>
      <c r="G86" s="682"/>
      <c r="H86" s="682"/>
      <c r="I86" s="682"/>
      <c r="J86" s="683"/>
      <c r="K86" s="687"/>
      <c r="L86" s="688"/>
      <c r="M86" s="688"/>
      <c r="N86" s="688"/>
      <c r="O86" s="688"/>
      <c r="P86" s="688"/>
      <c r="Q86" s="688"/>
      <c r="R86" s="689"/>
      <c r="S86" s="669"/>
      <c r="T86" s="670"/>
      <c r="U86" s="687"/>
      <c r="V86" s="688"/>
      <c r="W86" s="688"/>
      <c r="X86" s="689"/>
      <c r="Y86" s="687"/>
      <c r="Z86" s="688"/>
      <c r="AA86" s="688"/>
      <c r="AB86" s="689"/>
      <c r="AC86" s="687"/>
      <c r="AD86" s="688"/>
      <c r="AE86" s="688"/>
      <c r="AF86" s="689"/>
      <c r="AG86" s="647"/>
      <c r="AH86" s="647"/>
      <c r="AI86" s="647"/>
      <c r="AJ86" s="647"/>
      <c r="AK86" s="647"/>
      <c r="AL86" s="647"/>
      <c r="AM86" s="647"/>
    </row>
  </sheetData>
  <mergeCells count="284">
    <mergeCell ref="A62:F64"/>
    <mergeCell ref="G62:I64"/>
    <mergeCell ref="J62:L62"/>
    <mergeCell ref="M62:N64"/>
    <mergeCell ref="O62:Q64"/>
    <mergeCell ref="R62:T64"/>
    <mergeCell ref="U62:W64"/>
    <mergeCell ref="X62:Z64"/>
    <mergeCell ref="AA62:AC64"/>
    <mergeCell ref="AD62:AE64"/>
    <mergeCell ref="AF62:AH64"/>
    <mergeCell ref="AI62:AJ64"/>
    <mergeCell ref="AK62:AM64"/>
    <mergeCell ref="J63:L63"/>
    <mergeCell ref="J64:L64"/>
    <mergeCell ref="AG85:AM86"/>
    <mergeCell ref="U83:X84"/>
    <mergeCell ref="Y83:AB84"/>
    <mergeCell ref="AC83:AF84"/>
    <mergeCell ref="AG83:AM84"/>
    <mergeCell ref="A85:J86"/>
    <mergeCell ref="K85:R86"/>
    <mergeCell ref="S85:T86"/>
    <mergeCell ref="U85:X86"/>
    <mergeCell ref="Y85:AB86"/>
    <mergeCell ref="AC85:AF86"/>
    <mergeCell ref="A83:J84"/>
    <mergeCell ref="K83:R84"/>
    <mergeCell ref="S83:T84"/>
    <mergeCell ref="B75:K75"/>
    <mergeCell ref="L75:N75"/>
    <mergeCell ref="O75:Q75"/>
    <mergeCell ref="R75:U75"/>
    <mergeCell ref="V75:W75"/>
    <mergeCell ref="U81:X82"/>
    <mergeCell ref="Y81:AB82"/>
    <mergeCell ref="AC81:AF82"/>
    <mergeCell ref="AG81:AM82"/>
    <mergeCell ref="K81:R82"/>
    <mergeCell ref="S81:T82"/>
    <mergeCell ref="A81:J82"/>
    <mergeCell ref="K80:R80"/>
    <mergeCell ref="Y80:AB80"/>
    <mergeCell ref="AC80:AF80"/>
    <mergeCell ref="U80:X80"/>
    <mergeCell ref="AG80:AM80"/>
    <mergeCell ref="X75:AA75"/>
    <mergeCell ref="AB75:AE75"/>
    <mergeCell ref="AF75:AI75"/>
    <mergeCell ref="H28:K30"/>
    <mergeCell ref="L28:P28"/>
    <mergeCell ref="Q28:S30"/>
    <mergeCell ref="T28:W30"/>
    <mergeCell ref="X28:AB30"/>
    <mergeCell ref="A79:AM79"/>
    <mergeCell ref="A80:J80"/>
    <mergeCell ref="S80:T80"/>
    <mergeCell ref="AH31:AM33"/>
    <mergeCell ref="L32:P32"/>
    <mergeCell ref="L33:P33"/>
    <mergeCell ref="H34:K36"/>
    <mergeCell ref="L34:P34"/>
    <mergeCell ref="Q34:S36"/>
    <mergeCell ref="T34:W36"/>
    <mergeCell ref="X34:AB36"/>
    <mergeCell ref="AC34:AG36"/>
    <mergeCell ref="AH34:AM36"/>
    <mergeCell ref="A28:G36"/>
    <mergeCell ref="L35:P35"/>
    <mergeCell ref="L36:P36"/>
    <mergeCell ref="AF77:AI77"/>
    <mergeCell ref="AJ77:AM77"/>
    <mergeCell ref="AJ76:AM76"/>
    <mergeCell ref="H5:AM5"/>
    <mergeCell ref="A6:G6"/>
    <mergeCell ref="A7:G7"/>
    <mergeCell ref="H6:AM6"/>
    <mergeCell ref="H7:AM7"/>
    <mergeCell ref="A21:G21"/>
    <mergeCell ref="H21:AM21"/>
    <mergeCell ref="A22:G22"/>
    <mergeCell ref="B77:K77"/>
    <mergeCell ref="L77:N77"/>
    <mergeCell ref="O77:Q77"/>
    <mergeCell ref="R77:U77"/>
    <mergeCell ref="V77:W77"/>
    <mergeCell ref="X77:AA77"/>
    <mergeCell ref="AB77:AE77"/>
    <mergeCell ref="AJ75:AM75"/>
    <mergeCell ref="B76:K76"/>
    <mergeCell ref="L76:N76"/>
    <mergeCell ref="O76:Q76"/>
    <mergeCell ref="R76:U76"/>
    <mergeCell ref="V76:W76"/>
    <mergeCell ref="X76:AA76"/>
    <mergeCell ref="AB76:AE76"/>
    <mergeCell ref="AF76:AI76"/>
    <mergeCell ref="O74:Q74"/>
    <mergeCell ref="R74:U74"/>
    <mergeCell ref="V74:W74"/>
    <mergeCell ref="X74:AA74"/>
    <mergeCell ref="AB74:AE74"/>
    <mergeCell ref="AF74:AI74"/>
    <mergeCell ref="AJ74:AM74"/>
    <mergeCell ref="B73:K73"/>
    <mergeCell ref="L73:N73"/>
    <mergeCell ref="O73:Q73"/>
    <mergeCell ref="R73:U73"/>
    <mergeCell ref="V73:W73"/>
    <mergeCell ref="X73:AA73"/>
    <mergeCell ref="AB73:AE73"/>
    <mergeCell ref="AF73:AI73"/>
    <mergeCell ref="AJ73:AM73"/>
    <mergeCell ref="B74:K74"/>
    <mergeCell ref="L74:N74"/>
    <mergeCell ref="AB71:AE71"/>
    <mergeCell ref="AF71:AI71"/>
    <mergeCell ref="AJ71:AM71"/>
    <mergeCell ref="B72:K72"/>
    <mergeCell ref="L72:N72"/>
    <mergeCell ref="O72:Q72"/>
    <mergeCell ref="R72:U72"/>
    <mergeCell ref="V72:W72"/>
    <mergeCell ref="X72:AA72"/>
    <mergeCell ref="AB72:AE72"/>
    <mergeCell ref="B71:K71"/>
    <mergeCell ref="L71:N71"/>
    <mergeCell ref="O71:Q71"/>
    <mergeCell ref="R71:U71"/>
    <mergeCell ref="V71:W71"/>
    <mergeCell ref="X71:AA71"/>
    <mergeCell ref="AF72:AI72"/>
    <mergeCell ref="AJ72:AM72"/>
    <mergeCell ref="AJ70:AM70"/>
    <mergeCell ref="AK65:AM67"/>
    <mergeCell ref="J66:L66"/>
    <mergeCell ref="J67:L67"/>
    <mergeCell ref="A68:AM68"/>
    <mergeCell ref="B70:K70"/>
    <mergeCell ref="R70:U70"/>
    <mergeCell ref="V70:W70"/>
    <mergeCell ref="X70:AA70"/>
    <mergeCell ref="AB70:AE70"/>
    <mergeCell ref="AF70:AI70"/>
    <mergeCell ref="U65:W67"/>
    <mergeCell ref="X65:Z67"/>
    <mergeCell ref="AA65:AC67"/>
    <mergeCell ref="AD65:AE67"/>
    <mergeCell ref="AF65:AH67"/>
    <mergeCell ref="AI65:AJ67"/>
    <mergeCell ref="A65:F67"/>
    <mergeCell ref="G65:I67"/>
    <mergeCell ref="J65:L65"/>
    <mergeCell ref="M65:N67"/>
    <mergeCell ref="O65:Q67"/>
    <mergeCell ref="R65:T67"/>
    <mergeCell ref="X59:Z61"/>
    <mergeCell ref="AA59:AC61"/>
    <mergeCell ref="AD59:AE61"/>
    <mergeCell ref="AF59:AH61"/>
    <mergeCell ref="AI59:AJ61"/>
    <mergeCell ref="AK59:AM61"/>
    <mergeCell ref="G59:I61"/>
    <mergeCell ref="J59:L59"/>
    <mergeCell ref="M59:N61"/>
    <mergeCell ref="O59:Q61"/>
    <mergeCell ref="R59:T61"/>
    <mergeCell ref="U59:W61"/>
    <mergeCell ref="J60:L60"/>
    <mergeCell ref="J61:L61"/>
    <mergeCell ref="X56:Z58"/>
    <mergeCell ref="AA56:AC58"/>
    <mergeCell ref="AD56:AE58"/>
    <mergeCell ref="AF56:AH58"/>
    <mergeCell ref="AI56:AJ58"/>
    <mergeCell ref="AK56:AM58"/>
    <mergeCell ref="G56:I58"/>
    <mergeCell ref="J56:L56"/>
    <mergeCell ref="M56:N58"/>
    <mergeCell ref="O56:Q58"/>
    <mergeCell ref="R56:T58"/>
    <mergeCell ref="U56:W58"/>
    <mergeCell ref="J57:L57"/>
    <mergeCell ref="J58:L58"/>
    <mergeCell ref="AD53:AE55"/>
    <mergeCell ref="AF53:AH55"/>
    <mergeCell ref="AI53:AJ55"/>
    <mergeCell ref="AK53:AM55"/>
    <mergeCell ref="J54:L54"/>
    <mergeCell ref="J55:L55"/>
    <mergeCell ref="AK50:AM52"/>
    <mergeCell ref="A53:F61"/>
    <mergeCell ref="G53:I55"/>
    <mergeCell ref="J53:L53"/>
    <mergeCell ref="M53:N55"/>
    <mergeCell ref="O53:Q55"/>
    <mergeCell ref="R53:T55"/>
    <mergeCell ref="U53:W55"/>
    <mergeCell ref="X53:Z55"/>
    <mergeCell ref="AA53:AC55"/>
    <mergeCell ref="U50:W52"/>
    <mergeCell ref="X50:Z52"/>
    <mergeCell ref="AA50:AC52"/>
    <mergeCell ref="AD50:AE52"/>
    <mergeCell ref="AF50:AH52"/>
    <mergeCell ref="AI50:AJ52"/>
    <mergeCell ref="A50:F52"/>
    <mergeCell ref="G50:I52"/>
    <mergeCell ref="J50:L52"/>
    <mergeCell ref="M50:N52"/>
    <mergeCell ref="O50:Q52"/>
    <mergeCell ref="R50:T52"/>
    <mergeCell ref="A47:L47"/>
    <mergeCell ref="M47:AH47"/>
    <mergeCell ref="AI47:AM47"/>
    <mergeCell ref="A48:L48"/>
    <mergeCell ref="M48:AH48"/>
    <mergeCell ref="AI48:AM49"/>
    <mergeCell ref="A49:L49"/>
    <mergeCell ref="M49:AH49"/>
    <mergeCell ref="A45:AM45"/>
    <mergeCell ref="H22:AM22"/>
    <mergeCell ref="A23:G23"/>
    <mergeCell ref="H23:AM23"/>
    <mergeCell ref="A24:G24"/>
    <mergeCell ref="H24:AM24"/>
    <mergeCell ref="A26:G27"/>
    <mergeCell ref="H26:K27"/>
    <mergeCell ref="L26:P27"/>
    <mergeCell ref="Q26:S27"/>
    <mergeCell ref="T26:W27"/>
    <mergeCell ref="X26:AB27"/>
    <mergeCell ref="AC26:AG27"/>
    <mergeCell ref="AH26:AM27"/>
    <mergeCell ref="AC28:AG30"/>
    <mergeCell ref="AH28:AM30"/>
    <mergeCell ref="L29:P29"/>
    <mergeCell ref="L30:P30"/>
    <mergeCell ref="H31:K33"/>
    <mergeCell ref="L31:P31"/>
    <mergeCell ref="Q31:S33"/>
    <mergeCell ref="T31:W33"/>
    <mergeCell ref="X31:AB33"/>
    <mergeCell ref="AC31:AG33"/>
    <mergeCell ref="T9:W10"/>
    <mergeCell ref="X9:AB10"/>
    <mergeCell ref="X14:AB16"/>
    <mergeCell ref="AC14:AG16"/>
    <mergeCell ref="AH14:AM16"/>
    <mergeCell ref="L15:P15"/>
    <mergeCell ref="L16:P16"/>
    <mergeCell ref="H17:K19"/>
    <mergeCell ref="L17:P17"/>
    <mergeCell ref="Q17:S19"/>
    <mergeCell ref="T17:W19"/>
    <mergeCell ref="X17:AB19"/>
    <mergeCell ref="AC17:AG19"/>
    <mergeCell ref="AH17:AM19"/>
    <mergeCell ref="L18:P18"/>
    <mergeCell ref="L19:P19"/>
    <mergeCell ref="A1:AM2"/>
    <mergeCell ref="A4:G4"/>
    <mergeCell ref="H4:AM4"/>
    <mergeCell ref="A5:G5"/>
    <mergeCell ref="L12:P12"/>
    <mergeCell ref="L13:P13"/>
    <mergeCell ref="H14:K16"/>
    <mergeCell ref="L14:P14"/>
    <mergeCell ref="Q14:S16"/>
    <mergeCell ref="T14:W16"/>
    <mergeCell ref="AC9:AG10"/>
    <mergeCell ref="AH9:AM10"/>
    <mergeCell ref="A11:G19"/>
    <mergeCell ref="H11:K13"/>
    <mergeCell ref="L11:P11"/>
    <mergeCell ref="Q11:S13"/>
    <mergeCell ref="T11:W13"/>
    <mergeCell ref="X11:AB13"/>
    <mergeCell ref="AC11:AG13"/>
    <mergeCell ref="AH11:AM13"/>
    <mergeCell ref="A9:G10"/>
    <mergeCell ref="H9:K10"/>
    <mergeCell ref="L9:P10"/>
    <mergeCell ref="Q9:S10"/>
  </mergeCells>
  <pageMargins left="0.25" right="0.25" top="0.75" bottom="0.75" header="0.3" footer="0.3"/>
  <pageSetup paperSize="9" orientation="portrait" copies="18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E740-0240-ED46-A8D4-2538AD67B88B}">
  <dimension ref="A1:AM274"/>
  <sheetViews>
    <sheetView zoomScale="87" zoomScaleNormal="100" workbookViewId="0">
      <selection activeCell="AF29" sqref="AF29"/>
    </sheetView>
  </sheetViews>
  <sheetFormatPr defaultColWidth="10.625" defaultRowHeight="15.75"/>
  <cols>
    <col min="1" max="39" width="2.375" customWidth="1"/>
  </cols>
  <sheetData>
    <row r="1" spans="1:39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Ramnicu Valcea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42,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RO33499200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J40/9748/2014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 xml:space="preserve">RO80 RZBR 0000 0600 1826 4053 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1/22.12.2023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22/28.02.2024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11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AB273</f>
        <v>398246.48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AF273</f>
        <v>75666.83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AJ273</f>
        <v>473913.30999999994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473913.30999999994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R236+R250+R251+R254</f>
        <v>404534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1.1715042740536024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VLOOKUP(AA16,'Date SPV'!$B:$H,4,FALSE)</f>
        <v>Strada Ferdinand, nr. 38A, Ramnicu Valcea, jud. Valcea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5000373496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_xlfn.CONCAT(AA16,"_",1)</f>
        <v>RRVS_1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59401070000220953171619201/1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RRVS_1.1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1371641041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903778 (citit)</v>
      </c>
      <c r="S41" s="647"/>
      <c r="T41" s="647"/>
      <c r="U41" s="647" t="str">
        <f>VLOOKUP(A41,Regularizare!$D:$U,4,FALSE)&amp;" ("&amp;VLOOKUP(A41,Regularizare!$D:$U,12,FALSE)&amp;")"</f>
        <v>931666 (estimat)</v>
      </c>
      <c r="V41" s="647"/>
      <c r="W41" s="647"/>
      <c r="X41" s="647" t="str">
        <f>VLOOKUP(A41,Regularizare!$D:$Y,19,FALSE)&amp;" ("&amp;VLOOKUP(A41,Regularizare!$D:$U,12,FALSE)&amp;")"</f>
        <v>27888 (estimat)</v>
      </c>
      <c r="Y41" s="647"/>
      <c r="Z41" s="647"/>
      <c r="AA41" s="647">
        <f>(-1)*VLOOKUP(A41,Regularizare!$D:$Y,19,FALSE)</f>
        <v>-27888</v>
      </c>
      <c r="AB41" s="647"/>
      <c r="AC41" s="647"/>
      <c r="AD41" s="647" t="s">
        <v>69</v>
      </c>
      <c r="AE41" s="647"/>
      <c r="AF41" s="647">
        <f>AA41</f>
        <v>-27888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1371641041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34505 (citit)</v>
      </c>
      <c r="S44" s="647"/>
      <c r="T44" s="647"/>
      <c r="U44" s="647" t="str">
        <f>VLOOKUP(A44,Regularizare!$D:$U,8,FALSE)&amp;" ("&amp;VLOOKUP(A44,Regularizare!$D:$U,16,FALSE)&amp;")"</f>
        <v>34505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1371641041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94991 (citit)</v>
      </c>
      <c r="S47" s="647"/>
      <c r="T47" s="647"/>
      <c r="U47" s="647" t="str">
        <f>VLOOKUP(A47,Regularizare!$D:$U,10,FALSE)&amp;" ("&amp;VLOOKUP(A47,Regularizare!$D:$U,18,FALSE)&amp;")"</f>
        <v>94991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1371641041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903778 (citit)</v>
      </c>
      <c r="S50" s="647"/>
      <c r="T50" s="647"/>
      <c r="U50" s="647" t="str">
        <f>VLOOKUP(A50,Regularizare!$D:$AX,25,FALSE)&amp;" ("&amp;VLOOKUP(A50,Regularizare!$D:$AX,26,FALSE)&amp;")"</f>
        <v>931666 (citit)</v>
      </c>
      <c r="V50" s="647"/>
      <c r="W50" s="647"/>
      <c r="X50" s="647" t="str">
        <f>VLOOKUP(A50,Regularizare!$D:$AX,37,FALSE)&amp;" ("&amp;VLOOKUP(A50,Regularizare!$D:$AX,26,FALSE)&amp;")"</f>
        <v>27888 (citit)</v>
      </c>
      <c r="Y50" s="647"/>
      <c r="Z50" s="647"/>
      <c r="AA50" s="647">
        <f>VLOOKUP(A50,Regularizare!$D:$AX,37,FALSE)</f>
        <v>27888</v>
      </c>
      <c r="AB50" s="647"/>
      <c r="AC50" s="647"/>
      <c r="AD50" s="647" t="s">
        <v>69</v>
      </c>
      <c r="AE50" s="647"/>
      <c r="AF50" s="647">
        <f>AA50</f>
        <v>27888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1371641041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34505 (citit)</v>
      </c>
      <c r="S53" s="647"/>
      <c r="T53" s="647"/>
      <c r="U53" s="647" t="str">
        <f>VLOOKUP(A53,Regularizare!$D:$AX,31,FALSE)&amp;" ("&amp;VLOOKUP(A53,Regularizare!$D:$AX,32,FALSE)&amp;")"</f>
        <v>34505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1371641041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94991 (citit)</v>
      </c>
      <c r="S56" s="647"/>
      <c r="T56" s="647"/>
      <c r="U56" s="647" t="str">
        <f>VLOOKUP(A56,Regularizare!$D:$AX,35,FALSE)&amp;" ("&amp;VLOOKUP(A56,Regularizare!$D:$AX,36,FALSE)&amp;")"</f>
        <v>96205 (citit)</v>
      </c>
      <c r="V56" s="647"/>
      <c r="W56" s="647"/>
      <c r="X56" s="647" t="str">
        <f>VLOOKUP(A56,Regularizare!$D:$AX,40,FALSE)&amp;" ("&amp;VLOOKUP(A56,Regularizare!$D:$AX,36,FALSE)&amp;")"</f>
        <v>1214 (citit)</v>
      </c>
      <c r="Y56" s="647"/>
      <c r="Z56" s="647"/>
      <c r="AA56" s="647">
        <f>VLOOKUP(A56,Regularizare!$D:$AX,46,FALSE)+VLOOKUP(A56,Regularizare!$D:$AX,47,FALSE)</f>
        <v>1214</v>
      </c>
      <c r="AB56" s="647"/>
      <c r="AC56" s="647"/>
      <c r="AD56" s="647" t="s">
        <v>69</v>
      </c>
      <c r="AE56" s="647"/>
      <c r="AF56" s="647">
        <f>AA56</f>
        <v>1214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1371641041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931666 (citit)</v>
      </c>
      <c r="S59" s="647"/>
      <c r="T59" s="647"/>
      <c r="U59" s="647" t="str">
        <f>VLOOKUP(A59,'Incrementare indexe'!$D:$M,4,FALSE)&amp;" (estimat)"</f>
        <v>961187 (estimat)</v>
      </c>
      <c r="V59" s="647"/>
      <c r="W59" s="647"/>
      <c r="X59" s="647" t="str">
        <f>VLOOKUP(A59,'Incrementare indexe'!$D:$Q,11,FALSE)&amp;" (estimat)"</f>
        <v>29521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29521</v>
      </c>
      <c r="AG59" s="647"/>
      <c r="AH59" s="647"/>
      <c r="AI59" s="647">
        <f>J61-J59+1</f>
        <v>31</v>
      </c>
      <c r="AJ59" s="647"/>
      <c r="AK59" s="647">
        <f>ROUND(AF59/AI59,2)</f>
        <v>952.29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1371641041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34505 (citit)</v>
      </c>
      <c r="S62" s="647"/>
      <c r="T62" s="647"/>
      <c r="U62" s="647" t="str">
        <f>VLOOKUP(A62,'Incrementare indexe'!$D:$M,8,FALSE)&amp;" (estimat)"</f>
        <v>34505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1371641041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96205 (citit)</v>
      </c>
      <c r="S65" s="647"/>
      <c r="T65" s="647"/>
      <c r="U65" s="647" t="str">
        <f>VLOOKUP(A65,'Incrementare indexe'!$D:$M,10,FALSE)&amp;" (estimat)"</f>
        <v>96205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196"/>
      <c r="B79" s="196"/>
      <c r="C79" s="196"/>
      <c r="D79" s="196"/>
      <c r="E79" s="196"/>
      <c r="F79" s="196"/>
      <c r="G79" s="196"/>
      <c r="H79" s="196"/>
      <c r="I79" s="196"/>
      <c r="J79" s="197"/>
      <c r="K79" s="197"/>
      <c r="L79" s="197"/>
      <c r="M79" s="196"/>
      <c r="N79" s="196"/>
      <c r="O79" s="196"/>
      <c r="P79" s="196"/>
      <c r="Q79" s="196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</row>
    <row r="80" spans="1:39" ht="14.1" customHeight="1">
      <c r="A80" s="196"/>
      <c r="B80" s="196"/>
      <c r="C80" s="196"/>
      <c r="D80" s="196"/>
      <c r="E80" s="196"/>
      <c r="F80" s="196"/>
      <c r="G80" s="196"/>
      <c r="H80" s="196"/>
      <c r="I80" s="196"/>
      <c r="J80" s="197"/>
      <c r="K80" s="197"/>
      <c r="L80" s="197"/>
      <c r="M80" s="196"/>
      <c r="N80" s="196"/>
      <c r="O80" s="196"/>
      <c r="P80" s="196"/>
      <c r="Q80" s="196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</row>
    <row r="81" spans="1:39" ht="14.1" customHeight="1">
      <c r="A81" s="721" t="s">
        <v>1195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_xlfn.CONCAT(AI36,"/PV")</f>
        <v>RRVS_1.1/PV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1371642903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1665278 (citit)</v>
      </c>
      <c r="S87" s="647"/>
      <c r="T87" s="647"/>
      <c r="U87" s="647" t="str">
        <f>VLOOKUP(AI82,'Incrementare indexe'!$B:$I,8,FALSE)&amp;" (citit)"</f>
        <v>1788097 (citit)</v>
      </c>
      <c r="V87" s="647"/>
      <c r="W87" s="647"/>
      <c r="X87" s="647" t="str">
        <f>(VLOOKUP(AI82,'Incrementare indexe'!$B:$I,8,FALSE)-VLOOKUP(AI82,'Incrementare indexe'!$B:$I,7,FALSE))&amp;" (citit)"</f>
        <v>122819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122819</v>
      </c>
      <c r="AG87" s="647"/>
      <c r="AH87" s="647"/>
      <c r="AI87" s="647">
        <f>J89-J87+1</f>
        <v>31</v>
      </c>
      <c r="AJ87" s="647"/>
      <c r="AK87" s="647">
        <f>ROUND(AF87/AI87,2)</f>
        <v>3961.9</v>
      </c>
      <c r="AL87" s="647"/>
      <c r="AM87" s="647"/>
    </row>
    <row r="88" spans="1:39" ht="8.4499999999999993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1371642903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1371642903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/>
    <row r="97" spans="1:39" ht="14.1" customHeight="1">
      <c r="A97" s="649" t="s">
        <v>748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50" t="str">
        <f>VLOOKUP(AI98,'Contorizare in SDI'!$E:$I,4,FALSE)</f>
        <v>59401070000220953171619201/2</v>
      </c>
      <c r="N97" s="650"/>
      <c r="O97" s="650"/>
      <c r="P97" s="650"/>
      <c r="Q97" s="650"/>
      <c r="R97" s="650"/>
      <c r="S97" s="650"/>
      <c r="T97" s="650"/>
      <c r="U97" s="650"/>
      <c r="V97" s="650"/>
      <c r="W97" s="650"/>
      <c r="X97" s="650"/>
      <c r="Y97" s="650"/>
      <c r="Z97" s="650"/>
      <c r="AA97" s="650"/>
      <c r="AB97" s="650"/>
      <c r="AC97" s="650"/>
      <c r="AD97" s="650"/>
      <c r="AE97" s="650"/>
      <c r="AF97" s="650"/>
      <c r="AG97" s="650"/>
      <c r="AH97" s="650"/>
      <c r="AI97" s="650" t="s">
        <v>695</v>
      </c>
      <c r="AJ97" s="650"/>
      <c r="AK97" s="650"/>
      <c r="AL97" s="650"/>
      <c r="AM97" s="650"/>
    </row>
    <row r="98" spans="1:39" ht="14.1" customHeight="1">
      <c r="A98" s="649" t="s">
        <v>746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50" t="str">
        <f>VLOOKUP(AI98,'Inchidere contur'!$G:$U,15,FALSE)</f>
        <v>JT_SDI</v>
      </c>
      <c r="N98" s="650"/>
      <c r="O98" s="650"/>
      <c r="P98" s="650"/>
      <c r="Q98" s="650"/>
      <c r="R98" s="650"/>
      <c r="S98" s="650"/>
      <c r="T98" s="650"/>
      <c r="U98" s="650"/>
      <c r="V98" s="650"/>
      <c r="W98" s="650"/>
      <c r="X98" s="650"/>
      <c r="Y98" s="650"/>
      <c r="Z98" s="650"/>
      <c r="AA98" s="650"/>
      <c r="AB98" s="650"/>
      <c r="AC98" s="650"/>
      <c r="AD98" s="650"/>
      <c r="AE98" s="650"/>
      <c r="AF98" s="650"/>
      <c r="AG98" s="650"/>
      <c r="AH98" s="650"/>
      <c r="AI98" s="619" t="str">
        <f>_xlfn.CONCAT(AA32,".",2)</f>
        <v>RRVS_1.2</v>
      </c>
      <c r="AJ98" s="619"/>
      <c r="AK98" s="619"/>
      <c r="AL98" s="619"/>
      <c r="AM98" s="619"/>
    </row>
    <row r="99" spans="1:39" ht="14.1" customHeight="1">
      <c r="A99" s="649" t="s">
        <v>747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tr">
        <f>IF(LEFT(M98,2)="JT","0.4kV",IF(LEFT(M98,2)="MT","20kV","-"))</f>
        <v>0.4kV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19"/>
      <c r="AJ99" s="619"/>
      <c r="AK99" s="619"/>
      <c r="AL99" s="619"/>
      <c r="AM99" s="619"/>
    </row>
    <row r="100" spans="1:39" ht="14.1" customHeight="1">
      <c r="A100" s="648" t="s">
        <v>697</v>
      </c>
      <c r="B100" s="648"/>
      <c r="C100" s="648"/>
      <c r="D100" s="648"/>
      <c r="E100" s="648"/>
      <c r="F100" s="648"/>
      <c r="G100" s="647" t="s">
        <v>713</v>
      </c>
      <c r="H100" s="647"/>
      <c r="I100" s="647"/>
      <c r="J100" s="647" t="s">
        <v>714</v>
      </c>
      <c r="K100" s="647"/>
      <c r="L100" s="647"/>
      <c r="M100" s="648" t="s">
        <v>519</v>
      </c>
      <c r="N100" s="648"/>
      <c r="O100" s="648" t="s">
        <v>715</v>
      </c>
      <c r="P100" s="648"/>
      <c r="Q100" s="648"/>
      <c r="R100" s="647" t="s">
        <v>732</v>
      </c>
      <c r="S100" s="647"/>
      <c r="T100" s="647"/>
      <c r="U100" s="647" t="s">
        <v>734</v>
      </c>
      <c r="V100" s="647"/>
      <c r="W100" s="647"/>
      <c r="X100" s="647" t="s">
        <v>1085</v>
      </c>
      <c r="Y100" s="647"/>
      <c r="Z100" s="647"/>
      <c r="AA100" s="647" t="s">
        <v>1086</v>
      </c>
      <c r="AB100" s="647"/>
      <c r="AC100" s="647"/>
      <c r="AD100" s="647" t="s">
        <v>717</v>
      </c>
      <c r="AE100" s="647"/>
      <c r="AF100" s="647" t="s">
        <v>718</v>
      </c>
      <c r="AG100" s="647"/>
      <c r="AH100" s="647"/>
      <c r="AI100" s="647" t="s">
        <v>719</v>
      </c>
      <c r="AJ100" s="647"/>
      <c r="AK100" s="647" t="s">
        <v>733</v>
      </c>
      <c r="AL100" s="647"/>
      <c r="AM100" s="647"/>
    </row>
    <row r="101" spans="1:39" ht="14.1" customHeight="1">
      <c r="A101" s="648"/>
      <c r="B101" s="648"/>
      <c r="C101" s="648"/>
      <c r="D101" s="648"/>
      <c r="E101" s="648"/>
      <c r="F101" s="648"/>
      <c r="G101" s="647"/>
      <c r="H101" s="647"/>
      <c r="I101" s="647"/>
      <c r="J101" s="647"/>
      <c r="K101" s="647"/>
      <c r="L101" s="647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48"/>
      <c r="B102" s="648"/>
      <c r="C102" s="648"/>
      <c r="D102" s="648"/>
      <c r="E102" s="648"/>
      <c r="F102" s="648"/>
      <c r="G102" s="647"/>
      <c r="H102" s="647"/>
      <c r="I102" s="647"/>
      <c r="J102" s="713"/>
      <c r="K102" s="713"/>
      <c r="L102" s="713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78">
        <f>VLOOKUP(AI98,'Contorizare in SDI'!$E:$I,5,FALSE)</f>
        <v>1371641137</v>
      </c>
      <c r="B103" s="679"/>
      <c r="C103" s="679"/>
      <c r="D103" s="679"/>
      <c r="E103" s="679"/>
      <c r="F103" s="680"/>
      <c r="G103" s="648" t="s">
        <v>730</v>
      </c>
      <c r="H103" s="648"/>
      <c r="I103" s="673"/>
      <c r="J103" s="655">
        <f>'Date masura OD'!$AK$5</f>
        <v>45748</v>
      </c>
      <c r="K103" s="656"/>
      <c r="L103" s="657"/>
      <c r="M103" s="720" t="s">
        <v>446</v>
      </c>
      <c r="N103" s="648"/>
      <c r="O103" s="648">
        <f>VLOOKUP(AI98,'Incrementare indexe'!$B:$T,4,FALSE)</f>
        <v>1</v>
      </c>
      <c r="P103" s="648"/>
      <c r="Q103" s="648"/>
      <c r="R103" s="647" t="str">
        <f>VLOOKUP(A103,Regularizare!$D:$YN,3,FALSE)&amp;" ("&amp;VLOOKUP(A103,Regularizare!$D:$Y,11,FALSE)&amp;")"</f>
        <v>1291494 (citit)</v>
      </c>
      <c r="S103" s="647"/>
      <c r="T103" s="647"/>
      <c r="U103" s="647" t="str">
        <f>VLOOKUP(A103,Regularizare!$D:$U,4,FALSE)&amp;" ("&amp;VLOOKUP(A103,Regularizare!$D:$U,12,FALSE)&amp;")"</f>
        <v>1351050 (estimat)</v>
      </c>
      <c r="V103" s="647"/>
      <c r="W103" s="647"/>
      <c r="X103" s="647" t="str">
        <f>VLOOKUP(A103,Regularizare!$D:$Y,19,FALSE)&amp;" ("&amp;VLOOKUP(A103,Regularizare!$D:$U,12,FALSE)&amp;")"</f>
        <v>59556 (estimat)</v>
      </c>
      <c r="Y103" s="647"/>
      <c r="Z103" s="647"/>
      <c r="AA103" s="647">
        <f>(-1)*VLOOKUP(A103,Regularizare!$D:$Y,19,FALSE)</f>
        <v>-59556</v>
      </c>
      <c r="AB103" s="647"/>
      <c r="AC103" s="647"/>
      <c r="AD103" s="647" t="s">
        <v>69</v>
      </c>
      <c r="AE103" s="647"/>
      <c r="AF103" s="647">
        <f>AA103</f>
        <v>-59556</v>
      </c>
      <c r="AG103" s="647"/>
      <c r="AH103" s="647"/>
      <c r="AI103" s="647" t="s">
        <v>69</v>
      </c>
      <c r="AJ103" s="647"/>
      <c r="AK103" s="647" t="s">
        <v>69</v>
      </c>
      <c r="AL103" s="647"/>
      <c r="AM103" s="647"/>
    </row>
    <row r="104" spans="1:39" ht="14.1" customHeight="1">
      <c r="A104" s="717"/>
      <c r="B104" s="718"/>
      <c r="C104" s="718"/>
      <c r="D104" s="718"/>
      <c r="E104" s="718"/>
      <c r="F104" s="719"/>
      <c r="G104" s="648"/>
      <c r="H104" s="648"/>
      <c r="I104" s="673"/>
      <c r="J104" s="717" t="s">
        <v>69</v>
      </c>
      <c r="K104" s="718"/>
      <c r="L104" s="719"/>
      <c r="M104" s="720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1"/>
      <c r="B105" s="682"/>
      <c r="C105" s="682"/>
      <c r="D105" s="682"/>
      <c r="E105" s="682"/>
      <c r="F105" s="683"/>
      <c r="G105" s="648"/>
      <c r="H105" s="648"/>
      <c r="I105" s="673"/>
      <c r="J105" s="714">
        <f>'Date masura OD'!$AL$5</f>
        <v>45777</v>
      </c>
      <c r="K105" s="715"/>
      <c r="L105" s="716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78">
        <f>A103</f>
        <v>1371641137</v>
      </c>
      <c r="B106" s="679"/>
      <c r="C106" s="679"/>
      <c r="D106" s="679"/>
      <c r="E106" s="679"/>
      <c r="F106" s="680"/>
      <c r="G106" s="648" t="s">
        <v>696</v>
      </c>
      <c r="H106" s="648"/>
      <c r="I106" s="648"/>
      <c r="J106" s="655">
        <f t="shared" ref="J106:J111" si="4">J103</f>
        <v>45748</v>
      </c>
      <c r="K106" s="656"/>
      <c r="L106" s="657"/>
      <c r="M106" s="648" t="s">
        <v>720</v>
      </c>
      <c r="N106" s="648"/>
      <c r="O106" s="648">
        <f>O103</f>
        <v>1</v>
      </c>
      <c r="P106" s="648"/>
      <c r="Q106" s="648"/>
      <c r="R106" s="647" t="str">
        <f>VLOOKUP(A106,Regularizare!$D:$U,7,FALSE)&amp;" ("&amp;VLOOKUP(A106,Regularizare!$D:$U,15,FALSE)&amp;")"</f>
        <v>28372 (citit)</v>
      </c>
      <c r="S106" s="647"/>
      <c r="T106" s="647"/>
      <c r="U106" s="647" t="str">
        <f>VLOOKUP(A106,Regularizare!$D:$U,8,FALSE)&amp;" ("&amp;VLOOKUP(A106,Regularizare!$D:$U,16,FALSE)&amp;")"</f>
        <v>28372 (estimat)</v>
      </c>
      <c r="V106" s="647"/>
      <c r="W106" s="647"/>
      <c r="X106" s="647" t="str">
        <f>_xlfn.CONCAT(VLOOKUP(A106,Regularizare!$D:$U,8,FALSE)-VLOOKUP(A106,Regularizare!$D:$U,7,FALSE)," (",VLOOKUP(A106,Regularizare!$D:$U,16,FALSE),")")</f>
        <v>0 (estimat)</v>
      </c>
      <c r="Y106" s="647"/>
      <c r="Z106" s="647"/>
      <c r="AA106" s="647">
        <f>IF(VLOOKUP(A106,Regularizare!$D:$Y,21,FALSE)=0,VLOOKUP(A106,Regularizare!$D:$Y,21,FALSE),(-1)*VLOOKUP(A106,Regularizare!$D:$Y,21,FALSE))</f>
        <v>0</v>
      </c>
      <c r="AB106" s="647"/>
      <c r="AC106" s="647"/>
      <c r="AD106" s="647" t="s">
        <v>69</v>
      </c>
      <c r="AE106" s="647"/>
      <c r="AF106" s="647">
        <f>AA106</f>
        <v>0</v>
      </c>
      <c r="AG106" s="647"/>
      <c r="AH106" s="647"/>
      <c r="AI106" s="647" t="str">
        <f>AI103</f>
        <v>-</v>
      </c>
      <c r="AJ106" s="647"/>
      <c r="AK106" s="647" t="str">
        <f>AK103</f>
        <v>-</v>
      </c>
      <c r="AL106" s="647"/>
      <c r="AM106" s="647"/>
    </row>
    <row r="107" spans="1:39" ht="14.1" customHeight="1">
      <c r="A107" s="717"/>
      <c r="B107" s="718"/>
      <c r="C107" s="718"/>
      <c r="D107" s="718"/>
      <c r="E107" s="718"/>
      <c r="F107" s="719"/>
      <c r="G107" s="648"/>
      <c r="H107" s="648"/>
      <c r="I107" s="648"/>
      <c r="J107" s="717" t="str">
        <f t="shared" si="4"/>
        <v>-</v>
      </c>
      <c r="K107" s="718"/>
      <c r="L107" s="719"/>
      <c r="M107" s="648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1"/>
      <c r="B108" s="682"/>
      <c r="C108" s="682"/>
      <c r="D108" s="682"/>
      <c r="E108" s="682"/>
      <c r="F108" s="683"/>
      <c r="G108" s="648"/>
      <c r="H108" s="648"/>
      <c r="I108" s="648"/>
      <c r="J108" s="714">
        <f t="shared" si="4"/>
        <v>45777</v>
      </c>
      <c r="K108" s="715"/>
      <c r="L108" s="716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78">
        <f>A106</f>
        <v>1371641137</v>
      </c>
      <c r="B109" s="679"/>
      <c r="C109" s="679"/>
      <c r="D109" s="679"/>
      <c r="E109" s="679"/>
      <c r="F109" s="680"/>
      <c r="G109" s="648" t="s">
        <v>731</v>
      </c>
      <c r="H109" s="648"/>
      <c r="I109" s="648"/>
      <c r="J109" s="655">
        <f t="shared" si="4"/>
        <v>45748</v>
      </c>
      <c r="K109" s="656"/>
      <c r="L109" s="657"/>
      <c r="M109" s="648" t="s">
        <v>720</v>
      </c>
      <c r="N109" s="648"/>
      <c r="O109" s="648">
        <f>O106</f>
        <v>1</v>
      </c>
      <c r="P109" s="648"/>
      <c r="Q109" s="648"/>
      <c r="R109" s="647" t="str">
        <f>VLOOKUP(A109,Regularizare!$D:$U,9,FALSE)&amp;" ("&amp;VLOOKUP(A109,Regularizare!$D:$U,17,FALSE)&amp;")"</f>
        <v>68741 (citit)</v>
      </c>
      <c r="S109" s="647"/>
      <c r="T109" s="647"/>
      <c r="U109" s="647" t="str">
        <f>VLOOKUP(A109,Regularizare!$D:$U,10,FALSE)&amp;" ("&amp;VLOOKUP(A109,Regularizare!$D:$U,18,FALSE)&amp;")"</f>
        <v>68741 (estimat)</v>
      </c>
      <c r="V109" s="647"/>
      <c r="W109" s="647"/>
      <c r="X109" s="647" t="str">
        <f>_xlfn.CONCAT(VLOOKUP(A109,Regularizare!$D:$U,10,FALSE)-VLOOKUP(A109,Regularizare!$D:$U,9,FALSE)," (",VLOOKUP(A109,Regularizare!$D:$U,18,FALSE),")")</f>
        <v>0 (estimat)</v>
      </c>
      <c r="Y109" s="647"/>
      <c r="Z109" s="647"/>
      <c r="AA109" s="647">
        <f>IF(VLOOKUP(A109,Regularizare!$D:$Y,22,FALSE)=0,VLOOKUP(A109,Regularizare!$D:$Y,22,FALSE),(-1)*VLOOKUP(A109,Regularizare!$D:$Y,22,FALSE))</f>
        <v>0</v>
      </c>
      <c r="AB109" s="647"/>
      <c r="AC109" s="647"/>
      <c r="AD109" s="647" t="s">
        <v>69</v>
      </c>
      <c r="AE109" s="647"/>
      <c r="AF109" s="647">
        <f>AA109</f>
        <v>0</v>
      </c>
      <c r="AG109" s="647"/>
      <c r="AH109" s="647"/>
      <c r="AI109" s="647" t="str">
        <f>AI106</f>
        <v>-</v>
      </c>
      <c r="AJ109" s="647"/>
      <c r="AK109" s="647" t="str">
        <f>AK106</f>
        <v>-</v>
      </c>
      <c r="AL109" s="647"/>
      <c r="AM109" s="647"/>
    </row>
    <row r="110" spans="1:39" ht="14.1" customHeight="1">
      <c r="A110" s="717"/>
      <c r="B110" s="718"/>
      <c r="C110" s="718"/>
      <c r="D110" s="718"/>
      <c r="E110" s="718"/>
      <c r="F110" s="719"/>
      <c r="G110" s="648"/>
      <c r="H110" s="648"/>
      <c r="I110" s="648"/>
      <c r="J110" s="717" t="str">
        <f t="shared" si="4"/>
        <v>-</v>
      </c>
      <c r="K110" s="718"/>
      <c r="L110" s="719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81"/>
      <c r="B111" s="682"/>
      <c r="C111" s="682"/>
      <c r="D111" s="682"/>
      <c r="E111" s="682"/>
      <c r="F111" s="683"/>
      <c r="G111" s="648"/>
      <c r="H111" s="648"/>
      <c r="I111" s="648"/>
      <c r="J111" s="714">
        <f t="shared" si="4"/>
        <v>45777</v>
      </c>
      <c r="K111" s="715"/>
      <c r="L111" s="716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78">
        <f>A109</f>
        <v>1371641137</v>
      </c>
      <c r="B112" s="679"/>
      <c r="C112" s="679"/>
      <c r="D112" s="679"/>
      <c r="E112" s="679"/>
      <c r="F112" s="680"/>
      <c r="G112" s="648" t="s">
        <v>730</v>
      </c>
      <c r="H112" s="648"/>
      <c r="I112" s="673"/>
      <c r="J112" s="655">
        <f>'Date masura OD'!$AK$5</f>
        <v>45748</v>
      </c>
      <c r="K112" s="656"/>
      <c r="L112" s="657"/>
      <c r="M112" s="720" t="s">
        <v>446</v>
      </c>
      <c r="N112" s="648"/>
      <c r="O112" s="648">
        <f>O109</f>
        <v>1</v>
      </c>
      <c r="P112" s="648"/>
      <c r="Q112" s="648"/>
      <c r="R112" s="647" t="str">
        <f>VLOOKUP(A112,Regularizare!$D:$AX,23,FALSE)&amp;" ("&amp;VLOOKUP(A112,Regularizare!$D:$AX,24,FALSE)&amp;")"</f>
        <v>1291494 (citit)</v>
      </c>
      <c r="S112" s="647"/>
      <c r="T112" s="647"/>
      <c r="U112" s="647" t="str">
        <f>VLOOKUP(A112,Regularizare!$D:$AX,25,FALSE)&amp;" ("&amp;VLOOKUP(A112,Regularizare!$D:$AX,26,FALSE)&amp;")"</f>
        <v>1351050 (citit)</v>
      </c>
      <c r="V112" s="647"/>
      <c r="W112" s="647"/>
      <c r="X112" s="647" t="str">
        <f>VLOOKUP(A112,Regularizare!$D:$AX,37,FALSE)&amp;" ("&amp;VLOOKUP(A112,Regularizare!$D:$AX,26,FALSE)&amp;")"</f>
        <v>59556 (citit)</v>
      </c>
      <c r="Y112" s="647"/>
      <c r="Z112" s="647"/>
      <c r="AA112" s="647">
        <f>VLOOKUP(A112,Regularizare!$D:$AX,37,FALSE)</f>
        <v>59556</v>
      </c>
      <c r="AB112" s="647"/>
      <c r="AC112" s="647"/>
      <c r="AD112" s="647" t="s">
        <v>69</v>
      </c>
      <c r="AE112" s="647"/>
      <c r="AF112" s="647">
        <f>AA112</f>
        <v>59556</v>
      </c>
      <c r="AG112" s="647"/>
      <c r="AH112" s="647"/>
      <c r="AI112" s="647" t="str">
        <f>AI109</f>
        <v>-</v>
      </c>
      <c r="AJ112" s="647"/>
      <c r="AK112" s="647" t="str">
        <f>AK109</f>
        <v>-</v>
      </c>
      <c r="AL112" s="647"/>
      <c r="AM112" s="647"/>
    </row>
    <row r="113" spans="1:39" ht="14.1" customHeight="1">
      <c r="A113" s="717"/>
      <c r="B113" s="718"/>
      <c r="C113" s="718"/>
      <c r="D113" s="718"/>
      <c r="E113" s="718"/>
      <c r="F113" s="719"/>
      <c r="G113" s="648"/>
      <c r="H113" s="648"/>
      <c r="I113" s="673"/>
      <c r="J113" s="717" t="s">
        <v>69</v>
      </c>
      <c r="K113" s="718"/>
      <c r="L113" s="719"/>
      <c r="M113" s="720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81"/>
      <c r="B114" s="682"/>
      <c r="C114" s="682"/>
      <c r="D114" s="682"/>
      <c r="E114" s="682"/>
      <c r="F114" s="683"/>
      <c r="G114" s="648"/>
      <c r="H114" s="648"/>
      <c r="I114" s="673"/>
      <c r="J114" s="714">
        <f>'Date masura OD'!$AL$5</f>
        <v>45777</v>
      </c>
      <c r="K114" s="715"/>
      <c r="L114" s="716"/>
      <c r="M114" s="720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78">
        <f>A112</f>
        <v>1371641137</v>
      </c>
      <c r="B115" s="679"/>
      <c r="C115" s="679"/>
      <c r="D115" s="679"/>
      <c r="E115" s="679"/>
      <c r="F115" s="680"/>
      <c r="G115" s="648" t="s">
        <v>696</v>
      </c>
      <c r="H115" s="648"/>
      <c r="I115" s="648"/>
      <c r="J115" s="655">
        <f t="shared" ref="J115:J120" si="5">J112</f>
        <v>45748</v>
      </c>
      <c r="K115" s="656"/>
      <c r="L115" s="657"/>
      <c r="M115" s="648" t="s">
        <v>720</v>
      </c>
      <c r="N115" s="648"/>
      <c r="O115" s="648">
        <f>O112</f>
        <v>1</v>
      </c>
      <c r="P115" s="648"/>
      <c r="Q115" s="648"/>
      <c r="R115" s="647" t="str">
        <f>VLOOKUP(A115,Regularizare!$D:$AX,29,FALSE)&amp;" ("&amp;VLOOKUP(A115,Regularizare!$D:$AX,30,FALSE)&amp;")"</f>
        <v>28372 (citit)</v>
      </c>
      <c r="S115" s="647"/>
      <c r="T115" s="647"/>
      <c r="U115" s="647" t="str">
        <f>VLOOKUP(A115,Regularizare!$D:$AX,31,FALSE)&amp;" ("&amp;VLOOKUP(A115,Regularizare!$D:$AX,32,FALSE)&amp;")"</f>
        <v>28372 (citit)</v>
      </c>
      <c r="V115" s="647"/>
      <c r="W115" s="647"/>
      <c r="X115" s="647" t="str">
        <f>VLOOKUP(A115,Regularizare!$D:$AX,39,FALSE)&amp;" ("&amp;VLOOKUP(A115,Regularizare!$D:$AX,32,FALSE)&amp;")"</f>
        <v>0 (citit)</v>
      </c>
      <c r="Y115" s="647"/>
      <c r="Z115" s="647"/>
      <c r="AA115" s="647">
        <f>VLOOKUP(A115,Regularizare!$D:$AX,44,FALSE)+VLOOKUP(A115,Regularizare!$D:$AX,45,FALSE)</f>
        <v>0</v>
      </c>
      <c r="AB115" s="647"/>
      <c r="AC115" s="647"/>
      <c r="AD115" s="647" t="s">
        <v>69</v>
      </c>
      <c r="AE115" s="647"/>
      <c r="AF115" s="647">
        <f>AA115</f>
        <v>0</v>
      </c>
      <c r="AG115" s="647"/>
      <c r="AH115" s="647"/>
      <c r="AI115" s="647" t="str">
        <f>AI112</f>
        <v>-</v>
      </c>
      <c r="AJ115" s="647"/>
      <c r="AK115" s="647" t="str">
        <f>AK112</f>
        <v>-</v>
      </c>
      <c r="AL115" s="647"/>
      <c r="AM115" s="647"/>
    </row>
    <row r="116" spans="1:39" ht="14.1" customHeight="1">
      <c r="A116" s="717"/>
      <c r="B116" s="718"/>
      <c r="C116" s="718"/>
      <c r="D116" s="718"/>
      <c r="E116" s="718"/>
      <c r="F116" s="719"/>
      <c r="G116" s="648"/>
      <c r="H116" s="648"/>
      <c r="I116" s="648"/>
      <c r="J116" s="717" t="str">
        <f t="shared" si="5"/>
        <v>-</v>
      </c>
      <c r="K116" s="718"/>
      <c r="L116" s="719"/>
      <c r="M116" s="648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81"/>
      <c r="B117" s="682"/>
      <c r="C117" s="682"/>
      <c r="D117" s="682"/>
      <c r="E117" s="682"/>
      <c r="F117" s="683"/>
      <c r="G117" s="648"/>
      <c r="H117" s="648"/>
      <c r="I117" s="648"/>
      <c r="J117" s="714">
        <f t="shared" si="5"/>
        <v>45777</v>
      </c>
      <c r="K117" s="715"/>
      <c r="L117" s="716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78">
        <f>A115</f>
        <v>1371641137</v>
      </c>
      <c r="B118" s="679"/>
      <c r="C118" s="679"/>
      <c r="D118" s="679"/>
      <c r="E118" s="679"/>
      <c r="F118" s="680"/>
      <c r="G118" s="648" t="s">
        <v>731</v>
      </c>
      <c r="H118" s="648"/>
      <c r="I118" s="648"/>
      <c r="J118" s="655">
        <f t="shared" si="5"/>
        <v>45748</v>
      </c>
      <c r="K118" s="656"/>
      <c r="L118" s="657"/>
      <c r="M118" s="648" t="s">
        <v>720</v>
      </c>
      <c r="N118" s="648"/>
      <c r="O118" s="648">
        <f>O115</f>
        <v>1</v>
      </c>
      <c r="P118" s="648"/>
      <c r="Q118" s="648"/>
      <c r="R118" s="647" t="str">
        <f>VLOOKUP(A118,Regularizare!$D:$AX,33,FALSE)&amp;" ("&amp;VLOOKUP(A118,Regularizare!$D:$AX,34,FALSE)&amp;")"</f>
        <v>68741 (citit)</v>
      </c>
      <c r="S118" s="647"/>
      <c r="T118" s="647"/>
      <c r="U118" s="647" t="str">
        <f>VLOOKUP(A118,Regularizare!$D:$AX,35,FALSE)&amp;" ("&amp;VLOOKUP(A118,Regularizare!$D:$AX,36,FALSE)&amp;")"</f>
        <v>71333 (citit)</v>
      </c>
      <c r="V118" s="647"/>
      <c r="W118" s="647"/>
      <c r="X118" s="647" t="str">
        <f>VLOOKUP(A118,Regularizare!$D:$AX,40,FALSE)&amp;" ("&amp;VLOOKUP(A118,Regularizare!$D:$AX,36,FALSE)&amp;")"</f>
        <v>2592 (citit)</v>
      </c>
      <c r="Y118" s="647"/>
      <c r="Z118" s="647"/>
      <c r="AA118" s="647">
        <f>VLOOKUP(A118,Regularizare!$D:$AX,46,FALSE)+VLOOKUP(A118,Regularizare!$D:$AX,47,FALSE)</f>
        <v>2592</v>
      </c>
      <c r="AB118" s="647"/>
      <c r="AC118" s="647"/>
      <c r="AD118" s="647" t="s">
        <v>69</v>
      </c>
      <c r="AE118" s="647"/>
      <c r="AF118" s="647">
        <f>AA118</f>
        <v>2592</v>
      </c>
      <c r="AG118" s="647"/>
      <c r="AH118" s="647"/>
      <c r="AI118" s="647" t="str">
        <f>AI115</f>
        <v>-</v>
      </c>
      <c r="AJ118" s="647"/>
      <c r="AK118" s="647" t="str">
        <f>AK115</f>
        <v>-</v>
      </c>
      <c r="AL118" s="647"/>
      <c r="AM118" s="647"/>
    </row>
    <row r="119" spans="1:39" ht="14.1" customHeight="1">
      <c r="A119" s="717"/>
      <c r="B119" s="718"/>
      <c r="C119" s="718"/>
      <c r="D119" s="718"/>
      <c r="E119" s="718"/>
      <c r="F119" s="719"/>
      <c r="G119" s="648"/>
      <c r="H119" s="648"/>
      <c r="I119" s="648"/>
      <c r="J119" s="717" t="str">
        <f t="shared" si="5"/>
        <v>-</v>
      </c>
      <c r="K119" s="718"/>
      <c r="L119" s="719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81"/>
      <c r="B120" s="682"/>
      <c r="C120" s="682"/>
      <c r="D120" s="682"/>
      <c r="E120" s="682"/>
      <c r="F120" s="683"/>
      <c r="G120" s="648"/>
      <c r="H120" s="648"/>
      <c r="I120" s="648"/>
      <c r="J120" s="714">
        <f t="shared" si="5"/>
        <v>45777</v>
      </c>
      <c r="K120" s="715"/>
      <c r="L120" s="716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78">
        <f>A118</f>
        <v>1371641137</v>
      </c>
      <c r="B121" s="679"/>
      <c r="C121" s="679"/>
      <c r="D121" s="679"/>
      <c r="E121" s="679"/>
      <c r="F121" s="680"/>
      <c r="G121" s="648" t="s">
        <v>730</v>
      </c>
      <c r="H121" s="648"/>
      <c r="I121" s="673"/>
      <c r="J121" s="655">
        <f>'Date masura OD'!$I$5</f>
        <v>45778</v>
      </c>
      <c r="K121" s="656"/>
      <c r="L121" s="657"/>
      <c r="M121" s="720" t="s">
        <v>446</v>
      </c>
      <c r="N121" s="648"/>
      <c r="O121" s="648">
        <f>O118</f>
        <v>1</v>
      </c>
      <c r="P121" s="648"/>
      <c r="Q121" s="648"/>
      <c r="R121" s="647" t="str">
        <f>U112</f>
        <v>1351050 (citit)</v>
      </c>
      <c r="S121" s="647"/>
      <c r="T121" s="647"/>
      <c r="U121" s="647" t="str">
        <f>VLOOKUP(A121,'Incrementare indexe'!$D:$M,4,FALSE)&amp;" (estimat)"</f>
        <v>1411101 (estimat)</v>
      </c>
      <c r="V121" s="647"/>
      <c r="W121" s="647"/>
      <c r="X121" s="647" t="str">
        <f>VLOOKUP(A121,'Incrementare indexe'!$D:$Q,11,FALSE)&amp;" (estimat)"</f>
        <v>60051 (estimat)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VLOOKUP(A121,'Incrementare indexe'!$D:$Q,11,FALSE)</f>
        <v>60051</v>
      </c>
      <c r="AG121" s="647"/>
      <c r="AH121" s="647"/>
      <c r="AI121" s="647">
        <f>J123-J121+1</f>
        <v>31</v>
      </c>
      <c r="AJ121" s="647"/>
      <c r="AK121" s="647">
        <f>ROUND(AF121/AI121,2)</f>
        <v>1937.13</v>
      </c>
      <c r="AL121" s="647"/>
      <c r="AM121" s="647"/>
    </row>
    <row r="122" spans="1:39" ht="14.1" customHeight="1">
      <c r="A122" s="717"/>
      <c r="B122" s="718"/>
      <c r="C122" s="718"/>
      <c r="D122" s="718"/>
      <c r="E122" s="718"/>
      <c r="F122" s="719"/>
      <c r="G122" s="648"/>
      <c r="H122" s="648"/>
      <c r="I122" s="673"/>
      <c r="J122" s="717" t="s">
        <v>69</v>
      </c>
      <c r="K122" s="718"/>
      <c r="L122" s="719"/>
      <c r="M122" s="720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1"/>
      <c r="B123" s="682"/>
      <c r="C123" s="682"/>
      <c r="D123" s="682"/>
      <c r="E123" s="682"/>
      <c r="F123" s="683"/>
      <c r="G123" s="648"/>
      <c r="H123" s="648"/>
      <c r="I123" s="673"/>
      <c r="J123" s="714">
        <f>'Date masura OD'!$J$5</f>
        <v>45808</v>
      </c>
      <c r="K123" s="715"/>
      <c r="L123" s="716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78">
        <f>A121</f>
        <v>1371641137</v>
      </c>
      <c r="B124" s="679"/>
      <c r="C124" s="679"/>
      <c r="D124" s="679"/>
      <c r="E124" s="679"/>
      <c r="F124" s="680"/>
      <c r="G124" s="648" t="s">
        <v>696</v>
      </c>
      <c r="H124" s="648"/>
      <c r="I124" s="648"/>
      <c r="J124" s="655">
        <f t="shared" ref="J124:J129" si="6">J121</f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tr">
        <f>U115</f>
        <v>28372 (citit)</v>
      </c>
      <c r="S124" s="647"/>
      <c r="T124" s="647"/>
      <c r="U124" s="647" t="str">
        <f>VLOOKUP(A124,'Incrementare indexe'!$D:$M,8,FALSE)&amp;" (estimat)"</f>
        <v>28372 (estimat)</v>
      </c>
      <c r="V124" s="647"/>
      <c r="W124" s="647"/>
      <c r="X124" s="647" t="str">
        <f>VLOOKUP(A124,'Incrementare indexe'!$D:$Q,12,FALSE)&amp;" (estimat)"</f>
        <v>0 (estimat)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f>VLOOKUP(A124,'Incrementare indexe'!$D:$Q,12,FALSE)</f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14.1" customHeight="1">
      <c r="A125" s="717"/>
      <c r="B125" s="718"/>
      <c r="C125" s="718"/>
      <c r="D125" s="718"/>
      <c r="E125" s="718"/>
      <c r="F125" s="719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1"/>
      <c r="B126" s="682"/>
      <c r="C126" s="682"/>
      <c r="D126" s="682"/>
      <c r="E126" s="682"/>
      <c r="F126" s="683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A124</f>
        <v>1371641137</v>
      </c>
      <c r="B127" s="679"/>
      <c r="C127" s="679"/>
      <c r="D127" s="679"/>
      <c r="E127" s="679"/>
      <c r="F127" s="680"/>
      <c r="G127" s="648" t="s">
        <v>731</v>
      </c>
      <c r="H127" s="648"/>
      <c r="I127" s="648"/>
      <c r="J127" s="655">
        <f t="shared" si="6"/>
        <v>45778</v>
      </c>
      <c r="K127" s="656"/>
      <c r="L127" s="657"/>
      <c r="M127" s="648" t="s">
        <v>720</v>
      </c>
      <c r="N127" s="648"/>
      <c r="O127" s="648">
        <f>O124</f>
        <v>1</v>
      </c>
      <c r="P127" s="648"/>
      <c r="Q127" s="648"/>
      <c r="R127" s="647" t="str">
        <f>U118</f>
        <v>71333 (citit)</v>
      </c>
      <c r="S127" s="647"/>
      <c r="T127" s="647"/>
      <c r="U127" s="647" t="str">
        <f>VLOOKUP(A127,'Incrementare indexe'!$D:$M,10,FALSE)&amp;" (estimat)"</f>
        <v>71333 (estimat)</v>
      </c>
      <c r="V127" s="647"/>
      <c r="W127" s="647"/>
      <c r="X127" s="647" t="str">
        <f>VLOOKUP(A127,'Incrementare indexe'!$D:$Q,13,FALSE)&amp;" (estimat)"</f>
        <v>0 (estimat)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f>VLOOKUP(A127,'Incrementare indexe'!$D:$Q,13,FALSE)</f>
        <v>0</v>
      </c>
      <c r="AG127" s="647"/>
      <c r="AH127" s="647"/>
      <c r="AI127" s="647">
        <f>AI124</f>
        <v>31</v>
      </c>
      <c r="AJ127" s="647"/>
      <c r="AK127" s="647">
        <f>ROUND(AF127/AI127,2)</f>
        <v>0</v>
      </c>
      <c r="AL127" s="647"/>
      <c r="AM127" s="647"/>
    </row>
    <row r="128" spans="1:39" ht="14.1" customHeight="1">
      <c r="A128" s="717"/>
      <c r="B128" s="718"/>
      <c r="C128" s="718"/>
      <c r="D128" s="718"/>
      <c r="E128" s="718"/>
      <c r="F128" s="719"/>
      <c r="G128" s="648"/>
      <c r="H128" s="648"/>
      <c r="I128" s="648"/>
      <c r="J128" s="717" t="str">
        <f t="shared" si="6"/>
        <v>-</v>
      </c>
      <c r="K128" s="718"/>
      <c r="L128" s="719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8"/>
      <c r="H129" s="648"/>
      <c r="I129" s="648"/>
      <c r="J129" s="714">
        <f t="shared" si="6"/>
        <v>45808</v>
      </c>
      <c r="K129" s="715"/>
      <c r="L129" s="716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196"/>
      <c r="B130" s="196"/>
      <c r="C130" s="196"/>
      <c r="D130" s="196"/>
      <c r="E130" s="196"/>
      <c r="F130" s="196"/>
      <c r="G130" s="196"/>
      <c r="H130" s="196"/>
      <c r="I130" s="196"/>
      <c r="J130" s="197"/>
      <c r="K130" s="197"/>
      <c r="L130" s="197"/>
      <c r="M130" s="196"/>
      <c r="N130" s="196"/>
      <c r="O130" s="196"/>
      <c r="P130" s="196"/>
      <c r="Q130" s="196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</row>
    <row r="131" spans="1:39" ht="14.1" customHeight="1">
      <c r="A131" s="196"/>
      <c r="B131" s="196"/>
      <c r="C131" s="196"/>
      <c r="D131" s="196"/>
      <c r="E131" s="196"/>
      <c r="F131" s="196"/>
      <c r="G131" s="196"/>
      <c r="H131" s="196"/>
      <c r="I131" s="196"/>
      <c r="J131" s="197"/>
      <c r="K131" s="197"/>
      <c r="L131" s="197"/>
      <c r="M131" s="196"/>
      <c r="N131" s="196"/>
      <c r="O131" s="196"/>
      <c r="P131" s="196"/>
      <c r="Q131" s="196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</row>
    <row r="132" spans="1:39" ht="14.1" customHeight="1">
      <c r="A132" s="196"/>
      <c r="B132" s="196"/>
      <c r="C132" s="196"/>
      <c r="D132" s="196"/>
      <c r="E132" s="196"/>
      <c r="F132" s="196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649" t="s">
        <v>748</v>
      </c>
      <c r="B133" s="649"/>
      <c r="C133" s="649"/>
      <c r="D133" s="649"/>
      <c r="E133" s="649"/>
      <c r="F133" s="649"/>
      <c r="G133" s="649"/>
      <c r="H133" s="649"/>
      <c r="I133" s="649"/>
      <c r="J133" s="649"/>
      <c r="K133" s="649"/>
      <c r="L133" s="649"/>
      <c r="M133" s="650" t="str">
        <f>VLOOKUP(AI134,'Contorizare in SDI'!$E:$I,4,FALSE)</f>
        <v>59401070000220953171619201/3</v>
      </c>
      <c r="N133" s="650"/>
      <c r="O133" s="650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0"/>
      <c r="AC133" s="650"/>
      <c r="AD133" s="650"/>
      <c r="AE133" s="650"/>
      <c r="AF133" s="650"/>
      <c r="AG133" s="650"/>
      <c r="AH133" s="650"/>
      <c r="AI133" s="650" t="s">
        <v>695</v>
      </c>
      <c r="AJ133" s="650"/>
      <c r="AK133" s="650"/>
      <c r="AL133" s="650"/>
      <c r="AM133" s="650"/>
    </row>
    <row r="134" spans="1:39" ht="14.1" customHeight="1">
      <c r="A134" s="649" t="s">
        <v>746</v>
      </c>
      <c r="B134" s="649"/>
      <c r="C134" s="649"/>
      <c r="D134" s="649"/>
      <c r="E134" s="649"/>
      <c r="F134" s="649"/>
      <c r="G134" s="649"/>
      <c r="H134" s="649"/>
      <c r="I134" s="649"/>
      <c r="J134" s="649"/>
      <c r="K134" s="649"/>
      <c r="L134" s="649"/>
      <c r="M134" s="650" t="str">
        <f>VLOOKUP(AI134,'Inchidere contur'!$G:$U,15,FALSE)</f>
        <v>JT_SDI</v>
      </c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19" t="str">
        <f>_xlfn.CONCAT(AA32,".",3)</f>
        <v>RRVS_1.3</v>
      </c>
      <c r="AJ134" s="619"/>
      <c r="AK134" s="619"/>
      <c r="AL134" s="619"/>
      <c r="AM134" s="619"/>
    </row>
    <row r="135" spans="1:39" ht="14.1" customHeight="1">
      <c r="A135" s="649" t="s">
        <v>747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IF(LEFT(M134,2)="JT","0.4kV",IF(LEFT(M134,2)="MT","20kV","-"))</f>
        <v>0.4kV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/>
      <c r="AJ135" s="619"/>
      <c r="AK135" s="619"/>
      <c r="AL135" s="619"/>
      <c r="AM135" s="619"/>
    </row>
    <row r="136" spans="1:39" ht="14.1" customHeight="1">
      <c r="A136" s="648" t="s">
        <v>697</v>
      </c>
      <c r="B136" s="648"/>
      <c r="C136" s="648"/>
      <c r="D136" s="648"/>
      <c r="E136" s="648"/>
      <c r="F136" s="648"/>
      <c r="G136" s="647" t="s">
        <v>713</v>
      </c>
      <c r="H136" s="647"/>
      <c r="I136" s="647"/>
      <c r="J136" s="647" t="s">
        <v>714</v>
      </c>
      <c r="K136" s="647"/>
      <c r="L136" s="647"/>
      <c r="M136" s="648" t="s">
        <v>519</v>
      </c>
      <c r="N136" s="648"/>
      <c r="O136" s="648" t="s">
        <v>715</v>
      </c>
      <c r="P136" s="648"/>
      <c r="Q136" s="648"/>
      <c r="R136" s="647" t="s">
        <v>732</v>
      </c>
      <c r="S136" s="647"/>
      <c r="T136" s="647"/>
      <c r="U136" s="647" t="s">
        <v>734</v>
      </c>
      <c r="V136" s="647"/>
      <c r="W136" s="647"/>
      <c r="X136" s="647" t="s">
        <v>1085</v>
      </c>
      <c r="Y136" s="647"/>
      <c r="Z136" s="647"/>
      <c r="AA136" s="647" t="s">
        <v>1086</v>
      </c>
      <c r="AB136" s="647"/>
      <c r="AC136" s="647"/>
      <c r="AD136" s="647" t="s">
        <v>717</v>
      </c>
      <c r="AE136" s="647"/>
      <c r="AF136" s="647" t="s">
        <v>718</v>
      </c>
      <c r="AG136" s="647"/>
      <c r="AH136" s="647"/>
      <c r="AI136" s="647" t="s">
        <v>719</v>
      </c>
      <c r="AJ136" s="647"/>
      <c r="AK136" s="647" t="s">
        <v>733</v>
      </c>
      <c r="AL136" s="647"/>
      <c r="AM136" s="647"/>
    </row>
    <row r="137" spans="1:39" ht="14.1" customHeight="1">
      <c r="A137" s="648"/>
      <c r="B137" s="648"/>
      <c r="C137" s="648"/>
      <c r="D137" s="648"/>
      <c r="E137" s="648"/>
      <c r="F137" s="648"/>
      <c r="G137" s="647"/>
      <c r="H137" s="647"/>
      <c r="I137" s="647"/>
      <c r="J137" s="647"/>
      <c r="K137" s="647"/>
      <c r="L137" s="647"/>
      <c r="M137" s="648"/>
      <c r="N137" s="648"/>
      <c r="O137" s="648"/>
      <c r="P137" s="648"/>
      <c r="Q137" s="648"/>
      <c r="R137" s="647"/>
      <c r="S137" s="647"/>
      <c r="T137" s="647"/>
      <c r="U137" s="647"/>
      <c r="V137" s="647"/>
      <c r="W137" s="647"/>
      <c r="X137" s="647"/>
      <c r="Y137" s="647"/>
      <c r="Z137" s="647"/>
      <c r="AA137" s="647"/>
      <c r="AB137" s="647"/>
      <c r="AC137" s="647"/>
      <c r="AD137" s="647"/>
      <c r="AE137" s="647"/>
      <c r="AF137" s="647"/>
      <c r="AG137" s="647"/>
      <c r="AH137" s="647"/>
      <c r="AI137" s="647"/>
      <c r="AJ137" s="647"/>
      <c r="AK137" s="647"/>
      <c r="AL137" s="647"/>
      <c r="AM137" s="647"/>
    </row>
    <row r="138" spans="1:39" ht="14.1" customHeight="1">
      <c r="A138" s="648"/>
      <c r="B138" s="648"/>
      <c r="C138" s="648"/>
      <c r="D138" s="648"/>
      <c r="E138" s="648"/>
      <c r="F138" s="648"/>
      <c r="G138" s="647"/>
      <c r="H138" s="647"/>
      <c r="I138" s="647"/>
      <c r="J138" s="713"/>
      <c r="K138" s="713"/>
      <c r="L138" s="713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78">
        <f>VLOOKUP(AI134,'Contorizare in SDI'!$E:$I,5,FALSE)</f>
        <v>1371628614</v>
      </c>
      <c r="B139" s="679"/>
      <c r="C139" s="679"/>
      <c r="D139" s="679"/>
      <c r="E139" s="679"/>
      <c r="F139" s="680"/>
      <c r="G139" s="648" t="s">
        <v>730</v>
      </c>
      <c r="H139" s="648"/>
      <c r="I139" s="673"/>
      <c r="J139" s="655">
        <f>'Date masura OD'!$AK$5</f>
        <v>45748</v>
      </c>
      <c r="K139" s="656"/>
      <c r="L139" s="657"/>
      <c r="M139" s="720" t="s">
        <v>446</v>
      </c>
      <c r="N139" s="648"/>
      <c r="O139" s="648">
        <f>VLOOKUP(AI134,'Incrementare indexe'!$B:$T,4,FALSE)</f>
        <v>1</v>
      </c>
      <c r="P139" s="648"/>
      <c r="Q139" s="648"/>
      <c r="R139" s="647" t="str">
        <f>VLOOKUP(A139,Regularizare!$D:$YN,3,FALSE)&amp;" ("&amp;VLOOKUP(A139,Regularizare!$D:$Y,11,FALSE)&amp;")"</f>
        <v>1399409 (citit)</v>
      </c>
      <c r="S139" s="647"/>
      <c r="T139" s="647"/>
      <c r="U139" s="647" t="str">
        <f>VLOOKUP(A139,Regularizare!$D:$U,4,FALSE)&amp;" ("&amp;VLOOKUP(A139,Regularizare!$D:$U,12,FALSE)&amp;")"</f>
        <v>1449376 (estimat)</v>
      </c>
      <c r="V139" s="647"/>
      <c r="W139" s="647"/>
      <c r="X139" s="647" t="str">
        <f>VLOOKUP(A139,Regularizare!$D:$Y,19,FALSE)&amp;" ("&amp;VLOOKUP(A139,Regularizare!$D:$U,12,FALSE)&amp;")"</f>
        <v>49967 (estimat)</v>
      </c>
      <c r="Y139" s="647"/>
      <c r="Z139" s="647"/>
      <c r="AA139" s="647">
        <f>(-1)*VLOOKUP(A139,Regularizare!$D:$Y,19,FALSE)</f>
        <v>-49967</v>
      </c>
      <c r="AB139" s="647"/>
      <c r="AC139" s="647"/>
      <c r="AD139" s="647" t="s">
        <v>69</v>
      </c>
      <c r="AE139" s="647"/>
      <c r="AF139" s="647">
        <f>AA139</f>
        <v>-49967</v>
      </c>
      <c r="AG139" s="647"/>
      <c r="AH139" s="647"/>
      <c r="AI139" s="647" t="s">
        <v>69</v>
      </c>
      <c r="AJ139" s="647"/>
      <c r="AK139" s="647" t="s">
        <v>69</v>
      </c>
      <c r="AL139" s="647"/>
      <c r="AM139" s="647"/>
    </row>
    <row r="140" spans="1:39" ht="14.1" customHeight="1">
      <c r="A140" s="717"/>
      <c r="B140" s="718"/>
      <c r="C140" s="718"/>
      <c r="D140" s="718"/>
      <c r="E140" s="718"/>
      <c r="F140" s="719"/>
      <c r="G140" s="648"/>
      <c r="H140" s="648"/>
      <c r="I140" s="673"/>
      <c r="J140" s="717" t="s">
        <v>69</v>
      </c>
      <c r="K140" s="718"/>
      <c r="L140" s="719"/>
      <c r="M140" s="720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81"/>
      <c r="B141" s="682"/>
      <c r="C141" s="682"/>
      <c r="D141" s="682"/>
      <c r="E141" s="682"/>
      <c r="F141" s="683"/>
      <c r="G141" s="648"/>
      <c r="H141" s="648"/>
      <c r="I141" s="673"/>
      <c r="J141" s="714">
        <f>'Date masura OD'!$AL$5</f>
        <v>45777</v>
      </c>
      <c r="K141" s="715"/>
      <c r="L141" s="716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78">
        <f>A139</f>
        <v>1371628614</v>
      </c>
      <c r="B142" s="679"/>
      <c r="C142" s="679"/>
      <c r="D142" s="679"/>
      <c r="E142" s="679"/>
      <c r="F142" s="680"/>
      <c r="G142" s="648" t="s">
        <v>696</v>
      </c>
      <c r="H142" s="648"/>
      <c r="I142" s="648"/>
      <c r="J142" s="655">
        <f t="shared" ref="J142:J147" si="7">J139</f>
        <v>45748</v>
      </c>
      <c r="K142" s="656"/>
      <c r="L142" s="657"/>
      <c r="M142" s="648" t="s">
        <v>720</v>
      </c>
      <c r="N142" s="648"/>
      <c r="O142" s="648">
        <f>O139</f>
        <v>1</v>
      </c>
      <c r="P142" s="648"/>
      <c r="Q142" s="648"/>
      <c r="R142" s="647" t="str">
        <f>VLOOKUP(A142,Regularizare!$D:$U,7,FALSE)&amp;" ("&amp;VLOOKUP(A142,Regularizare!$D:$U,15,FALSE)&amp;")"</f>
        <v>117170 (citit)</v>
      </c>
      <c r="S142" s="647"/>
      <c r="T142" s="647"/>
      <c r="U142" s="647" t="str">
        <f>VLOOKUP(A142,Regularizare!$D:$U,8,FALSE)&amp;" ("&amp;VLOOKUP(A142,Regularizare!$D:$U,16,FALSE)&amp;")"</f>
        <v>117170 (estimat)</v>
      </c>
      <c r="V142" s="647"/>
      <c r="W142" s="647"/>
      <c r="X142" s="647" t="str">
        <f>_xlfn.CONCAT(VLOOKUP(A142,Regularizare!$D:$U,8,FALSE)-VLOOKUP(A142,Regularizare!$D:$U,7,FALSE)," (",VLOOKUP(A142,Regularizare!$D:$U,16,FALSE),")")</f>
        <v>0 (estimat)</v>
      </c>
      <c r="Y142" s="647"/>
      <c r="Z142" s="647"/>
      <c r="AA142" s="647">
        <f>IF(VLOOKUP(A142,Regularizare!$D:$Y,21,FALSE)=0,VLOOKUP(A142,Regularizare!$D:$Y,21,FALSE),(-1)*VLOOKUP(A142,Regularizare!$D:$Y,21,FALSE))</f>
        <v>0</v>
      </c>
      <c r="AB142" s="647"/>
      <c r="AC142" s="647"/>
      <c r="AD142" s="647" t="s">
        <v>69</v>
      </c>
      <c r="AE142" s="647"/>
      <c r="AF142" s="647">
        <f>AA142</f>
        <v>0</v>
      </c>
      <c r="AG142" s="647"/>
      <c r="AH142" s="647"/>
      <c r="AI142" s="647" t="str">
        <f>AI139</f>
        <v>-</v>
      </c>
      <c r="AJ142" s="647"/>
      <c r="AK142" s="647" t="str">
        <f>AK139</f>
        <v>-</v>
      </c>
      <c r="AL142" s="647"/>
      <c r="AM142" s="647"/>
    </row>
    <row r="143" spans="1:39" ht="14.1" customHeight="1">
      <c r="A143" s="717"/>
      <c r="B143" s="718"/>
      <c r="C143" s="718"/>
      <c r="D143" s="718"/>
      <c r="E143" s="718"/>
      <c r="F143" s="719"/>
      <c r="G143" s="648"/>
      <c r="H143" s="648"/>
      <c r="I143" s="648"/>
      <c r="J143" s="717" t="str">
        <f t="shared" si="7"/>
        <v>-</v>
      </c>
      <c r="K143" s="718"/>
      <c r="L143" s="719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1"/>
      <c r="B144" s="682"/>
      <c r="C144" s="682"/>
      <c r="D144" s="682"/>
      <c r="E144" s="682"/>
      <c r="F144" s="683"/>
      <c r="G144" s="648"/>
      <c r="H144" s="648"/>
      <c r="I144" s="648"/>
      <c r="J144" s="714">
        <f t="shared" si="7"/>
        <v>45777</v>
      </c>
      <c r="K144" s="715"/>
      <c r="L144" s="716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78">
        <f>A142</f>
        <v>1371628614</v>
      </c>
      <c r="B145" s="679"/>
      <c r="C145" s="679"/>
      <c r="D145" s="679"/>
      <c r="E145" s="679"/>
      <c r="F145" s="680"/>
      <c r="G145" s="648" t="s">
        <v>731</v>
      </c>
      <c r="H145" s="648"/>
      <c r="I145" s="648"/>
      <c r="J145" s="655">
        <f t="shared" si="7"/>
        <v>45748</v>
      </c>
      <c r="K145" s="656"/>
      <c r="L145" s="657"/>
      <c r="M145" s="648" t="s">
        <v>720</v>
      </c>
      <c r="N145" s="648"/>
      <c r="O145" s="648">
        <f>O142</f>
        <v>1</v>
      </c>
      <c r="P145" s="648"/>
      <c r="Q145" s="648"/>
      <c r="R145" s="647" t="str">
        <f>VLOOKUP(A145,Regularizare!$D:$U,9,FALSE)&amp;" ("&amp;VLOOKUP(A145,Regularizare!$D:$U,17,FALSE)&amp;")"</f>
        <v>50604 (citit)</v>
      </c>
      <c r="S145" s="647"/>
      <c r="T145" s="647"/>
      <c r="U145" s="647" t="str">
        <f>VLOOKUP(A145,Regularizare!$D:$U,10,FALSE)&amp;" ("&amp;VLOOKUP(A145,Regularizare!$D:$U,18,FALSE)&amp;")"</f>
        <v>50604 (estimat)</v>
      </c>
      <c r="V145" s="647"/>
      <c r="W145" s="647"/>
      <c r="X145" s="647" t="str">
        <f>_xlfn.CONCAT(VLOOKUP(A145,Regularizare!$D:$U,10,FALSE)-VLOOKUP(A145,Regularizare!$D:$U,9,FALSE)," (",VLOOKUP(A145,Regularizare!$D:$U,18,FALSE),")")</f>
        <v>0 (estimat)</v>
      </c>
      <c r="Y145" s="647"/>
      <c r="Z145" s="647"/>
      <c r="AA145" s="647">
        <f>IF(VLOOKUP(A145,Regularizare!$D:$Y,22,FALSE)=0,VLOOKUP(A145,Regularizare!$D:$Y,22,FALSE),(-1)*VLOOKUP(A145,Regularizare!$D:$Y,22,FALSE))</f>
        <v>0</v>
      </c>
      <c r="AB145" s="647"/>
      <c r="AC145" s="647"/>
      <c r="AD145" s="647" t="s">
        <v>69</v>
      </c>
      <c r="AE145" s="647"/>
      <c r="AF145" s="647">
        <f>AA145</f>
        <v>0</v>
      </c>
      <c r="AG145" s="647"/>
      <c r="AH145" s="647"/>
      <c r="AI145" s="647" t="str">
        <f>AI142</f>
        <v>-</v>
      </c>
      <c r="AJ145" s="647"/>
      <c r="AK145" s="647" t="str">
        <f>AK142</f>
        <v>-</v>
      </c>
      <c r="AL145" s="647"/>
      <c r="AM145" s="647"/>
    </row>
    <row r="146" spans="1:39" ht="14.1" customHeight="1">
      <c r="A146" s="717"/>
      <c r="B146" s="718"/>
      <c r="C146" s="718"/>
      <c r="D146" s="718"/>
      <c r="E146" s="718"/>
      <c r="F146" s="719"/>
      <c r="G146" s="648"/>
      <c r="H146" s="648"/>
      <c r="I146" s="648"/>
      <c r="J146" s="717" t="str">
        <f t="shared" si="7"/>
        <v>-</v>
      </c>
      <c r="K146" s="718"/>
      <c r="L146" s="719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1"/>
      <c r="B147" s="682"/>
      <c r="C147" s="682"/>
      <c r="D147" s="682"/>
      <c r="E147" s="682"/>
      <c r="F147" s="683"/>
      <c r="G147" s="648"/>
      <c r="H147" s="648"/>
      <c r="I147" s="648"/>
      <c r="J147" s="714">
        <f t="shared" si="7"/>
        <v>45777</v>
      </c>
      <c r="K147" s="715"/>
      <c r="L147" s="716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78">
        <f>A145</f>
        <v>1371628614</v>
      </c>
      <c r="B148" s="679"/>
      <c r="C148" s="679"/>
      <c r="D148" s="679"/>
      <c r="E148" s="679"/>
      <c r="F148" s="680"/>
      <c r="G148" s="648" t="s">
        <v>730</v>
      </c>
      <c r="H148" s="648"/>
      <c r="I148" s="673"/>
      <c r="J148" s="655">
        <f>'Date masura OD'!$AK$5</f>
        <v>45748</v>
      </c>
      <c r="K148" s="656"/>
      <c r="L148" s="657"/>
      <c r="M148" s="720" t="s">
        <v>446</v>
      </c>
      <c r="N148" s="648"/>
      <c r="O148" s="648">
        <f>O145</f>
        <v>1</v>
      </c>
      <c r="P148" s="648"/>
      <c r="Q148" s="648"/>
      <c r="R148" s="647" t="str">
        <f>VLOOKUP(A148,Regularizare!$D:$AX,23,FALSE)&amp;" ("&amp;VLOOKUP(A148,Regularizare!$D:$AX,24,FALSE)&amp;")"</f>
        <v>1399409 (citit)</v>
      </c>
      <c r="S148" s="647"/>
      <c r="T148" s="647"/>
      <c r="U148" s="647" t="str">
        <f>VLOOKUP(A148,Regularizare!$D:$AX,25,FALSE)&amp;" ("&amp;VLOOKUP(A148,Regularizare!$D:$AX,26,FALSE)&amp;")"</f>
        <v>1449376 (citit)</v>
      </c>
      <c r="V148" s="647"/>
      <c r="W148" s="647"/>
      <c r="X148" s="647" t="str">
        <f>VLOOKUP(A148,Regularizare!$D:$AX,37,FALSE)&amp;" ("&amp;VLOOKUP(A148,Regularizare!$D:$AX,26,FALSE)&amp;")"</f>
        <v>49967 (citit)</v>
      </c>
      <c r="Y148" s="647"/>
      <c r="Z148" s="647"/>
      <c r="AA148" s="647">
        <f>VLOOKUP(A148,Regularizare!$D:$AX,37,FALSE)</f>
        <v>49967</v>
      </c>
      <c r="AB148" s="647"/>
      <c r="AC148" s="647"/>
      <c r="AD148" s="647" t="s">
        <v>69</v>
      </c>
      <c r="AE148" s="647"/>
      <c r="AF148" s="647">
        <f>AA148</f>
        <v>49967</v>
      </c>
      <c r="AG148" s="647"/>
      <c r="AH148" s="647"/>
      <c r="AI148" s="647" t="str">
        <f>AI145</f>
        <v>-</v>
      </c>
      <c r="AJ148" s="647"/>
      <c r="AK148" s="647" t="str">
        <f>AK145</f>
        <v>-</v>
      </c>
      <c r="AL148" s="647"/>
      <c r="AM148" s="647"/>
    </row>
    <row r="149" spans="1:39" ht="14.1" customHeight="1">
      <c r="A149" s="717"/>
      <c r="B149" s="718"/>
      <c r="C149" s="718"/>
      <c r="D149" s="718"/>
      <c r="E149" s="718"/>
      <c r="F149" s="719"/>
      <c r="G149" s="648"/>
      <c r="H149" s="648"/>
      <c r="I149" s="673"/>
      <c r="J149" s="717" t="s">
        <v>69</v>
      </c>
      <c r="K149" s="718"/>
      <c r="L149" s="719"/>
      <c r="M149" s="720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1"/>
      <c r="B150" s="682"/>
      <c r="C150" s="682"/>
      <c r="D150" s="682"/>
      <c r="E150" s="682"/>
      <c r="F150" s="683"/>
      <c r="G150" s="648"/>
      <c r="H150" s="648"/>
      <c r="I150" s="673"/>
      <c r="J150" s="714">
        <f>'Date masura OD'!$AL$5</f>
        <v>45777</v>
      </c>
      <c r="K150" s="715"/>
      <c r="L150" s="716"/>
      <c r="M150" s="720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78">
        <f>A148</f>
        <v>1371628614</v>
      </c>
      <c r="B151" s="679"/>
      <c r="C151" s="679"/>
      <c r="D151" s="679"/>
      <c r="E151" s="679"/>
      <c r="F151" s="680"/>
      <c r="G151" s="648" t="s">
        <v>696</v>
      </c>
      <c r="H151" s="648"/>
      <c r="I151" s="648"/>
      <c r="J151" s="655">
        <f t="shared" ref="J151:J156" si="8">J148</f>
        <v>45748</v>
      </c>
      <c r="K151" s="656"/>
      <c r="L151" s="657"/>
      <c r="M151" s="648" t="s">
        <v>720</v>
      </c>
      <c r="N151" s="648"/>
      <c r="O151" s="648">
        <f>O148</f>
        <v>1</v>
      </c>
      <c r="P151" s="648"/>
      <c r="Q151" s="648"/>
      <c r="R151" s="647" t="str">
        <f>VLOOKUP(A151,Regularizare!$D:$AX,29,FALSE)&amp;" ("&amp;VLOOKUP(A151,Regularizare!$D:$AX,30,FALSE)&amp;")"</f>
        <v>117170 (citit)</v>
      </c>
      <c r="S151" s="647"/>
      <c r="T151" s="647"/>
      <c r="U151" s="647" t="str">
        <f>VLOOKUP(A151,Regularizare!$D:$AX,31,FALSE)&amp;" ("&amp;VLOOKUP(A151,Regularizare!$D:$AX,32,FALSE)&amp;")"</f>
        <v>117170 (citit)</v>
      </c>
      <c r="V151" s="647"/>
      <c r="W151" s="647"/>
      <c r="X151" s="647" t="str">
        <f>VLOOKUP(A151,Regularizare!$D:$AX,39,FALSE)&amp;" ("&amp;VLOOKUP(A151,Regularizare!$D:$AX,32,FALSE)&amp;")"</f>
        <v>0 (citit)</v>
      </c>
      <c r="Y151" s="647"/>
      <c r="Z151" s="647"/>
      <c r="AA151" s="647">
        <f>VLOOKUP(A151,Regularizare!$D:$AX,44,FALSE)+VLOOKUP(A151,Regularizare!$D:$AX,45,FALSE)</f>
        <v>0</v>
      </c>
      <c r="AB151" s="647"/>
      <c r="AC151" s="647"/>
      <c r="AD151" s="647" t="s">
        <v>69</v>
      </c>
      <c r="AE151" s="647"/>
      <c r="AF151" s="647">
        <f>AA151</f>
        <v>0</v>
      </c>
      <c r="AG151" s="647"/>
      <c r="AH151" s="647"/>
      <c r="AI151" s="647" t="str">
        <f>AI148</f>
        <v>-</v>
      </c>
      <c r="AJ151" s="647"/>
      <c r="AK151" s="647" t="str">
        <f>AK148</f>
        <v>-</v>
      </c>
      <c r="AL151" s="647"/>
      <c r="AM151" s="647"/>
    </row>
    <row r="152" spans="1:39" ht="14.1" customHeight="1">
      <c r="A152" s="717"/>
      <c r="B152" s="718"/>
      <c r="C152" s="718"/>
      <c r="D152" s="718"/>
      <c r="E152" s="718"/>
      <c r="F152" s="719"/>
      <c r="G152" s="648"/>
      <c r="H152" s="648"/>
      <c r="I152" s="648"/>
      <c r="J152" s="717" t="str">
        <f t="shared" si="8"/>
        <v>-</v>
      </c>
      <c r="K152" s="718"/>
      <c r="L152" s="719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1"/>
      <c r="B153" s="682"/>
      <c r="C153" s="682"/>
      <c r="D153" s="682"/>
      <c r="E153" s="682"/>
      <c r="F153" s="683"/>
      <c r="G153" s="648"/>
      <c r="H153" s="648"/>
      <c r="I153" s="648"/>
      <c r="J153" s="714">
        <f t="shared" si="8"/>
        <v>45777</v>
      </c>
      <c r="K153" s="715"/>
      <c r="L153" s="716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78">
        <f>A151</f>
        <v>1371628614</v>
      </c>
      <c r="B154" s="679"/>
      <c r="C154" s="679"/>
      <c r="D154" s="679"/>
      <c r="E154" s="679"/>
      <c r="F154" s="680"/>
      <c r="G154" s="648" t="s">
        <v>731</v>
      </c>
      <c r="H154" s="648"/>
      <c r="I154" s="648"/>
      <c r="J154" s="655">
        <f t="shared" si="8"/>
        <v>45748</v>
      </c>
      <c r="K154" s="656"/>
      <c r="L154" s="657"/>
      <c r="M154" s="648" t="s">
        <v>720</v>
      </c>
      <c r="N154" s="648"/>
      <c r="O154" s="648">
        <f>O151</f>
        <v>1</v>
      </c>
      <c r="P154" s="648"/>
      <c r="Q154" s="648"/>
      <c r="R154" s="647" t="str">
        <f>VLOOKUP(A154,Regularizare!$D:$AX,33,FALSE)&amp;" ("&amp;VLOOKUP(A154,Regularizare!$D:$AX,34,FALSE)&amp;")"</f>
        <v>50604 (citit)</v>
      </c>
      <c r="S154" s="647"/>
      <c r="T154" s="647"/>
      <c r="U154" s="647" t="str">
        <f>VLOOKUP(A154,Regularizare!$D:$AX,35,FALSE)&amp;" ("&amp;VLOOKUP(A154,Regularizare!$D:$AX,36,FALSE)&amp;")"</f>
        <v>52778 (citit)</v>
      </c>
      <c r="V154" s="647"/>
      <c r="W154" s="647"/>
      <c r="X154" s="647" t="str">
        <f>VLOOKUP(A154,Regularizare!$D:$AX,40,FALSE)&amp;" ("&amp;VLOOKUP(A154,Regularizare!$D:$AX,36,FALSE)&amp;")"</f>
        <v>2174 (citit)</v>
      </c>
      <c r="Y154" s="647"/>
      <c r="Z154" s="647"/>
      <c r="AA154" s="647">
        <f>VLOOKUP(A154,Regularizare!$D:$AX,46,FALSE)+VLOOKUP(A154,Regularizare!$D:$AX,47,FALSE)</f>
        <v>2174</v>
      </c>
      <c r="AB154" s="647"/>
      <c r="AC154" s="647"/>
      <c r="AD154" s="647" t="s">
        <v>69</v>
      </c>
      <c r="AE154" s="647"/>
      <c r="AF154" s="647">
        <f>AA154</f>
        <v>2174</v>
      </c>
      <c r="AG154" s="647"/>
      <c r="AH154" s="647"/>
      <c r="AI154" s="647" t="str">
        <f>AI151</f>
        <v>-</v>
      </c>
      <c r="AJ154" s="647"/>
      <c r="AK154" s="647" t="str">
        <f>AK151</f>
        <v>-</v>
      </c>
      <c r="AL154" s="647"/>
      <c r="AM154" s="647"/>
    </row>
    <row r="155" spans="1:39" ht="14.1" customHeight="1">
      <c r="A155" s="717"/>
      <c r="B155" s="718"/>
      <c r="C155" s="718"/>
      <c r="D155" s="718"/>
      <c r="E155" s="718"/>
      <c r="F155" s="719"/>
      <c r="G155" s="648"/>
      <c r="H155" s="648"/>
      <c r="I155" s="648"/>
      <c r="J155" s="717" t="str">
        <f t="shared" si="8"/>
        <v>-</v>
      </c>
      <c r="K155" s="718"/>
      <c r="L155" s="719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1"/>
      <c r="B156" s="682"/>
      <c r="C156" s="682"/>
      <c r="D156" s="682"/>
      <c r="E156" s="682"/>
      <c r="F156" s="683"/>
      <c r="G156" s="648"/>
      <c r="H156" s="648"/>
      <c r="I156" s="648"/>
      <c r="J156" s="714">
        <f t="shared" si="8"/>
        <v>45777</v>
      </c>
      <c r="K156" s="715"/>
      <c r="L156" s="716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78">
        <f>A154</f>
        <v>1371628614</v>
      </c>
      <c r="B157" s="679"/>
      <c r="C157" s="679"/>
      <c r="D157" s="679"/>
      <c r="E157" s="679"/>
      <c r="F157" s="680"/>
      <c r="G157" s="648" t="s">
        <v>730</v>
      </c>
      <c r="H157" s="648"/>
      <c r="I157" s="673"/>
      <c r="J157" s="655">
        <f>'Date masura OD'!$I$5</f>
        <v>45778</v>
      </c>
      <c r="K157" s="656"/>
      <c r="L157" s="657"/>
      <c r="M157" s="720" t="s">
        <v>446</v>
      </c>
      <c r="N157" s="648"/>
      <c r="O157" s="648">
        <f>O154</f>
        <v>1</v>
      </c>
      <c r="P157" s="648"/>
      <c r="Q157" s="648"/>
      <c r="R157" s="647" t="str">
        <f>U148</f>
        <v>1449376 (citit)</v>
      </c>
      <c r="S157" s="647"/>
      <c r="T157" s="647"/>
      <c r="U157" s="647" t="str">
        <f>VLOOKUP(A157,'Incrementare indexe'!$D:$M,4,FALSE)&amp;" (estimat)"</f>
        <v>1503032 (estimat)</v>
      </c>
      <c r="V157" s="647"/>
      <c r="W157" s="647"/>
      <c r="X157" s="647" t="str">
        <f>VLOOKUP(A157,'Incrementare indexe'!$D:$Q,11,FALSE)&amp;" (estimat)"</f>
        <v>53656 (estimat)</v>
      </c>
      <c r="Y157" s="647"/>
      <c r="Z157" s="647"/>
      <c r="AA157" s="647" t="s">
        <v>69</v>
      </c>
      <c r="AB157" s="647"/>
      <c r="AC157" s="647"/>
      <c r="AD157" s="647" t="s">
        <v>69</v>
      </c>
      <c r="AE157" s="647"/>
      <c r="AF157" s="647">
        <f>VLOOKUP(A157,'Incrementare indexe'!$D:$Q,11,FALSE)</f>
        <v>53656</v>
      </c>
      <c r="AG157" s="647"/>
      <c r="AH157" s="647"/>
      <c r="AI157" s="647">
        <f>J159-J157+1</f>
        <v>31</v>
      </c>
      <c r="AJ157" s="647"/>
      <c r="AK157" s="647">
        <f>ROUND(AF157/AI157,2)</f>
        <v>1730.84</v>
      </c>
      <c r="AL157" s="647"/>
      <c r="AM157" s="647"/>
    </row>
    <row r="158" spans="1:39" ht="14.1" customHeight="1">
      <c r="A158" s="717"/>
      <c r="B158" s="718"/>
      <c r="C158" s="718"/>
      <c r="D158" s="718"/>
      <c r="E158" s="718"/>
      <c r="F158" s="719"/>
      <c r="G158" s="648"/>
      <c r="H158" s="648"/>
      <c r="I158" s="673"/>
      <c r="J158" s="717" t="s">
        <v>69</v>
      </c>
      <c r="K158" s="718"/>
      <c r="L158" s="719"/>
      <c r="M158" s="720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1"/>
      <c r="B159" s="682"/>
      <c r="C159" s="682"/>
      <c r="D159" s="682"/>
      <c r="E159" s="682"/>
      <c r="F159" s="683"/>
      <c r="G159" s="648"/>
      <c r="H159" s="648"/>
      <c r="I159" s="673"/>
      <c r="J159" s="714">
        <f>'Date masura OD'!$J$5</f>
        <v>45808</v>
      </c>
      <c r="K159" s="715"/>
      <c r="L159" s="716"/>
      <c r="M159" s="720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78">
        <f>A157</f>
        <v>1371628614</v>
      </c>
      <c r="B160" s="679"/>
      <c r="C160" s="679"/>
      <c r="D160" s="679"/>
      <c r="E160" s="679"/>
      <c r="F160" s="680"/>
      <c r="G160" s="648" t="s">
        <v>696</v>
      </c>
      <c r="H160" s="648"/>
      <c r="I160" s="648"/>
      <c r="J160" s="655">
        <f t="shared" ref="J160:J165" si="9">J157</f>
        <v>45778</v>
      </c>
      <c r="K160" s="656"/>
      <c r="L160" s="657"/>
      <c r="M160" s="648" t="s">
        <v>720</v>
      </c>
      <c r="N160" s="648"/>
      <c r="O160" s="648">
        <f>O157</f>
        <v>1</v>
      </c>
      <c r="P160" s="648"/>
      <c r="Q160" s="648"/>
      <c r="R160" s="647" t="str">
        <f>U151</f>
        <v>117170 (citit)</v>
      </c>
      <c r="S160" s="647"/>
      <c r="T160" s="647"/>
      <c r="U160" s="647" t="str">
        <f>VLOOKUP(A160,'Incrementare indexe'!$D:$M,8,FALSE)&amp;" (estimat)"</f>
        <v>117170 (estimat)</v>
      </c>
      <c r="V160" s="647"/>
      <c r="W160" s="647"/>
      <c r="X160" s="647" t="str">
        <f>VLOOKUP(A160,'Incrementare indexe'!$D:$Q,12,FALSE)&amp;" (estimat)"</f>
        <v>0 (estimat)</v>
      </c>
      <c r="Y160" s="647"/>
      <c r="Z160" s="647"/>
      <c r="AA160" s="647" t="s">
        <v>69</v>
      </c>
      <c r="AB160" s="647"/>
      <c r="AC160" s="647"/>
      <c r="AD160" s="647" t="s">
        <v>69</v>
      </c>
      <c r="AE160" s="647"/>
      <c r="AF160" s="647">
        <f>VLOOKUP(A160,'Incrementare indexe'!$D:$Q,12,FALSE)</f>
        <v>0</v>
      </c>
      <c r="AG160" s="647"/>
      <c r="AH160" s="647"/>
      <c r="AI160" s="647">
        <f>AI157</f>
        <v>31</v>
      </c>
      <c r="AJ160" s="647"/>
      <c r="AK160" s="647">
        <f>ROUND(AF160/AI160,2)</f>
        <v>0</v>
      </c>
      <c r="AL160" s="647"/>
      <c r="AM160" s="647"/>
    </row>
    <row r="161" spans="1:39" ht="14.1" customHeight="1">
      <c r="A161" s="717"/>
      <c r="B161" s="718"/>
      <c r="C161" s="718"/>
      <c r="D161" s="718"/>
      <c r="E161" s="718"/>
      <c r="F161" s="719"/>
      <c r="G161" s="648"/>
      <c r="H161" s="648"/>
      <c r="I161" s="648"/>
      <c r="J161" s="717" t="str">
        <f t="shared" si="9"/>
        <v>-</v>
      </c>
      <c r="K161" s="718"/>
      <c r="L161" s="719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1"/>
      <c r="B162" s="682"/>
      <c r="C162" s="682"/>
      <c r="D162" s="682"/>
      <c r="E162" s="682"/>
      <c r="F162" s="683"/>
      <c r="G162" s="648"/>
      <c r="H162" s="648"/>
      <c r="I162" s="648"/>
      <c r="J162" s="714">
        <f t="shared" si="9"/>
        <v>45808</v>
      </c>
      <c r="K162" s="715"/>
      <c r="L162" s="716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78">
        <f>A160</f>
        <v>1371628614</v>
      </c>
      <c r="B163" s="679"/>
      <c r="C163" s="679"/>
      <c r="D163" s="679"/>
      <c r="E163" s="679"/>
      <c r="F163" s="680"/>
      <c r="G163" s="648" t="s">
        <v>731</v>
      </c>
      <c r="H163" s="648"/>
      <c r="I163" s="648"/>
      <c r="J163" s="655">
        <f t="shared" si="9"/>
        <v>45778</v>
      </c>
      <c r="K163" s="656"/>
      <c r="L163" s="657"/>
      <c r="M163" s="648" t="s">
        <v>720</v>
      </c>
      <c r="N163" s="648"/>
      <c r="O163" s="648">
        <f>O160</f>
        <v>1</v>
      </c>
      <c r="P163" s="648"/>
      <c r="Q163" s="648"/>
      <c r="R163" s="647" t="str">
        <f>U154</f>
        <v>52778 (citit)</v>
      </c>
      <c r="S163" s="647"/>
      <c r="T163" s="647"/>
      <c r="U163" s="647" t="str">
        <f>VLOOKUP(A163,'Incrementare indexe'!$D:$M,10,FALSE)&amp;" (estimat)"</f>
        <v>52778 (estimat)</v>
      </c>
      <c r="V163" s="647"/>
      <c r="W163" s="647"/>
      <c r="X163" s="647" t="str">
        <f>VLOOKUP(A163,'Incrementare indexe'!$D:$Q,13,FALSE)&amp;" (estimat)"</f>
        <v>0 (estimat)</v>
      </c>
      <c r="Y163" s="647"/>
      <c r="Z163" s="647"/>
      <c r="AA163" s="647" t="s">
        <v>69</v>
      </c>
      <c r="AB163" s="647"/>
      <c r="AC163" s="647"/>
      <c r="AD163" s="647" t="s">
        <v>69</v>
      </c>
      <c r="AE163" s="647"/>
      <c r="AF163" s="647">
        <f>VLOOKUP(A163,'Incrementare indexe'!$D:$Q,13,FALSE)</f>
        <v>0</v>
      </c>
      <c r="AG163" s="647"/>
      <c r="AH163" s="647"/>
      <c r="AI163" s="647">
        <f>AI160</f>
        <v>31</v>
      </c>
      <c r="AJ163" s="647"/>
      <c r="AK163" s="647">
        <f>ROUND(AF163/AI163,2)</f>
        <v>0</v>
      </c>
      <c r="AL163" s="647"/>
      <c r="AM163" s="647"/>
    </row>
    <row r="164" spans="1:39" ht="14.1" customHeight="1">
      <c r="A164" s="717"/>
      <c r="B164" s="718"/>
      <c r="C164" s="718"/>
      <c r="D164" s="718"/>
      <c r="E164" s="718"/>
      <c r="F164" s="719"/>
      <c r="G164" s="648"/>
      <c r="H164" s="648"/>
      <c r="I164" s="648"/>
      <c r="J164" s="717" t="str">
        <f t="shared" si="9"/>
        <v>-</v>
      </c>
      <c r="K164" s="718"/>
      <c r="L164" s="719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1"/>
      <c r="B165" s="682"/>
      <c r="C165" s="682"/>
      <c r="D165" s="682"/>
      <c r="E165" s="682"/>
      <c r="F165" s="683"/>
      <c r="G165" s="648"/>
      <c r="H165" s="648"/>
      <c r="I165" s="648"/>
      <c r="J165" s="714">
        <f t="shared" si="9"/>
        <v>45808</v>
      </c>
      <c r="K165" s="715"/>
      <c r="L165" s="716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/>
    <row r="167" spans="1:39" ht="14.1" customHeight="1">
      <c r="A167" s="721" t="s">
        <v>1196</v>
      </c>
      <c r="B167" s="722"/>
      <c r="C167" s="722"/>
      <c r="D167" s="722"/>
      <c r="E167" s="722"/>
      <c r="F167" s="722"/>
      <c r="G167" s="722"/>
      <c r="H167" s="722"/>
      <c r="I167" s="722"/>
      <c r="J167" s="722"/>
      <c r="K167" s="722"/>
      <c r="L167" s="722"/>
      <c r="M167" s="722"/>
      <c r="N167" s="722"/>
      <c r="O167" s="722"/>
      <c r="P167" s="722"/>
      <c r="Q167" s="722"/>
      <c r="R167" s="722"/>
      <c r="S167" s="722"/>
      <c r="T167" s="722"/>
      <c r="U167" s="722"/>
      <c r="V167" s="722"/>
      <c r="W167" s="722"/>
      <c r="X167" s="722"/>
      <c r="Y167" s="722"/>
      <c r="Z167" s="722"/>
      <c r="AA167" s="722"/>
      <c r="AB167" s="722"/>
      <c r="AC167" s="722"/>
      <c r="AD167" s="722"/>
      <c r="AE167" s="722"/>
      <c r="AF167" s="722"/>
      <c r="AG167" s="722"/>
      <c r="AH167" s="723"/>
      <c r="AI167" s="650" t="s">
        <v>695</v>
      </c>
      <c r="AJ167" s="650"/>
      <c r="AK167" s="650"/>
      <c r="AL167" s="650"/>
      <c r="AM167" s="650"/>
    </row>
    <row r="168" spans="1:39" ht="14.1" customHeight="1">
      <c r="A168" s="649" t="s">
        <v>746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50" t="s">
        <v>514</v>
      </c>
      <c r="N168" s="650"/>
      <c r="O168" s="650"/>
      <c r="P168" s="650"/>
      <c r="Q168" s="650"/>
      <c r="R168" s="650"/>
      <c r="S168" s="650"/>
      <c r="T168" s="650"/>
      <c r="U168" s="650"/>
      <c r="V168" s="650"/>
      <c r="W168" s="650"/>
      <c r="X168" s="650"/>
      <c r="Y168" s="650"/>
      <c r="Z168" s="650"/>
      <c r="AA168" s="650"/>
      <c r="AB168" s="650"/>
      <c r="AC168" s="650"/>
      <c r="AD168" s="650"/>
      <c r="AE168" s="650"/>
      <c r="AF168" s="650"/>
      <c r="AG168" s="650"/>
      <c r="AH168" s="650"/>
      <c r="AI168" s="619" t="str">
        <f>_xlfn.CONCAT(AI134,"/PV")</f>
        <v>RRVS_1.3/PV</v>
      </c>
      <c r="AJ168" s="619"/>
      <c r="AK168" s="619"/>
      <c r="AL168" s="619"/>
      <c r="AM168" s="619"/>
    </row>
    <row r="169" spans="1:39" ht="14.1" customHeight="1">
      <c r="A169" s="649" t="s">
        <v>747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50" t="s">
        <v>1087</v>
      </c>
      <c r="N169" s="650"/>
      <c r="O169" s="650"/>
      <c r="P169" s="650"/>
      <c r="Q169" s="650"/>
      <c r="R169" s="650"/>
      <c r="S169" s="650"/>
      <c r="T169" s="650"/>
      <c r="U169" s="650"/>
      <c r="V169" s="650"/>
      <c r="W169" s="650"/>
      <c r="X169" s="650"/>
      <c r="Y169" s="650"/>
      <c r="Z169" s="650"/>
      <c r="AA169" s="650"/>
      <c r="AB169" s="650"/>
      <c r="AC169" s="650"/>
      <c r="AD169" s="650"/>
      <c r="AE169" s="650"/>
      <c r="AF169" s="650"/>
      <c r="AG169" s="650"/>
      <c r="AH169" s="650"/>
      <c r="AI169" s="619"/>
      <c r="AJ169" s="619"/>
      <c r="AK169" s="619"/>
      <c r="AL169" s="619"/>
      <c r="AM169" s="619"/>
    </row>
    <row r="170" spans="1:39" ht="14.1" customHeight="1">
      <c r="A170" s="648" t="s">
        <v>697</v>
      </c>
      <c r="B170" s="648"/>
      <c r="C170" s="648"/>
      <c r="D170" s="648"/>
      <c r="E170" s="648"/>
      <c r="F170" s="648"/>
      <c r="G170" s="647" t="s">
        <v>713</v>
      </c>
      <c r="H170" s="647"/>
      <c r="I170" s="647"/>
      <c r="J170" s="647" t="s">
        <v>714</v>
      </c>
      <c r="K170" s="647"/>
      <c r="L170" s="647"/>
      <c r="M170" s="648" t="s">
        <v>519</v>
      </c>
      <c r="N170" s="648"/>
      <c r="O170" s="648" t="s">
        <v>715</v>
      </c>
      <c r="P170" s="648"/>
      <c r="Q170" s="648"/>
      <c r="R170" s="647" t="s">
        <v>732</v>
      </c>
      <c r="S170" s="647"/>
      <c r="T170" s="647"/>
      <c r="U170" s="647" t="s">
        <v>734</v>
      </c>
      <c r="V170" s="647"/>
      <c r="W170" s="647"/>
      <c r="X170" s="647" t="s">
        <v>1085</v>
      </c>
      <c r="Y170" s="647"/>
      <c r="Z170" s="647"/>
      <c r="AA170" s="647" t="s">
        <v>1086</v>
      </c>
      <c r="AB170" s="647"/>
      <c r="AC170" s="647"/>
      <c r="AD170" s="647" t="s">
        <v>717</v>
      </c>
      <c r="AE170" s="647"/>
      <c r="AF170" s="647" t="s">
        <v>718</v>
      </c>
      <c r="AG170" s="647"/>
      <c r="AH170" s="647"/>
      <c r="AI170" s="647" t="s">
        <v>719</v>
      </c>
      <c r="AJ170" s="647"/>
      <c r="AK170" s="647" t="s">
        <v>733</v>
      </c>
      <c r="AL170" s="647"/>
      <c r="AM170" s="647"/>
    </row>
    <row r="171" spans="1:39" ht="14.1" customHeight="1">
      <c r="A171" s="648"/>
      <c r="B171" s="648"/>
      <c r="C171" s="648"/>
      <c r="D171" s="648"/>
      <c r="E171" s="648"/>
      <c r="F171" s="648"/>
      <c r="G171" s="647"/>
      <c r="H171" s="647"/>
      <c r="I171" s="647"/>
      <c r="J171" s="647"/>
      <c r="K171" s="647"/>
      <c r="L171" s="647"/>
      <c r="M171" s="648"/>
      <c r="N171" s="648"/>
      <c r="O171" s="648"/>
      <c r="P171" s="648"/>
      <c r="Q171" s="648"/>
      <c r="R171" s="647"/>
      <c r="S171" s="647"/>
      <c r="T171" s="647"/>
      <c r="U171" s="647"/>
      <c r="V171" s="647"/>
      <c r="W171" s="647"/>
      <c r="X171" s="647"/>
      <c r="Y171" s="647"/>
      <c r="Z171" s="647"/>
      <c r="AA171" s="647"/>
      <c r="AB171" s="647"/>
      <c r="AC171" s="647"/>
      <c r="AD171" s="647"/>
      <c r="AE171" s="647"/>
      <c r="AF171" s="647"/>
      <c r="AG171" s="647"/>
      <c r="AH171" s="647"/>
      <c r="AI171" s="647"/>
      <c r="AJ171" s="647"/>
      <c r="AK171" s="647"/>
      <c r="AL171" s="647"/>
      <c r="AM171" s="647"/>
    </row>
    <row r="172" spans="1:39" ht="14.1" customHeight="1">
      <c r="A172" s="648"/>
      <c r="B172" s="648"/>
      <c r="C172" s="648"/>
      <c r="D172" s="648"/>
      <c r="E172" s="648"/>
      <c r="F172" s="648"/>
      <c r="G172" s="647"/>
      <c r="H172" s="647"/>
      <c r="I172" s="647"/>
      <c r="J172" s="713"/>
      <c r="K172" s="713"/>
      <c r="L172" s="713"/>
      <c r="M172" s="648"/>
      <c r="N172" s="648"/>
      <c r="O172" s="648"/>
      <c r="P172" s="648"/>
      <c r="Q172" s="648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7"/>
      <c r="AG172" s="647"/>
      <c r="AH172" s="647"/>
      <c r="AI172" s="647"/>
      <c r="AJ172" s="647"/>
      <c r="AK172" s="647"/>
      <c r="AL172" s="647"/>
      <c r="AM172" s="647"/>
    </row>
    <row r="173" spans="1:39" ht="14.1" customHeight="1">
      <c r="A173" s="678">
        <f>VLOOKUP(AI168,'Incrementare indexe'!$B:$I,3,FALSE)</f>
        <v>1371621928</v>
      </c>
      <c r="B173" s="679"/>
      <c r="C173" s="679"/>
      <c r="D173" s="679"/>
      <c r="E173" s="679"/>
      <c r="F173" s="680"/>
      <c r="G173" s="647" t="s">
        <v>1088</v>
      </c>
      <c r="H173" s="647"/>
      <c r="I173" s="675"/>
      <c r="J173" s="655">
        <f>'Date masura OD'!$I$5</f>
        <v>45778</v>
      </c>
      <c r="K173" s="656"/>
      <c r="L173" s="657"/>
      <c r="M173" s="720" t="s">
        <v>446</v>
      </c>
      <c r="N173" s="648"/>
      <c r="O173" s="648">
        <f>VLOOKUP(AI168,'Incrementare indexe'!$B:$I,4,FALSE)</f>
        <v>1</v>
      </c>
      <c r="P173" s="648"/>
      <c r="Q173" s="648"/>
      <c r="R173" s="647" t="str">
        <f>VLOOKUP(AI168,'Incrementare indexe'!$B:$I,7,FALSE)&amp;" (citit)"</f>
        <v>593823 (citit)</v>
      </c>
      <c r="S173" s="647"/>
      <c r="T173" s="647"/>
      <c r="U173" s="647" t="str">
        <f>VLOOKUP(AI168,'Incrementare indexe'!$B:$I,8,FALSE)&amp;" (citit)"</f>
        <v>635701 (citit)</v>
      </c>
      <c r="V173" s="647"/>
      <c r="W173" s="647"/>
      <c r="X173" s="647" t="str">
        <f>(VLOOKUP(AI168,'Incrementare indexe'!$B:$I,8,FALSE)-VLOOKUP(AI168,'Incrementare indexe'!$B:$I,7,FALSE))&amp;" (citit)"</f>
        <v>41878 (citit)</v>
      </c>
      <c r="Y173" s="647"/>
      <c r="Z173" s="647"/>
      <c r="AA173" s="647" t="s">
        <v>69</v>
      </c>
      <c r="AB173" s="647"/>
      <c r="AC173" s="647"/>
      <c r="AD173" s="647" t="s">
        <v>69</v>
      </c>
      <c r="AE173" s="647"/>
      <c r="AF173" s="647">
        <f>(VLOOKUP(AI168,'Incrementare indexe'!$B:$I,8,FALSE)-VLOOKUP(AI168,'Incrementare indexe'!$B:$I,7,FALSE))</f>
        <v>41878</v>
      </c>
      <c r="AG173" s="647"/>
      <c r="AH173" s="647"/>
      <c r="AI173" s="647">
        <f>J175-J173+1</f>
        <v>31</v>
      </c>
      <c r="AJ173" s="647"/>
      <c r="AK173" s="647">
        <f>ROUND(AF173/AI173,2)</f>
        <v>1350.9</v>
      </c>
      <c r="AL173" s="647"/>
      <c r="AM173" s="647"/>
    </row>
    <row r="174" spans="1:39" ht="14.1" customHeight="1">
      <c r="A174" s="717"/>
      <c r="B174" s="718"/>
      <c r="C174" s="718"/>
      <c r="D174" s="718"/>
      <c r="E174" s="718"/>
      <c r="F174" s="719"/>
      <c r="G174" s="647"/>
      <c r="H174" s="647"/>
      <c r="I174" s="675"/>
      <c r="J174" s="717" t="s">
        <v>69</v>
      </c>
      <c r="K174" s="718"/>
      <c r="L174" s="719"/>
      <c r="M174" s="720"/>
      <c r="N174" s="648"/>
      <c r="O174" s="648"/>
      <c r="P174" s="648"/>
      <c r="Q174" s="648"/>
      <c r="R174" s="647"/>
      <c r="S174" s="647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647"/>
      <c r="AL174" s="647"/>
      <c r="AM174" s="647"/>
    </row>
    <row r="175" spans="1:39" ht="14.1" customHeight="1">
      <c r="A175" s="681"/>
      <c r="B175" s="682"/>
      <c r="C175" s="682"/>
      <c r="D175" s="682"/>
      <c r="E175" s="682"/>
      <c r="F175" s="683"/>
      <c r="G175" s="647"/>
      <c r="H175" s="647"/>
      <c r="I175" s="675"/>
      <c r="J175" s="714">
        <f>'Date masura OD'!$J$5</f>
        <v>45808</v>
      </c>
      <c r="K175" s="715"/>
      <c r="L175" s="716"/>
      <c r="M175" s="720"/>
      <c r="N175" s="648"/>
      <c r="O175" s="648"/>
      <c r="P175" s="648"/>
      <c r="Q175" s="648"/>
      <c r="R175" s="647"/>
      <c r="S175" s="647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647"/>
      <c r="AL175" s="647"/>
      <c r="AM175" s="647"/>
    </row>
    <row r="176" spans="1:39" ht="14.1" customHeight="1">
      <c r="A176" s="678">
        <f>A173</f>
        <v>1371621928</v>
      </c>
      <c r="B176" s="679"/>
      <c r="C176" s="679"/>
      <c r="D176" s="679"/>
      <c r="E176" s="679"/>
      <c r="F176" s="680"/>
      <c r="G176" s="648" t="s">
        <v>696</v>
      </c>
      <c r="H176" s="648"/>
      <c r="I176" s="648"/>
      <c r="J176" s="655">
        <f t="shared" ref="J176:J181" si="10">J173</f>
        <v>45778</v>
      </c>
      <c r="K176" s="656"/>
      <c r="L176" s="657"/>
      <c r="M176" s="648" t="s">
        <v>720</v>
      </c>
      <c r="N176" s="648"/>
      <c r="O176" s="648">
        <f>O173</f>
        <v>1</v>
      </c>
      <c r="P176" s="648"/>
      <c r="Q176" s="648"/>
      <c r="R176" s="647" t="s">
        <v>1089</v>
      </c>
      <c r="S176" s="647"/>
      <c r="T176" s="647"/>
      <c r="U176" s="647" t="s">
        <v>1089</v>
      </c>
      <c r="V176" s="647"/>
      <c r="W176" s="647"/>
      <c r="X176" s="647" t="s">
        <v>1089</v>
      </c>
      <c r="Y176" s="647"/>
      <c r="Z176" s="647"/>
      <c r="AA176" s="647" t="s">
        <v>69</v>
      </c>
      <c r="AB176" s="647"/>
      <c r="AC176" s="647"/>
      <c r="AD176" s="647" t="s">
        <v>69</v>
      </c>
      <c r="AE176" s="647"/>
      <c r="AF176" s="647">
        <v>0</v>
      </c>
      <c r="AG176" s="647"/>
      <c r="AH176" s="647"/>
      <c r="AI176" s="647">
        <f>AI173</f>
        <v>31</v>
      </c>
      <c r="AJ176" s="647"/>
      <c r="AK176" s="647">
        <f>ROUND(AF176/AI176,2)</f>
        <v>0</v>
      </c>
      <c r="AL176" s="647"/>
      <c r="AM176" s="647"/>
    </row>
    <row r="177" spans="1:39" ht="14.1" customHeight="1">
      <c r="A177" s="717"/>
      <c r="B177" s="718"/>
      <c r="C177" s="718"/>
      <c r="D177" s="718"/>
      <c r="E177" s="718"/>
      <c r="F177" s="719"/>
      <c r="G177" s="648"/>
      <c r="H177" s="648"/>
      <c r="I177" s="648"/>
      <c r="J177" s="717" t="str">
        <f t="shared" si="10"/>
        <v>-</v>
      </c>
      <c r="K177" s="718"/>
      <c r="L177" s="719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81"/>
      <c r="B178" s="682"/>
      <c r="C178" s="682"/>
      <c r="D178" s="682"/>
      <c r="E178" s="682"/>
      <c r="F178" s="683"/>
      <c r="G178" s="648"/>
      <c r="H178" s="648"/>
      <c r="I178" s="648"/>
      <c r="J178" s="714">
        <f t="shared" si="10"/>
        <v>45808</v>
      </c>
      <c r="K178" s="715"/>
      <c r="L178" s="716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78">
        <f>A176</f>
        <v>1371621928</v>
      </c>
      <c r="B179" s="679"/>
      <c r="C179" s="679"/>
      <c r="D179" s="679"/>
      <c r="E179" s="679"/>
      <c r="F179" s="680"/>
      <c r="G179" s="648" t="s">
        <v>731</v>
      </c>
      <c r="H179" s="648"/>
      <c r="I179" s="648"/>
      <c r="J179" s="655">
        <f t="shared" si="10"/>
        <v>45778</v>
      </c>
      <c r="K179" s="656"/>
      <c r="L179" s="657"/>
      <c r="M179" s="648" t="s">
        <v>720</v>
      </c>
      <c r="N179" s="648"/>
      <c r="O179" s="648">
        <f>O176</f>
        <v>1</v>
      </c>
      <c r="P179" s="648"/>
      <c r="Q179" s="648"/>
      <c r="R179" s="647" t="s">
        <v>1089</v>
      </c>
      <c r="S179" s="647"/>
      <c r="T179" s="647"/>
      <c r="U179" s="647" t="s">
        <v>1089</v>
      </c>
      <c r="V179" s="647"/>
      <c r="W179" s="647"/>
      <c r="X179" s="647" t="s">
        <v>1089</v>
      </c>
      <c r="Y179" s="647"/>
      <c r="Z179" s="647"/>
      <c r="AA179" s="647" t="s">
        <v>69</v>
      </c>
      <c r="AB179" s="647"/>
      <c r="AC179" s="647"/>
      <c r="AD179" s="647" t="s">
        <v>69</v>
      </c>
      <c r="AE179" s="647"/>
      <c r="AF179" s="647">
        <v>0</v>
      </c>
      <c r="AG179" s="647"/>
      <c r="AH179" s="647"/>
      <c r="AI179" s="647">
        <f>AI176</f>
        <v>31</v>
      </c>
      <c r="AJ179" s="647"/>
      <c r="AK179" s="647">
        <f>ROUND(AF179/AI179,2)</f>
        <v>0</v>
      </c>
      <c r="AL179" s="647"/>
      <c r="AM179" s="647"/>
    </row>
    <row r="180" spans="1:39" ht="14.1" customHeight="1">
      <c r="A180" s="717"/>
      <c r="B180" s="718"/>
      <c r="C180" s="718"/>
      <c r="D180" s="718"/>
      <c r="E180" s="718"/>
      <c r="F180" s="719"/>
      <c r="G180" s="648"/>
      <c r="H180" s="648"/>
      <c r="I180" s="648"/>
      <c r="J180" s="717" t="str">
        <f t="shared" si="10"/>
        <v>-</v>
      </c>
      <c r="K180" s="718"/>
      <c r="L180" s="719"/>
      <c r="M180" s="648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81"/>
      <c r="B181" s="682"/>
      <c r="C181" s="682"/>
      <c r="D181" s="682"/>
      <c r="E181" s="682"/>
      <c r="F181" s="683"/>
      <c r="G181" s="648"/>
      <c r="H181" s="648"/>
      <c r="I181" s="648"/>
      <c r="J181" s="714">
        <f t="shared" si="10"/>
        <v>45808</v>
      </c>
      <c r="K181" s="715"/>
      <c r="L181" s="716"/>
      <c r="M181" s="648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/>
    <row r="183" spans="1:39" ht="14.1" customHeight="1">
      <c r="A183" s="649" t="s">
        <v>748</v>
      </c>
      <c r="B183" s="649"/>
      <c r="C183" s="649"/>
      <c r="D183" s="649"/>
      <c r="E183" s="649"/>
      <c r="F183" s="649"/>
      <c r="G183" s="649"/>
      <c r="H183" s="649"/>
      <c r="I183" s="649"/>
      <c r="J183" s="649"/>
      <c r="K183" s="649"/>
      <c r="L183" s="649"/>
      <c r="M183" s="650" t="str">
        <f>VLOOKUP(AI184,'Contorizare in SDI'!$E:$I,4,FALSE)</f>
        <v>59401070000220953171619201/4</v>
      </c>
      <c r="N183" s="650"/>
      <c r="O183" s="650"/>
      <c r="P183" s="650"/>
      <c r="Q183" s="650"/>
      <c r="R183" s="650"/>
      <c r="S183" s="650"/>
      <c r="T183" s="650"/>
      <c r="U183" s="650"/>
      <c r="V183" s="650"/>
      <c r="W183" s="650"/>
      <c r="X183" s="650"/>
      <c r="Y183" s="650"/>
      <c r="Z183" s="650"/>
      <c r="AA183" s="650"/>
      <c r="AB183" s="650"/>
      <c r="AC183" s="650"/>
      <c r="AD183" s="650"/>
      <c r="AE183" s="650"/>
      <c r="AF183" s="650"/>
      <c r="AG183" s="650"/>
      <c r="AH183" s="650"/>
      <c r="AI183" s="650" t="s">
        <v>695</v>
      </c>
      <c r="AJ183" s="650"/>
      <c r="AK183" s="650"/>
      <c r="AL183" s="650"/>
      <c r="AM183" s="650"/>
    </row>
    <row r="184" spans="1:39" ht="14.1" customHeight="1">
      <c r="A184" s="649" t="s">
        <v>746</v>
      </c>
      <c r="B184" s="649"/>
      <c r="C184" s="649"/>
      <c r="D184" s="649"/>
      <c r="E184" s="649"/>
      <c r="F184" s="649"/>
      <c r="G184" s="649"/>
      <c r="H184" s="649"/>
      <c r="I184" s="649"/>
      <c r="J184" s="649"/>
      <c r="K184" s="649"/>
      <c r="L184" s="649"/>
      <c r="M184" s="650" t="str">
        <f>VLOOKUP(AI184,'Inchidere contur'!$G:$U,15,FALSE)</f>
        <v>JT_SDI</v>
      </c>
      <c r="N184" s="650"/>
      <c r="O184" s="650"/>
      <c r="P184" s="650"/>
      <c r="Q184" s="650"/>
      <c r="R184" s="650"/>
      <c r="S184" s="650"/>
      <c r="T184" s="650"/>
      <c r="U184" s="650"/>
      <c r="V184" s="650"/>
      <c r="W184" s="650"/>
      <c r="X184" s="650"/>
      <c r="Y184" s="650"/>
      <c r="Z184" s="650"/>
      <c r="AA184" s="650"/>
      <c r="AB184" s="650"/>
      <c r="AC184" s="650"/>
      <c r="AD184" s="650"/>
      <c r="AE184" s="650"/>
      <c r="AF184" s="650"/>
      <c r="AG184" s="650"/>
      <c r="AH184" s="650"/>
      <c r="AI184" s="619" t="str">
        <f>_xlfn.CONCAT(AA32,".",4)</f>
        <v>RRVS_1.4</v>
      </c>
      <c r="AJ184" s="619"/>
      <c r="AK184" s="619"/>
      <c r="AL184" s="619"/>
      <c r="AM184" s="619"/>
    </row>
    <row r="185" spans="1:39" ht="14.1" customHeight="1">
      <c r="A185" s="649" t="s">
        <v>747</v>
      </c>
      <c r="B185" s="649"/>
      <c r="C185" s="649"/>
      <c r="D185" s="649"/>
      <c r="E185" s="649"/>
      <c r="F185" s="649"/>
      <c r="G185" s="649"/>
      <c r="H185" s="649"/>
      <c r="I185" s="649"/>
      <c r="J185" s="649"/>
      <c r="K185" s="649"/>
      <c r="L185" s="649"/>
      <c r="M185" s="650" t="str">
        <f>IF(LEFT(M184,2)="JT","0.4kV",IF(LEFT(M184,2)="MT","20kV","-"))</f>
        <v>0.4kV</v>
      </c>
      <c r="N185" s="650"/>
      <c r="O185" s="650"/>
      <c r="P185" s="650"/>
      <c r="Q185" s="650"/>
      <c r="R185" s="650"/>
      <c r="S185" s="650"/>
      <c r="T185" s="650"/>
      <c r="U185" s="650"/>
      <c r="V185" s="650"/>
      <c r="W185" s="650"/>
      <c r="X185" s="650"/>
      <c r="Y185" s="650"/>
      <c r="Z185" s="650"/>
      <c r="AA185" s="650"/>
      <c r="AB185" s="650"/>
      <c r="AC185" s="650"/>
      <c r="AD185" s="650"/>
      <c r="AE185" s="650"/>
      <c r="AF185" s="650"/>
      <c r="AG185" s="650"/>
      <c r="AH185" s="650"/>
      <c r="AI185" s="619"/>
      <c r="AJ185" s="619"/>
      <c r="AK185" s="619"/>
      <c r="AL185" s="619"/>
      <c r="AM185" s="619"/>
    </row>
    <row r="186" spans="1:39" ht="14.1" customHeight="1">
      <c r="A186" s="648" t="s">
        <v>697</v>
      </c>
      <c r="B186" s="648"/>
      <c r="C186" s="648"/>
      <c r="D186" s="648"/>
      <c r="E186" s="648"/>
      <c r="F186" s="648"/>
      <c r="G186" s="647" t="s">
        <v>713</v>
      </c>
      <c r="H186" s="647"/>
      <c r="I186" s="647"/>
      <c r="J186" s="647" t="s">
        <v>714</v>
      </c>
      <c r="K186" s="647"/>
      <c r="L186" s="647"/>
      <c r="M186" s="648" t="s">
        <v>519</v>
      </c>
      <c r="N186" s="648"/>
      <c r="O186" s="648" t="s">
        <v>715</v>
      </c>
      <c r="P186" s="648"/>
      <c r="Q186" s="648"/>
      <c r="R186" s="647" t="s">
        <v>732</v>
      </c>
      <c r="S186" s="647"/>
      <c r="T186" s="647"/>
      <c r="U186" s="647" t="s">
        <v>734</v>
      </c>
      <c r="V186" s="647"/>
      <c r="W186" s="647"/>
      <c r="X186" s="647" t="s">
        <v>1085</v>
      </c>
      <c r="Y186" s="647"/>
      <c r="Z186" s="647"/>
      <c r="AA186" s="647" t="s">
        <v>1086</v>
      </c>
      <c r="AB186" s="647"/>
      <c r="AC186" s="647"/>
      <c r="AD186" s="647" t="s">
        <v>717</v>
      </c>
      <c r="AE186" s="647"/>
      <c r="AF186" s="647" t="s">
        <v>718</v>
      </c>
      <c r="AG186" s="647"/>
      <c r="AH186" s="647"/>
      <c r="AI186" s="647" t="s">
        <v>719</v>
      </c>
      <c r="AJ186" s="647"/>
      <c r="AK186" s="647" t="s">
        <v>733</v>
      </c>
      <c r="AL186" s="647"/>
      <c r="AM186" s="647"/>
    </row>
    <row r="187" spans="1:39" ht="14.1" customHeight="1">
      <c r="A187" s="648"/>
      <c r="B187" s="648"/>
      <c r="C187" s="648"/>
      <c r="D187" s="648"/>
      <c r="E187" s="648"/>
      <c r="F187" s="648"/>
      <c r="G187" s="647"/>
      <c r="H187" s="647"/>
      <c r="I187" s="647"/>
      <c r="J187" s="647"/>
      <c r="K187" s="647"/>
      <c r="L187" s="647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48"/>
      <c r="B188" s="648"/>
      <c r="C188" s="648"/>
      <c r="D188" s="648"/>
      <c r="E188" s="648"/>
      <c r="F188" s="648"/>
      <c r="G188" s="647"/>
      <c r="H188" s="647"/>
      <c r="I188" s="647"/>
      <c r="J188" s="713"/>
      <c r="K188" s="713"/>
      <c r="L188" s="713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>
      <c r="A189" s="678">
        <f>VLOOKUP(AI184,'Contorizare in SDI'!$E:$I,5,FALSE)</f>
        <v>1371641883</v>
      </c>
      <c r="B189" s="679"/>
      <c r="C189" s="679"/>
      <c r="D189" s="679"/>
      <c r="E189" s="679"/>
      <c r="F189" s="680"/>
      <c r="G189" s="648" t="s">
        <v>730</v>
      </c>
      <c r="H189" s="648"/>
      <c r="I189" s="673"/>
      <c r="J189" s="655">
        <f>'Date masura OD'!$AK$5</f>
        <v>45748</v>
      </c>
      <c r="K189" s="656"/>
      <c r="L189" s="657"/>
      <c r="M189" s="720" t="s">
        <v>446</v>
      </c>
      <c r="N189" s="648"/>
      <c r="O189" s="648">
        <f>VLOOKUP(AI184,'Incrementare indexe'!$B:$T,4,FALSE)</f>
        <v>1</v>
      </c>
      <c r="P189" s="648"/>
      <c r="Q189" s="648"/>
      <c r="R189" s="647" t="str">
        <f>VLOOKUP(A189,Regularizare!$D:$YN,3,FALSE)&amp;" ("&amp;VLOOKUP(A189,Regularizare!$D:$Y,11,FALSE)&amp;")"</f>
        <v>2560106 (citit)</v>
      </c>
      <c r="S189" s="647"/>
      <c r="T189" s="647"/>
      <c r="U189" s="647" t="str">
        <f>VLOOKUP(A189,Regularizare!$D:$U,4,FALSE)&amp;" ("&amp;VLOOKUP(A189,Regularizare!$D:$U,12,FALSE)&amp;")"</f>
        <v>2649147 (estimat)</v>
      </c>
      <c r="V189" s="647"/>
      <c r="W189" s="647"/>
      <c r="X189" s="647" t="str">
        <f>VLOOKUP(A189,Regularizare!$D:$Y,19,FALSE)&amp;" ("&amp;VLOOKUP(A189,Regularizare!$D:$U,12,FALSE)&amp;")"</f>
        <v>89041 (estimat)</v>
      </c>
      <c r="Y189" s="647"/>
      <c r="Z189" s="647"/>
      <c r="AA189" s="647">
        <f>(-1)*VLOOKUP(A189,Regularizare!$D:$Y,19,FALSE)</f>
        <v>-89041</v>
      </c>
      <c r="AB189" s="647"/>
      <c r="AC189" s="647"/>
      <c r="AD189" s="647" t="s">
        <v>69</v>
      </c>
      <c r="AE189" s="647"/>
      <c r="AF189" s="647">
        <f>AA189</f>
        <v>-89041</v>
      </c>
      <c r="AG189" s="647"/>
      <c r="AH189" s="647"/>
      <c r="AI189" s="647" t="s">
        <v>69</v>
      </c>
      <c r="AJ189" s="647"/>
      <c r="AK189" s="647" t="s">
        <v>69</v>
      </c>
      <c r="AL189" s="647"/>
      <c r="AM189" s="647"/>
    </row>
    <row r="190" spans="1:39" ht="14.1" customHeight="1">
      <c r="A190" s="717"/>
      <c r="B190" s="718"/>
      <c r="C190" s="718"/>
      <c r="D190" s="718"/>
      <c r="E190" s="718"/>
      <c r="F190" s="719"/>
      <c r="G190" s="648"/>
      <c r="H190" s="648"/>
      <c r="I190" s="673"/>
      <c r="J190" s="717" t="s">
        <v>69</v>
      </c>
      <c r="K190" s="718"/>
      <c r="L190" s="719"/>
      <c r="M190" s="720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 ht="14.1" customHeight="1">
      <c r="A191" s="681"/>
      <c r="B191" s="682"/>
      <c r="C191" s="682"/>
      <c r="D191" s="682"/>
      <c r="E191" s="682"/>
      <c r="F191" s="683"/>
      <c r="G191" s="648"/>
      <c r="H191" s="648"/>
      <c r="I191" s="673"/>
      <c r="J191" s="714">
        <f>'Date masura OD'!$AL$5</f>
        <v>45777</v>
      </c>
      <c r="K191" s="715"/>
      <c r="L191" s="716"/>
      <c r="M191" s="720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78">
        <f>A189</f>
        <v>1371641883</v>
      </c>
      <c r="B192" s="679"/>
      <c r="C192" s="679"/>
      <c r="D192" s="679"/>
      <c r="E192" s="679"/>
      <c r="F192" s="680"/>
      <c r="G192" s="648" t="s">
        <v>696</v>
      </c>
      <c r="H192" s="648"/>
      <c r="I192" s="648"/>
      <c r="J192" s="655">
        <f t="shared" ref="J192:J197" si="11">J189</f>
        <v>45748</v>
      </c>
      <c r="K192" s="656"/>
      <c r="L192" s="657"/>
      <c r="M192" s="648" t="s">
        <v>720</v>
      </c>
      <c r="N192" s="648"/>
      <c r="O192" s="648">
        <f>O189</f>
        <v>1</v>
      </c>
      <c r="P192" s="648"/>
      <c r="Q192" s="648"/>
      <c r="R192" s="647" t="str">
        <f>VLOOKUP(A192,Regularizare!$D:$U,7,FALSE)&amp;" ("&amp;VLOOKUP(A192,Regularizare!$D:$U,15,FALSE)&amp;")"</f>
        <v>31736 (citit)</v>
      </c>
      <c r="S192" s="647"/>
      <c r="T192" s="647"/>
      <c r="U192" s="647" t="str">
        <f>VLOOKUP(A192,Regularizare!$D:$U,8,FALSE)&amp;" ("&amp;VLOOKUP(A192,Regularizare!$D:$U,16,FALSE)&amp;")"</f>
        <v>31736 (estimat)</v>
      </c>
      <c r="V192" s="647"/>
      <c r="W192" s="647"/>
      <c r="X192" s="647" t="str">
        <f>_xlfn.CONCAT(VLOOKUP(A192,Regularizare!$D:$U,8,FALSE)-VLOOKUP(A192,Regularizare!$D:$U,7,FALSE)," (",VLOOKUP(A192,Regularizare!$D:$U,16,FALSE),")")</f>
        <v>0 (estimat)</v>
      </c>
      <c r="Y192" s="647"/>
      <c r="Z192" s="647"/>
      <c r="AA192" s="647">
        <f>IF(VLOOKUP(A192,Regularizare!$D:$Y,21,FALSE)=0,VLOOKUP(A192,Regularizare!$D:$Y,21,FALSE),(-1)*VLOOKUP(A192,Regularizare!$D:$Y,21,FALSE))</f>
        <v>0</v>
      </c>
      <c r="AB192" s="647"/>
      <c r="AC192" s="647"/>
      <c r="AD192" s="647" t="s">
        <v>69</v>
      </c>
      <c r="AE192" s="647"/>
      <c r="AF192" s="647">
        <f>AA192</f>
        <v>0</v>
      </c>
      <c r="AG192" s="647"/>
      <c r="AH192" s="647"/>
      <c r="AI192" s="647" t="str">
        <f>AI189</f>
        <v>-</v>
      </c>
      <c r="AJ192" s="647"/>
      <c r="AK192" s="647" t="str">
        <f>AK189</f>
        <v>-</v>
      </c>
      <c r="AL192" s="647"/>
      <c r="AM192" s="647"/>
    </row>
    <row r="193" spans="1:39" ht="14.1" customHeight="1">
      <c r="A193" s="717"/>
      <c r="B193" s="718"/>
      <c r="C193" s="718"/>
      <c r="D193" s="718"/>
      <c r="E193" s="718"/>
      <c r="F193" s="719"/>
      <c r="G193" s="648"/>
      <c r="H193" s="648"/>
      <c r="I193" s="648"/>
      <c r="J193" s="717" t="str">
        <f t="shared" si="11"/>
        <v>-</v>
      </c>
      <c r="K193" s="718"/>
      <c r="L193" s="719"/>
      <c r="M193" s="648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1"/>
      <c r="B194" s="682"/>
      <c r="C194" s="682"/>
      <c r="D194" s="682"/>
      <c r="E194" s="682"/>
      <c r="F194" s="683"/>
      <c r="G194" s="648"/>
      <c r="H194" s="648"/>
      <c r="I194" s="648"/>
      <c r="J194" s="714">
        <f t="shared" si="11"/>
        <v>45777</v>
      </c>
      <c r="K194" s="715"/>
      <c r="L194" s="716"/>
      <c r="M194" s="648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78">
        <f>A192</f>
        <v>1371641883</v>
      </c>
      <c r="B195" s="679"/>
      <c r="C195" s="679"/>
      <c r="D195" s="679"/>
      <c r="E195" s="679"/>
      <c r="F195" s="680"/>
      <c r="G195" s="648" t="s">
        <v>731</v>
      </c>
      <c r="H195" s="648"/>
      <c r="I195" s="648"/>
      <c r="J195" s="655">
        <f t="shared" si="11"/>
        <v>45748</v>
      </c>
      <c r="K195" s="656"/>
      <c r="L195" s="657"/>
      <c r="M195" s="648" t="s">
        <v>720</v>
      </c>
      <c r="N195" s="648"/>
      <c r="O195" s="648">
        <f>O192</f>
        <v>1</v>
      </c>
      <c r="P195" s="648"/>
      <c r="Q195" s="648"/>
      <c r="R195" s="647" t="str">
        <f>VLOOKUP(A195,Regularizare!$D:$U,9,FALSE)&amp;" ("&amp;VLOOKUP(A195,Regularizare!$D:$U,17,FALSE)&amp;")"</f>
        <v>391078 (citit)</v>
      </c>
      <c r="S195" s="647"/>
      <c r="T195" s="647"/>
      <c r="U195" s="647" t="str">
        <f>VLOOKUP(A195,Regularizare!$D:$U,10,FALSE)&amp;" ("&amp;VLOOKUP(A195,Regularizare!$D:$U,18,FALSE)&amp;")"</f>
        <v>391078 (estimat)</v>
      </c>
      <c r="V195" s="647"/>
      <c r="W195" s="647"/>
      <c r="X195" s="647" t="str">
        <f>_xlfn.CONCAT(VLOOKUP(A195,Regularizare!$D:$U,10,FALSE)-VLOOKUP(A195,Regularizare!$D:$U,9,FALSE)," (",VLOOKUP(A195,Regularizare!$D:$U,18,FALSE),")")</f>
        <v>0 (estimat)</v>
      </c>
      <c r="Y195" s="647"/>
      <c r="Z195" s="647"/>
      <c r="AA195" s="647">
        <f>IF(VLOOKUP(A195,Regularizare!$D:$Y,22,FALSE)=0,VLOOKUP(A195,Regularizare!$D:$Y,22,FALSE),(-1)*VLOOKUP(A195,Regularizare!$D:$Y,22,FALSE))</f>
        <v>0</v>
      </c>
      <c r="AB195" s="647"/>
      <c r="AC195" s="647"/>
      <c r="AD195" s="647" t="s">
        <v>69</v>
      </c>
      <c r="AE195" s="647"/>
      <c r="AF195" s="647">
        <f>AA195</f>
        <v>0</v>
      </c>
      <c r="AG195" s="647"/>
      <c r="AH195" s="647"/>
      <c r="AI195" s="647" t="str">
        <f>AI192</f>
        <v>-</v>
      </c>
      <c r="AJ195" s="647"/>
      <c r="AK195" s="647" t="str">
        <f>AK192</f>
        <v>-</v>
      </c>
      <c r="AL195" s="647"/>
      <c r="AM195" s="647"/>
    </row>
    <row r="196" spans="1:39" ht="14.1" customHeight="1">
      <c r="A196" s="717"/>
      <c r="B196" s="718"/>
      <c r="C196" s="718"/>
      <c r="D196" s="718"/>
      <c r="E196" s="718"/>
      <c r="F196" s="719"/>
      <c r="G196" s="648"/>
      <c r="H196" s="648"/>
      <c r="I196" s="648"/>
      <c r="J196" s="717" t="str">
        <f t="shared" si="11"/>
        <v>-</v>
      </c>
      <c r="K196" s="718"/>
      <c r="L196" s="719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1"/>
      <c r="B197" s="682"/>
      <c r="C197" s="682"/>
      <c r="D197" s="682"/>
      <c r="E197" s="682"/>
      <c r="F197" s="683"/>
      <c r="G197" s="648"/>
      <c r="H197" s="648"/>
      <c r="I197" s="648"/>
      <c r="J197" s="714">
        <f t="shared" si="11"/>
        <v>45777</v>
      </c>
      <c r="K197" s="715"/>
      <c r="L197" s="716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78">
        <f>A195</f>
        <v>1371641883</v>
      </c>
      <c r="B198" s="679"/>
      <c r="C198" s="679"/>
      <c r="D198" s="679"/>
      <c r="E198" s="679"/>
      <c r="F198" s="680"/>
      <c r="G198" s="648" t="s">
        <v>730</v>
      </c>
      <c r="H198" s="648"/>
      <c r="I198" s="673"/>
      <c r="J198" s="655">
        <f>'Date masura OD'!$AK$5</f>
        <v>45748</v>
      </c>
      <c r="K198" s="656"/>
      <c r="L198" s="657"/>
      <c r="M198" s="720" t="s">
        <v>446</v>
      </c>
      <c r="N198" s="648"/>
      <c r="O198" s="648">
        <f>O195</f>
        <v>1</v>
      </c>
      <c r="P198" s="648"/>
      <c r="Q198" s="648"/>
      <c r="R198" s="647" t="str">
        <f>VLOOKUP(A198,Regularizare!$D:$AX,23,FALSE)&amp;" ("&amp;VLOOKUP(A198,Regularizare!$D:$AX,24,FALSE)&amp;")"</f>
        <v>2560106 (citit)</v>
      </c>
      <c r="S198" s="647"/>
      <c r="T198" s="647"/>
      <c r="U198" s="647" t="str">
        <f>VLOOKUP(A198,Regularizare!$D:$AX,25,FALSE)&amp;" ("&amp;VLOOKUP(A198,Regularizare!$D:$AX,26,FALSE)&amp;")"</f>
        <v>2649147 (citit)</v>
      </c>
      <c r="V198" s="647"/>
      <c r="W198" s="647"/>
      <c r="X198" s="647" t="str">
        <f>VLOOKUP(A198,Regularizare!$D:$AX,37,FALSE)&amp;" ("&amp;VLOOKUP(A198,Regularizare!$D:$AX,26,FALSE)&amp;")"</f>
        <v>89041 (citit)</v>
      </c>
      <c r="Y198" s="647"/>
      <c r="Z198" s="647"/>
      <c r="AA198" s="647">
        <f>VLOOKUP(A198,Regularizare!$D:$AX,37,FALSE)</f>
        <v>89041</v>
      </c>
      <c r="AB198" s="647"/>
      <c r="AC198" s="647"/>
      <c r="AD198" s="647" t="s">
        <v>69</v>
      </c>
      <c r="AE198" s="647"/>
      <c r="AF198" s="647">
        <f>AA198</f>
        <v>89041</v>
      </c>
      <c r="AG198" s="647"/>
      <c r="AH198" s="647"/>
      <c r="AI198" s="647" t="str">
        <f>AI195</f>
        <v>-</v>
      </c>
      <c r="AJ198" s="647"/>
      <c r="AK198" s="647" t="str">
        <f>AK195</f>
        <v>-</v>
      </c>
      <c r="AL198" s="647"/>
      <c r="AM198" s="647"/>
    </row>
    <row r="199" spans="1:39" ht="14.1" customHeight="1">
      <c r="A199" s="717"/>
      <c r="B199" s="718"/>
      <c r="C199" s="718"/>
      <c r="D199" s="718"/>
      <c r="E199" s="718"/>
      <c r="F199" s="719"/>
      <c r="G199" s="648"/>
      <c r="H199" s="648"/>
      <c r="I199" s="673"/>
      <c r="J199" s="717" t="s">
        <v>69</v>
      </c>
      <c r="K199" s="718"/>
      <c r="L199" s="719"/>
      <c r="M199" s="720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1"/>
      <c r="B200" s="682"/>
      <c r="C200" s="682"/>
      <c r="D200" s="682"/>
      <c r="E200" s="682"/>
      <c r="F200" s="683"/>
      <c r="G200" s="648"/>
      <c r="H200" s="648"/>
      <c r="I200" s="673"/>
      <c r="J200" s="714">
        <f>'Date masura OD'!$AL$5</f>
        <v>45777</v>
      </c>
      <c r="K200" s="715"/>
      <c r="L200" s="716"/>
      <c r="M200" s="720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78">
        <f>A198</f>
        <v>1371641883</v>
      </c>
      <c r="B201" s="679"/>
      <c r="C201" s="679"/>
      <c r="D201" s="679"/>
      <c r="E201" s="679"/>
      <c r="F201" s="680"/>
      <c r="G201" s="648" t="s">
        <v>696</v>
      </c>
      <c r="H201" s="648"/>
      <c r="I201" s="648"/>
      <c r="J201" s="655">
        <f t="shared" ref="J201:J206" si="12">J198</f>
        <v>45748</v>
      </c>
      <c r="K201" s="656"/>
      <c r="L201" s="657"/>
      <c r="M201" s="648" t="s">
        <v>720</v>
      </c>
      <c r="N201" s="648"/>
      <c r="O201" s="648">
        <f>O198</f>
        <v>1</v>
      </c>
      <c r="P201" s="648"/>
      <c r="Q201" s="648"/>
      <c r="R201" s="647" t="str">
        <f>VLOOKUP(A201,Regularizare!$D:$AX,29,FALSE)&amp;" ("&amp;VLOOKUP(A201,Regularizare!$D:$AX,30,FALSE)&amp;")"</f>
        <v>31736 (citit)</v>
      </c>
      <c r="S201" s="647"/>
      <c r="T201" s="647"/>
      <c r="U201" s="647" t="str">
        <f>VLOOKUP(A201,Regularizare!$D:$AX,31,FALSE)&amp;" ("&amp;VLOOKUP(A201,Regularizare!$D:$AX,32,FALSE)&amp;")"</f>
        <v>31736 (citit)</v>
      </c>
      <c r="V201" s="647"/>
      <c r="W201" s="647"/>
      <c r="X201" s="647" t="str">
        <f>VLOOKUP(A201,Regularizare!$D:$AX,39,FALSE)&amp;" ("&amp;VLOOKUP(A201,Regularizare!$D:$AX,32,FALSE)&amp;")"</f>
        <v>0 (citit)</v>
      </c>
      <c r="Y201" s="647"/>
      <c r="Z201" s="647"/>
      <c r="AA201" s="647">
        <f>VLOOKUP(A201,Regularizare!$D:$AX,44,FALSE)+VLOOKUP(A201,Regularizare!$D:$AX,45,FALSE)</f>
        <v>0</v>
      </c>
      <c r="AB201" s="647"/>
      <c r="AC201" s="647"/>
      <c r="AD201" s="647" t="s">
        <v>69</v>
      </c>
      <c r="AE201" s="647"/>
      <c r="AF201" s="647">
        <f>AA201</f>
        <v>0</v>
      </c>
      <c r="AG201" s="647"/>
      <c r="AH201" s="647"/>
      <c r="AI201" s="647" t="str">
        <f>AI198</f>
        <v>-</v>
      </c>
      <c r="AJ201" s="647"/>
      <c r="AK201" s="647" t="str">
        <f>AK198</f>
        <v>-</v>
      </c>
      <c r="AL201" s="647"/>
      <c r="AM201" s="647"/>
    </row>
    <row r="202" spans="1:39" ht="14.1" customHeight="1">
      <c r="A202" s="717"/>
      <c r="B202" s="718"/>
      <c r="C202" s="718"/>
      <c r="D202" s="718"/>
      <c r="E202" s="718"/>
      <c r="F202" s="719"/>
      <c r="G202" s="648"/>
      <c r="H202" s="648"/>
      <c r="I202" s="648"/>
      <c r="J202" s="717" t="str">
        <f t="shared" si="12"/>
        <v>-</v>
      </c>
      <c r="K202" s="718"/>
      <c r="L202" s="719"/>
      <c r="M202" s="648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1"/>
      <c r="B203" s="682"/>
      <c r="C203" s="682"/>
      <c r="D203" s="682"/>
      <c r="E203" s="682"/>
      <c r="F203" s="683"/>
      <c r="G203" s="648"/>
      <c r="H203" s="648"/>
      <c r="I203" s="648"/>
      <c r="J203" s="714">
        <f t="shared" si="12"/>
        <v>45777</v>
      </c>
      <c r="K203" s="715"/>
      <c r="L203" s="716"/>
      <c r="M203" s="648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78">
        <f>A201</f>
        <v>1371641883</v>
      </c>
      <c r="B204" s="679"/>
      <c r="C204" s="679"/>
      <c r="D204" s="679"/>
      <c r="E204" s="679"/>
      <c r="F204" s="680"/>
      <c r="G204" s="648" t="s">
        <v>731</v>
      </c>
      <c r="H204" s="648"/>
      <c r="I204" s="648"/>
      <c r="J204" s="655">
        <f t="shared" si="12"/>
        <v>45748</v>
      </c>
      <c r="K204" s="656"/>
      <c r="L204" s="657"/>
      <c r="M204" s="648" t="s">
        <v>720</v>
      </c>
      <c r="N204" s="648"/>
      <c r="O204" s="648">
        <f>O201</f>
        <v>1</v>
      </c>
      <c r="P204" s="648"/>
      <c r="Q204" s="648"/>
      <c r="R204" s="647" t="str">
        <f>VLOOKUP(A204,Regularizare!$D:$AX,33,FALSE)&amp;" ("&amp;VLOOKUP(A204,Regularizare!$D:$AX,34,FALSE)&amp;")"</f>
        <v>391078 (citit)</v>
      </c>
      <c r="S204" s="647"/>
      <c r="T204" s="647"/>
      <c r="U204" s="647" t="str">
        <f>VLOOKUP(A204,Regularizare!$D:$AX,35,FALSE)&amp;" ("&amp;VLOOKUP(A204,Regularizare!$D:$AX,36,FALSE)&amp;")"</f>
        <v>394948 (citit)</v>
      </c>
      <c r="V204" s="647"/>
      <c r="W204" s="647"/>
      <c r="X204" s="647" t="str">
        <f>VLOOKUP(A204,Regularizare!$D:$AX,40,FALSE)&amp;" ("&amp;VLOOKUP(A204,Regularizare!$D:$AX,36,FALSE)&amp;")"</f>
        <v>3870 (citit)</v>
      </c>
      <c r="Y204" s="647"/>
      <c r="Z204" s="647"/>
      <c r="AA204" s="647">
        <f>VLOOKUP(A204,Regularizare!$D:$AX,46,FALSE)+VLOOKUP(A204,Regularizare!$D:$AX,47,FALSE)</f>
        <v>3870</v>
      </c>
      <c r="AB204" s="647"/>
      <c r="AC204" s="647"/>
      <c r="AD204" s="647" t="s">
        <v>69</v>
      </c>
      <c r="AE204" s="647"/>
      <c r="AF204" s="647">
        <f>AA204</f>
        <v>3870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14.1" customHeight="1">
      <c r="A205" s="717"/>
      <c r="B205" s="718"/>
      <c r="C205" s="718"/>
      <c r="D205" s="718"/>
      <c r="E205" s="718"/>
      <c r="F205" s="719"/>
      <c r="G205" s="648"/>
      <c r="H205" s="648"/>
      <c r="I205" s="648"/>
      <c r="J205" s="717" t="str">
        <f t="shared" si="12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1"/>
      <c r="B206" s="682"/>
      <c r="C206" s="682"/>
      <c r="D206" s="682"/>
      <c r="E206" s="682"/>
      <c r="F206" s="683"/>
      <c r="G206" s="648"/>
      <c r="H206" s="648"/>
      <c r="I206" s="648"/>
      <c r="J206" s="714">
        <f t="shared" si="12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78">
        <f>A204</f>
        <v>1371641883</v>
      </c>
      <c r="B207" s="679"/>
      <c r="C207" s="679"/>
      <c r="D207" s="679"/>
      <c r="E207" s="679"/>
      <c r="F207" s="680"/>
      <c r="G207" s="648" t="s">
        <v>730</v>
      </c>
      <c r="H207" s="648"/>
      <c r="I207" s="673"/>
      <c r="J207" s="655">
        <f>'Date masura OD'!$I$5</f>
        <v>45778</v>
      </c>
      <c r="K207" s="656"/>
      <c r="L207" s="657"/>
      <c r="M207" s="720" t="s">
        <v>446</v>
      </c>
      <c r="N207" s="648"/>
      <c r="O207" s="648">
        <f>O204</f>
        <v>1</v>
      </c>
      <c r="P207" s="648"/>
      <c r="Q207" s="648"/>
      <c r="R207" s="647" t="str">
        <f>U198</f>
        <v>2649147 (citit)</v>
      </c>
      <c r="S207" s="647"/>
      <c r="T207" s="647"/>
      <c r="U207" s="647" t="str">
        <f>VLOOKUP(A207,'Incrementare indexe'!$D:$M,4,FALSE)&amp;" (estimat)"</f>
        <v>2745756 (estimat)</v>
      </c>
      <c r="V207" s="647"/>
      <c r="W207" s="647"/>
      <c r="X207" s="647" t="str">
        <f>VLOOKUP(A207,'Incrementare indexe'!$D:$Q,11,FALSE)&amp;" (estimat)"</f>
        <v>96609 (estimat)</v>
      </c>
      <c r="Y207" s="647"/>
      <c r="Z207" s="647"/>
      <c r="AA207" s="647" t="s">
        <v>69</v>
      </c>
      <c r="AB207" s="647"/>
      <c r="AC207" s="647"/>
      <c r="AD207" s="647" t="s">
        <v>69</v>
      </c>
      <c r="AE207" s="647"/>
      <c r="AF207" s="647">
        <f>VLOOKUP(A207,'Incrementare indexe'!$D:$Q,11,FALSE)</f>
        <v>96609</v>
      </c>
      <c r="AG207" s="647"/>
      <c r="AH207" s="647"/>
      <c r="AI207" s="647">
        <f>J209-J207+1</f>
        <v>31</v>
      </c>
      <c r="AJ207" s="647"/>
      <c r="AK207" s="647">
        <f>ROUND(AF207/AI207,2)</f>
        <v>3116.42</v>
      </c>
      <c r="AL207" s="647"/>
      <c r="AM207" s="647"/>
    </row>
    <row r="208" spans="1:39" ht="14.1" customHeight="1">
      <c r="A208" s="717"/>
      <c r="B208" s="718"/>
      <c r="C208" s="718"/>
      <c r="D208" s="718"/>
      <c r="E208" s="718"/>
      <c r="F208" s="719"/>
      <c r="G208" s="648"/>
      <c r="H208" s="648"/>
      <c r="I208" s="673"/>
      <c r="J208" s="717" t="s">
        <v>69</v>
      </c>
      <c r="K208" s="718"/>
      <c r="L208" s="719"/>
      <c r="M208" s="720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1"/>
      <c r="B209" s="682"/>
      <c r="C209" s="682"/>
      <c r="D209" s="682"/>
      <c r="E209" s="682"/>
      <c r="F209" s="683"/>
      <c r="G209" s="648"/>
      <c r="H209" s="648"/>
      <c r="I209" s="673"/>
      <c r="J209" s="714">
        <f>'Date masura OD'!$J$5</f>
        <v>45808</v>
      </c>
      <c r="K209" s="715"/>
      <c r="L209" s="716"/>
      <c r="M209" s="720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78">
        <f>A207</f>
        <v>1371641883</v>
      </c>
      <c r="B210" s="679"/>
      <c r="C210" s="679"/>
      <c r="D210" s="679"/>
      <c r="E210" s="679"/>
      <c r="F210" s="680"/>
      <c r="G210" s="648" t="s">
        <v>696</v>
      </c>
      <c r="H210" s="648"/>
      <c r="I210" s="648"/>
      <c r="J210" s="655">
        <f t="shared" ref="J210:J215" si="13">J207</f>
        <v>45778</v>
      </c>
      <c r="K210" s="656"/>
      <c r="L210" s="657"/>
      <c r="M210" s="648" t="s">
        <v>720</v>
      </c>
      <c r="N210" s="648"/>
      <c r="O210" s="648">
        <f>O207</f>
        <v>1</v>
      </c>
      <c r="P210" s="648"/>
      <c r="Q210" s="648"/>
      <c r="R210" s="647" t="str">
        <f>U201</f>
        <v>31736 (citit)</v>
      </c>
      <c r="S210" s="647"/>
      <c r="T210" s="647"/>
      <c r="U210" s="647" t="str">
        <f>VLOOKUP(A210,'Incrementare indexe'!$D:$M,8,FALSE)&amp;" (estimat)"</f>
        <v>31736 (estimat)</v>
      </c>
      <c r="V210" s="647"/>
      <c r="W210" s="647"/>
      <c r="X210" s="647" t="str">
        <f>VLOOKUP(A210,'Incrementare indexe'!$D:$Q,12,FALSE)&amp;" (estimat)"</f>
        <v>0 (estimat)</v>
      </c>
      <c r="Y210" s="647"/>
      <c r="Z210" s="647"/>
      <c r="AA210" s="647" t="s">
        <v>69</v>
      </c>
      <c r="AB210" s="647"/>
      <c r="AC210" s="647"/>
      <c r="AD210" s="647" t="s">
        <v>69</v>
      </c>
      <c r="AE210" s="647"/>
      <c r="AF210" s="647">
        <f>VLOOKUP(A210,'Incrementare indexe'!$D:$Q,12,FALSE)</f>
        <v>0</v>
      </c>
      <c r="AG210" s="647"/>
      <c r="AH210" s="647"/>
      <c r="AI210" s="647">
        <f>AI207</f>
        <v>31</v>
      </c>
      <c r="AJ210" s="647"/>
      <c r="AK210" s="647">
        <f>ROUND(AF210/AI210,2)</f>
        <v>0</v>
      </c>
      <c r="AL210" s="647"/>
      <c r="AM210" s="647"/>
    </row>
    <row r="211" spans="1:39" ht="14.1" customHeight="1">
      <c r="A211" s="717"/>
      <c r="B211" s="718"/>
      <c r="C211" s="718"/>
      <c r="D211" s="718"/>
      <c r="E211" s="718"/>
      <c r="F211" s="719"/>
      <c r="G211" s="648"/>
      <c r="H211" s="648"/>
      <c r="I211" s="648"/>
      <c r="J211" s="717" t="str">
        <f t="shared" si="13"/>
        <v>-</v>
      </c>
      <c r="K211" s="718"/>
      <c r="L211" s="719"/>
      <c r="M211" s="648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1"/>
      <c r="B212" s="682"/>
      <c r="C212" s="682"/>
      <c r="D212" s="682"/>
      <c r="E212" s="682"/>
      <c r="F212" s="683"/>
      <c r="G212" s="648"/>
      <c r="H212" s="648"/>
      <c r="I212" s="648"/>
      <c r="J212" s="714">
        <f t="shared" si="13"/>
        <v>45808</v>
      </c>
      <c r="K212" s="715"/>
      <c r="L212" s="716"/>
      <c r="M212" s="648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78">
        <f>A210</f>
        <v>1371641883</v>
      </c>
      <c r="B213" s="679"/>
      <c r="C213" s="679"/>
      <c r="D213" s="679"/>
      <c r="E213" s="679"/>
      <c r="F213" s="680"/>
      <c r="G213" s="648" t="s">
        <v>731</v>
      </c>
      <c r="H213" s="648"/>
      <c r="I213" s="648"/>
      <c r="J213" s="655">
        <f t="shared" si="13"/>
        <v>45778</v>
      </c>
      <c r="K213" s="656"/>
      <c r="L213" s="657"/>
      <c r="M213" s="648" t="s">
        <v>720</v>
      </c>
      <c r="N213" s="648"/>
      <c r="O213" s="648">
        <f>O210</f>
        <v>1</v>
      </c>
      <c r="P213" s="648"/>
      <c r="Q213" s="648"/>
      <c r="R213" s="647" t="str">
        <f>U204</f>
        <v>394948 (citit)</v>
      </c>
      <c r="S213" s="647"/>
      <c r="T213" s="647"/>
      <c r="U213" s="647" t="str">
        <f>VLOOKUP(A213,'Incrementare indexe'!$D:$M,10,FALSE)&amp;" (estimat)"</f>
        <v>394948 (estimat)</v>
      </c>
      <c r="V213" s="647"/>
      <c r="W213" s="647"/>
      <c r="X213" s="647" t="str">
        <f>VLOOKUP(A213,'Incrementare indexe'!$D:$Q,13,FALSE)&amp;" (estimat)"</f>
        <v>0 (estimat)</v>
      </c>
      <c r="Y213" s="647"/>
      <c r="Z213" s="647"/>
      <c r="AA213" s="647" t="s">
        <v>69</v>
      </c>
      <c r="AB213" s="647"/>
      <c r="AC213" s="647"/>
      <c r="AD213" s="647" t="s">
        <v>69</v>
      </c>
      <c r="AE213" s="647"/>
      <c r="AF213" s="647">
        <f>VLOOKUP(A213,'Incrementare indexe'!$D:$Q,13,FALSE)</f>
        <v>0</v>
      </c>
      <c r="AG213" s="647"/>
      <c r="AH213" s="647"/>
      <c r="AI213" s="647">
        <f>AI210</f>
        <v>31</v>
      </c>
      <c r="AJ213" s="647"/>
      <c r="AK213" s="647">
        <f>ROUND(AF213/AI213,2)</f>
        <v>0</v>
      </c>
      <c r="AL213" s="647"/>
      <c r="AM213" s="647"/>
    </row>
    <row r="214" spans="1:39" ht="14.1" customHeight="1">
      <c r="A214" s="717"/>
      <c r="B214" s="718"/>
      <c r="C214" s="718"/>
      <c r="D214" s="718"/>
      <c r="E214" s="718"/>
      <c r="F214" s="719"/>
      <c r="G214" s="648"/>
      <c r="H214" s="648"/>
      <c r="I214" s="648"/>
      <c r="J214" s="717" t="str">
        <f t="shared" si="13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1"/>
      <c r="B215" s="682"/>
      <c r="C215" s="682"/>
      <c r="D215" s="682"/>
      <c r="E215" s="682"/>
      <c r="F215" s="683"/>
      <c r="G215" s="648"/>
      <c r="H215" s="648"/>
      <c r="I215" s="648"/>
      <c r="J215" s="714">
        <f t="shared" si="13"/>
        <v>45808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/>
    <row r="217" spans="1:39" ht="14.1" customHeight="1"/>
    <row r="218" spans="1:39" ht="14.1" customHeight="1"/>
    <row r="219" spans="1:39" ht="14.1" customHeight="1"/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3" spans="1:39" ht="15.95" customHeight="1">
      <c r="A233" s="624" t="str">
        <f>A28</f>
        <v>DETALII FACTURA FACTURA FISCALA SERIA …........ NR …................. din date de ….......06.2025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24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24"/>
      <c r="AL233" s="624"/>
      <c r="AM233" s="624"/>
    </row>
    <row r="235" spans="1:39" ht="36" customHeight="1">
      <c r="A235" s="66" t="s">
        <v>721</v>
      </c>
      <c r="B235" s="648" t="s">
        <v>95</v>
      </c>
      <c r="C235" s="648"/>
      <c r="D235" s="648"/>
      <c r="E235" s="648"/>
      <c r="F235" s="648"/>
      <c r="G235" s="648"/>
      <c r="H235" s="648"/>
      <c r="I235" s="648"/>
      <c r="J235" s="648"/>
      <c r="K235" s="648"/>
      <c r="L235" s="64" t="s">
        <v>709</v>
      </c>
      <c r="M235" s="69"/>
      <c r="N235" s="69"/>
      <c r="O235" s="64"/>
      <c r="P235" s="69"/>
      <c r="Q235" s="69"/>
      <c r="R235" s="647" t="s">
        <v>722</v>
      </c>
      <c r="S235" s="647"/>
      <c r="T235" s="647"/>
      <c r="U235" s="647"/>
      <c r="V235" s="648" t="s">
        <v>519</v>
      </c>
      <c r="W235" s="648"/>
      <c r="X235" s="647" t="s">
        <v>723</v>
      </c>
      <c r="Y235" s="647"/>
      <c r="Z235" s="647"/>
      <c r="AA235" s="647"/>
      <c r="AB235" s="647" t="s">
        <v>724</v>
      </c>
      <c r="AC235" s="647"/>
      <c r="AD235" s="647"/>
      <c r="AE235" s="647"/>
      <c r="AF235" s="647" t="s">
        <v>725</v>
      </c>
      <c r="AG235" s="647"/>
      <c r="AH235" s="647"/>
      <c r="AI235" s="647"/>
      <c r="AJ235" s="647" t="s">
        <v>726</v>
      </c>
      <c r="AK235" s="647"/>
      <c r="AL235" s="647"/>
      <c r="AM235" s="647"/>
    </row>
    <row r="236" spans="1:39" ht="15.95" customHeight="1">
      <c r="A236" s="65">
        <v>1</v>
      </c>
      <c r="B236" s="699" t="s">
        <v>71</v>
      </c>
      <c r="C236" s="700"/>
      <c r="D236" s="700"/>
      <c r="E236" s="700"/>
      <c r="F236" s="700"/>
      <c r="G236" s="700"/>
      <c r="H236" s="700"/>
      <c r="I236" s="700"/>
      <c r="J236" s="700"/>
      <c r="K236" s="701"/>
      <c r="L236" s="702">
        <f>'Date masura OD'!$I$5</f>
        <v>45778</v>
      </c>
      <c r="M236" s="702"/>
      <c r="N236" s="702"/>
      <c r="O236" s="702">
        <f>'Date masura OD'!$J$5</f>
        <v>45808</v>
      </c>
      <c r="P236" s="702"/>
      <c r="Q236" s="702"/>
      <c r="R236" s="690" cm="1">
        <f t="array" ref="R236">INDEX(verificare!$AT$4:$CC$26,VLOOKUP($AA$16,verificare!$AR$4:$AS$26,2,FALSE),A236)</f>
        <v>239837</v>
      </c>
      <c r="S236" s="690"/>
      <c r="T236" s="690"/>
      <c r="U236" s="690"/>
      <c r="V236" s="658" t="s">
        <v>446</v>
      </c>
      <c r="W236" s="658"/>
      <c r="X236" s="691">
        <f>HLOOKUP(VLOOKUP($AA$16,'Date SPV'!$B:$F,5,FALSE),'Preturi si tarife'!$C$2:$J$39,A236+2,FALSE)</f>
        <v>0.59499999999999997</v>
      </c>
      <c r="Y236" s="692"/>
      <c r="Z236" s="692"/>
      <c r="AA236" s="693"/>
      <c r="AB236" s="690">
        <f>ROUND(X236*R236,2)</f>
        <v>142703.01999999999</v>
      </c>
      <c r="AC236" s="690"/>
      <c r="AD236" s="690"/>
      <c r="AE236" s="690"/>
      <c r="AF236" s="690">
        <f>ROUND(AB236*19%,2)</f>
        <v>27113.57</v>
      </c>
      <c r="AG236" s="690"/>
      <c r="AH236" s="690"/>
      <c r="AI236" s="690"/>
      <c r="AJ236" s="690">
        <f>AB236+AF236</f>
        <v>169816.59</v>
      </c>
      <c r="AK236" s="690"/>
      <c r="AL236" s="690"/>
      <c r="AM236" s="690"/>
    </row>
    <row r="237" spans="1:39" ht="15.95" customHeight="1">
      <c r="A237" s="65">
        <f>A236+1</f>
        <v>2</v>
      </c>
      <c r="B237" s="699" t="s">
        <v>72</v>
      </c>
      <c r="C237" s="700"/>
      <c r="D237" s="700"/>
      <c r="E237" s="700"/>
      <c r="F237" s="700"/>
      <c r="G237" s="700"/>
      <c r="H237" s="700"/>
      <c r="I237" s="700"/>
      <c r="J237" s="700"/>
      <c r="K237" s="701"/>
      <c r="L237" s="702">
        <f>L236</f>
        <v>45778</v>
      </c>
      <c r="M237" s="702"/>
      <c r="N237" s="702"/>
      <c r="O237" s="702">
        <f>O236</f>
        <v>45808</v>
      </c>
      <c r="P237" s="702"/>
      <c r="Q237" s="702"/>
      <c r="R237" s="690" cm="1">
        <f t="array" ref="R237">INDEX(verificare!$AT$4:$CC$26,VLOOKUP($AA$16,verificare!$AR$4:$AS$26,2,FALSE),A237)</f>
        <v>0</v>
      </c>
      <c r="S237" s="690"/>
      <c r="T237" s="690"/>
      <c r="U237" s="690"/>
      <c r="V237" s="658" t="s">
        <v>727</v>
      </c>
      <c r="W237" s="658"/>
      <c r="X237" s="691">
        <f>HLOOKUP(VLOOKUP($AA$16,'Date SPV'!$B:$F,5,FALSE),'Preturi si tarife'!$C$2:$J$39,A237+2,FALSE)</f>
        <v>0.14649999999999999</v>
      </c>
      <c r="Y237" s="692"/>
      <c r="Z237" s="692"/>
      <c r="AA237" s="693"/>
      <c r="AB237" s="690">
        <f t="shared" ref="AB237:AB271" si="14">ROUND(X237*R237,2)</f>
        <v>0</v>
      </c>
      <c r="AC237" s="690"/>
      <c r="AD237" s="690"/>
      <c r="AE237" s="690"/>
      <c r="AF237" s="690">
        <f t="shared" ref="AF237:AF271" si="15">ROUND(AB237*19%,2)</f>
        <v>0</v>
      </c>
      <c r="AG237" s="690"/>
      <c r="AH237" s="690"/>
      <c r="AI237" s="690"/>
      <c r="AJ237" s="690">
        <f t="shared" ref="AJ237:AJ271" si="16">AB237+AF237</f>
        <v>0</v>
      </c>
      <c r="AK237" s="690"/>
      <c r="AL237" s="690"/>
      <c r="AM237" s="690"/>
    </row>
    <row r="238" spans="1:39" ht="15.95" customHeight="1">
      <c r="A238" s="65">
        <f t="shared" ref="A238:A273" si="17">A237+1</f>
        <v>3</v>
      </c>
      <c r="B238" s="699" t="s">
        <v>73</v>
      </c>
      <c r="C238" s="700"/>
      <c r="D238" s="700"/>
      <c r="E238" s="700"/>
      <c r="F238" s="700"/>
      <c r="G238" s="700"/>
      <c r="H238" s="700"/>
      <c r="I238" s="700"/>
      <c r="J238" s="700"/>
      <c r="K238" s="701"/>
      <c r="L238" s="702">
        <f t="shared" ref="L238:L253" si="18">L237</f>
        <v>45778</v>
      </c>
      <c r="M238" s="702"/>
      <c r="N238" s="702"/>
      <c r="O238" s="702">
        <f t="shared" ref="O238:O253" si="19">O237</f>
        <v>45808</v>
      </c>
      <c r="P238" s="702"/>
      <c r="Q238" s="702"/>
      <c r="R238" s="690" cm="1">
        <f t="array" ref="R238">INDEX(verificare!$AT$4:$CC$26,VLOOKUP($AA$16,verificare!$AR$4:$AS$26,2,FALSE),A238)</f>
        <v>0</v>
      </c>
      <c r="S238" s="690"/>
      <c r="T238" s="690"/>
      <c r="U238" s="690"/>
      <c r="V238" s="658" t="s">
        <v>727</v>
      </c>
      <c r="W238" s="658"/>
      <c r="X238" s="691">
        <f>HLOOKUP(VLOOKUP($AA$16,'Date SPV'!$B:$F,5,FALSE),'Preturi si tarife'!$C$2:$J$39,A238+2,FALSE)</f>
        <v>0.4395</v>
      </c>
      <c r="Y238" s="692"/>
      <c r="Z238" s="692"/>
      <c r="AA238" s="693"/>
      <c r="AB238" s="690">
        <f t="shared" si="14"/>
        <v>0</v>
      </c>
      <c r="AC238" s="690"/>
      <c r="AD238" s="690"/>
      <c r="AE238" s="690"/>
      <c r="AF238" s="690">
        <f t="shared" si="15"/>
        <v>0</v>
      </c>
      <c r="AG238" s="690"/>
      <c r="AH238" s="690"/>
      <c r="AI238" s="690"/>
      <c r="AJ238" s="690">
        <f t="shared" si="16"/>
        <v>0</v>
      </c>
      <c r="AK238" s="690"/>
      <c r="AL238" s="690"/>
      <c r="AM238" s="690"/>
    </row>
    <row r="239" spans="1:39" ht="15.95" customHeight="1">
      <c r="A239" s="65">
        <f t="shared" si="17"/>
        <v>4</v>
      </c>
      <c r="B239" s="699" t="s">
        <v>868</v>
      </c>
      <c r="C239" s="700"/>
      <c r="D239" s="700"/>
      <c r="E239" s="700"/>
      <c r="F239" s="700"/>
      <c r="G239" s="700"/>
      <c r="H239" s="700"/>
      <c r="I239" s="700"/>
      <c r="J239" s="700"/>
      <c r="K239" s="701"/>
      <c r="L239" s="702">
        <f t="shared" si="18"/>
        <v>45778</v>
      </c>
      <c r="M239" s="702"/>
      <c r="N239" s="702"/>
      <c r="O239" s="702">
        <f t="shared" si="19"/>
        <v>45808</v>
      </c>
      <c r="P239" s="702"/>
      <c r="Q239" s="702"/>
      <c r="R239" s="690" cm="1">
        <f t="array" ref="R239">INDEX(verificare!$AT$4:$CC$26,VLOOKUP($AA$16,verificare!$AR$4:$AS$26,2,FALSE),A239)</f>
        <v>239837</v>
      </c>
      <c r="S239" s="690"/>
      <c r="T239" s="690"/>
      <c r="U239" s="690"/>
      <c r="V239" s="658" t="s">
        <v>446</v>
      </c>
      <c r="W239" s="658"/>
      <c r="X239" s="691">
        <f>HLOOKUP(VLOOKUP($AA$16,'Date SPV'!$B:$F,5,FALSE),'Preturi si tarife'!$C$2:$J$39,A239+2,FALSE)</f>
        <v>0.13613999999999998</v>
      </c>
      <c r="Y239" s="692"/>
      <c r="Z239" s="692"/>
      <c r="AA239" s="693"/>
      <c r="AB239" s="690">
        <f t="shared" si="14"/>
        <v>32651.41</v>
      </c>
      <c r="AC239" s="690"/>
      <c r="AD239" s="690"/>
      <c r="AE239" s="690"/>
      <c r="AF239" s="690">
        <f t="shared" si="15"/>
        <v>6203.77</v>
      </c>
      <c r="AG239" s="690"/>
      <c r="AH239" s="690"/>
      <c r="AI239" s="690"/>
      <c r="AJ239" s="690">
        <f t="shared" si="16"/>
        <v>38855.18</v>
      </c>
      <c r="AK239" s="690"/>
      <c r="AL239" s="690"/>
      <c r="AM239" s="690"/>
    </row>
    <row r="240" spans="1:39" ht="15.95" customHeight="1">
      <c r="A240" s="65">
        <f t="shared" si="17"/>
        <v>5</v>
      </c>
      <c r="B240" s="699" t="s">
        <v>757</v>
      </c>
      <c r="C240" s="700"/>
      <c r="D240" s="700"/>
      <c r="E240" s="700"/>
      <c r="F240" s="700"/>
      <c r="G240" s="700"/>
      <c r="H240" s="700"/>
      <c r="I240" s="700"/>
      <c r="J240" s="700"/>
      <c r="K240" s="701"/>
      <c r="L240" s="702">
        <f t="shared" si="18"/>
        <v>45778</v>
      </c>
      <c r="M240" s="702"/>
      <c r="N240" s="702"/>
      <c r="O240" s="702">
        <f t="shared" si="19"/>
        <v>45808</v>
      </c>
      <c r="P240" s="702"/>
      <c r="Q240" s="702"/>
      <c r="R240" s="690" cm="1">
        <f t="array" ref="R240">INDEX(verificare!$AT$4:$CC$26,VLOOKUP($AA$16,verificare!$AR$4:$AS$26,2,FALSE),A240)</f>
        <v>0</v>
      </c>
      <c r="S240" s="690"/>
      <c r="T240" s="690"/>
      <c r="U240" s="690"/>
      <c r="V240" s="658" t="s">
        <v>446</v>
      </c>
      <c r="W240" s="658"/>
      <c r="X240" s="691">
        <f>HLOOKUP(VLOOKUP($AA$16,'Date SPV'!$B:$F,5,FALSE),'Preturi si tarife'!$C$2:$J$39,A240+2,FALSE)</f>
        <v>0.22738999999999998</v>
      </c>
      <c r="Y240" s="692"/>
      <c r="Z240" s="692"/>
      <c r="AA240" s="693"/>
      <c r="AB240" s="690">
        <f t="shared" si="14"/>
        <v>0</v>
      </c>
      <c r="AC240" s="690"/>
      <c r="AD240" s="690"/>
      <c r="AE240" s="690"/>
      <c r="AF240" s="690">
        <f t="shared" si="15"/>
        <v>0</v>
      </c>
      <c r="AG240" s="690"/>
      <c r="AH240" s="690"/>
      <c r="AI240" s="690"/>
      <c r="AJ240" s="690">
        <f t="shared" si="16"/>
        <v>0</v>
      </c>
      <c r="AK240" s="690"/>
      <c r="AL240" s="690"/>
      <c r="AM240" s="690"/>
    </row>
    <row r="241" spans="1:39" ht="15.95" customHeight="1">
      <c r="A241" s="65">
        <f t="shared" si="17"/>
        <v>6</v>
      </c>
      <c r="B241" s="699" t="s">
        <v>74</v>
      </c>
      <c r="C241" s="700"/>
      <c r="D241" s="700"/>
      <c r="E241" s="700"/>
      <c r="F241" s="700"/>
      <c r="G241" s="700"/>
      <c r="H241" s="700"/>
      <c r="I241" s="700"/>
      <c r="J241" s="700"/>
      <c r="K241" s="701"/>
      <c r="L241" s="702">
        <f t="shared" si="18"/>
        <v>45778</v>
      </c>
      <c r="M241" s="702"/>
      <c r="N241" s="702"/>
      <c r="O241" s="702">
        <f t="shared" si="19"/>
        <v>45808</v>
      </c>
      <c r="P241" s="702"/>
      <c r="Q241" s="702"/>
      <c r="R241" s="690" cm="1">
        <f t="array" ref="R241">INDEX(verificare!$AT$4:$CC$26,VLOOKUP($AA$16,verificare!$AR$4:$AS$26,2,FALSE),A241)</f>
        <v>239837</v>
      </c>
      <c r="S241" s="690"/>
      <c r="T241" s="690"/>
      <c r="U241" s="690"/>
      <c r="V241" s="658" t="s">
        <v>446</v>
      </c>
      <c r="W241" s="658"/>
      <c r="X241" s="691">
        <f>HLOOKUP(VLOOKUP($AA$16,'Date SPV'!$B:$F,5,FALSE),'Preturi si tarife'!$C$2:$J$39,A241+2,FALSE)</f>
        <v>1.1509999999999999E-2</v>
      </c>
      <c r="Y241" s="692"/>
      <c r="Z241" s="692"/>
      <c r="AA241" s="693"/>
      <c r="AB241" s="690">
        <f t="shared" si="14"/>
        <v>2760.52</v>
      </c>
      <c r="AC241" s="690"/>
      <c r="AD241" s="690"/>
      <c r="AE241" s="690"/>
      <c r="AF241" s="690">
        <f t="shared" si="15"/>
        <v>524.5</v>
      </c>
      <c r="AG241" s="690"/>
      <c r="AH241" s="690"/>
      <c r="AI241" s="690"/>
      <c r="AJ241" s="690">
        <f t="shared" si="16"/>
        <v>3285.02</v>
      </c>
      <c r="AK241" s="690"/>
      <c r="AL241" s="690"/>
      <c r="AM241" s="690"/>
    </row>
    <row r="242" spans="1:39" ht="15.95" customHeight="1">
      <c r="A242" s="65">
        <f t="shared" si="17"/>
        <v>7</v>
      </c>
      <c r="B242" s="699" t="s">
        <v>75</v>
      </c>
      <c r="C242" s="700"/>
      <c r="D242" s="700"/>
      <c r="E242" s="700"/>
      <c r="F242" s="700"/>
      <c r="G242" s="700"/>
      <c r="H242" s="700"/>
      <c r="I242" s="700"/>
      <c r="J242" s="700"/>
      <c r="K242" s="701"/>
      <c r="L242" s="702">
        <f t="shared" si="18"/>
        <v>45778</v>
      </c>
      <c r="M242" s="702"/>
      <c r="N242" s="702"/>
      <c r="O242" s="702">
        <f t="shared" si="19"/>
        <v>45808</v>
      </c>
      <c r="P242" s="702"/>
      <c r="Q242" s="702"/>
      <c r="R242" s="690" cm="1">
        <f t="array" ref="R242">INDEX(verificare!$AT$4:$CC$26,VLOOKUP($AA$16,verificare!$AR$4:$AS$26,2,FALSE),A242)</f>
        <v>239837</v>
      </c>
      <c r="S242" s="690"/>
      <c r="T242" s="690"/>
      <c r="U242" s="690"/>
      <c r="V242" s="658" t="s">
        <v>446</v>
      </c>
      <c r="W242" s="658"/>
      <c r="X242" s="691">
        <f>HLOOKUP(VLOOKUP($AA$16,'Date SPV'!$B:$F,5,FALSE),'Preturi si tarife'!$C$2:$J$39,A242+2,FALSE)</f>
        <v>3.3030000000000004E-2</v>
      </c>
      <c r="Y242" s="692"/>
      <c r="Z242" s="692"/>
      <c r="AA242" s="693"/>
      <c r="AB242" s="690">
        <f t="shared" si="14"/>
        <v>7921.82</v>
      </c>
      <c r="AC242" s="690"/>
      <c r="AD242" s="690"/>
      <c r="AE242" s="690"/>
      <c r="AF242" s="690">
        <f t="shared" si="15"/>
        <v>1505.15</v>
      </c>
      <c r="AG242" s="690"/>
      <c r="AH242" s="690"/>
      <c r="AI242" s="690"/>
      <c r="AJ242" s="690">
        <f t="shared" si="16"/>
        <v>9426.9699999999993</v>
      </c>
      <c r="AK242" s="690"/>
      <c r="AL242" s="690"/>
      <c r="AM242" s="690"/>
    </row>
    <row r="243" spans="1:39" ht="15.95" customHeight="1">
      <c r="A243" s="65">
        <f t="shared" si="17"/>
        <v>8</v>
      </c>
      <c r="B243" s="699" t="s">
        <v>76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02">
        <f t="shared" si="18"/>
        <v>45778</v>
      </c>
      <c r="M243" s="702"/>
      <c r="N243" s="702"/>
      <c r="O243" s="702">
        <f t="shared" si="19"/>
        <v>45808</v>
      </c>
      <c r="P243" s="702"/>
      <c r="Q243" s="702"/>
      <c r="R243" s="690" cm="1">
        <f t="array" ref="R243">INDEX(verificare!$AT$4:$CC$26,VLOOKUP($AA$16,verificare!$AR$4:$AS$26,2,FALSE),A243)</f>
        <v>239837</v>
      </c>
      <c r="S243" s="690"/>
      <c r="T243" s="690"/>
      <c r="U243" s="690"/>
      <c r="V243" s="658" t="s">
        <v>446</v>
      </c>
      <c r="W243" s="658"/>
      <c r="X243" s="691">
        <f>HLOOKUP(VLOOKUP($AA$16,'Date SPV'!$B:$F,5,FALSE),'Preturi si tarife'!$C$2:$J$39,A243+2,FALSE)</f>
        <v>3.29E-3</v>
      </c>
      <c r="Y243" s="692"/>
      <c r="Z243" s="692"/>
      <c r="AA243" s="693"/>
      <c r="AB243" s="690">
        <f t="shared" si="14"/>
        <v>789.06</v>
      </c>
      <c r="AC243" s="690"/>
      <c r="AD243" s="690"/>
      <c r="AE243" s="690"/>
      <c r="AF243" s="690">
        <f t="shared" si="15"/>
        <v>149.91999999999999</v>
      </c>
      <c r="AG243" s="690"/>
      <c r="AH243" s="690"/>
      <c r="AI243" s="690"/>
      <c r="AJ243" s="690">
        <f t="shared" si="16"/>
        <v>938.9799999999999</v>
      </c>
      <c r="AK243" s="690"/>
      <c r="AL243" s="690"/>
      <c r="AM243" s="690"/>
    </row>
    <row r="244" spans="1:39" ht="15.95" customHeight="1">
      <c r="A244" s="65">
        <f t="shared" si="17"/>
        <v>9</v>
      </c>
      <c r="B244" s="699" t="s">
        <v>77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02">
        <f t="shared" si="18"/>
        <v>45778</v>
      </c>
      <c r="M244" s="702"/>
      <c r="N244" s="702"/>
      <c r="O244" s="702">
        <f t="shared" si="19"/>
        <v>45808</v>
      </c>
      <c r="P244" s="702"/>
      <c r="Q244" s="702"/>
      <c r="R244" s="690" cm="1">
        <f t="array" ref="R244">INDEX(verificare!$AT$4:$CC$26,VLOOKUP($AA$16,verificare!$AR$4:$AS$26,2,FALSE),A244)</f>
        <v>239837</v>
      </c>
      <c r="S244" s="690"/>
      <c r="T244" s="690"/>
      <c r="U244" s="690"/>
      <c r="V244" s="658" t="s">
        <v>446</v>
      </c>
      <c r="W244" s="658"/>
      <c r="X244" s="691">
        <f>HLOOKUP(VLOOKUP($AA$16,'Date SPV'!$B:$F,5,FALSE),'Preturi si tarife'!$C$2:$J$39,A244+2,FALSE)</f>
        <v>3.5000000000000001E-3</v>
      </c>
      <c r="Y244" s="692"/>
      <c r="Z244" s="692"/>
      <c r="AA244" s="693"/>
      <c r="AB244" s="690">
        <f t="shared" si="14"/>
        <v>839.43</v>
      </c>
      <c r="AC244" s="690"/>
      <c r="AD244" s="690"/>
      <c r="AE244" s="690"/>
      <c r="AF244" s="690">
        <f t="shared" si="15"/>
        <v>159.49</v>
      </c>
      <c r="AG244" s="690"/>
      <c r="AH244" s="690"/>
      <c r="AI244" s="690"/>
      <c r="AJ244" s="690">
        <f t="shared" si="16"/>
        <v>998.92</v>
      </c>
      <c r="AK244" s="690"/>
      <c r="AL244" s="690"/>
      <c r="AM244" s="690"/>
    </row>
    <row r="245" spans="1:39" ht="15.95" customHeight="1">
      <c r="A245" s="65">
        <f t="shared" si="17"/>
        <v>10</v>
      </c>
      <c r="B245" s="699" t="s">
        <v>78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02">
        <f t="shared" si="18"/>
        <v>45778</v>
      </c>
      <c r="M245" s="702"/>
      <c r="N245" s="702"/>
      <c r="O245" s="702">
        <f t="shared" si="19"/>
        <v>45808</v>
      </c>
      <c r="P245" s="702"/>
      <c r="Q245" s="702"/>
      <c r="R245" s="690" cm="1">
        <f t="array" ref="R245">INDEX(verificare!$AT$4:$CC$26,VLOOKUP($AA$16,verificare!$AR$4:$AS$26,2,FALSE),A245)</f>
        <v>239837</v>
      </c>
      <c r="S245" s="690"/>
      <c r="T245" s="690"/>
      <c r="U245" s="690"/>
      <c r="V245" s="658" t="s">
        <v>446</v>
      </c>
      <c r="W245" s="658"/>
      <c r="X245" s="691">
        <f>HLOOKUP(VLOOKUP($AA$16,'Date SPV'!$B:$F,5,FALSE),'Preturi si tarife'!$C$2:$J$39,A245+2,FALSE)</f>
        <v>7.2541599999999998E-2</v>
      </c>
      <c r="Y245" s="692"/>
      <c r="Z245" s="692"/>
      <c r="AA245" s="693"/>
      <c r="AB245" s="690">
        <f t="shared" si="14"/>
        <v>17398.16</v>
      </c>
      <c r="AC245" s="690"/>
      <c r="AD245" s="690"/>
      <c r="AE245" s="690"/>
      <c r="AF245" s="690">
        <f t="shared" si="15"/>
        <v>3305.65</v>
      </c>
      <c r="AG245" s="690"/>
      <c r="AH245" s="690"/>
      <c r="AI245" s="690"/>
      <c r="AJ245" s="690">
        <f t="shared" si="16"/>
        <v>20703.810000000001</v>
      </c>
      <c r="AK245" s="690"/>
      <c r="AL245" s="690"/>
      <c r="AM245" s="690"/>
    </row>
    <row r="246" spans="1:39" ht="15.95" customHeight="1">
      <c r="A246" s="65">
        <f t="shared" si="17"/>
        <v>11</v>
      </c>
      <c r="B246" s="699" t="s">
        <v>1313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02">
        <f t="shared" si="18"/>
        <v>45778</v>
      </c>
      <c r="M246" s="702"/>
      <c r="N246" s="702"/>
      <c r="O246" s="702">
        <f t="shared" si="19"/>
        <v>45808</v>
      </c>
      <c r="P246" s="702"/>
      <c r="Q246" s="702"/>
      <c r="R246" s="690" cm="1">
        <f t="array" ref="R246">INDEX(verificare!$AT$4:$CC$26,VLOOKUP($AA$16,verificare!$AR$4:$AS$26,2,FALSE),A246)</f>
        <v>239837</v>
      </c>
      <c r="S246" s="690"/>
      <c r="T246" s="690"/>
      <c r="U246" s="690"/>
      <c r="V246" s="658" t="s">
        <v>446</v>
      </c>
      <c r="W246" s="658"/>
      <c r="X246" s="691">
        <f>HLOOKUP(VLOOKUP($AA$16,'Date SPV'!$B:$F,5,FALSE),'Preturi si tarife'!$C$2:$J$39,A246+2,FALSE)</f>
        <v>2.0599999999999999E-4</v>
      </c>
      <c r="Y246" s="692"/>
      <c r="Z246" s="692"/>
      <c r="AA246" s="693"/>
      <c r="AB246" s="690">
        <f>ROUND(X246*R246,2)</f>
        <v>49.41</v>
      </c>
      <c r="AC246" s="690"/>
      <c r="AD246" s="690"/>
      <c r="AE246" s="690"/>
      <c r="AF246" s="690">
        <f>ROUND(AB246*19%,2)</f>
        <v>9.39</v>
      </c>
      <c r="AG246" s="690"/>
      <c r="AH246" s="690"/>
      <c r="AI246" s="690"/>
      <c r="AJ246" s="690">
        <f>AB246+AF246</f>
        <v>58.8</v>
      </c>
      <c r="AK246" s="690"/>
      <c r="AL246" s="690"/>
      <c r="AM246" s="690"/>
    </row>
    <row r="247" spans="1:39" ht="15.95" customHeight="1">
      <c r="A247" s="65">
        <f t="shared" si="17"/>
        <v>12</v>
      </c>
      <c r="B247" s="699" t="s">
        <v>79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02">
        <f>L245</f>
        <v>45778</v>
      </c>
      <c r="M247" s="702"/>
      <c r="N247" s="702"/>
      <c r="O247" s="702">
        <f>O245</f>
        <v>45808</v>
      </c>
      <c r="P247" s="702"/>
      <c r="Q247" s="702"/>
      <c r="R247" s="690" cm="1">
        <f t="array" ref="R247">INDEX(verificare!$AT$4:$CC$26,VLOOKUP($AA$16,verificare!$AR$4:$AS$26,2,FALSE),A247)</f>
        <v>239837</v>
      </c>
      <c r="S247" s="690"/>
      <c r="T247" s="690"/>
      <c r="U247" s="690"/>
      <c r="V247" s="658" t="s">
        <v>446</v>
      </c>
      <c r="W247" s="658"/>
      <c r="X247" s="691">
        <f>HLOOKUP(VLOOKUP($AA$16,'Date SPV'!$B:$F,5,FALSE),'Preturi si tarife'!$C$2:$J$39,A247+2,FALSE)</f>
        <v>0</v>
      </c>
      <c r="Y247" s="692"/>
      <c r="Z247" s="692"/>
      <c r="AA247" s="693"/>
      <c r="AB247" s="690">
        <f t="shared" si="14"/>
        <v>0</v>
      </c>
      <c r="AC247" s="690"/>
      <c r="AD247" s="690"/>
      <c r="AE247" s="690"/>
      <c r="AF247" s="690">
        <f t="shared" si="15"/>
        <v>0</v>
      </c>
      <c r="AG247" s="690"/>
      <c r="AH247" s="690"/>
      <c r="AI247" s="690"/>
      <c r="AJ247" s="690">
        <f t="shared" si="16"/>
        <v>0</v>
      </c>
      <c r="AK247" s="690"/>
      <c r="AL247" s="690"/>
      <c r="AM247" s="690"/>
    </row>
    <row r="248" spans="1:39" ht="15.95" customHeight="1">
      <c r="A248" s="65">
        <f t="shared" si="17"/>
        <v>13</v>
      </c>
      <c r="B248" s="699" t="s">
        <v>80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02">
        <f t="shared" si="18"/>
        <v>45778</v>
      </c>
      <c r="M248" s="702"/>
      <c r="N248" s="702"/>
      <c r="O248" s="702">
        <f t="shared" si="19"/>
        <v>45808</v>
      </c>
      <c r="P248" s="702"/>
      <c r="Q248" s="702"/>
      <c r="R248" s="690" cm="1">
        <f t="array" ref="R248">INDEX(verificare!$AT$4:$CC$26,VLOOKUP($AA$16,verificare!$AR$4:$AS$26,2,FALSE),A248)</f>
        <v>239837</v>
      </c>
      <c r="S248" s="690"/>
      <c r="T248" s="690"/>
      <c r="U248" s="690"/>
      <c r="V248" s="658" t="s">
        <v>446</v>
      </c>
      <c r="W248" s="658"/>
      <c r="X248" s="691">
        <f>HLOOKUP(VLOOKUP($AA$16,'Date SPV'!$B:$F,5,FALSE),'Preturi si tarife'!$C$2:$J$39,A248+2,FALSE)</f>
        <v>1.7000000000000001E-2</v>
      </c>
      <c r="Y248" s="692"/>
      <c r="Z248" s="692"/>
      <c r="AA248" s="693"/>
      <c r="AB248" s="690">
        <f t="shared" si="14"/>
        <v>4077.23</v>
      </c>
      <c r="AC248" s="690"/>
      <c r="AD248" s="690"/>
      <c r="AE248" s="690"/>
      <c r="AF248" s="690">
        <f t="shared" si="15"/>
        <v>774.67</v>
      </c>
      <c r="AG248" s="690"/>
      <c r="AH248" s="690"/>
      <c r="AI248" s="690"/>
      <c r="AJ248" s="690">
        <f t="shared" si="16"/>
        <v>4851.8999999999996</v>
      </c>
      <c r="AK248" s="690"/>
      <c r="AL248" s="690"/>
      <c r="AM248" s="690"/>
    </row>
    <row r="249" spans="1:39" ht="15.95" customHeight="1">
      <c r="A249" s="65">
        <f t="shared" si="17"/>
        <v>14</v>
      </c>
      <c r="B249" s="699" t="s">
        <v>81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02">
        <f t="shared" si="18"/>
        <v>45778</v>
      </c>
      <c r="M249" s="702"/>
      <c r="N249" s="702"/>
      <c r="O249" s="702">
        <f t="shared" si="19"/>
        <v>45808</v>
      </c>
      <c r="P249" s="702"/>
      <c r="Q249" s="702"/>
      <c r="R249" s="690" cm="1">
        <f t="array" ref="R249">INDEX(verificare!$AT$4:$CC$26,VLOOKUP($AA$16,verificare!$AR$4:$AS$26,2,FALSE),A249)</f>
        <v>239837</v>
      </c>
      <c r="S249" s="690"/>
      <c r="T249" s="690"/>
      <c r="U249" s="690"/>
      <c r="V249" s="658" t="s">
        <v>446</v>
      </c>
      <c r="W249" s="658"/>
      <c r="X249" s="691">
        <f>HLOOKUP(VLOOKUP($AA$16,'Date SPV'!$B:$F,5,FALSE),'Preturi si tarife'!$C$2:$J$39,A249+2,FALSE)</f>
        <v>0.10290000000000001</v>
      </c>
      <c r="Y249" s="692"/>
      <c r="Z249" s="692"/>
      <c r="AA249" s="693"/>
      <c r="AB249" s="690">
        <f t="shared" si="14"/>
        <v>24679.23</v>
      </c>
      <c r="AC249" s="690"/>
      <c r="AD249" s="690"/>
      <c r="AE249" s="690"/>
      <c r="AF249" s="690">
        <f t="shared" si="15"/>
        <v>4689.05</v>
      </c>
      <c r="AG249" s="690"/>
      <c r="AH249" s="690"/>
      <c r="AI249" s="690"/>
      <c r="AJ249" s="690">
        <f t="shared" si="16"/>
        <v>29368.28</v>
      </c>
      <c r="AK249" s="690"/>
      <c r="AL249" s="690"/>
      <c r="AM249" s="690"/>
    </row>
    <row r="250" spans="1:39" ht="15.95" customHeight="1">
      <c r="A250" s="65">
        <f t="shared" si="17"/>
        <v>15</v>
      </c>
      <c r="B250" s="699" t="s">
        <v>82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02">
        <f t="shared" si="18"/>
        <v>45778</v>
      </c>
      <c r="M250" s="702"/>
      <c r="N250" s="702"/>
      <c r="O250" s="702">
        <f t="shared" si="19"/>
        <v>45808</v>
      </c>
      <c r="P250" s="702"/>
      <c r="Q250" s="702"/>
      <c r="R250" s="690" cm="1">
        <f t="array" ref="R250">INDEX(verificare!$AT$4:$CC$26,VLOOKUP($AA$16,verificare!$AR$4:$AS$26,2,FALSE),A250)</f>
        <v>93266</v>
      </c>
      <c r="S250" s="690"/>
      <c r="T250" s="690"/>
      <c r="U250" s="690"/>
      <c r="V250" s="658" t="s">
        <v>446</v>
      </c>
      <c r="W250" s="658"/>
      <c r="X250" s="691">
        <f>HLOOKUP(VLOOKUP($AA$16,'Date SPV'!$B:$F,5,FALSE),'Preturi si tarife'!$C$2:$J$39,A250+2,FALSE)</f>
        <v>0.97511760000000003</v>
      </c>
      <c r="Y250" s="692"/>
      <c r="Z250" s="692"/>
      <c r="AA250" s="693"/>
      <c r="AB250" s="690">
        <f t="shared" si="14"/>
        <v>90945.32</v>
      </c>
      <c r="AC250" s="690"/>
      <c r="AD250" s="690"/>
      <c r="AE250" s="690"/>
      <c r="AF250" s="690">
        <f t="shared" si="15"/>
        <v>17279.61</v>
      </c>
      <c r="AG250" s="690"/>
      <c r="AH250" s="690"/>
      <c r="AI250" s="690"/>
      <c r="AJ250" s="690">
        <f t="shared" si="16"/>
        <v>108224.93000000001</v>
      </c>
      <c r="AK250" s="690"/>
      <c r="AL250" s="690"/>
      <c r="AM250" s="690"/>
    </row>
    <row r="251" spans="1:39" ht="15.95" customHeight="1">
      <c r="A251" s="65">
        <f t="shared" si="17"/>
        <v>16</v>
      </c>
      <c r="B251" s="699" t="s">
        <v>83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02">
        <f t="shared" si="18"/>
        <v>45778</v>
      </c>
      <c r="M251" s="702"/>
      <c r="N251" s="702"/>
      <c r="O251" s="702">
        <f t="shared" si="19"/>
        <v>45808</v>
      </c>
      <c r="P251" s="702"/>
      <c r="Q251" s="702"/>
      <c r="R251" s="690" cm="1">
        <f t="array" ref="R251">INDEX(verificare!$AT$4:$CC$26,VLOOKUP($AA$16,verificare!$AR$4:$AS$26,2,FALSE),A251)</f>
        <v>71431</v>
      </c>
      <c r="S251" s="690"/>
      <c r="T251" s="690"/>
      <c r="U251" s="690"/>
      <c r="V251" s="658" t="s">
        <v>446</v>
      </c>
      <c r="W251" s="658"/>
      <c r="X251" s="691">
        <f>HLOOKUP(VLOOKUP($AA$16,'Date SPV'!$B:$F,5,FALSE),'Preturi si tarife'!$C$2:$J$39,A251+2,FALSE)</f>
        <v>0.85521760000000002</v>
      </c>
      <c r="Y251" s="692"/>
      <c r="Z251" s="692"/>
      <c r="AA251" s="693"/>
      <c r="AB251" s="690">
        <f t="shared" si="14"/>
        <v>61089.05</v>
      </c>
      <c r="AC251" s="690"/>
      <c r="AD251" s="690"/>
      <c r="AE251" s="690"/>
      <c r="AF251" s="690">
        <f t="shared" si="15"/>
        <v>11606.92</v>
      </c>
      <c r="AG251" s="690"/>
      <c r="AH251" s="690"/>
      <c r="AI251" s="690"/>
      <c r="AJ251" s="690">
        <f t="shared" si="16"/>
        <v>72695.97</v>
      </c>
      <c r="AK251" s="690"/>
      <c r="AL251" s="690"/>
      <c r="AM251" s="690"/>
    </row>
    <row r="252" spans="1:39" ht="15.95" customHeight="1">
      <c r="A252" s="65">
        <f t="shared" si="17"/>
        <v>17</v>
      </c>
      <c r="B252" s="699" t="s">
        <v>1129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02">
        <f t="shared" si="18"/>
        <v>45778</v>
      </c>
      <c r="M252" s="702"/>
      <c r="N252" s="702"/>
      <c r="O252" s="702">
        <f t="shared" si="19"/>
        <v>45808</v>
      </c>
      <c r="P252" s="702"/>
      <c r="Q252" s="702"/>
      <c r="R252" s="690" cm="1">
        <f t="array" ref="R252">INDEX(verificare!$AT$4:$CC$26,VLOOKUP($AA$16,verificare!$AR$4:$AS$26,2,FALSE),A252)</f>
        <v>71431</v>
      </c>
      <c r="S252" s="690"/>
      <c r="T252" s="690"/>
      <c r="U252" s="690"/>
      <c r="V252" s="658" t="s">
        <v>446</v>
      </c>
      <c r="W252" s="658"/>
      <c r="X252" s="691">
        <f>HLOOKUP(VLOOKUP($AA$16,'Date SPV'!$B:$F,5,FALSE),'Preturi si tarife'!$C$2:$J$39,A252+2,FALSE)</f>
        <v>1.7000000000000001E-2</v>
      </c>
      <c r="Y252" s="692"/>
      <c r="Z252" s="692"/>
      <c r="AA252" s="693"/>
      <c r="AB252" s="690">
        <f t="shared" si="14"/>
        <v>1214.33</v>
      </c>
      <c r="AC252" s="690"/>
      <c r="AD252" s="690"/>
      <c r="AE252" s="690"/>
      <c r="AF252" s="690">
        <f t="shared" si="15"/>
        <v>230.72</v>
      </c>
      <c r="AG252" s="690"/>
      <c r="AH252" s="690"/>
      <c r="AI252" s="690"/>
      <c r="AJ252" s="690">
        <f t="shared" si="16"/>
        <v>1445.05</v>
      </c>
      <c r="AK252" s="690"/>
      <c r="AL252" s="690"/>
      <c r="AM252" s="690"/>
    </row>
    <row r="253" spans="1:39" ht="15.95" customHeight="1">
      <c r="A253" s="65">
        <f t="shared" si="17"/>
        <v>18</v>
      </c>
      <c r="B253" s="699" t="s">
        <v>1130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02">
        <f t="shared" si="18"/>
        <v>45778</v>
      </c>
      <c r="M253" s="702"/>
      <c r="N253" s="702"/>
      <c r="O253" s="702">
        <f t="shared" si="19"/>
        <v>45808</v>
      </c>
      <c r="P253" s="702"/>
      <c r="Q253" s="702"/>
      <c r="R253" s="690" cm="1">
        <f t="array" ref="R253">INDEX(verificare!$AT$4:$CC$26,VLOOKUP($AA$16,verificare!$AR$4:$AS$26,2,FALSE),A253)</f>
        <v>71431</v>
      </c>
      <c r="S253" s="690"/>
      <c r="T253" s="690"/>
      <c r="U253" s="690"/>
      <c r="V253" s="658" t="s">
        <v>446</v>
      </c>
      <c r="W253" s="658"/>
      <c r="X253" s="691">
        <f>HLOOKUP(VLOOKUP($AA$16,'Date SPV'!$B:$F,5,FALSE),'Preturi si tarife'!$C$2:$J$39,A253+2,FALSE)</f>
        <v>0.10290000000000001</v>
      </c>
      <c r="Y253" s="692"/>
      <c r="Z253" s="692"/>
      <c r="AA253" s="693"/>
      <c r="AB253" s="690">
        <f t="shared" si="14"/>
        <v>7350.25</v>
      </c>
      <c r="AC253" s="690"/>
      <c r="AD253" s="690"/>
      <c r="AE253" s="690"/>
      <c r="AF253" s="690">
        <f t="shared" si="15"/>
        <v>1396.55</v>
      </c>
      <c r="AG253" s="690"/>
      <c r="AH253" s="690"/>
      <c r="AI253" s="690"/>
      <c r="AJ253" s="690">
        <f t="shared" si="16"/>
        <v>8746.7999999999993</v>
      </c>
      <c r="AK253" s="690"/>
      <c r="AL253" s="690"/>
      <c r="AM253" s="690"/>
    </row>
    <row r="254" spans="1:39" ht="15.95" customHeight="1">
      <c r="A254" s="65">
        <f t="shared" si="17"/>
        <v>19</v>
      </c>
      <c r="B254" s="699" t="s">
        <v>99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02">
        <f>'Date masura OD'!$W$5</f>
        <v>45748</v>
      </c>
      <c r="M254" s="702"/>
      <c r="N254" s="702"/>
      <c r="O254" s="702">
        <f>'Date masura OD'!$X$5</f>
        <v>45777</v>
      </c>
      <c r="P254" s="702"/>
      <c r="Q254" s="702"/>
      <c r="R254" s="690" cm="1">
        <f t="array" ref="R254">INDEX(verificare!$AT$4:$CC$26,VLOOKUP($AA$16,verificare!$AR$4:$AS$26,2,FALSE),A254)</f>
        <v>0</v>
      </c>
      <c r="S254" s="690"/>
      <c r="T254" s="690"/>
      <c r="U254" s="690"/>
      <c r="V254" s="658" t="s">
        <v>446</v>
      </c>
      <c r="W254" s="658"/>
      <c r="X254" s="691">
        <f>HLOOKUP(VLOOKUP($AA$16,'Date SPV'!$B:$F,5,FALSE),'Preturi si tarife'!$C$2:$J$39,A254+2,FALSE)</f>
        <v>0.59499999999999997</v>
      </c>
      <c r="Y254" s="692"/>
      <c r="Z254" s="692"/>
      <c r="AA254" s="693"/>
      <c r="AB254" s="690">
        <f t="shared" si="14"/>
        <v>0</v>
      </c>
      <c r="AC254" s="690"/>
      <c r="AD254" s="690"/>
      <c r="AE254" s="690"/>
      <c r="AF254" s="690">
        <f t="shared" si="15"/>
        <v>0</v>
      </c>
      <c r="AG254" s="690"/>
      <c r="AH254" s="690"/>
      <c r="AI254" s="690"/>
      <c r="AJ254" s="690">
        <f t="shared" si="16"/>
        <v>0</v>
      </c>
      <c r="AK254" s="690"/>
      <c r="AL254" s="690"/>
      <c r="AM254" s="690"/>
    </row>
    <row r="255" spans="1:39" ht="15.95" customHeight="1">
      <c r="A255" s="65">
        <f t="shared" si="17"/>
        <v>20</v>
      </c>
      <c r="B255" s="699" t="s">
        <v>100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02">
        <f>L254</f>
        <v>45748</v>
      </c>
      <c r="M255" s="702"/>
      <c r="N255" s="702"/>
      <c r="O255" s="702">
        <f t="shared" ref="O255:O271" si="20">O254</f>
        <v>45777</v>
      </c>
      <c r="P255" s="702"/>
      <c r="Q255" s="702"/>
      <c r="R255" s="690" cm="1">
        <f t="array" ref="R255">INDEX(verificare!$AT$4:$CC$26,VLOOKUP($AA$16,verificare!$AR$4:$AS$26,2,FALSE),A255)</f>
        <v>1880</v>
      </c>
      <c r="S255" s="690"/>
      <c r="T255" s="690"/>
      <c r="U255" s="690"/>
      <c r="V255" s="658" t="s">
        <v>727</v>
      </c>
      <c r="W255" s="658"/>
      <c r="X255" s="691">
        <f>HLOOKUP(VLOOKUP($AA$16,'Date SPV'!$B:$F,5,FALSE),'Preturi si tarife'!$C$2:$J$39,A255+2,FALSE)</f>
        <v>0.14649999999999999</v>
      </c>
      <c r="Y255" s="692"/>
      <c r="Z255" s="692"/>
      <c r="AA255" s="693"/>
      <c r="AB255" s="690">
        <f t="shared" si="14"/>
        <v>275.42</v>
      </c>
      <c r="AC255" s="690"/>
      <c r="AD255" s="690"/>
      <c r="AE255" s="690"/>
      <c r="AF255" s="690">
        <f t="shared" si="15"/>
        <v>52.33</v>
      </c>
      <c r="AG255" s="690"/>
      <c r="AH255" s="690"/>
      <c r="AI255" s="690"/>
      <c r="AJ255" s="690">
        <f t="shared" si="16"/>
        <v>327.75</v>
      </c>
      <c r="AK255" s="690"/>
      <c r="AL255" s="690"/>
      <c r="AM255" s="690"/>
    </row>
    <row r="256" spans="1:39" ht="15.95" customHeight="1">
      <c r="A256" s="65">
        <f t="shared" si="17"/>
        <v>21</v>
      </c>
      <c r="B256" s="699" t="s">
        <v>101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02">
        <f t="shared" ref="L256:L271" si="21">L255</f>
        <v>45748</v>
      </c>
      <c r="M256" s="702"/>
      <c r="N256" s="702"/>
      <c r="O256" s="702">
        <f t="shared" si="20"/>
        <v>45777</v>
      </c>
      <c r="P256" s="702"/>
      <c r="Q256" s="702"/>
      <c r="R256" s="690" cm="1">
        <f t="array" ref="R256">INDEX(verificare!$AT$4:$CC$26,VLOOKUP($AA$16,verificare!$AR$4:$AS$26,2,FALSE),A256)</f>
        <v>7970</v>
      </c>
      <c r="S256" s="690"/>
      <c r="T256" s="690"/>
      <c r="U256" s="690"/>
      <c r="V256" s="658" t="s">
        <v>727</v>
      </c>
      <c r="W256" s="658"/>
      <c r="X256" s="691">
        <f>HLOOKUP(VLOOKUP($AA$16,'Date SPV'!$B:$F,5,FALSE),'Preturi si tarife'!$C$2:$J$39,A256+2,FALSE)</f>
        <v>0.4395</v>
      </c>
      <c r="Y256" s="692"/>
      <c r="Z256" s="692"/>
      <c r="AA256" s="693"/>
      <c r="AB256" s="690">
        <f t="shared" si="14"/>
        <v>3502.82</v>
      </c>
      <c r="AC256" s="690"/>
      <c r="AD256" s="690"/>
      <c r="AE256" s="690"/>
      <c r="AF256" s="690">
        <f t="shared" si="15"/>
        <v>665.54</v>
      </c>
      <c r="AG256" s="690"/>
      <c r="AH256" s="690"/>
      <c r="AI256" s="690"/>
      <c r="AJ256" s="690">
        <f t="shared" si="16"/>
        <v>4168.3600000000006</v>
      </c>
      <c r="AK256" s="690"/>
      <c r="AL256" s="690"/>
      <c r="AM256" s="690"/>
    </row>
    <row r="257" spans="1:39" ht="30.95" customHeight="1">
      <c r="A257" s="65">
        <f t="shared" si="17"/>
        <v>22</v>
      </c>
      <c r="B257" s="699" t="s">
        <v>869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02">
        <f t="shared" si="21"/>
        <v>45748</v>
      </c>
      <c r="M257" s="702"/>
      <c r="N257" s="702"/>
      <c r="O257" s="702">
        <f t="shared" si="20"/>
        <v>45777</v>
      </c>
      <c r="P257" s="702"/>
      <c r="Q257" s="702"/>
      <c r="R257" s="690" cm="1">
        <f t="array" ref="R257">INDEX(verificare!$AT$4:$CC$26,VLOOKUP($AA$16,verificare!$AR$4:$AS$26,2,FALSE),A257)</f>
        <v>0</v>
      </c>
      <c r="S257" s="690"/>
      <c r="T257" s="690"/>
      <c r="U257" s="690"/>
      <c r="V257" s="658" t="s">
        <v>446</v>
      </c>
      <c r="W257" s="658"/>
      <c r="X257" s="691">
        <f>HLOOKUP(VLOOKUP($AA$16,'Date SPV'!$B:$F,5,FALSE),'Preturi si tarife'!$C$2:$J$39,A257+2,FALSE)</f>
        <v>0.13613999999999998</v>
      </c>
      <c r="Y257" s="692"/>
      <c r="Z257" s="692"/>
      <c r="AA257" s="693"/>
      <c r="AB257" s="690">
        <f t="shared" si="14"/>
        <v>0</v>
      </c>
      <c r="AC257" s="690"/>
      <c r="AD257" s="690"/>
      <c r="AE257" s="690"/>
      <c r="AF257" s="690">
        <f t="shared" si="15"/>
        <v>0</v>
      </c>
      <c r="AG257" s="690"/>
      <c r="AH257" s="690"/>
      <c r="AI257" s="690"/>
      <c r="AJ257" s="690">
        <f t="shared" si="16"/>
        <v>0</v>
      </c>
      <c r="AK257" s="690"/>
      <c r="AL257" s="690"/>
      <c r="AM257" s="690"/>
    </row>
    <row r="258" spans="1:39" ht="15.95" customHeight="1">
      <c r="A258" s="65">
        <f t="shared" si="17"/>
        <v>23</v>
      </c>
      <c r="B258" s="699" t="s">
        <v>758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02">
        <f t="shared" si="21"/>
        <v>45748</v>
      </c>
      <c r="M258" s="702"/>
      <c r="N258" s="702"/>
      <c r="O258" s="702">
        <f t="shared" si="20"/>
        <v>45777</v>
      </c>
      <c r="P258" s="702"/>
      <c r="Q258" s="702"/>
      <c r="R258" s="690" cm="1">
        <f t="array" ref="R258">INDEX(verificare!$AT$4:$CC$26,VLOOKUP($AA$16,verificare!$AR$4:$AS$26,2,FALSE),A258)</f>
        <v>0</v>
      </c>
      <c r="S258" s="690"/>
      <c r="T258" s="690"/>
      <c r="U258" s="690"/>
      <c r="V258" s="658" t="s">
        <v>446</v>
      </c>
      <c r="W258" s="658"/>
      <c r="X258" s="691">
        <f>HLOOKUP(VLOOKUP($AA$16,'Date SPV'!$B:$F,5,FALSE),'Preturi si tarife'!$C$2:$J$39,A258+2,FALSE)</f>
        <v>0.22738999999999998</v>
      </c>
      <c r="Y258" s="692"/>
      <c r="Z258" s="692"/>
      <c r="AA258" s="693"/>
      <c r="AB258" s="690">
        <f t="shared" si="14"/>
        <v>0</v>
      </c>
      <c r="AC258" s="690"/>
      <c r="AD258" s="690"/>
      <c r="AE258" s="690"/>
      <c r="AF258" s="690">
        <f t="shared" si="15"/>
        <v>0</v>
      </c>
      <c r="AG258" s="690"/>
      <c r="AH258" s="690"/>
      <c r="AI258" s="690"/>
      <c r="AJ258" s="690">
        <f t="shared" si="16"/>
        <v>0</v>
      </c>
      <c r="AK258" s="690"/>
      <c r="AL258" s="690"/>
      <c r="AM258" s="690"/>
    </row>
    <row r="259" spans="1:39" ht="15.95" customHeight="1">
      <c r="A259" s="65">
        <f t="shared" si="17"/>
        <v>24</v>
      </c>
      <c r="B259" s="699" t="s">
        <v>102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02">
        <f t="shared" si="21"/>
        <v>45748</v>
      </c>
      <c r="M259" s="702"/>
      <c r="N259" s="702"/>
      <c r="O259" s="702">
        <f t="shared" si="20"/>
        <v>45777</v>
      </c>
      <c r="P259" s="702"/>
      <c r="Q259" s="702"/>
      <c r="R259" s="690" cm="1">
        <f t="array" ref="R259">INDEX(verificare!$AT$4:$CC$26,VLOOKUP($AA$16,verificare!$AR$4:$AS$26,2,FALSE),A259)</f>
        <v>0</v>
      </c>
      <c r="S259" s="690"/>
      <c r="T259" s="690"/>
      <c r="U259" s="690"/>
      <c r="V259" s="658" t="s">
        <v>446</v>
      </c>
      <c r="W259" s="658"/>
      <c r="X259" s="691">
        <f>HLOOKUP(VLOOKUP($AA$16,'Date SPV'!$B:$F,5,FALSE),'Preturi si tarife'!$C$2:$J$39,A259+2,FALSE)</f>
        <v>1.1509999999999999E-2</v>
      </c>
      <c r="Y259" s="692"/>
      <c r="Z259" s="692"/>
      <c r="AA259" s="693"/>
      <c r="AB259" s="690">
        <f t="shared" si="14"/>
        <v>0</v>
      </c>
      <c r="AC259" s="690"/>
      <c r="AD259" s="690"/>
      <c r="AE259" s="690"/>
      <c r="AF259" s="690">
        <f t="shared" si="15"/>
        <v>0</v>
      </c>
      <c r="AG259" s="690"/>
      <c r="AH259" s="690"/>
      <c r="AI259" s="690"/>
      <c r="AJ259" s="690">
        <f t="shared" si="16"/>
        <v>0</v>
      </c>
      <c r="AK259" s="690"/>
      <c r="AL259" s="690"/>
      <c r="AM259" s="690"/>
    </row>
    <row r="260" spans="1:39" ht="30.95" customHeight="1">
      <c r="A260" s="65">
        <f t="shared" si="17"/>
        <v>25</v>
      </c>
      <c r="B260" s="699" t="s">
        <v>103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02">
        <f t="shared" si="21"/>
        <v>45748</v>
      </c>
      <c r="M260" s="702"/>
      <c r="N260" s="702"/>
      <c r="O260" s="702">
        <f t="shared" si="20"/>
        <v>45777</v>
      </c>
      <c r="P260" s="702"/>
      <c r="Q260" s="702"/>
      <c r="R260" s="690" cm="1">
        <f t="array" ref="R260">INDEX(verificare!$AT$4:$CC$26,VLOOKUP($AA$16,verificare!$AR$4:$AS$26,2,FALSE),A260)</f>
        <v>0</v>
      </c>
      <c r="S260" s="690"/>
      <c r="T260" s="690"/>
      <c r="U260" s="690"/>
      <c r="V260" s="658" t="s">
        <v>446</v>
      </c>
      <c r="W260" s="658"/>
      <c r="X260" s="691">
        <f>HLOOKUP(VLOOKUP($AA$16,'Date SPV'!$B:$F,5,FALSE),'Preturi si tarife'!$C$2:$J$39,A260+2,FALSE)</f>
        <v>3.3030000000000004E-2</v>
      </c>
      <c r="Y260" s="692"/>
      <c r="Z260" s="692"/>
      <c r="AA260" s="693"/>
      <c r="AB260" s="690">
        <f t="shared" si="14"/>
        <v>0</v>
      </c>
      <c r="AC260" s="690"/>
      <c r="AD260" s="690"/>
      <c r="AE260" s="690"/>
      <c r="AF260" s="690">
        <f t="shared" si="15"/>
        <v>0</v>
      </c>
      <c r="AG260" s="690"/>
      <c r="AH260" s="690"/>
      <c r="AI260" s="690"/>
      <c r="AJ260" s="690">
        <f t="shared" si="16"/>
        <v>0</v>
      </c>
      <c r="AK260" s="690"/>
      <c r="AL260" s="690"/>
      <c r="AM260" s="690"/>
    </row>
    <row r="261" spans="1:39" ht="30.95" customHeight="1">
      <c r="A261" s="65">
        <f t="shared" si="17"/>
        <v>26</v>
      </c>
      <c r="B261" s="699" t="s">
        <v>104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02">
        <f t="shared" si="21"/>
        <v>45748</v>
      </c>
      <c r="M261" s="702"/>
      <c r="N261" s="702"/>
      <c r="O261" s="702">
        <f t="shared" si="20"/>
        <v>45777</v>
      </c>
      <c r="P261" s="702"/>
      <c r="Q261" s="702"/>
      <c r="R261" s="690" cm="1">
        <f t="array" ref="R261">INDEX(verificare!$AT$4:$CC$26,VLOOKUP($AA$16,verificare!$AR$4:$AS$26,2,FALSE),A261)</f>
        <v>0</v>
      </c>
      <c r="S261" s="690"/>
      <c r="T261" s="690"/>
      <c r="U261" s="690"/>
      <c r="V261" s="658" t="s">
        <v>446</v>
      </c>
      <c r="W261" s="658"/>
      <c r="X261" s="691">
        <f>HLOOKUP(VLOOKUP($AA$16,'Date SPV'!$B:$F,5,FALSE),'Preturi si tarife'!$C$2:$J$39,A261+2,FALSE)</f>
        <v>3.29E-3</v>
      </c>
      <c r="Y261" s="692"/>
      <c r="Z261" s="692"/>
      <c r="AA261" s="693"/>
      <c r="AB261" s="690">
        <f t="shared" si="14"/>
        <v>0</v>
      </c>
      <c r="AC261" s="690"/>
      <c r="AD261" s="690"/>
      <c r="AE261" s="690"/>
      <c r="AF261" s="690">
        <f t="shared" si="15"/>
        <v>0</v>
      </c>
      <c r="AG261" s="690"/>
      <c r="AH261" s="690"/>
      <c r="AI261" s="690"/>
      <c r="AJ261" s="690">
        <f t="shared" si="16"/>
        <v>0</v>
      </c>
      <c r="AK261" s="690"/>
      <c r="AL261" s="690"/>
      <c r="AM261" s="690"/>
    </row>
    <row r="262" spans="1:39" ht="30.95" customHeight="1">
      <c r="A262" s="65">
        <f t="shared" si="17"/>
        <v>27</v>
      </c>
      <c r="B262" s="699" t="s">
        <v>105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02">
        <f t="shared" si="21"/>
        <v>45748</v>
      </c>
      <c r="M262" s="702"/>
      <c r="N262" s="702"/>
      <c r="O262" s="702">
        <f t="shared" si="20"/>
        <v>45777</v>
      </c>
      <c r="P262" s="702"/>
      <c r="Q262" s="702"/>
      <c r="R262" s="690" cm="1">
        <f t="array" ref="R262">INDEX(verificare!$AT$4:$CC$26,VLOOKUP($AA$16,verificare!$AR$4:$AS$26,2,FALSE),A262)</f>
        <v>0</v>
      </c>
      <c r="S262" s="690"/>
      <c r="T262" s="690"/>
      <c r="U262" s="690"/>
      <c r="V262" s="658" t="s">
        <v>446</v>
      </c>
      <c r="W262" s="658"/>
      <c r="X262" s="691">
        <f>HLOOKUP(VLOOKUP($AA$16,'Date SPV'!$B:$F,5,FALSE),'Preturi si tarife'!$C$2:$J$39,A262+2,FALSE)</f>
        <v>3.5000000000000001E-3</v>
      </c>
      <c r="Y262" s="692"/>
      <c r="Z262" s="692"/>
      <c r="AA262" s="693"/>
      <c r="AB262" s="690">
        <f t="shared" si="14"/>
        <v>0</v>
      </c>
      <c r="AC262" s="690"/>
      <c r="AD262" s="690"/>
      <c r="AE262" s="690"/>
      <c r="AF262" s="690">
        <f t="shared" si="15"/>
        <v>0</v>
      </c>
      <c r="AG262" s="690"/>
      <c r="AH262" s="690"/>
      <c r="AI262" s="690"/>
      <c r="AJ262" s="690">
        <f t="shared" si="16"/>
        <v>0</v>
      </c>
      <c r="AK262" s="690"/>
      <c r="AL262" s="690"/>
      <c r="AM262" s="690"/>
    </row>
    <row r="263" spans="1:39" ht="15.95" customHeight="1">
      <c r="A263" s="65">
        <f t="shared" si="17"/>
        <v>28</v>
      </c>
      <c r="B263" s="699" t="s">
        <v>106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02">
        <f t="shared" si="21"/>
        <v>45748</v>
      </c>
      <c r="M263" s="702"/>
      <c r="N263" s="702"/>
      <c r="O263" s="702">
        <f t="shared" si="20"/>
        <v>45777</v>
      </c>
      <c r="P263" s="702"/>
      <c r="Q263" s="702"/>
      <c r="R263" s="690" cm="1">
        <f t="array" ref="R263">INDEX(verificare!$AT$4:$CC$26,VLOOKUP($AA$16,verificare!$AR$4:$AS$26,2,FALSE),A263)</f>
        <v>0</v>
      </c>
      <c r="S263" s="690"/>
      <c r="T263" s="690"/>
      <c r="U263" s="690"/>
      <c r="V263" s="658" t="s">
        <v>446</v>
      </c>
      <c r="W263" s="658"/>
      <c r="X263" s="691">
        <f>HLOOKUP(VLOOKUP($AA$16,'Date SPV'!$B:$F,5,FALSE),'Preturi si tarife'!$C$2:$J$39,A263+2,FALSE)</f>
        <v>7.2541599999999998E-2</v>
      </c>
      <c r="Y263" s="692"/>
      <c r="Z263" s="692"/>
      <c r="AA263" s="693"/>
      <c r="AB263" s="690">
        <f t="shared" si="14"/>
        <v>0</v>
      </c>
      <c r="AC263" s="690"/>
      <c r="AD263" s="690"/>
      <c r="AE263" s="690"/>
      <c r="AF263" s="690">
        <f t="shared" si="15"/>
        <v>0</v>
      </c>
      <c r="AG263" s="690"/>
      <c r="AH263" s="690"/>
      <c r="AI263" s="690"/>
      <c r="AJ263" s="690">
        <f t="shared" si="16"/>
        <v>0</v>
      </c>
      <c r="AK263" s="690"/>
      <c r="AL263" s="690"/>
      <c r="AM263" s="690"/>
    </row>
    <row r="264" spans="1:39" ht="15.95" customHeight="1">
      <c r="A264" s="65">
        <f t="shared" si="17"/>
        <v>29</v>
      </c>
      <c r="B264" s="699" t="s">
        <v>1316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02">
        <f t="shared" si="21"/>
        <v>45748</v>
      </c>
      <c r="M264" s="702"/>
      <c r="N264" s="702"/>
      <c r="O264" s="702">
        <f t="shared" si="20"/>
        <v>45777</v>
      </c>
      <c r="P264" s="702"/>
      <c r="Q264" s="702"/>
      <c r="R264" s="690" cm="1">
        <f t="array" ref="R264">INDEX(verificare!$AT$4:$CC$26,VLOOKUP($AA$16,verificare!$AR$4:$AS$26,2,FALSE),A264)</f>
        <v>0</v>
      </c>
      <c r="S264" s="690"/>
      <c r="T264" s="690"/>
      <c r="U264" s="690"/>
      <c r="V264" s="658" t="s">
        <v>446</v>
      </c>
      <c r="W264" s="658"/>
      <c r="X264" s="691">
        <f>HLOOKUP(VLOOKUP($AA$16,'Date SPV'!$B:$F,5,FALSE),'Preturi si tarife'!$C$2:$J$39,A264+2,FALSE)</f>
        <v>2.0599999999999999E-4</v>
      </c>
      <c r="Y264" s="692"/>
      <c r="Z264" s="692"/>
      <c r="AA264" s="693"/>
      <c r="AB264" s="690">
        <f>ROUND(X264*R264,2)</f>
        <v>0</v>
      </c>
      <c r="AC264" s="690"/>
      <c r="AD264" s="690"/>
      <c r="AE264" s="690"/>
      <c r="AF264" s="690">
        <f>ROUND(AB264*19%,2)</f>
        <v>0</v>
      </c>
      <c r="AG264" s="690"/>
      <c r="AH264" s="690"/>
      <c r="AI264" s="690"/>
      <c r="AJ264" s="690">
        <f>AB264+AF264</f>
        <v>0</v>
      </c>
      <c r="AK264" s="690"/>
      <c r="AL264" s="690"/>
      <c r="AM264" s="690"/>
    </row>
    <row r="265" spans="1:39" ht="15.95" customHeight="1">
      <c r="A265" s="65">
        <f t="shared" si="17"/>
        <v>30</v>
      </c>
      <c r="B265" s="699" t="s">
        <v>107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02">
        <f>L263</f>
        <v>45748</v>
      </c>
      <c r="M265" s="702"/>
      <c r="N265" s="702"/>
      <c r="O265" s="702">
        <f>O263</f>
        <v>45777</v>
      </c>
      <c r="P265" s="702"/>
      <c r="Q265" s="702"/>
      <c r="R265" s="690" cm="1">
        <f t="array" ref="R265">INDEX(verificare!$AT$4:$CC$26,VLOOKUP($AA$16,verificare!$AR$4:$AS$26,2,FALSE),A265)</f>
        <v>0</v>
      </c>
      <c r="S265" s="690"/>
      <c r="T265" s="690"/>
      <c r="U265" s="690"/>
      <c r="V265" s="658" t="s">
        <v>446</v>
      </c>
      <c r="W265" s="658"/>
      <c r="X265" s="691">
        <f>HLOOKUP(VLOOKUP($AA$16,'Date SPV'!$B:$F,5,FALSE),'Preturi si tarife'!$C$2:$J$39,A265+2,FALSE)</f>
        <v>0</v>
      </c>
      <c r="Y265" s="692"/>
      <c r="Z265" s="692"/>
      <c r="AA265" s="693"/>
      <c r="AB265" s="690">
        <f t="shared" si="14"/>
        <v>0</v>
      </c>
      <c r="AC265" s="690"/>
      <c r="AD265" s="690"/>
      <c r="AE265" s="690"/>
      <c r="AF265" s="690">
        <f t="shared" si="15"/>
        <v>0</v>
      </c>
      <c r="AG265" s="690"/>
      <c r="AH265" s="690"/>
      <c r="AI265" s="690"/>
      <c r="AJ265" s="690">
        <f t="shared" si="16"/>
        <v>0</v>
      </c>
      <c r="AK265" s="690"/>
      <c r="AL265" s="690"/>
      <c r="AM265" s="690"/>
    </row>
    <row r="266" spans="1:39" ht="30.95" customHeight="1">
      <c r="A266" s="65">
        <f t="shared" si="17"/>
        <v>31</v>
      </c>
      <c r="B266" s="699" t="s">
        <v>108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02">
        <f>L265</f>
        <v>45748</v>
      </c>
      <c r="M266" s="702"/>
      <c r="N266" s="702"/>
      <c r="O266" s="702">
        <f>O265</f>
        <v>45777</v>
      </c>
      <c r="P266" s="702"/>
      <c r="Q266" s="702"/>
      <c r="R266" s="690" cm="1">
        <f t="array" ref="R266">INDEX(verificare!$AT$4:$CC$26,VLOOKUP($AA$16,verificare!$AR$4:$AS$26,2,FALSE),A266)</f>
        <v>0</v>
      </c>
      <c r="S266" s="690"/>
      <c r="T266" s="690"/>
      <c r="U266" s="690"/>
      <c r="V266" s="658" t="s">
        <v>446</v>
      </c>
      <c r="W266" s="658"/>
      <c r="X266" s="691">
        <f>HLOOKUP(VLOOKUP($AA$16,'Date SPV'!$B:$F,5,FALSE),'Preturi si tarife'!$C$2:$J$39,A266+2,FALSE)</f>
        <v>1.7000000000000001E-2</v>
      </c>
      <c r="Y266" s="692"/>
      <c r="Z266" s="692"/>
      <c r="AA266" s="693"/>
      <c r="AB266" s="690">
        <f t="shared" si="14"/>
        <v>0</v>
      </c>
      <c r="AC266" s="690"/>
      <c r="AD266" s="690"/>
      <c r="AE266" s="690"/>
      <c r="AF266" s="690">
        <f t="shared" si="15"/>
        <v>0</v>
      </c>
      <c r="AG266" s="690"/>
      <c r="AH266" s="690"/>
      <c r="AI266" s="690"/>
      <c r="AJ266" s="690">
        <f t="shared" si="16"/>
        <v>0</v>
      </c>
      <c r="AK266" s="690"/>
      <c r="AL266" s="690"/>
      <c r="AM266" s="690"/>
    </row>
    <row r="267" spans="1:39" ht="30.95" customHeight="1">
      <c r="A267" s="65">
        <f t="shared" si="17"/>
        <v>32</v>
      </c>
      <c r="B267" s="699" t="s">
        <v>109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02">
        <f t="shared" si="21"/>
        <v>45748</v>
      </c>
      <c r="M267" s="702"/>
      <c r="N267" s="702"/>
      <c r="O267" s="702">
        <f t="shared" si="20"/>
        <v>45777</v>
      </c>
      <c r="P267" s="702"/>
      <c r="Q267" s="702"/>
      <c r="R267" s="690" cm="1">
        <f t="array" ref="R267">INDEX(verificare!$AT$4:$CC$26,VLOOKUP($AA$16,verificare!$AR$4:$AS$26,2,FALSE),A267)</f>
        <v>0</v>
      </c>
      <c r="S267" s="690"/>
      <c r="T267" s="690"/>
      <c r="U267" s="690"/>
      <c r="V267" s="724" t="s">
        <v>446</v>
      </c>
      <c r="W267" s="725"/>
      <c r="X267" s="691">
        <f>HLOOKUP(VLOOKUP($AA$16,'Date SPV'!$B:$F,5,FALSE),'Preturi si tarife'!$C$2:$J$39,A267+2,FALSE)</f>
        <v>0.10290000000000001</v>
      </c>
      <c r="Y267" s="692"/>
      <c r="Z267" s="692"/>
      <c r="AA267" s="693"/>
      <c r="AB267" s="690">
        <f t="shared" si="14"/>
        <v>0</v>
      </c>
      <c r="AC267" s="690"/>
      <c r="AD267" s="690"/>
      <c r="AE267" s="690"/>
      <c r="AF267" s="690">
        <f t="shared" si="15"/>
        <v>0</v>
      </c>
      <c r="AG267" s="690"/>
      <c r="AH267" s="690"/>
      <c r="AI267" s="690"/>
      <c r="AJ267" s="690">
        <f t="shared" si="16"/>
        <v>0</v>
      </c>
      <c r="AK267" s="690"/>
      <c r="AL267" s="690"/>
      <c r="AM267" s="690"/>
    </row>
    <row r="268" spans="1:39" ht="15.95" customHeight="1">
      <c r="A268" s="65">
        <f t="shared" si="17"/>
        <v>33</v>
      </c>
      <c r="B268" s="699" t="s">
        <v>110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02">
        <f t="shared" si="21"/>
        <v>45748</v>
      </c>
      <c r="M268" s="702"/>
      <c r="N268" s="702"/>
      <c r="O268" s="702">
        <f t="shared" si="20"/>
        <v>45777</v>
      </c>
      <c r="P268" s="702"/>
      <c r="Q268" s="702"/>
      <c r="R268" s="690" cm="1">
        <f t="array" ref="R268">INDEX(verificare!$AT$4:$CC$26,VLOOKUP($AA$16,verificare!$AR$4:$AS$26,2,FALSE),A268)</f>
        <v>0</v>
      </c>
      <c r="S268" s="690"/>
      <c r="T268" s="690"/>
      <c r="U268" s="690"/>
      <c r="V268" s="658" t="s">
        <v>446</v>
      </c>
      <c r="W268" s="658"/>
      <c r="X268" s="691">
        <f>HLOOKUP(VLOOKUP($AA$16,'Date SPV'!$B:$F,5,FALSE),'Preturi si tarife'!$C$2:$J$39,A268+2,FALSE)</f>
        <v>0.97511760000000003</v>
      </c>
      <c r="Y268" s="692"/>
      <c r="Z268" s="692"/>
      <c r="AA268" s="693"/>
      <c r="AB268" s="690">
        <f t="shared" si="14"/>
        <v>0</v>
      </c>
      <c r="AC268" s="690"/>
      <c r="AD268" s="690"/>
      <c r="AE268" s="690"/>
      <c r="AF268" s="690">
        <f t="shared" si="15"/>
        <v>0</v>
      </c>
      <c r="AG268" s="690"/>
      <c r="AH268" s="690"/>
      <c r="AI268" s="690"/>
      <c r="AJ268" s="690">
        <f t="shared" si="16"/>
        <v>0</v>
      </c>
      <c r="AK268" s="690"/>
      <c r="AL268" s="690"/>
      <c r="AM268" s="690"/>
    </row>
    <row r="269" spans="1:39" ht="15.95" customHeight="1">
      <c r="A269" s="65">
        <f t="shared" si="17"/>
        <v>34</v>
      </c>
      <c r="B269" s="699" t="s">
        <v>111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02">
        <f t="shared" si="21"/>
        <v>45748</v>
      </c>
      <c r="M269" s="702"/>
      <c r="N269" s="702"/>
      <c r="O269" s="702">
        <f t="shared" si="20"/>
        <v>45777</v>
      </c>
      <c r="P269" s="702"/>
      <c r="Q269" s="702"/>
      <c r="R269" s="690" cm="1">
        <f t="array" ref="R269">INDEX(verificare!$AT$4:$CC$26,VLOOKUP($AA$16,verificare!$AR$4:$AS$26,2,FALSE),A269)</f>
        <v>0</v>
      </c>
      <c r="S269" s="690"/>
      <c r="T269" s="690"/>
      <c r="U269" s="690"/>
      <c r="V269" s="658" t="s">
        <v>446</v>
      </c>
      <c r="W269" s="658"/>
      <c r="X269" s="691">
        <f>HLOOKUP(VLOOKUP($AA$16,'Date SPV'!$B:$F,5,FALSE),'Preturi si tarife'!$C$2:$J$39,A269+2,FALSE)</f>
        <v>0.85521760000000002</v>
      </c>
      <c r="Y269" s="692"/>
      <c r="Z269" s="692"/>
      <c r="AA269" s="693"/>
      <c r="AB269" s="690">
        <f t="shared" si="14"/>
        <v>0</v>
      </c>
      <c r="AC269" s="690"/>
      <c r="AD269" s="690"/>
      <c r="AE269" s="690"/>
      <c r="AF269" s="690">
        <f t="shared" si="15"/>
        <v>0</v>
      </c>
      <c r="AG269" s="690"/>
      <c r="AH269" s="690"/>
      <c r="AI269" s="690"/>
      <c r="AJ269" s="690">
        <f t="shared" si="16"/>
        <v>0</v>
      </c>
      <c r="AK269" s="690"/>
      <c r="AL269" s="690"/>
      <c r="AM269" s="690"/>
    </row>
    <row r="270" spans="1:39" ht="30.95" customHeight="1">
      <c r="A270" s="65">
        <f t="shared" si="17"/>
        <v>35</v>
      </c>
      <c r="B270" s="699" t="s">
        <v>112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02">
        <f t="shared" si="21"/>
        <v>45748</v>
      </c>
      <c r="M270" s="702"/>
      <c r="N270" s="702"/>
      <c r="O270" s="702">
        <f t="shared" si="20"/>
        <v>45777</v>
      </c>
      <c r="P270" s="702"/>
      <c r="Q270" s="702"/>
      <c r="R270" s="690" cm="1">
        <f t="array" ref="R270">INDEX(verificare!$AT$4:$CC$26,VLOOKUP($AA$16,verificare!$AR$4:$AS$26,2,FALSE),A270)</f>
        <v>0</v>
      </c>
      <c r="S270" s="690"/>
      <c r="T270" s="690"/>
      <c r="U270" s="690"/>
      <c r="V270" s="724" t="s">
        <v>446</v>
      </c>
      <c r="W270" s="725"/>
      <c r="X270" s="691">
        <f>HLOOKUP(VLOOKUP($AA$16,'Date SPV'!$B:$F,5,FALSE),'Preturi si tarife'!$C$2:$J$39,A270+2,FALSE)</f>
        <v>1.7000000000000001E-2</v>
      </c>
      <c r="Y270" s="692"/>
      <c r="Z270" s="692"/>
      <c r="AA270" s="693"/>
      <c r="AB270" s="690">
        <f t="shared" si="14"/>
        <v>0</v>
      </c>
      <c r="AC270" s="690"/>
      <c r="AD270" s="690"/>
      <c r="AE270" s="690"/>
      <c r="AF270" s="690">
        <f t="shared" si="15"/>
        <v>0</v>
      </c>
      <c r="AG270" s="690"/>
      <c r="AH270" s="690"/>
      <c r="AI270" s="690"/>
      <c r="AJ270" s="690">
        <f t="shared" si="16"/>
        <v>0</v>
      </c>
      <c r="AK270" s="690"/>
      <c r="AL270" s="690"/>
      <c r="AM270" s="690"/>
    </row>
    <row r="271" spans="1:39" ht="30.95" customHeight="1">
      <c r="A271" s="65">
        <f t="shared" si="17"/>
        <v>36</v>
      </c>
      <c r="B271" s="699" t="s">
        <v>113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02">
        <f t="shared" si="21"/>
        <v>45748</v>
      </c>
      <c r="M271" s="702"/>
      <c r="N271" s="702"/>
      <c r="O271" s="702">
        <f t="shared" si="20"/>
        <v>45777</v>
      </c>
      <c r="P271" s="702"/>
      <c r="Q271" s="702"/>
      <c r="R271" s="690" cm="1">
        <f t="array" ref="R271">INDEX(verificare!$AT$4:$CC$26,VLOOKUP($AA$16,verificare!$AR$4:$AS$26,2,FALSE),A271)</f>
        <v>0</v>
      </c>
      <c r="S271" s="690"/>
      <c r="T271" s="690"/>
      <c r="U271" s="690"/>
      <c r="V271" s="724" t="s">
        <v>446</v>
      </c>
      <c r="W271" s="725"/>
      <c r="X271" s="691">
        <f>HLOOKUP(VLOOKUP($AA$16,'Date SPV'!$B:$F,5,FALSE),'Preturi si tarife'!$C$2:$J$39,A271+2,FALSE)</f>
        <v>0.10290000000000001</v>
      </c>
      <c r="Y271" s="692"/>
      <c r="Z271" s="692"/>
      <c r="AA271" s="693"/>
      <c r="AB271" s="690">
        <f t="shared" si="14"/>
        <v>0</v>
      </c>
      <c r="AC271" s="690"/>
      <c r="AD271" s="690"/>
      <c r="AE271" s="690"/>
      <c r="AF271" s="690">
        <f t="shared" si="15"/>
        <v>0</v>
      </c>
      <c r="AG271" s="690"/>
      <c r="AH271" s="690"/>
      <c r="AI271" s="690"/>
      <c r="AJ271" s="690">
        <f t="shared" si="16"/>
        <v>0</v>
      </c>
      <c r="AK271" s="690"/>
      <c r="AL271" s="690"/>
      <c r="AM271" s="690"/>
    </row>
    <row r="272" spans="1:39">
      <c r="A272" s="65">
        <f t="shared" si="17"/>
        <v>37</v>
      </c>
      <c r="B272" s="699" t="s">
        <v>728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02" t="s">
        <v>69</v>
      </c>
      <c r="M272" s="702"/>
      <c r="N272" s="702"/>
      <c r="O272" s="702" t="s">
        <v>69</v>
      </c>
      <c r="P272" s="702"/>
      <c r="Q272" s="702"/>
      <c r="R272" s="653">
        <v>0</v>
      </c>
      <c r="S272" s="653"/>
      <c r="T272" s="653"/>
      <c r="U272" s="653"/>
      <c r="V272" s="658" t="s">
        <v>69</v>
      </c>
      <c r="W272" s="658"/>
      <c r="X272" s="659" t="s">
        <v>69</v>
      </c>
      <c r="Y272" s="659"/>
      <c r="Z272" s="659"/>
      <c r="AA272" s="659"/>
      <c r="AB272" s="653">
        <v>0</v>
      </c>
      <c r="AC272" s="653"/>
      <c r="AD272" s="653"/>
      <c r="AE272" s="653"/>
      <c r="AF272" s="653">
        <f>ROUND(AB272*19%,2)</f>
        <v>0</v>
      </c>
      <c r="AG272" s="653"/>
      <c r="AH272" s="653"/>
      <c r="AI272" s="653"/>
      <c r="AJ272" s="653">
        <f>AB272+AF272</f>
        <v>0</v>
      </c>
      <c r="AK272" s="653"/>
      <c r="AL272" s="653"/>
      <c r="AM272" s="653"/>
    </row>
    <row r="273" spans="1:39">
      <c r="A273" s="65">
        <f t="shared" si="17"/>
        <v>38</v>
      </c>
      <c r="B273" s="699" t="s">
        <v>729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02" t="s">
        <v>69</v>
      </c>
      <c r="M273" s="702"/>
      <c r="N273" s="702"/>
      <c r="O273" s="702" t="s">
        <v>69</v>
      </c>
      <c r="P273" s="702"/>
      <c r="Q273" s="702"/>
      <c r="R273" s="653">
        <v>0</v>
      </c>
      <c r="S273" s="653"/>
      <c r="T273" s="653"/>
      <c r="U273" s="653"/>
      <c r="V273" s="658" t="s">
        <v>69</v>
      </c>
      <c r="W273" s="658"/>
      <c r="X273" s="659" t="s">
        <v>69</v>
      </c>
      <c r="Y273" s="659"/>
      <c r="Z273" s="659"/>
      <c r="AA273" s="659"/>
      <c r="AB273" s="726">
        <f>SUM(AB236:AE272)</f>
        <v>398246.48</v>
      </c>
      <c r="AC273" s="726"/>
      <c r="AD273" s="726"/>
      <c r="AE273" s="726"/>
      <c r="AF273" s="726">
        <f>SUM(AF236:AI272)</f>
        <v>75666.83</v>
      </c>
      <c r="AG273" s="726"/>
      <c r="AH273" s="726"/>
      <c r="AI273" s="726"/>
      <c r="AJ273" s="726">
        <f>SUM(AJ236:AM272)</f>
        <v>473913.30999999994</v>
      </c>
      <c r="AK273" s="726"/>
      <c r="AL273" s="726"/>
      <c r="AM273" s="726"/>
    </row>
    <row r="274" spans="1:39" ht="15.95" customHeight="1"/>
  </sheetData>
  <mergeCells count="1183">
    <mergeCell ref="B273:K273"/>
    <mergeCell ref="B262:K262"/>
    <mergeCell ref="B263:K263"/>
    <mergeCell ref="B265:K265"/>
    <mergeCell ref="B266:K266"/>
    <mergeCell ref="B267:K267"/>
    <mergeCell ref="B268:K268"/>
    <mergeCell ref="R268:U268"/>
    <mergeCell ref="R269:U269"/>
    <mergeCell ref="R270:U270"/>
    <mergeCell ref="R271:U271"/>
    <mergeCell ref="B256:K256"/>
    <mergeCell ref="B257:K257"/>
    <mergeCell ref="B258:K258"/>
    <mergeCell ref="B259:K259"/>
    <mergeCell ref="B260:K260"/>
    <mergeCell ref="B261:K261"/>
    <mergeCell ref="R261:U261"/>
    <mergeCell ref="R262:U262"/>
    <mergeCell ref="R263:U263"/>
    <mergeCell ref="R265:U265"/>
    <mergeCell ref="R266:U266"/>
    <mergeCell ref="R267:U267"/>
    <mergeCell ref="R256:U256"/>
    <mergeCell ref="R257:U257"/>
    <mergeCell ref="R258:U258"/>
    <mergeCell ref="R259:U259"/>
    <mergeCell ref="R260:U260"/>
    <mergeCell ref="R272:U272"/>
    <mergeCell ref="AF268:AI268"/>
    <mergeCell ref="AJ268:AM268"/>
    <mergeCell ref="AB269:AE269"/>
    <mergeCell ref="AF269:AI269"/>
    <mergeCell ref="AJ269:AM269"/>
    <mergeCell ref="AF262:AI262"/>
    <mergeCell ref="AJ262:AM262"/>
    <mergeCell ref="AB263:AE263"/>
    <mergeCell ref="AF263:AI263"/>
    <mergeCell ref="AJ263:AM263"/>
    <mergeCell ref="AB265:AE265"/>
    <mergeCell ref="AF265:AI265"/>
    <mergeCell ref="AJ265:AM265"/>
    <mergeCell ref="B269:K269"/>
    <mergeCell ref="B270:K270"/>
    <mergeCell ref="B271:K271"/>
    <mergeCell ref="B272:K272"/>
    <mergeCell ref="L271:N271"/>
    <mergeCell ref="O271:Q271"/>
    <mergeCell ref="L266:N266"/>
    <mergeCell ref="O266:Q266"/>
    <mergeCell ref="L267:N267"/>
    <mergeCell ref="O267:Q267"/>
    <mergeCell ref="L268:N268"/>
    <mergeCell ref="O268:Q268"/>
    <mergeCell ref="L262:N262"/>
    <mergeCell ref="O262:Q262"/>
    <mergeCell ref="L263:N263"/>
    <mergeCell ref="O263:Q263"/>
    <mergeCell ref="L265:N265"/>
    <mergeCell ref="O265:Q265"/>
    <mergeCell ref="X270:AA270"/>
    <mergeCell ref="AB259:AE259"/>
    <mergeCell ref="AF259:AI259"/>
    <mergeCell ref="AJ259:AM259"/>
    <mergeCell ref="AB260:AE260"/>
    <mergeCell ref="AF260:AI260"/>
    <mergeCell ref="AJ260:AM260"/>
    <mergeCell ref="AB256:AE256"/>
    <mergeCell ref="AF256:AI256"/>
    <mergeCell ref="AJ256:AM256"/>
    <mergeCell ref="AB257:AE257"/>
    <mergeCell ref="AF257:AI257"/>
    <mergeCell ref="AJ257:AM257"/>
    <mergeCell ref="AB270:AE270"/>
    <mergeCell ref="AF270:AI270"/>
    <mergeCell ref="AJ270:AM270"/>
    <mergeCell ref="AB271:AE271"/>
    <mergeCell ref="AB266:AE266"/>
    <mergeCell ref="AF266:AI266"/>
    <mergeCell ref="AJ266:AM266"/>
    <mergeCell ref="AB267:AE267"/>
    <mergeCell ref="AB261:AE261"/>
    <mergeCell ref="AF261:AI261"/>
    <mergeCell ref="AJ261:AM261"/>
    <mergeCell ref="AB262:AE262"/>
    <mergeCell ref="AB258:AE258"/>
    <mergeCell ref="AF258:AI258"/>
    <mergeCell ref="AJ258:AM258"/>
    <mergeCell ref="AF271:AI271"/>
    <mergeCell ref="AJ271:AM271"/>
    <mergeCell ref="AF267:AI267"/>
    <mergeCell ref="AJ267:AM267"/>
    <mergeCell ref="AB268:AE268"/>
    <mergeCell ref="X256:AA256"/>
    <mergeCell ref="X257:AA257"/>
    <mergeCell ref="X258:AA258"/>
    <mergeCell ref="X259:AA259"/>
    <mergeCell ref="X260:AA260"/>
    <mergeCell ref="X261:AA261"/>
    <mergeCell ref="X262:AA262"/>
    <mergeCell ref="V262:W262"/>
    <mergeCell ref="V263:W263"/>
    <mergeCell ref="V265:W265"/>
    <mergeCell ref="V266:W266"/>
    <mergeCell ref="V267:W267"/>
    <mergeCell ref="V268:W268"/>
    <mergeCell ref="V256:W256"/>
    <mergeCell ref="V257:W257"/>
    <mergeCell ref="V258:W258"/>
    <mergeCell ref="V259:W259"/>
    <mergeCell ref="V260:W260"/>
    <mergeCell ref="V261:W261"/>
    <mergeCell ref="X271:AA271"/>
    <mergeCell ref="X263:AA263"/>
    <mergeCell ref="X265:AA265"/>
    <mergeCell ref="X266:AA266"/>
    <mergeCell ref="X267:AA267"/>
    <mergeCell ref="X268:AA268"/>
    <mergeCell ref="X269:AA269"/>
    <mergeCell ref="V269:W269"/>
    <mergeCell ref="V270:W270"/>
    <mergeCell ref="V271:W271"/>
    <mergeCell ref="AF273:AI273"/>
    <mergeCell ref="AJ273:AM273"/>
    <mergeCell ref="L256:N256"/>
    <mergeCell ref="O256:Q256"/>
    <mergeCell ref="L257:N257"/>
    <mergeCell ref="O257:Q257"/>
    <mergeCell ref="L258:N258"/>
    <mergeCell ref="O258:Q258"/>
    <mergeCell ref="L259:N259"/>
    <mergeCell ref="O259:Q259"/>
    <mergeCell ref="X272:AA272"/>
    <mergeCell ref="AB272:AE272"/>
    <mergeCell ref="AF272:AI272"/>
    <mergeCell ref="AJ272:AM272"/>
    <mergeCell ref="L273:N273"/>
    <mergeCell ref="O273:Q273"/>
    <mergeCell ref="R273:U273"/>
    <mergeCell ref="V273:W273"/>
    <mergeCell ref="X273:AA273"/>
    <mergeCell ref="AB273:AE273"/>
    <mergeCell ref="L272:N272"/>
    <mergeCell ref="O272:Q272"/>
    <mergeCell ref="V272:W272"/>
    <mergeCell ref="L260:N260"/>
    <mergeCell ref="O260:Q260"/>
    <mergeCell ref="L261:N261"/>
    <mergeCell ref="O261:Q261"/>
    <mergeCell ref="L269:N269"/>
    <mergeCell ref="O269:Q269"/>
    <mergeCell ref="L270:N270"/>
    <mergeCell ref="O270:Q270"/>
    <mergeCell ref="AI213:AJ215"/>
    <mergeCell ref="AK213:AM215"/>
    <mergeCell ref="J214:L214"/>
    <mergeCell ref="J215:L215"/>
    <mergeCell ref="R213:T215"/>
    <mergeCell ref="U213:W215"/>
    <mergeCell ref="X213:Z215"/>
    <mergeCell ref="AA213:AC215"/>
    <mergeCell ref="AD213:AE215"/>
    <mergeCell ref="AF213:AH215"/>
    <mergeCell ref="V253:W253"/>
    <mergeCell ref="X253:AA253"/>
    <mergeCell ref="AB253:AE253"/>
    <mergeCell ref="AF253:AI253"/>
    <mergeCell ref="X252:AA252"/>
    <mergeCell ref="AB252:AE252"/>
    <mergeCell ref="AF252:AI252"/>
    <mergeCell ref="AJ252:AM252"/>
    <mergeCell ref="B252:K252"/>
    <mergeCell ref="L252:N252"/>
    <mergeCell ref="O252:Q252"/>
    <mergeCell ref="R252:U252"/>
    <mergeCell ref="V252:W252"/>
    <mergeCell ref="AF210:AH212"/>
    <mergeCell ref="AI210:AJ212"/>
    <mergeCell ref="AK210:AM212"/>
    <mergeCell ref="J211:L211"/>
    <mergeCell ref="J212:L212"/>
    <mergeCell ref="A213:F215"/>
    <mergeCell ref="G213:I215"/>
    <mergeCell ref="J213:L213"/>
    <mergeCell ref="M213:N215"/>
    <mergeCell ref="O213:Q215"/>
    <mergeCell ref="O210:Q212"/>
    <mergeCell ref="R210:T212"/>
    <mergeCell ref="U210:W212"/>
    <mergeCell ref="X210:Z212"/>
    <mergeCell ref="AA210:AC212"/>
    <mergeCell ref="AD210:AE212"/>
    <mergeCell ref="J208:L208"/>
    <mergeCell ref="J209:L209"/>
    <mergeCell ref="A210:F212"/>
    <mergeCell ref="G210:I212"/>
    <mergeCell ref="J210:L210"/>
    <mergeCell ref="M210:N212"/>
    <mergeCell ref="X207:Z209"/>
    <mergeCell ref="AA207:AC209"/>
    <mergeCell ref="AD207:AE209"/>
    <mergeCell ref="AF207:AH209"/>
    <mergeCell ref="AI207:AJ209"/>
    <mergeCell ref="AK207:AM209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U207:W209"/>
    <mergeCell ref="U204:W206"/>
    <mergeCell ref="X204:Z206"/>
    <mergeCell ref="AA204:AC206"/>
    <mergeCell ref="AD204:AE206"/>
    <mergeCell ref="AF204:AH206"/>
    <mergeCell ref="AI204:AJ206"/>
    <mergeCell ref="AI201:AJ203"/>
    <mergeCell ref="AK201:AM203"/>
    <mergeCell ref="J202:L202"/>
    <mergeCell ref="J203:L203"/>
    <mergeCell ref="A204:F206"/>
    <mergeCell ref="G204:I206"/>
    <mergeCell ref="J204:L204"/>
    <mergeCell ref="M204:N206"/>
    <mergeCell ref="O204:Q206"/>
    <mergeCell ref="R204:T206"/>
    <mergeCell ref="R201:T203"/>
    <mergeCell ref="U201:W203"/>
    <mergeCell ref="X201:Z203"/>
    <mergeCell ref="AA201:AC203"/>
    <mergeCell ref="AD201:AE203"/>
    <mergeCell ref="AF201:AH203"/>
    <mergeCell ref="AF198:AH200"/>
    <mergeCell ref="AI198:AJ200"/>
    <mergeCell ref="AK198:AM200"/>
    <mergeCell ref="J199:L199"/>
    <mergeCell ref="J200:L200"/>
    <mergeCell ref="A201:F203"/>
    <mergeCell ref="G201:I203"/>
    <mergeCell ref="J201:L201"/>
    <mergeCell ref="M201:N203"/>
    <mergeCell ref="O201:Q203"/>
    <mergeCell ref="O198:Q200"/>
    <mergeCell ref="R198:T200"/>
    <mergeCell ref="U198:W200"/>
    <mergeCell ref="X198:Z200"/>
    <mergeCell ref="AA198:AC200"/>
    <mergeCell ref="AD198:AE200"/>
    <mergeCell ref="J196:L196"/>
    <mergeCell ref="J197:L197"/>
    <mergeCell ref="A198:F200"/>
    <mergeCell ref="G198:I200"/>
    <mergeCell ref="J198:L198"/>
    <mergeCell ref="M198:N200"/>
    <mergeCell ref="X195:Z197"/>
    <mergeCell ref="AA195:AC197"/>
    <mergeCell ref="AD195:AE197"/>
    <mergeCell ref="AF195:AH197"/>
    <mergeCell ref="AI195:AJ197"/>
    <mergeCell ref="AK195:AM197"/>
    <mergeCell ref="AK192:AM194"/>
    <mergeCell ref="J193:L193"/>
    <mergeCell ref="J194:L194"/>
    <mergeCell ref="A195:F197"/>
    <mergeCell ref="G195:I197"/>
    <mergeCell ref="J195:L195"/>
    <mergeCell ref="M195:N197"/>
    <mergeCell ref="O195:Q197"/>
    <mergeCell ref="R195:T197"/>
    <mergeCell ref="U195:W197"/>
    <mergeCell ref="U192:W194"/>
    <mergeCell ref="X192:Z194"/>
    <mergeCell ref="AA192:AC194"/>
    <mergeCell ref="AD192:AE194"/>
    <mergeCell ref="AF192:AH194"/>
    <mergeCell ref="AI192:AJ194"/>
    <mergeCell ref="A192:F194"/>
    <mergeCell ref="G192:I194"/>
    <mergeCell ref="J192:L192"/>
    <mergeCell ref="M192:N194"/>
    <mergeCell ref="O192:Q194"/>
    <mergeCell ref="R192:T194"/>
    <mergeCell ref="AD189:AE191"/>
    <mergeCell ref="AF189:AH191"/>
    <mergeCell ref="AI189:AJ191"/>
    <mergeCell ref="AK189:AM191"/>
    <mergeCell ref="J190:L190"/>
    <mergeCell ref="J191:L191"/>
    <mergeCell ref="AK186:AM188"/>
    <mergeCell ref="A189:F191"/>
    <mergeCell ref="G189:I191"/>
    <mergeCell ref="J189:L189"/>
    <mergeCell ref="M189:N191"/>
    <mergeCell ref="O189:Q191"/>
    <mergeCell ref="R189:T191"/>
    <mergeCell ref="U189:W191"/>
    <mergeCell ref="X189:Z191"/>
    <mergeCell ref="AA189:AC191"/>
    <mergeCell ref="U186:W188"/>
    <mergeCell ref="X186:Z188"/>
    <mergeCell ref="AA186:AC188"/>
    <mergeCell ref="AD186:AE188"/>
    <mergeCell ref="AF186:AH188"/>
    <mergeCell ref="AI186:AJ188"/>
    <mergeCell ref="A186:F188"/>
    <mergeCell ref="G186:I188"/>
    <mergeCell ref="J186:L188"/>
    <mergeCell ref="M186:N188"/>
    <mergeCell ref="O186:Q188"/>
    <mergeCell ref="R186:T188"/>
    <mergeCell ref="J180:L180"/>
    <mergeCell ref="J181:L181"/>
    <mergeCell ref="A183:L183"/>
    <mergeCell ref="M183:AH183"/>
    <mergeCell ref="AI183:AM183"/>
    <mergeCell ref="A184:L184"/>
    <mergeCell ref="M184:AH184"/>
    <mergeCell ref="AI184:AM185"/>
    <mergeCell ref="A185:L185"/>
    <mergeCell ref="M185:AH185"/>
    <mergeCell ref="X179:Z181"/>
    <mergeCell ref="AA179:AC181"/>
    <mergeCell ref="AD179:AE181"/>
    <mergeCell ref="AF179:AH181"/>
    <mergeCell ref="AI179:AJ181"/>
    <mergeCell ref="AK179:AM181"/>
    <mergeCell ref="AK176:AM178"/>
    <mergeCell ref="J177:L177"/>
    <mergeCell ref="J178:L178"/>
    <mergeCell ref="A179:F181"/>
    <mergeCell ref="G179:I181"/>
    <mergeCell ref="J179:L179"/>
    <mergeCell ref="M179:N181"/>
    <mergeCell ref="O179:Q181"/>
    <mergeCell ref="R179:T181"/>
    <mergeCell ref="U179:W181"/>
    <mergeCell ref="U176:W178"/>
    <mergeCell ref="X176:Z178"/>
    <mergeCell ref="AA176:AC178"/>
    <mergeCell ref="AD176:AE178"/>
    <mergeCell ref="AF176:AH178"/>
    <mergeCell ref="AI176:AJ178"/>
    <mergeCell ref="A176:F178"/>
    <mergeCell ref="G176:I178"/>
    <mergeCell ref="J176:L176"/>
    <mergeCell ref="M176:N178"/>
    <mergeCell ref="O176:Q178"/>
    <mergeCell ref="R176:T178"/>
    <mergeCell ref="AA173:AC175"/>
    <mergeCell ref="AD173:AE175"/>
    <mergeCell ref="AF173:AH175"/>
    <mergeCell ref="AI173:AJ175"/>
    <mergeCell ref="AK173:AM175"/>
    <mergeCell ref="J174:L174"/>
    <mergeCell ref="J175:L175"/>
    <mergeCell ref="AI170:AJ172"/>
    <mergeCell ref="AK170:AM172"/>
    <mergeCell ref="A173:F175"/>
    <mergeCell ref="G173:I175"/>
    <mergeCell ref="J173:L173"/>
    <mergeCell ref="M173:N175"/>
    <mergeCell ref="O173:Q175"/>
    <mergeCell ref="R173:T175"/>
    <mergeCell ref="U173:W175"/>
    <mergeCell ref="X173:Z175"/>
    <mergeCell ref="R170:T172"/>
    <mergeCell ref="U170:W172"/>
    <mergeCell ref="X170:Z172"/>
    <mergeCell ref="AA170:AC172"/>
    <mergeCell ref="AD170:AE172"/>
    <mergeCell ref="AF170:AH172"/>
    <mergeCell ref="A168:L168"/>
    <mergeCell ref="M168:AH168"/>
    <mergeCell ref="AI168:AM169"/>
    <mergeCell ref="A169:L169"/>
    <mergeCell ref="M169:AH169"/>
    <mergeCell ref="A170:F172"/>
    <mergeCell ref="G170:I172"/>
    <mergeCell ref="J170:L172"/>
    <mergeCell ref="M170:N172"/>
    <mergeCell ref="O170:Q172"/>
    <mergeCell ref="AI163:AJ165"/>
    <mergeCell ref="AK163:AM165"/>
    <mergeCell ref="J164:L164"/>
    <mergeCell ref="J165:L165"/>
    <mergeCell ref="AI167:AM167"/>
    <mergeCell ref="R163:T165"/>
    <mergeCell ref="U163:W165"/>
    <mergeCell ref="X163:Z165"/>
    <mergeCell ref="AA163:AC165"/>
    <mergeCell ref="AD163:AE165"/>
    <mergeCell ref="AF163:AH165"/>
    <mergeCell ref="A167:AH167"/>
    <mergeCell ref="AF160:AH162"/>
    <mergeCell ref="AI160:AJ162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O160:Q162"/>
    <mergeCell ref="R160:T162"/>
    <mergeCell ref="U160:W162"/>
    <mergeCell ref="X160:Z162"/>
    <mergeCell ref="AA160:AC162"/>
    <mergeCell ref="AD160:AE162"/>
    <mergeCell ref="J158:L158"/>
    <mergeCell ref="J159:L159"/>
    <mergeCell ref="A160:F162"/>
    <mergeCell ref="G160:I162"/>
    <mergeCell ref="J160:L160"/>
    <mergeCell ref="M160:N162"/>
    <mergeCell ref="X157:Z159"/>
    <mergeCell ref="AA157:AC159"/>
    <mergeCell ref="AD157:AE159"/>
    <mergeCell ref="AF157:AH159"/>
    <mergeCell ref="AI157:AJ159"/>
    <mergeCell ref="AK157:AM159"/>
    <mergeCell ref="AK154:AM156"/>
    <mergeCell ref="J155:L155"/>
    <mergeCell ref="J156:L156"/>
    <mergeCell ref="A157:F159"/>
    <mergeCell ref="G157:I159"/>
    <mergeCell ref="J157:L157"/>
    <mergeCell ref="M157:N159"/>
    <mergeCell ref="O157:Q159"/>
    <mergeCell ref="R157:T159"/>
    <mergeCell ref="U157:W159"/>
    <mergeCell ref="U154:W156"/>
    <mergeCell ref="X154:Z156"/>
    <mergeCell ref="AA154:AC156"/>
    <mergeCell ref="AD154:AE156"/>
    <mergeCell ref="AF154:AH156"/>
    <mergeCell ref="AI154:AJ156"/>
    <mergeCell ref="AI151:AJ153"/>
    <mergeCell ref="AK151:AM153"/>
    <mergeCell ref="J152:L152"/>
    <mergeCell ref="J153:L153"/>
    <mergeCell ref="A154:F156"/>
    <mergeCell ref="G154:I156"/>
    <mergeCell ref="J154:L154"/>
    <mergeCell ref="M154:N156"/>
    <mergeCell ref="O154:Q156"/>
    <mergeCell ref="R154:T156"/>
    <mergeCell ref="R151:T153"/>
    <mergeCell ref="U151:W153"/>
    <mergeCell ref="X151:Z153"/>
    <mergeCell ref="AA151:AC153"/>
    <mergeCell ref="AD151:AE153"/>
    <mergeCell ref="AF151:AH153"/>
    <mergeCell ref="AF148:AH150"/>
    <mergeCell ref="AI148:AJ150"/>
    <mergeCell ref="AK148:AM150"/>
    <mergeCell ref="J149:L149"/>
    <mergeCell ref="J150:L150"/>
    <mergeCell ref="A151:F153"/>
    <mergeCell ref="G151:I153"/>
    <mergeCell ref="J151:L151"/>
    <mergeCell ref="M151:N153"/>
    <mergeCell ref="O151:Q153"/>
    <mergeCell ref="O148:Q150"/>
    <mergeCell ref="R148:T150"/>
    <mergeCell ref="U148:W150"/>
    <mergeCell ref="X148:Z150"/>
    <mergeCell ref="AA148:AC150"/>
    <mergeCell ref="AD148:AE150"/>
    <mergeCell ref="J146:L146"/>
    <mergeCell ref="J147:L147"/>
    <mergeCell ref="A148:F150"/>
    <mergeCell ref="G148:I150"/>
    <mergeCell ref="J148:L148"/>
    <mergeCell ref="M148:N150"/>
    <mergeCell ref="X145:Z147"/>
    <mergeCell ref="AA145:AC147"/>
    <mergeCell ref="AD145:AE147"/>
    <mergeCell ref="AF145:AH147"/>
    <mergeCell ref="AI145:AJ147"/>
    <mergeCell ref="AK145:AM147"/>
    <mergeCell ref="AK142:AM144"/>
    <mergeCell ref="J143:L143"/>
    <mergeCell ref="J144:L144"/>
    <mergeCell ref="A145:F147"/>
    <mergeCell ref="G145:I147"/>
    <mergeCell ref="J145:L145"/>
    <mergeCell ref="M145:N147"/>
    <mergeCell ref="O145:Q147"/>
    <mergeCell ref="R145:T147"/>
    <mergeCell ref="U145:W147"/>
    <mergeCell ref="U142:W144"/>
    <mergeCell ref="X142:Z144"/>
    <mergeCell ref="AA142:AC144"/>
    <mergeCell ref="AD142:AE144"/>
    <mergeCell ref="AF142:AH144"/>
    <mergeCell ref="AI142:AJ144"/>
    <mergeCell ref="A142:F144"/>
    <mergeCell ref="G142:I144"/>
    <mergeCell ref="J142:L142"/>
    <mergeCell ref="M142:N144"/>
    <mergeCell ref="O142:Q144"/>
    <mergeCell ref="R142:T144"/>
    <mergeCell ref="U127:W129"/>
    <mergeCell ref="J128:L128"/>
    <mergeCell ref="J129:L129"/>
    <mergeCell ref="AA139:AC141"/>
    <mergeCell ref="AD139:AE141"/>
    <mergeCell ref="AF139:AH141"/>
    <mergeCell ref="AI139:AJ141"/>
    <mergeCell ref="AK139:AM141"/>
    <mergeCell ref="J140:L140"/>
    <mergeCell ref="J141:L141"/>
    <mergeCell ref="AI136:AJ138"/>
    <mergeCell ref="AK136:AM138"/>
    <mergeCell ref="A139:F141"/>
    <mergeCell ref="G139:I141"/>
    <mergeCell ref="J139:L139"/>
    <mergeCell ref="M139:N141"/>
    <mergeCell ref="O139:Q141"/>
    <mergeCell ref="R139:T141"/>
    <mergeCell ref="U139:W141"/>
    <mergeCell ref="X139:Z141"/>
    <mergeCell ref="R136:T138"/>
    <mergeCell ref="U136:W138"/>
    <mergeCell ref="X136:Z138"/>
    <mergeCell ref="AA136:AC138"/>
    <mergeCell ref="AD136:AE138"/>
    <mergeCell ref="AF136:AH138"/>
    <mergeCell ref="J127:L127"/>
    <mergeCell ref="AK118:AM120"/>
    <mergeCell ref="A121:F123"/>
    <mergeCell ref="G121:I123"/>
    <mergeCell ref="M121:N123"/>
    <mergeCell ref="O121:Q123"/>
    <mergeCell ref="R121:T123"/>
    <mergeCell ref="U121:W123"/>
    <mergeCell ref="X121:Z123"/>
    <mergeCell ref="AA121:AC123"/>
    <mergeCell ref="AD121:AE123"/>
    <mergeCell ref="A118:F120"/>
    <mergeCell ref="G118:I120"/>
    <mergeCell ref="J118:L118"/>
    <mergeCell ref="M118:N120"/>
    <mergeCell ref="O118:Q120"/>
    <mergeCell ref="R118:T120"/>
    <mergeCell ref="J123:L123"/>
    <mergeCell ref="AF121:AH123"/>
    <mergeCell ref="AI121:AJ123"/>
    <mergeCell ref="AK121:AM123"/>
    <mergeCell ref="J122:L122"/>
    <mergeCell ref="J121:L121"/>
    <mergeCell ref="J120:L120"/>
    <mergeCell ref="U118:W120"/>
    <mergeCell ref="X118:Z120"/>
    <mergeCell ref="AA118:AC120"/>
    <mergeCell ref="A115:F117"/>
    <mergeCell ref="G115:I117"/>
    <mergeCell ref="J115:L115"/>
    <mergeCell ref="M115:N117"/>
    <mergeCell ref="O115:Q117"/>
    <mergeCell ref="R115:T117"/>
    <mergeCell ref="J116:L116"/>
    <mergeCell ref="J117:L117"/>
    <mergeCell ref="AD112:AE114"/>
    <mergeCell ref="AF112:AH114"/>
    <mergeCell ref="AI112:AJ114"/>
    <mergeCell ref="A124:F126"/>
    <mergeCell ref="G124:I126"/>
    <mergeCell ref="M124:N126"/>
    <mergeCell ref="O124:Q126"/>
    <mergeCell ref="R124:T126"/>
    <mergeCell ref="U124:W126"/>
    <mergeCell ref="AD118:AE120"/>
    <mergeCell ref="J119:L119"/>
    <mergeCell ref="J126:L126"/>
    <mergeCell ref="A106:F108"/>
    <mergeCell ref="A109:F111"/>
    <mergeCell ref="A112:F114"/>
    <mergeCell ref="G112:I114"/>
    <mergeCell ref="J112:L112"/>
    <mergeCell ref="X93:Z95"/>
    <mergeCell ref="AA93:AC95"/>
    <mergeCell ref="AD93:AE95"/>
    <mergeCell ref="AF93:AH95"/>
    <mergeCell ref="AI93:AJ95"/>
    <mergeCell ref="AK93:AM95"/>
    <mergeCell ref="J108:L108"/>
    <mergeCell ref="J107:L107"/>
    <mergeCell ref="AA106:AC108"/>
    <mergeCell ref="AD106:AE108"/>
    <mergeCell ref="AF106:AH108"/>
    <mergeCell ref="AI106:AJ108"/>
    <mergeCell ref="AK106:AM108"/>
    <mergeCell ref="G106:I108"/>
    <mergeCell ref="J106:L106"/>
    <mergeCell ref="M106:N108"/>
    <mergeCell ref="O106:Q108"/>
    <mergeCell ref="R106:T108"/>
    <mergeCell ref="U106:W108"/>
    <mergeCell ref="X106:Z108"/>
    <mergeCell ref="J104:L104"/>
    <mergeCell ref="J105:L105"/>
    <mergeCell ref="X103:Z105"/>
    <mergeCell ref="AA103:AC105"/>
    <mergeCell ref="AD103:AE105"/>
    <mergeCell ref="AF103:AH105"/>
    <mergeCell ref="AI103:AJ105"/>
    <mergeCell ref="AK90:AM92"/>
    <mergeCell ref="J91:L91"/>
    <mergeCell ref="J92:L92"/>
    <mergeCell ref="A93:F95"/>
    <mergeCell ref="G93:I95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A90:F92"/>
    <mergeCell ref="G90:I92"/>
    <mergeCell ref="J90:L90"/>
    <mergeCell ref="M90:N92"/>
    <mergeCell ref="O90:Q92"/>
    <mergeCell ref="R90:T92"/>
    <mergeCell ref="J94:L94"/>
    <mergeCell ref="J95:L95"/>
    <mergeCell ref="AD87:AE89"/>
    <mergeCell ref="AF87:AH89"/>
    <mergeCell ref="AI87:AJ89"/>
    <mergeCell ref="AK87:AM89"/>
    <mergeCell ref="J88:L88"/>
    <mergeCell ref="J89:L89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AA87:AC89"/>
    <mergeCell ref="U84:W86"/>
    <mergeCell ref="X84:Z86"/>
    <mergeCell ref="AA84:AC86"/>
    <mergeCell ref="AD84:AE86"/>
    <mergeCell ref="AF84:AH86"/>
    <mergeCell ref="AI84:AJ86"/>
    <mergeCell ref="A84:F86"/>
    <mergeCell ref="G84:I86"/>
    <mergeCell ref="J84:L86"/>
    <mergeCell ref="M84:N86"/>
    <mergeCell ref="O84:Q86"/>
    <mergeCell ref="R84:T86"/>
    <mergeCell ref="M82:AH82"/>
    <mergeCell ref="AI82:AM83"/>
    <mergeCell ref="A83:L83"/>
    <mergeCell ref="M83:AH83"/>
    <mergeCell ref="X65:Z67"/>
    <mergeCell ref="AA65:AC67"/>
    <mergeCell ref="AD65:AE67"/>
    <mergeCell ref="AF65:AH67"/>
    <mergeCell ref="AI65:AJ67"/>
    <mergeCell ref="AK65:AM67"/>
    <mergeCell ref="AK62:AM64"/>
    <mergeCell ref="J63:L63"/>
    <mergeCell ref="J64:L64"/>
    <mergeCell ref="A65:F67"/>
    <mergeCell ref="G65:I67"/>
    <mergeCell ref="J65:L65"/>
    <mergeCell ref="M65:N67"/>
    <mergeCell ref="O65:Q67"/>
    <mergeCell ref="R65:T67"/>
    <mergeCell ref="U65:W67"/>
    <mergeCell ref="U62:W64"/>
    <mergeCell ref="X62:Z64"/>
    <mergeCell ref="AA62:AC64"/>
    <mergeCell ref="AD62:AE64"/>
    <mergeCell ref="AF62:AH64"/>
    <mergeCell ref="AI62:AJ64"/>
    <mergeCell ref="A62:F64"/>
    <mergeCell ref="G62:I64"/>
    <mergeCell ref="A81:AH81"/>
    <mergeCell ref="AA50:AC52"/>
    <mergeCell ref="AD50:AE52"/>
    <mergeCell ref="AF50:AH52"/>
    <mergeCell ref="AI50:AJ52"/>
    <mergeCell ref="AI59:AJ61"/>
    <mergeCell ref="AK59:AM61"/>
    <mergeCell ref="J60:L60"/>
    <mergeCell ref="J61:L61"/>
    <mergeCell ref="AI53:AJ55"/>
    <mergeCell ref="AK53:AM55"/>
    <mergeCell ref="AK50:AM52"/>
    <mergeCell ref="J51:L51"/>
    <mergeCell ref="J52:L52"/>
    <mergeCell ref="J62:L62"/>
    <mergeCell ref="M62:N64"/>
    <mergeCell ref="O62:Q64"/>
    <mergeCell ref="R62:T64"/>
    <mergeCell ref="R59:T61"/>
    <mergeCell ref="J59:L59"/>
    <mergeCell ref="M59:N61"/>
    <mergeCell ref="O59:Q61"/>
    <mergeCell ref="O56:Q58"/>
    <mergeCell ref="R56:T58"/>
    <mergeCell ref="U56:W58"/>
    <mergeCell ref="X56:Z58"/>
    <mergeCell ref="AA56:AC58"/>
    <mergeCell ref="AD56:AE58"/>
    <mergeCell ref="AK56:AM58"/>
    <mergeCell ref="J57:L57"/>
    <mergeCell ref="J58:L58"/>
    <mergeCell ref="AB255:AE255"/>
    <mergeCell ref="AF255:AI255"/>
    <mergeCell ref="AJ255:AM255"/>
    <mergeCell ref="B255:K255"/>
    <mergeCell ref="L255:N255"/>
    <mergeCell ref="O255:Q255"/>
    <mergeCell ref="R255:U255"/>
    <mergeCell ref="V255:W255"/>
    <mergeCell ref="X255:AA255"/>
    <mergeCell ref="AB254:AE254"/>
    <mergeCell ref="AF254:AI254"/>
    <mergeCell ref="AJ254:AM254"/>
    <mergeCell ref="B254:K254"/>
    <mergeCell ref="L254:N254"/>
    <mergeCell ref="O254:Q254"/>
    <mergeCell ref="R254:U254"/>
    <mergeCell ref="V254:W254"/>
    <mergeCell ref="X254:AA254"/>
    <mergeCell ref="AJ253:AM253"/>
    <mergeCell ref="B253:K253"/>
    <mergeCell ref="L253:N253"/>
    <mergeCell ref="O253:Q253"/>
    <mergeCell ref="R253:U253"/>
    <mergeCell ref="A59:F61"/>
    <mergeCell ref="G59:I61"/>
    <mergeCell ref="J66:L66"/>
    <mergeCell ref="J67:L67"/>
    <mergeCell ref="AI81:AM81"/>
    <mergeCell ref="A82:L82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B245:K245"/>
    <mergeCell ref="L245:N245"/>
    <mergeCell ref="O245:Q245"/>
    <mergeCell ref="R245:U245"/>
    <mergeCell ref="V245:W245"/>
    <mergeCell ref="X245:AA245"/>
    <mergeCell ref="AB245:AE245"/>
    <mergeCell ref="AF245:AI245"/>
    <mergeCell ref="AJ245:AM245"/>
    <mergeCell ref="X249:AA249"/>
    <mergeCell ref="AB249:AE249"/>
    <mergeCell ref="AF249:AI249"/>
    <mergeCell ref="AJ249:AM249"/>
    <mergeCell ref="A41:F43"/>
    <mergeCell ref="A44:F46"/>
    <mergeCell ref="A47:F49"/>
    <mergeCell ref="A50:F52"/>
    <mergeCell ref="G50:I52"/>
    <mergeCell ref="J50:L50"/>
    <mergeCell ref="M50:N52"/>
    <mergeCell ref="O50:Q52"/>
    <mergeCell ref="R50:T52"/>
    <mergeCell ref="U59:W61"/>
    <mergeCell ref="X59:Z61"/>
    <mergeCell ref="AA59:AC61"/>
    <mergeCell ref="AD59:AE61"/>
    <mergeCell ref="AF59:AH61"/>
    <mergeCell ref="AF56:AH58"/>
    <mergeCell ref="AI56:AJ58"/>
    <mergeCell ref="A53:F55"/>
    <mergeCell ref="G53:I55"/>
    <mergeCell ref="J53:L53"/>
    <mergeCell ref="M53:N55"/>
    <mergeCell ref="O53:Q55"/>
    <mergeCell ref="R53:T55"/>
    <mergeCell ref="U53:W55"/>
    <mergeCell ref="U50:W52"/>
    <mergeCell ref="J46:L46"/>
    <mergeCell ref="J45:L45"/>
    <mergeCell ref="X44:Z46"/>
    <mergeCell ref="AA44:AC46"/>
    <mergeCell ref="AD44:AE46"/>
    <mergeCell ref="AF44:AH46"/>
    <mergeCell ref="AI44:AJ46"/>
    <mergeCell ref="X50:Z52"/>
    <mergeCell ref="B249:K249"/>
    <mergeCell ref="L249:N249"/>
    <mergeCell ref="O249:Q249"/>
    <mergeCell ref="R249:U249"/>
    <mergeCell ref="V249:W249"/>
    <mergeCell ref="B248:K248"/>
    <mergeCell ref="L248:N248"/>
    <mergeCell ref="O248:Q248"/>
    <mergeCell ref="R248:U248"/>
    <mergeCell ref="V248:W248"/>
    <mergeCell ref="X248:AA248"/>
    <mergeCell ref="AB248:AE248"/>
    <mergeCell ref="AF248:AI248"/>
    <mergeCell ref="AJ248:AM248"/>
    <mergeCell ref="B246:K246"/>
    <mergeCell ref="L246:N246"/>
    <mergeCell ref="O246:Q246"/>
    <mergeCell ref="R246:U246"/>
    <mergeCell ref="V246:W246"/>
    <mergeCell ref="AF247:AI247"/>
    <mergeCell ref="AJ247:AM247"/>
    <mergeCell ref="AJ244:AM244"/>
    <mergeCell ref="B244:K244"/>
    <mergeCell ref="L244:N244"/>
    <mergeCell ref="O244:Q244"/>
    <mergeCell ref="R244:U244"/>
    <mergeCell ref="V244:W244"/>
    <mergeCell ref="X244:AA244"/>
    <mergeCell ref="AB244:AE244"/>
    <mergeCell ref="AF244:AI244"/>
    <mergeCell ref="AJ243:AM243"/>
    <mergeCell ref="B243:K243"/>
    <mergeCell ref="L243:N243"/>
    <mergeCell ref="O243:Q243"/>
    <mergeCell ref="R243:U243"/>
    <mergeCell ref="V243:W243"/>
    <mergeCell ref="X243:AA243"/>
    <mergeCell ref="AB243:AE243"/>
    <mergeCell ref="AF243:AI243"/>
    <mergeCell ref="X242:AA242"/>
    <mergeCell ref="AB242:AE242"/>
    <mergeCell ref="AF242:AI242"/>
    <mergeCell ref="AJ242:AM242"/>
    <mergeCell ref="B242:K242"/>
    <mergeCell ref="L242:N242"/>
    <mergeCell ref="O242:Q242"/>
    <mergeCell ref="R242:U242"/>
    <mergeCell ref="V242:W242"/>
    <mergeCell ref="AJ241:AM241"/>
    <mergeCell ref="B241:K241"/>
    <mergeCell ref="L241:N241"/>
    <mergeCell ref="O241:Q241"/>
    <mergeCell ref="R241:U241"/>
    <mergeCell ref="V241:W241"/>
    <mergeCell ref="X241:AA241"/>
    <mergeCell ref="AB241:AE241"/>
    <mergeCell ref="AF241:AI241"/>
    <mergeCell ref="AJ240:AM240"/>
    <mergeCell ref="B240:K240"/>
    <mergeCell ref="L240:N240"/>
    <mergeCell ref="O240:Q240"/>
    <mergeCell ref="R240:U240"/>
    <mergeCell ref="V240:W240"/>
    <mergeCell ref="X240:AA240"/>
    <mergeCell ref="AB240:AE240"/>
    <mergeCell ref="AF240:AI240"/>
    <mergeCell ref="AJ239:AM239"/>
    <mergeCell ref="B239:K239"/>
    <mergeCell ref="L239:N239"/>
    <mergeCell ref="O239:Q239"/>
    <mergeCell ref="R239:U239"/>
    <mergeCell ref="V239:W239"/>
    <mergeCell ref="X239:AA239"/>
    <mergeCell ref="AB239:AE239"/>
    <mergeCell ref="AF239:AI239"/>
    <mergeCell ref="AB238:AE238"/>
    <mergeCell ref="AF238:AI238"/>
    <mergeCell ref="AJ238:AM238"/>
    <mergeCell ref="B238:K238"/>
    <mergeCell ref="L238:N238"/>
    <mergeCell ref="O238:Q238"/>
    <mergeCell ref="R238:U238"/>
    <mergeCell ref="V238:W238"/>
    <mergeCell ref="X238:AA238"/>
    <mergeCell ref="AB237:AE237"/>
    <mergeCell ref="AF237:AI237"/>
    <mergeCell ref="AJ237:AM237"/>
    <mergeCell ref="B237:K237"/>
    <mergeCell ref="L237:N237"/>
    <mergeCell ref="O237:Q237"/>
    <mergeCell ref="R237:U237"/>
    <mergeCell ref="V237:W237"/>
    <mergeCell ref="X237:AA237"/>
    <mergeCell ref="B236:K236"/>
    <mergeCell ref="L236:N236"/>
    <mergeCell ref="O236:Q236"/>
    <mergeCell ref="R236:U236"/>
    <mergeCell ref="V236:W236"/>
    <mergeCell ref="X236:AA236"/>
    <mergeCell ref="AB236:AE236"/>
    <mergeCell ref="AF236:AI236"/>
    <mergeCell ref="AJ236:AM236"/>
    <mergeCell ref="B235:K235"/>
    <mergeCell ref="R235:U235"/>
    <mergeCell ref="V235:W235"/>
    <mergeCell ref="X235:AA235"/>
    <mergeCell ref="AB235:AE235"/>
    <mergeCell ref="AF235:AI235"/>
    <mergeCell ref="AJ235:AM235"/>
    <mergeCell ref="A233:AM233"/>
    <mergeCell ref="AK124:AM126"/>
    <mergeCell ref="X124:Z126"/>
    <mergeCell ref="AA124:AC126"/>
    <mergeCell ref="AD124:AE126"/>
    <mergeCell ref="AF124:AH126"/>
    <mergeCell ref="J124:L124"/>
    <mergeCell ref="J125:L125"/>
    <mergeCell ref="AI124:AJ126"/>
    <mergeCell ref="A134:L134"/>
    <mergeCell ref="M134:AH134"/>
    <mergeCell ref="AI134:AM135"/>
    <mergeCell ref="A135:L135"/>
    <mergeCell ref="M135:AH135"/>
    <mergeCell ref="A136:F138"/>
    <mergeCell ref="G136:I138"/>
    <mergeCell ref="J136:L138"/>
    <mergeCell ref="M136:N138"/>
    <mergeCell ref="O136:Q138"/>
    <mergeCell ref="A133:L133"/>
    <mergeCell ref="M133:AH133"/>
    <mergeCell ref="AI133:AM133"/>
    <mergeCell ref="X127:Z129"/>
    <mergeCell ref="AA127:AC129"/>
    <mergeCell ref="AD127:AE129"/>
    <mergeCell ref="AF127:AH129"/>
    <mergeCell ref="AI127:AJ129"/>
    <mergeCell ref="AK127:AM129"/>
    <mergeCell ref="A127:F129"/>
    <mergeCell ref="G127:I129"/>
    <mergeCell ref="M127:N129"/>
    <mergeCell ref="O127:Q129"/>
    <mergeCell ref="R127:T129"/>
    <mergeCell ref="AK115:AM117"/>
    <mergeCell ref="AF118:AH120"/>
    <mergeCell ref="AI118:AJ120"/>
    <mergeCell ref="X109:Z111"/>
    <mergeCell ref="AA109:AC111"/>
    <mergeCell ref="AD109:AE111"/>
    <mergeCell ref="AF109:AH111"/>
    <mergeCell ref="AI109:AJ111"/>
    <mergeCell ref="AK109:AM111"/>
    <mergeCell ref="G109:I111"/>
    <mergeCell ref="J109:L109"/>
    <mergeCell ref="M109:N111"/>
    <mergeCell ref="O109:Q111"/>
    <mergeCell ref="R109:T111"/>
    <mergeCell ref="U109:W111"/>
    <mergeCell ref="J110:L110"/>
    <mergeCell ref="J111:L111"/>
    <mergeCell ref="AK112:AM114"/>
    <mergeCell ref="J113:L113"/>
    <mergeCell ref="J114:L114"/>
    <mergeCell ref="M112:N114"/>
    <mergeCell ref="O112:Q114"/>
    <mergeCell ref="R112:T114"/>
    <mergeCell ref="U112:W114"/>
    <mergeCell ref="X112:Z114"/>
    <mergeCell ref="AA112:AC114"/>
    <mergeCell ref="U115:W117"/>
    <mergeCell ref="X115:Z117"/>
    <mergeCell ref="AA115:AC117"/>
    <mergeCell ref="AD115:AE117"/>
    <mergeCell ref="AF115:AH117"/>
    <mergeCell ref="AI115:AJ117"/>
    <mergeCell ref="AK103:AM105"/>
    <mergeCell ref="G103:I105"/>
    <mergeCell ref="J103:L103"/>
    <mergeCell ref="M103:N105"/>
    <mergeCell ref="O103:Q105"/>
    <mergeCell ref="R103:T105"/>
    <mergeCell ref="U103:W105"/>
    <mergeCell ref="AA100:AC102"/>
    <mergeCell ref="AD100:AE102"/>
    <mergeCell ref="AF100:AH102"/>
    <mergeCell ref="AI100:AJ102"/>
    <mergeCell ref="AK100:AM102"/>
    <mergeCell ref="A100:F102"/>
    <mergeCell ref="G100:I102"/>
    <mergeCell ref="J100:L102"/>
    <mergeCell ref="M100:N102"/>
    <mergeCell ref="O100:Q102"/>
    <mergeCell ref="R100:T102"/>
    <mergeCell ref="U100:W102"/>
    <mergeCell ref="X100:Z102"/>
    <mergeCell ref="A103:F105"/>
    <mergeCell ref="A99:L99"/>
    <mergeCell ref="M99:AH99"/>
    <mergeCell ref="A98:L98"/>
    <mergeCell ref="M98:AH98"/>
    <mergeCell ref="AI98:AM99"/>
    <mergeCell ref="A97:L97"/>
    <mergeCell ref="M97:AH97"/>
    <mergeCell ref="AI97:AM97"/>
    <mergeCell ref="J49:L49"/>
    <mergeCell ref="J48:L48"/>
    <mergeCell ref="X47:Z49"/>
    <mergeCell ref="AA47:AC49"/>
    <mergeCell ref="AD47:AE49"/>
    <mergeCell ref="AF47:AH49"/>
    <mergeCell ref="AI47:AJ49"/>
    <mergeCell ref="AK47:AM49"/>
    <mergeCell ref="G47:I49"/>
    <mergeCell ref="J47:L47"/>
    <mergeCell ref="M47:N49"/>
    <mergeCell ref="O47:Q49"/>
    <mergeCell ref="R47:T49"/>
    <mergeCell ref="U47:W49"/>
    <mergeCell ref="J54:L54"/>
    <mergeCell ref="J55:L55"/>
    <mergeCell ref="A56:F58"/>
    <mergeCell ref="G56:I58"/>
    <mergeCell ref="J56:L56"/>
    <mergeCell ref="M56:N58"/>
    <mergeCell ref="X53:Z55"/>
    <mergeCell ref="AA53:AC55"/>
    <mergeCell ref="AD53:AE55"/>
    <mergeCell ref="AF53:AH55"/>
    <mergeCell ref="AK44:AM46"/>
    <mergeCell ref="G44:I46"/>
    <mergeCell ref="J44:L44"/>
    <mergeCell ref="M44:N46"/>
    <mergeCell ref="O44:Q46"/>
    <mergeCell ref="R44:T46"/>
    <mergeCell ref="U44:W46"/>
    <mergeCell ref="J43:L43"/>
    <mergeCell ref="J42:L42"/>
    <mergeCell ref="X41:Z43"/>
    <mergeCell ref="AA41:AC43"/>
    <mergeCell ref="AD41:AE43"/>
    <mergeCell ref="AF41:AH43"/>
    <mergeCell ref="AI41:AJ43"/>
    <mergeCell ref="AK41:AM43"/>
    <mergeCell ref="G41:I43"/>
    <mergeCell ref="J41:L41"/>
    <mergeCell ref="M41:N43"/>
    <mergeCell ref="O41:Q43"/>
    <mergeCell ref="R41:T43"/>
    <mergeCell ref="U41:W43"/>
    <mergeCell ref="AA38:AC40"/>
    <mergeCell ref="AD38:AE40"/>
    <mergeCell ref="AF38:AH40"/>
    <mergeCell ref="AI38:AJ40"/>
    <mergeCell ref="AK38:AM40"/>
    <mergeCell ref="A38:F40"/>
    <mergeCell ref="G38:I40"/>
    <mergeCell ref="J38:L40"/>
    <mergeCell ref="M38:N40"/>
    <mergeCell ref="O38:Q40"/>
    <mergeCell ref="R38:T40"/>
    <mergeCell ref="U38:W40"/>
    <mergeCell ref="X38:Z40"/>
    <mergeCell ref="A37:L37"/>
    <mergeCell ref="M37:AH37"/>
    <mergeCell ref="A36:L36"/>
    <mergeCell ref="M36:AH36"/>
    <mergeCell ref="AI36:AM37"/>
    <mergeCell ref="A35:L35"/>
    <mergeCell ref="M35:AH35"/>
    <mergeCell ref="AI35:AM35"/>
    <mergeCell ref="A32:G33"/>
    <mergeCell ref="H32:V33"/>
    <mergeCell ref="W32:Z33"/>
    <mergeCell ref="AA32:AM33"/>
    <mergeCell ref="A30:G31"/>
    <mergeCell ref="H30:AM31"/>
    <mergeCell ref="A28:AM28"/>
    <mergeCell ref="A25:B25"/>
    <mergeCell ref="C25:AB25"/>
    <mergeCell ref="AC25:AJ25"/>
    <mergeCell ref="AK25:AM25"/>
    <mergeCell ref="A24:B24"/>
    <mergeCell ref="C24:AB24"/>
    <mergeCell ref="AC24:AJ24"/>
    <mergeCell ref="AK24:AM24"/>
    <mergeCell ref="U12:Z12"/>
    <mergeCell ref="AA12:AM12"/>
    <mergeCell ref="A11:F11"/>
    <mergeCell ref="G11:S11"/>
    <mergeCell ref="U11:Z11"/>
    <mergeCell ref="AA11:AM11"/>
    <mergeCell ref="A10:F10"/>
    <mergeCell ref="G10:S10"/>
    <mergeCell ref="U10:Z10"/>
    <mergeCell ref="AA10:AM10"/>
    <mergeCell ref="A23:B23"/>
    <mergeCell ref="C23:AB23"/>
    <mergeCell ref="AC23:AJ23"/>
    <mergeCell ref="AK23:AM23"/>
    <mergeCell ref="A22:B22"/>
    <mergeCell ref="C22:AB22"/>
    <mergeCell ref="AC22:AJ22"/>
    <mergeCell ref="AK22:AM22"/>
    <mergeCell ref="A21:B21"/>
    <mergeCell ref="C21:AB21"/>
    <mergeCell ref="AC21:AJ21"/>
    <mergeCell ref="AK21:AM21"/>
    <mergeCell ref="A20:B20"/>
    <mergeCell ref="C20:AB20"/>
    <mergeCell ref="AC20:AJ20"/>
    <mergeCell ref="AK20:AM20"/>
    <mergeCell ref="A19:B19"/>
    <mergeCell ref="C19:AB19"/>
    <mergeCell ref="AC19:AJ19"/>
    <mergeCell ref="AK19:AM19"/>
    <mergeCell ref="AJ251:AM251"/>
    <mergeCell ref="B251:K251"/>
    <mergeCell ref="A4:F4"/>
    <mergeCell ref="G4:S4"/>
    <mergeCell ref="U4:Z4"/>
    <mergeCell ref="AA4:AM4"/>
    <mergeCell ref="A1:AM1"/>
    <mergeCell ref="A9:S9"/>
    <mergeCell ref="U9:Z9"/>
    <mergeCell ref="AA9:AM9"/>
    <mergeCell ref="A8:F8"/>
    <mergeCell ref="G8:S8"/>
    <mergeCell ref="U8:Z8"/>
    <mergeCell ref="AA8:AM8"/>
    <mergeCell ref="A7:F7"/>
    <mergeCell ref="G7:S7"/>
    <mergeCell ref="U7:Z7"/>
    <mergeCell ref="AA7:AM7"/>
    <mergeCell ref="A6:F6"/>
    <mergeCell ref="G6:S6"/>
    <mergeCell ref="U6:Z6"/>
    <mergeCell ref="AA6:AM6"/>
    <mergeCell ref="A5:F5"/>
    <mergeCell ref="G5:S5"/>
    <mergeCell ref="U5:Z5"/>
    <mergeCell ref="AA5:AM5"/>
    <mergeCell ref="G15:L15"/>
    <mergeCell ref="N15:S15"/>
    <mergeCell ref="L251:N251"/>
    <mergeCell ref="O251:Q251"/>
    <mergeCell ref="U15:Z15"/>
    <mergeCell ref="AA15:AM15"/>
    <mergeCell ref="R251:U251"/>
    <mergeCell ref="V251:W251"/>
    <mergeCell ref="X251:AA251"/>
    <mergeCell ref="AJ250:AM250"/>
    <mergeCell ref="C18:AB18"/>
    <mergeCell ref="A16:F16"/>
    <mergeCell ref="G16:S16"/>
    <mergeCell ref="U16:Z16"/>
    <mergeCell ref="AA16:AM16"/>
    <mergeCell ref="A15:F15"/>
    <mergeCell ref="X246:AA246"/>
    <mergeCell ref="AB246:AE246"/>
    <mergeCell ref="AF246:AI246"/>
    <mergeCell ref="AJ246:AM246"/>
    <mergeCell ref="B264:K264"/>
    <mergeCell ref="L264:N264"/>
    <mergeCell ref="O264:Q264"/>
    <mergeCell ref="R264:U264"/>
    <mergeCell ref="V264:W264"/>
    <mergeCell ref="X264:AA264"/>
    <mergeCell ref="AB264:AE264"/>
    <mergeCell ref="AF264:AI264"/>
    <mergeCell ref="AJ264:AM264"/>
    <mergeCell ref="B247:K247"/>
    <mergeCell ref="L247:N247"/>
    <mergeCell ref="O247:Q247"/>
    <mergeCell ref="R247:U247"/>
    <mergeCell ref="V247:W247"/>
    <mergeCell ref="X247:AA247"/>
    <mergeCell ref="AB247:AE247"/>
    <mergeCell ref="AB251:AE251"/>
    <mergeCell ref="AF251:AI251"/>
  </mergeCells>
  <hyperlinks>
    <hyperlink ref="G11" r:id="rId1" xr:uid="{A7003D4A-3CE7-7E4C-8D89-503F9D3FAABB}"/>
  </hyperlinks>
  <pageMargins left="0.25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42BF0-8536-274B-B0EE-B255D24EE798}">
  <dimension ref="A1:AM330"/>
  <sheetViews>
    <sheetView view="pageLayout" zoomScale="115" zoomScaleNormal="100" zoomScalePageLayoutView="115" workbookViewId="0">
      <selection activeCell="AC28" sqref="AC28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Braila Promenada Mall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Floreasca, nr.169A, Cladirea A, Etaj 5, Sectiunea A5.1, Biroul Nr. 43,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RO18762336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J40/9154/2008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RO35 RZBR 0000 0600 1717 1964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2/22.12.2023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23/28.02.2024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2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33">
        <f>AB330</f>
        <v>510136.44000000006</v>
      </c>
      <c r="AD19" s="734"/>
      <c r="AE19" s="734"/>
      <c r="AF19" s="734"/>
      <c r="AG19" s="734"/>
      <c r="AH19" s="734"/>
      <c r="AI19" s="734"/>
      <c r="AJ19" s="735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33">
        <f>AF330</f>
        <v>96925.91</v>
      </c>
      <c r="AD20" s="734"/>
      <c r="AE20" s="734"/>
      <c r="AF20" s="734"/>
      <c r="AG20" s="734"/>
      <c r="AH20" s="734"/>
      <c r="AI20" s="734"/>
      <c r="AJ20" s="735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33">
        <f>AJ330</f>
        <v>607062.35000000009</v>
      </c>
      <c r="AD21" s="734"/>
      <c r="AE21" s="734"/>
      <c r="AF21" s="734"/>
      <c r="AG21" s="734"/>
      <c r="AH21" s="734"/>
      <c r="AI21" s="734"/>
      <c r="AJ21" s="735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33">
        <v>0</v>
      </c>
      <c r="AD22" s="734"/>
      <c r="AE22" s="734"/>
      <c r="AF22" s="734"/>
      <c r="AG22" s="734"/>
      <c r="AH22" s="734"/>
      <c r="AI22" s="734"/>
      <c r="AJ22" s="735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33">
        <f>AC21</f>
        <v>607062.35000000009</v>
      </c>
      <c r="AD23" s="734"/>
      <c r="AE23" s="734"/>
      <c r="AF23" s="734"/>
      <c r="AG23" s="734"/>
      <c r="AH23" s="734"/>
      <c r="AI23" s="734"/>
      <c r="AJ23" s="735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33">
        <f>R293+R307+R308+R311</f>
        <v>498723</v>
      </c>
      <c r="AD24" s="734"/>
      <c r="AE24" s="734"/>
      <c r="AF24" s="734"/>
      <c r="AG24" s="734"/>
      <c r="AH24" s="734"/>
      <c r="AI24" s="734"/>
      <c r="AJ24" s="735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33">
        <f>AC23/AC24</f>
        <v>1.2172335143957669</v>
      </c>
      <c r="AD25" s="734"/>
      <c r="AE25" s="734"/>
      <c r="AF25" s="734"/>
      <c r="AG25" s="734"/>
      <c r="AH25" s="734"/>
      <c r="AI25" s="734"/>
      <c r="AJ25" s="735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Strada Principala, nr. 4, loc. Varsatura, jud. Braila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5000579505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RBPM_1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730" t="s">
        <v>748</v>
      </c>
      <c r="B34" s="731"/>
      <c r="C34" s="731"/>
      <c r="D34" s="731"/>
      <c r="E34" s="731"/>
      <c r="F34" s="731"/>
      <c r="G34" s="731"/>
      <c r="H34" s="731"/>
      <c r="I34" s="731"/>
      <c r="J34" s="731"/>
      <c r="K34" s="731"/>
      <c r="L34" s="732"/>
      <c r="M34" s="721" t="str">
        <f>VLOOKUP(AI35,'Contorizare in SDI'!$E:$I,4,FALSE)</f>
        <v>594030200001495040/1</v>
      </c>
      <c r="N34" s="722"/>
      <c r="O34" s="722"/>
      <c r="P34" s="722"/>
      <c r="Q34" s="722"/>
      <c r="R34" s="722"/>
      <c r="S34" s="722"/>
      <c r="T34" s="722"/>
      <c r="U34" s="722"/>
      <c r="V34" s="722"/>
      <c r="W34" s="722"/>
      <c r="X34" s="722"/>
      <c r="Y34" s="722"/>
      <c r="Z34" s="722"/>
      <c r="AA34" s="722"/>
      <c r="AB34" s="722"/>
      <c r="AC34" s="722"/>
      <c r="AD34" s="722"/>
      <c r="AE34" s="722"/>
      <c r="AF34" s="722"/>
      <c r="AG34" s="722"/>
      <c r="AH34" s="723"/>
      <c r="AI34" s="721" t="s">
        <v>695</v>
      </c>
      <c r="AJ34" s="722"/>
      <c r="AK34" s="722"/>
      <c r="AL34" s="722"/>
      <c r="AM34" s="723"/>
    </row>
    <row r="35" spans="1:39">
      <c r="A35" s="730" t="s">
        <v>746</v>
      </c>
      <c r="B35" s="731"/>
      <c r="C35" s="731"/>
      <c r="D35" s="731"/>
      <c r="E35" s="731"/>
      <c r="F35" s="731"/>
      <c r="G35" s="731"/>
      <c r="H35" s="731"/>
      <c r="I35" s="731"/>
      <c r="J35" s="731"/>
      <c r="K35" s="731"/>
      <c r="L35" s="732"/>
      <c r="M35" s="721" t="str">
        <f>VLOOKUP(AI35,'Inchidere contur'!$G:$U,15,FALSE)</f>
        <v>JT_SDI</v>
      </c>
      <c r="N35" s="722"/>
      <c r="O35" s="722"/>
      <c r="P35" s="722"/>
      <c r="Q35" s="722"/>
      <c r="R35" s="722"/>
      <c r="S35" s="722"/>
      <c r="T35" s="722"/>
      <c r="U35" s="722"/>
      <c r="V35" s="722"/>
      <c r="W35" s="722"/>
      <c r="X35" s="722"/>
      <c r="Y35" s="722"/>
      <c r="Z35" s="722"/>
      <c r="AA35" s="722"/>
      <c r="AB35" s="722"/>
      <c r="AC35" s="722"/>
      <c r="AD35" s="722"/>
      <c r="AE35" s="722"/>
      <c r="AF35" s="722"/>
      <c r="AG35" s="722"/>
      <c r="AH35" s="723"/>
      <c r="AI35" s="641" t="str">
        <f>_xlfn.CONCAT(AA31,".",1)</f>
        <v>RBPM_1.1</v>
      </c>
      <c r="AJ35" s="642"/>
      <c r="AK35" s="642"/>
      <c r="AL35" s="642"/>
      <c r="AM35" s="643"/>
    </row>
    <row r="36" spans="1:39">
      <c r="A36" s="730" t="s">
        <v>747</v>
      </c>
      <c r="B36" s="731"/>
      <c r="C36" s="731"/>
      <c r="D36" s="731"/>
      <c r="E36" s="731"/>
      <c r="F36" s="731"/>
      <c r="G36" s="731"/>
      <c r="H36" s="731"/>
      <c r="I36" s="731"/>
      <c r="J36" s="731"/>
      <c r="K36" s="731"/>
      <c r="L36" s="732"/>
      <c r="M36" s="721" t="str">
        <f>IF(LEFT(M35,2)="JT","0.4kV",IF(LEFT(M35,2)="MT","20kV","-"))</f>
        <v>0.4kV</v>
      </c>
      <c r="N36" s="722"/>
      <c r="O36" s="722"/>
      <c r="P36" s="722"/>
      <c r="Q36" s="722"/>
      <c r="R36" s="722"/>
      <c r="S36" s="722"/>
      <c r="T36" s="722"/>
      <c r="U36" s="722"/>
      <c r="V36" s="722"/>
      <c r="W36" s="722"/>
      <c r="X36" s="722"/>
      <c r="Y36" s="722"/>
      <c r="Z36" s="722"/>
      <c r="AA36" s="722"/>
      <c r="AB36" s="722"/>
      <c r="AC36" s="722"/>
      <c r="AD36" s="722"/>
      <c r="AE36" s="722"/>
      <c r="AF36" s="722"/>
      <c r="AG36" s="722"/>
      <c r="AH36" s="723"/>
      <c r="AI36" s="644"/>
      <c r="AJ36" s="645"/>
      <c r="AK36" s="645"/>
      <c r="AL36" s="645"/>
      <c r="AM36" s="646"/>
    </row>
    <row r="37" spans="1:39" ht="15.95" customHeight="1">
      <c r="A37" s="678" t="s">
        <v>697</v>
      </c>
      <c r="B37" s="679"/>
      <c r="C37" s="679"/>
      <c r="D37" s="679"/>
      <c r="E37" s="679"/>
      <c r="F37" s="680"/>
      <c r="G37" s="684" t="s">
        <v>713</v>
      </c>
      <c r="H37" s="685"/>
      <c r="I37" s="686"/>
      <c r="J37" s="684" t="s">
        <v>714</v>
      </c>
      <c r="K37" s="685"/>
      <c r="L37" s="686"/>
      <c r="M37" s="678" t="s">
        <v>519</v>
      </c>
      <c r="N37" s="680"/>
      <c r="O37" s="678" t="s">
        <v>715</v>
      </c>
      <c r="P37" s="679"/>
      <c r="Q37" s="680"/>
      <c r="R37" s="684" t="s">
        <v>732</v>
      </c>
      <c r="S37" s="685"/>
      <c r="T37" s="686"/>
      <c r="U37" s="684" t="s">
        <v>734</v>
      </c>
      <c r="V37" s="685"/>
      <c r="W37" s="686"/>
      <c r="X37" s="684" t="s">
        <v>1085</v>
      </c>
      <c r="Y37" s="685"/>
      <c r="Z37" s="686"/>
      <c r="AA37" s="684" t="s">
        <v>1086</v>
      </c>
      <c r="AB37" s="685"/>
      <c r="AC37" s="686"/>
      <c r="AD37" s="684" t="s">
        <v>717</v>
      </c>
      <c r="AE37" s="686"/>
      <c r="AF37" s="684" t="s">
        <v>718</v>
      </c>
      <c r="AG37" s="685"/>
      <c r="AH37" s="686"/>
      <c r="AI37" s="684" t="s">
        <v>719</v>
      </c>
      <c r="AJ37" s="686"/>
      <c r="AK37" s="684" t="s">
        <v>733</v>
      </c>
      <c r="AL37" s="685"/>
      <c r="AM37" s="686"/>
    </row>
    <row r="38" spans="1:39">
      <c r="A38" s="717"/>
      <c r="B38" s="718"/>
      <c r="C38" s="718"/>
      <c r="D38" s="718"/>
      <c r="E38" s="718"/>
      <c r="F38" s="719"/>
      <c r="G38" s="727"/>
      <c r="H38" s="729"/>
      <c r="I38" s="728"/>
      <c r="J38" s="727"/>
      <c r="K38" s="729"/>
      <c r="L38" s="728"/>
      <c r="M38" s="717"/>
      <c r="N38" s="719"/>
      <c r="O38" s="717"/>
      <c r="P38" s="718"/>
      <c r="Q38" s="719"/>
      <c r="R38" s="727"/>
      <c r="S38" s="729"/>
      <c r="T38" s="728"/>
      <c r="U38" s="727"/>
      <c r="V38" s="729"/>
      <c r="W38" s="728"/>
      <c r="X38" s="727"/>
      <c r="Y38" s="729"/>
      <c r="Z38" s="728"/>
      <c r="AA38" s="727"/>
      <c r="AB38" s="729"/>
      <c r="AC38" s="728"/>
      <c r="AD38" s="727"/>
      <c r="AE38" s="728"/>
      <c r="AF38" s="727"/>
      <c r="AG38" s="729"/>
      <c r="AH38" s="728"/>
      <c r="AI38" s="727"/>
      <c r="AJ38" s="728"/>
      <c r="AK38" s="727"/>
      <c r="AL38" s="729"/>
      <c r="AM38" s="728"/>
    </row>
    <row r="39" spans="1:39">
      <c r="A39" s="681"/>
      <c r="B39" s="682"/>
      <c r="C39" s="682"/>
      <c r="D39" s="682"/>
      <c r="E39" s="682"/>
      <c r="F39" s="683"/>
      <c r="G39" s="687"/>
      <c r="H39" s="688"/>
      <c r="I39" s="689"/>
      <c r="J39" s="687"/>
      <c r="K39" s="688"/>
      <c r="L39" s="689"/>
      <c r="M39" s="681"/>
      <c r="N39" s="683"/>
      <c r="O39" s="681"/>
      <c r="P39" s="682"/>
      <c r="Q39" s="683"/>
      <c r="R39" s="687"/>
      <c r="S39" s="688"/>
      <c r="T39" s="689"/>
      <c r="U39" s="687"/>
      <c r="V39" s="688"/>
      <c r="W39" s="689"/>
      <c r="X39" s="687"/>
      <c r="Y39" s="688"/>
      <c r="Z39" s="689"/>
      <c r="AA39" s="687"/>
      <c r="AB39" s="688"/>
      <c r="AC39" s="689"/>
      <c r="AD39" s="687"/>
      <c r="AE39" s="689"/>
      <c r="AF39" s="687"/>
      <c r="AG39" s="688"/>
      <c r="AH39" s="689"/>
      <c r="AI39" s="687"/>
      <c r="AJ39" s="689"/>
      <c r="AK39" s="687"/>
      <c r="AL39" s="688"/>
      <c r="AM39" s="689"/>
    </row>
    <row r="40" spans="1:39" ht="14.1" customHeight="1">
      <c r="A40" s="678" t="str">
        <f>VLOOKUP(AI35,'Contorizare in SDI'!$E:$I,5,FALSE)</f>
        <v>V.18101774357/1</v>
      </c>
      <c r="B40" s="679"/>
      <c r="C40" s="679"/>
      <c r="D40" s="679"/>
      <c r="E40" s="679"/>
      <c r="F40" s="680"/>
      <c r="G40" s="678" t="s">
        <v>730</v>
      </c>
      <c r="H40" s="679"/>
      <c r="I40" s="680"/>
      <c r="J40" s="655">
        <f>'Date masura OD'!$AK$5</f>
        <v>45748</v>
      </c>
      <c r="K40" s="656"/>
      <c r="L40" s="657"/>
      <c r="M40" s="678" t="s">
        <v>446</v>
      </c>
      <c r="N40" s="680"/>
      <c r="O40" s="678">
        <f>VLOOKUP(AI35,'Incrementare indexe'!$B:$T,4,FALSE)</f>
        <v>1</v>
      </c>
      <c r="P40" s="679"/>
      <c r="Q40" s="680"/>
      <c r="R40" s="647" t="str">
        <f>VLOOKUP(A40,Regularizare!$D:$YN,3,FALSE)&amp;" ("&amp;VLOOKUP(A40,Regularizare!$D:$Y,11,FALSE)&amp;")"</f>
        <v>182789 (citit)</v>
      </c>
      <c r="S40" s="647"/>
      <c r="T40" s="647"/>
      <c r="U40" s="647" t="str">
        <f>VLOOKUP(A40,Regularizare!$D:$U,4,FALSE)&amp;" ("&amp;VLOOKUP(A40,Regularizare!$D:$U,12,FALSE)&amp;")"</f>
        <v>186701 (estimat)</v>
      </c>
      <c r="V40" s="647"/>
      <c r="W40" s="647"/>
      <c r="X40" s="647" t="str">
        <f>VLOOKUP(A40,Regularizare!$D:$Y,19,FALSE)&amp;" ("&amp;VLOOKUP(A40,Regularizare!$D:$U,12,FALSE)&amp;")"</f>
        <v>3912 (estimat)</v>
      </c>
      <c r="Y40" s="647"/>
      <c r="Z40" s="647"/>
      <c r="AA40" s="647">
        <f>(-1)*VLOOKUP(A40,Regularizare!$D:$Y,19,FALSE)</f>
        <v>-3912</v>
      </c>
      <c r="AB40" s="647"/>
      <c r="AC40" s="647"/>
      <c r="AD40" s="647" t="s">
        <v>69</v>
      </c>
      <c r="AE40" s="647"/>
      <c r="AF40" s="647">
        <f>AA40</f>
        <v>-3912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717"/>
      <c r="H41" s="718"/>
      <c r="I41" s="719"/>
      <c r="J41" s="717" t="s">
        <v>69</v>
      </c>
      <c r="K41" s="718"/>
      <c r="L41" s="719"/>
      <c r="M41" s="717"/>
      <c r="N41" s="719"/>
      <c r="O41" s="717"/>
      <c r="P41" s="718"/>
      <c r="Q41" s="719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81"/>
      <c r="H42" s="682"/>
      <c r="I42" s="683"/>
      <c r="J42" s="714">
        <f>'Date masura OD'!$AL$5</f>
        <v>45777</v>
      </c>
      <c r="K42" s="715"/>
      <c r="L42" s="716"/>
      <c r="M42" s="681"/>
      <c r="N42" s="683"/>
      <c r="O42" s="681"/>
      <c r="P42" s="682"/>
      <c r="Q42" s="683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 t="str">
        <f>A40</f>
        <v>V.18101774357/1</v>
      </c>
      <c r="B43" s="679"/>
      <c r="C43" s="679"/>
      <c r="D43" s="679"/>
      <c r="E43" s="679"/>
      <c r="F43" s="680"/>
      <c r="G43" s="678" t="s">
        <v>696</v>
      </c>
      <c r="H43" s="679"/>
      <c r="I43" s="680"/>
      <c r="J43" s="655">
        <f t="shared" ref="J43:J48" si="0">J40</f>
        <v>45748</v>
      </c>
      <c r="K43" s="656"/>
      <c r="L43" s="657"/>
      <c r="M43" s="678" t="s">
        <v>720</v>
      </c>
      <c r="N43" s="680"/>
      <c r="O43" s="678">
        <f>O40</f>
        <v>1</v>
      </c>
      <c r="P43" s="679"/>
      <c r="Q43" s="680"/>
      <c r="R43" s="647" t="str">
        <f>VLOOKUP(A43,Regularizare!$D:$U,7,FALSE)&amp;" ("&amp;VLOOKUP(A43,Regularizare!$D:$U,15,FALSE)&amp;")"</f>
        <v>23915 (citit)</v>
      </c>
      <c r="S43" s="647"/>
      <c r="T43" s="647"/>
      <c r="U43" s="647" t="str">
        <f>VLOOKUP(A43,Regularizare!$D:$U,8,FALSE)&amp;" ("&amp;VLOOKUP(A43,Regularizare!$D:$U,16,FALSE)&amp;")"</f>
        <v>23915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717"/>
      <c r="H44" s="718"/>
      <c r="I44" s="719"/>
      <c r="J44" s="717" t="str">
        <f t="shared" si="0"/>
        <v>-</v>
      </c>
      <c r="K44" s="718"/>
      <c r="L44" s="719"/>
      <c r="M44" s="717"/>
      <c r="N44" s="719"/>
      <c r="O44" s="717"/>
      <c r="P44" s="718"/>
      <c r="Q44" s="719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81"/>
      <c r="H45" s="682"/>
      <c r="I45" s="683"/>
      <c r="J45" s="714">
        <f t="shared" si="0"/>
        <v>45777</v>
      </c>
      <c r="K45" s="715"/>
      <c r="L45" s="716"/>
      <c r="M45" s="681"/>
      <c r="N45" s="683"/>
      <c r="O45" s="681"/>
      <c r="P45" s="682"/>
      <c r="Q45" s="683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 t="str">
        <f>A43</f>
        <v>V.18101774357/1</v>
      </c>
      <c r="B46" s="679"/>
      <c r="C46" s="679"/>
      <c r="D46" s="679"/>
      <c r="E46" s="679"/>
      <c r="F46" s="680"/>
      <c r="G46" s="678" t="s">
        <v>731</v>
      </c>
      <c r="H46" s="679"/>
      <c r="I46" s="680"/>
      <c r="J46" s="655">
        <f t="shared" si="0"/>
        <v>45748</v>
      </c>
      <c r="K46" s="656"/>
      <c r="L46" s="657"/>
      <c r="M46" s="678" t="s">
        <v>720</v>
      </c>
      <c r="N46" s="680"/>
      <c r="O46" s="678">
        <f>O43</f>
        <v>1</v>
      </c>
      <c r="P46" s="679"/>
      <c r="Q46" s="680"/>
      <c r="R46" s="647" t="str">
        <f>VLOOKUP(A46,Regularizare!$D:$U,9,FALSE)&amp;" ("&amp;VLOOKUP(A46,Regularizare!$D:$U,17,FALSE)&amp;")"</f>
        <v>2703 (citit)</v>
      </c>
      <c r="S46" s="647"/>
      <c r="T46" s="647"/>
      <c r="U46" s="647" t="str">
        <f>VLOOKUP(A46,Regularizare!$D:$U,10,FALSE)&amp;" ("&amp;VLOOKUP(A46,Regularizare!$D:$U,18,FALSE)&amp;")"</f>
        <v>2703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717"/>
      <c r="H47" s="718"/>
      <c r="I47" s="719"/>
      <c r="J47" s="717" t="str">
        <f t="shared" si="0"/>
        <v>-</v>
      </c>
      <c r="K47" s="718"/>
      <c r="L47" s="719"/>
      <c r="M47" s="717"/>
      <c r="N47" s="719"/>
      <c r="O47" s="717"/>
      <c r="P47" s="718"/>
      <c r="Q47" s="719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81"/>
      <c r="H48" s="682"/>
      <c r="I48" s="683"/>
      <c r="J48" s="714">
        <f t="shared" si="0"/>
        <v>45777</v>
      </c>
      <c r="K48" s="715"/>
      <c r="L48" s="716"/>
      <c r="M48" s="681"/>
      <c r="N48" s="683"/>
      <c r="O48" s="681"/>
      <c r="P48" s="682"/>
      <c r="Q48" s="683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 t="str">
        <f>A46</f>
        <v>V.18101774357/1</v>
      </c>
      <c r="B49" s="679"/>
      <c r="C49" s="679"/>
      <c r="D49" s="679"/>
      <c r="E49" s="679"/>
      <c r="F49" s="680"/>
      <c r="G49" s="678" t="s">
        <v>730</v>
      </c>
      <c r="H49" s="679"/>
      <c r="I49" s="680"/>
      <c r="J49" s="655">
        <f>'Date masura OD'!$AK$5</f>
        <v>45748</v>
      </c>
      <c r="K49" s="656"/>
      <c r="L49" s="657"/>
      <c r="M49" s="678" t="s">
        <v>446</v>
      </c>
      <c r="N49" s="680"/>
      <c r="O49" s="678">
        <f>O46</f>
        <v>1</v>
      </c>
      <c r="P49" s="679"/>
      <c r="Q49" s="680"/>
      <c r="R49" s="684" t="str">
        <f>VLOOKUP(A49,Regularizare!$D:$AX,23,FALSE)&amp;" ("&amp;VLOOKUP(A49,Regularizare!$D:$AX,24,FALSE)&amp;")"</f>
        <v>182789 (citit)</v>
      </c>
      <c r="S49" s="685"/>
      <c r="T49" s="686"/>
      <c r="U49" s="684" t="str">
        <f>VLOOKUP(A49,Regularizare!$D:$AX,25,FALSE)&amp;" ("&amp;VLOOKUP(A49,Regularizare!$D:$AX,26,FALSE)&amp;")"</f>
        <v>186701 (citit)</v>
      </c>
      <c r="V49" s="685"/>
      <c r="W49" s="686"/>
      <c r="X49" s="684" t="str">
        <f>VLOOKUP(A49,Regularizare!$D:$AX,37,FALSE)&amp;" ("&amp;VLOOKUP(A49,Regularizare!$D:$AX,26,FALSE)&amp;")"</f>
        <v>3912 (citit)</v>
      </c>
      <c r="Y49" s="685"/>
      <c r="Z49" s="686"/>
      <c r="AA49" s="684">
        <f>VLOOKUP(A49,Regularizare!$D:$AX,37,FALSE)</f>
        <v>3912</v>
      </c>
      <c r="AB49" s="685"/>
      <c r="AC49" s="686"/>
      <c r="AD49" s="684" t="s">
        <v>69</v>
      </c>
      <c r="AE49" s="686"/>
      <c r="AF49" s="684">
        <f>AA49</f>
        <v>3912</v>
      </c>
      <c r="AG49" s="685"/>
      <c r="AH49" s="686"/>
      <c r="AI49" s="684" t="str">
        <f>AI46</f>
        <v>-</v>
      </c>
      <c r="AJ49" s="686"/>
      <c r="AK49" s="684" t="str">
        <f>AK46</f>
        <v>-</v>
      </c>
      <c r="AL49" s="685"/>
      <c r="AM49" s="686"/>
    </row>
    <row r="50" spans="1:39" ht="8.4499999999999993" customHeight="1">
      <c r="A50" s="717"/>
      <c r="B50" s="718"/>
      <c r="C50" s="718"/>
      <c r="D50" s="718"/>
      <c r="E50" s="718"/>
      <c r="F50" s="719"/>
      <c r="G50" s="717"/>
      <c r="H50" s="718"/>
      <c r="I50" s="719"/>
      <c r="J50" s="717" t="s">
        <v>69</v>
      </c>
      <c r="K50" s="718"/>
      <c r="L50" s="719"/>
      <c r="M50" s="717"/>
      <c r="N50" s="719"/>
      <c r="O50" s="717"/>
      <c r="P50" s="718"/>
      <c r="Q50" s="719"/>
      <c r="R50" s="727"/>
      <c r="S50" s="729"/>
      <c r="T50" s="728"/>
      <c r="U50" s="727"/>
      <c r="V50" s="729"/>
      <c r="W50" s="728"/>
      <c r="X50" s="727"/>
      <c r="Y50" s="729"/>
      <c r="Z50" s="728"/>
      <c r="AA50" s="727"/>
      <c r="AB50" s="729"/>
      <c r="AC50" s="728"/>
      <c r="AD50" s="727"/>
      <c r="AE50" s="728"/>
      <c r="AF50" s="727"/>
      <c r="AG50" s="729"/>
      <c r="AH50" s="728"/>
      <c r="AI50" s="727"/>
      <c r="AJ50" s="728"/>
      <c r="AK50" s="727"/>
      <c r="AL50" s="729"/>
      <c r="AM50" s="728"/>
    </row>
    <row r="51" spans="1:39" ht="14.1" customHeight="1">
      <c r="A51" s="681"/>
      <c r="B51" s="682"/>
      <c r="C51" s="682"/>
      <c r="D51" s="682"/>
      <c r="E51" s="682"/>
      <c r="F51" s="683"/>
      <c r="G51" s="681"/>
      <c r="H51" s="682"/>
      <c r="I51" s="683"/>
      <c r="J51" s="714">
        <f>'Date masura OD'!$AL$5</f>
        <v>45777</v>
      </c>
      <c r="K51" s="715"/>
      <c r="L51" s="716"/>
      <c r="M51" s="681"/>
      <c r="N51" s="683"/>
      <c r="O51" s="681"/>
      <c r="P51" s="682"/>
      <c r="Q51" s="683"/>
      <c r="R51" s="687"/>
      <c r="S51" s="688"/>
      <c r="T51" s="689"/>
      <c r="U51" s="687"/>
      <c r="V51" s="688"/>
      <c r="W51" s="689"/>
      <c r="X51" s="687"/>
      <c r="Y51" s="688"/>
      <c r="Z51" s="689"/>
      <c r="AA51" s="687"/>
      <c r="AB51" s="688"/>
      <c r="AC51" s="689"/>
      <c r="AD51" s="687"/>
      <c r="AE51" s="689"/>
      <c r="AF51" s="687"/>
      <c r="AG51" s="688"/>
      <c r="AH51" s="689"/>
      <c r="AI51" s="687"/>
      <c r="AJ51" s="689"/>
      <c r="AK51" s="687"/>
      <c r="AL51" s="688"/>
      <c r="AM51" s="689"/>
    </row>
    <row r="52" spans="1:39" ht="14.1" customHeight="1">
      <c r="A52" s="678" t="str">
        <f>A49</f>
        <v>V.18101774357/1</v>
      </c>
      <c r="B52" s="679"/>
      <c r="C52" s="679"/>
      <c r="D52" s="679"/>
      <c r="E52" s="679"/>
      <c r="F52" s="680"/>
      <c r="G52" s="678" t="s">
        <v>696</v>
      </c>
      <c r="H52" s="679"/>
      <c r="I52" s="680"/>
      <c r="J52" s="655">
        <f t="shared" ref="J52:J57" si="1">J49</f>
        <v>45748</v>
      </c>
      <c r="K52" s="656"/>
      <c r="L52" s="657"/>
      <c r="M52" s="678" t="s">
        <v>720</v>
      </c>
      <c r="N52" s="680"/>
      <c r="O52" s="678">
        <f>O49</f>
        <v>1</v>
      </c>
      <c r="P52" s="679"/>
      <c r="Q52" s="680"/>
      <c r="R52" s="684" t="str">
        <f>VLOOKUP(A52,Regularizare!$D:$AX,29,FALSE)&amp;" ("&amp;VLOOKUP(A52,Regularizare!$D:$AX,30,FALSE)&amp;")"</f>
        <v>23915 (citit)</v>
      </c>
      <c r="S52" s="685"/>
      <c r="T52" s="686"/>
      <c r="U52" s="684" t="str">
        <f>VLOOKUP(A52,Regularizare!$D:$AX,31,FALSE)&amp;" ("&amp;VLOOKUP(A52,Regularizare!$D:$AX,32,FALSE)&amp;")"</f>
        <v>24896 (citit)</v>
      </c>
      <c r="V52" s="685"/>
      <c r="W52" s="686"/>
      <c r="X52" s="684" t="str">
        <f>VLOOKUP(A52,Regularizare!$D:$AX,39,FALSE)&amp;" ("&amp;VLOOKUP(A52,Regularizare!$D:$AX,32,FALSE)&amp;")"</f>
        <v>981 (citit)</v>
      </c>
      <c r="Y52" s="685"/>
      <c r="Z52" s="686"/>
      <c r="AA52" s="684">
        <f>VLOOKUP(A52,Regularizare!$D:$AX,44,FALSE)+VLOOKUP(A52,Regularizare!$D:$AX,45,FALSE)</f>
        <v>981</v>
      </c>
      <c r="AB52" s="685"/>
      <c r="AC52" s="686"/>
      <c r="AD52" s="684" t="s">
        <v>69</v>
      </c>
      <c r="AE52" s="686"/>
      <c r="AF52" s="684">
        <f>AA52</f>
        <v>981</v>
      </c>
      <c r="AG52" s="685"/>
      <c r="AH52" s="686"/>
      <c r="AI52" s="684" t="str">
        <f>AI49</f>
        <v>-</v>
      </c>
      <c r="AJ52" s="686"/>
      <c r="AK52" s="684" t="str">
        <f>AK49</f>
        <v>-</v>
      </c>
      <c r="AL52" s="685"/>
      <c r="AM52" s="686"/>
    </row>
    <row r="53" spans="1:39" ht="8.4499999999999993" customHeight="1">
      <c r="A53" s="717"/>
      <c r="B53" s="718"/>
      <c r="C53" s="718"/>
      <c r="D53" s="718"/>
      <c r="E53" s="718"/>
      <c r="F53" s="719"/>
      <c r="G53" s="717"/>
      <c r="H53" s="718"/>
      <c r="I53" s="719"/>
      <c r="J53" s="717" t="str">
        <f t="shared" si="1"/>
        <v>-</v>
      </c>
      <c r="K53" s="718"/>
      <c r="L53" s="719"/>
      <c r="M53" s="717"/>
      <c r="N53" s="719"/>
      <c r="O53" s="717"/>
      <c r="P53" s="718"/>
      <c r="Q53" s="719"/>
      <c r="R53" s="727"/>
      <c r="S53" s="729"/>
      <c r="T53" s="728"/>
      <c r="U53" s="727"/>
      <c r="V53" s="729"/>
      <c r="W53" s="728"/>
      <c r="X53" s="727"/>
      <c r="Y53" s="729"/>
      <c r="Z53" s="728"/>
      <c r="AA53" s="727"/>
      <c r="AB53" s="729"/>
      <c r="AC53" s="728"/>
      <c r="AD53" s="727"/>
      <c r="AE53" s="728"/>
      <c r="AF53" s="727"/>
      <c r="AG53" s="729"/>
      <c r="AH53" s="728"/>
      <c r="AI53" s="727"/>
      <c r="AJ53" s="728"/>
      <c r="AK53" s="727"/>
      <c r="AL53" s="729"/>
      <c r="AM53" s="728"/>
    </row>
    <row r="54" spans="1:39" ht="14.1" customHeight="1">
      <c r="A54" s="681"/>
      <c r="B54" s="682"/>
      <c r="C54" s="682"/>
      <c r="D54" s="682"/>
      <c r="E54" s="682"/>
      <c r="F54" s="683"/>
      <c r="G54" s="681"/>
      <c r="H54" s="682"/>
      <c r="I54" s="683"/>
      <c r="J54" s="714">
        <f t="shared" si="1"/>
        <v>45777</v>
      </c>
      <c r="K54" s="715"/>
      <c r="L54" s="716"/>
      <c r="M54" s="681"/>
      <c r="N54" s="683"/>
      <c r="O54" s="681"/>
      <c r="P54" s="682"/>
      <c r="Q54" s="683"/>
      <c r="R54" s="687"/>
      <c r="S54" s="688"/>
      <c r="T54" s="689"/>
      <c r="U54" s="687"/>
      <c r="V54" s="688"/>
      <c r="W54" s="689"/>
      <c r="X54" s="687"/>
      <c r="Y54" s="688"/>
      <c r="Z54" s="689"/>
      <c r="AA54" s="687"/>
      <c r="AB54" s="688"/>
      <c r="AC54" s="689"/>
      <c r="AD54" s="687"/>
      <c r="AE54" s="689"/>
      <c r="AF54" s="687"/>
      <c r="AG54" s="688"/>
      <c r="AH54" s="689"/>
      <c r="AI54" s="687"/>
      <c r="AJ54" s="689"/>
      <c r="AK54" s="687"/>
      <c r="AL54" s="688"/>
      <c r="AM54" s="689"/>
    </row>
    <row r="55" spans="1:39" ht="14.1" customHeight="1">
      <c r="A55" s="678" t="str">
        <f>A52</f>
        <v>V.18101774357/1</v>
      </c>
      <c r="B55" s="679"/>
      <c r="C55" s="679"/>
      <c r="D55" s="679"/>
      <c r="E55" s="679"/>
      <c r="F55" s="680"/>
      <c r="G55" s="678" t="s">
        <v>731</v>
      </c>
      <c r="H55" s="679"/>
      <c r="I55" s="680"/>
      <c r="J55" s="655">
        <f t="shared" si="1"/>
        <v>45748</v>
      </c>
      <c r="K55" s="656"/>
      <c r="L55" s="657"/>
      <c r="M55" s="678" t="s">
        <v>720</v>
      </c>
      <c r="N55" s="680"/>
      <c r="O55" s="678">
        <f>O52</f>
        <v>1</v>
      </c>
      <c r="P55" s="679"/>
      <c r="Q55" s="680"/>
      <c r="R55" s="684" t="str">
        <f>VLOOKUP(A55,Regularizare!$D:$AX,33,FALSE)&amp;" ("&amp;VLOOKUP(A55,Regularizare!$D:$AX,34,FALSE)&amp;")"</f>
        <v>2703 (citit)</v>
      </c>
      <c r="S55" s="685"/>
      <c r="T55" s="686"/>
      <c r="U55" s="684" t="str">
        <f>VLOOKUP(A55,Regularizare!$D:$AX,35,FALSE)&amp;" ("&amp;VLOOKUP(A55,Regularizare!$D:$AX,36,FALSE)&amp;")"</f>
        <v>2704 (citit)</v>
      </c>
      <c r="V55" s="685"/>
      <c r="W55" s="686"/>
      <c r="X55" s="684" t="str">
        <f>VLOOKUP(A55,Regularizare!$D:$AX,40,FALSE)&amp;" ("&amp;VLOOKUP(A55,Regularizare!$D:$AX,36,FALSE)&amp;")"</f>
        <v>1 (citit)</v>
      </c>
      <c r="Y55" s="685"/>
      <c r="Z55" s="686"/>
      <c r="AA55" s="684">
        <f>VLOOKUP(A55,Regularizare!$D:$AX,46,FALSE)+VLOOKUP(A55,Regularizare!$D:$AX,47,FALSE)</f>
        <v>1</v>
      </c>
      <c r="AB55" s="685"/>
      <c r="AC55" s="686"/>
      <c r="AD55" s="684" t="s">
        <v>69</v>
      </c>
      <c r="AE55" s="686"/>
      <c r="AF55" s="684">
        <f>AA55</f>
        <v>1</v>
      </c>
      <c r="AG55" s="685"/>
      <c r="AH55" s="686"/>
      <c r="AI55" s="684" t="str">
        <f>AI52</f>
        <v>-</v>
      </c>
      <c r="AJ55" s="686"/>
      <c r="AK55" s="684" t="str">
        <f>AK52</f>
        <v>-</v>
      </c>
      <c r="AL55" s="685"/>
      <c r="AM55" s="686"/>
    </row>
    <row r="56" spans="1:39" ht="8.4499999999999993" customHeight="1">
      <c r="A56" s="717"/>
      <c r="B56" s="718"/>
      <c r="C56" s="718"/>
      <c r="D56" s="718"/>
      <c r="E56" s="718"/>
      <c r="F56" s="719"/>
      <c r="G56" s="717"/>
      <c r="H56" s="718"/>
      <c r="I56" s="719"/>
      <c r="J56" s="717" t="str">
        <f t="shared" si="1"/>
        <v>-</v>
      </c>
      <c r="K56" s="718"/>
      <c r="L56" s="719"/>
      <c r="M56" s="717"/>
      <c r="N56" s="719"/>
      <c r="O56" s="717"/>
      <c r="P56" s="718"/>
      <c r="Q56" s="719"/>
      <c r="R56" s="727"/>
      <c r="S56" s="729"/>
      <c r="T56" s="728"/>
      <c r="U56" s="727"/>
      <c r="V56" s="729"/>
      <c r="W56" s="728"/>
      <c r="X56" s="727"/>
      <c r="Y56" s="729"/>
      <c r="Z56" s="728"/>
      <c r="AA56" s="727"/>
      <c r="AB56" s="729"/>
      <c r="AC56" s="728"/>
      <c r="AD56" s="727"/>
      <c r="AE56" s="728"/>
      <c r="AF56" s="727"/>
      <c r="AG56" s="729"/>
      <c r="AH56" s="728"/>
      <c r="AI56" s="727"/>
      <c r="AJ56" s="728"/>
      <c r="AK56" s="727"/>
      <c r="AL56" s="729"/>
      <c r="AM56" s="728"/>
    </row>
    <row r="57" spans="1:39" ht="14.1" customHeight="1">
      <c r="A57" s="681"/>
      <c r="B57" s="682"/>
      <c r="C57" s="682"/>
      <c r="D57" s="682"/>
      <c r="E57" s="682"/>
      <c r="F57" s="683"/>
      <c r="G57" s="681"/>
      <c r="H57" s="682"/>
      <c r="I57" s="683"/>
      <c r="J57" s="714">
        <f t="shared" si="1"/>
        <v>45777</v>
      </c>
      <c r="K57" s="715"/>
      <c r="L57" s="716"/>
      <c r="M57" s="681"/>
      <c r="N57" s="683"/>
      <c r="O57" s="681"/>
      <c r="P57" s="682"/>
      <c r="Q57" s="683"/>
      <c r="R57" s="687"/>
      <c r="S57" s="688"/>
      <c r="T57" s="689"/>
      <c r="U57" s="687"/>
      <c r="V57" s="688"/>
      <c r="W57" s="689"/>
      <c r="X57" s="687"/>
      <c r="Y57" s="688"/>
      <c r="Z57" s="689"/>
      <c r="AA57" s="687"/>
      <c r="AB57" s="688"/>
      <c r="AC57" s="689"/>
      <c r="AD57" s="687"/>
      <c r="AE57" s="689"/>
      <c r="AF57" s="687"/>
      <c r="AG57" s="688"/>
      <c r="AH57" s="689"/>
      <c r="AI57" s="687"/>
      <c r="AJ57" s="689"/>
      <c r="AK57" s="687"/>
      <c r="AL57" s="688"/>
      <c r="AM57" s="689"/>
    </row>
    <row r="58" spans="1:39" ht="14.1" customHeight="1">
      <c r="A58" s="678" t="str">
        <f>A55</f>
        <v>V.18101774357/1</v>
      </c>
      <c r="B58" s="679"/>
      <c r="C58" s="679"/>
      <c r="D58" s="679"/>
      <c r="E58" s="679"/>
      <c r="F58" s="680"/>
      <c r="G58" s="678" t="s">
        <v>730</v>
      </c>
      <c r="H58" s="679"/>
      <c r="I58" s="680"/>
      <c r="J58" s="655">
        <f>'Date masura OD'!$I$5</f>
        <v>45778</v>
      </c>
      <c r="K58" s="656"/>
      <c r="L58" s="657"/>
      <c r="M58" s="678" t="s">
        <v>446</v>
      </c>
      <c r="N58" s="680"/>
      <c r="O58" s="678">
        <f>O55</f>
        <v>1</v>
      </c>
      <c r="P58" s="679"/>
      <c r="Q58" s="680"/>
      <c r="R58" s="684" t="str">
        <f>U49</f>
        <v>186701 (citit)</v>
      </c>
      <c r="S58" s="685"/>
      <c r="T58" s="686"/>
      <c r="U58" s="684" t="str">
        <f>VLOOKUP(A58,'Incrementare indexe'!$D:$M,4,FALSE)&amp;" (estimat)"</f>
        <v>190306 (estimat)</v>
      </c>
      <c r="V58" s="685"/>
      <c r="W58" s="686"/>
      <c r="X58" s="684" t="str">
        <f>VLOOKUP(A58,'Incrementare indexe'!$D:$Q,11,FALSE)&amp;" (estimat)"</f>
        <v>3605 (estimat)</v>
      </c>
      <c r="Y58" s="685"/>
      <c r="Z58" s="686"/>
      <c r="AA58" s="684" t="s">
        <v>69</v>
      </c>
      <c r="AB58" s="685"/>
      <c r="AC58" s="686"/>
      <c r="AD58" s="684" t="s">
        <v>69</v>
      </c>
      <c r="AE58" s="686"/>
      <c r="AF58" s="684">
        <f>VLOOKUP(A58,'Incrementare indexe'!$D:$Q,11,FALSE)</f>
        <v>3605</v>
      </c>
      <c r="AG58" s="685"/>
      <c r="AH58" s="686"/>
      <c r="AI58" s="684">
        <f>J60-J58+1</f>
        <v>31</v>
      </c>
      <c r="AJ58" s="686"/>
      <c r="AK58" s="684">
        <f>ROUND(AF58/AI58,2)</f>
        <v>116.29</v>
      </c>
      <c r="AL58" s="685"/>
      <c r="AM58" s="686"/>
    </row>
    <row r="59" spans="1:39" ht="8.4499999999999993" customHeight="1">
      <c r="A59" s="717"/>
      <c r="B59" s="718"/>
      <c r="C59" s="718"/>
      <c r="D59" s="718"/>
      <c r="E59" s="718"/>
      <c r="F59" s="719"/>
      <c r="G59" s="717"/>
      <c r="H59" s="718"/>
      <c r="I59" s="719"/>
      <c r="J59" s="717" t="s">
        <v>69</v>
      </c>
      <c r="K59" s="718"/>
      <c r="L59" s="719"/>
      <c r="M59" s="717"/>
      <c r="N59" s="719"/>
      <c r="O59" s="717"/>
      <c r="P59" s="718"/>
      <c r="Q59" s="719"/>
      <c r="R59" s="727"/>
      <c r="S59" s="729"/>
      <c r="T59" s="728"/>
      <c r="U59" s="727"/>
      <c r="V59" s="729"/>
      <c r="W59" s="728"/>
      <c r="X59" s="727"/>
      <c r="Y59" s="729"/>
      <c r="Z59" s="728"/>
      <c r="AA59" s="727"/>
      <c r="AB59" s="729"/>
      <c r="AC59" s="728"/>
      <c r="AD59" s="727"/>
      <c r="AE59" s="728"/>
      <c r="AF59" s="727"/>
      <c r="AG59" s="729"/>
      <c r="AH59" s="728"/>
      <c r="AI59" s="727"/>
      <c r="AJ59" s="728"/>
      <c r="AK59" s="727"/>
      <c r="AL59" s="729"/>
      <c r="AM59" s="728"/>
    </row>
    <row r="60" spans="1:39" ht="14.1" customHeight="1">
      <c r="A60" s="681"/>
      <c r="B60" s="682"/>
      <c r="C60" s="682"/>
      <c r="D60" s="682"/>
      <c r="E60" s="682"/>
      <c r="F60" s="683"/>
      <c r="G60" s="681"/>
      <c r="H60" s="682"/>
      <c r="I60" s="683"/>
      <c r="J60" s="714">
        <f>'Date masura OD'!$J$5</f>
        <v>45808</v>
      </c>
      <c r="K60" s="715"/>
      <c r="L60" s="716"/>
      <c r="M60" s="681"/>
      <c r="N60" s="683"/>
      <c r="O60" s="681"/>
      <c r="P60" s="682"/>
      <c r="Q60" s="683"/>
      <c r="R60" s="687"/>
      <c r="S60" s="688"/>
      <c r="T60" s="689"/>
      <c r="U60" s="687"/>
      <c r="V60" s="688"/>
      <c r="W60" s="689"/>
      <c r="X60" s="687"/>
      <c r="Y60" s="688"/>
      <c r="Z60" s="689"/>
      <c r="AA60" s="687"/>
      <c r="AB60" s="688"/>
      <c r="AC60" s="689"/>
      <c r="AD60" s="687"/>
      <c r="AE60" s="689"/>
      <c r="AF60" s="687"/>
      <c r="AG60" s="688"/>
      <c r="AH60" s="689"/>
      <c r="AI60" s="687"/>
      <c r="AJ60" s="689"/>
      <c r="AK60" s="687"/>
      <c r="AL60" s="688"/>
      <c r="AM60" s="689"/>
    </row>
    <row r="61" spans="1:39" ht="14.1" customHeight="1">
      <c r="A61" s="678" t="str">
        <f>A58</f>
        <v>V.18101774357/1</v>
      </c>
      <c r="B61" s="679"/>
      <c r="C61" s="679"/>
      <c r="D61" s="679"/>
      <c r="E61" s="679"/>
      <c r="F61" s="680"/>
      <c r="G61" s="678" t="s">
        <v>696</v>
      </c>
      <c r="H61" s="679"/>
      <c r="I61" s="680"/>
      <c r="J61" s="655">
        <f t="shared" ref="J61:J66" si="2">J58</f>
        <v>45778</v>
      </c>
      <c r="K61" s="656"/>
      <c r="L61" s="657"/>
      <c r="M61" s="678" t="s">
        <v>720</v>
      </c>
      <c r="N61" s="680"/>
      <c r="O61" s="678">
        <f>O58</f>
        <v>1</v>
      </c>
      <c r="P61" s="679"/>
      <c r="Q61" s="680"/>
      <c r="R61" s="684" t="str">
        <f>U52</f>
        <v>24896 (citit)</v>
      </c>
      <c r="S61" s="685"/>
      <c r="T61" s="686"/>
      <c r="U61" s="684" t="str">
        <f>VLOOKUP(A61,'Incrementare indexe'!$D:$M,8,FALSE)&amp;" (estimat)"</f>
        <v>24896 (estimat)</v>
      </c>
      <c r="V61" s="685"/>
      <c r="W61" s="686"/>
      <c r="X61" s="684" t="str">
        <f>VLOOKUP(A61,'Incrementare indexe'!$D:$Q,12,FALSE)&amp;" (estimat)"</f>
        <v>0 (estimat)</v>
      </c>
      <c r="Y61" s="685"/>
      <c r="Z61" s="686"/>
      <c r="AA61" s="684" t="s">
        <v>69</v>
      </c>
      <c r="AB61" s="685"/>
      <c r="AC61" s="686"/>
      <c r="AD61" s="684" t="s">
        <v>69</v>
      </c>
      <c r="AE61" s="686"/>
      <c r="AF61" s="684">
        <f>VLOOKUP(A61,'Incrementare indexe'!$D:$Q,12,FALSE)</f>
        <v>0</v>
      </c>
      <c r="AG61" s="685"/>
      <c r="AH61" s="686"/>
      <c r="AI61" s="684">
        <f>AI58</f>
        <v>31</v>
      </c>
      <c r="AJ61" s="686"/>
      <c r="AK61" s="684">
        <f>ROUND(AF61/AI61,2)</f>
        <v>0</v>
      </c>
      <c r="AL61" s="685"/>
      <c r="AM61" s="686"/>
    </row>
    <row r="62" spans="1:39" ht="8.4499999999999993" customHeight="1">
      <c r="A62" s="717"/>
      <c r="B62" s="718"/>
      <c r="C62" s="718"/>
      <c r="D62" s="718"/>
      <c r="E62" s="718"/>
      <c r="F62" s="719"/>
      <c r="G62" s="717"/>
      <c r="H62" s="718"/>
      <c r="I62" s="719"/>
      <c r="J62" s="717" t="str">
        <f t="shared" si="2"/>
        <v>-</v>
      </c>
      <c r="K62" s="718"/>
      <c r="L62" s="719"/>
      <c r="M62" s="717"/>
      <c r="N62" s="719"/>
      <c r="O62" s="717"/>
      <c r="P62" s="718"/>
      <c r="Q62" s="719"/>
      <c r="R62" s="727"/>
      <c r="S62" s="729"/>
      <c r="T62" s="728"/>
      <c r="U62" s="727"/>
      <c r="V62" s="729"/>
      <c r="W62" s="728"/>
      <c r="X62" s="727"/>
      <c r="Y62" s="729"/>
      <c r="Z62" s="728"/>
      <c r="AA62" s="727"/>
      <c r="AB62" s="729"/>
      <c r="AC62" s="728"/>
      <c r="AD62" s="727"/>
      <c r="AE62" s="728"/>
      <c r="AF62" s="727"/>
      <c r="AG62" s="729"/>
      <c r="AH62" s="728"/>
      <c r="AI62" s="727"/>
      <c r="AJ62" s="728"/>
      <c r="AK62" s="727"/>
      <c r="AL62" s="729"/>
      <c r="AM62" s="728"/>
    </row>
    <row r="63" spans="1:39" ht="14.1" customHeight="1">
      <c r="A63" s="681"/>
      <c r="B63" s="682"/>
      <c r="C63" s="682"/>
      <c r="D63" s="682"/>
      <c r="E63" s="682"/>
      <c r="F63" s="683"/>
      <c r="G63" s="681"/>
      <c r="H63" s="682"/>
      <c r="I63" s="683"/>
      <c r="J63" s="714">
        <f t="shared" si="2"/>
        <v>45808</v>
      </c>
      <c r="K63" s="715"/>
      <c r="L63" s="716"/>
      <c r="M63" s="681"/>
      <c r="N63" s="683"/>
      <c r="O63" s="681"/>
      <c r="P63" s="682"/>
      <c r="Q63" s="683"/>
      <c r="R63" s="687"/>
      <c r="S63" s="688"/>
      <c r="T63" s="689"/>
      <c r="U63" s="687"/>
      <c r="V63" s="688"/>
      <c r="W63" s="689"/>
      <c r="X63" s="687"/>
      <c r="Y63" s="688"/>
      <c r="Z63" s="689"/>
      <c r="AA63" s="687"/>
      <c r="AB63" s="688"/>
      <c r="AC63" s="689"/>
      <c r="AD63" s="687"/>
      <c r="AE63" s="689"/>
      <c r="AF63" s="687"/>
      <c r="AG63" s="688"/>
      <c r="AH63" s="689"/>
      <c r="AI63" s="687"/>
      <c r="AJ63" s="689"/>
      <c r="AK63" s="687"/>
      <c r="AL63" s="688"/>
      <c r="AM63" s="689"/>
    </row>
    <row r="64" spans="1:39" ht="14.1" customHeight="1">
      <c r="A64" s="678" t="str">
        <f>A61</f>
        <v>V.18101774357/1</v>
      </c>
      <c r="B64" s="679"/>
      <c r="C64" s="679"/>
      <c r="D64" s="679"/>
      <c r="E64" s="679"/>
      <c r="F64" s="680"/>
      <c r="G64" s="678" t="s">
        <v>731</v>
      </c>
      <c r="H64" s="679"/>
      <c r="I64" s="680"/>
      <c r="J64" s="655">
        <f t="shared" si="2"/>
        <v>45778</v>
      </c>
      <c r="K64" s="656"/>
      <c r="L64" s="657"/>
      <c r="M64" s="678" t="s">
        <v>720</v>
      </c>
      <c r="N64" s="680"/>
      <c r="O64" s="678">
        <f>O61</f>
        <v>1</v>
      </c>
      <c r="P64" s="679"/>
      <c r="Q64" s="680"/>
      <c r="R64" s="684" t="str">
        <f>U55</f>
        <v>2704 (citit)</v>
      </c>
      <c r="S64" s="685"/>
      <c r="T64" s="686"/>
      <c r="U64" s="684" t="str">
        <f>VLOOKUP(A64,'Incrementare indexe'!$D:$M,10,FALSE)&amp;" (estimat)"</f>
        <v>2704 (estimat)</v>
      </c>
      <c r="V64" s="685"/>
      <c r="W64" s="686"/>
      <c r="X64" s="684" t="str">
        <f>VLOOKUP(A64,'Incrementare indexe'!$D:$Q,13,FALSE)&amp;" (estimat)"</f>
        <v>0 (estimat)</v>
      </c>
      <c r="Y64" s="685"/>
      <c r="Z64" s="686"/>
      <c r="AA64" s="684" t="s">
        <v>69</v>
      </c>
      <c r="AB64" s="685"/>
      <c r="AC64" s="686"/>
      <c r="AD64" s="684" t="s">
        <v>69</v>
      </c>
      <c r="AE64" s="686"/>
      <c r="AF64" s="684">
        <f>VLOOKUP(A64,'Incrementare indexe'!$D:$Q,13,FALSE)</f>
        <v>0</v>
      </c>
      <c r="AG64" s="685"/>
      <c r="AH64" s="686"/>
      <c r="AI64" s="684">
        <f>AI61</f>
        <v>31</v>
      </c>
      <c r="AJ64" s="686"/>
      <c r="AK64" s="684">
        <f>ROUND(AF64/AI64,2)</f>
        <v>0</v>
      </c>
      <c r="AL64" s="685"/>
      <c r="AM64" s="686"/>
    </row>
    <row r="65" spans="1:39" ht="8.4499999999999993" customHeight="1">
      <c r="A65" s="717"/>
      <c r="B65" s="718"/>
      <c r="C65" s="718"/>
      <c r="D65" s="718"/>
      <c r="E65" s="718"/>
      <c r="F65" s="719"/>
      <c r="G65" s="717"/>
      <c r="H65" s="718"/>
      <c r="I65" s="719"/>
      <c r="J65" s="717" t="str">
        <f t="shared" si="2"/>
        <v>-</v>
      </c>
      <c r="K65" s="718"/>
      <c r="L65" s="719"/>
      <c r="M65" s="717"/>
      <c r="N65" s="719"/>
      <c r="O65" s="717"/>
      <c r="P65" s="718"/>
      <c r="Q65" s="719"/>
      <c r="R65" s="727"/>
      <c r="S65" s="729"/>
      <c r="T65" s="728"/>
      <c r="U65" s="727"/>
      <c r="V65" s="729"/>
      <c r="W65" s="728"/>
      <c r="X65" s="727"/>
      <c r="Y65" s="729"/>
      <c r="Z65" s="728"/>
      <c r="AA65" s="727"/>
      <c r="AB65" s="729"/>
      <c r="AC65" s="728"/>
      <c r="AD65" s="727"/>
      <c r="AE65" s="728"/>
      <c r="AF65" s="727"/>
      <c r="AG65" s="729"/>
      <c r="AH65" s="728"/>
      <c r="AI65" s="727"/>
      <c r="AJ65" s="728"/>
      <c r="AK65" s="727"/>
      <c r="AL65" s="729"/>
      <c r="AM65" s="728"/>
    </row>
    <row r="66" spans="1:39" ht="14.1" customHeight="1">
      <c r="A66" s="681"/>
      <c r="B66" s="682"/>
      <c r="C66" s="682"/>
      <c r="D66" s="682"/>
      <c r="E66" s="682"/>
      <c r="F66" s="683"/>
      <c r="G66" s="681"/>
      <c r="H66" s="682"/>
      <c r="I66" s="683"/>
      <c r="J66" s="714">
        <f t="shared" si="2"/>
        <v>45808</v>
      </c>
      <c r="K66" s="715"/>
      <c r="L66" s="716"/>
      <c r="M66" s="681"/>
      <c r="N66" s="683"/>
      <c r="O66" s="681"/>
      <c r="P66" s="682"/>
      <c r="Q66" s="683"/>
      <c r="R66" s="687"/>
      <c r="S66" s="688"/>
      <c r="T66" s="689"/>
      <c r="U66" s="687"/>
      <c r="V66" s="688"/>
      <c r="W66" s="689"/>
      <c r="X66" s="687"/>
      <c r="Y66" s="688"/>
      <c r="Z66" s="689"/>
      <c r="AA66" s="687"/>
      <c r="AB66" s="688"/>
      <c r="AC66" s="689"/>
      <c r="AD66" s="687"/>
      <c r="AE66" s="689"/>
      <c r="AF66" s="687"/>
      <c r="AG66" s="688"/>
      <c r="AH66" s="689"/>
      <c r="AI66" s="687"/>
      <c r="AJ66" s="689"/>
      <c r="AK66" s="687"/>
      <c r="AL66" s="688"/>
      <c r="AM66" s="689"/>
    </row>
    <row r="67" spans="1:39" ht="14.1" customHeight="1"/>
    <row r="68" spans="1:39" ht="14.1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</row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14.1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695" t="s">
        <v>858</v>
      </c>
      <c r="B80" s="695"/>
      <c r="C80" s="695"/>
      <c r="D80" s="695"/>
      <c r="E80" s="695"/>
      <c r="F80" s="695"/>
      <c r="G80" s="695"/>
      <c r="H80" s="695" t="str">
        <f>VLOOKUP($AA$16,'Date SPV'!$B:$H,4,FALSE)</f>
        <v>Strada Principala, nr. 4, loc. Varsatura, jud. Braila</v>
      </c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695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</row>
    <row r="81" spans="1:39" ht="14.1" customHeight="1">
      <c r="A81" s="695"/>
      <c r="B81" s="695"/>
      <c r="C81" s="695"/>
      <c r="D81" s="695"/>
      <c r="E81" s="695"/>
      <c r="F81" s="695"/>
      <c r="G81" s="695"/>
      <c r="H81" s="695"/>
      <c r="I81" s="695"/>
      <c r="J81" s="695"/>
      <c r="K81" s="695"/>
      <c r="L81" s="695"/>
      <c r="M81" s="695"/>
      <c r="N81" s="695"/>
      <c r="O81" s="695"/>
      <c r="P81" s="695"/>
      <c r="Q81" s="695"/>
      <c r="R81" s="695"/>
      <c r="S81" s="695"/>
      <c r="T81" s="695"/>
      <c r="U81" s="695"/>
      <c r="V81" s="695"/>
      <c r="W81" s="695"/>
      <c r="X81" s="695"/>
      <c r="Y81" s="695"/>
      <c r="Z81" s="695"/>
      <c r="AA81" s="695"/>
      <c r="AB81" s="695"/>
      <c r="AC81" s="695"/>
      <c r="AD81" s="695"/>
      <c r="AE81" s="695"/>
      <c r="AF81" s="695"/>
      <c r="AG81" s="695"/>
      <c r="AH81" s="695"/>
      <c r="AI81" s="695"/>
      <c r="AJ81" s="695"/>
      <c r="AK81" s="695"/>
      <c r="AL81" s="695"/>
      <c r="AM81" s="695"/>
    </row>
    <row r="82" spans="1:39" ht="14.1" customHeight="1">
      <c r="A82" s="695" t="s">
        <v>859</v>
      </c>
      <c r="B82" s="695"/>
      <c r="C82" s="695"/>
      <c r="D82" s="695"/>
      <c r="E82" s="695"/>
      <c r="F82" s="695"/>
      <c r="G82" s="695"/>
      <c r="H82" s="712">
        <f>VLOOKUP(AA82,'Date masura OD'!$G:$BE,51,FALSE)</f>
        <v>5000579503</v>
      </c>
      <c r="I82" s="712"/>
      <c r="J82" s="712"/>
      <c r="K82" s="712"/>
      <c r="L82" s="712"/>
      <c r="M82" s="712"/>
      <c r="N82" s="712"/>
      <c r="O82" s="712"/>
      <c r="P82" s="712"/>
      <c r="Q82" s="712"/>
      <c r="R82" s="712"/>
      <c r="S82" s="712"/>
      <c r="T82" s="712"/>
      <c r="U82" s="712"/>
      <c r="V82" s="712"/>
      <c r="W82" s="712" t="s">
        <v>860</v>
      </c>
      <c r="X82" s="712"/>
      <c r="Y82" s="712"/>
      <c r="Z82" s="712"/>
      <c r="AA82" s="640" t="str">
        <f>_xlfn.CONCAT(AA16,"_",2)</f>
        <v>RBPM_2</v>
      </c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</row>
    <row r="83" spans="1:39" ht="14.1" customHeight="1">
      <c r="A83" s="695"/>
      <c r="B83" s="695"/>
      <c r="C83" s="695"/>
      <c r="D83" s="695"/>
      <c r="E83" s="695"/>
      <c r="F83" s="695"/>
      <c r="G83" s="695"/>
      <c r="H83" s="712"/>
      <c r="I83" s="712"/>
      <c r="J83" s="712"/>
      <c r="K83" s="712"/>
      <c r="L83" s="712"/>
      <c r="M83" s="712"/>
      <c r="N83" s="712"/>
      <c r="O83" s="712"/>
      <c r="P83" s="712"/>
      <c r="Q83" s="712"/>
      <c r="R83" s="712"/>
      <c r="S83" s="712"/>
      <c r="T83" s="712"/>
      <c r="U83" s="712"/>
      <c r="V83" s="712"/>
      <c r="W83" s="712"/>
      <c r="X83" s="712"/>
      <c r="Y83" s="712"/>
      <c r="Z83" s="712"/>
      <c r="AA83" s="640"/>
      <c r="AB83" s="640"/>
      <c r="AC83" s="640"/>
      <c r="AD83" s="640"/>
      <c r="AE83" s="640"/>
      <c r="AF83" s="640"/>
      <c r="AG83" s="640"/>
      <c r="AH83" s="640"/>
      <c r="AI83" s="640"/>
      <c r="AJ83" s="640"/>
      <c r="AK83" s="640"/>
      <c r="AL83" s="640"/>
      <c r="AM83" s="640"/>
    </row>
    <row r="85" spans="1:39">
      <c r="A85" s="649" t="s">
        <v>748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50" t="str">
        <f>VLOOKUP(AI86,'Contorizare in SDI'!$E:$I,4,FALSE)</f>
        <v>594030200001494937/1</v>
      </c>
      <c r="N85" s="650"/>
      <c r="O85" s="650"/>
      <c r="P85" s="650"/>
      <c r="Q85" s="650"/>
      <c r="R85" s="650"/>
      <c r="S85" s="650"/>
      <c r="T85" s="650"/>
      <c r="U85" s="650"/>
      <c r="V85" s="650"/>
      <c r="W85" s="650"/>
      <c r="X85" s="650"/>
      <c r="Y85" s="650"/>
      <c r="Z85" s="650"/>
      <c r="AA85" s="650"/>
      <c r="AB85" s="650"/>
      <c r="AC85" s="650"/>
      <c r="AD85" s="650"/>
      <c r="AE85" s="650"/>
      <c r="AF85" s="650"/>
      <c r="AG85" s="650"/>
      <c r="AH85" s="650"/>
      <c r="AI85" s="650" t="s">
        <v>695</v>
      </c>
      <c r="AJ85" s="650"/>
      <c r="AK85" s="650"/>
      <c r="AL85" s="650"/>
      <c r="AM85" s="650"/>
    </row>
    <row r="86" spans="1:39">
      <c r="A86" s="649" t="s">
        <v>746</v>
      </c>
      <c r="B86" s="649"/>
      <c r="C86" s="649"/>
      <c r="D86" s="649"/>
      <c r="E86" s="649"/>
      <c r="F86" s="649"/>
      <c r="G86" s="649"/>
      <c r="H86" s="649"/>
      <c r="I86" s="649"/>
      <c r="J86" s="649"/>
      <c r="K86" s="649"/>
      <c r="L86" s="649"/>
      <c r="M86" s="650" t="str">
        <f>VLOOKUP(AI86,'Inchidere contur'!$G:$U,15,FALSE)</f>
        <v>JT_SDI</v>
      </c>
      <c r="N86" s="650"/>
      <c r="O86" s="650"/>
      <c r="P86" s="650"/>
      <c r="Q86" s="650"/>
      <c r="R86" s="650"/>
      <c r="S86" s="650"/>
      <c r="T86" s="650"/>
      <c r="U86" s="650"/>
      <c r="V86" s="650"/>
      <c r="W86" s="650"/>
      <c r="X86" s="650"/>
      <c r="Y86" s="650"/>
      <c r="Z86" s="650"/>
      <c r="AA86" s="650"/>
      <c r="AB86" s="650"/>
      <c r="AC86" s="650"/>
      <c r="AD86" s="650"/>
      <c r="AE86" s="650"/>
      <c r="AF86" s="650"/>
      <c r="AG86" s="650"/>
      <c r="AH86" s="650"/>
      <c r="AI86" s="619" t="str">
        <f>_xlfn.CONCAT(AA82,".",1)</f>
        <v>RBPM_2.1</v>
      </c>
      <c r="AJ86" s="619"/>
      <c r="AK86" s="619"/>
      <c r="AL86" s="619"/>
      <c r="AM86" s="619"/>
    </row>
    <row r="87" spans="1:39">
      <c r="A87" s="649" t="s">
        <v>747</v>
      </c>
      <c r="B87" s="649"/>
      <c r="C87" s="649"/>
      <c r="D87" s="649"/>
      <c r="E87" s="649"/>
      <c r="F87" s="649"/>
      <c r="G87" s="649"/>
      <c r="H87" s="649"/>
      <c r="I87" s="649"/>
      <c r="J87" s="649"/>
      <c r="K87" s="649"/>
      <c r="L87" s="649"/>
      <c r="M87" s="650" t="str">
        <f>IF(LEFT(M86,2)="JT","0.4kV",IF(LEFT(M86,2)="MT","20kV","-"))</f>
        <v>0.4kV</v>
      </c>
      <c r="N87" s="650"/>
      <c r="O87" s="650"/>
      <c r="P87" s="650"/>
      <c r="Q87" s="650"/>
      <c r="R87" s="650"/>
      <c r="S87" s="650"/>
      <c r="T87" s="650"/>
      <c r="U87" s="650"/>
      <c r="V87" s="650"/>
      <c r="W87" s="650"/>
      <c r="X87" s="650"/>
      <c r="Y87" s="650"/>
      <c r="Z87" s="650"/>
      <c r="AA87" s="650"/>
      <c r="AB87" s="650"/>
      <c r="AC87" s="650"/>
      <c r="AD87" s="650"/>
      <c r="AE87" s="650"/>
      <c r="AF87" s="650"/>
      <c r="AG87" s="650"/>
      <c r="AH87" s="650"/>
      <c r="AI87" s="619"/>
      <c r="AJ87" s="619"/>
      <c r="AK87" s="619"/>
      <c r="AL87" s="619"/>
      <c r="AM87" s="619"/>
    </row>
    <row r="88" spans="1:39" ht="15.95" customHeight="1">
      <c r="A88" s="648" t="s">
        <v>697</v>
      </c>
      <c r="B88" s="648"/>
      <c r="C88" s="648"/>
      <c r="D88" s="648"/>
      <c r="E88" s="648"/>
      <c r="F88" s="648"/>
      <c r="G88" s="647" t="s">
        <v>713</v>
      </c>
      <c r="H88" s="647"/>
      <c r="I88" s="647"/>
      <c r="J88" s="647" t="s">
        <v>714</v>
      </c>
      <c r="K88" s="647"/>
      <c r="L88" s="647"/>
      <c r="M88" s="648" t="s">
        <v>519</v>
      </c>
      <c r="N88" s="648"/>
      <c r="O88" s="648" t="s">
        <v>715</v>
      </c>
      <c r="P88" s="648"/>
      <c r="Q88" s="648"/>
      <c r="R88" s="647" t="s">
        <v>732</v>
      </c>
      <c r="S88" s="647"/>
      <c r="T88" s="647"/>
      <c r="U88" s="647" t="s">
        <v>734</v>
      </c>
      <c r="V88" s="647"/>
      <c r="W88" s="647"/>
      <c r="X88" s="647" t="s">
        <v>1085</v>
      </c>
      <c r="Y88" s="647"/>
      <c r="Z88" s="647"/>
      <c r="AA88" s="647" t="s">
        <v>1086</v>
      </c>
      <c r="AB88" s="647"/>
      <c r="AC88" s="647"/>
      <c r="AD88" s="647" t="s">
        <v>717</v>
      </c>
      <c r="AE88" s="647"/>
      <c r="AF88" s="647" t="s">
        <v>718</v>
      </c>
      <c r="AG88" s="647"/>
      <c r="AH88" s="647"/>
      <c r="AI88" s="647" t="s">
        <v>719</v>
      </c>
      <c r="AJ88" s="647"/>
      <c r="AK88" s="647" t="s">
        <v>733</v>
      </c>
      <c r="AL88" s="647"/>
      <c r="AM88" s="647"/>
    </row>
    <row r="89" spans="1:39">
      <c r="A89" s="648"/>
      <c r="B89" s="648"/>
      <c r="C89" s="648"/>
      <c r="D89" s="648"/>
      <c r="E89" s="648"/>
      <c r="F89" s="648"/>
      <c r="G89" s="647"/>
      <c r="H89" s="647"/>
      <c r="I89" s="647"/>
      <c r="J89" s="647"/>
      <c r="K89" s="647"/>
      <c r="L89" s="647"/>
      <c r="M89" s="648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>
      <c r="A90" s="648"/>
      <c r="B90" s="648"/>
      <c r="C90" s="648"/>
      <c r="D90" s="648"/>
      <c r="E90" s="648"/>
      <c r="F90" s="648"/>
      <c r="G90" s="647"/>
      <c r="H90" s="647"/>
      <c r="I90" s="647"/>
      <c r="J90" s="713"/>
      <c r="K90" s="713"/>
      <c r="L90" s="713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78">
        <f>VLOOKUP(AI86,'Contorizare in SDI'!$E:$I,5,FALSE)</f>
        <v>1373075553</v>
      </c>
      <c r="B91" s="679"/>
      <c r="C91" s="679"/>
      <c r="D91" s="679"/>
      <c r="E91" s="679"/>
      <c r="F91" s="680"/>
      <c r="G91" s="648" t="s">
        <v>730</v>
      </c>
      <c r="H91" s="648"/>
      <c r="I91" s="673"/>
      <c r="J91" s="655">
        <f>'Date masura OD'!$AK$5</f>
        <v>45748</v>
      </c>
      <c r="K91" s="656"/>
      <c r="L91" s="657"/>
      <c r="M91" s="720" t="s">
        <v>446</v>
      </c>
      <c r="N91" s="648"/>
      <c r="O91" s="648">
        <f>VLOOKUP(AI86,'Incrementare indexe'!$B:$T,4,FALSE)</f>
        <v>1</v>
      </c>
      <c r="P91" s="648"/>
      <c r="Q91" s="648"/>
      <c r="R91" s="647" t="str">
        <f>VLOOKUP(A91,Regularizare!$D:$YN,3,FALSE)&amp;" ("&amp;VLOOKUP(A91,Regularizare!$D:$Y,11,FALSE)&amp;")"</f>
        <v>2563673 (citit)</v>
      </c>
      <c r="S91" s="647"/>
      <c r="T91" s="647"/>
      <c r="U91" s="647" t="str">
        <f>VLOOKUP(A91,Regularizare!$D:$U,4,FALSE)&amp;" ("&amp;VLOOKUP(A91,Regularizare!$D:$U,12,FALSE)&amp;")"</f>
        <v>2702628 (estimat)</v>
      </c>
      <c r="V91" s="647"/>
      <c r="W91" s="647"/>
      <c r="X91" s="647" t="str">
        <f>VLOOKUP(A91,Regularizare!$D:$Y,19,FALSE)&amp;" ("&amp;VLOOKUP(A91,Regularizare!$D:$U,12,FALSE)&amp;")"</f>
        <v>138955 (estimat)</v>
      </c>
      <c r="Y91" s="647"/>
      <c r="Z91" s="647"/>
      <c r="AA91" s="647">
        <f>(-1)*VLOOKUP(A91,Regularizare!$D:$Y,19,FALSE)</f>
        <v>-138955</v>
      </c>
      <c r="AB91" s="647"/>
      <c r="AC91" s="647"/>
      <c r="AD91" s="647" t="s">
        <v>69</v>
      </c>
      <c r="AE91" s="647"/>
      <c r="AF91" s="647">
        <f>AA91</f>
        <v>-138955</v>
      </c>
      <c r="AG91" s="647"/>
      <c r="AH91" s="647"/>
      <c r="AI91" s="647" t="s">
        <v>69</v>
      </c>
      <c r="AJ91" s="647"/>
      <c r="AK91" s="647" t="s">
        <v>69</v>
      </c>
      <c r="AL91" s="647"/>
      <c r="AM91" s="647"/>
    </row>
    <row r="92" spans="1:39" ht="9.75" customHeight="1">
      <c r="A92" s="717"/>
      <c r="B92" s="718"/>
      <c r="C92" s="718"/>
      <c r="D92" s="718"/>
      <c r="E92" s="718"/>
      <c r="F92" s="719"/>
      <c r="G92" s="648"/>
      <c r="H92" s="648"/>
      <c r="I92" s="673"/>
      <c r="J92" s="717" t="s">
        <v>69</v>
      </c>
      <c r="K92" s="718"/>
      <c r="L92" s="719"/>
      <c r="M92" s="720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81"/>
      <c r="B93" s="682"/>
      <c r="C93" s="682"/>
      <c r="D93" s="682"/>
      <c r="E93" s="682"/>
      <c r="F93" s="683"/>
      <c r="G93" s="648"/>
      <c r="H93" s="648"/>
      <c r="I93" s="673"/>
      <c r="J93" s="714">
        <f>'Date masura OD'!$AL$5</f>
        <v>45777</v>
      </c>
      <c r="K93" s="715"/>
      <c r="L93" s="716"/>
      <c r="M93" s="720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78">
        <f>A91</f>
        <v>1373075553</v>
      </c>
      <c r="B94" s="679"/>
      <c r="C94" s="679"/>
      <c r="D94" s="679"/>
      <c r="E94" s="679"/>
      <c r="F94" s="680"/>
      <c r="G94" s="648" t="s">
        <v>696</v>
      </c>
      <c r="H94" s="648"/>
      <c r="I94" s="648"/>
      <c r="J94" s="655">
        <f t="shared" ref="J94:J99" si="3">J91</f>
        <v>45748</v>
      </c>
      <c r="K94" s="656"/>
      <c r="L94" s="657"/>
      <c r="M94" s="648" t="s">
        <v>720</v>
      </c>
      <c r="N94" s="648"/>
      <c r="O94" s="648">
        <f>O91</f>
        <v>1</v>
      </c>
      <c r="P94" s="648"/>
      <c r="Q94" s="648"/>
      <c r="R94" s="647" t="str">
        <f>VLOOKUP(A94,Regularizare!$D:$U,7,FALSE)&amp;" ("&amp;VLOOKUP(A94,Regularizare!$D:$U,15,FALSE)&amp;")"</f>
        <v>309384 (citit)</v>
      </c>
      <c r="S94" s="647"/>
      <c r="T94" s="647"/>
      <c r="U94" s="647" t="str">
        <f>VLOOKUP(A94,Regularizare!$D:$U,8,FALSE)&amp;" ("&amp;VLOOKUP(A94,Regularizare!$D:$U,16,FALSE)&amp;")"</f>
        <v>309384 (estimat)</v>
      </c>
      <c r="V94" s="647"/>
      <c r="W94" s="647"/>
      <c r="X94" s="647" t="str">
        <f>_xlfn.CONCAT(VLOOKUP(A94,Regularizare!$D:$U,8,FALSE)-VLOOKUP(A94,Regularizare!$D:$U,7,FALSE)," (",VLOOKUP(A94,Regularizare!$D:$U,16,FALSE),")")</f>
        <v>0 (estimat)</v>
      </c>
      <c r="Y94" s="647"/>
      <c r="Z94" s="647"/>
      <c r="AA94" s="647">
        <f>IF(VLOOKUP(A94,Regularizare!$D:$Y,21,FALSE)=0,VLOOKUP(A94,Regularizare!$D:$Y,21,FALSE),(-1)*VLOOKUP(A94,Regularizare!$D:$Y,21,FALSE))</f>
        <v>0</v>
      </c>
      <c r="AB94" s="647"/>
      <c r="AC94" s="647"/>
      <c r="AD94" s="647" t="s">
        <v>69</v>
      </c>
      <c r="AE94" s="647"/>
      <c r="AF94" s="647">
        <f>AA94</f>
        <v>0</v>
      </c>
      <c r="AG94" s="647"/>
      <c r="AH94" s="647"/>
      <c r="AI94" s="647" t="str">
        <f>AI91</f>
        <v>-</v>
      </c>
      <c r="AJ94" s="647"/>
      <c r="AK94" s="647" t="str">
        <f>AK91</f>
        <v>-</v>
      </c>
      <c r="AL94" s="647"/>
      <c r="AM94" s="647"/>
    </row>
    <row r="95" spans="1:39" ht="8.4499999999999993" customHeight="1">
      <c r="A95" s="717"/>
      <c r="B95" s="718"/>
      <c r="C95" s="718"/>
      <c r="D95" s="718"/>
      <c r="E95" s="718"/>
      <c r="F95" s="719"/>
      <c r="G95" s="648"/>
      <c r="H95" s="648"/>
      <c r="I95" s="648"/>
      <c r="J95" s="717" t="str">
        <f t="shared" si="3"/>
        <v>-</v>
      </c>
      <c r="K95" s="718"/>
      <c r="L95" s="719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81"/>
      <c r="B96" s="682"/>
      <c r="C96" s="682"/>
      <c r="D96" s="682"/>
      <c r="E96" s="682"/>
      <c r="F96" s="683"/>
      <c r="G96" s="648"/>
      <c r="H96" s="648"/>
      <c r="I96" s="648"/>
      <c r="J96" s="714">
        <f t="shared" si="3"/>
        <v>45777</v>
      </c>
      <c r="K96" s="715"/>
      <c r="L96" s="716"/>
      <c r="M96" s="648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78">
        <f>A94</f>
        <v>1373075553</v>
      </c>
      <c r="B97" s="679"/>
      <c r="C97" s="679"/>
      <c r="D97" s="679"/>
      <c r="E97" s="679"/>
      <c r="F97" s="680"/>
      <c r="G97" s="648" t="s">
        <v>731</v>
      </c>
      <c r="H97" s="648"/>
      <c r="I97" s="648"/>
      <c r="J97" s="655">
        <f t="shared" si="3"/>
        <v>45748</v>
      </c>
      <c r="K97" s="656"/>
      <c r="L97" s="657"/>
      <c r="M97" s="648" t="s">
        <v>720</v>
      </c>
      <c r="N97" s="648"/>
      <c r="O97" s="648">
        <f>O94</f>
        <v>1</v>
      </c>
      <c r="P97" s="648"/>
      <c r="Q97" s="648"/>
      <c r="R97" s="647" t="str">
        <f>VLOOKUP(A97,Regularizare!$D:$U,9,FALSE)&amp;" ("&amp;VLOOKUP(A97,Regularizare!$D:$U,17,FALSE)&amp;")"</f>
        <v>17782 (citit)</v>
      </c>
      <c r="S97" s="647"/>
      <c r="T97" s="647"/>
      <c r="U97" s="647" t="str">
        <f>VLOOKUP(A97,Regularizare!$D:$U,10,FALSE)&amp;" ("&amp;VLOOKUP(A97,Regularizare!$D:$U,18,FALSE)&amp;")"</f>
        <v>17782 (estimat)</v>
      </c>
      <c r="V97" s="647"/>
      <c r="W97" s="647"/>
      <c r="X97" s="647" t="str">
        <f>_xlfn.CONCAT(VLOOKUP(A97,Regularizare!$D:$U,10,FALSE)-VLOOKUP(A97,Regularizare!$D:$U,9,FALSE)," (",VLOOKUP(A97,Regularizare!$D:$U,18,FALSE),")")</f>
        <v>0 (estimat)</v>
      </c>
      <c r="Y97" s="647"/>
      <c r="Z97" s="647"/>
      <c r="AA97" s="647">
        <f>IF(VLOOKUP(A97,Regularizare!$D:$Y,22,FALSE)=0,VLOOKUP(A97,Regularizare!$D:$Y,22,FALSE),(-1)*VLOOKUP(A97,Regularizare!$D:$Y,22,FALSE))</f>
        <v>0</v>
      </c>
      <c r="AB97" s="647"/>
      <c r="AC97" s="647"/>
      <c r="AD97" s="647" t="s">
        <v>69</v>
      </c>
      <c r="AE97" s="647"/>
      <c r="AF97" s="647">
        <f>AA97</f>
        <v>0</v>
      </c>
      <c r="AG97" s="647"/>
      <c r="AH97" s="647"/>
      <c r="AI97" s="647" t="str">
        <f>AI94</f>
        <v>-</v>
      </c>
      <c r="AJ97" s="647"/>
      <c r="AK97" s="647" t="str">
        <f>AK94</f>
        <v>-</v>
      </c>
      <c r="AL97" s="647"/>
      <c r="AM97" s="647"/>
    </row>
    <row r="98" spans="1:39" ht="8.4499999999999993" customHeight="1">
      <c r="A98" s="717"/>
      <c r="B98" s="718"/>
      <c r="C98" s="718"/>
      <c r="D98" s="718"/>
      <c r="E98" s="718"/>
      <c r="F98" s="719"/>
      <c r="G98" s="648"/>
      <c r="H98" s="648"/>
      <c r="I98" s="648"/>
      <c r="J98" s="717" t="str">
        <f t="shared" si="3"/>
        <v>-</v>
      </c>
      <c r="K98" s="718"/>
      <c r="L98" s="719"/>
      <c r="M98" s="648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81"/>
      <c r="B99" s="682"/>
      <c r="C99" s="682"/>
      <c r="D99" s="682"/>
      <c r="E99" s="682"/>
      <c r="F99" s="683"/>
      <c r="G99" s="648"/>
      <c r="H99" s="648"/>
      <c r="I99" s="648"/>
      <c r="J99" s="714">
        <f t="shared" si="3"/>
        <v>45777</v>
      </c>
      <c r="K99" s="715"/>
      <c r="L99" s="716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78">
        <f>A97</f>
        <v>1373075553</v>
      </c>
      <c r="B100" s="679"/>
      <c r="C100" s="679"/>
      <c r="D100" s="679"/>
      <c r="E100" s="679"/>
      <c r="F100" s="680"/>
      <c r="G100" s="648" t="s">
        <v>730</v>
      </c>
      <c r="H100" s="648"/>
      <c r="I100" s="673"/>
      <c r="J100" s="655">
        <f>'Date masura OD'!$AK$5</f>
        <v>45748</v>
      </c>
      <c r="K100" s="656"/>
      <c r="L100" s="657"/>
      <c r="M100" s="720" t="s">
        <v>446</v>
      </c>
      <c r="N100" s="648"/>
      <c r="O100" s="648">
        <f>O97</f>
        <v>1</v>
      </c>
      <c r="P100" s="648"/>
      <c r="Q100" s="648"/>
      <c r="R100" s="647" t="str">
        <f>VLOOKUP(A100,Regularizare!$D:$AX,23,FALSE)&amp;" ("&amp;VLOOKUP(A100,Regularizare!$D:$AX,24,FALSE)&amp;")"</f>
        <v>2563673 (citit)</v>
      </c>
      <c r="S100" s="647"/>
      <c r="T100" s="647"/>
      <c r="U100" s="647" t="str">
        <f>VLOOKUP(A100,Regularizare!$D:$AX,25,FALSE)&amp;" ("&amp;VLOOKUP(A100,Regularizare!$D:$AX,26,FALSE)&amp;")"</f>
        <v>2702628 (citit)</v>
      </c>
      <c r="V100" s="647"/>
      <c r="W100" s="647"/>
      <c r="X100" s="647" t="str">
        <f>VLOOKUP(A100,Regularizare!$D:$AX,37,FALSE)&amp;" ("&amp;VLOOKUP(A100,Regularizare!$D:$AX,26,FALSE)&amp;")"</f>
        <v>138955 (citit)</v>
      </c>
      <c r="Y100" s="647"/>
      <c r="Z100" s="647"/>
      <c r="AA100" s="647">
        <f>VLOOKUP(A100,Regularizare!$D:$AX,37,FALSE)</f>
        <v>138955</v>
      </c>
      <c r="AB100" s="647"/>
      <c r="AC100" s="647"/>
      <c r="AD100" s="647" t="s">
        <v>69</v>
      </c>
      <c r="AE100" s="647"/>
      <c r="AF100" s="647">
        <f>AA100</f>
        <v>138955</v>
      </c>
      <c r="AG100" s="647"/>
      <c r="AH100" s="647"/>
      <c r="AI100" s="647" t="str">
        <f>AI97</f>
        <v>-</v>
      </c>
      <c r="AJ100" s="647"/>
      <c r="AK100" s="647" t="str">
        <f>AK97</f>
        <v>-</v>
      </c>
      <c r="AL100" s="647"/>
      <c r="AM100" s="647"/>
    </row>
    <row r="101" spans="1:39" ht="8.4499999999999993" customHeight="1">
      <c r="A101" s="717"/>
      <c r="B101" s="718"/>
      <c r="C101" s="718"/>
      <c r="D101" s="718"/>
      <c r="E101" s="718"/>
      <c r="F101" s="719"/>
      <c r="G101" s="648"/>
      <c r="H101" s="648"/>
      <c r="I101" s="673"/>
      <c r="J101" s="717" t="s">
        <v>69</v>
      </c>
      <c r="K101" s="718"/>
      <c r="L101" s="719"/>
      <c r="M101" s="720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81"/>
      <c r="B102" s="682"/>
      <c r="C102" s="682"/>
      <c r="D102" s="682"/>
      <c r="E102" s="682"/>
      <c r="F102" s="683"/>
      <c r="G102" s="648"/>
      <c r="H102" s="648"/>
      <c r="I102" s="673"/>
      <c r="J102" s="714">
        <f>'Date masura OD'!$AL$5</f>
        <v>45777</v>
      </c>
      <c r="K102" s="715"/>
      <c r="L102" s="716"/>
      <c r="M102" s="720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78">
        <f>A100</f>
        <v>1373075553</v>
      </c>
      <c r="B103" s="679"/>
      <c r="C103" s="679"/>
      <c r="D103" s="679"/>
      <c r="E103" s="679"/>
      <c r="F103" s="680"/>
      <c r="G103" s="648" t="s">
        <v>696</v>
      </c>
      <c r="H103" s="648"/>
      <c r="I103" s="648"/>
      <c r="J103" s="655">
        <f t="shared" ref="J103:J108" si="4">J100</f>
        <v>45748</v>
      </c>
      <c r="K103" s="656"/>
      <c r="L103" s="657"/>
      <c r="M103" s="648" t="s">
        <v>720</v>
      </c>
      <c r="N103" s="648"/>
      <c r="O103" s="648">
        <f>O100</f>
        <v>1</v>
      </c>
      <c r="P103" s="648"/>
      <c r="Q103" s="648"/>
      <c r="R103" s="647" t="str">
        <f>VLOOKUP(A103,Regularizare!$D:$AX,29,FALSE)&amp;" ("&amp;VLOOKUP(A103,Regularizare!$D:$AX,30,FALSE)&amp;")"</f>
        <v>309384 (citit)</v>
      </c>
      <c r="S103" s="647"/>
      <c r="T103" s="647"/>
      <c r="U103" s="647" t="str">
        <f>VLOOKUP(A103,Regularizare!$D:$AX,31,FALSE)&amp;" ("&amp;VLOOKUP(A103,Regularizare!$D:$AX,32,FALSE)&amp;")"</f>
        <v>343908 (citit)</v>
      </c>
      <c r="V103" s="647"/>
      <c r="W103" s="647"/>
      <c r="X103" s="647" t="str">
        <f>VLOOKUP(A103,Regularizare!$D:$AX,39,FALSE)&amp;" ("&amp;VLOOKUP(A103,Regularizare!$D:$AX,32,FALSE)&amp;")"</f>
        <v>34524 (citit)</v>
      </c>
      <c r="Y103" s="647"/>
      <c r="Z103" s="647"/>
      <c r="AA103" s="647">
        <f>VLOOKUP(A103,Regularizare!$D:$AX,44,FALSE)+VLOOKUP(A103,Regularizare!$D:$AX,45,FALSE)</f>
        <v>34524</v>
      </c>
      <c r="AB103" s="647"/>
      <c r="AC103" s="647"/>
      <c r="AD103" s="647" t="s">
        <v>69</v>
      </c>
      <c r="AE103" s="647"/>
      <c r="AF103" s="647">
        <f>AA103</f>
        <v>34524</v>
      </c>
      <c r="AG103" s="647"/>
      <c r="AH103" s="647"/>
      <c r="AI103" s="647" t="str">
        <f>AI100</f>
        <v>-</v>
      </c>
      <c r="AJ103" s="647"/>
      <c r="AK103" s="647" t="str">
        <f>AK100</f>
        <v>-</v>
      </c>
      <c r="AL103" s="647"/>
      <c r="AM103" s="647"/>
    </row>
    <row r="104" spans="1:39" ht="8.4499999999999993" customHeight="1">
      <c r="A104" s="717"/>
      <c r="B104" s="718"/>
      <c r="C104" s="718"/>
      <c r="D104" s="718"/>
      <c r="E104" s="718"/>
      <c r="F104" s="719"/>
      <c r="G104" s="648"/>
      <c r="H104" s="648"/>
      <c r="I104" s="648"/>
      <c r="J104" s="717" t="str">
        <f t="shared" si="4"/>
        <v>-</v>
      </c>
      <c r="K104" s="718"/>
      <c r="L104" s="719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1"/>
      <c r="B105" s="682"/>
      <c r="C105" s="682"/>
      <c r="D105" s="682"/>
      <c r="E105" s="682"/>
      <c r="F105" s="683"/>
      <c r="G105" s="648"/>
      <c r="H105" s="648"/>
      <c r="I105" s="648"/>
      <c r="J105" s="714">
        <f t="shared" si="4"/>
        <v>45777</v>
      </c>
      <c r="K105" s="715"/>
      <c r="L105" s="716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78">
        <f>A103</f>
        <v>1373075553</v>
      </c>
      <c r="B106" s="679"/>
      <c r="C106" s="679"/>
      <c r="D106" s="679"/>
      <c r="E106" s="679"/>
      <c r="F106" s="680"/>
      <c r="G106" s="648" t="s">
        <v>731</v>
      </c>
      <c r="H106" s="648"/>
      <c r="I106" s="648"/>
      <c r="J106" s="655">
        <f t="shared" si="4"/>
        <v>45748</v>
      </c>
      <c r="K106" s="656"/>
      <c r="L106" s="657"/>
      <c r="M106" s="648" t="s">
        <v>720</v>
      </c>
      <c r="N106" s="648"/>
      <c r="O106" s="648">
        <f>O103</f>
        <v>1</v>
      </c>
      <c r="P106" s="648"/>
      <c r="Q106" s="648"/>
      <c r="R106" s="647" t="str">
        <f>VLOOKUP(A106,Regularizare!$D:$AX,33,FALSE)&amp;" ("&amp;VLOOKUP(A106,Regularizare!$D:$AX,34,FALSE)&amp;")"</f>
        <v>17782 (citit)</v>
      </c>
      <c r="S106" s="647"/>
      <c r="T106" s="647"/>
      <c r="U106" s="647" t="str">
        <f>VLOOKUP(A106,Regularizare!$D:$AX,35,FALSE)&amp;" ("&amp;VLOOKUP(A106,Regularizare!$D:$AX,36,FALSE)&amp;")"</f>
        <v>17840 (citit)</v>
      </c>
      <c r="V106" s="647"/>
      <c r="W106" s="647"/>
      <c r="X106" s="647" t="str">
        <f>VLOOKUP(A106,Regularizare!$D:$AX,40,FALSE)&amp;" ("&amp;VLOOKUP(A106,Regularizare!$D:$AX,36,FALSE)&amp;")"</f>
        <v>58 (citit)</v>
      </c>
      <c r="Y106" s="647"/>
      <c r="Z106" s="647"/>
      <c r="AA106" s="647">
        <f>VLOOKUP(A106,Regularizare!$D:$AX,46,FALSE)+VLOOKUP(A106,Regularizare!$D:$AX,47,FALSE)</f>
        <v>58</v>
      </c>
      <c r="AB106" s="647"/>
      <c r="AC106" s="647"/>
      <c r="AD106" s="647" t="s">
        <v>69</v>
      </c>
      <c r="AE106" s="647"/>
      <c r="AF106" s="647">
        <f>AA106</f>
        <v>58</v>
      </c>
      <c r="AG106" s="647"/>
      <c r="AH106" s="647"/>
      <c r="AI106" s="647" t="str">
        <f>AI103</f>
        <v>-</v>
      </c>
      <c r="AJ106" s="647"/>
      <c r="AK106" s="647" t="str">
        <f>AK103</f>
        <v>-</v>
      </c>
      <c r="AL106" s="647"/>
      <c r="AM106" s="647"/>
    </row>
    <row r="107" spans="1:39" ht="8.4499999999999993" customHeight="1">
      <c r="A107" s="717"/>
      <c r="B107" s="718"/>
      <c r="C107" s="718"/>
      <c r="D107" s="718"/>
      <c r="E107" s="718"/>
      <c r="F107" s="719"/>
      <c r="G107" s="648"/>
      <c r="H107" s="648"/>
      <c r="I107" s="648"/>
      <c r="J107" s="717" t="str">
        <f t="shared" si="4"/>
        <v>-</v>
      </c>
      <c r="K107" s="718"/>
      <c r="L107" s="719"/>
      <c r="M107" s="648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1"/>
      <c r="B108" s="682"/>
      <c r="C108" s="682"/>
      <c r="D108" s="682"/>
      <c r="E108" s="682"/>
      <c r="F108" s="683"/>
      <c r="G108" s="648"/>
      <c r="H108" s="648"/>
      <c r="I108" s="648"/>
      <c r="J108" s="714">
        <f t="shared" si="4"/>
        <v>45777</v>
      </c>
      <c r="K108" s="715"/>
      <c r="L108" s="716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78">
        <f>A106</f>
        <v>1373075553</v>
      </c>
      <c r="B109" s="679"/>
      <c r="C109" s="679"/>
      <c r="D109" s="679"/>
      <c r="E109" s="679"/>
      <c r="F109" s="680"/>
      <c r="G109" s="648" t="s">
        <v>730</v>
      </c>
      <c r="H109" s="648"/>
      <c r="I109" s="673"/>
      <c r="J109" s="655">
        <f>'Date masura OD'!$I$5</f>
        <v>45778</v>
      </c>
      <c r="K109" s="656"/>
      <c r="L109" s="657"/>
      <c r="M109" s="720" t="s">
        <v>446</v>
      </c>
      <c r="N109" s="648"/>
      <c r="O109" s="648">
        <f>O106</f>
        <v>1</v>
      </c>
      <c r="P109" s="648"/>
      <c r="Q109" s="648"/>
      <c r="R109" s="647" t="str">
        <f>U100</f>
        <v>2702628 (citit)</v>
      </c>
      <c r="S109" s="647"/>
      <c r="T109" s="647"/>
      <c r="U109" s="647" t="str">
        <f>VLOOKUP(A109,'Incrementare indexe'!$D:$M,4,FALSE)&amp;" (estimat)"</f>
        <v>2864016 (estimat)</v>
      </c>
      <c r="V109" s="647"/>
      <c r="W109" s="647"/>
      <c r="X109" s="647" t="str">
        <f>VLOOKUP(A109,'Incrementare indexe'!$D:$Q,11,FALSE)&amp;" (estimat)"</f>
        <v>161388 (estimat)</v>
      </c>
      <c r="Y109" s="647"/>
      <c r="Z109" s="647"/>
      <c r="AA109" s="647" t="s">
        <v>69</v>
      </c>
      <c r="AB109" s="647"/>
      <c r="AC109" s="647"/>
      <c r="AD109" s="647" t="s">
        <v>69</v>
      </c>
      <c r="AE109" s="647"/>
      <c r="AF109" s="647">
        <f>VLOOKUP(A109,'Incrementare indexe'!$D:$Q,11,FALSE)</f>
        <v>161388</v>
      </c>
      <c r="AG109" s="647"/>
      <c r="AH109" s="647"/>
      <c r="AI109" s="647">
        <f>J111-J109+1</f>
        <v>31</v>
      </c>
      <c r="AJ109" s="647"/>
      <c r="AK109" s="647">
        <f>ROUND(AF109/AI109,2)</f>
        <v>5206.0600000000004</v>
      </c>
      <c r="AL109" s="647"/>
      <c r="AM109" s="647"/>
    </row>
    <row r="110" spans="1:39" ht="8.4499999999999993" customHeight="1">
      <c r="A110" s="717"/>
      <c r="B110" s="718"/>
      <c r="C110" s="718"/>
      <c r="D110" s="718"/>
      <c r="E110" s="718"/>
      <c r="F110" s="719"/>
      <c r="G110" s="648"/>
      <c r="H110" s="648"/>
      <c r="I110" s="673"/>
      <c r="J110" s="717" t="s">
        <v>69</v>
      </c>
      <c r="K110" s="718"/>
      <c r="L110" s="719"/>
      <c r="M110" s="720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81"/>
      <c r="B111" s="682"/>
      <c r="C111" s="682"/>
      <c r="D111" s="682"/>
      <c r="E111" s="682"/>
      <c r="F111" s="683"/>
      <c r="G111" s="648"/>
      <c r="H111" s="648"/>
      <c r="I111" s="673"/>
      <c r="J111" s="714">
        <f>'Date masura OD'!$J$5</f>
        <v>45808</v>
      </c>
      <c r="K111" s="715"/>
      <c r="L111" s="716"/>
      <c r="M111" s="720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78">
        <f>A109</f>
        <v>1373075553</v>
      </c>
      <c r="B112" s="679"/>
      <c r="C112" s="679"/>
      <c r="D112" s="679"/>
      <c r="E112" s="679"/>
      <c r="F112" s="680"/>
      <c r="G112" s="648" t="s">
        <v>696</v>
      </c>
      <c r="H112" s="648"/>
      <c r="I112" s="648"/>
      <c r="J112" s="655">
        <f t="shared" ref="J112:J117" si="5">J109</f>
        <v>45778</v>
      </c>
      <c r="K112" s="656"/>
      <c r="L112" s="657"/>
      <c r="M112" s="648" t="s">
        <v>720</v>
      </c>
      <c r="N112" s="648"/>
      <c r="O112" s="648">
        <f>O109</f>
        <v>1</v>
      </c>
      <c r="P112" s="648"/>
      <c r="Q112" s="648"/>
      <c r="R112" s="647" t="str">
        <f>U103</f>
        <v>343908 (citit)</v>
      </c>
      <c r="S112" s="647"/>
      <c r="T112" s="647"/>
      <c r="U112" s="647" t="str">
        <f>VLOOKUP(A112,'Incrementare indexe'!$D:$M,8,FALSE)&amp;" (estimat)"</f>
        <v>343908 (estimat)</v>
      </c>
      <c r="V112" s="647"/>
      <c r="W112" s="647"/>
      <c r="X112" s="647" t="str">
        <f>VLOOKUP(A112,'Incrementare indexe'!$D:$Q,12,FALSE)&amp;" (estimat)"</f>
        <v>0 (estimat)</v>
      </c>
      <c r="Y112" s="647"/>
      <c r="Z112" s="647"/>
      <c r="AA112" s="647" t="s">
        <v>69</v>
      </c>
      <c r="AB112" s="647"/>
      <c r="AC112" s="647"/>
      <c r="AD112" s="647" t="s">
        <v>69</v>
      </c>
      <c r="AE112" s="647"/>
      <c r="AF112" s="647">
        <f>VLOOKUP(A112,'Incrementare indexe'!$D:$Q,12,FALSE)</f>
        <v>0</v>
      </c>
      <c r="AG112" s="647"/>
      <c r="AH112" s="647"/>
      <c r="AI112" s="647">
        <f>AI109</f>
        <v>31</v>
      </c>
      <c r="AJ112" s="647"/>
      <c r="AK112" s="647">
        <f>ROUND(AF112/AI112,2)</f>
        <v>0</v>
      </c>
      <c r="AL112" s="647"/>
      <c r="AM112" s="647"/>
    </row>
    <row r="113" spans="1:39" ht="8.4499999999999993" customHeight="1">
      <c r="A113" s="717"/>
      <c r="B113" s="718"/>
      <c r="C113" s="718"/>
      <c r="D113" s="718"/>
      <c r="E113" s="718"/>
      <c r="F113" s="719"/>
      <c r="G113" s="648"/>
      <c r="H113" s="648"/>
      <c r="I113" s="648"/>
      <c r="J113" s="717" t="str">
        <f t="shared" si="5"/>
        <v>-</v>
      </c>
      <c r="K113" s="718"/>
      <c r="L113" s="719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81"/>
      <c r="B114" s="682"/>
      <c r="C114" s="682"/>
      <c r="D114" s="682"/>
      <c r="E114" s="682"/>
      <c r="F114" s="683"/>
      <c r="G114" s="648"/>
      <c r="H114" s="648"/>
      <c r="I114" s="648"/>
      <c r="J114" s="714">
        <f t="shared" si="5"/>
        <v>45808</v>
      </c>
      <c r="K114" s="715"/>
      <c r="L114" s="716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78">
        <f>A112</f>
        <v>1373075553</v>
      </c>
      <c r="B115" s="679"/>
      <c r="C115" s="679"/>
      <c r="D115" s="679"/>
      <c r="E115" s="679"/>
      <c r="F115" s="680"/>
      <c r="G115" s="648" t="s">
        <v>731</v>
      </c>
      <c r="H115" s="648"/>
      <c r="I115" s="648"/>
      <c r="J115" s="655">
        <f t="shared" si="5"/>
        <v>45778</v>
      </c>
      <c r="K115" s="656"/>
      <c r="L115" s="657"/>
      <c r="M115" s="648" t="s">
        <v>720</v>
      </c>
      <c r="N115" s="648"/>
      <c r="O115" s="648">
        <f>O112</f>
        <v>1</v>
      </c>
      <c r="P115" s="648"/>
      <c r="Q115" s="648"/>
      <c r="R115" s="647" t="str">
        <f>U106</f>
        <v>17840 (citit)</v>
      </c>
      <c r="S115" s="647"/>
      <c r="T115" s="647"/>
      <c r="U115" s="647" t="str">
        <f>VLOOKUP(A115,'Incrementare indexe'!$D:$M,10,FALSE)&amp;" (estimat)"</f>
        <v>17840 (estimat)</v>
      </c>
      <c r="V115" s="647"/>
      <c r="W115" s="647"/>
      <c r="X115" s="647" t="str">
        <f>VLOOKUP(A115,'Incrementare indexe'!$D:$Q,13,FALSE)&amp;" (estimat)"</f>
        <v>0 (estimat)</v>
      </c>
      <c r="Y115" s="647"/>
      <c r="Z115" s="647"/>
      <c r="AA115" s="647" t="s">
        <v>69</v>
      </c>
      <c r="AB115" s="647"/>
      <c r="AC115" s="647"/>
      <c r="AD115" s="647" t="s">
        <v>69</v>
      </c>
      <c r="AE115" s="647"/>
      <c r="AF115" s="647">
        <f>VLOOKUP(A115,'Incrementare indexe'!$D:$Q,13,FALSE)</f>
        <v>0</v>
      </c>
      <c r="AG115" s="647"/>
      <c r="AH115" s="647"/>
      <c r="AI115" s="647">
        <f>AI112</f>
        <v>31</v>
      </c>
      <c r="AJ115" s="647"/>
      <c r="AK115" s="647">
        <f>ROUND(AF115/AI115,2)</f>
        <v>0</v>
      </c>
      <c r="AL115" s="647"/>
      <c r="AM115" s="647"/>
    </row>
    <row r="116" spans="1:39" ht="8.4499999999999993" customHeight="1">
      <c r="A116" s="717"/>
      <c r="B116" s="718"/>
      <c r="C116" s="718"/>
      <c r="D116" s="718"/>
      <c r="E116" s="718"/>
      <c r="F116" s="719"/>
      <c r="G116" s="648"/>
      <c r="H116" s="648"/>
      <c r="I116" s="648"/>
      <c r="J116" s="717" t="str">
        <f t="shared" si="5"/>
        <v>-</v>
      </c>
      <c r="K116" s="718"/>
      <c r="L116" s="719"/>
      <c r="M116" s="648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81"/>
      <c r="B117" s="682"/>
      <c r="C117" s="682"/>
      <c r="D117" s="682"/>
      <c r="E117" s="682"/>
      <c r="F117" s="683"/>
      <c r="G117" s="648"/>
      <c r="H117" s="648"/>
      <c r="I117" s="648"/>
      <c r="J117" s="714">
        <f t="shared" si="5"/>
        <v>45808</v>
      </c>
      <c r="K117" s="715"/>
      <c r="L117" s="716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196"/>
      <c r="B118" s="196"/>
      <c r="C118" s="196"/>
      <c r="D118" s="196"/>
      <c r="E118" s="196"/>
      <c r="F118" s="196"/>
      <c r="G118" s="196"/>
      <c r="H118" s="196"/>
      <c r="I118" s="196"/>
      <c r="J118" s="197"/>
      <c r="K118" s="197"/>
      <c r="L118" s="197"/>
      <c r="M118" s="196"/>
      <c r="N118" s="196"/>
      <c r="O118" s="196"/>
      <c r="P118" s="196"/>
      <c r="Q118" s="196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</row>
    <row r="119" spans="1:39" ht="14.1" customHeight="1">
      <c r="A119" s="196"/>
      <c r="B119" s="196"/>
      <c r="C119" s="196"/>
      <c r="D119" s="196"/>
      <c r="E119" s="196"/>
      <c r="F119" s="196"/>
      <c r="G119" s="196"/>
      <c r="H119" s="196"/>
      <c r="I119" s="196"/>
      <c r="J119" s="197"/>
      <c r="K119" s="197"/>
      <c r="L119" s="197"/>
      <c r="M119" s="196"/>
      <c r="N119" s="196"/>
      <c r="O119" s="196"/>
      <c r="P119" s="196"/>
      <c r="Q119" s="196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</row>
    <row r="120" spans="1:39" ht="14.1" customHeight="1">
      <c r="A120" s="196"/>
      <c r="B120" s="196"/>
      <c r="C120" s="196"/>
      <c r="D120" s="196"/>
      <c r="E120" s="196"/>
      <c r="F120" s="196"/>
      <c r="G120" s="196"/>
      <c r="H120" s="196"/>
      <c r="I120" s="196"/>
      <c r="J120" s="197"/>
      <c r="K120" s="197"/>
      <c r="L120" s="197"/>
      <c r="M120" s="196"/>
      <c r="N120" s="196"/>
      <c r="O120" s="196"/>
      <c r="P120" s="196"/>
      <c r="Q120" s="196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</row>
    <row r="121" spans="1:39" ht="14.1" customHeight="1">
      <c r="A121" s="721" t="s">
        <v>1196</v>
      </c>
      <c r="B121" s="722"/>
      <c r="C121" s="722"/>
      <c r="D121" s="722"/>
      <c r="E121" s="722"/>
      <c r="F121" s="722"/>
      <c r="G121" s="722"/>
      <c r="H121" s="722"/>
      <c r="I121" s="722"/>
      <c r="J121" s="722"/>
      <c r="K121" s="722"/>
      <c r="L121" s="722"/>
      <c r="M121" s="722"/>
      <c r="N121" s="722"/>
      <c r="O121" s="722"/>
      <c r="P121" s="722"/>
      <c r="Q121" s="722"/>
      <c r="R121" s="722"/>
      <c r="S121" s="722"/>
      <c r="T121" s="722"/>
      <c r="U121" s="722"/>
      <c r="V121" s="722"/>
      <c r="W121" s="722"/>
      <c r="X121" s="722"/>
      <c r="Y121" s="722"/>
      <c r="Z121" s="722"/>
      <c r="AA121" s="722"/>
      <c r="AB121" s="722"/>
      <c r="AC121" s="722"/>
      <c r="AD121" s="722"/>
      <c r="AE121" s="722"/>
      <c r="AF121" s="722"/>
      <c r="AG121" s="722"/>
      <c r="AH121" s="723"/>
      <c r="AI121" s="650" t="s">
        <v>695</v>
      </c>
      <c r="AJ121" s="650"/>
      <c r="AK121" s="650"/>
      <c r="AL121" s="650"/>
      <c r="AM121" s="650"/>
    </row>
    <row r="122" spans="1:39" ht="14.1" customHeight="1">
      <c r="A122" s="649" t="s">
        <v>746</v>
      </c>
      <c r="B122" s="649"/>
      <c r="C122" s="649"/>
      <c r="D122" s="649"/>
      <c r="E122" s="649"/>
      <c r="F122" s="649"/>
      <c r="G122" s="649"/>
      <c r="H122" s="649"/>
      <c r="I122" s="649"/>
      <c r="J122" s="649"/>
      <c r="K122" s="649"/>
      <c r="L122" s="649"/>
      <c r="M122" s="650" t="s">
        <v>514</v>
      </c>
      <c r="N122" s="650"/>
      <c r="O122" s="650"/>
      <c r="P122" s="650"/>
      <c r="Q122" s="650"/>
      <c r="R122" s="650"/>
      <c r="S122" s="650"/>
      <c r="T122" s="650"/>
      <c r="U122" s="650"/>
      <c r="V122" s="650"/>
      <c r="W122" s="650"/>
      <c r="X122" s="650"/>
      <c r="Y122" s="650"/>
      <c r="Z122" s="650"/>
      <c r="AA122" s="650"/>
      <c r="AB122" s="650"/>
      <c r="AC122" s="650"/>
      <c r="AD122" s="650"/>
      <c r="AE122" s="650"/>
      <c r="AF122" s="650"/>
      <c r="AG122" s="650"/>
      <c r="AH122" s="650"/>
      <c r="AI122" s="619" t="str">
        <f>_xlfn.CONCAT(AI86,"/PV")</f>
        <v>RBPM_2.1/PV</v>
      </c>
      <c r="AJ122" s="619"/>
      <c r="AK122" s="619"/>
      <c r="AL122" s="619"/>
      <c r="AM122" s="619"/>
    </row>
    <row r="123" spans="1:39" ht="14.1" customHeight="1">
      <c r="A123" s="649" t="s">
        <v>747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50" t="s">
        <v>1087</v>
      </c>
      <c r="N123" s="650"/>
      <c r="O123" s="650"/>
      <c r="P123" s="650"/>
      <c r="Q123" s="650"/>
      <c r="R123" s="650"/>
      <c r="S123" s="650"/>
      <c r="T123" s="650"/>
      <c r="U123" s="650"/>
      <c r="V123" s="650"/>
      <c r="W123" s="650"/>
      <c r="X123" s="650"/>
      <c r="Y123" s="650"/>
      <c r="Z123" s="650"/>
      <c r="AA123" s="650"/>
      <c r="AB123" s="650"/>
      <c r="AC123" s="650"/>
      <c r="AD123" s="650"/>
      <c r="AE123" s="650"/>
      <c r="AF123" s="650"/>
      <c r="AG123" s="650"/>
      <c r="AH123" s="650"/>
      <c r="AI123" s="619"/>
      <c r="AJ123" s="619"/>
      <c r="AK123" s="619"/>
      <c r="AL123" s="619"/>
      <c r="AM123" s="619"/>
    </row>
    <row r="124" spans="1:39" ht="14.1" customHeight="1">
      <c r="A124" s="648" t="s">
        <v>697</v>
      </c>
      <c r="B124" s="648"/>
      <c r="C124" s="648"/>
      <c r="D124" s="648"/>
      <c r="E124" s="648"/>
      <c r="F124" s="648"/>
      <c r="G124" s="647" t="s">
        <v>713</v>
      </c>
      <c r="H124" s="647"/>
      <c r="I124" s="647"/>
      <c r="J124" s="647" t="s">
        <v>714</v>
      </c>
      <c r="K124" s="647"/>
      <c r="L124" s="647"/>
      <c r="M124" s="648" t="s">
        <v>519</v>
      </c>
      <c r="N124" s="648"/>
      <c r="O124" s="648" t="s">
        <v>715</v>
      </c>
      <c r="P124" s="648"/>
      <c r="Q124" s="648"/>
      <c r="R124" s="647" t="s">
        <v>732</v>
      </c>
      <c r="S124" s="647"/>
      <c r="T124" s="647"/>
      <c r="U124" s="647" t="s">
        <v>734</v>
      </c>
      <c r="V124" s="647"/>
      <c r="W124" s="647"/>
      <c r="X124" s="647" t="s">
        <v>1085</v>
      </c>
      <c r="Y124" s="647"/>
      <c r="Z124" s="647"/>
      <c r="AA124" s="647" t="s">
        <v>1086</v>
      </c>
      <c r="AB124" s="647"/>
      <c r="AC124" s="647"/>
      <c r="AD124" s="647" t="s">
        <v>717</v>
      </c>
      <c r="AE124" s="647"/>
      <c r="AF124" s="647" t="s">
        <v>718</v>
      </c>
      <c r="AG124" s="647"/>
      <c r="AH124" s="647"/>
      <c r="AI124" s="647" t="s">
        <v>719</v>
      </c>
      <c r="AJ124" s="647"/>
      <c r="AK124" s="647" t="s">
        <v>733</v>
      </c>
      <c r="AL124" s="647"/>
      <c r="AM124" s="647"/>
    </row>
    <row r="125" spans="1:39" ht="14.1" customHeight="1">
      <c r="A125" s="648"/>
      <c r="B125" s="648"/>
      <c r="C125" s="648"/>
      <c r="D125" s="648"/>
      <c r="E125" s="648"/>
      <c r="F125" s="648"/>
      <c r="G125" s="647"/>
      <c r="H125" s="647"/>
      <c r="I125" s="647"/>
      <c r="J125" s="647"/>
      <c r="K125" s="647"/>
      <c r="L125" s="647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48"/>
      <c r="B126" s="648"/>
      <c r="C126" s="648"/>
      <c r="D126" s="648"/>
      <c r="E126" s="648"/>
      <c r="F126" s="648"/>
      <c r="G126" s="647"/>
      <c r="H126" s="647"/>
      <c r="I126" s="647"/>
      <c r="J126" s="713"/>
      <c r="K126" s="713"/>
      <c r="L126" s="713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VLOOKUP(AI122,'Incrementare indexe'!$B:$I,3,FALSE)</f>
        <v>1373362497</v>
      </c>
      <c r="B127" s="679"/>
      <c r="C127" s="679"/>
      <c r="D127" s="679"/>
      <c r="E127" s="679"/>
      <c r="F127" s="680"/>
      <c r="G127" s="647" t="s">
        <v>1088</v>
      </c>
      <c r="H127" s="647"/>
      <c r="I127" s="675"/>
      <c r="J127" s="655">
        <f>'Date masura OD'!$I$5</f>
        <v>45778</v>
      </c>
      <c r="K127" s="656"/>
      <c r="L127" s="657"/>
      <c r="M127" s="720" t="s">
        <v>446</v>
      </c>
      <c r="N127" s="648"/>
      <c r="O127" s="648">
        <f>VLOOKUP(AI122,'Incrementare indexe'!$B:$I,4,FALSE)</f>
        <v>1</v>
      </c>
      <c r="P127" s="648"/>
      <c r="Q127" s="648"/>
      <c r="R127" s="647" t="str">
        <f>VLOOKUP(AI122,'Incrementare indexe'!$B:$I,7,FALSE)&amp;" (citit)"</f>
        <v>1004454 (citit)</v>
      </c>
      <c r="S127" s="647"/>
      <c r="T127" s="647"/>
      <c r="U127" s="647" t="str">
        <f>VLOOKUP(AI122,'Incrementare indexe'!$B:$I,8,FALSE)&amp;" (citit)"</f>
        <v>1081066 (citit)</v>
      </c>
      <c r="V127" s="647"/>
      <c r="W127" s="647"/>
      <c r="X127" s="647" t="str">
        <f>(VLOOKUP(AI122,'Incrementare indexe'!$B:$I,8,FALSE)-VLOOKUP(AI122,'Incrementare indexe'!$B:$I,7,FALSE))&amp;" (citit)"</f>
        <v>76612 (citit)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f>(VLOOKUP(AI122,'Incrementare indexe'!$B:$I,8,FALSE)-VLOOKUP(AI122,'Incrementare indexe'!$B:$I,7,FALSE))</f>
        <v>76612</v>
      </c>
      <c r="AG127" s="647"/>
      <c r="AH127" s="647"/>
      <c r="AI127" s="647">
        <f>J129-J127+1</f>
        <v>31</v>
      </c>
      <c r="AJ127" s="647"/>
      <c r="AK127" s="647">
        <f>ROUND(AF127/AI127,2)</f>
        <v>2471.35</v>
      </c>
      <c r="AL127" s="647"/>
      <c r="AM127" s="647"/>
    </row>
    <row r="128" spans="1:39" ht="14.1" customHeight="1">
      <c r="A128" s="717"/>
      <c r="B128" s="718"/>
      <c r="C128" s="718"/>
      <c r="D128" s="718"/>
      <c r="E128" s="718"/>
      <c r="F128" s="719"/>
      <c r="G128" s="647"/>
      <c r="H128" s="647"/>
      <c r="I128" s="675"/>
      <c r="J128" s="717" t="s">
        <v>69</v>
      </c>
      <c r="K128" s="718"/>
      <c r="L128" s="719"/>
      <c r="M128" s="720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7"/>
      <c r="H129" s="647"/>
      <c r="I129" s="675"/>
      <c r="J129" s="714">
        <f>'Date masura OD'!$J$5</f>
        <v>45808</v>
      </c>
      <c r="K129" s="715"/>
      <c r="L129" s="716"/>
      <c r="M129" s="720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78">
        <f>A127</f>
        <v>1373362497</v>
      </c>
      <c r="B130" s="679"/>
      <c r="C130" s="679"/>
      <c r="D130" s="679"/>
      <c r="E130" s="679"/>
      <c r="F130" s="680"/>
      <c r="G130" s="648" t="s">
        <v>696</v>
      </c>
      <c r="H130" s="648"/>
      <c r="I130" s="648"/>
      <c r="J130" s="655">
        <f t="shared" ref="J130:J135" si="6">J127</f>
        <v>45778</v>
      </c>
      <c r="K130" s="656"/>
      <c r="L130" s="657"/>
      <c r="M130" s="648" t="s">
        <v>720</v>
      </c>
      <c r="N130" s="648"/>
      <c r="O130" s="648">
        <f>O127</f>
        <v>1</v>
      </c>
      <c r="P130" s="648"/>
      <c r="Q130" s="648"/>
      <c r="R130" s="647" t="s">
        <v>1089</v>
      </c>
      <c r="S130" s="647"/>
      <c r="T130" s="647"/>
      <c r="U130" s="647" t="s">
        <v>1089</v>
      </c>
      <c r="V130" s="647"/>
      <c r="W130" s="647"/>
      <c r="X130" s="647" t="s">
        <v>1089</v>
      </c>
      <c r="Y130" s="647"/>
      <c r="Z130" s="647"/>
      <c r="AA130" s="647" t="s">
        <v>69</v>
      </c>
      <c r="AB130" s="647"/>
      <c r="AC130" s="647"/>
      <c r="AD130" s="647" t="s">
        <v>69</v>
      </c>
      <c r="AE130" s="647"/>
      <c r="AF130" s="647">
        <v>0</v>
      </c>
      <c r="AG130" s="647"/>
      <c r="AH130" s="647"/>
      <c r="AI130" s="647">
        <f>AI127</f>
        <v>31</v>
      </c>
      <c r="AJ130" s="647"/>
      <c r="AK130" s="647">
        <f>ROUND(AF130/AI130,2)</f>
        <v>0</v>
      </c>
      <c r="AL130" s="647"/>
      <c r="AM130" s="647"/>
    </row>
    <row r="131" spans="1:39" ht="14.1" customHeight="1">
      <c r="A131" s="717"/>
      <c r="B131" s="718"/>
      <c r="C131" s="718"/>
      <c r="D131" s="718"/>
      <c r="E131" s="718"/>
      <c r="F131" s="719"/>
      <c r="G131" s="648"/>
      <c r="H131" s="648"/>
      <c r="I131" s="648"/>
      <c r="J131" s="717" t="str">
        <f t="shared" si="6"/>
        <v>-</v>
      </c>
      <c r="K131" s="718"/>
      <c r="L131" s="719"/>
      <c r="M131" s="648"/>
      <c r="N131" s="648"/>
      <c r="O131" s="648"/>
      <c r="P131" s="648"/>
      <c r="Q131" s="648"/>
      <c r="R131" s="647"/>
      <c r="S131" s="647"/>
      <c r="T131" s="647"/>
      <c r="U131" s="647"/>
      <c r="V131" s="647"/>
      <c r="W131" s="647"/>
      <c r="X131" s="647"/>
      <c r="Y131" s="647"/>
      <c r="Z131" s="647"/>
      <c r="AA131" s="647"/>
      <c r="AB131" s="647"/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</row>
    <row r="132" spans="1:39" ht="14.1" customHeight="1">
      <c r="A132" s="681"/>
      <c r="B132" s="682"/>
      <c r="C132" s="682"/>
      <c r="D132" s="682"/>
      <c r="E132" s="682"/>
      <c r="F132" s="683"/>
      <c r="G132" s="648"/>
      <c r="H132" s="648"/>
      <c r="I132" s="648"/>
      <c r="J132" s="714">
        <f t="shared" si="6"/>
        <v>45808</v>
      </c>
      <c r="K132" s="715"/>
      <c r="L132" s="716"/>
      <c r="M132" s="648"/>
      <c r="N132" s="648"/>
      <c r="O132" s="648"/>
      <c r="P132" s="648"/>
      <c r="Q132" s="648"/>
      <c r="R132" s="647"/>
      <c r="S132" s="647"/>
      <c r="T132" s="647"/>
      <c r="U132" s="647"/>
      <c r="V132" s="647"/>
      <c r="W132" s="647"/>
      <c r="X132" s="647"/>
      <c r="Y132" s="647"/>
      <c r="Z132" s="647"/>
      <c r="AA132" s="647"/>
      <c r="AB132" s="647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</row>
    <row r="133" spans="1:39" ht="14.1" customHeight="1">
      <c r="A133" s="678">
        <f>A130</f>
        <v>1373362497</v>
      </c>
      <c r="B133" s="679"/>
      <c r="C133" s="679"/>
      <c r="D133" s="679"/>
      <c r="E133" s="679"/>
      <c r="F133" s="680"/>
      <c r="G133" s="648" t="s">
        <v>731</v>
      </c>
      <c r="H133" s="648"/>
      <c r="I133" s="648"/>
      <c r="J133" s="655">
        <f t="shared" si="6"/>
        <v>45778</v>
      </c>
      <c r="K133" s="656"/>
      <c r="L133" s="657"/>
      <c r="M133" s="648" t="s">
        <v>720</v>
      </c>
      <c r="N133" s="648"/>
      <c r="O133" s="648">
        <f>O130</f>
        <v>1</v>
      </c>
      <c r="P133" s="648"/>
      <c r="Q133" s="648"/>
      <c r="R133" s="647" t="s">
        <v>1089</v>
      </c>
      <c r="S133" s="647"/>
      <c r="T133" s="647"/>
      <c r="U133" s="647" t="s">
        <v>1089</v>
      </c>
      <c r="V133" s="647"/>
      <c r="W133" s="647"/>
      <c r="X133" s="647" t="s">
        <v>1089</v>
      </c>
      <c r="Y133" s="647"/>
      <c r="Z133" s="647"/>
      <c r="AA133" s="647" t="s">
        <v>69</v>
      </c>
      <c r="AB133" s="647"/>
      <c r="AC133" s="647"/>
      <c r="AD133" s="647" t="s">
        <v>69</v>
      </c>
      <c r="AE133" s="647"/>
      <c r="AF133" s="647">
        <v>0</v>
      </c>
      <c r="AG133" s="647"/>
      <c r="AH133" s="647"/>
      <c r="AI133" s="647">
        <f>AI130</f>
        <v>31</v>
      </c>
      <c r="AJ133" s="647"/>
      <c r="AK133" s="647">
        <f>ROUND(AF133/AI133,2)</f>
        <v>0</v>
      </c>
      <c r="AL133" s="647"/>
      <c r="AM133" s="647"/>
    </row>
    <row r="134" spans="1:39" ht="14.1" customHeight="1">
      <c r="A134" s="717"/>
      <c r="B134" s="718"/>
      <c r="C134" s="718"/>
      <c r="D134" s="718"/>
      <c r="E134" s="718"/>
      <c r="F134" s="719"/>
      <c r="G134" s="648"/>
      <c r="H134" s="648"/>
      <c r="I134" s="648"/>
      <c r="J134" s="717" t="str">
        <f t="shared" si="6"/>
        <v>-</v>
      </c>
      <c r="K134" s="718"/>
      <c r="L134" s="719"/>
      <c r="M134" s="648"/>
      <c r="N134" s="648"/>
      <c r="O134" s="648"/>
      <c r="P134" s="648"/>
      <c r="Q134" s="648"/>
      <c r="R134" s="647"/>
      <c r="S134" s="647"/>
      <c r="T134" s="647"/>
      <c r="U134" s="647"/>
      <c r="V134" s="647"/>
      <c r="W134" s="647"/>
      <c r="X134" s="647"/>
      <c r="Y134" s="647"/>
      <c r="Z134" s="647"/>
      <c r="AA134" s="647"/>
      <c r="AB134" s="647"/>
      <c r="AC134" s="647"/>
      <c r="AD134" s="647"/>
      <c r="AE134" s="647"/>
      <c r="AF134" s="647"/>
      <c r="AG134" s="647"/>
      <c r="AH134" s="647"/>
      <c r="AI134" s="647"/>
      <c r="AJ134" s="647"/>
      <c r="AK134" s="647"/>
      <c r="AL134" s="647"/>
      <c r="AM134" s="647"/>
    </row>
    <row r="135" spans="1:39" ht="14.1" customHeight="1">
      <c r="A135" s="681"/>
      <c r="B135" s="682"/>
      <c r="C135" s="682"/>
      <c r="D135" s="682"/>
      <c r="E135" s="682"/>
      <c r="F135" s="683"/>
      <c r="G135" s="648"/>
      <c r="H135" s="648"/>
      <c r="I135" s="648"/>
      <c r="J135" s="714">
        <f t="shared" si="6"/>
        <v>45808</v>
      </c>
      <c r="K135" s="715"/>
      <c r="L135" s="716"/>
      <c r="M135" s="648"/>
      <c r="N135" s="648"/>
      <c r="O135" s="648"/>
      <c r="P135" s="648"/>
      <c r="Q135" s="648"/>
      <c r="R135" s="647"/>
      <c r="S135" s="647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647"/>
      <c r="AL135" s="647"/>
      <c r="AM135" s="647"/>
    </row>
    <row r="136" spans="1:39" ht="14.1" customHeight="1">
      <c r="A136" s="196"/>
      <c r="B136" s="196"/>
      <c r="C136" s="196"/>
      <c r="D136" s="196"/>
      <c r="E136" s="196"/>
      <c r="F136" s="196"/>
      <c r="G136" s="196"/>
      <c r="H136" s="196"/>
      <c r="I136" s="196"/>
      <c r="J136" s="197"/>
      <c r="K136" s="197"/>
      <c r="L136" s="197"/>
      <c r="M136" s="196"/>
      <c r="N136" s="196"/>
      <c r="O136" s="196"/>
      <c r="P136" s="196"/>
      <c r="Q136" s="196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</row>
    <row r="137" spans="1:39" ht="14.1" customHeight="1">
      <c r="A137" s="196"/>
      <c r="B137" s="196"/>
      <c r="C137" s="196"/>
      <c r="D137" s="196"/>
      <c r="E137" s="196"/>
      <c r="F137" s="196"/>
      <c r="G137" s="196"/>
      <c r="H137" s="196"/>
      <c r="I137" s="196"/>
      <c r="J137" s="197"/>
      <c r="K137" s="197"/>
      <c r="L137" s="197"/>
      <c r="M137" s="196"/>
      <c r="N137" s="196"/>
      <c r="O137" s="196"/>
      <c r="P137" s="196"/>
      <c r="Q137" s="196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</row>
    <row r="138" spans="1:39" ht="14.1" customHeight="1">
      <c r="A138" s="196"/>
      <c r="B138" s="196"/>
      <c r="C138" s="196"/>
      <c r="D138" s="196"/>
      <c r="E138" s="196"/>
      <c r="F138" s="196"/>
      <c r="G138" s="196"/>
      <c r="H138" s="196"/>
      <c r="I138" s="196"/>
      <c r="J138" s="197"/>
      <c r="K138" s="197"/>
      <c r="L138" s="197"/>
      <c r="M138" s="196"/>
      <c r="N138" s="196"/>
      <c r="O138" s="196"/>
      <c r="P138" s="196"/>
      <c r="Q138" s="196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</row>
    <row r="139" spans="1:39">
      <c r="A139" s="649" t="s">
        <v>748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VLOOKUP(AI140,'Contorizare in SDI'!$E:$I,4,FALSE)</f>
        <v>594030200001494937/2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50" t="s">
        <v>695</v>
      </c>
      <c r="AJ139" s="650"/>
      <c r="AK139" s="650"/>
      <c r="AL139" s="650"/>
      <c r="AM139" s="650"/>
    </row>
    <row r="140" spans="1:39" ht="14.1" customHeight="1">
      <c r="A140" s="649" t="s">
        <v>746</v>
      </c>
      <c r="B140" s="649"/>
      <c r="C140" s="649"/>
      <c r="D140" s="649"/>
      <c r="E140" s="649"/>
      <c r="F140" s="649"/>
      <c r="G140" s="649"/>
      <c r="H140" s="649"/>
      <c r="I140" s="649"/>
      <c r="J140" s="649"/>
      <c r="K140" s="649"/>
      <c r="L140" s="649"/>
      <c r="M140" s="650" t="str">
        <f>VLOOKUP(AI140,'Inchidere contur'!$G:$U,15,FALSE)</f>
        <v>JT_SDI</v>
      </c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19" t="str">
        <f>_xlfn.CONCAT(AA82,".",2)</f>
        <v>RBPM_2.2</v>
      </c>
      <c r="AJ140" s="619"/>
      <c r="AK140" s="619"/>
      <c r="AL140" s="619"/>
      <c r="AM140" s="619"/>
    </row>
    <row r="141" spans="1:39" ht="14.1" customHeight="1">
      <c r="A141" s="649" t="s">
        <v>747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50" t="str">
        <f>IF(LEFT(M140,2)="JT","0.4kV",IF(LEFT(M140,2)="MT","20kV","-"))</f>
        <v>0.4kV</v>
      </c>
      <c r="N141" s="650"/>
      <c r="O141" s="650"/>
      <c r="P141" s="650"/>
      <c r="Q141" s="650"/>
      <c r="R141" s="650"/>
      <c r="S141" s="650"/>
      <c r="T141" s="650"/>
      <c r="U141" s="650"/>
      <c r="V141" s="650"/>
      <c r="W141" s="650"/>
      <c r="X141" s="650"/>
      <c r="Y141" s="650"/>
      <c r="Z141" s="650"/>
      <c r="AA141" s="650"/>
      <c r="AB141" s="650"/>
      <c r="AC141" s="650"/>
      <c r="AD141" s="650"/>
      <c r="AE141" s="650"/>
      <c r="AF141" s="650"/>
      <c r="AG141" s="650"/>
      <c r="AH141" s="650"/>
      <c r="AI141" s="619"/>
      <c r="AJ141" s="619"/>
      <c r="AK141" s="619"/>
      <c r="AL141" s="619"/>
      <c r="AM141" s="619"/>
    </row>
    <row r="142" spans="1:39" ht="14.1" customHeight="1">
      <c r="A142" s="648" t="s">
        <v>697</v>
      </c>
      <c r="B142" s="648"/>
      <c r="C142" s="648"/>
      <c r="D142" s="648"/>
      <c r="E142" s="648"/>
      <c r="F142" s="648"/>
      <c r="G142" s="647" t="s">
        <v>713</v>
      </c>
      <c r="H142" s="647"/>
      <c r="I142" s="647"/>
      <c r="J142" s="647" t="s">
        <v>714</v>
      </c>
      <c r="K142" s="647"/>
      <c r="L142" s="647"/>
      <c r="M142" s="648" t="s">
        <v>519</v>
      </c>
      <c r="N142" s="648"/>
      <c r="O142" s="648" t="s">
        <v>715</v>
      </c>
      <c r="P142" s="648"/>
      <c r="Q142" s="648"/>
      <c r="R142" s="647" t="s">
        <v>732</v>
      </c>
      <c r="S142" s="647"/>
      <c r="T142" s="647"/>
      <c r="U142" s="647" t="s">
        <v>734</v>
      </c>
      <c r="V142" s="647"/>
      <c r="W142" s="647"/>
      <c r="X142" s="647" t="s">
        <v>1085</v>
      </c>
      <c r="Y142" s="647"/>
      <c r="Z142" s="647"/>
      <c r="AA142" s="647" t="s">
        <v>1086</v>
      </c>
      <c r="AB142" s="647"/>
      <c r="AC142" s="647"/>
      <c r="AD142" s="647" t="s">
        <v>717</v>
      </c>
      <c r="AE142" s="647"/>
      <c r="AF142" s="647" t="s">
        <v>718</v>
      </c>
      <c r="AG142" s="647"/>
      <c r="AH142" s="647"/>
      <c r="AI142" s="647" t="s">
        <v>719</v>
      </c>
      <c r="AJ142" s="647"/>
      <c r="AK142" s="647" t="s">
        <v>733</v>
      </c>
      <c r="AL142" s="647"/>
      <c r="AM142" s="647"/>
    </row>
    <row r="143" spans="1:39" ht="14.1" customHeight="1">
      <c r="A143" s="648"/>
      <c r="B143" s="648"/>
      <c r="C143" s="648"/>
      <c r="D143" s="648"/>
      <c r="E143" s="648"/>
      <c r="F143" s="648"/>
      <c r="G143" s="647"/>
      <c r="H143" s="647"/>
      <c r="I143" s="647"/>
      <c r="J143" s="647"/>
      <c r="K143" s="647"/>
      <c r="L143" s="647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48"/>
      <c r="B144" s="648"/>
      <c r="C144" s="648"/>
      <c r="D144" s="648"/>
      <c r="E144" s="648"/>
      <c r="F144" s="648"/>
      <c r="G144" s="647"/>
      <c r="H144" s="647"/>
      <c r="I144" s="647"/>
      <c r="J144" s="713"/>
      <c r="K144" s="713"/>
      <c r="L144" s="713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78">
        <f>VLOOKUP(AI140,'Contorizare in SDI'!$E:$I,5,FALSE)</f>
        <v>1373265813</v>
      </c>
      <c r="B145" s="679"/>
      <c r="C145" s="679"/>
      <c r="D145" s="679"/>
      <c r="E145" s="679"/>
      <c r="F145" s="680"/>
      <c r="G145" s="648" t="s">
        <v>730</v>
      </c>
      <c r="H145" s="648"/>
      <c r="I145" s="673"/>
      <c r="J145" s="655">
        <f>'Date masura OD'!$AK$5</f>
        <v>45748</v>
      </c>
      <c r="K145" s="656"/>
      <c r="L145" s="657"/>
      <c r="M145" s="720" t="s">
        <v>446</v>
      </c>
      <c r="N145" s="648"/>
      <c r="O145" s="648">
        <f>VLOOKUP(AI140,'Incrementare indexe'!$B:$T,4,FALSE)</f>
        <v>1</v>
      </c>
      <c r="P145" s="648"/>
      <c r="Q145" s="648"/>
      <c r="R145" s="647" t="str">
        <f>VLOOKUP(A145,Regularizare!$D:$YN,3,FALSE)&amp;" ("&amp;VLOOKUP(A145,Regularizare!$D:$Y,11,FALSE)&amp;")"</f>
        <v>1833369 (citit)</v>
      </c>
      <c r="S145" s="647"/>
      <c r="T145" s="647"/>
      <c r="U145" s="647" t="str">
        <f>VLOOKUP(A145,Regularizare!$D:$U,4,FALSE)&amp;" ("&amp;VLOOKUP(A145,Regularizare!$D:$U,12,FALSE)&amp;")"</f>
        <v>1934438 (estimat)</v>
      </c>
      <c r="V145" s="647"/>
      <c r="W145" s="647"/>
      <c r="X145" s="647" t="str">
        <f>VLOOKUP(A145,Regularizare!$D:$Y,19,FALSE)&amp;" ("&amp;VLOOKUP(A145,Regularizare!$D:$U,12,FALSE)&amp;")"</f>
        <v>101069 (estimat)</v>
      </c>
      <c r="Y145" s="647"/>
      <c r="Z145" s="647"/>
      <c r="AA145" s="647">
        <f>(-1)*VLOOKUP(A145,Regularizare!$D:$Y,19,FALSE)</f>
        <v>-101069</v>
      </c>
      <c r="AB145" s="647"/>
      <c r="AC145" s="647"/>
      <c r="AD145" s="647" t="s">
        <v>69</v>
      </c>
      <c r="AE145" s="647"/>
      <c r="AF145" s="647">
        <f>AA145</f>
        <v>-101069</v>
      </c>
      <c r="AG145" s="647"/>
      <c r="AH145" s="647"/>
      <c r="AI145" s="647" t="s">
        <v>69</v>
      </c>
      <c r="AJ145" s="647"/>
      <c r="AK145" s="647" t="s">
        <v>69</v>
      </c>
      <c r="AL145" s="647"/>
      <c r="AM145" s="647"/>
    </row>
    <row r="146" spans="1:39" ht="14.1" customHeight="1">
      <c r="A146" s="717"/>
      <c r="B146" s="718"/>
      <c r="C146" s="718"/>
      <c r="D146" s="718"/>
      <c r="E146" s="718"/>
      <c r="F146" s="719"/>
      <c r="G146" s="648"/>
      <c r="H146" s="648"/>
      <c r="I146" s="673"/>
      <c r="J146" s="717" t="s">
        <v>69</v>
      </c>
      <c r="K146" s="718"/>
      <c r="L146" s="719"/>
      <c r="M146" s="720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1"/>
      <c r="B147" s="682"/>
      <c r="C147" s="682"/>
      <c r="D147" s="682"/>
      <c r="E147" s="682"/>
      <c r="F147" s="683"/>
      <c r="G147" s="648"/>
      <c r="H147" s="648"/>
      <c r="I147" s="673"/>
      <c r="J147" s="714">
        <f>'Date masura OD'!$AL$5</f>
        <v>45777</v>
      </c>
      <c r="K147" s="715"/>
      <c r="L147" s="716"/>
      <c r="M147" s="720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78">
        <f>A145</f>
        <v>1373265813</v>
      </c>
      <c r="B148" s="679"/>
      <c r="C148" s="679"/>
      <c r="D148" s="679"/>
      <c r="E148" s="679"/>
      <c r="F148" s="680"/>
      <c r="G148" s="648" t="s">
        <v>696</v>
      </c>
      <c r="H148" s="648"/>
      <c r="I148" s="648"/>
      <c r="J148" s="655">
        <f t="shared" ref="J148:J153" si="7">J145</f>
        <v>45748</v>
      </c>
      <c r="K148" s="656"/>
      <c r="L148" s="657"/>
      <c r="M148" s="648" t="s">
        <v>720</v>
      </c>
      <c r="N148" s="648"/>
      <c r="O148" s="648">
        <f>O145</f>
        <v>1</v>
      </c>
      <c r="P148" s="648"/>
      <c r="Q148" s="648"/>
      <c r="R148" s="647" t="str">
        <f>VLOOKUP(A148,Regularizare!$D:$U,7,FALSE)&amp;" ("&amp;VLOOKUP(A148,Regularizare!$D:$U,15,FALSE)&amp;")"</f>
        <v>314906 (citit)</v>
      </c>
      <c r="S148" s="647"/>
      <c r="T148" s="647"/>
      <c r="U148" s="647" t="str">
        <f>VLOOKUP(A148,Regularizare!$D:$U,8,FALSE)&amp;" ("&amp;VLOOKUP(A148,Regularizare!$D:$U,16,FALSE)&amp;")"</f>
        <v>314906 (estimat)</v>
      </c>
      <c r="V148" s="647"/>
      <c r="W148" s="647"/>
      <c r="X148" s="647" t="str">
        <f>_xlfn.CONCAT(VLOOKUP(A148,Regularizare!$D:$U,8,FALSE)-VLOOKUP(A148,Regularizare!$D:$U,7,FALSE)," (",VLOOKUP(A148,Regularizare!$D:$U,16,FALSE),")")</f>
        <v>0 (estimat)</v>
      </c>
      <c r="Y148" s="647"/>
      <c r="Z148" s="647"/>
      <c r="AA148" s="647">
        <f>IF(VLOOKUP(A148,Regularizare!$D:$Y,21,FALSE)=0,VLOOKUP(A148,Regularizare!$D:$Y,21,FALSE),(-1)*VLOOKUP(A148,Regularizare!$D:$Y,21,FALSE))</f>
        <v>0</v>
      </c>
      <c r="AB148" s="647"/>
      <c r="AC148" s="647"/>
      <c r="AD148" s="647" t="s">
        <v>69</v>
      </c>
      <c r="AE148" s="647"/>
      <c r="AF148" s="647">
        <f>AA148</f>
        <v>0</v>
      </c>
      <c r="AG148" s="647"/>
      <c r="AH148" s="647"/>
      <c r="AI148" s="647" t="str">
        <f>AI145</f>
        <v>-</v>
      </c>
      <c r="AJ148" s="647"/>
      <c r="AK148" s="647" t="str">
        <f>AK145</f>
        <v>-</v>
      </c>
      <c r="AL148" s="647"/>
      <c r="AM148" s="647"/>
    </row>
    <row r="149" spans="1:39" ht="14.1" customHeight="1">
      <c r="A149" s="717"/>
      <c r="B149" s="718"/>
      <c r="C149" s="718"/>
      <c r="D149" s="718"/>
      <c r="E149" s="718"/>
      <c r="F149" s="719"/>
      <c r="G149" s="648"/>
      <c r="H149" s="648"/>
      <c r="I149" s="648"/>
      <c r="J149" s="717" t="str">
        <f t="shared" si="7"/>
        <v>-</v>
      </c>
      <c r="K149" s="718"/>
      <c r="L149" s="719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1"/>
      <c r="B150" s="682"/>
      <c r="C150" s="682"/>
      <c r="D150" s="682"/>
      <c r="E150" s="682"/>
      <c r="F150" s="683"/>
      <c r="G150" s="648"/>
      <c r="H150" s="648"/>
      <c r="I150" s="648"/>
      <c r="J150" s="714">
        <f t="shared" si="7"/>
        <v>45777</v>
      </c>
      <c r="K150" s="715"/>
      <c r="L150" s="716"/>
      <c r="M150" s="648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78">
        <f>A148</f>
        <v>1373265813</v>
      </c>
      <c r="B151" s="679"/>
      <c r="C151" s="679"/>
      <c r="D151" s="679"/>
      <c r="E151" s="679"/>
      <c r="F151" s="680"/>
      <c r="G151" s="648" t="s">
        <v>731</v>
      </c>
      <c r="H151" s="648"/>
      <c r="I151" s="648"/>
      <c r="J151" s="655">
        <f t="shared" si="7"/>
        <v>45748</v>
      </c>
      <c r="K151" s="656"/>
      <c r="L151" s="657"/>
      <c r="M151" s="648" t="s">
        <v>720</v>
      </c>
      <c r="N151" s="648"/>
      <c r="O151" s="648">
        <f>O148</f>
        <v>1</v>
      </c>
      <c r="P151" s="648"/>
      <c r="Q151" s="648"/>
      <c r="R151" s="647" t="str">
        <f>VLOOKUP(A151,Regularizare!$D:$U,9,FALSE)&amp;" ("&amp;VLOOKUP(A151,Regularizare!$D:$U,17,FALSE)&amp;")"</f>
        <v>2275 (citit)</v>
      </c>
      <c r="S151" s="647"/>
      <c r="T151" s="647"/>
      <c r="U151" s="647" t="str">
        <f>VLOOKUP(A151,Regularizare!$D:$U,10,FALSE)&amp;" ("&amp;VLOOKUP(A151,Regularizare!$D:$U,18,FALSE)&amp;")"</f>
        <v>2275 (estimat)</v>
      </c>
      <c r="V151" s="647"/>
      <c r="W151" s="647"/>
      <c r="X151" s="647" t="str">
        <f>_xlfn.CONCAT(VLOOKUP(A151,Regularizare!$D:$U,10,FALSE)-VLOOKUP(A151,Regularizare!$D:$U,9,FALSE)," (",VLOOKUP(A151,Regularizare!$D:$U,18,FALSE),")")</f>
        <v>0 (estimat)</v>
      </c>
      <c r="Y151" s="647"/>
      <c r="Z151" s="647"/>
      <c r="AA151" s="647">
        <f>IF(VLOOKUP(A151,Regularizare!$D:$Y,22,FALSE)=0,VLOOKUP(A151,Regularizare!$D:$Y,22,FALSE),(-1)*VLOOKUP(A151,Regularizare!$D:$Y,22,FALSE))</f>
        <v>0</v>
      </c>
      <c r="AB151" s="647"/>
      <c r="AC151" s="647"/>
      <c r="AD151" s="647" t="s">
        <v>69</v>
      </c>
      <c r="AE151" s="647"/>
      <c r="AF151" s="647">
        <f>AA151</f>
        <v>0</v>
      </c>
      <c r="AG151" s="647"/>
      <c r="AH151" s="647"/>
      <c r="AI151" s="647" t="str">
        <f>AI148</f>
        <v>-</v>
      </c>
      <c r="AJ151" s="647"/>
      <c r="AK151" s="647" t="str">
        <f>AK148</f>
        <v>-</v>
      </c>
      <c r="AL151" s="647"/>
      <c r="AM151" s="647"/>
    </row>
    <row r="152" spans="1:39" ht="14.1" customHeight="1">
      <c r="A152" s="717"/>
      <c r="B152" s="718"/>
      <c r="C152" s="718"/>
      <c r="D152" s="718"/>
      <c r="E152" s="718"/>
      <c r="F152" s="719"/>
      <c r="G152" s="648"/>
      <c r="H152" s="648"/>
      <c r="I152" s="648"/>
      <c r="J152" s="717" t="str">
        <f t="shared" si="7"/>
        <v>-</v>
      </c>
      <c r="K152" s="718"/>
      <c r="L152" s="719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1"/>
      <c r="B153" s="682"/>
      <c r="C153" s="682"/>
      <c r="D153" s="682"/>
      <c r="E153" s="682"/>
      <c r="F153" s="683"/>
      <c r="G153" s="648"/>
      <c r="H153" s="648"/>
      <c r="I153" s="648"/>
      <c r="J153" s="714">
        <f t="shared" si="7"/>
        <v>45777</v>
      </c>
      <c r="K153" s="715"/>
      <c r="L153" s="716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78">
        <f>A151</f>
        <v>1373265813</v>
      </c>
      <c r="B154" s="679"/>
      <c r="C154" s="679"/>
      <c r="D154" s="679"/>
      <c r="E154" s="679"/>
      <c r="F154" s="680"/>
      <c r="G154" s="648" t="s">
        <v>730</v>
      </c>
      <c r="H154" s="648"/>
      <c r="I154" s="673"/>
      <c r="J154" s="655">
        <f>'Date masura OD'!$AK$5</f>
        <v>45748</v>
      </c>
      <c r="K154" s="656"/>
      <c r="L154" s="657"/>
      <c r="M154" s="720" t="s">
        <v>446</v>
      </c>
      <c r="N154" s="648"/>
      <c r="O154" s="648">
        <f>O151</f>
        <v>1</v>
      </c>
      <c r="P154" s="648"/>
      <c r="Q154" s="648"/>
      <c r="R154" s="647" t="str">
        <f>VLOOKUP(A154,Regularizare!$D:$AX,23,FALSE)&amp;" ("&amp;VLOOKUP(A154,Regularizare!$D:$AX,24,FALSE)&amp;")"</f>
        <v>1833369 (citit)</v>
      </c>
      <c r="S154" s="647"/>
      <c r="T154" s="647"/>
      <c r="U154" s="647" t="str">
        <f>VLOOKUP(A154,Regularizare!$D:$AX,25,FALSE)&amp;" ("&amp;VLOOKUP(A154,Regularizare!$D:$AX,26,FALSE)&amp;")"</f>
        <v>1934438 (citit)</v>
      </c>
      <c r="V154" s="647"/>
      <c r="W154" s="647"/>
      <c r="X154" s="647" t="str">
        <f>VLOOKUP(A154,Regularizare!$D:$AX,37,FALSE)&amp;" ("&amp;VLOOKUP(A154,Regularizare!$D:$AX,26,FALSE)&amp;")"</f>
        <v>101069 (citit)</v>
      </c>
      <c r="Y154" s="647"/>
      <c r="Z154" s="647"/>
      <c r="AA154" s="647">
        <f>VLOOKUP(A154,Regularizare!$D:$AX,37,FALSE)</f>
        <v>101069</v>
      </c>
      <c r="AB154" s="647"/>
      <c r="AC154" s="647"/>
      <c r="AD154" s="647" t="s">
        <v>69</v>
      </c>
      <c r="AE154" s="647"/>
      <c r="AF154" s="647">
        <f>AA154</f>
        <v>101069</v>
      </c>
      <c r="AG154" s="647"/>
      <c r="AH154" s="647"/>
      <c r="AI154" s="647" t="str">
        <f>AI151</f>
        <v>-</v>
      </c>
      <c r="AJ154" s="647"/>
      <c r="AK154" s="647" t="str">
        <f>AK151</f>
        <v>-</v>
      </c>
      <c r="AL154" s="647"/>
      <c r="AM154" s="647"/>
    </row>
    <row r="155" spans="1:39" ht="14.1" customHeight="1">
      <c r="A155" s="717"/>
      <c r="B155" s="718"/>
      <c r="C155" s="718"/>
      <c r="D155" s="718"/>
      <c r="E155" s="718"/>
      <c r="F155" s="719"/>
      <c r="G155" s="648"/>
      <c r="H155" s="648"/>
      <c r="I155" s="673"/>
      <c r="J155" s="717" t="s">
        <v>69</v>
      </c>
      <c r="K155" s="718"/>
      <c r="L155" s="719"/>
      <c r="M155" s="720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1"/>
      <c r="B156" s="682"/>
      <c r="C156" s="682"/>
      <c r="D156" s="682"/>
      <c r="E156" s="682"/>
      <c r="F156" s="683"/>
      <c r="G156" s="648"/>
      <c r="H156" s="648"/>
      <c r="I156" s="673"/>
      <c r="J156" s="714">
        <f>'Date masura OD'!$AL$5</f>
        <v>45777</v>
      </c>
      <c r="K156" s="715"/>
      <c r="L156" s="716"/>
      <c r="M156" s="720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78">
        <f>A154</f>
        <v>1373265813</v>
      </c>
      <c r="B157" s="679"/>
      <c r="C157" s="679"/>
      <c r="D157" s="679"/>
      <c r="E157" s="679"/>
      <c r="F157" s="680"/>
      <c r="G157" s="648" t="s">
        <v>696</v>
      </c>
      <c r="H157" s="648"/>
      <c r="I157" s="648"/>
      <c r="J157" s="655">
        <f t="shared" ref="J157:J162" si="8">J154</f>
        <v>45748</v>
      </c>
      <c r="K157" s="656"/>
      <c r="L157" s="657"/>
      <c r="M157" s="648" t="s">
        <v>720</v>
      </c>
      <c r="N157" s="648"/>
      <c r="O157" s="648">
        <f>O154</f>
        <v>1</v>
      </c>
      <c r="P157" s="648"/>
      <c r="Q157" s="648"/>
      <c r="R157" s="647" t="str">
        <f>VLOOKUP(A157,Regularizare!$D:$AX,29,FALSE)&amp;" ("&amp;VLOOKUP(A157,Regularizare!$D:$AX,30,FALSE)&amp;")"</f>
        <v>314906 (citit)</v>
      </c>
      <c r="S157" s="647"/>
      <c r="T157" s="647"/>
      <c r="U157" s="647" t="str">
        <f>VLOOKUP(A157,Regularizare!$D:$AX,31,FALSE)&amp;" ("&amp;VLOOKUP(A157,Regularizare!$D:$AX,32,FALSE)&amp;")"</f>
        <v>340015 (citit)</v>
      </c>
      <c r="V157" s="647"/>
      <c r="W157" s="647"/>
      <c r="X157" s="647" t="str">
        <f>VLOOKUP(A157,Regularizare!$D:$AX,39,FALSE)&amp;" ("&amp;VLOOKUP(A157,Regularizare!$D:$AX,32,FALSE)&amp;")"</f>
        <v>25109 (citit)</v>
      </c>
      <c r="Y157" s="647"/>
      <c r="Z157" s="647"/>
      <c r="AA157" s="647">
        <f>VLOOKUP(A157,Regularizare!$D:$AX,44,FALSE)+VLOOKUP(A157,Regularizare!$D:$AX,45,FALSE)</f>
        <v>25109</v>
      </c>
      <c r="AB157" s="647"/>
      <c r="AC157" s="647"/>
      <c r="AD157" s="647" t="s">
        <v>69</v>
      </c>
      <c r="AE157" s="647"/>
      <c r="AF157" s="647">
        <f>AA157</f>
        <v>25109</v>
      </c>
      <c r="AG157" s="647"/>
      <c r="AH157" s="647"/>
      <c r="AI157" s="647" t="str">
        <f>AI154</f>
        <v>-</v>
      </c>
      <c r="AJ157" s="647"/>
      <c r="AK157" s="647" t="str">
        <f>AK154</f>
        <v>-</v>
      </c>
      <c r="AL157" s="647"/>
      <c r="AM157" s="647"/>
    </row>
    <row r="158" spans="1:39" ht="14.1" customHeight="1">
      <c r="A158" s="717"/>
      <c r="B158" s="718"/>
      <c r="C158" s="718"/>
      <c r="D158" s="718"/>
      <c r="E158" s="718"/>
      <c r="F158" s="719"/>
      <c r="G158" s="648"/>
      <c r="H158" s="648"/>
      <c r="I158" s="648"/>
      <c r="J158" s="717" t="str">
        <f t="shared" si="8"/>
        <v>-</v>
      </c>
      <c r="K158" s="718"/>
      <c r="L158" s="719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1"/>
      <c r="B159" s="682"/>
      <c r="C159" s="682"/>
      <c r="D159" s="682"/>
      <c r="E159" s="682"/>
      <c r="F159" s="683"/>
      <c r="G159" s="648"/>
      <c r="H159" s="648"/>
      <c r="I159" s="648"/>
      <c r="J159" s="714">
        <f t="shared" si="8"/>
        <v>45777</v>
      </c>
      <c r="K159" s="715"/>
      <c r="L159" s="716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78">
        <f>A157</f>
        <v>1373265813</v>
      </c>
      <c r="B160" s="679"/>
      <c r="C160" s="679"/>
      <c r="D160" s="679"/>
      <c r="E160" s="679"/>
      <c r="F160" s="680"/>
      <c r="G160" s="648" t="s">
        <v>731</v>
      </c>
      <c r="H160" s="648"/>
      <c r="I160" s="648"/>
      <c r="J160" s="655">
        <f t="shared" si="8"/>
        <v>45748</v>
      </c>
      <c r="K160" s="656"/>
      <c r="L160" s="657"/>
      <c r="M160" s="648" t="s">
        <v>720</v>
      </c>
      <c r="N160" s="648"/>
      <c r="O160" s="648">
        <f>O157</f>
        <v>1</v>
      </c>
      <c r="P160" s="648"/>
      <c r="Q160" s="648"/>
      <c r="R160" s="647" t="str">
        <f>VLOOKUP(A160,Regularizare!$D:$AX,33,FALSE)&amp;" ("&amp;VLOOKUP(A160,Regularizare!$D:$AX,34,FALSE)&amp;")"</f>
        <v>2275 (citit)</v>
      </c>
      <c r="S160" s="647"/>
      <c r="T160" s="647"/>
      <c r="U160" s="647" t="str">
        <f>VLOOKUP(A160,Regularizare!$D:$AX,35,FALSE)&amp;" ("&amp;VLOOKUP(A160,Regularizare!$D:$AX,36,FALSE)&amp;")"</f>
        <v>2316 (citit)</v>
      </c>
      <c r="V160" s="647"/>
      <c r="W160" s="647"/>
      <c r="X160" s="647" t="str">
        <f>VLOOKUP(A160,Regularizare!$D:$AX,40,FALSE)&amp;" ("&amp;VLOOKUP(A160,Regularizare!$D:$AX,36,FALSE)&amp;")"</f>
        <v>41 (citit)</v>
      </c>
      <c r="Y160" s="647"/>
      <c r="Z160" s="647"/>
      <c r="AA160" s="647">
        <f>VLOOKUP(A160,Regularizare!$D:$AX,46,FALSE)+VLOOKUP(A160,Regularizare!$D:$AX,47,FALSE)</f>
        <v>41</v>
      </c>
      <c r="AB160" s="647"/>
      <c r="AC160" s="647"/>
      <c r="AD160" s="647" t="s">
        <v>69</v>
      </c>
      <c r="AE160" s="647"/>
      <c r="AF160" s="647">
        <f>AA160</f>
        <v>41</v>
      </c>
      <c r="AG160" s="647"/>
      <c r="AH160" s="647"/>
      <c r="AI160" s="647" t="str">
        <f>AI157</f>
        <v>-</v>
      </c>
      <c r="AJ160" s="647"/>
      <c r="AK160" s="647" t="str">
        <f>AK157</f>
        <v>-</v>
      </c>
      <c r="AL160" s="647"/>
      <c r="AM160" s="647"/>
    </row>
    <row r="161" spans="1:39" ht="14.1" customHeight="1">
      <c r="A161" s="717"/>
      <c r="B161" s="718"/>
      <c r="C161" s="718"/>
      <c r="D161" s="718"/>
      <c r="E161" s="718"/>
      <c r="F161" s="719"/>
      <c r="G161" s="648"/>
      <c r="H161" s="648"/>
      <c r="I161" s="648"/>
      <c r="J161" s="717" t="str">
        <f t="shared" si="8"/>
        <v>-</v>
      </c>
      <c r="K161" s="718"/>
      <c r="L161" s="719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1"/>
      <c r="B162" s="682"/>
      <c r="C162" s="682"/>
      <c r="D162" s="682"/>
      <c r="E162" s="682"/>
      <c r="F162" s="683"/>
      <c r="G162" s="648"/>
      <c r="H162" s="648"/>
      <c r="I162" s="648"/>
      <c r="J162" s="714">
        <f t="shared" si="8"/>
        <v>45777</v>
      </c>
      <c r="K162" s="715"/>
      <c r="L162" s="716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78">
        <f>A160</f>
        <v>1373265813</v>
      </c>
      <c r="B163" s="679"/>
      <c r="C163" s="679"/>
      <c r="D163" s="679"/>
      <c r="E163" s="679"/>
      <c r="F163" s="680"/>
      <c r="G163" s="648" t="s">
        <v>730</v>
      </c>
      <c r="H163" s="648"/>
      <c r="I163" s="673"/>
      <c r="J163" s="655">
        <f>'Date masura OD'!$I$5</f>
        <v>45778</v>
      </c>
      <c r="K163" s="656"/>
      <c r="L163" s="657"/>
      <c r="M163" s="720" t="s">
        <v>446</v>
      </c>
      <c r="N163" s="648"/>
      <c r="O163" s="648">
        <f>O160</f>
        <v>1</v>
      </c>
      <c r="P163" s="648"/>
      <c r="Q163" s="648"/>
      <c r="R163" s="647" t="str">
        <f>U154</f>
        <v>1934438 (citit)</v>
      </c>
      <c r="S163" s="647"/>
      <c r="T163" s="647"/>
      <c r="U163" s="647" t="str">
        <f>VLOOKUP(A163,'Incrementare indexe'!$D:$M,4,FALSE)&amp;" (estimat)"</f>
        <v>2011656 (estimat)</v>
      </c>
      <c r="V163" s="647"/>
      <c r="W163" s="647"/>
      <c r="X163" s="647" t="str">
        <f>VLOOKUP(A163,'Incrementare indexe'!$D:$Q,11,FALSE)&amp;" (estimat)"</f>
        <v>77218 (estimat)</v>
      </c>
      <c r="Y163" s="647"/>
      <c r="Z163" s="647"/>
      <c r="AA163" s="647" t="s">
        <v>69</v>
      </c>
      <c r="AB163" s="647"/>
      <c r="AC163" s="647"/>
      <c r="AD163" s="647" t="s">
        <v>69</v>
      </c>
      <c r="AE163" s="647"/>
      <c r="AF163" s="647">
        <f>VLOOKUP(A163,'Incrementare indexe'!$D:$Q,11,FALSE)</f>
        <v>77218</v>
      </c>
      <c r="AG163" s="647"/>
      <c r="AH163" s="647"/>
      <c r="AI163" s="647">
        <f>J165-J163+1</f>
        <v>31</v>
      </c>
      <c r="AJ163" s="647"/>
      <c r="AK163" s="647">
        <f>ROUND(AF163/AI163,2)</f>
        <v>2490.9</v>
      </c>
      <c r="AL163" s="647"/>
      <c r="AM163" s="647"/>
    </row>
    <row r="164" spans="1:39" ht="14.1" customHeight="1">
      <c r="A164" s="717"/>
      <c r="B164" s="718"/>
      <c r="C164" s="718"/>
      <c r="D164" s="718"/>
      <c r="E164" s="718"/>
      <c r="F164" s="719"/>
      <c r="G164" s="648"/>
      <c r="H164" s="648"/>
      <c r="I164" s="673"/>
      <c r="J164" s="717" t="s">
        <v>69</v>
      </c>
      <c r="K164" s="718"/>
      <c r="L164" s="719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1"/>
      <c r="B165" s="682"/>
      <c r="C165" s="682"/>
      <c r="D165" s="682"/>
      <c r="E165" s="682"/>
      <c r="F165" s="683"/>
      <c r="G165" s="648"/>
      <c r="H165" s="648"/>
      <c r="I165" s="673"/>
      <c r="J165" s="714">
        <f>'Date masura OD'!$J$5</f>
        <v>45808</v>
      </c>
      <c r="K165" s="715"/>
      <c r="L165" s="716"/>
      <c r="M165" s="720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78">
        <f>A163</f>
        <v>1373265813</v>
      </c>
      <c r="B166" s="679"/>
      <c r="C166" s="679"/>
      <c r="D166" s="679"/>
      <c r="E166" s="679"/>
      <c r="F166" s="680"/>
      <c r="G166" s="648" t="s">
        <v>696</v>
      </c>
      <c r="H166" s="648"/>
      <c r="I166" s="648"/>
      <c r="J166" s="655">
        <f t="shared" ref="J166:J171" si="9">J163</f>
        <v>45778</v>
      </c>
      <c r="K166" s="656"/>
      <c r="L166" s="657"/>
      <c r="M166" s="648" t="s">
        <v>720</v>
      </c>
      <c r="N166" s="648"/>
      <c r="O166" s="648">
        <f>O163</f>
        <v>1</v>
      </c>
      <c r="P166" s="648"/>
      <c r="Q166" s="648"/>
      <c r="R166" s="647" t="str">
        <f>U157</f>
        <v>340015 (citit)</v>
      </c>
      <c r="S166" s="647"/>
      <c r="T166" s="647"/>
      <c r="U166" s="647" t="str">
        <f>VLOOKUP(A166,'Incrementare indexe'!$D:$M,8,FALSE)&amp;" (estimat)"</f>
        <v>340015 (estimat)</v>
      </c>
      <c r="V166" s="647"/>
      <c r="W166" s="647"/>
      <c r="X166" s="647" t="str">
        <f>VLOOKUP(A166,'Incrementare indexe'!$D:$Q,12,FALSE)&amp;" (estimat)"</f>
        <v>0 (estimat)</v>
      </c>
      <c r="Y166" s="647"/>
      <c r="Z166" s="647"/>
      <c r="AA166" s="647" t="s">
        <v>69</v>
      </c>
      <c r="AB166" s="647"/>
      <c r="AC166" s="647"/>
      <c r="AD166" s="647" t="s">
        <v>69</v>
      </c>
      <c r="AE166" s="647"/>
      <c r="AF166" s="647">
        <f>VLOOKUP(A166,'Incrementare indexe'!$D:$Q,12,FALSE)</f>
        <v>0</v>
      </c>
      <c r="AG166" s="647"/>
      <c r="AH166" s="647"/>
      <c r="AI166" s="647">
        <f>AI163</f>
        <v>31</v>
      </c>
      <c r="AJ166" s="647"/>
      <c r="AK166" s="647">
        <f>ROUND(AF166/AI166,2)</f>
        <v>0</v>
      </c>
      <c r="AL166" s="647"/>
      <c r="AM166" s="647"/>
    </row>
    <row r="167" spans="1:39" ht="14.1" customHeight="1">
      <c r="A167" s="717"/>
      <c r="B167" s="718"/>
      <c r="C167" s="718"/>
      <c r="D167" s="718"/>
      <c r="E167" s="718"/>
      <c r="F167" s="719"/>
      <c r="G167" s="648"/>
      <c r="H167" s="648"/>
      <c r="I167" s="648"/>
      <c r="J167" s="717" t="str">
        <f t="shared" si="9"/>
        <v>-</v>
      </c>
      <c r="K167" s="718"/>
      <c r="L167" s="719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1"/>
      <c r="B168" s="682"/>
      <c r="C168" s="682"/>
      <c r="D168" s="682"/>
      <c r="E168" s="682"/>
      <c r="F168" s="683"/>
      <c r="G168" s="648"/>
      <c r="H168" s="648"/>
      <c r="I168" s="648"/>
      <c r="J168" s="714">
        <f t="shared" si="9"/>
        <v>45808</v>
      </c>
      <c r="K168" s="715"/>
      <c r="L168" s="716"/>
      <c r="M168" s="648"/>
      <c r="N168" s="648"/>
      <c r="O168" s="648"/>
      <c r="P168" s="648"/>
      <c r="Q168" s="648"/>
      <c r="R168" s="647"/>
      <c r="S168" s="647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47"/>
      <c r="AL168" s="647"/>
      <c r="AM168" s="647"/>
    </row>
    <row r="169" spans="1:39" ht="14.1" customHeight="1">
      <c r="A169" s="678">
        <f>A166</f>
        <v>1373265813</v>
      </c>
      <c r="B169" s="679"/>
      <c r="C169" s="679"/>
      <c r="D169" s="679"/>
      <c r="E169" s="679"/>
      <c r="F169" s="680"/>
      <c r="G169" s="648" t="s">
        <v>731</v>
      </c>
      <c r="H169" s="648"/>
      <c r="I169" s="648"/>
      <c r="J169" s="655">
        <f t="shared" si="9"/>
        <v>45778</v>
      </c>
      <c r="K169" s="656"/>
      <c r="L169" s="657"/>
      <c r="M169" s="648" t="s">
        <v>720</v>
      </c>
      <c r="N169" s="648"/>
      <c r="O169" s="648">
        <f>O166</f>
        <v>1</v>
      </c>
      <c r="P169" s="648"/>
      <c r="Q169" s="648"/>
      <c r="R169" s="647" t="str">
        <f>U160</f>
        <v>2316 (citit)</v>
      </c>
      <c r="S169" s="647"/>
      <c r="T169" s="647"/>
      <c r="U169" s="647" t="str">
        <f>VLOOKUP(A169,'Incrementare indexe'!$D:$M,10,FALSE)&amp;" (estimat)"</f>
        <v>2316 (estimat)</v>
      </c>
      <c r="V169" s="647"/>
      <c r="W169" s="647"/>
      <c r="X169" s="647" t="str">
        <f>VLOOKUP(A169,'Incrementare indexe'!$D:$Q,13,FALSE)&amp;" (estimat)"</f>
        <v>0 (estimat)</v>
      </c>
      <c r="Y169" s="647"/>
      <c r="Z169" s="647"/>
      <c r="AA169" s="647" t="s">
        <v>69</v>
      </c>
      <c r="AB169" s="647"/>
      <c r="AC169" s="647"/>
      <c r="AD169" s="647" t="s">
        <v>69</v>
      </c>
      <c r="AE169" s="647"/>
      <c r="AF169" s="647">
        <f>VLOOKUP(A169,'Incrementare indexe'!$D:$Q,13,FALSE)</f>
        <v>0</v>
      </c>
      <c r="AG169" s="647"/>
      <c r="AH169" s="647"/>
      <c r="AI169" s="647">
        <f>AI166</f>
        <v>31</v>
      </c>
      <c r="AJ169" s="647"/>
      <c r="AK169" s="647">
        <f>ROUND(AF169/AI169,2)</f>
        <v>0</v>
      </c>
      <c r="AL169" s="647"/>
      <c r="AM169" s="647"/>
    </row>
    <row r="170" spans="1:39" ht="14.1" customHeight="1">
      <c r="A170" s="717"/>
      <c r="B170" s="718"/>
      <c r="C170" s="718"/>
      <c r="D170" s="718"/>
      <c r="E170" s="718"/>
      <c r="F170" s="719"/>
      <c r="G170" s="648"/>
      <c r="H170" s="648"/>
      <c r="I170" s="648"/>
      <c r="J170" s="717" t="str">
        <f t="shared" si="9"/>
        <v>-</v>
      </c>
      <c r="K170" s="718"/>
      <c r="L170" s="719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81"/>
      <c r="B171" s="682"/>
      <c r="C171" s="682"/>
      <c r="D171" s="682"/>
      <c r="E171" s="682"/>
      <c r="F171" s="683"/>
      <c r="G171" s="648"/>
      <c r="H171" s="648"/>
      <c r="I171" s="648"/>
      <c r="J171" s="714">
        <f t="shared" si="9"/>
        <v>45808</v>
      </c>
      <c r="K171" s="715"/>
      <c r="L171" s="716"/>
      <c r="M171" s="648"/>
      <c r="N171" s="648"/>
      <c r="O171" s="648"/>
      <c r="P171" s="648"/>
      <c r="Q171" s="648"/>
      <c r="R171" s="647"/>
      <c r="S171" s="647"/>
      <c r="T171" s="647"/>
      <c r="U171" s="647"/>
      <c r="V171" s="647"/>
      <c r="W171" s="647"/>
      <c r="X171" s="647"/>
      <c r="Y171" s="647"/>
      <c r="Z171" s="647"/>
      <c r="AA171" s="647"/>
      <c r="AB171" s="647"/>
      <c r="AC171" s="647"/>
      <c r="AD171" s="647"/>
      <c r="AE171" s="647"/>
      <c r="AF171" s="647"/>
      <c r="AG171" s="647"/>
      <c r="AH171" s="647"/>
      <c r="AI171" s="647"/>
      <c r="AJ171" s="647"/>
      <c r="AK171" s="647"/>
      <c r="AL171" s="647"/>
      <c r="AM171" s="647"/>
    </row>
    <row r="172" spans="1:39" ht="14.1" customHeight="1">
      <c r="A172" s="196"/>
      <c r="B172" s="196"/>
      <c r="C172" s="196"/>
      <c r="D172" s="196"/>
      <c r="E172" s="196"/>
      <c r="F172" s="196"/>
      <c r="G172" s="196"/>
      <c r="H172" s="196"/>
      <c r="I172" s="196"/>
      <c r="J172" s="197"/>
      <c r="K172" s="197"/>
      <c r="L172" s="197"/>
      <c r="M172" s="196"/>
      <c r="N172" s="196"/>
      <c r="O172" s="196"/>
      <c r="P172" s="196"/>
      <c r="Q172" s="196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</row>
    <row r="173" spans="1:39" ht="14.1" customHeight="1">
      <c r="A173" s="196"/>
      <c r="B173" s="196"/>
      <c r="C173" s="196"/>
      <c r="D173" s="196"/>
      <c r="E173" s="196"/>
      <c r="F173" s="196"/>
      <c r="G173" s="196"/>
      <c r="H173" s="196"/>
      <c r="I173" s="196"/>
      <c r="J173" s="197"/>
      <c r="K173" s="197"/>
      <c r="L173" s="197"/>
      <c r="M173" s="196"/>
      <c r="N173" s="196"/>
      <c r="O173" s="196"/>
      <c r="P173" s="196"/>
      <c r="Q173" s="196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</row>
    <row r="174" spans="1:39" ht="14.1" customHeight="1">
      <c r="A174" s="721" t="s">
        <v>1196</v>
      </c>
      <c r="B174" s="722"/>
      <c r="C174" s="722"/>
      <c r="D174" s="722"/>
      <c r="E174" s="722"/>
      <c r="F174" s="722"/>
      <c r="G174" s="722"/>
      <c r="H174" s="722"/>
      <c r="I174" s="722"/>
      <c r="J174" s="722"/>
      <c r="K174" s="722"/>
      <c r="L174" s="722"/>
      <c r="M174" s="722"/>
      <c r="N174" s="722"/>
      <c r="O174" s="722"/>
      <c r="P174" s="722"/>
      <c r="Q174" s="722"/>
      <c r="R174" s="722"/>
      <c r="S174" s="722"/>
      <c r="T174" s="722"/>
      <c r="U174" s="722"/>
      <c r="V174" s="722"/>
      <c r="W174" s="722"/>
      <c r="X174" s="722"/>
      <c r="Y174" s="722"/>
      <c r="Z174" s="722"/>
      <c r="AA174" s="722"/>
      <c r="AB174" s="722"/>
      <c r="AC174" s="722"/>
      <c r="AD174" s="722"/>
      <c r="AE174" s="722"/>
      <c r="AF174" s="722"/>
      <c r="AG174" s="722"/>
      <c r="AH174" s="723"/>
      <c r="AI174" s="650" t="s">
        <v>695</v>
      </c>
      <c r="AJ174" s="650"/>
      <c r="AK174" s="650"/>
      <c r="AL174" s="650"/>
      <c r="AM174" s="650"/>
    </row>
    <row r="175" spans="1:39" ht="14.1" customHeight="1">
      <c r="A175" s="649" t="s">
        <v>746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50" t="s">
        <v>514</v>
      </c>
      <c r="N175" s="650"/>
      <c r="O175" s="650"/>
      <c r="P175" s="650"/>
      <c r="Q175" s="650"/>
      <c r="R175" s="650"/>
      <c r="S175" s="650"/>
      <c r="T175" s="650"/>
      <c r="U175" s="650"/>
      <c r="V175" s="650"/>
      <c r="W175" s="650"/>
      <c r="X175" s="650"/>
      <c r="Y175" s="650"/>
      <c r="Z175" s="650"/>
      <c r="AA175" s="650"/>
      <c r="AB175" s="650"/>
      <c r="AC175" s="650"/>
      <c r="AD175" s="650"/>
      <c r="AE175" s="650"/>
      <c r="AF175" s="650"/>
      <c r="AG175" s="650"/>
      <c r="AH175" s="650"/>
      <c r="AI175" s="619" t="str">
        <f>_xlfn.CONCAT(AI140,"/PV")</f>
        <v>RBPM_2.2/PV</v>
      </c>
      <c r="AJ175" s="619"/>
      <c r="AK175" s="619"/>
      <c r="AL175" s="619"/>
      <c r="AM175" s="619"/>
    </row>
    <row r="176" spans="1:39" ht="14.1" customHeight="1">
      <c r="A176" s="649" t="s">
        <v>747</v>
      </c>
      <c r="B176" s="649"/>
      <c r="C176" s="649"/>
      <c r="D176" s="649"/>
      <c r="E176" s="649"/>
      <c r="F176" s="649"/>
      <c r="G176" s="649"/>
      <c r="H176" s="649"/>
      <c r="I176" s="649"/>
      <c r="J176" s="649"/>
      <c r="K176" s="649"/>
      <c r="L176" s="649"/>
      <c r="M176" s="650" t="s">
        <v>1087</v>
      </c>
      <c r="N176" s="650"/>
      <c r="O176" s="650"/>
      <c r="P176" s="650"/>
      <c r="Q176" s="650"/>
      <c r="R176" s="650"/>
      <c r="S176" s="650"/>
      <c r="T176" s="650"/>
      <c r="U176" s="650"/>
      <c r="V176" s="650"/>
      <c r="W176" s="650"/>
      <c r="X176" s="650"/>
      <c r="Y176" s="650"/>
      <c r="Z176" s="650"/>
      <c r="AA176" s="650"/>
      <c r="AB176" s="650"/>
      <c r="AC176" s="650"/>
      <c r="AD176" s="650"/>
      <c r="AE176" s="650"/>
      <c r="AF176" s="650"/>
      <c r="AG176" s="650"/>
      <c r="AH176" s="650"/>
      <c r="AI176" s="619"/>
      <c r="AJ176" s="619"/>
      <c r="AK176" s="619"/>
      <c r="AL176" s="619"/>
      <c r="AM176" s="619"/>
    </row>
    <row r="177" spans="1:39" ht="14.1" customHeight="1">
      <c r="A177" s="648" t="s">
        <v>697</v>
      </c>
      <c r="B177" s="648"/>
      <c r="C177" s="648"/>
      <c r="D177" s="648"/>
      <c r="E177" s="648"/>
      <c r="F177" s="648"/>
      <c r="G177" s="647" t="s">
        <v>713</v>
      </c>
      <c r="H177" s="647"/>
      <c r="I177" s="647"/>
      <c r="J177" s="647" t="s">
        <v>714</v>
      </c>
      <c r="K177" s="647"/>
      <c r="L177" s="647"/>
      <c r="M177" s="648" t="s">
        <v>519</v>
      </c>
      <c r="N177" s="648"/>
      <c r="O177" s="648" t="s">
        <v>715</v>
      </c>
      <c r="P177" s="648"/>
      <c r="Q177" s="648"/>
      <c r="R177" s="647" t="s">
        <v>732</v>
      </c>
      <c r="S177" s="647"/>
      <c r="T177" s="647"/>
      <c r="U177" s="647" t="s">
        <v>734</v>
      </c>
      <c r="V177" s="647"/>
      <c r="W177" s="647"/>
      <c r="X177" s="647" t="s">
        <v>1085</v>
      </c>
      <c r="Y177" s="647"/>
      <c r="Z177" s="647"/>
      <c r="AA177" s="647" t="s">
        <v>1086</v>
      </c>
      <c r="AB177" s="647"/>
      <c r="AC177" s="647"/>
      <c r="AD177" s="647" t="s">
        <v>717</v>
      </c>
      <c r="AE177" s="647"/>
      <c r="AF177" s="647" t="s">
        <v>718</v>
      </c>
      <c r="AG177" s="647"/>
      <c r="AH177" s="647"/>
      <c r="AI177" s="647" t="s">
        <v>719</v>
      </c>
      <c r="AJ177" s="647"/>
      <c r="AK177" s="647" t="s">
        <v>733</v>
      </c>
      <c r="AL177" s="647"/>
      <c r="AM177" s="647"/>
    </row>
    <row r="178" spans="1:39" ht="14.1" customHeight="1">
      <c r="A178" s="648"/>
      <c r="B178" s="648"/>
      <c r="C178" s="648"/>
      <c r="D178" s="648"/>
      <c r="E178" s="648"/>
      <c r="F178" s="648"/>
      <c r="G178" s="647"/>
      <c r="H178" s="647"/>
      <c r="I178" s="647"/>
      <c r="J178" s="647"/>
      <c r="K178" s="647"/>
      <c r="L178" s="647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48"/>
      <c r="B179" s="648"/>
      <c r="C179" s="648"/>
      <c r="D179" s="648"/>
      <c r="E179" s="648"/>
      <c r="F179" s="648"/>
      <c r="G179" s="647"/>
      <c r="H179" s="647"/>
      <c r="I179" s="647"/>
      <c r="J179" s="713"/>
      <c r="K179" s="713"/>
      <c r="L179" s="713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78">
        <f>VLOOKUP(AI175,'Incrementare indexe'!$B:$I,3,FALSE)</f>
        <v>1373362724</v>
      </c>
      <c r="B180" s="679"/>
      <c r="C180" s="679"/>
      <c r="D180" s="679"/>
      <c r="E180" s="679"/>
      <c r="F180" s="680"/>
      <c r="G180" s="647" t="s">
        <v>1088</v>
      </c>
      <c r="H180" s="647"/>
      <c r="I180" s="675"/>
      <c r="J180" s="655">
        <f>'Date masura OD'!$I$5</f>
        <v>45778</v>
      </c>
      <c r="K180" s="656"/>
      <c r="L180" s="657"/>
      <c r="M180" s="720" t="s">
        <v>446</v>
      </c>
      <c r="N180" s="648"/>
      <c r="O180" s="648">
        <f>VLOOKUP(AI175,'Incrementare indexe'!$B:$I,4,FALSE)</f>
        <v>1</v>
      </c>
      <c r="P180" s="648"/>
      <c r="Q180" s="648"/>
      <c r="R180" s="647" t="str">
        <f>VLOOKUP(AI175,'Incrementare indexe'!$B:$I,7,FALSE)&amp;" (citit)"</f>
        <v>1555608 (citit)</v>
      </c>
      <c r="S180" s="647"/>
      <c r="T180" s="647"/>
      <c r="U180" s="647" t="str">
        <f>VLOOKUP(AI175,'Incrementare indexe'!$B:$I,8,FALSE)&amp;" (citit)"</f>
        <v>1695333 (citit)</v>
      </c>
      <c r="V180" s="647"/>
      <c r="W180" s="647"/>
      <c r="X180" s="647" t="str">
        <f>(VLOOKUP(AI175,'Incrementare indexe'!$B:$I,8,FALSE)-VLOOKUP(AI175,'Incrementare indexe'!$B:$I,7,FALSE))&amp;" (citit)"</f>
        <v>139725 (citit)</v>
      </c>
      <c r="Y180" s="647"/>
      <c r="Z180" s="647"/>
      <c r="AA180" s="647" t="s">
        <v>69</v>
      </c>
      <c r="AB180" s="647"/>
      <c r="AC180" s="647"/>
      <c r="AD180" s="647" t="s">
        <v>69</v>
      </c>
      <c r="AE180" s="647"/>
      <c r="AF180" s="647">
        <f>(VLOOKUP(AI175,'Incrementare indexe'!$B:$I,8,FALSE)-VLOOKUP(AI175,'Incrementare indexe'!$B:$I,7,FALSE))</f>
        <v>139725</v>
      </c>
      <c r="AG180" s="647"/>
      <c r="AH180" s="647"/>
      <c r="AI180" s="647">
        <f>J182-J180+1</f>
        <v>31</v>
      </c>
      <c r="AJ180" s="647"/>
      <c r="AK180" s="647">
        <f>ROUND(AF180/AI180,2)</f>
        <v>4507.26</v>
      </c>
      <c r="AL180" s="647"/>
      <c r="AM180" s="647"/>
    </row>
    <row r="181" spans="1:39" ht="14.1" customHeight="1">
      <c r="A181" s="717"/>
      <c r="B181" s="718"/>
      <c r="C181" s="718"/>
      <c r="D181" s="718"/>
      <c r="E181" s="718"/>
      <c r="F181" s="719"/>
      <c r="G181" s="647"/>
      <c r="H181" s="647"/>
      <c r="I181" s="675"/>
      <c r="J181" s="717" t="s">
        <v>69</v>
      </c>
      <c r="K181" s="718"/>
      <c r="L181" s="719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81"/>
      <c r="B182" s="682"/>
      <c r="C182" s="682"/>
      <c r="D182" s="682"/>
      <c r="E182" s="682"/>
      <c r="F182" s="683"/>
      <c r="G182" s="647"/>
      <c r="H182" s="647"/>
      <c r="I182" s="675"/>
      <c r="J182" s="714">
        <f>'Date masura OD'!$J$5</f>
        <v>45808</v>
      </c>
      <c r="K182" s="715"/>
      <c r="L182" s="716"/>
      <c r="M182" s="720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78">
        <f>A180</f>
        <v>1373362724</v>
      </c>
      <c r="B183" s="679"/>
      <c r="C183" s="679"/>
      <c r="D183" s="679"/>
      <c r="E183" s="679"/>
      <c r="F183" s="680"/>
      <c r="G183" s="648" t="s">
        <v>696</v>
      </c>
      <c r="H183" s="648"/>
      <c r="I183" s="648"/>
      <c r="J183" s="655">
        <f t="shared" ref="J183:J188" si="10">J180</f>
        <v>45778</v>
      </c>
      <c r="K183" s="656"/>
      <c r="L183" s="657"/>
      <c r="M183" s="648" t="s">
        <v>720</v>
      </c>
      <c r="N183" s="648"/>
      <c r="O183" s="648">
        <f>O180</f>
        <v>1</v>
      </c>
      <c r="P183" s="648"/>
      <c r="Q183" s="648"/>
      <c r="R183" s="647" t="s">
        <v>1089</v>
      </c>
      <c r="S183" s="647"/>
      <c r="T183" s="647"/>
      <c r="U183" s="647" t="s">
        <v>1089</v>
      </c>
      <c r="V183" s="647"/>
      <c r="W183" s="647"/>
      <c r="X183" s="647" t="s">
        <v>1089</v>
      </c>
      <c r="Y183" s="647"/>
      <c r="Z183" s="647"/>
      <c r="AA183" s="647" t="s">
        <v>69</v>
      </c>
      <c r="AB183" s="647"/>
      <c r="AC183" s="647"/>
      <c r="AD183" s="647" t="s">
        <v>69</v>
      </c>
      <c r="AE183" s="647"/>
      <c r="AF183" s="647">
        <v>0</v>
      </c>
      <c r="AG183" s="647"/>
      <c r="AH183" s="647"/>
      <c r="AI183" s="647">
        <f>AI180</f>
        <v>31</v>
      </c>
      <c r="AJ183" s="647"/>
      <c r="AK183" s="647">
        <f>ROUND(AF183/AI183,2)</f>
        <v>0</v>
      </c>
      <c r="AL183" s="647"/>
      <c r="AM183" s="647"/>
    </row>
    <row r="184" spans="1:39" ht="14.1" customHeight="1">
      <c r="A184" s="717"/>
      <c r="B184" s="718"/>
      <c r="C184" s="718"/>
      <c r="D184" s="718"/>
      <c r="E184" s="718"/>
      <c r="F184" s="719"/>
      <c r="G184" s="648"/>
      <c r="H184" s="648"/>
      <c r="I184" s="648"/>
      <c r="J184" s="717" t="str">
        <f t="shared" si="10"/>
        <v>-</v>
      </c>
      <c r="K184" s="718"/>
      <c r="L184" s="719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81"/>
      <c r="B185" s="682"/>
      <c r="C185" s="682"/>
      <c r="D185" s="682"/>
      <c r="E185" s="682"/>
      <c r="F185" s="683"/>
      <c r="G185" s="648"/>
      <c r="H185" s="648"/>
      <c r="I185" s="648"/>
      <c r="J185" s="714">
        <f t="shared" si="10"/>
        <v>45808</v>
      </c>
      <c r="K185" s="715"/>
      <c r="L185" s="716"/>
      <c r="M185" s="648"/>
      <c r="N185" s="648"/>
      <c r="O185" s="648"/>
      <c r="P185" s="648"/>
      <c r="Q185" s="648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7"/>
      <c r="AG185" s="647"/>
      <c r="AH185" s="647"/>
      <c r="AI185" s="647"/>
      <c r="AJ185" s="647"/>
      <c r="AK185" s="647"/>
      <c r="AL185" s="647"/>
      <c r="AM185" s="647"/>
    </row>
    <row r="186" spans="1:39" ht="14.1" customHeight="1">
      <c r="A186" s="678">
        <f>A183</f>
        <v>1373362724</v>
      </c>
      <c r="B186" s="679"/>
      <c r="C186" s="679"/>
      <c r="D186" s="679"/>
      <c r="E186" s="679"/>
      <c r="F186" s="680"/>
      <c r="G186" s="648" t="s">
        <v>731</v>
      </c>
      <c r="H186" s="648"/>
      <c r="I186" s="648"/>
      <c r="J186" s="655">
        <f t="shared" si="10"/>
        <v>45778</v>
      </c>
      <c r="K186" s="656"/>
      <c r="L186" s="657"/>
      <c r="M186" s="648" t="s">
        <v>720</v>
      </c>
      <c r="N186" s="648"/>
      <c r="O186" s="648">
        <f>O183</f>
        <v>1</v>
      </c>
      <c r="P186" s="648"/>
      <c r="Q186" s="648"/>
      <c r="R186" s="647" t="s">
        <v>1089</v>
      </c>
      <c r="S186" s="647"/>
      <c r="T186" s="647"/>
      <c r="U186" s="647" t="s">
        <v>1089</v>
      </c>
      <c r="V186" s="647"/>
      <c r="W186" s="647"/>
      <c r="X186" s="647" t="s">
        <v>1089</v>
      </c>
      <c r="Y186" s="647"/>
      <c r="Z186" s="647"/>
      <c r="AA186" s="647" t="s">
        <v>69</v>
      </c>
      <c r="AB186" s="647"/>
      <c r="AC186" s="647"/>
      <c r="AD186" s="647" t="s">
        <v>69</v>
      </c>
      <c r="AE186" s="647"/>
      <c r="AF186" s="647">
        <v>0</v>
      </c>
      <c r="AG186" s="647"/>
      <c r="AH186" s="647"/>
      <c r="AI186" s="647">
        <f>AI183</f>
        <v>31</v>
      </c>
      <c r="AJ186" s="647"/>
      <c r="AK186" s="647">
        <f>ROUND(AF186/AI186,2)</f>
        <v>0</v>
      </c>
      <c r="AL186" s="647"/>
      <c r="AM186" s="647"/>
    </row>
    <row r="187" spans="1:39" ht="14.1" customHeight="1">
      <c r="A187" s="717"/>
      <c r="B187" s="718"/>
      <c r="C187" s="718"/>
      <c r="D187" s="718"/>
      <c r="E187" s="718"/>
      <c r="F187" s="719"/>
      <c r="G187" s="648"/>
      <c r="H187" s="648"/>
      <c r="I187" s="648"/>
      <c r="J187" s="717" t="str">
        <f t="shared" si="10"/>
        <v>-</v>
      </c>
      <c r="K187" s="718"/>
      <c r="L187" s="719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81"/>
      <c r="B188" s="682"/>
      <c r="C188" s="682"/>
      <c r="D188" s="682"/>
      <c r="E188" s="682"/>
      <c r="F188" s="683"/>
      <c r="G188" s="648"/>
      <c r="H188" s="648"/>
      <c r="I188" s="648"/>
      <c r="J188" s="714">
        <f t="shared" si="10"/>
        <v>45808</v>
      </c>
      <c r="K188" s="715"/>
      <c r="L188" s="716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>
      <c r="A189" s="196"/>
      <c r="B189" s="196"/>
      <c r="C189" s="196"/>
      <c r="D189" s="196"/>
      <c r="E189" s="196"/>
      <c r="F189" s="196"/>
      <c r="G189" s="196"/>
      <c r="H189" s="196"/>
      <c r="I189" s="196"/>
      <c r="J189" s="197"/>
      <c r="K189" s="197"/>
      <c r="L189" s="197"/>
      <c r="M189" s="196"/>
      <c r="N189" s="196"/>
      <c r="O189" s="196"/>
      <c r="P189" s="196"/>
      <c r="Q189" s="196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</row>
    <row r="190" spans="1:39" ht="14.1" customHeight="1">
      <c r="A190" s="695" t="s">
        <v>858</v>
      </c>
      <c r="B190" s="695"/>
      <c r="C190" s="695"/>
      <c r="D190" s="695"/>
      <c r="E190" s="695"/>
      <c r="F190" s="695"/>
      <c r="G190" s="695"/>
      <c r="H190" s="695" t="str">
        <f>VLOOKUP($AA$16,'Date SPV'!$B:$H,4,FALSE)</f>
        <v>Strada Principala, nr. 4, loc. Varsatura, jud. Braila</v>
      </c>
      <c r="I190" s="695"/>
      <c r="J190" s="695"/>
      <c r="K190" s="695"/>
      <c r="L190" s="695"/>
      <c r="M190" s="695"/>
      <c r="N190" s="695"/>
      <c r="O190" s="695"/>
      <c r="P190" s="695"/>
      <c r="Q190" s="695"/>
      <c r="R190" s="695"/>
      <c r="S190" s="695"/>
      <c r="T190" s="695"/>
      <c r="U190" s="695"/>
      <c r="V190" s="695"/>
      <c r="W190" s="695"/>
      <c r="X190" s="695"/>
      <c r="Y190" s="695"/>
      <c r="Z190" s="695"/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</row>
    <row r="191" spans="1:39" ht="14.1" customHeight="1">
      <c r="A191" s="695"/>
      <c r="B191" s="695"/>
      <c r="C191" s="695"/>
      <c r="D191" s="695"/>
      <c r="E191" s="695"/>
      <c r="F191" s="695"/>
      <c r="G191" s="695"/>
      <c r="H191" s="695"/>
      <c r="I191" s="695"/>
      <c r="J191" s="695"/>
      <c r="K191" s="695"/>
      <c r="L191" s="695"/>
      <c r="M191" s="695"/>
      <c r="N191" s="695"/>
      <c r="O191" s="695"/>
      <c r="P191" s="695"/>
      <c r="Q191" s="695"/>
      <c r="R191" s="695"/>
      <c r="S191" s="695"/>
      <c r="T191" s="695"/>
      <c r="U191" s="695"/>
      <c r="V191" s="695"/>
      <c r="W191" s="695"/>
      <c r="X191" s="695"/>
      <c r="Y191" s="695"/>
      <c r="Z191" s="695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</row>
    <row r="192" spans="1:39" ht="14.1" customHeight="1">
      <c r="A192" s="695" t="s">
        <v>859</v>
      </c>
      <c r="B192" s="695"/>
      <c r="C192" s="695"/>
      <c r="D192" s="695"/>
      <c r="E192" s="695"/>
      <c r="F192" s="695"/>
      <c r="G192" s="695"/>
      <c r="H192" s="712">
        <f>VLOOKUP(AA192,'Date masura OD'!$G:$BE,51,FALSE)</f>
        <v>5000579496</v>
      </c>
      <c r="I192" s="712"/>
      <c r="J192" s="712"/>
      <c r="K192" s="712"/>
      <c r="L192" s="712"/>
      <c r="M192" s="712"/>
      <c r="N192" s="712"/>
      <c r="O192" s="712"/>
      <c r="P192" s="712"/>
      <c r="Q192" s="712"/>
      <c r="R192" s="712"/>
      <c r="S192" s="712"/>
      <c r="T192" s="712"/>
      <c r="U192" s="712"/>
      <c r="V192" s="712"/>
      <c r="W192" s="712" t="s">
        <v>860</v>
      </c>
      <c r="X192" s="712"/>
      <c r="Y192" s="712"/>
      <c r="Z192" s="712"/>
      <c r="AA192" s="640" t="str">
        <f>_xlfn.CONCAT($AA$16,"_",3)</f>
        <v>RBPM_3</v>
      </c>
      <c r="AB192" s="640"/>
      <c r="AC192" s="640"/>
      <c r="AD192" s="640"/>
      <c r="AE192" s="640"/>
      <c r="AF192" s="640"/>
      <c r="AG192" s="640"/>
      <c r="AH192" s="640"/>
      <c r="AI192" s="640"/>
      <c r="AJ192" s="640"/>
      <c r="AK192" s="640"/>
      <c r="AL192" s="640"/>
      <c r="AM192" s="640"/>
    </row>
    <row r="193" spans="1:39" ht="14.1" customHeight="1">
      <c r="A193" s="695"/>
      <c r="B193" s="695"/>
      <c r="C193" s="695"/>
      <c r="D193" s="695"/>
      <c r="E193" s="695"/>
      <c r="F193" s="695"/>
      <c r="G193" s="695"/>
      <c r="H193" s="712"/>
      <c r="I193" s="712"/>
      <c r="J193" s="712"/>
      <c r="K193" s="712"/>
      <c r="L193" s="712"/>
      <c r="M193" s="712"/>
      <c r="N193" s="712"/>
      <c r="O193" s="712"/>
      <c r="P193" s="712"/>
      <c r="Q193" s="712"/>
      <c r="R193" s="712"/>
      <c r="S193" s="712"/>
      <c r="T193" s="712"/>
      <c r="U193" s="712"/>
      <c r="V193" s="712"/>
      <c r="W193" s="712"/>
      <c r="X193" s="712"/>
      <c r="Y193" s="712"/>
      <c r="Z193" s="712"/>
      <c r="AA193" s="640"/>
      <c r="AB193" s="640"/>
      <c r="AC193" s="640"/>
      <c r="AD193" s="640"/>
      <c r="AE193" s="640"/>
      <c r="AF193" s="640"/>
      <c r="AG193" s="640"/>
      <c r="AH193" s="640"/>
      <c r="AI193" s="640"/>
      <c r="AJ193" s="640"/>
      <c r="AK193" s="640"/>
      <c r="AL193" s="640"/>
      <c r="AM193" s="640"/>
    </row>
    <row r="194" spans="1:39">
      <c r="A194" s="649" t="s">
        <v>748</v>
      </c>
      <c r="B194" s="649"/>
      <c r="C194" s="649"/>
      <c r="D194" s="649"/>
      <c r="E194" s="649"/>
      <c r="F194" s="649"/>
      <c r="G194" s="649"/>
      <c r="H194" s="649"/>
      <c r="I194" s="649"/>
      <c r="J194" s="649"/>
      <c r="K194" s="649"/>
      <c r="L194" s="649"/>
      <c r="M194" s="650" t="str">
        <f>VLOOKUP(AI195,'Contorizare in SDI'!$E:$I,4,FALSE)</f>
        <v>594030200001243351/1</v>
      </c>
      <c r="N194" s="650"/>
      <c r="O194" s="650"/>
      <c r="P194" s="650"/>
      <c r="Q194" s="650"/>
      <c r="R194" s="650"/>
      <c r="S194" s="650"/>
      <c r="T194" s="650"/>
      <c r="U194" s="650"/>
      <c r="V194" s="650"/>
      <c r="W194" s="650"/>
      <c r="X194" s="650"/>
      <c r="Y194" s="650"/>
      <c r="Z194" s="650"/>
      <c r="AA194" s="650"/>
      <c r="AB194" s="650"/>
      <c r="AC194" s="650"/>
      <c r="AD194" s="650"/>
      <c r="AE194" s="650"/>
      <c r="AF194" s="650"/>
      <c r="AG194" s="650"/>
      <c r="AH194" s="650"/>
      <c r="AI194" s="650" t="s">
        <v>695</v>
      </c>
      <c r="AJ194" s="650"/>
      <c r="AK194" s="650"/>
      <c r="AL194" s="650"/>
      <c r="AM194" s="650"/>
    </row>
    <row r="195" spans="1:39">
      <c r="A195" s="649" t="s">
        <v>746</v>
      </c>
      <c r="B195" s="649"/>
      <c r="C195" s="649"/>
      <c r="D195" s="649"/>
      <c r="E195" s="649"/>
      <c r="F195" s="649"/>
      <c r="G195" s="649"/>
      <c r="H195" s="649"/>
      <c r="I195" s="649"/>
      <c r="J195" s="649"/>
      <c r="K195" s="649"/>
      <c r="L195" s="649"/>
      <c r="M195" s="650" t="str">
        <f>VLOOKUP(AI195,'Inchidere contur'!$G:$U,15,FALSE)</f>
        <v>JT_SDI</v>
      </c>
      <c r="N195" s="650"/>
      <c r="O195" s="650"/>
      <c r="P195" s="650"/>
      <c r="Q195" s="650"/>
      <c r="R195" s="650"/>
      <c r="S195" s="650"/>
      <c r="T195" s="650"/>
      <c r="U195" s="650"/>
      <c r="V195" s="650"/>
      <c r="W195" s="650"/>
      <c r="X195" s="650"/>
      <c r="Y195" s="650"/>
      <c r="Z195" s="650"/>
      <c r="AA195" s="650"/>
      <c r="AB195" s="650"/>
      <c r="AC195" s="650"/>
      <c r="AD195" s="650"/>
      <c r="AE195" s="650"/>
      <c r="AF195" s="650"/>
      <c r="AG195" s="650"/>
      <c r="AH195" s="650"/>
      <c r="AI195" s="619" t="str">
        <f>_xlfn.CONCAT(AA192,".",1)</f>
        <v>RBPM_3.1</v>
      </c>
      <c r="AJ195" s="619"/>
      <c r="AK195" s="619"/>
      <c r="AL195" s="619"/>
      <c r="AM195" s="619"/>
    </row>
    <row r="196" spans="1:39">
      <c r="A196" s="649" t="s">
        <v>747</v>
      </c>
      <c r="B196" s="649"/>
      <c r="C196" s="649"/>
      <c r="D196" s="649"/>
      <c r="E196" s="649"/>
      <c r="F196" s="649"/>
      <c r="G196" s="649"/>
      <c r="H196" s="649"/>
      <c r="I196" s="649"/>
      <c r="J196" s="649"/>
      <c r="K196" s="649"/>
      <c r="L196" s="649"/>
      <c r="M196" s="650" t="str">
        <f>IF(LEFT(M195,2)="JT","0.4kV",IF(LEFT(M195,2)="MT","20kV","-"))</f>
        <v>0.4kV</v>
      </c>
      <c r="N196" s="650"/>
      <c r="O196" s="650"/>
      <c r="P196" s="650"/>
      <c r="Q196" s="650"/>
      <c r="R196" s="650"/>
      <c r="S196" s="650"/>
      <c r="T196" s="650"/>
      <c r="U196" s="650"/>
      <c r="V196" s="650"/>
      <c r="W196" s="650"/>
      <c r="X196" s="650"/>
      <c r="Y196" s="650"/>
      <c r="Z196" s="650"/>
      <c r="AA196" s="650"/>
      <c r="AB196" s="650"/>
      <c r="AC196" s="650"/>
      <c r="AD196" s="650"/>
      <c r="AE196" s="650"/>
      <c r="AF196" s="650"/>
      <c r="AG196" s="650"/>
      <c r="AH196" s="650"/>
      <c r="AI196" s="619"/>
      <c r="AJ196" s="619"/>
      <c r="AK196" s="619"/>
      <c r="AL196" s="619"/>
      <c r="AM196" s="619"/>
    </row>
    <row r="197" spans="1:39" ht="15.95" customHeight="1">
      <c r="A197" s="648" t="s">
        <v>697</v>
      </c>
      <c r="B197" s="648"/>
      <c r="C197" s="648"/>
      <c r="D197" s="648"/>
      <c r="E197" s="648"/>
      <c r="F197" s="648"/>
      <c r="G197" s="647" t="s">
        <v>713</v>
      </c>
      <c r="H197" s="647"/>
      <c r="I197" s="647"/>
      <c r="J197" s="647" t="s">
        <v>714</v>
      </c>
      <c r="K197" s="647"/>
      <c r="L197" s="647"/>
      <c r="M197" s="648" t="s">
        <v>519</v>
      </c>
      <c r="N197" s="648"/>
      <c r="O197" s="648" t="s">
        <v>715</v>
      </c>
      <c r="P197" s="648"/>
      <c r="Q197" s="648"/>
      <c r="R197" s="647" t="s">
        <v>732</v>
      </c>
      <c r="S197" s="647"/>
      <c r="T197" s="647"/>
      <c r="U197" s="647" t="s">
        <v>734</v>
      </c>
      <c r="V197" s="647"/>
      <c r="W197" s="647"/>
      <c r="X197" s="647" t="s">
        <v>1085</v>
      </c>
      <c r="Y197" s="647"/>
      <c r="Z197" s="647"/>
      <c r="AA197" s="647" t="s">
        <v>1086</v>
      </c>
      <c r="AB197" s="647"/>
      <c r="AC197" s="647"/>
      <c r="AD197" s="647" t="s">
        <v>717</v>
      </c>
      <c r="AE197" s="647"/>
      <c r="AF197" s="647" t="s">
        <v>718</v>
      </c>
      <c r="AG197" s="647"/>
      <c r="AH197" s="647"/>
      <c r="AI197" s="647" t="s">
        <v>719</v>
      </c>
      <c r="AJ197" s="647"/>
      <c r="AK197" s="647" t="s">
        <v>733</v>
      </c>
      <c r="AL197" s="647"/>
      <c r="AM197" s="647"/>
    </row>
    <row r="198" spans="1:39">
      <c r="A198" s="648"/>
      <c r="B198" s="648"/>
      <c r="C198" s="648"/>
      <c r="D198" s="648"/>
      <c r="E198" s="648"/>
      <c r="F198" s="648"/>
      <c r="G198" s="647"/>
      <c r="H198" s="647"/>
      <c r="I198" s="647"/>
      <c r="J198" s="647"/>
      <c r="K198" s="647"/>
      <c r="L198" s="647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>
      <c r="A199" s="648"/>
      <c r="B199" s="648"/>
      <c r="C199" s="648"/>
      <c r="D199" s="648"/>
      <c r="E199" s="648"/>
      <c r="F199" s="648"/>
      <c r="G199" s="647"/>
      <c r="H199" s="647"/>
      <c r="I199" s="647"/>
      <c r="J199" s="713"/>
      <c r="K199" s="713"/>
      <c r="L199" s="713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78" t="str">
        <f>VLOOKUP(AI195,'Contorizare in SDI'!$E:$I,5,FALSE)</f>
        <v>V.18101774330/1</v>
      </c>
      <c r="B200" s="679"/>
      <c r="C200" s="679"/>
      <c r="D200" s="679"/>
      <c r="E200" s="679"/>
      <c r="F200" s="680"/>
      <c r="G200" s="648" t="s">
        <v>730</v>
      </c>
      <c r="H200" s="648"/>
      <c r="I200" s="673"/>
      <c r="J200" s="655">
        <f>'Date masura OD'!$AK$5</f>
        <v>45748</v>
      </c>
      <c r="K200" s="656"/>
      <c r="L200" s="657"/>
      <c r="M200" s="720" t="s">
        <v>446</v>
      </c>
      <c r="N200" s="648"/>
      <c r="O200" s="648">
        <f>VLOOKUP(AI195,'Incrementare indexe'!$B:$T,4,FALSE)</f>
        <v>1</v>
      </c>
      <c r="P200" s="648"/>
      <c r="Q200" s="648"/>
      <c r="R200" s="647" t="str">
        <f>VLOOKUP(A200,Regularizare!$D:$YN,3,FALSE)&amp;" ("&amp;VLOOKUP(A200,Regularizare!$D:$Y,11,FALSE)&amp;")"</f>
        <v>524483 (citit)</v>
      </c>
      <c r="S200" s="647"/>
      <c r="T200" s="647"/>
      <c r="U200" s="647" t="str">
        <f>VLOOKUP(A200,Regularizare!$D:$U,4,FALSE)&amp;" ("&amp;VLOOKUP(A200,Regularizare!$D:$U,12,FALSE)&amp;")"</f>
        <v>557661 (estimat)</v>
      </c>
      <c r="V200" s="647"/>
      <c r="W200" s="647"/>
      <c r="X200" s="647" t="str">
        <f>VLOOKUP(A200,Regularizare!$D:$Y,19,FALSE)&amp;" ("&amp;VLOOKUP(A200,Regularizare!$D:$U,12,FALSE)&amp;")"</f>
        <v>33178 (estimat)</v>
      </c>
      <c r="Y200" s="647"/>
      <c r="Z200" s="647"/>
      <c r="AA200" s="647">
        <f>(-1)*VLOOKUP(A200,Regularizare!$D:$Y,19,FALSE)</f>
        <v>-33178</v>
      </c>
      <c r="AB200" s="647"/>
      <c r="AC200" s="647"/>
      <c r="AD200" s="647" t="s">
        <v>69</v>
      </c>
      <c r="AE200" s="647"/>
      <c r="AF200" s="647">
        <f>AA200</f>
        <v>-33178</v>
      </c>
      <c r="AG200" s="647"/>
      <c r="AH200" s="647"/>
      <c r="AI200" s="647" t="s">
        <v>69</v>
      </c>
      <c r="AJ200" s="647"/>
      <c r="AK200" s="647" t="s">
        <v>69</v>
      </c>
      <c r="AL200" s="647"/>
      <c r="AM200" s="647"/>
    </row>
    <row r="201" spans="1:39" ht="9.75" customHeight="1">
      <c r="A201" s="717"/>
      <c r="B201" s="718"/>
      <c r="C201" s="718"/>
      <c r="D201" s="718"/>
      <c r="E201" s="718"/>
      <c r="F201" s="719"/>
      <c r="G201" s="648"/>
      <c r="H201" s="648"/>
      <c r="I201" s="673"/>
      <c r="J201" s="717" t="s">
        <v>69</v>
      </c>
      <c r="K201" s="718"/>
      <c r="L201" s="719"/>
      <c r="M201" s="720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81"/>
      <c r="B202" s="682"/>
      <c r="C202" s="682"/>
      <c r="D202" s="682"/>
      <c r="E202" s="682"/>
      <c r="F202" s="683"/>
      <c r="G202" s="648"/>
      <c r="H202" s="648"/>
      <c r="I202" s="673"/>
      <c r="J202" s="714">
        <f>'Date masura OD'!$AL$5</f>
        <v>45777</v>
      </c>
      <c r="K202" s="715"/>
      <c r="L202" s="716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78" t="str">
        <f>A200</f>
        <v>V.18101774330/1</v>
      </c>
      <c r="B203" s="679"/>
      <c r="C203" s="679"/>
      <c r="D203" s="679"/>
      <c r="E203" s="679"/>
      <c r="F203" s="680"/>
      <c r="G203" s="648" t="s">
        <v>696</v>
      </c>
      <c r="H203" s="648"/>
      <c r="I203" s="648"/>
      <c r="J203" s="655">
        <f t="shared" ref="J203:J208" si="11">J200</f>
        <v>45748</v>
      </c>
      <c r="K203" s="656"/>
      <c r="L203" s="657"/>
      <c r="M203" s="648" t="s">
        <v>720</v>
      </c>
      <c r="N203" s="648"/>
      <c r="O203" s="648">
        <f>O200</f>
        <v>1</v>
      </c>
      <c r="P203" s="648"/>
      <c r="Q203" s="648"/>
      <c r="R203" s="647" t="str">
        <f>VLOOKUP(A203,Regularizare!$D:$U,7,FALSE)&amp;" ("&amp;VLOOKUP(A203,Regularizare!$D:$U,15,FALSE)&amp;")"</f>
        <v>9581 (citit)</v>
      </c>
      <c r="S203" s="647"/>
      <c r="T203" s="647"/>
      <c r="U203" s="647" t="str">
        <f>VLOOKUP(A203,Regularizare!$D:$U,8,FALSE)&amp;" ("&amp;VLOOKUP(A203,Regularizare!$D:$U,16,FALSE)&amp;")"</f>
        <v>9581 (estimat)</v>
      </c>
      <c r="V203" s="647"/>
      <c r="W203" s="647"/>
      <c r="X203" s="647" t="str">
        <f>_xlfn.CONCAT(VLOOKUP(A203,Regularizare!$D:$U,8,FALSE)-VLOOKUP(A203,Regularizare!$D:$U,7,FALSE)," (",VLOOKUP(A203,Regularizare!$D:$U,16,FALSE),")")</f>
        <v>0 (estimat)</v>
      </c>
      <c r="Y203" s="647"/>
      <c r="Z203" s="647"/>
      <c r="AA203" s="647">
        <f>IF(VLOOKUP(A203,Regularizare!$D:$Y,21,FALSE)=0,VLOOKUP(A203,Regularizare!$D:$Y,21,FALSE),(-1)*VLOOKUP(A203,Regularizare!$D:$Y,21,FALSE))</f>
        <v>0</v>
      </c>
      <c r="AB203" s="647"/>
      <c r="AC203" s="647"/>
      <c r="AD203" s="647" t="s">
        <v>69</v>
      </c>
      <c r="AE203" s="647"/>
      <c r="AF203" s="647">
        <f>AA203</f>
        <v>0</v>
      </c>
      <c r="AG203" s="647"/>
      <c r="AH203" s="647"/>
      <c r="AI203" s="647" t="str">
        <f>AI200</f>
        <v>-</v>
      </c>
      <c r="AJ203" s="647"/>
      <c r="AK203" s="647" t="str">
        <f>AK200</f>
        <v>-</v>
      </c>
      <c r="AL203" s="647"/>
      <c r="AM203" s="647"/>
    </row>
    <row r="204" spans="1:39" ht="8.4499999999999993" customHeight="1">
      <c r="A204" s="717"/>
      <c r="B204" s="718"/>
      <c r="C204" s="718"/>
      <c r="D204" s="718"/>
      <c r="E204" s="718"/>
      <c r="F204" s="719"/>
      <c r="G204" s="648"/>
      <c r="H204" s="648"/>
      <c r="I204" s="648"/>
      <c r="J204" s="717" t="str">
        <f t="shared" si="11"/>
        <v>-</v>
      </c>
      <c r="K204" s="718"/>
      <c r="L204" s="719"/>
      <c r="M204" s="648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1"/>
      <c r="B205" s="682"/>
      <c r="C205" s="682"/>
      <c r="D205" s="682"/>
      <c r="E205" s="682"/>
      <c r="F205" s="683"/>
      <c r="G205" s="648"/>
      <c r="H205" s="648"/>
      <c r="I205" s="648"/>
      <c r="J205" s="714">
        <f t="shared" si="11"/>
        <v>45777</v>
      </c>
      <c r="K205" s="715"/>
      <c r="L205" s="716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78" t="str">
        <f>A203</f>
        <v>V.18101774330/1</v>
      </c>
      <c r="B206" s="679"/>
      <c r="C206" s="679"/>
      <c r="D206" s="679"/>
      <c r="E206" s="679"/>
      <c r="F206" s="680"/>
      <c r="G206" s="648" t="s">
        <v>731</v>
      </c>
      <c r="H206" s="648"/>
      <c r="I206" s="648"/>
      <c r="J206" s="655">
        <f t="shared" si="11"/>
        <v>45748</v>
      </c>
      <c r="K206" s="656"/>
      <c r="L206" s="657"/>
      <c r="M206" s="648" t="s">
        <v>720</v>
      </c>
      <c r="N206" s="648"/>
      <c r="O206" s="648">
        <f>O203</f>
        <v>1</v>
      </c>
      <c r="P206" s="648"/>
      <c r="Q206" s="648"/>
      <c r="R206" s="647" t="str">
        <f>VLOOKUP(A206,Regularizare!$D:$U,9,FALSE)&amp;" ("&amp;VLOOKUP(A206,Regularizare!$D:$U,17,FALSE)&amp;")"</f>
        <v>99220 (citit)</v>
      </c>
      <c r="S206" s="647"/>
      <c r="T206" s="647"/>
      <c r="U206" s="647" t="str">
        <f>VLOOKUP(A206,Regularizare!$D:$U,10,FALSE)&amp;" ("&amp;VLOOKUP(A206,Regularizare!$D:$U,18,FALSE)&amp;")"</f>
        <v>99220 (estimat)</v>
      </c>
      <c r="V206" s="647"/>
      <c r="W206" s="647"/>
      <c r="X206" s="647" t="str">
        <f>_xlfn.CONCAT(VLOOKUP(A206,Regularizare!$D:$U,10,FALSE)-VLOOKUP(A206,Regularizare!$D:$U,9,FALSE)," (",VLOOKUP(A206,Regularizare!$D:$U,18,FALSE),")")</f>
        <v>0 (estimat)</v>
      </c>
      <c r="Y206" s="647"/>
      <c r="Z206" s="647"/>
      <c r="AA206" s="647">
        <f>IF(VLOOKUP(A206,Regularizare!$D:$Y,22,FALSE)=0,VLOOKUP(A206,Regularizare!$D:$Y,22,FALSE),(-1)*VLOOKUP(A206,Regularizare!$D:$Y,22,FALSE))</f>
        <v>0</v>
      </c>
      <c r="AB206" s="647"/>
      <c r="AC206" s="647"/>
      <c r="AD206" s="647" t="s">
        <v>69</v>
      </c>
      <c r="AE206" s="647"/>
      <c r="AF206" s="647">
        <f>AA206</f>
        <v>0</v>
      </c>
      <c r="AG206" s="647"/>
      <c r="AH206" s="647"/>
      <c r="AI206" s="647" t="str">
        <f>AI203</f>
        <v>-</v>
      </c>
      <c r="AJ206" s="647"/>
      <c r="AK206" s="647" t="str">
        <f>AK203</f>
        <v>-</v>
      </c>
      <c r="AL206" s="647"/>
      <c r="AM206" s="647"/>
    </row>
    <row r="207" spans="1:39" ht="8.4499999999999993" customHeight="1">
      <c r="A207" s="717"/>
      <c r="B207" s="718"/>
      <c r="C207" s="718"/>
      <c r="D207" s="718"/>
      <c r="E207" s="718"/>
      <c r="F207" s="719"/>
      <c r="G207" s="648"/>
      <c r="H207" s="648"/>
      <c r="I207" s="648"/>
      <c r="J207" s="717" t="str">
        <f t="shared" si="11"/>
        <v>-</v>
      </c>
      <c r="K207" s="718"/>
      <c r="L207" s="719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81"/>
      <c r="B208" s="682"/>
      <c r="C208" s="682"/>
      <c r="D208" s="682"/>
      <c r="E208" s="682"/>
      <c r="F208" s="683"/>
      <c r="G208" s="648"/>
      <c r="H208" s="648"/>
      <c r="I208" s="648"/>
      <c r="J208" s="714">
        <f t="shared" si="11"/>
        <v>45777</v>
      </c>
      <c r="K208" s="715"/>
      <c r="L208" s="716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78" t="str">
        <f>A206</f>
        <v>V.18101774330/1</v>
      </c>
      <c r="B209" s="679"/>
      <c r="C209" s="679"/>
      <c r="D209" s="679"/>
      <c r="E209" s="679"/>
      <c r="F209" s="680"/>
      <c r="G209" s="648" t="s">
        <v>730</v>
      </c>
      <c r="H209" s="648"/>
      <c r="I209" s="673"/>
      <c r="J209" s="655">
        <f>'Date masura OD'!$AK$5</f>
        <v>45748</v>
      </c>
      <c r="K209" s="656"/>
      <c r="L209" s="657"/>
      <c r="M209" s="720" t="s">
        <v>446</v>
      </c>
      <c r="N209" s="648"/>
      <c r="O209" s="648">
        <f>O206</f>
        <v>1</v>
      </c>
      <c r="P209" s="648"/>
      <c r="Q209" s="648"/>
      <c r="R209" s="647" t="str">
        <f>VLOOKUP(A209,Regularizare!$D:$AX,23,FALSE)&amp;" ("&amp;VLOOKUP(A209,Regularizare!$D:$AX,24,FALSE)&amp;")"</f>
        <v>524483 (citit)</v>
      </c>
      <c r="S209" s="647"/>
      <c r="T209" s="647"/>
      <c r="U209" s="647" t="str">
        <f>VLOOKUP(A209,Regularizare!$D:$AX,25,FALSE)&amp;" ("&amp;VLOOKUP(A209,Regularizare!$D:$AX,26,FALSE)&amp;")"</f>
        <v>557661 (citit)</v>
      </c>
      <c r="V209" s="647"/>
      <c r="W209" s="647"/>
      <c r="X209" s="647" t="str">
        <f>VLOOKUP(A209,Regularizare!$D:$AX,37,FALSE)&amp;" ("&amp;VLOOKUP(A209,Regularizare!$D:$AX,26,FALSE)&amp;")"</f>
        <v>33178 (citit)</v>
      </c>
      <c r="Y209" s="647"/>
      <c r="Z209" s="647"/>
      <c r="AA209" s="647">
        <f>VLOOKUP(A209,Regularizare!$D:$AX,37,FALSE)</f>
        <v>33178</v>
      </c>
      <c r="AB209" s="647"/>
      <c r="AC209" s="647"/>
      <c r="AD209" s="647" t="s">
        <v>69</v>
      </c>
      <c r="AE209" s="647"/>
      <c r="AF209" s="647">
        <f>AA209</f>
        <v>33178</v>
      </c>
      <c r="AG209" s="647"/>
      <c r="AH209" s="647"/>
      <c r="AI209" s="647" t="str">
        <f>AI206</f>
        <v>-</v>
      </c>
      <c r="AJ209" s="647"/>
      <c r="AK209" s="647" t="str">
        <f>AK206</f>
        <v>-</v>
      </c>
      <c r="AL209" s="647"/>
      <c r="AM209" s="647"/>
    </row>
    <row r="210" spans="1:39" ht="8.4499999999999993" customHeight="1">
      <c r="A210" s="717"/>
      <c r="B210" s="718"/>
      <c r="C210" s="718"/>
      <c r="D210" s="718"/>
      <c r="E210" s="718"/>
      <c r="F210" s="719"/>
      <c r="G210" s="648"/>
      <c r="H210" s="648"/>
      <c r="I210" s="673"/>
      <c r="J210" s="717" t="s">
        <v>69</v>
      </c>
      <c r="K210" s="718"/>
      <c r="L210" s="719"/>
      <c r="M210" s="720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81"/>
      <c r="B211" s="682"/>
      <c r="C211" s="682"/>
      <c r="D211" s="682"/>
      <c r="E211" s="682"/>
      <c r="F211" s="683"/>
      <c r="G211" s="648"/>
      <c r="H211" s="648"/>
      <c r="I211" s="673"/>
      <c r="J211" s="714">
        <f>'Date masura OD'!$AL$5</f>
        <v>45777</v>
      </c>
      <c r="K211" s="715"/>
      <c r="L211" s="716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78" t="str">
        <f>A209</f>
        <v>V.18101774330/1</v>
      </c>
      <c r="B212" s="679"/>
      <c r="C212" s="679"/>
      <c r="D212" s="679"/>
      <c r="E212" s="679"/>
      <c r="F212" s="680"/>
      <c r="G212" s="648" t="s">
        <v>696</v>
      </c>
      <c r="H212" s="648"/>
      <c r="I212" s="648"/>
      <c r="J212" s="655">
        <f t="shared" ref="J212:J217" si="12">J209</f>
        <v>45748</v>
      </c>
      <c r="K212" s="656"/>
      <c r="L212" s="657"/>
      <c r="M212" s="648" t="s">
        <v>720</v>
      </c>
      <c r="N212" s="648"/>
      <c r="O212" s="648">
        <f>O209</f>
        <v>1</v>
      </c>
      <c r="P212" s="648"/>
      <c r="Q212" s="648"/>
      <c r="R212" s="647" t="str">
        <f>VLOOKUP(A212,Regularizare!$D:$AX,29,FALSE)&amp;" ("&amp;VLOOKUP(A212,Regularizare!$D:$AX,30,FALSE)&amp;")"</f>
        <v>9581 (citit)</v>
      </c>
      <c r="S212" s="647"/>
      <c r="T212" s="647"/>
      <c r="U212" s="647" t="str">
        <f>VLOOKUP(A212,Regularizare!$D:$AX,31,FALSE)&amp;" ("&amp;VLOOKUP(A212,Regularizare!$D:$AX,32,FALSE)&amp;")"</f>
        <v>9581 (citit)</v>
      </c>
      <c r="V212" s="647"/>
      <c r="W212" s="647"/>
      <c r="X212" s="647" t="str">
        <f>VLOOKUP(A212,Regularizare!$D:$AX,39,FALSE)&amp;" ("&amp;VLOOKUP(A212,Regularizare!$D:$AX,32,FALSE)&amp;")"</f>
        <v>0 (citit)</v>
      </c>
      <c r="Y212" s="647"/>
      <c r="Z212" s="647"/>
      <c r="AA212" s="647">
        <f>VLOOKUP(A212,Regularizare!$D:$AX,44,FALSE)+VLOOKUP(A212,Regularizare!$D:$AX,45,FALSE)</f>
        <v>0</v>
      </c>
      <c r="AB212" s="647"/>
      <c r="AC212" s="647"/>
      <c r="AD212" s="647" t="s">
        <v>69</v>
      </c>
      <c r="AE212" s="647"/>
      <c r="AF212" s="647">
        <f>AA212</f>
        <v>0</v>
      </c>
      <c r="AG212" s="647"/>
      <c r="AH212" s="647"/>
      <c r="AI212" s="647" t="str">
        <f>AI209</f>
        <v>-</v>
      </c>
      <c r="AJ212" s="647"/>
      <c r="AK212" s="647" t="str">
        <f>AK209</f>
        <v>-</v>
      </c>
      <c r="AL212" s="647"/>
      <c r="AM212" s="647"/>
    </row>
    <row r="213" spans="1:39" ht="8.4499999999999993" customHeight="1">
      <c r="A213" s="717"/>
      <c r="B213" s="718"/>
      <c r="C213" s="718"/>
      <c r="D213" s="718"/>
      <c r="E213" s="718"/>
      <c r="F213" s="719"/>
      <c r="G213" s="648"/>
      <c r="H213" s="648"/>
      <c r="I213" s="648"/>
      <c r="J213" s="717" t="str">
        <f t="shared" si="12"/>
        <v>-</v>
      </c>
      <c r="K213" s="718"/>
      <c r="L213" s="719"/>
      <c r="M213" s="648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81"/>
      <c r="B214" s="682"/>
      <c r="C214" s="682"/>
      <c r="D214" s="682"/>
      <c r="E214" s="682"/>
      <c r="F214" s="683"/>
      <c r="G214" s="648"/>
      <c r="H214" s="648"/>
      <c r="I214" s="648"/>
      <c r="J214" s="714">
        <f t="shared" si="12"/>
        <v>45777</v>
      </c>
      <c r="K214" s="715"/>
      <c r="L214" s="716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78" t="str">
        <f>A212</f>
        <v>V.18101774330/1</v>
      </c>
      <c r="B215" s="679"/>
      <c r="C215" s="679"/>
      <c r="D215" s="679"/>
      <c r="E215" s="679"/>
      <c r="F215" s="680"/>
      <c r="G215" s="648" t="s">
        <v>731</v>
      </c>
      <c r="H215" s="648"/>
      <c r="I215" s="648"/>
      <c r="J215" s="655">
        <f t="shared" si="12"/>
        <v>45748</v>
      </c>
      <c r="K215" s="656"/>
      <c r="L215" s="657"/>
      <c r="M215" s="648" t="s">
        <v>720</v>
      </c>
      <c r="N215" s="648"/>
      <c r="O215" s="648">
        <f>O212</f>
        <v>1</v>
      </c>
      <c r="P215" s="648"/>
      <c r="Q215" s="648"/>
      <c r="R215" s="647" t="str">
        <f>VLOOKUP(A215,Regularizare!$D:$AX,33,FALSE)&amp;" ("&amp;VLOOKUP(A215,Regularizare!$D:$AX,34,FALSE)&amp;")"</f>
        <v>99220 (citit)</v>
      </c>
      <c r="S215" s="647"/>
      <c r="T215" s="647"/>
      <c r="U215" s="647" t="str">
        <f>VLOOKUP(A215,Regularizare!$D:$AX,35,FALSE)&amp;" ("&amp;VLOOKUP(A215,Regularizare!$D:$AX,36,FALSE)&amp;")"</f>
        <v>105280 (citit)</v>
      </c>
      <c r="V215" s="647"/>
      <c r="W215" s="647"/>
      <c r="X215" s="647" t="str">
        <f>VLOOKUP(A215,Regularizare!$D:$AX,40,FALSE)&amp;" ("&amp;VLOOKUP(A215,Regularizare!$D:$AX,36,FALSE)&amp;")"</f>
        <v>6060 (citit)</v>
      </c>
      <c r="Y215" s="647"/>
      <c r="Z215" s="647"/>
      <c r="AA215" s="647">
        <f>VLOOKUP(A215,Regularizare!$D:$AX,46,FALSE)+VLOOKUP(A215,Regularizare!$D:$AX,47,FALSE)</f>
        <v>6060</v>
      </c>
      <c r="AB215" s="647"/>
      <c r="AC215" s="647"/>
      <c r="AD215" s="647" t="s">
        <v>69</v>
      </c>
      <c r="AE215" s="647"/>
      <c r="AF215" s="647">
        <f>AA215</f>
        <v>6060</v>
      </c>
      <c r="AG215" s="647"/>
      <c r="AH215" s="647"/>
      <c r="AI215" s="647" t="str">
        <f>AI212</f>
        <v>-</v>
      </c>
      <c r="AJ215" s="647"/>
      <c r="AK215" s="647" t="str">
        <f>AK212</f>
        <v>-</v>
      </c>
      <c r="AL215" s="647"/>
      <c r="AM215" s="647"/>
    </row>
    <row r="216" spans="1:39" ht="8.4499999999999993" customHeight="1">
      <c r="A216" s="717"/>
      <c r="B216" s="718"/>
      <c r="C216" s="718"/>
      <c r="D216" s="718"/>
      <c r="E216" s="718"/>
      <c r="F216" s="719"/>
      <c r="G216" s="648"/>
      <c r="H216" s="648"/>
      <c r="I216" s="648"/>
      <c r="J216" s="717" t="str">
        <f t="shared" si="12"/>
        <v>-</v>
      </c>
      <c r="K216" s="718"/>
      <c r="L216" s="719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81"/>
      <c r="B217" s="682"/>
      <c r="C217" s="682"/>
      <c r="D217" s="682"/>
      <c r="E217" s="682"/>
      <c r="F217" s="683"/>
      <c r="G217" s="648"/>
      <c r="H217" s="648"/>
      <c r="I217" s="648"/>
      <c r="J217" s="714">
        <f t="shared" si="12"/>
        <v>45777</v>
      </c>
      <c r="K217" s="715"/>
      <c r="L217" s="716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78" t="str">
        <f>A215</f>
        <v>V.18101774330/1</v>
      </c>
      <c r="B218" s="679"/>
      <c r="C218" s="679"/>
      <c r="D218" s="679"/>
      <c r="E218" s="679"/>
      <c r="F218" s="680"/>
      <c r="G218" s="648" t="s">
        <v>730</v>
      </c>
      <c r="H218" s="648"/>
      <c r="I218" s="673"/>
      <c r="J218" s="655">
        <f>'Date masura OD'!$I$5</f>
        <v>45778</v>
      </c>
      <c r="K218" s="656"/>
      <c r="L218" s="657"/>
      <c r="M218" s="720" t="s">
        <v>446</v>
      </c>
      <c r="N218" s="648"/>
      <c r="O218" s="648">
        <f>O215</f>
        <v>1</v>
      </c>
      <c r="P218" s="648"/>
      <c r="Q218" s="648"/>
      <c r="R218" s="647" t="str">
        <f>U209</f>
        <v>557661 (citit)</v>
      </c>
      <c r="S218" s="647"/>
      <c r="T218" s="647"/>
      <c r="U218" s="647" t="str">
        <f>VLOOKUP(A218,'Incrementare indexe'!$D:$M,4,FALSE)&amp;" (estimat)"</f>
        <v>593623 (estimat)</v>
      </c>
      <c r="V218" s="647"/>
      <c r="W218" s="647"/>
      <c r="X218" s="647" t="str">
        <f>VLOOKUP(A218,'Incrementare indexe'!$D:$Q,11,FALSE)&amp;" (estimat)"</f>
        <v>35962 (estimat)</v>
      </c>
      <c r="Y218" s="647"/>
      <c r="Z218" s="647"/>
      <c r="AA218" s="647" t="s">
        <v>69</v>
      </c>
      <c r="AB218" s="647"/>
      <c r="AC218" s="647"/>
      <c r="AD218" s="647" t="s">
        <v>69</v>
      </c>
      <c r="AE218" s="647"/>
      <c r="AF218" s="647">
        <f>VLOOKUP(A218,'Incrementare indexe'!$D:$Q,11,FALSE)</f>
        <v>35962</v>
      </c>
      <c r="AG218" s="647"/>
      <c r="AH218" s="647"/>
      <c r="AI218" s="647">
        <f>J220-J218+1</f>
        <v>31</v>
      </c>
      <c r="AJ218" s="647"/>
      <c r="AK218" s="647">
        <f>ROUND(AF218/AI218,2)</f>
        <v>1160.06</v>
      </c>
      <c r="AL218" s="647"/>
      <c r="AM218" s="647"/>
    </row>
    <row r="219" spans="1:39" ht="8.4499999999999993" customHeight="1">
      <c r="A219" s="717"/>
      <c r="B219" s="718"/>
      <c r="C219" s="718"/>
      <c r="D219" s="718"/>
      <c r="E219" s="718"/>
      <c r="F219" s="719"/>
      <c r="G219" s="648"/>
      <c r="H219" s="648"/>
      <c r="I219" s="673"/>
      <c r="J219" s="717" t="s">
        <v>69</v>
      </c>
      <c r="K219" s="718"/>
      <c r="L219" s="719"/>
      <c r="M219" s="720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>
      <c r="A220" s="681"/>
      <c r="B220" s="682"/>
      <c r="C220" s="682"/>
      <c r="D220" s="682"/>
      <c r="E220" s="682"/>
      <c r="F220" s="683"/>
      <c r="G220" s="648"/>
      <c r="H220" s="648"/>
      <c r="I220" s="673"/>
      <c r="J220" s="714">
        <f>'Date masura OD'!$J$5</f>
        <v>45808</v>
      </c>
      <c r="K220" s="715"/>
      <c r="L220" s="716"/>
      <c r="M220" s="720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78" t="str">
        <f>A218</f>
        <v>V.18101774330/1</v>
      </c>
      <c r="B221" s="679"/>
      <c r="C221" s="679"/>
      <c r="D221" s="679"/>
      <c r="E221" s="679"/>
      <c r="F221" s="680"/>
      <c r="G221" s="648" t="s">
        <v>696</v>
      </c>
      <c r="H221" s="648"/>
      <c r="I221" s="648"/>
      <c r="J221" s="655">
        <f t="shared" ref="J221:J226" si="13">J218</f>
        <v>45778</v>
      </c>
      <c r="K221" s="656"/>
      <c r="L221" s="657"/>
      <c r="M221" s="648" t="s">
        <v>720</v>
      </c>
      <c r="N221" s="648"/>
      <c r="O221" s="648">
        <f>O218</f>
        <v>1</v>
      </c>
      <c r="P221" s="648"/>
      <c r="Q221" s="648"/>
      <c r="R221" s="647" t="str">
        <f>U212</f>
        <v>9581 (citit)</v>
      </c>
      <c r="S221" s="647"/>
      <c r="T221" s="647"/>
      <c r="U221" s="647" t="str">
        <f>VLOOKUP(A221,'Incrementare indexe'!$D:$M,8,FALSE)&amp;" (estimat)"</f>
        <v>9581 (estimat)</v>
      </c>
      <c r="V221" s="647"/>
      <c r="W221" s="647"/>
      <c r="X221" s="647" t="str">
        <f>VLOOKUP(A221,'Incrementare indexe'!$D:$Q,12,FALSE)&amp;" (estimat)"</f>
        <v>0 (estimat)</v>
      </c>
      <c r="Y221" s="647"/>
      <c r="Z221" s="647"/>
      <c r="AA221" s="647" t="s">
        <v>69</v>
      </c>
      <c r="AB221" s="647"/>
      <c r="AC221" s="647"/>
      <c r="AD221" s="647" t="s">
        <v>69</v>
      </c>
      <c r="AE221" s="647"/>
      <c r="AF221" s="647">
        <f>VLOOKUP(A221,'Incrementare indexe'!$D:$Q,12,FALSE)</f>
        <v>0</v>
      </c>
      <c r="AG221" s="647"/>
      <c r="AH221" s="647"/>
      <c r="AI221" s="647">
        <f>AI218</f>
        <v>31</v>
      </c>
      <c r="AJ221" s="647"/>
      <c r="AK221" s="647">
        <f>ROUND(AF221/AI221,2)</f>
        <v>0</v>
      </c>
      <c r="AL221" s="647"/>
      <c r="AM221" s="647"/>
    </row>
    <row r="222" spans="1:39" ht="8.4499999999999993" customHeight="1">
      <c r="A222" s="717"/>
      <c r="B222" s="718"/>
      <c r="C222" s="718"/>
      <c r="D222" s="718"/>
      <c r="E222" s="718"/>
      <c r="F222" s="719"/>
      <c r="G222" s="648"/>
      <c r="H222" s="648"/>
      <c r="I222" s="648"/>
      <c r="J222" s="717" t="str">
        <f t="shared" si="13"/>
        <v>-</v>
      </c>
      <c r="K222" s="718"/>
      <c r="L222" s="719"/>
      <c r="M222" s="648"/>
      <c r="N222" s="648"/>
      <c r="O222" s="648"/>
      <c r="P222" s="648"/>
      <c r="Q222" s="648"/>
      <c r="R222" s="647"/>
      <c r="S222" s="647"/>
      <c r="T222" s="647"/>
      <c r="U222" s="647"/>
      <c r="V222" s="647"/>
      <c r="W222" s="647"/>
      <c r="X222" s="647"/>
      <c r="Y222" s="647"/>
      <c r="Z222" s="647"/>
      <c r="AA222" s="647"/>
      <c r="AB222" s="647"/>
      <c r="AC222" s="647"/>
      <c r="AD222" s="647"/>
      <c r="AE222" s="647"/>
      <c r="AF222" s="647"/>
      <c r="AG222" s="647"/>
      <c r="AH222" s="647"/>
      <c r="AI222" s="647"/>
      <c r="AJ222" s="647"/>
      <c r="AK222" s="647"/>
      <c r="AL222" s="647"/>
      <c r="AM222" s="647"/>
    </row>
    <row r="223" spans="1:39" ht="14.1" customHeight="1">
      <c r="A223" s="681"/>
      <c r="B223" s="682"/>
      <c r="C223" s="682"/>
      <c r="D223" s="682"/>
      <c r="E223" s="682"/>
      <c r="F223" s="683"/>
      <c r="G223" s="648"/>
      <c r="H223" s="648"/>
      <c r="I223" s="648"/>
      <c r="J223" s="714">
        <f t="shared" si="13"/>
        <v>45808</v>
      </c>
      <c r="K223" s="715"/>
      <c r="L223" s="716"/>
      <c r="M223" s="648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78" t="str">
        <f>A221</f>
        <v>V.18101774330/1</v>
      </c>
      <c r="B224" s="679"/>
      <c r="C224" s="679"/>
      <c r="D224" s="679"/>
      <c r="E224" s="679"/>
      <c r="F224" s="680"/>
      <c r="G224" s="648" t="s">
        <v>731</v>
      </c>
      <c r="H224" s="648"/>
      <c r="I224" s="648"/>
      <c r="J224" s="655">
        <f t="shared" si="13"/>
        <v>45778</v>
      </c>
      <c r="K224" s="656"/>
      <c r="L224" s="657"/>
      <c r="M224" s="648" t="s">
        <v>720</v>
      </c>
      <c r="N224" s="648"/>
      <c r="O224" s="648">
        <f>O221</f>
        <v>1</v>
      </c>
      <c r="P224" s="648"/>
      <c r="Q224" s="648"/>
      <c r="R224" s="647" t="str">
        <f>U215</f>
        <v>105280 (citit)</v>
      </c>
      <c r="S224" s="647"/>
      <c r="T224" s="647"/>
      <c r="U224" s="647" t="str">
        <f>VLOOKUP(A224,'Incrementare indexe'!$D:$M,10,FALSE)&amp;" (estimat)"</f>
        <v>105280 (estimat)</v>
      </c>
      <c r="V224" s="647"/>
      <c r="W224" s="647"/>
      <c r="X224" s="647" t="str">
        <f>VLOOKUP(A224,'Incrementare indexe'!$D:$Q,13,FALSE)&amp;" (estimat)"</f>
        <v>0 (estimat)</v>
      </c>
      <c r="Y224" s="647"/>
      <c r="Z224" s="647"/>
      <c r="AA224" s="647" t="s">
        <v>69</v>
      </c>
      <c r="AB224" s="647"/>
      <c r="AC224" s="647"/>
      <c r="AD224" s="647" t="s">
        <v>69</v>
      </c>
      <c r="AE224" s="647"/>
      <c r="AF224" s="647">
        <f>VLOOKUP(A224,'Incrementare indexe'!$D:$Q,13,FALSE)</f>
        <v>0</v>
      </c>
      <c r="AG224" s="647"/>
      <c r="AH224" s="647"/>
      <c r="AI224" s="647">
        <f>AI221</f>
        <v>31</v>
      </c>
      <c r="AJ224" s="647"/>
      <c r="AK224" s="647">
        <f>ROUND(AF224/AI224,2)</f>
        <v>0</v>
      </c>
      <c r="AL224" s="647"/>
      <c r="AM224" s="647"/>
    </row>
    <row r="225" spans="1:39" ht="8.4499999999999993" customHeight="1">
      <c r="A225" s="717"/>
      <c r="B225" s="718"/>
      <c r="C225" s="718"/>
      <c r="D225" s="718"/>
      <c r="E225" s="718"/>
      <c r="F225" s="719"/>
      <c r="G225" s="648"/>
      <c r="H225" s="648"/>
      <c r="I225" s="648"/>
      <c r="J225" s="717" t="str">
        <f t="shared" si="13"/>
        <v>-</v>
      </c>
      <c r="K225" s="718"/>
      <c r="L225" s="719"/>
      <c r="M225" s="648"/>
      <c r="N225" s="648"/>
      <c r="O225" s="648"/>
      <c r="P225" s="648"/>
      <c r="Q225" s="648"/>
      <c r="R225" s="647"/>
      <c r="S225" s="647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647"/>
      <c r="AL225" s="647"/>
      <c r="AM225" s="647"/>
    </row>
    <row r="226" spans="1:39" ht="14.1" customHeight="1">
      <c r="A226" s="681"/>
      <c r="B226" s="682"/>
      <c r="C226" s="682"/>
      <c r="D226" s="682"/>
      <c r="E226" s="682"/>
      <c r="F226" s="683"/>
      <c r="G226" s="648"/>
      <c r="H226" s="648"/>
      <c r="I226" s="648"/>
      <c r="J226" s="714">
        <f t="shared" si="13"/>
        <v>45808</v>
      </c>
      <c r="K226" s="715"/>
      <c r="L226" s="716"/>
      <c r="M226" s="648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196"/>
      <c r="B227" s="196"/>
      <c r="C227" s="196"/>
      <c r="D227" s="196"/>
      <c r="E227" s="196"/>
      <c r="F227" s="196"/>
      <c r="G227" s="196"/>
      <c r="H227" s="196"/>
      <c r="I227" s="196"/>
      <c r="J227" s="197"/>
      <c r="K227" s="197"/>
      <c r="L227" s="197"/>
      <c r="M227" s="196"/>
      <c r="N227" s="196"/>
      <c r="O227" s="196"/>
      <c r="P227" s="196"/>
      <c r="Q227" s="196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</row>
    <row r="228" spans="1:39" ht="14.1" customHeight="1">
      <c r="A228" s="196"/>
      <c r="B228" s="196"/>
      <c r="C228" s="196"/>
      <c r="D228" s="196"/>
      <c r="E228" s="196"/>
      <c r="F228" s="196"/>
      <c r="G228" s="196"/>
      <c r="H228" s="196"/>
      <c r="I228" s="196"/>
      <c r="J228" s="197"/>
      <c r="K228" s="197"/>
      <c r="L228" s="197"/>
      <c r="M228" s="196"/>
      <c r="N228" s="196"/>
      <c r="O228" s="196"/>
      <c r="P228" s="196"/>
      <c r="Q228" s="196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</row>
    <row r="229" spans="1:39" ht="14.1" customHeight="1">
      <c r="A229" s="196"/>
      <c r="B229" s="196"/>
      <c r="C229" s="196"/>
      <c r="D229" s="196"/>
      <c r="E229" s="196"/>
      <c r="F229" s="196"/>
      <c r="G229" s="196"/>
      <c r="H229" s="196"/>
      <c r="I229" s="196"/>
      <c r="J229" s="197"/>
      <c r="K229" s="197"/>
      <c r="L229" s="197"/>
      <c r="M229" s="196"/>
      <c r="N229" s="196"/>
      <c r="O229" s="196"/>
      <c r="P229" s="196"/>
      <c r="Q229" s="196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</row>
    <row r="230" spans="1:39" ht="14.1" customHeight="1">
      <c r="A230" s="196"/>
      <c r="B230" s="196"/>
      <c r="C230" s="196"/>
      <c r="D230" s="196"/>
      <c r="E230" s="196"/>
      <c r="F230" s="196"/>
      <c r="G230" s="196"/>
      <c r="H230" s="196"/>
      <c r="I230" s="196"/>
      <c r="J230" s="197"/>
      <c r="K230" s="197"/>
      <c r="L230" s="197"/>
      <c r="M230" s="196"/>
      <c r="N230" s="196"/>
      <c r="O230" s="196"/>
      <c r="P230" s="196"/>
      <c r="Q230" s="196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</row>
    <row r="231" spans="1:39" ht="14.1" customHeight="1">
      <c r="A231" s="196"/>
      <c r="B231" s="196"/>
      <c r="C231" s="196"/>
      <c r="D231" s="196"/>
      <c r="E231" s="196"/>
      <c r="F231" s="196"/>
      <c r="G231" s="196"/>
      <c r="H231" s="196"/>
      <c r="I231" s="196"/>
      <c r="J231" s="197"/>
      <c r="K231" s="197"/>
      <c r="L231" s="197"/>
      <c r="M231" s="196"/>
      <c r="N231" s="196"/>
      <c r="O231" s="196"/>
      <c r="P231" s="196"/>
      <c r="Q231" s="196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</row>
    <row r="232" spans="1:39" ht="14.1" customHeight="1">
      <c r="A232" s="196"/>
      <c r="B232" s="196"/>
      <c r="C232" s="196"/>
      <c r="D232" s="196"/>
      <c r="E232" s="196"/>
      <c r="F232" s="196"/>
      <c r="G232" s="196"/>
      <c r="H232" s="196"/>
      <c r="I232" s="196"/>
      <c r="J232" s="197"/>
      <c r="K232" s="197"/>
      <c r="L232" s="197"/>
      <c r="M232" s="196"/>
      <c r="N232" s="196"/>
      <c r="O232" s="196"/>
      <c r="P232" s="196"/>
      <c r="Q232" s="196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</row>
    <row r="233" spans="1:39" ht="14.1" customHeight="1">
      <c r="A233" s="274"/>
      <c r="B233" s="274"/>
      <c r="C233" s="274"/>
      <c r="D233" s="274"/>
      <c r="E233" s="274"/>
      <c r="F233" s="274"/>
      <c r="G233" s="274"/>
      <c r="H233" s="275"/>
      <c r="I233" s="275"/>
      <c r="J233" s="275"/>
      <c r="K233" s="275"/>
      <c r="L233" s="275"/>
      <c r="M233" s="275"/>
      <c r="N233" s="275"/>
      <c r="O233" s="275"/>
      <c r="P233" s="275"/>
      <c r="Q233" s="275"/>
      <c r="R233" s="275"/>
      <c r="S233" s="275"/>
      <c r="T233" s="275"/>
      <c r="U233" s="275"/>
      <c r="V233" s="275"/>
      <c r="W233" s="275"/>
      <c r="X233" s="275"/>
      <c r="Y233" s="275"/>
      <c r="Z233" s="275"/>
      <c r="AA233" s="276"/>
      <c r="AB233" s="276"/>
      <c r="AC233" s="276"/>
      <c r="AD233" s="276"/>
      <c r="AE233" s="276"/>
      <c r="AF233" s="276"/>
      <c r="AG233" s="276"/>
      <c r="AH233" s="276"/>
      <c r="AI233" s="276"/>
      <c r="AJ233" s="276"/>
      <c r="AK233" s="276"/>
      <c r="AL233" s="276"/>
      <c r="AM233" s="276"/>
    </row>
    <row r="234" spans="1:39" ht="14.1" customHeight="1">
      <c r="A234" s="274"/>
      <c r="B234" s="274"/>
      <c r="C234" s="274"/>
      <c r="D234" s="274"/>
      <c r="E234" s="274"/>
      <c r="F234" s="274"/>
      <c r="G234" s="274"/>
      <c r="H234" s="275"/>
      <c r="I234" s="275"/>
      <c r="J234" s="275"/>
      <c r="K234" s="275"/>
      <c r="L234" s="275"/>
      <c r="M234" s="275"/>
      <c r="N234" s="275"/>
      <c r="O234" s="275"/>
      <c r="P234" s="275"/>
      <c r="Q234" s="275"/>
      <c r="R234" s="275"/>
      <c r="S234" s="275"/>
      <c r="T234" s="275"/>
      <c r="U234" s="275"/>
      <c r="V234" s="275"/>
      <c r="W234" s="275"/>
      <c r="X234" s="275"/>
      <c r="Y234" s="275"/>
      <c r="Z234" s="275"/>
      <c r="AA234" s="276"/>
      <c r="AB234" s="276"/>
      <c r="AC234" s="276"/>
      <c r="AD234" s="276"/>
      <c r="AE234" s="276"/>
      <c r="AF234" s="276"/>
      <c r="AG234" s="276"/>
      <c r="AH234" s="276"/>
      <c r="AI234" s="276"/>
      <c r="AJ234" s="276"/>
      <c r="AK234" s="276"/>
      <c r="AL234" s="276"/>
      <c r="AM234" s="276"/>
    </row>
    <row r="235" spans="1:39" ht="14.1" customHeight="1">
      <c r="A235" s="274"/>
      <c r="B235" s="274"/>
      <c r="C235" s="274"/>
      <c r="D235" s="274"/>
      <c r="E235" s="274"/>
      <c r="F235" s="274"/>
      <c r="G235" s="274"/>
      <c r="H235" s="275"/>
      <c r="I235" s="275"/>
      <c r="J235" s="275"/>
      <c r="K235" s="275"/>
      <c r="L235" s="275"/>
      <c r="M235" s="275"/>
      <c r="N235" s="275"/>
      <c r="O235" s="275"/>
      <c r="P235" s="275"/>
      <c r="Q235" s="275"/>
      <c r="R235" s="275"/>
      <c r="S235" s="275"/>
      <c r="T235" s="275"/>
      <c r="U235" s="275"/>
      <c r="V235" s="275"/>
      <c r="W235" s="275"/>
      <c r="X235" s="275"/>
      <c r="Y235" s="275"/>
      <c r="Z235" s="275"/>
      <c r="AA235" s="276"/>
      <c r="AB235" s="276"/>
      <c r="AC235" s="276"/>
      <c r="AD235" s="276"/>
      <c r="AE235" s="276"/>
      <c r="AF235" s="276"/>
      <c r="AG235" s="276"/>
      <c r="AH235" s="276"/>
      <c r="AI235" s="276"/>
      <c r="AJ235" s="276"/>
      <c r="AK235" s="276"/>
      <c r="AL235" s="276"/>
      <c r="AM235" s="276"/>
    </row>
    <row r="236" spans="1:39" ht="14.1" customHeight="1">
      <c r="A236" s="274"/>
      <c r="B236" s="274"/>
      <c r="C236" s="274"/>
      <c r="D236" s="274"/>
      <c r="E236" s="274"/>
      <c r="F236" s="274"/>
      <c r="G236" s="274"/>
      <c r="H236" s="275"/>
      <c r="I236" s="275"/>
      <c r="J236" s="275"/>
      <c r="K236" s="275"/>
      <c r="L236" s="275"/>
      <c r="M236" s="275"/>
      <c r="N236" s="275"/>
      <c r="O236" s="275"/>
      <c r="P236" s="275"/>
      <c r="Q236" s="275"/>
      <c r="R236" s="275"/>
      <c r="S236" s="275"/>
      <c r="T236" s="275"/>
      <c r="U236" s="275"/>
      <c r="V236" s="275"/>
      <c r="W236" s="275"/>
      <c r="X236" s="275"/>
      <c r="Y236" s="275"/>
      <c r="Z236" s="275"/>
      <c r="AA236" s="276"/>
      <c r="AB236" s="276"/>
      <c r="AC236" s="276"/>
      <c r="AD236" s="276"/>
      <c r="AE236" s="276"/>
      <c r="AF236" s="276"/>
      <c r="AG236" s="276"/>
      <c r="AH236" s="276"/>
      <c r="AI236" s="276"/>
      <c r="AJ236" s="276"/>
      <c r="AK236" s="276"/>
      <c r="AL236" s="276"/>
      <c r="AM236" s="276"/>
    </row>
    <row r="237" spans="1:39" ht="14.1" customHeight="1">
      <c r="A237" s="695" t="s">
        <v>858</v>
      </c>
      <c r="B237" s="695"/>
      <c r="C237" s="695"/>
      <c r="D237" s="695"/>
      <c r="E237" s="695"/>
      <c r="F237" s="695"/>
      <c r="G237" s="695"/>
      <c r="H237" s="695" t="str">
        <f>VLOOKUP($AA$16,'Date SPV'!$B:$H,4,FALSE)</f>
        <v>Strada Principala, nr. 4, loc. Varsatura, jud. Braila</v>
      </c>
      <c r="I237" s="695"/>
      <c r="J237" s="695"/>
      <c r="K237" s="695"/>
      <c r="L237" s="695"/>
      <c r="M237" s="695"/>
      <c r="N237" s="695"/>
      <c r="O237" s="695"/>
      <c r="P237" s="695"/>
      <c r="Q237" s="695"/>
      <c r="R237" s="695"/>
      <c r="S237" s="695"/>
      <c r="T237" s="695"/>
      <c r="U237" s="695"/>
      <c r="V237" s="695"/>
      <c r="W237" s="695"/>
      <c r="X237" s="695"/>
      <c r="Y237" s="695"/>
      <c r="Z237" s="695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</row>
    <row r="238" spans="1:39" ht="14.1" customHeight="1">
      <c r="A238" s="695"/>
      <c r="B238" s="695"/>
      <c r="C238" s="695"/>
      <c r="D238" s="695"/>
      <c r="E238" s="695"/>
      <c r="F238" s="695"/>
      <c r="G238" s="695"/>
      <c r="H238" s="695"/>
      <c r="I238" s="695"/>
      <c r="J238" s="695"/>
      <c r="K238" s="695"/>
      <c r="L238" s="695"/>
      <c r="M238" s="695"/>
      <c r="N238" s="695"/>
      <c r="O238" s="695"/>
      <c r="P238" s="695"/>
      <c r="Q238" s="695"/>
      <c r="R238" s="695"/>
      <c r="S238" s="695"/>
      <c r="T238" s="695"/>
      <c r="U238" s="695"/>
      <c r="V238" s="695"/>
      <c r="W238" s="695"/>
      <c r="X238" s="695"/>
      <c r="Y238" s="695"/>
      <c r="Z238" s="695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</row>
    <row r="239" spans="1:39" ht="14.1" customHeight="1">
      <c r="A239" s="695" t="s">
        <v>859</v>
      </c>
      <c r="B239" s="695"/>
      <c r="C239" s="695"/>
      <c r="D239" s="695"/>
      <c r="E239" s="695"/>
      <c r="F239" s="695"/>
      <c r="G239" s="695"/>
      <c r="H239" s="712">
        <f>VLOOKUP(AA239,'Date masura OD'!$G:$BE,51,FALSE)</f>
        <v>5000579507</v>
      </c>
      <c r="I239" s="712"/>
      <c r="J239" s="712"/>
      <c r="K239" s="712"/>
      <c r="L239" s="712"/>
      <c r="M239" s="712"/>
      <c r="N239" s="712"/>
      <c r="O239" s="712"/>
      <c r="P239" s="712"/>
      <c r="Q239" s="712"/>
      <c r="R239" s="712"/>
      <c r="S239" s="712"/>
      <c r="T239" s="712"/>
      <c r="U239" s="712"/>
      <c r="V239" s="712"/>
      <c r="W239" s="712" t="s">
        <v>860</v>
      </c>
      <c r="X239" s="712"/>
      <c r="Y239" s="712"/>
      <c r="Z239" s="712"/>
      <c r="AA239" s="640" t="str">
        <f>_xlfn.CONCAT($AA$16,"_",4)</f>
        <v>RBPM_4</v>
      </c>
      <c r="AB239" s="640"/>
      <c r="AC239" s="640"/>
      <c r="AD239" s="640"/>
      <c r="AE239" s="640"/>
      <c r="AF239" s="640"/>
      <c r="AG239" s="640"/>
      <c r="AH239" s="640"/>
      <c r="AI239" s="640"/>
      <c r="AJ239" s="640"/>
      <c r="AK239" s="640"/>
      <c r="AL239" s="640"/>
      <c r="AM239" s="640"/>
    </row>
    <row r="240" spans="1:39" ht="14.1" customHeight="1">
      <c r="A240" s="695"/>
      <c r="B240" s="695"/>
      <c r="C240" s="695"/>
      <c r="D240" s="695"/>
      <c r="E240" s="695"/>
      <c r="F240" s="695"/>
      <c r="G240" s="695"/>
      <c r="H240" s="712"/>
      <c r="I240" s="712"/>
      <c r="J240" s="712"/>
      <c r="K240" s="712"/>
      <c r="L240" s="712"/>
      <c r="M240" s="712"/>
      <c r="N240" s="712"/>
      <c r="O240" s="712"/>
      <c r="P240" s="712"/>
      <c r="Q240" s="712"/>
      <c r="R240" s="712"/>
      <c r="S240" s="712"/>
      <c r="T240" s="712"/>
      <c r="U240" s="712"/>
      <c r="V240" s="712"/>
      <c r="W240" s="712"/>
      <c r="X240" s="712"/>
      <c r="Y240" s="712"/>
      <c r="Z240" s="712"/>
      <c r="AA240" s="640"/>
      <c r="AB240" s="640"/>
      <c r="AC240" s="640"/>
      <c r="AD240" s="640"/>
      <c r="AE240" s="640"/>
      <c r="AF240" s="640"/>
      <c r="AG240" s="640"/>
      <c r="AH240" s="640"/>
      <c r="AI240" s="640"/>
      <c r="AJ240" s="640"/>
      <c r="AK240" s="640"/>
      <c r="AL240" s="640"/>
      <c r="AM240" s="640"/>
    </row>
    <row r="241" spans="1:39">
      <c r="A241" s="649" t="s">
        <v>748</v>
      </c>
      <c r="B241" s="649"/>
      <c r="C241" s="649"/>
      <c r="D241" s="649"/>
      <c r="E241" s="649"/>
      <c r="F241" s="649"/>
      <c r="G241" s="649"/>
      <c r="H241" s="649"/>
      <c r="I241" s="649"/>
      <c r="J241" s="649"/>
      <c r="K241" s="649"/>
      <c r="L241" s="649"/>
      <c r="M241" s="650" t="str">
        <f>VLOOKUP(AI242,'Contorizare in SDI'!$E:$I,4,FALSE)</f>
        <v>594030200001495088</v>
      </c>
      <c r="N241" s="650"/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0"/>
      <c r="Z241" s="650"/>
      <c r="AA241" s="650"/>
      <c r="AB241" s="650"/>
      <c r="AC241" s="650"/>
      <c r="AD241" s="650"/>
      <c r="AE241" s="650"/>
      <c r="AF241" s="650"/>
      <c r="AG241" s="650"/>
      <c r="AH241" s="650"/>
      <c r="AI241" s="650" t="s">
        <v>695</v>
      </c>
      <c r="AJ241" s="650"/>
      <c r="AK241" s="650"/>
      <c r="AL241" s="650"/>
      <c r="AM241" s="650"/>
    </row>
    <row r="242" spans="1:39">
      <c r="A242" s="649" t="s">
        <v>746</v>
      </c>
      <c r="B242" s="649"/>
      <c r="C242" s="649"/>
      <c r="D242" s="649"/>
      <c r="E242" s="649"/>
      <c r="F242" s="649"/>
      <c r="G242" s="649"/>
      <c r="H242" s="649"/>
      <c r="I242" s="649"/>
      <c r="J242" s="649"/>
      <c r="K242" s="649"/>
      <c r="L242" s="649"/>
      <c r="M242" s="650" t="str">
        <f>VLOOKUP(AI242,'Inchidere contur'!$G:$U,15,FALSE)</f>
        <v>MT_OD</v>
      </c>
      <c r="N242" s="650"/>
      <c r="O242" s="650"/>
      <c r="P242" s="650"/>
      <c r="Q242" s="650"/>
      <c r="R242" s="650"/>
      <c r="S242" s="650"/>
      <c r="T242" s="650"/>
      <c r="U242" s="650"/>
      <c r="V242" s="650"/>
      <c r="W242" s="650"/>
      <c r="X242" s="650"/>
      <c r="Y242" s="650"/>
      <c r="Z242" s="650"/>
      <c r="AA242" s="650"/>
      <c r="AB242" s="650"/>
      <c r="AC242" s="650"/>
      <c r="AD242" s="650"/>
      <c r="AE242" s="650"/>
      <c r="AF242" s="650"/>
      <c r="AG242" s="650"/>
      <c r="AH242" s="650"/>
      <c r="AI242" s="619" t="str">
        <f>AA239</f>
        <v>RBPM_4</v>
      </c>
      <c r="AJ242" s="619"/>
      <c r="AK242" s="619"/>
      <c r="AL242" s="619"/>
      <c r="AM242" s="619"/>
    </row>
    <row r="243" spans="1:39">
      <c r="A243" s="649" t="s">
        <v>747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50" t="str">
        <f>IF(LEFT(M242,2)="JT","0.4kV",IF(LEFT(M242,2)="MT","20kV","-"))</f>
        <v>20kV</v>
      </c>
      <c r="N243" s="650"/>
      <c r="O243" s="650"/>
      <c r="P243" s="650"/>
      <c r="Q243" s="650"/>
      <c r="R243" s="650"/>
      <c r="S243" s="650"/>
      <c r="T243" s="650"/>
      <c r="U243" s="650"/>
      <c r="V243" s="650"/>
      <c r="W243" s="650"/>
      <c r="X243" s="650"/>
      <c r="Y243" s="650"/>
      <c r="Z243" s="650"/>
      <c r="AA243" s="650"/>
      <c r="AB243" s="650"/>
      <c r="AC243" s="650"/>
      <c r="AD243" s="650"/>
      <c r="AE243" s="650"/>
      <c r="AF243" s="650"/>
      <c r="AG243" s="650"/>
      <c r="AH243" s="650"/>
      <c r="AI243" s="619"/>
      <c r="AJ243" s="619"/>
      <c r="AK243" s="619"/>
      <c r="AL243" s="619"/>
      <c r="AM243" s="619"/>
    </row>
    <row r="244" spans="1:39" ht="15.95" customHeight="1">
      <c r="A244" s="648" t="s">
        <v>697</v>
      </c>
      <c r="B244" s="648"/>
      <c r="C244" s="648"/>
      <c r="D244" s="648"/>
      <c r="E244" s="648"/>
      <c r="F244" s="648"/>
      <c r="G244" s="647" t="s">
        <v>713</v>
      </c>
      <c r="H244" s="647"/>
      <c r="I244" s="647"/>
      <c r="J244" s="647" t="s">
        <v>714</v>
      </c>
      <c r="K244" s="647"/>
      <c r="L244" s="647"/>
      <c r="M244" s="648" t="s">
        <v>519</v>
      </c>
      <c r="N244" s="648"/>
      <c r="O244" s="648" t="s">
        <v>715</v>
      </c>
      <c r="P244" s="648"/>
      <c r="Q244" s="648"/>
      <c r="R244" s="647" t="s">
        <v>732</v>
      </c>
      <c r="S244" s="647"/>
      <c r="T244" s="647"/>
      <c r="U244" s="647" t="s">
        <v>734</v>
      </c>
      <c r="V244" s="647"/>
      <c r="W244" s="647"/>
      <c r="X244" s="647" t="s">
        <v>1085</v>
      </c>
      <c r="Y244" s="647"/>
      <c r="Z244" s="647"/>
      <c r="AA244" s="647" t="s">
        <v>1086</v>
      </c>
      <c r="AB244" s="647"/>
      <c r="AC244" s="647"/>
      <c r="AD244" s="647" t="s">
        <v>717</v>
      </c>
      <c r="AE244" s="647"/>
      <c r="AF244" s="647" t="s">
        <v>718</v>
      </c>
      <c r="AG244" s="647"/>
      <c r="AH244" s="647"/>
      <c r="AI244" s="647" t="s">
        <v>719</v>
      </c>
      <c r="AJ244" s="647"/>
      <c r="AK244" s="647" t="s">
        <v>733</v>
      </c>
      <c r="AL244" s="647"/>
      <c r="AM244" s="647"/>
    </row>
    <row r="245" spans="1:39">
      <c r="A245" s="648"/>
      <c r="B245" s="648"/>
      <c r="C245" s="648"/>
      <c r="D245" s="648"/>
      <c r="E245" s="648"/>
      <c r="F245" s="648"/>
      <c r="G245" s="647"/>
      <c r="H245" s="647"/>
      <c r="I245" s="647"/>
      <c r="J245" s="647"/>
      <c r="K245" s="647"/>
      <c r="L245" s="647"/>
      <c r="M245" s="648"/>
      <c r="N245" s="648"/>
      <c r="O245" s="648"/>
      <c r="P245" s="648"/>
      <c r="Q245" s="648"/>
      <c r="R245" s="647"/>
      <c r="S245" s="647"/>
      <c r="T245" s="647"/>
      <c r="U245" s="647"/>
      <c r="V245" s="647"/>
      <c r="W245" s="647"/>
      <c r="X245" s="647"/>
      <c r="Y245" s="647"/>
      <c r="Z245" s="647"/>
      <c r="AA245" s="647"/>
      <c r="AB245" s="647"/>
      <c r="AC245" s="647"/>
      <c r="AD245" s="647"/>
      <c r="AE245" s="647"/>
      <c r="AF245" s="647"/>
      <c r="AG245" s="647"/>
      <c r="AH245" s="647"/>
      <c r="AI245" s="647"/>
      <c r="AJ245" s="647"/>
      <c r="AK245" s="647"/>
      <c r="AL245" s="647"/>
      <c r="AM245" s="647"/>
    </row>
    <row r="246" spans="1:39">
      <c r="A246" s="648"/>
      <c r="B246" s="648"/>
      <c r="C246" s="648"/>
      <c r="D246" s="648"/>
      <c r="E246" s="648"/>
      <c r="F246" s="648"/>
      <c r="G246" s="647"/>
      <c r="H246" s="647"/>
      <c r="I246" s="647"/>
      <c r="J246" s="713"/>
      <c r="K246" s="713"/>
      <c r="L246" s="713"/>
      <c r="M246" s="648"/>
      <c r="N246" s="648"/>
      <c r="O246" s="648"/>
      <c r="P246" s="648"/>
      <c r="Q246" s="648"/>
      <c r="R246" s="647"/>
      <c r="S246" s="647"/>
      <c r="T246" s="647"/>
      <c r="U246" s="647"/>
      <c r="V246" s="647"/>
      <c r="W246" s="647"/>
      <c r="X246" s="647"/>
      <c r="Y246" s="647"/>
      <c r="Z246" s="647"/>
      <c r="AA246" s="647"/>
      <c r="AB246" s="647"/>
      <c r="AC246" s="647"/>
      <c r="AD246" s="647"/>
      <c r="AE246" s="647"/>
      <c r="AF246" s="647"/>
      <c r="AG246" s="647"/>
      <c r="AH246" s="647"/>
      <c r="AI246" s="647"/>
      <c r="AJ246" s="647"/>
      <c r="AK246" s="647"/>
      <c r="AL246" s="647"/>
      <c r="AM246" s="647"/>
    </row>
    <row r="247" spans="1:39" ht="14.1" customHeight="1">
      <c r="A247" s="678">
        <f>VLOOKUP(AI242,'Contorizare in SDI'!$E:$I,5,FALSE)</f>
        <v>2744825</v>
      </c>
      <c r="B247" s="679"/>
      <c r="C247" s="679"/>
      <c r="D247" s="679"/>
      <c r="E247" s="679"/>
      <c r="F247" s="680"/>
      <c r="G247" s="648" t="s">
        <v>730</v>
      </c>
      <c r="H247" s="648"/>
      <c r="I247" s="673"/>
      <c r="J247" s="655">
        <f>'Date masura OD'!$AK$5</f>
        <v>45748</v>
      </c>
      <c r="K247" s="656"/>
      <c r="L247" s="657"/>
      <c r="M247" s="720" t="s">
        <v>446</v>
      </c>
      <c r="N247" s="648"/>
      <c r="O247" s="648">
        <f>VLOOKUP(AI242,'Date masura OD'!$G:$BB,2,FALSE)</f>
        <v>120</v>
      </c>
      <c r="P247" s="648"/>
      <c r="Q247" s="648"/>
      <c r="R247" s="647" t="str">
        <f>VLOOKUP(AI242,'Date masura OD'!$G:$BB,20,FALSE)&amp;" ("&amp;VLOOKUP(AI242,'Date masura OD'!$G:$BB,19,FALSE)&amp;")"</f>
        <v>1289.35 (estimare)</v>
      </c>
      <c r="S247" s="647"/>
      <c r="T247" s="647"/>
      <c r="U247" s="647" t="str">
        <f>VLOOKUP(AI242,'Date masura OD'!$G:$BB,21,FALSE)&amp;" ("&amp;VLOOKUP(AI242,'Date masura OD'!$G:$BB,19,FALSE)&amp;")"</f>
        <v>1324 (estimare)</v>
      </c>
      <c r="V247" s="647"/>
      <c r="W247" s="647"/>
      <c r="X247" s="647" t="str">
        <f>VLOOKUP(AI242,'Date masura OD'!$G:$BB,26,FALSE)&amp;" ("&amp;VLOOKUP(AI242,'Date masura OD'!$G:$BB,19,FALSE)&amp;")"</f>
        <v>4158 (estimare)</v>
      </c>
      <c r="Y247" s="647"/>
      <c r="Z247" s="647"/>
      <c r="AA247" s="647">
        <f>(-1)*VLOOKUP(AI242,'Date masura OD'!$G:$BB,26,FALSE)</f>
        <v>-4158</v>
      </c>
      <c r="AB247" s="647"/>
      <c r="AC247" s="647"/>
      <c r="AD247" s="647" t="s">
        <v>69</v>
      </c>
      <c r="AE247" s="647"/>
      <c r="AF247" s="647">
        <f>AA247</f>
        <v>-4158</v>
      </c>
      <c r="AG247" s="647"/>
      <c r="AH247" s="647"/>
      <c r="AI247" s="647" t="s">
        <v>69</v>
      </c>
      <c r="AJ247" s="647"/>
      <c r="AK247" s="647" t="s">
        <v>69</v>
      </c>
      <c r="AL247" s="647"/>
      <c r="AM247" s="647"/>
    </row>
    <row r="248" spans="1:39" ht="9.75" customHeight="1">
      <c r="A248" s="717"/>
      <c r="B248" s="718"/>
      <c r="C248" s="718"/>
      <c r="D248" s="718"/>
      <c r="E248" s="718"/>
      <c r="F248" s="719"/>
      <c r="G248" s="648"/>
      <c r="H248" s="648"/>
      <c r="I248" s="673"/>
      <c r="J248" s="717" t="s">
        <v>69</v>
      </c>
      <c r="K248" s="718"/>
      <c r="L248" s="719"/>
      <c r="M248" s="720"/>
      <c r="N248" s="648"/>
      <c r="O248" s="648"/>
      <c r="P248" s="648"/>
      <c r="Q248" s="648"/>
      <c r="R248" s="647"/>
      <c r="S248" s="647"/>
      <c r="T248" s="647"/>
      <c r="U248" s="647"/>
      <c r="V248" s="647"/>
      <c r="W248" s="647"/>
      <c r="X248" s="647"/>
      <c r="Y248" s="647"/>
      <c r="Z248" s="647"/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</row>
    <row r="249" spans="1:39" ht="14.1" customHeight="1">
      <c r="A249" s="681"/>
      <c r="B249" s="682"/>
      <c r="C249" s="682"/>
      <c r="D249" s="682"/>
      <c r="E249" s="682"/>
      <c r="F249" s="683"/>
      <c r="G249" s="648"/>
      <c r="H249" s="648"/>
      <c r="I249" s="673"/>
      <c r="J249" s="714">
        <f>'Date masura OD'!$AL$5</f>
        <v>45777</v>
      </c>
      <c r="K249" s="715"/>
      <c r="L249" s="716"/>
      <c r="M249" s="720"/>
      <c r="N249" s="648"/>
      <c r="O249" s="648"/>
      <c r="P249" s="648"/>
      <c r="Q249" s="648"/>
      <c r="R249" s="647"/>
      <c r="S249" s="647"/>
      <c r="T249" s="647"/>
      <c r="U249" s="647"/>
      <c r="V249" s="647"/>
      <c r="W249" s="647"/>
      <c r="X249" s="647"/>
      <c r="Y249" s="647"/>
      <c r="Z249" s="647"/>
      <c r="AA249" s="647"/>
      <c r="AB249" s="647"/>
      <c r="AC249" s="647"/>
      <c r="AD249" s="647"/>
      <c r="AE249" s="647"/>
      <c r="AF249" s="647"/>
      <c r="AG249" s="647"/>
      <c r="AH249" s="647"/>
      <c r="AI249" s="647"/>
      <c r="AJ249" s="647"/>
      <c r="AK249" s="647"/>
      <c r="AL249" s="647"/>
      <c r="AM249" s="647"/>
    </row>
    <row r="250" spans="1:39" ht="14.1" customHeight="1">
      <c r="A250" s="678">
        <f>A247</f>
        <v>2744825</v>
      </c>
      <c r="B250" s="679"/>
      <c r="C250" s="679"/>
      <c r="D250" s="679"/>
      <c r="E250" s="679"/>
      <c r="F250" s="680"/>
      <c r="G250" s="648" t="s">
        <v>696</v>
      </c>
      <c r="H250" s="648"/>
      <c r="I250" s="648"/>
      <c r="J250" s="655">
        <f t="shared" ref="J250:J255" si="14">J247</f>
        <v>45748</v>
      </c>
      <c r="K250" s="656"/>
      <c r="L250" s="657"/>
      <c r="M250" s="648" t="s">
        <v>720</v>
      </c>
      <c r="N250" s="648"/>
      <c r="O250" s="648">
        <f>O247</f>
        <v>120</v>
      </c>
      <c r="P250" s="648"/>
      <c r="Q250" s="648"/>
      <c r="R250" s="647" t="str">
        <f>VLOOKUP(AI242,'Date masura OD'!$G:$BB,22,FALSE)&amp;" ("&amp;VLOOKUP(AI242,'Date masura OD'!$G:$BB,19,FALSE)&amp;")"</f>
        <v>2.31 (estimare)</v>
      </c>
      <c r="S250" s="647"/>
      <c r="T250" s="647"/>
      <c r="U250" s="647" t="str">
        <f>VLOOKUP(AI242,'Date masura OD'!$G:$BB,23,FALSE)&amp;" ("&amp;VLOOKUP(AI242,'Date masura OD'!$G:$BB,19,FALSE)&amp;")"</f>
        <v>2.31 (estimare)</v>
      </c>
      <c r="V250" s="647"/>
      <c r="W250" s="647"/>
      <c r="X250" s="647" t="str">
        <f>VLOOKUP(AI242,'Date masura OD'!$G:$BB,27,FALSE)&amp;" ("&amp;VLOOKUP(AI242,'Date masura OD'!$G:$BB,19,FALSE)&amp;")"</f>
        <v>0 (estimare)</v>
      </c>
      <c r="Y250" s="647"/>
      <c r="Z250" s="647"/>
      <c r="AA250" s="647">
        <f>(-1)*VLOOKUP(AI242,'Date masura OD'!$G:$BB,27,FALSE)</f>
        <v>0</v>
      </c>
      <c r="AB250" s="647"/>
      <c r="AC250" s="647"/>
      <c r="AD250" s="647" t="s">
        <v>69</v>
      </c>
      <c r="AE250" s="647"/>
      <c r="AF250" s="647">
        <f>AA250</f>
        <v>0</v>
      </c>
      <c r="AG250" s="647"/>
      <c r="AH250" s="647"/>
      <c r="AI250" s="647" t="str">
        <f>AI247</f>
        <v>-</v>
      </c>
      <c r="AJ250" s="647"/>
      <c r="AK250" s="647" t="str">
        <f>AK247</f>
        <v>-</v>
      </c>
      <c r="AL250" s="647"/>
      <c r="AM250" s="647"/>
    </row>
    <row r="251" spans="1:39" ht="8.4499999999999993" customHeight="1">
      <c r="A251" s="717"/>
      <c r="B251" s="718"/>
      <c r="C251" s="718"/>
      <c r="D251" s="718"/>
      <c r="E251" s="718"/>
      <c r="F251" s="719"/>
      <c r="G251" s="648"/>
      <c r="H251" s="648"/>
      <c r="I251" s="648"/>
      <c r="J251" s="717" t="str">
        <f t="shared" si="14"/>
        <v>-</v>
      </c>
      <c r="K251" s="718"/>
      <c r="L251" s="719"/>
      <c r="M251" s="648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81"/>
      <c r="B252" s="682"/>
      <c r="C252" s="682"/>
      <c r="D252" s="682"/>
      <c r="E252" s="682"/>
      <c r="F252" s="683"/>
      <c r="G252" s="648"/>
      <c r="H252" s="648"/>
      <c r="I252" s="648"/>
      <c r="J252" s="714">
        <f t="shared" si="14"/>
        <v>45777</v>
      </c>
      <c r="K252" s="715"/>
      <c r="L252" s="716"/>
      <c r="M252" s="648"/>
      <c r="N252" s="648"/>
      <c r="O252" s="648"/>
      <c r="P252" s="648"/>
      <c r="Q252" s="648"/>
      <c r="R252" s="647"/>
      <c r="S252" s="647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647"/>
      <c r="AL252" s="647"/>
      <c r="AM252" s="647"/>
    </row>
    <row r="253" spans="1:39" ht="14.1" customHeight="1">
      <c r="A253" s="678">
        <f>A250</f>
        <v>2744825</v>
      </c>
      <c r="B253" s="679"/>
      <c r="C253" s="679"/>
      <c r="D253" s="679"/>
      <c r="E253" s="679"/>
      <c r="F253" s="680"/>
      <c r="G253" s="648" t="s">
        <v>731</v>
      </c>
      <c r="H253" s="648"/>
      <c r="I253" s="648"/>
      <c r="J253" s="655">
        <f t="shared" si="14"/>
        <v>45748</v>
      </c>
      <c r="K253" s="656"/>
      <c r="L253" s="657"/>
      <c r="M253" s="648" t="s">
        <v>720</v>
      </c>
      <c r="N253" s="648"/>
      <c r="O253" s="648">
        <f>O250</f>
        <v>120</v>
      </c>
      <c r="P253" s="648"/>
      <c r="Q253" s="648"/>
      <c r="R253" s="647" t="str">
        <f>VLOOKUP(AI242,'Date masura OD'!$G:$BB,24,FALSE)&amp;" ("&amp;VLOOKUP(AI242,'Date masura OD'!$G:$BB,19,FALSE)&amp;")"</f>
        <v>2332.54 (estimare)</v>
      </c>
      <c r="S253" s="647"/>
      <c r="T253" s="647"/>
      <c r="U253" s="647" t="str">
        <f>VLOOKUP(AI242,'Date masura OD'!$G:$BB,25,FALSE)&amp;" ("&amp;VLOOKUP(AI242,'Date masura OD'!$G:$BB,19,FALSE)&amp;")"</f>
        <v>2332.54 (estimare)</v>
      </c>
      <c r="V253" s="647"/>
      <c r="W253" s="647"/>
      <c r="X253" s="647" t="str">
        <f>VLOOKUP(AI242,'Date masura OD'!$G:$BB,29,FALSE)&amp;" ("&amp;VLOOKUP(AI242,'Date masura OD'!$G:$BB,19,FALSE)&amp;")"</f>
        <v>0 (estimare)</v>
      </c>
      <c r="Y253" s="647"/>
      <c r="Z253" s="647"/>
      <c r="AA253" s="647">
        <f>(-1)*VLOOKUP(AI242,'Date masura OD'!$G:$BB,29,FALSE)</f>
        <v>0</v>
      </c>
      <c r="AB253" s="647"/>
      <c r="AC253" s="647"/>
      <c r="AD253" s="647" t="s">
        <v>69</v>
      </c>
      <c r="AE253" s="647"/>
      <c r="AF253" s="647">
        <f>AA253</f>
        <v>0</v>
      </c>
      <c r="AG253" s="647"/>
      <c r="AH253" s="647"/>
      <c r="AI253" s="647" t="str">
        <f>AI250</f>
        <v>-</v>
      </c>
      <c r="AJ253" s="647"/>
      <c r="AK253" s="647" t="str">
        <f>AK250</f>
        <v>-</v>
      </c>
      <c r="AL253" s="647"/>
      <c r="AM253" s="647"/>
    </row>
    <row r="254" spans="1:39" ht="8.4499999999999993" customHeight="1">
      <c r="A254" s="717"/>
      <c r="B254" s="718"/>
      <c r="C254" s="718"/>
      <c r="D254" s="718"/>
      <c r="E254" s="718"/>
      <c r="F254" s="719"/>
      <c r="G254" s="648"/>
      <c r="H254" s="648"/>
      <c r="I254" s="648"/>
      <c r="J254" s="717" t="str">
        <f t="shared" si="14"/>
        <v>-</v>
      </c>
      <c r="K254" s="718"/>
      <c r="L254" s="719"/>
      <c r="M254" s="648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81"/>
      <c r="B255" s="682"/>
      <c r="C255" s="682"/>
      <c r="D255" s="682"/>
      <c r="E255" s="682"/>
      <c r="F255" s="683"/>
      <c r="G255" s="648"/>
      <c r="H255" s="648"/>
      <c r="I255" s="648"/>
      <c r="J255" s="714">
        <f t="shared" si="14"/>
        <v>45777</v>
      </c>
      <c r="K255" s="715"/>
      <c r="L255" s="716"/>
      <c r="M255" s="648"/>
      <c r="N255" s="648"/>
      <c r="O255" s="648"/>
      <c r="P255" s="648"/>
      <c r="Q255" s="648"/>
      <c r="R255" s="647"/>
      <c r="S255" s="647"/>
      <c r="T255" s="647"/>
      <c r="U255" s="647"/>
      <c r="V255" s="647"/>
      <c r="W255" s="647"/>
      <c r="X255" s="647"/>
      <c r="Y255" s="647"/>
      <c r="Z255" s="647"/>
      <c r="AA255" s="647"/>
      <c r="AB255" s="647"/>
      <c r="AC255" s="647"/>
      <c r="AD255" s="647"/>
      <c r="AE255" s="647"/>
      <c r="AF255" s="647"/>
      <c r="AG255" s="647"/>
      <c r="AH255" s="647"/>
      <c r="AI255" s="647"/>
      <c r="AJ255" s="647"/>
      <c r="AK255" s="647"/>
      <c r="AL255" s="647"/>
      <c r="AM255" s="647"/>
    </row>
    <row r="256" spans="1:39" ht="14.1" customHeight="1">
      <c r="A256" s="678">
        <f>A253</f>
        <v>2744825</v>
      </c>
      <c r="B256" s="679"/>
      <c r="C256" s="679"/>
      <c r="D256" s="679"/>
      <c r="E256" s="679"/>
      <c r="F256" s="680"/>
      <c r="G256" s="648" t="s">
        <v>730</v>
      </c>
      <c r="H256" s="648"/>
      <c r="I256" s="673"/>
      <c r="J256" s="655">
        <f>'Date masura OD'!$AK$5</f>
        <v>45748</v>
      </c>
      <c r="K256" s="656"/>
      <c r="L256" s="657"/>
      <c r="M256" s="720" t="s">
        <v>446</v>
      </c>
      <c r="N256" s="648"/>
      <c r="O256" s="648">
        <f>O253</f>
        <v>120</v>
      </c>
      <c r="P256" s="648"/>
      <c r="Q256" s="648"/>
      <c r="R256" s="647" t="str">
        <f>VLOOKUP(AI242,'Date masura OD'!$G:$BB,35,FALSE)&amp;" ("&amp;VLOOKUP(AI242,'Date masura OD'!$G:$BB,33,FALSE)&amp;")"</f>
        <v>1289.35 (citire)</v>
      </c>
      <c r="S256" s="647"/>
      <c r="T256" s="647"/>
      <c r="U256" s="647" t="str">
        <f>VLOOKUP(AI242,'Date masura OD'!$G:$BB,36,FALSE)&amp;" ("&amp;VLOOKUP(AI242,'Date masura OD'!$G:$BB,33,FALSE)&amp;")"</f>
        <v>1324 (citire)</v>
      </c>
      <c r="V256" s="647"/>
      <c r="W256" s="647"/>
      <c r="X256" s="647" t="str">
        <f>VLOOKUP(AI242,'Date masura OD'!$G:$BB,41,FALSE)&amp;" ("&amp;VLOOKUP(AI242,'Date masura OD'!$G:$BB,33,FALSE)&amp;")"</f>
        <v>4158 (citire)</v>
      </c>
      <c r="Y256" s="647"/>
      <c r="Z256" s="647"/>
      <c r="AA256" s="647">
        <f>VLOOKUP(AI242,'Date masura OD'!$G:$BB,41,FALSE)</f>
        <v>4158</v>
      </c>
      <c r="AB256" s="647"/>
      <c r="AC256" s="647"/>
      <c r="AD256" s="647" t="s">
        <v>69</v>
      </c>
      <c r="AE256" s="647"/>
      <c r="AF256" s="647">
        <f>AA256</f>
        <v>4158</v>
      </c>
      <c r="AG256" s="647"/>
      <c r="AH256" s="647"/>
      <c r="AI256" s="647" t="str">
        <f>AI253</f>
        <v>-</v>
      </c>
      <c r="AJ256" s="647"/>
      <c r="AK256" s="647" t="str">
        <f>AK253</f>
        <v>-</v>
      </c>
      <c r="AL256" s="647"/>
      <c r="AM256" s="647"/>
    </row>
    <row r="257" spans="1:39" ht="8.4499999999999993" customHeight="1">
      <c r="A257" s="717"/>
      <c r="B257" s="718"/>
      <c r="C257" s="718"/>
      <c r="D257" s="718"/>
      <c r="E257" s="718"/>
      <c r="F257" s="719"/>
      <c r="G257" s="648"/>
      <c r="H257" s="648"/>
      <c r="I257" s="673"/>
      <c r="J257" s="717" t="s">
        <v>69</v>
      </c>
      <c r="K257" s="718"/>
      <c r="L257" s="719"/>
      <c r="M257" s="720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81"/>
      <c r="B258" s="682"/>
      <c r="C258" s="682"/>
      <c r="D258" s="682"/>
      <c r="E258" s="682"/>
      <c r="F258" s="683"/>
      <c r="G258" s="648"/>
      <c r="H258" s="648"/>
      <c r="I258" s="673"/>
      <c r="J258" s="714">
        <f>'Date masura OD'!$AL$5</f>
        <v>45777</v>
      </c>
      <c r="K258" s="715"/>
      <c r="L258" s="716"/>
      <c r="M258" s="720"/>
      <c r="N258" s="648"/>
      <c r="O258" s="648"/>
      <c r="P258" s="648"/>
      <c r="Q258" s="648"/>
      <c r="R258" s="647"/>
      <c r="S258" s="647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</row>
    <row r="259" spans="1:39" ht="14.1" customHeight="1">
      <c r="A259" s="678">
        <f>A256</f>
        <v>2744825</v>
      </c>
      <c r="B259" s="679"/>
      <c r="C259" s="679"/>
      <c r="D259" s="679"/>
      <c r="E259" s="679"/>
      <c r="F259" s="680"/>
      <c r="G259" s="648" t="s">
        <v>696</v>
      </c>
      <c r="H259" s="648"/>
      <c r="I259" s="648"/>
      <c r="J259" s="655">
        <f t="shared" ref="J259:J264" si="15">J256</f>
        <v>45748</v>
      </c>
      <c r="K259" s="656"/>
      <c r="L259" s="657"/>
      <c r="M259" s="648" t="s">
        <v>720</v>
      </c>
      <c r="N259" s="648"/>
      <c r="O259" s="648">
        <f>O256</f>
        <v>120</v>
      </c>
      <c r="P259" s="648"/>
      <c r="Q259" s="648"/>
      <c r="R259" s="647" t="str">
        <f>VLOOKUP(AI242,'Date masura OD'!$G:$BB,37,FALSE)&amp;" ("&amp;VLOOKUP(AI242,'Date masura OD'!$G:$BB,33,FALSE)&amp;")"</f>
        <v>2.31 (citire)</v>
      </c>
      <c r="S259" s="647"/>
      <c r="T259" s="647"/>
      <c r="U259" s="647" t="str">
        <f>VLOOKUP(AI242,'Date masura OD'!$G:$BB,38,FALSE)&amp;" ("&amp;VLOOKUP(AI242,'Date masura OD'!$G:$BB,33,FALSE)&amp;")"</f>
        <v>2.32 (citire)</v>
      </c>
      <c r="V259" s="647"/>
      <c r="W259" s="647"/>
      <c r="X259" s="647" t="str">
        <f>VLOOKUP(AI242,'Date masura OD'!$G:$BB,42,FALSE)&amp;" ("&amp;VLOOKUP(AI242,'Date masura OD'!$G:$BB,33,FALSE)&amp;")"</f>
        <v>1 (citire)</v>
      </c>
      <c r="Y259" s="647"/>
      <c r="Z259" s="647"/>
      <c r="AA259" s="647">
        <f>VLOOKUP(AI242,'Date masura OD'!$G:$BB,42,FALSE)</f>
        <v>1</v>
      </c>
      <c r="AB259" s="647"/>
      <c r="AC259" s="647"/>
      <c r="AD259" s="647" t="s">
        <v>69</v>
      </c>
      <c r="AE259" s="647"/>
      <c r="AF259" s="647">
        <f>AA259</f>
        <v>1</v>
      </c>
      <c r="AG259" s="647"/>
      <c r="AH259" s="647"/>
      <c r="AI259" s="647" t="str">
        <f>AI256</f>
        <v>-</v>
      </c>
      <c r="AJ259" s="647"/>
      <c r="AK259" s="647" t="str">
        <f>AK256</f>
        <v>-</v>
      </c>
      <c r="AL259" s="647"/>
      <c r="AM259" s="647"/>
    </row>
    <row r="260" spans="1:39" ht="8.4499999999999993" customHeight="1">
      <c r="A260" s="717"/>
      <c r="B260" s="718"/>
      <c r="C260" s="718"/>
      <c r="D260" s="718"/>
      <c r="E260" s="718"/>
      <c r="F260" s="719"/>
      <c r="G260" s="648"/>
      <c r="H260" s="648"/>
      <c r="I260" s="648"/>
      <c r="J260" s="717" t="str">
        <f t="shared" si="15"/>
        <v>-</v>
      </c>
      <c r="K260" s="718"/>
      <c r="L260" s="719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81"/>
      <c r="B261" s="682"/>
      <c r="C261" s="682"/>
      <c r="D261" s="682"/>
      <c r="E261" s="682"/>
      <c r="F261" s="683"/>
      <c r="G261" s="648"/>
      <c r="H261" s="648"/>
      <c r="I261" s="648"/>
      <c r="J261" s="714">
        <f t="shared" si="15"/>
        <v>45777</v>
      </c>
      <c r="K261" s="715"/>
      <c r="L261" s="716"/>
      <c r="M261" s="648"/>
      <c r="N261" s="648"/>
      <c r="O261" s="648"/>
      <c r="P261" s="648"/>
      <c r="Q261" s="648"/>
      <c r="R261" s="647"/>
      <c r="S261" s="647"/>
      <c r="T261" s="647"/>
      <c r="U261" s="647"/>
      <c r="V261" s="647"/>
      <c r="W261" s="647"/>
      <c r="X261" s="647"/>
      <c r="Y261" s="647"/>
      <c r="Z261" s="647"/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</row>
    <row r="262" spans="1:39" ht="14.1" customHeight="1">
      <c r="A262" s="678">
        <f>A259</f>
        <v>2744825</v>
      </c>
      <c r="B262" s="679"/>
      <c r="C262" s="679"/>
      <c r="D262" s="679"/>
      <c r="E262" s="679"/>
      <c r="F262" s="680"/>
      <c r="G262" s="648" t="s">
        <v>731</v>
      </c>
      <c r="H262" s="648"/>
      <c r="I262" s="648"/>
      <c r="J262" s="655">
        <f t="shared" si="15"/>
        <v>45748</v>
      </c>
      <c r="K262" s="656"/>
      <c r="L262" s="657"/>
      <c r="M262" s="648" t="s">
        <v>720</v>
      </c>
      <c r="N262" s="648"/>
      <c r="O262" s="648">
        <f>O259</f>
        <v>120</v>
      </c>
      <c r="P262" s="648"/>
      <c r="Q262" s="648"/>
      <c r="R262" s="647" t="str">
        <f>VLOOKUP(AI242,'Date masura OD'!$G:$BB,39,FALSE)&amp;" ("&amp;VLOOKUP(AI242,'Date masura OD'!$G:$BB,33,FALSE)&amp;")"</f>
        <v>2332.54 (citire)</v>
      </c>
      <c r="S262" s="647"/>
      <c r="T262" s="647"/>
      <c r="U262" s="647" t="str">
        <f>VLOOKUP(AI242,'Date masura OD'!$G:$BB,40,FALSE)&amp;" ("&amp;VLOOKUP(AI242,'Date masura OD'!$G:$BB,33,FALSE)&amp;")"</f>
        <v>2336.22 (citire)</v>
      </c>
      <c r="V262" s="647"/>
      <c r="W262" s="647"/>
      <c r="X262" s="647" t="str">
        <f>VLOOKUP(AI242,'Date masura OD'!$G:$BB,43,FALSE)&amp;" ("&amp;VLOOKUP(AI242,'Date masura OD'!$G:$BB,33,FALSE)&amp;")"</f>
        <v>442 (citire)</v>
      </c>
      <c r="Y262" s="647"/>
      <c r="Z262" s="647"/>
      <c r="AA262" s="647">
        <f>VLOOKUP(AI242,'Date masura OD'!$G:$BB,43,FALSE)</f>
        <v>442</v>
      </c>
      <c r="AB262" s="647"/>
      <c r="AC262" s="647"/>
      <c r="AD262" s="647" t="s">
        <v>69</v>
      </c>
      <c r="AE262" s="647"/>
      <c r="AF262" s="647">
        <f>AA262</f>
        <v>442</v>
      </c>
      <c r="AG262" s="647"/>
      <c r="AH262" s="647"/>
      <c r="AI262" s="647" t="str">
        <f>AI259</f>
        <v>-</v>
      </c>
      <c r="AJ262" s="647"/>
      <c r="AK262" s="647" t="str">
        <f>AK259</f>
        <v>-</v>
      </c>
      <c r="AL262" s="647"/>
      <c r="AM262" s="647"/>
    </row>
    <row r="263" spans="1:39" ht="8.4499999999999993" customHeight="1">
      <c r="A263" s="717"/>
      <c r="B263" s="718"/>
      <c r="C263" s="718"/>
      <c r="D263" s="718"/>
      <c r="E263" s="718"/>
      <c r="F263" s="719"/>
      <c r="G263" s="648"/>
      <c r="H263" s="648"/>
      <c r="I263" s="648"/>
      <c r="J263" s="717" t="str">
        <f t="shared" si="15"/>
        <v>-</v>
      </c>
      <c r="K263" s="718"/>
      <c r="L263" s="719"/>
      <c r="M263" s="648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81"/>
      <c r="B264" s="682"/>
      <c r="C264" s="682"/>
      <c r="D264" s="682"/>
      <c r="E264" s="682"/>
      <c r="F264" s="683"/>
      <c r="G264" s="648"/>
      <c r="H264" s="648"/>
      <c r="I264" s="648"/>
      <c r="J264" s="714">
        <f t="shared" si="15"/>
        <v>45777</v>
      </c>
      <c r="K264" s="715"/>
      <c r="L264" s="716"/>
      <c r="M264" s="648"/>
      <c r="N264" s="648"/>
      <c r="O264" s="648"/>
      <c r="P264" s="648"/>
      <c r="Q264" s="648"/>
      <c r="R264" s="647"/>
      <c r="S264" s="647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647"/>
      <c r="AL264" s="647"/>
      <c r="AM264" s="647"/>
    </row>
    <row r="265" spans="1:39" ht="14.1" customHeight="1">
      <c r="A265" s="678">
        <f>A262</f>
        <v>2744825</v>
      </c>
      <c r="B265" s="679"/>
      <c r="C265" s="679"/>
      <c r="D265" s="679"/>
      <c r="E265" s="679"/>
      <c r="F265" s="680"/>
      <c r="G265" s="648" t="s">
        <v>730</v>
      </c>
      <c r="H265" s="648"/>
      <c r="I265" s="673"/>
      <c r="J265" s="655">
        <f>'Date masura OD'!$I$5</f>
        <v>45778</v>
      </c>
      <c r="K265" s="656"/>
      <c r="L265" s="657"/>
      <c r="M265" s="720" t="s">
        <v>446</v>
      </c>
      <c r="N265" s="648"/>
      <c r="O265" s="648">
        <f>O262</f>
        <v>120</v>
      </c>
      <c r="P265" s="648"/>
      <c r="Q265" s="648"/>
      <c r="R265" s="647" t="str">
        <f>U256</f>
        <v>1324 (citire)</v>
      </c>
      <c r="S265" s="647"/>
      <c r="T265" s="647"/>
      <c r="U265" s="647" t="str">
        <f>VLOOKUP(AI242,'Date masura OD'!$G:$BB,7,FALSE)&amp;" (estimat)"</f>
        <v>1353.14 (estimat)</v>
      </c>
      <c r="V265" s="647"/>
      <c r="W265" s="647"/>
      <c r="X265" s="647" t="str">
        <f>VLOOKUP(AI242,'Date masura OD'!$G:$BB,12,FALSE)&amp;" (estimat)"</f>
        <v>3497 (estimat)</v>
      </c>
      <c r="Y265" s="647"/>
      <c r="Z265" s="647"/>
      <c r="AA265" s="647" t="s">
        <v>69</v>
      </c>
      <c r="AB265" s="647"/>
      <c r="AC265" s="647"/>
      <c r="AD265" s="647" t="s">
        <v>69</v>
      </c>
      <c r="AE265" s="647"/>
      <c r="AF265" s="647">
        <f>VLOOKUP(AI242,'Date masura OD'!$G:$BB,12,FALSE)</f>
        <v>3497</v>
      </c>
      <c r="AG265" s="647"/>
      <c r="AH265" s="647"/>
      <c r="AI265" s="647">
        <f>J267-J265+1</f>
        <v>31</v>
      </c>
      <c r="AJ265" s="647"/>
      <c r="AK265" s="647">
        <f>ROUND(AF265/AI265,2)</f>
        <v>112.81</v>
      </c>
      <c r="AL265" s="647"/>
      <c r="AM265" s="647"/>
    </row>
    <row r="266" spans="1:39" ht="8.4499999999999993" customHeight="1">
      <c r="A266" s="717"/>
      <c r="B266" s="718"/>
      <c r="C266" s="718"/>
      <c r="D266" s="718"/>
      <c r="E266" s="718"/>
      <c r="F266" s="719"/>
      <c r="G266" s="648"/>
      <c r="H266" s="648"/>
      <c r="I266" s="673"/>
      <c r="J266" s="717" t="s">
        <v>69</v>
      </c>
      <c r="K266" s="718"/>
      <c r="L266" s="719"/>
      <c r="M266" s="720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81"/>
      <c r="B267" s="682"/>
      <c r="C267" s="682"/>
      <c r="D267" s="682"/>
      <c r="E267" s="682"/>
      <c r="F267" s="683"/>
      <c r="G267" s="648"/>
      <c r="H267" s="648"/>
      <c r="I267" s="673"/>
      <c r="J267" s="714">
        <f>'Date masura OD'!$J$5</f>
        <v>45808</v>
      </c>
      <c r="K267" s="715"/>
      <c r="L267" s="716"/>
      <c r="M267" s="720"/>
      <c r="N267" s="648"/>
      <c r="O267" s="648"/>
      <c r="P267" s="648"/>
      <c r="Q267" s="648"/>
      <c r="R267" s="647"/>
      <c r="S267" s="647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</row>
    <row r="268" spans="1:39" ht="14.1" customHeight="1">
      <c r="A268" s="678">
        <f>A265</f>
        <v>2744825</v>
      </c>
      <c r="B268" s="679"/>
      <c r="C268" s="679"/>
      <c r="D268" s="679"/>
      <c r="E268" s="679"/>
      <c r="F268" s="680"/>
      <c r="G268" s="648" t="s">
        <v>696</v>
      </c>
      <c r="H268" s="648"/>
      <c r="I268" s="648"/>
      <c r="J268" s="655">
        <f t="shared" ref="J268:J282" si="16">J265</f>
        <v>45778</v>
      </c>
      <c r="K268" s="656"/>
      <c r="L268" s="657"/>
      <c r="M268" s="648" t="s">
        <v>720</v>
      </c>
      <c r="N268" s="648"/>
      <c r="O268" s="648">
        <f>O265</f>
        <v>120</v>
      </c>
      <c r="P268" s="648"/>
      <c r="Q268" s="648"/>
      <c r="R268" s="647" t="str">
        <f>U259</f>
        <v>2.32 (citire)</v>
      </c>
      <c r="S268" s="647"/>
      <c r="T268" s="647"/>
      <c r="U268" s="647" t="str">
        <f>VLOOKUP(AI242,'Date masura OD'!$G:$BB,9,FALSE)&amp;" (estimat)"</f>
        <v>2.32 (estimat)</v>
      </c>
      <c r="V268" s="647"/>
      <c r="W268" s="647"/>
      <c r="X268" s="647" t="str">
        <f>VLOOKUP(AI242,'Date masura OD'!$G:$BB,13,FALSE)&amp;" (estimat)"</f>
        <v>0 (estimat)</v>
      </c>
      <c r="Y268" s="647"/>
      <c r="Z268" s="647"/>
      <c r="AA268" s="647" t="s">
        <v>69</v>
      </c>
      <c r="AB268" s="647"/>
      <c r="AC268" s="647"/>
      <c r="AD268" s="647" t="s">
        <v>69</v>
      </c>
      <c r="AE268" s="647"/>
      <c r="AF268" s="647">
        <f>VLOOKUP(AI242,'Date masura OD'!$G:$BB,13,FALSE)</f>
        <v>0</v>
      </c>
      <c r="AG268" s="647"/>
      <c r="AH268" s="647"/>
      <c r="AI268" s="647">
        <f>AI265</f>
        <v>31</v>
      </c>
      <c r="AJ268" s="647"/>
      <c r="AK268" s="647">
        <f>ROUND(AF268/AI268,2)</f>
        <v>0</v>
      </c>
      <c r="AL268" s="647"/>
      <c r="AM268" s="647"/>
    </row>
    <row r="269" spans="1:39" ht="8.4499999999999993" customHeight="1">
      <c r="A269" s="717"/>
      <c r="B269" s="718"/>
      <c r="C269" s="718"/>
      <c r="D269" s="718"/>
      <c r="E269" s="718"/>
      <c r="F269" s="719"/>
      <c r="G269" s="648"/>
      <c r="H269" s="648"/>
      <c r="I269" s="648"/>
      <c r="J269" s="717" t="str">
        <f t="shared" si="16"/>
        <v>-</v>
      </c>
      <c r="K269" s="718"/>
      <c r="L269" s="719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81"/>
      <c r="B270" s="682"/>
      <c r="C270" s="682"/>
      <c r="D270" s="682"/>
      <c r="E270" s="682"/>
      <c r="F270" s="683"/>
      <c r="G270" s="648"/>
      <c r="H270" s="648"/>
      <c r="I270" s="648"/>
      <c r="J270" s="714">
        <f t="shared" si="16"/>
        <v>45808</v>
      </c>
      <c r="K270" s="715"/>
      <c r="L270" s="716"/>
      <c r="M270" s="648"/>
      <c r="N270" s="648"/>
      <c r="O270" s="648"/>
      <c r="P270" s="648"/>
      <c r="Q270" s="648"/>
      <c r="R270" s="647"/>
      <c r="S270" s="647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647"/>
      <c r="AL270" s="647"/>
      <c r="AM270" s="647"/>
    </row>
    <row r="271" spans="1:39" ht="14.1" customHeight="1">
      <c r="A271" s="678">
        <f>A268</f>
        <v>2744825</v>
      </c>
      <c r="B271" s="679"/>
      <c r="C271" s="679"/>
      <c r="D271" s="679"/>
      <c r="E271" s="679"/>
      <c r="F271" s="680"/>
      <c r="G271" s="648" t="s">
        <v>731</v>
      </c>
      <c r="H271" s="648"/>
      <c r="I271" s="648"/>
      <c r="J271" s="655">
        <f t="shared" si="16"/>
        <v>45778</v>
      </c>
      <c r="K271" s="656"/>
      <c r="L271" s="657"/>
      <c r="M271" s="648" t="s">
        <v>720</v>
      </c>
      <c r="N271" s="648"/>
      <c r="O271" s="648">
        <f>O268</f>
        <v>120</v>
      </c>
      <c r="P271" s="648"/>
      <c r="Q271" s="648"/>
      <c r="R271" s="647" t="str">
        <f>U262</f>
        <v>2336.22 (citire)</v>
      </c>
      <c r="S271" s="647"/>
      <c r="T271" s="647"/>
      <c r="U271" s="647" t="str">
        <f>VLOOKUP(AI242,'Date masura OD'!$G:$BB,11,FALSE)&amp;" (estimat)"</f>
        <v>2336.22 (estimat)</v>
      </c>
      <c r="V271" s="647"/>
      <c r="W271" s="647"/>
      <c r="X271" s="647" t="str">
        <f>VLOOKUP(AI242,'Date masura OD'!$G:$BB,15,FALSE)&amp;" (estimat)"</f>
        <v>0 (estimat)</v>
      </c>
      <c r="Y271" s="647"/>
      <c r="Z271" s="647"/>
      <c r="AA271" s="647" t="s">
        <v>69</v>
      </c>
      <c r="AB271" s="647"/>
      <c r="AC271" s="647"/>
      <c r="AD271" s="647" t="s">
        <v>69</v>
      </c>
      <c r="AE271" s="647"/>
      <c r="AF271" s="647">
        <f>VLOOKUP(AI242,'Date masura OD'!$G:$BB,15,FALSE)</f>
        <v>0</v>
      </c>
      <c r="AG271" s="647"/>
      <c r="AH271" s="647"/>
      <c r="AI271" s="647">
        <f>AI268</f>
        <v>31</v>
      </c>
      <c r="AJ271" s="647"/>
      <c r="AK271" s="647">
        <f>ROUND(AF271/AI271,2)</f>
        <v>0</v>
      </c>
      <c r="AL271" s="647"/>
      <c r="AM271" s="647"/>
    </row>
    <row r="272" spans="1:39" ht="8.4499999999999993" customHeight="1">
      <c r="A272" s="717"/>
      <c r="B272" s="718"/>
      <c r="C272" s="718"/>
      <c r="D272" s="718"/>
      <c r="E272" s="718"/>
      <c r="F272" s="719"/>
      <c r="G272" s="648"/>
      <c r="H272" s="648"/>
      <c r="I272" s="648"/>
      <c r="J272" s="717" t="str">
        <f t="shared" si="16"/>
        <v>-</v>
      </c>
      <c r="K272" s="718"/>
      <c r="L272" s="719"/>
      <c r="M272" s="648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spans="1:39" ht="14.1" customHeight="1">
      <c r="A273" s="681"/>
      <c r="B273" s="682"/>
      <c r="C273" s="682"/>
      <c r="D273" s="682"/>
      <c r="E273" s="682"/>
      <c r="F273" s="683"/>
      <c r="G273" s="648"/>
      <c r="H273" s="648"/>
      <c r="I273" s="648"/>
      <c r="J273" s="714">
        <f t="shared" si="16"/>
        <v>45808</v>
      </c>
      <c r="K273" s="715"/>
      <c r="L273" s="716"/>
      <c r="M273" s="648"/>
      <c r="N273" s="648"/>
      <c r="O273" s="648"/>
      <c r="P273" s="648"/>
      <c r="Q273" s="648"/>
      <c r="R273" s="647"/>
      <c r="S273" s="647"/>
      <c r="T273" s="647"/>
      <c r="U273" s="647"/>
      <c r="V273" s="647"/>
      <c r="W273" s="647"/>
      <c r="X273" s="647"/>
      <c r="Y273" s="647"/>
      <c r="Z273" s="647"/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</row>
    <row r="274" spans="1:39" ht="14.1" customHeight="1">
      <c r="A274" s="678" t="s">
        <v>1317</v>
      </c>
      <c r="B274" s="679"/>
      <c r="C274" s="679"/>
      <c r="D274" s="679"/>
      <c r="E274" s="679"/>
      <c r="F274" s="680"/>
      <c r="G274" s="648" t="s">
        <v>1413</v>
      </c>
      <c r="H274" s="648"/>
      <c r="I274" s="648"/>
      <c r="J274" s="655">
        <f>'Date masura OD'!$AK$5</f>
        <v>45748</v>
      </c>
      <c r="K274" s="656"/>
      <c r="L274" s="657"/>
      <c r="M274" s="720" t="s">
        <v>446</v>
      </c>
      <c r="N274" s="648"/>
      <c r="O274" s="648">
        <v>1</v>
      </c>
      <c r="P274" s="648"/>
      <c r="Q274" s="648"/>
      <c r="R274" s="647">
        <v>0</v>
      </c>
      <c r="S274" s="647"/>
      <c r="T274" s="647"/>
      <c r="U274" s="647">
        <v>0</v>
      </c>
      <c r="V274" s="647"/>
      <c r="W274" s="647"/>
      <c r="X274" s="647">
        <v>0</v>
      </c>
      <c r="Y274" s="647"/>
      <c r="Z274" s="647"/>
      <c r="AA274" s="647" t="s">
        <v>69</v>
      </c>
      <c r="AB274" s="647"/>
      <c r="AC274" s="647"/>
      <c r="AD274" s="647" t="s">
        <v>69</v>
      </c>
      <c r="AE274" s="647"/>
      <c r="AF274" s="647">
        <f>VLOOKUP(A274,'Date masura OD'!G:BB,44,FALSE)</f>
        <v>716</v>
      </c>
      <c r="AG274" s="647"/>
      <c r="AH274" s="647"/>
      <c r="AI274" s="647">
        <f>AI271</f>
        <v>31</v>
      </c>
      <c r="AJ274" s="647"/>
      <c r="AK274" s="647">
        <f>ROUND(AF274/AI274,2)</f>
        <v>23.1</v>
      </c>
      <c r="AL274" s="647"/>
      <c r="AM274" s="647"/>
    </row>
    <row r="275" spans="1:39" ht="8.4499999999999993" customHeight="1">
      <c r="A275" s="717"/>
      <c r="B275" s="718"/>
      <c r="C275" s="718"/>
      <c r="D275" s="718"/>
      <c r="E275" s="718"/>
      <c r="F275" s="719"/>
      <c r="G275" s="648"/>
      <c r="H275" s="648"/>
      <c r="I275" s="648"/>
      <c r="J275" s="717" t="s">
        <v>69</v>
      </c>
      <c r="K275" s="718"/>
      <c r="L275" s="719"/>
      <c r="M275" s="720"/>
      <c r="N275" s="648"/>
      <c r="O275" s="648"/>
      <c r="P275" s="648"/>
      <c r="Q275" s="648"/>
      <c r="R275" s="647"/>
      <c r="S275" s="647"/>
      <c r="T275" s="647"/>
      <c r="U275" s="647"/>
      <c r="V275" s="647"/>
      <c r="W275" s="647"/>
      <c r="X275" s="647"/>
      <c r="Y275" s="647"/>
      <c r="Z275" s="647"/>
      <c r="AA275" s="647"/>
      <c r="AB275" s="647"/>
      <c r="AC275" s="647"/>
      <c r="AD275" s="647"/>
      <c r="AE275" s="647"/>
      <c r="AF275" s="647"/>
      <c r="AG275" s="647"/>
      <c r="AH275" s="647"/>
      <c r="AI275" s="647"/>
      <c r="AJ275" s="647"/>
      <c r="AK275" s="647"/>
      <c r="AL275" s="647"/>
      <c r="AM275" s="647"/>
    </row>
    <row r="276" spans="1:39" ht="14.1" customHeight="1">
      <c r="A276" s="681"/>
      <c r="B276" s="682"/>
      <c r="C276" s="682"/>
      <c r="D276" s="682"/>
      <c r="E276" s="682"/>
      <c r="F276" s="683"/>
      <c r="G276" s="648"/>
      <c r="H276" s="648"/>
      <c r="I276" s="648"/>
      <c r="J276" s="714">
        <f>'Date masura OD'!$AL$5</f>
        <v>45777</v>
      </c>
      <c r="K276" s="715"/>
      <c r="L276" s="716"/>
      <c r="M276" s="720"/>
      <c r="N276" s="648"/>
      <c r="O276" s="648"/>
      <c r="P276" s="648"/>
      <c r="Q276" s="648"/>
      <c r="R276" s="647"/>
      <c r="S276" s="647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647"/>
      <c r="AL276" s="647"/>
      <c r="AM276" s="647"/>
    </row>
    <row r="277" spans="1:39" ht="14.1" customHeight="1">
      <c r="A277" s="678" t="s">
        <v>1317</v>
      </c>
      <c r="B277" s="679"/>
      <c r="C277" s="679"/>
      <c r="D277" s="679"/>
      <c r="E277" s="679"/>
      <c r="F277" s="680"/>
      <c r="G277" s="648" t="s">
        <v>1414</v>
      </c>
      <c r="H277" s="648"/>
      <c r="I277" s="648"/>
      <c r="J277" s="655">
        <f t="shared" si="16"/>
        <v>45748</v>
      </c>
      <c r="K277" s="656"/>
      <c r="L277" s="657"/>
      <c r="M277" s="648" t="s">
        <v>720</v>
      </c>
      <c r="N277" s="648"/>
      <c r="O277" s="648">
        <v>1</v>
      </c>
      <c r="P277" s="648"/>
      <c r="Q277" s="648"/>
      <c r="R277" s="647">
        <v>0</v>
      </c>
      <c r="S277" s="647"/>
      <c r="T277" s="647"/>
      <c r="U277" s="647">
        <v>0</v>
      </c>
      <c r="V277" s="647"/>
      <c r="W277" s="647"/>
      <c r="X277" s="647">
        <v>0</v>
      </c>
      <c r="Y277" s="647"/>
      <c r="Z277" s="647"/>
      <c r="AA277" s="647" t="s">
        <v>69</v>
      </c>
      <c r="AB277" s="647"/>
      <c r="AC277" s="647"/>
      <c r="AD277" s="647" t="s">
        <v>69</v>
      </c>
      <c r="AE277" s="647"/>
      <c r="AF277" s="647">
        <f>SUM(VLOOKUP(A274,'Date masura OD'!G:BB,45,FALSE)+VLOOKUP(A274,'Date masura OD'!G:BB,46,FALSE))</f>
        <v>4476</v>
      </c>
      <c r="AG277" s="647"/>
      <c r="AH277" s="647"/>
      <c r="AI277" s="647">
        <f>AI274</f>
        <v>31</v>
      </c>
      <c r="AJ277" s="647"/>
      <c r="AK277" s="647">
        <f>ROUND(AF277/AI277,2)</f>
        <v>144.38999999999999</v>
      </c>
      <c r="AL277" s="647"/>
      <c r="AM277" s="647"/>
    </row>
    <row r="278" spans="1:39" ht="8.4499999999999993" customHeight="1">
      <c r="A278" s="717"/>
      <c r="B278" s="718"/>
      <c r="C278" s="718"/>
      <c r="D278" s="718"/>
      <c r="E278" s="718"/>
      <c r="F278" s="719"/>
      <c r="G278" s="648"/>
      <c r="H278" s="648"/>
      <c r="I278" s="648"/>
      <c r="J278" s="717" t="str">
        <f t="shared" si="16"/>
        <v>-</v>
      </c>
      <c r="K278" s="718"/>
      <c r="L278" s="719"/>
      <c r="M278" s="648"/>
      <c r="N278" s="648"/>
      <c r="O278" s="648"/>
      <c r="P278" s="648"/>
      <c r="Q278" s="648"/>
      <c r="R278" s="647"/>
      <c r="S278" s="647"/>
      <c r="T278" s="647"/>
      <c r="U278" s="647"/>
      <c r="V278" s="647"/>
      <c r="W278" s="647"/>
      <c r="X278" s="647"/>
      <c r="Y278" s="647"/>
      <c r="Z278" s="647"/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</row>
    <row r="279" spans="1:39" ht="14.1" customHeight="1">
      <c r="A279" s="681"/>
      <c r="B279" s="682"/>
      <c r="C279" s="682"/>
      <c r="D279" s="682"/>
      <c r="E279" s="682"/>
      <c r="F279" s="683"/>
      <c r="G279" s="648"/>
      <c r="H279" s="648"/>
      <c r="I279" s="648"/>
      <c r="J279" s="714">
        <f t="shared" si="16"/>
        <v>45777</v>
      </c>
      <c r="K279" s="715"/>
      <c r="L279" s="716"/>
      <c r="M279" s="648"/>
      <c r="N279" s="648"/>
      <c r="O279" s="648"/>
      <c r="P279" s="648"/>
      <c r="Q279" s="648"/>
      <c r="R279" s="647"/>
      <c r="S279" s="647"/>
      <c r="T279" s="647"/>
      <c r="U279" s="647"/>
      <c r="V279" s="647"/>
      <c r="W279" s="647"/>
      <c r="X279" s="647"/>
      <c r="Y279" s="647"/>
      <c r="Z279" s="647"/>
      <c r="AA279" s="647"/>
      <c r="AB279" s="647"/>
      <c r="AC279" s="647"/>
      <c r="AD279" s="647"/>
      <c r="AE279" s="647"/>
      <c r="AF279" s="647"/>
      <c r="AG279" s="647"/>
      <c r="AH279" s="647"/>
      <c r="AI279" s="647"/>
      <c r="AJ279" s="647"/>
      <c r="AK279" s="647"/>
      <c r="AL279" s="647"/>
      <c r="AM279" s="647"/>
    </row>
    <row r="280" spans="1:39" ht="14.1" customHeight="1">
      <c r="A280" s="678" t="s">
        <v>1317</v>
      </c>
      <c r="B280" s="679"/>
      <c r="C280" s="679"/>
      <c r="D280" s="679"/>
      <c r="E280" s="679"/>
      <c r="F280" s="680"/>
      <c r="G280" s="648" t="s">
        <v>1415</v>
      </c>
      <c r="H280" s="648"/>
      <c r="I280" s="648"/>
      <c r="J280" s="655">
        <f t="shared" si="16"/>
        <v>45748</v>
      </c>
      <c r="K280" s="656"/>
      <c r="L280" s="657"/>
      <c r="M280" s="648" t="s">
        <v>720</v>
      </c>
      <c r="N280" s="648"/>
      <c r="O280" s="648">
        <v>1</v>
      </c>
      <c r="P280" s="648"/>
      <c r="Q280" s="648"/>
      <c r="R280" s="647">
        <v>0</v>
      </c>
      <c r="S280" s="647"/>
      <c r="T280" s="647"/>
      <c r="U280" s="647">
        <v>0</v>
      </c>
      <c r="V280" s="647"/>
      <c r="W280" s="647"/>
      <c r="X280" s="647">
        <v>0</v>
      </c>
      <c r="Y280" s="647"/>
      <c r="Z280" s="647"/>
      <c r="AA280" s="647" t="s">
        <v>69</v>
      </c>
      <c r="AB280" s="647"/>
      <c r="AC280" s="647"/>
      <c r="AD280" s="647" t="s">
        <v>69</v>
      </c>
      <c r="AE280" s="647"/>
      <c r="AF280" s="647">
        <f>SUM(VLOOKUP(A274,'Date masura OD'!G:BB,47,FALSE)+VLOOKUP(A274,'Date masura OD'!G:BB,48,FALSE))</f>
        <v>92</v>
      </c>
      <c r="AG280" s="647"/>
      <c r="AH280" s="647"/>
      <c r="AI280" s="647">
        <f>AI277</f>
        <v>31</v>
      </c>
      <c r="AJ280" s="647"/>
      <c r="AK280" s="647">
        <f>ROUND(AF280/AI280,2)</f>
        <v>2.97</v>
      </c>
      <c r="AL280" s="647"/>
      <c r="AM280" s="647"/>
    </row>
    <row r="281" spans="1:39" ht="8.4499999999999993" customHeight="1">
      <c r="A281" s="717"/>
      <c r="B281" s="718"/>
      <c r="C281" s="718"/>
      <c r="D281" s="718"/>
      <c r="E281" s="718"/>
      <c r="F281" s="719"/>
      <c r="G281" s="648"/>
      <c r="H281" s="648"/>
      <c r="I281" s="648"/>
      <c r="J281" s="717" t="str">
        <f t="shared" si="16"/>
        <v>-</v>
      </c>
      <c r="K281" s="718"/>
      <c r="L281" s="719"/>
      <c r="M281" s="648"/>
      <c r="N281" s="648"/>
      <c r="O281" s="648"/>
      <c r="P281" s="648"/>
      <c r="Q281" s="648"/>
      <c r="R281" s="647"/>
      <c r="S281" s="647"/>
      <c r="T281" s="647"/>
      <c r="U281" s="647"/>
      <c r="V281" s="647"/>
      <c r="W281" s="647"/>
      <c r="X281" s="647"/>
      <c r="Y281" s="647"/>
      <c r="Z281" s="647"/>
      <c r="AA281" s="647"/>
      <c r="AB281" s="647"/>
      <c r="AC281" s="647"/>
      <c r="AD281" s="647"/>
      <c r="AE281" s="647"/>
      <c r="AF281" s="647"/>
      <c r="AG281" s="647"/>
      <c r="AH281" s="647"/>
      <c r="AI281" s="647"/>
      <c r="AJ281" s="647"/>
      <c r="AK281" s="647"/>
      <c r="AL281" s="647"/>
      <c r="AM281" s="647"/>
    </row>
    <row r="282" spans="1:39" ht="14.1" customHeight="1">
      <c r="A282" s="681"/>
      <c r="B282" s="682"/>
      <c r="C282" s="682"/>
      <c r="D282" s="682"/>
      <c r="E282" s="682"/>
      <c r="F282" s="683"/>
      <c r="G282" s="648"/>
      <c r="H282" s="648"/>
      <c r="I282" s="648"/>
      <c r="J282" s="714">
        <f t="shared" si="16"/>
        <v>45777</v>
      </c>
      <c r="K282" s="715"/>
      <c r="L282" s="716"/>
      <c r="M282" s="648"/>
      <c r="N282" s="648"/>
      <c r="O282" s="648"/>
      <c r="P282" s="648"/>
      <c r="Q282" s="648"/>
      <c r="R282" s="647"/>
      <c r="S282" s="647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7"/>
    </row>
    <row r="283" spans="1:39" ht="14.1" customHeight="1"/>
    <row r="284" spans="1:39" ht="14.1" customHeight="1"/>
    <row r="285" spans="1:39" ht="14.1" customHeight="1"/>
    <row r="286" spans="1:39" ht="14.1" customHeight="1"/>
    <row r="287" spans="1:39" ht="14.1" customHeight="1"/>
    <row r="288" spans="1:39" ht="14.1" customHeight="1"/>
    <row r="289" spans="1:39" ht="14.1" customHeight="1"/>
    <row r="290" spans="1:39" ht="15.95" customHeight="1">
      <c r="A290" s="624" t="str">
        <f>A27</f>
        <v>DETALII FACTURA FACTURA FISCALA SERIA …........ NR …................. din date de ….......06.2025</v>
      </c>
      <c r="B290" s="624"/>
      <c r="C290" s="624"/>
      <c r="D290" s="624"/>
      <c r="E290" s="624"/>
      <c r="F290" s="624"/>
      <c r="G290" s="624"/>
      <c r="H290" s="624"/>
      <c r="I290" s="624"/>
      <c r="J290" s="624"/>
      <c r="K290" s="624"/>
      <c r="L290" s="624"/>
      <c r="M290" s="624"/>
      <c r="N290" s="624"/>
      <c r="O290" s="624"/>
      <c r="P290" s="624"/>
      <c r="Q290" s="624"/>
      <c r="R290" s="624"/>
      <c r="S290" s="624"/>
      <c r="T290" s="624"/>
      <c r="U290" s="624"/>
      <c r="V290" s="624"/>
      <c r="W290" s="624"/>
      <c r="X290" s="624"/>
      <c r="Y290" s="624"/>
      <c r="Z290" s="624"/>
      <c r="AA290" s="624"/>
      <c r="AB290" s="624"/>
      <c r="AC290" s="624"/>
      <c r="AD290" s="624"/>
      <c r="AE290" s="624"/>
      <c r="AF290" s="624"/>
      <c r="AG290" s="624"/>
      <c r="AH290" s="624"/>
      <c r="AI290" s="624"/>
      <c r="AJ290" s="624"/>
      <c r="AK290" s="624"/>
      <c r="AL290" s="624"/>
      <c r="AM290" s="624"/>
    </row>
    <row r="292" spans="1:39" ht="36" customHeight="1">
      <c r="A292" s="66" t="s">
        <v>721</v>
      </c>
      <c r="B292" s="648" t="s">
        <v>95</v>
      </c>
      <c r="C292" s="648"/>
      <c r="D292" s="648"/>
      <c r="E292" s="648"/>
      <c r="F292" s="648"/>
      <c r="G292" s="648"/>
      <c r="H292" s="648"/>
      <c r="I292" s="648"/>
      <c r="J292" s="648"/>
      <c r="K292" s="648"/>
      <c r="L292" s="64" t="s">
        <v>709</v>
      </c>
      <c r="M292" s="69"/>
      <c r="N292" s="69"/>
      <c r="O292" s="64"/>
      <c r="P292" s="69"/>
      <c r="Q292" s="69"/>
      <c r="R292" s="647" t="s">
        <v>722</v>
      </c>
      <c r="S292" s="647"/>
      <c r="T292" s="647"/>
      <c r="U292" s="647"/>
      <c r="V292" s="648" t="s">
        <v>519</v>
      </c>
      <c r="W292" s="648"/>
      <c r="X292" s="647" t="s">
        <v>723</v>
      </c>
      <c r="Y292" s="647"/>
      <c r="Z292" s="647"/>
      <c r="AA292" s="647"/>
      <c r="AB292" s="647" t="s">
        <v>724</v>
      </c>
      <c r="AC292" s="647"/>
      <c r="AD292" s="647"/>
      <c r="AE292" s="647"/>
      <c r="AF292" s="647" t="s">
        <v>725</v>
      </c>
      <c r="AG292" s="647"/>
      <c r="AH292" s="647"/>
      <c r="AI292" s="647"/>
      <c r="AJ292" s="647" t="s">
        <v>726</v>
      </c>
      <c r="AK292" s="647"/>
      <c r="AL292" s="647"/>
      <c r="AM292" s="647"/>
    </row>
    <row r="293" spans="1:39" ht="15.95" customHeight="1">
      <c r="A293" s="65">
        <v>1</v>
      </c>
      <c r="B293" s="699" t="s">
        <v>71</v>
      </c>
      <c r="C293" s="700"/>
      <c r="D293" s="700"/>
      <c r="E293" s="700"/>
      <c r="F293" s="700"/>
      <c r="G293" s="700"/>
      <c r="H293" s="700"/>
      <c r="I293" s="700"/>
      <c r="J293" s="700"/>
      <c r="K293" s="701"/>
      <c r="L293" s="702">
        <f>'Date masura OD'!$I$5</f>
        <v>45778</v>
      </c>
      <c r="M293" s="702"/>
      <c r="N293" s="702"/>
      <c r="O293" s="702">
        <f>'Date masura OD'!$J$5</f>
        <v>45808</v>
      </c>
      <c r="P293" s="702"/>
      <c r="Q293" s="702"/>
      <c r="R293" s="690" cm="1">
        <f t="array" ref="R293">INDEX(verificare!$AT$4:$CC$26,VLOOKUP($AA$16,verificare!$AR$4:$AS$26,2,FALSE),A293)</f>
        <v>281670</v>
      </c>
      <c r="S293" s="690"/>
      <c r="T293" s="690"/>
      <c r="U293" s="690"/>
      <c r="V293" s="658" t="s">
        <v>446</v>
      </c>
      <c r="W293" s="658"/>
      <c r="X293" s="691">
        <f>HLOOKUP(VLOOKUP($AA$16,'Date SPV'!$B:$F,5,FALSE),'Preturi si tarife'!$C$2:$J$39,A293+2,FALSE)</f>
        <v>0.59499999999999997</v>
      </c>
      <c r="Y293" s="692"/>
      <c r="Z293" s="692"/>
      <c r="AA293" s="693"/>
      <c r="AB293" s="690">
        <f>ROUND(X293*R293,2)</f>
        <v>167593.65</v>
      </c>
      <c r="AC293" s="690"/>
      <c r="AD293" s="690"/>
      <c r="AE293" s="690"/>
      <c r="AF293" s="690">
        <f>ROUND(AB293*19%,2)</f>
        <v>31842.79</v>
      </c>
      <c r="AG293" s="690"/>
      <c r="AH293" s="690"/>
      <c r="AI293" s="690"/>
      <c r="AJ293" s="690">
        <f>AB293+AF293</f>
        <v>199436.44</v>
      </c>
      <c r="AK293" s="690"/>
      <c r="AL293" s="690"/>
      <c r="AM293" s="690"/>
    </row>
    <row r="294" spans="1:39" ht="15.95" customHeight="1">
      <c r="A294" s="65">
        <f>A293+1</f>
        <v>2</v>
      </c>
      <c r="B294" s="699" t="s">
        <v>72</v>
      </c>
      <c r="C294" s="700"/>
      <c r="D294" s="700"/>
      <c r="E294" s="700"/>
      <c r="F294" s="700"/>
      <c r="G294" s="700"/>
      <c r="H294" s="700"/>
      <c r="I294" s="700"/>
      <c r="J294" s="700"/>
      <c r="K294" s="701"/>
      <c r="L294" s="702">
        <f>L293</f>
        <v>45778</v>
      </c>
      <c r="M294" s="702"/>
      <c r="N294" s="702"/>
      <c r="O294" s="702">
        <f>O293</f>
        <v>45808</v>
      </c>
      <c r="P294" s="702"/>
      <c r="Q294" s="702"/>
      <c r="R294" s="690" cm="1">
        <f t="array" ref="R294">INDEX(verificare!$AT$4:$CC$26,VLOOKUP($AA$16,verificare!$AR$4:$AS$26,2,FALSE),A294)</f>
        <v>0</v>
      </c>
      <c r="S294" s="690"/>
      <c r="T294" s="690"/>
      <c r="U294" s="690"/>
      <c r="V294" s="658" t="s">
        <v>727</v>
      </c>
      <c r="W294" s="658"/>
      <c r="X294" s="691">
        <f>HLOOKUP(VLOOKUP($AA$16,'Date SPV'!$B:$F,5,FALSE),'Preturi si tarife'!$C$2:$J$39,A294+2,FALSE)</f>
        <v>0.14649999999999999</v>
      </c>
      <c r="Y294" s="692"/>
      <c r="Z294" s="692"/>
      <c r="AA294" s="693"/>
      <c r="AB294" s="690">
        <f t="shared" ref="AB294:AB328" si="17">ROUND(X294*R294,2)</f>
        <v>0</v>
      </c>
      <c r="AC294" s="690"/>
      <c r="AD294" s="690"/>
      <c r="AE294" s="690"/>
      <c r="AF294" s="690">
        <f t="shared" ref="AF294:AF328" si="18">ROUND(AB294*19%,2)</f>
        <v>0</v>
      </c>
      <c r="AG294" s="690"/>
      <c r="AH294" s="690"/>
      <c r="AI294" s="690"/>
      <c r="AJ294" s="690">
        <f t="shared" ref="AJ294:AJ328" si="19">AB294+AF294</f>
        <v>0</v>
      </c>
      <c r="AK294" s="690"/>
      <c r="AL294" s="690"/>
      <c r="AM294" s="690"/>
    </row>
    <row r="295" spans="1:39" ht="15.95" customHeight="1">
      <c r="A295" s="65">
        <f t="shared" ref="A295:A330" si="20">A294+1</f>
        <v>3</v>
      </c>
      <c r="B295" s="699" t="s">
        <v>73</v>
      </c>
      <c r="C295" s="700"/>
      <c r="D295" s="700"/>
      <c r="E295" s="700"/>
      <c r="F295" s="700"/>
      <c r="G295" s="700"/>
      <c r="H295" s="700"/>
      <c r="I295" s="700"/>
      <c r="J295" s="700"/>
      <c r="K295" s="701"/>
      <c r="L295" s="702">
        <f t="shared" ref="L295:L303" si="21">L294</f>
        <v>45778</v>
      </c>
      <c r="M295" s="702"/>
      <c r="N295" s="702"/>
      <c r="O295" s="702">
        <f t="shared" ref="O295:O303" si="22">O294</f>
        <v>45808</v>
      </c>
      <c r="P295" s="702"/>
      <c r="Q295" s="702"/>
      <c r="R295" s="690" cm="1">
        <f t="array" ref="R295">INDEX(verificare!$AT$4:$CC$26,VLOOKUP($AA$16,verificare!$AR$4:$AS$26,2,FALSE),A295)</f>
        <v>0</v>
      </c>
      <c r="S295" s="690"/>
      <c r="T295" s="690"/>
      <c r="U295" s="690"/>
      <c r="V295" s="658" t="s">
        <v>727</v>
      </c>
      <c r="W295" s="658"/>
      <c r="X295" s="691">
        <f>HLOOKUP(VLOOKUP($AA$16,'Date SPV'!$B:$F,5,FALSE),'Preturi si tarife'!$C$2:$J$39,A295+2,FALSE)</f>
        <v>0.4395</v>
      </c>
      <c r="Y295" s="692"/>
      <c r="Z295" s="692"/>
      <c r="AA295" s="693"/>
      <c r="AB295" s="690">
        <f t="shared" si="17"/>
        <v>0</v>
      </c>
      <c r="AC295" s="690"/>
      <c r="AD295" s="690"/>
      <c r="AE295" s="690"/>
      <c r="AF295" s="690">
        <f t="shared" si="18"/>
        <v>0</v>
      </c>
      <c r="AG295" s="690"/>
      <c r="AH295" s="690"/>
      <c r="AI295" s="690"/>
      <c r="AJ295" s="690">
        <f t="shared" si="19"/>
        <v>0</v>
      </c>
      <c r="AK295" s="690"/>
      <c r="AL295" s="690"/>
      <c r="AM295" s="690"/>
    </row>
    <row r="296" spans="1:39" ht="15.95" customHeight="1">
      <c r="A296" s="65">
        <f t="shared" si="20"/>
        <v>4</v>
      </c>
      <c r="B296" s="699" t="s">
        <v>868</v>
      </c>
      <c r="C296" s="700"/>
      <c r="D296" s="700"/>
      <c r="E296" s="700"/>
      <c r="F296" s="700"/>
      <c r="G296" s="700"/>
      <c r="H296" s="700"/>
      <c r="I296" s="700"/>
      <c r="J296" s="700"/>
      <c r="K296" s="701"/>
      <c r="L296" s="702">
        <f t="shared" si="21"/>
        <v>45778</v>
      </c>
      <c r="M296" s="702"/>
      <c r="N296" s="702"/>
      <c r="O296" s="702">
        <f t="shared" si="22"/>
        <v>45808</v>
      </c>
      <c r="P296" s="702"/>
      <c r="Q296" s="702"/>
      <c r="R296" s="690" cm="1">
        <f t="array" ref="R296">INDEX(verificare!$AT$4:$CC$26,VLOOKUP($AA$16,verificare!$AR$4:$AS$26,2,FALSE),A296)</f>
        <v>281670</v>
      </c>
      <c r="S296" s="690"/>
      <c r="T296" s="690"/>
      <c r="U296" s="690"/>
      <c r="V296" s="658" t="s">
        <v>446</v>
      </c>
      <c r="W296" s="658"/>
      <c r="X296" s="691">
        <f>HLOOKUP(VLOOKUP($AA$16,'Date SPV'!$B:$F,5,FALSE),'Preturi si tarife'!$C$2:$J$39,A296+2,FALSE)</f>
        <v>0.11483</v>
      </c>
      <c r="Y296" s="692"/>
      <c r="Z296" s="692"/>
      <c r="AA296" s="693"/>
      <c r="AB296" s="690">
        <f t="shared" si="17"/>
        <v>32344.17</v>
      </c>
      <c r="AC296" s="690"/>
      <c r="AD296" s="690"/>
      <c r="AE296" s="690"/>
      <c r="AF296" s="690">
        <f t="shared" si="18"/>
        <v>6145.39</v>
      </c>
      <c r="AG296" s="690"/>
      <c r="AH296" s="690"/>
      <c r="AI296" s="690"/>
      <c r="AJ296" s="690">
        <f t="shared" si="19"/>
        <v>38489.56</v>
      </c>
      <c r="AK296" s="690"/>
      <c r="AL296" s="690"/>
      <c r="AM296" s="690"/>
    </row>
    <row r="297" spans="1:39" ht="15.95" customHeight="1">
      <c r="A297" s="65">
        <f t="shared" si="20"/>
        <v>5</v>
      </c>
      <c r="B297" s="699" t="s">
        <v>757</v>
      </c>
      <c r="C297" s="700"/>
      <c r="D297" s="700"/>
      <c r="E297" s="700"/>
      <c r="F297" s="700"/>
      <c r="G297" s="700"/>
      <c r="H297" s="700"/>
      <c r="I297" s="700"/>
      <c r="J297" s="700"/>
      <c r="K297" s="701"/>
      <c r="L297" s="702">
        <f t="shared" si="21"/>
        <v>45778</v>
      </c>
      <c r="M297" s="702"/>
      <c r="N297" s="702"/>
      <c r="O297" s="702">
        <f t="shared" si="22"/>
        <v>45808</v>
      </c>
      <c r="P297" s="702"/>
      <c r="Q297" s="702"/>
      <c r="R297" s="690" cm="1">
        <f t="array" ref="R297">INDEX(verificare!$AT$4:$CC$26,VLOOKUP($AA$16,verificare!$AR$4:$AS$26,2,FALSE),A297)</f>
        <v>0</v>
      </c>
      <c r="S297" s="690"/>
      <c r="T297" s="690"/>
      <c r="U297" s="690"/>
      <c r="V297" s="658" t="s">
        <v>446</v>
      </c>
      <c r="W297" s="658"/>
      <c r="X297" s="691">
        <f>HLOOKUP(VLOOKUP($AA$16,'Date SPV'!$B:$F,5,FALSE),'Preturi si tarife'!$C$2:$J$39,A297+2,FALSE)</f>
        <v>0.2361</v>
      </c>
      <c r="Y297" s="692"/>
      <c r="Z297" s="692"/>
      <c r="AA297" s="693"/>
      <c r="AB297" s="690">
        <f t="shared" si="17"/>
        <v>0</v>
      </c>
      <c r="AC297" s="690"/>
      <c r="AD297" s="690"/>
      <c r="AE297" s="690"/>
      <c r="AF297" s="690">
        <f t="shared" si="18"/>
        <v>0</v>
      </c>
      <c r="AG297" s="690"/>
      <c r="AH297" s="690"/>
      <c r="AI297" s="690"/>
      <c r="AJ297" s="690">
        <f t="shared" si="19"/>
        <v>0</v>
      </c>
      <c r="AK297" s="690"/>
      <c r="AL297" s="690"/>
      <c r="AM297" s="690"/>
    </row>
    <row r="298" spans="1:39" ht="15.95" customHeight="1">
      <c r="A298" s="65">
        <f t="shared" si="20"/>
        <v>6</v>
      </c>
      <c r="B298" s="699" t="s">
        <v>74</v>
      </c>
      <c r="C298" s="700"/>
      <c r="D298" s="700"/>
      <c r="E298" s="700"/>
      <c r="F298" s="700"/>
      <c r="G298" s="700"/>
      <c r="H298" s="700"/>
      <c r="I298" s="700"/>
      <c r="J298" s="700"/>
      <c r="K298" s="701"/>
      <c r="L298" s="702">
        <f t="shared" si="21"/>
        <v>45778</v>
      </c>
      <c r="M298" s="702"/>
      <c r="N298" s="702"/>
      <c r="O298" s="702">
        <f t="shared" si="22"/>
        <v>45808</v>
      </c>
      <c r="P298" s="702"/>
      <c r="Q298" s="702"/>
      <c r="R298" s="690" cm="1">
        <f t="array" ref="R298">INDEX(verificare!$AT$4:$CC$26,VLOOKUP($AA$16,verificare!$AR$4:$AS$26,2,FALSE),A298)</f>
        <v>281670</v>
      </c>
      <c r="S298" s="690"/>
      <c r="T298" s="690"/>
      <c r="U298" s="690"/>
      <c r="V298" s="658" t="s">
        <v>446</v>
      </c>
      <c r="W298" s="658"/>
      <c r="X298" s="691">
        <f>HLOOKUP(VLOOKUP($AA$16,'Date SPV'!$B:$F,5,FALSE),'Preturi si tarife'!$C$2:$J$39,A298+2,FALSE)</f>
        <v>1.1509999999999999E-2</v>
      </c>
      <c r="Y298" s="692"/>
      <c r="Z298" s="692"/>
      <c r="AA298" s="693"/>
      <c r="AB298" s="690">
        <f t="shared" si="17"/>
        <v>3242.02</v>
      </c>
      <c r="AC298" s="690"/>
      <c r="AD298" s="690"/>
      <c r="AE298" s="690"/>
      <c r="AF298" s="690">
        <f t="shared" si="18"/>
        <v>615.98</v>
      </c>
      <c r="AG298" s="690"/>
      <c r="AH298" s="690"/>
      <c r="AI298" s="690"/>
      <c r="AJ298" s="690">
        <f t="shared" si="19"/>
        <v>3858</v>
      </c>
      <c r="AK298" s="690"/>
      <c r="AL298" s="690"/>
      <c r="AM298" s="690"/>
    </row>
    <row r="299" spans="1:39" ht="15.95" customHeight="1">
      <c r="A299" s="65">
        <f t="shared" si="20"/>
        <v>7</v>
      </c>
      <c r="B299" s="699" t="s">
        <v>75</v>
      </c>
      <c r="C299" s="700"/>
      <c r="D299" s="700"/>
      <c r="E299" s="700"/>
      <c r="F299" s="700"/>
      <c r="G299" s="700"/>
      <c r="H299" s="700"/>
      <c r="I299" s="700"/>
      <c r="J299" s="700"/>
      <c r="K299" s="701"/>
      <c r="L299" s="702">
        <f t="shared" si="21"/>
        <v>45778</v>
      </c>
      <c r="M299" s="702"/>
      <c r="N299" s="702"/>
      <c r="O299" s="702">
        <f t="shared" si="22"/>
        <v>45808</v>
      </c>
      <c r="P299" s="702"/>
      <c r="Q299" s="702"/>
      <c r="R299" s="690" cm="1">
        <f t="array" ref="R299">INDEX(verificare!$AT$4:$CC$26,VLOOKUP($AA$16,verificare!$AR$4:$AS$26,2,FALSE),A299)</f>
        <v>281670</v>
      </c>
      <c r="S299" s="690"/>
      <c r="T299" s="690"/>
      <c r="U299" s="690"/>
      <c r="V299" s="658" t="s">
        <v>446</v>
      </c>
      <c r="W299" s="658"/>
      <c r="X299" s="691">
        <f>HLOOKUP(VLOOKUP($AA$16,'Date SPV'!$B:$F,5,FALSE),'Preturi si tarife'!$C$2:$J$39,A299+2,FALSE)</f>
        <v>3.3030000000000004E-2</v>
      </c>
      <c r="Y299" s="692"/>
      <c r="Z299" s="692"/>
      <c r="AA299" s="693"/>
      <c r="AB299" s="690">
        <f t="shared" si="17"/>
        <v>9303.56</v>
      </c>
      <c r="AC299" s="690"/>
      <c r="AD299" s="690"/>
      <c r="AE299" s="690"/>
      <c r="AF299" s="690">
        <f t="shared" si="18"/>
        <v>1767.68</v>
      </c>
      <c r="AG299" s="690"/>
      <c r="AH299" s="690"/>
      <c r="AI299" s="690"/>
      <c r="AJ299" s="690">
        <f t="shared" si="19"/>
        <v>11071.24</v>
      </c>
      <c r="AK299" s="690"/>
      <c r="AL299" s="690"/>
      <c r="AM299" s="690"/>
    </row>
    <row r="300" spans="1:39" ht="15.95" customHeight="1">
      <c r="A300" s="65">
        <f t="shared" si="20"/>
        <v>8</v>
      </c>
      <c r="B300" s="699" t="s">
        <v>76</v>
      </c>
      <c r="C300" s="700"/>
      <c r="D300" s="700"/>
      <c r="E300" s="700"/>
      <c r="F300" s="700"/>
      <c r="G300" s="700"/>
      <c r="H300" s="700"/>
      <c r="I300" s="700"/>
      <c r="J300" s="700"/>
      <c r="K300" s="701"/>
      <c r="L300" s="702">
        <f t="shared" si="21"/>
        <v>45778</v>
      </c>
      <c r="M300" s="702"/>
      <c r="N300" s="702"/>
      <c r="O300" s="702">
        <f t="shared" si="22"/>
        <v>45808</v>
      </c>
      <c r="P300" s="702"/>
      <c r="Q300" s="702"/>
      <c r="R300" s="690" cm="1">
        <f t="array" ref="R300">INDEX(verificare!$AT$4:$CC$26,VLOOKUP($AA$16,verificare!$AR$4:$AS$26,2,FALSE),A300)</f>
        <v>281670</v>
      </c>
      <c r="S300" s="690"/>
      <c r="T300" s="690"/>
      <c r="U300" s="690"/>
      <c r="V300" s="658" t="s">
        <v>446</v>
      </c>
      <c r="W300" s="658"/>
      <c r="X300" s="691">
        <f>HLOOKUP(VLOOKUP($AA$16,'Date SPV'!$B:$F,5,FALSE),'Preturi si tarife'!$C$2:$J$39,A300+2,FALSE)</f>
        <v>3.29E-3</v>
      </c>
      <c r="Y300" s="692"/>
      <c r="Z300" s="692"/>
      <c r="AA300" s="693"/>
      <c r="AB300" s="690">
        <f t="shared" si="17"/>
        <v>926.69</v>
      </c>
      <c r="AC300" s="690"/>
      <c r="AD300" s="690"/>
      <c r="AE300" s="690"/>
      <c r="AF300" s="690">
        <f t="shared" si="18"/>
        <v>176.07</v>
      </c>
      <c r="AG300" s="690"/>
      <c r="AH300" s="690"/>
      <c r="AI300" s="690"/>
      <c r="AJ300" s="690">
        <f t="shared" si="19"/>
        <v>1102.76</v>
      </c>
      <c r="AK300" s="690"/>
      <c r="AL300" s="690"/>
      <c r="AM300" s="690"/>
    </row>
    <row r="301" spans="1:39" ht="15.95" customHeight="1">
      <c r="A301" s="65">
        <f t="shared" si="20"/>
        <v>9</v>
      </c>
      <c r="B301" s="699" t="s">
        <v>77</v>
      </c>
      <c r="C301" s="700"/>
      <c r="D301" s="700"/>
      <c r="E301" s="700"/>
      <c r="F301" s="700"/>
      <c r="G301" s="700"/>
      <c r="H301" s="700"/>
      <c r="I301" s="700"/>
      <c r="J301" s="700"/>
      <c r="K301" s="701"/>
      <c r="L301" s="702">
        <f t="shared" si="21"/>
        <v>45778</v>
      </c>
      <c r="M301" s="702"/>
      <c r="N301" s="702"/>
      <c r="O301" s="702">
        <f t="shared" si="22"/>
        <v>45808</v>
      </c>
      <c r="P301" s="702"/>
      <c r="Q301" s="702"/>
      <c r="R301" s="690" cm="1">
        <f t="array" ref="R301">INDEX(verificare!$AT$4:$CC$26,VLOOKUP($AA$16,verificare!$AR$4:$AS$26,2,FALSE),A301)</f>
        <v>281670</v>
      </c>
      <c r="S301" s="690"/>
      <c r="T301" s="690"/>
      <c r="U301" s="690"/>
      <c r="V301" s="658" t="s">
        <v>446</v>
      </c>
      <c r="W301" s="658"/>
      <c r="X301" s="691">
        <f>HLOOKUP(VLOOKUP($AA$16,'Date SPV'!$B:$F,5,FALSE),'Preturi si tarife'!$C$2:$J$39,A301+2,FALSE)</f>
        <v>3.5000000000000001E-3</v>
      </c>
      <c r="Y301" s="692"/>
      <c r="Z301" s="692"/>
      <c r="AA301" s="693"/>
      <c r="AB301" s="690">
        <f t="shared" si="17"/>
        <v>985.85</v>
      </c>
      <c r="AC301" s="690"/>
      <c r="AD301" s="690"/>
      <c r="AE301" s="690"/>
      <c r="AF301" s="690">
        <f t="shared" si="18"/>
        <v>187.31</v>
      </c>
      <c r="AG301" s="690"/>
      <c r="AH301" s="690"/>
      <c r="AI301" s="690"/>
      <c r="AJ301" s="690">
        <f t="shared" si="19"/>
        <v>1173.1600000000001</v>
      </c>
      <c r="AK301" s="690"/>
      <c r="AL301" s="690"/>
      <c r="AM301" s="690"/>
    </row>
    <row r="302" spans="1:39" ht="15.95" customHeight="1">
      <c r="A302" s="65">
        <f t="shared" si="20"/>
        <v>10</v>
      </c>
      <c r="B302" s="699" t="s">
        <v>78</v>
      </c>
      <c r="C302" s="700"/>
      <c r="D302" s="700"/>
      <c r="E302" s="700"/>
      <c r="F302" s="700"/>
      <c r="G302" s="700"/>
      <c r="H302" s="700"/>
      <c r="I302" s="700"/>
      <c r="J302" s="700"/>
      <c r="K302" s="701"/>
      <c r="L302" s="702">
        <f t="shared" si="21"/>
        <v>45778</v>
      </c>
      <c r="M302" s="702"/>
      <c r="N302" s="702"/>
      <c r="O302" s="702">
        <f t="shared" si="22"/>
        <v>45808</v>
      </c>
      <c r="P302" s="702"/>
      <c r="Q302" s="702"/>
      <c r="R302" s="690" cm="1">
        <f t="array" ref="R302">INDEX(verificare!$AT$4:$CC$26,VLOOKUP($AA$16,verificare!$AR$4:$AS$26,2,FALSE),A302)</f>
        <v>281670</v>
      </c>
      <c r="S302" s="690"/>
      <c r="T302" s="690"/>
      <c r="U302" s="690"/>
      <c r="V302" s="658" t="s">
        <v>446</v>
      </c>
      <c r="W302" s="658"/>
      <c r="X302" s="691">
        <f>HLOOKUP(VLOOKUP($AA$16,'Date SPV'!$B:$F,5,FALSE),'Preturi si tarife'!$C$2:$J$39,A302+2,FALSE)</f>
        <v>7.2541599999999998E-2</v>
      </c>
      <c r="Y302" s="692"/>
      <c r="Z302" s="692"/>
      <c r="AA302" s="693"/>
      <c r="AB302" s="690">
        <f t="shared" si="17"/>
        <v>20432.79</v>
      </c>
      <c r="AC302" s="690"/>
      <c r="AD302" s="690"/>
      <c r="AE302" s="690"/>
      <c r="AF302" s="690">
        <f t="shared" si="18"/>
        <v>3882.23</v>
      </c>
      <c r="AG302" s="690"/>
      <c r="AH302" s="690"/>
      <c r="AI302" s="690"/>
      <c r="AJ302" s="690">
        <f t="shared" si="19"/>
        <v>24315.02</v>
      </c>
      <c r="AK302" s="690"/>
      <c r="AL302" s="690"/>
      <c r="AM302" s="690"/>
    </row>
    <row r="303" spans="1:39" ht="15.95" customHeight="1">
      <c r="A303" s="65">
        <f t="shared" si="20"/>
        <v>11</v>
      </c>
      <c r="B303" s="699" t="s">
        <v>1313</v>
      </c>
      <c r="C303" s="700"/>
      <c r="D303" s="700"/>
      <c r="E303" s="700"/>
      <c r="F303" s="700"/>
      <c r="G303" s="700"/>
      <c r="H303" s="700"/>
      <c r="I303" s="700"/>
      <c r="J303" s="700"/>
      <c r="K303" s="701"/>
      <c r="L303" s="702">
        <f t="shared" si="21"/>
        <v>45778</v>
      </c>
      <c r="M303" s="702"/>
      <c r="N303" s="702"/>
      <c r="O303" s="702">
        <f t="shared" si="22"/>
        <v>45808</v>
      </c>
      <c r="P303" s="702"/>
      <c r="Q303" s="702"/>
      <c r="R303" s="690" cm="1">
        <f t="array" ref="R303">INDEX(verificare!$AT$4:$CC$26,VLOOKUP($AA$16,verificare!$AR$4:$AS$26,2,FALSE),A303)</f>
        <v>281670</v>
      </c>
      <c r="S303" s="690"/>
      <c r="T303" s="690"/>
      <c r="U303" s="690"/>
      <c r="V303" s="658" t="s">
        <v>446</v>
      </c>
      <c r="W303" s="658"/>
      <c r="X303" s="691">
        <f>HLOOKUP(VLOOKUP($AA$16,'Date SPV'!$B:$F,5,FALSE),'Preturi si tarife'!$C$2:$J$39,A303+2,FALSE)</f>
        <v>2.0599999999999999E-4</v>
      </c>
      <c r="Y303" s="692"/>
      <c r="Z303" s="692"/>
      <c r="AA303" s="693"/>
      <c r="AB303" s="690">
        <f t="shared" si="17"/>
        <v>58.02</v>
      </c>
      <c r="AC303" s="690"/>
      <c r="AD303" s="690"/>
      <c r="AE303" s="690"/>
      <c r="AF303" s="690">
        <f t="shared" si="18"/>
        <v>11.02</v>
      </c>
      <c r="AG303" s="690"/>
      <c r="AH303" s="690"/>
      <c r="AI303" s="690"/>
      <c r="AJ303" s="690">
        <f t="shared" si="19"/>
        <v>69.040000000000006</v>
      </c>
      <c r="AK303" s="690"/>
      <c r="AL303" s="690"/>
      <c r="AM303" s="690"/>
    </row>
    <row r="304" spans="1:39" ht="15.95" customHeight="1">
      <c r="A304" s="65">
        <f t="shared" si="20"/>
        <v>12</v>
      </c>
      <c r="B304" s="699" t="s">
        <v>79</v>
      </c>
      <c r="C304" s="700"/>
      <c r="D304" s="700"/>
      <c r="E304" s="700"/>
      <c r="F304" s="700"/>
      <c r="G304" s="700"/>
      <c r="H304" s="700"/>
      <c r="I304" s="700"/>
      <c r="J304" s="700"/>
      <c r="K304" s="701"/>
      <c r="L304" s="702">
        <f>L302</f>
        <v>45778</v>
      </c>
      <c r="M304" s="702"/>
      <c r="N304" s="702"/>
      <c r="O304" s="702">
        <f>O302</f>
        <v>45808</v>
      </c>
      <c r="P304" s="702"/>
      <c r="Q304" s="702"/>
      <c r="R304" s="690" cm="1">
        <f t="array" ref="R304">INDEX(verificare!$AT$4:$CC$26,VLOOKUP($AA$16,verificare!$AR$4:$AS$26,2,FALSE),A304)</f>
        <v>281670</v>
      </c>
      <c r="S304" s="690"/>
      <c r="T304" s="690"/>
      <c r="U304" s="690"/>
      <c r="V304" s="658" t="s">
        <v>446</v>
      </c>
      <c r="W304" s="658"/>
      <c r="X304" s="691">
        <f>HLOOKUP(VLOOKUP($AA$16,'Date SPV'!$B:$F,5,FALSE),'Preturi si tarife'!$C$2:$J$39,A304+2,FALSE)</f>
        <v>0</v>
      </c>
      <c r="Y304" s="692"/>
      <c r="Z304" s="692"/>
      <c r="AA304" s="693"/>
      <c r="AB304" s="690">
        <f t="shared" si="17"/>
        <v>0</v>
      </c>
      <c r="AC304" s="690"/>
      <c r="AD304" s="690"/>
      <c r="AE304" s="690"/>
      <c r="AF304" s="690">
        <f t="shared" si="18"/>
        <v>0</v>
      </c>
      <c r="AG304" s="690"/>
      <c r="AH304" s="690"/>
      <c r="AI304" s="690"/>
      <c r="AJ304" s="690">
        <f t="shared" si="19"/>
        <v>0</v>
      </c>
      <c r="AK304" s="690"/>
      <c r="AL304" s="690"/>
      <c r="AM304" s="690"/>
    </row>
    <row r="305" spans="1:39" ht="15.95" customHeight="1">
      <c r="A305" s="65">
        <f t="shared" si="20"/>
        <v>13</v>
      </c>
      <c r="B305" s="699" t="s">
        <v>80</v>
      </c>
      <c r="C305" s="700"/>
      <c r="D305" s="700"/>
      <c r="E305" s="700"/>
      <c r="F305" s="700"/>
      <c r="G305" s="700"/>
      <c r="H305" s="700"/>
      <c r="I305" s="700"/>
      <c r="J305" s="700"/>
      <c r="K305" s="701"/>
      <c r="L305" s="702">
        <f t="shared" ref="L305:L310" si="23">L304</f>
        <v>45778</v>
      </c>
      <c r="M305" s="702"/>
      <c r="N305" s="702"/>
      <c r="O305" s="702">
        <f t="shared" ref="O305:O310" si="24">O304</f>
        <v>45808</v>
      </c>
      <c r="P305" s="702"/>
      <c r="Q305" s="702"/>
      <c r="R305" s="690" cm="1">
        <f t="array" ref="R305">INDEX(verificare!$AT$4:$CC$26,VLOOKUP($AA$16,verificare!$AR$4:$AS$26,2,FALSE),A305)</f>
        <v>278173</v>
      </c>
      <c r="S305" s="690"/>
      <c r="T305" s="690"/>
      <c r="U305" s="690"/>
      <c r="V305" s="658" t="s">
        <v>446</v>
      </c>
      <c r="W305" s="658"/>
      <c r="X305" s="691">
        <f>HLOOKUP(VLOOKUP($AA$16,'Date SPV'!$B:$F,5,FALSE),'Preturi si tarife'!$C$2:$J$39,A305+2,FALSE)</f>
        <v>1.49E-2</v>
      </c>
      <c r="Y305" s="692"/>
      <c r="Z305" s="692"/>
      <c r="AA305" s="693"/>
      <c r="AB305" s="690">
        <f t="shared" si="17"/>
        <v>4144.78</v>
      </c>
      <c r="AC305" s="690"/>
      <c r="AD305" s="690"/>
      <c r="AE305" s="690"/>
      <c r="AF305" s="690">
        <f t="shared" si="18"/>
        <v>787.51</v>
      </c>
      <c r="AG305" s="690"/>
      <c r="AH305" s="690"/>
      <c r="AI305" s="690"/>
      <c r="AJ305" s="690">
        <f t="shared" si="19"/>
        <v>4932.29</v>
      </c>
      <c r="AK305" s="690"/>
      <c r="AL305" s="690"/>
      <c r="AM305" s="690"/>
    </row>
    <row r="306" spans="1:39" ht="15.95" customHeight="1">
      <c r="A306" s="65">
        <f t="shared" si="20"/>
        <v>14</v>
      </c>
      <c r="B306" s="699" t="s">
        <v>81</v>
      </c>
      <c r="C306" s="700"/>
      <c r="D306" s="700"/>
      <c r="E306" s="700"/>
      <c r="F306" s="700"/>
      <c r="G306" s="700"/>
      <c r="H306" s="700"/>
      <c r="I306" s="700"/>
      <c r="J306" s="700"/>
      <c r="K306" s="701"/>
      <c r="L306" s="702">
        <f t="shared" si="23"/>
        <v>45778</v>
      </c>
      <c r="M306" s="702"/>
      <c r="N306" s="702"/>
      <c r="O306" s="702">
        <f t="shared" si="24"/>
        <v>45808</v>
      </c>
      <c r="P306" s="702"/>
      <c r="Q306" s="702"/>
      <c r="R306" s="690" cm="1">
        <f t="array" ref="R306">INDEX(verificare!$AT$4:$CC$26,VLOOKUP($AA$16,verificare!$AR$4:$AS$26,2,FALSE),A306)</f>
        <v>278173</v>
      </c>
      <c r="S306" s="690"/>
      <c r="T306" s="690"/>
      <c r="U306" s="690"/>
      <c r="V306" s="658" t="s">
        <v>446</v>
      </c>
      <c r="W306" s="658"/>
      <c r="X306" s="691">
        <f>HLOOKUP(VLOOKUP($AA$16,'Date SPV'!$B:$F,5,FALSE),'Preturi si tarife'!$C$2:$J$39,A306+2,FALSE)</f>
        <v>0.1192</v>
      </c>
      <c r="Y306" s="692"/>
      <c r="Z306" s="692"/>
      <c r="AA306" s="693"/>
      <c r="AB306" s="690">
        <f t="shared" si="17"/>
        <v>33158.22</v>
      </c>
      <c r="AC306" s="690"/>
      <c r="AD306" s="690"/>
      <c r="AE306" s="690"/>
      <c r="AF306" s="690">
        <f t="shared" si="18"/>
        <v>6300.06</v>
      </c>
      <c r="AG306" s="690"/>
      <c r="AH306" s="690"/>
      <c r="AI306" s="690"/>
      <c r="AJ306" s="690">
        <f t="shared" si="19"/>
        <v>39458.28</v>
      </c>
      <c r="AK306" s="690"/>
      <c r="AL306" s="690"/>
      <c r="AM306" s="690"/>
    </row>
    <row r="307" spans="1:39" ht="15.95" customHeight="1">
      <c r="A307" s="65">
        <f t="shared" si="20"/>
        <v>15</v>
      </c>
      <c r="B307" s="699" t="s">
        <v>82</v>
      </c>
      <c r="C307" s="700"/>
      <c r="D307" s="700"/>
      <c r="E307" s="700"/>
      <c r="F307" s="700"/>
      <c r="G307" s="700"/>
      <c r="H307" s="700"/>
      <c r="I307" s="700"/>
      <c r="J307" s="700"/>
      <c r="K307" s="701"/>
      <c r="L307" s="702">
        <f t="shared" si="23"/>
        <v>45778</v>
      </c>
      <c r="M307" s="702"/>
      <c r="N307" s="702"/>
      <c r="O307" s="702">
        <f t="shared" si="24"/>
        <v>45808</v>
      </c>
      <c r="P307" s="702"/>
      <c r="Q307" s="702"/>
      <c r="R307" s="690" cm="1">
        <f t="array" ref="R307">INDEX(verificare!$AT$4:$CC$26,VLOOKUP($AA$16,verificare!$AR$4:$AS$26,2,FALSE),A307)</f>
        <v>187100</v>
      </c>
      <c r="S307" s="690"/>
      <c r="T307" s="690"/>
      <c r="U307" s="690"/>
      <c r="V307" s="658" t="s">
        <v>446</v>
      </c>
      <c r="W307" s="658"/>
      <c r="X307" s="691">
        <f>HLOOKUP(VLOOKUP($AA$16,'Date SPV'!$B:$F,5,FALSE),'Preturi si tarife'!$C$2:$J$39,A307+2,FALSE)</f>
        <v>0.96800760000000008</v>
      </c>
      <c r="Y307" s="692"/>
      <c r="Z307" s="692"/>
      <c r="AA307" s="693"/>
      <c r="AB307" s="690">
        <f t="shared" si="17"/>
        <v>181114.22</v>
      </c>
      <c r="AC307" s="690"/>
      <c r="AD307" s="690"/>
      <c r="AE307" s="690"/>
      <c r="AF307" s="690">
        <f t="shared" si="18"/>
        <v>34411.699999999997</v>
      </c>
      <c r="AG307" s="690"/>
      <c r="AH307" s="690"/>
      <c r="AI307" s="690"/>
      <c r="AJ307" s="690">
        <f t="shared" si="19"/>
        <v>215525.91999999998</v>
      </c>
      <c r="AK307" s="690"/>
      <c r="AL307" s="690"/>
      <c r="AM307" s="690"/>
    </row>
    <row r="308" spans="1:39" ht="15.95" customHeight="1">
      <c r="A308" s="65">
        <f t="shared" si="20"/>
        <v>16</v>
      </c>
      <c r="B308" s="699" t="s">
        <v>83</v>
      </c>
      <c r="C308" s="700"/>
      <c r="D308" s="700"/>
      <c r="E308" s="700"/>
      <c r="F308" s="700"/>
      <c r="G308" s="700"/>
      <c r="H308" s="700"/>
      <c r="I308" s="700"/>
      <c r="J308" s="700"/>
      <c r="K308" s="701"/>
      <c r="L308" s="702">
        <f t="shared" si="23"/>
        <v>45778</v>
      </c>
      <c r="M308" s="702"/>
      <c r="N308" s="702"/>
      <c r="O308" s="702">
        <f t="shared" si="24"/>
        <v>45808</v>
      </c>
      <c r="P308" s="702"/>
      <c r="Q308" s="702"/>
      <c r="R308" s="690" cm="1">
        <f t="array" ref="R308">INDEX(verificare!$AT$4:$CC$26,VLOOKUP($AA$16,verificare!$AR$4:$AS$26,2,FALSE),A308)</f>
        <v>29237</v>
      </c>
      <c r="S308" s="690"/>
      <c r="T308" s="690"/>
      <c r="U308" s="690"/>
      <c r="V308" s="658" t="s">
        <v>446</v>
      </c>
      <c r="W308" s="658"/>
      <c r="X308" s="691">
        <f>HLOOKUP(VLOOKUP($AA$16,'Date SPV'!$B:$F,5,FALSE),'Preturi si tarife'!$C$2:$J$39,A308+2,FALSE)</f>
        <v>0.83390760000000008</v>
      </c>
      <c r="Y308" s="692"/>
      <c r="Z308" s="692"/>
      <c r="AA308" s="693"/>
      <c r="AB308" s="690">
        <f t="shared" si="17"/>
        <v>24380.959999999999</v>
      </c>
      <c r="AC308" s="690"/>
      <c r="AD308" s="690"/>
      <c r="AE308" s="690"/>
      <c r="AF308" s="690">
        <f t="shared" si="18"/>
        <v>4632.38</v>
      </c>
      <c r="AG308" s="690"/>
      <c r="AH308" s="690"/>
      <c r="AI308" s="690"/>
      <c r="AJ308" s="690">
        <f t="shared" si="19"/>
        <v>29013.34</v>
      </c>
      <c r="AK308" s="690"/>
      <c r="AL308" s="690"/>
      <c r="AM308" s="690"/>
    </row>
    <row r="309" spans="1:39" ht="15.95" customHeight="1">
      <c r="A309" s="65">
        <f t="shared" si="20"/>
        <v>17</v>
      </c>
      <c r="B309" s="699" t="s">
        <v>1129</v>
      </c>
      <c r="C309" s="700"/>
      <c r="D309" s="700"/>
      <c r="E309" s="700"/>
      <c r="F309" s="700"/>
      <c r="G309" s="700"/>
      <c r="H309" s="700"/>
      <c r="I309" s="700"/>
      <c r="J309" s="700"/>
      <c r="K309" s="701"/>
      <c r="L309" s="702">
        <f t="shared" si="23"/>
        <v>45778</v>
      </c>
      <c r="M309" s="702"/>
      <c r="N309" s="702"/>
      <c r="O309" s="702">
        <f t="shared" si="24"/>
        <v>45808</v>
      </c>
      <c r="P309" s="702"/>
      <c r="Q309" s="702"/>
      <c r="R309" s="690" cm="1">
        <f t="array" ref="R309">INDEX(verificare!$AT$4:$CC$26,VLOOKUP($AA$16,verificare!$AR$4:$AS$26,2,FALSE),A309)</f>
        <v>29237</v>
      </c>
      <c r="S309" s="690"/>
      <c r="T309" s="690"/>
      <c r="U309" s="690"/>
      <c r="V309" s="658" t="s">
        <v>446</v>
      </c>
      <c r="W309" s="658"/>
      <c r="X309" s="691">
        <f>HLOOKUP(VLOOKUP($AA$16,'Date SPV'!$B:$F,5,FALSE),'Preturi si tarife'!$C$2:$J$39,A309+2,FALSE)</f>
        <v>1.49E-2</v>
      </c>
      <c r="Y309" s="692"/>
      <c r="Z309" s="692"/>
      <c r="AA309" s="693"/>
      <c r="AB309" s="690">
        <f t="shared" si="17"/>
        <v>435.63</v>
      </c>
      <c r="AC309" s="690"/>
      <c r="AD309" s="690"/>
      <c r="AE309" s="690"/>
      <c r="AF309" s="690">
        <f t="shared" si="18"/>
        <v>82.77</v>
      </c>
      <c r="AG309" s="690"/>
      <c r="AH309" s="690"/>
      <c r="AI309" s="690"/>
      <c r="AJ309" s="690">
        <f t="shared" si="19"/>
        <v>518.4</v>
      </c>
      <c r="AK309" s="690"/>
      <c r="AL309" s="690"/>
      <c r="AM309" s="690"/>
    </row>
    <row r="310" spans="1:39" ht="15.95" customHeight="1">
      <c r="A310" s="65">
        <f t="shared" si="20"/>
        <v>18</v>
      </c>
      <c r="B310" s="699" t="s">
        <v>1130</v>
      </c>
      <c r="C310" s="700"/>
      <c r="D310" s="700"/>
      <c r="E310" s="700"/>
      <c r="F310" s="700"/>
      <c r="G310" s="700"/>
      <c r="H310" s="700"/>
      <c r="I310" s="700"/>
      <c r="J310" s="700"/>
      <c r="K310" s="701"/>
      <c r="L310" s="702">
        <f t="shared" si="23"/>
        <v>45778</v>
      </c>
      <c r="M310" s="702"/>
      <c r="N310" s="702"/>
      <c r="O310" s="702">
        <f t="shared" si="24"/>
        <v>45808</v>
      </c>
      <c r="P310" s="702"/>
      <c r="Q310" s="702"/>
      <c r="R310" s="690" cm="1">
        <f t="array" ref="R310">INDEX(verificare!$AT$4:$CC$26,VLOOKUP($AA$16,verificare!$AR$4:$AS$26,2,FALSE),A310)</f>
        <v>29237</v>
      </c>
      <c r="S310" s="690"/>
      <c r="T310" s="690"/>
      <c r="U310" s="690"/>
      <c r="V310" s="658" t="s">
        <v>446</v>
      </c>
      <c r="W310" s="658"/>
      <c r="X310" s="691">
        <f>HLOOKUP(VLOOKUP($AA$16,'Date SPV'!$B:$F,5,FALSE),'Preturi si tarife'!$C$2:$J$39,A310+2,FALSE)</f>
        <v>0.1192</v>
      </c>
      <c r="Y310" s="692"/>
      <c r="Z310" s="692"/>
      <c r="AA310" s="693"/>
      <c r="AB310" s="690">
        <f t="shared" si="17"/>
        <v>3485.05</v>
      </c>
      <c r="AC310" s="690"/>
      <c r="AD310" s="690"/>
      <c r="AE310" s="690"/>
      <c r="AF310" s="690">
        <f t="shared" si="18"/>
        <v>662.16</v>
      </c>
      <c r="AG310" s="690"/>
      <c r="AH310" s="690"/>
      <c r="AI310" s="690"/>
      <c r="AJ310" s="690">
        <f t="shared" si="19"/>
        <v>4147.21</v>
      </c>
      <c r="AK310" s="690"/>
      <c r="AL310" s="690"/>
      <c r="AM310" s="690"/>
    </row>
    <row r="311" spans="1:39" ht="15.95" customHeight="1">
      <c r="A311" s="65">
        <f t="shared" si="20"/>
        <v>19</v>
      </c>
      <c r="B311" s="699" t="s">
        <v>99</v>
      </c>
      <c r="C311" s="700"/>
      <c r="D311" s="700"/>
      <c r="E311" s="700"/>
      <c r="F311" s="700"/>
      <c r="G311" s="700"/>
      <c r="H311" s="700"/>
      <c r="I311" s="700"/>
      <c r="J311" s="700"/>
      <c r="K311" s="701"/>
      <c r="L311" s="702">
        <f>'Date masura OD'!$W$5</f>
        <v>45748</v>
      </c>
      <c r="M311" s="702"/>
      <c r="N311" s="702"/>
      <c r="O311" s="702">
        <f>'Date masura OD'!$X$5</f>
        <v>45777</v>
      </c>
      <c r="P311" s="702"/>
      <c r="Q311" s="702"/>
      <c r="R311" s="690" cm="1">
        <f t="array" ref="R311">INDEX(verificare!$AT$4:$CC$26,VLOOKUP($AA$16,verificare!$AR$4:$AS$26,2,FALSE),A311)</f>
        <v>716</v>
      </c>
      <c r="S311" s="690"/>
      <c r="T311" s="690"/>
      <c r="U311" s="690"/>
      <c r="V311" s="658" t="s">
        <v>446</v>
      </c>
      <c r="W311" s="658"/>
      <c r="X311" s="691">
        <f>HLOOKUP(VLOOKUP($AA$16,'Date SPV'!$B:$F,5,FALSE),'Preturi si tarife'!$C$2:$J$39,A311+2,FALSE)</f>
        <v>0.59499999999999997</v>
      </c>
      <c r="Y311" s="692"/>
      <c r="Z311" s="692"/>
      <c r="AA311" s="693"/>
      <c r="AB311" s="690">
        <f t="shared" si="17"/>
        <v>426.02</v>
      </c>
      <c r="AC311" s="690"/>
      <c r="AD311" s="690"/>
      <c r="AE311" s="690"/>
      <c r="AF311" s="690">
        <f t="shared" si="18"/>
        <v>80.94</v>
      </c>
      <c r="AG311" s="690"/>
      <c r="AH311" s="690"/>
      <c r="AI311" s="690"/>
      <c r="AJ311" s="690">
        <f t="shared" si="19"/>
        <v>506.96</v>
      </c>
      <c r="AK311" s="690"/>
      <c r="AL311" s="690"/>
      <c r="AM311" s="690"/>
    </row>
    <row r="312" spans="1:39" ht="15.95" customHeight="1">
      <c r="A312" s="65">
        <f t="shared" si="20"/>
        <v>20</v>
      </c>
      <c r="B312" s="699" t="s">
        <v>100</v>
      </c>
      <c r="C312" s="700"/>
      <c r="D312" s="700"/>
      <c r="E312" s="700"/>
      <c r="F312" s="700"/>
      <c r="G312" s="700"/>
      <c r="H312" s="700"/>
      <c r="I312" s="700"/>
      <c r="J312" s="700"/>
      <c r="K312" s="701"/>
      <c r="L312" s="702">
        <f>L311</f>
        <v>45748</v>
      </c>
      <c r="M312" s="702"/>
      <c r="N312" s="702"/>
      <c r="O312" s="702">
        <f t="shared" ref="O312:O321" si="25">O311</f>
        <v>45777</v>
      </c>
      <c r="P312" s="702"/>
      <c r="Q312" s="702"/>
      <c r="R312" s="690" cm="1">
        <f t="array" ref="R312">INDEX(verificare!$AT$4:$CC$26,VLOOKUP($AA$16,verificare!$AR$4:$AS$26,2,FALSE),A312)</f>
        <v>11676</v>
      </c>
      <c r="S312" s="690"/>
      <c r="T312" s="690"/>
      <c r="U312" s="690"/>
      <c r="V312" s="658" t="s">
        <v>727</v>
      </c>
      <c r="W312" s="658"/>
      <c r="X312" s="691">
        <f>HLOOKUP(VLOOKUP($AA$16,'Date SPV'!$B:$F,5,FALSE),'Preturi si tarife'!$C$2:$J$39,A312+2,FALSE)</f>
        <v>0.14649999999999999</v>
      </c>
      <c r="Y312" s="692"/>
      <c r="Z312" s="692"/>
      <c r="AA312" s="693"/>
      <c r="AB312" s="690">
        <f t="shared" si="17"/>
        <v>1710.53</v>
      </c>
      <c r="AC312" s="690"/>
      <c r="AD312" s="690"/>
      <c r="AE312" s="690"/>
      <c r="AF312" s="690">
        <f t="shared" si="18"/>
        <v>325</v>
      </c>
      <c r="AG312" s="690"/>
      <c r="AH312" s="690"/>
      <c r="AI312" s="690"/>
      <c r="AJ312" s="690">
        <f t="shared" si="19"/>
        <v>2035.53</v>
      </c>
      <c r="AK312" s="690"/>
      <c r="AL312" s="690"/>
      <c r="AM312" s="690"/>
    </row>
    <row r="313" spans="1:39" ht="30.95" customHeight="1">
      <c r="A313" s="65">
        <f t="shared" si="20"/>
        <v>21</v>
      </c>
      <c r="B313" s="699" t="s">
        <v>101</v>
      </c>
      <c r="C313" s="700"/>
      <c r="D313" s="700"/>
      <c r="E313" s="700"/>
      <c r="F313" s="700"/>
      <c r="G313" s="700"/>
      <c r="H313" s="700"/>
      <c r="I313" s="700"/>
      <c r="J313" s="700"/>
      <c r="K313" s="701"/>
      <c r="L313" s="702">
        <f t="shared" ref="L313:L321" si="26">L312</f>
        <v>45748</v>
      </c>
      <c r="M313" s="702"/>
      <c r="N313" s="702"/>
      <c r="O313" s="702">
        <f t="shared" si="25"/>
        <v>45777</v>
      </c>
      <c r="P313" s="702"/>
      <c r="Q313" s="702"/>
      <c r="R313" s="690" cm="1">
        <f t="array" ref="R313">INDEX(verificare!$AT$4:$CC$26,VLOOKUP($AA$16,verificare!$AR$4:$AS$26,2,FALSE),A313)</f>
        <v>59666</v>
      </c>
      <c r="S313" s="690"/>
      <c r="T313" s="690"/>
      <c r="U313" s="690"/>
      <c r="V313" s="658" t="s">
        <v>727</v>
      </c>
      <c r="W313" s="658"/>
      <c r="X313" s="691">
        <f>HLOOKUP(VLOOKUP($AA$16,'Date SPV'!$B:$F,5,FALSE),'Preturi si tarife'!$C$2:$J$39,A313+2,FALSE)</f>
        <v>0.4395</v>
      </c>
      <c r="Y313" s="692"/>
      <c r="Z313" s="692"/>
      <c r="AA313" s="693"/>
      <c r="AB313" s="690">
        <f t="shared" si="17"/>
        <v>26223.21</v>
      </c>
      <c r="AC313" s="690"/>
      <c r="AD313" s="690"/>
      <c r="AE313" s="690"/>
      <c r="AF313" s="690">
        <f t="shared" si="18"/>
        <v>4982.41</v>
      </c>
      <c r="AG313" s="690"/>
      <c r="AH313" s="690"/>
      <c r="AI313" s="690"/>
      <c r="AJ313" s="690">
        <f t="shared" si="19"/>
        <v>31205.62</v>
      </c>
      <c r="AK313" s="690"/>
      <c r="AL313" s="690"/>
      <c r="AM313" s="690"/>
    </row>
    <row r="314" spans="1:39" ht="15.95" customHeight="1">
      <c r="A314" s="65">
        <f t="shared" si="20"/>
        <v>22</v>
      </c>
      <c r="B314" s="699" t="s">
        <v>869</v>
      </c>
      <c r="C314" s="700"/>
      <c r="D314" s="700"/>
      <c r="E314" s="700"/>
      <c r="F314" s="700"/>
      <c r="G314" s="700"/>
      <c r="H314" s="700"/>
      <c r="I314" s="700"/>
      <c r="J314" s="700"/>
      <c r="K314" s="701"/>
      <c r="L314" s="702">
        <f t="shared" si="26"/>
        <v>45748</v>
      </c>
      <c r="M314" s="702"/>
      <c r="N314" s="702"/>
      <c r="O314" s="702">
        <f t="shared" si="25"/>
        <v>45777</v>
      </c>
      <c r="P314" s="702"/>
      <c r="Q314" s="702"/>
      <c r="R314" s="690" cm="1">
        <f t="array" ref="R314">INDEX(verificare!$AT$4:$CC$26,VLOOKUP($AA$16,verificare!$AR$4:$AS$26,2,FALSE),A314)</f>
        <v>716</v>
      </c>
      <c r="S314" s="690"/>
      <c r="T314" s="690"/>
      <c r="U314" s="690"/>
      <c r="V314" s="658" t="s">
        <v>446</v>
      </c>
      <c r="W314" s="658"/>
      <c r="X314" s="691">
        <f>HLOOKUP(VLOOKUP($AA$16,'Date SPV'!$B:$F,5,FALSE),'Preturi si tarife'!$C$2:$J$39,A314+2,FALSE)</f>
        <v>0.11483</v>
      </c>
      <c r="Y314" s="692"/>
      <c r="Z314" s="692"/>
      <c r="AA314" s="693"/>
      <c r="AB314" s="690">
        <f t="shared" si="17"/>
        <v>82.22</v>
      </c>
      <c r="AC314" s="690"/>
      <c r="AD314" s="690"/>
      <c r="AE314" s="690"/>
      <c r="AF314" s="690">
        <f t="shared" si="18"/>
        <v>15.62</v>
      </c>
      <c r="AG314" s="690"/>
      <c r="AH314" s="690"/>
      <c r="AI314" s="690"/>
      <c r="AJ314" s="690">
        <f t="shared" si="19"/>
        <v>97.84</v>
      </c>
      <c r="AK314" s="690"/>
      <c r="AL314" s="690"/>
      <c r="AM314" s="690"/>
    </row>
    <row r="315" spans="1:39" ht="15.95" customHeight="1">
      <c r="A315" s="65">
        <f t="shared" si="20"/>
        <v>23</v>
      </c>
      <c r="B315" s="699" t="s">
        <v>758</v>
      </c>
      <c r="C315" s="700"/>
      <c r="D315" s="700"/>
      <c r="E315" s="700"/>
      <c r="F315" s="700"/>
      <c r="G315" s="700"/>
      <c r="H315" s="700"/>
      <c r="I315" s="700"/>
      <c r="J315" s="700"/>
      <c r="K315" s="701"/>
      <c r="L315" s="702">
        <f t="shared" si="26"/>
        <v>45748</v>
      </c>
      <c r="M315" s="702"/>
      <c r="N315" s="702"/>
      <c r="O315" s="702">
        <f t="shared" si="25"/>
        <v>45777</v>
      </c>
      <c r="P315" s="702"/>
      <c r="Q315" s="702"/>
      <c r="R315" s="690" cm="1">
        <f t="array" ref="R315">INDEX(verificare!$AT$4:$CC$26,VLOOKUP($AA$16,verificare!$AR$4:$AS$26,2,FALSE),A315)</f>
        <v>0</v>
      </c>
      <c r="S315" s="690"/>
      <c r="T315" s="690"/>
      <c r="U315" s="690"/>
      <c r="V315" s="658" t="s">
        <v>446</v>
      </c>
      <c r="W315" s="658"/>
      <c r="X315" s="691">
        <f>HLOOKUP(VLOOKUP($AA$16,'Date SPV'!$B:$F,5,FALSE),'Preturi si tarife'!$C$2:$J$39,A315+2,FALSE)</f>
        <v>0.2361</v>
      </c>
      <c r="Y315" s="692"/>
      <c r="Z315" s="692"/>
      <c r="AA315" s="693"/>
      <c r="AB315" s="690">
        <f t="shared" si="17"/>
        <v>0</v>
      </c>
      <c r="AC315" s="690"/>
      <c r="AD315" s="690"/>
      <c r="AE315" s="690"/>
      <c r="AF315" s="690">
        <f t="shared" si="18"/>
        <v>0</v>
      </c>
      <c r="AG315" s="690"/>
      <c r="AH315" s="690"/>
      <c r="AI315" s="690"/>
      <c r="AJ315" s="690">
        <f t="shared" si="19"/>
        <v>0</v>
      </c>
      <c r="AK315" s="690"/>
      <c r="AL315" s="690"/>
      <c r="AM315" s="690"/>
    </row>
    <row r="316" spans="1:39" ht="30.95" customHeight="1">
      <c r="A316" s="65">
        <f t="shared" si="20"/>
        <v>24</v>
      </c>
      <c r="B316" s="699" t="s">
        <v>102</v>
      </c>
      <c r="C316" s="700"/>
      <c r="D316" s="700"/>
      <c r="E316" s="700"/>
      <c r="F316" s="700"/>
      <c r="G316" s="700"/>
      <c r="H316" s="700"/>
      <c r="I316" s="700"/>
      <c r="J316" s="700"/>
      <c r="K316" s="701"/>
      <c r="L316" s="702">
        <f t="shared" si="26"/>
        <v>45748</v>
      </c>
      <c r="M316" s="702"/>
      <c r="N316" s="702"/>
      <c r="O316" s="702">
        <f t="shared" si="25"/>
        <v>45777</v>
      </c>
      <c r="P316" s="702"/>
      <c r="Q316" s="702"/>
      <c r="R316" s="690" cm="1">
        <f t="array" ref="R316">INDEX(verificare!$AT$4:$CC$26,VLOOKUP($AA$16,verificare!$AR$4:$AS$26,2,FALSE),A316)</f>
        <v>716</v>
      </c>
      <c r="S316" s="690"/>
      <c r="T316" s="690"/>
      <c r="U316" s="690"/>
      <c r="V316" s="658" t="s">
        <v>446</v>
      </c>
      <c r="W316" s="658"/>
      <c r="X316" s="691">
        <f>HLOOKUP(VLOOKUP($AA$16,'Date SPV'!$B:$F,5,FALSE),'Preturi si tarife'!$C$2:$J$39,A316+2,FALSE)</f>
        <v>1.1509999999999999E-2</v>
      </c>
      <c r="Y316" s="692"/>
      <c r="Z316" s="692"/>
      <c r="AA316" s="693"/>
      <c r="AB316" s="690">
        <f t="shared" si="17"/>
        <v>8.24</v>
      </c>
      <c r="AC316" s="690"/>
      <c r="AD316" s="690"/>
      <c r="AE316" s="690"/>
      <c r="AF316" s="690">
        <f t="shared" si="18"/>
        <v>1.57</v>
      </c>
      <c r="AG316" s="690"/>
      <c r="AH316" s="690"/>
      <c r="AI316" s="690"/>
      <c r="AJ316" s="690">
        <f t="shared" si="19"/>
        <v>9.81</v>
      </c>
      <c r="AK316" s="690"/>
      <c r="AL316" s="690"/>
      <c r="AM316" s="690"/>
    </row>
    <row r="317" spans="1:39" ht="30.95" customHeight="1">
      <c r="A317" s="65">
        <f t="shared" si="20"/>
        <v>25</v>
      </c>
      <c r="B317" s="699" t="s">
        <v>103</v>
      </c>
      <c r="C317" s="700"/>
      <c r="D317" s="700"/>
      <c r="E317" s="700"/>
      <c r="F317" s="700"/>
      <c r="G317" s="700"/>
      <c r="H317" s="700"/>
      <c r="I317" s="700"/>
      <c r="J317" s="700"/>
      <c r="K317" s="701"/>
      <c r="L317" s="702">
        <f t="shared" si="26"/>
        <v>45748</v>
      </c>
      <c r="M317" s="702"/>
      <c r="N317" s="702"/>
      <c r="O317" s="702">
        <f t="shared" si="25"/>
        <v>45777</v>
      </c>
      <c r="P317" s="702"/>
      <c r="Q317" s="702"/>
      <c r="R317" s="690" cm="1">
        <f t="array" ref="R317">INDEX(verificare!$AT$4:$CC$26,VLOOKUP($AA$16,verificare!$AR$4:$AS$26,2,FALSE),A317)</f>
        <v>716</v>
      </c>
      <c r="S317" s="690"/>
      <c r="T317" s="690"/>
      <c r="U317" s="690"/>
      <c r="V317" s="658" t="s">
        <v>446</v>
      </c>
      <c r="W317" s="658"/>
      <c r="X317" s="691">
        <f>HLOOKUP(VLOOKUP($AA$16,'Date SPV'!$B:$F,5,FALSE),'Preturi si tarife'!$C$2:$J$39,A317+2,FALSE)</f>
        <v>3.3030000000000004E-2</v>
      </c>
      <c r="Y317" s="692"/>
      <c r="Z317" s="692"/>
      <c r="AA317" s="693"/>
      <c r="AB317" s="690">
        <f t="shared" si="17"/>
        <v>23.65</v>
      </c>
      <c r="AC317" s="690"/>
      <c r="AD317" s="690"/>
      <c r="AE317" s="690"/>
      <c r="AF317" s="690">
        <f t="shared" si="18"/>
        <v>4.49</v>
      </c>
      <c r="AG317" s="690"/>
      <c r="AH317" s="690"/>
      <c r="AI317" s="690"/>
      <c r="AJ317" s="690">
        <f t="shared" si="19"/>
        <v>28.14</v>
      </c>
      <c r="AK317" s="690"/>
      <c r="AL317" s="690"/>
      <c r="AM317" s="690"/>
    </row>
    <row r="318" spans="1:39" ht="30.95" customHeight="1">
      <c r="A318" s="65">
        <f t="shared" si="20"/>
        <v>26</v>
      </c>
      <c r="B318" s="699" t="s">
        <v>104</v>
      </c>
      <c r="C318" s="700"/>
      <c r="D318" s="700"/>
      <c r="E318" s="700"/>
      <c r="F318" s="700"/>
      <c r="G318" s="700"/>
      <c r="H318" s="700"/>
      <c r="I318" s="700"/>
      <c r="J318" s="700"/>
      <c r="K318" s="701"/>
      <c r="L318" s="702">
        <f t="shared" si="26"/>
        <v>45748</v>
      </c>
      <c r="M318" s="702"/>
      <c r="N318" s="702"/>
      <c r="O318" s="702">
        <f t="shared" si="25"/>
        <v>45777</v>
      </c>
      <c r="P318" s="702"/>
      <c r="Q318" s="702"/>
      <c r="R318" s="690" cm="1">
        <f t="array" ref="R318">INDEX(verificare!$AT$4:$CC$26,VLOOKUP($AA$16,verificare!$AR$4:$AS$26,2,FALSE),A318)</f>
        <v>716</v>
      </c>
      <c r="S318" s="690"/>
      <c r="T318" s="690"/>
      <c r="U318" s="690"/>
      <c r="V318" s="658" t="s">
        <v>446</v>
      </c>
      <c r="W318" s="658"/>
      <c r="X318" s="691">
        <f>HLOOKUP(VLOOKUP($AA$16,'Date SPV'!$B:$F,5,FALSE),'Preturi si tarife'!$C$2:$J$39,A318+2,FALSE)</f>
        <v>3.29E-3</v>
      </c>
      <c r="Y318" s="692"/>
      <c r="Z318" s="692"/>
      <c r="AA318" s="693"/>
      <c r="AB318" s="690">
        <f t="shared" si="17"/>
        <v>2.36</v>
      </c>
      <c r="AC318" s="690"/>
      <c r="AD318" s="690"/>
      <c r="AE318" s="690"/>
      <c r="AF318" s="690">
        <f t="shared" si="18"/>
        <v>0.45</v>
      </c>
      <c r="AG318" s="690"/>
      <c r="AH318" s="690"/>
      <c r="AI318" s="690"/>
      <c r="AJ318" s="690">
        <f t="shared" si="19"/>
        <v>2.81</v>
      </c>
      <c r="AK318" s="690"/>
      <c r="AL318" s="690"/>
      <c r="AM318" s="690"/>
    </row>
    <row r="319" spans="1:39" ht="15.95" customHeight="1">
      <c r="A319" s="65">
        <f t="shared" si="20"/>
        <v>27</v>
      </c>
      <c r="B319" s="699" t="s">
        <v>105</v>
      </c>
      <c r="C319" s="700"/>
      <c r="D319" s="700"/>
      <c r="E319" s="700"/>
      <c r="F319" s="700"/>
      <c r="G319" s="700"/>
      <c r="H319" s="700"/>
      <c r="I319" s="700"/>
      <c r="J319" s="700"/>
      <c r="K319" s="701"/>
      <c r="L319" s="702">
        <f t="shared" si="26"/>
        <v>45748</v>
      </c>
      <c r="M319" s="702"/>
      <c r="N319" s="702"/>
      <c r="O319" s="702">
        <f t="shared" si="25"/>
        <v>45777</v>
      </c>
      <c r="P319" s="702"/>
      <c r="Q319" s="702"/>
      <c r="R319" s="690" cm="1">
        <f t="array" ref="R319">INDEX(verificare!$AT$4:$CC$26,VLOOKUP($AA$16,verificare!$AR$4:$AS$26,2,FALSE),A319)</f>
        <v>716</v>
      </c>
      <c r="S319" s="690"/>
      <c r="T319" s="690"/>
      <c r="U319" s="690"/>
      <c r="V319" s="658" t="s">
        <v>446</v>
      </c>
      <c r="W319" s="658"/>
      <c r="X319" s="691">
        <f>HLOOKUP(VLOOKUP($AA$16,'Date SPV'!$B:$F,5,FALSE),'Preturi si tarife'!$C$2:$J$39,A319+2,FALSE)</f>
        <v>3.5000000000000001E-3</v>
      </c>
      <c r="Y319" s="692"/>
      <c r="Z319" s="692"/>
      <c r="AA319" s="693"/>
      <c r="AB319" s="690">
        <f t="shared" si="17"/>
        <v>2.5099999999999998</v>
      </c>
      <c r="AC319" s="690"/>
      <c r="AD319" s="690"/>
      <c r="AE319" s="690"/>
      <c r="AF319" s="690">
        <f t="shared" si="18"/>
        <v>0.48</v>
      </c>
      <c r="AG319" s="690"/>
      <c r="AH319" s="690"/>
      <c r="AI319" s="690"/>
      <c r="AJ319" s="690">
        <f t="shared" si="19"/>
        <v>2.9899999999999998</v>
      </c>
      <c r="AK319" s="690"/>
      <c r="AL319" s="690"/>
      <c r="AM319" s="690"/>
    </row>
    <row r="320" spans="1:39" ht="15.95" customHeight="1">
      <c r="A320" s="65">
        <f t="shared" si="20"/>
        <v>28</v>
      </c>
      <c r="B320" s="699" t="s">
        <v>106</v>
      </c>
      <c r="C320" s="700"/>
      <c r="D320" s="700"/>
      <c r="E320" s="700"/>
      <c r="F320" s="700"/>
      <c r="G320" s="700"/>
      <c r="H320" s="700"/>
      <c r="I320" s="700"/>
      <c r="J320" s="700"/>
      <c r="K320" s="701"/>
      <c r="L320" s="702">
        <f t="shared" si="26"/>
        <v>45748</v>
      </c>
      <c r="M320" s="702"/>
      <c r="N320" s="702"/>
      <c r="O320" s="702">
        <f t="shared" si="25"/>
        <v>45777</v>
      </c>
      <c r="P320" s="702"/>
      <c r="Q320" s="702"/>
      <c r="R320" s="690" cm="1">
        <f t="array" ref="R320">INDEX(verificare!$AT$4:$CC$26,VLOOKUP($AA$16,verificare!$AR$4:$AS$26,2,FALSE),A320)</f>
        <v>716</v>
      </c>
      <c r="S320" s="690"/>
      <c r="T320" s="690"/>
      <c r="U320" s="690"/>
      <c r="V320" s="658" t="s">
        <v>446</v>
      </c>
      <c r="W320" s="658"/>
      <c r="X320" s="691">
        <f>HLOOKUP(VLOOKUP($AA$16,'Date SPV'!$B:$F,5,FALSE),'Preturi si tarife'!$C$2:$J$39,A320+2,FALSE)</f>
        <v>7.2541599999999998E-2</v>
      </c>
      <c r="Y320" s="692"/>
      <c r="Z320" s="692"/>
      <c r="AA320" s="693"/>
      <c r="AB320" s="690">
        <f t="shared" si="17"/>
        <v>51.94</v>
      </c>
      <c r="AC320" s="690"/>
      <c r="AD320" s="690"/>
      <c r="AE320" s="690"/>
      <c r="AF320" s="690">
        <f t="shared" si="18"/>
        <v>9.8699999999999992</v>
      </c>
      <c r="AG320" s="690"/>
      <c r="AH320" s="690"/>
      <c r="AI320" s="690"/>
      <c r="AJ320" s="690">
        <f t="shared" si="19"/>
        <v>61.809999999999995</v>
      </c>
      <c r="AK320" s="690"/>
      <c r="AL320" s="690"/>
      <c r="AM320" s="690"/>
    </row>
    <row r="321" spans="1:39" ht="30.95" customHeight="1">
      <c r="A321" s="65">
        <f t="shared" si="20"/>
        <v>29</v>
      </c>
      <c r="B321" s="699" t="s">
        <v>1316</v>
      </c>
      <c r="C321" s="700"/>
      <c r="D321" s="700"/>
      <c r="E321" s="700"/>
      <c r="F321" s="700"/>
      <c r="G321" s="700"/>
      <c r="H321" s="700"/>
      <c r="I321" s="700"/>
      <c r="J321" s="700"/>
      <c r="K321" s="701"/>
      <c r="L321" s="702">
        <f t="shared" si="26"/>
        <v>45748</v>
      </c>
      <c r="M321" s="702"/>
      <c r="N321" s="702"/>
      <c r="O321" s="702">
        <f t="shared" si="25"/>
        <v>45777</v>
      </c>
      <c r="P321" s="702"/>
      <c r="Q321" s="702"/>
      <c r="R321" s="690" cm="1">
        <f t="array" ref="R321">INDEX(verificare!$AT$4:$CC$26,VLOOKUP($AA$16,verificare!$AR$4:$AS$26,2,FALSE),A321)</f>
        <v>716</v>
      </c>
      <c r="S321" s="690"/>
      <c r="T321" s="690"/>
      <c r="U321" s="690"/>
      <c r="V321" s="658" t="s">
        <v>446</v>
      </c>
      <c r="W321" s="658"/>
      <c r="X321" s="691">
        <f>HLOOKUP(VLOOKUP($AA$16,'Date SPV'!$B:$F,5,FALSE),'Preturi si tarife'!$C$2:$J$39,A321+2,FALSE)</f>
        <v>2.0599999999999999E-4</v>
      </c>
      <c r="Y321" s="692"/>
      <c r="Z321" s="692"/>
      <c r="AA321" s="693"/>
      <c r="AB321" s="690">
        <f t="shared" si="17"/>
        <v>0.15</v>
      </c>
      <c r="AC321" s="690"/>
      <c r="AD321" s="690"/>
      <c r="AE321" s="690"/>
      <c r="AF321" s="690">
        <f t="shared" si="18"/>
        <v>0.03</v>
      </c>
      <c r="AG321" s="690"/>
      <c r="AH321" s="690"/>
      <c r="AI321" s="690"/>
      <c r="AJ321" s="690">
        <f t="shared" si="19"/>
        <v>0.18</v>
      </c>
      <c r="AK321" s="690"/>
      <c r="AL321" s="690"/>
      <c r="AM321" s="690"/>
    </row>
    <row r="322" spans="1:39" ht="30.95" customHeight="1">
      <c r="A322" s="65">
        <f t="shared" si="20"/>
        <v>30</v>
      </c>
      <c r="B322" s="699" t="s">
        <v>107</v>
      </c>
      <c r="C322" s="700"/>
      <c r="D322" s="700"/>
      <c r="E322" s="700"/>
      <c r="F322" s="700"/>
      <c r="G322" s="700"/>
      <c r="H322" s="700"/>
      <c r="I322" s="700"/>
      <c r="J322" s="700"/>
      <c r="K322" s="701"/>
      <c r="L322" s="702">
        <f>L320</f>
        <v>45748</v>
      </c>
      <c r="M322" s="702"/>
      <c r="N322" s="702"/>
      <c r="O322" s="702">
        <f>O320</f>
        <v>45777</v>
      </c>
      <c r="P322" s="702"/>
      <c r="Q322" s="702"/>
      <c r="R322" s="690" cm="1">
        <f t="array" ref="R322">INDEX(verificare!$AT$4:$CC$26,VLOOKUP($AA$16,verificare!$AR$4:$AS$26,2,FALSE),A322)</f>
        <v>716</v>
      </c>
      <c r="S322" s="690"/>
      <c r="T322" s="690"/>
      <c r="U322" s="690"/>
      <c r="V322" s="658" t="s">
        <v>446</v>
      </c>
      <c r="W322" s="658"/>
      <c r="X322" s="691">
        <f>HLOOKUP(VLOOKUP($AA$16,'Date SPV'!$B:$F,5,FALSE),'Preturi si tarife'!$C$2:$J$39,A322+2,FALSE)</f>
        <v>0</v>
      </c>
      <c r="Y322" s="692"/>
      <c r="Z322" s="692"/>
      <c r="AA322" s="693"/>
      <c r="AB322" s="690">
        <f t="shared" si="17"/>
        <v>0</v>
      </c>
      <c r="AC322" s="690"/>
      <c r="AD322" s="690"/>
      <c r="AE322" s="690"/>
      <c r="AF322" s="690">
        <f t="shared" si="18"/>
        <v>0</v>
      </c>
      <c r="AG322" s="690"/>
      <c r="AH322" s="690"/>
      <c r="AI322" s="690"/>
      <c r="AJ322" s="690">
        <f t="shared" si="19"/>
        <v>0</v>
      </c>
      <c r="AK322" s="690"/>
      <c r="AL322" s="690"/>
      <c r="AM322" s="690"/>
    </row>
    <row r="323" spans="1:39" ht="15.95" customHeight="1">
      <c r="A323" s="65">
        <f t="shared" si="20"/>
        <v>31</v>
      </c>
      <c r="B323" s="699" t="s">
        <v>108</v>
      </c>
      <c r="C323" s="700"/>
      <c r="D323" s="700"/>
      <c r="E323" s="700"/>
      <c r="F323" s="700"/>
      <c r="G323" s="700"/>
      <c r="H323" s="700"/>
      <c r="I323" s="700"/>
      <c r="J323" s="700"/>
      <c r="K323" s="701"/>
      <c r="L323" s="702">
        <f t="shared" ref="L323:L328" si="27">L322</f>
        <v>45748</v>
      </c>
      <c r="M323" s="702"/>
      <c r="N323" s="702"/>
      <c r="O323" s="702">
        <f t="shared" ref="O323:O328" si="28">O322</f>
        <v>45777</v>
      </c>
      <c r="P323" s="702"/>
      <c r="Q323" s="702"/>
      <c r="R323" s="690" cm="1">
        <f t="array" ref="R323">INDEX(verificare!$AT$4:$CC$26,VLOOKUP($AA$16,verificare!$AR$4:$AS$26,2,FALSE),A323)</f>
        <v>0</v>
      </c>
      <c r="S323" s="690"/>
      <c r="T323" s="690"/>
      <c r="U323" s="690"/>
      <c r="V323" s="658" t="s">
        <v>446</v>
      </c>
      <c r="W323" s="658"/>
      <c r="X323" s="691">
        <f>HLOOKUP(VLOOKUP($AA$16,'Date SPV'!$B:$F,5,FALSE),'Preturi si tarife'!$C$2:$J$39,A323+2,FALSE)</f>
        <v>1.49E-2</v>
      </c>
      <c r="Y323" s="692"/>
      <c r="Z323" s="692"/>
      <c r="AA323" s="693"/>
      <c r="AB323" s="690">
        <f t="shared" si="17"/>
        <v>0</v>
      </c>
      <c r="AC323" s="690"/>
      <c r="AD323" s="690"/>
      <c r="AE323" s="690"/>
      <c r="AF323" s="690">
        <f t="shared" si="18"/>
        <v>0</v>
      </c>
      <c r="AG323" s="690"/>
      <c r="AH323" s="690"/>
      <c r="AI323" s="690"/>
      <c r="AJ323" s="690">
        <f t="shared" si="19"/>
        <v>0</v>
      </c>
      <c r="AK323" s="690"/>
      <c r="AL323" s="690"/>
      <c r="AM323" s="690"/>
    </row>
    <row r="324" spans="1:39" ht="15.95" customHeight="1">
      <c r="A324" s="65">
        <f t="shared" si="20"/>
        <v>32</v>
      </c>
      <c r="B324" s="699" t="s">
        <v>109</v>
      </c>
      <c r="C324" s="700"/>
      <c r="D324" s="700"/>
      <c r="E324" s="700"/>
      <c r="F324" s="700"/>
      <c r="G324" s="700"/>
      <c r="H324" s="700"/>
      <c r="I324" s="700"/>
      <c r="J324" s="700"/>
      <c r="K324" s="701"/>
      <c r="L324" s="702">
        <f t="shared" si="27"/>
        <v>45748</v>
      </c>
      <c r="M324" s="702"/>
      <c r="N324" s="702"/>
      <c r="O324" s="702">
        <f t="shared" si="28"/>
        <v>45777</v>
      </c>
      <c r="P324" s="702"/>
      <c r="Q324" s="702"/>
      <c r="R324" s="690" cm="1">
        <f t="array" ref="R324">INDEX(verificare!$AT$4:$CC$26,VLOOKUP($AA$16,verificare!$AR$4:$AS$26,2,FALSE),A324)</f>
        <v>0</v>
      </c>
      <c r="S324" s="690"/>
      <c r="T324" s="690"/>
      <c r="U324" s="690"/>
      <c r="V324" s="724" t="s">
        <v>446</v>
      </c>
      <c r="W324" s="725"/>
      <c r="X324" s="691">
        <f>HLOOKUP(VLOOKUP($AA$16,'Date SPV'!$B:$F,5,FALSE),'Preturi si tarife'!$C$2:$J$39,A324+2,FALSE)</f>
        <v>0.1192</v>
      </c>
      <c r="Y324" s="692"/>
      <c r="Z324" s="692"/>
      <c r="AA324" s="693"/>
      <c r="AB324" s="690">
        <f t="shared" si="17"/>
        <v>0</v>
      </c>
      <c r="AC324" s="690"/>
      <c r="AD324" s="690"/>
      <c r="AE324" s="690"/>
      <c r="AF324" s="690">
        <f t="shared" si="18"/>
        <v>0</v>
      </c>
      <c r="AG324" s="690"/>
      <c r="AH324" s="690"/>
      <c r="AI324" s="690"/>
      <c r="AJ324" s="690">
        <f t="shared" si="19"/>
        <v>0</v>
      </c>
      <c r="AK324" s="690"/>
      <c r="AL324" s="690"/>
      <c r="AM324" s="690"/>
    </row>
    <row r="325" spans="1:39" ht="30.95" customHeight="1">
      <c r="A325" s="65">
        <f t="shared" si="20"/>
        <v>33</v>
      </c>
      <c r="B325" s="699" t="s">
        <v>110</v>
      </c>
      <c r="C325" s="700"/>
      <c r="D325" s="700"/>
      <c r="E325" s="700"/>
      <c r="F325" s="700"/>
      <c r="G325" s="700"/>
      <c r="H325" s="700"/>
      <c r="I325" s="700"/>
      <c r="J325" s="700"/>
      <c r="K325" s="701"/>
      <c r="L325" s="702">
        <f t="shared" si="27"/>
        <v>45748</v>
      </c>
      <c r="M325" s="702"/>
      <c r="N325" s="702"/>
      <c r="O325" s="702">
        <f t="shared" si="28"/>
        <v>45777</v>
      </c>
      <c r="P325" s="702"/>
      <c r="Q325" s="702"/>
      <c r="R325" s="690" cm="1">
        <f t="array" ref="R325">INDEX(verificare!$AT$4:$CC$26,VLOOKUP($AA$16,verificare!$AR$4:$AS$26,2,FALSE),A325)</f>
        <v>0</v>
      </c>
      <c r="S325" s="690"/>
      <c r="T325" s="690"/>
      <c r="U325" s="690"/>
      <c r="V325" s="658" t="s">
        <v>446</v>
      </c>
      <c r="W325" s="658"/>
      <c r="X325" s="691">
        <f>HLOOKUP(VLOOKUP($AA$16,'Date SPV'!$B:$F,5,FALSE),'Preturi si tarife'!$C$2:$J$39,A325+2,FALSE)</f>
        <v>0.96800760000000008</v>
      </c>
      <c r="Y325" s="692"/>
      <c r="Z325" s="692"/>
      <c r="AA325" s="693"/>
      <c r="AB325" s="690">
        <f t="shared" si="17"/>
        <v>0</v>
      </c>
      <c r="AC325" s="690"/>
      <c r="AD325" s="690"/>
      <c r="AE325" s="690"/>
      <c r="AF325" s="690">
        <f t="shared" si="18"/>
        <v>0</v>
      </c>
      <c r="AG325" s="690"/>
      <c r="AH325" s="690"/>
      <c r="AI325" s="690"/>
      <c r="AJ325" s="690">
        <f t="shared" si="19"/>
        <v>0</v>
      </c>
      <c r="AK325" s="690"/>
      <c r="AL325" s="690"/>
      <c r="AM325" s="690"/>
    </row>
    <row r="326" spans="1:39" ht="30.95" customHeight="1">
      <c r="A326" s="65">
        <f t="shared" si="20"/>
        <v>34</v>
      </c>
      <c r="B326" s="699" t="s">
        <v>111</v>
      </c>
      <c r="C326" s="700"/>
      <c r="D326" s="700"/>
      <c r="E326" s="700"/>
      <c r="F326" s="700"/>
      <c r="G326" s="700"/>
      <c r="H326" s="700"/>
      <c r="I326" s="700"/>
      <c r="J326" s="700"/>
      <c r="K326" s="701"/>
      <c r="L326" s="702">
        <f t="shared" si="27"/>
        <v>45748</v>
      </c>
      <c r="M326" s="702"/>
      <c r="N326" s="702"/>
      <c r="O326" s="702">
        <f t="shared" si="28"/>
        <v>45777</v>
      </c>
      <c r="P326" s="702"/>
      <c r="Q326" s="702"/>
      <c r="R326" s="690" cm="1">
        <f t="array" ref="R326">INDEX(verificare!$AT$4:$CC$26,VLOOKUP($AA$16,verificare!$AR$4:$AS$26,2,FALSE),A326)</f>
        <v>0</v>
      </c>
      <c r="S326" s="690"/>
      <c r="T326" s="690"/>
      <c r="U326" s="690"/>
      <c r="V326" s="658" t="s">
        <v>446</v>
      </c>
      <c r="W326" s="658"/>
      <c r="X326" s="691">
        <f>HLOOKUP(VLOOKUP($AA$16,'Date SPV'!$B:$F,5,FALSE),'Preturi si tarife'!$C$2:$J$39,A326+2,FALSE)</f>
        <v>0.83390760000000008</v>
      </c>
      <c r="Y326" s="692"/>
      <c r="Z326" s="692"/>
      <c r="AA326" s="693"/>
      <c r="AB326" s="690">
        <f t="shared" si="17"/>
        <v>0</v>
      </c>
      <c r="AC326" s="690"/>
      <c r="AD326" s="690"/>
      <c r="AE326" s="690"/>
      <c r="AF326" s="690">
        <f t="shared" si="18"/>
        <v>0</v>
      </c>
      <c r="AG326" s="690"/>
      <c r="AH326" s="690"/>
      <c r="AI326" s="690"/>
      <c r="AJ326" s="690">
        <f t="shared" si="19"/>
        <v>0</v>
      </c>
      <c r="AK326" s="690"/>
      <c r="AL326" s="690"/>
      <c r="AM326" s="690"/>
    </row>
    <row r="327" spans="1:39" ht="15.95" customHeight="1">
      <c r="A327" s="65">
        <f t="shared" si="20"/>
        <v>35</v>
      </c>
      <c r="B327" s="699" t="s">
        <v>112</v>
      </c>
      <c r="C327" s="700"/>
      <c r="D327" s="700"/>
      <c r="E327" s="700"/>
      <c r="F327" s="700"/>
      <c r="G327" s="700"/>
      <c r="H327" s="700"/>
      <c r="I327" s="700"/>
      <c r="J327" s="700"/>
      <c r="K327" s="701"/>
      <c r="L327" s="702">
        <f t="shared" si="27"/>
        <v>45748</v>
      </c>
      <c r="M327" s="702"/>
      <c r="N327" s="702"/>
      <c r="O327" s="702">
        <f t="shared" si="28"/>
        <v>45777</v>
      </c>
      <c r="P327" s="702"/>
      <c r="Q327" s="702"/>
      <c r="R327" s="690" cm="1">
        <f t="array" ref="R327">INDEX(verificare!$AT$4:$CC$26,VLOOKUP($AA$16,verificare!$AR$4:$AS$26,2,FALSE),A327)</f>
        <v>0</v>
      </c>
      <c r="S327" s="690"/>
      <c r="T327" s="690"/>
      <c r="U327" s="690"/>
      <c r="V327" s="724" t="s">
        <v>446</v>
      </c>
      <c r="W327" s="725"/>
      <c r="X327" s="691">
        <f>HLOOKUP(VLOOKUP($AA$16,'Date SPV'!$B:$F,5,FALSE),'Preturi si tarife'!$C$2:$J$39,A327+2,FALSE)</f>
        <v>1.49E-2</v>
      </c>
      <c r="Y327" s="692"/>
      <c r="Z327" s="692"/>
      <c r="AA327" s="693"/>
      <c r="AB327" s="690">
        <f t="shared" si="17"/>
        <v>0</v>
      </c>
      <c r="AC327" s="690"/>
      <c r="AD327" s="690"/>
      <c r="AE327" s="690"/>
      <c r="AF327" s="690">
        <f t="shared" si="18"/>
        <v>0</v>
      </c>
      <c r="AG327" s="690"/>
      <c r="AH327" s="690"/>
      <c r="AI327" s="690"/>
      <c r="AJ327" s="690">
        <f t="shared" si="19"/>
        <v>0</v>
      </c>
      <c r="AK327" s="690"/>
      <c r="AL327" s="690"/>
      <c r="AM327" s="690"/>
    </row>
    <row r="328" spans="1:39" ht="15.95" customHeight="1">
      <c r="A328" s="65">
        <f t="shared" si="20"/>
        <v>36</v>
      </c>
      <c r="B328" s="699" t="s">
        <v>113</v>
      </c>
      <c r="C328" s="700"/>
      <c r="D328" s="700"/>
      <c r="E328" s="700"/>
      <c r="F328" s="700"/>
      <c r="G328" s="700"/>
      <c r="H328" s="700"/>
      <c r="I328" s="700"/>
      <c r="J328" s="700"/>
      <c r="K328" s="701"/>
      <c r="L328" s="702">
        <f t="shared" si="27"/>
        <v>45748</v>
      </c>
      <c r="M328" s="702"/>
      <c r="N328" s="702"/>
      <c r="O328" s="702">
        <f t="shared" si="28"/>
        <v>45777</v>
      </c>
      <c r="P328" s="702"/>
      <c r="Q328" s="702"/>
      <c r="R328" s="690" cm="1">
        <f t="array" ref="R328">INDEX(verificare!$AT$4:$CC$26,VLOOKUP($AA$16,verificare!$AR$4:$AS$26,2,FALSE),A328)</f>
        <v>0</v>
      </c>
      <c r="S328" s="690"/>
      <c r="T328" s="690"/>
      <c r="U328" s="690"/>
      <c r="V328" s="724" t="s">
        <v>446</v>
      </c>
      <c r="W328" s="725"/>
      <c r="X328" s="691">
        <f>HLOOKUP(VLOOKUP($AA$16,'Date SPV'!$B:$F,5,FALSE),'Preturi si tarife'!$C$2:$J$39,A328+2,FALSE)</f>
        <v>0.1192</v>
      </c>
      <c r="Y328" s="692"/>
      <c r="Z328" s="692"/>
      <c r="AA328" s="693"/>
      <c r="AB328" s="690">
        <f t="shared" si="17"/>
        <v>0</v>
      </c>
      <c r="AC328" s="690"/>
      <c r="AD328" s="690"/>
      <c r="AE328" s="690"/>
      <c r="AF328" s="690">
        <f t="shared" si="18"/>
        <v>0</v>
      </c>
      <c r="AG328" s="690"/>
      <c r="AH328" s="690"/>
      <c r="AI328" s="690"/>
      <c r="AJ328" s="690">
        <f t="shared" si="19"/>
        <v>0</v>
      </c>
      <c r="AK328" s="690"/>
      <c r="AL328" s="690"/>
      <c r="AM328" s="690"/>
    </row>
    <row r="329" spans="1:39" ht="15.95" customHeight="1">
      <c r="A329" s="65">
        <f t="shared" si="20"/>
        <v>37</v>
      </c>
      <c r="B329" s="699" t="s">
        <v>728</v>
      </c>
      <c r="C329" s="700"/>
      <c r="D329" s="700"/>
      <c r="E329" s="700"/>
      <c r="F329" s="700"/>
      <c r="G329" s="700"/>
      <c r="H329" s="700"/>
      <c r="I329" s="700"/>
      <c r="J329" s="700"/>
      <c r="K329" s="701"/>
      <c r="L329" s="702" t="s">
        <v>69</v>
      </c>
      <c r="M329" s="702"/>
      <c r="N329" s="702"/>
      <c r="O329" s="702" t="s">
        <v>69</v>
      </c>
      <c r="P329" s="702"/>
      <c r="Q329" s="702"/>
      <c r="R329" s="653">
        <v>0</v>
      </c>
      <c r="S329" s="653"/>
      <c r="T329" s="653"/>
      <c r="U329" s="653"/>
      <c r="V329" s="658" t="s">
        <v>69</v>
      </c>
      <c r="W329" s="658"/>
      <c r="X329" s="659" t="s">
        <v>69</v>
      </c>
      <c r="Y329" s="659"/>
      <c r="Z329" s="659"/>
      <c r="AA329" s="659"/>
      <c r="AB329" s="653">
        <v>0</v>
      </c>
      <c r="AC329" s="653"/>
      <c r="AD329" s="653"/>
      <c r="AE329" s="653"/>
      <c r="AF329" s="653">
        <f>ROUND(AB329*19%,2)</f>
        <v>0</v>
      </c>
      <c r="AG329" s="653"/>
      <c r="AH329" s="653"/>
      <c r="AI329" s="653"/>
      <c r="AJ329" s="653">
        <f>AB329+AF329</f>
        <v>0</v>
      </c>
      <c r="AK329" s="653"/>
      <c r="AL329" s="653"/>
      <c r="AM329" s="653"/>
    </row>
    <row r="330" spans="1:39">
      <c r="A330" s="65">
        <f t="shared" si="20"/>
        <v>38</v>
      </c>
      <c r="B330" s="699" t="s">
        <v>729</v>
      </c>
      <c r="C330" s="700"/>
      <c r="D330" s="700"/>
      <c r="E330" s="700"/>
      <c r="F330" s="700"/>
      <c r="G330" s="700"/>
      <c r="H330" s="700"/>
      <c r="I330" s="700"/>
      <c r="J330" s="700"/>
      <c r="K330" s="701"/>
      <c r="L330" s="702" t="s">
        <v>69</v>
      </c>
      <c r="M330" s="702"/>
      <c r="N330" s="702"/>
      <c r="O330" s="702" t="s">
        <v>69</v>
      </c>
      <c r="P330" s="702"/>
      <c r="Q330" s="702"/>
      <c r="R330" s="653">
        <v>0</v>
      </c>
      <c r="S330" s="653"/>
      <c r="T330" s="653"/>
      <c r="U330" s="653"/>
      <c r="V330" s="658" t="s">
        <v>69</v>
      </c>
      <c r="W330" s="658"/>
      <c r="X330" s="659" t="s">
        <v>69</v>
      </c>
      <c r="Y330" s="659"/>
      <c r="Z330" s="659"/>
      <c r="AA330" s="659"/>
      <c r="AB330" s="726">
        <f>SUM(AB293:AE329)</f>
        <v>510136.44000000006</v>
      </c>
      <c r="AC330" s="726"/>
      <c r="AD330" s="726"/>
      <c r="AE330" s="726"/>
      <c r="AF330" s="726">
        <f>SUM(AF293:AI329)</f>
        <v>96925.91</v>
      </c>
      <c r="AG330" s="726"/>
      <c r="AH330" s="726"/>
      <c r="AI330" s="726"/>
      <c r="AJ330" s="726">
        <f>SUM(AJ293:AM329)</f>
        <v>607062.35000000009</v>
      </c>
      <c r="AK330" s="726"/>
      <c r="AL330" s="726"/>
      <c r="AM330" s="726"/>
    </row>
  </sheetData>
  <mergeCells count="1402">
    <mergeCell ref="A5:F5"/>
    <mergeCell ref="G5:S5"/>
    <mergeCell ref="U5:Z5"/>
    <mergeCell ref="AA5:AM5"/>
    <mergeCell ref="A6:F6"/>
    <mergeCell ref="G6:S6"/>
    <mergeCell ref="U6:Z6"/>
    <mergeCell ref="AA6:AM6"/>
    <mergeCell ref="A1:AM1"/>
    <mergeCell ref="A4:F4"/>
    <mergeCell ref="G4:S4"/>
    <mergeCell ref="U4:Z4"/>
    <mergeCell ref="AA4:AM4"/>
    <mergeCell ref="A11:F11"/>
    <mergeCell ref="G11:S11"/>
    <mergeCell ref="U11:Z11"/>
    <mergeCell ref="AA11:AM11"/>
    <mergeCell ref="U12:Z12"/>
    <mergeCell ref="AA12:AM12"/>
    <mergeCell ref="A9:S9"/>
    <mergeCell ref="U9:Z9"/>
    <mergeCell ref="AA9:AM9"/>
    <mergeCell ref="A10:F10"/>
    <mergeCell ref="G10:S10"/>
    <mergeCell ref="U10:Z10"/>
    <mergeCell ref="AA10:AM10"/>
    <mergeCell ref="A7:F7"/>
    <mergeCell ref="G7:S7"/>
    <mergeCell ref="U7:Z7"/>
    <mergeCell ref="AA7:AM7"/>
    <mergeCell ref="A8:F8"/>
    <mergeCell ref="G8:S8"/>
    <mergeCell ref="U8:Z8"/>
    <mergeCell ref="AA8:AM8"/>
    <mergeCell ref="C18:AB18"/>
    <mergeCell ref="A19:B19"/>
    <mergeCell ref="C19:AB19"/>
    <mergeCell ref="AC19:AJ19"/>
    <mergeCell ref="AK19:AM19"/>
    <mergeCell ref="A20:B20"/>
    <mergeCell ref="C20:AB20"/>
    <mergeCell ref="AC20:AJ20"/>
    <mergeCell ref="AK20:AM20"/>
    <mergeCell ref="A15:F15"/>
    <mergeCell ref="G15:L15"/>
    <mergeCell ref="N15:S15"/>
    <mergeCell ref="U15:Z15"/>
    <mergeCell ref="AA15:AM15"/>
    <mergeCell ref="A16:F16"/>
    <mergeCell ref="G16:S16"/>
    <mergeCell ref="U16:Z16"/>
    <mergeCell ref="AA16:AM16"/>
    <mergeCell ref="A25:B25"/>
    <mergeCell ref="C25:AB25"/>
    <mergeCell ref="AC25:AJ25"/>
    <mergeCell ref="AK25:AM25"/>
    <mergeCell ref="A27:AM27"/>
    <mergeCell ref="A29:G30"/>
    <mergeCell ref="H29:AM30"/>
    <mergeCell ref="A23:B23"/>
    <mergeCell ref="C23:AB23"/>
    <mergeCell ref="AC23:AJ23"/>
    <mergeCell ref="AK23:AM23"/>
    <mergeCell ref="A24:B24"/>
    <mergeCell ref="C24:AB24"/>
    <mergeCell ref="AC24:AJ24"/>
    <mergeCell ref="AK24:AM24"/>
    <mergeCell ref="A21:B21"/>
    <mergeCell ref="C21:AB21"/>
    <mergeCell ref="AC21:AJ21"/>
    <mergeCell ref="AK21:AM21"/>
    <mergeCell ref="A22:B22"/>
    <mergeCell ref="C22:AB22"/>
    <mergeCell ref="AC22:AJ22"/>
    <mergeCell ref="AK22:AM22"/>
    <mergeCell ref="A35:L35"/>
    <mergeCell ref="M35:AH35"/>
    <mergeCell ref="AI35:AM36"/>
    <mergeCell ref="A36:L36"/>
    <mergeCell ref="M36:AH36"/>
    <mergeCell ref="A37:F39"/>
    <mergeCell ref="G37:I39"/>
    <mergeCell ref="J37:L39"/>
    <mergeCell ref="M37:N39"/>
    <mergeCell ref="O37:Q39"/>
    <mergeCell ref="A31:G32"/>
    <mergeCell ref="H31:V32"/>
    <mergeCell ref="W31:Z32"/>
    <mergeCell ref="AA31:AM32"/>
    <mergeCell ref="A34:L34"/>
    <mergeCell ref="M34:AH34"/>
    <mergeCell ref="AI34:AM34"/>
    <mergeCell ref="O43:Q45"/>
    <mergeCell ref="R43:T45"/>
    <mergeCell ref="AA40:AC42"/>
    <mergeCell ref="AD40:AE42"/>
    <mergeCell ref="AF40:AH42"/>
    <mergeCell ref="AI40:AJ42"/>
    <mergeCell ref="AK40:AM42"/>
    <mergeCell ref="J41:L41"/>
    <mergeCell ref="J42:L42"/>
    <mergeCell ref="AI37:AJ39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R37:T39"/>
    <mergeCell ref="U37:W39"/>
    <mergeCell ref="X37:Z39"/>
    <mergeCell ref="AA37:AC39"/>
    <mergeCell ref="AD37:AE39"/>
    <mergeCell ref="AF37:AH39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64:AJ66"/>
    <mergeCell ref="AK64:AM66"/>
    <mergeCell ref="J65:L65"/>
    <mergeCell ref="J66:L66"/>
    <mergeCell ref="A80:G81"/>
    <mergeCell ref="H80:AM81"/>
    <mergeCell ref="R64:T66"/>
    <mergeCell ref="U64:W66"/>
    <mergeCell ref="X64:Z66"/>
    <mergeCell ref="AA64:AC66"/>
    <mergeCell ref="AD64:AE66"/>
    <mergeCell ref="AF64:AH66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A86:L86"/>
    <mergeCell ref="M86:AH86"/>
    <mergeCell ref="AI86:AM87"/>
    <mergeCell ref="A87:L87"/>
    <mergeCell ref="M87:AH87"/>
    <mergeCell ref="A88:F90"/>
    <mergeCell ref="G88:I90"/>
    <mergeCell ref="J88:L90"/>
    <mergeCell ref="M88:N90"/>
    <mergeCell ref="O88:Q90"/>
    <mergeCell ref="A82:G83"/>
    <mergeCell ref="H82:V83"/>
    <mergeCell ref="W82:Z83"/>
    <mergeCell ref="AA82:AM83"/>
    <mergeCell ref="A85:L85"/>
    <mergeCell ref="M85:AH85"/>
    <mergeCell ref="AI85:AM85"/>
    <mergeCell ref="AA91:AC93"/>
    <mergeCell ref="AD91:AE93"/>
    <mergeCell ref="AF91:AH93"/>
    <mergeCell ref="AI91:AJ93"/>
    <mergeCell ref="AK91:AM93"/>
    <mergeCell ref="J92:L92"/>
    <mergeCell ref="J93:L93"/>
    <mergeCell ref="AI88:AJ90"/>
    <mergeCell ref="AK88:AM90"/>
    <mergeCell ref="A91:F93"/>
    <mergeCell ref="G91:I93"/>
    <mergeCell ref="J91:L91"/>
    <mergeCell ref="M91:N93"/>
    <mergeCell ref="O91:Q93"/>
    <mergeCell ref="R91:T93"/>
    <mergeCell ref="U91:W93"/>
    <mergeCell ref="X91:Z93"/>
    <mergeCell ref="R88:T90"/>
    <mergeCell ref="U88:W90"/>
    <mergeCell ref="X88:Z90"/>
    <mergeCell ref="AA88:AC90"/>
    <mergeCell ref="AD88:AE90"/>
    <mergeCell ref="AF88:AH90"/>
    <mergeCell ref="AK94:AM96"/>
    <mergeCell ref="J95:L95"/>
    <mergeCell ref="J96:L96"/>
    <mergeCell ref="A97:F99"/>
    <mergeCell ref="G97:I99"/>
    <mergeCell ref="J97:L97"/>
    <mergeCell ref="M97:N99"/>
    <mergeCell ref="O97:Q99"/>
    <mergeCell ref="R97:T99"/>
    <mergeCell ref="U97:W99"/>
    <mergeCell ref="U94:W96"/>
    <mergeCell ref="X94:Z96"/>
    <mergeCell ref="AA94:AC96"/>
    <mergeCell ref="AD94:AE96"/>
    <mergeCell ref="AF94:AH96"/>
    <mergeCell ref="AI94:AJ96"/>
    <mergeCell ref="A94:F96"/>
    <mergeCell ref="G94:I96"/>
    <mergeCell ref="J94:L94"/>
    <mergeCell ref="M94:N96"/>
    <mergeCell ref="O94:Q96"/>
    <mergeCell ref="R94:T96"/>
    <mergeCell ref="AF100:AH102"/>
    <mergeCell ref="AI100:AJ102"/>
    <mergeCell ref="AK100:AM102"/>
    <mergeCell ref="J101:L101"/>
    <mergeCell ref="J102:L102"/>
    <mergeCell ref="A103:F105"/>
    <mergeCell ref="G103:I105"/>
    <mergeCell ref="J103:L103"/>
    <mergeCell ref="M103:N105"/>
    <mergeCell ref="O103:Q105"/>
    <mergeCell ref="O100:Q102"/>
    <mergeCell ref="R100:T102"/>
    <mergeCell ref="U100:W102"/>
    <mergeCell ref="X100:Z102"/>
    <mergeCell ref="AA100:AC102"/>
    <mergeCell ref="AD100:AE102"/>
    <mergeCell ref="J98:L98"/>
    <mergeCell ref="J99:L99"/>
    <mergeCell ref="A100:F102"/>
    <mergeCell ref="G100:I102"/>
    <mergeCell ref="J100:L100"/>
    <mergeCell ref="M100:N102"/>
    <mergeCell ref="X97:Z99"/>
    <mergeCell ref="AA97:AC99"/>
    <mergeCell ref="AD97:AE99"/>
    <mergeCell ref="AF97:AH99"/>
    <mergeCell ref="AI97:AJ99"/>
    <mergeCell ref="AK97:AM99"/>
    <mergeCell ref="AK106:AM108"/>
    <mergeCell ref="J107:L107"/>
    <mergeCell ref="J108:L108"/>
    <mergeCell ref="A109:F111"/>
    <mergeCell ref="G109:I111"/>
    <mergeCell ref="J109:L109"/>
    <mergeCell ref="M109:N111"/>
    <mergeCell ref="O109:Q111"/>
    <mergeCell ref="R109:T111"/>
    <mergeCell ref="U109:W111"/>
    <mergeCell ref="U106:W108"/>
    <mergeCell ref="X106:Z108"/>
    <mergeCell ref="AA106:AC108"/>
    <mergeCell ref="AD106:AE108"/>
    <mergeCell ref="AF106:AH108"/>
    <mergeCell ref="AI106:AJ108"/>
    <mergeCell ref="AI103:AJ105"/>
    <mergeCell ref="AK103:AM105"/>
    <mergeCell ref="J104:L104"/>
    <mergeCell ref="J105:L105"/>
    <mergeCell ref="A106:F108"/>
    <mergeCell ref="G106:I108"/>
    <mergeCell ref="J106:L106"/>
    <mergeCell ref="M106:N108"/>
    <mergeCell ref="O106:Q108"/>
    <mergeCell ref="R106:T108"/>
    <mergeCell ref="R103:T105"/>
    <mergeCell ref="U103:W105"/>
    <mergeCell ref="X103:Z105"/>
    <mergeCell ref="AA103:AC105"/>
    <mergeCell ref="AD103:AE105"/>
    <mergeCell ref="AF103:AH105"/>
    <mergeCell ref="AF112:AH114"/>
    <mergeCell ref="AI112:AJ114"/>
    <mergeCell ref="AK112:AM114"/>
    <mergeCell ref="J113:L113"/>
    <mergeCell ref="J114:L114"/>
    <mergeCell ref="A115:F117"/>
    <mergeCell ref="G115:I117"/>
    <mergeCell ref="J115:L115"/>
    <mergeCell ref="M115:N117"/>
    <mergeCell ref="O115:Q117"/>
    <mergeCell ref="O112:Q114"/>
    <mergeCell ref="R112:T114"/>
    <mergeCell ref="U112:W114"/>
    <mergeCell ref="X112:Z114"/>
    <mergeCell ref="AA112:AC114"/>
    <mergeCell ref="AD112:AE114"/>
    <mergeCell ref="J110:L110"/>
    <mergeCell ref="J111:L111"/>
    <mergeCell ref="A112:F114"/>
    <mergeCell ref="G112:I114"/>
    <mergeCell ref="J112:L112"/>
    <mergeCell ref="M112:N114"/>
    <mergeCell ref="X109:Z111"/>
    <mergeCell ref="AA109:AC111"/>
    <mergeCell ref="AD109:AE111"/>
    <mergeCell ref="AF109:AH111"/>
    <mergeCell ref="AI109:AJ111"/>
    <mergeCell ref="AK109:AM111"/>
    <mergeCell ref="A122:L122"/>
    <mergeCell ref="M122:AH122"/>
    <mergeCell ref="AI122:AM123"/>
    <mergeCell ref="A123:L123"/>
    <mergeCell ref="M123:AH123"/>
    <mergeCell ref="A124:F126"/>
    <mergeCell ref="G124:I126"/>
    <mergeCell ref="J124:L126"/>
    <mergeCell ref="M124:N126"/>
    <mergeCell ref="O124:Q126"/>
    <mergeCell ref="AI115:AJ117"/>
    <mergeCell ref="AK115:AM117"/>
    <mergeCell ref="J116:L116"/>
    <mergeCell ref="J117:L117"/>
    <mergeCell ref="AI121:AM121"/>
    <mergeCell ref="R115:T117"/>
    <mergeCell ref="U115:W117"/>
    <mergeCell ref="X115:Z117"/>
    <mergeCell ref="AA115:AC117"/>
    <mergeCell ref="AD115:AE117"/>
    <mergeCell ref="AF115:AH117"/>
    <mergeCell ref="A121:AH121"/>
    <mergeCell ref="M130:N132"/>
    <mergeCell ref="O130:Q132"/>
    <mergeCell ref="R130:T132"/>
    <mergeCell ref="AA127:AC129"/>
    <mergeCell ref="AD127:AE129"/>
    <mergeCell ref="AF127:AH129"/>
    <mergeCell ref="AI127:AJ129"/>
    <mergeCell ref="AK127:AM129"/>
    <mergeCell ref="J128:L128"/>
    <mergeCell ref="J129:L129"/>
    <mergeCell ref="AI124:AJ126"/>
    <mergeCell ref="AK124:AM126"/>
    <mergeCell ref="A127:F129"/>
    <mergeCell ref="G127:I129"/>
    <mergeCell ref="J127:L127"/>
    <mergeCell ref="M127:N129"/>
    <mergeCell ref="O127:Q129"/>
    <mergeCell ref="R127:T129"/>
    <mergeCell ref="U127:W129"/>
    <mergeCell ref="X127:Z129"/>
    <mergeCell ref="R124:T126"/>
    <mergeCell ref="U124:W126"/>
    <mergeCell ref="X124:Z126"/>
    <mergeCell ref="AA124:AC126"/>
    <mergeCell ref="AD124:AE126"/>
    <mergeCell ref="AF124:AH126"/>
    <mergeCell ref="J134:L134"/>
    <mergeCell ref="J135:L135"/>
    <mergeCell ref="A140:L140"/>
    <mergeCell ref="M140:AH140"/>
    <mergeCell ref="AI140:AM141"/>
    <mergeCell ref="A141:L141"/>
    <mergeCell ref="M141:AH141"/>
    <mergeCell ref="X133:Z135"/>
    <mergeCell ref="AA133:AC135"/>
    <mergeCell ref="AD133:AE135"/>
    <mergeCell ref="AF133:AH135"/>
    <mergeCell ref="AI133:AJ135"/>
    <mergeCell ref="AK133:AM135"/>
    <mergeCell ref="AK130:AM132"/>
    <mergeCell ref="J131:L131"/>
    <mergeCell ref="J132:L132"/>
    <mergeCell ref="A133:F135"/>
    <mergeCell ref="G133:I135"/>
    <mergeCell ref="J133:L133"/>
    <mergeCell ref="M133:N135"/>
    <mergeCell ref="O133:Q135"/>
    <mergeCell ref="R133:T135"/>
    <mergeCell ref="U133:W135"/>
    <mergeCell ref="U130:W132"/>
    <mergeCell ref="X130:Z132"/>
    <mergeCell ref="AA130:AC132"/>
    <mergeCell ref="AD130:AE132"/>
    <mergeCell ref="AF130:AH132"/>
    <mergeCell ref="AI130:AJ132"/>
    <mergeCell ref="A130:F132"/>
    <mergeCell ref="G130:I132"/>
    <mergeCell ref="J130:L130"/>
    <mergeCell ref="AD145:AE147"/>
    <mergeCell ref="AF145:AH147"/>
    <mergeCell ref="AI145:AJ147"/>
    <mergeCell ref="AK145:AM147"/>
    <mergeCell ref="J146:L146"/>
    <mergeCell ref="J147:L147"/>
    <mergeCell ref="AK142:AM144"/>
    <mergeCell ref="A145:F147"/>
    <mergeCell ref="G145:I147"/>
    <mergeCell ref="J145:L145"/>
    <mergeCell ref="M145:N147"/>
    <mergeCell ref="O145:Q147"/>
    <mergeCell ref="R145:T147"/>
    <mergeCell ref="U145:W147"/>
    <mergeCell ref="X145:Z147"/>
    <mergeCell ref="AA145:AC147"/>
    <mergeCell ref="U142:W144"/>
    <mergeCell ref="X142:Z144"/>
    <mergeCell ref="AA142:AC144"/>
    <mergeCell ref="AD142:AE144"/>
    <mergeCell ref="AF142:AH144"/>
    <mergeCell ref="AI142:AJ144"/>
    <mergeCell ref="A142:F144"/>
    <mergeCell ref="G142:I144"/>
    <mergeCell ref="J142:L144"/>
    <mergeCell ref="M142:N144"/>
    <mergeCell ref="O142:Q144"/>
    <mergeCell ref="R142:T144"/>
    <mergeCell ref="AK148:AM150"/>
    <mergeCell ref="J149:L149"/>
    <mergeCell ref="J150:L150"/>
    <mergeCell ref="A151:F153"/>
    <mergeCell ref="G151:I153"/>
    <mergeCell ref="J151:L151"/>
    <mergeCell ref="M151:N153"/>
    <mergeCell ref="O151:Q153"/>
    <mergeCell ref="R151:T153"/>
    <mergeCell ref="U151:W153"/>
    <mergeCell ref="U148:W150"/>
    <mergeCell ref="X148:Z150"/>
    <mergeCell ref="AA148:AC150"/>
    <mergeCell ref="AD148:AE150"/>
    <mergeCell ref="AF148:AH150"/>
    <mergeCell ref="AI148:AJ150"/>
    <mergeCell ref="A148:F150"/>
    <mergeCell ref="G148:I150"/>
    <mergeCell ref="J148:L148"/>
    <mergeCell ref="M148:N150"/>
    <mergeCell ref="O148:Q150"/>
    <mergeCell ref="R148:T150"/>
    <mergeCell ref="AF154:AH156"/>
    <mergeCell ref="AI154:AJ156"/>
    <mergeCell ref="AK154:AM156"/>
    <mergeCell ref="J155:L155"/>
    <mergeCell ref="J156:L156"/>
    <mergeCell ref="A157:F159"/>
    <mergeCell ref="G157:I159"/>
    <mergeCell ref="J157:L157"/>
    <mergeCell ref="M157:N159"/>
    <mergeCell ref="O157:Q159"/>
    <mergeCell ref="O154:Q156"/>
    <mergeCell ref="R154:T156"/>
    <mergeCell ref="U154:W156"/>
    <mergeCell ref="X154:Z156"/>
    <mergeCell ref="AA154:AC156"/>
    <mergeCell ref="AD154:AE156"/>
    <mergeCell ref="J152:L152"/>
    <mergeCell ref="J153:L153"/>
    <mergeCell ref="A154:F156"/>
    <mergeCell ref="G154:I156"/>
    <mergeCell ref="J154:L154"/>
    <mergeCell ref="M154:N156"/>
    <mergeCell ref="X151:Z153"/>
    <mergeCell ref="AA151:AC153"/>
    <mergeCell ref="AD151:AE153"/>
    <mergeCell ref="AF151:AH153"/>
    <mergeCell ref="AI151:AJ153"/>
    <mergeCell ref="AK151:AM153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R163:T165"/>
    <mergeCell ref="U163:W165"/>
    <mergeCell ref="U160:W162"/>
    <mergeCell ref="X160:Z162"/>
    <mergeCell ref="AA160:AC162"/>
    <mergeCell ref="AD160:AE162"/>
    <mergeCell ref="AF160:AH162"/>
    <mergeCell ref="AI160:AJ162"/>
    <mergeCell ref="AI157:AJ159"/>
    <mergeCell ref="AK157:AM159"/>
    <mergeCell ref="J158:L158"/>
    <mergeCell ref="J159:L159"/>
    <mergeCell ref="A160:F162"/>
    <mergeCell ref="G160:I162"/>
    <mergeCell ref="J160:L160"/>
    <mergeCell ref="M160:N162"/>
    <mergeCell ref="O160:Q162"/>
    <mergeCell ref="R160:T162"/>
    <mergeCell ref="R157:T159"/>
    <mergeCell ref="U157:W159"/>
    <mergeCell ref="X157:Z159"/>
    <mergeCell ref="AA157:AC159"/>
    <mergeCell ref="AD157:AE159"/>
    <mergeCell ref="AF157:AH159"/>
    <mergeCell ref="AF166:AH168"/>
    <mergeCell ref="AI166:AJ168"/>
    <mergeCell ref="AK166:AM168"/>
    <mergeCell ref="J167:L167"/>
    <mergeCell ref="J168:L168"/>
    <mergeCell ref="A169:F171"/>
    <mergeCell ref="G169:I171"/>
    <mergeCell ref="J169:L169"/>
    <mergeCell ref="M169:N171"/>
    <mergeCell ref="O169:Q171"/>
    <mergeCell ref="O166:Q168"/>
    <mergeCell ref="R166:T168"/>
    <mergeCell ref="U166:W168"/>
    <mergeCell ref="X166:Z168"/>
    <mergeCell ref="AA166:AC168"/>
    <mergeCell ref="AD166:AE168"/>
    <mergeCell ref="J164:L164"/>
    <mergeCell ref="J165:L165"/>
    <mergeCell ref="A166:F168"/>
    <mergeCell ref="G166:I168"/>
    <mergeCell ref="J166:L166"/>
    <mergeCell ref="M166:N168"/>
    <mergeCell ref="X163:Z165"/>
    <mergeCell ref="AA163:AC165"/>
    <mergeCell ref="AD163:AE165"/>
    <mergeCell ref="AF163:AH165"/>
    <mergeCell ref="AI163:AJ165"/>
    <mergeCell ref="AK163:AM165"/>
    <mergeCell ref="A175:L175"/>
    <mergeCell ref="M175:AH175"/>
    <mergeCell ref="AI175:AM176"/>
    <mergeCell ref="A176:L176"/>
    <mergeCell ref="M176:AH176"/>
    <mergeCell ref="A177:F179"/>
    <mergeCell ref="G177:I179"/>
    <mergeCell ref="J177:L179"/>
    <mergeCell ref="M177:N179"/>
    <mergeCell ref="O177:Q179"/>
    <mergeCell ref="AI169:AJ171"/>
    <mergeCell ref="AK169:AM171"/>
    <mergeCell ref="J170:L170"/>
    <mergeCell ref="J171:L171"/>
    <mergeCell ref="AI174:AM174"/>
    <mergeCell ref="R169:T171"/>
    <mergeCell ref="U169:W171"/>
    <mergeCell ref="X169:Z171"/>
    <mergeCell ref="AA169:AC171"/>
    <mergeCell ref="AD169:AE171"/>
    <mergeCell ref="AF169:AH171"/>
    <mergeCell ref="AA180:AC182"/>
    <mergeCell ref="AD180:AE182"/>
    <mergeCell ref="AF180:AH182"/>
    <mergeCell ref="AI180:AJ182"/>
    <mergeCell ref="AK180:AM182"/>
    <mergeCell ref="J181:L181"/>
    <mergeCell ref="J182:L182"/>
    <mergeCell ref="AI177:AJ179"/>
    <mergeCell ref="AK177:AM179"/>
    <mergeCell ref="A180:F182"/>
    <mergeCell ref="G180:I182"/>
    <mergeCell ref="J180:L180"/>
    <mergeCell ref="M180:N182"/>
    <mergeCell ref="O180:Q182"/>
    <mergeCell ref="R180:T182"/>
    <mergeCell ref="U180:W182"/>
    <mergeCell ref="X180:Z182"/>
    <mergeCell ref="R177:T179"/>
    <mergeCell ref="U177:W179"/>
    <mergeCell ref="X177:Z179"/>
    <mergeCell ref="AA177:AC179"/>
    <mergeCell ref="AD177:AE179"/>
    <mergeCell ref="AF177:AH179"/>
    <mergeCell ref="AK183:AM185"/>
    <mergeCell ref="J184:L184"/>
    <mergeCell ref="J185:L185"/>
    <mergeCell ref="A186:F188"/>
    <mergeCell ref="G186:I188"/>
    <mergeCell ref="J186:L186"/>
    <mergeCell ref="M186:N188"/>
    <mergeCell ref="O186:Q188"/>
    <mergeCell ref="R186:T188"/>
    <mergeCell ref="U186:W188"/>
    <mergeCell ref="U183:W185"/>
    <mergeCell ref="X183:Z185"/>
    <mergeCell ref="AA183:AC185"/>
    <mergeCell ref="AD183:AE185"/>
    <mergeCell ref="AF183:AH185"/>
    <mergeCell ref="AI183:AJ185"/>
    <mergeCell ref="A183:F185"/>
    <mergeCell ref="G183:I185"/>
    <mergeCell ref="J183:L183"/>
    <mergeCell ref="M183:N185"/>
    <mergeCell ref="O183:Q185"/>
    <mergeCell ref="R183:T185"/>
    <mergeCell ref="A194:L194"/>
    <mergeCell ref="M194:AH194"/>
    <mergeCell ref="AI194:AM194"/>
    <mergeCell ref="A195:L195"/>
    <mergeCell ref="M195:AH195"/>
    <mergeCell ref="AI195:AM196"/>
    <mergeCell ref="A196:L196"/>
    <mergeCell ref="M196:AH196"/>
    <mergeCell ref="J187:L187"/>
    <mergeCell ref="J188:L188"/>
    <mergeCell ref="A190:G191"/>
    <mergeCell ref="H190:AM191"/>
    <mergeCell ref="A192:G193"/>
    <mergeCell ref="H192:V193"/>
    <mergeCell ref="W192:Z193"/>
    <mergeCell ref="AA192:AM193"/>
    <mergeCell ref="X186:Z188"/>
    <mergeCell ref="AA186:AC188"/>
    <mergeCell ref="AD186:AE188"/>
    <mergeCell ref="AF186:AH188"/>
    <mergeCell ref="AI186:AJ188"/>
    <mergeCell ref="AK186:AM188"/>
    <mergeCell ref="O203:Q205"/>
    <mergeCell ref="R203:T205"/>
    <mergeCell ref="AD200:AE202"/>
    <mergeCell ref="AF200:AH202"/>
    <mergeCell ref="AI200:AJ202"/>
    <mergeCell ref="AK200:AM202"/>
    <mergeCell ref="J201:L201"/>
    <mergeCell ref="J202:L202"/>
    <mergeCell ref="AK197:AM199"/>
    <mergeCell ref="A200:F202"/>
    <mergeCell ref="G200:I202"/>
    <mergeCell ref="J200:L200"/>
    <mergeCell ref="M200:N202"/>
    <mergeCell ref="O200:Q202"/>
    <mergeCell ref="R200:T202"/>
    <mergeCell ref="U200:W202"/>
    <mergeCell ref="X200:Z202"/>
    <mergeCell ref="AA200:AC202"/>
    <mergeCell ref="U197:W199"/>
    <mergeCell ref="X197:Z199"/>
    <mergeCell ref="AA197:AC199"/>
    <mergeCell ref="AD197:AE199"/>
    <mergeCell ref="AF197:AH199"/>
    <mergeCell ref="AI197:AJ199"/>
    <mergeCell ref="A197:F199"/>
    <mergeCell ref="G197:I199"/>
    <mergeCell ref="J197:L199"/>
    <mergeCell ref="M197:N199"/>
    <mergeCell ref="O197:Q199"/>
    <mergeCell ref="R197:T199"/>
    <mergeCell ref="J207:L207"/>
    <mergeCell ref="J208:L208"/>
    <mergeCell ref="A209:F211"/>
    <mergeCell ref="G209:I211"/>
    <mergeCell ref="J209:L209"/>
    <mergeCell ref="M209:N211"/>
    <mergeCell ref="X206:Z208"/>
    <mergeCell ref="AA206:AC208"/>
    <mergeCell ref="AD206:AE208"/>
    <mergeCell ref="AF206:AH208"/>
    <mergeCell ref="AI206:AJ208"/>
    <mergeCell ref="AK206:AM208"/>
    <mergeCell ref="AK203:AM205"/>
    <mergeCell ref="J204:L204"/>
    <mergeCell ref="J205:L205"/>
    <mergeCell ref="A206:F208"/>
    <mergeCell ref="G206:I208"/>
    <mergeCell ref="J206:L206"/>
    <mergeCell ref="M206:N208"/>
    <mergeCell ref="O206:Q208"/>
    <mergeCell ref="R206:T208"/>
    <mergeCell ref="U206:W208"/>
    <mergeCell ref="U203:W205"/>
    <mergeCell ref="X203:Z205"/>
    <mergeCell ref="AA203:AC205"/>
    <mergeCell ref="AD203:AE205"/>
    <mergeCell ref="AF203:AH205"/>
    <mergeCell ref="AI203:AJ205"/>
    <mergeCell ref="A203:F205"/>
    <mergeCell ref="G203:I205"/>
    <mergeCell ref="J203:L203"/>
    <mergeCell ref="M203:N205"/>
    <mergeCell ref="AI212:AJ214"/>
    <mergeCell ref="AK212:AM214"/>
    <mergeCell ref="J213:L213"/>
    <mergeCell ref="J214:L214"/>
    <mergeCell ref="A215:F217"/>
    <mergeCell ref="G215:I217"/>
    <mergeCell ref="J215:L215"/>
    <mergeCell ref="M215:N217"/>
    <mergeCell ref="O215:Q217"/>
    <mergeCell ref="R215:T217"/>
    <mergeCell ref="R212:T214"/>
    <mergeCell ref="U212:W214"/>
    <mergeCell ref="X212:Z214"/>
    <mergeCell ref="AA212:AC214"/>
    <mergeCell ref="AD212:AE214"/>
    <mergeCell ref="AF212:AH214"/>
    <mergeCell ref="AF209:AH211"/>
    <mergeCell ref="AI209:AJ211"/>
    <mergeCell ref="AK209:AM211"/>
    <mergeCell ref="J210:L210"/>
    <mergeCell ref="J211:L211"/>
    <mergeCell ref="A212:F214"/>
    <mergeCell ref="G212:I214"/>
    <mergeCell ref="J212:L212"/>
    <mergeCell ref="M212:N214"/>
    <mergeCell ref="O212:Q214"/>
    <mergeCell ref="O209:Q211"/>
    <mergeCell ref="R209:T211"/>
    <mergeCell ref="U209:W211"/>
    <mergeCell ref="X209:Z211"/>
    <mergeCell ref="AA209:AC211"/>
    <mergeCell ref="AD209:AE211"/>
    <mergeCell ref="J219:L219"/>
    <mergeCell ref="J220:L220"/>
    <mergeCell ref="A221:F223"/>
    <mergeCell ref="G221:I223"/>
    <mergeCell ref="J221:L221"/>
    <mergeCell ref="M221:N223"/>
    <mergeCell ref="X218:Z220"/>
    <mergeCell ref="AA218:AC220"/>
    <mergeCell ref="AD218:AE220"/>
    <mergeCell ref="AF218:AH220"/>
    <mergeCell ref="AI218:AJ220"/>
    <mergeCell ref="AK218:AM220"/>
    <mergeCell ref="AK215:AM217"/>
    <mergeCell ref="J216:L216"/>
    <mergeCell ref="J217:L217"/>
    <mergeCell ref="A218:F220"/>
    <mergeCell ref="G218:I220"/>
    <mergeCell ref="J218:L218"/>
    <mergeCell ref="M218:N220"/>
    <mergeCell ref="O218:Q220"/>
    <mergeCell ref="R218:T220"/>
    <mergeCell ref="U218:W220"/>
    <mergeCell ref="U215:W217"/>
    <mergeCell ref="X215:Z217"/>
    <mergeCell ref="AA215:AC217"/>
    <mergeCell ref="AD215:AE217"/>
    <mergeCell ref="AF215:AH217"/>
    <mergeCell ref="AI215:AJ217"/>
    <mergeCell ref="AI224:AJ226"/>
    <mergeCell ref="AK224:AM226"/>
    <mergeCell ref="J225:L225"/>
    <mergeCell ref="J226:L226"/>
    <mergeCell ref="A237:G238"/>
    <mergeCell ref="H237:AM238"/>
    <mergeCell ref="R224:T226"/>
    <mergeCell ref="U224:W226"/>
    <mergeCell ref="X224:Z226"/>
    <mergeCell ref="AA224:AC226"/>
    <mergeCell ref="AD224:AE226"/>
    <mergeCell ref="AF224:AH226"/>
    <mergeCell ref="AF221:AH223"/>
    <mergeCell ref="AI221:AJ223"/>
    <mergeCell ref="AK221:AM223"/>
    <mergeCell ref="J222:L222"/>
    <mergeCell ref="J223:L223"/>
    <mergeCell ref="A224:F226"/>
    <mergeCell ref="G224:I226"/>
    <mergeCell ref="J224:L224"/>
    <mergeCell ref="M224:N226"/>
    <mergeCell ref="O224:Q226"/>
    <mergeCell ref="O221:Q223"/>
    <mergeCell ref="R221:T223"/>
    <mergeCell ref="U221:W223"/>
    <mergeCell ref="X221:Z223"/>
    <mergeCell ref="AA221:AC223"/>
    <mergeCell ref="AD221:AE223"/>
    <mergeCell ref="A242:L242"/>
    <mergeCell ref="M242:AH242"/>
    <mergeCell ref="AI242:AM243"/>
    <mergeCell ref="A243:L243"/>
    <mergeCell ref="M243:AH243"/>
    <mergeCell ref="A244:F246"/>
    <mergeCell ref="G244:I246"/>
    <mergeCell ref="J244:L246"/>
    <mergeCell ref="M244:N246"/>
    <mergeCell ref="O244:Q246"/>
    <mergeCell ref="A239:G240"/>
    <mergeCell ref="H239:V240"/>
    <mergeCell ref="W239:Z240"/>
    <mergeCell ref="AA239:AM240"/>
    <mergeCell ref="A241:L241"/>
    <mergeCell ref="M241:AH241"/>
    <mergeCell ref="AI241:AM241"/>
    <mergeCell ref="AA247:AC249"/>
    <mergeCell ref="AD247:AE249"/>
    <mergeCell ref="AF247:AH249"/>
    <mergeCell ref="AI247:AJ249"/>
    <mergeCell ref="AK247:AM249"/>
    <mergeCell ref="J248:L248"/>
    <mergeCell ref="J249:L249"/>
    <mergeCell ref="AI244:AJ246"/>
    <mergeCell ref="AK244:AM246"/>
    <mergeCell ref="A247:F249"/>
    <mergeCell ref="G247:I249"/>
    <mergeCell ref="J247:L247"/>
    <mergeCell ref="M247:N249"/>
    <mergeCell ref="O247:Q249"/>
    <mergeCell ref="R247:T249"/>
    <mergeCell ref="U247:W249"/>
    <mergeCell ref="X247:Z249"/>
    <mergeCell ref="R244:T246"/>
    <mergeCell ref="U244:W246"/>
    <mergeCell ref="X244:Z246"/>
    <mergeCell ref="AA244:AC246"/>
    <mergeCell ref="AD244:AE246"/>
    <mergeCell ref="AF244:AH246"/>
    <mergeCell ref="AK250:AM252"/>
    <mergeCell ref="J251:L251"/>
    <mergeCell ref="J252:L252"/>
    <mergeCell ref="A253:F255"/>
    <mergeCell ref="G253:I255"/>
    <mergeCell ref="J253:L253"/>
    <mergeCell ref="M253:N255"/>
    <mergeCell ref="O253:Q255"/>
    <mergeCell ref="R253:T255"/>
    <mergeCell ref="U253:W255"/>
    <mergeCell ref="U250:W252"/>
    <mergeCell ref="X250:Z252"/>
    <mergeCell ref="AA250:AC252"/>
    <mergeCell ref="AD250:AE252"/>
    <mergeCell ref="AF250:AH252"/>
    <mergeCell ref="AI250:AJ252"/>
    <mergeCell ref="A250:F252"/>
    <mergeCell ref="G250:I252"/>
    <mergeCell ref="J250:L250"/>
    <mergeCell ref="M250:N252"/>
    <mergeCell ref="O250:Q252"/>
    <mergeCell ref="R250:T252"/>
    <mergeCell ref="AF256:AH258"/>
    <mergeCell ref="AI256:AJ258"/>
    <mergeCell ref="AK256:AM258"/>
    <mergeCell ref="J257:L257"/>
    <mergeCell ref="J258:L258"/>
    <mergeCell ref="A259:F261"/>
    <mergeCell ref="G259:I261"/>
    <mergeCell ref="J259:L259"/>
    <mergeCell ref="M259:N261"/>
    <mergeCell ref="O259:Q261"/>
    <mergeCell ref="O256:Q258"/>
    <mergeCell ref="R256:T258"/>
    <mergeCell ref="U256:W258"/>
    <mergeCell ref="X256:Z258"/>
    <mergeCell ref="AA256:AC258"/>
    <mergeCell ref="AD256:AE258"/>
    <mergeCell ref="J254:L254"/>
    <mergeCell ref="J255:L255"/>
    <mergeCell ref="A256:F258"/>
    <mergeCell ref="G256:I258"/>
    <mergeCell ref="J256:L256"/>
    <mergeCell ref="M256:N258"/>
    <mergeCell ref="X253:Z255"/>
    <mergeCell ref="AA253:AC255"/>
    <mergeCell ref="AD253:AE255"/>
    <mergeCell ref="AF253:AH255"/>
    <mergeCell ref="AI253:AJ255"/>
    <mergeCell ref="AK253:AM255"/>
    <mergeCell ref="AK262:AM264"/>
    <mergeCell ref="J263:L263"/>
    <mergeCell ref="J264:L264"/>
    <mergeCell ref="A265:F267"/>
    <mergeCell ref="G265:I267"/>
    <mergeCell ref="J265:L265"/>
    <mergeCell ref="M265:N267"/>
    <mergeCell ref="O265:Q267"/>
    <mergeCell ref="R265:T267"/>
    <mergeCell ref="U265:W267"/>
    <mergeCell ref="U262:W264"/>
    <mergeCell ref="X262:Z264"/>
    <mergeCell ref="AA262:AC264"/>
    <mergeCell ref="AD262:AE264"/>
    <mergeCell ref="AF262:AH264"/>
    <mergeCell ref="AI262:AJ264"/>
    <mergeCell ref="AI259:AJ261"/>
    <mergeCell ref="AK259:AM261"/>
    <mergeCell ref="J260:L260"/>
    <mergeCell ref="J261:L261"/>
    <mergeCell ref="A262:F264"/>
    <mergeCell ref="G262:I264"/>
    <mergeCell ref="J262:L262"/>
    <mergeCell ref="M262:N264"/>
    <mergeCell ref="O262:Q264"/>
    <mergeCell ref="R262:T264"/>
    <mergeCell ref="R259:T261"/>
    <mergeCell ref="U259:W261"/>
    <mergeCell ref="X259:Z261"/>
    <mergeCell ref="AA259:AC261"/>
    <mergeCell ref="AD259:AE261"/>
    <mergeCell ref="AF259:AH261"/>
    <mergeCell ref="AF268:AH270"/>
    <mergeCell ref="AI268:AJ270"/>
    <mergeCell ref="AK268:AM270"/>
    <mergeCell ref="J269:L269"/>
    <mergeCell ref="J270:L270"/>
    <mergeCell ref="A271:F273"/>
    <mergeCell ref="G271:I273"/>
    <mergeCell ref="J271:L271"/>
    <mergeCell ref="M271:N273"/>
    <mergeCell ref="O271:Q273"/>
    <mergeCell ref="O268:Q270"/>
    <mergeCell ref="R268:T270"/>
    <mergeCell ref="U268:W270"/>
    <mergeCell ref="X268:Z270"/>
    <mergeCell ref="AA268:AC270"/>
    <mergeCell ref="AD268:AE270"/>
    <mergeCell ref="J266:L266"/>
    <mergeCell ref="J267:L267"/>
    <mergeCell ref="A268:F270"/>
    <mergeCell ref="G268:I270"/>
    <mergeCell ref="J268:L268"/>
    <mergeCell ref="M268:N270"/>
    <mergeCell ref="X265:Z267"/>
    <mergeCell ref="AA265:AC267"/>
    <mergeCell ref="AD265:AE267"/>
    <mergeCell ref="AF265:AH267"/>
    <mergeCell ref="AI265:AJ267"/>
    <mergeCell ref="AK265:AM267"/>
    <mergeCell ref="AF292:AI292"/>
    <mergeCell ref="AJ292:AM292"/>
    <mergeCell ref="B293:K293"/>
    <mergeCell ref="L293:N293"/>
    <mergeCell ref="O293:Q293"/>
    <mergeCell ref="R293:U293"/>
    <mergeCell ref="V293:W293"/>
    <mergeCell ref="X293:AA293"/>
    <mergeCell ref="AB293:AE293"/>
    <mergeCell ref="AF293:AI293"/>
    <mergeCell ref="AI271:AJ273"/>
    <mergeCell ref="AK271:AM273"/>
    <mergeCell ref="J272:L272"/>
    <mergeCell ref="J273:L273"/>
    <mergeCell ref="A290:AM290"/>
    <mergeCell ref="B292:K292"/>
    <mergeCell ref="R292:U292"/>
    <mergeCell ref="V292:W292"/>
    <mergeCell ref="X292:AA292"/>
    <mergeCell ref="AB292:AE292"/>
    <mergeCell ref="R271:T273"/>
    <mergeCell ref="U271:W273"/>
    <mergeCell ref="X271:Z273"/>
    <mergeCell ref="AA271:AC273"/>
    <mergeCell ref="AD271:AE273"/>
    <mergeCell ref="AF271:AH273"/>
    <mergeCell ref="A274:F276"/>
    <mergeCell ref="G274:I276"/>
    <mergeCell ref="J274:L274"/>
    <mergeCell ref="M274:N276"/>
    <mergeCell ref="O274:Q276"/>
    <mergeCell ref="R274:T276"/>
    <mergeCell ref="AB295:AE295"/>
    <mergeCell ref="AF295:AI295"/>
    <mergeCell ref="AJ295:AM295"/>
    <mergeCell ref="B296:K296"/>
    <mergeCell ref="L296:N296"/>
    <mergeCell ref="O296:Q296"/>
    <mergeCell ref="R296:U296"/>
    <mergeCell ref="V296:W296"/>
    <mergeCell ref="X296:AA296"/>
    <mergeCell ref="AB296:AE296"/>
    <mergeCell ref="B295:K295"/>
    <mergeCell ref="L295:N295"/>
    <mergeCell ref="O295:Q295"/>
    <mergeCell ref="R295:U295"/>
    <mergeCell ref="V295:W295"/>
    <mergeCell ref="X295:AA295"/>
    <mergeCell ref="AJ293:AM293"/>
    <mergeCell ref="B294:K294"/>
    <mergeCell ref="L294:N294"/>
    <mergeCell ref="O294:Q294"/>
    <mergeCell ref="R294:U294"/>
    <mergeCell ref="V294:W294"/>
    <mergeCell ref="X294:AA294"/>
    <mergeCell ref="AB294:AE294"/>
    <mergeCell ref="AF294:AI294"/>
    <mergeCell ref="AJ294:AM294"/>
    <mergeCell ref="AJ297:AM297"/>
    <mergeCell ref="B298:K298"/>
    <mergeCell ref="L298:N298"/>
    <mergeCell ref="O298:Q298"/>
    <mergeCell ref="R298:U298"/>
    <mergeCell ref="V298:W298"/>
    <mergeCell ref="X298:AA298"/>
    <mergeCell ref="AB298:AE298"/>
    <mergeCell ref="AF298:AI298"/>
    <mergeCell ref="AJ298:AM298"/>
    <mergeCell ref="AF296:AI296"/>
    <mergeCell ref="AJ296:AM296"/>
    <mergeCell ref="B297:K297"/>
    <mergeCell ref="L297:N297"/>
    <mergeCell ref="O297:Q297"/>
    <mergeCell ref="R297:U297"/>
    <mergeCell ref="V297:W297"/>
    <mergeCell ref="X297:AA297"/>
    <mergeCell ref="AB297:AE297"/>
    <mergeCell ref="AF297:AI297"/>
    <mergeCell ref="AF300:AI300"/>
    <mergeCell ref="AJ300:AM300"/>
    <mergeCell ref="B301:K301"/>
    <mergeCell ref="L301:N301"/>
    <mergeCell ref="O301:Q301"/>
    <mergeCell ref="R301:U301"/>
    <mergeCell ref="V301:W301"/>
    <mergeCell ref="X301:AA301"/>
    <mergeCell ref="AB301:AE301"/>
    <mergeCell ref="AF301:AI301"/>
    <mergeCell ref="AB299:AE299"/>
    <mergeCell ref="AF299:AI299"/>
    <mergeCell ref="AJ299:AM299"/>
    <mergeCell ref="B300:K300"/>
    <mergeCell ref="L300:N300"/>
    <mergeCell ref="O300:Q300"/>
    <mergeCell ref="R300:U300"/>
    <mergeCell ref="V300:W300"/>
    <mergeCell ref="X300:AA300"/>
    <mergeCell ref="AB300:AE300"/>
    <mergeCell ref="B299:K299"/>
    <mergeCell ref="L299:N299"/>
    <mergeCell ref="O299:Q299"/>
    <mergeCell ref="R299:U299"/>
    <mergeCell ref="V299:W299"/>
    <mergeCell ref="X299:AA299"/>
    <mergeCell ref="AB303:AE303"/>
    <mergeCell ref="AF303:AI303"/>
    <mergeCell ref="AJ303:AM303"/>
    <mergeCell ref="B304:K304"/>
    <mergeCell ref="L304:N304"/>
    <mergeCell ref="O304:Q304"/>
    <mergeCell ref="R304:U304"/>
    <mergeCell ref="V304:W304"/>
    <mergeCell ref="X304:AA304"/>
    <mergeCell ref="AB304:AE304"/>
    <mergeCell ref="B303:K303"/>
    <mergeCell ref="L303:N303"/>
    <mergeCell ref="O303:Q303"/>
    <mergeCell ref="R303:U303"/>
    <mergeCell ref="V303:W303"/>
    <mergeCell ref="X303:AA303"/>
    <mergeCell ref="AJ301:AM301"/>
    <mergeCell ref="B302:K302"/>
    <mergeCell ref="L302:N302"/>
    <mergeCell ref="O302:Q302"/>
    <mergeCell ref="R302:U302"/>
    <mergeCell ref="V302:W302"/>
    <mergeCell ref="X302:AA302"/>
    <mergeCell ref="AB302:AE302"/>
    <mergeCell ref="AF302:AI302"/>
    <mergeCell ref="AJ302:AM302"/>
    <mergeCell ref="AJ305:AM305"/>
    <mergeCell ref="B306:K306"/>
    <mergeCell ref="L306:N306"/>
    <mergeCell ref="O306:Q306"/>
    <mergeCell ref="R306:U306"/>
    <mergeCell ref="V306:W306"/>
    <mergeCell ref="X306:AA306"/>
    <mergeCell ref="AB306:AE306"/>
    <mergeCell ref="AF306:AI306"/>
    <mergeCell ref="AJ306:AM306"/>
    <mergeCell ref="AF304:AI304"/>
    <mergeCell ref="AJ304:AM304"/>
    <mergeCell ref="B305:K305"/>
    <mergeCell ref="L305:N305"/>
    <mergeCell ref="O305:Q305"/>
    <mergeCell ref="R305:U305"/>
    <mergeCell ref="V305:W305"/>
    <mergeCell ref="X305:AA305"/>
    <mergeCell ref="AB305:AE305"/>
    <mergeCell ref="AF305:AI305"/>
    <mergeCell ref="AF308:AI308"/>
    <mergeCell ref="AJ308:AM308"/>
    <mergeCell ref="B309:K309"/>
    <mergeCell ref="L309:N309"/>
    <mergeCell ref="O309:Q309"/>
    <mergeCell ref="R309:U309"/>
    <mergeCell ref="V309:W309"/>
    <mergeCell ref="X309:AA309"/>
    <mergeCell ref="AB309:AE309"/>
    <mergeCell ref="AF309:AI309"/>
    <mergeCell ref="AB307:AE307"/>
    <mergeCell ref="AF307:AI307"/>
    <mergeCell ref="AJ307:AM307"/>
    <mergeCell ref="B308:K308"/>
    <mergeCell ref="L308:N308"/>
    <mergeCell ref="O308:Q308"/>
    <mergeCell ref="R308:U308"/>
    <mergeCell ref="V308:W308"/>
    <mergeCell ref="X308:AA308"/>
    <mergeCell ref="AB308:AE308"/>
    <mergeCell ref="B307:K307"/>
    <mergeCell ref="L307:N307"/>
    <mergeCell ref="O307:Q307"/>
    <mergeCell ref="R307:U307"/>
    <mergeCell ref="V307:W307"/>
    <mergeCell ref="X307:AA307"/>
    <mergeCell ref="AB311:AE311"/>
    <mergeCell ref="AF311:AI311"/>
    <mergeCell ref="AJ311:AM311"/>
    <mergeCell ref="B312:K312"/>
    <mergeCell ref="L312:N312"/>
    <mergeCell ref="O312:Q312"/>
    <mergeCell ref="R312:U312"/>
    <mergeCell ref="V312:W312"/>
    <mergeCell ref="X312:AA312"/>
    <mergeCell ref="AB312:AE312"/>
    <mergeCell ref="B311:K311"/>
    <mergeCell ref="L311:N311"/>
    <mergeCell ref="O311:Q311"/>
    <mergeCell ref="R311:U311"/>
    <mergeCell ref="V311:W311"/>
    <mergeCell ref="X311:AA311"/>
    <mergeCell ref="AJ309:AM309"/>
    <mergeCell ref="B310:K310"/>
    <mergeCell ref="L310:N310"/>
    <mergeCell ref="O310:Q310"/>
    <mergeCell ref="R310:U310"/>
    <mergeCell ref="V310:W310"/>
    <mergeCell ref="X310:AA310"/>
    <mergeCell ref="AB310:AE310"/>
    <mergeCell ref="AF310:AI310"/>
    <mergeCell ref="AJ310:AM310"/>
    <mergeCell ref="AJ313:AM313"/>
    <mergeCell ref="B314:K314"/>
    <mergeCell ref="L314:N314"/>
    <mergeCell ref="O314:Q314"/>
    <mergeCell ref="R314:U314"/>
    <mergeCell ref="V314:W314"/>
    <mergeCell ref="X314:AA314"/>
    <mergeCell ref="AB314:AE314"/>
    <mergeCell ref="AF314:AI314"/>
    <mergeCell ref="AJ314:AM314"/>
    <mergeCell ref="AF312:AI312"/>
    <mergeCell ref="AJ312:AM312"/>
    <mergeCell ref="B313:K313"/>
    <mergeCell ref="L313:N313"/>
    <mergeCell ref="O313:Q313"/>
    <mergeCell ref="R313:U313"/>
    <mergeCell ref="V313:W313"/>
    <mergeCell ref="X313:AA313"/>
    <mergeCell ref="AB313:AE313"/>
    <mergeCell ref="AF313:AI313"/>
    <mergeCell ref="AF316:AI316"/>
    <mergeCell ref="AJ316:AM316"/>
    <mergeCell ref="B317:K317"/>
    <mergeCell ref="L317:N317"/>
    <mergeCell ref="O317:Q317"/>
    <mergeCell ref="R317:U317"/>
    <mergeCell ref="V317:W317"/>
    <mergeCell ref="X317:AA317"/>
    <mergeCell ref="AB317:AE317"/>
    <mergeCell ref="AF317:AI317"/>
    <mergeCell ref="AB315:AE315"/>
    <mergeCell ref="AF315:AI315"/>
    <mergeCell ref="AJ315:AM315"/>
    <mergeCell ref="B316:K316"/>
    <mergeCell ref="L316:N316"/>
    <mergeCell ref="O316:Q316"/>
    <mergeCell ref="R316:U316"/>
    <mergeCell ref="V316:W316"/>
    <mergeCell ref="X316:AA316"/>
    <mergeCell ref="AB316:AE316"/>
    <mergeCell ref="B315:K315"/>
    <mergeCell ref="L315:N315"/>
    <mergeCell ref="O315:Q315"/>
    <mergeCell ref="R315:U315"/>
    <mergeCell ref="V315:W315"/>
    <mergeCell ref="X315:AA315"/>
    <mergeCell ref="AB319:AE319"/>
    <mergeCell ref="AF319:AI319"/>
    <mergeCell ref="AJ319:AM319"/>
    <mergeCell ref="B320:K320"/>
    <mergeCell ref="L320:N320"/>
    <mergeCell ref="O320:Q320"/>
    <mergeCell ref="R320:U320"/>
    <mergeCell ref="V320:W320"/>
    <mergeCell ref="X320:AA320"/>
    <mergeCell ref="AB320:AE320"/>
    <mergeCell ref="B319:K319"/>
    <mergeCell ref="L319:N319"/>
    <mergeCell ref="O319:Q319"/>
    <mergeCell ref="R319:U319"/>
    <mergeCell ref="V319:W319"/>
    <mergeCell ref="X319:AA319"/>
    <mergeCell ref="AJ317:AM317"/>
    <mergeCell ref="B318:K318"/>
    <mergeCell ref="L318:N318"/>
    <mergeCell ref="O318:Q318"/>
    <mergeCell ref="R318:U318"/>
    <mergeCell ref="V318:W318"/>
    <mergeCell ref="X318:AA318"/>
    <mergeCell ref="AB318:AE318"/>
    <mergeCell ref="AF318:AI318"/>
    <mergeCell ref="AJ318:AM318"/>
    <mergeCell ref="AJ321:AM321"/>
    <mergeCell ref="B322:K322"/>
    <mergeCell ref="L322:N322"/>
    <mergeCell ref="O322:Q322"/>
    <mergeCell ref="R322:U322"/>
    <mergeCell ref="V322:W322"/>
    <mergeCell ref="X322:AA322"/>
    <mergeCell ref="AB322:AE322"/>
    <mergeCell ref="AF322:AI322"/>
    <mergeCell ref="AJ322:AM322"/>
    <mergeCell ref="AF320:AI320"/>
    <mergeCell ref="AJ320:AM320"/>
    <mergeCell ref="B321:K321"/>
    <mergeCell ref="L321:N321"/>
    <mergeCell ref="O321:Q321"/>
    <mergeCell ref="R321:U321"/>
    <mergeCell ref="V321:W321"/>
    <mergeCell ref="X321:AA321"/>
    <mergeCell ref="AB321:AE321"/>
    <mergeCell ref="AF321:AI321"/>
    <mergeCell ref="X325:AA325"/>
    <mergeCell ref="AB325:AE325"/>
    <mergeCell ref="AF325:AI325"/>
    <mergeCell ref="AB323:AE323"/>
    <mergeCell ref="AF323:AI323"/>
    <mergeCell ref="AJ323:AM323"/>
    <mergeCell ref="B324:K324"/>
    <mergeCell ref="L324:N324"/>
    <mergeCell ref="O324:Q324"/>
    <mergeCell ref="R324:U324"/>
    <mergeCell ref="V324:W324"/>
    <mergeCell ref="X324:AA324"/>
    <mergeCell ref="AB324:AE324"/>
    <mergeCell ref="B323:K323"/>
    <mergeCell ref="L323:N323"/>
    <mergeCell ref="O323:Q323"/>
    <mergeCell ref="R323:U323"/>
    <mergeCell ref="V323:W323"/>
    <mergeCell ref="X323:AA323"/>
    <mergeCell ref="A139:L139"/>
    <mergeCell ref="M139:AH139"/>
    <mergeCell ref="AI139:AM139"/>
    <mergeCell ref="A174:AH174"/>
    <mergeCell ref="AF328:AI328"/>
    <mergeCell ref="AJ328:AM328"/>
    <mergeCell ref="AB327:AE327"/>
    <mergeCell ref="AF327:AI327"/>
    <mergeCell ref="AJ327:AM327"/>
    <mergeCell ref="B328:K328"/>
    <mergeCell ref="L328:N328"/>
    <mergeCell ref="O328:Q328"/>
    <mergeCell ref="R328:U328"/>
    <mergeCell ref="V328:W328"/>
    <mergeCell ref="X328:AA328"/>
    <mergeCell ref="AB328:AE328"/>
    <mergeCell ref="B327:K327"/>
    <mergeCell ref="L327:N327"/>
    <mergeCell ref="O327:Q327"/>
    <mergeCell ref="R327:U327"/>
    <mergeCell ref="V327:W327"/>
    <mergeCell ref="X327:AA327"/>
    <mergeCell ref="AJ325:AM325"/>
    <mergeCell ref="B326:K326"/>
    <mergeCell ref="L326:N326"/>
    <mergeCell ref="O326:Q326"/>
    <mergeCell ref="R326:U326"/>
    <mergeCell ref="V326:W326"/>
    <mergeCell ref="X326:AA326"/>
    <mergeCell ref="AB326:AE326"/>
    <mergeCell ref="AF326:AI326"/>
    <mergeCell ref="AJ326:AM326"/>
    <mergeCell ref="AJ329:AM329"/>
    <mergeCell ref="U274:W276"/>
    <mergeCell ref="X274:Z276"/>
    <mergeCell ref="AA274:AC276"/>
    <mergeCell ref="AD274:AE276"/>
    <mergeCell ref="AF274:AH276"/>
    <mergeCell ref="AI274:AJ276"/>
    <mergeCell ref="AK274:AM276"/>
    <mergeCell ref="J275:L275"/>
    <mergeCell ref="J276:L276"/>
    <mergeCell ref="A277:F279"/>
    <mergeCell ref="G277:I279"/>
    <mergeCell ref="J277:L277"/>
    <mergeCell ref="M277:N279"/>
    <mergeCell ref="O277:Q279"/>
    <mergeCell ref="R277:T279"/>
    <mergeCell ref="U277:W279"/>
    <mergeCell ref="X277:Z279"/>
    <mergeCell ref="AA277:AC279"/>
    <mergeCell ref="AD277:AE279"/>
    <mergeCell ref="AF277:AH279"/>
    <mergeCell ref="AI277:AJ279"/>
    <mergeCell ref="AK277:AM279"/>
    <mergeCell ref="J278:L278"/>
    <mergeCell ref="J279:L279"/>
    <mergeCell ref="AF324:AI324"/>
    <mergeCell ref="AJ324:AM324"/>
    <mergeCell ref="B325:K325"/>
    <mergeCell ref="L325:N325"/>
    <mergeCell ref="O325:Q325"/>
    <mergeCell ref="R325:U325"/>
    <mergeCell ref="V325:W325"/>
    <mergeCell ref="B330:K330"/>
    <mergeCell ref="L330:N330"/>
    <mergeCell ref="O330:Q330"/>
    <mergeCell ref="R330:U330"/>
    <mergeCell ref="V330:W330"/>
    <mergeCell ref="X330:AA330"/>
    <mergeCell ref="AB330:AE330"/>
    <mergeCell ref="AF330:AI330"/>
    <mergeCell ref="AJ330:AM330"/>
    <mergeCell ref="A280:F282"/>
    <mergeCell ref="G280:I282"/>
    <mergeCell ref="J280:L280"/>
    <mergeCell ref="M280:N282"/>
    <mergeCell ref="O280:Q282"/>
    <mergeCell ref="R280:T282"/>
    <mergeCell ref="U280:W282"/>
    <mergeCell ref="X280:Z282"/>
    <mergeCell ref="AA280:AC282"/>
    <mergeCell ref="AD280:AE282"/>
    <mergeCell ref="AF280:AH282"/>
    <mergeCell ref="AI280:AJ282"/>
    <mergeCell ref="AK280:AM282"/>
    <mergeCell ref="J281:L281"/>
    <mergeCell ref="J282:L282"/>
    <mergeCell ref="B329:K329"/>
    <mergeCell ref="L329:N329"/>
    <mergeCell ref="O329:Q329"/>
    <mergeCell ref="R329:U329"/>
    <mergeCell ref="V329:W329"/>
    <mergeCell ref="X329:AA329"/>
    <mergeCell ref="AB329:AE329"/>
    <mergeCell ref="AF329:AI329"/>
  </mergeCells>
  <hyperlinks>
    <hyperlink ref="G11" r:id="rId1" xr:uid="{9051C18F-D21A-9F41-8A24-18543CAA6979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8781-12D6-AE4D-9D80-EE8B78835B7A}">
  <dimension ref="A1:AM279"/>
  <sheetViews>
    <sheetView view="pageLayout" zoomScaleNormal="100" workbookViewId="0">
      <selection activeCell="AF28" sqref="AF28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Ploiesti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nr.28,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RO24725278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J40/19095/2008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RO89 BRDE 450S V790 0575 4500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3/22.12.2023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24/28.02.2024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9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AB279</f>
        <v>813638.92999999993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AF279</f>
        <v>154591.38999999998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AJ279</f>
        <v>968230.32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968230.32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R242+R256+R257+R260</f>
        <v>840529.5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1.1519290161737332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Strada DN1B, nr. FN, Blejoi, com. Blejoi jud. Prahova.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5000579470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RPSC_1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594030100003367652/1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RPSC_1.1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1371624631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7012847 (citit)</v>
      </c>
      <c r="S40" s="647"/>
      <c r="T40" s="647"/>
      <c r="U40" s="647" t="str">
        <f>VLOOKUP(A40,Regularizare!$D:$U,4,FALSE)&amp;" ("&amp;VLOOKUP(A40,Regularizare!$D:$U,12,FALSE)&amp;")"</f>
        <v>7324459 (estimat)</v>
      </c>
      <c r="V40" s="647"/>
      <c r="W40" s="647"/>
      <c r="X40" s="647" t="str">
        <f>VLOOKUP(A40,Regularizare!$D:$Y,19,FALSE)&amp;" ("&amp;VLOOKUP(A40,Regularizare!$D:$U,12,FALSE)&amp;")"</f>
        <v>311612 (estimat)</v>
      </c>
      <c r="Y40" s="647"/>
      <c r="Z40" s="647"/>
      <c r="AA40" s="647">
        <f>(-1)*VLOOKUP(A40,Regularizare!$D:$Y,19,FALSE)</f>
        <v>-311612</v>
      </c>
      <c r="AB40" s="647"/>
      <c r="AC40" s="647"/>
      <c r="AD40" s="647" t="s">
        <v>69</v>
      </c>
      <c r="AE40" s="647"/>
      <c r="AF40" s="647">
        <f>AA40</f>
        <v>-311612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1371624631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219556 (citit)</v>
      </c>
      <c r="S43" s="647"/>
      <c r="T43" s="647"/>
      <c r="U43" s="647" t="str">
        <f>VLOOKUP(A43,Regularizare!$D:$U,8,FALSE)&amp;" ("&amp;VLOOKUP(A43,Regularizare!$D:$U,16,FALSE)&amp;")"</f>
        <v>219556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1371624631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91152 (citit)</v>
      </c>
      <c r="S46" s="647"/>
      <c r="T46" s="647"/>
      <c r="U46" s="647" t="str">
        <f>VLOOKUP(A46,Regularizare!$D:$U,10,FALSE)&amp;" ("&amp;VLOOKUP(A46,Regularizare!$D:$U,18,FALSE)&amp;")"</f>
        <v>91152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1371624631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7012847 (citit)</v>
      </c>
      <c r="S49" s="647"/>
      <c r="T49" s="647"/>
      <c r="U49" s="647" t="str">
        <f>VLOOKUP(A49,Regularizare!$D:$AX,25,FALSE)&amp;" ("&amp;VLOOKUP(A49,Regularizare!$D:$AX,26,FALSE)&amp;")"</f>
        <v>7324459 (citit)</v>
      </c>
      <c r="V49" s="647"/>
      <c r="W49" s="647"/>
      <c r="X49" s="647" t="str">
        <f>VLOOKUP(A49,Regularizare!$D:$AX,37,FALSE)&amp;" ("&amp;VLOOKUP(A49,Regularizare!$D:$AX,26,FALSE)&amp;")"</f>
        <v>311612 (citit)</v>
      </c>
      <c r="Y49" s="647"/>
      <c r="Z49" s="647"/>
      <c r="AA49" s="647">
        <f>VLOOKUP(A49,Regularizare!$D:$AX,37,FALSE)</f>
        <v>311612</v>
      </c>
      <c r="AB49" s="647"/>
      <c r="AC49" s="647"/>
      <c r="AD49" s="647" t="s">
        <v>69</v>
      </c>
      <c r="AE49" s="647"/>
      <c r="AF49" s="647">
        <f>AA49</f>
        <v>311612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1371624631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219556 (citit)</v>
      </c>
      <c r="S52" s="647"/>
      <c r="T52" s="647"/>
      <c r="U52" s="647" t="str">
        <f>VLOOKUP(A52,Regularizare!$D:$AX,31,FALSE)&amp;" ("&amp;VLOOKUP(A52,Regularizare!$D:$AX,32,FALSE)&amp;")"</f>
        <v>219556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1371624631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91152 (citit)</v>
      </c>
      <c r="S55" s="647"/>
      <c r="T55" s="647"/>
      <c r="U55" s="647" t="str">
        <f>VLOOKUP(A55,Regularizare!$D:$AX,35,FALSE)&amp;" ("&amp;VLOOKUP(A55,Regularizare!$D:$AX,36,FALSE)&amp;")"</f>
        <v>91152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1371624631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7324459 (citit)</v>
      </c>
      <c r="S58" s="647"/>
      <c r="T58" s="647"/>
      <c r="U58" s="647" t="str">
        <f>VLOOKUP(A58,'Incrementare indexe'!$D:$M,4,FALSE)&amp;" (estimat)"</f>
        <v>7652161 (estimat)</v>
      </c>
      <c r="V58" s="647"/>
      <c r="W58" s="647"/>
      <c r="X58" s="647" t="str">
        <f>VLOOKUP(A58,'Incrementare indexe'!$D:$Q,11,FALSE)&amp;" (estimat)"</f>
        <v>327702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327702</v>
      </c>
      <c r="AG58" s="647"/>
      <c r="AH58" s="647"/>
      <c r="AI58" s="647">
        <f>J60-J58+1</f>
        <v>31</v>
      </c>
      <c r="AJ58" s="647"/>
      <c r="AK58" s="647">
        <f>ROUND(AF58/AI58,2)</f>
        <v>10571.03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1371624631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219556 (citit)</v>
      </c>
      <c r="S61" s="647"/>
      <c r="T61" s="647"/>
      <c r="U61" s="647" t="str">
        <f>VLOOKUP(A61,'Incrementare indexe'!$D:$M,8,FALSE)&amp;" (estimat)"</f>
        <v>219556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1371624631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91152 (citit)</v>
      </c>
      <c r="S64" s="647"/>
      <c r="T64" s="647"/>
      <c r="U64" s="647" t="str">
        <f>VLOOKUP(A64,'Incrementare indexe'!$D:$M,10,FALSE)&amp;" (estimat)"</f>
        <v>91152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/>
    <row r="68" spans="1:39" ht="14.1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</row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8.4499999999999993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8.4499999999999993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8.4499999999999993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14.1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 ht="14.1" customHeight="1">
      <c r="A81" s="54"/>
      <c r="B81" s="54"/>
      <c r="C81" s="54"/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</row>
    <row r="82" spans="1:39">
      <c r="A82" s="649" t="s">
        <v>748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VLOOKUP(AI83,'Contorizare in SDI'!$E:$I,4,FALSE)</f>
        <v>594030100003367652/2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50" t="s">
        <v>695</v>
      </c>
      <c r="AJ82" s="650"/>
      <c r="AK82" s="650"/>
      <c r="AL82" s="650"/>
      <c r="AM82" s="650"/>
    </row>
    <row r="83" spans="1:39">
      <c r="A83" s="649" t="s">
        <v>746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VLOOKUP(AI83,'Inchidere contur'!$G:$U,15,FALSE)</f>
        <v>JT_SDI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 t="str">
        <f>_xlfn.CONCAT(AA31,".",2)</f>
        <v>RPSC_1.2</v>
      </c>
      <c r="AJ83" s="619"/>
      <c r="AK83" s="619"/>
      <c r="AL83" s="619"/>
      <c r="AM83" s="619"/>
    </row>
    <row r="84" spans="1:39">
      <c r="A84" s="649" t="s">
        <v>747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50" t="str">
        <f>IF(LEFT(M83,2)="JT","0.4kV",IF(LEFT(M83,2)="MT","20kV","-"))</f>
        <v>0.4kV</v>
      </c>
      <c r="N84" s="650"/>
      <c r="O84" s="650"/>
      <c r="P84" s="650"/>
      <c r="Q84" s="650"/>
      <c r="R84" s="650"/>
      <c r="S84" s="650"/>
      <c r="T84" s="650"/>
      <c r="U84" s="650"/>
      <c r="V84" s="650"/>
      <c r="W84" s="650"/>
      <c r="X84" s="650"/>
      <c r="Y84" s="650"/>
      <c r="Z84" s="650"/>
      <c r="AA84" s="650"/>
      <c r="AB84" s="650"/>
      <c r="AC84" s="650"/>
      <c r="AD84" s="650"/>
      <c r="AE84" s="650"/>
      <c r="AF84" s="650"/>
      <c r="AG84" s="650"/>
      <c r="AH84" s="650"/>
      <c r="AI84" s="619"/>
      <c r="AJ84" s="619"/>
      <c r="AK84" s="619"/>
      <c r="AL84" s="619"/>
      <c r="AM84" s="619"/>
    </row>
    <row r="85" spans="1:39" ht="15.95" customHeight="1">
      <c r="A85" s="648" t="s">
        <v>697</v>
      </c>
      <c r="B85" s="648"/>
      <c r="C85" s="648"/>
      <c r="D85" s="648"/>
      <c r="E85" s="648"/>
      <c r="F85" s="648"/>
      <c r="G85" s="647" t="s">
        <v>713</v>
      </c>
      <c r="H85" s="647"/>
      <c r="I85" s="647"/>
      <c r="J85" s="647" t="s">
        <v>714</v>
      </c>
      <c r="K85" s="647"/>
      <c r="L85" s="647"/>
      <c r="M85" s="648" t="s">
        <v>519</v>
      </c>
      <c r="N85" s="648"/>
      <c r="O85" s="648" t="s">
        <v>715</v>
      </c>
      <c r="P85" s="648"/>
      <c r="Q85" s="648"/>
      <c r="R85" s="647" t="s">
        <v>732</v>
      </c>
      <c r="S85" s="647"/>
      <c r="T85" s="647"/>
      <c r="U85" s="647" t="s">
        <v>734</v>
      </c>
      <c r="V85" s="647"/>
      <c r="W85" s="647"/>
      <c r="X85" s="647" t="s">
        <v>1085</v>
      </c>
      <c r="Y85" s="647"/>
      <c r="Z85" s="647"/>
      <c r="AA85" s="647" t="s">
        <v>1086</v>
      </c>
      <c r="AB85" s="647"/>
      <c r="AC85" s="647"/>
      <c r="AD85" s="647" t="s">
        <v>717</v>
      </c>
      <c r="AE85" s="647"/>
      <c r="AF85" s="647" t="s">
        <v>718</v>
      </c>
      <c r="AG85" s="647"/>
      <c r="AH85" s="647"/>
      <c r="AI85" s="647" t="s">
        <v>719</v>
      </c>
      <c r="AJ85" s="647"/>
      <c r="AK85" s="647" t="s">
        <v>733</v>
      </c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647"/>
      <c r="K86" s="647"/>
      <c r="L86" s="647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>
      <c r="A87" s="648"/>
      <c r="B87" s="648"/>
      <c r="C87" s="648"/>
      <c r="D87" s="648"/>
      <c r="E87" s="648"/>
      <c r="F87" s="648"/>
      <c r="G87" s="647"/>
      <c r="H87" s="647"/>
      <c r="I87" s="647"/>
      <c r="J87" s="713"/>
      <c r="K87" s="713"/>
      <c r="L87" s="713"/>
      <c r="M87" s="648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78">
        <f>VLOOKUP(AI83,'Contorizare in SDI'!$E:$I,5,FALSE)</f>
        <v>1372628411</v>
      </c>
      <c r="B88" s="679"/>
      <c r="C88" s="679"/>
      <c r="D88" s="679"/>
      <c r="E88" s="679"/>
      <c r="F88" s="680"/>
      <c r="G88" s="648" t="s">
        <v>730</v>
      </c>
      <c r="H88" s="648"/>
      <c r="I88" s="673"/>
      <c r="J88" s="655">
        <f>'Date masura OD'!$AK$5</f>
        <v>45748</v>
      </c>
      <c r="K88" s="656"/>
      <c r="L88" s="657"/>
      <c r="M88" s="720" t="s">
        <v>446</v>
      </c>
      <c r="N88" s="648"/>
      <c r="O88" s="648">
        <f>VLOOKUP(AI83,'Incrementare indexe'!$B:$T,4,FALSE)</f>
        <v>1</v>
      </c>
      <c r="P88" s="648"/>
      <c r="Q88" s="648"/>
      <c r="R88" s="647" t="str">
        <f>VLOOKUP(A88,Regularizare!$D:$YN,3,FALSE)&amp;" ("&amp;VLOOKUP(A88,Regularizare!$D:$Y,11,FALSE)&amp;")"</f>
        <v>4393002 (citit)</v>
      </c>
      <c r="S88" s="647"/>
      <c r="T88" s="647"/>
      <c r="U88" s="647" t="str">
        <f>VLOOKUP(A88,Regularizare!$D:$U,4,FALSE)&amp;" ("&amp;VLOOKUP(A88,Regularizare!$D:$U,12,FALSE)&amp;")"</f>
        <v>4541183 (estimat)</v>
      </c>
      <c r="V88" s="647"/>
      <c r="W88" s="647"/>
      <c r="X88" s="647" t="str">
        <f>VLOOKUP(A88,Regularizare!$D:$Y,19,FALSE)&amp;" ("&amp;VLOOKUP(A88,Regularizare!$D:$U,12,FALSE)&amp;")"</f>
        <v>148181 (estimat)</v>
      </c>
      <c r="Y88" s="647"/>
      <c r="Z88" s="647"/>
      <c r="AA88" s="647">
        <f>(-1)*VLOOKUP(A88,Regularizare!$D:$Y,19,FALSE)</f>
        <v>-148181</v>
      </c>
      <c r="AB88" s="647"/>
      <c r="AC88" s="647"/>
      <c r="AD88" s="647" t="s">
        <v>69</v>
      </c>
      <c r="AE88" s="647"/>
      <c r="AF88" s="647">
        <f>AA88</f>
        <v>-148181</v>
      </c>
      <c r="AG88" s="647"/>
      <c r="AH88" s="647"/>
      <c r="AI88" s="647" t="s">
        <v>69</v>
      </c>
      <c r="AJ88" s="647"/>
      <c r="AK88" s="647" t="s">
        <v>69</v>
      </c>
      <c r="AL88" s="647"/>
      <c r="AM88" s="647"/>
    </row>
    <row r="89" spans="1:39" ht="9.75" customHeight="1">
      <c r="A89" s="717"/>
      <c r="B89" s="718"/>
      <c r="C89" s="718"/>
      <c r="D89" s="718"/>
      <c r="E89" s="718"/>
      <c r="F89" s="719"/>
      <c r="G89" s="648"/>
      <c r="H89" s="648"/>
      <c r="I89" s="673"/>
      <c r="J89" s="717" t="s">
        <v>69</v>
      </c>
      <c r="K89" s="718"/>
      <c r="L89" s="719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81"/>
      <c r="B90" s="682"/>
      <c r="C90" s="682"/>
      <c r="D90" s="682"/>
      <c r="E90" s="682"/>
      <c r="F90" s="683"/>
      <c r="G90" s="648"/>
      <c r="H90" s="648"/>
      <c r="I90" s="673"/>
      <c r="J90" s="714">
        <f>'Date masura OD'!$AL$5</f>
        <v>45777</v>
      </c>
      <c r="K90" s="715"/>
      <c r="L90" s="716"/>
      <c r="M90" s="720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78">
        <f>A88</f>
        <v>1372628411</v>
      </c>
      <c r="B91" s="679"/>
      <c r="C91" s="679"/>
      <c r="D91" s="679"/>
      <c r="E91" s="679"/>
      <c r="F91" s="680"/>
      <c r="G91" s="648" t="s">
        <v>696</v>
      </c>
      <c r="H91" s="648"/>
      <c r="I91" s="648"/>
      <c r="J91" s="655">
        <f t="shared" ref="J91:J96" si="3">J88</f>
        <v>45748</v>
      </c>
      <c r="K91" s="656"/>
      <c r="L91" s="657"/>
      <c r="M91" s="648" t="s">
        <v>720</v>
      </c>
      <c r="N91" s="648"/>
      <c r="O91" s="648">
        <f>O88</f>
        <v>1</v>
      </c>
      <c r="P91" s="648"/>
      <c r="Q91" s="648"/>
      <c r="R91" s="647" t="str">
        <f>VLOOKUP(A91,Regularizare!$D:$U,7,FALSE)&amp;" ("&amp;VLOOKUP(A91,Regularizare!$D:$U,15,FALSE)&amp;")"</f>
        <v>409408 (citit)</v>
      </c>
      <c r="S91" s="647"/>
      <c r="T91" s="647"/>
      <c r="U91" s="647" t="str">
        <f>VLOOKUP(A91,Regularizare!$D:$U,8,FALSE)&amp;" ("&amp;VLOOKUP(A91,Regularizare!$D:$U,16,FALSE)&amp;")"</f>
        <v>409408 (estimat)</v>
      </c>
      <c r="V91" s="647"/>
      <c r="W91" s="647"/>
      <c r="X91" s="647" t="str">
        <f>_xlfn.CONCAT(VLOOKUP(A91,Regularizare!$D:$U,8,FALSE)-VLOOKUP(A91,Regularizare!$D:$U,7,FALSE)," (",VLOOKUP(A91,Regularizare!$D:$U,16,FALSE),")")</f>
        <v>0 (estimat)</v>
      </c>
      <c r="Y91" s="647"/>
      <c r="Z91" s="647"/>
      <c r="AA91" s="647">
        <f>IF(VLOOKUP(A91,Regularizare!$D:$Y,21,FALSE)=0,VLOOKUP(A91,Regularizare!$D:$Y,21,FALSE),(-1)*VLOOKUP(A91,Regularizare!$D:$Y,21,FALSE))</f>
        <v>0</v>
      </c>
      <c r="AB91" s="647"/>
      <c r="AC91" s="647"/>
      <c r="AD91" s="647" t="s">
        <v>69</v>
      </c>
      <c r="AE91" s="647"/>
      <c r="AF91" s="647">
        <f>AA91</f>
        <v>0</v>
      </c>
      <c r="AG91" s="647"/>
      <c r="AH91" s="647"/>
      <c r="AI91" s="647" t="str">
        <f>AI88</f>
        <v>-</v>
      </c>
      <c r="AJ91" s="647"/>
      <c r="AK91" s="647" t="str">
        <f>AK88</f>
        <v>-</v>
      </c>
      <c r="AL91" s="647"/>
      <c r="AM91" s="647"/>
    </row>
    <row r="92" spans="1:39" ht="8.4499999999999993" customHeight="1">
      <c r="A92" s="717"/>
      <c r="B92" s="718"/>
      <c r="C92" s="718"/>
      <c r="D92" s="718"/>
      <c r="E92" s="718"/>
      <c r="F92" s="719"/>
      <c r="G92" s="648"/>
      <c r="H92" s="648"/>
      <c r="I92" s="648"/>
      <c r="J92" s="717" t="str">
        <f t="shared" si="3"/>
        <v>-</v>
      </c>
      <c r="K92" s="718"/>
      <c r="L92" s="719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81"/>
      <c r="B93" s="682"/>
      <c r="C93" s="682"/>
      <c r="D93" s="682"/>
      <c r="E93" s="682"/>
      <c r="F93" s="683"/>
      <c r="G93" s="648"/>
      <c r="H93" s="648"/>
      <c r="I93" s="648"/>
      <c r="J93" s="714">
        <f t="shared" si="3"/>
        <v>45777</v>
      </c>
      <c r="K93" s="715"/>
      <c r="L93" s="716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78">
        <f>A91</f>
        <v>1372628411</v>
      </c>
      <c r="B94" s="679"/>
      <c r="C94" s="679"/>
      <c r="D94" s="679"/>
      <c r="E94" s="679"/>
      <c r="F94" s="680"/>
      <c r="G94" s="648" t="s">
        <v>731</v>
      </c>
      <c r="H94" s="648"/>
      <c r="I94" s="648"/>
      <c r="J94" s="655">
        <f t="shared" si="3"/>
        <v>45748</v>
      </c>
      <c r="K94" s="656"/>
      <c r="L94" s="657"/>
      <c r="M94" s="648" t="s">
        <v>720</v>
      </c>
      <c r="N94" s="648"/>
      <c r="O94" s="648">
        <f>O91</f>
        <v>1</v>
      </c>
      <c r="P94" s="648"/>
      <c r="Q94" s="648"/>
      <c r="R94" s="647" t="str">
        <f>VLOOKUP(A94,Regularizare!$D:$U,9,FALSE)&amp;" ("&amp;VLOOKUP(A94,Regularizare!$D:$U,17,FALSE)&amp;")"</f>
        <v>1419 (citit)</v>
      </c>
      <c r="S94" s="647"/>
      <c r="T94" s="647"/>
      <c r="U94" s="647" t="str">
        <f>VLOOKUP(A94,Regularizare!$D:$U,10,FALSE)&amp;" ("&amp;VLOOKUP(A94,Regularizare!$D:$U,18,FALSE)&amp;")"</f>
        <v>1419 (estimat)</v>
      </c>
      <c r="V94" s="647"/>
      <c r="W94" s="647"/>
      <c r="X94" s="647" t="str">
        <f>_xlfn.CONCAT(VLOOKUP(A94,Regularizare!$D:$U,10,FALSE)-VLOOKUP(A94,Regularizare!$D:$U,9,FALSE)," (",VLOOKUP(A94,Regularizare!$D:$U,18,FALSE),")")</f>
        <v>0 (estimat)</v>
      </c>
      <c r="Y94" s="647"/>
      <c r="Z94" s="647"/>
      <c r="AA94" s="647">
        <f>IF(VLOOKUP(A94,Regularizare!$D:$Y,22,FALSE)=0,VLOOKUP(A94,Regularizare!$D:$Y,22,FALSE),(-1)*VLOOKUP(A94,Regularizare!$D:$Y,22,FALSE))</f>
        <v>0</v>
      </c>
      <c r="AB94" s="647"/>
      <c r="AC94" s="647"/>
      <c r="AD94" s="647" t="s">
        <v>69</v>
      </c>
      <c r="AE94" s="647"/>
      <c r="AF94" s="647">
        <f>AA94</f>
        <v>0</v>
      </c>
      <c r="AG94" s="647"/>
      <c r="AH94" s="647"/>
      <c r="AI94" s="647" t="str">
        <f>AI91</f>
        <v>-</v>
      </c>
      <c r="AJ94" s="647"/>
      <c r="AK94" s="647" t="str">
        <f>AK91</f>
        <v>-</v>
      </c>
      <c r="AL94" s="647"/>
      <c r="AM94" s="647"/>
    </row>
    <row r="95" spans="1:39" ht="8.4499999999999993" customHeight="1">
      <c r="A95" s="717"/>
      <c r="B95" s="718"/>
      <c r="C95" s="718"/>
      <c r="D95" s="718"/>
      <c r="E95" s="718"/>
      <c r="F95" s="719"/>
      <c r="G95" s="648"/>
      <c r="H95" s="648"/>
      <c r="I95" s="648"/>
      <c r="J95" s="717" t="str">
        <f t="shared" si="3"/>
        <v>-</v>
      </c>
      <c r="K95" s="718"/>
      <c r="L95" s="719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81"/>
      <c r="B96" s="682"/>
      <c r="C96" s="682"/>
      <c r="D96" s="682"/>
      <c r="E96" s="682"/>
      <c r="F96" s="683"/>
      <c r="G96" s="648"/>
      <c r="H96" s="648"/>
      <c r="I96" s="648"/>
      <c r="J96" s="714">
        <f t="shared" si="3"/>
        <v>45777</v>
      </c>
      <c r="K96" s="715"/>
      <c r="L96" s="716"/>
      <c r="M96" s="648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78">
        <f>A94</f>
        <v>1372628411</v>
      </c>
      <c r="B97" s="679"/>
      <c r="C97" s="679"/>
      <c r="D97" s="679"/>
      <c r="E97" s="679"/>
      <c r="F97" s="680"/>
      <c r="G97" s="648" t="s">
        <v>730</v>
      </c>
      <c r="H97" s="648"/>
      <c r="I97" s="673"/>
      <c r="J97" s="655">
        <f>'Date masura OD'!$AK$5</f>
        <v>45748</v>
      </c>
      <c r="K97" s="656"/>
      <c r="L97" s="657"/>
      <c r="M97" s="720" t="s">
        <v>446</v>
      </c>
      <c r="N97" s="648"/>
      <c r="O97" s="648">
        <f>O94</f>
        <v>1</v>
      </c>
      <c r="P97" s="648"/>
      <c r="Q97" s="648"/>
      <c r="R97" s="647" t="str">
        <f>VLOOKUP(A97,Regularizare!$D:$AX,23,FALSE)&amp;" ("&amp;VLOOKUP(A97,Regularizare!$D:$AX,24,FALSE)&amp;")"</f>
        <v>4393002 (citit)</v>
      </c>
      <c r="S97" s="647"/>
      <c r="T97" s="647"/>
      <c r="U97" s="647" t="str">
        <f>VLOOKUP(A97,Regularizare!$D:$AX,25,FALSE)&amp;" ("&amp;VLOOKUP(A97,Regularizare!$D:$AX,26,FALSE)&amp;")"</f>
        <v>4541183 (citit)</v>
      </c>
      <c r="V97" s="647"/>
      <c r="W97" s="647"/>
      <c r="X97" s="647" t="str">
        <f>VLOOKUP(A97,Regularizare!$D:$AX,37,FALSE)&amp;" ("&amp;VLOOKUP(A97,Regularizare!$D:$AX,26,FALSE)&amp;")"</f>
        <v>148181 (citit)</v>
      </c>
      <c r="Y97" s="647"/>
      <c r="Z97" s="647"/>
      <c r="AA97" s="647">
        <f>VLOOKUP(A97,Regularizare!$D:$AX,37,FALSE)</f>
        <v>148181</v>
      </c>
      <c r="AB97" s="647"/>
      <c r="AC97" s="647"/>
      <c r="AD97" s="647" t="s">
        <v>69</v>
      </c>
      <c r="AE97" s="647"/>
      <c r="AF97" s="647">
        <f>AA97</f>
        <v>148181</v>
      </c>
      <c r="AG97" s="647"/>
      <c r="AH97" s="647"/>
      <c r="AI97" s="647" t="str">
        <f>AI94</f>
        <v>-</v>
      </c>
      <c r="AJ97" s="647"/>
      <c r="AK97" s="647" t="str">
        <f>AK94</f>
        <v>-</v>
      </c>
      <c r="AL97" s="647"/>
      <c r="AM97" s="647"/>
    </row>
    <row r="98" spans="1:39" ht="8.4499999999999993" customHeight="1">
      <c r="A98" s="717"/>
      <c r="B98" s="718"/>
      <c r="C98" s="718"/>
      <c r="D98" s="718"/>
      <c r="E98" s="718"/>
      <c r="F98" s="719"/>
      <c r="G98" s="648"/>
      <c r="H98" s="648"/>
      <c r="I98" s="673"/>
      <c r="J98" s="717" t="s">
        <v>69</v>
      </c>
      <c r="K98" s="718"/>
      <c r="L98" s="719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81"/>
      <c r="B99" s="682"/>
      <c r="C99" s="682"/>
      <c r="D99" s="682"/>
      <c r="E99" s="682"/>
      <c r="F99" s="683"/>
      <c r="G99" s="648"/>
      <c r="H99" s="648"/>
      <c r="I99" s="673"/>
      <c r="J99" s="714">
        <f>'Date masura OD'!$AL$5</f>
        <v>45777</v>
      </c>
      <c r="K99" s="715"/>
      <c r="L99" s="716"/>
      <c r="M99" s="720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78">
        <f>A97</f>
        <v>1372628411</v>
      </c>
      <c r="B100" s="679"/>
      <c r="C100" s="679"/>
      <c r="D100" s="679"/>
      <c r="E100" s="679"/>
      <c r="F100" s="680"/>
      <c r="G100" s="648" t="s">
        <v>696</v>
      </c>
      <c r="H100" s="648"/>
      <c r="I100" s="648"/>
      <c r="J100" s="655">
        <f t="shared" ref="J100:J105" si="4">J97</f>
        <v>45748</v>
      </c>
      <c r="K100" s="656"/>
      <c r="L100" s="657"/>
      <c r="M100" s="648" t="s">
        <v>720</v>
      </c>
      <c r="N100" s="648"/>
      <c r="O100" s="648">
        <f>O97</f>
        <v>1</v>
      </c>
      <c r="P100" s="648"/>
      <c r="Q100" s="648"/>
      <c r="R100" s="647" t="str">
        <f>VLOOKUP(A100,Regularizare!$D:$AX,29,FALSE)&amp;" ("&amp;VLOOKUP(A100,Regularizare!$D:$AX,30,FALSE)&amp;")"</f>
        <v>409408 (citit)</v>
      </c>
      <c r="S100" s="647"/>
      <c r="T100" s="647"/>
      <c r="U100" s="647" t="str">
        <f>VLOOKUP(A100,Regularizare!$D:$AX,31,FALSE)&amp;" ("&amp;VLOOKUP(A100,Regularizare!$D:$AX,32,FALSE)&amp;")"</f>
        <v>409408 (citit)</v>
      </c>
      <c r="V100" s="647"/>
      <c r="W100" s="647"/>
      <c r="X100" s="647" t="str">
        <f>VLOOKUP(A100,Regularizare!$D:$AX,39,FALSE)&amp;" ("&amp;VLOOKUP(A100,Regularizare!$D:$AX,32,FALSE)&amp;")"</f>
        <v>0 (citit)</v>
      </c>
      <c r="Y100" s="647"/>
      <c r="Z100" s="647"/>
      <c r="AA100" s="647">
        <f>VLOOKUP(A100,Regularizare!$D:$AX,44,FALSE)+VLOOKUP(A100,Regularizare!$D:$AX,45,FALSE)</f>
        <v>0</v>
      </c>
      <c r="AB100" s="647"/>
      <c r="AC100" s="647"/>
      <c r="AD100" s="647" t="s">
        <v>69</v>
      </c>
      <c r="AE100" s="647"/>
      <c r="AF100" s="647">
        <f>AA100</f>
        <v>0</v>
      </c>
      <c r="AG100" s="647"/>
      <c r="AH100" s="647"/>
      <c r="AI100" s="647" t="str">
        <f>AI97</f>
        <v>-</v>
      </c>
      <c r="AJ100" s="647"/>
      <c r="AK100" s="647" t="str">
        <f>AK97</f>
        <v>-</v>
      </c>
      <c r="AL100" s="647"/>
      <c r="AM100" s="647"/>
    </row>
    <row r="101" spans="1:39" ht="8.4499999999999993" customHeight="1">
      <c r="A101" s="717"/>
      <c r="B101" s="718"/>
      <c r="C101" s="718"/>
      <c r="D101" s="718"/>
      <c r="E101" s="718"/>
      <c r="F101" s="719"/>
      <c r="G101" s="648"/>
      <c r="H101" s="648"/>
      <c r="I101" s="648"/>
      <c r="J101" s="717" t="str">
        <f t="shared" si="4"/>
        <v>-</v>
      </c>
      <c r="K101" s="718"/>
      <c r="L101" s="719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81"/>
      <c r="B102" s="682"/>
      <c r="C102" s="682"/>
      <c r="D102" s="682"/>
      <c r="E102" s="682"/>
      <c r="F102" s="683"/>
      <c r="G102" s="648"/>
      <c r="H102" s="648"/>
      <c r="I102" s="648"/>
      <c r="J102" s="714">
        <f t="shared" si="4"/>
        <v>45777</v>
      </c>
      <c r="K102" s="715"/>
      <c r="L102" s="716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78">
        <f>A100</f>
        <v>1372628411</v>
      </c>
      <c r="B103" s="679"/>
      <c r="C103" s="679"/>
      <c r="D103" s="679"/>
      <c r="E103" s="679"/>
      <c r="F103" s="680"/>
      <c r="G103" s="648" t="s">
        <v>731</v>
      </c>
      <c r="H103" s="648"/>
      <c r="I103" s="648"/>
      <c r="J103" s="655">
        <f t="shared" si="4"/>
        <v>45748</v>
      </c>
      <c r="K103" s="656"/>
      <c r="L103" s="657"/>
      <c r="M103" s="648" t="s">
        <v>720</v>
      </c>
      <c r="N103" s="648"/>
      <c r="O103" s="648">
        <f>O100</f>
        <v>1</v>
      </c>
      <c r="P103" s="648"/>
      <c r="Q103" s="648"/>
      <c r="R103" s="647" t="str">
        <f>VLOOKUP(A103,Regularizare!$D:$AX,33,FALSE)&amp;" ("&amp;VLOOKUP(A103,Regularizare!$D:$AX,34,FALSE)&amp;")"</f>
        <v>1419 (citit)</v>
      </c>
      <c r="S103" s="647"/>
      <c r="T103" s="647"/>
      <c r="U103" s="647" t="str">
        <f>VLOOKUP(A103,Regularizare!$D:$AX,35,FALSE)&amp;" ("&amp;VLOOKUP(A103,Regularizare!$D:$AX,36,FALSE)&amp;")"</f>
        <v>1419 (citit)</v>
      </c>
      <c r="V103" s="647"/>
      <c r="W103" s="647"/>
      <c r="X103" s="647" t="str">
        <f>VLOOKUP(A103,Regularizare!$D:$AX,40,FALSE)&amp;" ("&amp;VLOOKUP(A103,Regularizare!$D:$AX,36,FALSE)&amp;")"</f>
        <v>0 (citit)</v>
      </c>
      <c r="Y103" s="647"/>
      <c r="Z103" s="647"/>
      <c r="AA103" s="647">
        <f>VLOOKUP(A103,Regularizare!$D:$AX,46,FALSE)+VLOOKUP(A103,Regularizare!$D:$AX,47,FALSE)</f>
        <v>0</v>
      </c>
      <c r="AB103" s="647"/>
      <c r="AC103" s="647"/>
      <c r="AD103" s="647" t="s">
        <v>69</v>
      </c>
      <c r="AE103" s="647"/>
      <c r="AF103" s="647">
        <f>AA103</f>
        <v>0</v>
      </c>
      <c r="AG103" s="647"/>
      <c r="AH103" s="647"/>
      <c r="AI103" s="647" t="str">
        <f>AI100</f>
        <v>-</v>
      </c>
      <c r="AJ103" s="647"/>
      <c r="AK103" s="647" t="str">
        <f>AK100</f>
        <v>-</v>
      </c>
      <c r="AL103" s="647"/>
      <c r="AM103" s="647"/>
    </row>
    <row r="104" spans="1:39" ht="8.4499999999999993" customHeight="1">
      <c r="A104" s="717"/>
      <c r="B104" s="718"/>
      <c r="C104" s="718"/>
      <c r="D104" s="718"/>
      <c r="E104" s="718"/>
      <c r="F104" s="719"/>
      <c r="G104" s="648"/>
      <c r="H104" s="648"/>
      <c r="I104" s="648"/>
      <c r="J104" s="717" t="str">
        <f t="shared" si="4"/>
        <v>-</v>
      </c>
      <c r="K104" s="718"/>
      <c r="L104" s="719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1"/>
      <c r="B105" s="682"/>
      <c r="C105" s="682"/>
      <c r="D105" s="682"/>
      <c r="E105" s="682"/>
      <c r="F105" s="683"/>
      <c r="G105" s="648"/>
      <c r="H105" s="648"/>
      <c r="I105" s="648"/>
      <c r="J105" s="714">
        <f t="shared" si="4"/>
        <v>45777</v>
      </c>
      <c r="K105" s="715"/>
      <c r="L105" s="716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78">
        <f>A103</f>
        <v>1372628411</v>
      </c>
      <c r="B106" s="679"/>
      <c r="C106" s="679"/>
      <c r="D106" s="679"/>
      <c r="E106" s="679"/>
      <c r="F106" s="680"/>
      <c r="G106" s="648" t="s">
        <v>730</v>
      </c>
      <c r="H106" s="648"/>
      <c r="I106" s="673"/>
      <c r="J106" s="655">
        <f>'Date masura OD'!$I$5</f>
        <v>45778</v>
      </c>
      <c r="K106" s="656"/>
      <c r="L106" s="657"/>
      <c r="M106" s="720" t="s">
        <v>446</v>
      </c>
      <c r="N106" s="648"/>
      <c r="O106" s="648">
        <f>O103</f>
        <v>1</v>
      </c>
      <c r="P106" s="648"/>
      <c r="Q106" s="648"/>
      <c r="R106" s="647" t="str">
        <f>U97</f>
        <v>4541183 (citit)</v>
      </c>
      <c r="S106" s="647"/>
      <c r="T106" s="647"/>
      <c r="U106" s="647" t="str">
        <f>VLOOKUP(A106,'Incrementare indexe'!$D:$M,4,FALSE)&amp;" (estimat)"</f>
        <v>4698818 (estimat)</v>
      </c>
      <c r="V106" s="647"/>
      <c r="W106" s="647"/>
      <c r="X106" s="647" t="str">
        <f>VLOOKUP(A106,'Incrementare indexe'!$D:$Q,11,FALSE)&amp;" (estimat)"</f>
        <v>157635 (estimat)</v>
      </c>
      <c r="Y106" s="647"/>
      <c r="Z106" s="647"/>
      <c r="AA106" s="647" t="s">
        <v>69</v>
      </c>
      <c r="AB106" s="647"/>
      <c r="AC106" s="647"/>
      <c r="AD106" s="647" t="s">
        <v>69</v>
      </c>
      <c r="AE106" s="647"/>
      <c r="AF106" s="647">
        <f>VLOOKUP(A106,'Incrementare indexe'!$D:$Q,11,FALSE)</f>
        <v>157635</v>
      </c>
      <c r="AG106" s="647"/>
      <c r="AH106" s="647"/>
      <c r="AI106" s="647">
        <f>J108-J106+1</f>
        <v>31</v>
      </c>
      <c r="AJ106" s="647"/>
      <c r="AK106" s="647">
        <f>ROUND(AF106/AI106,2)</f>
        <v>5085</v>
      </c>
      <c r="AL106" s="647"/>
      <c r="AM106" s="647"/>
    </row>
    <row r="107" spans="1:39" ht="8.4499999999999993" customHeight="1">
      <c r="A107" s="717"/>
      <c r="B107" s="718"/>
      <c r="C107" s="718"/>
      <c r="D107" s="718"/>
      <c r="E107" s="718"/>
      <c r="F107" s="719"/>
      <c r="G107" s="648"/>
      <c r="H107" s="648"/>
      <c r="I107" s="673"/>
      <c r="J107" s="717" t="s">
        <v>69</v>
      </c>
      <c r="K107" s="718"/>
      <c r="L107" s="719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1"/>
      <c r="B108" s="682"/>
      <c r="C108" s="682"/>
      <c r="D108" s="682"/>
      <c r="E108" s="682"/>
      <c r="F108" s="683"/>
      <c r="G108" s="648"/>
      <c r="H108" s="648"/>
      <c r="I108" s="673"/>
      <c r="J108" s="714">
        <f>'Date masura OD'!$J$5</f>
        <v>45808</v>
      </c>
      <c r="K108" s="715"/>
      <c r="L108" s="716"/>
      <c r="M108" s="720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78">
        <f>A106</f>
        <v>1372628411</v>
      </c>
      <c r="B109" s="679"/>
      <c r="C109" s="679"/>
      <c r="D109" s="679"/>
      <c r="E109" s="679"/>
      <c r="F109" s="680"/>
      <c r="G109" s="648" t="s">
        <v>696</v>
      </c>
      <c r="H109" s="648"/>
      <c r="I109" s="648"/>
      <c r="J109" s="655">
        <f t="shared" ref="J109:J114" si="5">J106</f>
        <v>45778</v>
      </c>
      <c r="K109" s="656"/>
      <c r="L109" s="657"/>
      <c r="M109" s="648" t="s">
        <v>720</v>
      </c>
      <c r="N109" s="648"/>
      <c r="O109" s="648">
        <f>O106</f>
        <v>1</v>
      </c>
      <c r="P109" s="648"/>
      <c r="Q109" s="648"/>
      <c r="R109" s="647" t="str">
        <f>U100</f>
        <v>409408 (citit)</v>
      </c>
      <c r="S109" s="647"/>
      <c r="T109" s="647"/>
      <c r="U109" s="647" t="str">
        <f>VLOOKUP(A109,'Incrementare indexe'!$D:$M,8,FALSE)&amp;" (estimat)"</f>
        <v>409408 (estimat)</v>
      </c>
      <c r="V109" s="647"/>
      <c r="W109" s="647"/>
      <c r="X109" s="647" t="str">
        <f>VLOOKUP(A109,'Incrementare indexe'!$D:$Q,12,FALSE)&amp;" (estimat)"</f>
        <v>0 (estimat)</v>
      </c>
      <c r="Y109" s="647"/>
      <c r="Z109" s="647"/>
      <c r="AA109" s="647" t="s">
        <v>69</v>
      </c>
      <c r="AB109" s="647"/>
      <c r="AC109" s="647"/>
      <c r="AD109" s="647" t="s">
        <v>69</v>
      </c>
      <c r="AE109" s="647"/>
      <c r="AF109" s="647">
        <f>VLOOKUP(A109,'Incrementare indexe'!$D:$Q,12,FALSE)</f>
        <v>0</v>
      </c>
      <c r="AG109" s="647"/>
      <c r="AH109" s="647"/>
      <c r="AI109" s="647">
        <f>AI106</f>
        <v>31</v>
      </c>
      <c r="AJ109" s="647"/>
      <c r="AK109" s="647">
        <f>ROUND(AF109/AI109,2)</f>
        <v>0</v>
      </c>
      <c r="AL109" s="647"/>
      <c r="AM109" s="647"/>
    </row>
    <row r="110" spans="1:39" ht="8.4499999999999993" customHeight="1">
      <c r="A110" s="717"/>
      <c r="B110" s="718"/>
      <c r="C110" s="718"/>
      <c r="D110" s="718"/>
      <c r="E110" s="718"/>
      <c r="F110" s="719"/>
      <c r="G110" s="648"/>
      <c r="H110" s="648"/>
      <c r="I110" s="648"/>
      <c r="J110" s="717" t="str">
        <f t="shared" si="5"/>
        <v>-</v>
      </c>
      <c r="K110" s="718"/>
      <c r="L110" s="719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81"/>
      <c r="B111" s="682"/>
      <c r="C111" s="682"/>
      <c r="D111" s="682"/>
      <c r="E111" s="682"/>
      <c r="F111" s="683"/>
      <c r="G111" s="648"/>
      <c r="H111" s="648"/>
      <c r="I111" s="648"/>
      <c r="J111" s="714">
        <f t="shared" si="5"/>
        <v>45808</v>
      </c>
      <c r="K111" s="715"/>
      <c r="L111" s="716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78">
        <f>A109</f>
        <v>1372628411</v>
      </c>
      <c r="B112" s="679"/>
      <c r="C112" s="679"/>
      <c r="D112" s="679"/>
      <c r="E112" s="679"/>
      <c r="F112" s="680"/>
      <c r="G112" s="648" t="s">
        <v>731</v>
      </c>
      <c r="H112" s="648"/>
      <c r="I112" s="648"/>
      <c r="J112" s="655">
        <f t="shared" si="5"/>
        <v>45778</v>
      </c>
      <c r="K112" s="656"/>
      <c r="L112" s="657"/>
      <c r="M112" s="648" t="s">
        <v>720</v>
      </c>
      <c r="N112" s="648"/>
      <c r="O112" s="648">
        <f>O109</f>
        <v>1</v>
      </c>
      <c r="P112" s="648"/>
      <c r="Q112" s="648"/>
      <c r="R112" s="647" t="str">
        <f>U103</f>
        <v>1419 (citit)</v>
      </c>
      <c r="S112" s="647"/>
      <c r="T112" s="647"/>
      <c r="U112" s="647" t="str">
        <f>VLOOKUP(A112,'Incrementare indexe'!$D:$M,10,FALSE)&amp;" (estimat)"</f>
        <v>1419 (estimat)</v>
      </c>
      <c r="V112" s="647"/>
      <c r="W112" s="647"/>
      <c r="X112" s="647" t="str">
        <f>VLOOKUP(A112,'Incrementare indexe'!$D:$Q,13,FALSE)&amp;" (estimat)"</f>
        <v>0 (estimat)</v>
      </c>
      <c r="Y112" s="647"/>
      <c r="Z112" s="647"/>
      <c r="AA112" s="647" t="s">
        <v>69</v>
      </c>
      <c r="AB112" s="647"/>
      <c r="AC112" s="647"/>
      <c r="AD112" s="647" t="s">
        <v>69</v>
      </c>
      <c r="AE112" s="647"/>
      <c r="AF112" s="647">
        <f>VLOOKUP(A112,'Incrementare indexe'!$D:$Q,13,FALSE)</f>
        <v>0</v>
      </c>
      <c r="AG112" s="647"/>
      <c r="AH112" s="647"/>
      <c r="AI112" s="647">
        <f>AI109</f>
        <v>31</v>
      </c>
      <c r="AJ112" s="647"/>
      <c r="AK112" s="647">
        <f>ROUND(AF112/AI112,2)</f>
        <v>0</v>
      </c>
      <c r="AL112" s="647"/>
      <c r="AM112" s="647"/>
    </row>
    <row r="113" spans="1:39" ht="8.4499999999999993" customHeight="1">
      <c r="A113" s="717"/>
      <c r="B113" s="718"/>
      <c r="C113" s="718"/>
      <c r="D113" s="718"/>
      <c r="E113" s="718"/>
      <c r="F113" s="719"/>
      <c r="G113" s="648"/>
      <c r="H113" s="648"/>
      <c r="I113" s="648"/>
      <c r="J113" s="717" t="str">
        <f t="shared" si="5"/>
        <v>-</v>
      </c>
      <c r="K113" s="718"/>
      <c r="L113" s="719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81"/>
      <c r="B114" s="682"/>
      <c r="C114" s="682"/>
      <c r="D114" s="682"/>
      <c r="E114" s="682"/>
      <c r="F114" s="683"/>
      <c r="G114" s="648"/>
      <c r="H114" s="648"/>
      <c r="I114" s="648"/>
      <c r="J114" s="714">
        <f t="shared" si="5"/>
        <v>45808</v>
      </c>
      <c r="K114" s="715"/>
      <c r="L114" s="716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/>
    <row r="116" spans="1:39" ht="14.1" customHeight="1"/>
    <row r="117" spans="1:39" ht="14.1" customHeight="1">
      <c r="A117" s="721" t="s">
        <v>1196</v>
      </c>
      <c r="B117" s="722"/>
      <c r="C117" s="722"/>
      <c r="D117" s="722"/>
      <c r="E117" s="722"/>
      <c r="F117" s="722"/>
      <c r="G117" s="722"/>
      <c r="H117" s="722"/>
      <c r="I117" s="722"/>
      <c r="J117" s="722"/>
      <c r="K117" s="722"/>
      <c r="L117" s="722"/>
      <c r="M117" s="722"/>
      <c r="N117" s="722"/>
      <c r="O117" s="722"/>
      <c r="P117" s="722"/>
      <c r="Q117" s="722"/>
      <c r="R117" s="722"/>
      <c r="S117" s="722"/>
      <c r="T117" s="722"/>
      <c r="U117" s="722"/>
      <c r="V117" s="722"/>
      <c r="W117" s="722"/>
      <c r="X117" s="722"/>
      <c r="Y117" s="722"/>
      <c r="Z117" s="722"/>
      <c r="AA117" s="722"/>
      <c r="AB117" s="722"/>
      <c r="AC117" s="722"/>
      <c r="AD117" s="722"/>
      <c r="AE117" s="722"/>
      <c r="AF117" s="722"/>
      <c r="AG117" s="722"/>
      <c r="AH117" s="723"/>
      <c r="AI117" s="650" t="s">
        <v>695</v>
      </c>
      <c r="AJ117" s="650"/>
      <c r="AK117" s="650"/>
      <c r="AL117" s="650"/>
      <c r="AM117" s="650"/>
    </row>
    <row r="118" spans="1:39" ht="14.1" customHeight="1">
      <c r="A118" s="649" t="s">
        <v>746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514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 t="str">
        <f>_xlfn.CONCAT(AI83,"/PV")</f>
        <v>RPSC_1.2/PV</v>
      </c>
      <c r="AJ118" s="619"/>
      <c r="AK118" s="619"/>
      <c r="AL118" s="619"/>
      <c r="AM118" s="619"/>
    </row>
    <row r="119" spans="1:39" ht="14.1" customHeight="1">
      <c r="A119" s="649" t="s">
        <v>747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50" t="s">
        <v>1087</v>
      </c>
      <c r="N119" s="650"/>
      <c r="O119" s="650"/>
      <c r="P119" s="650"/>
      <c r="Q119" s="650"/>
      <c r="R119" s="650"/>
      <c r="S119" s="650"/>
      <c r="T119" s="650"/>
      <c r="U119" s="650"/>
      <c r="V119" s="650"/>
      <c r="W119" s="650"/>
      <c r="X119" s="650"/>
      <c r="Y119" s="650"/>
      <c r="Z119" s="650"/>
      <c r="AA119" s="650"/>
      <c r="AB119" s="650"/>
      <c r="AC119" s="650"/>
      <c r="AD119" s="650"/>
      <c r="AE119" s="650"/>
      <c r="AF119" s="650"/>
      <c r="AG119" s="650"/>
      <c r="AH119" s="650"/>
      <c r="AI119" s="619"/>
      <c r="AJ119" s="619"/>
      <c r="AK119" s="619"/>
      <c r="AL119" s="619"/>
      <c r="AM119" s="619"/>
    </row>
    <row r="120" spans="1:39" ht="14.1" customHeight="1">
      <c r="A120" s="648" t="s">
        <v>697</v>
      </c>
      <c r="B120" s="648"/>
      <c r="C120" s="648"/>
      <c r="D120" s="648"/>
      <c r="E120" s="648"/>
      <c r="F120" s="648"/>
      <c r="G120" s="647" t="s">
        <v>713</v>
      </c>
      <c r="H120" s="647"/>
      <c r="I120" s="647"/>
      <c r="J120" s="647" t="s">
        <v>714</v>
      </c>
      <c r="K120" s="647"/>
      <c r="L120" s="647"/>
      <c r="M120" s="648" t="s">
        <v>519</v>
      </c>
      <c r="N120" s="648"/>
      <c r="O120" s="648" t="s">
        <v>715</v>
      </c>
      <c r="P120" s="648"/>
      <c r="Q120" s="648"/>
      <c r="R120" s="647" t="s">
        <v>732</v>
      </c>
      <c r="S120" s="647"/>
      <c r="T120" s="647"/>
      <c r="U120" s="647" t="s">
        <v>734</v>
      </c>
      <c r="V120" s="647"/>
      <c r="W120" s="647"/>
      <c r="X120" s="647" t="s">
        <v>1085</v>
      </c>
      <c r="Y120" s="647"/>
      <c r="Z120" s="647"/>
      <c r="AA120" s="647" t="s">
        <v>1086</v>
      </c>
      <c r="AB120" s="647"/>
      <c r="AC120" s="647"/>
      <c r="AD120" s="647" t="s">
        <v>717</v>
      </c>
      <c r="AE120" s="647"/>
      <c r="AF120" s="647" t="s">
        <v>718</v>
      </c>
      <c r="AG120" s="647"/>
      <c r="AH120" s="647"/>
      <c r="AI120" s="647" t="s">
        <v>719</v>
      </c>
      <c r="AJ120" s="647"/>
      <c r="AK120" s="647" t="s">
        <v>733</v>
      </c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647"/>
      <c r="K121" s="647"/>
      <c r="L121" s="647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48"/>
      <c r="B122" s="648"/>
      <c r="C122" s="648"/>
      <c r="D122" s="648"/>
      <c r="E122" s="648"/>
      <c r="F122" s="648"/>
      <c r="G122" s="647"/>
      <c r="H122" s="647"/>
      <c r="I122" s="647"/>
      <c r="J122" s="713"/>
      <c r="K122" s="713"/>
      <c r="L122" s="713"/>
      <c r="M122" s="648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78">
        <f>VLOOKUP(AI118,'Incrementare indexe'!$B:$I,3,FALSE)</f>
        <v>1371624621</v>
      </c>
      <c r="B123" s="679"/>
      <c r="C123" s="679"/>
      <c r="D123" s="679"/>
      <c r="E123" s="679"/>
      <c r="F123" s="680"/>
      <c r="G123" s="647" t="s">
        <v>1088</v>
      </c>
      <c r="H123" s="647"/>
      <c r="I123" s="675"/>
      <c r="J123" s="655">
        <f>'Date masura OD'!$I$5</f>
        <v>45778</v>
      </c>
      <c r="K123" s="656"/>
      <c r="L123" s="657"/>
      <c r="M123" s="720" t="s">
        <v>446</v>
      </c>
      <c r="N123" s="648"/>
      <c r="O123" s="648">
        <f>VLOOKUP(AI118,'Incrementare indexe'!$B:$I,4,FALSE)</f>
        <v>1</v>
      </c>
      <c r="P123" s="648"/>
      <c r="Q123" s="648"/>
      <c r="R123" s="647" t="str">
        <f>VLOOKUP(AI118,'Incrementare indexe'!$B:$I,7,FALSE)&amp;" (citit)"</f>
        <v>1889329 (citit)</v>
      </c>
      <c r="S123" s="647"/>
      <c r="T123" s="647"/>
      <c r="U123" s="647" t="str">
        <f>VLOOKUP(AI118,'Incrementare indexe'!$B:$I,8,FALSE)&amp;" (citit)"</f>
        <v>2059990 (citit)</v>
      </c>
      <c r="V123" s="647"/>
      <c r="W123" s="647"/>
      <c r="X123" s="647" t="str">
        <f>(VLOOKUP(AI118,'Incrementare indexe'!$B:$I,8,FALSE)-VLOOKUP(AI118,'Incrementare indexe'!$B:$I,7,FALSE))&amp;" (citit)"</f>
        <v>170661 (citit)</v>
      </c>
      <c r="Y123" s="647"/>
      <c r="Z123" s="647"/>
      <c r="AA123" s="647" t="s">
        <v>69</v>
      </c>
      <c r="AB123" s="647"/>
      <c r="AC123" s="647"/>
      <c r="AD123" s="647" t="s">
        <v>69</v>
      </c>
      <c r="AE123" s="647"/>
      <c r="AF123" s="647">
        <f>(VLOOKUP(AI118,'Incrementare indexe'!$B:$I,8,FALSE)-VLOOKUP(AI118,'Incrementare indexe'!$B:$I,7,FALSE))</f>
        <v>170661</v>
      </c>
      <c r="AG123" s="647"/>
      <c r="AH123" s="647"/>
      <c r="AI123" s="647">
        <f>J125-J123+1</f>
        <v>31</v>
      </c>
      <c r="AJ123" s="647"/>
      <c r="AK123" s="647">
        <f>ROUND(AF123/AI123,2)</f>
        <v>5505.19</v>
      </c>
      <c r="AL123" s="647"/>
      <c r="AM123" s="647"/>
    </row>
    <row r="124" spans="1:39" ht="14.1" customHeight="1">
      <c r="A124" s="717"/>
      <c r="B124" s="718"/>
      <c r="C124" s="718"/>
      <c r="D124" s="718"/>
      <c r="E124" s="718"/>
      <c r="F124" s="719"/>
      <c r="G124" s="647"/>
      <c r="H124" s="647"/>
      <c r="I124" s="675"/>
      <c r="J124" s="717" t="s">
        <v>69</v>
      </c>
      <c r="K124" s="718"/>
      <c r="L124" s="719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81"/>
      <c r="B125" s="682"/>
      <c r="C125" s="682"/>
      <c r="D125" s="682"/>
      <c r="E125" s="682"/>
      <c r="F125" s="683"/>
      <c r="G125" s="647"/>
      <c r="H125" s="647"/>
      <c r="I125" s="675"/>
      <c r="J125" s="714">
        <f>'Date masura OD'!$J$5</f>
        <v>45808</v>
      </c>
      <c r="K125" s="715"/>
      <c r="L125" s="716"/>
      <c r="M125" s="720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78">
        <f>A123</f>
        <v>1371624621</v>
      </c>
      <c r="B126" s="679"/>
      <c r="C126" s="679"/>
      <c r="D126" s="679"/>
      <c r="E126" s="679"/>
      <c r="F126" s="680"/>
      <c r="G126" s="648" t="s">
        <v>696</v>
      </c>
      <c r="H126" s="648"/>
      <c r="I126" s="648"/>
      <c r="J126" s="655">
        <f t="shared" ref="J126:J131" si="6">J123</f>
        <v>45778</v>
      </c>
      <c r="K126" s="656"/>
      <c r="L126" s="657"/>
      <c r="M126" s="648" t="s">
        <v>720</v>
      </c>
      <c r="N126" s="648"/>
      <c r="O126" s="648">
        <f>O123</f>
        <v>1</v>
      </c>
      <c r="P126" s="648"/>
      <c r="Q126" s="648"/>
      <c r="R126" s="647" t="s">
        <v>1089</v>
      </c>
      <c r="S126" s="647"/>
      <c r="T126" s="647"/>
      <c r="U126" s="647" t="s">
        <v>1089</v>
      </c>
      <c r="V126" s="647"/>
      <c r="W126" s="647"/>
      <c r="X126" s="647" t="s">
        <v>1089</v>
      </c>
      <c r="Y126" s="647"/>
      <c r="Z126" s="647"/>
      <c r="AA126" s="647" t="s">
        <v>69</v>
      </c>
      <c r="AB126" s="647"/>
      <c r="AC126" s="647"/>
      <c r="AD126" s="647" t="s">
        <v>69</v>
      </c>
      <c r="AE126" s="647"/>
      <c r="AF126" s="647">
        <v>0</v>
      </c>
      <c r="AG126" s="647"/>
      <c r="AH126" s="647"/>
      <c r="AI126" s="647">
        <f>AI123</f>
        <v>31</v>
      </c>
      <c r="AJ126" s="647"/>
      <c r="AK126" s="647">
        <f>ROUND(AF126/AI126,2)</f>
        <v>0</v>
      </c>
      <c r="AL126" s="647"/>
      <c r="AM126" s="647"/>
    </row>
    <row r="127" spans="1:39" ht="14.1" customHeight="1">
      <c r="A127" s="717"/>
      <c r="B127" s="718"/>
      <c r="C127" s="718"/>
      <c r="D127" s="718"/>
      <c r="E127" s="718"/>
      <c r="F127" s="719"/>
      <c r="G127" s="648"/>
      <c r="H127" s="648"/>
      <c r="I127" s="648"/>
      <c r="J127" s="717" t="str">
        <f t="shared" si="6"/>
        <v>-</v>
      </c>
      <c r="K127" s="718"/>
      <c r="L127" s="719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81"/>
      <c r="B128" s="682"/>
      <c r="C128" s="682"/>
      <c r="D128" s="682"/>
      <c r="E128" s="682"/>
      <c r="F128" s="683"/>
      <c r="G128" s="648"/>
      <c r="H128" s="648"/>
      <c r="I128" s="648"/>
      <c r="J128" s="714">
        <f t="shared" si="6"/>
        <v>45808</v>
      </c>
      <c r="K128" s="715"/>
      <c r="L128" s="716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78">
        <f>A126</f>
        <v>1371624621</v>
      </c>
      <c r="B129" s="679"/>
      <c r="C129" s="679"/>
      <c r="D129" s="679"/>
      <c r="E129" s="679"/>
      <c r="F129" s="680"/>
      <c r="G129" s="648" t="s">
        <v>731</v>
      </c>
      <c r="H129" s="648"/>
      <c r="I129" s="648"/>
      <c r="J129" s="655">
        <f t="shared" si="6"/>
        <v>45778</v>
      </c>
      <c r="K129" s="656"/>
      <c r="L129" s="657"/>
      <c r="M129" s="648" t="s">
        <v>720</v>
      </c>
      <c r="N129" s="648"/>
      <c r="O129" s="648">
        <f>O126</f>
        <v>1</v>
      </c>
      <c r="P129" s="648"/>
      <c r="Q129" s="648"/>
      <c r="R129" s="647" t="s">
        <v>1089</v>
      </c>
      <c r="S129" s="647"/>
      <c r="T129" s="647"/>
      <c r="U129" s="647" t="s">
        <v>1089</v>
      </c>
      <c r="V129" s="647"/>
      <c r="W129" s="647"/>
      <c r="X129" s="647" t="s">
        <v>1089</v>
      </c>
      <c r="Y129" s="647"/>
      <c r="Z129" s="647"/>
      <c r="AA129" s="647" t="s">
        <v>69</v>
      </c>
      <c r="AB129" s="647"/>
      <c r="AC129" s="647"/>
      <c r="AD129" s="647" t="s">
        <v>69</v>
      </c>
      <c r="AE129" s="647"/>
      <c r="AF129" s="647">
        <v>0</v>
      </c>
      <c r="AG129" s="647"/>
      <c r="AH129" s="647"/>
      <c r="AI129" s="647">
        <f>AI126</f>
        <v>31</v>
      </c>
      <c r="AJ129" s="647"/>
      <c r="AK129" s="647">
        <f>ROUND(AF129/AI129,2)</f>
        <v>0</v>
      </c>
      <c r="AL129" s="647"/>
      <c r="AM129" s="647"/>
    </row>
    <row r="130" spans="1:39" ht="14.1" customHeight="1">
      <c r="A130" s="717"/>
      <c r="B130" s="718"/>
      <c r="C130" s="718"/>
      <c r="D130" s="718"/>
      <c r="E130" s="718"/>
      <c r="F130" s="719"/>
      <c r="G130" s="648"/>
      <c r="H130" s="648"/>
      <c r="I130" s="648"/>
      <c r="J130" s="717" t="str">
        <f t="shared" si="6"/>
        <v>-</v>
      </c>
      <c r="K130" s="718"/>
      <c r="L130" s="719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681"/>
      <c r="B131" s="682"/>
      <c r="C131" s="682"/>
      <c r="D131" s="682"/>
      <c r="E131" s="682"/>
      <c r="F131" s="683"/>
      <c r="G131" s="648"/>
      <c r="H131" s="648"/>
      <c r="I131" s="648"/>
      <c r="J131" s="714">
        <f t="shared" si="6"/>
        <v>45808</v>
      </c>
      <c r="K131" s="715"/>
      <c r="L131" s="716"/>
      <c r="M131" s="648"/>
      <c r="N131" s="648"/>
      <c r="O131" s="648"/>
      <c r="P131" s="648"/>
      <c r="Q131" s="648"/>
      <c r="R131" s="647"/>
      <c r="S131" s="647"/>
      <c r="T131" s="647"/>
      <c r="U131" s="647"/>
      <c r="V131" s="647"/>
      <c r="W131" s="647"/>
      <c r="X131" s="647"/>
      <c r="Y131" s="647"/>
      <c r="Z131" s="647"/>
      <c r="AA131" s="647"/>
      <c r="AB131" s="647"/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</row>
    <row r="132" spans="1:39" ht="14.1" customHeight="1">
      <c r="A132" s="196"/>
      <c r="B132" s="196"/>
      <c r="C132" s="196"/>
      <c r="D132" s="196"/>
      <c r="E132" s="196"/>
      <c r="F132" s="196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196"/>
      <c r="B133" s="196"/>
      <c r="C133" s="196"/>
      <c r="D133" s="196"/>
      <c r="E133" s="196"/>
      <c r="F133" s="196"/>
      <c r="G133" s="196"/>
      <c r="H133" s="196"/>
      <c r="I133" s="196"/>
      <c r="J133" s="197"/>
      <c r="K133" s="197"/>
      <c r="L133" s="197"/>
      <c r="M133" s="196"/>
      <c r="N133" s="196"/>
      <c r="O133" s="196"/>
      <c r="P133" s="196"/>
      <c r="Q133" s="196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</row>
    <row r="134" spans="1:39" ht="14.1" customHeight="1"/>
    <row r="135" spans="1:39" ht="14.1" customHeight="1">
      <c r="A135" s="649" t="s">
        <v>748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VLOOKUP(AI136,'Contorizare in SDI'!$E:$I,4,FALSE)</f>
        <v>594030100003367652/3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50" t="s">
        <v>695</v>
      </c>
      <c r="AJ135" s="650"/>
      <c r="AK135" s="650"/>
      <c r="AL135" s="650"/>
      <c r="AM135" s="650"/>
    </row>
    <row r="136" spans="1:39" ht="14.1" customHeight="1">
      <c r="A136" s="649" t="s">
        <v>746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VLOOKUP(AI136,'Inchidere contur'!$G:$U,15,FALSE)</f>
        <v>JT_SDI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 t="str">
        <f>_xlfn.CONCAT(AA31,".",3)</f>
        <v>RPSC_1.3</v>
      </c>
      <c r="AJ136" s="619"/>
      <c r="AK136" s="619"/>
      <c r="AL136" s="619"/>
      <c r="AM136" s="619"/>
    </row>
    <row r="137" spans="1:39" ht="14.1" customHeight="1">
      <c r="A137" s="649" t="s">
        <v>747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tr">
        <f>IF(LEFT(M136,2)="JT","0.4kV",IF(LEFT(M136,2)="MT","20kV","-"))</f>
        <v>0.4kV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19"/>
      <c r="AJ137" s="619"/>
      <c r="AK137" s="619"/>
      <c r="AL137" s="619"/>
      <c r="AM137" s="619"/>
    </row>
    <row r="138" spans="1:39" ht="14.1" customHeight="1">
      <c r="A138" s="648" t="s">
        <v>697</v>
      </c>
      <c r="B138" s="648"/>
      <c r="C138" s="648"/>
      <c r="D138" s="648"/>
      <c r="E138" s="648"/>
      <c r="F138" s="648"/>
      <c r="G138" s="647" t="s">
        <v>713</v>
      </c>
      <c r="H138" s="647"/>
      <c r="I138" s="647"/>
      <c r="J138" s="647" t="s">
        <v>714</v>
      </c>
      <c r="K138" s="647"/>
      <c r="L138" s="647"/>
      <c r="M138" s="648" t="s">
        <v>519</v>
      </c>
      <c r="N138" s="648"/>
      <c r="O138" s="648" t="s">
        <v>715</v>
      </c>
      <c r="P138" s="648"/>
      <c r="Q138" s="648"/>
      <c r="R138" s="647" t="s">
        <v>732</v>
      </c>
      <c r="S138" s="647"/>
      <c r="T138" s="647"/>
      <c r="U138" s="647" t="s">
        <v>734</v>
      </c>
      <c r="V138" s="647"/>
      <c r="W138" s="647"/>
      <c r="X138" s="647" t="s">
        <v>1085</v>
      </c>
      <c r="Y138" s="647"/>
      <c r="Z138" s="647"/>
      <c r="AA138" s="647" t="s">
        <v>1086</v>
      </c>
      <c r="AB138" s="647"/>
      <c r="AC138" s="647"/>
      <c r="AD138" s="647" t="s">
        <v>717</v>
      </c>
      <c r="AE138" s="647"/>
      <c r="AF138" s="647" t="s">
        <v>718</v>
      </c>
      <c r="AG138" s="647"/>
      <c r="AH138" s="647"/>
      <c r="AI138" s="647" t="s">
        <v>719</v>
      </c>
      <c r="AJ138" s="647"/>
      <c r="AK138" s="647" t="s">
        <v>733</v>
      </c>
      <c r="AL138" s="647"/>
      <c r="AM138" s="647"/>
    </row>
    <row r="139" spans="1:39" ht="14.1" customHeight="1">
      <c r="A139" s="648"/>
      <c r="B139" s="648"/>
      <c r="C139" s="648"/>
      <c r="D139" s="648"/>
      <c r="E139" s="648"/>
      <c r="F139" s="648"/>
      <c r="G139" s="647"/>
      <c r="H139" s="647"/>
      <c r="I139" s="647"/>
      <c r="J139" s="647"/>
      <c r="K139" s="647"/>
      <c r="L139" s="647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48"/>
      <c r="B140" s="648"/>
      <c r="C140" s="648"/>
      <c r="D140" s="648"/>
      <c r="E140" s="648"/>
      <c r="F140" s="648"/>
      <c r="G140" s="647"/>
      <c r="H140" s="647"/>
      <c r="I140" s="647"/>
      <c r="J140" s="713"/>
      <c r="K140" s="713"/>
      <c r="L140" s="713"/>
      <c r="M140" s="648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>
      <c r="A141" s="678">
        <f>VLOOKUP(AI136,'Contorizare in SDI'!$E:$I,5,FALSE)</f>
        <v>23298242</v>
      </c>
      <c r="B141" s="679"/>
      <c r="C141" s="679"/>
      <c r="D141" s="679"/>
      <c r="E141" s="679"/>
      <c r="F141" s="680"/>
      <c r="G141" s="648" t="s">
        <v>730</v>
      </c>
      <c r="H141" s="648"/>
      <c r="I141" s="673"/>
      <c r="J141" s="655">
        <f>'Date masura OD'!$AK$5</f>
        <v>45748</v>
      </c>
      <c r="K141" s="656"/>
      <c r="L141" s="657"/>
      <c r="M141" s="720" t="s">
        <v>446</v>
      </c>
      <c r="N141" s="648"/>
      <c r="O141" s="648">
        <f>VLOOKUP(AI136,'Incrementare indexe'!$B:$T,4,FALSE)</f>
        <v>500</v>
      </c>
      <c r="P141" s="648"/>
      <c r="Q141" s="648"/>
      <c r="R141" s="647" t="str">
        <f>VLOOKUP(A141,Regularizare!$D:$YN,3,FALSE)&amp;" ("&amp;VLOOKUP(A141,Regularizare!$D:$Y,11,FALSE)&amp;")"</f>
        <v>2468.78 (citit)</v>
      </c>
      <c r="S141" s="647"/>
      <c r="T141" s="647"/>
      <c r="U141" s="647" t="str">
        <f>VLOOKUP(A141,Regularizare!$D:$U,4,FALSE)&amp;" ("&amp;VLOOKUP(A141,Regularizare!$D:$U,12,FALSE)&amp;")"</f>
        <v>2672.92 (estimat)</v>
      </c>
      <c r="V141" s="647"/>
      <c r="W141" s="647"/>
      <c r="X141" s="647" t="str">
        <f>VLOOKUP(A141,Regularizare!$D:$Y,19,FALSE)&amp;" ("&amp;VLOOKUP(A141,Regularizare!$D:$U,12,FALSE)&amp;")"</f>
        <v>102070 (estimat)</v>
      </c>
      <c r="Y141" s="647"/>
      <c r="Z141" s="647"/>
      <c r="AA141" s="647">
        <f>(-1)*VLOOKUP(A141,Regularizare!$D:$Y,19,FALSE)</f>
        <v>-102070</v>
      </c>
      <c r="AB141" s="647"/>
      <c r="AC141" s="647"/>
      <c r="AD141" s="647" t="s">
        <v>69</v>
      </c>
      <c r="AE141" s="647"/>
      <c r="AF141" s="647">
        <f>AA141</f>
        <v>-102070</v>
      </c>
      <c r="AG141" s="647"/>
      <c r="AH141" s="647"/>
      <c r="AI141" s="647" t="s">
        <v>69</v>
      </c>
      <c r="AJ141" s="647"/>
      <c r="AK141" s="647" t="s">
        <v>69</v>
      </c>
      <c r="AL141" s="647"/>
      <c r="AM141" s="647"/>
    </row>
    <row r="142" spans="1:39">
      <c r="A142" s="717"/>
      <c r="B142" s="718"/>
      <c r="C142" s="718"/>
      <c r="D142" s="718"/>
      <c r="E142" s="718"/>
      <c r="F142" s="719"/>
      <c r="G142" s="648"/>
      <c r="H142" s="648"/>
      <c r="I142" s="673"/>
      <c r="J142" s="717" t="s">
        <v>69</v>
      </c>
      <c r="K142" s="718"/>
      <c r="L142" s="719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>
      <c r="A143" s="681"/>
      <c r="B143" s="682"/>
      <c r="C143" s="682"/>
      <c r="D143" s="682"/>
      <c r="E143" s="682"/>
      <c r="F143" s="683"/>
      <c r="G143" s="648"/>
      <c r="H143" s="648"/>
      <c r="I143" s="673"/>
      <c r="J143" s="714">
        <f>'Date masura OD'!$AL$5</f>
        <v>45777</v>
      </c>
      <c r="K143" s="715"/>
      <c r="L143" s="716"/>
      <c r="M143" s="720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>
      <c r="A144" s="678">
        <f>A141</f>
        <v>23298242</v>
      </c>
      <c r="B144" s="679"/>
      <c r="C144" s="679"/>
      <c r="D144" s="679"/>
      <c r="E144" s="679"/>
      <c r="F144" s="680"/>
      <c r="G144" s="648" t="s">
        <v>696</v>
      </c>
      <c r="H144" s="648"/>
      <c r="I144" s="648"/>
      <c r="J144" s="655">
        <f t="shared" ref="J144:J149" si="7">J141</f>
        <v>45748</v>
      </c>
      <c r="K144" s="656"/>
      <c r="L144" s="657"/>
      <c r="M144" s="648" t="s">
        <v>720</v>
      </c>
      <c r="N144" s="648"/>
      <c r="O144" s="648">
        <f>O141</f>
        <v>500</v>
      </c>
      <c r="P144" s="648"/>
      <c r="Q144" s="648"/>
      <c r="R144" s="647" t="str">
        <f>VLOOKUP(A144,Regularizare!$D:$U,7,FALSE)&amp;" ("&amp;VLOOKUP(A144,Regularizare!$D:$U,15,FALSE)&amp;")"</f>
        <v>0 (citit)</v>
      </c>
      <c r="S144" s="647"/>
      <c r="T144" s="647"/>
      <c r="U144" s="647" t="str">
        <f>VLOOKUP(A144,Regularizare!$D:$U,8,FALSE)&amp;" ("&amp;VLOOKUP(A144,Regularizare!$D:$U,16,FALSE)&amp;")"</f>
        <v>0 (estimat)</v>
      </c>
      <c r="V144" s="647"/>
      <c r="W144" s="647"/>
      <c r="X144" s="647" t="str">
        <f>_xlfn.CONCAT(VLOOKUP(A144,Regularizare!$D:$U,8,FALSE)-VLOOKUP(A144,Regularizare!$D:$U,7,FALSE)," (",VLOOKUP(A144,Regularizare!$D:$U,16,FALSE),")")</f>
        <v>0 (estimat)</v>
      </c>
      <c r="Y144" s="647"/>
      <c r="Z144" s="647"/>
      <c r="AA144" s="647">
        <f>IF(VLOOKUP(A144,Regularizare!$D:$Y,21,FALSE)=0,VLOOKUP(A144,Regularizare!$D:$Y,21,FALSE),(-1)*VLOOKUP(A144,Regularizare!$D:$Y,21,FALSE))</f>
        <v>0</v>
      </c>
      <c r="AB144" s="647"/>
      <c r="AC144" s="647"/>
      <c r="AD144" s="647" t="s">
        <v>69</v>
      </c>
      <c r="AE144" s="647"/>
      <c r="AF144" s="647">
        <f>AA144</f>
        <v>0</v>
      </c>
      <c r="AG144" s="647"/>
      <c r="AH144" s="647"/>
      <c r="AI144" s="647" t="str">
        <f>AI141</f>
        <v>-</v>
      </c>
      <c r="AJ144" s="647"/>
      <c r="AK144" s="647" t="str">
        <f>AK141</f>
        <v>-</v>
      </c>
      <c r="AL144" s="647"/>
      <c r="AM144" s="647"/>
    </row>
    <row r="145" spans="1:39" ht="15.95" customHeight="1">
      <c r="A145" s="717"/>
      <c r="B145" s="718"/>
      <c r="C145" s="718"/>
      <c r="D145" s="718"/>
      <c r="E145" s="718"/>
      <c r="F145" s="719"/>
      <c r="G145" s="648"/>
      <c r="H145" s="648"/>
      <c r="I145" s="648"/>
      <c r="J145" s="717" t="str">
        <f t="shared" si="7"/>
        <v>-</v>
      </c>
      <c r="K145" s="718"/>
      <c r="L145" s="719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>
      <c r="A146" s="681"/>
      <c r="B146" s="682"/>
      <c r="C146" s="682"/>
      <c r="D146" s="682"/>
      <c r="E146" s="682"/>
      <c r="F146" s="683"/>
      <c r="G146" s="648"/>
      <c r="H146" s="648"/>
      <c r="I146" s="648"/>
      <c r="J146" s="714">
        <f t="shared" si="7"/>
        <v>45777</v>
      </c>
      <c r="K146" s="715"/>
      <c r="L146" s="716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>
      <c r="A147" s="678">
        <f>A144</f>
        <v>23298242</v>
      </c>
      <c r="B147" s="679"/>
      <c r="C147" s="679"/>
      <c r="D147" s="679"/>
      <c r="E147" s="679"/>
      <c r="F147" s="680"/>
      <c r="G147" s="648" t="s">
        <v>731</v>
      </c>
      <c r="H147" s="648"/>
      <c r="I147" s="648"/>
      <c r="J147" s="655">
        <f t="shared" si="7"/>
        <v>45748</v>
      </c>
      <c r="K147" s="656"/>
      <c r="L147" s="657"/>
      <c r="M147" s="648" t="s">
        <v>720</v>
      </c>
      <c r="N147" s="648"/>
      <c r="O147" s="648">
        <f>O144</f>
        <v>500</v>
      </c>
      <c r="P147" s="648"/>
      <c r="Q147" s="648"/>
      <c r="R147" s="647" t="str">
        <f>VLOOKUP(A147,Regularizare!$D:$U,9,FALSE)&amp;" ("&amp;VLOOKUP(A147,Regularizare!$D:$U,17,FALSE)&amp;")"</f>
        <v>0 (citit)</v>
      </c>
      <c r="S147" s="647"/>
      <c r="T147" s="647"/>
      <c r="U147" s="647" t="str">
        <f>VLOOKUP(A147,Regularizare!$D:$U,10,FALSE)&amp;" ("&amp;VLOOKUP(A147,Regularizare!$D:$U,18,FALSE)&amp;")"</f>
        <v>0 (estimat)</v>
      </c>
      <c r="V147" s="647"/>
      <c r="W147" s="647"/>
      <c r="X147" s="647" t="str">
        <f>_xlfn.CONCAT(VLOOKUP(A147,Regularizare!$D:$U,10,FALSE)-VLOOKUP(A147,Regularizare!$D:$U,9,FALSE)," (",VLOOKUP(A147,Regularizare!$D:$U,18,FALSE),")")</f>
        <v>0 (estimat)</v>
      </c>
      <c r="Y147" s="647"/>
      <c r="Z147" s="647"/>
      <c r="AA147" s="647">
        <f>IF(VLOOKUP(A147,Regularizare!$D:$Y,22,FALSE)=0,VLOOKUP(A147,Regularizare!$D:$Y,22,FALSE),(-1)*VLOOKUP(A147,Regularizare!$D:$Y,22,FALSE))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14.1" customHeight="1">
      <c r="A148" s="717"/>
      <c r="B148" s="718"/>
      <c r="C148" s="718"/>
      <c r="D148" s="718"/>
      <c r="E148" s="718"/>
      <c r="F148" s="719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9.75" customHeight="1">
      <c r="A149" s="681"/>
      <c r="B149" s="682"/>
      <c r="C149" s="682"/>
      <c r="D149" s="682"/>
      <c r="E149" s="682"/>
      <c r="F149" s="683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78">
        <f>A147</f>
        <v>23298242</v>
      </c>
      <c r="B150" s="679"/>
      <c r="C150" s="679"/>
      <c r="D150" s="679"/>
      <c r="E150" s="679"/>
      <c r="F150" s="680"/>
      <c r="G150" s="648" t="s">
        <v>730</v>
      </c>
      <c r="H150" s="648"/>
      <c r="I150" s="673"/>
      <c r="J150" s="655">
        <f>'Date masura OD'!$AK$5</f>
        <v>45748</v>
      </c>
      <c r="K150" s="656"/>
      <c r="L150" s="657"/>
      <c r="M150" s="720" t="s">
        <v>446</v>
      </c>
      <c r="N150" s="648"/>
      <c r="O150" s="648">
        <f>O147</f>
        <v>500</v>
      </c>
      <c r="P150" s="648"/>
      <c r="Q150" s="648"/>
      <c r="R150" s="647" t="str">
        <f>VLOOKUP(A150,Regularizare!$D:$AX,23,FALSE)&amp;" ("&amp;VLOOKUP(A150,Regularizare!$D:$AX,24,FALSE)&amp;")"</f>
        <v>2468.78 (citit)</v>
      </c>
      <c r="S150" s="647"/>
      <c r="T150" s="647"/>
      <c r="U150" s="647" t="str">
        <f>VLOOKUP(A150,Regularizare!$D:$AX,25,FALSE)&amp;" ("&amp;VLOOKUP(A150,Regularizare!$D:$AX,26,FALSE)&amp;")"</f>
        <v>2672.922 (citit)</v>
      </c>
      <c r="V150" s="647"/>
      <c r="W150" s="647"/>
      <c r="X150" s="647" t="str">
        <f>VLOOKUP(A150,Regularizare!$D:$AX,37,FALSE)&amp;" ("&amp;VLOOKUP(A150,Regularizare!$D:$AX,26,FALSE)&amp;")"</f>
        <v>102071 (citit)</v>
      </c>
      <c r="Y150" s="647"/>
      <c r="Z150" s="647"/>
      <c r="AA150" s="647">
        <f>VLOOKUP(A150,Regularizare!$D:$AX,37,FALSE)</f>
        <v>102071</v>
      </c>
      <c r="AB150" s="647"/>
      <c r="AC150" s="647"/>
      <c r="AD150" s="647" t="s">
        <v>69</v>
      </c>
      <c r="AE150" s="647"/>
      <c r="AF150" s="647">
        <f>AA150</f>
        <v>102071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14.1" customHeight="1">
      <c r="A151" s="717"/>
      <c r="B151" s="718"/>
      <c r="C151" s="718"/>
      <c r="D151" s="718"/>
      <c r="E151" s="718"/>
      <c r="F151" s="719"/>
      <c r="G151" s="648"/>
      <c r="H151" s="648"/>
      <c r="I151" s="673"/>
      <c r="J151" s="717" t="s">
        <v>69</v>
      </c>
      <c r="K151" s="718"/>
      <c r="L151" s="719"/>
      <c r="M151" s="720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8.4499999999999993" customHeight="1">
      <c r="A152" s="681"/>
      <c r="B152" s="682"/>
      <c r="C152" s="682"/>
      <c r="D152" s="682"/>
      <c r="E152" s="682"/>
      <c r="F152" s="683"/>
      <c r="G152" s="648"/>
      <c r="H152" s="648"/>
      <c r="I152" s="673"/>
      <c r="J152" s="714">
        <f>'Date masura OD'!$AL$5</f>
        <v>45777</v>
      </c>
      <c r="K152" s="715"/>
      <c r="L152" s="716"/>
      <c r="M152" s="720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78">
        <f>A150</f>
        <v>23298242</v>
      </c>
      <c r="B153" s="679"/>
      <c r="C153" s="679"/>
      <c r="D153" s="679"/>
      <c r="E153" s="679"/>
      <c r="F153" s="680"/>
      <c r="G153" s="648" t="s">
        <v>696</v>
      </c>
      <c r="H153" s="648"/>
      <c r="I153" s="648"/>
      <c r="J153" s="655">
        <f t="shared" ref="J153:J158" si="8">J150</f>
        <v>45748</v>
      </c>
      <c r="K153" s="656"/>
      <c r="L153" s="657"/>
      <c r="M153" s="648" t="s">
        <v>720</v>
      </c>
      <c r="N153" s="648"/>
      <c r="O153" s="648">
        <f>O150</f>
        <v>500</v>
      </c>
      <c r="P153" s="648"/>
      <c r="Q153" s="648"/>
      <c r="R153" s="647" t="str">
        <f>VLOOKUP(A153,Regularizare!$D:$AX,29,FALSE)&amp;" ("&amp;VLOOKUP(A153,Regularizare!$D:$AX,30,FALSE)&amp;")"</f>
        <v>0 (citit)</v>
      </c>
      <c r="S153" s="647"/>
      <c r="T153" s="647"/>
      <c r="U153" s="647" t="str">
        <f>VLOOKUP(A153,Regularizare!$D:$AX,31,FALSE)&amp;" ("&amp;VLOOKUP(A153,Regularizare!$D:$AX,32,FALSE)&amp;")"</f>
        <v>0 (citit)</v>
      </c>
      <c r="V153" s="647"/>
      <c r="W153" s="647"/>
      <c r="X153" s="647" t="str">
        <f>VLOOKUP(A153,Regularizare!$D:$AX,39,FALSE)&amp;" ("&amp;VLOOKUP(A153,Regularizare!$D:$AX,32,FALSE)&amp;")"</f>
        <v>0 (citit)</v>
      </c>
      <c r="Y153" s="647"/>
      <c r="Z153" s="647"/>
      <c r="AA153" s="647">
        <f>VLOOKUP(A153,Regularizare!$D:$AX,44,FALSE)+VLOOKUP(A153,Regularizare!$D:$AX,45,FALSE)</f>
        <v>0</v>
      </c>
      <c r="AB153" s="647"/>
      <c r="AC153" s="647"/>
      <c r="AD153" s="647" t="s">
        <v>69</v>
      </c>
      <c r="AE153" s="647"/>
      <c r="AF153" s="647">
        <f>AA153</f>
        <v>0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14.1" customHeight="1">
      <c r="A154" s="717"/>
      <c r="B154" s="718"/>
      <c r="C154" s="718"/>
      <c r="D154" s="718"/>
      <c r="E154" s="718"/>
      <c r="F154" s="719"/>
      <c r="G154" s="648"/>
      <c r="H154" s="648"/>
      <c r="I154" s="648"/>
      <c r="J154" s="717" t="str">
        <f t="shared" si="8"/>
        <v>-</v>
      </c>
      <c r="K154" s="718"/>
      <c r="L154" s="719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8.4499999999999993" customHeight="1">
      <c r="A155" s="681"/>
      <c r="B155" s="682"/>
      <c r="C155" s="682"/>
      <c r="D155" s="682"/>
      <c r="E155" s="682"/>
      <c r="F155" s="683"/>
      <c r="G155" s="648"/>
      <c r="H155" s="648"/>
      <c r="I155" s="648"/>
      <c r="J155" s="714">
        <f t="shared" si="8"/>
        <v>45777</v>
      </c>
      <c r="K155" s="715"/>
      <c r="L155" s="716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78">
        <f>A153</f>
        <v>23298242</v>
      </c>
      <c r="B156" s="679"/>
      <c r="C156" s="679"/>
      <c r="D156" s="679"/>
      <c r="E156" s="679"/>
      <c r="F156" s="680"/>
      <c r="G156" s="648" t="s">
        <v>731</v>
      </c>
      <c r="H156" s="648"/>
      <c r="I156" s="648"/>
      <c r="J156" s="655">
        <f t="shared" si="8"/>
        <v>45748</v>
      </c>
      <c r="K156" s="656"/>
      <c r="L156" s="657"/>
      <c r="M156" s="648" t="s">
        <v>720</v>
      </c>
      <c r="N156" s="648"/>
      <c r="O156" s="648">
        <f>O153</f>
        <v>500</v>
      </c>
      <c r="P156" s="648"/>
      <c r="Q156" s="648"/>
      <c r="R156" s="647" t="str">
        <f>VLOOKUP(A156,Regularizare!$D:$AX,33,FALSE)&amp;" ("&amp;VLOOKUP(A156,Regularizare!$D:$AX,34,FALSE)&amp;")"</f>
        <v>0 (citit)</v>
      </c>
      <c r="S156" s="647"/>
      <c r="T156" s="647"/>
      <c r="U156" s="647" t="str">
        <f>VLOOKUP(A156,Regularizare!$D:$AX,35,FALSE)&amp;" ("&amp;VLOOKUP(A156,Regularizare!$D:$AX,36,FALSE)&amp;")"</f>
        <v>0 (citit)</v>
      </c>
      <c r="V156" s="647"/>
      <c r="W156" s="647"/>
      <c r="X156" s="647" t="str">
        <f>VLOOKUP(A156,Regularizare!$D:$AX,40,FALSE)&amp;" ("&amp;VLOOKUP(A156,Regularizare!$D:$AX,36,FALSE)&amp;")"</f>
        <v>0 (citit)</v>
      </c>
      <c r="Y156" s="647"/>
      <c r="Z156" s="647"/>
      <c r="AA156" s="647">
        <f>VLOOKUP(A156,Regularizare!$D:$AX,46,FALSE)+VLOOKUP(A156,Regularizare!$D:$AX,47,FALSE)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14.1" customHeight="1">
      <c r="A157" s="717"/>
      <c r="B157" s="718"/>
      <c r="C157" s="718"/>
      <c r="D157" s="718"/>
      <c r="E157" s="718"/>
      <c r="F157" s="719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8.4499999999999993" customHeight="1">
      <c r="A158" s="681"/>
      <c r="B158" s="682"/>
      <c r="C158" s="682"/>
      <c r="D158" s="682"/>
      <c r="E158" s="682"/>
      <c r="F158" s="683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78">
        <f>A156</f>
        <v>23298242</v>
      </c>
      <c r="B159" s="679"/>
      <c r="C159" s="679"/>
      <c r="D159" s="679"/>
      <c r="E159" s="679"/>
      <c r="F159" s="680"/>
      <c r="G159" s="648" t="s">
        <v>730</v>
      </c>
      <c r="H159" s="648"/>
      <c r="I159" s="673"/>
      <c r="J159" s="655">
        <f>'Date masura OD'!$I$5</f>
        <v>45778</v>
      </c>
      <c r="K159" s="656"/>
      <c r="L159" s="657"/>
      <c r="M159" s="720" t="s">
        <v>446</v>
      </c>
      <c r="N159" s="648"/>
      <c r="O159" s="648">
        <f>O156</f>
        <v>500</v>
      </c>
      <c r="P159" s="648"/>
      <c r="Q159" s="648"/>
      <c r="R159" s="647" t="str">
        <f>U150</f>
        <v>2672.922 (citit)</v>
      </c>
      <c r="S159" s="647"/>
      <c r="T159" s="647"/>
      <c r="U159" s="647" t="str">
        <f>VLOOKUP(A159,'Incrementare indexe'!$D:$M,4,FALSE)&amp;" (estimat)"</f>
        <v>2942.284 (estimat)</v>
      </c>
      <c r="V159" s="647"/>
      <c r="W159" s="647"/>
      <c r="X159" s="647" t="str">
        <f>VLOOKUP(A159,'Incrementare indexe'!$D:$Q,11,FALSE)&amp;" (estimat)"</f>
        <v>134681 (estimat)</v>
      </c>
      <c r="Y159" s="647"/>
      <c r="Z159" s="647"/>
      <c r="AA159" s="647" t="s">
        <v>69</v>
      </c>
      <c r="AB159" s="647"/>
      <c r="AC159" s="647"/>
      <c r="AD159" s="647" t="s">
        <v>69</v>
      </c>
      <c r="AE159" s="647"/>
      <c r="AF159" s="647">
        <f>VLOOKUP(A159,'Incrementare indexe'!$D:$Q,11,FALSE)</f>
        <v>134681</v>
      </c>
      <c r="AG159" s="647"/>
      <c r="AH159" s="647"/>
      <c r="AI159" s="647">
        <f>J161-J159+1</f>
        <v>31</v>
      </c>
      <c r="AJ159" s="647"/>
      <c r="AK159" s="647">
        <f>ROUND(AF159/AI159,2)</f>
        <v>4344.55</v>
      </c>
      <c r="AL159" s="647"/>
      <c r="AM159" s="647"/>
    </row>
    <row r="160" spans="1:39" ht="14.1" customHeight="1">
      <c r="A160" s="717"/>
      <c r="B160" s="718"/>
      <c r="C160" s="718"/>
      <c r="D160" s="718"/>
      <c r="E160" s="718"/>
      <c r="F160" s="719"/>
      <c r="G160" s="648"/>
      <c r="H160" s="648"/>
      <c r="I160" s="673"/>
      <c r="J160" s="717" t="s">
        <v>69</v>
      </c>
      <c r="K160" s="718"/>
      <c r="L160" s="719"/>
      <c r="M160" s="720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8.4499999999999993" customHeight="1">
      <c r="A161" s="681"/>
      <c r="B161" s="682"/>
      <c r="C161" s="682"/>
      <c r="D161" s="682"/>
      <c r="E161" s="682"/>
      <c r="F161" s="683"/>
      <c r="G161" s="648"/>
      <c r="H161" s="648"/>
      <c r="I161" s="673"/>
      <c r="J161" s="714">
        <f>'Date masura OD'!$J$5</f>
        <v>45808</v>
      </c>
      <c r="K161" s="715"/>
      <c r="L161" s="716"/>
      <c r="M161" s="720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78">
        <f>A159</f>
        <v>23298242</v>
      </c>
      <c r="B162" s="679"/>
      <c r="C162" s="679"/>
      <c r="D162" s="679"/>
      <c r="E162" s="679"/>
      <c r="F162" s="680"/>
      <c r="G162" s="648" t="s">
        <v>696</v>
      </c>
      <c r="H162" s="648"/>
      <c r="I162" s="648"/>
      <c r="J162" s="655">
        <f t="shared" ref="J162:J167" si="9">J159</f>
        <v>45778</v>
      </c>
      <c r="K162" s="656"/>
      <c r="L162" s="657"/>
      <c r="M162" s="648" t="s">
        <v>720</v>
      </c>
      <c r="N162" s="648"/>
      <c r="O162" s="648">
        <f>O159</f>
        <v>500</v>
      </c>
      <c r="P162" s="648"/>
      <c r="Q162" s="648"/>
      <c r="R162" s="647" t="str">
        <f>U153</f>
        <v>0 (citit)</v>
      </c>
      <c r="S162" s="647"/>
      <c r="T162" s="647"/>
      <c r="U162" s="647" t="str">
        <f>VLOOKUP(A162,'Incrementare indexe'!$D:$M,8,FALSE)&amp;" (estimat)"</f>
        <v>0 (estimat)</v>
      </c>
      <c r="V162" s="647"/>
      <c r="W162" s="647"/>
      <c r="X162" s="647" t="str">
        <f>VLOOKUP(A162,'Incrementare indexe'!$D:$Q,12,FALSE)&amp;" (estimat)"</f>
        <v>0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indexe'!$D:$Q,12,FALSE)</f>
        <v>0</v>
      </c>
      <c r="AG162" s="647"/>
      <c r="AH162" s="647"/>
      <c r="AI162" s="647">
        <f>AI159</f>
        <v>31</v>
      </c>
      <c r="AJ162" s="647"/>
      <c r="AK162" s="647">
        <f>ROUND(AF162/AI162,2)</f>
        <v>0</v>
      </c>
      <c r="AL162" s="647"/>
      <c r="AM162" s="647"/>
    </row>
    <row r="163" spans="1:39" ht="14.1" customHeight="1">
      <c r="A163" s="717"/>
      <c r="B163" s="718"/>
      <c r="C163" s="718"/>
      <c r="D163" s="718"/>
      <c r="E163" s="718"/>
      <c r="F163" s="719"/>
      <c r="G163" s="648"/>
      <c r="H163" s="648"/>
      <c r="I163" s="648"/>
      <c r="J163" s="717" t="str">
        <f t="shared" si="9"/>
        <v>-</v>
      </c>
      <c r="K163" s="718"/>
      <c r="L163" s="719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8.4499999999999993" customHeight="1">
      <c r="A164" s="681"/>
      <c r="B164" s="682"/>
      <c r="C164" s="682"/>
      <c r="D164" s="682"/>
      <c r="E164" s="682"/>
      <c r="F164" s="683"/>
      <c r="G164" s="648"/>
      <c r="H164" s="648"/>
      <c r="I164" s="648"/>
      <c r="J164" s="714">
        <f t="shared" si="9"/>
        <v>45808</v>
      </c>
      <c r="K164" s="715"/>
      <c r="L164" s="716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78">
        <f>A162</f>
        <v>23298242</v>
      </c>
      <c r="B165" s="679"/>
      <c r="C165" s="679"/>
      <c r="D165" s="679"/>
      <c r="E165" s="679"/>
      <c r="F165" s="680"/>
      <c r="G165" s="648" t="s">
        <v>731</v>
      </c>
      <c r="H165" s="648"/>
      <c r="I165" s="648"/>
      <c r="J165" s="655">
        <f t="shared" si="9"/>
        <v>45778</v>
      </c>
      <c r="K165" s="656"/>
      <c r="L165" s="657"/>
      <c r="M165" s="648" t="s">
        <v>720</v>
      </c>
      <c r="N165" s="648"/>
      <c r="O165" s="648">
        <f>O162</f>
        <v>500</v>
      </c>
      <c r="P165" s="648"/>
      <c r="Q165" s="648"/>
      <c r="R165" s="647" t="str">
        <f>U156</f>
        <v>0 (citit)</v>
      </c>
      <c r="S165" s="647"/>
      <c r="T165" s="647"/>
      <c r="U165" s="647" t="str">
        <f>VLOOKUP(A165,'Incrementare indexe'!$D:$M,10,FALSE)&amp;" (estimat)"</f>
        <v>0 (estimat)</v>
      </c>
      <c r="V165" s="647"/>
      <c r="W165" s="647"/>
      <c r="X165" s="647" t="str">
        <f>VLOOKUP(A165,'Incrementare indexe'!$D:$Q,13,FALSE)&amp;"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indexe'!$D:$Q,13,FALSE)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14.1" customHeight="1">
      <c r="A166" s="717"/>
      <c r="B166" s="718"/>
      <c r="C166" s="718"/>
      <c r="D166" s="718"/>
      <c r="E166" s="718"/>
      <c r="F166" s="719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8.4499999999999993" customHeight="1">
      <c r="A167" s="681"/>
      <c r="B167" s="682"/>
      <c r="C167" s="682"/>
      <c r="D167" s="682"/>
      <c r="E167" s="682"/>
      <c r="F167" s="683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/>
    <row r="169" spans="1:39" ht="15.95" customHeight="1">
      <c r="A169" s="721" t="s">
        <v>1196</v>
      </c>
      <c r="B169" s="722"/>
      <c r="C169" s="722"/>
      <c r="D169" s="722"/>
      <c r="E169" s="722"/>
      <c r="F169" s="722"/>
      <c r="G169" s="722"/>
      <c r="H169" s="722"/>
      <c r="I169" s="722"/>
      <c r="J169" s="722"/>
      <c r="K169" s="722"/>
      <c r="L169" s="722"/>
      <c r="M169" s="722"/>
      <c r="N169" s="722"/>
      <c r="O169" s="722"/>
      <c r="P169" s="722"/>
      <c r="Q169" s="722"/>
      <c r="R169" s="722"/>
      <c r="S169" s="722"/>
      <c r="T169" s="722"/>
      <c r="U169" s="722"/>
      <c r="V169" s="722"/>
      <c r="W169" s="722"/>
      <c r="X169" s="722"/>
      <c r="Y169" s="722"/>
      <c r="Z169" s="722"/>
      <c r="AA169" s="722"/>
      <c r="AB169" s="722"/>
      <c r="AC169" s="722"/>
      <c r="AD169" s="722"/>
      <c r="AE169" s="722"/>
      <c r="AF169" s="722"/>
      <c r="AG169" s="722"/>
      <c r="AH169" s="723"/>
      <c r="AI169" s="650" t="s">
        <v>695</v>
      </c>
      <c r="AJ169" s="650"/>
      <c r="AK169" s="650"/>
      <c r="AL169" s="650"/>
      <c r="AM169" s="650"/>
    </row>
    <row r="170" spans="1:39" ht="14.1" customHeight="1">
      <c r="A170" s="649" t="s">
        <v>746</v>
      </c>
      <c r="B170" s="649"/>
      <c r="C170" s="649"/>
      <c r="D170" s="649"/>
      <c r="E170" s="649"/>
      <c r="F170" s="649"/>
      <c r="G170" s="649"/>
      <c r="H170" s="649"/>
      <c r="I170" s="649"/>
      <c r="J170" s="649"/>
      <c r="K170" s="649"/>
      <c r="L170" s="649"/>
      <c r="M170" s="650" t="s">
        <v>514</v>
      </c>
      <c r="N170" s="650"/>
      <c r="O170" s="650"/>
      <c r="P170" s="650"/>
      <c r="Q170" s="650"/>
      <c r="R170" s="650"/>
      <c r="S170" s="650"/>
      <c r="T170" s="650"/>
      <c r="U170" s="650"/>
      <c r="V170" s="650"/>
      <c r="W170" s="650"/>
      <c r="X170" s="650"/>
      <c r="Y170" s="650"/>
      <c r="Z170" s="650"/>
      <c r="AA170" s="650"/>
      <c r="AB170" s="650"/>
      <c r="AC170" s="650"/>
      <c r="AD170" s="650"/>
      <c r="AE170" s="650"/>
      <c r="AF170" s="650"/>
      <c r="AG170" s="650"/>
      <c r="AH170" s="650"/>
      <c r="AI170" s="619" t="str">
        <f>_xlfn.CONCAT(AI136,"/PV")</f>
        <v>RPSC_1.3/PV</v>
      </c>
      <c r="AJ170" s="619"/>
      <c r="AK170" s="619"/>
      <c r="AL170" s="619"/>
      <c r="AM170" s="619"/>
    </row>
    <row r="171" spans="1:39" ht="14.1" customHeight="1">
      <c r="A171" s="649" t="s">
        <v>747</v>
      </c>
      <c r="B171" s="649"/>
      <c r="C171" s="649"/>
      <c r="D171" s="649"/>
      <c r="E171" s="649"/>
      <c r="F171" s="649"/>
      <c r="G171" s="649"/>
      <c r="H171" s="649"/>
      <c r="I171" s="649"/>
      <c r="J171" s="649"/>
      <c r="K171" s="649"/>
      <c r="L171" s="649"/>
      <c r="M171" s="650" t="s">
        <v>1087</v>
      </c>
      <c r="N171" s="650"/>
      <c r="O171" s="650"/>
      <c r="P171" s="650"/>
      <c r="Q171" s="650"/>
      <c r="R171" s="650"/>
      <c r="S171" s="650"/>
      <c r="T171" s="650"/>
      <c r="U171" s="650"/>
      <c r="V171" s="650"/>
      <c r="W171" s="650"/>
      <c r="X171" s="650"/>
      <c r="Y171" s="650"/>
      <c r="Z171" s="650"/>
      <c r="AA171" s="650"/>
      <c r="AB171" s="650"/>
      <c r="AC171" s="650"/>
      <c r="AD171" s="650"/>
      <c r="AE171" s="650"/>
      <c r="AF171" s="650"/>
      <c r="AG171" s="650"/>
      <c r="AH171" s="650"/>
      <c r="AI171" s="619"/>
      <c r="AJ171" s="619"/>
      <c r="AK171" s="619"/>
      <c r="AL171" s="619"/>
      <c r="AM171" s="619"/>
    </row>
    <row r="172" spans="1:39" ht="8.4499999999999993" customHeight="1">
      <c r="A172" s="648" t="s">
        <v>697</v>
      </c>
      <c r="B172" s="648"/>
      <c r="C172" s="648"/>
      <c r="D172" s="648"/>
      <c r="E172" s="648"/>
      <c r="F172" s="648"/>
      <c r="G172" s="647" t="s">
        <v>713</v>
      </c>
      <c r="H172" s="647"/>
      <c r="I172" s="647"/>
      <c r="J172" s="647" t="s">
        <v>714</v>
      </c>
      <c r="K172" s="647"/>
      <c r="L172" s="647"/>
      <c r="M172" s="648" t="s">
        <v>519</v>
      </c>
      <c r="N172" s="648"/>
      <c r="O172" s="648" t="s">
        <v>715</v>
      </c>
      <c r="P172" s="648"/>
      <c r="Q172" s="648"/>
      <c r="R172" s="647" t="s">
        <v>732</v>
      </c>
      <c r="S172" s="647"/>
      <c r="T172" s="647"/>
      <c r="U172" s="647" t="s">
        <v>734</v>
      </c>
      <c r="V172" s="647"/>
      <c r="W172" s="647"/>
      <c r="X172" s="647" t="s">
        <v>1085</v>
      </c>
      <c r="Y172" s="647"/>
      <c r="Z172" s="647"/>
      <c r="AA172" s="647" t="s">
        <v>1086</v>
      </c>
      <c r="AB172" s="647"/>
      <c r="AC172" s="647"/>
      <c r="AD172" s="647" t="s">
        <v>717</v>
      </c>
      <c r="AE172" s="647"/>
      <c r="AF172" s="647" t="s">
        <v>718</v>
      </c>
      <c r="AG172" s="647"/>
      <c r="AH172" s="647"/>
      <c r="AI172" s="647" t="s">
        <v>719</v>
      </c>
      <c r="AJ172" s="647"/>
      <c r="AK172" s="647" t="s">
        <v>733</v>
      </c>
      <c r="AL172" s="647"/>
      <c r="AM172" s="647"/>
    </row>
    <row r="173" spans="1:39" ht="14.1" customHeight="1">
      <c r="A173" s="648"/>
      <c r="B173" s="648"/>
      <c r="C173" s="648"/>
      <c r="D173" s="648"/>
      <c r="E173" s="648"/>
      <c r="F173" s="648"/>
      <c r="G173" s="647"/>
      <c r="H173" s="647"/>
      <c r="I173" s="647"/>
      <c r="J173" s="647"/>
      <c r="K173" s="647"/>
      <c r="L173" s="647"/>
      <c r="M173" s="648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48"/>
      <c r="B174" s="648"/>
      <c r="C174" s="648"/>
      <c r="D174" s="648"/>
      <c r="E174" s="648"/>
      <c r="F174" s="648"/>
      <c r="G174" s="647"/>
      <c r="H174" s="647"/>
      <c r="I174" s="647"/>
      <c r="J174" s="713"/>
      <c r="K174" s="713"/>
      <c r="L174" s="713"/>
      <c r="M174" s="648"/>
      <c r="N174" s="648"/>
      <c r="O174" s="648"/>
      <c r="P174" s="648"/>
      <c r="Q174" s="648"/>
      <c r="R174" s="647"/>
      <c r="S174" s="647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647"/>
      <c r="AL174" s="647"/>
      <c r="AM174" s="647"/>
    </row>
    <row r="175" spans="1:39" ht="14.1" customHeight="1">
      <c r="A175" s="678">
        <f>VLOOKUP(AI170,'Incrementare indexe'!$B:$I,3,FALSE)</f>
        <v>23295929</v>
      </c>
      <c r="B175" s="679"/>
      <c r="C175" s="679"/>
      <c r="D175" s="679"/>
      <c r="E175" s="679"/>
      <c r="F175" s="680"/>
      <c r="G175" s="647" t="s">
        <v>1088</v>
      </c>
      <c r="H175" s="647"/>
      <c r="I175" s="675"/>
      <c r="J175" s="655">
        <v>45627</v>
      </c>
      <c r="K175" s="656"/>
      <c r="L175" s="657"/>
      <c r="M175" s="720" t="s">
        <v>446</v>
      </c>
      <c r="N175" s="648"/>
      <c r="O175" s="648">
        <f>VLOOKUP(AI170,'Incrementare indexe'!$B:$I,4,FALSE)</f>
        <v>500</v>
      </c>
      <c r="P175" s="648"/>
      <c r="Q175" s="648"/>
      <c r="R175" s="647" t="str">
        <f>VLOOKUP(AI170,'Incrementare indexe'!$B:$I,7,FALSE)&amp;" (citit)"</f>
        <v>447 (citit)</v>
      </c>
      <c r="S175" s="647"/>
      <c r="T175" s="647"/>
      <c r="U175" s="647" t="str">
        <f>66.41&amp;" (citit)"</f>
        <v>66.41 (citit)</v>
      </c>
      <c r="V175" s="647"/>
      <c r="W175" s="647"/>
      <c r="X175" s="647" t="str">
        <f>33207&amp;" (citit)"</f>
        <v>33207 (citit)</v>
      </c>
      <c r="Y175" s="647"/>
      <c r="Z175" s="647"/>
      <c r="AA175" s="647" t="s">
        <v>69</v>
      </c>
      <c r="AB175" s="647"/>
      <c r="AC175" s="647"/>
      <c r="AD175" s="647" t="s">
        <v>69</v>
      </c>
      <c r="AE175" s="647"/>
      <c r="AF175" s="647">
        <f>33207</f>
        <v>33207</v>
      </c>
      <c r="AG175" s="647"/>
      <c r="AH175" s="647"/>
      <c r="AI175" s="647">
        <f>J177-J175+1</f>
        <v>182</v>
      </c>
      <c r="AJ175" s="647"/>
      <c r="AK175" s="647">
        <f>ROUND(AF175/AI175,2)</f>
        <v>182.46</v>
      </c>
      <c r="AL175" s="647"/>
      <c r="AM175" s="647"/>
    </row>
    <row r="176" spans="1:39" ht="14.1" customHeight="1">
      <c r="A176" s="717"/>
      <c r="B176" s="718"/>
      <c r="C176" s="718"/>
      <c r="D176" s="718"/>
      <c r="E176" s="718"/>
      <c r="F176" s="719"/>
      <c r="G176" s="647"/>
      <c r="H176" s="647"/>
      <c r="I176" s="675"/>
      <c r="J176" s="717" t="s">
        <v>69</v>
      </c>
      <c r="K176" s="718"/>
      <c r="L176" s="719"/>
      <c r="M176" s="720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1"/>
      <c r="B177" s="682"/>
      <c r="C177" s="682"/>
      <c r="D177" s="682"/>
      <c r="E177" s="682"/>
      <c r="F177" s="683"/>
      <c r="G177" s="647"/>
      <c r="H177" s="647"/>
      <c r="I177" s="675"/>
      <c r="J177" s="714">
        <f>'Date masura OD'!$J$5</f>
        <v>45808</v>
      </c>
      <c r="K177" s="715"/>
      <c r="L177" s="716"/>
      <c r="M177" s="720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78">
        <f>A175</f>
        <v>23295929</v>
      </c>
      <c r="B178" s="679"/>
      <c r="C178" s="679"/>
      <c r="D178" s="679"/>
      <c r="E178" s="679"/>
      <c r="F178" s="680"/>
      <c r="G178" s="648" t="s">
        <v>696</v>
      </c>
      <c r="H178" s="648"/>
      <c r="I178" s="648"/>
      <c r="J178" s="655">
        <f t="shared" ref="J178:J183" si="10">J175</f>
        <v>45627</v>
      </c>
      <c r="K178" s="656"/>
      <c r="L178" s="657"/>
      <c r="M178" s="648" t="s">
        <v>720</v>
      </c>
      <c r="N178" s="648"/>
      <c r="O178" s="648">
        <f>O175</f>
        <v>500</v>
      </c>
      <c r="P178" s="648"/>
      <c r="Q178" s="648"/>
      <c r="R178" s="647" t="s">
        <v>1089</v>
      </c>
      <c r="S178" s="647"/>
      <c r="T178" s="647"/>
      <c r="U178" s="647" t="s">
        <v>1089</v>
      </c>
      <c r="V178" s="647"/>
      <c r="W178" s="647"/>
      <c r="X178" s="647" t="s">
        <v>1089</v>
      </c>
      <c r="Y178" s="647"/>
      <c r="Z178" s="647"/>
      <c r="AA178" s="647" t="s">
        <v>69</v>
      </c>
      <c r="AB178" s="647"/>
      <c r="AC178" s="647"/>
      <c r="AD178" s="647" t="s">
        <v>69</v>
      </c>
      <c r="AE178" s="647"/>
      <c r="AF178" s="647">
        <v>0</v>
      </c>
      <c r="AG178" s="647"/>
      <c r="AH178" s="647"/>
      <c r="AI178" s="647">
        <f>AI175</f>
        <v>182</v>
      </c>
      <c r="AJ178" s="647"/>
      <c r="AK178" s="647">
        <f>ROUND(AF178/AI178,2)</f>
        <v>0</v>
      </c>
      <c r="AL178" s="647"/>
      <c r="AM178" s="647"/>
    </row>
    <row r="179" spans="1:39" ht="14.1" customHeight="1">
      <c r="A179" s="717"/>
      <c r="B179" s="718"/>
      <c r="C179" s="718"/>
      <c r="D179" s="718"/>
      <c r="E179" s="718"/>
      <c r="F179" s="719"/>
      <c r="G179" s="648"/>
      <c r="H179" s="648"/>
      <c r="I179" s="648"/>
      <c r="J179" s="717" t="str">
        <f t="shared" si="10"/>
        <v>-</v>
      </c>
      <c r="K179" s="718"/>
      <c r="L179" s="719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1"/>
      <c r="B180" s="682"/>
      <c r="C180" s="682"/>
      <c r="D180" s="682"/>
      <c r="E180" s="682"/>
      <c r="F180" s="683"/>
      <c r="G180" s="648"/>
      <c r="H180" s="648"/>
      <c r="I180" s="648"/>
      <c r="J180" s="714">
        <f t="shared" si="10"/>
        <v>45808</v>
      </c>
      <c r="K180" s="715"/>
      <c r="L180" s="716"/>
      <c r="M180" s="648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78">
        <f>A178</f>
        <v>23295929</v>
      </c>
      <c r="B181" s="679"/>
      <c r="C181" s="679"/>
      <c r="D181" s="679"/>
      <c r="E181" s="679"/>
      <c r="F181" s="680"/>
      <c r="G181" s="648" t="s">
        <v>731</v>
      </c>
      <c r="H181" s="648"/>
      <c r="I181" s="648"/>
      <c r="J181" s="655">
        <f t="shared" si="10"/>
        <v>45627</v>
      </c>
      <c r="K181" s="656"/>
      <c r="L181" s="657"/>
      <c r="M181" s="648" t="s">
        <v>720</v>
      </c>
      <c r="N181" s="648"/>
      <c r="O181" s="648">
        <f>O178</f>
        <v>500</v>
      </c>
      <c r="P181" s="648"/>
      <c r="Q181" s="648"/>
      <c r="R181" s="647" t="s">
        <v>1089</v>
      </c>
      <c r="S181" s="647"/>
      <c r="T181" s="647"/>
      <c r="U181" s="647" t="s">
        <v>1089</v>
      </c>
      <c r="V181" s="647"/>
      <c r="W181" s="647"/>
      <c r="X181" s="647" t="s">
        <v>1089</v>
      </c>
      <c r="Y181" s="647"/>
      <c r="Z181" s="647"/>
      <c r="AA181" s="647" t="s">
        <v>69</v>
      </c>
      <c r="AB181" s="647"/>
      <c r="AC181" s="647"/>
      <c r="AD181" s="647" t="s">
        <v>69</v>
      </c>
      <c r="AE181" s="647"/>
      <c r="AF181" s="647">
        <v>0</v>
      </c>
      <c r="AG181" s="647"/>
      <c r="AH181" s="647"/>
      <c r="AI181" s="647">
        <f>AI178</f>
        <v>182</v>
      </c>
      <c r="AJ181" s="647"/>
      <c r="AK181" s="647">
        <f>ROUND(AF181/AI181,2)</f>
        <v>0</v>
      </c>
      <c r="AL181" s="647"/>
      <c r="AM181" s="647"/>
    </row>
    <row r="182" spans="1:39" ht="14.1" customHeight="1">
      <c r="A182" s="717"/>
      <c r="B182" s="718"/>
      <c r="C182" s="718"/>
      <c r="D182" s="718"/>
      <c r="E182" s="718"/>
      <c r="F182" s="719"/>
      <c r="G182" s="648"/>
      <c r="H182" s="648"/>
      <c r="I182" s="648"/>
      <c r="J182" s="717" t="str">
        <f t="shared" si="10"/>
        <v>-</v>
      </c>
      <c r="K182" s="718"/>
      <c r="L182" s="719"/>
      <c r="M182" s="648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81"/>
      <c r="B183" s="682"/>
      <c r="C183" s="682"/>
      <c r="D183" s="682"/>
      <c r="E183" s="682"/>
      <c r="F183" s="683"/>
      <c r="G183" s="648"/>
      <c r="H183" s="648"/>
      <c r="I183" s="648"/>
      <c r="J183" s="714">
        <f t="shared" si="10"/>
        <v>45808</v>
      </c>
      <c r="K183" s="715"/>
      <c r="L183" s="716"/>
      <c r="M183" s="648"/>
      <c r="N183" s="648"/>
      <c r="O183" s="648"/>
      <c r="P183" s="648"/>
      <c r="Q183" s="648"/>
      <c r="R183" s="647"/>
      <c r="S183" s="647"/>
      <c r="T183" s="647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/>
    <row r="185" spans="1:39" ht="14.1" customHeight="1"/>
    <row r="186" spans="1:39">
      <c r="A186" s="649" t="s">
        <v>748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50" t="str">
        <f>VLOOKUP(AI187,'Contorizare in SDI'!$E:$I,4,FALSE)</f>
        <v>594030100003367652/2</v>
      </c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50" t="s">
        <v>695</v>
      </c>
      <c r="AJ186" s="650"/>
      <c r="AK186" s="650"/>
      <c r="AL186" s="650"/>
      <c r="AM186" s="650"/>
    </row>
    <row r="187" spans="1:39">
      <c r="A187" s="649" t="s">
        <v>746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VLOOKUP(AI187,'Inchidere contur'!$G:$U,15,FALSE)</f>
        <v>JT_SDI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19" t="str">
        <f>_xlfn.CONCAT(AA31,".",2)</f>
        <v>RPSC_1.2</v>
      </c>
      <c r="AJ187" s="619"/>
      <c r="AK187" s="619"/>
      <c r="AL187" s="619"/>
      <c r="AM187" s="619"/>
    </row>
    <row r="188" spans="1:39">
      <c r="A188" s="649" t="s">
        <v>747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IF(LEFT(M187,2)="JT","0.4kV",IF(LEFT(M187,2)="MT","20kV","-"))</f>
        <v>0.4kV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/>
      <c r="AJ188" s="619"/>
      <c r="AK188" s="619"/>
      <c r="AL188" s="619"/>
      <c r="AM188" s="619"/>
    </row>
    <row r="189" spans="1:39" ht="15.95" customHeight="1">
      <c r="A189" s="648" t="s">
        <v>697</v>
      </c>
      <c r="B189" s="648"/>
      <c r="C189" s="648"/>
      <c r="D189" s="648"/>
      <c r="E189" s="648"/>
      <c r="F189" s="648"/>
      <c r="G189" s="647" t="s">
        <v>713</v>
      </c>
      <c r="H189" s="647"/>
      <c r="I189" s="647"/>
      <c r="J189" s="647" t="s">
        <v>714</v>
      </c>
      <c r="K189" s="647"/>
      <c r="L189" s="647"/>
      <c r="M189" s="648" t="s">
        <v>519</v>
      </c>
      <c r="N189" s="648"/>
      <c r="O189" s="648" t="s">
        <v>715</v>
      </c>
      <c r="P189" s="648"/>
      <c r="Q189" s="648"/>
      <c r="R189" s="647" t="s">
        <v>732</v>
      </c>
      <c r="S189" s="647"/>
      <c r="T189" s="647"/>
      <c r="U189" s="647" t="s">
        <v>734</v>
      </c>
      <c r="V189" s="647"/>
      <c r="W189" s="647"/>
      <c r="X189" s="647" t="s">
        <v>1085</v>
      </c>
      <c r="Y189" s="647"/>
      <c r="Z189" s="647"/>
      <c r="AA189" s="647" t="s">
        <v>1086</v>
      </c>
      <c r="AB189" s="647"/>
      <c r="AC189" s="647"/>
      <c r="AD189" s="647" t="s">
        <v>717</v>
      </c>
      <c r="AE189" s="647"/>
      <c r="AF189" s="647" t="s">
        <v>718</v>
      </c>
      <c r="AG189" s="647"/>
      <c r="AH189" s="647"/>
      <c r="AI189" s="647" t="s">
        <v>719</v>
      </c>
      <c r="AJ189" s="647"/>
      <c r="AK189" s="647" t="s">
        <v>733</v>
      </c>
      <c r="AL189" s="647"/>
      <c r="AM189" s="647"/>
    </row>
    <row r="190" spans="1:39">
      <c r="A190" s="648"/>
      <c r="B190" s="648"/>
      <c r="C190" s="648"/>
      <c r="D190" s="648"/>
      <c r="E190" s="648"/>
      <c r="F190" s="648"/>
      <c r="G190" s="647"/>
      <c r="H190" s="647"/>
      <c r="I190" s="647"/>
      <c r="J190" s="647"/>
      <c r="K190" s="647"/>
      <c r="L190" s="647"/>
      <c r="M190" s="648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713"/>
      <c r="K191" s="713"/>
      <c r="L191" s="713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78">
        <f>VLOOKUP(AI187,'Contorizare in SDI'!$E:$I,5,FALSE)</f>
        <v>1372628411</v>
      </c>
      <c r="B192" s="679"/>
      <c r="C192" s="679"/>
      <c r="D192" s="679"/>
      <c r="E192" s="679"/>
      <c r="F192" s="680"/>
      <c r="G192" s="648" t="s">
        <v>730</v>
      </c>
      <c r="H192" s="648"/>
      <c r="I192" s="673"/>
      <c r="J192" s="655">
        <f>'Date masura OD'!$AK$5</f>
        <v>45748</v>
      </c>
      <c r="K192" s="656"/>
      <c r="L192" s="657"/>
      <c r="M192" s="720" t="s">
        <v>446</v>
      </c>
      <c r="N192" s="648"/>
      <c r="O192" s="648">
        <f>VLOOKUP(AI187,'Incrementare indexe'!$B:$T,4,FALSE)</f>
        <v>1</v>
      </c>
      <c r="P192" s="648"/>
      <c r="Q192" s="648"/>
      <c r="R192" s="647" t="str">
        <f>VLOOKUP(A192,Regularizare!$D:$YN,3,FALSE)&amp;" ("&amp;VLOOKUP(A192,Regularizare!$D:$Y,11,FALSE)&amp;")"</f>
        <v>4393002 (citit)</v>
      </c>
      <c r="S192" s="647"/>
      <c r="T192" s="647"/>
      <c r="U192" s="647" t="str">
        <f>VLOOKUP(A192,Regularizare!$D:$U,4,FALSE)&amp;" ("&amp;VLOOKUP(A192,Regularizare!$D:$U,12,FALSE)&amp;")"</f>
        <v>4541183 (estimat)</v>
      </c>
      <c r="V192" s="647"/>
      <c r="W192" s="647"/>
      <c r="X192" s="647" t="str">
        <f>VLOOKUP(A192,Regularizare!$D:$Y,19,FALSE)&amp;" ("&amp;VLOOKUP(A192,Regularizare!$D:$U,12,FALSE)&amp;")"</f>
        <v>148181 (estimat)</v>
      </c>
      <c r="Y192" s="647"/>
      <c r="Z192" s="647"/>
      <c r="AA192" s="647">
        <f>(-1)*VLOOKUP(A192,Regularizare!$D:$Y,19,FALSE)</f>
        <v>-148181</v>
      </c>
      <c r="AB192" s="647"/>
      <c r="AC192" s="647"/>
      <c r="AD192" s="647" t="s">
        <v>69</v>
      </c>
      <c r="AE192" s="647"/>
      <c r="AF192" s="647">
        <f>AA192</f>
        <v>-148181</v>
      </c>
      <c r="AG192" s="647"/>
      <c r="AH192" s="647"/>
      <c r="AI192" s="647" t="s">
        <v>69</v>
      </c>
      <c r="AJ192" s="647"/>
      <c r="AK192" s="647" t="s">
        <v>69</v>
      </c>
      <c r="AL192" s="647"/>
      <c r="AM192" s="647"/>
    </row>
    <row r="193" spans="1:39" ht="9.75" customHeight="1">
      <c r="A193" s="717"/>
      <c r="B193" s="718"/>
      <c r="C193" s="718"/>
      <c r="D193" s="718"/>
      <c r="E193" s="718"/>
      <c r="F193" s="719"/>
      <c r="G193" s="648"/>
      <c r="H193" s="648"/>
      <c r="I193" s="673"/>
      <c r="J193" s="717" t="s">
        <v>69</v>
      </c>
      <c r="K193" s="718"/>
      <c r="L193" s="719"/>
      <c r="M193" s="720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1"/>
      <c r="B194" s="682"/>
      <c r="C194" s="682"/>
      <c r="D194" s="682"/>
      <c r="E194" s="682"/>
      <c r="F194" s="683"/>
      <c r="G194" s="648"/>
      <c r="H194" s="648"/>
      <c r="I194" s="673"/>
      <c r="J194" s="714">
        <f>'Date masura OD'!$AL$5</f>
        <v>45777</v>
      </c>
      <c r="K194" s="715"/>
      <c r="L194" s="716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78">
        <f>A192</f>
        <v>1372628411</v>
      </c>
      <c r="B195" s="679"/>
      <c r="C195" s="679"/>
      <c r="D195" s="679"/>
      <c r="E195" s="679"/>
      <c r="F195" s="680"/>
      <c r="G195" s="648" t="s">
        <v>696</v>
      </c>
      <c r="H195" s="648"/>
      <c r="I195" s="648"/>
      <c r="J195" s="655">
        <f t="shared" ref="J195:J200" si="11">J192</f>
        <v>45748</v>
      </c>
      <c r="K195" s="656"/>
      <c r="L195" s="657"/>
      <c r="M195" s="648" t="s">
        <v>720</v>
      </c>
      <c r="N195" s="648"/>
      <c r="O195" s="648">
        <f>O192</f>
        <v>1</v>
      </c>
      <c r="P195" s="648"/>
      <c r="Q195" s="648"/>
      <c r="R195" s="647" t="str">
        <f>VLOOKUP(A195,Regularizare!$D:$U,7,FALSE)&amp;" ("&amp;VLOOKUP(A195,Regularizare!$D:$U,15,FALSE)&amp;")"</f>
        <v>409408 (citit)</v>
      </c>
      <c r="S195" s="647"/>
      <c r="T195" s="647"/>
      <c r="U195" s="647" t="str">
        <f>VLOOKUP(A195,Regularizare!$D:$U,8,FALSE)&amp;" ("&amp;VLOOKUP(A195,Regularizare!$D:$U,16,FALSE)&amp;")"</f>
        <v>409408 (estimat)</v>
      </c>
      <c r="V195" s="647"/>
      <c r="W195" s="647"/>
      <c r="X195" s="647" t="str">
        <f>_xlfn.CONCAT(VLOOKUP(A195,Regularizare!$D:$U,8,FALSE)-VLOOKUP(A195,Regularizare!$D:$U,7,FALSE)," (",VLOOKUP(A195,Regularizare!$D:$U,16,FALSE),")")</f>
        <v>0 (estimat)</v>
      </c>
      <c r="Y195" s="647"/>
      <c r="Z195" s="647"/>
      <c r="AA195" s="647">
        <f>IF(VLOOKUP(A195,Regularizare!$D:$Y,21,FALSE)=0,VLOOKUP(A195,Regularizare!$D:$Y,21,FALSE),(-1)*VLOOKUP(A195,Regularizare!$D:$Y,21,FALSE))</f>
        <v>0</v>
      </c>
      <c r="AB195" s="647"/>
      <c r="AC195" s="647"/>
      <c r="AD195" s="647" t="s">
        <v>69</v>
      </c>
      <c r="AE195" s="647"/>
      <c r="AF195" s="647">
        <f>AA195</f>
        <v>0</v>
      </c>
      <c r="AG195" s="647"/>
      <c r="AH195" s="647"/>
      <c r="AI195" s="647" t="str">
        <f>AI192</f>
        <v>-</v>
      </c>
      <c r="AJ195" s="647"/>
      <c r="AK195" s="647" t="str">
        <f>AK192</f>
        <v>-</v>
      </c>
      <c r="AL195" s="647"/>
      <c r="AM195" s="647"/>
    </row>
    <row r="196" spans="1:39" ht="8.4499999999999993" customHeight="1">
      <c r="A196" s="717"/>
      <c r="B196" s="718"/>
      <c r="C196" s="718"/>
      <c r="D196" s="718"/>
      <c r="E196" s="718"/>
      <c r="F196" s="719"/>
      <c r="G196" s="648"/>
      <c r="H196" s="648"/>
      <c r="I196" s="648"/>
      <c r="J196" s="717" t="str">
        <f t="shared" si="11"/>
        <v>-</v>
      </c>
      <c r="K196" s="718"/>
      <c r="L196" s="719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1"/>
      <c r="B197" s="682"/>
      <c r="C197" s="682"/>
      <c r="D197" s="682"/>
      <c r="E197" s="682"/>
      <c r="F197" s="683"/>
      <c r="G197" s="648"/>
      <c r="H197" s="648"/>
      <c r="I197" s="648"/>
      <c r="J197" s="714">
        <f t="shared" si="11"/>
        <v>45777</v>
      </c>
      <c r="K197" s="715"/>
      <c r="L197" s="716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78">
        <f>A195</f>
        <v>1372628411</v>
      </c>
      <c r="B198" s="679"/>
      <c r="C198" s="679"/>
      <c r="D198" s="679"/>
      <c r="E198" s="679"/>
      <c r="F198" s="680"/>
      <c r="G198" s="648" t="s">
        <v>731</v>
      </c>
      <c r="H198" s="648"/>
      <c r="I198" s="648"/>
      <c r="J198" s="655">
        <f t="shared" si="11"/>
        <v>45748</v>
      </c>
      <c r="K198" s="656"/>
      <c r="L198" s="657"/>
      <c r="M198" s="648" t="s">
        <v>720</v>
      </c>
      <c r="N198" s="648"/>
      <c r="O198" s="648">
        <f>O195</f>
        <v>1</v>
      </c>
      <c r="P198" s="648"/>
      <c r="Q198" s="648"/>
      <c r="R198" s="647" t="str">
        <f>VLOOKUP(A198,Regularizare!$D:$U,9,FALSE)&amp;" ("&amp;VLOOKUP(A198,Regularizare!$D:$U,17,FALSE)&amp;")"</f>
        <v>1419 (citit)</v>
      </c>
      <c r="S198" s="647"/>
      <c r="T198" s="647"/>
      <c r="U198" s="647" t="str">
        <f>VLOOKUP(A198,Regularizare!$D:$U,10,FALSE)&amp;" ("&amp;VLOOKUP(A198,Regularizare!$D:$U,18,FALSE)&amp;")"</f>
        <v>1419 (estimat)</v>
      </c>
      <c r="V198" s="647"/>
      <c r="W198" s="647"/>
      <c r="X198" s="647" t="str">
        <f>_xlfn.CONCAT(VLOOKUP(A198,Regularizare!$D:$U,10,FALSE)-VLOOKUP(A198,Regularizare!$D:$U,9,FALSE)," (",VLOOKUP(A198,Regularizare!$D:$U,18,FALSE),")")</f>
        <v>0 (estimat)</v>
      </c>
      <c r="Y198" s="647"/>
      <c r="Z198" s="647"/>
      <c r="AA198" s="647">
        <f>IF(VLOOKUP(A198,Regularizare!$D:$Y,22,FALSE)=0,VLOOKUP(A198,Regularizare!$D:$Y,22,FALSE),(-1)*VLOOKUP(A198,Regularizare!$D:$Y,22,FALSE))</f>
        <v>0</v>
      </c>
      <c r="AB198" s="647"/>
      <c r="AC198" s="647"/>
      <c r="AD198" s="647" t="s">
        <v>69</v>
      </c>
      <c r="AE198" s="647"/>
      <c r="AF198" s="647">
        <f>AA198</f>
        <v>0</v>
      </c>
      <c r="AG198" s="647"/>
      <c r="AH198" s="647"/>
      <c r="AI198" s="647" t="str">
        <f>AI195</f>
        <v>-</v>
      </c>
      <c r="AJ198" s="647"/>
      <c r="AK198" s="647" t="str">
        <f>AK195</f>
        <v>-</v>
      </c>
      <c r="AL198" s="647"/>
      <c r="AM198" s="647"/>
    </row>
    <row r="199" spans="1:39" ht="8.4499999999999993" customHeight="1">
      <c r="A199" s="717"/>
      <c r="B199" s="718"/>
      <c r="C199" s="718"/>
      <c r="D199" s="718"/>
      <c r="E199" s="718"/>
      <c r="F199" s="719"/>
      <c r="G199" s="648"/>
      <c r="H199" s="648"/>
      <c r="I199" s="648"/>
      <c r="J199" s="717" t="str">
        <f t="shared" si="11"/>
        <v>-</v>
      </c>
      <c r="K199" s="718"/>
      <c r="L199" s="719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1"/>
      <c r="B200" s="682"/>
      <c r="C200" s="682"/>
      <c r="D200" s="682"/>
      <c r="E200" s="682"/>
      <c r="F200" s="683"/>
      <c r="G200" s="648"/>
      <c r="H200" s="648"/>
      <c r="I200" s="648"/>
      <c r="J200" s="714">
        <f t="shared" si="11"/>
        <v>45777</v>
      </c>
      <c r="K200" s="715"/>
      <c r="L200" s="716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78">
        <f>A198</f>
        <v>1372628411</v>
      </c>
      <c r="B201" s="679"/>
      <c r="C201" s="679"/>
      <c r="D201" s="679"/>
      <c r="E201" s="679"/>
      <c r="F201" s="680"/>
      <c r="G201" s="648" t="s">
        <v>730</v>
      </c>
      <c r="H201" s="648"/>
      <c r="I201" s="673"/>
      <c r="J201" s="655">
        <f>'Date masura OD'!$AK$5</f>
        <v>45748</v>
      </c>
      <c r="K201" s="656"/>
      <c r="L201" s="657"/>
      <c r="M201" s="720" t="s">
        <v>446</v>
      </c>
      <c r="N201" s="648"/>
      <c r="O201" s="648">
        <f>O198</f>
        <v>1</v>
      </c>
      <c r="P201" s="648"/>
      <c r="Q201" s="648"/>
      <c r="R201" s="647" t="str">
        <f>VLOOKUP(A201,Regularizare!$D:$AX,23,FALSE)&amp;" ("&amp;VLOOKUP(A201,Regularizare!$D:$AX,24,FALSE)&amp;")"</f>
        <v>4393002 (citit)</v>
      </c>
      <c r="S201" s="647"/>
      <c r="T201" s="647"/>
      <c r="U201" s="647" t="str">
        <f>VLOOKUP(A201,Regularizare!$D:$AX,25,FALSE)&amp;" ("&amp;VLOOKUP(A201,Regularizare!$D:$AX,26,FALSE)&amp;")"</f>
        <v>4541183 (citit)</v>
      </c>
      <c r="V201" s="647"/>
      <c r="W201" s="647"/>
      <c r="X201" s="647" t="str">
        <f>VLOOKUP(A201,Regularizare!$D:$AX,37,FALSE)&amp;" ("&amp;VLOOKUP(A201,Regularizare!$D:$AX,26,FALSE)&amp;")"</f>
        <v>148181 (citit)</v>
      </c>
      <c r="Y201" s="647"/>
      <c r="Z201" s="647"/>
      <c r="AA201" s="647">
        <f>VLOOKUP(A201,Regularizare!$D:$AX,37,FALSE)</f>
        <v>148181</v>
      </c>
      <c r="AB201" s="647"/>
      <c r="AC201" s="647"/>
      <c r="AD201" s="647" t="s">
        <v>69</v>
      </c>
      <c r="AE201" s="647"/>
      <c r="AF201" s="647">
        <f>AA201</f>
        <v>148181</v>
      </c>
      <c r="AG201" s="647"/>
      <c r="AH201" s="647"/>
      <c r="AI201" s="647" t="str">
        <f>AI198</f>
        <v>-</v>
      </c>
      <c r="AJ201" s="647"/>
      <c r="AK201" s="647" t="str">
        <f>AK198</f>
        <v>-</v>
      </c>
      <c r="AL201" s="647"/>
      <c r="AM201" s="647"/>
    </row>
    <row r="202" spans="1:39" ht="8.4499999999999993" customHeight="1">
      <c r="A202" s="717"/>
      <c r="B202" s="718"/>
      <c r="C202" s="718"/>
      <c r="D202" s="718"/>
      <c r="E202" s="718"/>
      <c r="F202" s="719"/>
      <c r="G202" s="648"/>
      <c r="H202" s="648"/>
      <c r="I202" s="673"/>
      <c r="J202" s="717" t="s">
        <v>69</v>
      </c>
      <c r="K202" s="718"/>
      <c r="L202" s="719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1"/>
      <c r="B203" s="682"/>
      <c r="C203" s="682"/>
      <c r="D203" s="682"/>
      <c r="E203" s="682"/>
      <c r="F203" s="683"/>
      <c r="G203" s="648"/>
      <c r="H203" s="648"/>
      <c r="I203" s="673"/>
      <c r="J203" s="714">
        <f>'Date masura OD'!$AL$5</f>
        <v>45777</v>
      </c>
      <c r="K203" s="715"/>
      <c r="L203" s="716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78">
        <f>A201</f>
        <v>1372628411</v>
      </c>
      <c r="B204" s="679"/>
      <c r="C204" s="679"/>
      <c r="D204" s="679"/>
      <c r="E204" s="679"/>
      <c r="F204" s="680"/>
      <c r="G204" s="648" t="s">
        <v>696</v>
      </c>
      <c r="H204" s="648"/>
      <c r="I204" s="648"/>
      <c r="J204" s="655">
        <f t="shared" ref="J204:J209" si="12">J201</f>
        <v>45748</v>
      </c>
      <c r="K204" s="656"/>
      <c r="L204" s="657"/>
      <c r="M204" s="648" t="s">
        <v>720</v>
      </c>
      <c r="N204" s="648"/>
      <c r="O204" s="648">
        <f>O201</f>
        <v>1</v>
      </c>
      <c r="P204" s="648"/>
      <c r="Q204" s="648"/>
      <c r="R204" s="647" t="str">
        <f>VLOOKUP(A204,Regularizare!$D:$AX,29,FALSE)&amp;" ("&amp;VLOOKUP(A204,Regularizare!$D:$AX,30,FALSE)&amp;")"</f>
        <v>409408 (citit)</v>
      </c>
      <c r="S204" s="647"/>
      <c r="T204" s="647"/>
      <c r="U204" s="647" t="str">
        <f>VLOOKUP(A204,Regularizare!$D:$AX,31,FALSE)&amp;" ("&amp;VLOOKUP(A204,Regularizare!$D:$AX,32,FALSE)&amp;")"</f>
        <v>409408 (citit)</v>
      </c>
      <c r="V204" s="647"/>
      <c r="W204" s="647"/>
      <c r="X204" s="647" t="str">
        <f>VLOOKUP(A204,Regularizare!$D:$AX,39,FALSE)&amp;" ("&amp;VLOOKUP(A204,Regularizare!$D:$AX,32,FALSE)&amp;")"</f>
        <v>0 (citit)</v>
      </c>
      <c r="Y204" s="647"/>
      <c r="Z204" s="647"/>
      <c r="AA204" s="647">
        <f>VLOOKUP(A204,Regularizare!$D:$AX,44,FALSE)+VLOOKUP(A204,Regularizare!$D:$AX,45,FALSE)</f>
        <v>0</v>
      </c>
      <c r="AB204" s="647"/>
      <c r="AC204" s="647"/>
      <c r="AD204" s="647" t="s">
        <v>69</v>
      </c>
      <c r="AE204" s="647"/>
      <c r="AF204" s="647">
        <f>AA204</f>
        <v>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8.4499999999999993" customHeight="1">
      <c r="A205" s="717"/>
      <c r="B205" s="718"/>
      <c r="C205" s="718"/>
      <c r="D205" s="718"/>
      <c r="E205" s="718"/>
      <c r="F205" s="719"/>
      <c r="G205" s="648"/>
      <c r="H205" s="648"/>
      <c r="I205" s="648"/>
      <c r="J205" s="717" t="str">
        <f t="shared" si="12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1"/>
      <c r="B206" s="682"/>
      <c r="C206" s="682"/>
      <c r="D206" s="682"/>
      <c r="E206" s="682"/>
      <c r="F206" s="683"/>
      <c r="G206" s="648"/>
      <c r="H206" s="648"/>
      <c r="I206" s="648"/>
      <c r="J206" s="714">
        <f t="shared" si="12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78">
        <f>A204</f>
        <v>1372628411</v>
      </c>
      <c r="B207" s="679"/>
      <c r="C207" s="679"/>
      <c r="D207" s="679"/>
      <c r="E207" s="679"/>
      <c r="F207" s="680"/>
      <c r="G207" s="648" t="s">
        <v>731</v>
      </c>
      <c r="H207" s="648"/>
      <c r="I207" s="648"/>
      <c r="J207" s="655">
        <f t="shared" si="12"/>
        <v>45748</v>
      </c>
      <c r="K207" s="656"/>
      <c r="L207" s="657"/>
      <c r="M207" s="648" t="s">
        <v>720</v>
      </c>
      <c r="N207" s="648"/>
      <c r="O207" s="648">
        <f>O204</f>
        <v>1</v>
      </c>
      <c r="P207" s="648"/>
      <c r="Q207" s="648"/>
      <c r="R207" s="647" t="str">
        <f>VLOOKUP(A207,Regularizare!$D:$AX,33,FALSE)&amp;" ("&amp;VLOOKUP(A207,Regularizare!$D:$AX,34,FALSE)&amp;")"</f>
        <v>1419 (citit)</v>
      </c>
      <c r="S207" s="647"/>
      <c r="T207" s="647"/>
      <c r="U207" s="647" t="str">
        <f>VLOOKUP(A207,Regularizare!$D:$AX,35,FALSE)&amp;" ("&amp;VLOOKUP(A207,Regularizare!$D:$AX,36,FALSE)&amp;")"</f>
        <v>1419 (citit)</v>
      </c>
      <c r="V207" s="647"/>
      <c r="W207" s="647"/>
      <c r="X207" s="647" t="str">
        <f>VLOOKUP(A207,Regularizare!$D:$AX,40,FALSE)&amp;" ("&amp;VLOOKUP(A207,Regularizare!$D:$AX,36,FALSE)&amp;")"</f>
        <v>0 (citit)</v>
      </c>
      <c r="Y207" s="647"/>
      <c r="Z207" s="647"/>
      <c r="AA207" s="647">
        <f>VLOOKUP(A207,Regularizare!$D:$AX,46,FALSE)+VLOOKUP(A207,Regularizare!$D:$AX,47,FALSE)</f>
        <v>0</v>
      </c>
      <c r="AB207" s="647"/>
      <c r="AC207" s="647"/>
      <c r="AD207" s="647" t="s">
        <v>69</v>
      </c>
      <c r="AE207" s="647"/>
      <c r="AF207" s="647">
        <f>AA207</f>
        <v>0</v>
      </c>
      <c r="AG207" s="647"/>
      <c r="AH207" s="647"/>
      <c r="AI207" s="647" t="str">
        <f>AI204</f>
        <v>-</v>
      </c>
      <c r="AJ207" s="647"/>
      <c r="AK207" s="647" t="str">
        <f>AK204</f>
        <v>-</v>
      </c>
      <c r="AL207" s="647"/>
      <c r="AM207" s="647"/>
    </row>
    <row r="208" spans="1:39" ht="8.4499999999999993" customHeight="1">
      <c r="A208" s="717"/>
      <c r="B208" s="718"/>
      <c r="C208" s="718"/>
      <c r="D208" s="718"/>
      <c r="E208" s="718"/>
      <c r="F208" s="719"/>
      <c r="G208" s="648"/>
      <c r="H208" s="648"/>
      <c r="I208" s="648"/>
      <c r="J208" s="717" t="str">
        <f t="shared" si="12"/>
        <v>-</v>
      </c>
      <c r="K208" s="718"/>
      <c r="L208" s="719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1"/>
      <c r="B209" s="682"/>
      <c r="C209" s="682"/>
      <c r="D209" s="682"/>
      <c r="E209" s="682"/>
      <c r="F209" s="683"/>
      <c r="G209" s="648"/>
      <c r="H209" s="648"/>
      <c r="I209" s="648"/>
      <c r="J209" s="714">
        <f t="shared" si="12"/>
        <v>45777</v>
      </c>
      <c r="K209" s="715"/>
      <c r="L209" s="716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78">
        <f>A207</f>
        <v>1372628411</v>
      </c>
      <c r="B210" s="679"/>
      <c r="C210" s="679"/>
      <c r="D210" s="679"/>
      <c r="E210" s="679"/>
      <c r="F210" s="680"/>
      <c r="G210" s="648" t="s">
        <v>730</v>
      </c>
      <c r="H210" s="648"/>
      <c r="I210" s="673"/>
      <c r="J210" s="655">
        <f>'Date masura OD'!$I$5</f>
        <v>45778</v>
      </c>
      <c r="K210" s="656"/>
      <c r="L210" s="657"/>
      <c r="M210" s="720" t="s">
        <v>446</v>
      </c>
      <c r="N210" s="648"/>
      <c r="O210" s="648">
        <f>O207</f>
        <v>1</v>
      </c>
      <c r="P210" s="648"/>
      <c r="Q210" s="648"/>
      <c r="R210" s="647" t="str">
        <f>U201</f>
        <v>4541183 (citit)</v>
      </c>
      <c r="S210" s="647"/>
      <c r="T210" s="647"/>
      <c r="U210" s="647" t="str">
        <f>VLOOKUP(A210,'Incrementare indexe'!$D:$M,4,FALSE)&amp;" (estimat)"</f>
        <v>4698818 (estimat)</v>
      </c>
      <c r="V210" s="647"/>
      <c r="W210" s="647"/>
      <c r="X210" s="647" t="str">
        <f>VLOOKUP(A210,'Incrementare indexe'!$D:$Q,11,FALSE)&amp;" (estimat)"</f>
        <v>157635 (estimat)</v>
      </c>
      <c r="Y210" s="647"/>
      <c r="Z210" s="647"/>
      <c r="AA210" s="647" t="s">
        <v>69</v>
      </c>
      <c r="AB210" s="647"/>
      <c r="AC210" s="647"/>
      <c r="AD210" s="647" t="s">
        <v>69</v>
      </c>
      <c r="AE210" s="647"/>
      <c r="AF210" s="647">
        <f>VLOOKUP(A210,'Incrementare indexe'!$D:$Q,11,FALSE)</f>
        <v>157635</v>
      </c>
      <c r="AG210" s="647"/>
      <c r="AH210" s="647"/>
      <c r="AI210" s="647">
        <f>J212-J210+1</f>
        <v>31</v>
      </c>
      <c r="AJ210" s="647"/>
      <c r="AK210" s="647">
        <f>ROUND(AF210/AI210,2)</f>
        <v>5085</v>
      </c>
      <c r="AL210" s="647"/>
      <c r="AM210" s="647"/>
    </row>
    <row r="211" spans="1:39" ht="8.4499999999999993" customHeight="1">
      <c r="A211" s="717"/>
      <c r="B211" s="718"/>
      <c r="C211" s="718"/>
      <c r="D211" s="718"/>
      <c r="E211" s="718"/>
      <c r="F211" s="719"/>
      <c r="G211" s="648"/>
      <c r="H211" s="648"/>
      <c r="I211" s="673"/>
      <c r="J211" s="717" t="s">
        <v>69</v>
      </c>
      <c r="K211" s="718"/>
      <c r="L211" s="719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1"/>
      <c r="B212" s="682"/>
      <c r="C212" s="682"/>
      <c r="D212" s="682"/>
      <c r="E212" s="682"/>
      <c r="F212" s="683"/>
      <c r="G212" s="648"/>
      <c r="H212" s="648"/>
      <c r="I212" s="673"/>
      <c r="J212" s="714">
        <f>'Date masura OD'!$J$5</f>
        <v>45808</v>
      </c>
      <c r="K212" s="715"/>
      <c r="L212" s="716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78">
        <f>A210</f>
        <v>1372628411</v>
      </c>
      <c r="B213" s="679"/>
      <c r="C213" s="679"/>
      <c r="D213" s="679"/>
      <c r="E213" s="679"/>
      <c r="F213" s="680"/>
      <c r="G213" s="648" t="s">
        <v>696</v>
      </c>
      <c r="H213" s="648"/>
      <c r="I213" s="648"/>
      <c r="J213" s="655">
        <f t="shared" ref="J213:J218" si="13">J210</f>
        <v>45778</v>
      </c>
      <c r="K213" s="656"/>
      <c r="L213" s="657"/>
      <c r="M213" s="648" t="s">
        <v>720</v>
      </c>
      <c r="N213" s="648"/>
      <c r="O213" s="648">
        <f>O210</f>
        <v>1</v>
      </c>
      <c r="P213" s="648"/>
      <c r="Q213" s="648"/>
      <c r="R213" s="647" t="str">
        <f>U204</f>
        <v>409408 (citit)</v>
      </c>
      <c r="S213" s="647"/>
      <c r="T213" s="647"/>
      <c r="U213" s="647" t="str">
        <f>VLOOKUP(A213,'Incrementare indexe'!$D:$M,8,FALSE)&amp;" (estimat)"</f>
        <v>409408 (estimat)</v>
      </c>
      <c r="V213" s="647"/>
      <c r="W213" s="647"/>
      <c r="X213" s="647" t="str">
        <f>VLOOKUP(A213,'Incrementare indexe'!$D:$Q,12,FALSE)&amp;" (estimat)"</f>
        <v>0 (estimat)</v>
      </c>
      <c r="Y213" s="647"/>
      <c r="Z213" s="647"/>
      <c r="AA213" s="647" t="s">
        <v>69</v>
      </c>
      <c r="AB213" s="647"/>
      <c r="AC213" s="647"/>
      <c r="AD213" s="647" t="s">
        <v>69</v>
      </c>
      <c r="AE213" s="647"/>
      <c r="AF213" s="647">
        <f>VLOOKUP(A213,'Incrementare indexe'!$D:$Q,12,FALSE)</f>
        <v>0</v>
      </c>
      <c r="AG213" s="647"/>
      <c r="AH213" s="647"/>
      <c r="AI213" s="647">
        <f>AI210</f>
        <v>31</v>
      </c>
      <c r="AJ213" s="647"/>
      <c r="AK213" s="647">
        <f>ROUND(AF213/AI213,2)</f>
        <v>0</v>
      </c>
      <c r="AL213" s="647"/>
      <c r="AM213" s="647"/>
    </row>
    <row r="214" spans="1:39" ht="8.4499999999999993" customHeight="1">
      <c r="A214" s="717"/>
      <c r="B214" s="718"/>
      <c r="C214" s="718"/>
      <c r="D214" s="718"/>
      <c r="E214" s="718"/>
      <c r="F214" s="719"/>
      <c r="G214" s="648"/>
      <c r="H214" s="648"/>
      <c r="I214" s="648"/>
      <c r="J214" s="717" t="str">
        <f t="shared" si="13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1"/>
      <c r="B215" s="682"/>
      <c r="C215" s="682"/>
      <c r="D215" s="682"/>
      <c r="E215" s="682"/>
      <c r="F215" s="683"/>
      <c r="G215" s="648"/>
      <c r="H215" s="648"/>
      <c r="I215" s="648"/>
      <c r="J215" s="714">
        <f t="shared" si="13"/>
        <v>45808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78">
        <f>A213</f>
        <v>1372628411</v>
      </c>
      <c r="B216" s="679"/>
      <c r="C216" s="679"/>
      <c r="D216" s="679"/>
      <c r="E216" s="679"/>
      <c r="F216" s="680"/>
      <c r="G216" s="648" t="s">
        <v>731</v>
      </c>
      <c r="H216" s="648"/>
      <c r="I216" s="648"/>
      <c r="J216" s="655">
        <f t="shared" si="13"/>
        <v>45778</v>
      </c>
      <c r="K216" s="656"/>
      <c r="L216" s="657"/>
      <c r="M216" s="648" t="s">
        <v>720</v>
      </c>
      <c r="N216" s="648"/>
      <c r="O216" s="648">
        <f>O213</f>
        <v>1</v>
      </c>
      <c r="P216" s="648"/>
      <c r="Q216" s="648"/>
      <c r="R216" s="647" t="str">
        <f>U207</f>
        <v>1419 (citit)</v>
      </c>
      <c r="S216" s="647"/>
      <c r="T216" s="647"/>
      <c r="U216" s="647" t="str">
        <f>VLOOKUP(A216,'Incrementare indexe'!$D:$M,10,FALSE)&amp;" (estimat)"</f>
        <v>1419 (estimat)</v>
      </c>
      <c r="V216" s="647"/>
      <c r="W216" s="647"/>
      <c r="X216" s="647" t="str">
        <f>VLOOKUP(A216,'Incrementare indexe'!$D:$Q,13,FALSE)&amp;" (estimat)"</f>
        <v>0 (estimat)</v>
      </c>
      <c r="Y216" s="647"/>
      <c r="Z216" s="647"/>
      <c r="AA216" s="647" t="s">
        <v>69</v>
      </c>
      <c r="AB216" s="647"/>
      <c r="AC216" s="647"/>
      <c r="AD216" s="647" t="s">
        <v>69</v>
      </c>
      <c r="AE216" s="647"/>
      <c r="AF216" s="647">
        <f>VLOOKUP(A216,'Incrementare indexe'!$D:$Q,13,FALSE)</f>
        <v>0</v>
      </c>
      <c r="AG216" s="647"/>
      <c r="AH216" s="647"/>
      <c r="AI216" s="647">
        <f>AI213</f>
        <v>31</v>
      </c>
      <c r="AJ216" s="647"/>
      <c r="AK216" s="647">
        <f>ROUND(AF216/AI216,2)</f>
        <v>0</v>
      </c>
      <c r="AL216" s="647"/>
      <c r="AM216" s="647"/>
    </row>
    <row r="217" spans="1:39" ht="8.4499999999999993" customHeight="1">
      <c r="A217" s="717"/>
      <c r="B217" s="718"/>
      <c r="C217" s="718"/>
      <c r="D217" s="718"/>
      <c r="E217" s="718"/>
      <c r="F217" s="719"/>
      <c r="G217" s="648"/>
      <c r="H217" s="648"/>
      <c r="I217" s="648"/>
      <c r="J217" s="717" t="str">
        <f t="shared" si="13"/>
        <v>-</v>
      </c>
      <c r="K217" s="718"/>
      <c r="L217" s="719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1"/>
      <c r="B218" s="682"/>
      <c r="C218" s="682"/>
      <c r="D218" s="682"/>
      <c r="E218" s="682"/>
      <c r="F218" s="683"/>
      <c r="G218" s="648"/>
      <c r="H218" s="648"/>
      <c r="I218" s="648"/>
      <c r="J218" s="714">
        <f t="shared" si="13"/>
        <v>45808</v>
      </c>
      <c r="K218" s="715"/>
      <c r="L218" s="716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/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 ht="15.95" customHeight="1">
      <c r="A239" s="624" t="str">
        <f>A27</f>
        <v>DETALII FACTURA FACTURA FISCALA SERIA …........ NR …................. din date de ….......06.2025</v>
      </c>
      <c r="B239" s="624"/>
      <c r="C239" s="624"/>
      <c r="D239" s="624"/>
      <c r="E239" s="624"/>
      <c r="F239" s="624"/>
      <c r="G239" s="624"/>
      <c r="H239" s="624"/>
      <c r="I239" s="624"/>
      <c r="J239" s="624"/>
      <c r="K239" s="624"/>
      <c r="L239" s="624"/>
      <c r="M239" s="624"/>
      <c r="N239" s="624"/>
      <c r="O239" s="624"/>
      <c r="P239" s="624"/>
      <c r="Q239" s="624"/>
      <c r="R239" s="624"/>
      <c r="S239" s="624"/>
      <c r="T239" s="624"/>
      <c r="U239" s="624"/>
      <c r="V239" s="624"/>
      <c r="W239" s="624"/>
      <c r="X239" s="624"/>
      <c r="Y239" s="624"/>
      <c r="Z239" s="624"/>
      <c r="AA239" s="624"/>
      <c r="AB239" s="624"/>
      <c r="AC239" s="624"/>
      <c r="AD239" s="624"/>
      <c r="AE239" s="624"/>
      <c r="AF239" s="624"/>
      <c r="AG239" s="624"/>
      <c r="AH239" s="624"/>
      <c r="AI239" s="624"/>
      <c r="AJ239" s="624"/>
      <c r="AK239" s="624"/>
      <c r="AL239" s="624"/>
      <c r="AM239" s="624"/>
    </row>
    <row r="241" spans="1:39" ht="36" customHeight="1">
      <c r="A241" s="66" t="s">
        <v>721</v>
      </c>
      <c r="B241" s="648" t="s">
        <v>95</v>
      </c>
      <c r="C241" s="648"/>
      <c r="D241" s="648"/>
      <c r="E241" s="648"/>
      <c r="F241" s="648"/>
      <c r="G241" s="648"/>
      <c r="H241" s="648"/>
      <c r="I241" s="648"/>
      <c r="J241" s="648"/>
      <c r="K241" s="648"/>
      <c r="L241" s="64" t="s">
        <v>709</v>
      </c>
      <c r="M241" s="69"/>
      <c r="N241" s="69"/>
      <c r="O241" s="64"/>
      <c r="P241" s="69"/>
      <c r="Q241" s="69"/>
      <c r="R241" s="647" t="s">
        <v>722</v>
      </c>
      <c r="S241" s="647"/>
      <c r="T241" s="647"/>
      <c r="U241" s="647"/>
      <c r="V241" s="648" t="s">
        <v>519</v>
      </c>
      <c r="W241" s="648"/>
      <c r="X241" s="647" t="s">
        <v>723</v>
      </c>
      <c r="Y241" s="647"/>
      <c r="Z241" s="647"/>
      <c r="AA241" s="647"/>
      <c r="AB241" s="647" t="s">
        <v>724</v>
      </c>
      <c r="AC241" s="647"/>
      <c r="AD241" s="647"/>
      <c r="AE241" s="647"/>
      <c r="AF241" s="647" t="s">
        <v>725</v>
      </c>
      <c r="AG241" s="647"/>
      <c r="AH241" s="647"/>
      <c r="AI241" s="647"/>
      <c r="AJ241" s="647" t="s">
        <v>726</v>
      </c>
      <c r="AK241" s="647"/>
      <c r="AL241" s="647"/>
      <c r="AM241" s="647"/>
    </row>
    <row r="242" spans="1:39" ht="15.95" customHeight="1">
      <c r="A242" s="65">
        <v>1</v>
      </c>
      <c r="B242" s="699" t="s">
        <v>71</v>
      </c>
      <c r="C242" s="700"/>
      <c r="D242" s="700"/>
      <c r="E242" s="700"/>
      <c r="F242" s="700"/>
      <c r="G242" s="700"/>
      <c r="H242" s="700"/>
      <c r="I242" s="700"/>
      <c r="J242" s="700"/>
      <c r="K242" s="701"/>
      <c r="L242" s="702">
        <f>'Date masura OD'!$I$5</f>
        <v>45778</v>
      </c>
      <c r="M242" s="702"/>
      <c r="N242" s="702"/>
      <c r="O242" s="702">
        <f>'Date masura OD'!$J$5</f>
        <v>45808</v>
      </c>
      <c r="P242" s="702"/>
      <c r="Q242" s="702"/>
      <c r="R242" s="690" cm="1">
        <f t="array" ref="R242">INDEX(verificare!$AT$4:$CC$26,VLOOKUP($AA$16,verificare!$AR$4:$AS$26,2,FALSE),A242)</f>
        <v>620018</v>
      </c>
      <c r="S242" s="690"/>
      <c r="T242" s="690"/>
      <c r="U242" s="690"/>
      <c r="V242" s="658" t="s">
        <v>446</v>
      </c>
      <c r="W242" s="658"/>
      <c r="X242" s="691">
        <f>HLOOKUP(VLOOKUP($AA$16,'Date SPV'!$B:$F,5,FALSE),'Preturi si tarife'!$C$2:$J$39,A242+2,FALSE)</f>
        <v>0.59499999999999997</v>
      </c>
      <c r="Y242" s="692"/>
      <c r="Z242" s="692"/>
      <c r="AA242" s="693"/>
      <c r="AB242" s="690">
        <f>ROUND(X242*R242,2)</f>
        <v>368910.71</v>
      </c>
      <c r="AC242" s="690"/>
      <c r="AD242" s="690"/>
      <c r="AE242" s="690"/>
      <c r="AF242" s="690">
        <f>ROUND(AB242*19%,2)</f>
        <v>70093.03</v>
      </c>
      <c r="AG242" s="690"/>
      <c r="AH242" s="690"/>
      <c r="AI242" s="690"/>
      <c r="AJ242" s="690">
        <f>AB242+AF242</f>
        <v>439003.74</v>
      </c>
      <c r="AK242" s="690"/>
      <c r="AL242" s="690"/>
      <c r="AM242" s="690"/>
    </row>
    <row r="243" spans="1:39" ht="15.95" customHeight="1">
      <c r="A243" s="65">
        <f>A242+1</f>
        <v>2</v>
      </c>
      <c r="B243" s="699" t="s">
        <v>72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02">
        <f>L242</f>
        <v>45778</v>
      </c>
      <c r="M243" s="702"/>
      <c r="N243" s="702"/>
      <c r="O243" s="702">
        <f>O242</f>
        <v>45808</v>
      </c>
      <c r="P243" s="702"/>
      <c r="Q243" s="702"/>
      <c r="R243" s="690" cm="1">
        <f t="array" ref="R243">INDEX(verificare!$AT$4:$CC$26,VLOOKUP($AA$16,verificare!$AR$4:$AS$26,2,FALSE),A243)</f>
        <v>0</v>
      </c>
      <c r="S243" s="690"/>
      <c r="T243" s="690"/>
      <c r="U243" s="690"/>
      <c r="V243" s="658" t="s">
        <v>727</v>
      </c>
      <c r="W243" s="658"/>
      <c r="X243" s="691">
        <f>HLOOKUP(VLOOKUP($AA$16,'Date SPV'!$B:$F,5,FALSE),'Preturi si tarife'!$C$2:$J$39,A243+2,FALSE)</f>
        <v>0.14649999999999999</v>
      </c>
      <c r="Y243" s="692"/>
      <c r="Z243" s="692"/>
      <c r="AA243" s="693"/>
      <c r="AB243" s="690">
        <f t="shared" ref="AB243:AB277" si="14">ROUND(X243*R243,2)</f>
        <v>0</v>
      </c>
      <c r="AC243" s="690"/>
      <c r="AD243" s="690"/>
      <c r="AE243" s="690"/>
      <c r="AF243" s="690">
        <f t="shared" ref="AF243:AF277" si="15">ROUND(AB243*19%,2)</f>
        <v>0</v>
      </c>
      <c r="AG243" s="690"/>
      <c r="AH243" s="690"/>
      <c r="AI243" s="690"/>
      <c r="AJ243" s="690">
        <f t="shared" ref="AJ243:AJ277" si="16">AB243+AF243</f>
        <v>0</v>
      </c>
      <c r="AK243" s="690"/>
      <c r="AL243" s="690"/>
      <c r="AM243" s="690"/>
    </row>
    <row r="244" spans="1:39" ht="15.95" customHeight="1">
      <c r="A244" s="65">
        <f t="shared" ref="A244:A279" si="17">A243+1</f>
        <v>3</v>
      </c>
      <c r="B244" s="699" t="s">
        <v>73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02">
        <f t="shared" ref="L244:L252" si="18">L243</f>
        <v>45778</v>
      </c>
      <c r="M244" s="702"/>
      <c r="N244" s="702"/>
      <c r="O244" s="702">
        <f t="shared" ref="O244:O252" si="19">O243</f>
        <v>45808</v>
      </c>
      <c r="P244" s="702"/>
      <c r="Q244" s="702"/>
      <c r="R244" s="690" cm="1">
        <f t="array" ref="R244">INDEX(verificare!$AT$4:$CC$26,VLOOKUP($AA$16,verificare!$AR$4:$AS$26,2,FALSE),A244)</f>
        <v>0</v>
      </c>
      <c r="S244" s="690"/>
      <c r="T244" s="690"/>
      <c r="U244" s="690"/>
      <c r="V244" s="658" t="s">
        <v>727</v>
      </c>
      <c r="W244" s="658"/>
      <c r="X244" s="691">
        <f>HLOOKUP(VLOOKUP($AA$16,'Date SPV'!$B:$F,5,FALSE),'Preturi si tarife'!$C$2:$J$39,A244+2,FALSE)</f>
        <v>0.4395</v>
      </c>
      <c r="Y244" s="692"/>
      <c r="Z244" s="692"/>
      <c r="AA244" s="693"/>
      <c r="AB244" s="690">
        <f t="shared" si="14"/>
        <v>0</v>
      </c>
      <c r="AC244" s="690"/>
      <c r="AD244" s="690"/>
      <c r="AE244" s="690"/>
      <c r="AF244" s="690">
        <f t="shared" si="15"/>
        <v>0</v>
      </c>
      <c r="AG244" s="690"/>
      <c r="AH244" s="690"/>
      <c r="AI244" s="690"/>
      <c r="AJ244" s="690">
        <f t="shared" si="16"/>
        <v>0</v>
      </c>
      <c r="AK244" s="690"/>
      <c r="AL244" s="690"/>
      <c r="AM244" s="690"/>
    </row>
    <row r="245" spans="1:39" ht="15.95" customHeight="1">
      <c r="A245" s="65">
        <f t="shared" si="17"/>
        <v>4</v>
      </c>
      <c r="B245" s="699" t="s">
        <v>868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02">
        <f t="shared" si="18"/>
        <v>45778</v>
      </c>
      <c r="M245" s="702"/>
      <c r="N245" s="702"/>
      <c r="O245" s="702">
        <f t="shared" si="19"/>
        <v>45808</v>
      </c>
      <c r="P245" s="702"/>
      <c r="Q245" s="702"/>
      <c r="R245" s="690" cm="1">
        <f t="array" ref="R245">INDEX(verificare!$AT$4:$CC$26,VLOOKUP($AA$16,verificare!$AR$4:$AS$26,2,FALSE),A245)</f>
        <v>620018</v>
      </c>
      <c r="S245" s="690"/>
      <c r="T245" s="690"/>
      <c r="U245" s="690"/>
      <c r="V245" s="658" t="s">
        <v>446</v>
      </c>
      <c r="W245" s="658"/>
      <c r="X245" s="691">
        <f>HLOOKUP(VLOOKUP($AA$16,'Date SPV'!$B:$F,5,FALSE),'Preturi si tarife'!$C$2:$J$39,A245+2,FALSE)</f>
        <v>0.11483</v>
      </c>
      <c r="Y245" s="692"/>
      <c r="Z245" s="692"/>
      <c r="AA245" s="693"/>
      <c r="AB245" s="690">
        <f t="shared" si="14"/>
        <v>71196.67</v>
      </c>
      <c r="AC245" s="690"/>
      <c r="AD245" s="690"/>
      <c r="AE245" s="690"/>
      <c r="AF245" s="690">
        <f t="shared" si="15"/>
        <v>13527.37</v>
      </c>
      <c r="AG245" s="690"/>
      <c r="AH245" s="690"/>
      <c r="AI245" s="690"/>
      <c r="AJ245" s="690">
        <f t="shared" si="16"/>
        <v>84724.04</v>
      </c>
      <c r="AK245" s="690"/>
      <c r="AL245" s="690"/>
      <c r="AM245" s="690"/>
    </row>
    <row r="246" spans="1:39" ht="15.95" customHeight="1">
      <c r="A246" s="65">
        <f t="shared" si="17"/>
        <v>5</v>
      </c>
      <c r="B246" s="699" t="s">
        <v>757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02">
        <f t="shared" si="18"/>
        <v>45778</v>
      </c>
      <c r="M246" s="702"/>
      <c r="N246" s="702"/>
      <c r="O246" s="702">
        <f t="shared" si="19"/>
        <v>45808</v>
      </c>
      <c r="P246" s="702"/>
      <c r="Q246" s="702"/>
      <c r="R246" s="690" cm="1">
        <f t="array" ref="R246">INDEX(verificare!$AT$4:$CC$26,VLOOKUP($AA$16,verificare!$AR$4:$AS$26,2,FALSE),A246)</f>
        <v>0</v>
      </c>
      <c r="S246" s="690"/>
      <c r="T246" s="690"/>
      <c r="U246" s="690"/>
      <c r="V246" s="658" t="s">
        <v>446</v>
      </c>
      <c r="W246" s="658"/>
      <c r="X246" s="691">
        <f>HLOOKUP(VLOOKUP($AA$16,'Date SPV'!$B:$F,5,FALSE),'Preturi si tarife'!$C$2:$J$39,A246+2,FALSE)</f>
        <v>0.2361</v>
      </c>
      <c r="Y246" s="692"/>
      <c r="Z246" s="692"/>
      <c r="AA246" s="693"/>
      <c r="AB246" s="690">
        <f t="shared" si="14"/>
        <v>0</v>
      </c>
      <c r="AC246" s="690"/>
      <c r="AD246" s="690"/>
      <c r="AE246" s="690"/>
      <c r="AF246" s="690">
        <f t="shared" si="15"/>
        <v>0</v>
      </c>
      <c r="AG246" s="690"/>
      <c r="AH246" s="690"/>
      <c r="AI246" s="690"/>
      <c r="AJ246" s="690">
        <f t="shared" si="16"/>
        <v>0</v>
      </c>
      <c r="AK246" s="690"/>
      <c r="AL246" s="690"/>
      <c r="AM246" s="690"/>
    </row>
    <row r="247" spans="1:39" ht="15.95" customHeight="1">
      <c r="A247" s="65">
        <f t="shared" si="17"/>
        <v>6</v>
      </c>
      <c r="B247" s="699" t="s">
        <v>74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02">
        <f t="shared" si="18"/>
        <v>45778</v>
      </c>
      <c r="M247" s="702"/>
      <c r="N247" s="702"/>
      <c r="O247" s="702">
        <f t="shared" si="19"/>
        <v>45808</v>
      </c>
      <c r="P247" s="702"/>
      <c r="Q247" s="702"/>
      <c r="R247" s="690" cm="1">
        <f t="array" ref="R247">INDEX(verificare!$AT$4:$CC$26,VLOOKUP($AA$16,verificare!$AR$4:$AS$26,2,FALSE),A247)</f>
        <v>620018</v>
      </c>
      <c r="S247" s="690"/>
      <c r="T247" s="690"/>
      <c r="U247" s="690"/>
      <c r="V247" s="658" t="s">
        <v>446</v>
      </c>
      <c r="W247" s="658"/>
      <c r="X247" s="691">
        <f>HLOOKUP(VLOOKUP($AA$16,'Date SPV'!$B:$F,5,FALSE),'Preturi si tarife'!$C$2:$J$39,A247+2,FALSE)</f>
        <v>1.1509999999999999E-2</v>
      </c>
      <c r="Y247" s="692"/>
      <c r="Z247" s="692"/>
      <c r="AA247" s="693"/>
      <c r="AB247" s="690">
        <f t="shared" si="14"/>
        <v>7136.41</v>
      </c>
      <c r="AC247" s="690"/>
      <c r="AD247" s="690"/>
      <c r="AE247" s="690"/>
      <c r="AF247" s="690">
        <f t="shared" si="15"/>
        <v>1355.92</v>
      </c>
      <c r="AG247" s="690"/>
      <c r="AH247" s="690"/>
      <c r="AI247" s="690"/>
      <c r="AJ247" s="690">
        <f t="shared" si="16"/>
        <v>8492.33</v>
      </c>
      <c r="AK247" s="690"/>
      <c r="AL247" s="690"/>
      <c r="AM247" s="690"/>
    </row>
    <row r="248" spans="1:39" ht="15.95" customHeight="1">
      <c r="A248" s="65">
        <f t="shared" si="17"/>
        <v>7</v>
      </c>
      <c r="B248" s="699" t="s">
        <v>75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02">
        <f t="shared" si="18"/>
        <v>45778</v>
      </c>
      <c r="M248" s="702"/>
      <c r="N248" s="702"/>
      <c r="O248" s="702">
        <f t="shared" si="19"/>
        <v>45808</v>
      </c>
      <c r="P248" s="702"/>
      <c r="Q248" s="702"/>
      <c r="R248" s="690" cm="1">
        <f t="array" ref="R248">INDEX(verificare!$AT$4:$CC$26,VLOOKUP($AA$16,verificare!$AR$4:$AS$26,2,FALSE),A248)</f>
        <v>620018</v>
      </c>
      <c r="S248" s="690"/>
      <c r="T248" s="690"/>
      <c r="U248" s="690"/>
      <c r="V248" s="658" t="s">
        <v>446</v>
      </c>
      <c r="W248" s="658"/>
      <c r="X248" s="691">
        <f>HLOOKUP(VLOOKUP($AA$16,'Date SPV'!$B:$F,5,FALSE),'Preturi si tarife'!$C$2:$J$39,A248+2,FALSE)</f>
        <v>3.3030000000000004E-2</v>
      </c>
      <c r="Y248" s="692"/>
      <c r="Z248" s="692"/>
      <c r="AA248" s="693"/>
      <c r="AB248" s="690">
        <f t="shared" si="14"/>
        <v>20479.189999999999</v>
      </c>
      <c r="AC248" s="690"/>
      <c r="AD248" s="690"/>
      <c r="AE248" s="690"/>
      <c r="AF248" s="690">
        <f t="shared" si="15"/>
        <v>3891.05</v>
      </c>
      <c r="AG248" s="690"/>
      <c r="AH248" s="690"/>
      <c r="AI248" s="690"/>
      <c r="AJ248" s="690">
        <f t="shared" si="16"/>
        <v>24370.239999999998</v>
      </c>
      <c r="AK248" s="690"/>
      <c r="AL248" s="690"/>
      <c r="AM248" s="690"/>
    </row>
    <row r="249" spans="1:39" ht="15.95" customHeight="1">
      <c r="A249" s="65">
        <f t="shared" si="17"/>
        <v>8</v>
      </c>
      <c r="B249" s="699" t="s">
        <v>76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02">
        <f t="shared" si="18"/>
        <v>45778</v>
      </c>
      <c r="M249" s="702"/>
      <c r="N249" s="702"/>
      <c r="O249" s="702">
        <f t="shared" si="19"/>
        <v>45808</v>
      </c>
      <c r="P249" s="702"/>
      <c r="Q249" s="702"/>
      <c r="R249" s="690" cm="1">
        <f t="array" ref="R249">INDEX(verificare!$AT$4:$CC$26,VLOOKUP($AA$16,verificare!$AR$4:$AS$26,2,FALSE),A249)</f>
        <v>620018</v>
      </c>
      <c r="S249" s="690"/>
      <c r="T249" s="690"/>
      <c r="U249" s="690"/>
      <c r="V249" s="658" t="s">
        <v>446</v>
      </c>
      <c r="W249" s="658"/>
      <c r="X249" s="691">
        <f>HLOOKUP(VLOOKUP($AA$16,'Date SPV'!$B:$F,5,FALSE),'Preturi si tarife'!$C$2:$J$39,A249+2,FALSE)</f>
        <v>3.29E-3</v>
      </c>
      <c r="Y249" s="692"/>
      <c r="Z249" s="692"/>
      <c r="AA249" s="693"/>
      <c r="AB249" s="690">
        <f t="shared" si="14"/>
        <v>2039.86</v>
      </c>
      <c r="AC249" s="690"/>
      <c r="AD249" s="690"/>
      <c r="AE249" s="690"/>
      <c r="AF249" s="690">
        <f t="shared" si="15"/>
        <v>387.57</v>
      </c>
      <c r="AG249" s="690"/>
      <c r="AH249" s="690"/>
      <c r="AI249" s="690"/>
      <c r="AJ249" s="690">
        <f t="shared" si="16"/>
        <v>2427.4299999999998</v>
      </c>
      <c r="AK249" s="690"/>
      <c r="AL249" s="690"/>
      <c r="AM249" s="690"/>
    </row>
    <row r="250" spans="1:39" ht="15.95" customHeight="1">
      <c r="A250" s="65">
        <f t="shared" si="17"/>
        <v>9</v>
      </c>
      <c r="B250" s="699" t="s">
        <v>77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02">
        <f t="shared" si="18"/>
        <v>45778</v>
      </c>
      <c r="M250" s="702"/>
      <c r="N250" s="702"/>
      <c r="O250" s="702">
        <f t="shared" si="19"/>
        <v>45808</v>
      </c>
      <c r="P250" s="702"/>
      <c r="Q250" s="702"/>
      <c r="R250" s="690" cm="1">
        <f t="array" ref="R250">INDEX(verificare!$AT$4:$CC$26,VLOOKUP($AA$16,verificare!$AR$4:$AS$26,2,FALSE),A250)</f>
        <v>620018</v>
      </c>
      <c r="S250" s="690"/>
      <c r="T250" s="690"/>
      <c r="U250" s="690"/>
      <c r="V250" s="658" t="s">
        <v>446</v>
      </c>
      <c r="W250" s="658"/>
      <c r="X250" s="691">
        <f>HLOOKUP(VLOOKUP($AA$16,'Date SPV'!$B:$F,5,FALSE),'Preturi si tarife'!$C$2:$J$39,A250+2,FALSE)</f>
        <v>3.5000000000000001E-3</v>
      </c>
      <c r="Y250" s="692"/>
      <c r="Z250" s="692"/>
      <c r="AA250" s="693"/>
      <c r="AB250" s="690">
        <f t="shared" si="14"/>
        <v>2170.06</v>
      </c>
      <c r="AC250" s="690"/>
      <c r="AD250" s="690"/>
      <c r="AE250" s="690"/>
      <c r="AF250" s="690">
        <f t="shared" si="15"/>
        <v>412.31</v>
      </c>
      <c r="AG250" s="690"/>
      <c r="AH250" s="690"/>
      <c r="AI250" s="690"/>
      <c r="AJ250" s="690">
        <f t="shared" si="16"/>
        <v>2582.37</v>
      </c>
      <c r="AK250" s="690"/>
      <c r="AL250" s="690"/>
      <c r="AM250" s="690"/>
    </row>
    <row r="251" spans="1:39" ht="15.95" customHeight="1">
      <c r="A251" s="65">
        <f t="shared" si="17"/>
        <v>10</v>
      </c>
      <c r="B251" s="699" t="s">
        <v>78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02">
        <f t="shared" si="18"/>
        <v>45778</v>
      </c>
      <c r="M251" s="702"/>
      <c r="N251" s="702"/>
      <c r="O251" s="702">
        <f t="shared" si="19"/>
        <v>45808</v>
      </c>
      <c r="P251" s="702"/>
      <c r="Q251" s="702"/>
      <c r="R251" s="690" cm="1">
        <f t="array" ref="R251">INDEX(verificare!$AT$4:$CC$26,VLOOKUP($AA$16,verificare!$AR$4:$AS$26,2,FALSE),A251)</f>
        <v>620018</v>
      </c>
      <c r="S251" s="690"/>
      <c r="T251" s="690"/>
      <c r="U251" s="690"/>
      <c r="V251" s="658" t="s">
        <v>446</v>
      </c>
      <c r="W251" s="658"/>
      <c r="X251" s="691">
        <f>HLOOKUP(VLOOKUP($AA$16,'Date SPV'!$B:$F,5,FALSE),'Preturi si tarife'!$C$2:$J$39,A251+2,FALSE)</f>
        <v>7.2541599999999998E-2</v>
      </c>
      <c r="Y251" s="692"/>
      <c r="Z251" s="692"/>
      <c r="AA251" s="693"/>
      <c r="AB251" s="690">
        <f t="shared" si="14"/>
        <v>44977.1</v>
      </c>
      <c r="AC251" s="690"/>
      <c r="AD251" s="690"/>
      <c r="AE251" s="690"/>
      <c r="AF251" s="690">
        <f t="shared" si="15"/>
        <v>8545.65</v>
      </c>
      <c r="AG251" s="690"/>
      <c r="AH251" s="690"/>
      <c r="AI251" s="690"/>
      <c r="AJ251" s="690">
        <f t="shared" si="16"/>
        <v>53522.75</v>
      </c>
      <c r="AK251" s="690"/>
      <c r="AL251" s="690"/>
      <c r="AM251" s="690"/>
    </row>
    <row r="252" spans="1:39" ht="15.95" customHeight="1">
      <c r="A252" s="65">
        <f t="shared" si="17"/>
        <v>11</v>
      </c>
      <c r="B252" s="699" t="s">
        <v>1313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02">
        <f t="shared" si="18"/>
        <v>45778</v>
      </c>
      <c r="M252" s="702"/>
      <c r="N252" s="702"/>
      <c r="O252" s="702">
        <f t="shared" si="19"/>
        <v>45808</v>
      </c>
      <c r="P252" s="702"/>
      <c r="Q252" s="702"/>
      <c r="R252" s="690" cm="1">
        <f t="array" ref="R252">INDEX(verificare!$AT$4:$CC$26,VLOOKUP($AA$16,verificare!$AR$4:$AS$26,2,FALSE),A252)</f>
        <v>620018</v>
      </c>
      <c r="S252" s="690"/>
      <c r="T252" s="690"/>
      <c r="U252" s="690"/>
      <c r="V252" s="658" t="s">
        <v>446</v>
      </c>
      <c r="W252" s="658"/>
      <c r="X252" s="691">
        <f>HLOOKUP(VLOOKUP($AA$16,'Date SPV'!$B:$F,5,FALSE),'Preturi si tarife'!$C$2:$J$39,A252+2,FALSE)</f>
        <v>2.0599999999999999E-4</v>
      </c>
      <c r="Y252" s="692"/>
      <c r="Z252" s="692"/>
      <c r="AA252" s="693"/>
      <c r="AB252" s="690">
        <f t="shared" si="14"/>
        <v>127.72</v>
      </c>
      <c r="AC252" s="690"/>
      <c r="AD252" s="690"/>
      <c r="AE252" s="690"/>
      <c r="AF252" s="690">
        <f t="shared" si="15"/>
        <v>24.27</v>
      </c>
      <c r="AG252" s="690"/>
      <c r="AH252" s="690"/>
      <c r="AI252" s="690"/>
      <c r="AJ252" s="690">
        <f t="shared" si="16"/>
        <v>151.99</v>
      </c>
      <c r="AK252" s="690"/>
      <c r="AL252" s="690"/>
      <c r="AM252" s="690"/>
    </row>
    <row r="253" spans="1:39" ht="15.95" customHeight="1">
      <c r="A253" s="65">
        <f t="shared" si="17"/>
        <v>12</v>
      </c>
      <c r="B253" s="699" t="s">
        <v>79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02">
        <f>L251</f>
        <v>45778</v>
      </c>
      <c r="M253" s="702"/>
      <c r="N253" s="702"/>
      <c r="O253" s="702">
        <f>O251</f>
        <v>45808</v>
      </c>
      <c r="P253" s="702"/>
      <c r="Q253" s="702"/>
      <c r="R253" s="690" cm="1">
        <f t="array" ref="R253">INDEX(verificare!$AT$4:$CC$26,VLOOKUP($AA$16,verificare!$AR$4:$AS$26,2,FALSE),A253)</f>
        <v>620018</v>
      </c>
      <c r="S253" s="690"/>
      <c r="T253" s="690"/>
      <c r="U253" s="690"/>
      <c r="V253" s="658" t="s">
        <v>446</v>
      </c>
      <c r="W253" s="658"/>
      <c r="X253" s="691">
        <f>HLOOKUP(VLOOKUP($AA$16,'Date SPV'!$B:$F,5,FALSE),'Preturi si tarife'!$C$2:$J$39,A253+2,FALSE)</f>
        <v>0</v>
      </c>
      <c r="Y253" s="692"/>
      <c r="Z253" s="692"/>
      <c r="AA253" s="693"/>
      <c r="AB253" s="690">
        <f t="shared" si="14"/>
        <v>0</v>
      </c>
      <c r="AC253" s="690"/>
      <c r="AD253" s="690"/>
      <c r="AE253" s="690"/>
      <c r="AF253" s="690">
        <f t="shared" si="15"/>
        <v>0</v>
      </c>
      <c r="AG253" s="690"/>
      <c r="AH253" s="690"/>
      <c r="AI253" s="690"/>
      <c r="AJ253" s="690">
        <f t="shared" si="16"/>
        <v>0</v>
      </c>
      <c r="AK253" s="690"/>
      <c r="AL253" s="690"/>
      <c r="AM253" s="690"/>
    </row>
    <row r="254" spans="1:39" ht="15.95" customHeight="1">
      <c r="A254" s="65">
        <f t="shared" si="17"/>
        <v>13</v>
      </c>
      <c r="B254" s="699" t="s">
        <v>80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02">
        <f t="shared" ref="L254:L259" si="20">L253</f>
        <v>45778</v>
      </c>
      <c r="M254" s="702"/>
      <c r="N254" s="702"/>
      <c r="O254" s="702">
        <f t="shared" ref="O254:O259" si="21">O253</f>
        <v>45808</v>
      </c>
      <c r="P254" s="702"/>
      <c r="Q254" s="702"/>
      <c r="R254" s="690" cm="1">
        <f t="array" ref="R254">INDEX(verificare!$AT$4:$CC$26,VLOOKUP($AA$16,verificare!$AR$4:$AS$26,2,FALSE),A254)</f>
        <v>620018</v>
      </c>
      <c r="S254" s="690"/>
      <c r="T254" s="690"/>
      <c r="U254" s="690"/>
      <c r="V254" s="658" t="s">
        <v>446</v>
      </c>
      <c r="W254" s="658"/>
      <c r="X254" s="691">
        <f>HLOOKUP(VLOOKUP($AA$16,'Date SPV'!$B:$F,5,FALSE),'Preturi si tarife'!$C$2:$J$39,A254+2,FALSE)</f>
        <v>1.49E-2</v>
      </c>
      <c r="Y254" s="692"/>
      <c r="Z254" s="692"/>
      <c r="AA254" s="693"/>
      <c r="AB254" s="690">
        <f t="shared" si="14"/>
        <v>9238.27</v>
      </c>
      <c r="AC254" s="690"/>
      <c r="AD254" s="690"/>
      <c r="AE254" s="690"/>
      <c r="AF254" s="690">
        <f t="shared" si="15"/>
        <v>1755.27</v>
      </c>
      <c r="AG254" s="690"/>
      <c r="AH254" s="690"/>
      <c r="AI254" s="690"/>
      <c r="AJ254" s="690">
        <f t="shared" si="16"/>
        <v>10993.54</v>
      </c>
      <c r="AK254" s="690"/>
      <c r="AL254" s="690"/>
      <c r="AM254" s="690"/>
    </row>
    <row r="255" spans="1:39" ht="15.95" customHeight="1">
      <c r="A255" s="65">
        <f t="shared" si="17"/>
        <v>14</v>
      </c>
      <c r="B255" s="699" t="s">
        <v>81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02">
        <f t="shared" si="20"/>
        <v>45778</v>
      </c>
      <c r="M255" s="702"/>
      <c r="N255" s="702"/>
      <c r="O255" s="702">
        <f t="shared" si="21"/>
        <v>45808</v>
      </c>
      <c r="P255" s="702"/>
      <c r="Q255" s="702"/>
      <c r="R255" s="690" cm="1">
        <f t="array" ref="R255">INDEX(verificare!$AT$4:$CC$26,VLOOKUP($AA$16,verificare!$AR$4:$AS$26,2,FALSE),A255)</f>
        <v>620018</v>
      </c>
      <c r="S255" s="690"/>
      <c r="T255" s="690"/>
      <c r="U255" s="690"/>
      <c r="V255" s="658" t="s">
        <v>446</v>
      </c>
      <c r="W255" s="658"/>
      <c r="X255" s="691">
        <f>HLOOKUP(VLOOKUP($AA$16,'Date SPV'!$B:$F,5,FALSE),'Preturi si tarife'!$C$2:$J$39,A255+2,FALSE)</f>
        <v>0.1192</v>
      </c>
      <c r="Y255" s="692"/>
      <c r="Z255" s="692"/>
      <c r="AA255" s="693"/>
      <c r="AB255" s="690">
        <f t="shared" si="14"/>
        <v>73906.149999999994</v>
      </c>
      <c r="AC255" s="690"/>
      <c r="AD255" s="690"/>
      <c r="AE255" s="690"/>
      <c r="AF255" s="690">
        <f t="shared" si="15"/>
        <v>14042.17</v>
      </c>
      <c r="AG255" s="690"/>
      <c r="AH255" s="690"/>
      <c r="AI255" s="690"/>
      <c r="AJ255" s="690">
        <f t="shared" si="16"/>
        <v>87948.319999999992</v>
      </c>
      <c r="AK255" s="690"/>
      <c r="AL255" s="690"/>
      <c r="AM255" s="690"/>
    </row>
    <row r="256" spans="1:39" ht="15.95" customHeight="1">
      <c r="A256" s="65">
        <f t="shared" si="17"/>
        <v>15</v>
      </c>
      <c r="B256" s="699" t="s">
        <v>82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02">
        <f t="shared" si="20"/>
        <v>45778</v>
      </c>
      <c r="M256" s="702"/>
      <c r="N256" s="702"/>
      <c r="O256" s="702">
        <f t="shared" si="21"/>
        <v>45808</v>
      </c>
      <c r="P256" s="702"/>
      <c r="Q256" s="702"/>
      <c r="R256" s="690" cm="1">
        <f t="array" ref="R256">INDEX(verificare!$AT$4:$CC$26,VLOOKUP($AA$16,verificare!$AR$4:$AS$26,2,FALSE),A256)</f>
        <v>183192.50000000003</v>
      </c>
      <c r="S256" s="690"/>
      <c r="T256" s="690"/>
      <c r="U256" s="690"/>
      <c r="V256" s="658" t="s">
        <v>446</v>
      </c>
      <c r="W256" s="658"/>
      <c r="X256" s="691">
        <f>HLOOKUP(VLOOKUP($AA$16,'Date SPV'!$B:$F,5,FALSE),'Preturi si tarife'!$C$2:$J$39,A256+2,FALSE)</f>
        <v>0.96800760000000008</v>
      </c>
      <c r="Y256" s="692"/>
      <c r="Z256" s="692"/>
      <c r="AA256" s="693"/>
      <c r="AB256" s="690">
        <f t="shared" si="14"/>
        <v>177331.73</v>
      </c>
      <c r="AC256" s="690"/>
      <c r="AD256" s="690"/>
      <c r="AE256" s="690"/>
      <c r="AF256" s="690">
        <f t="shared" si="15"/>
        <v>33693.03</v>
      </c>
      <c r="AG256" s="690"/>
      <c r="AH256" s="690"/>
      <c r="AI256" s="690"/>
      <c r="AJ256" s="690">
        <f t="shared" si="16"/>
        <v>211024.76</v>
      </c>
      <c r="AK256" s="690"/>
      <c r="AL256" s="690"/>
      <c r="AM256" s="690"/>
    </row>
    <row r="257" spans="1:39" ht="15.95" customHeight="1">
      <c r="A257" s="65">
        <f t="shared" si="17"/>
        <v>16</v>
      </c>
      <c r="B257" s="699" t="s">
        <v>83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02">
        <f t="shared" si="20"/>
        <v>45778</v>
      </c>
      <c r="M257" s="702"/>
      <c r="N257" s="702"/>
      <c r="O257" s="702">
        <f t="shared" si="21"/>
        <v>45808</v>
      </c>
      <c r="P257" s="702"/>
      <c r="Q257" s="702"/>
      <c r="R257" s="690" cm="1">
        <f t="array" ref="R257">INDEX(verificare!$AT$4:$CC$26,VLOOKUP($AA$16,verificare!$AR$4:$AS$26,2,FALSE),A257)</f>
        <v>37318</v>
      </c>
      <c r="S257" s="690"/>
      <c r="T257" s="690"/>
      <c r="U257" s="690"/>
      <c r="V257" s="658" t="s">
        <v>446</v>
      </c>
      <c r="W257" s="658"/>
      <c r="X257" s="691">
        <f>HLOOKUP(VLOOKUP($AA$16,'Date SPV'!$B:$F,5,FALSE),'Preturi si tarife'!$C$2:$J$39,A257+2,FALSE)</f>
        <v>0.83390760000000008</v>
      </c>
      <c r="Y257" s="692"/>
      <c r="Z257" s="692"/>
      <c r="AA257" s="693"/>
      <c r="AB257" s="690">
        <f t="shared" si="14"/>
        <v>31119.759999999998</v>
      </c>
      <c r="AC257" s="690"/>
      <c r="AD257" s="690"/>
      <c r="AE257" s="690"/>
      <c r="AF257" s="690">
        <f t="shared" si="15"/>
        <v>5912.75</v>
      </c>
      <c r="AG257" s="690"/>
      <c r="AH257" s="690"/>
      <c r="AI257" s="690"/>
      <c r="AJ257" s="690">
        <f t="shared" si="16"/>
        <v>37032.509999999995</v>
      </c>
      <c r="AK257" s="690"/>
      <c r="AL257" s="690"/>
      <c r="AM257" s="690"/>
    </row>
    <row r="258" spans="1:39" ht="15.95" customHeight="1">
      <c r="A258" s="65">
        <f t="shared" si="17"/>
        <v>17</v>
      </c>
      <c r="B258" s="699" t="s">
        <v>1129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02">
        <f t="shared" si="20"/>
        <v>45778</v>
      </c>
      <c r="M258" s="702"/>
      <c r="N258" s="702"/>
      <c r="O258" s="702">
        <f t="shared" si="21"/>
        <v>45808</v>
      </c>
      <c r="P258" s="702"/>
      <c r="Q258" s="702"/>
      <c r="R258" s="690" cm="1">
        <f t="array" ref="R258">INDEX(verificare!$AT$4:$CC$26,VLOOKUP($AA$16,verificare!$AR$4:$AS$26,2,FALSE),A258)</f>
        <v>37318</v>
      </c>
      <c r="S258" s="690"/>
      <c r="T258" s="690"/>
      <c r="U258" s="690"/>
      <c r="V258" s="658" t="s">
        <v>446</v>
      </c>
      <c r="W258" s="658"/>
      <c r="X258" s="691">
        <f>HLOOKUP(VLOOKUP($AA$16,'Date SPV'!$B:$F,5,FALSE),'Preturi si tarife'!$C$2:$J$39,A258+2,FALSE)</f>
        <v>1.49E-2</v>
      </c>
      <c r="Y258" s="692"/>
      <c r="Z258" s="692"/>
      <c r="AA258" s="693"/>
      <c r="AB258" s="690">
        <f t="shared" si="14"/>
        <v>556.04</v>
      </c>
      <c r="AC258" s="690"/>
      <c r="AD258" s="690"/>
      <c r="AE258" s="690"/>
      <c r="AF258" s="690">
        <f t="shared" si="15"/>
        <v>105.65</v>
      </c>
      <c r="AG258" s="690"/>
      <c r="AH258" s="690"/>
      <c r="AI258" s="690"/>
      <c r="AJ258" s="690">
        <f t="shared" si="16"/>
        <v>661.68999999999994</v>
      </c>
      <c r="AK258" s="690"/>
      <c r="AL258" s="690"/>
      <c r="AM258" s="690"/>
    </row>
    <row r="259" spans="1:39" ht="15.95" customHeight="1">
      <c r="A259" s="65">
        <f t="shared" si="17"/>
        <v>18</v>
      </c>
      <c r="B259" s="699" t="s">
        <v>1130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02">
        <f t="shared" si="20"/>
        <v>45778</v>
      </c>
      <c r="M259" s="702"/>
      <c r="N259" s="702"/>
      <c r="O259" s="702">
        <f t="shared" si="21"/>
        <v>45808</v>
      </c>
      <c r="P259" s="702"/>
      <c r="Q259" s="702"/>
      <c r="R259" s="690" cm="1">
        <f t="array" ref="R259">INDEX(verificare!$AT$4:$CC$26,VLOOKUP($AA$16,verificare!$AR$4:$AS$26,2,FALSE),A259)</f>
        <v>37318</v>
      </c>
      <c r="S259" s="690"/>
      <c r="T259" s="690"/>
      <c r="U259" s="690"/>
      <c r="V259" s="658" t="s">
        <v>446</v>
      </c>
      <c r="W259" s="658"/>
      <c r="X259" s="691">
        <f>HLOOKUP(VLOOKUP($AA$16,'Date SPV'!$B:$F,5,FALSE),'Preturi si tarife'!$C$2:$J$39,A259+2,FALSE)</f>
        <v>0.1192</v>
      </c>
      <c r="Y259" s="692"/>
      <c r="Z259" s="692"/>
      <c r="AA259" s="693"/>
      <c r="AB259" s="690">
        <f t="shared" si="14"/>
        <v>4448.3100000000004</v>
      </c>
      <c r="AC259" s="690"/>
      <c r="AD259" s="690"/>
      <c r="AE259" s="690"/>
      <c r="AF259" s="690">
        <f t="shared" si="15"/>
        <v>845.18</v>
      </c>
      <c r="AG259" s="690"/>
      <c r="AH259" s="690"/>
      <c r="AI259" s="690"/>
      <c r="AJ259" s="690">
        <f t="shared" si="16"/>
        <v>5293.4900000000007</v>
      </c>
      <c r="AK259" s="690"/>
      <c r="AL259" s="690"/>
      <c r="AM259" s="690"/>
    </row>
    <row r="260" spans="1:39" ht="15.95" customHeight="1">
      <c r="A260" s="65">
        <f t="shared" si="17"/>
        <v>19</v>
      </c>
      <c r="B260" s="699" t="s">
        <v>99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02">
        <f>'Date masura OD'!$W$5</f>
        <v>45748</v>
      </c>
      <c r="M260" s="702"/>
      <c r="N260" s="702"/>
      <c r="O260" s="702">
        <f>'Date masura OD'!$X$5</f>
        <v>45777</v>
      </c>
      <c r="P260" s="702"/>
      <c r="Q260" s="702"/>
      <c r="R260" s="690" cm="1">
        <f t="array" ref="R260">INDEX(verificare!$AT$4:$CC$26,VLOOKUP($AA$16,verificare!$AR$4:$AS$26,2,FALSE),A260)</f>
        <v>1</v>
      </c>
      <c r="S260" s="690"/>
      <c r="T260" s="690"/>
      <c r="U260" s="690"/>
      <c r="V260" s="658" t="s">
        <v>446</v>
      </c>
      <c r="W260" s="658"/>
      <c r="X260" s="691">
        <f>HLOOKUP(VLOOKUP($AA$16,'Date SPV'!$B:$F,5,FALSE),'Preturi si tarife'!$C$2:$J$39,A260+2,FALSE)</f>
        <v>0.59499999999999997</v>
      </c>
      <c r="Y260" s="692"/>
      <c r="Z260" s="692"/>
      <c r="AA260" s="693"/>
      <c r="AB260" s="690">
        <f t="shared" si="14"/>
        <v>0.6</v>
      </c>
      <c r="AC260" s="690"/>
      <c r="AD260" s="690"/>
      <c r="AE260" s="690"/>
      <c r="AF260" s="690">
        <f t="shared" si="15"/>
        <v>0.11</v>
      </c>
      <c r="AG260" s="690"/>
      <c r="AH260" s="690"/>
      <c r="AI260" s="690"/>
      <c r="AJ260" s="690">
        <f t="shared" si="16"/>
        <v>0.71</v>
      </c>
      <c r="AK260" s="690"/>
      <c r="AL260" s="690"/>
      <c r="AM260" s="690"/>
    </row>
    <row r="261" spans="1:39" ht="15.95" customHeight="1">
      <c r="A261" s="65">
        <f t="shared" si="17"/>
        <v>20</v>
      </c>
      <c r="B261" s="699" t="s">
        <v>100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02">
        <f>L260</f>
        <v>45748</v>
      </c>
      <c r="M261" s="702"/>
      <c r="N261" s="702"/>
      <c r="O261" s="702">
        <f t="shared" ref="O261:O270" si="22">O260</f>
        <v>45777</v>
      </c>
      <c r="P261" s="702"/>
      <c r="Q261" s="702"/>
      <c r="R261" s="690" cm="1">
        <f t="array" ref="R261">INDEX(verificare!$AT$4:$CC$26,VLOOKUP($AA$16,verificare!$AR$4:$AS$26,2,FALSE),A261)</f>
        <v>0</v>
      </c>
      <c r="S261" s="690"/>
      <c r="T261" s="690"/>
      <c r="U261" s="690"/>
      <c r="V261" s="658" t="s">
        <v>727</v>
      </c>
      <c r="W261" s="658"/>
      <c r="X261" s="691">
        <f>HLOOKUP(VLOOKUP($AA$16,'Date SPV'!$B:$F,5,FALSE),'Preturi si tarife'!$C$2:$J$39,A261+2,FALSE)</f>
        <v>0.14649999999999999</v>
      </c>
      <c r="Y261" s="692"/>
      <c r="Z261" s="692"/>
      <c r="AA261" s="693"/>
      <c r="AB261" s="690">
        <f t="shared" si="14"/>
        <v>0</v>
      </c>
      <c r="AC261" s="690"/>
      <c r="AD261" s="690"/>
      <c r="AE261" s="690"/>
      <c r="AF261" s="690">
        <f t="shared" si="15"/>
        <v>0</v>
      </c>
      <c r="AG261" s="690"/>
      <c r="AH261" s="690"/>
      <c r="AI261" s="690"/>
      <c r="AJ261" s="690">
        <f t="shared" si="16"/>
        <v>0</v>
      </c>
      <c r="AK261" s="690"/>
      <c r="AL261" s="690"/>
      <c r="AM261" s="690"/>
    </row>
    <row r="262" spans="1:39" ht="30.95" customHeight="1">
      <c r="A262" s="65">
        <f t="shared" si="17"/>
        <v>21</v>
      </c>
      <c r="B262" s="699" t="s">
        <v>101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02">
        <f t="shared" ref="L262:L270" si="23">L261</f>
        <v>45748</v>
      </c>
      <c r="M262" s="702"/>
      <c r="N262" s="702"/>
      <c r="O262" s="702">
        <f t="shared" si="22"/>
        <v>45777</v>
      </c>
      <c r="P262" s="702"/>
      <c r="Q262" s="702"/>
      <c r="R262" s="690" cm="1">
        <f t="array" ref="R262">INDEX(verificare!$AT$4:$CC$26,VLOOKUP($AA$16,verificare!$AR$4:$AS$26,2,FALSE),A262)</f>
        <v>0</v>
      </c>
      <c r="S262" s="690"/>
      <c r="T262" s="690"/>
      <c r="U262" s="690"/>
      <c r="V262" s="658" t="s">
        <v>727</v>
      </c>
      <c r="W262" s="658"/>
      <c r="X262" s="691">
        <f>HLOOKUP(VLOOKUP($AA$16,'Date SPV'!$B:$F,5,FALSE),'Preturi si tarife'!$C$2:$J$39,A262+2,FALSE)</f>
        <v>0.4395</v>
      </c>
      <c r="Y262" s="692"/>
      <c r="Z262" s="692"/>
      <c r="AA262" s="693"/>
      <c r="AB262" s="690">
        <f t="shared" si="14"/>
        <v>0</v>
      </c>
      <c r="AC262" s="690"/>
      <c r="AD262" s="690"/>
      <c r="AE262" s="690"/>
      <c r="AF262" s="690">
        <f t="shared" si="15"/>
        <v>0</v>
      </c>
      <c r="AG262" s="690"/>
      <c r="AH262" s="690"/>
      <c r="AI262" s="690"/>
      <c r="AJ262" s="690">
        <f t="shared" si="16"/>
        <v>0</v>
      </c>
      <c r="AK262" s="690"/>
      <c r="AL262" s="690"/>
      <c r="AM262" s="690"/>
    </row>
    <row r="263" spans="1:39" ht="15.95" customHeight="1">
      <c r="A263" s="65">
        <f t="shared" si="17"/>
        <v>22</v>
      </c>
      <c r="B263" s="699" t="s">
        <v>869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02">
        <f t="shared" si="23"/>
        <v>45748</v>
      </c>
      <c r="M263" s="702"/>
      <c r="N263" s="702"/>
      <c r="O263" s="702">
        <f t="shared" si="22"/>
        <v>45777</v>
      </c>
      <c r="P263" s="702"/>
      <c r="Q263" s="702"/>
      <c r="R263" s="690" cm="1">
        <f t="array" ref="R263">INDEX(verificare!$AT$4:$CC$26,VLOOKUP($AA$16,verificare!$AR$4:$AS$26,2,FALSE),A263)</f>
        <v>1</v>
      </c>
      <c r="S263" s="690"/>
      <c r="T263" s="690"/>
      <c r="U263" s="690"/>
      <c r="V263" s="658" t="s">
        <v>446</v>
      </c>
      <c r="W263" s="658"/>
      <c r="X263" s="691">
        <f>HLOOKUP(VLOOKUP($AA$16,'Date SPV'!$B:$F,5,FALSE),'Preturi si tarife'!$C$2:$J$39,A263+2,FALSE)</f>
        <v>0.11483</v>
      </c>
      <c r="Y263" s="692"/>
      <c r="Z263" s="692"/>
      <c r="AA263" s="693"/>
      <c r="AB263" s="690">
        <f t="shared" si="14"/>
        <v>0.11</v>
      </c>
      <c r="AC263" s="690"/>
      <c r="AD263" s="690"/>
      <c r="AE263" s="690"/>
      <c r="AF263" s="690">
        <f t="shared" si="15"/>
        <v>0.02</v>
      </c>
      <c r="AG263" s="690"/>
      <c r="AH263" s="690"/>
      <c r="AI263" s="690"/>
      <c r="AJ263" s="690">
        <f t="shared" si="16"/>
        <v>0.13</v>
      </c>
      <c r="AK263" s="690"/>
      <c r="AL263" s="690"/>
      <c r="AM263" s="690"/>
    </row>
    <row r="264" spans="1:39" ht="15.95" customHeight="1">
      <c r="A264" s="65">
        <f t="shared" si="17"/>
        <v>23</v>
      </c>
      <c r="B264" s="699" t="s">
        <v>758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02">
        <f t="shared" si="23"/>
        <v>45748</v>
      </c>
      <c r="M264" s="702"/>
      <c r="N264" s="702"/>
      <c r="O264" s="702">
        <f t="shared" si="22"/>
        <v>45777</v>
      </c>
      <c r="P264" s="702"/>
      <c r="Q264" s="702"/>
      <c r="R264" s="690" cm="1">
        <f t="array" ref="R264">INDEX(verificare!$AT$4:$CC$26,VLOOKUP($AA$16,verificare!$AR$4:$AS$26,2,FALSE),A264)</f>
        <v>0</v>
      </c>
      <c r="S264" s="690"/>
      <c r="T264" s="690"/>
      <c r="U264" s="690"/>
      <c r="V264" s="658" t="s">
        <v>446</v>
      </c>
      <c r="W264" s="658"/>
      <c r="X264" s="691">
        <f>HLOOKUP(VLOOKUP($AA$16,'Date SPV'!$B:$F,5,FALSE),'Preturi si tarife'!$C$2:$J$39,A264+2,FALSE)</f>
        <v>0.2361</v>
      </c>
      <c r="Y264" s="692"/>
      <c r="Z264" s="692"/>
      <c r="AA264" s="693"/>
      <c r="AB264" s="690">
        <f t="shared" si="14"/>
        <v>0</v>
      </c>
      <c r="AC264" s="690"/>
      <c r="AD264" s="690"/>
      <c r="AE264" s="690"/>
      <c r="AF264" s="690">
        <f t="shared" si="15"/>
        <v>0</v>
      </c>
      <c r="AG264" s="690"/>
      <c r="AH264" s="690"/>
      <c r="AI264" s="690"/>
      <c r="AJ264" s="690">
        <f t="shared" si="16"/>
        <v>0</v>
      </c>
      <c r="AK264" s="690"/>
      <c r="AL264" s="690"/>
      <c r="AM264" s="690"/>
    </row>
    <row r="265" spans="1:39" ht="30.95" customHeight="1">
      <c r="A265" s="65">
        <f t="shared" si="17"/>
        <v>24</v>
      </c>
      <c r="B265" s="699" t="s">
        <v>102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02">
        <f t="shared" si="23"/>
        <v>45748</v>
      </c>
      <c r="M265" s="702"/>
      <c r="N265" s="702"/>
      <c r="O265" s="702">
        <f t="shared" si="22"/>
        <v>45777</v>
      </c>
      <c r="P265" s="702"/>
      <c r="Q265" s="702"/>
      <c r="R265" s="690" cm="1">
        <f t="array" ref="R265">INDEX(verificare!$AT$4:$CC$26,VLOOKUP($AA$16,verificare!$AR$4:$AS$26,2,FALSE),A265)</f>
        <v>1</v>
      </c>
      <c r="S265" s="690"/>
      <c r="T265" s="690"/>
      <c r="U265" s="690"/>
      <c r="V265" s="658" t="s">
        <v>446</v>
      </c>
      <c r="W265" s="658"/>
      <c r="X265" s="691">
        <f>HLOOKUP(VLOOKUP($AA$16,'Date SPV'!$B:$F,5,FALSE),'Preturi si tarife'!$C$2:$J$39,A265+2,FALSE)</f>
        <v>1.1509999999999999E-2</v>
      </c>
      <c r="Y265" s="692"/>
      <c r="Z265" s="692"/>
      <c r="AA265" s="693"/>
      <c r="AB265" s="690">
        <f t="shared" si="14"/>
        <v>0.01</v>
      </c>
      <c r="AC265" s="690"/>
      <c r="AD265" s="690"/>
      <c r="AE265" s="690"/>
      <c r="AF265" s="690">
        <f t="shared" si="15"/>
        <v>0</v>
      </c>
      <c r="AG265" s="690"/>
      <c r="AH265" s="690"/>
      <c r="AI265" s="690"/>
      <c r="AJ265" s="690">
        <f t="shared" si="16"/>
        <v>0.01</v>
      </c>
      <c r="AK265" s="690"/>
      <c r="AL265" s="690"/>
      <c r="AM265" s="690"/>
    </row>
    <row r="266" spans="1:39" ht="30.95" customHeight="1">
      <c r="A266" s="65">
        <f t="shared" si="17"/>
        <v>25</v>
      </c>
      <c r="B266" s="699" t="s">
        <v>103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02">
        <f t="shared" si="23"/>
        <v>45748</v>
      </c>
      <c r="M266" s="702"/>
      <c r="N266" s="702"/>
      <c r="O266" s="702">
        <f t="shared" si="22"/>
        <v>45777</v>
      </c>
      <c r="P266" s="702"/>
      <c r="Q266" s="702"/>
      <c r="R266" s="690" cm="1">
        <f t="array" ref="R266">INDEX(verificare!$AT$4:$CC$26,VLOOKUP($AA$16,verificare!$AR$4:$AS$26,2,FALSE),A266)</f>
        <v>1</v>
      </c>
      <c r="S266" s="690"/>
      <c r="T266" s="690"/>
      <c r="U266" s="690"/>
      <c r="V266" s="658" t="s">
        <v>446</v>
      </c>
      <c r="W266" s="658"/>
      <c r="X266" s="691">
        <f>HLOOKUP(VLOOKUP($AA$16,'Date SPV'!$B:$F,5,FALSE),'Preturi si tarife'!$C$2:$J$39,A266+2,FALSE)</f>
        <v>3.3030000000000004E-2</v>
      </c>
      <c r="Y266" s="692"/>
      <c r="Z266" s="692"/>
      <c r="AA266" s="693"/>
      <c r="AB266" s="690">
        <f t="shared" si="14"/>
        <v>0.03</v>
      </c>
      <c r="AC266" s="690"/>
      <c r="AD266" s="690"/>
      <c r="AE266" s="690"/>
      <c r="AF266" s="690">
        <f t="shared" si="15"/>
        <v>0.01</v>
      </c>
      <c r="AG266" s="690"/>
      <c r="AH266" s="690"/>
      <c r="AI266" s="690"/>
      <c r="AJ266" s="690">
        <f t="shared" si="16"/>
        <v>0.04</v>
      </c>
      <c r="AK266" s="690"/>
      <c r="AL266" s="690"/>
      <c r="AM266" s="690"/>
    </row>
    <row r="267" spans="1:39" ht="30.95" customHeight="1">
      <c r="A267" s="65">
        <f t="shared" si="17"/>
        <v>26</v>
      </c>
      <c r="B267" s="699" t="s">
        <v>104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02">
        <f t="shared" si="23"/>
        <v>45748</v>
      </c>
      <c r="M267" s="702"/>
      <c r="N267" s="702"/>
      <c r="O267" s="702">
        <f t="shared" si="22"/>
        <v>45777</v>
      </c>
      <c r="P267" s="702"/>
      <c r="Q267" s="702"/>
      <c r="R267" s="690" cm="1">
        <f t="array" ref="R267">INDEX(verificare!$AT$4:$CC$26,VLOOKUP($AA$16,verificare!$AR$4:$AS$26,2,FALSE),A267)</f>
        <v>1</v>
      </c>
      <c r="S267" s="690"/>
      <c r="T267" s="690"/>
      <c r="U267" s="690"/>
      <c r="V267" s="658" t="s">
        <v>446</v>
      </c>
      <c r="W267" s="658"/>
      <c r="X267" s="691">
        <f>HLOOKUP(VLOOKUP($AA$16,'Date SPV'!$B:$F,5,FALSE),'Preturi si tarife'!$C$2:$J$39,A267+2,FALSE)</f>
        <v>3.29E-3</v>
      </c>
      <c r="Y267" s="692"/>
      <c r="Z267" s="692"/>
      <c r="AA267" s="693"/>
      <c r="AB267" s="690">
        <f t="shared" si="14"/>
        <v>0</v>
      </c>
      <c r="AC267" s="690"/>
      <c r="AD267" s="690"/>
      <c r="AE267" s="690"/>
      <c r="AF267" s="690">
        <f t="shared" si="15"/>
        <v>0</v>
      </c>
      <c r="AG267" s="690"/>
      <c r="AH267" s="690"/>
      <c r="AI267" s="690"/>
      <c r="AJ267" s="690">
        <f t="shared" si="16"/>
        <v>0</v>
      </c>
      <c r="AK267" s="690"/>
      <c r="AL267" s="690"/>
      <c r="AM267" s="690"/>
    </row>
    <row r="268" spans="1:39" ht="15.95" customHeight="1">
      <c r="A268" s="65">
        <f t="shared" si="17"/>
        <v>27</v>
      </c>
      <c r="B268" s="699" t="s">
        <v>105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02">
        <f t="shared" si="23"/>
        <v>45748</v>
      </c>
      <c r="M268" s="702"/>
      <c r="N268" s="702"/>
      <c r="O268" s="702">
        <f t="shared" si="22"/>
        <v>45777</v>
      </c>
      <c r="P268" s="702"/>
      <c r="Q268" s="702"/>
      <c r="R268" s="690" cm="1">
        <f t="array" ref="R268">INDEX(verificare!$AT$4:$CC$26,VLOOKUP($AA$16,verificare!$AR$4:$AS$26,2,FALSE),A268)</f>
        <v>1</v>
      </c>
      <c r="S268" s="690"/>
      <c r="T268" s="690"/>
      <c r="U268" s="690"/>
      <c r="V268" s="658" t="s">
        <v>446</v>
      </c>
      <c r="W268" s="658"/>
      <c r="X268" s="691">
        <f>HLOOKUP(VLOOKUP($AA$16,'Date SPV'!$B:$F,5,FALSE),'Preturi si tarife'!$C$2:$J$39,A268+2,FALSE)</f>
        <v>3.5000000000000001E-3</v>
      </c>
      <c r="Y268" s="692"/>
      <c r="Z268" s="692"/>
      <c r="AA268" s="693"/>
      <c r="AB268" s="690">
        <f t="shared" si="14"/>
        <v>0</v>
      </c>
      <c r="AC268" s="690"/>
      <c r="AD268" s="690"/>
      <c r="AE268" s="690"/>
      <c r="AF268" s="690">
        <f t="shared" si="15"/>
        <v>0</v>
      </c>
      <c r="AG268" s="690"/>
      <c r="AH268" s="690"/>
      <c r="AI268" s="690"/>
      <c r="AJ268" s="690">
        <f t="shared" si="16"/>
        <v>0</v>
      </c>
      <c r="AK268" s="690"/>
      <c r="AL268" s="690"/>
      <c r="AM268" s="690"/>
    </row>
    <row r="269" spans="1:39" ht="15.95" customHeight="1">
      <c r="A269" s="65">
        <f t="shared" si="17"/>
        <v>28</v>
      </c>
      <c r="B269" s="699" t="s">
        <v>106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02">
        <f t="shared" si="23"/>
        <v>45748</v>
      </c>
      <c r="M269" s="702"/>
      <c r="N269" s="702"/>
      <c r="O269" s="702">
        <f t="shared" si="22"/>
        <v>45777</v>
      </c>
      <c r="P269" s="702"/>
      <c r="Q269" s="702"/>
      <c r="R269" s="690" cm="1">
        <f t="array" ref="R269">INDEX(verificare!$AT$4:$CC$26,VLOOKUP($AA$16,verificare!$AR$4:$AS$26,2,FALSE),A269)</f>
        <v>1</v>
      </c>
      <c r="S269" s="690"/>
      <c r="T269" s="690"/>
      <c r="U269" s="690"/>
      <c r="V269" s="658" t="s">
        <v>446</v>
      </c>
      <c r="W269" s="658"/>
      <c r="X269" s="691">
        <f>HLOOKUP(VLOOKUP($AA$16,'Date SPV'!$B:$F,5,FALSE),'Preturi si tarife'!$C$2:$J$39,A269+2,FALSE)</f>
        <v>7.2541599999999998E-2</v>
      </c>
      <c r="Y269" s="692"/>
      <c r="Z269" s="692"/>
      <c r="AA269" s="693"/>
      <c r="AB269" s="690">
        <f t="shared" si="14"/>
        <v>7.0000000000000007E-2</v>
      </c>
      <c r="AC269" s="690"/>
      <c r="AD269" s="690"/>
      <c r="AE269" s="690"/>
      <c r="AF269" s="690">
        <f t="shared" si="15"/>
        <v>0.01</v>
      </c>
      <c r="AG269" s="690"/>
      <c r="AH269" s="690"/>
      <c r="AI269" s="690"/>
      <c r="AJ269" s="690">
        <f t="shared" si="16"/>
        <v>0.08</v>
      </c>
      <c r="AK269" s="690"/>
      <c r="AL269" s="690"/>
      <c r="AM269" s="690"/>
    </row>
    <row r="270" spans="1:39" ht="30.95" customHeight="1">
      <c r="A270" s="65">
        <f t="shared" si="17"/>
        <v>29</v>
      </c>
      <c r="B270" s="699" t="s">
        <v>1316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02">
        <f t="shared" si="23"/>
        <v>45748</v>
      </c>
      <c r="M270" s="702"/>
      <c r="N270" s="702"/>
      <c r="O270" s="702">
        <f t="shared" si="22"/>
        <v>45777</v>
      </c>
      <c r="P270" s="702"/>
      <c r="Q270" s="702"/>
      <c r="R270" s="690" cm="1">
        <f t="array" ref="R270">INDEX(verificare!$AT$4:$CC$26,VLOOKUP($AA$16,verificare!$AR$4:$AS$26,2,FALSE),A270)</f>
        <v>1</v>
      </c>
      <c r="S270" s="690"/>
      <c r="T270" s="690"/>
      <c r="U270" s="690"/>
      <c r="V270" s="658" t="s">
        <v>446</v>
      </c>
      <c r="W270" s="658"/>
      <c r="X270" s="691">
        <f>HLOOKUP(VLOOKUP($AA$16,'Date SPV'!$B:$F,5,FALSE),'Preturi si tarife'!$C$2:$J$39,A270+2,FALSE)</f>
        <v>2.0599999999999999E-4</v>
      </c>
      <c r="Y270" s="692"/>
      <c r="Z270" s="692"/>
      <c r="AA270" s="693"/>
      <c r="AB270" s="690">
        <f t="shared" si="14"/>
        <v>0</v>
      </c>
      <c r="AC270" s="690"/>
      <c r="AD270" s="690"/>
      <c r="AE270" s="690"/>
      <c r="AF270" s="690">
        <f t="shared" si="15"/>
        <v>0</v>
      </c>
      <c r="AG270" s="690"/>
      <c r="AH270" s="690"/>
      <c r="AI270" s="690"/>
      <c r="AJ270" s="690">
        <f t="shared" si="16"/>
        <v>0</v>
      </c>
      <c r="AK270" s="690"/>
      <c r="AL270" s="690"/>
      <c r="AM270" s="690"/>
    </row>
    <row r="271" spans="1:39" ht="30.95" customHeight="1">
      <c r="A271" s="65">
        <f t="shared" si="17"/>
        <v>30</v>
      </c>
      <c r="B271" s="699" t="s">
        <v>107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02">
        <f>L269</f>
        <v>45748</v>
      </c>
      <c r="M271" s="702"/>
      <c r="N271" s="702"/>
      <c r="O271" s="702">
        <f>O269</f>
        <v>45777</v>
      </c>
      <c r="P271" s="702"/>
      <c r="Q271" s="702"/>
      <c r="R271" s="690" cm="1">
        <f t="array" ref="R271">INDEX(verificare!$AT$4:$CC$26,VLOOKUP($AA$16,verificare!$AR$4:$AS$26,2,FALSE),A271)</f>
        <v>1</v>
      </c>
      <c r="S271" s="690"/>
      <c r="T271" s="690"/>
      <c r="U271" s="690"/>
      <c r="V271" s="658" t="s">
        <v>446</v>
      </c>
      <c r="W271" s="658"/>
      <c r="X271" s="691">
        <f>HLOOKUP(VLOOKUP($AA$16,'Date SPV'!$B:$F,5,FALSE),'Preturi si tarife'!$C$2:$J$39,A271+2,FALSE)</f>
        <v>0</v>
      </c>
      <c r="Y271" s="692"/>
      <c r="Z271" s="692"/>
      <c r="AA271" s="693"/>
      <c r="AB271" s="690">
        <f t="shared" si="14"/>
        <v>0</v>
      </c>
      <c r="AC271" s="690"/>
      <c r="AD271" s="690"/>
      <c r="AE271" s="690"/>
      <c r="AF271" s="690">
        <f t="shared" si="15"/>
        <v>0</v>
      </c>
      <c r="AG271" s="690"/>
      <c r="AH271" s="690"/>
      <c r="AI271" s="690"/>
      <c r="AJ271" s="690">
        <f t="shared" si="16"/>
        <v>0</v>
      </c>
      <c r="AK271" s="690"/>
      <c r="AL271" s="690"/>
      <c r="AM271" s="690"/>
    </row>
    <row r="272" spans="1:39" ht="15.95" customHeight="1">
      <c r="A272" s="65">
        <f t="shared" si="17"/>
        <v>31</v>
      </c>
      <c r="B272" s="699" t="s">
        <v>108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02">
        <f t="shared" ref="L272:L277" si="24">L271</f>
        <v>45748</v>
      </c>
      <c r="M272" s="702"/>
      <c r="N272" s="702"/>
      <c r="O272" s="702">
        <f t="shared" ref="O272:O277" si="25">O271</f>
        <v>45777</v>
      </c>
      <c r="P272" s="702"/>
      <c r="Q272" s="702"/>
      <c r="R272" s="690" cm="1">
        <f t="array" ref="R272">INDEX(verificare!$AT$4:$CC$26,VLOOKUP($AA$16,verificare!$AR$4:$AS$26,2,FALSE),A272)</f>
        <v>1</v>
      </c>
      <c r="S272" s="690"/>
      <c r="T272" s="690"/>
      <c r="U272" s="690"/>
      <c r="V272" s="658" t="s">
        <v>446</v>
      </c>
      <c r="W272" s="658"/>
      <c r="X272" s="691">
        <f>HLOOKUP(VLOOKUP($AA$16,'Date SPV'!$B:$F,5,FALSE),'Preturi si tarife'!$C$2:$J$39,A272+2,FALSE)</f>
        <v>1.49E-2</v>
      </c>
      <c r="Y272" s="692"/>
      <c r="Z272" s="692"/>
      <c r="AA272" s="693"/>
      <c r="AB272" s="690">
        <f t="shared" si="14"/>
        <v>0.01</v>
      </c>
      <c r="AC272" s="690"/>
      <c r="AD272" s="690"/>
      <c r="AE272" s="690"/>
      <c r="AF272" s="690">
        <f t="shared" si="15"/>
        <v>0</v>
      </c>
      <c r="AG272" s="690"/>
      <c r="AH272" s="690"/>
      <c r="AI272" s="690"/>
      <c r="AJ272" s="690">
        <f t="shared" si="16"/>
        <v>0.01</v>
      </c>
      <c r="AK272" s="690"/>
      <c r="AL272" s="690"/>
      <c r="AM272" s="690"/>
    </row>
    <row r="273" spans="1:39" ht="15.95" customHeight="1">
      <c r="A273" s="65">
        <f t="shared" si="17"/>
        <v>32</v>
      </c>
      <c r="B273" s="699" t="s">
        <v>109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02">
        <f t="shared" si="24"/>
        <v>45748</v>
      </c>
      <c r="M273" s="702"/>
      <c r="N273" s="702"/>
      <c r="O273" s="702">
        <f t="shared" si="25"/>
        <v>45777</v>
      </c>
      <c r="P273" s="702"/>
      <c r="Q273" s="702"/>
      <c r="R273" s="690" cm="1">
        <f t="array" ref="R273">INDEX(verificare!$AT$4:$CC$26,VLOOKUP($AA$16,verificare!$AR$4:$AS$26,2,FALSE),A273)</f>
        <v>1</v>
      </c>
      <c r="S273" s="690"/>
      <c r="T273" s="690"/>
      <c r="U273" s="690"/>
      <c r="V273" s="724" t="s">
        <v>446</v>
      </c>
      <c r="W273" s="725"/>
      <c r="X273" s="691">
        <f>HLOOKUP(VLOOKUP($AA$16,'Date SPV'!$B:$F,5,FALSE),'Preturi si tarife'!$C$2:$J$39,A273+2,FALSE)</f>
        <v>0.1192</v>
      </c>
      <c r="Y273" s="692"/>
      <c r="Z273" s="692"/>
      <c r="AA273" s="693"/>
      <c r="AB273" s="690">
        <f t="shared" si="14"/>
        <v>0.12</v>
      </c>
      <c r="AC273" s="690"/>
      <c r="AD273" s="690"/>
      <c r="AE273" s="690"/>
      <c r="AF273" s="690">
        <f t="shared" si="15"/>
        <v>0.02</v>
      </c>
      <c r="AG273" s="690"/>
      <c r="AH273" s="690"/>
      <c r="AI273" s="690"/>
      <c r="AJ273" s="690">
        <f t="shared" si="16"/>
        <v>0.13999999999999999</v>
      </c>
      <c r="AK273" s="690"/>
      <c r="AL273" s="690"/>
      <c r="AM273" s="690"/>
    </row>
    <row r="274" spans="1:39" ht="30.95" customHeight="1">
      <c r="A274" s="65">
        <f t="shared" si="17"/>
        <v>33</v>
      </c>
      <c r="B274" s="699" t="s">
        <v>110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02">
        <f t="shared" si="24"/>
        <v>45748</v>
      </c>
      <c r="M274" s="702"/>
      <c r="N274" s="702"/>
      <c r="O274" s="702">
        <f t="shared" si="25"/>
        <v>45777</v>
      </c>
      <c r="P274" s="702"/>
      <c r="Q274" s="702"/>
      <c r="R274" s="690" cm="1">
        <f t="array" ref="R274">INDEX(verificare!$AT$4:$CC$26,VLOOKUP($AA$16,verificare!$AR$4:$AS$26,2,FALSE),A274)</f>
        <v>0</v>
      </c>
      <c r="S274" s="690"/>
      <c r="T274" s="690"/>
      <c r="U274" s="690"/>
      <c r="V274" s="658" t="s">
        <v>446</v>
      </c>
      <c r="W274" s="658"/>
      <c r="X274" s="691">
        <f>HLOOKUP(VLOOKUP($AA$16,'Date SPV'!$B:$F,5,FALSE),'Preturi si tarife'!$C$2:$J$39,A274+2,FALSE)</f>
        <v>0.96800760000000008</v>
      </c>
      <c r="Y274" s="692"/>
      <c r="Z274" s="692"/>
      <c r="AA274" s="693"/>
      <c r="AB274" s="690">
        <f t="shared" si="14"/>
        <v>0</v>
      </c>
      <c r="AC274" s="690"/>
      <c r="AD274" s="690"/>
      <c r="AE274" s="690"/>
      <c r="AF274" s="690">
        <f t="shared" si="15"/>
        <v>0</v>
      </c>
      <c r="AG274" s="690"/>
      <c r="AH274" s="690"/>
      <c r="AI274" s="690"/>
      <c r="AJ274" s="690">
        <f t="shared" si="16"/>
        <v>0</v>
      </c>
      <c r="AK274" s="690"/>
      <c r="AL274" s="690"/>
      <c r="AM274" s="690"/>
    </row>
    <row r="275" spans="1:39" ht="30.95" customHeight="1">
      <c r="A275" s="65">
        <f t="shared" si="17"/>
        <v>34</v>
      </c>
      <c r="B275" s="699" t="s">
        <v>111</v>
      </c>
      <c r="C275" s="700"/>
      <c r="D275" s="700"/>
      <c r="E275" s="700"/>
      <c r="F275" s="700"/>
      <c r="G275" s="700"/>
      <c r="H275" s="700"/>
      <c r="I275" s="700"/>
      <c r="J275" s="700"/>
      <c r="K275" s="701"/>
      <c r="L275" s="702">
        <f t="shared" si="24"/>
        <v>45748</v>
      </c>
      <c r="M275" s="702"/>
      <c r="N275" s="702"/>
      <c r="O275" s="702">
        <f t="shared" si="25"/>
        <v>45777</v>
      </c>
      <c r="P275" s="702"/>
      <c r="Q275" s="702"/>
      <c r="R275" s="690" cm="1">
        <f t="array" ref="R275">INDEX(verificare!$AT$4:$CC$26,VLOOKUP($AA$16,verificare!$AR$4:$AS$26,2,FALSE),A275)</f>
        <v>0</v>
      </c>
      <c r="S275" s="690"/>
      <c r="T275" s="690"/>
      <c r="U275" s="690"/>
      <c r="V275" s="658" t="s">
        <v>446</v>
      </c>
      <c r="W275" s="658"/>
      <c r="X275" s="691">
        <f>HLOOKUP(VLOOKUP($AA$16,'Date SPV'!$B:$F,5,FALSE),'Preturi si tarife'!$C$2:$J$39,A275+2,FALSE)</f>
        <v>0.83390760000000008</v>
      </c>
      <c r="Y275" s="692"/>
      <c r="Z275" s="692"/>
      <c r="AA275" s="693"/>
      <c r="AB275" s="690">
        <f t="shared" si="14"/>
        <v>0</v>
      </c>
      <c r="AC275" s="690"/>
      <c r="AD275" s="690"/>
      <c r="AE275" s="690"/>
      <c r="AF275" s="690">
        <f t="shared" si="15"/>
        <v>0</v>
      </c>
      <c r="AG275" s="690"/>
      <c r="AH275" s="690"/>
      <c r="AI275" s="690"/>
      <c r="AJ275" s="690">
        <f t="shared" si="16"/>
        <v>0</v>
      </c>
      <c r="AK275" s="690"/>
      <c r="AL275" s="690"/>
      <c r="AM275" s="690"/>
    </row>
    <row r="276" spans="1:39" ht="15.95" customHeight="1">
      <c r="A276" s="65">
        <f t="shared" si="17"/>
        <v>35</v>
      </c>
      <c r="B276" s="699" t="s">
        <v>112</v>
      </c>
      <c r="C276" s="700"/>
      <c r="D276" s="700"/>
      <c r="E276" s="700"/>
      <c r="F276" s="700"/>
      <c r="G276" s="700"/>
      <c r="H276" s="700"/>
      <c r="I276" s="700"/>
      <c r="J276" s="700"/>
      <c r="K276" s="701"/>
      <c r="L276" s="702">
        <f t="shared" si="24"/>
        <v>45748</v>
      </c>
      <c r="M276" s="702"/>
      <c r="N276" s="702"/>
      <c r="O276" s="702">
        <f t="shared" si="25"/>
        <v>45777</v>
      </c>
      <c r="P276" s="702"/>
      <c r="Q276" s="702"/>
      <c r="R276" s="690" cm="1">
        <f t="array" ref="R276">INDEX(verificare!$AT$4:$CC$26,VLOOKUP($AA$16,verificare!$AR$4:$AS$26,2,FALSE),A276)</f>
        <v>0</v>
      </c>
      <c r="S276" s="690"/>
      <c r="T276" s="690"/>
      <c r="U276" s="690"/>
      <c r="V276" s="724" t="s">
        <v>446</v>
      </c>
      <c r="W276" s="725"/>
      <c r="X276" s="691">
        <f>HLOOKUP(VLOOKUP($AA$16,'Date SPV'!$B:$F,5,FALSE),'Preturi si tarife'!$C$2:$J$39,A276+2,FALSE)</f>
        <v>1.49E-2</v>
      </c>
      <c r="Y276" s="692"/>
      <c r="Z276" s="692"/>
      <c r="AA276" s="693"/>
      <c r="AB276" s="690">
        <f t="shared" si="14"/>
        <v>0</v>
      </c>
      <c r="AC276" s="690"/>
      <c r="AD276" s="690"/>
      <c r="AE276" s="690"/>
      <c r="AF276" s="690">
        <f t="shared" si="15"/>
        <v>0</v>
      </c>
      <c r="AG276" s="690"/>
      <c r="AH276" s="690"/>
      <c r="AI276" s="690"/>
      <c r="AJ276" s="690">
        <f t="shared" si="16"/>
        <v>0</v>
      </c>
      <c r="AK276" s="690"/>
      <c r="AL276" s="690"/>
      <c r="AM276" s="690"/>
    </row>
    <row r="277" spans="1:39" ht="15.95" customHeight="1">
      <c r="A277" s="65">
        <f t="shared" si="17"/>
        <v>36</v>
      </c>
      <c r="B277" s="699" t="s">
        <v>113</v>
      </c>
      <c r="C277" s="700"/>
      <c r="D277" s="700"/>
      <c r="E277" s="700"/>
      <c r="F277" s="700"/>
      <c r="G277" s="700"/>
      <c r="H277" s="700"/>
      <c r="I277" s="700"/>
      <c r="J277" s="700"/>
      <c r="K277" s="701"/>
      <c r="L277" s="702">
        <f t="shared" si="24"/>
        <v>45748</v>
      </c>
      <c r="M277" s="702"/>
      <c r="N277" s="702"/>
      <c r="O277" s="702">
        <f t="shared" si="25"/>
        <v>45777</v>
      </c>
      <c r="P277" s="702"/>
      <c r="Q277" s="702"/>
      <c r="R277" s="690" cm="1">
        <f t="array" ref="R277">INDEX(verificare!$AT$4:$CC$26,VLOOKUP($AA$16,verificare!$AR$4:$AS$26,2,FALSE),A277)</f>
        <v>0</v>
      </c>
      <c r="S277" s="690"/>
      <c r="T277" s="690"/>
      <c r="U277" s="690"/>
      <c r="V277" s="724" t="s">
        <v>446</v>
      </c>
      <c r="W277" s="725"/>
      <c r="X277" s="691">
        <f>HLOOKUP(VLOOKUP($AA$16,'Date SPV'!$B:$F,5,FALSE),'Preturi si tarife'!$C$2:$J$39,A277+2,FALSE)</f>
        <v>0.1192</v>
      </c>
      <c r="Y277" s="692"/>
      <c r="Z277" s="692"/>
      <c r="AA277" s="693"/>
      <c r="AB277" s="690">
        <f t="shared" si="14"/>
        <v>0</v>
      </c>
      <c r="AC277" s="690"/>
      <c r="AD277" s="690"/>
      <c r="AE277" s="690"/>
      <c r="AF277" s="690">
        <f t="shared" si="15"/>
        <v>0</v>
      </c>
      <c r="AG277" s="690"/>
      <c r="AH277" s="690"/>
      <c r="AI277" s="690"/>
      <c r="AJ277" s="690">
        <f t="shared" si="16"/>
        <v>0</v>
      </c>
      <c r="AK277" s="690"/>
      <c r="AL277" s="690"/>
      <c r="AM277" s="690"/>
    </row>
    <row r="278" spans="1:39" ht="15.95" customHeight="1">
      <c r="A278" s="65">
        <f t="shared" si="17"/>
        <v>37</v>
      </c>
      <c r="B278" s="699" t="s">
        <v>728</v>
      </c>
      <c r="C278" s="700"/>
      <c r="D278" s="700"/>
      <c r="E278" s="700"/>
      <c r="F278" s="700"/>
      <c r="G278" s="700"/>
      <c r="H278" s="700"/>
      <c r="I278" s="700"/>
      <c r="J278" s="700"/>
      <c r="K278" s="701"/>
      <c r="L278" s="702" t="s">
        <v>69</v>
      </c>
      <c r="M278" s="702"/>
      <c r="N278" s="702"/>
      <c r="O278" s="702" t="s">
        <v>69</v>
      </c>
      <c r="P278" s="702"/>
      <c r="Q278" s="702"/>
      <c r="R278" s="653">
        <v>0</v>
      </c>
      <c r="S278" s="653"/>
      <c r="T278" s="653"/>
      <c r="U278" s="653"/>
      <c r="V278" s="658" t="s">
        <v>69</v>
      </c>
      <c r="W278" s="658"/>
      <c r="X278" s="659" t="s">
        <v>69</v>
      </c>
      <c r="Y278" s="659"/>
      <c r="Z278" s="659"/>
      <c r="AA278" s="659"/>
      <c r="AB278" s="653">
        <v>0</v>
      </c>
      <c r="AC278" s="653"/>
      <c r="AD278" s="653"/>
      <c r="AE278" s="653"/>
      <c r="AF278" s="653">
        <f>ROUND(AB278*19%,2)</f>
        <v>0</v>
      </c>
      <c r="AG278" s="653"/>
      <c r="AH278" s="653"/>
      <c r="AI278" s="653"/>
      <c r="AJ278" s="653">
        <f>AB278+AF278</f>
        <v>0</v>
      </c>
      <c r="AK278" s="653"/>
      <c r="AL278" s="653"/>
      <c r="AM278" s="653"/>
    </row>
    <row r="279" spans="1:39">
      <c r="A279" s="65">
        <f t="shared" si="17"/>
        <v>38</v>
      </c>
      <c r="B279" s="699" t="s">
        <v>729</v>
      </c>
      <c r="C279" s="700"/>
      <c r="D279" s="700"/>
      <c r="E279" s="700"/>
      <c r="F279" s="700"/>
      <c r="G279" s="700"/>
      <c r="H279" s="700"/>
      <c r="I279" s="700"/>
      <c r="J279" s="700"/>
      <c r="K279" s="701"/>
      <c r="L279" s="702" t="s">
        <v>69</v>
      </c>
      <c r="M279" s="702"/>
      <c r="N279" s="702"/>
      <c r="O279" s="702" t="s">
        <v>69</v>
      </c>
      <c r="P279" s="702"/>
      <c r="Q279" s="702"/>
      <c r="R279" s="653">
        <v>0</v>
      </c>
      <c r="S279" s="653"/>
      <c r="T279" s="653"/>
      <c r="U279" s="653"/>
      <c r="V279" s="658" t="s">
        <v>69</v>
      </c>
      <c r="W279" s="658"/>
      <c r="X279" s="659" t="s">
        <v>69</v>
      </c>
      <c r="Y279" s="659"/>
      <c r="Z279" s="659"/>
      <c r="AA279" s="659"/>
      <c r="AB279" s="726">
        <f>SUM(AB242:AE278)</f>
        <v>813638.92999999993</v>
      </c>
      <c r="AC279" s="726"/>
      <c r="AD279" s="726"/>
      <c r="AE279" s="726"/>
      <c r="AF279" s="726">
        <f>SUM(AF242:AI278)</f>
        <v>154591.38999999998</v>
      </c>
      <c r="AG279" s="726"/>
      <c r="AH279" s="726"/>
      <c r="AI279" s="726"/>
      <c r="AJ279" s="726">
        <f>SUM(AJ242:AM278)</f>
        <v>968230.32</v>
      </c>
      <c r="AK279" s="726"/>
      <c r="AL279" s="726"/>
      <c r="AM279" s="726"/>
    </row>
  </sheetData>
  <mergeCells count="1183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3:L83"/>
    <mergeCell ref="M83:AH83"/>
    <mergeCell ref="AI83:AM84"/>
    <mergeCell ref="A84:L84"/>
    <mergeCell ref="M84:AH84"/>
    <mergeCell ref="A85:F87"/>
    <mergeCell ref="G85:I87"/>
    <mergeCell ref="J85:L87"/>
    <mergeCell ref="M85:N87"/>
    <mergeCell ref="O85:Q87"/>
    <mergeCell ref="A82:L82"/>
    <mergeCell ref="M82:AH82"/>
    <mergeCell ref="AI82:AM82"/>
    <mergeCell ref="AI64:AJ66"/>
    <mergeCell ref="AK64:AM66"/>
    <mergeCell ref="J65:L65"/>
    <mergeCell ref="J66:L66"/>
    <mergeCell ref="R64:T66"/>
    <mergeCell ref="U64:W66"/>
    <mergeCell ref="X64:Z66"/>
    <mergeCell ref="AA64:AC66"/>
    <mergeCell ref="AD64:AE66"/>
    <mergeCell ref="AF64:AH66"/>
    <mergeCell ref="AA88:AC90"/>
    <mergeCell ref="AD88:AE90"/>
    <mergeCell ref="AF88:AH90"/>
    <mergeCell ref="AI88:AJ90"/>
    <mergeCell ref="AK88:AM90"/>
    <mergeCell ref="J89:L89"/>
    <mergeCell ref="J90:L90"/>
    <mergeCell ref="AI85:AJ87"/>
    <mergeCell ref="AK85:AM87"/>
    <mergeCell ref="A88:F90"/>
    <mergeCell ref="G88:I90"/>
    <mergeCell ref="J88:L88"/>
    <mergeCell ref="M88:N90"/>
    <mergeCell ref="O88:Q90"/>
    <mergeCell ref="R88:T90"/>
    <mergeCell ref="U88:W90"/>
    <mergeCell ref="X88:Z90"/>
    <mergeCell ref="R85:T87"/>
    <mergeCell ref="U85:W87"/>
    <mergeCell ref="X85:Z87"/>
    <mergeCell ref="AA85:AC87"/>
    <mergeCell ref="AD85:AE87"/>
    <mergeCell ref="AF85:AH87"/>
    <mergeCell ref="AK91:AM93"/>
    <mergeCell ref="J92:L92"/>
    <mergeCell ref="J93:L93"/>
    <mergeCell ref="A94:F96"/>
    <mergeCell ref="G94:I96"/>
    <mergeCell ref="J94:L94"/>
    <mergeCell ref="M94:N96"/>
    <mergeCell ref="O94:Q96"/>
    <mergeCell ref="R94:T96"/>
    <mergeCell ref="U94:W96"/>
    <mergeCell ref="U91:W93"/>
    <mergeCell ref="X91:Z93"/>
    <mergeCell ref="AA91:AC93"/>
    <mergeCell ref="AD91:AE93"/>
    <mergeCell ref="AF91:AH93"/>
    <mergeCell ref="AI91:AJ93"/>
    <mergeCell ref="A91:F93"/>
    <mergeCell ref="G91:I93"/>
    <mergeCell ref="J91:L91"/>
    <mergeCell ref="M91:N93"/>
    <mergeCell ref="O91:Q93"/>
    <mergeCell ref="R91:T93"/>
    <mergeCell ref="AF97:AH99"/>
    <mergeCell ref="AI97:AJ99"/>
    <mergeCell ref="AK97:AM99"/>
    <mergeCell ref="J98:L98"/>
    <mergeCell ref="J99:L99"/>
    <mergeCell ref="A100:F102"/>
    <mergeCell ref="G100:I102"/>
    <mergeCell ref="J100:L100"/>
    <mergeCell ref="M100:N102"/>
    <mergeCell ref="O100:Q102"/>
    <mergeCell ref="O97:Q99"/>
    <mergeCell ref="R97:T99"/>
    <mergeCell ref="U97:W99"/>
    <mergeCell ref="X97:Z99"/>
    <mergeCell ref="AA97:AC99"/>
    <mergeCell ref="AD97:AE99"/>
    <mergeCell ref="J95:L95"/>
    <mergeCell ref="J96:L96"/>
    <mergeCell ref="A97:F99"/>
    <mergeCell ref="G97:I99"/>
    <mergeCell ref="J97:L97"/>
    <mergeCell ref="M97:N99"/>
    <mergeCell ref="X94:Z96"/>
    <mergeCell ref="AA94:AC96"/>
    <mergeCell ref="AD94:AE96"/>
    <mergeCell ref="AF94:AH96"/>
    <mergeCell ref="AI94:AJ96"/>
    <mergeCell ref="AK94:AM96"/>
    <mergeCell ref="AK103:AM105"/>
    <mergeCell ref="J104:L104"/>
    <mergeCell ref="J105:L105"/>
    <mergeCell ref="A106:F108"/>
    <mergeCell ref="G106:I108"/>
    <mergeCell ref="J106:L106"/>
    <mergeCell ref="M106:N108"/>
    <mergeCell ref="O106:Q108"/>
    <mergeCell ref="R106:T108"/>
    <mergeCell ref="U106:W108"/>
    <mergeCell ref="U103:W105"/>
    <mergeCell ref="X103:Z105"/>
    <mergeCell ref="AA103:AC105"/>
    <mergeCell ref="AD103:AE105"/>
    <mergeCell ref="AF103:AH105"/>
    <mergeCell ref="AI103:AJ105"/>
    <mergeCell ref="AI100:AJ102"/>
    <mergeCell ref="AK100:AM102"/>
    <mergeCell ref="J101:L101"/>
    <mergeCell ref="J102:L102"/>
    <mergeCell ref="A103:F105"/>
    <mergeCell ref="G103:I105"/>
    <mergeCell ref="J103:L103"/>
    <mergeCell ref="M103:N105"/>
    <mergeCell ref="O103:Q105"/>
    <mergeCell ref="R103:T105"/>
    <mergeCell ref="R100:T102"/>
    <mergeCell ref="U100:W102"/>
    <mergeCell ref="X100:Z102"/>
    <mergeCell ref="AA100:AC102"/>
    <mergeCell ref="AD100:AE102"/>
    <mergeCell ref="AF100:AH102"/>
    <mergeCell ref="AF109:AH111"/>
    <mergeCell ref="AI109:AJ111"/>
    <mergeCell ref="AK109:AM111"/>
    <mergeCell ref="J110:L110"/>
    <mergeCell ref="J111:L111"/>
    <mergeCell ref="A112:F114"/>
    <mergeCell ref="G112:I114"/>
    <mergeCell ref="J112:L112"/>
    <mergeCell ref="M112:N114"/>
    <mergeCell ref="O112:Q114"/>
    <mergeCell ref="O109:Q111"/>
    <mergeCell ref="R109:T111"/>
    <mergeCell ref="U109:W111"/>
    <mergeCell ref="X109:Z111"/>
    <mergeCell ref="AA109:AC111"/>
    <mergeCell ref="AD109:AE111"/>
    <mergeCell ref="J107:L107"/>
    <mergeCell ref="J108:L108"/>
    <mergeCell ref="A109:F111"/>
    <mergeCell ref="G109:I111"/>
    <mergeCell ref="J109:L109"/>
    <mergeCell ref="M109:N111"/>
    <mergeCell ref="X106:Z108"/>
    <mergeCell ref="AA106:AC108"/>
    <mergeCell ref="AD106:AE108"/>
    <mergeCell ref="AF106:AH108"/>
    <mergeCell ref="AI106:AJ108"/>
    <mergeCell ref="AK106:AM108"/>
    <mergeCell ref="A118:L118"/>
    <mergeCell ref="M118:AH118"/>
    <mergeCell ref="AI118:AM119"/>
    <mergeCell ref="A119:L119"/>
    <mergeCell ref="M119:AH119"/>
    <mergeCell ref="A120:F122"/>
    <mergeCell ref="G120:I122"/>
    <mergeCell ref="J120:L122"/>
    <mergeCell ref="M120:N122"/>
    <mergeCell ref="O120:Q122"/>
    <mergeCell ref="AI112:AJ114"/>
    <mergeCell ref="AK112:AM114"/>
    <mergeCell ref="J113:L113"/>
    <mergeCell ref="J114:L114"/>
    <mergeCell ref="AI117:AM117"/>
    <mergeCell ref="R112:T114"/>
    <mergeCell ref="U112:W114"/>
    <mergeCell ref="X112:Z114"/>
    <mergeCell ref="AA112:AC114"/>
    <mergeCell ref="AD112:AE114"/>
    <mergeCell ref="AF112:AH114"/>
    <mergeCell ref="A117:AH117"/>
    <mergeCell ref="O126:Q128"/>
    <mergeCell ref="R126:T128"/>
    <mergeCell ref="AA123:AC125"/>
    <mergeCell ref="AD123:AE125"/>
    <mergeCell ref="AF123:AH125"/>
    <mergeCell ref="AI123:AJ125"/>
    <mergeCell ref="AK123:AM125"/>
    <mergeCell ref="J124:L124"/>
    <mergeCell ref="J125:L125"/>
    <mergeCell ref="AI120:AJ122"/>
    <mergeCell ref="AK120:AM122"/>
    <mergeCell ref="A123:F125"/>
    <mergeCell ref="G123:I125"/>
    <mergeCell ref="J123:L123"/>
    <mergeCell ref="M123:N125"/>
    <mergeCell ref="O123:Q125"/>
    <mergeCell ref="R123:T125"/>
    <mergeCell ref="U123:W125"/>
    <mergeCell ref="X123:Z125"/>
    <mergeCell ref="R120:T122"/>
    <mergeCell ref="U120:W122"/>
    <mergeCell ref="X120:Z122"/>
    <mergeCell ref="AA120:AC122"/>
    <mergeCell ref="AD120:AE122"/>
    <mergeCell ref="AF120:AH122"/>
    <mergeCell ref="AI129:AJ131"/>
    <mergeCell ref="AK129:AM131"/>
    <mergeCell ref="A135:L135"/>
    <mergeCell ref="M135:AH135"/>
    <mergeCell ref="AI135:AM135"/>
    <mergeCell ref="A136:L136"/>
    <mergeCell ref="M136:AH136"/>
    <mergeCell ref="AI136:AM137"/>
    <mergeCell ref="A137:L137"/>
    <mergeCell ref="M137:AH137"/>
    <mergeCell ref="A138:F140"/>
    <mergeCell ref="G138:I140"/>
    <mergeCell ref="AK126:AM128"/>
    <mergeCell ref="J127:L127"/>
    <mergeCell ref="J128:L128"/>
    <mergeCell ref="A129:F131"/>
    <mergeCell ref="G129:I131"/>
    <mergeCell ref="J129:L129"/>
    <mergeCell ref="M129:N131"/>
    <mergeCell ref="O129:Q131"/>
    <mergeCell ref="R129:T131"/>
    <mergeCell ref="U129:W131"/>
    <mergeCell ref="U126:W128"/>
    <mergeCell ref="X126:Z128"/>
    <mergeCell ref="AA126:AC128"/>
    <mergeCell ref="AD126:AE128"/>
    <mergeCell ref="AF126:AH128"/>
    <mergeCell ref="AI126:AJ128"/>
    <mergeCell ref="A126:F128"/>
    <mergeCell ref="G126:I128"/>
    <mergeCell ref="J126:L126"/>
    <mergeCell ref="M126:N128"/>
    <mergeCell ref="M150:N152"/>
    <mergeCell ref="O150:Q152"/>
    <mergeCell ref="R150:T152"/>
    <mergeCell ref="U150:W152"/>
    <mergeCell ref="X150:Z152"/>
    <mergeCell ref="AA150:AC152"/>
    <mergeCell ref="AD150:AE152"/>
    <mergeCell ref="AF150:AH152"/>
    <mergeCell ref="J149:L149"/>
    <mergeCell ref="J150:L150"/>
    <mergeCell ref="J148:L148"/>
    <mergeCell ref="A144:F146"/>
    <mergeCell ref="G144:I146"/>
    <mergeCell ref="J144:L144"/>
    <mergeCell ref="M144:N146"/>
    <mergeCell ref="J130:L130"/>
    <mergeCell ref="J131:L131"/>
    <mergeCell ref="X129:Z131"/>
    <mergeCell ref="AA129:AC131"/>
    <mergeCell ref="AD129:AE131"/>
    <mergeCell ref="AF129:AH131"/>
    <mergeCell ref="J138:L140"/>
    <mergeCell ref="M138:N140"/>
    <mergeCell ref="O138:Q140"/>
    <mergeCell ref="R138:T140"/>
    <mergeCell ref="U138:W140"/>
    <mergeCell ref="X138:Z140"/>
    <mergeCell ref="AA138:AC140"/>
    <mergeCell ref="AD138:AE140"/>
    <mergeCell ref="AF138:AH140"/>
    <mergeCell ref="O144:Q146"/>
    <mergeCell ref="R144:T146"/>
    <mergeCell ref="O165:Q167"/>
    <mergeCell ref="J164:L164"/>
    <mergeCell ref="J165:L165"/>
    <mergeCell ref="J166:L166"/>
    <mergeCell ref="J161:L161"/>
    <mergeCell ref="J162:L162"/>
    <mergeCell ref="J163:L163"/>
    <mergeCell ref="J158:L158"/>
    <mergeCell ref="J159:L159"/>
    <mergeCell ref="J160:L160"/>
    <mergeCell ref="J155:L155"/>
    <mergeCell ref="J156:L156"/>
    <mergeCell ref="J157:L157"/>
    <mergeCell ref="A159:F161"/>
    <mergeCell ref="G159:I161"/>
    <mergeCell ref="M159:N161"/>
    <mergeCell ref="O159:Q161"/>
    <mergeCell ref="A187:L187"/>
    <mergeCell ref="M187:AH187"/>
    <mergeCell ref="AI187:AM188"/>
    <mergeCell ref="A188:L188"/>
    <mergeCell ref="M188:AH188"/>
    <mergeCell ref="A189:F191"/>
    <mergeCell ref="G189:I191"/>
    <mergeCell ref="J189:L191"/>
    <mergeCell ref="M189:N191"/>
    <mergeCell ref="O189:Q191"/>
    <mergeCell ref="A186:L186"/>
    <mergeCell ref="M186:AH186"/>
    <mergeCell ref="AI186:AM186"/>
    <mergeCell ref="A175:F177"/>
    <mergeCell ref="G175:I177"/>
    <mergeCell ref="J175:L175"/>
    <mergeCell ref="M175:N177"/>
    <mergeCell ref="O175:Q177"/>
    <mergeCell ref="R175:T177"/>
    <mergeCell ref="U175:W177"/>
    <mergeCell ref="X175:Z177"/>
    <mergeCell ref="AA175:AC177"/>
    <mergeCell ref="AI178:AJ180"/>
    <mergeCell ref="AK178:AM180"/>
    <mergeCell ref="J179:L179"/>
    <mergeCell ref="J180:L180"/>
    <mergeCell ref="A181:F183"/>
    <mergeCell ref="G181:I183"/>
    <mergeCell ref="J181:L181"/>
    <mergeCell ref="M181:N183"/>
    <mergeCell ref="O181:Q183"/>
    <mergeCell ref="R181:T183"/>
    <mergeCell ref="O195:Q197"/>
    <mergeCell ref="R195:T197"/>
    <mergeCell ref="AA192:AC194"/>
    <mergeCell ref="AD192:AE194"/>
    <mergeCell ref="AF192:AH194"/>
    <mergeCell ref="AI192:AJ194"/>
    <mergeCell ref="AK192:AM194"/>
    <mergeCell ref="J193:L193"/>
    <mergeCell ref="J194:L194"/>
    <mergeCell ref="AI189:AJ191"/>
    <mergeCell ref="AK189:AM191"/>
    <mergeCell ref="A192:F194"/>
    <mergeCell ref="G192:I194"/>
    <mergeCell ref="J192:L192"/>
    <mergeCell ref="M192:N194"/>
    <mergeCell ref="O192:Q194"/>
    <mergeCell ref="R192:T194"/>
    <mergeCell ref="U192:W194"/>
    <mergeCell ref="X192:Z194"/>
    <mergeCell ref="R189:T191"/>
    <mergeCell ref="U189:W191"/>
    <mergeCell ref="X189:Z191"/>
    <mergeCell ref="AA189:AC191"/>
    <mergeCell ref="AD189:AE191"/>
    <mergeCell ref="AF189:AH191"/>
    <mergeCell ref="J199:L199"/>
    <mergeCell ref="J200:L200"/>
    <mergeCell ref="A201:F203"/>
    <mergeCell ref="G201:I203"/>
    <mergeCell ref="J201:L201"/>
    <mergeCell ref="M201:N203"/>
    <mergeCell ref="X198:Z200"/>
    <mergeCell ref="AA198:AC200"/>
    <mergeCell ref="AD198:AE200"/>
    <mergeCell ref="AF198:AH200"/>
    <mergeCell ref="AI198:AJ200"/>
    <mergeCell ref="AK198:AM200"/>
    <mergeCell ref="AK195:AM197"/>
    <mergeCell ref="J196:L196"/>
    <mergeCell ref="J197:L197"/>
    <mergeCell ref="A198:F200"/>
    <mergeCell ref="G198:I200"/>
    <mergeCell ref="J198:L198"/>
    <mergeCell ref="M198:N200"/>
    <mergeCell ref="O198:Q200"/>
    <mergeCell ref="R198:T200"/>
    <mergeCell ref="U198:W200"/>
    <mergeCell ref="U195:W197"/>
    <mergeCell ref="X195:Z197"/>
    <mergeCell ref="AA195:AC197"/>
    <mergeCell ref="AD195:AE197"/>
    <mergeCell ref="AF195:AH197"/>
    <mergeCell ref="AI195:AJ197"/>
    <mergeCell ref="A195:F197"/>
    <mergeCell ref="G195:I197"/>
    <mergeCell ref="J195:L195"/>
    <mergeCell ref="M195:N197"/>
    <mergeCell ref="AI204:AJ206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R204:T206"/>
    <mergeCell ref="U204:W206"/>
    <mergeCell ref="X204:Z206"/>
    <mergeCell ref="AA204:AC206"/>
    <mergeCell ref="AD204:AE206"/>
    <mergeCell ref="AF204:AH206"/>
    <mergeCell ref="AF201:AH203"/>
    <mergeCell ref="AI201:AJ203"/>
    <mergeCell ref="AK201:AM203"/>
    <mergeCell ref="J202:L202"/>
    <mergeCell ref="J203:L203"/>
    <mergeCell ref="A204:F206"/>
    <mergeCell ref="G204:I206"/>
    <mergeCell ref="J204:L204"/>
    <mergeCell ref="M204:N206"/>
    <mergeCell ref="O204:Q206"/>
    <mergeCell ref="O201:Q203"/>
    <mergeCell ref="R201:T203"/>
    <mergeCell ref="U201:W203"/>
    <mergeCell ref="X201:Z203"/>
    <mergeCell ref="AA201:AC203"/>
    <mergeCell ref="AD201:AE203"/>
    <mergeCell ref="J211:L211"/>
    <mergeCell ref="J212:L212"/>
    <mergeCell ref="A213:F215"/>
    <mergeCell ref="G213:I215"/>
    <mergeCell ref="J213:L213"/>
    <mergeCell ref="M213:N215"/>
    <mergeCell ref="X210:Z212"/>
    <mergeCell ref="AA210:AC212"/>
    <mergeCell ref="AD210:AE212"/>
    <mergeCell ref="AF210:AH212"/>
    <mergeCell ref="AI210:AJ212"/>
    <mergeCell ref="AK210:AM212"/>
    <mergeCell ref="AK207:AM209"/>
    <mergeCell ref="J208:L208"/>
    <mergeCell ref="J209:L209"/>
    <mergeCell ref="A210:F212"/>
    <mergeCell ref="G210:I212"/>
    <mergeCell ref="J210:L210"/>
    <mergeCell ref="M210:N212"/>
    <mergeCell ref="O210:Q212"/>
    <mergeCell ref="R210:T212"/>
    <mergeCell ref="U210:W212"/>
    <mergeCell ref="U207:W209"/>
    <mergeCell ref="X207:Z209"/>
    <mergeCell ref="AA207:AC209"/>
    <mergeCell ref="AD207:AE209"/>
    <mergeCell ref="AF207:AH209"/>
    <mergeCell ref="AI207:AJ209"/>
    <mergeCell ref="AI216:AJ218"/>
    <mergeCell ref="AK216:AM218"/>
    <mergeCell ref="J217:L217"/>
    <mergeCell ref="J218:L218"/>
    <mergeCell ref="A239:AM239"/>
    <mergeCell ref="B241:K241"/>
    <mergeCell ref="R241:U241"/>
    <mergeCell ref="V241:W241"/>
    <mergeCell ref="X241:AA241"/>
    <mergeCell ref="AB241:AE241"/>
    <mergeCell ref="R216:T218"/>
    <mergeCell ref="U216:W218"/>
    <mergeCell ref="X216:Z218"/>
    <mergeCell ref="AA216:AC218"/>
    <mergeCell ref="AD216:AE218"/>
    <mergeCell ref="AF216:AH218"/>
    <mergeCell ref="AF213:AH215"/>
    <mergeCell ref="AI213:AJ215"/>
    <mergeCell ref="AK213:AM215"/>
    <mergeCell ref="J214:L214"/>
    <mergeCell ref="J215:L215"/>
    <mergeCell ref="A216:F218"/>
    <mergeCell ref="G216:I218"/>
    <mergeCell ref="J216:L216"/>
    <mergeCell ref="M216:N218"/>
    <mergeCell ref="O216:Q218"/>
    <mergeCell ref="O213:Q215"/>
    <mergeCell ref="R213:T215"/>
    <mergeCell ref="U213:W215"/>
    <mergeCell ref="X213:Z215"/>
    <mergeCell ref="AA213:AC215"/>
    <mergeCell ref="AD213:AE215"/>
    <mergeCell ref="AJ242:AM242"/>
    <mergeCell ref="B243:K243"/>
    <mergeCell ref="L243:N243"/>
    <mergeCell ref="O243:Q243"/>
    <mergeCell ref="R243:U243"/>
    <mergeCell ref="V243:W243"/>
    <mergeCell ref="X243:AA243"/>
    <mergeCell ref="AB243:AE243"/>
    <mergeCell ref="AF243:AI243"/>
    <mergeCell ref="AJ243:AM243"/>
    <mergeCell ref="AF241:AI241"/>
    <mergeCell ref="AJ241:AM241"/>
    <mergeCell ref="B242:K242"/>
    <mergeCell ref="L242:N242"/>
    <mergeCell ref="O242:Q242"/>
    <mergeCell ref="R242:U242"/>
    <mergeCell ref="V242:W242"/>
    <mergeCell ref="X242:AA242"/>
    <mergeCell ref="AB242:AE242"/>
    <mergeCell ref="AF242:AI242"/>
    <mergeCell ref="AF245:AI245"/>
    <mergeCell ref="AJ245:AM245"/>
    <mergeCell ref="B246:K246"/>
    <mergeCell ref="L246:N246"/>
    <mergeCell ref="O246:Q246"/>
    <mergeCell ref="R246:U246"/>
    <mergeCell ref="V246:W246"/>
    <mergeCell ref="X246:AA246"/>
    <mergeCell ref="AB246:AE246"/>
    <mergeCell ref="AF246:AI246"/>
    <mergeCell ref="AB244:AE244"/>
    <mergeCell ref="AF244:AI244"/>
    <mergeCell ref="AJ244:AM244"/>
    <mergeCell ref="B245:K245"/>
    <mergeCell ref="L245:N245"/>
    <mergeCell ref="O245:Q245"/>
    <mergeCell ref="R245:U245"/>
    <mergeCell ref="V245:W245"/>
    <mergeCell ref="X245:AA245"/>
    <mergeCell ref="AB245:AE245"/>
    <mergeCell ref="B244:K244"/>
    <mergeCell ref="L244:N244"/>
    <mergeCell ref="O244:Q244"/>
    <mergeCell ref="R244:U244"/>
    <mergeCell ref="V244:W244"/>
    <mergeCell ref="X244:AA244"/>
    <mergeCell ref="AB248:AE248"/>
    <mergeCell ref="AF248:AI248"/>
    <mergeCell ref="AJ248:AM248"/>
    <mergeCell ref="B249:K249"/>
    <mergeCell ref="L249:N249"/>
    <mergeCell ref="O249:Q249"/>
    <mergeCell ref="R249:U249"/>
    <mergeCell ref="V249:W249"/>
    <mergeCell ref="X249:AA249"/>
    <mergeCell ref="AB249:AE249"/>
    <mergeCell ref="B248:K248"/>
    <mergeCell ref="L248:N248"/>
    <mergeCell ref="O248:Q248"/>
    <mergeCell ref="R248:U248"/>
    <mergeCell ref="V248:W248"/>
    <mergeCell ref="X248:AA248"/>
    <mergeCell ref="AJ246:AM246"/>
    <mergeCell ref="B247:K247"/>
    <mergeCell ref="L247:N247"/>
    <mergeCell ref="O247:Q247"/>
    <mergeCell ref="R247:U247"/>
    <mergeCell ref="V247:W247"/>
    <mergeCell ref="X247:AA247"/>
    <mergeCell ref="AB247:AE247"/>
    <mergeCell ref="AF247:AI247"/>
    <mergeCell ref="AJ247:AM247"/>
    <mergeCell ref="AJ250:AM250"/>
    <mergeCell ref="B251:K251"/>
    <mergeCell ref="L251:N251"/>
    <mergeCell ref="O251:Q251"/>
    <mergeCell ref="R251:U251"/>
    <mergeCell ref="V251:W251"/>
    <mergeCell ref="X251:AA251"/>
    <mergeCell ref="AB251:AE251"/>
    <mergeCell ref="AF251:AI251"/>
    <mergeCell ref="AJ251:AM251"/>
    <mergeCell ref="AF249:AI249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AF253:AI253"/>
    <mergeCell ref="AJ253:AM253"/>
    <mergeCell ref="B254:K254"/>
    <mergeCell ref="L254:N254"/>
    <mergeCell ref="O254:Q254"/>
    <mergeCell ref="R254:U254"/>
    <mergeCell ref="V254:W254"/>
    <mergeCell ref="X254:AA254"/>
    <mergeCell ref="AB254:AE254"/>
    <mergeCell ref="AF254:AI254"/>
    <mergeCell ref="AB252:AE252"/>
    <mergeCell ref="AF252:AI252"/>
    <mergeCell ref="AJ252:AM252"/>
    <mergeCell ref="B253:K253"/>
    <mergeCell ref="L253:N253"/>
    <mergeCell ref="O253:Q253"/>
    <mergeCell ref="R253:U253"/>
    <mergeCell ref="V253:W253"/>
    <mergeCell ref="X253:AA253"/>
    <mergeCell ref="AB253:AE253"/>
    <mergeCell ref="B252:K252"/>
    <mergeCell ref="L252:N252"/>
    <mergeCell ref="O252:Q252"/>
    <mergeCell ref="R252:U252"/>
    <mergeCell ref="V252:W252"/>
    <mergeCell ref="X252:AA252"/>
    <mergeCell ref="AB256:AE256"/>
    <mergeCell ref="AF256:AI256"/>
    <mergeCell ref="AJ256:AM256"/>
    <mergeCell ref="B257:K257"/>
    <mergeCell ref="L257:N257"/>
    <mergeCell ref="O257:Q257"/>
    <mergeCell ref="R257:U257"/>
    <mergeCell ref="V257:W257"/>
    <mergeCell ref="X257:AA257"/>
    <mergeCell ref="AB257:AE257"/>
    <mergeCell ref="B256:K256"/>
    <mergeCell ref="L256:N256"/>
    <mergeCell ref="O256:Q256"/>
    <mergeCell ref="R256:U256"/>
    <mergeCell ref="V256:W256"/>
    <mergeCell ref="X256:AA256"/>
    <mergeCell ref="AJ254:AM254"/>
    <mergeCell ref="B255:K255"/>
    <mergeCell ref="L255:N255"/>
    <mergeCell ref="O255:Q255"/>
    <mergeCell ref="R255:U255"/>
    <mergeCell ref="V255:W255"/>
    <mergeCell ref="X255:AA255"/>
    <mergeCell ref="AB255:AE255"/>
    <mergeCell ref="AF255:AI255"/>
    <mergeCell ref="AJ255:AM255"/>
    <mergeCell ref="AJ258:AM258"/>
    <mergeCell ref="B259:K259"/>
    <mergeCell ref="L259:N259"/>
    <mergeCell ref="O259:Q259"/>
    <mergeCell ref="R259:U259"/>
    <mergeCell ref="V259:W259"/>
    <mergeCell ref="X259:AA259"/>
    <mergeCell ref="AB259:AE259"/>
    <mergeCell ref="AF259:AI259"/>
    <mergeCell ref="AJ259:AM259"/>
    <mergeCell ref="AF257:AI257"/>
    <mergeCell ref="AJ257:AM257"/>
    <mergeCell ref="B258:K258"/>
    <mergeCell ref="L258:N258"/>
    <mergeCell ref="O258:Q258"/>
    <mergeCell ref="R258:U258"/>
    <mergeCell ref="V258:W258"/>
    <mergeCell ref="X258:AA258"/>
    <mergeCell ref="AB258:AE258"/>
    <mergeCell ref="AF258:AI258"/>
    <mergeCell ref="AF261:AI261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AF262:AI262"/>
    <mergeCell ref="AB260:AE260"/>
    <mergeCell ref="AF260:AI260"/>
    <mergeCell ref="AJ260:AM260"/>
    <mergeCell ref="B261:K261"/>
    <mergeCell ref="L261:N261"/>
    <mergeCell ref="O261:Q261"/>
    <mergeCell ref="R261:U261"/>
    <mergeCell ref="V261:W261"/>
    <mergeCell ref="X261:AA261"/>
    <mergeCell ref="AB261:AE261"/>
    <mergeCell ref="B260:K260"/>
    <mergeCell ref="L260:N260"/>
    <mergeCell ref="O260:Q260"/>
    <mergeCell ref="R260:U260"/>
    <mergeCell ref="V260:W260"/>
    <mergeCell ref="X260:AA260"/>
    <mergeCell ref="AB264:AE264"/>
    <mergeCell ref="AF264:AI264"/>
    <mergeCell ref="AJ264:AM264"/>
    <mergeCell ref="B265:K265"/>
    <mergeCell ref="L265:N265"/>
    <mergeCell ref="O265:Q265"/>
    <mergeCell ref="R265:U265"/>
    <mergeCell ref="V265:W265"/>
    <mergeCell ref="X265:AA265"/>
    <mergeCell ref="AB265:AE265"/>
    <mergeCell ref="B264:K264"/>
    <mergeCell ref="L264:N264"/>
    <mergeCell ref="O264:Q264"/>
    <mergeCell ref="R264:U264"/>
    <mergeCell ref="V264:W264"/>
    <mergeCell ref="X264:AA264"/>
    <mergeCell ref="AJ262:AM262"/>
    <mergeCell ref="B263:K263"/>
    <mergeCell ref="L263:N263"/>
    <mergeCell ref="O263:Q263"/>
    <mergeCell ref="R263:U263"/>
    <mergeCell ref="V263:W263"/>
    <mergeCell ref="X263:AA263"/>
    <mergeCell ref="AB263:AE263"/>
    <mergeCell ref="AF263:AI263"/>
    <mergeCell ref="AJ263:AM263"/>
    <mergeCell ref="AJ266:AM266"/>
    <mergeCell ref="B267:K267"/>
    <mergeCell ref="L267:N267"/>
    <mergeCell ref="O267:Q267"/>
    <mergeCell ref="R267:U267"/>
    <mergeCell ref="V267:W267"/>
    <mergeCell ref="X267:AA267"/>
    <mergeCell ref="AB267:AE267"/>
    <mergeCell ref="AF267:AI267"/>
    <mergeCell ref="AJ267:AM267"/>
    <mergeCell ref="AF265:AI265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AF266:AI266"/>
    <mergeCell ref="AF269:AI269"/>
    <mergeCell ref="AJ269:AM269"/>
    <mergeCell ref="B270:K270"/>
    <mergeCell ref="L270:N270"/>
    <mergeCell ref="O270:Q270"/>
    <mergeCell ref="R270:U270"/>
    <mergeCell ref="V270:W270"/>
    <mergeCell ref="X270:AA270"/>
    <mergeCell ref="AB270:AE270"/>
    <mergeCell ref="AF270:AI270"/>
    <mergeCell ref="AB268:AE268"/>
    <mergeCell ref="AF268:AI268"/>
    <mergeCell ref="AJ268:AM268"/>
    <mergeCell ref="B269:K269"/>
    <mergeCell ref="L269:N269"/>
    <mergeCell ref="O269:Q269"/>
    <mergeCell ref="R269:U269"/>
    <mergeCell ref="V269:W269"/>
    <mergeCell ref="X269:AA269"/>
    <mergeCell ref="AB269:AE269"/>
    <mergeCell ref="B268:K268"/>
    <mergeCell ref="L268:N268"/>
    <mergeCell ref="O268:Q268"/>
    <mergeCell ref="R268:U268"/>
    <mergeCell ref="V268:W268"/>
    <mergeCell ref="X268:AA268"/>
    <mergeCell ref="AB272:AE272"/>
    <mergeCell ref="AF272:AI272"/>
    <mergeCell ref="AJ272:AM272"/>
    <mergeCell ref="B273:K273"/>
    <mergeCell ref="L273:N273"/>
    <mergeCell ref="O273:Q273"/>
    <mergeCell ref="R273:U273"/>
    <mergeCell ref="V273:W273"/>
    <mergeCell ref="X273:AA273"/>
    <mergeCell ref="AB273:AE273"/>
    <mergeCell ref="B272:K272"/>
    <mergeCell ref="L272:N272"/>
    <mergeCell ref="O272:Q272"/>
    <mergeCell ref="R272:U272"/>
    <mergeCell ref="V272:W272"/>
    <mergeCell ref="X272:AA272"/>
    <mergeCell ref="AJ270:AM270"/>
    <mergeCell ref="B271:K271"/>
    <mergeCell ref="L271:N271"/>
    <mergeCell ref="O271:Q271"/>
    <mergeCell ref="R271:U271"/>
    <mergeCell ref="V271:W271"/>
    <mergeCell ref="X271:AA271"/>
    <mergeCell ref="AB271:AE271"/>
    <mergeCell ref="AF271:AI271"/>
    <mergeCell ref="AJ271:AM271"/>
    <mergeCell ref="AJ274:AM274"/>
    <mergeCell ref="B275:K275"/>
    <mergeCell ref="L275:N275"/>
    <mergeCell ref="O275:Q275"/>
    <mergeCell ref="R275:U275"/>
    <mergeCell ref="V275:W275"/>
    <mergeCell ref="X275:AA275"/>
    <mergeCell ref="AB275:AE275"/>
    <mergeCell ref="AF275:AI275"/>
    <mergeCell ref="AJ275:AM275"/>
    <mergeCell ref="AF273:AI273"/>
    <mergeCell ref="AJ273:AM273"/>
    <mergeCell ref="B274:K274"/>
    <mergeCell ref="L274:N274"/>
    <mergeCell ref="O274:Q274"/>
    <mergeCell ref="R274:U274"/>
    <mergeCell ref="V274:W274"/>
    <mergeCell ref="X274:AA274"/>
    <mergeCell ref="AB274:AE274"/>
    <mergeCell ref="AF274:AI274"/>
    <mergeCell ref="AF277:AI277"/>
    <mergeCell ref="AJ277:AM277"/>
    <mergeCell ref="AB276:AE276"/>
    <mergeCell ref="AF276:AI276"/>
    <mergeCell ref="AJ276:AM276"/>
    <mergeCell ref="B277:K277"/>
    <mergeCell ref="L277:N277"/>
    <mergeCell ref="O277:Q277"/>
    <mergeCell ref="R277:U277"/>
    <mergeCell ref="V277:W277"/>
    <mergeCell ref="X277:AA277"/>
    <mergeCell ref="AB277:AE277"/>
    <mergeCell ref="B276:K276"/>
    <mergeCell ref="L276:N276"/>
    <mergeCell ref="O276:Q276"/>
    <mergeCell ref="R276:U276"/>
    <mergeCell ref="V276:W276"/>
    <mergeCell ref="X276:AA276"/>
    <mergeCell ref="B278:K278"/>
    <mergeCell ref="L278:N278"/>
    <mergeCell ref="O278:Q278"/>
    <mergeCell ref="R278:U278"/>
    <mergeCell ref="V278:W278"/>
    <mergeCell ref="X278:AA278"/>
    <mergeCell ref="AB278:AE278"/>
    <mergeCell ref="AF278:AI278"/>
    <mergeCell ref="AJ278:AM278"/>
    <mergeCell ref="B279:K279"/>
    <mergeCell ref="L279:N279"/>
    <mergeCell ref="O279:Q279"/>
    <mergeCell ref="R279:U279"/>
    <mergeCell ref="V279:W279"/>
    <mergeCell ref="X279:AA279"/>
    <mergeCell ref="AB279:AE279"/>
    <mergeCell ref="AF279:AI279"/>
    <mergeCell ref="AJ279:AM279"/>
    <mergeCell ref="AI138:AJ140"/>
    <mergeCell ref="AK138:AM140"/>
    <mergeCell ref="A141:F143"/>
    <mergeCell ref="G141:I143"/>
    <mergeCell ref="J141:L141"/>
    <mergeCell ref="M141:N143"/>
    <mergeCell ref="O141:Q143"/>
    <mergeCell ref="R141:T143"/>
    <mergeCell ref="U141:W143"/>
    <mergeCell ref="X141:Z143"/>
    <mergeCell ref="AA141:AC143"/>
    <mergeCell ref="AD141:AE143"/>
    <mergeCell ref="AF141:AH143"/>
    <mergeCell ref="AI141:AJ143"/>
    <mergeCell ref="AK141:AM143"/>
    <mergeCell ref="J142:L142"/>
    <mergeCell ref="J143:L143"/>
    <mergeCell ref="U144:W146"/>
    <mergeCell ref="X144:Z146"/>
    <mergeCell ref="AA144:AC146"/>
    <mergeCell ref="AD144:AE146"/>
    <mergeCell ref="AF144:AH146"/>
    <mergeCell ref="AI144:AJ146"/>
    <mergeCell ref="AK144:AM146"/>
    <mergeCell ref="J145:L145"/>
    <mergeCell ref="J146:L146"/>
    <mergeCell ref="A147:F149"/>
    <mergeCell ref="G147:I149"/>
    <mergeCell ref="J147:L147"/>
    <mergeCell ref="M147:N149"/>
    <mergeCell ref="O147:Q149"/>
    <mergeCell ref="R147:T149"/>
    <mergeCell ref="U147:W149"/>
    <mergeCell ref="X147:Z149"/>
    <mergeCell ref="AA147:AC149"/>
    <mergeCell ref="AD147:AE149"/>
    <mergeCell ref="AF147:AH149"/>
    <mergeCell ref="AI147:AJ149"/>
    <mergeCell ref="AK147:AM149"/>
    <mergeCell ref="AI150:AJ152"/>
    <mergeCell ref="AK150:AM152"/>
    <mergeCell ref="A153:F155"/>
    <mergeCell ref="G153:I155"/>
    <mergeCell ref="M153:N155"/>
    <mergeCell ref="O153:Q155"/>
    <mergeCell ref="R153:T155"/>
    <mergeCell ref="U153:W155"/>
    <mergeCell ref="X153:Z155"/>
    <mergeCell ref="AA153:AC155"/>
    <mergeCell ref="AD153:AE155"/>
    <mergeCell ref="AF153:AH155"/>
    <mergeCell ref="AI153:AJ155"/>
    <mergeCell ref="AK153:AM155"/>
    <mergeCell ref="A156:F158"/>
    <mergeCell ref="G156:I158"/>
    <mergeCell ref="M156:N158"/>
    <mergeCell ref="O156:Q158"/>
    <mergeCell ref="R156:T158"/>
    <mergeCell ref="U156:W158"/>
    <mergeCell ref="X156:Z158"/>
    <mergeCell ref="AA156:AC158"/>
    <mergeCell ref="AD156:AE158"/>
    <mergeCell ref="AF156:AH158"/>
    <mergeCell ref="AI156:AJ158"/>
    <mergeCell ref="AK156:AM158"/>
    <mergeCell ref="J152:L152"/>
    <mergeCell ref="J153:L153"/>
    <mergeCell ref="J154:L154"/>
    <mergeCell ref="J151:L151"/>
    <mergeCell ref="A150:F152"/>
    <mergeCell ref="G150:I152"/>
    <mergeCell ref="R159:T161"/>
    <mergeCell ref="U159:W161"/>
    <mergeCell ref="X159:Z161"/>
    <mergeCell ref="AA159:AC161"/>
    <mergeCell ref="AD159:AE161"/>
    <mergeCell ref="AF159:AH161"/>
    <mergeCell ref="AI159:AJ161"/>
    <mergeCell ref="AK159:AM161"/>
    <mergeCell ref="A162:F164"/>
    <mergeCell ref="G162:I164"/>
    <mergeCell ref="M162:N164"/>
    <mergeCell ref="O162:Q164"/>
    <mergeCell ref="R162:T164"/>
    <mergeCell ref="U162:W164"/>
    <mergeCell ref="X162:Z164"/>
    <mergeCell ref="AA162:AC164"/>
    <mergeCell ref="AD162:AE164"/>
    <mergeCell ref="AF162:AH164"/>
    <mergeCell ref="AI162:AJ164"/>
    <mergeCell ref="AK162:AM164"/>
    <mergeCell ref="R165:T167"/>
    <mergeCell ref="U165:W167"/>
    <mergeCell ref="X165:Z167"/>
    <mergeCell ref="AA165:AC167"/>
    <mergeCell ref="AD165:AE167"/>
    <mergeCell ref="AF165:AH167"/>
    <mergeCell ref="AI165:AJ167"/>
    <mergeCell ref="AK165:AM167"/>
    <mergeCell ref="A169:AH169"/>
    <mergeCell ref="AI169:AM169"/>
    <mergeCell ref="A170:L170"/>
    <mergeCell ref="M170:AH170"/>
    <mergeCell ref="AI170:AM171"/>
    <mergeCell ref="A171:L171"/>
    <mergeCell ref="M171:AH171"/>
    <mergeCell ref="A172:F174"/>
    <mergeCell ref="G172:I174"/>
    <mergeCell ref="J172:L174"/>
    <mergeCell ref="M172:N174"/>
    <mergeCell ref="O172:Q174"/>
    <mergeCell ref="R172:T174"/>
    <mergeCell ref="U172:W174"/>
    <mergeCell ref="X172:Z174"/>
    <mergeCell ref="AA172:AC174"/>
    <mergeCell ref="AD172:AE174"/>
    <mergeCell ref="AF172:AH174"/>
    <mergeCell ref="AI172:AJ174"/>
    <mergeCell ref="AK172:AM174"/>
    <mergeCell ref="J167:L167"/>
    <mergeCell ref="A165:F167"/>
    <mergeCell ref="G165:I167"/>
    <mergeCell ref="M165:N167"/>
    <mergeCell ref="U181:W183"/>
    <mergeCell ref="X181:Z183"/>
    <mergeCell ref="AA181:AC183"/>
    <mergeCell ref="AD181:AE183"/>
    <mergeCell ref="AF181:AH183"/>
    <mergeCell ref="AI181:AJ183"/>
    <mergeCell ref="AK181:AM183"/>
    <mergeCell ref="J182:L182"/>
    <mergeCell ref="J183:L183"/>
    <mergeCell ref="AD175:AE177"/>
    <mergeCell ref="AF175:AH177"/>
    <mergeCell ref="AI175:AJ177"/>
    <mergeCell ref="AK175:AM177"/>
    <mergeCell ref="J176:L176"/>
    <mergeCell ref="J177:L177"/>
    <mergeCell ref="A178:F180"/>
    <mergeCell ref="G178:I180"/>
    <mergeCell ref="J178:L178"/>
    <mergeCell ref="M178:N180"/>
    <mergeCell ref="O178:Q180"/>
    <mergeCell ref="R178:T180"/>
    <mergeCell ref="U178:W180"/>
    <mergeCell ref="X178:Z180"/>
    <mergeCell ref="AA178:AC180"/>
    <mergeCell ref="AD178:AE180"/>
    <mergeCell ref="AF178:AH180"/>
  </mergeCells>
  <hyperlinks>
    <hyperlink ref="G11" r:id="rId1" xr:uid="{CB9F8059-2237-744B-808B-94292CD9AE5A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5F9E-1C7D-244D-AF4B-22FE42DCCF7F}">
  <dimension ref="A1:AM175"/>
  <sheetViews>
    <sheetView view="pageLayout" zoomScale="140" zoomScaleNormal="100" zoomScalePageLayoutView="140" workbookViewId="0">
      <selection activeCell="Y27" sqref="Y27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Shopping City Piatra Neamt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nr.34,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RO32704667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J40/795/2014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RO20 RZBR 0000 0600 1748 7193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25/28.02.2024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15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AB175</f>
        <v>416608.58000000007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AF175</f>
        <v>79155.62999999999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AJ175</f>
        <v>495764.21000000008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495764.21000000008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R138+R152+R153+R156</f>
        <v>439113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1.1290128281330776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VLOOKUP(AA16,'Date SPV'!$B:$H,4,FALSE)</f>
        <v>Bulevardul. Decebal, nr. 79, loc. Piatra-Neamt, jud. Neamt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5000413447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_xlfn.CONCAT(AA16,"_",1)</f>
        <v>RSCP_1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EMO3621722/1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RSCP_1.1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1372745265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3229067 (citit)</v>
      </c>
      <c r="S41" s="647"/>
      <c r="T41" s="647"/>
      <c r="U41" s="647" t="str">
        <f>VLOOKUP(A41,Regularizare!$D:$U,4,FALSE)&amp;" ("&amp;VLOOKUP(A41,Regularizare!$D:$U,12,FALSE)&amp;")"</f>
        <v>3395132 (estimat)</v>
      </c>
      <c r="V41" s="647"/>
      <c r="W41" s="647"/>
      <c r="X41" s="647" t="str">
        <f>VLOOKUP(A41,Regularizare!$D:$Y,19,FALSE)&amp;" ("&amp;VLOOKUP(A41,Regularizare!$D:$U,12,FALSE)&amp;")"</f>
        <v>166065 (estimat)</v>
      </c>
      <c r="Y41" s="647"/>
      <c r="Z41" s="647"/>
      <c r="AA41" s="647">
        <f>(-1)*VLOOKUP(A41,Regularizare!$D:$Y,19,FALSE)</f>
        <v>-166065</v>
      </c>
      <c r="AB41" s="647"/>
      <c r="AC41" s="647"/>
      <c r="AD41" s="647" t="s">
        <v>69</v>
      </c>
      <c r="AE41" s="647"/>
      <c r="AF41" s="647">
        <f>AA41</f>
        <v>-166065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1372745265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136228 (citit)</v>
      </c>
      <c r="S44" s="647"/>
      <c r="T44" s="647"/>
      <c r="U44" s="647" t="str">
        <f>VLOOKUP(A44,Regularizare!$D:$U,8,FALSE)&amp;" ("&amp;VLOOKUP(A44,Regularizare!$D:$U,16,FALSE)&amp;")"</f>
        <v>136228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1372745265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20388 (citit)</v>
      </c>
      <c r="S47" s="647"/>
      <c r="T47" s="647"/>
      <c r="U47" s="647" t="str">
        <f>VLOOKUP(A47,Regularizare!$D:$U,10,FALSE)&amp;" ("&amp;VLOOKUP(A47,Regularizare!$D:$U,18,FALSE)&amp;")"</f>
        <v>20388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1372745265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3229067 (citit)</v>
      </c>
      <c r="S50" s="647"/>
      <c r="T50" s="647"/>
      <c r="U50" s="647" t="str">
        <f>VLOOKUP(A50,Regularizare!$D:$AX,25,FALSE)&amp;" ("&amp;VLOOKUP(A50,Regularizare!$D:$AX,26,FALSE)&amp;")"</f>
        <v>3395132 (citit)</v>
      </c>
      <c r="V50" s="647"/>
      <c r="W50" s="647"/>
      <c r="X50" s="647" t="str">
        <f>VLOOKUP(A50,Regularizare!$D:$AX,37,FALSE)&amp;" ("&amp;VLOOKUP(A50,Regularizare!$D:$AX,26,FALSE)&amp;")"</f>
        <v>166065 (citit)</v>
      </c>
      <c r="Y50" s="647"/>
      <c r="Z50" s="647"/>
      <c r="AA50" s="647">
        <f>VLOOKUP(A50,Regularizare!$D:$AX,37,FALSE)</f>
        <v>166065</v>
      </c>
      <c r="AB50" s="647"/>
      <c r="AC50" s="647"/>
      <c r="AD50" s="647" t="s">
        <v>69</v>
      </c>
      <c r="AE50" s="647"/>
      <c r="AF50" s="647">
        <f>AA50</f>
        <v>166065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1372745265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136228 (citit)</v>
      </c>
      <c r="S53" s="647"/>
      <c r="T53" s="647"/>
      <c r="U53" s="647" t="str">
        <f>VLOOKUP(A53,Regularizare!$D:$AX,31,FALSE)&amp;" ("&amp;VLOOKUP(A53,Regularizare!$D:$AX,32,FALSE)&amp;")"</f>
        <v>136501 (citit)</v>
      </c>
      <c r="V53" s="647"/>
      <c r="W53" s="647"/>
      <c r="X53" s="647" t="str">
        <f>VLOOKUP(A53,Regularizare!$D:$AX,39,FALSE)&amp;" ("&amp;VLOOKUP(A53,Regularizare!$D:$AX,32,FALSE)&amp;")"</f>
        <v>273 (citit)</v>
      </c>
      <c r="Y53" s="647"/>
      <c r="Z53" s="647"/>
      <c r="AA53" s="647">
        <f>VLOOKUP(A53,Regularizare!$D:$AX,44,FALSE)+VLOOKUP(A53,Regularizare!$D:$AX,45,FALSE)</f>
        <v>273</v>
      </c>
      <c r="AB53" s="647"/>
      <c r="AC53" s="647"/>
      <c r="AD53" s="647" t="s">
        <v>69</v>
      </c>
      <c r="AE53" s="647"/>
      <c r="AF53" s="647">
        <f>AA53</f>
        <v>273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1372745265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20388 (citit)</v>
      </c>
      <c r="S56" s="647"/>
      <c r="T56" s="647"/>
      <c r="U56" s="647" t="str">
        <f>VLOOKUP(A56,Regularizare!$D:$AX,35,FALSE)&amp;" ("&amp;VLOOKUP(A56,Regularizare!$D:$AX,36,FALSE)&amp;")"</f>
        <v>20388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1372745265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3395132 (citit)</v>
      </c>
      <c r="S59" s="647"/>
      <c r="T59" s="647"/>
      <c r="U59" s="647" t="str">
        <f>VLOOKUP(A59,'Incrementare indexe'!$D:$M,4,FALSE)&amp;" (estimat)"</f>
        <v>3590425 (estimat)</v>
      </c>
      <c r="V59" s="647"/>
      <c r="W59" s="647"/>
      <c r="X59" s="647" t="str">
        <f>VLOOKUP(A59,'Incrementare indexe'!$D:$Q,11,FALSE)&amp;" (estimat)"</f>
        <v>195293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195293</v>
      </c>
      <c r="AG59" s="647"/>
      <c r="AH59" s="647"/>
      <c r="AI59" s="647">
        <f>J61-J59+1</f>
        <v>31</v>
      </c>
      <c r="AJ59" s="647"/>
      <c r="AK59" s="647">
        <f>ROUND(AF59/AI59,2)</f>
        <v>6299.77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1372745265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136501 (citit)</v>
      </c>
      <c r="S62" s="647"/>
      <c r="T62" s="647"/>
      <c r="U62" s="647" t="str">
        <f>VLOOKUP(A62,'Incrementare indexe'!$D:$M,8,FALSE)&amp;" (estimat)"</f>
        <v>136501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1372745265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20388 (citit)</v>
      </c>
      <c r="S65" s="647"/>
      <c r="T65" s="647"/>
      <c r="U65" s="647" t="str">
        <f>VLOOKUP(A65,'Incrementare indexe'!$D:$M,10,FALSE)&amp;" (estimat)"</f>
        <v>20388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EMO3621722/2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_xlfn.CONCAT(AA32,".",2)</f>
        <v>RSCP_1.2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VLOOKUP(AI82,'Contorizare in SDI'!$E:$I,5,FALSE)</f>
        <v>1372643042</v>
      </c>
      <c r="B87" s="679"/>
      <c r="C87" s="679"/>
      <c r="D87" s="679"/>
      <c r="E87" s="679"/>
      <c r="F87" s="680"/>
      <c r="G87" s="648" t="s">
        <v>730</v>
      </c>
      <c r="H87" s="648"/>
      <c r="I87" s="673"/>
      <c r="J87" s="655">
        <f>'Date masura OD'!$AK$5</f>
        <v>45748</v>
      </c>
      <c r="K87" s="656"/>
      <c r="L87" s="657"/>
      <c r="M87" s="720" t="s">
        <v>446</v>
      </c>
      <c r="N87" s="648"/>
      <c r="O87" s="648">
        <f>VLOOKUP(AI82,'Incrementare indexe'!$B:$T,4,FALSE)</f>
        <v>1</v>
      </c>
      <c r="P87" s="648"/>
      <c r="Q87" s="648"/>
      <c r="R87" s="647" t="str">
        <f>VLOOKUP(A87,Regularizare!$D:$YN,3,FALSE)&amp;" ("&amp;VLOOKUP(A87,Regularizare!$D:$Y,11,FALSE)&amp;")"</f>
        <v>2738906 (citit)</v>
      </c>
      <c r="S87" s="647"/>
      <c r="T87" s="647"/>
      <c r="U87" s="647" t="str">
        <f>VLOOKUP(A87,Regularizare!$D:$U,4,FALSE)&amp;" ("&amp;VLOOKUP(A87,Regularizare!$D:$U,12,FALSE)&amp;")"</f>
        <v>2845449 (estimat)</v>
      </c>
      <c r="V87" s="647"/>
      <c r="W87" s="647"/>
      <c r="X87" s="647" t="str">
        <f>VLOOKUP(A87,Regularizare!$D:$Y,19,FALSE)&amp;" ("&amp;VLOOKUP(A87,Regularizare!$D:$U,12,FALSE)&amp;")"</f>
        <v>106543 (estimat)</v>
      </c>
      <c r="Y87" s="647"/>
      <c r="Z87" s="647"/>
      <c r="AA87" s="647">
        <f>(-1)*VLOOKUP(A87,Regularizare!$D:$Y,19,FALSE)</f>
        <v>-106543</v>
      </c>
      <c r="AB87" s="647"/>
      <c r="AC87" s="647"/>
      <c r="AD87" s="647" t="s">
        <v>69</v>
      </c>
      <c r="AE87" s="647"/>
      <c r="AF87" s="647">
        <f>AA87</f>
        <v>-106543</v>
      </c>
      <c r="AG87" s="647"/>
      <c r="AH87" s="647"/>
      <c r="AI87" s="647" t="s">
        <v>69</v>
      </c>
      <c r="AJ87" s="647"/>
      <c r="AK87" s="647" t="s">
        <v>69</v>
      </c>
      <c r="AL87" s="647"/>
      <c r="AM87" s="647"/>
    </row>
    <row r="88" spans="1:39" ht="9.75" customHeight="1">
      <c r="A88" s="717"/>
      <c r="B88" s="718"/>
      <c r="C88" s="718"/>
      <c r="D88" s="718"/>
      <c r="E88" s="718"/>
      <c r="F88" s="719"/>
      <c r="G88" s="648"/>
      <c r="H88" s="648"/>
      <c r="I88" s="673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8"/>
      <c r="H89" s="648"/>
      <c r="I89" s="673"/>
      <c r="J89" s="714">
        <f>'Date masura OD'!$AL$5</f>
        <v>45777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1372643042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45748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tr">
        <f>VLOOKUP(A90,Regularizare!$D:$U,7,FALSE)&amp;" ("&amp;VLOOKUP(A90,Regularizare!$D:$U,15,FALSE)&amp;")"</f>
        <v>163253 (citit)</v>
      </c>
      <c r="S90" s="647"/>
      <c r="T90" s="647"/>
      <c r="U90" s="647" t="str">
        <f>VLOOKUP(A90,Regularizare!$D:$U,8,FALSE)&amp;" ("&amp;VLOOKUP(A90,Regularizare!$D:$U,16,FALSE)&amp;")"</f>
        <v>163253 (estimat)</v>
      </c>
      <c r="V90" s="647"/>
      <c r="W90" s="647"/>
      <c r="X90" s="647" t="str">
        <f>_xlfn.CONCAT(VLOOKUP(A90,Regularizare!$D:$U,8,FALSE)-VLOOKUP(A90,Regularizare!$D:$U,7,FALSE)," (",VLOOKUP(A90,Regularizare!$D:$U,16,FALSE),")")</f>
        <v>0 (estimat)</v>
      </c>
      <c r="Y90" s="647"/>
      <c r="Z90" s="647"/>
      <c r="AA90" s="647">
        <f>IF(VLOOKUP(A90,Regularizare!$D:$Y,21,FALSE)=0,VLOOKUP(A90,Regularizare!$D:$Y,21,FALSE),(-1)*VLOOKUP(A90,Regularizare!$D:$Y,21,FALSE))</f>
        <v>0</v>
      </c>
      <c r="AB90" s="647"/>
      <c r="AC90" s="647"/>
      <c r="AD90" s="647" t="s">
        <v>69</v>
      </c>
      <c r="AE90" s="647"/>
      <c r="AF90" s="647">
        <f>AA90</f>
        <v>0</v>
      </c>
      <c r="AG90" s="647"/>
      <c r="AH90" s="647"/>
      <c r="AI90" s="647" t="str">
        <f>AI87</f>
        <v>-</v>
      </c>
      <c r="AJ90" s="647"/>
      <c r="AK90" s="647" t="str">
        <f>AK87</f>
        <v>-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45777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1372643042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45748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tr">
        <f>VLOOKUP(A93,Regularizare!$D:$U,9,FALSE)&amp;" ("&amp;VLOOKUP(A93,Regularizare!$D:$U,17,FALSE)&amp;")"</f>
        <v>7237 (citit)</v>
      </c>
      <c r="S93" s="647"/>
      <c r="T93" s="647"/>
      <c r="U93" s="647" t="str">
        <f>VLOOKUP(A93,Regularizare!$D:$U,10,FALSE)&amp;" ("&amp;VLOOKUP(A93,Regularizare!$D:$U,18,FALSE)&amp;")"</f>
        <v>7237 (estimat)</v>
      </c>
      <c r="V93" s="647"/>
      <c r="W93" s="647"/>
      <c r="X93" s="647" t="str">
        <f>_xlfn.CONCAT(VLOOKUP(A93,Regularizare!$D:$U,10,FALSE)-VLOOKUP(A93,Regularizare!$D:$U,9,FALSE)," (",VLOOKUP(A93,Regularizare!$D:$U,18,FALSE),")")</f>
        <v>0 (estimat)</v>
      </c>
      <c r="Y93" s="647"/>
      <c r="Z93" s="647"/>
      <c r="AA93" s="647">
        <f>IF(VLOOKUP(A93,Regularizare!$D:$Y,22,FALSE)=0,VLOOKUP(A93,Regularizare!$D:$Y,22,FALSE),(-1)*VLOOKUP(A93,Regularizare!$D:$Y,22,FALSE))</f>
        <v>0</v>
      </c>
      <c r="AB93" s="647"/>
      <c r="AC93" s="647"/>
      <c r="AD93" s="647" t="s">
        <v>69</v>
      </c>
      <c r="AE93" s="647"/>
      <c r="AF93" s="647">
        <f>AA93</f>
        <v>0</v>
      </c>
      <c r="AG93" s="647"/>
      <c r="AH93" s="647"/>
      <c r="AI93" s="647" t="str">
        <f>AI90</f>
        <v>-</v>
      </c>
      <c r="AJ93" s="647"/>
      <c r="AK93" s="647" t="str">
        <f>AK90</f>
        <v>-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45777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78">
        <f>A93</f>
        <v>1372643042</v>
      </c>
      <c r="B96" s="679"/>
      <c r="C96" s="679"/>
      <c r="D96" s="679"/>
      <c r="E96" s="679"/>
      <c r="F96" s="680"/>
      <c r="G96" s="648" t="s">
        <v>730</v>
      </c>
      <c r="H96" s="648"/>
      <c r="I96" s="673"/>
      <c r="J96" s="655">
        <f>'Date masura OD'!$AK$5</f>
        <v>45748</v>
      </c>
      <c r="K96" s="656"/>
      <c r="L96" s="657"/>
      <c r="M96" s="720" t="s">
        <v>446</v>
      </c>
      <c r="N96" s="648"/>
      <c r="O96" s="648">
        <f>O93</f>
        <v>1</v>
      </c>
      <c r="P96" s="648"/>
      <c r="Q96" s="648"/>
      <c r="R96" s="647" t="str">
        <f>VLOOKUP(A96,Regularizare!$D:$AX,23,FALSE)&amp;" ("&amp;VLOOKUP(A96,Regularizare!$D:$AX,24,FALSE)&amp;")"</f>
        <v>2738906 (citit)</v>
      </c>
      <c r="S96" s="647"/>
      <c r="T96" s="647"/>
      <c r="U96" s="647" t="str">
        <f>VLOOKUP(A96,Regularizare!$D:$AX,25,FALSE)&amp;" ("&amp;VLOOKUP(A96,Regularizare!$D:$AX,26,FALSE)&amp;")"</f>
        <v>2845449 (citit)</v>
      </c>
      <c r="V96" s="647"/>
      <c r="W96" s="647"/>
      <c r="X96" s="647" t="str">
        <f>VLOOKUP(A96,Regularizare!$D:$AX,37,FALSE)&amp;" ("&amp;VLOOKUP(A96,Regularizare!$D:$AX,26,FALSE)&amp;")"</f>
        <v>106543 (citit)</v>
      </c>
      <c r="Y96" s="647"/>
      <c r="Z96" s="647"/>
      <c r="AA96" s="647">
        <f>VLOOKUP(A96,Regularizare!$D:$AX,37,FALSE)</f>
        <v>106543</v>
      </c>
      <c r="AB96" s="647"/>
      <c r="AC96" s="647"/>
      <c r="AD96" s="647" t="s">
        <v>69</v>
      </c>
      <c r="AE96" s="647"/>
      <c r="AF96" s="647">
        <f>AA96</f>
        <v>106543</v>
      </c>
      <c r="AG96" s="647"/>
      <c r="AH96" s="647"/>
      <c r="AI96" s="647" t="str">
        <f>AI93</f>
        <v>-</v>
      </c>
      <c r="AJ96" s="647"/>
      <c r="AK96" s="647" t="str">
        <f>AK93</f>
        <v>-</v>
      </c>
      <c r="AL96" s="647"/>
      <c r="AM96" s="647"/>
    </row>
    <row r="97" spans="1:39" ht="8.4499999999999993" customHeight="1">
      <c r="A97" s="717"/>
      <c r="B97" s="718"/>
      <c r="C97" s="718"/>
      <c r="D97" s="718"/>
      <c r="E97" s="718"/>
      <c r="F97" s="719"/>
      <c r="G97" s="648"/>
      <c r="H97" s="648"/>
      <c r="I97" s="673"/>
      <c r="J97" s="717" t="s">
        <v>69</v>
      </c>
      <c r="K97" s="718"/>
      <c r="L97" s="719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1"/>
      <c r="B98" s="682"/>
      <c r="C98" s="682"/>
      <c r="D98" s="682"/>
      <c r="E98" s="682"/>
      <c r="F98" s="683"/>
      <c r="G98" s="648"/>
      <c r="H98" s="648"/>
      <c r="I98" s="673"/>
      <c r="J98" s="714">
        <f>'Date masura OD'!$AL$5</f>
        <v>45777</v>
      </c>
      <c r="K98" s="715"/>
      <c r="L98" s="716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78">
        <f>A96</f>
        <v>1372643042</v>
      </c>
      <c r="B99" s="679"/>
      <c r="C99" s="679"/>
      <c r="D99" s="679"/>
      <c r="E99" s="679"/>
      <c r="F99" s="680"/>
      <c r="G99" s="648" t="s">
        <v>696</v>
      </c>
      <c r="H99" s="648"/>
      <c r="I99" s="648"/>
      <c r="J99" s="655">
        <f t="shared" ref="J99:J104" si="4">J96</f>
        <v>45748</v>
      </c>
      <c r="K99" s="656"/>
      <c r="L99" s="657"/>
      <c r="M99" s="648" t="s">
        <v>720</v>
      </c>
      <c r="N99" s="648"/>
      <c r="O99" s="648">
        <f>O96</f>
        <v>1</v>
      </c>
      <c r="P99" s="648"/>
      <c r="Q99" s="648"/>
      <c r="R99" s="647" t="str">
        <f>VLOOKUP(A99,Regularizare!$D:$AX,29,FALSE)&amp;" ("&amp;VLOOKUP(A99,Regularizare!$D:$AX,30,FALSE)&amp;")"</f>
        <v>163253 (citit)</v>
      </c>
      <c r="S99" s="647"/>
      <c r="T99" s="647"/>
      <c r="U99" s="647" t="str">
        <f>VLOOKUP(A99,Regularizare!$D:$AX,31,FALSE)&amp;" ("&amp;VLOOKUP(A99,Regularizare!$D:$AX,32,FALSE)&amp;")"</f>
        <v>163427 (citit)</v>
      </c>
      <c r="V99" s="647"/>
      <c r="W99" s="647"/>
      <c r="X99" s="647" t="str">
        <f>VLOOKUP(A99,Regularizare!$D:$AX,39,FALSE)&amp;" ("&amp;VLOOKUP(A99,Regularizare!$D:$AX,32,FALSE)&amp;")"</f>
        <v>174 (citit)</v>
      </c>
      <c r="Y99" s="647"/>
      <c r="Z99" s="647"/>
      <c r="AA99" s="647">
        <f>VLOOKUP(A99,Regularizare!$D:$AX,44,FALSE)+VLOOKUP(A99,Regularizare!$D:$AX,45,FALSE)</f>
        <v>174</v>
      </c>
      <c r="AB99" s="647"/>
      <c r="AC99" s="647"/>
      <c r="AD99" s="647" t="s">
        <v>69</v>
      </c>
      <c r="AE99" s="647"/>
      <c r="AF99" s="647">
        <f>AA99</f>
        <v>174</v>
      </c>
      <c r="AG99" s="647"/>
      <c r="AH99" s="647"/>
      <c r="AI99" s="647" t="str">
        <f>AI96</f>
        <v>-</v>
      </c>
      <c r="AJ99" s="647"/>
      <c r="AK99" s="647" t="str">
        <f>AK96</f>
        <v>-</v>
      </c>
      <c r="AL99" s="647"/>
      <c r="AM99" s="647"/>
    </row>
    <row r="100" spans="1:39" ht="8.4499999999999993" customHeight="1">
      <c r="A100" s="717"/>
      <c r="B100" s="718"/>
      <c r="C100" s="718"/>
      <c r="D100" s="718"/>
      <c r="E100" s="718"/>
      <c r="F100" s="719"/>
      <c r="G100" s="648"/>
      <c r="H100" s="648"/>
      <c r="I100" s="648"/>
      <c r="J100" s="717" t="str">
        <f t="shared" si="4"/>
        <v>-</v>
      </c>
      <c r="K100" s="718"/>
      <c r="L100" s="719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1"/>
      <c r="B101" s="682"/>
      <c r="C101" s="682"/>
      <c r="D101" s="682"/>
      <c r="E101" s="682"/>
      <c r="F101" s="683"/>
      <c r="G101" s="648"/>
      <c r="H101" s="648"/>
      <c r="I101" s="648"/>
      <c r="J101" s="714">
        <f t="shared" si="4"/>
        <v>45777</v>
      </c>
      <c r="K101" s="715"/>
      <c r="L101" s="716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78">
        <f>A99</f>
        <v>1372643042</v>
      </c>
      <c r="B102" s="679"/>
      <c r="C102" s="679"/>
      <c r="D102" s="679"/>
      <c r="E102" s="679"/>
      <c r="F102" s="680"/>
      <c r="G102" s="648" t="s">
        <v>731</v>
      </c>
      <c r="H102" s="648"/>
      <c r="I102" s="648"/>
      <c r="J102" s="655">
        <f t="shared" si="4"/>
        <v>45748</v>
      </c>
      <c r="K102" s="656"/>
      <c r="L102" s="657"/>
      <c r="M102" s="648" t="s">
        <v>720</v>
      </c>
      <c r="N102" s="648"/>
      <c r="O102" s="648">
        <f>O99</f>
        <v>1</v>
      </c>
      <c r="P102" s="648"/>
      <c r="Q102" s="648"/>
      <c r="R102" s="647" t="str">
        <f>VLOOKUP(A102,Regularizare!$D:$AX,33,FALSE)&amp;" ("&amp;VLOOKUP(A102,Regularizare!$D:$AX,34,FALSE)&amp;")"</f>
        <v>7237 (citit)</v>
      </c>
      <c r="S102" s="647"/>
      <c r="T102" s="647"/>
      <c r="U102" s="647" t="str">
        <f>VLOOKUP(A102,Regularizare!$D:$AX,35,FALSE)&amp;" ("&amp;VLOOKUP(A102,Regularizare!$D:$AX,36,FALSE)&amp;")"</f>
        <v>7237 (citit)</v>
      </c>
      <c r="V102" s="647"/>
      <c r="W102" s="647"/>
      <c r="X102" s="647" t="str">
        <f>VLOOKUP(A102,Regularizare!$D:$AX,40,FALSE)&amp;" ("&amp;VLOOKUP(A102,Regularizare!$D:$AX,36,FALSE)&amp;")"</f>
        <v>0 (citit)</v>
      </c>
      <c r="Y102" s="647"/>
      <c r="Z102" s="647"/>
      <c r="AA102" s="647">
        <f>VLOOKUP(A102,Regularizare!$D:$AX,46,FALSE)+VLOOKUP(A102,Regularizare!$D:$AX,47,FALSE)</f>
        <v>0</v>
      </c>
      <c r="AB102" s="647"/>
      <c r="AC102" s="647"/>
      <c r="AD102" s="647" t="s">
        <v>69</v>
      </c>
      <c r="AE102" s="647"/>
      <c r="AF102" s="647">
        <f>AA102</f>
        <v>0</v>
      </c>
      <c r="AG102" s="647"/>
      <c r="AH102" s="647"/>
      <c r="AI102" s="647" t="str">
        <f>AI99</f>
        <v>-</v>
      </c>
      <c r="AJ102" s="647"/>
      <c r="AK102" s="647" t="str">
        <f>AK99</f>
        <v>-</v>
      </c>
      <c r="AL102" s="647"/>
      <c r="AM102" s="647"/>
    </row>
    <row r="103" spans="1:39" ht="8.4499999999999993" customHeight="1">
      <c r="A103" s="717"/>
      <c r="B103" s="718"/>
      <c r="C103" s="718"/>
      <c r="D103" s="718"/>
      <c r="E103" s="718"/>
      <c r="F103" s="719"/>
      <c r="G103" s="648"/>
      <c r="H103" s="648"/>
      <c r="I103" s="648"/>
      <c r="J103" s="717" t="str">
        <f t="shared" si="4"/>
        <v>-</v>
      </c>
      <c r="K103" s="718"/>
      <c r="L103" s="719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1"/>
      <c r="B104" s="682"/>
      <c r="C104" s="682"/>
      <c r="D104" s="682"/>
      <c r="E104" s="682"/>
      <c r="F104" s="683"/>
      <c r="G104" s="648"/>
      <c r="H104" s="648"/>
      <c r="I104" s="648"/>
      <c r="J104" s="714">
        <f t="shared" si="4"/>
        <v>45777</v>
      </c>
      <c r="K104" s="715"/>
      <c r="L104" s="716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>
        <f>A102</f>
        <v>1372643042</v>
      </c>
      <c r="B105" s="679"/>
      <c r="C105" s="679"/>
      <c r="D105" s="679"/>
      <c r="E105" s="679"/>
      <c r="F105" s="680"/>
      <c r="G105" s="648" t="s">
        <v>730</v>
      </c>
      <c r="H105" s="648"/>
      <c r="I105" s="673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O102</f>
        <v>1</v>
      </c>
      <c r="P105" s="648"/>
      <c r="Q105" s="648"/>
      <c r="R105" s="647" t="str">
        <f>U96</f>
        <v>2845449 (citit)</v>
      </c>
      <c r="S105" s="647"/>
      <c r="T105" s="647"/>
      <c r="U105" s="647" t="str">
        <f>VLOOKUP(A105,'Incrementare indexe'!$D:$M,4,FALSE)&amp;" (estimat)"</f>
        <v>2963307 (estimat)</v>
      </c>
      <c r="V105" s="647"/>
      <c r="W105" s="647"/>
      <c r="X105" s="647" t="str">
        <f>VLOOKUP(A105,'Incrementare indexe'!$D:$Q,11,FALSE)&amp;" (estimat)"</f>
        <v>117858 (estimat)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VLOOKUP(A105,'Incrementare indexe'!$D:$Q,11,FALSE)</f>
        <v>117858</v>
      </c>
      <c r="AG105" s="647"/>
      <c r="AH105" s="647"/>
      <c r="AI105" s="647">
        <f>J107-J105+1</f>
        <v>31</v>
      </c>
      <c r="AJ105" s="647"/>
      <c r="AK105" s="647">
        <f>ROUND(AF105/AI105,2)</f>
        <v>3801.87</v>
      </c>
      <c r="AL105" s="647"/>
      <c r="AM105" s="647"/>
    </row>
    <row r="106" spans="1:39" ht="8.4499999999999993" customHeight="1">
      <c r="A106" s="717"/>
      <c r="B106" s="718"/>
      <c r="C106" s="718"/>
      <c r="D106" s="718"/>
      <c r="E106" s="718"/>
      <c r="F106" s="719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8"/>
      <c r="H107" s="648"/>
      <c r="I107" s="673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>
        <f>A105</f>
        <v>1372643042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 t="shared" ref="J108:J113" si="5">J105</f>
        <v>45778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U99</f>
        <v>163427 (citit)</v>
      </c>
      <c r="S108" s="647"/>
      <c r="T108" s="647"/>
      <c r="U108" s="647" t="str">
        <f>VLOOKUP(A108,'Incrementare indexe'!$D:$M,8,FALSE)&amp;" (estimat)"</f>
        <v>163427 (estimat)</v>
      </c>
      <c r="V108" s="647"/>
      <c r="W108" s="647"/>
      <c r="X108" s="647" t="str">
        <f>VLOOKUP(A108,'Incrementare indexe'!$D:$Q,12,FALSE)&amp;" (estimat)"</f>
        <v>0 (estimat)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f>VLOOKUP(A108,'Incrementare indexe'!$D:$Q,12,FALSE)</f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8.4499999999999993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 t="shared" si="5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 t="shared" si="5"/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>
        <f>A108</f>
        <v>1372643042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si="5"/>
        <v>45778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U102</f>
        <v>7237 (citit)</v>
      </c>
      <c r="S111" s="647"/>
      <c r="T111" s="647"/>
      <c r="U111" s="647" t="str">
        <f>VLOOKUP(A111,'Incrementare indexe'!$D:$M,10,FALSE)&amp;" (estimat)"</f>
        <v>7237 (estimat)</v>
      </c>
      <c r="V111" s="647"/>
      <c r="W111" s="647"/>
      <c r="X111" s="647" t="str">
        <f>VLOOKUP(A111,'Incrementare indexe'!$D:$Q,13,FALSE)&amp;" (estimat)"</f>
        <v>0 (estimat)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f>VLOOKUP(A111,'Incrementare indexe'!$D:$Q,13,FALSE)</f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8.4499999999999993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5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5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>
      <c r="A116" s="721" t="s">
        <v>1196</v>
      </c>
      <c r="B116" s="722"/>
      <c r="C116" s="722"/>
      <c r="D116" s="722"/>
      <c r="E116" s="722"/>
      <c r="F116" s="722"/>
      <c r="G116" s="722"/>
      <c r="H116" s="722"/>
      <c r="I116" s="722"/>
      <c r="J116" s="722"/>
      <c r="K116" s="722"/>
      <c r="L116" s="722"/>
      <c r="M116" s="722"/>
      <c r="N116" s="722"/>
      <c r="O116" s="722"/>
      <c r="P116" s="722"/>
      <c r="Q116" s="722"/>
      <c r="R116" s="722"/>
      <c r="S116" s="722"/>
      <c r="T116" s="722"/>
      <c r="U116" s="722"/>
      <c r="V116" s="722"/>
      <c r="W116" s="722"/>
      <c r="X116" s="722"/>
      <c r="Y116" s="722"/>
      <c r="Z116" s="722"/>
      <c r="AA116" s="722"/>
      <c r="AB116" s="722"/>
      <c r="AC116" s="722"/>
      <c r="AD116" s="722"/>
      <c r="AE116" s="722"/>
      <c r="AF116" s="722"/>
      <c r="AG116" s="722"/>
      <c r="AH116" s="723"/>
      <c r="AI116" s="650" t="s">
        <v>695</v>
      </c>
      <c r="AJ116" s="650"/>
      <c r="AK116" s="650"/>
      <c r="AL116" s="650"/>
      <c r="AM116" s="650"/>
    </row>
    <row r="117" spans="1:39" ht="14.1" customHeight="1">
      <c r="A117" s="649" t="s">
        <v>746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514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 t="str">
        <f>_xlfn.CONCAT(AI82,"/PV")</f>
        <v>RSCP_1.2/PV</v>
      </c>
      <c r="AJ117" s="619"/>
      <c r="AK117" s="619"/>
      <c r="AL117" s="619"/>
      <c r="AM117" s="619"/>
    </row>
    <row r="118" spans="1:39" ht="14.1" customHeight="1">
      <c r="A118" s="649" t="s">
        <v>747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1087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/>
      <c r="AJ118" s="619"/>
      <c r="AK118" s="619"/>
      <c r="AL118" s="619"/>
      <c r="AM118" s="619"/>
    </row>
    <row r="119" spans="1:39" ht="14.1" customHeight="1">
      <c r="A119" s="648" t="s">
        <v>697</v>
      </c>
      <c r="B119" s="648"/>
      <c r="C119" s="648"/>
      <c r="D119" s="648"/>
      <c r="E119" s="648"/>
      <c r="F119" s="648"/>
      <c r="G119" s="647" t="s">
        <v>713</v>
      </c>
      <c r="H119" s="647"/>
      <c r="I119" s="647"/>
      <c r="J119" s="647" t="s">
        <v>714</v>
      </c>
      <c r="K119" s="647"/>
      <c r="L119" s="647"/>
      <c r="M119" s="648" t="s">
        <v>519</v>
      </c>
      <c r="N119" s="648"/>
      <c r="O119" s="648" t="s">
        <v>715</v>
      </c>
      <c r="P119" s="648"/>
      <c r="Q119" s="648"/>
      <c r="R119" s="647" t="s">
        <v>732</v>
      </c>
      <c r="S119" s="647"/>
      <c r="T119" s="647"/>
      <c r="U119" s="647" t="s">
        <v>734</v>
      </c>
      <c r="V119" s="647"/>
      <c r="W119" s="647"/>
      <c r="X119" s="647" t="s">
        <v>1085</v>
      </c>
      <c r="Y119" s="647"/>
      <c r="Z119" s="647"/>
      <c r="AA119" s="647" t="s">
        <v>1086</v>
      </c>
      <c r="AB119" s="647"/>
      <c r="AC119" s="647"/>
      <c r="AD119" s="647" t="s">
        <v>717</v>
      </c>
      <c r="AE119" s="647"/>
      <c r="AF119" s="647" t="s">
        <v>718</v>
      </c>
      <c r="AG119" s="647"/>
      <c r="AH119" s="647"/>
      <c r="AI119" s="647" t="s">
        <v>719</v>
      </c>
      <c r="AJ119" s="647"/>
      <c r="AK119" s="647" t="s">
        <v>733</v>
      </c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647"/>
      <c r="K120" s="647"/>
      <c r="L120" s="647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713"/>
      <c r="K121" s="713"/>
      <c r="L121" s="713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78">
        <f>VLOOKUP(AI117,'Incrementare indexe'!$B:$I,3,FALSE)</f>
        <v>1371621682</v>
      </c>
      <c r="B122" s="679"/>
      <c r="C122" s="679"/>
      <c r="D122" s="679"/>
      <c r="E122" s="679"/>
      <c r="F122" s="680"/>
      <c r="G122" s="647" t="s">
        <v>1088</v>
      </c>
      <c r="H122" s="647"/>
      <c r="I122" s="675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VLOOKUP(AI117,'Incrementare indexe'!$B:$I,4,FALSE)</f>
        <v>1</v>
      </c>
      <c r="P122" s="648"/>
      <c r="Q122" s="648"/>
      <c r="R122" s="647" t="str">
        <f>VLOOKUP(AI117,'Incrementare indexe'!$B:$I,7,FALSE)&amp;" (citit)"</f>
        <v>1690393 (citit)</v>
      </c>
      <c r="S122" s="647"/>
      <c r="T122" s="647"/>
      <c r="U122" s="647" t="str">
        <f>VLOOKUP(AI117,'Incrementare indexe'!$B:$I,8,FALSE)&amp;" (citit)"</f>
        <v>1816355 (citit)</v>
      </c>
      <c r="V122" s="647"/>
      <c r="W122" s="647"/>
      <c r="X122" s="647" t="str">
        <f>(VLOOKUP(AI117,'Incrementare indexe'!$B:$I,8,FALSE)-VLOOKUP(AI117,'Incrementare indexe'!$B:$I,7,FALSE))&amp;" (citit)"</f>
        <v>125962 (citit)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(VLOOKUP(AI117,'Incrementare indexe'!$B:$I,8,FALSE)-VLOOKUP(AI117,'Incrementare indexe'!$B:$I,7,FALSE))</f>
        <v>125962</v>
      </c>
      <c r="AG122" s="647"/>
      <c r="AH122" s="647"/>
      <c r="AI122" s="647">
        <f>J124-J122+1</f>
        <v>31</v>
      </c>
      <c r="AJ122" s="647"/>
      <c r="AK122" s="647">
        <f>ROUND(AF122/AI122,2)</f>
        <v>4063.29</v>
      </c>
      <c r="AL122" s="647"/>
      <c r="AM122" s="647"/>
    </row>
    <row r="123" spans="1:39" ht="14.1" customHeight="1">
      <c r="A123" s="717"/>
      <c r="B123" s="718"/>
      <c r="C123" s="718"/>
      <c r="D123" s="718"/>
      <c r="E123" s="718"/>
      <c r="F123" s="719"/>
      <c r="G123" s="647"/>
      <c r="H123" s="647"/>
      <c r="I123" s="675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1"/>
      <c r="B124" s="682"/>
      <c r="C124" s="682"/>
      <c r="D124" s="682"/>
      <c r="E124" s="682"/>
      <c r="F124" s="683"/>
      <c r="G124" s="647"/>
      <c r="H124" s="647"/>
      <c r="I124" s="675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1371621682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">
        <v>1089</v>
      </c>
      <c r="S125" s="647"/>
      <c r="T125" s="647"/>
      <c r="U125" s="647" t="s">
        <v>1089</v>
      </c>
      <c r="V125" s="647"/>
      <c r="W125" s="647"/>
      <c r="X125" s="647" t="s">
        <v>1089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14.1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1371621682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">
        <v>1089</v>
      </c>
      <c r="S128" s="647"/>
      <c r="T128" s="647"/>
      <c r="U128" s="647" t="s">
        <v>1089</v>
      </c>
      <c r="V128" s="647"/>
      <c r="W128" s="647"/>
      <c r="X128" s="647" t="s">
        <v>1089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14.1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/>
    <row r="132" spans="1:39" ht="14.1" customHeight="1"/>
    <row r="133" spans="1:39" ht="14.1" customHeight="1"/>
    <row r="134" spans="1:39" ht="14.1" customHeight="1"/>
    <row r="135" spans="1:39" ht="15.95" customHeight="1">
      <c r="A135" s="624" t="str">
        <f>A28</f>
        <v>DETALII FACTURA FACTURA FISCALA SERIA …........ NR …................. din date de ….......06.2025</v>
      </c>
      <c r="B135" s="624"/>
      <c r="C135" s="624"/>
      <c r="D135" s="624"/>
      <c r="E135" s="624"/>
      <c r="F135" s="624"/>
      <c r="G135" s="624"/>
      <c r="H135" s="624"/>
      <c r="I135" s="624"/>
      <c r="J135" s="624"/>
      <c r="K135" s="624"/>
      <c r="L135" s="624"/>
      <c r="M135" s="624"/>
      <c r="N135" s="624"/>
      <c r="O135" s="624"/>
      <c r="P135" s="624"/>
      <c r="Q135" s="624"/>
      <c r="R135" s="624"/>
      <c r="S135" s="624"/>
      <c r="T135" s="624"/>
      <c r="U135" s="624"/>
      <c r="V135" s="624"/>
      <c r="W135" s="624"/>
      <c r="X135" s="624"/>
      <c r="Y135" s="624"/>
      <c r="Z135" s="624"/>
      <c r="AA135" s="624"/>
      <c r="AB135" s="624"/>
      <c r="AC135" s="624"/>
      <c r="AD135" s="624"/>
      <c r="AE135" s="624"/>
      <c r="AF135" s="624"/>
      <c r="AG135" s="624"/>
      <c r="AH135" s="624"/>
      <c r="AI135" s="624"/>
      <c r="AJ135" s="624"/>
      <c r="AK135" s="624"/>
      <c r="AL135" s="624"/>
      <c r="AM135" s="624"/>
    </row>
    <row r="137" spans="1:39" ht="36" customHeight="1">
      <c r="A137" s="66" t="s">
        <v>721</v>
      </c>
      <c r="B137" s="648" t="s">
        <v>95</v>
      </c>
      <c r="C137" s="648"/>
      <c r="D137" s="648"/>
      <c r="E137" s="648"/>
      <c r="F137" s="648"/>
      <c r="G137" s="648"/>
      <c r="H137" s="648"/>
      <c r="I137" s="648"/>
      <c r="J137" s="648"/>
      <c r="K137" s="648"/>
      <c r="L137" s="64" t="s">
        <v>709</v>
      </c>
      <c r="M137" s="69"/>
      <c r="N137" s="69"/>
      <c r="O137" s="64"/>
      <c r="P137" s="69"/>
      <c r="Q137" s="69"/>
      <c r="R137" s="647" t="s">
        <v>722</v>
      </c>
      <c r="S137" s="647"/>
      <c r="T137" s="647"/>
      <c r="U137" s="647"/>
      <c r="V137" s="648" t="s">
        <v>519</v>
      </c>
      <c r="W137" s="648"/>
      <c r="X137" s="647" t="s">
        <v>723</v>
      </c>
      <c r="Y137" s="647"/>
      <c r="Z137" s="647"/>
      <c r="AA137" s="647"/>
      <c r="AB137" s="647" t="s">
        <v>724</v>
      </c>
      <c r="AC137" s="647"/>
      <c r="AD137" s="647"/>
      <c r="AE137" s="647"/>
      <c r="AF137" s="647" t="s">
        <v>725</v>
      </c>
      <c r="AG137" s="647"/>
      <c r="AH137" s="647"/>
      <c r="AI137" s="647"/>
      <c r="AJ137" s="647" t="s">
        <v>726</v>
      </c>
      <c r="AK137" s="647"/>
      <c r="AL137" s="647"/>
      <c r="AM137" s="647"/>
    </row>
    <row r="138" spans="1:39" ht="15.95" customHeight="1">
      <c r="A138" s="65">
        <v>1</v>
      </c>
      <c r="B138" s="699" t="s">
        <v>71</v>
      </c>
      <c r="C138" s="700"/>
      <c r="D138" s="700"/>
      <c r="E138" s="700"/>
      <c r="F138" s="700"/>
      <c r="G138" s="700"/>
      <c r="H138" s="700"/>
      <c r="I138" s="700"/>
      <c r="J138" s="700"/>
      <c r="K138" s="701"/>
      <c r="L138" s="702">
        <f>'Date masura OD'!$I$5</f>
        <v>45778</v>
      </c>
      <c r="M138" s="702"/>
      <c r="N138" s="702"/>
      <c r="O138" s="702">
        <f>'Date masura OD'!$J$5</f>
        <v>45808</v>
      </c>
      <c r="P138" s="702"/>
      <c r="Q138" s="702"/>
      <c r="R138" s="690" cm="1">
        <f t="array" ref="R138">INDEX(verificare!$AT$4:$CC$26,VLOOKUP($AA$16,verificare!$AR$4:$AS$26,2,FALSE),A138)</f>
        <v>313151</v>
      </c>
      <c r="S138" s="690"/>
      <c r="T138" s="690"/>
      <c r="U138" s="690"/>
      <c r="V138" s="658" t="s">
        <v>446</v>
      </c>
      <c r="W138" s="658"/>
      <c r="X138" s="691">
        <f>HLOOKUP(VLOOKUP($AA$16,'Date SPV'!$B:$F,5,FALSE),'Preturi si tarife'!$C$2:$J$39,A138+2,FALSE)</f>
        <v>0.59499999999999997</v>
      </c>
      <c r="Y138" s="692"/>
      <c r="Z138" s="692"/>
      <c r="AA138" s="693"/>
      <c r="AB138" s="690">
        <f>ROUND(X138*R138,2)</f>
        <v>186324.85</v>
      </c>
      <c r="AC138" s="690"/>
      <c r="AD138" s="690"/>
      <c r="AE138" s="690"/>
      <c r="AF138" s="690">
        <f>ROUND(AB138*19%,2)</f>
        <v>35401.72</v>
      </c>
      <c r="AG138" s="690"/>
      <c r="AH138" s="690"/>
      <c r="AI138" s="690"/>
      <c r="AJ138" s="690">
        <f>AB138+AF138</f>
        <v>221726.57</v>
      </c>
      <c r="AK138" s="690"/>
      <c r="AL138" s="690"/>
      <c r="AM138" s="690"/>
    </row>
    <row r="139" spans="1:39" ht="15.95" customHeight="1">
      <c r="A139" s="65">
        <f>A138+1</f>
        <v>2</v>
      </c>
      <c r="B139" s="699" t="s">
        <v>72</v>
      </c>
      <c r="C139" s="700"/>
      <c r="D139" s="700"/>
      <c r="E139" s="700"/>
      <c r="F139" s="700"/>
      <c r="G139" s="700"/>
      <c r="H139" s="700"/>
      <c r="I139" s="700"/>
      <c r="J139" s="700"/>
      <c r="K139" s="701"/>
      <c r="L139" s="702">
        <f>L138</f>
        <v>45778</v>
      </c>
      <c r="M139" s="702"/>
      <c r="N139" s="702"/>
      <c r="O139" s="702">
        <f>O138</f>
        <v>45808</v>
      </c>
      <c r="P139" s="702"/>
      <c r="Q139" s="702"/>
      <c r="R139" s="690" cm="1">
        <f t="array" ref="R139">INDEX(verificare!$AT$4:$CC$26,VLOOKUP($AA$16,verificare!$AR$4:$AS$26,2,FALSE),A139)</f>
        <v>0</v>
      </c>
      <c r="S139" s="690"/>
      <c r="T139" s="690"/>
      <c r="U139" s="690"/>
      <c r="V139" s="658" t="s">
        <v>727</v>
      </c>
      <c r="W139" s="658"/>
      <c r="X139" s="691">
        <f>HLOOKUP(VLOOKUP($AA$16,'Date SPV'!$B:$F,5,FALSE),'Preturi si tarife'!$C$2:$J$39,A139+2,FALSE)</f>
        <v>0.14660000000000001</v>
      </c>
      <c r="Y139" s="692"/>
      <c r="Z139" s="692"/>
      <c r="AA139" s="693"/>
      <c r="AB139" s="690">
        <f t="shared" ref="AB139:AB173" si="7">ROUND(X139*R139,2)</f>
        <v>0</v>
      </c>
      <c r="AC139" s="690"/>
      <c r="AD139" s="690"/>
      <c r="AE139" s="690"/>
      <c r="AF139" s="690">
        <f t="shared" ref="AF139:AF173" si="8">ROUND(AB139*19%,2)</f>
        <v>0</v>
      </c>
      <c r="AG139" s="690"/>
      <c r="AH139" s="690"/>
      <c r="AI139" s="690"/>
      <c r="AJ139" s="690">
        <f t="shared" ref="AJ139:AJ173" si="9">AB139+AF139</f>
        <v>0</v>
      </c>
      <c r="AK139" s="690"/>
      <c r="AL139" s="690"/>
      <c r="AM139" s="690"/>
    </row>
    <row r="140" spans="1:39" ht="15.95" customHeight="1">
      <c r="A140" s="65">
        <f t="shared" ref="A140:A175" si="10">A139+1</f>
        <v>3</v>
      </c>
      <c r="B140" s="699" t="s">
        <v>73</v>
      </c>
      <c r="C140" s="700"/>
      <c r="D140" s="700"/>
      <c r="E140" s="700"/>
      <c r="F140" s="700"/>
      <c r="G140" s="700"/>
      <c r="H140" s="700"/>
      <c r="I140" s="700"/>
      <c r="J140" s="700"/>
      <c r="K140" s="701"/>
      <c r="L140" s="702">
        <f t="shared" ref="L140:L148" si="11">L139</f>
        <v>45778</v>
      </c>
      <c r="M140" s="702"/>
      <c r="N140" s="702"/>
      <c r="O140" s="702">
        <f t="shared" ref="O140:O148" si="12">O139</f>
        <v>45808</v>
      </c>
      <c r="P140" s="702"/>
      <c r="Q140" s="702"/>
      <c r="R140" s="690" cm="1">
        <f t="array" ref="R140">INDEX(verificare!$AT$4:$CC$26,VLOOKUP($AA$16,verificare!$AR$4:$AS$26,2,FALSE),A140)</f>
        <v>0</v>
      </c>
      <c r="S140" s="690"/>
      <c r="T140" s="690"/>
      <c r="U140" s="690"/>
      <c r="V140" s="658" t="s">
        <v>727</v>
      </c>
      <c r="W140" s="658"/>
      <c r="X140" s="691">
        <f>HLOOKUP(VLOOKUP($AA$16,'Date SPV'!$B:$F,5,FALSE),'Preturi si tarife'!$C$2:$J$39,A140+2,FALSE)</f>
        <v>0.43980000000000002</v>
      </c>
      <c r="Y140" s="692"/>
      <c r="Z140" s="692"/>
      <c r="AA140" s="693"/>
      <c r="AB140" s="690">
        <f t="shared" si="7"/>
        <v>0</v>
      </c>
      <c r="AC140" s="690"/>
      <c r="AD140" s="690"/>
      <c r="AE140" s="690"/>
      <c r="AF140" s="690">
        <f t="shared" si="8"/>
        <v>0</v>
      </c>
      <c r="AG140" s="690"/>
      <c r="AH140" s="690"/>
      <c r="AI140" s="690"/>
      <c r="AJ140" s="690">
        <f t="shared" si="9"/>
        <v>0</v>
      </c>
      <c r="AK140" s="690"/>
      <c r="AL140" s="690"/>
      <c r="AM140" s="690"/>
    </row>
    <row r="141" spans="1:39" ht="15.95" customHeight="1">
      <c r="A141" s="65">
        <f t="shared" si="10"/>
        <v>4</v>
      </c>
      <c r="B141" s="699" t="s">
        <v>868</v>
      </c>
      <c r="C141" s="700"/>
      <c r="D141" s="700"/>
      <c r="E141" s="700"/>
      <c r="F141" s="700"/>
      <c r="G141" s="700"/>
      <c r="H141" s="700"/>
      <c r="I141" s="700"/>
      <c r="J141" s="700"/>
      <c r="K141" s="701"/>
      <c r="L141" s="702">
        <f t="shared" si="11"/>
        <v>45778</v>
      </c>
      <c r="M141" s="702"/>
      <c r="N141" s="702"/>
      <c r="O141" s="702">
        <f t="shared" si="12"/>
        <v>45808</v>
      </c>
      <c r="P141" s="702"/>
      <c r="Q141" s="702"/>
      <c r="R141" s="690" cm="1">
        <f t="array" ref="R141">INDEX(verificare!$AT$4:$CC$26,VLOOKUP($AA$16,verificare!$AR$4:$AS$26,2,FALSE),A141)</f>
        <v>313151</v>
      </c>
      <c r="S141" s="690"/>
      <c r="T141" s="690"/>
      <c r="U141" s="690"/>
      <c r="V141" s="658" t="s">
        <v>446</v>
      </c>
      <c r="W141" s="658"/>
      <c r="X141" s="691">
        <f>HLOOKUP(VLOOKUP($AA$16,'Date SPV'!$B:$F,5,FALSE),'Preturi si tarife'!$C$2:$J$39,A141+2,FALSE)</f>
        <v>0.11348</v>
      </c>
      <c r="Y141" s="692"/>
      <c r="Z141" s="692"/>
      <c r="AA141" s="693"/>
      <c r="AB141" s="690">
        <f t="shared" si="7"/>
        <v>35536.379999999997</v>
      </c>
      <c r="AC141" s="690"/>
      <c r="AD141" s="690"/>
      <c r="AE141" s="690"/>
      <c r="AF141" s="690">
        <f t="shared" si="8"/>
        <v>6751.91</v>
      </c>
      <c r="AG141" s="690"/>
      <c r="AH141" s="690"/>
      <c r="AI141" s="690"/>
      <c r="AJ141" s="690">
        <f t="shared" si="9"/>
        <v>42288.289999999994</v>
      </c>
      <c r="AK141" s="690"/>
      <c r="AL141" s="690"/>
      <c r="AM141" s="690"/>
    </row>
    <row r="142" spans="1:39" ht="15.95" customHeight="1">
      <c r="A142" s="65">
        <f t="shared" si="10"/>
        <v>5</v>
      </c>
      <c r="B142" s="699" t="s">
        <v>757</v>
      </c>
      <c r="C142" s="700"/>
      <c r="D142" s="700"/>
      <c r="E142" s="700"/>
      <c r="F142" s="700"/>
      <c r="G142" s="700"/>
      <c r="H142" s="700"/>
      <c r="I142" s="700"/>
      <c r="J142" s="700"/>
      <c r="K142" s="701"/>
      <c r="L142" s="702">
        <f t="shared" si="11"/>
        <v>45778</v>
      </c>
      <c r="M142" s="702"/>
      <c r="N142" s="702"/>
      <c r="O142" s="702">
        <f t="shared" si="12"/>
        <v>45808</v>
      </c>
      <c r="P142" s="702"/>
      <c r="Q142" s="702"/>
      <c r="R142" s="690" cm="1">
        <f t="array" ref="R142">INDEX(verificare!$AT$4:$CC$26,VLOOKUP($AA$16,verificare!$AR$4:$AS$26,2,FALSE),A142)</f>
        <v>0</v>
      </c>
      <c r="S142" s="690"/>
      <c r="T142" s="690"/>
      <c r="U142" s="690"/>
      <c r="V142" s="658" t="s">
        <v>446</v>
      </c>
      <c r="W142" s="658"/>
      <c r="X142" s="691">
        <f>HLOOKUP(VLOOKUP($AA$16,'Date SPV'!$B:$F,5,FALSE),'Preturi si tarife'!$C$2:$J$39,A142+2,FALSE)</f>
        <v>0.23974999999999999</v>
      </c>
      <c r="Y142" s="692"/>
      <c r="Z142" s="692"/>
      <c r="AA142" s="693"/>
      <c r="AB142" s="690">
        <f t="shared" si="7"/>
        <v>0</v>
      </c>
      <c r="AC142" s="690"/>
      <c r="AD142" s="690"/>
      <c r="AE142" s="690"/>
      <c r="AF142" s="690">
        <f t="shared" si="8"/>
        <v>0</v>
      </c>
      <c r="AG142" s="690"/>
      <c r="AH142" s="690"/>
      <c r="AI142" s="690"/>
      <c r="AJ142" s="690">
        <f t="shared" si="9"/>
        <v>0</v>
      </c>
      <c r="AK142" s="690"/>
      <c r="AL142" s="690"/>
      <c r="AM142" s="690"/>
    </row>
    <row r="143" spans="1:39" ht="15.95" customHeight="1">
      <c r="A143" s="65">
        <f t="shared" si="10"/>
        <v>6</v>
      </c>
      <c r="B143" s="699" t="s">
        <v>74</v>
      </c>
      <c r="C143" s="700"/>
      <c r="D143" s="700"/>
      <c r="E143" s="700"/>
      <c r="F143" s="700"/>
      <c r="G143" s="700"/>
      <c r="H143" s="700"/>
      <c r="I143" s="700"/>
      <c r="J143" s="700"/>
      <c r="K143" s="701"/>
      <c r="L143" s="702">
        <f t="shared" si="11"/>
        <v>45778</v>
      </c>
      <c r="M143" s="702"/>
      <c r="N143" s="702"/>
      <c r="O143" s="702">
        <f t="shared" si="12"/>
        <v>45808</v>
      </c>
      <c r="P143" s="702"/>
      <c r="Q143" s="702"/>
      <c r="R143" s="690" cm="1">
        <f t="array" ref="R143">INDEX(verificare!$AT$4:$CC$26,VLOOKUP($AA$16,verificare!$AR$4:$AS$26,2,FALSE),A143)</f>
        <v>313151</v>
      </c>
      <c r="S143" s="690"/>
      <c r="T143" s="690"/>
      <c r="U143" s="690"/>
      <c r="V143" s="658" t="s">
        <v>446</v>
      </c>
      <c r="W143" s="658"/>
      <c r="X143" s="691">
        <f>HLOOKUP(VLOOKUP($AA$16,'Date SPV'!$B:$F,5,FALSE),'Preturi si tarife'!$C$2:$J$39,A143+2,FALSE)</f>
        <v>1.1509999999999999E-2</v>
      </c>
      <c r="Y143" s="692"/>
      <c r="Z143" s="692"/>
      <c r="AA143" s="693"/>
      <c r="AB143" s="690">
        <f t="shared" si="7"/>
        <v>3604.37</v>
      </c>
      <c r="AC143" s="690"/>
      <c r="AD143" s="690"/>
      <c r="AE143" s="690"/>
      <c r="AF143" s="690">
        <f t="shared" si="8"/>
        <v>684.83</v>
      </c>
      <c r="AG143" s="690"/>
      <c r="AH143" s="690"/>
      <c r="AI143" s="690"/>
      <c r="AJ143" s="690">
        <f t="shared" si="9"/>
        <v>4289.2</v>
      </c>
      <c r="AK143" s="690"/>
      <c r="AL143" s="690"/>
      <c r="AM143" s="690"/>
    </row>
    <row r="144" spans="1:39" ht="15.95" customHeight="1">
      <c r="A144" s="65">
        <f t="shared" si="10"/>
        <v>7</v>
      </c>
      <c r="B144" s="699" t="s">
        <v>75</v>
      </c>
      <c r="C144" s="700"/>
      <c r="D144" s="700"/>
      <c r="E144" s="700"/>
      <c r="F144" s="700"/>
      <c r="G144" s="700"/>
      <c r="H144" s="700"/>
      <c r="I144" s="700"/>
      <c r="J144" s="700"/>
      <c r="K144" s="701"/>
      <c r="L144" s="702">
        <f t="shared" si="11"/>
        <v>45778</v>
      </c>
      <c r="M144" s="702"/>
      <c r="N144" s="702"/>
      <c r="O144" s="702">
        <f t="shared" si="12"/>
        <v>45808</v>
      </c>
      <c r="P144" s="702"/>
      <c r="Q144" s="702"/>
      <c r="R144" s="690" cm="1">
        <f t="array" ref="R144">INDEX(verificare!$AT$4:$CC$26,VLOOKUP($AA$16,verificare!$AR$4:$AS$26,2,FALSE),A144)</f>
        <v>313151</v>
      </c>
      <c r="S144" s="690"/>
      <c r="T144" s="690"/>
      <c r="U144" s="690"/>
      <c r="V144" s="658" t="s">
        <v>446</v>
      </c>
      <c r="W144" s="658"/>
      <c r="X144" s="691">
        <f>HLOOKUP(VLOOKUP($AA$16,'Date SPV'!$B:$F,5,FALSE),'Preturi si tarife'!$C$2:$J$39,A144+2,FALSE)</f>
        <v>3.3030000000000004E-2</v>
      </c>
      <c r="Y144" s="692"/>
      <c r="Z144" s="692"/>
      <c r="AA144" s="693"/>
      <c r="AB144" s="690">
        <f t="shared" si="7"/>
        <v>10343.379999999999</v>
      </c>
      <c r="AC144" s="690"/>
      <c r="AD144" s="690"/>
      <c r="AE144" s="690"/>
      <c r="AF144" s="690">
        <f t="shared" si="8"/>
        <v>1965.24</v>
      </c>
      <c r="AG144" s="690"/>
      <c r="AH144" s="690"/>
      <c r="AI144" s="690"/>
      <c r="AJ144" s="690">
        <f t="shared" si="9"/>
        <v>12308.619999999999</v>
      </c>
      <c r="AK144" s="690"/>
      <c r="AL144" s="690"/>
      <c r="AM144" s="690"/>
    </row>
    <row r="145" spans="1:39" ht="15.95" customHeight="1">
      <c r="A145" s="65">
        <f t="shared" si="10"/>
        <v>8</v>
      </c>
      <c r="B145" s="699" t="s">
        <v>76</v>
      </c>
      <c r="C145" s="700"/>
      <c r="D145" s="700"/>
      <c r="E145" s="700"/>
      <c r="F145" s="700"/>
      <c r="G145" s="700"/>
      <c r="H145" s="700"/>
      <c r="I145" s="700"/>
      <c r="J145" s="700"/>
      <c r="K145" s="701"/>
      <c r="L145" s="702">
        <f t="shared" si="11"/>
        <v>45778</v>
      </c>
      <c r="M145" s="702"/>
      <c r="N145" s="702"/>
      <c r="O145" s="702">
        <f t="shared" si="12"/>
        <v>45808</v>
      </c>
      <c r="P145" s="702"/>
      <c r="Q145" s="702"/>
      <c r="R145" s="690" cm="1">
        <f t="array" ref="R145">INDEX(verificare!$AT$4:$CC$26,VLOOKUP($AA$16,verificare!$AR$4:$AS$26,2,FALSE),A145)</f>
        <v>313151</v>
      </c>
      <c r="S145" s="690"/>
      <c r="T145" s="690"/>
      <c r="U145" s="690"/>
      <c r="V145" s="658" t="s">
        <v>446</v>
      </c>
      <c r="W145" s="658"/>
      <c r="X145" s="691">
        <f>HLOOKUP(VLOOKUP($AA$16,'Date SPV'!$B:$F,5,FALSE),'Preturi si tarife'!$C$2:$J$39,A145+2,FALSE)</f>
        <v>3.29E-3</v>
      </c>
      <c r="Y145" s="692"/>
      <c r="Z145" s="692"/>
      <c r="AA145" s="693"/>
      <c r="AB145" s="690">
        <f t="shared" si="7"/>
        <v>1030.27</v>
      </c>
      <c r="AC145" s="690"/>
      <c r="AD145" s="690"/>
      <c r="AE145" s="690"/>
      <c r="AF145" s="690">
        <f t="shared" si="8"/>
        <v>195.75</v>
      </c>
      <c r="AG145" s="690"/>
      <c r="AH145" s="690"/>
      <c r="AI145" s="690"/>
      <c r="AJ145" s="690">
        <f t="shared" si="9"/>
        <v>1226.02</v>
      </c>
      <c r="AK145" s="690"/>
      <c r="AL145" s="690"/>
      <c r="AM145" s="690"/>
    </row>
    <row r="146" spans="1:39" ht="15.95" customHeight="1">
      <c r="A146" s="65">
        <f t="shared" si="10"/>
        <v>9</v>
      </c>
      <c r="B146" s="699" t="s">
        <v>77</v>
      </c>
      <c r="C146" s="700"/>
      <c r="D146" s="700"/>
      <c r="E146" s="700"/>
      <c r="F146" s="700"/>
      <c r="G146" s="700"/>
      <c r="H146" s="700"/>
      <c r="I146" s="700"/>
      <c r="J146" s="700"/>
      <c r="K146" s="701"/>
      <c r="L146" s="702">
        <f t="shared" si="11"/>
        <v>45778</v>
      </c>
      <c r="M146" s="702"/>
      <c r="N146" s="702"/>
      <c r="O146" s="702">
        <f t="shared" si="12"/>
        <v>45808</v>
      </c>
      <c r="P146" s="702"/>
      <c r="Q146" s="702"/>
      <c r="R146" s="690" cm="1">
        <f t="array" ref="R146">INDEX(verificare!$AT$4:$CC$26,VLOOKUP($AA$16,verificare!$AR$4:$AS$26,2,FALSE),A146)</f>
        <v>313151</v>
      </c>
      <c r="S146" s="690"/>
      <c r="T146" s="690"/>
      <c r="U146" s="690"/>
      <c r="V146" s="658" t="s">
        <v>446</v>
      </c>
      <c r="W146" s="658"/>
      <c r="X146" s="691">
        <f>HLOOKUP(VLOOKUP($AA$16,'Date SPV'!$B:$F,5,FALSE),'Preturi si tarife'!$C$2:$J$39,A146+2,FALSE)</f>
        <v>3.5000000000000001E-3</v>
      </c>
      <c r="Y146" s="692"/>
      <c r="Z146" s="692"/>
      <c r="AA146" s="693"/>
      <c r="AB146" s="690">
        <f t="shared" si="7"/>
        <v>1096.03</v>
      </c>
      <c r="AC146" s="690"/>
      <c r="AD146" s="690"/>
      <c r="AE146" s="690"/>
      <c r="AF146" s="690">
        <f t="shared" si="8"/>
        <v>208.25</v>
      </c>
      <c r="AG146" s="690"/>
      <c r="AH146" s="690"/>
      <c r="AI146" s="690"/>
      <c r="AJ146" s="690">
        <f t="shared" si="9"/>
        <v>1304.28</v>
      </c>
      <c r="AK146" s="690"/>
      <c r="AL146" s="690"/>
      <c r="AM146" s="690"/>
    </row>
    <row r="147" spans="1:39" ht="15.95" customHeight="1">
      <c r="A147" s="65">
        <f t="shared" si="10"/>
        <v>10</v>
      </c>
      <c r="B147" s="699" t="s">
        <v>78</v>
      </c>
      <c r="C147" s="700"/>
      <c r="D147" s="700"/>
      <c r="E147" s="700"/>
      <c r="F147" s="700"/>
      <c r="G147" s="700"/>
      <c r="H147" s="700"/>
      <c r="I147" s="700"/>
      <c r="J147" s="700"/>
      <c r="K147" s="701"/>
      <c r="L147" s="702">
        <f t="shared" si="11"/>
        <v>45778</v>
      </c>
      <c r="M147" s="702"/>
      <c r="N147" s="702"/>
      <c r="O147" s="702">
        <f t="shared" si="12"/>
        <v>45808</v>
      </c>
      <c r="P147" s="702"/>
      <c r="Q147" s="702"/>
      <c r="R147" s="690" cm="1">
        <f t="array" ref="R147">INDEX(verificare!$AT$4:$CC$26,VLOOKUP($AA$16,verificare!$AR$4:$AS$26,2,FALSE),A147)</f>
        <v>313151</v>
      </c>
      <c r="S147" s="690"/>
      <c r="T147" s="690"/>
      <c r="U147" s="690"/>
      <c r="V147" s="658" t="s">
        <v>446</v>
      </c>
      <c r="W147" s="658"/>
      <c r="X147" s="691">
        <f>HLOOKUP(VLOOKUP($AA$16,'Date SPV'!$B:$F,5,FALSE),'Preturi si tarife'!$C$2:$J$39,A147+2,FALSE)</f>
        <v>7.2541599999999998E-2</v>
      </c>
      <c r="Y147" s="692"/>
      <c r="Z147" s="692"/>
      <c r="AA147" s="693"/>
      <c r="AB147" s="690">
        <f t="shared" si="7"/>
        <v>22716.47</v>
      </c>
      <c r="AC147" s="690"/>
      <c r="AD147" s="690"/>
      <c r="AE147" s="690"/>
      <c r="AF147" s="690">
        <f t="shared" si="8"/>
        <v>4316.13</v>
      </c>
      <c r="AG147" s="690"/>
      <c r="AH147" s="690"/>
      <c r="AI147" s="690"/>
      <c r="AJ147" s="690">
        <f t="shared" si="9"/>
        <v>27032.600000000002</v>
      </c>
      <c r="AK147" s="690"/>
      <c r="AL147" s="690"/>
      <c r="AM147" s="690"/>
    </row>
    <row r="148" spans="1:39" ht="15.95" customHeight="1">
      <c r="A148" s="65">
        <f t="shared" si="10"/>
        <v>11</v>
      </c>
      <c r="B148" s="699" t="s">
        <v>1313</v>
      </c>
      <c r="C148" s="700"/>
      <c r="D148" s="700"/>
      <c r="E148" s="700"/>
      <c r="F148" s="700"/>
      <c r="G148" s="700"/>
      <c r="H148" s="700"/>
      <c r="I148" s="700"/>
      <c r="J148" s="700"/>
      <c r="K148" s="701"/>
      <c r="L148" s="702">
        <f t="shared" si="11"/>
        <v>45778</v>
      </c>
      <c r="M148" s="702"/>
      <c r="N148" s="702"/>
      <c r="O148" s="702">
        <f t="shared" si="12"/>
        <v>45808</v>
      </c>
      <c r="P148" s="702"/>
      <c r="Q148" s="702"/>
      <c r="R148" s="690" cm="1">
        <f t="array" ref="R148">INDEX(verificare!$AT$4:$CC$26,VLOOKUP($AA$16,verificare!$AR$4:$AS$26,2,FALSE),A148)</f>
        <v>313151</v>
      </c>
      <c r="S148" s="690"/>
      <c r="T148" s="690"/>
      <c r="U148" s="690"/>
      <c r="V148" s="658" t="s">
        <v>446</v>
      </c>
      <c r="W148" s="658"/>
      <c r="X148" s="691">
        <f>HLOOKUP(VLOOKUP($AA$16,'Date SPV'!$B:$F,5,FALSE),'Preturi si tarife'!$C$2:$J$39,A148+2,FALSE)</f>
        <v>2.0599999999999999E-4</v>
      </c>
      <c r="Y148" s="692"/>
      <c r="Z148" s="692"/>
      <c r="AA148" s="693"/>
      <c r="AB148" s="690">
        <f t="shared" si="7"/>
        <v>64.510000000000005</v>
      </c>
      <c r="AC148" s="690"/>
      <c r="AD148" s="690"/>
      <c r="AE148" s="690"/>
      <c r="AF148" s="690">
        <f t="shared" si="8"/>
        <v>12.26</v>
      </c>
      <c r="AG148" s="690"/>
      <c r="AH148" s="690"/>
      <c r="AI148" s="690"/>
      <c r="AJ148" s="690">
        <f t="shared" si="9"/>
        <v>76.77000000000001</v>
      </c>
      <c r="AK148" s="690"/>
      <c r="AL148" s="690"/>
      <c r="AM148" s="690"/>
    </row>
    <row r="149" spans="1:39" ht="15.95" customHeight="1">
      <c r="A149" s="65">
        <f t="shared" si="10"/>
        <v>12</v>
      </c>
      <c r="B149" s="699" t="s">
        <v>79</v>
      </c>
      <c r="C149" s="700"/>
      <c r="D149" s="700"/>
      <c r="E149" s="700"/>
      <c r="F149" s="700"/>
      <c r="G149" s="700"/>
      <c r="H149" s="700"/>
      <c r="I149" s="700"/>
      <c r="J149" s="700"/>
      <c r="K149" s="701"/>
      <c r="L149" s="702">
        <f>L147</f>
        <v>45778</v>
      </c>
      <c r="M149" s="702"/>
      <c r="N149" s="702"/>
      <c r="O149" s="702">
        <f>O147</f>
        <v>45808</v>
      </c>
      <c r="P149" s="702"/>
      <c r="Q149" s="702"/>
      <c r="R149" s="690" cm="1">
        <f t="array" ref="R149">INDEX(verificare!$AT$4:$CC$26,VLOOKUP($AA$16,verificare!$AR$4:$AS$26,2,FALSE),A149)</f>
        <v>313151</v>
      </c>
      <c r="S149" s="690"/>
      <c r="T149" s="690"/>
      <c r="U149" s="690"/>
      <c r="V149" s="658" t="s">
        <v>446</v>
      </c>
      <c r="W149" s="658"/>
      <c r="X149" s="691">
        <f>HLOOKUP(VLOOKUP($AA$16,'Date SPV'!$B:$F,5,FALSE),'Preturi si tarife'!$C$2:$J$39,A149+2,FALSE)</f>
        <v>0</v>
      </c>
      <c r="Y149" s="692"/>
      <c r="Z149" s="692"/>
      <c r="AA149" s="693"/>
      <c r="AB149" s="690">
        <f t="shared" si="7"/>
        <v>0</v>
      </c>
      <c r="AC149" s="690"/>
      <c r="AD149" s="690"/>
      <c r="AE149" s="690"/>
      <c r="AF149" s="690">
        <f t="shared" si="8"/>
        <v>0</v>
      </c>
      <c r="AG149" s="690"/>
      <c r="AH149" s="690"/>
      <c r="AI149" s="690"/>
      <c r="AJ149" s="690">
        <f t="shared" si="9"/>
        <v>0</v>
      </c>
      <c r="AK149" s="690"/>
      <c r="AL149" s="690"/>
      <c r="AM149" s="690"/>
    </row>
    <row r="150" spans="1:39" ht="15.95" customHeight="1">
      <c r="A150" s="65">
        <f t="shared" si="10"/>
        <v>13</v>
      </c>
      <c r="B150" s="699" t="s">
        <v>80</v>
      </c>
      <c r="C150" s="700"/>
      <c r="D150" s="700"/>
      <c r="E150" s="700"/>
      <c r="F150" s="700"/>
      <c r="G150" s="700"/>
      <c r="H150" s="700"/>
      <c r="I150" s="700"/>
      <c r="J150" s="700"/>
      <c r="K150" s="701"/>
      <c r="L150" s="702">
        <f t="shared" ref="L150:L155" si="13">L149</f>
        <v>45778</v>
      </c>
      <c r="M150" s="702"/>
      <c r="N150" s="702"/>
      <c r="O150" s="702">
        <f t="shared" ref="O150:O155" si="14">O149</f>
        <v>45808</v>
      </c>
      <c r="P150" s="702"/>
      <c r="Q150" s="702"/>
      <c r="R150" s="690" cm="1">
        <f t="array" ref="R150">INDEX(verificare!$AT$4:$CC$26,VLOOKUP($AA$16,verificare!$AR$4:$AS$26,2,FALSE),A150)</f>
        <v>313151</v>
      </c>
      <c r="S150" s="690"/>
      <c r="T150" s="690"/>
      <c r="U150" s="690"/>
      <c r="V150" s="658" t="s">
        <v>446</v>
      </c>
      <c r="W150" s="658"/>
      <c r="X150" s="691">
        <f>HLOOKUP(VLOOKUP($AA$16,'Date SPV'!$B:$F,5,FALSE),'Preturi si tarife'!$C$2:$J$39,A150+2,FALSE)</f>
        <v>1.3099999999999999E-2</v>
      </c>
      <c r="Y150" s="692"/>
      <c r="Z150" s="692"/>
      <c r="AA150" s="693"/>
      <c r="AB150" s="690">
        <f t="shared" si="7"/>
        <v>4102.28</v>
      </c>
      <c r="AC150" s="690"/>
      <c r="AD150" s="690"/>
      <c r="AE150" s="690"/>
      <c r="AF150" s="690">
        <f t="shared" si="8"/>
        <v>779.43</v>
      </c>
      <c r="AG150" s="690"/>
      <c r="AH150" s="690"/>
      <c r="AI150" s="690"/>
      <c r="AJ150" s="690">
        <f t="shared" si="9"/>
        <v>4881.71</v>
      </c>
      <c r="AK150" s="690"/>
      <c r="AL150" s="690"/>
      <c r="AM150" s="690"/>
    </row>
    <row r="151" spans="1:39" ht="15.95" customHeight="1">
      <c r="A151" s="65">
        <f t="shared" si="10"/>
        <v>14</v>
      </c>
      <c r="B151" s="699" t="s">
        <v>81</v>
      </c>
      <c r="C151" s="700"/>
      <c r="D151" s="700"/>
      <c r="E151" s="700"/>
      <c r="F151" s="700"/>
      <c r="G151" s="700"/>
      <c r="H151" s="700"/>
      <c r="I151" s="700"/>
      <c r="J151" s="700"/>
      <c r="K151" s="701"/>
      <c r="L151" s="702">
        <f t="shared" si="13"/>
        <v>45778</v>
      </c>
      <c r="M151" s="702"/>
      <c r="N151" s="702"/>
      <c r="O151" s="702">
        <f t="shared" si="14"/>
        <v>45808</v>
      </c>
      <c r="P151" s="702"/>
      <c r="Q151" s="702"/>
      <c r="R151" s="690" cm="1">
        <f t="array" ref="R151">INDEX(verificare!$AT$4:$CC$26,VLOOKUP($AA$16,verificare!$AR$4:$AS$26,2,FALSE),A151)</f>
        <v>313151</v>
      </c>
      <c r="S151" s="690"/>
      <c r="T151" s="690"/>
      <c r="U151" s="690"/>
      <c r="V151" s="658" t="s">
        <v>446</v>
      </c>
      <c r="W151" s="658"/>
      <c r="X151" s="691">
        <f>HLOOKUP(VLOOKUP($AA$16,'Date SPV'!$B:$F,5,FALSE),'Preturi si tarife'!$C$2:$J$39,A151+2,FALSE)</f>
        <v>0.10290000000000001</v>
      </c>
      <c r="Y151" s="692"/>
      <c r="Z151" s="692"/>
      <c r="AA151" s="693"/>
      <c r="AB151" s="690">
        <f t="shared" si="7"/>
        <v>32223.24</v>
      </c>
      <c r="AC151" s="690"/>
      <c r="AD151" s="690"/>
      <c r="AE151" s="690"/>
      <c r="AF151" s="690">
        <f t="shared" si="8"/>
        <v>6122.42</v>
      </c>
      <c r="AG151" s="690"/>
      <c r="AH151" s="690"/>
      <c r="AI151" s="690"/>
      <c r="AJ151" s="690">
        <f t="shared" si="9"/>
        <v>38345.660000000003</v>
      </c>
      <c r="AK151" s="690"/>
      <c r="AL151" s="690"/>
      <c r="AM151" s="690"/>
    </row>
    <row r="152" spans="1:39" ht="15.95" customHeight="1">
      <c r="A152" s="65">
        <f t="shared" si="10"/>
        <v>15</v>
      </c>
      <c r="B152" s="699" t="s">
        <v>82</v>
      </c>
      <c r="C152" s="700"/>
      <c r="D152" s="700"/>
      <c r="E152" s="700"/>
      <c r="F152" s="700"/>
      <c r="G152" s="700"/>
      <c r="H152" s="700"/>
      <c r="I152" s="700"/>
      <c r="J152" s="700"/>
      <c r="K152" s="701"/>
      <c r="L152" s="702">
        <f t="shared" si="13"/>
        <v>45778</v>
      </c>
      <c r="M152" s="702"/>
      <c r="N152" s="702"/>
      <c r="O152" s="702">
        <f t="shared" si="14"/>
        <v>45808</v>
      </c>
      <c r="P152" s="702"/>
      <c r="Q152" s="702"/>
      <c r="R152" s="690" cm="1">
        <f t="array" ref="R152">INDEX(verificare!$AT$4:$CC$26,VLOOKUP($AA$16,verificare!$AR$4:$AS$26,2,FALSE),A152)</f>
        <v>109278</v>
      </c>
      <c r="S152" s="690"/>
      <c r="T152" s="690"/>
      <c r="U152" s="690"/>
      <c r="V152" s="658" t="s">
        <v>446</v>
      </c>
      <c r="W152" s="658"/>
      <c r="X152" s="691">
        <f>HLOOKUP(VLOOKUP($AA$16,'Date SPV'!$B:$F,5,FALSE),'Preturi si tarife'!$C$2:$J$39,A152+2,FALSE)</f>
        <v>0.9485576</v>
      </c>
      <c r="Y152" s="692"/>
      <c r="Z152" s="692"/>
      <c r="AA152" s="693"/>
      <c r="AB152" s="690">
        <f t="shared" si="7"/>
        <v>103656.48</v>
      </c>
      <c r="AC152" s="690"/>
      <c r="AD152" s="690"/>
      <c r="AE152" s="690"/>
      <c r="AF152" s="690">
        <f t="shared" si="8"/>
        <v>19694.73</v>
      </c>
      <c r="AG152" s="690"/>
      <c r="AH152" s="690"/>
      <c r="AI152" s="690"/>
      <c r="AJ152" s="690">
        <f t="shared" si="9"/>
        <v>123351.20999999999</v>
      </c>
      <c r="AK152" s="690"/>
      <c r="AL152" s="690"/>
      <c r="AM152" s="690"/>
    </row>
    <row r="153" spans="1:39" ht="15.95" customHeight="1">
      <c r="A153" s="65">
        <f t="shared" si="10"/>
        <v>16</v>
      </c>
      <c r="B153" s="699" t="s">
        <v>83</v>
      </c>
      <c r="C153" s="700"/>
      <c r="D153" s="700"/>
      <c r="E153" s="700"/>
      <c r="F153" s="700"/>
      <c r="G153" s="700"/>
      <c r="H153" s="700"/>
      <c r="I153" s="700"/>
      <c r="J153" s="700"/>
      <c r="K153" s="701"/>
      <c r="L153" s="702">
        <f t="shared" si="13"/>
        <v>45778</v>
      </c>
      <c r="M153" s="702"/>
      <c r="N153" s="702"/>
      <c r="O153" s="702">
        <f t="shared" si="14"/>
        <v>45808</v>
      </c>
      <c r="P153" s="702"/>
      <c r="Q153" s="702"/>
      <c r="R153" s="690" cm="1">
        <f t="array" ref="R153">INDEX(verificare!$AT$4:$CC$26,VLOOKUP($AA$16,verificare!$AR$4:$AS$26,2,FALSE),A153)</f>
        <v>16684</v>
      </c>
      <c r="S153" s="690"/>
      <c r="T153" s="690"/>
      <c r="U153" s="690"/>
      <c r="V153" s="658" t="s">
        <v>446</v>
      </c>
      <c r="W153" s="658"/>
      <c r="X153" s="691">
        <f>HLOOKUP(VLOOKUP($AA$16,'Date SPV'!$B:$F,5,FALSE),'Preturi si tarife'!$C$2:$J$39,A153+2,FALSE)</f>
        <v>0.83255760000000001</v>
      </c>
      <c r="Y153" s="692"/>
      <c r="Z153" s="692"/>
      <c r="AA153" s="693"/>
      <c r="AB153" s="690">
        <f t="shared" si="7"/>
        <v>13890.39</v>
      </c>
      <c r="AC153" s="690"/>
      <c r="AD153" s="690"/>
      <c r="AE153" s="690"/>
      <c r="AF153" s="690">
        <f t="shared" si="8"/>
        <v>2639.17</v>
      </c>
      <c r="AG153" s="690"/>
      <c r="AH153" s="690"/>
      <c r="AI153" s="690"/>
      <c r="AJ153" s="690">
        <f t="shared" si="9"/>
        <v>16529.559999999998</v>
      </c>
      <c r="AK153" s="690"/>
      <c r="AL153" s="690"/>
      <c r="AM153" s="690"/>
    </row>
    <row r="154" spans="1:39" ht="15.95" customHeight="1">
      <c r="A154" s="65">
        <f t="shared" si="10"/>
        <v>17</v>
      </c>
      <c r="B154" s="699" t="s">
        <v>1129</v>
      </c>
      <c r="C154" s="700"/>
      <c r="D154" s="700"/>
      <c r="E154" s="700"/>
      <c r="F154" s="700"/>
      <c r="G154" s="700"/>
      <c r="H154" s="700"/>
      <c r="I154" s="700"/>
      <c r="J154" s="700"/>
      <c r="K154" s="701"/>
      <c r="L154" s="702">
        <f t="shared" si="13"/>
        <v>45778</v>
      </c>
      <c r="M154" s="702"/>
      <c r="N154" s="702"/>
      <c r="O154" s="702">
        <f t="shared" si="14"/>
        <v>45808</v>
      </c>
      <c r="P154" s="702"/>
      <c r="Q154" s="702"/>
      <c r="R154" s="690" cm="1">
        <f t="array" ref="R154">INDEX(verificare!$AT$4:$CC$26,VLOOKUP($AA$16,verificare!$AR$4:$AS$26,2,FALSE),A154)</f>
        <v>16684</v>
      </c>
      <c r="S154" s="690"/>
      <c r="T154" s="690"/>
      <c r="U154" s="690"/>
      <c r="V154" s="658" t="s">
        <v>446</v>
      </c>
      <c r="W154" s="658"/>
      <c r="X154" s="691">
        <f>HLOOKUP(VLOOKUP($AA$16,'Date SPV'!$B:$F,5,FALSE),'Preturi si tarife'!$C$2:$J$39,A154+2,FALSE)</f>
        <v>1.3099999999999999E-2</v>
      </c>
      <c r="Y154" s="692"/>
      <c r="Z154" s="692"/>
      <c r="AA154" s="693"/>
      <c r="AB154" s="690">
        <f t="shared" si="7"/>
        <v>218.56</v>
      </c>
      <c r="AC154" s="690"/>
      <c r="AD154" s="690"/>
      <c r="AE154" s="690"/>
      <c r="AF154" s="690">
        <f t="shared" si="8"/>
        <v>41.53</v>
      </c>
      <c r="AG154" s="690"/>
      <c r="AH154" s="690"/>
      <c r="AI154" s="690"/>
      <c r="AJ154" s="690">
        <f t="shared" si="9"/>
        <v>260.09000000000003</v>
      </c>
      <c r="AK154" s="690"/>
      <c r="AL154" s="690"/>
      <c r="AM154" s="690"/>
    </row>
    <row r="155" spans="1:39" ht="15.95" customHeight="1">
      <c r="A155" s="65">
        <f t="shared" si="10"/>
        <v>18</v>
      </c>
      <c r="B155" s="699" t="s">
        <v>1130</v>
      </c>
      <c r="C155" s="700"/>
      <c r="D155" s="700"/>
      <c r="E155" s="700"/>
      <c r="F155" s="700"/>
      <c r="G155" s="700"/>
      <c r="H155" s="700"/>
      <c r="I155" s="700"/>
      <c r="J155" s="700"/>
      <c r="K155" s="701"/>
      <c r="L155" s="702">
        <f t="shared" si="13"/>
        <v>45778</v>
      </c>
      <c r="M155" s="702"/>
      <c r="N155" s="702"/>
      <c r="O155" s="702">
        <f t="shared" si="14"/>
        <v>45808</v>
      </c>
      <c r="P155" s="702"/>
      <c r="Q155" s="702"/>
      <c r="R155" s="690" cm="1">
        <f t="array" ref="R155">INDEX(verificare!$AT$4:$CC$26,VLOOKUP($AA$16,verificare!$AR$4:$AS$26,2,FALSE),A155)</f>
        <v>16684</v>
      </c>
      <c r="S155" s="690"/>
      <c r="T155" s="690"/>
      <c r="U155" s="690"/>
      <c r="V155" s="658" t="s">
        <v>446</v>
      </c>
      <c r="W155" s="658"/>
      <c r="X155" s="691">
        <f>HLOOKUP(VLOOKUP($AA$16,'Date SPV'!$B:$F,5,FALSE),'Preturi si tarife'!$C$2:$J$39,A155+2,FALSE)</f>
        <v>0.10290000000000001</v>
      </c>
      <c r="Y155" s="692"/>
      <c r="Z155" s="692"/>
      <c r="AA155" s="693"/>
      <c r="AB155" s="690">
        <f t="shared" si="7"/>
        <v>1716.78</v>
      </c>
      <c r="AC155" s="690"/>
      <c r="AD155" s="690"/>
      <c r="AE155" s="690"/>
      <c r="AF155" s="690">
        <f t="shared" si="8"/>
        <v>326.19</v>
      </c>
      <c r="AG155" s="690"/>
      <c r="AH155" s="690"/>
      <c r="AI155" s="690"/>
      <c r="AJ155" s="690">
        <f t="shared" si="9"/>
        <v>2042.97</v>
      </c>
      <c r="AK155" s="690"/>
      <c r="AL155" s="690"/>
      <c r="AM155" s="690"/>
    </row>
    <row r="156" spans="1:39" ht="15.95" customHeight="1">
      <c r="A156" s="65">
        <f t="shared" si="10"/>
        <v>19</v>
      </c>
      <c r="B156" s="699" t="s">
        <v>99</v>
      </c>
      <c r="C156" s="700"/>
      <c r="D156" s="700"/>
      <c r="E156" s="700"/>
      <c r="F156" s="700"/>
      <c r="G156" s="700"/>
      <c r="H156" s="700"/>
      <c r="I156" s="700"/>
      <c r="J156" s="700"/>
      <c r="K156" s="701"/>
      <c r="L156" s="702">
        <f>'Date masura OD'!$W$5</f>
        <v>45748</v>
      </c>
      <c r="M156" s="702"/>
      <c r="N156" s="702"/>
      <c r="O156" s="702">
        <f>'Date masura OD'!$X$5</f>
        <v>45777</v>
      </c>
      <c r="P156" s="702"/>
      <c r="Q156" s="702"/>
      <c r="R156" s="690" cm="1">
        <f t="array" ref="R156">INDEX(verificare!$AT$4:$CC$26,VLOOKUP($AA$16,verificare!$AR$4:$AS$26,2,FALSE),A156)</f>
        <v>0</v>
      </c>
      <c r="S156" s="690"/>
      <c r="T156" s="690"/>
      <c r="U156" s="690"/>
      <c r="V156" s="658" t="s">
        <v>446</v>
      </c>
      <c r="W156" s="658"/>
      <c r="X156" s="691">
        <f>HLOOKUP(VLOOKUP($AA$16,'Date SPV'!$B:$F,5,FALSE),'Preturi si tarife'!$C$2:$J$39,A156+2,FALSE)</f>
        <v>0.59499999999999997</v>
      </c>
      <c r="Y156" s="692"/>
      <c r="Z156" s="692"/>
      <c r="AA156" s="693"/>
      <c r="AB156" s="690">
        <f t="shared" si="7"/>
        <v>0</v>
      </c>
      <c r="AC156" s="690"/>
      <c r="AD156" s="690"/>
      <c r="AE156" s="690"/>
      <c r="AF156" s="690">
        <f t="shared" si="8"/>
        <v>0</v>
      </c>
      <c r="AG156" s="690"/>
      <c r="AH156" s="690"/>
      <c r="AI156" s="690"/>
      <c r="AJ156" s="690">
        <f t="shared" si="9"/>
        <v>0</v>
      </c>
      <c r="AK156" s="690"/>
      <c r="AL156" s="690"/>
      <c r="AM156" s="690"/>
    </row>
    <row r="157" spans="1:39" ht="15.95" customHeight="1">
      <c r="A157" s="65">
        <f t="shared" si="10"/>
        <v>20</v>
      </c>
      <c r="B157" s="699" t="s">
        <v>100</v>
      </c>
      <c r="C157" s="700"/>
      <c r="D157" s="700"/>
      <c r="E157" s="700"/>
      <c r="F157" s="700"/>
      <c r="G157" s="700"/>
      <c r="H157" s="700"/>
      <c r="I157" s="700"/>
      <c r="J157" s="700"/>
      <c r="K157" s="701"/>
      <c r="L157" s="702">
        <f>L156</f>
        <v>45748</v>
      </c>
      <c r="M157" s="702"/>
      <c r="N157" s="702"/>
      <c r="O157" s="702">
        <f t="shared" ref="O157:O166" si="15">O156</f>
        <v>45777</v>
      </c>
      <c r="P157" s="702"/>
      <c r="Q157" s="702"/>
      <c r="R157" s="690" cm="1">
        <f t="array" ref="R157">INDEX(verificare!$AT$4:$CC$26,VLOOKUP($AA$16,verificare!$AR$4:$AS$26,2,FALSE),A157)</f>
        <v>382</v>
      </c>
      <c r="S157" s="690"/>
      <c r="T157" s="690"/>
      <c r="U157" s="690"/>
      <c r="V157" s="658" t="s">
        <v>727</v>
      </c>
      <c r="W157" s="658"/>
      <c r="X157" s="691">
        <f>HLOOKUP(VLOOKUP($AA$16,'Date SPV'!$B:$F,5,FALSE),'Preturi si tarife'!$C$2:$J$39,A157+2,FALSE)</f>
        <v>0.14660000000000001</v>
      </c>
      <c r="Y157" s="692"/>
      <c r="Z157" s="692"/>
      <c r="AA157" s="693"/>
      <c r="AB157" s="690">
        <f t="shared" si="7"/>
        <v>56</v>
      </c>
      <c r="AC157" s="690"/>
      <c r="AD157" s="690"/>
      <c r="AE157" s="690"/>
      <c r="AF157" s="690">
        <f t="shared" si="8"/>
        <v>10.64</v>
      </c>
      <c r="AG157" s="690"/>
      <c r="AH157" s="690"/>
      <c r="AI157" s="690"/>
      <c r="AJ157" s="690">
        <f t="shared" si="9"/>
        <v>66.64</v>
      </c>
      <c r="AK157" s="690"/>
      <c r="AL157" s="690"/>
      <c r="AM157" s="690"/>
    </row>
    <row r="158" spans="1:39" ht="30.95" customHeight="1">
      <c r="A158" s="65">
        <f t="shared" si="10"/>
        <v>21</v>
      </c>
      <c r="B158" s="699" t="s">
        <v>101</v>
      </c>
      <c r="C158" s="700"/>
      <c r="D158" s="700"/>
      <c r="E158" s="700"/>
      <c r="F158" s="700"/>
      <c r="G158" s="700"/>
      <c r="H158" s="700"/>
      <c r="I158" s="700"/>
      <c r="J158" s="700"/>
      <c r="K158" s="701"/>
      <c r="L158" s="702">
        <f t="shared" ref="L158:L166" si="16">L157</f>
        <v>45748</v>
      </c>
      <c r="M158" s="702"/>
      <c r="N158" s="702"/>
      <c r="O158" s="702">
        <f t="shared" si="15"/>
        <v>45777</v>
      </c>
      <c r="P158" s="702"/>
      <c r="Q158" s="702"/>
      <c r="R158" s="690" cm="1">
        <f t="array" ref="R158">INDEX(verificare!$AT$4:$CC$26,VLOOKUP($AA$16,verificare!$AR$4:$AS$26,2,FALSE),A158)</f>
        <v>65</v>
      </c>
      <c r="S158" s="690"/>
      <c r="T158" s="690"/>
      <c r="U158" s="690"/>
      <c r="V158" s="658" t="s">
        <v>727</v>
      </c>
      <c r="W158" s="658"/>
      <c r="X158" s="691">
        <f>HLOOKUP(VLOOKUP($AA$16,'Date SPV'!$B:$F,5,FALSE),'Preturi si tarife'!$C$2:$J$39,A158+2,FALSE)</f>
        <v>0.43980000000000002</v>
      </c>
      <c r="Y158" s="692"/>
      <c r="Z158" s="692"/>
      <c r="AA158" s="693"/>
      <c r="AB158" s="690">
        <f t="shared" si="7"/>
        <v>28.59</v>
      </c>
      <c r="AC158" s="690"/>
      <c r="AD158" s="690"/>
      <c r="AE158" s="690"/>
      <c r="AF158" s="690">
        <f t="shared" si="8"/>
        <v>5.43</v>
      </c>
      <c r="AG158" s="690"/>
      <c r="AH158" s="690"/>
      <c r="AI158" s="690"/>
      <c r="AJ158" s="690">
        <f t="shared" si="9"/>
        <v>34.019999999999996</v>
      </c>
      <c r="AK158" s="690"/>
      <c r="AL158" s="690"/>
      <c r="AM158" s="690"/>
    </row>
    <row r="159" spans="1:39" ht="15.95" customHeight="1">
      <c r="A159" s="65">
        <f t="shared" si="10"/>
        <v>22</v>
      </c>
      <c r="B159" s="699" t="s">
        <v>869</v>
      </c>
      <c r="C159" s="700"/>
      <c r="D159" s="700"/>
      <c r="E159" s="700"/>
      <c r="F159" s="700"/>
      <c r="G159" s="700"/>
      <c r="H159" s="700"/>
      <c r="I159" s="700"/>
      <c r="J159" s="700"/>
      <c r="K159" s="701"/>
      <c r="L159" s="702">
        <f t="shared" si="16"/>
        <v>45748</v>
      </c>
      <c r="M159" s="702"/>
      <c r="N159" s="702"/>
      <c r="O159" s="702">
        <f t="shared" si="15"/>
        <v>45777</v>
      </c>
      <c r="P159" s="702"/>
      <c r="Q159" s="702"/>
      <c r="R159" s="690" cm="1">
        <f t="array" ref="R159">INDEX(verificare!$AT$4:$CC$26,VLOOKUP($AA$16,verificare!$AR$4:$AS$26,2,FALSE),A159)</f>
        <v>0</v>
      </c>
      <c r="S159" s="690"/>
      <c r="T159" s="690"/>
      <c r="U159" s="690"/>
      <c r="V159" s="658" t="s">
        <v>446</v>
      </c>
      <c r="W159" s="658"/>
      <c r="X159" s="691">
        <f>HLOOKUP(VLOOKUP($AA$16,'Date SPV'!$B:$F,5,FALSE),'Preturi si tarife'!$C$2:$J$39,A159+2,FALSE)</f>
        <v>0.11348</v>
      </c>
      <c r="Y159" s="692"/>
      <c r="Z159" s="692"/>
      <c r="AA159" s="693"/>
      <c r="AB159" s="690">
        <f t="shared" si="7"/>
        <v>0</v>
      </c>
      <c r="AC159" s="690"/>
      <c r="AD159" s="690"/>
      <c r="AE159" s="690"/>
      <c r="AF159" s="690">
        <f t="shared" si="8"/>
        <v>0</v>
      </c>
      <c r="AG159" s="690"/>
      <c r="AH159" s="690"/>
      <c r="AI159" s="690"/>
      <c r="AJ159" s="690">
        <f t="shared" si="9"/>
        <v>0</v>
      </c>
      <c r="AK159" s="690"/>
      <c r="AL159" s="690"/>
      <c r="AM159" s="690"/>
    </row>
    <row r="160" spans="1:39" ht="15.95" customHeight="1">
      <c r="A160" s="65">
        <f t="shared" si="10"/>
        <v>23</v>
      </c>
      <c r="B160" s="699" t="s">
        <v>758</v>
      </c>
      <c r="C160" s="700"/>
      <c r="D160" s="700"/>
      <c r="E160" s="700"/>
      <c r="F160" s="700"/>
      <c r="G160" s="700"/>
      <c r="H160" s="700"/>
      <c r="I160" s="700"/>
      <c r="J160" s="700"/>
      <c r="K160" s="701"/>
      <c r="L160" s="702">
        <f t="shared" si="16"/>
        <v>45748</v>
      </c>
      <c r="M160" s="702"/>
      <c r="N160" s="702"/>
      <c r="O160" s="702">
        <f t="shared" si="15"/>
        <v>45777</v>
      </c>
      <c r="P160" s="702"/>
      <c r="Q160" s="702"/>
      <c r="R160" s="690" cm="1">
        <f t="array" ref="R160">INDEX(verificare!$AT$4:$CC$26,VLOOKUP($AA$16,verificare!$AR$4:$AS$26,2,FALSE),A160)</f>
        <v>0</v>
      </c>
      <c r="S160" s="690"/>
      <c r="T160" s="690"/>
      <c r="U160" s="690"/>
      <c r="V160" s="658" t="s">
        <v>446</v>
      </c>
      <c r="W160" s="658"/>
      <c r="X160" s="691">
        <f>HLOOKUP(VLOOKUP($AA$16,'Date SPV'!$B:$F,5,FALSE),'Preturi si tarife'!$C$2:$J$39,A160+2,FALSE)</f>
        <v>0.23974999999999999</v>
      </c>
      <c r="Y160" s="692"/>
      <c r="Z160" s="692"/>
      <c r="AA160" s="693"/>
      <c r="AB160" s="690">
        <f t="shared" si="7"/>
        <v>0</v>
      </c>
      <c r="AC160" s="690"/>
      <c r="AD160" s="690"/>
      <c r="AE160" s="690"/>
      <c r="AF160" s="690">
        <f t="shared" si="8"/>
        <v>0</v>
      </c>
      <c r="AG160" s="690"/>
      <c r="AH160" s="690"/>
      <c r="AI160" s="690"/>
      <c r="AJ160" s="690">
        <f t="shared" si="9"/>
        <v>0</v>
      </c>
      <c r="AK160" s="690"/>
      <c r="AL160" s="690"/>
      <c r="AM160" s="690"/>
    </row>
    <row r="161" spans="1:39" ht="30.95" customHeight="1">
      <c r="A161" s="65">
        <f t="shared" si="10"/>
        <v>24</v>
      </c>
      <c r="B161" s="699" t="s">
        <v>102</v>
      </c>
      <c r="C161" s="700"/>
      <c r="D161" s="700"/>
      <c r="E161" s="700"/>
      <c r="F161" s="700"/>
      <c r="G161" s="700"/>
      <c r="H161" s="700"/>
      <c r="I161" s="700"/>
      <c r="J161" s="700"/>
      <c r="K161" s="701"/>
      <c r="L161" s="702">
        <f t="shared" si="16"/>
        <v>45748</v>
      </c>
      <c r="M161" s="702"/>
      <c r="N161" s="702"/>
      <c r="O161" s="702">
        <f t="shared" si="15"/>
        <v>45777</v>
      </c>
      <c r="P161" s="702"/>
      <c r="Q161" s="702"/>
      <c r="R161" s="690" cm="1">
        <f t="array" ref="R161">INDEX(verificare!$AT$4:$CC$26,VLOOKUP($AA$16,verificare!$AR$4:$AS$26,2,FALSE),A161)</f>
        <v>0</v>
      </c>
      <c r="S161" s="690"/>
      <c r="T161" s="690"/>
      <c r="U161" s="690"/>
      <c r="V161" s="658" t="s">
        <v>446</v>
      </c>
      <c r="W161" s="658"/>
      <c r="X161" s="691">
        <f>HLOOKUP(VLOOKUP($AA$16,'Date SPV'!$B:$F,5,FALSE),'Preturi si tarife'!$C$2:$J$39,A161+2,FALSE)</f>
        <v>1.1509999999999999E-2</v>
      </c>
      <c r="Y161" s="692"/>
      <c r="Z161" s="692"/>
      <c r="AA161" s="693"/>
      <c r="AB161" s="690">
        <f t="shared" si="7"/>
        <v>0</v>
      </c>
      <c r="AC161" s="690"/>
      <c r="AD161" s="690"/>
      <c r="AE161" s="690"/>
      <c r="AF161" s="690">
        <f t="shared" si="8"/>
        <v>0</v>
      </c>
      <c r="AG161" s="690"/>
      <c r="AH161" s="690"/>
      <c r="AI161" s="690"/>
      <c r="AJ161" s="690">
        <f t="shared" si="9"/>
        <v>0</v>
      </c>
      <c r="AK161" s="690"/>
      <c r="AL161" s="690"/>
      <c r="AM161" s="690"/>
    </row>
    <row r="162" spans="1:39" ht="30.95" customHeight="1">
      <c r="A162" s="65">
        <f t="shared" si="10"/>
        <v>25</v>
      </c>
      <c r="B162" s="699" t="s">
        <v>103</v>
      </c>
      <c r="C162" s="700"/>
      <c r="D162" s="700"/>
      <c r="E162" s="700"/>
      <c r="F162" s="700"/>
      <c r="G162" s="700"/>
      <c r="H162" s="700"/>
      <c r="I162" s="700"/>
      <c r="J162" s="700"/>
      <c r="K162" s="701"/>
      <c r="L162" s="702">
        <f t="shared" si="16"/>
        <v>45748</v>
      </c>
      <c r="M162" s="702"/>
      <c r="N162" s="702"/>
      <c r="O162" s="702">
        <f t="shared" si="15"/>
        <v>45777</v>
      </c>
      <c r="P162" s="702"/>
      <c r="Q162" s="702"/>
      <c r="R162" s="690" cm="1">
        <f t="array" ref="R162">INDEX(verificare!$AT$4:$CC$26,VLOOKUP($AA$16,verificare!$AR$4:$AS$26,2,FALSE),A162)</f>
        <v>0</v>
      </c>
      <c r="S162" s="690"/>
      <c r="T162" s="690"/>
      <c r="U162" s="690"/>
      <c r="V162" s="658" t="s">
        <v>446</v>
      </c>
      <c r="W162" s="658"/>
      <c r="X162" s="691">
        <f>HLOOKUP(VLOOKUP($AA$16,'Date SPV'!$B:$F,5,FALSE),'Preturi si tarife'!$C$2:$J$39,A162+2,FALSE)</f>
        <v>3.3030000000000004E-2</v>
      </c>
      <c r="Y162" s="692"/>
      <c r="Z162" s="692"/>
      <c r="AA162" s="693"/>
      <c r="AB162" s="690">
        <f t="shared" si="7"/>
        <v>0</v>
      </c>
      <c r="AC162" s="690"/>
      <c r="AD162" s="690"/>
      <c r="AE162" s="690"/>
      <c r="AF162" s="690">
        <f t="shared" si="8"/>
        <v>0</v>
      </c>
      <c r="AG162" s="690"/>
      <c r="AH162" s="690"/>
      <c r="AI162" s="690"/>
      <c r="AJ162" s="690">
        <f t="shared" si="9"/>
        <v>0</v>
      </c>
      <c r="AK162" s="690"/>
      <c r="AL162" s="690"/>
      <c r="AM162" s="690"/>
    </row>
    <row r="163" spans="1:39" ht="30.95" customHeight="1">
      <c r="A163" s="65">
        <f t="shared" si="10"/>
        <v>26</v>
      </c>
      <c r="B163" s="699" t="s">
        <v>104</v>
      </c>
      <c r="C163" s="700"/>
      <c r="D163" s="700"/>
      <c r="E163" s="700"/>
      <c r="F163" s="700"/>
      <c r="G163" s="700"/>
      <c r="H163" s="700"/>
      <c r="I163" s="700"/>
      <c r="J163" s="700"/>
      <c r="K163" s="701"/>
      <c r="L163" s="702">
        <f t="shared" si="16"/>
        <v>45748</v>
      </c>
      <c r="M163" s="702"/>
      <c r="N163" s="702"/>
      <c r="O163" s="702">
        <f t="shared" si="15"/>
        <v>45777</v>
      </c>
      <c r="P163" s="702"/>
      <c r="Q163" s="702"/>
      <c r="R163" s="690" cm="1">
        <f t="array" ref="R163">INDEX(verificare!$AT$4:$CC$26,VLOOKUP($AA$16,verificare!$AR$4:$AS$26,2,FALSE),A163)</f>
        <v>0</v>
      </c>
      <c r="S163" s="690"/>
      <c r="T163" s="690"/>
      <c r="U163" s="690"/>
      <c r="V163" s="658" t="s">
        <v>446</v>
      </c>
      <c r="W163" s="658"/>
      <c r="X163" s="691">
        <f>HLOOKUP(VLOOKUP($AA$16,'Date SPV'!$B:$F,5,FALSE),'Preturi si tarife'!$C$2:$J$39,A163+2,FALSE)</f>
        <v>3.29E-3</v>
      </c>
      <c r="Y163" s="692"/>
      <c r="Z163" s="692"/>
      <c r="AA163" s="693"/>
      <c r="AB163" s="690">
        <f t="shared" si="7"/>
        <v>0</v>
      </c>
      <c r="AC163" s="690"/>
      <c r="AD163" s="690"/>
      <c r="AE163" s="690"/>
      <c r="AF163" s="690">
        <f t="shared" si="8"/>
        <v>0</v>
      </c>
      <c r="AG163" s="690"/>
      <c r="AH163" s="690"/>
      <c r="AI163" s="690"/>
      <c r="AJ163" s="690">
        <f t="shared" si="9"/>
        <v>0</v>
      </c>
      <c r="AK163" s="690"/>
      <c r="AL163" s="690"/>
      <c r="AM163" s="690"/>
    </row>
    <row r="164" spans="1:39" ht="15.95" customHeight="1">
      <c r="A164" s="65">
        <f t="shared" si="10"/>
        <v>27</v>
      </c>
      <c r="B164" s="699" t="s">
        <v>105</v>
      </c>
      <c r="C164" s="700"/>
      <c r="D164" s="700"/>
      <c r="E164" s="700"/>
      <c r="F164" s="700"/>
      <c r="G164" s="700"/>
      <c r="H164" s="700"/>
      <c r="I164" s="700"/>
      <c r="J164" s="700"/>
      <c r="K164" s="701"/>
      <c r="L164" s="702">
        <f t="shared" si="16"/>
        <v>45748</v>
      </c>
      <c r="M164" s="702"/>
      <c r="N164" s="702"/>
      <c r="O164" s="702">
        <f t="shared" si="15"/>
        <v>45777</v>
      </c>
      <c r="P164" s="702"/>
      <c r="Q164" s="702"/>
      <c r="R164" s="690" cm="1">
        <f t="array" ref="R164">INDEX(verificare!$AT$4:$CC$26,VLOOKUP($AA$16,verificare!$AR$4:$AS$26,2,FALSE),A164)</f>
        <v>0</v>
      </c>
      <c r="S164" s="690"/>
      <c r="T164" s="690"/>
      <c r="U164" s="690"/>
      <c r="V164" s="658" t="s">
        <v>446</v>
      </c>
      <c r="W164" s="658"/>
      <c r="X164" s="691">
        <f>HLOOKUP(VLOOKUP($AA$16,'Date SPV'!$B:$F,5,FALSE),'Preturi si tarife'!$C$2:$J$39,A164+2,FALSE)</f>
        <v>3.5000000000000001E-3</v>
      </c>
      <c r="Y164" s="692"/>
      <c r="Z164" s="692"/>
      <c r="AA164" s="693"/>
      <c r="AB164" s="690">
        <f t="shared" si="7"/>
        <v>0</v>
      </c>
      <c r="AC164" s="690"/>
      <c r="AD164" s="690"/>
      <c r="AE164" s="690"/>
      <c r="AF164" s="690">
        <f t="shared" si="8"/>
        <v>0</v>
      </c>
      <c r="AG164" s="690"/>
      <c r="AH164" s="690"/>
      <c r="AI164" s="690"/>
      <c r="AJ164" s="690">
        <f t="shared" si="9"/>
        <v>0</v>
      </c>
      <c r="AK164" s="690"/>
      <c r="AL164" s="690"/>
      <c r="AM164" s="690"/>
    </row>
    <row r="165" spans="1:39" ht="15.95" customHeight="1">
      <c r="A165" s="65">
        <f t="shared" si="10"/>
        <v>28</v>
      </c>
      <c r="B165" s="699" t="s">
        <v>106</v>
      </c>
      <c r="C165" s="700"/>
      <c r="D165" s="700"/>
      <c r="E165" s="700"/>
      <c r="F165" s="700"/>
      <c r="G165" s="700"/>
      <c r="H165" s="700"/>
      <c r="I165" s="700"/>
      <c r="J165" s="700"/>
      <c r="K165" s="701"/>
      <c r="L165" s="702">
        <f t="shared" si="16"/>
        <v>45748</v>
      </c>
      <c r="M165" s="702"/>
      <c r="N165" s="702"/>
      <c r="O165" s="702">
        <f t="shared" si="15"/>
        <v>45777</v>
      </c>
      <c r="P165" s="702"/>
      <c r="Q165" s="702"/>
      <c r="R165" s="690" cm="1">
        <f t="array" ref="R165">INDEX(verificare!$AT$4:$CC$26,VLOOKUP($AA$16,verificare!$AR$4:$AS$26,2,FALSE),A165)</f>
        <v>0</v>
      </c>
      <c r="S165" s="690"/>
      <c r="T165" s="690"/>
      <c r="U165" s="690"/>
      <c r="V165" s="658" t="s">
        <v>446</v>
      </c>
      <c r="W165" s="658"/>
      <c r="X165" s="691">
        <f>HLOOKUP(VLOOKUP($AA$16,'Date SPV'!$B:$F,5,FALSE),'Preturi si tarife'!$C$2:$J$39,A165+2,FALSE)</f>
        <v>7.2541599999999998E-2</v>
      </c>
      <c r="Y165" s="692"/>
      <c r="Z165" s="692"/>
      <c r="AA165" s="693"/>
      <c r="AB165" s="690">
        <f t="shared" si="7"/>
        <v>0</v>
      </c>
      <c r="AC165" s="690"/>
      <c r="AD165" s="690"/>
      <c r="AE165" s="690"/>
      <c r="AF165" s="690">
        <f t="shared" si="8"/>
        <v>0</v>
      </c>
      <c r="AG165" s="690"/>
      <c r="AH165" s="690"/>
      <c r="AI165" s="690"/>
      <c r="AJ165" s="690">
        <f t="shared" si="9"/>
        <v>0</v>
      </c>
      <c r="AK165" s="690"/>
      <c r="AL165" s="690"/>
      <c r="AM165" s="690"/>
    </row>
    <row r="166" spans="1:39" ht="30.95" customHeight="1">
      <c r="A166" s="65">
        <f t="shared" si="10"/>
        <v>29</v>
      </c>
      <c r="B166" s="699" t="s">
        <v>1316</v>
      </c>
      <c r="C166" s="700"/>
      <c r="D166" s="700"/>
      <c r="E166" s="700"/>
      <c r="F166" s="700"/>
      <c r="G166" s="700"/>
      <c r="H166" s="700"/>
      <c r="I166" s="700"/>
      <c r="J166" s="700"/>
      <c r="K166" s="701"/>
      <c r="L166" s="702">
        <f t="shared" si="16"/>
        <v>45748</v>
      </c>
      <c r="M166" s="702"/>
      <c r="N166" s="702"/>
      <c r="O166" s="702">
        <f t="shared" si="15"/>
        <v>45777</v>
      </c>
      <c r="P166" s="702"/>
      <c r="Q166" s="702"/>
      <c r="R166" s="690" cm="1">
        <f t="array" ref="R166">INDEX(verificare!$AT$4:$CC$26,VLOOKUP($AA$16,verificare!$AR$4:$AS$26,2,FALSE),A166)</f>
        <v>0</v>
      </c>
      <c r="S166" s="690"/>
      <c r="T166" s="690"/>
      <c r="U166" s="690"/>
      <c r="V166" s="658" t="s">
        <v>446</v>
      </c>
      <c r="W166" s="658"/>
      <c r="X166" s="691">
        <f>HLOOKUP(VLOOKUP($AA$16,'Date SPV'!$B:$F,5,FALSE),'Preturi si tarife'!$C$2:$J$39,A166+2,FALSE)</f>
        <v>2.0599999999999999E-4</v>
      </c>
      <c r="Y166" s="692"/>
      <c r="Z166" s="692"/>
      <c r="AA166" s="693"/>
      <c r="AB166" s="690">
        <f t="shared" si="7"/>
        <v>0</v>
      </c>
      <c r="AC166" s="690"/>
      <c r="AD166" s="690"/>
      <c r="AE166" s="690"/>
      <c r="AF166" s="690">
        <f t="shared" si="8"/>
        <v>0</v>
      </c>
      <c r="AG166" s="690"/>
      <c r="AH166" s="690"/>
      <c r="AI166" s="690"/>
      <c r="AJ166" s="690">
        <f t="shared" si="9"/>
        <v>0</v>
      </c>
      <c r="AK166" s="690"/>
      <c r="AL166" s="690"/>
      <c r="AM166" s="690"/>
    </row>
    <row r="167" spans="1:39" ht="30.95" customHeight="1">
      <c r="A167" s="65">
        <f t="shared" si="10"/>
        <v>30</v>
      </c>
      <c r="B167" s="699" t="s">
        <v>107</v>
      </c>
      <c r="C167" s="700"/>
      <c r="D167" s="700"/>
      <c r="E167" s="700"/>
      <c r="F167" s="700"/>
      <c r="G167" s="700"/>
      <c r="H167" s="700"/>
      <c r="I167" s="700"/>
      <c r="J167" s="700"/>
      <c r="K167" s="701"/>
      <c r="L167" s="702">
        <f>L165</f>
        <v>45748</v>
      </c>
      <c r="M167" s="702"/>
      <c r="N167" s="702"/>
      <c r="O167" s="702">
        <f>O165</f>
        <v>45777</v>
      </c>
      <c r="P167" s="702"/>
      <c r="Q167" s="702"/>
      <c r="R167" s="690" cm="1">
        <f t="array" ref="R167">INDEX(verificare!$AT$4:$CC$26,VLOOKUP($AA$16,verificare!$AR$4:$AS$26,2,FALSE),A167)</f>
        <v>0</v>
      </c>
      <c r="S167" s="690"/>
      <c r="T167" s="690"/>
      <c r="U167" s="690"/>
      <c r="V167" s="658" t="s">
        <v>446</v>
      </c>
      <c r="W167" s="658"/>
      <c r="X167" s="691">
        <f>HLOOKUP(VLOOKUP($AA$16,'Date SPV'!$B:$F,5,FALSE),'Preturi si tarife'!$C$2:$J$39,A167+2,FALSE)</f>
        <v>0</v>
      </c>
      <c r="Y167" s="692"/>
      <c r="Z167" s="692"/>
      <c r="AA167" s="693"/>
      <c r="AB167" s="690">
        <f t="shared" si="7"/>
        <v>0</v>
      </c>
      <c r="AC167" s="690"/>
      <c r="AD167" s="690"/>
      <c r="AE167" s="690"/>
      <c r="AF167" s="690">
        <f t="shared" si="8"/>
        <v>0</v>
      </c>
      <c r="AG167" s="690"/>
      <c r="AH167" s="690"/>
      <c r="AI167" s="690"/>
      <c r="AJ167" s="690">
        <f t="shared" si="9"/>
        <v>0</v>
      </c>
      <c r="AK167" s="690"/>
      <c r="AL167" s="690"/>
      <c r="AM167" s="690"/>
    </row>
    <row r="168" spans="1:39" ht="15.95" customHeight="1">
      <c r="A168" s="65">
        <f t="shared" si="10"/>
        <v>31</v>
      </c>
      <c r="B168" s="699" t="s">
        <v>108</v>
      </c>
      <c r="C168" s="700"/>
      <c r="D168" s="700"/>
      <c r="E168" s="700"/>
      <c r="F168" s="700"/>
      <c r="G168" s="700"/>
      <c r="H168" s="700"/>
      <c r="I168" s="700"/>
      <c r="J168" s="700"/>
      <c r="K168" s="701"/>
      <c r="L168" s="702">
        <f t="shared" ref="L168:L173" si="17">L167</f>
        <v>45748</v>
      </c>
      <c r="M168" s="702"/>
      <c r="N168" s="702"/>
      <c r="O168" s="702">
        <f t="shared" ref="O168:O173" si="18">O167</f>
        <v>45777</v>
      </c>
      <c r="P168" s="702"/>
      <c r="Q168" s="702"/>
      <c r="R168" s="690" cm="1">
        <f t="array" ref="R168">INDEX(verificare!$AT$4:$CC$26,VLOOKUP($AA$16,verificare!$AR$4:$AS$26,2,FALSE),A168)</f>
        <v>0</v>
      </c>
      <c r="S168" s="690"/>
      <c r="T168" s="690"/>
      <c r="U168" s="690"/>
      <c r="V168" s="658" t="s">
        <v>446</v>
      </c>
      <c r="W168" s="658"/>
      <c r="X168" s="691">
        <f>HLOOKUP(VLOOKUP($AA$16,'Date SPV'!$B:$F,5,FALSE),'Preturi si tarife'!$C$2:$J$39,A168+2,FALSE)</f>
        <v>1.3099999999999999E-2</v>
      </c>
      <c r="Y168" s="692"/>
      <c r="Z168" s="692"/>
      <c r="AA168" s="693"/>
      <c r="AB168" s="690">
        <f t="shared" si="7"/>
        <v>0</v>
      </c>
      <c r="AC168" s="690"/>
      <c r="AD168" s="690"/>
      <c r="AE168" s="690"/>
      <c r="AF168" s="690">
        <f t="shared" si="8"/>
        <v>0</v>
      </c>
      <c r="AG168" s="690"/>
      <c r="AH168" s="690"/>
      <c r="AI168" s="690"/>
      <c r="AJ168" s="690">
        <f t="shared" si="9"/>
        <v>0</v>
      </c>
      <c r="AK168" s="690"/>
      <c r="AL168" s="690"/>
      <c r="AM168" s="690"/>
    </row>
    <row r="169" spans="1:39" ht="15.95" customHeight="1">
      <c r="A169" s="65">
        <f t="shared" si="10"/>
        <v>32</v>
      </c>
      <c r="B169" s="699" t="s">
        <v>109</v>
      </c>
      <c r="C169" s="700"/>
      <c r="D169" s="700"/>
      <c r="E169" s="700"/>
      <c r="F169" s="700"/>
      <c r="G169" s="700"/>
      <c r="H169" s="700"/>
      <c r="I169" s="700"/>
      <c r="J169" s="700"/>
      <c r="K169" s="701"/>
      <c r="L169" s="702">
        <f t="shared" si="17"/>
        <v>45748</v>
      </c>
      <c r="M169" s="702"/>
      <c r="N169" s="702"/>
      <c r="O169" s="702">
        <f t="shared" si="18"/>
        <v>45777</v>
      </c>
      <c r="P169" s="702"/>
      <c r="Q169" s="702"/>
      <c r="R169" s="690" cm="1">
        <f t="array" ref="R169">INDEX(verificare!$AT$4:$CC$26,VLOOKUP($AA$16,verificare!$AR$4:$AS$26,2,FALSE),A169)</f>
        <v>0</v>
      </c>
      <c r="S169" s="690"/>
      <c r="T169" s="690"/>
      <c r="U169" s="690"/>
      <c r="V169" s="724" t="s">
        <v>446</v>
      </c>
      <c r="W169" s="725"/>
      <c r="X169" s="691">
        <f>HLOOKUP(VLOOKUP($AA$16,'Date SPV'!$B:$F,5,FALSE),'Preturi si tarife'!$C$2:$J$39,A169+2,FALSE)</f>
        <v>0.10290000000000001</v>
      </c>
      <c r="Y169" s="692"/>
      <c r="Z169" s="692"/>
      <c r="AA169" s="693"/>
      <c r="AB169" s="690">
        <f t="shared" si="7"/>
        <v>0</v>
      </c>
      <c r="AC169" s="690"/>
      <c r="AD169" s="690"/>
      <c r="AE169" s="690"/>
      <c r="AF169" s="690">
        <f t="shared" si="8"/>
        <v>0</v>
      </c>
      <c r="AG169" s="690"/>
      <c r="AH169" s="690"/>
      <c r="AI169" s="690"/>
      <c r="AJ169" s="690">
        <f t="shared" si="9"/>
        <v>0</v>
      </c>
      <c r="AK169" s="690"/>
      <c r="AL169" s="690"/>
      <c r="AM169" s="690"/>
    </row>
    <row r="170" spans="1:39" ht="30.95" customHeight="1">
      <c r="A170" s="65">
        <f t="shared" si="10"/>
        <v>33</v>
      </c>
      <c r="B170" s="699" t="s">
        <v>110</v>
      </c>
      <c r="C170" s="700"/>
      <c r="D170" s="700"/>
      <c r="E170" s="700"/>
      <c r="F170" s="700"/>
      <c r="G170" s="700"/>
      <c r="H170" s="700"/>
      <c r="I170" s="700"/>
      <c r="J170" s="700"/>
      <c r="K170" s="701"/>
      <c r="L170" s="702">
        <f t="shared" si="17"/>
        <v>45748</v>
      </c>
      <c r="M170" s="702"/>
      <c r="N170" s="702"/>
      <c r="O170" s="702">
        <f t="shared" si="18"/>
        <v>45777</v>
      </c>
      <c r="P170" s="702"/>
      <c r="Q170" s="702"/>
      <c r="R170" s="690" cm="1">
        <f t="array" ref="R170">INDEX(verificare!$AT$4:$CC$26,VLOOKUP($AA$16,verificare!$AR$4:$AS$26,2,FALSE),A170)</f>
        <v>0</v>
      </c>
      <c r="S170" s="690"/>
      <c r="T170" s="690"/>
      <c r="U170" s="690"/>
      <c r="V170" s="658" t="s">
        <v>446</v>
      </c>
      <c r="W170" s="658"/>
      <c r="X170" s="691">
        <f>HLOOKUP(VLOOKUP($AA$16,'Date SPV'!$B:$F,5,FALSE),'Preturi si tarife'!$C$2:$J$39,A170+2,FALSE)</f>
        <v>0.9485576</v>
      </c>
      <c r="Y170" s="692"/>
      <c r="Z170" s="692"/>
      <c r="AA170" s="693"/>
      <c r="AB170" s="690">
        <f t="shared" si="7"/>
        <v>0</v>
      </c>
      <c r="AC170" s="690"/>
      <c r="AD170" s="690"/>
      <c r="AE170" s="690"/>
      <c r="AF170" s="690">
        <f t="shared" si="8"/>
        <v>0</v>
      </c>
      <c r="AG170" s="690"/>
      <c r="AH170" s="690"/>
      <c r="AI170" s="690"/>
      <c r="AJ170" s="690">
        <f t="shared" si="9"/>
        <v>0</v>
      </c>
      <c r="AK170" s="690"/>
      <c r="AL170" s="690"/>
      <c r="AM170" s="690"/>
    </row>
    <row r="171" spans="1:39" ht="30.95" customHeight="1">
      <c r="A171" s="65">
        <f t="shared" si="10"/>
        <v>34</v>
      </c>
      <c r="B171" s="699" t="s">
        <v>111</v>
      </c>
      <c r="C171" s="700"/>
      <c r="D171" s="700"/>
      <c r="E171" s="700"/>
      <c r="F171" s="700"/>
      <c r="G171" s="700"/>
      <c r="H171" s="700"/>
      <c r="I171" s="700"/>
      <c r="J171" s="700"/>
      <c r="K171" s="701"/>
      <c r="L171" s="702">
        <f t="shared" si="17"/>
        <v>45748</v>
      </c>
      <c r="M171" s="702"/>
      <c r="N171" s="702"/>
      <c r="O171" s="702">
        <f t="shared" si="18"/>
        <v>45777</v>
      </c>
      <c r="P171" s="702"/>
      <c r="Q171" s="702"/>
      <c r="R171" s="690" cm="1">
        <f t="array" ref="R171">INDEX(verificare!$AT$4:$CC$26,VLOOKUP($AA$16,verificare!$AR$4:$AS$26,2,FALSE),A171)</f>
        <v>0</v>
      </c>
      <c r="S171" s="690"/>
      <c r="T171" s="690"/>
      <c r="U171" s="690"/>
      <c r="V171" s="658" t="s">
        <v>446</v>
      </c>
      <c r="W171" s="658"/>
      <c r="X171" s="691">
        <f>HLOOKUP(VLOOKUP($AA$16,'Date SPV'!$B:$F,5,FALSE),'Preturi si tarife'!$C$2:$J$39,A171+2,FALSE)</f>
        <v>0.83255760000000001</v>
      </c>
      <c r="Y171" s="692"/>
      <c r="Z171" s="692"/>
      <c r="AA171" s="693"/>
      <c r="AB171" s="690">
        <f t="shared" si="7"/>
        <v>0</v>
      </c>
      <c r="AC171" s="690"/>
      <c r="AD171" s="690"/>
      <c r="AE171" s="690"/>
      <c r="AF171" s="690">
        <f t="shared" si="8"/>
        <v>0</v>
      </c>
      <c r="AG171" s="690"/>
      <c r="AH171" s="690"/>
      <c r="AI171" s="690"/>
      <c r="AJ171" s="690">
        <f t="shared" si="9"/>
        <v>0</v>
      </c>
      <c r="AK171" s="690"/>
      <c r="AL171" s="690"/>
      <c r="AM171" s="690"/>
    </row>
    <row r="172" spans="1:39" ht="15.95" customHeight="1">
      <c r="A172" s="65">
        <f t="shared" si="10"/>
        <v>35</v>
      </c>
      <c r="B172" s="699" t="s">
        <v>112</v>
      </c>
      <c r="C172" s="700"/>
      <c r="D172" s="700"/>
      <c r="E172" s="700"/>
      <c r="F172" s="700"/>
      <c r="G172" s="700"/>
      <c r="H172" s="700"/>
      <c r="I172" s="700"/>
      <c r="J172" s="700"/>
      <c r="K172" s="701"/>
      <c r="L172" s="702">
        <f t="shared" si="17"/>
        <v>45748</v>
      </c>
      <c r="M172" s="702"/>
      <c r="N172" s="702"/>
      <c r="O172" s="702">
        <f t="shared" si="18"/>
        <v>45777</v>
      </c>
      <c r="P172" s="702"/>
      <c r="Q172" s="702"/>
      <c r="R172" s="690" cm="1">
        <f t="array" ref="R172">INDEX(verificare!$AT$4:$CC$26,VLOOKUP($AA$16,verificare!$AR$4:$AS$26,2,FALSE),A172)</f>
        <v>0</v>
      </c>
      <c r="S172" s="690"/>
      <c r="T172" s="690"/>
      <c r="U172" s="690"/>
      <c r="V172" s="724" t="s">
        <v>446</v>
      </c>
      <c r="W172" s="725"/>
      <c r="X172" s="691">
        <f>HLOOKUP(VLOOKUP($AA$16,'Date SPV'!$B:$F,5,FALSE),'Preturi si tarife'!$C$2:$J$39,A172+2,FALSE)</f>
        <v>1.3099999999999999E-2</v>
      </c>
      <c r="Y172" s="692"/>
      <c r="Z172" s="692"/>
      <c r="AA172" s="693"/>
      <c r="AB172" s="690">
        <f t="shared" si="7"/>
        <v>0</v>
      </c>
      <c r="AC172" s="690"/>
      <c r="AD172" s="690"/>
      <c r="AE172" s="690"/>
      <c r="AF172" s="690">
        <f t="shared" si="8"/>
        <v>0</v>
      </c>
      <c r="AG172" s="690"/>
      <c r="AH172" s="690"/>
      <c r="AI172" s="690"/>
      <c r="AJ172" s="690">
        <f t="shared" si="9"/>
        <v>0</v>
      </c>
      <c r="AK172" s="690"/>
      <c r="AL172" s="690"/>
      <c r="AM172" s="690"/>
    </row>
    <row r="173" spans="1:39" ht="15.95" customHeight="1">
      <c r="A173" s="65">
        <f t="shared" si="10"/>
        <v>36</v>
      </c>
      <c r="B173" s="699" t="s">
        <v>113</v>
      </c>
      <c r="C173" s="700"/>
      <c r="D173" s="700"/>
      <c r="E173" s="700"/>
      <c r="F173" s="700"/>
      <c r="G173" s="700"/>
      <c r="H173" s="700"/>
      <c r="I173" s="700"/>
      <c r="J173" s="700"/>
      <c r="K173" s="701"/>
      <c r="L173" s="702">
        <f t="shared" si="17"/>
        <v>45748</v>
      </c>
      <c r="M173" s="702"/>
      <c r="N173" s="702"/>
      <c r="O173" s="702">
        <f t="shared" si="18"/>
        <v>45777</v>
      </c>
      <c r="P173" s="702"/>
      <c r="Q173" s="702"/>
      <c r="R173" s="690" cm="1">
        <f t="array" ref="R173">INDEX(verificare!$AT$4:$CC$26,VLOOKUP($AA$16,verificare!$AR$4:$AS$26,2,FALSE),A173)</f>
        <v>0</v>
      </c>
      <c r="S173" s="690"/>
      <c r="T173" s="690"/>
      <c r="U173" s="690"/>
      <c r="V173" s="724" t="s">
        <v>446</v>
      </c>
      <c r="W173" s="725"/>
      <c r="X173" s="691">
        <f>HLOOKUP(VLOOKUP($AA$16,'Date SPV'!$B:$F,5,FALSE),'Preturi si tarife'!$C$2:$J$39,A173+2,FALSE)</f>
        <v>0.10290000000000001</v>
      </c>
      <c r="Y173" s="692"/>
      <c r="Z173" s="692"/>
      <c r="AA173" s="693"/>
      <c r="AB173" s="690">
        <f t="shared" si="7"/>
        <v>0</v>
      </c>
      <c r="AC173" s="690"/>
      <c r="AD173" s="690"/>
      <c r="AE173" s="690"/>
      <c r="AF173" s="690">
        <f t="shared" si="8"/>
        <v>0</v>
      </c>
      <c r="AG173" s="690"/>
      <c r="AH173" s="690"/>
      <c r="AI173" s="690"/>
      <c r="AJ173" s="690">
        <f t="shared" si="9"/>
        <v>0</v>
      </c>
      <c r="AK173" s="690"/>
      <c r="AL173" s="690"/>
      <c r="AM173" s="690"/>
    </row>
    <row r="174" spans="1:39" ht="15.95" customHeight="1">
      <c r="A174" s="65">
        <f t="shared" si="10"/>
        <v>37</v>
      </c>
      <c r="B174" s="699" t="s">
        <v>728</v>
      </c>
      <c r="C174" s="700"/>
      <c r="D174" s="700"/>
      <c r="E174" s="700"/>
      <c r="F174" s="700"/>
      <c r="G174" s="700"/>
      <c r="H174" s="700"/>
      <c r="I174" s="700"/>
      <c r="J174" s="700"/>
      <c r="K174" s="701"/>
      <c r="L174" s="702" t="s">
        <v>69</v>
      </c>
      <c r="M174" s="702"/>
      <c r="N174" s="702"/>
      <c r="O174" s="702" t="s">
        <v>69</v>
      </c>
      <c r="P174" s="702"/>
      <c r="Q174" s="702"/>
      <c r="R174" s="653">
        <v>0</v>
      </c>
      <c r="S174" s="653"/>
      <c r="T174" s="653"/>
      <c r="U174" s="653"/>
      <c r="V174" s="658" t="s">
        <v>69</v>
      </c>
      <c r="W174" s="658"/>
      <c r="X174" s="659" t="s">
        <v>69</v>
      </c>
      <c r="Y174" s="659"/>
      <c r="Z174" s="659"/>
      <c r="AA174" s="659"/>
      <c r="AB174" s="653">
        <v>0</v>
      </c>
      <c r="AC174" s="653"/>
      <c r="AD174" s="653"/>
      <c r="AE174" s="653"/>
      <c r="AF174" s="653">
        <f>ROUND(AB174*19%,2)</f>
        <v>0</v>
      </c>
      <c r="AG174" s="653"/>
      <c r="AH174" s="653"/>
      <c r="AI174" s="653"/>
      <c r="AJ174" s="653">
        <f>AB174+AF174</f>
        <v>0</v>
      </c>
      <c r="AK174" s="653"/>
      <c r="AL174" s="653"/>
      <c r="AM174" s="653"/>
    </row>
    <row r="175" spans="1:39">
      <c r="A175" s="65">
        <f t="shared" si="10"/>
        <v>38</v>
      </c>
      <c r="B175" s="699" t="s">
        <v>729</v>
      </c>
      <c r="C175" s="700"/>
      <c r="D175" s="700"/>
      <c r="E175" s="700"/>
      <c r="F175" s="700"/>
      <c r="G175" s="700"/>
      <c r="H175" s="700"/>
      <c r="I175" s="700"/>
      <c r="J175" s="700"/>
      <c r="K175" s="701"/>
      <c r="L175" s="702" t="s">
        <v>69</v>
      </c>
      <c r="M175" s="702"/>
      <c r="N175" s="702"/>
      <c r="O175" s="702" t="s">
        <v>69</v>
      </c>
      <c r="P175" s="702"/>
      <c r="Q175" s="702"/>
      <c r="R175" s="653">
        <v>0</v>
      </c>
      <c r="S175" s="653"/>
      <c r="T175" s="653"/>
      <c r="U175" s="653"/>
      <c r="V175" s="658" t="s">
        <v>69</v>
      </c>
      <c r="W175" s="658"/>
      <c r="X175" s="659" t="s">
        <v>69</v>
      </c>
      <c r="Y175" s="659"/>
      <c r="Z175" s="659"/>
      <c r="AA175" s="659"/>
      <c r="AB175" s="726">
        <f>SUM(AB138:AE174)</f>
        <v>416608.58000000007</v>
      </c>
      <c r="AC175" s="726"/>
      <c r="AD175" s="726"/>
      <c r="AE175" s="726"/>
      <c r="AF175" s="726">
        <f>SUM(AF138:AI174)</f>
        <v>79155.62999999999</v>
      </c>
      <c r="AG175" s="726"/>
      <c r="AH175" s="726"/>
      <c r="AI175" s="726"/>
      <c r="AJ175" s="726">
        <f>SUM(AJ138:AM174)</f>
        <v>495764.21000000008</v>
      </c>
      <c r="AK175" s="726"/>
      <c r="AL175" s="726"/>
      <c r="AM175" s="726"/>
    </row>
  </sheetData>
  <mergeCells count="806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R38:T40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AI50:AJ52"/>
    <mergeCell ref="A44:F46"/>
    <mergeCell ref="G44:I46"/>
    <mergeCell ref="J44:L44"/>
    <mergeCell ref="M44:N46"/>
    <mergeCell ref="O44:Q46"/>
    <mergeCell ref="R44:T46"/>
    <mergeCell ref="AD41:AE43"/>
    <mergeCell ref="AF41:AH43"/>
    <mergeCell ref="AI41:AJ43"/>
    <mergeCell ref="AI47:AJ49"/>
    <mergeCell ref="M50:N52"/>
    <mergeCell ref="A47:F49"/>
    <mergeCell ref="G47:I49"/>
    <mergeCell ref="AK47:AM49"/>
    <mergeCell ref="AK44:AM46"/>
    <mergeCell ref="J45:L45"/>
    <mergeCell ref="J46:L46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J48:L48"/>
    <mergeCell ref="J49:L49"/>
    <mergeCell ref="X47:Z49"/>
    <mergeCell ref="AA47:AC49"/>
    <mergeCell ref="AD47:AE49"/>
    <mergeCell ref="AF47:AH49"/>
    <mergeCell ref="R53:T55"/>
    <mergeCell ref="U53:W55"/>
    <mergeCell ref="X53:Z55"/>
    <mergeCell ref="AF50:AH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AI53:AJ55"/>
    <mergeCell ref="AK53:AM55"/>
    <mergeCell ref="J54:L54"/>
    <mergeCell ref="J55:L55"/>
    <mergeCell ref="AA53:AC55"/>
    <mergeCell ref="AD53:AE55"/>
    <mergeCell ref="AF53:AH55"/>
    <mergeCell ref="A50:F52"/>
    <mergeCell ref="G50:I52"/>
    <mergeCell ref="J50:L50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J60:L60"/>
    <mergeCell ref="J61:L61"/>
    <mergeCell ref="A56:F58"/>
    <mergeCell ref="G56:I58"/>
    <mergeCell ref="J56:L56"/>
    <mergeCell ref="M56:N58"/>
    <mergeCell ref="O56:Q58"/>
    <mergeCell ref="R56:T58"/>
    <mergeCell ref="X59:Z61"/>
    <mergeCell ref="AA59:AC61"/>
    <mergeCell ref="AD59:AE61"/>
    <mergeCell ref="AF62:AH64"/>
    <mergeCell ref="AI62:AJ64"/>
    <mergeCell ref="AF59:AH61"/>
    <mergeCell ref="AI59:AJ61"/>
    <mergeCell ref="AK59:AM61"/>
    <mergeCell ref="AK56:AM58"/>
    <mergeCell ref="X56:Z58"/>
    <mergeCell ref="AA56:AC58"/>
    <mergeCell ref="AD56:AE58"/>
    <mergeCell ref="AF56:AH58"/>
    <mergeCell ref="AI56:AJ58"/>
    <mergeCell ref="AK62:AM64"/>
    <mergeCell ref="U62:W64"/>
    <mergeCell ref="X62:Z64"/>
    <mergeCell ref="AA62:AC64"/>
    <mergeCell ref="AD62:AE64"/>
    <mergeCell ref="AI65:AJ67"/>
    <mergeCell ref="AK65:AM67"/>
    <mergeCell ref="J66:L66"/>
    <mergeCell ref="J67:L67"/>
    <mergeCell ref="A62:F64"/>
    <mergeCell ref="G62:I64"/>
    <mergeCell ref="J62:L62"/>
    <mergeCell ref="M62:N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A81:L81"/>
    <mergeCell ref="M81:AH81"/>
    <mergeCell ref="AI81:AM81"/>
    <mergeCell ref="R65:T67"/>
    <mergeCell ref="U65:W67"/>
    <mergeCell ref="X65:Z67"/>
    <mergeCell ref="AA65:AC67"/>
    <mergeCell ref="AD65:AE67"/>
    <mergeCell ref="AF65:AH67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K87:AM89"/>
    <mergeCell ref="J88:L88"/>
    <mergeCell ref="J89:L89"/>
    <mergeCell ref="AI84:AJ86"/>
    <mergeCell ref="AK84:AM86"/>
    <mergeCell ref="AA84:AC86"/>
    <mergeCell ref="AD84:AE86"/>
    <mergeCell ref="AF84:AH86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I96:AJ98"/>
    <mergeCell ref="A90:F92"/>
    <mergeCell ref="G90:I92"/>
    <mergeCell ref="J90:L90"/>
    <mergeCell ref="M90:N92"/>
    <mergeCell ref="O90:Q92"/>
    <mergeCell ref="R90:T92"/>
    <mergeCell ref="AA87:AC89"/>
    <mergeCell ref="AD87:AE89"/>
    <mergeCell ref="AF87:AH89"/>
    <mergeCell ref="A87:F89"/>
    <mergeCell ref="G87:I89"/>
    <mergeCell ref="AI87:AJ89"/>
    <mergeCell ref="AI93:AJ95"/>
    <mergeCell ref="M96:N98"/>
    <mergeCell ref="A93:F95"/>
    <mergeCell ref="G93:I95"/>
    <mergeCell ref="A96:F98"/>
    <mergeCell ref="G96:I98"/>
    <mergeCell ref="J96:L96"/>
    <mergeCell ref="AK93:AM95"/>
    <mergeCell ref="AK90:AM92"/>
    <mergeCell ref="J91:L91"/>
    <mergeCell ref="J92:L92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J94:L94"/>
    <mergeCell ref="J95:L95"/>
    <mergeCell ref="X93:Z95"/>
    <mergeCell ref="AA93:AC95"/>
    <mergeCell ref="AD93:AE95"/>
    <mergeCell ref="AF93:AH95"/>
    <mergeCell ref="R99:T101"/>
    <mergeCell ref="U99:W101"/>
    <mergeCell ref="X99:Z101"/>
    <mergeCell ref="AF96:AH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AI99:AJ101"/>
    <mergeCell ref="AK99:AM101"/>
    <mergeCell ref="J100:L100"/>
    <mergeCell ref="J101:L101"/>
    <mergeCell ref="AA99:AC101"/>
    <mergeCell ref="AD99:AE101"/>
    <mergeCell ref="U102:W104"/>
    <mergeCell ref="J106:L106"/>
    <mergeCell ref="J107:L107"/>
    <mergeCell ref="A102:F104"/>
    <mergeCell ref="G102:I104"/>
    <mergeCell ref="J102:L102"/>
    <mergeCell ref="M102:N104"/>
    <mergeCell ref="O102:Q104"/>
    <mergeCell ref="R102:T104"/>
    <mergeCell ref="J103:L103"/>
    <mergeCell ref="J104:L104"/>
    <mergeCell ref="A105:F107"/>
    <mergeCell ref="G105:I107"/>
    <mergeCell ref="J105:L105"/>
    <mergeCell ref="M105:N107"/>
    <mergeCell ref="AK105:AM107"/>
    <mergeCell ref="AK102:AM104"/>
    <mergeCell ref="X102:Z104"/>
    <mergeCell ref="AA102:AC104"/>
    <mergeCell ref="AD102:AE104"/>
    <mergeCell ref="AF102:AH104"/>
    <mergeCell ref="AI102:AJ104"/>
    <mergeCell ref="AK108:AM110"/>
    <mergeCell ref="AF99:AH101"/>
    <mergeCell ref="X105:Z107"/>
    <mergeCell ref="AA105:AC107"/>
    <mergeCell ref="J111:L111"/>
    <mergeCell ref="M111:N113"/>
    <mergeCell ref="O111:Q113"/>
    <mergeCell ref="O108:Q110"/>
    <mergeCell ref="R108:T110"/>
    <mergeCell ref="AD105:AE107"/>
    <mergeCell ref="AF108:AH110"/>
    <mergeCell ref="AI108:AJ110"/>
    <mergeCell ref="AF105:AH107"/>
    <mergeCell ref="AI105:AJ107"/>
    <mergeCell ref="O105:Q107"/>
    <mergeCell ref="R105:T107"/>
    <mergeCell ref="U105:W107"/>
    <mergeCell ref="AI116:AM116"/>
    <mergeCell ref="R111:T113"/>
    <mergeCell ref="U111:W113"/>
    <mergeCell ref="X111:Z113"/>
    <mergeCell ref="AA111:AC113"/>
    <mergeCell ref="AD111:AE113"/>
    <mergeCell ref="AF111:AH113"/>
    <mergeCell ref="A116:AH116"/>
    <mergeCell ref="U108:W110"/>
    <mergeCell ref="X108:Z110"/>
    <mergeCell ref="AA108:AC110"/>
    <mergeCell ref="AD108:AE110"/>
    <mergeCell ref="AI111:AJ113"/>
    <mergeCell ref="AK111:AM113"/>
    <mergeCell ref="J112:L112"/>
    <mergeCell ref="J113:L113"/>
    <mergeCell ref="A108:F110"/>
    <mergeCell ref="G108:I110"/>
    <mergeCell ref="J108:L108"/>
    <mergeCell ref="M108:N110"/>
    <mergeCell ref="J109:L109"/>
    <mergeCell ref="J110:L110"/>
    <mergeCell ref="A111:F113"/>
    <mergeCell ref="G111:I113"/>
    <mergeCell ref="A117:L117"/>
    <mergeCell ref="M117:AH117"/>
    <mergeCell ref="AI117:AM118"/>
    <mergeCell ref="A118:L118"/>
    <mergeCell ref="M118:AH118"/>
    <mergeCell ref="A119:F121"/>
    <mergeCell ref="G119:I121"/>
    <mergeCell ref="J119:L121"/>
    <mergeCell ref="M119:N121"/>
    <mergeCell ref="O119:Q121"/>
    <mergeCell ref="A122:F124"/>
    <mergeCell ref="G122:I124"/>
    <mergeCell ref="J122:L122"/>
    <mergeCell ref="M122:N124"/>
    <mergeCell ref="O122:Q124"/>
    <mergeCell ref="R122:T124"/>
    <mergeCell ref="U122:W124"/>
    <mergeCell ref="X122:Z124"/>
    <mergeCell ref="R119:T121"/>
    <mergeCell ref="U119:W121"/>
    <mergeCell ref="X119:Z121"/>
    <mergeCell ref="AA122:AC124"/>
    <mergeCell ref="AD122:AE124"/>
    <mergeCell ref="AF122:AH124"/>
    <mergeCell ref="AI122:AJ124"/>
    <mergeCell ref="AK122:AM124"/>
    <mergeCell ref="J123:L123"/>
    <mergeCell ref="J124:L124"/>
    <mergeCell ref="AI119:AJ121"/>
    <mergeCell ref="AK119:AM121"/>
    <mergeCell ref="AA119:AC121"/>
    <mergeCell ref="AD119:AE121"/>
    <mergeCell ref="AF119:AH121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R128:T130"/>
    <mergeCell ref="U128:W130"/>
    <mergeCell ref="U125:W127"/>
    <mergeCell ref="X125:Z127"/>
    <mergeCell ref="AA125:AC127"/>
    <mergeCell ref="AD125:AE127"/>
    <mergeCell ref="AF125:AH127"/>
    <mergeCell ref="AI125:AJ127"/>
    <mergeCell ref="A125:F127"/>
    <mergeCell ref="G125:I127"/>
    <mergeCell ref="J125:L125"/>
    <mergeCell ref="M125:N127"/>
    <mergeCell ref="O125:Q127"/>
    <mergeCell ref="R125:T127"/>
    <mergeCell ref="A135:AM135"/>
    <mergeCell ref="B137:K137"/>
    <mergeCell ref="R137:U137"/>
    <mergeCell ref="V137:W137"/>
    <mergeCell ref="X137:AA137"/>
    <mergeCell ref="AB137:AE137"/>
    <mergeCell ref="J129:L129"/>
    <mergeCell ref="J130:L130"/>
    <mergeCell ref="X128:Z130"/>
    <mergeCell ref="AA128:AC130"/>
    <mergeCell ref="AD128:AE130"/>
    <mergeCell ref="AF128:AH130"/>
    <mergeCell ref="AI128:AJ130"/>
    <mergeCell ref="AK128:AM130"/>
    <mergeCell ref="AF137:AI137"/>
    <mergeCell ref="AJ137:AM137"/>
    <mergeCell ref="B138:K138"/>
    <mergeCell ref="L138:N138"/>
    <mergeCell ref="O138:Q138"/>
    <mergeCell ref="R138:U138"/>
    <mergeCell ref="V138:W138"/>
    <mergeCell ref="X138:AA138"/>
    <mergeCell ref="AB138:AE138"/>
    <mergeCell ref="AF138:AI138"/>
    <mergeCell ref="AJ138:AM138"/>
    <mergeCell ref="B139:K139"/>
    <mergeCell ref="L139:N139"/>
    <mergeCell ref="O139:Q139"/>
    <mergeCell ref="R139:U139"/>
    <mergeCell ref="V139:W139"/>
    <mergeCell ref="X139:AA139"/>
    <mergeCell ref="AB139:AE139"/>
    <mergeCell ref="AF139:AI139"/>
    <mergeCell ref="AJ139:AM139"/>
    <mergeCell ref="AB140:AE140"/>
    <mergeCell ref="AF140:AI140"/>
    <mergeCell ref="AJ140:AM140"/>
    <mergeCell ref="B141:K141"/>
    <mergeCell ref="L141:N141"/>
    <mergeCell ref="O141:Q141"/>
    <mergeCell ref="R141:U141"/>
    <mergeCell ref="V141:W141"/>
    <mergeCell ref="X141:AA141"/>
    <mergeCell ref="AB141:AE141"/>
    <mergeCell ref="B140:K140"/>
    <mergeCell ref="L140:N140"/>
    <mergeCell ref="O140:Q140"/>
    <mergeCell ref="R140:U140"/>
    <mergeCell ref="V140:W140"/>
    <mergeCell ref="X140:AA140"/>
    <mergeCell ref="AF141:AI141"/>
    <mergeCell ref="AJ141:AM141"/>
    <mergeCell ref="B142:K142"/>
    <mergeCell ref="L142:N142"/>
    <mergeCell ref="O142:Q142"/>
    <mergeCell ref="R142:U142"/>
    <mergeCell ref="V142:W142"/>
    <mergeCell ref="X142:AA142"/>
    <mergeCell ref="AB142:AE142"/>
    <mergeCell ref="AF142:AI142"/>
    <mergeCell ref="AJ142:AM142"/>
    <mergeCell ref="B143:K143"/>
    <mergeCell ref="L143:N143"/>
    <mergeCell ref="O143:Q143"/>
    <mergeCell ref="R143:U143"/>
    <mergeCell ref="V143:W143"/>
    <mergeCell ref="X143:AA143"/>
    <mergeCell ref="AB143:AE143"/>
    <mergeCell ref="AF143:AI143"/>
    <mergeCell ref="AJ143:AM143"/>
    <mergeCell ref="AB144:AE144"/>
    <mergeCell ref="AF144:AI144"/>
    <mergeCell ref="AJ144:AM144"/>
    <mergeCell ref="B145:K145"/>
    <mergeCell ref="L145:N145"/>
    <mergeCell ref="O145:Q145"/>
    <mergeCell ref="R145:U145"/>
    <mergeCell ref="V145:W145"/>
    <mergeCell ref="X145:AA145"/>
    <mergeCell ref="AB145:AE145"/>
    <mergeCell ref="B144:K144"/>
    <mergeCell ref="L144:N144"/>
    <mergeCell ref="O144:Q144"/>
    <mergeCell ref="R144:U144"/>
    <mergeCell ref="V144:W144"/>
    <mergeCell ref="X144:AA144"/>
    <mergeCell ref="AF145:AI145"/>
    <mergeCell ref="AJ145:AM145"/>
    <mergeCell ref="B146:K146"/>
    <mergeCell ref="L146:N146"/>
    <mergeCell ref="O146:Q146"/>
    <mergeCell ref="R146:U146"/>
    <mergeCell ref="V146:W146"/>
    <mergeCell ref="X146:AA146"/>
    <mergeCell ref="AB146:AE146"/>
    <mergeCell ref="AF146:AI146"/>
    <mergeCell ref="AJ146:AM146"/>
    <mergeCell ref="B147:K147"/>
    <mergeCell ref="L147:N147"/>
    <mergeCell ref="O147:Q147"/>
    <mergeCell ref="R147:U147"/>
    <mergeCell ref="V147:W147"/>
    <mergeCell ref="X147:AA147"/>
    <mergeCell ref="AB147:AE147"/>
    <mergeCell ref="AF147:AI147"/>
    <mergeCell ref="AJ147:AM147"/>
    <mergeCell ref="AB148:AE148"/>
    <mergeCell ref="AF148:AI148"/>
    <mergeCell ref="AJ148:AM148"/>
    <mergeCell ref="B149:K149"/>
    <mergeCell ref="L149:N149"/>
    <mergeCell ref="O149:Q149"/>
    <mergeCell ref="R149:U149"/>
    <mergeCell ref="V149:W149"/>
    <mergeCell ref="X149:AA149"/>
    <mergeCell ref="AB149:AE149"/>
    <mergeCell ref="B148:K148"/>
    <mergeCell ref="L148:N148"/>
    <mergeCell ref="O148:Q148"/>
    <mergeCell ref="R148:U148"/>
    <mergeCell ref="V148:W148"/>
    <mergeCell ref="X148:AA148"/>
    <mergeCell ref="AF149:AI149"/>
    <mergeCell ref="AJ149:AM149"/>
    <mergeCell ref="B150:K150"/>
    <mergeCell ref="L150:N150"/>
    <mergeCell ref="O150:Q150"/>
    <mergeCell ref="R150:U150"/>
    <mergeCell ref="V150:W150"/>
    <mergeCell ref="X150:AA150"/>
    <mergeCell ref="AB150:AE150"/>
    <mergeCell ref="AF150:AI150"/>
    <mergeCell ref="AJ150:AM150"/>
    <mergeCell ref="B151:K151"/>
    <mergeCell ref="L151:N151"/>
    <mergeCell ref="O151:Q151"/>
    <mergeCell ref="R151:U151"/>
    <mergeCell ref="V151:W151"/>
    <mergeCell ref="X151:AA151"/>
    <mergeCell ref="AB151:AE151"/>
    <mergeCell ref="AF151:AI151"/>
    <mergeCell ref="AJ151:AM151"/>
    <mergeCell ref="AB152:AE152"/>
    <mergeCell ref="AF152:AI152"/>
    <mergeCell ref="AJ152:AM152"/>
    <mergeCell ref="B153:K153"/>
    <mergeCell ref="L153:N153"/>
    <mergeCell ref="O153:Q153"/>
    <mergeCell ref="R153:U153"/>
    <mergeCell ref="V153:W153"/>
    <mergeCell ref="X153:AA153"/>
    <mergeCell ref="AB153:AE153"/>
    <mergeCell ref="B152:K152"/>
    <mergeCell ref="L152:N152"/>
    <mergeCell ref="O152:Q152"/>
    <mergeCell ref="R152:U152"/>
    <mergeCell ref="V152:W152"/>
    <mergeCell ref="X152:AA152"/>
    <mergeCell ref="AF153:AI153"/>
    <mergeCell ref="AJ153:AM153"/>
    <mergeCell ref="B154:K154"/>
    <mergeCell ref="L154:N154"/>
    <mergeCell ref="O154:Q154"/>
    <mergeCell ref="R154:U154"/>
    <mergeCell ref="V154:W154"/>
    <mergeCell ref="X154:AA154"/>
    <mergeCell ref="AB154:AE154"/>
    <mergeCell ref="AF154:AI154"/>
    <mergeCell ref="AJ154:AM154"/>
    <mergeCell ref="B155:K155"/>
    <mergeCell ref="L155:N155"/>
    <mergeCell ref="O155:Q155"/>
    <mergeCell ref="R155:U155"/>
    <mergeCell ref="V155:W155"/>
    <mergeCell ref="X155:AA155"/>
    <mergeCell ref="AB155:AE155"/>
    <mergeCell ref="AF155:AI155"/>
    <mergeCell ref="AJ155:AM155"/>
    <mergeCell ref="AB156:AE156"/>
    <mergeCell ref="AF156:AI156"/>
    <mergeCell ref="AJ156:AM156"/>
    <mergeCell ref="B157:K157"/>
    <mergeCell ref="L157:N157"/>
    <mergeCell ref="O157:Q157"/>
    <mergeCell ref="R157:U157"/>
    <mergeCell ref="V157:W157"/>
    <mergeCell ref="X157:AA157"/>
    <mergeCell ref="AB157:AE157"/>
    <mergeCell ref="B156:K156"/>
    <mergeCell ref="L156:N156"/>
    <mergeCell ref="O156:Q156"/>
    <mergeCell ref="R156:U156"/>
    <mergeCell ref="V156:W156"/>
    <mergeCell ref="X156:AA156"/>
    <mergeCell ref="AF157:AI157"/>
    <mergeCell ref="AJ157:AM157"/>
    <mergeCell ref="B158:K158"/>
    <mergeCell ref="L158:N158"/>
    <mergeCell ref="O158:Q158"/>
    <mergeCell ref="R158:U158"/>
    <mergeCell ref="V158:W158"/>
    <mergeCell ref="X158:AA158"/>
    <mergeCell ref="AB158:AE158"/>
    <mergeCell ref="AF158:AI158"/>
    <mergeCell ref="AJ158:AM158"/>
    <mergeCell ref="B159:K159"/>
    <mergeCell ref="L159:N159"/>
    <mergeCell ref="O159:Q159"/>
    <mergeCell ref="R159:U159"/>
    <mergeCell ref="V159:W159"/>
    <mergeCell ref="X159:AA159"/>
    <mergeCell ref="AB159:AE159"/>
    <mergeCell ref="AF159:AI159"/>
    <mergeCell ref="AJ159:AM159"/>
    <mergeCell ref="AB160:AE160"/>
    <mergeCell ref="AF160:AI160"/>
    <mergeCell ref="AJ160:AM160"/>
    <mergeCell ref="B161:K161"/>
    <mergeCell ref="L161:N161"/>
    <mergeCell ref="O161:Q161"/>
    <mergeCell ref="R161:U161"/>
    <mergeCell ref="V161:W161"/>
    <mergeCell ref="X161:AA161"/>
    <mergeCell ref="AB161:AE161"/>
    <mergeCell ref="B160:K160"/>
    <mergeCell ref="L160:N160"/>
    <mergeCell ref="O160:Q160"/>
    <mergeCell ref="R160:U160"/>
    <mergeCell ref="V160:W160"/>
    <mergeCell ref="X160:AA160"/>
    <mergeCell ref="AF161:AI161"/>
    <mergeCell ref="AJ161:AM161"/>
    <mergeCell ref="B162:K162"/>
    <mergeCell ref="L162:N162"/>
    <mergeCell ref="O162:Q162"/>
    <mergeCell ref="R162:U162"/>
    <mergeCell ref="V162:W162"/>
    <mergeCell ref="X162:AA162"/>
    <mergeCell ref="AB162:AE162"/>
    <mergeCell ref="AF162:AI162"/>
    <mergeCell ref="AJ162:AM162"/>
    <mergeCell ref="B163:K163"/>
    <mergeCell ref="L163:N163"/>
    <mergeCell ref="O163:Q163"/>
    <mergeCell ref="R163:U163"/>
    <mergeCell ref="V163:W163"/>
    <mergeCell ref="X163:AA163"/>
    <mergeCell ref="AB163:AE163"/>
    <mergeCell ref="AF163:AI163"/>
    <mergeCell ref="AJ163:AM163"/>
    <mergeCell ref="AB164:AE164"/>
    <mergeCell ref="AF164:AI164"/>
    <mergeCell ref="AJ164:AM164"/>
    <mergeCell ref="B165:K165"/>
    <mergeCell ref="L165:N165"/>
    <mergeCell ref="O165:Q165"/>
    <mergeCell ref="R165:U165"/>
    <mergeCell ref="V165:W165"/>
    <mergeCell ref="X165:AA165"/>
    <mergeCell ref="AB165:AE165"/>
    <mergeCell ref="B164:K164"/>
    <mergeCell ref="L164:N164"/>
    <mergeCell ref="O164:Q164"/>
    <mergeCell ref="R164:U164"/>
    <mergeCell ref="V164:W164"/>
    <mergeCell ref="X164:AA164"/>
    <mergeCell ref="AF165:AI165"/>
    <mergeCell ref="AJ165:AM165"/>
    <mergeCell ref="B166:K166"/>
    <mergeCell ref="L166:N166"/>
    <mergeCell ref="O166:Q166"/>
    <mergeCell ref="R166:U166"/>
    <mergeCell ref="V166:W166"/>
    <mergeCell ref="X166:AA166"/>
    <mergeCell ref="AB166:AE166"/>
    <mergeCell ref="AF166:AI166"/>
    <mergeCell ref="AJ166:AM166"/>
    <mergeCell ref="B167:K167"/>
    <mergeCell ref="L167:N167"/>
    <mergeCell ref="O167:Q167"/>
    <mergeCell ref="R167:U167"/>
    <mergeCell ref="V167:W167"/>
    <mergeCell ref="X167:AA167"/>
    <mergeCell ref="AB167:AE167"/>
    <mergeCell ref="AF167:AI167"/>
    <mergeCell ref="AJ167:AM167"/>
    <mergeCell ref="AB168:AE168"/>
    <mergeCell ref="AF168:AI168"/>
    <mergeCell ref="AJ168:AM168"/>
    <mergeCell ref="B169:K169"/>
    <mergeCell ref="L169:N169"/>
    <mergeCell ref="O169:Q169"/>
    <mergeCell ref="R169:U169"/>
    <mergeCell ref="V169:W169"/>
    <mergeCell ref="X169:AA169"/>
    <mergeCell ref="AB169:AE169"/>
    <mergeCell ref="B168:K168"/>
    <mergeCell ref="L168:N168"/>
    <mergeCell ref="O168:Q168"/>
    <mergeCell ref="R168:U168"/>
    <mergeCell ref="V168:W168"/>
    <mergeCell ref="X168:AA168"/>
    <mergeCell ref="AF169:AI169"/>
    <mergeCell ref="AJ169:AM169"/>
    <mergeCell ref="B170:K170"/>
    <mergeCell ref="L170:N170"/>
    <mergeCell ref="O170:Q170"/>
    <mergeCell ref="R170:U170"/>
    <mergeCell ref="V170:W170"/>
    <mergeCell ref="X170:AA170"/>
    <mergeCell ref="AB170:AE170"/>
    <mergeCell ref="AF170:AI170"/>
    <mergeCell ref="AJ170:AM170"/>
    <mergeCell ref="B171:K171"/>
    <mergeCell ref="L171:N171"/>
    <mergeCell ref="O171:Q171"/>
    <mergeCell ref="R171:U171"/>
    <mergeCell ref="V171:W171"/>
    <mergeCell ref="X171:AA171"/>
    <mergeCell ref="AB171:AE171"/>
    <mergeCell ref="AF171:AI171"/>
    <mergeCell ref="AJ171:AM171"/>
    <mergeCell ref="AF173:AI173"/>
    <mergeCell ref="AJ173:AM173"/>
    <mergeCell ref="AB172:AE172"/>
    <mergeCell ref="AF172:AI172"/>
    <mergeCell ref="AJ172:AM172"/>
    <mergeCell ref="B173:K173"/>
    <mergeCell ref="L173:N173"/>
    <mergeCell ref="O173:Q173"/>
    <mergeCell ref="R173:U173"/>
    <mergeCell ref="V173:W173"/>
    <mergeCell ref="X173:AA173"/>
    <mergeCell ref="AB173:AE173"/>
    <mergeCell ref="B172:K172"/>
    <mergeCell ref="L172:N172"/>
    <mergeCell ref="O172:Q172"/>
    <mergeCell ref="R172:U172"/>
    <mergeCell ref="V172:W172"/>
    <mergeCell ref="X172:AA172"/>
    <mergeCell ref="B174:K174"/>
    <mergeCell ref="L174:N174"/>
    <mergeCell ref="O174:Q174"/>
    <mergeCell ref="R174:U174"/>
    <mergeCell ref="V174:W174"/>
    <mergeCell ref="X174:AA174"/>
    <mergeCell ref="AB174:AE174"/>
    <mergeCell ref="AF174:AI174"/>
    <mergeCell ref="AJ174:AM174"/>
    <mergeCell ref="B175:K175"/>
    <mergeCell ref="L175:N175"/>
    <mergeCell ref="O175:Q175"/>
    <mergeCell ref="R175:U175"/>
    <mergeCell ref="V175:W175"/>
    <mergeCell ref="X175:AA175"/>
    <mergeCell ref="AB175:AE175"/>
    <mergeCell ref="AF175:AI175"/>
    <mergeCell ref="AJ175:AM175"/>
  </mergeCells>
  <hyperlinks>
    <hyperlink ref="G11" r:id="rId1" xr:uid="{2637E818-F258-0444-9789-7057A7BB4285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7EB97-A478-F94F-914F-44696BC8794C}">
  <dimension ref="A1:AM174"/>
  <sheetViews>
    <sheetView view="pageLayout" zoomScale="140" zoomScaleNormal="100" zoomScalePageLayoutView="140" workbookViewId="0">
      <selection activeCell="Z29" sqref="Z29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Satu Mare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Floreasca, nr.169A, Cladirea A, Etaj 5, Sectiunea A 5.1, Biroul Nr. 35,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RO32709931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J40/894/2014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RO05 RZBR 0000 0600 1747 2622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5/22.12.2023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26/28.02.2024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7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AB174</f>
        <v>392795.73999999993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AF174</f>
        <v>74631.199999999997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AJ174</f>
        <v>467426.94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467426.94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R137+R151+R152+R155</f>
        <v>416182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1.1231310820746692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VLOOKUP($AA$16,'Date SPV'!$B:$H,4,FALSE)</f>
        <v>Strada Careiului, nr. 17, loc. Satu Mare, jud. Satu Mare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5000170211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_xlfn.CONCAT(AA16,"_",1)</f>
        <v>RSMS_1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594040400001839968/1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RSMS_1.1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1371622702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4051406 (citit)</v>
      </c>
      <c r="S41" s="647"/>
      <c r="T41" s="647"/>
      <c r="U41" s="647" t="str">
        <f>VLOOKUP(A41,Regularizare!$D:$U,4,FALSE)&amp;" ("&amp;VLOOKUP(A41,Regularizare!$D:$U,12,FALSE)&amp;")"</f>
        <v>4214346 (estimat)</v>
      </c>
      <c r="V41" s="647"/>
      <c r="W41" s="647"/>
      <c r="X41" s="647" t="str">
        <f>VLOOKUP(A41,Regularizare!$D:$Y,19,FALSE)&amp;" ("&amp;VLOOKUP(A41,Regularizare!$D:$U,12,FALSE)&amp;")"</f>
        <v>162940 (estimat)</v>
      </c>
      <c r="Y41" s="647"/>
      <c r="Z41" s="647"/>
      <c r="AA41" s="647">
        <f>(-1)*VLOOKUP(A41,Regularizare!$D:$Y,19,FALSE)</f>
        <v>-162940</v>
      </c>
      <c r="AB41" s="647"/>
      <c r="AC41" s="647"/>
      <c r="AD41" s="647" t="s">
        <v>69</v>
      </c>
      <c r="AE41" s="647"/>
      <c r="AF41" s="647">
        <f>AA41</f>
        <v>-162940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1371622702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223568 (citit)</v>
      </c>
      <c r="S44" s="647"/>
      <c r="T44" s="647"/>
      <c r="U44" s="647" t="str">
        <f>VLOOKUP(A44,Regularizare!$D:$U,8,FALSE)&amp;" ("&amp;VLOOKUP(A44,Regularizare!$D:$U,16,FALSE)&amp;")"</f>
        <v>223568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1371622702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11184 (citit)</v>
      </c>
      <c r="S47" s="647"/>
      <c r="T47" s="647"/>
      <c r="U47" s="647" t="str">
        <f>VLOOKUP(A47,Regularizare!$D:$U,10,FALSE)&amp;" ("&amp;VLOOKUP(A47,Regularizare!$D:$U,18,FALSE)&amp;")"</f>
        <v>11184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1371622702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4051406 (citit)</v>
      </c>
      <c r="S50" s="647"/>
      <c r="T50" s="647"/>
      <c r="U50" s="647" t="str">
        <f>VLOOKUP(A50,Regularizare!$D:$AX,25,FALSE)&amp;" ("&amp;VLOOKUP(A50,Regularizare!$D:$AX,26,FALSE)&amp;")"</f>
        <v>4214346 (citit)</v>
      </c>
      <c r="V50" s="647"/>
      <c r="W50" s="647"/>
      <c r="X50" s="647" t="str">
        <f>VLOOKUP(A50,Regularizare!$D:$AX,37,FALSE)&amp;" ("&amp;VLOOKUP(A50,Regularizare!$D:$AX,26,FALSE)&amp;")"</f>
        <v>162940 (citit)</v>
      </c>
      <c r="Y50" s="647"/>
      <c r="Z50" s="647"/>
      <c r="AA50" s="647">
        <f>VLOOKUP(A50,Regularizare!$D:$AX,37,FALSE)</f>
        <v>162940</v>
      </c>
      <c r="AB50" s="647"/>
      <c r="AC50" s="647"/>
      <c r="AD50" s="647" t="s">
        <v>69</v>
      </c>
      <c r="AE50" s="647"/>
      <c r="AF50" s="647">
        <f>AA50</f>
        <v>162940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1371622702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223568 (citit)</v>
      </c>
      <c r="S53" s="647"/>
      <c r="T53" s="647"/>
      <c r="U53" s="647" t="str">
        <f>VLOOKUP(A53,Regularizare!$D:$AX,31,FALSE)&amp;" ("&amp;VLOOKUP(A53,Regularizare!$D:$AX,32,FALSE)&amp;")"</f>
        <v>223568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1371622702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11184 (citit)</v>
      </c>
      <c r="S56" s="647"/>
      <c r="T56" s="647"/>
      <c r="U56" s="647" t="str">
        <f>VLOOKUP(A56,Regularizare!$D:$AX,35,FALSE)&amp;" ("&amp;VLOOKUP(A56,Regularizare!$D:$AX,36,FALSE)&amp;")"</f>
        <v>11184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1371622702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4214346 (citit)</v>
      </c>
      <c r="S59" s="647"/>
      <c r="T59" s="647"/>
      <c r="U59" s="647" t="str">
        <f>VLOOKUP(A59,'Incrementare indexe'!$D:$M,4,FALSE)&amp;" (estimat)"</f>
        <v>4382237 (estimat)</v>
      </c>
      <c r="V59" s="647"/>
      <c r="W59" s="647"/>
      <c r="X59" s="647" t="str">
        <f>VLOOKUP(A59,'Incrementare indexe'!$D:$Q,11,FALSE)&amp;" (estimat)"</f>
        <v>167891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167891</v>
      </c>
      <c r="AG59" s="647"/>
      <c r="AH59" s="647"/>
      <c r="AI59" s="647">
        <f>J61-J59+1</f>
        <v>31</v>
      </c>
      <c r="AJ59" s="647"/>
      <c r="AK59" s="647">
        <f>ROUND(AF59/AI59,2)</f>
        <v>5415.84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1371622702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223568 (citit)</v>
      </c>
      <c r="S62" s="647"/>
      <c r="T62" s="647"/>
      <c r="U62" s="647" t="str">
        <f>VLOOKUP(A62,'Incrementare indexe'!$D:$M,8,FALSE)&amp;" (estimat)"</f>
        <v>223568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1371622702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11184 (citit)</v>
      </c>
      <c r="S65" s="647"/>
      <c r="T65" s="647"/>
      <c r="U65" s="647" t="str">
        <f>VLOOKUP(A65,'Incrementare indexe'!$D:$M,10,FALSE)&amp;" (estimat)"</f>
        <v>11184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594040400001839968/2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_xlfn.CONCAT(AA32,".",2)</f>
        <v>RSMS_1.2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VLOOKUP(AI82,'Contorizare in SDI'!$E:$I,5,FALSE)</f>
        <v>1371641581</v>
      </c>
      <c r="B87" s="679"/>
      <c r="C87" s="679"/>
      <c r="D87" s="679"/>
      <c r="E87" s="679"/>
      <c r="F87" s="680"/>
      <c r="G87" s="648" t="s">
        <v>730</v>
      </c>
      <c r="H87" s="648"/>
      <c r="I87" s="673"/>
      <c r="J87" s="655">
        <f>'Date masura OD'!$AK$5</f>
        <v>45748</v>
      </c>
      <c r="K87" s="656"/>
      <c r="L87" s="657"/>
      <c r="M87" s="720" t="s">
        <v>446</v>
      </c>
      <c r="N87" s="648"/>
      <c r="O87" s="648">
        <f>VLOOKUP(AI82,'Incrementare indexe'!$B:$T,4,FALSE)</f>
        <v>1</v>
      </c>
      <c r="P87" s="648"/>
      <c r="Q87" s="648"/>
      <c r="R87" s="647" t="str">
        <f>VLOOKUP(A87,Regularizare!$D:$YN,3,FALSE)&amp;" ("&amp;VLOOKUP(A87,Regularizare!$D:$Y,11,FALSE)&amp;")"</f>
        <v>4982053 (citit)</v>
      </c>
      <c r="S87" s="647"/>
      <c r="T87" s="647"/>
      <c r="U87" s="647" t="str">
        <f>VLOOKUP(A87,Regularizare!$D:$U,4,FALSE)&amp;" ("&amp;VLOOKUP(A87,Regularizare!$D:$U,12,FALSE)&amp;")"</f>
        <v>5185710 (estimat)</v>
      </c>
      <c r="V87" s="647"/>
      <c r="W87" s="647"/>
      <c r="X87" s="647" t="str">
        <f>VLOOKUP(A87,Regularizare!$D:$Y,19,FALSE)&amp;" ("&amp;VLOOKUP(A87,Regularizare!$D:$U,12,FALSE)&amp;")"</f>
        <v>203657 (estimat)</v>
      </c>
      <c r="Y87" s="647"/>
      <c r="Z87" s="647"/>
      <c r="AA87" s="647">
        <f>(-1)*VLOOKUP(A87,Regularizare!$D:$Y,19,FALSE)</f>
        <v>-203657</v>
      </c>
      <c r="AB87" s="647"/>
      <c r="AC87" s="647"/>
      <c r="AD87" s="647" t="s">
        <v>69</v>
      </c>
      <c r="AE87" s="647"/>
      <c r="AF87" s="647">
        <f>AA87</f>
        <v>-203657</v>
      </c>
      <c r="AG87" s="647"/>
      <c r="AH87" s="647"/>
      <c r="AI87" s="647" t="s">
        <v>69</v>
      </c>
      <c r="AJ87" s="647"/>
      <c r="AK87" s="647" t="s">
        <v>69</v>
      </c>
      <c r="AL87" s="647"/>
      <c r="AM87" s="647"/>
    </row>
    <row r="88" spans="1:39" ht="9.75" customHeight="1">
      <c r="A88" s="717"/>
      <c r="B88" s="718"/>
      <c r="C88" s="718"/>
      <c r="D88" s="718"/>
      <c r="E88" s="718"/>
      <c r="F88" s="719"/>
      <c r="G88" s="648"/>
      <c r="H88" s="648"/>
      <c r="I88" s="673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8"/>
      <c r="H89" s="648"/>
      <c r="I89" s="673"/>
      <c r="J89" s="714">
        <f>'Date masura OD'!$AL$5</f>
        <v>45777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1371641581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45748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tr">
        <f>VLOOKUP(A90,Regularizare!$D:$U,7,FALSE)&amp;" ("&amp;VLOOKUP(A90,Regularizare!$D:$U,15,FALSE)&amp;")"</f>
        <v>236837 (citit)</v>
      </c>
      <c r="S90" s="647"/>
      <c r="T90" s="647"/>
      <c r="U90" s="647" t="str">
        <f>VLOOKUP(A90,Regularizare!$D:$U,8,FALSE)&amp;" ("&amp;VLOOKUP(A90,Regularizare!$D:$U,16,FALSE)&amp;")"</f>
        <v>236837 (estimat)</v>
      </c>
      <c r="V90" s="647"/>
      <c r="W90" s="647"/>
      <c r="X90" s="647" t="str">
        <f>_xlfn.CONCAT(VLOOKUP(A90,Regularizare!$D:$U,8,FALSE)-VLOOKUP(A90,Regularizare!$D:$U,7,FALSE)," (",VLOOKUP(A90,Regularizare!$D:$U,16,FALSE),")")</f>
        <v>0 (estimat)</v>
      </c>
      <c r="Y90" s="647"/>
      <c r="Z90" s="647"/>
      <c r="AA90" s="647">
        <f>IF(VLOOKUP(A90,Regularizare!$D:$Y,21,FALSE)=0,VLOOKUP(A90,Regularizare!$D:$Y,21,FALSE),(-1)*VLOOKUP(A90,Regularizare!$D:$Y,21,FALSE))</f>
        <v>0</v>
      </c>
      <c r="AB90" s="647"/>
      <c r="AC90" s="647"/>
      <c r="AD90" s="647" t="s">
        <v>69</v>
      </c>
      <c r="AE90" s="647"/>
      <c r="AF90" s="647">
        <f>AA90</f>
        <v>0</v>
      </c>
      <c r="AG90" s="647"/>
      <c r="AH90" s="647"/>
      <c r="AI90" s="647" t="str">
        <f>AI87</f>
        <v>-</v>
      </c>
      <c r="AJ90" s="647"/>
      <c r="AK90" s="647" t="str">
        <f>AK87</f>
        <v>-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45777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1371641581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45748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tr">
        <f>VLOOKUP(A93,Regularizare!$D:$U,9,FALSE)&amp;" ("&amp;VLOOKUP(A93,Regularizare!$D:$U,17,FALSE)&amp;")"</f>
        <v>9539 (citit)</v>
      </c>
      <c r="S93" s="647"/>
      <c r="T93" s="647"/>
      <c r="U93" s="647" t="str">
        <f>VLOOKUP(A93,Regularizare!$D:$U,10,FALSE)&amp;" ("&amp;VLOOKUP(A93,Regularizare!$D:$U,18,FALSE)&amp;")"</f>
        <v>9539 (estimat)</v>
      </c>
      <c r="V93" s="647"/>
      <c r="W93" s="647"/>
      <c r="X93" s="647" t="str">
        <f>_xlfn.CONCAT(VLOOKUP(A93,Regularizare!$D:$U,10,FALSE)-VLOOKUP(A93,Regularizare!$D:$U,9,FALSE)," (",VLOOKUP(A93,Regularizare!$D:$U,18,FALSE),")")</f>
        <v>0 (estimat)</v>
      </c>
      <c r="Y93" s="647"/>
      <c r="Z93" s="647"/>
      <c r="AA93" s="647">
        <f>IF(VLOOKUP(A93,Regularizare!$D:$Y,22,FALSE)=0,VLOOKUP(A93,Regularizare!$D:$Y,22,FALSE),(-1)*VLOOKUP(A93,Regularizare!$D:$Y,22,FALSE))</f>
        <v>0</v>
      </c>
      <c r="AB93" s="647"/>
      <c r="AC93" s="647"/>
      <c r="AD93" s="647" t="s">
        <v>69</v>
      </c>
      <c r="AE93" s="647"/>
      <c r="AF93" s="647">
        <f>AA93</f>
        <v>0</v>
      </c>
      <c r="AG93" s="647"/>
      <c r="AH93" s="647"/>
      <c r="AI93" s="647" t="str">
        <f>AI90</f>
        <v>-</v>
      </c>
      <c r="AJ93" s="647"/>
      <c r="AK93" s="647" t="str">
        <f>AK90</f>
        <v>-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45777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78">
        <f>A93</f>
        <v>1371641581</v>
      </c>
      <c r="B96" s="679"/>
      <c r="C96" s="679"/>
      <c r="D96" s="679"/>
      <c r="E96" s="679"/>
      <c r="F96" s="680"/>
      <c r="G96" s="648" t="s">
        <v>730</v>
      </c>
      <c r="H96" s="648"/>
      <c r="I96" s="673"/>
      <c r="J96" s="655">
        <f>'Date masura OD'!$AK$5</f>
        <v>45748</v>
      </c>
      <c r="K96" s="656"/>
      <c r="L96" s="657"/>
      <c r="M96" s="720" t="s">
        <v>446</v>
      </c>
      <c r="N96" s="648"/>
      <c r="O96" s="648">
        <f>O93</f>
        <v>1</v>
      </c>
      <c r="P96" s="648"/>
      <c r="Q96" s="648"/>
      <c r="R96" s="647" t="str">
        <f>VLOOKUP(A96,Regularizare!$D:$AX,23,FALSE)&amp;" ("&amp;VLOOKUP(A96,Regularizare!$D:$AX,24,FALSE)&amp;")"</f>
        <v>4982053 (citit)</v>
      </c>
      <c r="S96" s="647"/>
      <c r="T96" s="647"/>
      <c r="U96" s="647" t="str">
        <f>VLOOKUP(A96,Regularizare!$D:$AX,25,FALSE)&amp;" ("&amp;VLOOKUP(A96,Regularizare!$D:$AX,26,FALSE)&amp;")"</f>
        <v>5185710 (citit)</v>
      </c>
      <c r="V96" s="647"/>
      <c r="W96" s="647"/>
      <c r="X96" s="647" t="str">
        <f>VLOOKUP(A96,Regularizare!$D:$AX,37,FALSE)&amp;" ("&amp;VLOOKUP(A96,Regularizare!$D:$AX,26,FALSE)&amp;")"</f>
        <v>203657 (citit)</v>
      </c>
      <c r="Y96" s="647"/>
      <c r="Z96" s="647"/>
      <c r="AA96" s="647">
        <f>VLOOKUP(A96,Regularizare!$D:$AX,37,FALSE)</f>
        <v>203657</v>
      </c>
      <c r="AB96" s="647"/>
      <c r="AC96" s="647"/>
      <c r="AD96" s="647" t="s">
        <v>69</v>
      </c>
      <c r="AE96" s="647"/>
      <c r="AF96" s="647">
        <f>AA96</f>
        <v>203657</v>
      </c>
      <c r="AG96" s="647"/>
      <c r="AH96" s="647"/>
      <c r="AI96" s="647" t="str">
        <f>AI93</f>
        <v>-</v>
      </c>
      <c r="AJ96" s="647"/>
      <c r="AK96" s="647" t="str">
        <f>AK93</f>
        <v>-</v>
      </c>
      <c r="AL96" s="647"/>
      <c r="AM96" s="647"/>
    </row>
    <row r="97" spans="1:39" ht="8.4499999999999993" customHeight="1">
      <c r="A97" s="717"/>
      <c r="B97" s="718"/>
      <c r="C97" s="718"/>
      <c r="D97" s="718"/>
      <c r="E97" s="718"/>
      <c r="F97" s="719"/>
      <c r="G97" s="648"/>
      <c r="H97" s="648"/>
      <c r="I97" s="673"/>
      <c r="J97" s="717" t="s">
        <v>69</v>
      </c>
      <c r="K97" s="718"/>
      <c r="L97" s="719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1"/>
      <c r="B98" s="682"/>
      <c r="C98" s="682"/>
      <c r="D98" s="682"/>
      <c r="E98" s="682"/>
      <c r="F98" s="683"/>
      <c r="G98" s="648"/>
      <c r="H98" s="648"/>
      <c r="I98" s="673"/>
      <c r="J98" s="714">
        <f>'Date masura OD'!$AL$5</f>
        <v>45777</v>
      </c>
      <c r="K98" s="715"/>
      <c r="L98" s="716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78">
        <f>A96</f>
        <v>1371641581</v>
      </c>
      <c r="B99" s="679"/>
      <c r="C99" s="679"/>
      <c r="D99" s="679"/>
      <c r="E99" s="679"/>
      <c r="F99" s="680"/>
      <c r="G99" s="648" t="s">
        <v>696</v>
      </c>
      <c r="H99" s="648"/>
      <c r="I99" s="648"/>
      <c r="J99" s="655">
        <f t="shared" ref="J99:J104" si="4">J96</f>
        <v>45748</v>
      </c>
      <c r="K99" s="656"/>
      <c r="L99" s="657"/>
      <c r="M99" s="648" t="s">
        <v>720</v>
      </c>
      <c r="N99" s="648"/>
      <c r="O99" s="648">
        <f>O96</f>
        <v>1</v>
      </c>
      <c r="P99" s="648"/>
      <c r="Q99" s="648"/>
      <c r="R99" s="647" t="str">
        <f>VLOOKUP(A99,Regularizare!$D:$AX,29,FALSE)&amp;" ("&amp;VLOOKUP(A99,Regularizare!$D:$AX,30,FALSE)&amp;")"</f>
        <v>236837 (citit)</v>
      </c>
      <c r="S99" s="647"/>
      <c r="T99" s="647"/>
      <c r="U99" s="647" t="str">
        <f>VLOOKUP(A99,Regularizare!$D:$AX,31,FALSE)&amp;" ("&amp;VLOOKUP(A99,Regularizare!$D:$AX,32,FALSE)&amp;")"</f>
        <v>236837 (citit)</v>
      </c>
      <c r="V99" s="647"/>
      <c r="W99" s="647"/>
      <c r="X99" s="647" t="str">
        <f>VLOOKUP(A99,Regularizare!$D:$AX,39,FALSE)&amp;" ("&amp;VLOOKUP(A99,Regularizare!$D:$AX,32,FALSE)&amp;")"</f>
        <v>0 (citit)</v>
      </c>
      <c r="Y99" s="647"/>
      <c r="Z99" s="647"/>
      <c r="AA99" s="647">
        <f>VLOOKUP(A99,Regularizare!$D:$AX,44,FALSE)+VLOOKUP(A99,Regularizare!$D:$AX,45,FALSE)</f>
        <v>0</v>
      </c>
      <c r="AB99" s="647"/>
      <c r="AC99" s="647"/>
      <c r="AD99" s="647" t="s">
        <v>69</v>
      </c>
      <c r="AE99" s="647"/>
      <c r="AF99" s="647">
        <f>AA99</f>
        <v>0</v>
      </c>
      <c r="AG99" s="647"/>
      <c r="AH99" s="647"/>
      <c r="AI99" s="647" t="str">
        <f>AI96</f>
        <v>-</v>
      </c>
      <c r="AJ99" s="647"/>
      <c r="AK99" s="647" t="str">
        <f>AK96</f>
        <v>-</v>
      </c>
      <c r="AL99" s="647"/>
      <c r="AM99" s="647"/>
    </row>
    <row r="100" spans="1:39" ht="8.4499999999999993" customHeight="1">
      <c r="A100" s="717"/>
      <c r="B100" s="718"/>
      <c r="C100" s="718"/>
      <c r="D100" s="718"/>
      <c r="E100" s="718"/>
      <c r="F100" s="719"/>
      <c r="G100" s="648"/>
      <c r="H100" s="648"/>
      <c r="I100" s="648"/>
      <c r="J100" s="717" t="str">
        <f t="shared" si="4"/>
        <v>-</v>
      </c>
      <c r="K100" s="718"/>
      <c r="L100" s="719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1"/>
      <c r="B101" s="682"/>
      <c r="C101" s="682"/>
      <c r="D101" s="682"/>
      <c r="E101" s="682"/>
      <c r="F101" s="683"/>
      <c r="G101" s="648"/>
      <c r="H101" s="648"/>
      <c r="I101" s="648"/>
      <c r="J101" s="714">
        <f t="shared" si="4"/>
        <v>45777</v>
      </c>
      <c r="K101" s="715"/>
      <c r="L101" s="716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78">
        <f>A99</f>
        <v>1371641581</v>
      </c>
      <c r="B102" s="679"/>
      <c r="C102" s="679"/>
      <c r="D102" s="679"/>
      <c r="E102" s="679"/>
      <c r="F102" s="680"/>
      <c r="G102" s="648" t="s">
        <v>731</v>
      </c>
      <c r="H102" s="648"/>
      <c r="I102" s="648"/>
      <c r="J102" s="655">
        <f t="shared" si="4"/>
        <v>45748</v>
      </c>
      <c r="K102" s="656"/>
      <c r="L102" s="657"/>
      <c r="M102" s="648" t="s">
        <v>720</v>
      </c>
      <c r="N102" s="648"/>
      <c r="O102" s="648">
        <f>O99</f>
        <v>1</v>
      </c>
      <c r="P102" s="648"/>
      <c r="Q102" s="648"/>
      <c r="R102" s="647" t="str">
        <f>VLOOKUP(A102,Regularizare!$D:$AX,33,FALSE)&amp;" ("&amp;VLOOKUP(A102,Regularizare!$D:$AX,34,FALSE)&amp;")"</f>
        <v>9539 (citit)</v>
      </c>
      <c r="S102" s="647"/>
      <c r="T102" s="647"/>
      <c r="U102" s="647" t="str">
        <f>VLOOKUP(A102,Regularizare!$D:$AX,35,FALSE)&amp;" ("&amp;VLOOKUP(A102,Regularizare!$D:$AX,36,FALSE)&amp;")"</f>
        <v>9539 (citit)</v>
      </c>
      <c r="V102" s="647"/>
      <c r="W102" s="647"/>
      <c r="X102" s="647" t="str">
        <f>VLOOKUP(A102,Regularizare!$D:$AX,40,FALSE)&amp;" ("&amp;VLOOKUP(A102,Regularizare!$D:$AX,36,FALSE)&amp;")"</f>
        <v>0 (citit)</v>
      </c>
      <c r="Y102" s="647"/>
      <c r="Z102" s="647"/>
      <c r="AA102" s="647">
        <f>VLOOKUP(A102,Regularizare!$D:$AX,46,FALSE)+VLOOKUP(A102,Regularizare!$D:$AX,47,FALSE)</f>
        <v>0</v>
      </c>
      <c r="AB102" s="647"/>
      <c r="AC102" s="647"/>
      <c r="AD102" s="647" t="s">
        <v>69</v>
      </c>
      <c r="AE102" s="647"/>
      <c r="AF102" s="647">
        <f>AA102</f>
        <v>0</v>
      </c>
      <c r="AG102" s="647"/>
      <c r="AH102" s="647"/>
      <c r="AI102" s="647" t="str">
        <f>AI99</f>
        <v>-</v>
      </c>
      <c r="AJ102" s="647"/>
      <c r="AK102" s="647" t="str">
        <f>AK99</f>
        <v>-</v>
      </c>
      <c r="AL102" s="647"/>
      <c r="AM102" s="647"/>
    </row>
    <row r="103" spans="1:39" ht="8.4499999999999993" customHeight="1">
      <c r="A103" s="717"/>
      <c r="B103" s="718"/>
      <c r="C103" s="718"/>
      <c r="D103" s="718"/>
      <c r="E103" s="718"/>
      <c r="F103" s="719"/>
      <c r="G103" s="648"/>
      <c r="H103" s="648"/>
      <c r="I103" s="648"/>
      <c r="J103" s="717" t="str">
        <f t="shared" si="4"/>
        <v>-</v>
      </c>
      <c r="K103" s="718"/>
      <c r="L103" s="719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1"/>
      <c r="B104" s="682"/>
      <c r="C104" s="682"/>
      <c r="D104" s="682"/>
      <c r="E104" s="682"/>
      <c r="F104" s="683"/>
      <c r="G104" s="648"/>
      <c r="H104" s="648"/>
      <c r="I104" s="648"/>
      <c r="J104" s="714">
        <f t="shared" si="4"/>
        <v>45777</v>
      </c>
      <c r="K104" s="715"/>
      <c r="L104" s="716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>
        <f>A102</f>
        <v>1371641581</v>
      </c>
      <c r="B105" s="679"/>
      <c r="C105" s="679"/>
      <c r="D105" s="679"/>
      <c r="E105" s="679"/>
      <c r="F105" s="680"/>
      <c r="G105" s="648" t="s">
        <v>730</v>
      </c>
      <c r="H105" s="648"/>
      <c r="I105" s="673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O102</f>
        <v>1</v>
      </c>
      <c r="P105" s="648"/>
      <c r="Q105" s="648"/>
      <c r="R105" s="647" t="str">
        <f>U96</f>
        <v>5185710 (citit)</v>
      </c>
      <c r="S105" s="647"/>
      <c r="T105" s="647"/>
      <c r="U105" s="647" t="str">
        <f>VLOOKUP(A105,'Incrementare indexe'!$D:$M,4,FALSE)&amp;" (estimat)"</f>
        <v>5394522 (estimat)</v>
      </c>
      <c r="V105" s="647"/>
      <c r="W105" s="647"/>
      <c r="X105" s="647" t="str">
        <f>VLOOKUP(A105,'Incrementare indexe'!$D:$Q,11,FALSE)&amp;" (estimat)"</f>
        <v>208812 (estimat)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VLOOKUP(A105,'Incrementare indexe'!$D:$Q,11,FALSE)</f>
        <v>208812</v>
      </c>
      <c r="AG105" s="647"/>
      <c r="AH105" s="647"/>
      <c r="AI105" s="647">
        <f>J107-J105+1</f>
        <v>31</v>
      </c>
      <c r="AJ105" s="647"/>
      <c r="AK105" s="647">
        <f>ROUND(AF105/AI105,2)</f>
        <v>6735.87</v>
      </c>
      <c r="AL105" s="647"/>
      <c r="AM105" s="647"/>
    </row>
    <row r="106" spans="1:39" ht="8.4499999999999993" customHeight="1">
      <c r="A106" s="717"/>
      <c r="B106" s="718"/>
      <c r="C106" s="718"/>
      <c r="D106" s="718"/>
      <c r="E106" s="718"/>
      <c r="F106" s="719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8"/>
      <c r="H107" s="648"/>
      <c r="I107" s="673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>
        <f>A105</f>
        <v>1371641581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 t="shared" ref="J108:J113" si="5">J105</f>
        <v>45778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U99</f>
        <v>236837 (citit)</v>
      </c>
      <c r="S108" s="647"/>
      <c r="T108" s="647"/>
      <c r="U108" s="647" t="str">
        <f>VLOOKUP(A108,'Incrementare indexe'!$D:$M,8,FALSE)&amp;" (estimat)"</f>
        <v>236837 (estimat)</v>
      </c>
      <c r="V108" s="647"/>
      <c r="W108" s="647"/>
      <c r="X108" s="647" t="str">
        <f>VLOOKUP(A108,'Incrementare indexe'!$D:$Q,12,FALSE)&amp;" (estimat)"</f>
        <v>0 (estimat)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f>VLOOKUP(A108,'Incrementare indexe'!$D:$Q,12,FALSE)</f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8.4499999999999993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 t="shared" si="5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 t="shared" si="5"/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>
        <f>A108</f>
        <v>1371641581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si="5"/>
        <v>45778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U102</f>
        <v>9539 (citit)</v>
      </c>
      <c r="S111" s="647"/>
      <c r="T111" s="647"/>
      <c r="U111" s="647" t="str">
        <f>VLOOKUP(A111,'Incrementare indexe'!$D:$M,10,FALSE)&amp;" (estimat)"</f>
        <v>9539 (estimat)</v>
      </c>
      <c r="V111" s="647"/>
      <c r="W111" s="647"/>
      <c r="X111" s="647" t="str">
        <f>VLOOKUP(A111,'Incrementare indexe'!$D:$Q,13,FALSE)&amp;" (estimat)"</f>
        <v>0 (estimat)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f>VLOOKUP(A111,'Incrementare indexe'!$D:$Q,13,FALSE)</f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8.4499999999999993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5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5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>
      <c r="A116" s="721" t="s">
        <v>1196</v>
      </c>
      <c r="B116" s="722"/>
      <c r="C116" s="722"/>
      <c r="D116" s="722"/>
      <c r="E116" s="722"/>
      <c r="F116" s="722"/>
      <c r="G116" s="722"/>
      <c r="H116" s="722"/>
      <c r="I116" s="722"/>
      <c r="J116" s="722"/>
      <c r="K116" s="722"/>
      <c r="L116" s="722"/>
      <c r="M116" s="722"/>
      <c r="N116" s="722"/>
      <c r="O116" s="722"/>
      <c r="P116" s="722"/>
      <c r="Q116" s="722"/>
      <c r="R116" s="722"/>
      <c r="S116" s="722"/>
      <c r="T116" s="722"/>
      <c r="U116" s="722"/>
      <c r="V116" s="722"/>
      <c r="W116" s="722"/>
      <c r="X116" s="722"/>
      <c r="Y116" s="722"/>
      <c r="Z116" s="722"/>
      <c r="AA116" s="722"/>
      <c r="AB116" s="722"/>
      <c r="AC116" s="722"/>
      <c r="AD116" s="722"/>
      <c r="AE116" s="722"/>
      <c r="AF116" s="722"/>
      <c r="AG116" s="722"/>
      <c r="AH116" s="723"/>
      <c r="AI116" s="650" t="s">
        <v>695</v>
      </c>
      <c r="AJ116" s="650"/>
      <c r="AK116" s="650"/>
      <c r="AL116" s="650"/>
      <c r="AM116" s="650"/>
    </row>
    <row r="117" spans="1:39" ht="14.1" customHeight="1">
      <c r="A117" s="649" t="s">
        <v>746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514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 t="str">
        <f>_xlfn.CONCAT(AI82,"/PV")</f>
        <v>RSMS_1.2/PV</v>
      </c>
      <c r="AJ117" s="619"/>
      <c r="AK117" s="619"/>
      <c r="AL117" s="619"/>
      <c r="AM117" s="619"/>
    </row>
    <row r="118" spans="1:39" ht="14.1" customHeight="1">
      <c r="A118" s="649" t="s">
        <v>747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1087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/>
      <c r="AJ118" s="619"/>
      <c r="AK118" s="619"/>
      <c r="AL118" s="619"/>
      <c r="AM118" s="619"/>
    </row>
    <row r="119" spans="1:39" ht="14.1" customHeight="1">
      <c r="A119" s="648" t="s">
        <v>697</v>
      </c>
      <c r="B119" s="648"/>
      <c r="C119" s="648"/>
      <c r="D119" s="648"/>
      <c r="E119" s="648"/>
      <c r="F119" s="648"/>
      <c r="G119" s="647" t="s">
        <v>713</v>
      </c>
      <c r="H119" s="647"/>
      <c r="I119" s="647"/>
      <c r="J119" s="647" t="s">
        <v>714</v>
      </c>
      <c r="K119" s="647"/>
      <c r="L119" s="647"/>
      <c r="M119" s="648" t="s">
        <v>519</v>
      </c>
      <c r="N119" s="648"/>
      <c r="O119" s="648" t="s">
        <v>715</v>
      </c>
      <c r="P119" s="648"/>
      <c r="Q119" s="648"/>
      <c r="R119" s="647" t="s">
        <v>732</v>
      </c>
      <c r="S119" s="647"/>
      <c r="T119" s="647"/>
      <c r="U119" s="647" t="s">
        <v>734</v>
      </c>
      <c r="V119" s="647"/>
      <c r="W119" s="647"/>
      <c r="X119" s="647" t="s">
        <v>1085</v>
      </c>
      <c r="Y119" s="647"/>
      <c r="Z119" s="647"/>
      <c r="AA119" s="647" t="s">
        <v>1086</v>
      </c>
      <c r="AB119" s="647"/>
      <c r="AC119" s="647"/>
      <c r="AD119" s="647" t="s">
        <v>717</v>
      </c>
      <c r="AE119" s="647"/>
      <c r="AF119" s="647" t="s">
        <v>718</v>
      </c>
      <c r="AG119" s="647"/>
      <c r="AH119" s="647"/>
      <c r="AI119" s="647" t="s">
        <v>719</v>
      </c>
      <c r="AJ119" s="647"/>
      <c r="AK119" s="647" t="s">
        <v>733</v>
      </c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647"/>
      <c r="K120" s="647"/>
      <c r="L120" s="647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713"/>
      <c r="K121" s="713"/>
      <c r="L121" s="713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78">
        <f>VLOOKUP(AI117,'Incrementare indexe'!$B:$I,3,FALSE)</f>
        <v>1371621501</v>
      </c>
      <c r="B122" s="679"/>
      <c r="C122" s="679"/>
      <c r="D122" s="679"/>
      <c r="E122" s="679"/>
      <c r="F122" s="680"/>
      <c r="G122" s="647" t="s">
        <v>1088</v>
      </c>
      <c r="H122" s="647"/>
      <c r="I122" s="675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VLOOKUP(AI117,'Incrementare indexe'!$B:$I,4,FALSE)</f>
        <v>1</v>
      </c>
      <c r="P122" s="648"/>
      <c r="Q122" s="648"/>
      <c r="R122" s="647" t="str">
        <f>VLOOKUP(AI117,'Incrementare indexe'!$B:$I,7,FALSE)&amp;" (citit)"</f>
        <v>495216 (citit)</v>
      </c>
      <c r="S122" s="647"/>
      <c r="T122" s="647"/>
      <c r="U122" s="647" t="str">
        <f>VLOOKUP(AI117,'Incrementare indexe'!$B:$I,8,FALSE)&amp;" (citit)"</f>
        <v>534695 (citit)</v>
      </c>
      <c r="V122" s="647"/>
      <c r="W122" s="647"/>
      <c r="X122" s="647" t="str">
        <f>(VLOOKUP(AI117,'Incrementare indexe'!$B:$I,8,FALSE)-VLOOKUP(AI117,'Incrementare indexe'!$B:$I,7,FALSE))&amp;" (citit)"</f>
        <v>39479 (citit)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(VLOOKUP(AI117,'Incrementare indexe'!$B:$I,8,FALSE)-VLOOKUP(AI117,'Incrementare indexe'!$B:$I,7,FALSE))</f>
        <v>39479</v>
      </c>
      <c r="AG122" s="647"/>
      <c r="AH122" s="647"/>
      <c r="AI122" s="647">
        <f>J124-J122+1</f>
        <v>31</v>
      </c>
      <c r="AJ122" s="647"/>
      <c r="AK122" s="647">
        <f>ROUND(AF122/AI122,2)</f>
        <v>1273.52</v>
      </c>
      <c r="AL122" s="647"/>
      <c r="AM122" s="647"/>
    </row>
    <row r="123" spans="1:39" ht="14.1" customHeight="1">
      <c r="A123" s="717"/>
      <c r="B123" s="718"/>
      <c r="C123" s="718"/>
      <c r="D123" s="718"/>
      <c r="E123" s="718"/>
      <c r="F123" s="719"/>
      <c r="G123" s="647"/>
      <c r="H123" s="647"/>
      <c r="I123" s="675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1"/>
      <c r="B124" s="682"/>
      <c r="C124" s="682"/>
      <c r="D124" s="682"/>
      <c r="E124" s="682"/>
      <c r="F124" s="683"/>
      <c r="G124" s="647"/>
      <c r="H124" s="647"/>
      <c r="I124" s="675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1371621501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">
        <v>1089</v>
      </c>
      <c r="S125" s="647"/>
      <c r="T125" s="647"/>
      <c r="U125" s="647" t="s">
        <v>1089</v>
      </c>
      <c r="V125" s="647"/>
      <c r="W125" s="647"/>
      <c r="X125" s="647" t="s">
        <v>1089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14.1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1371621501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">
        <v>1089</v>
      </c>
      <c r="S128" s="647"/>
      <c r="T128" s="647"/>
      <c r="U128" s="647" t="s">
        <v>1089</v>
      </c>
      <c r="V128" s="647"/>
      <c r="W128" s="647"/>
      <c r="X128" s="647" t="s">
        <v>1089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14.1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/>
    <row r="132" spans="1:39" ht="14.1" customHeight="1"/>
    <row r="133" spans="1:39" ht="14.1" customHeight="1"/>
    <row r="134" spans="1:39" ht="15.95" customHeight="1">
      <c r="A134" s="624" t="str">
        <f>A28</f>
        <v>DETALII FACTURA FACTURA FISCALA SERIA …........ NR …................. din date de ….......06.2025</v>
      </c>
      <c r="B134" s="624"/>
      <c r="C134" s="624"/>
      <c r="D134" s="624"/>
      <c r="E134" s="624"/>
      <c r="F134" s="624"/>
      <c r="G134" s="624"/>
      <c r="H134" s="624"/>
      <c r="I134" s="624"/>
      <c r="J134" s="624"/>
      <c r="K134" s="624"/>
      <c r="L134" s="624"/>
      <c r="M134" s="624"/>
      <c r="N134" s="624"/>
      <c r="O134" s="624"/>
      <c r="P134" s="624"/>
      <c r="Q134" s="624"/>
      <c r="R134" s="624"/>
      <c r="S134" s="624"/>
      <c r="T134" s="624"/>
      <c r="U134" s="624"/>
      <c r="V134" s="624"/>
      <c r="W134" s="624"/>
      <c r="X134" s="624"/>
      <c r="Y134" s="624"/>
      <c r="Z134" s="624"/>
      <c r="AA134" s="624"/>
      <c r="AB134" s="624"/>
      <c r="AC134" s="624"/>
      <c r="AD134" s="624"/>
      <c r="AE134" s="624"/>
      <c r="AF134" s="624"/>
      <c r="AG134" s="624"/>
      <c r="AH134" s="624"/>
      <c r="AI134" s="624"/>
      <c r="AJ134" s="624"/>
      <c r="AK134" s="624"/>
      <c r="AL134" s="624"/>
      <c r="AM134" s="624"/>
    </row>
    <row r="136" spans="1:39" ht="36" customHeight="1">
      <c r="A136" s="66" t="s">
        <v>721</v>
      </c>
      <c r="B136" s="648" t="s">
        <v>95</v>
      </c>
      <c r="C136" s="648"/>
      <c r="D136" s="648"/>
      <c r="E136" s="648"/>
      <c r="F136" s="648"/>
      <c r="G136" s="648"/>
      <c r="H136" s="648"/>
      <c r="I136" s="648"/>
      <c r="J136" s="648"/>
      <c r="K136" s="648"/>
      <c r="L136" s="64" t="s">
        <v>709</v>
      </c>
      <c r="M136" s="69"/>
      <c r="N136" s="69"/>
      <c r="O136" s="64"/>
      <c r="P136" s="69"/>
      <c r="Q136" s="69"/>
      <c r="R136" s="647" t="s">
        <v>722</v>
      </c>
      <c r="S136" s="647"/>
      <c r="T136" s="647"/>
      <c r="U136" s="647"/>
      <c r="V136" s="648" t="s">
        <v>519</v>
      </c>
      <c r="W136" s="648"/>
      <c r="X136" s="647" t="s">
        <v>723</v>
      </c>
      <c r="Y136" s="647"/>
      <c r="Z136" s="647"/>
      <c r="AA136" s="647"/>
      <c r="AB136" s="647" t="s">
        <v>724</v>
      </c>
      <c r="AC136" s="647"/>
      <c r="AD136" s="647"/>
      <c r="AE136" s="647"/>
      <c r="AF136" s="647" t="s">
        <v>725</v>
      </c>
      <c r="AG136" s="647"/>
      <c r="AH136" s="647"/>
      <c r="AI136" s="647"/>
      <c r="AJ136" s="647" t="s">
        <v>726</v>
      </c>
      <c r="AK136" s="647"/>
      <c r="AL136" s="647"/>
      <c r="AM136" s="647"/>
    </row>
    <row r="137" spans="1:39" ht="15.95" customHeight="1">
      <c r="A137" s="65">
        <v>1</v>
      </c>
      <c r="B137" s="699" t="s">
        <v>71</v>
      </c>
      <c r="C137" s="700"/>
      <c r="D137" s="700"/>
      <c r="E137" s="700"/>
      <c r="F137" s="700"/>
      <c r="G137" s="700"/>
      <c r="H137" s="700"/>
      <c r="I137" s="700"/>
      <c r="J137" s="700"/>
      <c r="K137" s="701"/>
      <c r="L137" s="702">
        <f>'Date masura OD'!$I$5</f>
        <v>45778</v>
      </c>
      <c r="M137" s="702"/>
      <c r="N137" s="702"/>
      <c r="O137" s="702">
        <f>'Date masura OD'!$J$5</f>
        <v>45808</v>
      </c>
      <c r="P137" s="702"/>
      <c r="Q137" s="702"/>
      <c r="R137" s="690" cm="1">
        <f t="array" ref="R137">INDEX(verificare!$AT$4:$CC$26,VLOOKUP($AA$16,verificare!$AR$4:$AS$26,2,FALSE),A137)</f>
        <v>376703</v>
      </c>
      <c r="S137" s="690"/>
      <c r="T137" s="690"/>
      <c r="U137" s="690"/>
      <c r="V137" s="658" t="s">
        <v>446</v>
      </c>
      <c r="W137" s="658"/>
      <c r="X137" s="691">
        <f>HLOOKUP(VLOOKUP($AA$16,'Date SPV'!$B:$F,5,FALSE),'Preturi si tarife'!$C$2:$J$39,A137+2,FALSE)</f>
        <v>0.59499999999999997</v>
      </c>
      <c r="Y137" s="692"/>
      <c r="Z137" s="692"/>
      <c r="AA137" s="693"/>
      <c r="AB137" s="690">
        <f>ROUND(X137*R137,2)</f>
        <v>224138.29</v>
      </c>
      <c r="AC137" s="690"/>
      <c r="AD137" s="690"/>
      <c r="AE137" s="690"/>
      <c r="AF137" s="690">
        <f>ROUND(AB137*19%,2)</f>
        <v>42586.28</v>
      </c>
      <c r="AG137" s="690"/>
      <c r="AH137" s="690"/>
      <c r="AI137" s="690"/>
      <c r="AJ137" s="690">
        <f>AB137+AF137</f>
        <v>266724.57</v>
      </c>
      <c r="AK137" s="690"/>
      <c r="AL137" s="690"/>
      <c r="AM137" s="690"/>
    </row>
    <row r="138" spans="1:39" ht="15.95" customHeight="1">
      <c r="A138" s="65">
        <f>A137+1</f>
        <v>2</v>
      </c>
      <c r="B138" s="699" t="s">
        <v>72</v>
      </c>
      <c r="C138" s="700"/>
      <c r="D138" s="700"/>
      <c r="E138" s="700"/>
      <c r="F138" s="700"/>
      <c r="G138" s="700"/>
      <c r="H138" s="700"/>
      <c r="I138" s="700"/>
      <c r="J138" s="700"/>
      <c r="K138" s="701"/>
      <c r="L138" s="702">
        <f>L137</f>
        <v>45778</v>
      </c>
      <c r="M138" s="702"/>
      <c r="N138" s="702"/>
      <c r="O138" s="702">
        <f>O137</f>
        <v>45808</v>
      </c>
      <c r="P138" s="702"/>
      <c r="Q138" s="702"/>
      <c r="R138" s="690" cm="1">
        <f t="array" ref="R138">INDEX(verificare!$AT$4:$CC$26,VLOOKUP($AA$16,verificare!$AR$4:$AS$26,2,FALSE),A138)</f>
        <v>0</v>
      </c>
      <c r="S138" s="690"/>
      <c r="T138" s="690"/>
      <c r="U138" s="690"/>
      <c r="V138" s="658" t="s">
        <v>727</v>
      </c>
      <c r="W138" s="658"/>
      <c r="X138" s="691">
        <f>HLOOKUP(VLOOKUP($AA$16,'Date SPV'!$B:$F,5,FALSE),'Preturi si tarife'!$C$2:$J$39,A138+2,FALSE)</f>
        <v>0.14649999999999999</v>
      </c>
      <c r="Y138" s="692"/>
      <c r="Z138" s="692"/>
      <c r="AA138" s="693"/>
      <c r="AB138" s="690">
        <f t="shared" ref="AB138:AB172" si="7">ROUND(X138*R138,2)</f>
        <v>0</v>
      </c>
      <c r="AC138" s="690"/>
      <c r="AD138" s="690"/>
      <c r="AE138" s="690"/>
      <c r="AF138" s="690">
        <f t="shared" ref="AF138:AF172" si="8">ROUND(AB138*19%,2)</f>
        <v>0</v>
      </c>
      <c r="AG138" s="690"/>
      <c r="AH138" s="690"/>
      <c r="AI138" s="690"/>
      <c r="AJ138" s="690">
        <f t="shared" ref="AJ138:AJ172" si="9">AB138+AF138</f>
        <v>0</v>
      </c>
      <c r="AK138" s="690"/>
      <c r="AL138" s="690"/>
      <c r="AM138" s="690"/>
    </row>
    <row r="139" spans="1:39" ht="15.95" customHeight="1">
      <c r="A139" s="65">
        <f t="shared" ref="A139:A174" si="10">A138+1</f>
        <v>3</v>
      </c>
      <c r="B139" s="699" t="s">
        <v>73</v>
      </c>
      <c r="C139" s="700"/>
      <c r="D139" s="700"/>
      <c r="E139" s="700"/>
      <c r="F139" s="700"/>
      <c r="G139" s="700"/>
      <c r="H139" s="700"/>
      <c r="I139" s="700"/>
      <c r="J139" s="700"/>
      <c r="K139" s="701"/>
      <c r="L139" s="702">
        <f t="shared" ref="L139:L147" si="11">L138</f>
        <v>45778</v>
      </c>
      <c r="M139" s="702"/>
      <c r="N139" s="702"/>
      <c r="O139" s="702">
        <f t="shared" ref="O139:O147" si="12">O138</f>
        <v>45808</v>
      </c>
      <c r="P139" s="702"/>
      <c r="Q139" s="702"/>
      <c r="R139" s="690" cm="1">
        <f t="array" ref="R139">INDEX(verificare!$AT$4:$CC$26,VLOOKUP($AA$16,verificare!$AR$4:$AS$26,2,FALSE),A139)</f>
        <v>0</v>
      </c>
      <c r="S139" s="690"/>
      <c r="T139" s="690"/>
      <c r="U139" s="690"/>
      <c r="V139" s="658" t="s">
        <v>727</v>
      </c>
      <c r="W139" s="658"/>
      <c r="X139" s="691">
        <f>HLOOKUP(VLOOKUP($AA$16,'Date SPV'!$B:$F,5,FALSE),'Preturi si tarife'!$C$2:$J$39,A139+2,FALSE)</f>
        <v>0.4395</v>
      </c>
      <c r="Y139" s="692"/>
      <c r="Z139" s="692"/>
      <c r="AA139" s="693"/>
      <c r="AB139" s="690">
        <f t="shared" si="7"/>
        <v>0</v>
      </c>
      <c r="AC139" s="690"/>
      <c r="AD139" s="690"/>
      <c r="AE139" s="690"/>
      <c r="AF139" s="690">
        <f t="shared" si="8"/>
        <v>0</v>
      </c>
      <c r="AG139" s="690"/>
      <c r="AH139" s="690"/>
      <c r="AI139" s="690"/>
      <c r="AJ139" s="690">
        <f t="shared" si="9"/>
        <v>0</v>
      </c>
      <c r="AK139" s="690"/>
      <c r="AL139" s="690"/>
      <c r="AM139" s="690"/>
    </row>
    <row r="140" spans="1:39" ht="15.95" customHeight="1">
      <c r="A140" s="65">
        <f t="shared" si="10"/>
        <v>4</v>
      </c>
      <c r="B140" s="699" t="s">
        <v>868</v>
      </c>
      <c r="C140" s="700"/>
      <c r="D140" s="700"/>
      <c r="E140" s="700"/>
      <c r="F140" s="700"/>
      <c r="G140" s="700"/>
      <c r="H140" s="700"/>
      <c r="I140" s="700"/>
      <c r="J140" s="700"/>
      <c r="K140" s="701"/>
      <c r="L140" s="702">
        <f t="shared" si="11"/>
        <v>45778</v>
      </c>
      <c r="M140" s="702"/>
      <c r="N140" s="702"/>
      <c r="O140" s="702">
        <f t="shared" si="12"/>
        <v>45808</v>
      </c>
      <c r="P140" s="702"/>
      <c r="Q140" s="702"/>
      <c r="R140" s="690" cm="1">
        <f t="array" ref="R140">INDEX(verificare!$AT$4:$CC$26,VLOOKUP($AA$16,verificare!$AR$4:$AS$26,2,FALSE),A140)</f>
        <v>376703</v>
      </c>
      <c r="S140" s="690"/>
      <c r="T140" s="690"/>
      <c r="U140" s="690"/>
      <c r="V140" s="658" t="s">
        <v>446</v>
      </c>
      <c r="W140" s="658"/>
      <c r="X140" s="691">
        <f>HLOOKUP(VLOOKUP($AA$16,'Date SPV'!$B:$F,5,FALSE),'Preturi si tarife'!$C$2:$J$39,A140+2,FALSE)</f>
        <v>0.11483</v>
      </c>
      <c r="Y140" s="692"/>
      <c r="Z140" s="692"/>
      <c r="AA140" s="693"/>
      <c r="AB140" s="690">
        <f t="shared" si="7"/>
        <v>43256.81</v>
      </c>
      <c r="AC140" s="690"/>
      <c r="AD140" s="690"/>
      <c r="AE140" s="690"/>
      <c r="AF140" s="690">
        <f t="shared" si="8"/>
        <v>8218.7900000000009</v>
      </c>
      <c r="AG140" s="690"/>
      <c r="AH140" s="690"/>
      <c r="AI140" s="690"/>
      <c r="AJ140" s="690">
        <f t="shared" si="9"/>
        <v>51475.6</v>
      </c>
      <c r="AK140" s="690"/>
      <c r="AL140" s="690"/>
      <c r="AM140" s="690"/>
    </row>
    <row r="141" spans="1:39" ht="15.95" customHeight="1">
      <c r="A141" s="65">
        <f t="shared" si="10"/>
        <v>5</v>
      </c>
      <c r="B141" s="699" t="s">
        <v>757</v>
      </c>
      <c r="C141" s="700"/>
      <c r="D141" s="700"/>
      <c r="E141" s="700"/>
      <c r="F141" s="700"/>
      <c r="G141" s="700"/>
      <c r="H141" s="700"/>
      <c r="I141" s="700"/>
      <c r="J141" s="700"/>
      <c r="K141" s="701"/>
      <c r="L141" s="702">
        <f t="shared" si="11"/>
        <v>45778</v>
      </c>
      <c r="M141" s="702"/>
      <c r="N141" s="702"/>
      <c r="O141" s="702">
        <f t="shared" si="12"/>
        <v>45808</v>
      </c>
      <c r="P141" s="702"/>
      <c r="Q141" s="702"/>
      <c r="R141" s="690" cm="1">
        <f t="array" ref="R141">INDEX(verificare!$AT$4:$CC$26,VLOOKUP($AA$16,verificare!$AR$4:$AS$26,2,FALSE),A141)</f>
        <v>0</v>
      </c>
      <c r="S141" s="690"/>
      <c r="T141" s="690"/>
      <c r="U141" s="690"/>
      <c r="V141" s="658" t="s">
        <v>446</v>
      </c>
      <c r="W141" s="658"/>
      <c r="X141" s="691">
        <f>HLOOKUP(VLOOKUP($AA$16,'Date SPV'!$B:$F,5,FALSE),'Preturi si tarife'!$C$2:$J$39,A141+2,FALSE)</f>
        <v>0.2361</v>
      </c>
      <c r="Y141" s="692"/>
      <c r="Z141" s="692"/>
      <c r="AA141" s="693"/>
      <c r="AB141" s="690">
        <f t="shared" si="7"/>
        <v>0</v>
      </c>
      <c r="AC141" s="690"/>
      <c r="AD141" s="690"/>
      <c r="AE141" s="690"/>
      <c r="AF141" s="690">
        <f t="shared" si="8"/>
        <v>0</v>
      </c>
      <c r="AG141" s="690"/>
      <c r="AH141" s="690"/>
      <c r="AI141" s="690"/>
      <c r="AJ141" s="690">
        <f t="shared" si="9"/>
        <v>0</v>
      </c>
      <c r="AK141" s="690"/>
      <c r="AL141" s="690"/>
      <c r="AM141" s="690"/>
    </row>
    <row r="142" spans="1:39" ht="15.95" customHeight="1">
      <c r="A142" s="65">
        <f t="shared" si="10"/>
        <v>6</v>
      </c>
      <c r="B142" s="699" t="s">
        <v>74</v>
      </c>
      <c r="C142" s="700"/>
      <c r="D142" s="700"/>
      <c r="E142" s="700"/>
      <c r="F142" s="700"/>
      <c r="G142" s="700"/>
      <c r="H142" s="700"/>
      <c r="I142" s="700"/>
      <c r="J142" s="700"/>
      <c r="K142" s="701"/>
      <c r="L142" s="702">
        <f t="shared" si="11"/>
        <v>45778</v>
      </c>
      <c r="M142" s="702"/>
      <c r="N142" s="702"/>
      <c r="O142" s="702">
        <f t="shared" si="12"/>
        <v>45808</v>
      </c>
      <c r="P142" s="702"/>
      <c r="Q142" s="702"/>
      <c r="R142" s="690" cm="1">
        <f t="array" ref="R142">INDEX(verificare!$AT$4:$CC$26,VLOOKUP($AA$16,verificare!$AR$4:$AS$26,2,FALSE),A142)</f>
        <v>376703</v>
      </c>
      <c r="S142" s="690"/>
      <c r="T142" s="690"/>
      <c r="U142" s="690"/>
      <c r="V142" s="658" t="s">
        <v>446</v>
      </c>
      <c r="W142" s="658"/>
      <c r="X142" s="691">
        <f>HLOOKUP(VLOOKUP($AA$16,'Date SPV'!$B:$F,5,FALSE),'Preturi si tarife'!$C$2:$J$39,A142+2,FALSE)</f>
        <v>1.1509999999999999E-2</v>
      </c>
      <c r="Y142" s="692"/>
      <c r="Z142" s="692"/>
      <c r="AA142" s="693"/>
      <c r="AB142" s="690">
        <f t="shared" si="7"/>
        <v>4335.8500000000004</v>
      </c>
      <c r="AC142" s="690"/>
      <c r="AD142" s="690"/>
      <c r="AE142" s="690"/>
      <c r="AF142" s="690">
        <f t="shared" si="8"/>
        <v>823.81</v>
      </c>
      <c r="AG142" s="690"/>
      <c r="AH142" s="690"/>
      <c r="AI142" s="690"/>
      <c r="AJ142" s="690">
        <f t="shared" si="9"/>
        <v>5159.66</v>
      </c>
      <c r="AK142" s="690"/>
      <c r="AL142" s="690"/>
      <c r="AM142" s="690"/>
    </row>
    <row r="143" spans="1:39" ht="15.95" customHeight="1">
      <c r="A143" s="65">
        <f t="shared" si="10"/>
        <v>7</v>
      </c>
      <c r="B143" s="699" t="s">
        <v>75</v>
      </c>
      <c r="C143" s="700"/>
      <c r="D143" s="700"/>
      <c r="E143" s="700"/>
      <c r="F143" s="700"/>
      <c r="G143" s="700"/>
      <c r="H143" s="700"/>
      <c r="I143" s="700"/>
      <c r="J143" s="700"/>
      <c r="K143" s="701"/>
      <c r="L143" s="702">
        <f t="shared" si="11"/>
        <v>45778</v>
      </c>
      <c r="M143" s="702"/>
      <c r="N143" s="702"/>
      <c r="O143" s="702">
        <f t="shared" si="12"/>
        <v>45808</v>
      </c>
      <c r="P143" s="702"/>
      <c r="Q143" s="702"/>
      <c r="R143" s="690" cm="1">
        <f t="array" ref="R143">INDEX(verificare!$AT$4:$CC$26,VLOOKUP($AA$16,verificare!$AR$4:$AS$26,2,FALSE),A143)</f>
        <v>376703</v>
      </c>
      <c r="S143" s="690"/>
      <c r="T143" s="690"/>
      <c r="U143" s="690"/>
      <c r="V143" s="658" t="s">
        <v>446</v>
      </c>
      <c r="W143" s="658"/>
      <c r="X143" s="691">
        <f>HLOOKUP(VLOOKUP($AA$16,'Date SPV'!$B:$F,5,FALSE),'Preturi si tarife'!$C$2:$J$39,A143+2,FALSE)</f>
        <v>3.3030000000000004E-2</v>
      </c>
      <c r="Y143" s="692"/>
      <c r="Z143" s="692"/>
      <c r="AA143" s="693"/>
      <c r="AB143" s="690">
        <f t="shared" si="7"/>
        <v>12442.5</v>
      </c>
      <c r="AC143" s="690"/>
      <c r="AD143" s="690"/>
      <c r="AE143" s="690"/>
      <c r="AF143" s="690">
        <f t="shared" si="8"/>
        <v>2364.08</v>
      </c>
      <c r="AG143" s="690"/>
      <c r="AH143" s="690"/>
      <c r="AI143" s="690"/>
      <c r="AJ143" s="690">
        <f t="shared" si="9"/>
        <v>14806.58</v>
      </c>
      <c r="AK143" s="690"/>
      <c r="AL143" s="690"/>
      <c r="AM143" s="690"/>
    </row>
    <row r="144" spans="1:39" ht="15.95" customHeight="1">
      <c r="A144" s="65">
        <f t="shared" si="10"/>
        <v>8</v>
      </c>
      <c r="B144" s="699" t="s">
        <v>76</v>
      </c>
      <c r="C144" s="700"/>
      <c r="D144" s="700"/>
      <c r="E144" s="700"/>
      <c r="F144" s="700"/>
      <c r="G144" s="700"/>
      <c r="H144" s="700"/>
      <c r="I144" s="700"/>
      <c r="J144" s="700"/>
      <c r="K144" s="701"/>
      <c r="L144" s="702">
        <f t="shared" si="11"/>
        <v>45778</v>
      </c>
      <c r="M144" s="702"/>
      <c r="N144" s="702"/>
      <c r="O144" s="702">
        <f t="shared" si="12"/>
        <v>45808</v>
      </c>
      <c r="P144" s="702"/>
      <c r="Q144" s="702"/>
      <c r="R144" s="690" cm="1">
        <f t="array" ref="R144">INDEX(verificare!$AT$4:$CC$26,VLOOKUP($AA$16,verificare!$AR$4:$AS$26,2,FALSE),A144)</f>
        <v>376703</v>
      </c>
      <c r="S144" s="690"/>
      <c r="T144" s="690"/>
      <c r="U144" s="690"/>
      <c r="V144" s="658" t="s">
        <v>446</v>
      </c>
      <c r="W144" s="658"/>
      <c r="X144" s="691">
        <f>HLOOKUP(VLOOKUP($AA$16,'Date SPV'!$B:$F,5,FALSE),'Preturi si tarife'!$C$2:$J$39,A144+2,FALSE)</f>
        <v>3.29E-3</v>
      </c>
      <c r="Y144" s="692"/>
      <c r="Z144" s="692"/>
      <c r="AA144" s="693"/>
      <c r="AB144" s="690">
        <f t="shared" si="7"/>
        <v>1239.3499999999999</v>
      </c>
      <c r="AC144" s="690"/>
      <c r="AD144" s="690"/>
      <c r="AE144" s="690"/>
      <c r="AF144" s="690">
        <f t="shared" si="8"/>
        <v>235.48</v>
      </c>
      <c r="AG144" s="690"/>
      <c r="AH144" s="690"/>
      <c r="AI144" s="690"/>
      <c r="AJ144" s="690">
        <f t="shared" si="9"/>
        <v>1474.83</v>
      </c>
      <c r="AK144" s="690"/>
      <c r="AL144" s="690"/>
      <c r="AM144" s="690"/>
    </row>
    <row r="145" spans="1:39" ht="15.95" customHeight="1">
      <c r="A145" s="65">
        <f t="shared" si="10"/>
        <v>9</v>
      </c>
      <c r="B145" s="699" t="s">
        <v>77</v>
      </c>
      <c r="C145" s="700"/>
      <c r="D145" s="700"/>
      <c r="E145" s="700"/>
      <c r="F145" s="700"/>
      <c r="G145" s="700"/>
      <c r="H145" s="700"/>
      <c r="I145" s="700"/>
      <c r="J145" s="700"/>
      <c r="K145" s="701"/>
      <c r="L145" s="702">
        <f t="shared" si="11"/>
        <v>45778</v>
      </c>
      <c r="M145" s="702"/>
      <c r="N145" s="702"/>
      <c r="O145" s="702">
        <f t="shared" si="12"/>
        <v>45808</v>
      </c>
      <c r="P145" s="702"/>
      <c r="Q145" s="702"/>
      <c r="R145" s="690" cm="1">
        <f t="array" ref="R145">INDEX(verificare!$AT$4:$CC$26,VLOOKUP($AA$16,verificare!$AR$4:$AS$26,2,FALSE),A145)</f>
        <v>376703</v>
      </c>
      <c r="S145" s="690"/>
      <c r="T145" s="690"/>
      <c r="U145" s="690"/>
      <c r="V145" s="658" t="s">
        <v>446</v>
      </c>
      <c r="W145" s="658"/>
      <c r="X145" s="691">
        <f>HLOOKUP(VLOOKUP($AA$16,'Date SPV'!$B:$F,5,FALSE),'Preturi si tarife'!$C$2:$J$39,A145+2,FALSE)</f>
        <v>3.5000000000000001E-3</v>
      </c>
      <c r="Y145" s="692"/>
      <c r="Z145" s="692"/>
      <c r="AA145" s="693"/>
      <c r="AB145" s="690">
        <f t="shared" si="7"/>
        <v>1318.46</v>
      </c>
      <c r="AC145" s="690"/>
      <c r="AD145" s="690"/>
      <c r="AE145" s="690"/>
      <c r="AF145" s="690">
        <f t="shared" si="8"/>
        <v>250.51</v>
      </c>
      <c r="AG145" s="690"/>
      <c r="AH145" s="690"/>
      <c r="AI145" s="690"/>
      <c r="AJ145" s="690">
        <f t="shared" si="9"/>
        <v>1568.97</v>
      </c>
      <c r="AK145" s="690"/>
      <c r="AL145" s="690"/>
      <c r="AM145" s="690"/>
    </row>
    <row r="146" spans="1:39" ht="15.95" customHeight="1">
      <c r="A146" s="65">
        <f t="shared" si="10"/>
        <v>10</v>
      </c>
      <c r="B146" s="699" t="s">
        <v>78</v>
      </c>
      <c r="C146" s="700"/>
      <c r="D146" s="700"/>
      <c r="E146" s="700"/>
      <c r="F146" s="700"/>
      <c r="G146" s="700"/>
      <c r="H146" s="700"/>
      <c r="I146" s="700"/>
      <c r="J146" s="700"/>
      <c r="K146" s="701"/>
      <c r="L146" s="702">
        <f t="shared" si="11"/>
        <v>45778</v>
      </c>
      <c r="M146" s="702"/>
      <c r="N146" s="702"/>
      <c r="O146" s="702">
        <f t="shared" si="12"/>
        <v>45808</v>
      </c>
      <c r="P146" s="702"/>
      <c r="Q146" s="702"/>
      <c r="R146" s="690" cm="1">
        <f t="array" ref="R146">INDEX(verificare!$AT$4:$CC$26,VLOOKUP($AA$16,verificare!$AR$4:$AS$26,2,FALSE),A146)</f>
        <v>376703</v>
      </c>
      <c r="S146" s="690"/>
      <c r="T146" s="690"/>
      <c r="U146" s="690"/>
      <c r="V146" s="658" t="s">
        <v>446</v>
      </c>
      <c r="W146" s="658"/>
      <c r="X146" s="691">
        <f>HLOOKUP(VLOOKUP($AA$16,'Date SPV'!$B:$F,5,FALSE),'Preturi si tarife'!$C$2:$J$39,A146+2,FALSE)</f>
        <v>7.2541599999999998E-2</v>
      </c>
      <c r="Y146" s="692"/>
      <c r="Z146" s="692"/>
      <c r="AA146" s="693"/>
      <c r="AB146" s="690">
        <f t="shared" si="7"/>
        <v>27326.639999999999</v>
      </c>
      <c r="AC146" s="690"/>
      <c r="AD146" s="690"/>
      <c r="AE146" s="690"/>
      <c r="AF146" s="690">
        <f t="shared" si="8"/>
        <v>5192.0600000000004</v>
      </c>
      <c r="AG146" s="690"/>
      <c r="AH146" s="690"/>
      <c r="AI146" s="690"/>
      <c r="AJ146" s="690">
        <f t="shared" si="9"/>
        <v>32518.7</v>
      </c>
      <c r="AK146" s="690"/>
      <c r="AL146" s="690"/>
      <c r="AM146" s="690"/>
    </row>
    <row r="147" spans="1:39" ht="15.95" customHeight="1">
      <c r="A147" s="65">
        <f t="shared" si="10"/>
        <v>11</v>
      </c>
      <c r="B147" s="699" t="s">
        <v>1313</v>
      </c>
      <c r="C147" s="700"/>
      <c r="D147" s="700"/>
      <c r="E147" s="700"/>
      <c r="F147" s="700"/>
      <c r="G147" s="700"/>
      <c r="H147" s="700"/>
      <c r="I147" s="700"/>
      <c r="J147" s="700"/>
      <c r="K147" s="701"/>
      <c r="L147" s="702">
        <f t="shared" si="11"/>
        <v>45778</v>
      </c>
      <c r="M147" s="702"/>
      <c r="N147" s="702"/>
      <c r="O147" s="702">
        <f t="shared" si="12"/>
        <v>45808</v>
      </c>
      <c r="P147" s="702"/>
      <c r="Q147" s="702"/>
      <c r="R147" s="690" cm="1">
        <f t="array" ref="R147">INDEX(verificare!$AT$4:$CC$26,VLOOKUP($AA$16,verificare!$AR$4:$AS$26,2,FALSE),A147)</f>
        <v>376703</v>
      </c>
      <c r="S147" s="690"/>
      <c r="T147" s="690"/>
      <c r="U147" s="690"/>
      <c r="V147" s="658" t="s">
        <v>446</v>
      </c>
      <c r="W147" s="658"/>
      <c r="X147" s="691">
        <f>HLOOKUP(VLOOKUP($AA$16,'Date SPV'!$B:$F,5,FALSE),'Preturi si tarife'!$C$2:$J$39,A147+2,FALSE)</f>
        <v>2.0599999999999999E-4</v>
      </c>
      <c r="Y147" s="692"/>
      <c r="Z147" s="692"/>
      <c r="AA147" s="693"/>
      <c r="AB147" s="690">
        <f t="shared" si="7"/>
        <v>77.599999999999994</v>
      </c>
      <c r="AC147" s="690"/>
      <c r="AD147" s="690"/>
      <c r="AE147" s="690"/>
      <c r="AF147" s="690">
        <f t="shared" si="8"/>
        <v>14.74</v>
      </c>
      <c r="AG147" s="690"/>
      <c r="AH147" s="690"/>
      <c r="AI147" s="690"/>
      <c r="AJ147" s="690">
        <f t="shared" si="9"/>
        <v>92.339999999999989</v>
      </c>
      <c r="AK147" s="690"/>
      <c r="AL147" s="690"/>
      <c r="AM147" s="690"/>
    </row>
    <row r="148" spans="1:39" ht="15.95" customHeight="1">
      <c r="A148" s="65">
        <f t="shared" si="10"/>
        <v>12</v>
      </c>
      <c r="B148" s="699" t="s">
        <v>79</v>
      </c>
      <c r="C148" s="700"/>
      <c r="D148" s="700"/>
      <c r="E148" s="700"/>
      <c r="F148" s="700"/>
      <c r="G148" s="700"/>
      <c r="H148" s="700"/>
      <c r="I148" s="700"/>
      <c r="J148" s="700"/>
      <c r="K148" s="701"/>
      <c r="L148" s="702">
        <f>L146</f>
        <v>45778</v>
      </c>
      <c r="M148" s="702"/>
      <c r="N148" s="702"/>
      <c r="O148" s="702">
        <f>O146</f>
        <v>45808</v>
      </c>
      <c r="P148" s="702"/>
      <c r="Q148" s="702"/>
      <c r="R148" s="690" cm="1">
        <f t="array" ref="R148">INDEX(verificare!$AT$4:$CC$26,VLOOKUP($AA$16,verificare!$AR$4:$AS$26,2,FALSE),A148)</f>
        <v>376703</v>
      </c>
      <c r="S148" s="690"/>
      <c r="T148" s="690"/>
      <c r="U148" s="690"/>
      <c r="V148" s="658" t="s">
        <v>446</v>
      </c>
      <c r="W148" s="658"/>
      <c r="X148" s="691">
        <f>HLOOKUP(VLOOKUP($AA$16,'Date SPV'!$B:$F,5,FALSE),'Preturi si tarife'!$C$2:$J$39,A148+2,FALSE)</f>
        <v>0</v>
      </c>
      <c r="Y148" s="692"/>
      <c r="Z148" s="692"/>
      <c r="AA148" s="693"/>
      <c r="AB148" s="690">
        <f t="shared" si="7"/>
        <v>0</v>
      </c>
      <c r="AC148" s="690"/>
      <c r="AD148" s="690"/>
      <c r="AE148" s="690"/>
      <c r="AF148" s="690">
        <f t="shared" si="8"/>
        <v>0</v>
      </c>
      <c r="AG148" s="690"/>
      <c r="AH148" s="690"/>
      <c r="AI148" s="690"/>
      <c r="AJ148" s="690">
        <f t="shared" si="9"/>
        <v>0</v>
      </c>
      <c r="AK148" s="690"/>
      <c r="AL148" s="690"/>
      <c r="AM148" s="690"/>
    </row>
    <row r="149" spans="1:39" ht="15.95" customHeight="1">
      <c r="A149" s="65">
        <f t="shared" si="10"/>
        <v>13</v>
      </c>
      <c r="B149" s="699" t="s">
        <v>80</v>
      </c>
      <c r="C149" s="700"/>
      <c r="D149" s="700"/>
      <c r="E149" s="700"/>
      <c r="F149" s="700"/>
      <c r="G149" s="700"/>
      <c r="H149" s="700"/>
      <c r="I149" s="700"/>
      <c r="J149" s="700"/>
      <c r="K149" s="701"/>
      <c r="L149" s="702">
        <f t="shared" ref="L149:L154" si="13">L148</f>
        <v>45778</v>
      </c>
      <c r="M149" s="702"/>
      <c r="N149" s="702"/>
      <c r="O149" s="702">
        <f t="shared" ref="O149:O154" si="14">O148</f>
        <v>45808</v>
      </c>
      <c r="P149" s="702"/>
      <c r="Q149" s="702"/>
      <c r="R149" s="690" cm="1">
        <f t="array" ref="R149">INDEX(verificare!$AT$4:$CC$26,VLOOKUP($AA$16,verificare!$AR$4:$AS$26,2,FALSE),A149)</f>
        <v>376703</v>
      </c>
      <c r="S149" s="690"/>
      <c r="T149" s="690"/>
      <c r="U149" s="690"/>
      <c r="V149" s="658" t="s">
        <v>446</v>
      </c>
      <c r="W149" s="658"/>
      <c r="X149" s="691">
        <f>HLOOKUP(VLOOKUP($AA$16,'Date SPV'!$B:$F,5,FALSE),'Preturi si tarife'!$C$2:$J$39,A149+2,FALSE)</f>
        <v>1.49E-2</v>
      </c>
      <c r="Y149" s="692"/>
      <c r="Z149" s="692"/>
      <c r="AA149" s="693"/>
      <c r="AB149" s="690">
        <f t="shared" si="7"/>
        <v>5612.87</v>
      </c>
      <c r="AC149" s="690"/>
      <c r="AD149" s="690"/>
      <c r="AE149" s="690"/>
      <c r="AF149" s="690">
        <f t="shared" si="8"/>
        <v>1066.45</v>
      </c>
      <c r="AG149" s="690"/>
      <c r="AH149" s="690"/>
      <c r="AI149" s="690"/>
      <c r="AJ149" s="690">
        <f t="shared" si="9"/>
        <v>6679.32</v>
      </c>
      <c r="AK149" s="690"/>
      <c r="AL149" s="690"/>
      <c r="AM149" s="690"/>
    </row>
    <row r="150" spans="1:39" ht="15.95" customHeight="1">
      <c r="A150" s="65">
        <f t="shared" si="10"/>
        <v>14</v>
      </c>
      <c r="B150" s="699" t="s">
        <v>81</v>
      </c>
      <c r="C150" s="700"/>
      <c r="D150" s="700"/>
      <c r="E150" s="700"/>
      <c r="F150" s="700"/>
      <c r="G150" s="700"/>
      <c r="H150" s="700"/>
      <c r="I150" s="700"/>
      <c r="J150" s="700"/>
      <c r="K150" s="701"/>
      <c r="L150" s="702">
        <f t="shared" si="13"/>
        <v>45778</v>
      </c>
      <c r="M150" s="702"/>
      <c r="N150" s="702"/>
      <c r="O150" s="702">
        <f t="shared" si="14"/>
        <v>45808</v>
      </c>
      <c r="P150" s="702"/>
      <c r="Q150" s="702"/>
      <c r="R150" s="690" cm="1">
        <f t="array" ref="R150">INDEX(verificare!$AT$4:$CC$26,VLOOKUP($AA$16,verificare!$AR$4:$AS$26,2,FALSE),A150)</f>
        <v>376703</v>
      </c>
      <c r="S150" s="690"/>
      <c r="T150" s="690"/>
      <c r="U150" s="690"/>
      <c r="V150" s="658" t="s">
        <v>446</v>
      </c>
      <c r="W150" s="658"/>
      <c r="X150" s="691">
        <f>HLOOKUP(VLOOKUP($AA$16,'Date SPV'!$B:$F,5,FALSE),'Preturi si tarife'!$C$2:$J$39,A150+2,FALSE)</f>
        <v>9.5000000000000001E-2</v>
      </c>
      <c r="Y150" s="692"/>
      <c r="Z150" s="692"/>
      <c r="AA150" s="693"/>
      <c r="AB150" s="690">
        <f t="shared" si="7"/>
        <v>35786.79</v>
      </c>
      <c r="AC150" s="690"/>
      <c r="AD150" s="690"/>
      <c r="AE150" s="690"/>
      <c r="AF150" s="690">
        <f t="shared" si="8"/>
        <v>6799.49</v>
      </c>
      <c r="AG150" s="690"/>
      <c r="AH150" s="690"/>
      <c r="AI150" s="690"/>
      <c r="AJ150" s="690">
        <f t="shared" si="9"/>
        <v>42586.28</v>
      </c>
      <c r="AK150" s="690"/>
      <c r="AL150" s="690"/>
      <c r="AM150" s="690"/>
    </row>
    <row r="151" spans="1:39" ht="15.95" customHeight="1">
      <c r="A151" s="65">
        <f t="shared" si="10"/>
        <v>15</v>
      </c>
      <c r="B151" s="699" t="s">
        <v>82</v>
      </c>
      <c r="C151" s="700"/>
      <c r="D151" s="700"/>
      <c r="E151" s="700"/>
      <c r="F151" s="700"/>
      <c r="G151" s="700"/>
      <c r="H151" s="700"/>
      <c r="I151" s="700"/>
      <c r="J151" s="700"/>
      <c r="K151" s="701"/>
      <c r="L151" s="702">
        <f t="shared" si="13"/>
        <v>45778</v>
      </c>
      <c r="M151" s="702"/>
      <c r="N151" s="702"/>
      <c r="O151" s="702">
        <f t="shared" si="14"/>
        <v>45808</v>
      </c>
      <c r="P151" s="702"/>
      <c r="Q151" s="702"/>
      <c r="R151" s="690" cm="1">
        <f t="array" ref="R151">INDEX(verificare!$AT$4:$CC$26,VLOOKUP($AA$16,verificare!$AR$4:$AS$26,2,FALSE),A151)</f>
        <v>39479</v>
      </c>
      <c r="S151" s="690"/>
      <c r="T151" s="690"/>
      <c r="U151" s="690"/>
      <c r="V151" s="658" t="s">
        <v>446</v>
      </c>
      <c r="W151" s="658"/>
      <c r="X151" s="691">
        <f>HLOOKUP(VLOOKUP($AA$16,'Date SPV'!$B:$F,5,FALSE),'Preturi si tarife'!$C$2:$J$39,A151+2,FALSE)</f>
        <v>0.94380760000000008</v>
      </c>
      <c r="Y151" s="692"/>
      <c r="Z151" s="692"/>
      <c r="AA151" s="693"/>
      <c r="AB151" s="690">
        <f t="shared" si="7"/>
        <v>37260.58</v>
      </c>
      <c r="AC151" s="690"/>
      <c r="AD151" s="690"/>
      <c r="AE151" s="690"/>
      <c r="AF151" s="690">
        <f t="shared" si="8"/>
        <v>7079.51</v>
      </c>
      <c r="AG151" s="690"/>
      <c r="AH151" s="690"/>
      <c r="AI151" s="690"/>
      <c r="AJ151" s="690">
        <f t="shared" si="9"/>
        <v>44340.090000000004</v>
      </c>
      <c r="AK151" s="690"/>
      <c r="AL151" s="690"/>
      <c r="AM151" s="690"/>
    </row>
    <row r="152" spans="1:39" ht="15.95" customHeight="1">
      <c r="A152" s="65">
        <f t="shared" si="10"/>
        <v>16</v>
      </c>
      <c r="B152" s="699" t="s">
        <v>83</v>
      </c>
      <c r="C152" s="700"/>
      <c r="D152" s="700"/>
      <c r="E152" s="700"/>
      <c r="F152" s="700"/>
      <c r="G152" s="700"/>
      <c r="H152" s="700"/>
      <c r="I152" s="700"/>
      <c r="J152" s="700"/>
      <c r="K152" s="701"/>
      <c r="L152" s="702">
        <f t="shared" si="13"/>
        <v>45778</v>
      </c>
      <c r="M152" s="702"/>
      <c r="N152" s="702"/>
      <c r="O152" s="702">
        <f t="shared" si="14"/>
        <v>45808</v>
      </c>
      <c r="P152" s="702"/>
      <c r="Q152" s="702"/>
      <c r="R152" s="690" cm="1">
        <f t="array" ref="R152">INDEX(verificare!$AT$4:$CC$26,VLOOKUP($AA$16,verificare!$AR$4:$AS$26,2,FALSE),A152)</f>
        <v>0</v>
      </c>
      <c r="S152" s="690"/>
      <c r="T152" s="690"/>
      <c r="U152" s="690"/>
      <c r="V152" s="658" t="s">
        <v>446</v>
      </c>
      <c r="W152" s="658"/>
      <c r="X152" s="691">
        <f>HLOOKUP(VLOOKUP($AA$16,'Date SPV'!$B:$F,5,FALSE),'Preturi si tarife'!$C$2:$J$39,A152+2,FALSE)</f>
        <v>0.83390760000000008</v>
      </c>
      <c r="Y152" s="692"/>
      <c r="Z152" s="692"/>
      <c r="AA152" s="693"/>
      <c r="AB152" s="690">
        <f t="shared" si="7"/>
        <v>0</v>
      </c>
      <c r="AC152" s="690"/>
      <c r="AD152" s="690"/>
      <c r="AE152" s="690"/>
      <c r="AF152" s="690">
        <f t="shared" si="8"/>
        <v>0</v>
      </c>
      <c r="AG152" s="690"/>
      <c r="AH152" s="690"/>
      <c r="AI152" s="690"/>
      <c r="AJ152" s="690">
        <f t="shared" si="9"/>
        <v>0</v>
      </c>
      <c r="AK152" s="690"/>
      <c r="AL152" s="690"/>
      <c r="AM152" s="690"/>
    </row>
    <row r="153" spans="1:39" ht="15.95" customHeight="1">
      <c r="A153" s="65">
        <f t="shared" si="10"/>
        <v>17</v>
      </c>
      <c r="B153" s="699" t="s">
        <v>1129</v>
      </c>
      <c r="C153" s="700"/>
      <c r="D153" s="700"/>
      <c r="E153" s="700"/>
      <c r="F153" s="700"/>
      <c r="G153" s="700"/>
      <c r="H153" s="700"/>
      <c r="I153" s="700"/>
      <c r="J153" s="700"/>
      <c r="K153" s="701"/>
      <c r="L153" s="702">
        <f t="shared" si="13"/>
        <v>45778</v>
      </c>
      <c r="M153" s="702"/>
      <c r="N153" s="702"/>
      <c r="O153" s="702">
        <f t="shared" si="14"/>
        <v>45808</v>
      </c>
      <c r="P153" s="702"/>
      <c r="Q153" s="702"/>
      <c r="R153" s="690" cm="1">
        <f t="array" ref="R153">INDEX(verificare!$AT$4:$CC$26,VLOOKUP($AA$16,verificare!$AR$4:$AS$26,2,FALSE),A153)</f>
        <v>0</v>
      </c>
      <c r="S153" s="690"/>
      <c r="T153" s="690"/>
      <c r="U153" s="690"/>
      <c r="V153" s="658" t="s">
        <v>446</v>
      </c>
      <c r="W153" s="658"/>
      <c r="X153" s="691">
        <f>HLOOKUP(VLOOKUP($AA$16,'Date SPV'!$B:$F,5,FALSE),'Preturi si tarife'!$C$2:$J$39,A153+2,FALSE)</f>
        <v>1.49E-2</v>
      </c>
      <c r="Y153" s="692"/>
      <c r="Z153" s="692"/>
      <c r="AA153" s="693"/>
      <c r="AB153" s="690">
        <f t="shared" si="7"/>
        <v>0</v>
      </c>
      <c r="AC153" s="690"/>
      <c r="AD153" s="690"/>
      <c r="AE153" s="690"/>
      <c r="AF153" s="690">
        <f t="shared" si="8"/>
        <v>0</v>
      </c>
      <c r="AG153" s="690"/>
      <c r="AH153" s="690"/>
      <c r="AI153" s="690"/>
      <c r="AJ153" s="690">
        <f t="shared" si="9"/>
        <v>0</v>
      </c>
      <c r="AK153" s="690"/>
      <c r="AL153" s="690"/>
      <c r="AM153" s="690"/>
    </row>
    <row r="154" spans="1:39" ht="15.95" customHeight="1">
      <c r="A154" s="65">
        <f t="shared" si="10"/>
        <v>18</v>
      </c>
      <c r="B154" s="699" t="s">
        <v>1130</v>
      </c>
      <c r="C154" s="700"/>
      <c r="D154" s="700"/>
      <c r="E154" s="700"/>
      <c r="F154" s="700"/>
      <c r="G154" s="700"/>
      <c r="H154" s="700"/>
      <c r="I154" s="700"/>
      <c r="J154" s="700"/>
      <c r="K154" s="701"/>
      <c r="L154" s="702">
        <f t="shared" si="13"/>
        <v>45778</v>
      </c>
      <c r="M154" s="702"/>
      <c r="N154" s="702"/>
      <c r="O154" s="702">
        <f t="shared" si="14"/>
        <v>45808</v>
      </c>
      <c r="P154" s="702"/>
      <c r="Q154" s="702"/>
      <c r="R154" s="690" cm="1">
        <f t="array" ref="R154">INDEX(verificare!$AT$4:$CC$26,VLOOKUP($AA$16,verificare!$AR$4:$AS$26,2,FALSE),A154)</f>
        <v>0</v>
      </c>
      <c r="S154" s="690"/>
      <c r="T154" s="690"/>
      <c r="U154" s="690"/>
      <c r="V154" s="658" t="s">
        <v>446</v>
      </c>
      <c r="W154" s="658"/>
      <c r="X154" s="691">
        <f>HLOOKUP(VLOOKUP($AA$16,'Date SPV'!$B:$F,5,FALSE),'Preturi si tarife'!$C$2:$J$39,A154+2,FALSE)</f>
        <v>9.5000000000000001E-2</v>
      </c>
      <c r="Y154" s="692"/>
      <c r="Z154" s="692"/>
      <c r="AA154" s="693"/>
      <c r="AB154" s="690">
        <f t="shared" si="7"/>
        <v>0</v>
      </c>
      <c r="AC154" s="690"/>
      <c r="AD154" s="690"/>
      <c r="AE154" s="690"/>
      <c r="AF154" s="690">
        <f t="shared" si="8"/>
        <v>0</v>
      </c>
      <c r="AG154" s="690"/>
      <c r="AH154" s="690"/>
      <c r="AI154" s="690"/>
      <c r="AJ154" s="690">
        <f t="shared" si="9"/>
        <v>0</v>
      </c>
      <c r="AK154" s="690"/>
      <c r="AL154" s="690"/>
      <c r="AM154" s="690"/>
    </row>
    <row r="155" spans="1:39" ht="15.95" customHeight="1">
      <c r="A155" s="65">
        <f t="shared" si="10"/>
        <v>19</v>
      </c>
      <c r="B155" s="699" t="s">
        <v>99</v>
      </c>
      <c r="C155" s="700"/>
      <c r="D155" s="700"/>
      <c r="E155" s="700"/>
      <c r="F155" s="700"/>
      <c r="G155" s="700"/>
      <c r="H155" s="700"/>
      <c r="I155" s="700"/>
      <c r="J155" s="700"/>
      <c r="K155" s="701"/>
      <c r="L155" s="702">
        <f>'Date masura OD'!$W$5</f>
        <v>45748</v>
      </c>
      <c r="M155" s="702"/>
      <c r="N155" s="702"/>
      <c r="O155" s="702">
        <f>'Date masura OD'!$X$5</f>
        <v>45777</v>
      </c>
      <c r="P155" s="702"/>
      <c r="Q155" s="702"/>
      <c r="R155" s="690" cm="1">
        <f t="array" ref="R155">INDEX(verificare!$AT$4:$CC$26,VLOOKUP($AA$16,verificare!$AR$4:$AS$26,2,FALSE),A155)</f>
        <v>0</v>
      </c>
      <c r="S155" s="690"/>
      <c r="T155" s="690"/>
      <c r="U155" s="690"/>
      <c r="V155" s="658" t="s">
        <v>446</v>
      </c>
      <c r="W155" s="658"/>
      <c r="X155" s="691">
        <f>HLOOKUP(VLOOKUP($AA$16,'Date SPV'!$B:$F,5,FALSE),'Preturi si tarife'!$C$2:$J$39,A155+2,FALSE)</f>
        <v>0.59499999999999997</v>
      </c>
      <c r="Y155" s="692"/>
      <c r="Z155" s="692"/>
      <c r="AA155" s="693"/>
      <c r="AB155" s="690">
        <f t="shared" si="7"/>
        <v>0</v>
      </c>
      <c r="AC155" s="690"/>
      <c r="AD155" s="690"/>
      <c r="AE155" s="690"/>
      <c r="AF155" s="690">
        <f t="shared" si="8"/>
        <v>0</v>
      </c>
      <c r="AG155" s="690"/>
      <c r="AH155" s="690"/>
      <c r="AI155" s="690"/>
      <c r="AJ155" s="690">
        <f t="shared" si="9"/>
        <v>0</v>
      </c>
      <c r="AK155" s="690"/>
      <c r="AL155" s="690"/>
      <c r="AM155" s="690"/>
    </row>
    <row r="156" spans="1:39" ht="15.95" customHeight="1">
      <c r="A156" s="65">
        <f t="shared" si="10"/>
        <v>20</v>
      </c>
      <c r="B156" s="699" t="s">
        <v>100</v>
      </c>
      <c r="C156" s="700"/>
      <c r="D156" s="700"/>
      <c r="E156" s="700"/>
      <c r="F156" s="700"/>
      <c r="G156" s="700"/>
      <c r="H156" s="700"/>
      <c r="I156" s="700"/>
      <c r="J156" s="700"/>
      <c r="K156" s="701"/>
      <c r="L156" s="702">
        <f>L155</f>
        <v>45748</v>
      </c>
      <c r="M156" s="702"/>
      <c r="N156" s="702"/>
      <c r="O156" s="702">
        <f t="shared" ref="O156:O165" si="15">O155</f>
        <v>45777</v>
      </c>
      <c r="P156" s="702"/>
      <c r="Q156" s="702"/>
      <c r="R156" s="690" cm="1">
        <f t="array" ref="R156">INDEX(verificare!$AT$4:$CC$26,VLOOKUP($AA$16,verificare!$AR$4:$AS$26,2,FALSE),A156)</f>
        <v>0</v>
      </c>
      <c r="S156" s="690"/>
      <c r="T156" s="690"/>
      <c r="U156" s="690"/>
      <c r="V156" s="658" t="s">
        <v>727</v>
      </c>
      <c r="W156" s="658"/>
      <c r="X156" s="691">
        <f>HLOOKUP(VLOOKUP($AA$16,'Date SPV'!$B:$F,5,FALSE),'Preturi si tarife'!$C$2:$J$39,A156+2,FALSE)</f>
        <v>0.14649999999999999</v>
      </c>
      <c r="Y156" s="692"/>
      <c r="Z156" s="692"/>
      <c r="AA156" s="693"/>
      <c r="AB156" s="690">
        <f t="shared" si="7"/>
        <v>0</v>
      </c>
      <c r="AC156" s="690"/>
      <c r="AD156" s="690"/>
      <c r="AE156" s="690"/>
      <c r="AF156" s="690">
        <f t="shared" si="8"/>
        <v>0</v>
      </c>
      <c r="AG156" s="690"/>
      <c r="AH156" s="690"/>
      <c r="AI156" s="690"/>
      <c r="AJ156" s="690">
        <f t="shared" si="9"/>
        <v>0</v>
      </c>
      <c r="AK156" s="690"/>
      <c r="AL156" s="690"/>
      <c r="AM156" s="690"/>
    </row>
    <row r="157" spans="1:39" ht="30.95" customHeight="1">
      <c r="A157" s="65">
        <f t="shared" si="10"/>
        <v>21</v>
      </c>
      <c r="B157" s="699" t="s">
        <v>101</v>
      </c>
      <c r="C157" s="700"/>
      <c r="D157" s="700"/>
      <c r="E157" s="700"/>
      <c r="F157" s="700"/>
      <c r="G157" s="700"/>
      <c r="H157" s="700"/>
      <c r="I157" s="700"/>
      <c r="J157" s="700"/>
      <c r="K157" s="701"/>
      <c r="L157" s="702">
        <f t="shared" ref="L157:L165" si="16">L156</f>
        <v>45748</v>
      </c>
      <c r="M157" s="702"/>
      <c r="N157" s="702"/>
      <c r="O157" s="702">
        <f t="shared" si="15"/>
        <v>45777</v>
      </c>
      <c r="P157" s="702"/>
      <c r="Q157" s="702"/>
      <c r="R157" s="690" cm="1">
        <f t="array" ref="R157">INDEX(verificare!$AT$4:$CC$26,VLOOKUP($AA$16,verificare!$AR$4:$AS$26,2,FALSE),A157)</f>
        <v>0</v>
      </c>
      <c r="S157" s="690"/>
      <c r="T157" s="690"/>
      <c r="U157" s="690"/>
      <c r="V157" s="658" t="s">
        <v>727</v>
      </c>
      <c r="W157" s="658"/>
      <c r="X157" s="691">
        <f>HLOOKUP(VLOOKUP($AA$16,'Date SPV'!$B:$F,5,FALSE),'Preturi si tarife'!$C$2:$J$39,A157+2,FALSE)</f>
        <v>0.4395</v>
      </c>
      <c r="Y157" s="692"/>
      <c r="Z157" s="692"/>
      <c r="AA157" s="693"/>
      <c r="AB157" s="690">
        <f t="shared" si="7"/>
        <v>0</v>
      </c>
      <c r="AC157" s="690"/>
      <c r="AD157" s="690"/>
      <c r="AE157" s="690"/>
      <c r="AF157" s="690">
        <f t="shared" si="8"/>
        <v>0</v>
      </c>
      <c r="AG157" s="690"/>
      <c r="AH157" s="690"/>
      <c r="AI157" s="690"/>
      <c r="AJ157" s="690">
        <f t="shared" si="9"/>
        <v>0</v>
      </c>
      <c r="AK157" s="690"/>
      <c r="AL157" s="690"/>
      <c r="AM157" s="690"/>
    </row>
    <row r="158" spans="1:39" ht="15.95" customHeight="1">
      <c r="A158" s="65">
        <f t="shared" si="10"/>
        <v>22</v>
      </c>
      <c r="B158" s="699" t="s">
        <v>869</v>
      </c>
      <c r="C158" s="700"/>
      <c r="D158" s="700"/>
      <c r="E158" s="700"/>
      <c r="F158" s="700"/>
      <c r="G158" s="700"/>
      <c r="H158" s="700"/>
      <c r="I158" s="700"/>
      <c r="J158" s="700"/>
      <c r="K158" s="701"/>
      <c r="L158" s="702">
        <f t="shared" si="16"/>
        <v>45748</v>
      </c>
      <c r="M158" s="702"/>
      <c r="N158" s="702"/>
      <c r="O158" s="702">
        <f t="shared" si="15"/>
        <v>45777</v>
      </c>
      <c r="P158" s="702"/>
      <c r="Q158" s="702"/>
      <c r="R158" s="690" cm="1">
        <f t="array" ref="R158">INDEX(verificare!$AT$4:$CC$26,VLOOKUP($AA$16,verificare!$AR$4:$AS$26,2,FALSE),A158)</f>
        <v>0</v>
      </c>
      <c r="S158" s="690"/>
      <c r="T158" s="690"/>
      <c r="U158" s="690"/>
      <c r="V158" s="658" t="s">
        <v>446</v>
      </c>
      <c r="W158" s="658"/>
      <c r="X158" s="691">
        <f>HLOOKUP(VLOOKUP($AA$16,'Date SPV'!$B:$F,5,FALSE),'Preturi si tarife'!$C$2:$J$39,A158+2,FALSE)</f>
        <v>0.11483</v>
      </c>
      <c r="Y158" s="692"/>
      <c r="Z158" s="692"/>
      <c r="AA158" s="693"/>
      <c r="AB158" s="690">
        <f t="shared" si="7"/>
        <v>0</v>
      </c>
      <c r="AC158" s="690"/>
      <c r="AD158" s="690"/>
      <c r="AE158" s="690"/>
      <c r="AF158" s="690">
        <f t="shared" si="8"/>
        <v>0</v>
      </c>
      <c r="AG158" s="690"/>
      <c r="AH158" s="690"/>
      <c r="AI158" s="690"/>
      <c r="AJ158" s="690">
        <f t="shared" si="9"/>
        <v>0</v>
      </c>
      <c r="AK158" s="690"/>
      <c r="AL158" s="690"/>
      <c r="AM158" s="690"/>
    </row>
    <row r="159" spans="1:39" ht="15.95" customHeight="1">
      <c r="A159" s="65">
        <f t="shared" si="10"/>
        <v>23</v>
      </c>
      <c r="B159" s="699" t="s">
        <v>758</v>
      </c>
      <c r="C159" s="700"/>
      <c r="D159" s="700"/>
      <c r="E159" s="700"/>
      <c r="F159" s="700"/>
      <c r="G159" s="700"/>
      <c r="H159" s="700"/>
      <c r="I159" s="700"/>
      <c r="J159" s="700"/>
      <c r="K159" s="701"/>
      <c r="L159" s="702">
        <f t="shared" si="16"/>
        <v>45748</v>
      </c>
      <c r="M159" s="702"/>
      <c r="N159" s="702"/>
      <c r="O159" s="702">
        <f t="shared" si="15"/>
        <v>45777</v>
      </c>
      <c r="P159" s="702"/>
      <c r="Q159" s="702"/>
      <c r="R159" s="690" cm="1">
        <f t="array" ref="R159">INDEX(verificare!$AT$4:$CC$26,VLOOKUP($AA$16,verificare!$AR$4:$AS$26,2,FALSE),A159)</f>
        <v>0</v>
      </c>
      <c r="S159" s="690"/>
      <c r="T159" s="690"/>
      <c r="U159" s="690"/>
      <c r="V159" s="658" t="s">
        <v>446</v>
      </c>
      <c r="W159" s="658"/>
      <c r="X159" s="691">
        <f>HLOOKUP(VLOOKUP($AA$16,'Date SPV'!$B:$F,5,FALSE),'Preturi si tarife'!$C$2:$J$39,A159+2,FALSE)</f>
        <v>0.2361</v>
      </c>
      <c r="Y159" s="692"/>
      <c r="Z159" s="692"/>
      <c r="AA159" s="693"/>
      <c r="AB159" s="690">
        <f t="shared" si="7"/>
        <v>0</v>
      </c>
      <c r="AC159" s="690"/>
      <c r="AD159" s="690"/>
      <c r="AE159" s="690"/>
      <c r="AF159" s="690">
        <f t="shared" si="8"/>
        <v>0</v>
      </c>
      <c r="AG159" s="690"/>
      <c r="AH159" s="690"/>
      <c r="AI159" s="690"/>
      <c r="AJ159" s="690">
        <f t="shared" si="9"/>
        <v>0</v>
      </c>
      <c r="AK159" s="690"/>
      <c r="AL159" s="690"/>
      <c r="AM159" s="690"/>
    </row>
    <row r="160" spans="1:39" ht="30.95" customHeight="1">
      <c r="A160" s="65">
        <f t="shared" si="10"/>
        <v>24</v>
      </c>
      <c r="B160" s="699" t="s">
        <v>102</v>
      </c>
      <c r="C160" s="700"/>
      <c r="D160" s="700"/>
      <c r="E160" s="700"/>
      <c r="F160" s="700"/>
      <c r="G160" s="700"/>
      <c r="H160" s="700"/>
      <c r="I160" s="700"/>
      <c r="J160" s="700"/>
      <c r="K160" s="701"/>
      <c r="L160" s="702">
        <f t="shared" si="16"/>
        <v>45748</v>
      </c>
      <c r="M160" s="702"/>
      <c r="N160" s="702"/>
      <c r="O160" s="702">
        <f t="shared" si="15"/>
        <v>45777</v>
      </c>
      <c r="P160" s="702"/>
      <c r="Q160" s="702"/>
      <c r="R160" s="690" cm="1">
        <f t="array" ref="R160">INDEX(verificare!$AT$4:$CC$26,VLOOKUP($AA$16,verificare!$AR$4:$AS$26,2,FALSE),A160)</f>
        <v>0</v>
      </c>
      <c r="S160" s="690"/>
      <c r="T160" s="690"/>
      <c r="U160" s="690"/>
      <c r="V160" s="658" t="s">
        <v>446</v>
      </c>
      <c r="W160" s="658"/>
      <c r="X160" s="691">
        <f>HLOOKUP(VLOOKUP($AA$16,'Date SPV'!$B:$F,5,FALSE),'Preturi si tarife'!$C$2:$J$39,A160+2,FALSE)</f>
        <v>1.1509999999999999E-2</v>
      </c>
      <c r="Y160" s="692"/>
      <c r="Z160" s="692"/>
      <c r="AA160" s="693"/>
      <c r="AB160" s="690">
        <f t="shared" si="7"/>
        <v>0</v>
      </c>
      <c r="AC160" s="690"/>
      <c r="AD160" s="690"/>
      <c r="AE160" s="690"/>
      <c r="AF160" s="690">
        <f t="shared" si="8"/>
        <v>0</v>
      </c>
      <c r="AG160" s="690"/>
      <c r="AH160" s="690"/>
      <c r="AI160" s="690"/>
      <c r="AJ160" s="690">
        <f t="shared" si="9"/>
        <v>0</v>
      </c>
      <c r="AK160" s="690"/>
      <c r="AL160" s="690"/>
      <c r="AM160" s="690"/>
    </row>
    <row r="161" spans="1:39" ht="30.95" customHeight="1">
      <c r="A161" s="65">
        <f t="shared" si="10"/>
        <v>25</v>
      </c>
      <c r="B161" s="699" t="s">
        <v>103</v>
      </c>
      <c r="C161" s="700"/>
      <c r="D161" s="700"/>
      <c r="E161" s="700"/>
      <c r="F161" s="700"/>
      <c r="G161" s="700"/>
      <c r="H161" s="700"/>
      <c r="I161" s="700"/>
      <c r="J161" s="700"/>
      <c r="K161" s="701"/>
      <c r="L161" s="702">
        <f t="shared" si="16"/>
        <v>45748</v>
      </c>
      <c r="M161" s="702"/>
      <c r="N161" s="702"/>
      <c r="O161" s="702">
        <f t="shared" si="15"/>
        <v>45777</v>
      </c>
      <c r="P161" s="702"/>
      <c r="Q161" s="702"/>
      <c r="R161" s="690" cm="1">
        <f t="array" ref="R161">INDEX(verificare!$AT$4:$CC$26,VLOOKUP($AA$16,verificare!$AR$4:$AS$26,2,FALSE),A161)</f>
        <v>0</v>
      </c>
      <c r="S161" s="690"/>
      <c r="T161" s="690"/>
      <c r="U161" s="690"/>
      <c r="V161" s="658" t="s">
        <v>446</v>
      </c>
      <c r="W161" s="658"/>
      <c r="X161" s="691">
        <f>HLOOKUP(VLOOKUP($AA$16,'Date SPV'!$B:$F,5,FALSE),'Preturi si tarife'!$C$2:$J$39,A161+2,FALSE)</f>
        <v>3.3030000000000004E-2</v>
      </c>
      <c r="Y161" s="692"/>
      <c r="Z161" s="692"/>
      <c r="AA161" s="693"/>
      <c r="AB161" s="690">
        <f t="shared" si="7"/>
        <v>0</v>
      </c>
      <c r="AC161" s="690"/>
      <c r="AD161" s="690"/>
      <c r="AE161" s="690"/>
      <c r="AF161" s="690">
        <f t="shared" si="8"/>
        <v>0</v>
      </c>
      <c r="AG161" s="690"/>
      <c r="AH161" s="690"/>
      <c r="AI161" s="690"/>
      <c r="AJ161" s="690">
        <f t="shared" si="9"/>
        <v>0</v>
      </c>
      <c r="AK161" s="690"/>
      <c r="AL161" s="690"/>
      <c r="AM161" s="690"/>
    </row>
    <row r="162" spans="1:39" ht="30.95" customHeight="1">
      <c r="A162" s="65">
        <f t="shared" si="10"/>
        <v>26</v>
      </c>
      <c r="B162" s="699" t="s">
        <v>104</v>
      </c>
      <c r="C162" s="700"/>
      <c r="D162" s="700"/>
      <c r="E162" s="700"/>
      <c r="F162" s="700"/>
      <c r="G162" s="700"/>
      <c r="H162" s="700"/>
      <c r="I162" s="700"/>
      <c r="J162" s="700"/>
      <c r="K162" s="701"/>
      <c r="L162" s="702">
        <f t="shared" si="16"/>
        <v>45748</v>
      </c>
      <c r="M162" s="702"/>
      <c r="N162" s="702"/>
      <c r="O162" s="702">
        <f t="shared" si="15"/>
        <v>45777</v>
      </c>
      <c r="P162" s="702"/>
      <c r="Q162" s="702"/>
      <c r="R162" s="690" cm="1">
        <f t="array" ref="R162">INDEX(verificare!$AT$4:$CC$26,VLOOKUP($AA$16,verificare!$AR$4:$AS$26,2,FALSE),A162)</f>
        <v>0</v>
      </c>
      <c r="S162" s="690"/>
      <c r="T162" s="690"/>
      <c r="U162" s="690"/>
      <c r="V162" s="658" t="s">
        <v>446</v>
      </c>
      <c r="W162" s="658"/>
      <c r="X162" s="691">
        <f>HLOOKUP(VLOOKUP($AA$16,'Date SPV'!$B:$F,5,FALSE),'Preturi si tarife'!$C$2:$J$39,A162+2,FALSE)</f>
        <v>3.29E-3</v>
      </c>
      <c r="Y162" s="692"/>
      <c r="Z162" s="692"/>
      <c r="AA162" s="693"/>
      <c r="AB162" s="690">
        <f t="shared" si="7"/>
        <v>0</v>
      </c>
      <c r="AC162" s="690"/>
      <c r="AD162" s="690"/>
      <c r="AE162" s="690"/>
      <c r="AF162" s="690">
        <f t="shared" si="8"/>
        <v>0</v>
      </c>
      <c r="AG162" s="690"/>
      <c r="AH162" s="690"/>
      <c r="AI162" s="690"/>
      <c r="AJ162" s="690">
        <f t="shared" si="9"/>
        <v>0</v>
      </c>
      <c r="AK162" s="690"/>
      <c r="AL162" s="690"/>
      <c r="AM162" s="690"/>
    </row>
    <row r="163" spans="1:39" ht="15.95" customHeight="1">
      <c r="A163" s="65">
        <f t="shared" si="10"/>
        <v>27</v>
      </c>
      <c r="B163" s="699" t="s">
        <v>105</v>
      </c>
      <c r="C163" s="700"/>
      <c r="D163" s="700"/>
      <c r="E163" s="700"/>
      <c r="F163" s="700"/>
      <c r="G163" s="700"/>
      <c r="H163" s="700"/>
      <c r="I163" s="700"/>
      <c r="J163" s="700"/>
      <c r="K163" s="701"/>
      <c r="L163" s="702">
        <f t="shared" si="16"/>
        <v>45748</v>
      </c>
      <c r="M163" s="702"/>
      <c r="N163" s="702"/>
      <c r="O163" s="702">
        <f t="shared" si="15"/>
        <v>45777</v>
      </c>
      <c r="P163" s="702"/>
      <c r="Q163" s="702"/>
      <c r="R163" s="690" cm="1">
        <f t="array" ref="R163">INDEX(verificare!$AT$4:$CC$26,VLOOKUP($AA$16,verificare!$AR$4:$AS$26,2,FALSE),A163)</f>
        <v>0</v>
      </c>
      <c r="S163" s="690"/>
      <c r="T163" s="690"/>
      <c r="U163" s="690"/>
      <c r="V163" s="658" t="s">
        <v>446</v>
      </c>
      <c r="W163" s="658"/>
      <c r="X163" s="691">
        <f>HLOOKUP(VLOOKUP($AA$16,'Date SPV'!$B:$F,5,FALSE),'Preturi si tarife'!$C$2:$J$39,A163+2,FALSE)</f>
        <v>3.5000000000000001E-3</v>
      </c>
      <c r="Y163" s="692"/>
      <c r="Z163" s="692"/>
      <c r="AA163" s="693"/>
      <c r="AB163" s="690">
        <f t="shared" si="7"/>
        <v>0</v>
      </c>
      <c r="AC163" s="690"/>
      <c r="AD163" s="690"/>
      <c r="AE163" s="690"/>
      <c r="AF163" s="690">
        <f t="shared" si="8"/>
        <v>0</v>
      </c>
      <c r="AG163" s="690"/>
      <c r="AH163" s="690"/>
      <c r="AI163" s="690"/>
      <c r="AJ163" s="690">
        <f t="shared" si="9"/>
        <v>0</v>
      </c>
      <c r="AK163" s="690"/>
      <c r="AL163" s="690"/>
      <c r="AM163" s="690"/>
    </row>
    <row r="164" spans="1:39" ht="15.95" customHeight="1">
      <c r="A164" s="65">
        <f t="shared" si="10"/>
        <v>28</v>
      </c>
      <c r="B164" s="699" t="s">
        <v>106</v>
      </c>
      <c r="C164" s="700"/>
      <c r="D164" s="700"/>
      <c r="E164" s="700"/>
      <c r="F164" s="700"/>
      <c r="G164" s="700"/>
      <c r="H164" s="700"/>
      <c r="I164" s="700"/>
      <c r="J164" s="700"/>
      <c r="K164" s="701"/>
      <c r="L164" s="702">
        <f t="shared" si="16"/>
        <v>45748</v>
      </c>
      <c r="M164" s="702"/>
      <c r="N164" s="702"/>
      <c r="O164" s="702">
        <f t="shared" si="15"/>
        <v>45777</v>
      </c>
      <c r="P164" s="702"/>
      <c r="Q164" s="702"/>
      <c r="R164" s="690" cm="1">
        <f t="array" ref="R164">INDEX(verificare!$AT$4:$CC$26,VLOOKUP($AA$16,verificare!$AR$4:$AS$26,2,FALSE),A164)</f>
        <v>0</v>
      </c>
      <c r="S164" s="690"/>
      <c r="T164" s="690"/>
      <c r="U164" s="690"/>
      <c r="V164" s="658" t="s">
        <v>446</v>
      </c>
      <c r="W164" s="658"/>
      <c r="X164" s="691">
        <f>HLOOKUP(VLOOKUP($AA$16,'Date SPV'!$B:$F,5,FALSE),'Preturi si tarife'!$C$2:$J$39,A164+2,FALSE)</f>
        <v>7.2541599999999998E-2</v>
      </c>
      <c r="Y164" s="692"/>
      <c r="Z164" s="692"/>
      <c r="AA164" s="693"/>
      <c r="AB164" s="690">
        <f t="shared" si="7"/>
        <v>0</v>
      </c>
      <c r="AC164" s="690"/>
      <c r="AD164" s="690"/>
      <c r="AE164" s="690"/>
      <c r="AF164" s="690">
        <f t="shared" si="8"/>
        <v>0</v>
      </c>
      <c r="AG164" s="690"/>
      <c r="AH164" s="690"/>
      <c r="AI164" s="690"/>
      <c r="AJ164" s="690">
        <f t="shared" si="9"/>
        <v>0</v>
      </c>
      <c r="AK164" s="690"/>
      <c r="AL164" s="690"/>
      <c r="AM164" s="690"/>
    </row>
    <row r="165" spans="1:39" ht="30.95" customHeight="1">
      <c r="A165" s="65">
        <f t="shared" si="10"/>
        <v>29</v>
      </c>
      <c r="B165" s="699" t="s">
        <v>1316</v>
      </c>
      <c r="C165" s="700"/>
      <c r="D165" s="700"/>
      <c r="E165" s="700"/>
      <c r="F165" s="700"/>
      <c r="G165" s="700"/>
      <c r="H165" s="700"/>
      <c r="I165" s="700"/>
      <c r="J165" s="700"/>
      <c r="K165" s="701"/>
      <c r="L165" s="702">
        <f t="shared" si="16"/>
        <v>45748</v>
      </c>
      <c r="M165" s="702"/>
      <c r="N165" s="702"/>
      <c r="O165" s="702">
        <f t="shared" si="15"/>
        <v>45777</v>
      </c>
      <c r="P165" s="702"/>
      <c r="Q165" s="702"/>
      <c r="R165" s="690" cm="1">
        <f t="array" ref="R165">INDEX(verificare!$AT$4:$CC$26,VLOOKUP($AA$16,verificare!$AR$4:$AS$26,2,FALSE),A165)</f>
        <v>0</v>
      </c>
      <c r="S165" s="690"/>
      <c r="T165" s="690"/>
      <c r="U165" s="690"/>
      <c r="V165" s="658" t="s">
        <v>446</v>
      </c>
      <c r="W165" s="658"/>
      <c r="X165" s="691">
        <f>HLOOKUP(VLOOKUP($AA$16,'Date SPV'!$B:$F,5,FALSE),'Preturi si tarife'!$C$2:$J$39,A165+2,FALSE)</f>
        <v>2.0599999999999999E-4</v>
      </c>
      <c r="Y165" s="692"/>
      <c r="Z165" s="692"/>
      <c r="AA165" s="693"/>
      <c r="AB165" s="690">
        <f t="shared" si="7"/>
        <v>0</v>
      </c>
      <c r="AC165" s="690"/>
      <c r="AD165" s="690"/>
      <c r="AE165" s="690"/>
      <c r="AF165" s="690">
        <f t="shared" si="8"/>
        <v>0</v>
      </c>
      <c r="AG165" s="690"/>
      <c r="AH165" s="690"/>
      <c r="AI165" s="690"/>
      <c r="AJ165" s="690">
        <f t="shared" si="9"/>
        <v>0</v>
      </c>
      <c r="AK165" s="690"/>
      <c r="AL165" s="690"/>
      <c r="AM165" s="690"/>
    </row>
    <row r="166" spans="1:39" ht="30.95" customHeight="1">
      <c r="A166" s="65">
        <f t="shared" si="10"/>
        <v>30</v>
      </c>
      <c r="B166" s="699" t="s">
        <v>107</v>
      </c>
      <c r="C166" s="700"/>
      <c r="D166" s="700"/>
      <c r="E166" s="700"/>
      <c r="F166" s="700"/>
      <c r="G166" s="700"/>
      <c r="H166" s="700"/>
      <c r="I166" s="700"/>
      <c r="J166" s="700"/>
      <c r="K166" s="701"/>
      <c r="L166" s="702">
        <f>L164</f>
        <v>45748</v>
      </c>
      <c r="M166" s="702"/>
      <c r="N166" s="702"/>
      <c r="O166" s="702">
        <f>O164</f>
        <v>45777</v>
      </c>
      <c r="P166" s="702"/>
      <c r="Q166" s="702"/>
      <c r="R166" s="690" cm="1">
        <f t="array" ref="R166">INDEX(verificare!$AT$4:$CC$26,VLOOKUP($AA$16,verificare!$AR$4:$AS$26,2,FALSE),A166)</f>
        <v>0</v>
      </c>
      <c r="S166" s="690"/>
      <c r="T166" s="690"/>
      <c r="U166" s="690"/>
      <c r="V166" s="658" t="s">
        <v>446</v>
      </c>
      <c r="W166" s="658"/>
      <c r="X166" s="691">
        <f>HLOOKUP(VLOOKUP($AA$16,'Date SPV'!$B:$F,5,FALSE),'Preturi si tarife'!$C$2:$J$39,A166+2,FALSE)</f>
        <v>0</v>
      </c>
      <c r="Y166" s="692"/>
      <c r="Z166" s="692"/>
      <c r="AA166" s="693"/>
      <c r="AB166" s="690">
        <f t="shared" si="7"/>
        <v>0</v>
      </c>
      <c r="AC166" s="690"/>
      <c r="AD166" s="690"/>
      <c r="AE166" s="690"/>
      <c r="AF166" s="690">
        <f t="shared" si="8"/>
        <v>0</v>
      </c>
      <c r="AG166" s="690"/>
      <c r="AH166" s="690"/>
      <c r="AI166" s="690"/>
      <c r="AJ166" s="690">
        <f t="shared" si="9"/>
        <v>0</v>
      </c>
      <c r="AK166" s="690"/>
      <c r="AL166" s="690"/>
      <c r="AM166" s="690"/>
    </row>
    <row r="167" spans="1:39" ht="15.95" customHeight="1">
      <c r="A167" s="65">
        <f t="shared" si="10"/>
        <v>31</v>
      </c>
      <c r="B167" s="699" t="s">
        <v>108</v>
      </c>
      <c r="C167" s="700"/>
      <c r="D167" s="700"/>
      <c r="E167" s="700"/>
      <c r="F167" s="700"/>
      <c r="G167" s="700"/>
      <c r="H167" s="700"/>
      <c r="I167" s="700"/>
      <c r="J167" s="700"/>
      <c r="K167" s="701"/>
      <c r="L167" s="702">
        <f t="shared" ref="L167:L172" si="17">L166</f>
        <v>45748</v>
      </c>
      <c r="M167" s="702"/>
      <c r="N167" s="702"/>
      <c r="O167" s="702">
        <f t="shared" ref="O167:O172" si="18">O166</f>
        <v>45777</v>
      </c>
      <c r="P167" s="702"/>
      <c r="Q167" s="702"/>
      <c r="R167" s="690" cm="1">
        <f t="array" ref="R167">INDEX(verificare!$AT$4:$CC$26,VLOOKUP($AA$16,verificare!$AR$4:$AS$26,2,FALSE),A167)</f>
        <v>0</v>
      </c>
      <c r="S167" s="690"/>
      <c r="T167" s="690"/>
      <c r="U167" s="690"/>
      <c r="V167" s="658" t="s">
        <v>446</v>
      </c>
      <c r="W167" s="658"/>
      <c r="X167" s="691">
        <f>HLOOKUP(VLOOKUP($AA$16,'Date SPV'!$B:$F,5,FALSE),'Preturi si tarife'!$C$2:$J$39,A167+2,FALSE)</f>
        <v>1.49E-2</v>
      </c>
      <c r="Y167" s="692"/>
      <c r="Z167" s="692"/>
      <c r="AA167" s="693"/>
      <c r="AB167" s="690">
        <f t="shared" si="7"/>
        <v>0</v>
      </c>
      <c r="AC167" s="690"/>
      <c r="AD167" s="690"/>
      <c r="AE167" s="690"/>
      <c r="AF167" s="690">
        <f t="shared" si="8"/>
        <v>0</v>
      </c>
      <c r="AG167" s="690"/>
      <c r="AH167" s="690"/>
      <c r="AI167" s="690"/>
      <c r="AJ167" s="690">
        <f t="shared" si="9"/>
        <v>0</v>
      </c>
      <c r="AK167" s="690"/>
      <c r="AL167" s="690"/>
      <c r="AM167" s="690"/>
    </row>
    <row r="168" spans="1:39" ht="15.95" customHeight="1">
      <c r="A168" s="65">
        <f t="shared" si="10"/>
        <v>32</v>
      </c>
      <c r="B168" s="699" t="s">
        <v>109</v>
      </c>
      <c r="C168" s="700"/>
      <c r="D168" s="700"/>
      <c r="E168" s="700"/>
      <c r="F168" s="700"/>
      <c r="G168" s="700"/>
      <c r="H168" s="700"/>
      <c r="I168" s="700"/>
      <c r="J168" s="700"/>
      <c r="K168" s="701"/>
      <c r="L168" s="702">
        <f t="shared" si="17"/>
        <v>45748</v>
      </c>
      <c r="M168" s="702"/>
      <c r="N168" s="702"/>
      <c r="O168" s="702">
        <f t="shared" si="18"/>
        <v>45777</v>
      </c>
      <c r="P168" s="702"/>
      <c r="Q168" s="702"/>
      <c r="R168" s="690" cm="1">
        <f t="array" ref="R168">INDEX(verificare!$AT$4:$CC$26,VLOOKUP($AA$16,verificare!$AR$4:$AS$26,2,FALSE),A168)</f>
        <v>0</v>
      </c>
      <c r="S168" s="690"/>
      <c r="T168" s="690"/>
      <c r="U168" s="690"/>
      <c r="V168" s="724" t="s">
        <v>446</v>
      </c>
      <c r="W168" s="725"/>
      <c r="X168" s="691">
        <f>HLOOKUP(VLOOKUP($AA$16,'Date SPV'!$B:$F,5,FALSE),'Preturi si tarife'!$C$2:$J$39,A168+2,FALSE)</f>
        <v>9.5000000000000001E-2</v>
      </c>
      <c r="Y168" s="692"/>
      <c r="Z168" s="692"/>
      <c r="AA168" s="693"/>
      <c r="AB168" s="690">
        <f t="shared" si="7"/>
        <v>0</v>
      </c>
      <c r="AC168" s="690"/>
      <c r="AD168" s="690"/>
      <c r="AE168" s="690"/>
      <c r="AF168" s="690">
        <f t="shared" si="8"/>
        <v>0</v>
      </c>
      <c r="AG168" s="690"/>
      <c r="AH168" s="690"/>
      <c r="AI168" s="690"/>
      <c r="AJ168" s="690">
        <f t="shared" si="9"/>
        <v>0</v>
      </c>
      <c r="AK168" s="690"/>
      <c r="AL168" s="690"/>
      <c r="AM168" s="690"/>
    </row>
    <row r="169" spans="1:39" ht="30.95" customHeight="1">
      <c r="A169" s="65">
        <f t="shared" si="10"/>
        <v>33</v>
      </c>
      <c r="B169" s="699" t="s">
        <v>110</v>
      </c>
      <c r="C169" s="700"/>
      <c r="D169" s="700"/>
      <c r="E169" s="700"/>
      <c r="F169" s="700"/>
      <c r="G169" s="700"/>
      <c r="H169" s="700"/>
      <c r="I169" s="700"/>
      <c r="J169" s="700"/>
      <c r="K169" s="701"/>
      <c r="L169" s="702">
        <f t="shared" si="17"/>
        <v>45748</v>
      </c>
      <c r="M169" s="702"/>
      <c r="N169" s="702"/>
      <c r="O169" s="702">
        <f t="shared" si="18"/>
        <v>45777</v>
      </c>
      <c r="P169" s="702"/>
      <c r="Q169" s="702"/>
      <c r="R169" s="690" cm="1">
        <f t="array" ref="R169">INDEX(verificare!$AT$4:$CC$26,VLOOKUP($AA$16,verificare!$AR$4:$AS$26,2,FALSE),A169)</f>
        <v>0</v>
      </c>
      <c r="S169" s="690"/>
      <c r="T169" s="690"/>
      <c r="U169" s="690"/>
      <c r="V169" s="658" t="s">
        <v>446</v>
      </c>
      <c r="W169" s="658"/>
      <c r="X169" s="691">
        <f>HLOOKUP(VLOOKUP($AA$16,'Date SPV'!$B:$F,5,FALSE),'Preturi si tarife'!$C$2:$J$39,A169+2,FALSE)</f>
        <v>0.94380760000000008</v>
      </c>
      <c r="Y169" s="692"/>
      <c r="Z169" s="692"/>
      <c r="AA169" s="693"/>
      <c r="AB169" s="690">
        <f t="shared" si="7"/>
        <v>0</v>
      </c>
      <c r="AC169" s="690"/>
      <c r="AD169" s="690"/>
      <c r="AE169" s="690"/>
      <c r="AF169" s="690">
        <f t="shared" si="8"/>
        <v>0</v>
      </c>
      <c r="AG169" s="690"/>
      <c r="AH169" s="690"/>
      <c r="AI169" s="690"/>
      <c r="AJ169" s="690">
        <f t="shared" si="9"/>
        <v>0</v>
      </c>
      <c r="AK169" s="690"/>
      <c r="AL169" s="690"/>
      <c r="AM169" s="690"/>
    </row>
    <row r="170" spans="1:39" ht="30.95" customHeight="1">
      <c r="A170" s="65">
        <f t="shared" si="10"/>
        <v>34</v>
      </c>
      <c r="B170" s="699" t="s">
        <v>111</v>
      </c>
      <c r="C170" s="700"/>
      <c r="D170" s="700"/>
      <c r="E170" s="700"/>
      <c r="F170" s="700"/>
      <c r="G170" s="700"/>
      <c r="H170" s="700"/>
      <c r="I170" s="700"/>
      <c r="J170" s="700"/>
      <c r="K170" s="701"/>
      <c r="L170" s="702">
        <f t="shared" si="17"/>
        <v>45748</v>
      </c>
      <c r="M170" s="702"/>
      <c r="N170" s="702"/>
      <c r="O170" s="702">
        <f t="shared" si="18"/>
        <v>45777</v>
      </c>
      <c r="P170" s="702"/>
      <c r="Q170" s="702"/>
      <c r="R170" s="690" cm="1">
        <f t="array" ref="R170">INDEX(verificare!$AT$4:$CC$26,VLOOKUP($AA$16,verificare!$AR$4:$AS$26,2,FALSE),A170)</f>
        <v>0</v>
      </c>
      <c r="S170" s="690"/>
      <c r="T170" s="690"/>
      <c r="U170" s="690"/>
      <c r="V170" s="658" t="s">
        <v>446</v>
      </c>
      <c r="W170" s="658"/>
      <c r="X170" s="691">
        <f>HLOOKUP(VLOOKUP($AA$16,'Date SPV'!$B:$F,5,FALSE),'Preturi si tarife'!$C$2:$J$39,A170+2,FALSE)</f>
        <v>0.83390760000000008</v>
      </c>
      <c r="Y170" s="692"/>
      <c r="Z170" s="692"/>
      <c r="AA170" s="693"/>
      <c r="AB170" s="690">
        <f t="shared" si="7"/>
        <v>0</v>
      </c>
      <c r="AC170" s="690"/>
      <c r="AD170" s="690"/>
      <c r="AE170" s="690"/>
      <c r="AF170" s="690">
        <f t="shared" si="8"/>
        <v>0</v>
      </c>
      <c r="AG170" s="690"/>
      <c r="AH170" s="690"/>
      <c r="AI170" s="690"/>
      <c r="AJ170" s="690">
        <f t="shared" si="9"/>
        <v>0</v>
      </c>
      <c r="AK170" s="690"/>
      <c r="AL170" s="690"/>
      <c r="AM170" s="690"/>
    </row>
    <row r="171" spans="1:39" ht="15.95" customHeight="1">
      <c r="A171" s="65">
        <f t="shared" si="10"/>
        <v>35</v>
      </c>
      <c r="B171" s="699" t="s">
        <v>112</v>
      </c>
      <c r="C171" s="700"/>
      <c r="D171" s="700"/>
      <c r="E171" s="700"/>
      <c r="F171" s="700"/>
      <c r="G171" s="700"/>
      <c r="H171" s="700"/>
      <c r="I171" s="700"/>
      <c r="J171" s="700"/>
      <c r="K171" s="701"/>
      <c r="L171" s="702">
        <f t="shared" si="17"/>
        <v>45748</v>
      </c>
      <c r="M171" s="702"/>
      <c r="N171" s="702"/>
      <c r="O171" s="702">
        <f t="shared" si="18"/>
        <v>45777</v>
      </c>
      <c r="P171" s="702"/>
      <c r="Q171" s="702"/>
      <c r="R171" s="690" cm="1">
        <f t="array" ref="R171">INDEX(verificare!$AT$4:$CC$26,VLOOKUP($AA$16,verificare!$AR$4:$AS$26,2,FALSE),A171)</f>
        <v>0</v>
      </c>
      <c r="S171" s="690"/>
      <c r="T171" s="690"/>
      <c r="U171" s="690"/>
      <c r="V171" s="724" t="s">
        <v>446</v>
      </c>
      <c r="W171" s="725"/>
      <c r="X171" s="691">
        <f>HLOOKUP(VLOOKUP($AA$16,'Date SPV'!$B:$F,5,FALSE),'Preturi si tarife'!$C$2:$J$39,A171+2,FALSE)</f>
        <v>1.49E-2</v>
      </c>
      <c r="Y171" s="692"/>
      <c r="Z171" s="692"/>
      <c r="AA171" s="693"/>
      <c r="AB171" s="690">
        <f t="shared" si="7"/>
        <v>0</v>
      </c>
      <c r="AC171" s="690"/>
      <c r="AD171" s="690"/>
      <c r="AE171" s="690"/>
      <c r="AF171" s="690">
        <f t="shared" si="8"/>
        <v>0</v>
      </c>
      <c r="AG171" s="690"/>
      <c r="AH171" s="690"/>
      <c r="AI171" s="690"/>
      <c r="AJ171" s="690">
        <f t="shared" si="9"/>
        <v>0</v>
      </c>
      <c r="AK171" s="690"/>
      <c r="AL171" s="690"/>
      <c r="AM171" s="690"/>
    </row>
    <row r="172" spans="1:39" ht="15.95" customHeight="1">
      <c r="A172" s="65">
        <f t="shared" si="10"/>
        <v>36</v>
      </c>
      <c r="B172" s="699" t="s">
        <v>113</v>
      </c>
      <c r="C172" s="700"/>
      <c r="D172" s="700"/>
      <c r="E172" s="700"/>
      <c r="F172" s="700"/>
      <c r="G172" s="700"/>
      <c r="H172" s="700"/>
      <c r="I172" s="700"/>
      <c r="J172" s="700"/>
      <c r="K172" s="701"/>
      <c r="L172" s="702">
        <f t="shared" si="17"/>
        <v>45748</v>
      </c>
      <c r="M172" s="702"/>
      <c r="N172" s="702"/>
      <c r="O172" s="702">
        <f t="shared" si="18"/>
        <v>45777</v>
      </c>
      <c r="P172" s="702"/>
      <c r="Q172" s="702"/>
      <c r="R172" s="690" cm="1">
        <f t="array" ref="R172">INDEX(verificare!$AT$4:$CC$26,VLOOKUP($AA$16,verificare!$AR$4:$AS$26,2,FALSE),A172)</f>
        <v>0</v>
      </c>
      <c r="S172" s="690"/>
      <c r="T172" s="690"/>
      <c r="U172" s="690"/>
      <c r="V172" s="724" t="s">
        <v>446</v>
      </c>
      <c r="W172" s="725"/>
      <c r="X172" s="691">
        <f>HLOOKUP(VLOOKUP($AA$16,'Date SPV'!$B:$F,5,FALSE),'Preturi si tarife'!$C$2:$J$39,A172+2,FALSE)</f>
        <v>9.5000000000000001E-2</v>
      </c>
      <c r="Y172" s="692"/>
      <c r="Z172" s="692"/>
      <c r="AA172" s="693"/>
      <c r="AB172" s="690">
        <f t="shared" si="7"/>
        <v>0</v>
      </c>
      <c r="AC172" s="690"/>
      <c r="AD172" s="690"/>
      <c r="AE172" s="690"/>
      <c r="AF172" s="690">
        <f t="shared" si="8"/>
        <v>0</v>
      </c>
      <c r="AG172" s="690"/>
      <c r="AH172" s="690"/>
      <c r="AI172" s="690"/>
      <c r="AJ172" s="690">
        <f t="shared" si="9"/>
        <v>0</v>
      </c>
      <c r="AK172" s="690"/>
      <c r="AL172" s="690"/>
      <c r="AM172" s="690"/>
    </row>
    <row r="173" spans="1:39" ht="15.95" customHeight="1">
      <c r="A173" s="65">
        <f t="shared" si="10"/>
        <v>37</v>
      </c>
      <c r="B173" s="699" t="s">
        <v>728</v>
      </c>
      <c r="C173" s="700"/>
      <c r="D173" s="700"/>
      <c r="E173" s="700"/>
      <c r="F173" s="700"/>
      <c r="G173" s="700"/>
      <c r="H173" s="700"/>
      <c r="I173" s="700"/>
      <c r="J173" s="700"/>
      <c r="K173" s="701"/>
      <c r="L173" s="702" t="s">
        <v>69</v>
      </c>
      <c r="M173" s="702"/>
      <c r="N173" s="702"/>
      <c r="O173" s="702" t="s">
        <v>69</v>
      </c>
      <c r="P173" s="702"/>
      <c r="Q173" s="702"/>
      <c r="R173" s="653">
        <v>0</v>
      </c>
      <c r="S173" s="653"/>
      <c r="T173" s="653"/>
      <c r="U173" s="653"/>
      <c r="V173" s="658" t="s">
        <v>69</v>
      </c>
      <c r="W173" s="658"/>
      <c r="X173" s="659" t="s">
        <v>69</v>
      </c>
      <c r="Y173" s="659"/>
      <c r="Z173" s="659"/>
      <c r="AA173" s="659"/>
      <c r="AB173" s="653">
        <v>0</v>
      </c>
      <c r="AC173" s="653"/>
      <c r="AD173" s="653"/>
      <c r="AE173" s="653"/>
      <c r="AF173" s="653">
        <f>ROUND(AB173*19%,2)</f>
        <v>0</v>
      </c>
      <c r="AG173" s="653"/>
      <c r="AH173" s="653"/>
      <c r="AI173" s="653"/>
      <c r="AJ173" s="653">
        <f>AB173+AF173</f>
        <v>0</v>
      </c>
      <c r="AK173" s="653"/>
      <c r="AL173" s="653"/>
      <c r="AM173" s="653"/>
    </row>
    <row r="174" spans="1:39">
      <c r="A174" s="65">
        <f t="shared" si="10"/>
        <v>38</v>
      </c>
      <c r="B174" s="699" t="s">
        <v>729</v>
      </c>
      <c r="C174" s="700"/>
      <c r="D174" s="700"/>
      <c r="E174" s="700"/>
      <c r="F174" s="700"/>
      <c r="G174" s="700"/>
      <c r="H174" s="700"/>
      <c r="I174" s="700"/>
      <c r="J174" s="700"/>
      <c r="K174" s="701"/>
      <c r="L174" s="702" t="s">
        <v>69</v>
      </c>
      <c r="M174" s="702"/>
      <c r="N174" s="702"/>
      <c r="O174" s="702" t="s">
        <v>69</v>
      </c>
      <c r="P174" s="702"/>
      <c r="Q174" s="702"/>
      <c r="R174" s="653">
        <v>0</v>
      </c>
      <c r="S174" s="653"/>
      <c r="T174" s="653"/>
      <c r="U174" s="653"/>
      <c r="V174" s="658" t="s">
        <v>69</v>
      </c>
      <c r="W174" s="658"/>
      <c r="X174" s="659" t="s">
        <v>69</v>
      </c>
      <c r="Y174" s="659"/>
      <c r="Z174" s="659"/>
      <c r="AA174" s="659"/>
      <c r="AB174" s="726">
        <f>SUM(AB137:AE173)</f>
        <v>392795.73999999993</v>
      </c>
      <c r="AC174" s="726"/>
      <c r="AD174" s="726"/>
      <c r="AE174" s="726"/>
      <c r="AF174" s="726">
        <f>SUM(AF137:AI173)</f>
        <v>74631.199999999997</v>
      </c>
      <c r="AG174" s="726"/>
      <c r="AH174" s="726"/>
      <c r="AI174" s="726"/>
      <c r="AJ174" s="726">
        <f>SUM(AJ137:AM173)</f>
        <v>467426.94</v>
      </c>
      <c r="AK174" s="726"/>
      <c r="AL174" s="726"/>
      <c r="AM174" s="726"/>
    </row>
  </sheetData>
  <mergeCells count="806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R38:T40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AI50:AJ52"/>
    <mergeCell ref="A44:F46"/>
    <mergeCell ref="G44:I46"/>
    <mergeCell ref="J44:L44"/>
    <mergeCell ref="M44:N46"/>
    <mergeCell ref="O44:Q46"/>
    <mergeCell ref="R44:T46"/>
    <mergeCell ref="AD41:AE43"/>
    <mergeCell ref="AF41:AH43"/>
    <mergeCell ref="AI41:AJ43"/>
    <mergeCell ref="AI47:AJ49"/>
    <mergeCell ref="M50:N52"/>
    <mergeCell ref="A47:F49"/>
    <mergeCell ref="G47:I49"/>
    <mergeCell ref="AK47:AM49"/>
    <mergeCell ref="AK44:AM46"/>
    <mergeCell ref="J45:L45"/>
    <mergeCell ref="J46:L46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J48:L48"/>
    <mergeCell ref="J49:L49"/>
    <mergeCell ref="X47:Z49"/>
    <mergeCell ref="AA47:AC49"/>
    <mergeCell ref="AD47:AE49"/>
    <mergeCell ref="AF47:AH49"/>
    <mergeCell ref="R53:T55"/>
    <mergeCell ref="U53:W55"/>
    <mergeCell ref="X53:Z55"/>
    <mergeCell ref="AF50:AH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AI53:AJ55"/>
    <mergeCell ref="AK53:AM55"/>
    <mergeCell ref="J54:L54"/>
    <mergeCell ref="J55:L55"/>
    <mergeCell ref="AA53:AC55"/>
    <mergeCell ref="AD53:AE55"/>
    <mergeCell ref="AF53:AH55"/>
    <mergeCell ref="A50:F52"/>
    <mergeCell ref="G50:I52"/>
    <mergeCell ref="J50:L50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J60:L60"/>
    <mergeCell ref="J61:L61"/>
    <mergeCell ref="A56:F58"/>
    <mergeCell ref="G56:I58"/>
    <mergeCell ref="J56:L56"/>
    <mergeCell ref="M56:N58"/>
    <mergeCell ref="O56:Q58"/>
    <mergeCell ref="R56:T58"/>
    <mergeCell ref="X59:Z61"/>
    <mergeCell ref="AA59:AC61"/>
    <mergeCell ref="AD59:AE61"/>
    <mergeCell ref="AF62:AH64"/>
    <mergeCell ref="AI62:AJ64"/>
    <mergeCell ref="AF59:AH61"/>
    <mergeCell ref="AI59:AJ61"/>
    <mergeCell ref="AK59:AM61"/>
    <mergeCell ref="AK56:AM58"/>
    <mergeCell ref="X56:Z58"/>
    <mergeCell ref="AA56:AC58"/>
    <mergeCell ref="AD56:AE58"/>
    <mergeCell ref="AF56:AH58"/>
    <mergeCell ref="AI56:AJ58"/>
    <mergeCell ref="AK62:AM64"/>
    <mergeCell ref="U62:W64"/>
    <mergeCell ref="X62:Z64"/>
    <mergeCell ref="AA62:AC64"/>
    <mergeCell ref="AD62:AE64"/>
    <mergeCell ref="AI65:AJ67"/>
    <mergeCell ref="AK65:AM67"/>
    <mergeCell ref="J66:L66"/>
    <mergeCell ref="J67:L67"/>
    <mergeCell ref="A62:F64"/>
    <mergeCell ref="G62:I64"/>
    <mergeCell ref="J62:L62"/>
    <mergeCell ref="M62:N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A81:L81"/>
    <mergeCell ref="M81:AH81"/>
    <mergeCell ref="AI81:AM81"/>
    <mergeCell ref="R65:T67"/>
    <mergeCell ref="U65:W67"/>
    <mergeCell ref="X65:Z67"/>
    <mergeCell ref="AA65:AC67"/>
    <mergeCell ref="AD65:AE67"/>
    <mergeCell ref="AF65:AH67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K87:AM89"/>
    <mergeCell ref="J88:L88"/>
    <mergeCell ref="J89:L89"/>
    <mergeCell ref="AI84:AJ86"/>
    <mergeCell ref="AK84:AM86"/>
    <mergeCell ref="AA84:AC86"/>
    <mergeCell ref="AD84:AE86"/>
    <mergeCell ref="AF84:AH86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I96:AJ98"/>
    <mergeCell ref="A90:F92"/>
    <mergeCell ref="G90:I92"/>
    <mergeCell ref="J90:L90"/>
    <mergeCell ref="M90:N92"/>
    <mergeCell ref="O90:Q92"/>
    <mergeCell ref="R90:T92"/>
    <mergeCell ref="AA87:AC89"/>
    <mergeCell ref="AD87:AE89"/>
    <mergeCell ref="AF87:AH89"/>
    <mergeCell ref="A87:F89"/>
    <mergeCell ref="G87:I89"/>
    <mergeCell ref="AI87:AJ89"/>
    <mergeCell ref="AI93:AJ95"/>
    <mergeCell ref="M96:N98"/>
    <mergeCell ref="A93:F95"/>
    <mergeCell ref="G93:I95"/>
    <mergeCell ref="A96:F98"/>
    <mergeCell ref="G96:I98"/>
    <mergeCell ref="J96:L96"/>
    <mergeCell ref="AK93:AM95"/>
    <mergeCell ref="AK90:AM92"/>
    <mergeCell ref="J91:L91"/>
    <mergeCell ref="J92:L92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J94:L94"/>
    <mergeCell ref="J95:L95"/>
    <mergeCell ref="X93:Z95"/>
    <mergeCell ref="AA93:AC95"/>
    <mergeCell ref="AD93:AE95"/>
    <mergeCell ref="AF93:AH95"/>
    <mergeCell ref="R99:T101"/>
    <mergeCell ref="U99:W101"/>
    <mergeCell ref="X99:Z101"/>
    <mergeCell ref="AF96:AH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AI99:AJ101"/>
    <mergeCell ref="AK99:AM101"/>
    <mergeCell ref="J100:L100"/>
    <mergeCell ref="J101:L101"/>
    <mergeCell ref="AA99:AC101"/>
    <mergeCell ref="AD99:AE101"/>
    <mergeCell ref="U102:W104"/>
    <mergeCell ref="J106:L106"/>
    <mergeCell ref="J107:L107"/>
    <mergeCell ref="A102:F104"/>
    <mergeCell ref="G102:I104"/>
    <mergeCell ref="J102:L102"/>
    <mergeCell ref="M102:N104"/>
    <mergeCell ref="O102:Q104"/>
    <mergeCell ref="R102:T104"/>
    <mergeCell ref="J103:L103"/>
    <mergeCell ref="J104:L104"/>
    <mergeCell ref="A105:F107"/>
    <mergeCell ref="G105:I107"/>
    <mergeCell ref="J105:L105"/>
    <mergeCell ref="M105:N107"/>
    <mergeCell ref="AK105:AM107"/>
    <mergeCell ref="AK102:AM104"/>
    <mergeCell ref="X102:Z104"/>
    <mergeCell ref="AA102:AC104"/>
    <mergeCell ref="AD102:AE104"/>
    <mergeCell ref="AF102:AH104"/>
    <mergeCell ref="AI102:AJ104"/>
    <mergeCell ref="AK108:AM110"/>
    <mergeCell ref="AF99:AH101"/>
    <mergeCell ref="X105:Z107"/>
    <mergeCell ref="AA105:AC107"/>
    <mergeCell ref="J111:L111"/>
    <mergeCell ref="M111:N113"/>
    <mergeCell ref="O111:Q113"/>
    <mergeCell ref="O108:Q110"/>
    <mergeCell ref="R108:T110"/>
    <mergeCell ref="AD105:AE107"/>
    <mergeCell ref="AF108:AH110"/>
    <mergeCell ref="AI108:AJ110"/>
    <mergeCell ref="AF105:AH107"/>
    <mergeCell ref="AI105:AJ107"/>
    <mergeCell ref="O105:Q107"/>
    <mergeCell ref="R105:T107"/>
    <mergeCell ref="U105:W107"/>
    <mergeCell ref="AI116:AM116"/>
    <mergeCell ref="R111:T113"/>
    <mergeCell ref="U111:W113"/>
    <mergeCell ref="X111:Z113"/>
    <mergeCell ref="AA111:AC113"/>
    <mergeCell ref="AD111:AE113"/>
    <mergeCell ref="AF111:AH113"/>
    <mergeCell ref="A116:AH116"/>
    <mergeCell ref="U108:W110"/>
    <mergeCell ref="X108:Z110"/>
    <mergeCell ref="AA108:AC110"/>
    <mergeCell ref="AD108:AE110"/>
    <mergeCell ref="AI111:AJ113"/>
    <mergeCell ref="AK111:AM113"/>
    <mergeCell ref="J112:L112"/>
    <mergeCell ref="J113:L113"/>
    <mergeCell ref="A108:F110"/>
    <mergeCell ref="G108:I110"/>
    <mergeCell ref="J108:L108"/>
    <mergeCell ref="M108:N110"/>
    <mergeCell ref="J109:L109"/>
    <mergeCell ref="J110:L110"/>
    <mergeCell ref="A111:F113"/>
    <mergeCell ref="G111:I113"/>
    <mergeCell ref="A117:L117"/>
    <mergeCell ref="M117:AH117"/>
    <mergeCell ref="AI117:AM118"/>
    <mergeCell ref="A118:L118"/>
    <mergeCell ref="M118:AH118"/>
    <mergeCell ref="A119:F121"/>
    <mergeCell ref="G119:I121"/>
    <mergeCell ref="J119:L121"/>
    <mergeCell ref="M119:N121"/>
    <mergeCell ref="O119:Q121"/>
    <mergeCell ref="A122:F124"/>
    <mergeCell ref="G122:I124"/>
    <mergeCell ref="J122:L122"/>
    <mergeCell ref="M122:N124"/>
    <mergeCell ref="O122:Q124"/>
    <mergeCell ref="R122:T124"/>
    <mergeCell ref="U122:W124"/>
    <mergeCell ref="X122:Z124"/>
    <mergeCell ref="R119:T121"/>
    <mergeCell ref="U119:W121"/>
    <mergeCell ref="X119:Z121"/>
    <mergeCell ref="AA122:AC124"/>
    <mergeCell ref="AD122:AE124"/>
    <mergeCell ref="AF122:AH124"/>
    <mergeCell ref="AI122:AJ124"/>
    <mergeCell ref="AK122:AM124"/>
    <mergeCell ref="J123:L123"/>
    <mergeCell ref="J124:L124"/>
    <mergeCell ref="AI119:AJ121"/>
    <mergeCell ref="AK119:AM121"/>
    <mergeCell ref="AA119:AC121"/>
    <mergeCell ref="AD119:AE121"/>
    <mergeCell ref="AF119:AH121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R128:T130"/>
    <mergeCell ref="U128:W130"/>
    <mergeCell ref="U125:W127"/>
    <mergeCell ref="X125:Z127"/>
    <mergeCell ref="AA125:AC127"/>
    <mergeCell ref="AD125:AE127"/>
    <mergeCell ref="AF125:AH127"/>
    <mergeCell ref="AI125:AJ127"/>
    <mergeCell ref="A125:F127"/>
    <mergeCell ref="G125:I127"/>
    <mergeCell ref="J125:L125"/>
    <mergeCell ref="M125:N127"/>
    <mergeCell ref="O125:Q127"/>
    <mergeCell ref="R125:T127"/>
    <mergeCell ref="J129:L129"/>
    <mergeCell ref="J130:L130"/>
    <mergeCell ref="A134:AM134"/>
    <mergeCell ref="B136:K136"/>
    <mergeCell ref="R136:U136"/>
    <mergeCell ref="V136:W136"/>
    <mergeCell ref="X136:AA136"/>
    <mergeCell ref="AB136:AE136"/>
    <mergeCell ref="AF136:AI136"/>
    <mergeCell ref="AJ136:AM136"/>
    <mergeCell ref="X128:Z130"/>
    <mergeCell ref="AA128:AC130"/>
    <mergeCell ref="AD128:AE130"/>
    <mergeCell ref="AF128:AH130"/>
    <mergeCell ref="AI128:AJ130"/>
    <mergeCell ref="AK128:AM130"/>
    <mergeCell ref="AB137:AE137"/>
    <mergeCell ref="AF137:AI137"/>
    <mergeCell ref="AJ137:AM137"/>
    <mergeCell ref="B138:K138"/>
    <mergeCell ref="L138:N138"/>
    <mergeCell ref="O138:Q138"/>
    <mergeCell ref="R138:U138"/>
    <mergeCell ref="V138:W138"/>
    <mergeCell ref="X138:AA138"/>
    <mergeCell ref="AB138:AE138"/>
    <mergeCell ref="B137:K137"/>
    <mergeCell ref="L137:N137"/>
    <mergeCell ref="O137:Q137"/>
    <mergeCell ref="R137:U137"/>
    <mergeCell ref="V137:W137"/>
    <mergeCell ref="X137:AA137"/>
    <mergeCell ref="AF138:AI138"/>
    <mergeCell ref="AJ138:AM138"/>
    <mergeCell ref="B139:K139"/>
    <mergeCell ref="L139:N139"/>
    <mergeCell ref="O139:Q139"/>
    <mergeCell ref="R139:U139"/>
    <mergeCell ref="V139:W139"/>
    <mergeCell ref="X139:AA139"/>
    <mergeCell ref="AB139:AE139"/>
    <mergeCell ref="AF139:AI139"/>
    <mergeCell ref="AJ139:AM139"/>
    <mergeCell ref="B140:K140"/>
    <mergeCell ref="L140:N140"/>
    <mergeCell ref="O140:Q140"/>
    <mergeCell ref="R140:U140"/>
    <mergeCell ref="V140:W140"/>
    <mergeCell ref="X140:AA140"/>
    <mergeCell ref="AB140:AE140"/>
    <mergeCell ref="AF140:AI140"/>
    <mergeCell ref="AJ140:AM140"/>
    <mergeCell ref="AB141:AE141"/>
    <mergeCell ref="AF141:AI141"/>
    <mergeCell ref="AJ141:AM141"/>
    <mergeCell ref="B142:K142"/>
    <mergeCell ref="L142:N142"/>
    <mergeCell ref="O142:Q142"/>
    <mergeCell ref="R142:U142"/>
    <mergeCell ref="V142:W142"/>
    <mergeCell ref="X142:AA142"/>
    <mergeCell ref="AB142:AE142"/>
    <mergeCell ref="B141:K141"/>
    <mergeCell ref="L141:N141"/>
    <mergeCell ref="O141:Q141"/>
    <mergeCell ref="R141:U141"/>
    <mergeCell ref="V141:W141"/>
    <mergeCell ref="X141:AA141"/>
    <mergeCell ref="AF142:AI142"/>
    <mergeCell ref="AJ142:AM142"/>
    <mergeCell ref="B143:K143"/>
    <mergeCell ref="L143:N143"/>
    <mergeCell ref="O143:Q143"/>
    <mergeCell ref="R143:U143"/>
    <mergeCell ref="V143:W143"/>
    <mergeCell ref="X143:AA143"/>
    <mergeCell ref="AB143:AE143"/>
    <mergeCell ref="AF143:AI143"/>
    <mergeCell ref="AJ143:AM143"/>
    <mergeCell ref="B144:K144"/>
    <mergeCell ref="L144:N144"/>
    <mergeCell ref="O144:Q144"/>
    <mergeCell ref="R144:U144"/>
    <mergeCell ref="V144:W144"/>
    <mergeCell ref="X144:AA144"/>
    <mergeCell ref="AB144:AE144"/>
    <mergeCell ref="AF144:AI144"/>
    <mergeCell ref="AJ144:AM144"/>
    <mergeCell ref="AB145:AE145"/>
    <mergeCell ref="AF145:AI145"/>
    <mergeCell ref="AJ145:AM145"/>
    <mergeCell ref="B146:K146"/>
    <mergeCell ref="L146:N146"/>
    <mergeCell ref="O146:Q146"/>
    <mergeCell ref="R146:U146"/>
    <mergeCell ref="V146:W146"/>
    <mergeCell ref="X146:AA146"/>
    <mergeCell ref="AB146:AE146"/>
    <mergeCell ref="B145:K145"/>
    <mergeCell ref="L145:N145"/>
    <mergeCell ref="O145:Q145"/>
    <mergeCell ref="R145:U145"/>
    <mergeCell ref="V145:W145"/>
    <mergeCell ref="X145:AA145"/>
    <mergeCell ref="AF146:AI146"/>
    <mergeCell ref="AJ146:AM146"/>
    <mergeCell ref="B147:K147"/>
    <mergeCell ref="L147:N147"/>
    <mergeCell ref="O147:Q147"/>
    <mergeCell ref="R147:U147"/>
    <mergeCell ref="V147:W147"/>
    <mergeCell ref="X147:AA147"/>
    <mergeCell ref="AB147:AE147"/>
    <mergeCell ref="AF147:AI147"/>
    <mergeCell ref="AJ147:AM147"/>
    <mergeCell ref="B148:K148"/>
    <mergeCell ref="L148:N148"/>
    <mergeCell ref="O148:Q148"/>
    <mergeCell ref="R148:U148"/>
    <mergeCell ref="V148:W148"/>
    <mergeCell ref="X148:AA148"/>
    <mergeCell ref="AB148:AE148"/>
    <mergeCell ref="AF148:AI148"/>
    <mergeCell ref="AJ148:AM148"/>
    <mergeCell ref="AB149:AE149"/>
    <mergeCell ref="AF149:AI149"/>
    <mergeCell ref="AJ149:AM149"/>
    <mergeCell ref="B150:K150"/>
    <mergeCell ref="L150:N150"/>
    <mergeCell ref="O150:Q150"/>
    <mergeCell ref="R150:U150"/>
    <mergeCell ref="V150:W150"/>
    <mergeCell ref="X150:AA150"/>
    <mergeCell ref="AB150:AE150"/>
    <mergeCell ref="B149:K149"/>
    <mergeCell ref="L149:N149"/>
    <mergeCell ref="O149:Q149"/>
    <mergeCell ref="R149:U149"/>
    <mergeCell ref="V149:W149"/>
    <mergeCell ref="X149:AA149"/>
    <mergeCell ref="AF150:AI150"/>
    <mergeCell ref="AJ150:AM150"/>
    <mergeCell ref="B151:K151"/>
    <mergeCell ref="L151:N151"/>
    <mergeCell ref="O151:Q151"/>
    <mergeCell ref="R151:U151"/>
    <mergeCell ref="V151:W151"/>
    <mergeCell ref="X151:AA151"/>
    <mergeCell ref="AB151:AE151"/>
    <mergeCell ref="AF151:AI151"/>
    <mergeCell ref="AJ151:AM151"/>
    <mergeCell ref="B152:K152"/>
    <mergeCell ref="L152:N152"/>
    <mergeCell ref="O152:Q152"/>
    <mergeCell ref="R152:U152"/>
    <mergeCell ref="V152:W152"/>
    <mergeCell ref="X152:AA152"/>
    <mergeCell ref="AB152:AE152"/>
    <mergeCell ref="AF152:AI152"/>
    <mergeCell ref="AJ152:AM152"/>
    <mergeCell ref="AB153:AE153"/>
    <mergeCell ref="AF153:AI153"/>
    <mergeCell ref="AJ153:AM153"/>
    <mergeCell ref="B154:K154"/>
    <mergeCell ref="L154:N154"/>
    <mergeCell ref="O154:Q154"/>
    <mergeCell ref="R154:U154"/>
    <mergeCell ref="V154:W154"/>
    <mergeCell ref="X154:AA154"/>
    <mergeCell ref="AB154:AE154"/>
    <mergeCell ref="B153:K153"/>
    <mergeCell ref="L153:N153"/>
    <mergeCell ref="O153:Q153"/>
    <mergeCell ref="R153:U153"/>
    <mergeCell ref="V153:W153"/>
    <mergeCell ref="X153:AA153"/>
    <mergeCell ref="AF154:AI154"/>
    <mergeCell ref="AJ154:AM154"/>
    <mergeCell ref="B155:K155"/>
    <mergeCell ref="L155:N155"/>
    <mergeCell ref="O155:Q155"/>
    <mergeCell ref="R155:U155"/>
    <mergeCell ref="V155:W155"/>
    <mergeCell ref="X155:AA155"/>
    <mergeCell ref="AB155:AE155"/>
    <mergeCell ref="AF155:AI155"/>
    <mergeCell ref="AJ155:AM155"/>
    <mergeCell ref="B156:K156"/>
    <mergeCell ref="L156:N156"/>
    <mergeCell ref="O156:Q156"/>
    <mergeCell ref="R156:U156"/>
    <mergeCell ref="V156:W156"/>
    <mergeCell ref="X156:AA156"/>
    <mergeCell ref="AB156:AE156"/>
    <mergeCell ref="AF156:AI156"/>
    <mergeCell ref="AJ156:AM156"/>
    <mergeCell ref="AB157:AE157"/>
    <mergeCell ref="AF157:AI157"/>
    <mergeCell ref="AJ157:AM157"/>
    <mergeCell ref="B158:K158"/>
    <mergeCell ref="L158:N158"/>
    <mergeCell ref="O158:Q158"/>
    <mergeCell ref="R158:U158"/>
    <mergeCell ref="V158:W158"/>
    <mergeCell ref="X158:AA158"/>
    <mergeCell ref="AB158:AE158"/>
    <mergeCell ref="B157:K157"/>
    <mergeCell ref="L157:N157"/>
    <mergeCell ref="O157:Q157"/>
    <mergeCell ref="R157:U157"/>
    <mergeCell ref="V157:W157"/>
    <mergeCell ref="X157:AA157"/>
    <mergeCell ref="AF158:AI158"/>
    <mergeCell ref="AJ158:AM158"/>
    <mergeCell ref="B159:K159"/>
    <mergeCell ref="L159:N159"/>
    <mergeCell ref="O159:Q159"/>
    <mergeCell ref="R159:U159"/>
    <mergeCell ref="V159:W159"/>
    <mergeCell ref="X159:AA159"/>
    <mergeCell ref="AB159:AE159"/>
    <mergeCell ref="AF159:AI159"/>
    <mergeCell ref="AJ159:AM159"/>
    <mergeCell ref="B160:K160"/>
    <mergeCell ref="L160:N160"/>
    <mergeCell ref="O160:Q160"/>
    <mergeCell ref="R160:U160"/>
    <mergeCell ref="V160:W160"/>
    <mergeCell ref="X160:AA160"/>
    <mergeCell ref="AB160:AE160"/>
    <mergeCell ref="AF160:AI160"/>
    <mergeCell ref="AJ160:AM160"/>
    <mergeCell ref="AB161:AE161"/>
    <mergeCell ref="AF161:AI161"/>
    <mergeCell ref="AJ161:AM161"/>
    <mergeCell ref="B162:K162"/>
    <mergeCell ref="L162:N162"/>
    <mergeCell ref="O162:Q162"/>
    <mergeCell ref="R162:U162"/>
    <mergeCell ref="V162:W162"/>
    <mergeCell ref="X162:AA162"/>
    <mergeCell ref="AB162:AE162"/>
    <mergeCell ref="B161:K161"/>
    <mergeCell ref="L161:N161"/>
    <mergeCell ref="O161:Q161"/>
    <mergeCell ref="R161:U161"/>
    <mergeCell ref="V161:W161"/>
    <mergeCell ref="X161:AA161"/>
    <mergeCell ref="AF162:AI162"/>
    <mergeCell ref="AJ162:AM162"/>
    <mergeCell ref="B163:K163"/>
    <mergeCell ref="L163:N163"/>
    <mergeCell ref="O163:Q163"/>
    <mergeCell ref="R163:U163"/>
    <mergeCell ref="V163:W163"/>
    <mergeCell ref="X163:AA163"/>
    <mergeCell ref="AB163:AE163"/>
    <mergeCell ref="AF163:AI163"/>
    <mergeCell ref="AJ163:AM163"/>
    <mergeCell ref="B164:K164"/>
    <mergeCell ref="L164:N164"/>
    <mergeCell ref="O164:Q164"/>
    <mergeCell ref="R164:U164"/>
    <mergeCell ref="V164:W164"/>
    <mergeCell ref="X164:AA164"/>
    <mergeCell ref="AB164:AE164"/>
    <mergeCell ref="AF164:AI164"/>
    <mergeCell ref="AJ164:AM164"/>
    <mergeCell ref="AB165:AE165"/>
    <mergeCell ref="AF165:AI165"/>
    <mergeCell ref="AJ165:AM165"/>
    <mergeCell ref="B166:K166"/>
    <mergeCell ref="L166:N166"/>
    <mergeCell ref="O166:Q166"/>
    <mergeCell ref="R166:U166"/>
    <mergeCell ref="V166:W166"/>
    <mergeCell ref="X166:AA166"/>
    <mergeCell ref="AB166:AE166"/>
    <mergeCell ref="B165:K165"/>
    <mergeCell ref="L165:N165"/>
    <mergeCell ref="O165:Q165"/>
    <mergeCell ref="R165:U165"/>
    <mergeCell ref="V165:W165"/>
    <mergeCell ref="X165:AA165"/>
    <mergeCell ref="AF166:AI166"/>
    <mergeCell ref="AJ166:AM166"/>
    <mergeCell ref="B167:K167"/>
    <mergeCell ref="L167:N167"/>
    <mergeCell ref="O167:Q167"/>
    <mergeCell ref="R167:U167"/>
    <mergeCell ref="V167:W167"/>
    <mergeCell ref="X167:AA167"/>
    <mergeCell ref="AB167:AE167"/>
    <mergeCell ref="AF167:AI167"/>
    <mergeCell ref="AJ167:AM167"/>
    <mergeCell ref="B168:K168"/>
    <mergeCell ref="L168:N168"/>
    <mergeCell ref="O168:Q168"/>
    <mergeCell ref="R168:U168"/>
    <mergeCell ref="V168:W168"/>
    <mergeCell ref="X168:AA168"/>
    <mergeCell ref="AB168:AE168"/>
    <mergeCell ref="AF168:AI168"/>
    <mergeCell ref="AJ168:AM168"/>
    <mergeCell ref="AB169:AE169"/>
    <mergeCell ref="AF169:AI169"/>
    <mergeCell ref="AJ169:AM169"/>
    <mergeCell ref="B170:K170"/>
    <mergeCell ref="L170:N170"/>
    <mergeCell ref="O170:Q170"/>
    <mergeCell ref="R170:U170"/>
    <mergeCell ref="V170:W170"/>
    <mergeCell ref="X170:AA170"/>
    <mergeCell ref="AB170:AE170"/>
    <mergeCell ref="B169:K169"/>
    <mergeCell ref="L169:N169"/>
    <mergeCell ref="O169:Q169"/>
    <mergeCell ref="R169:U169"/>
    <mergeCell ref="V169:W169"/>
    <mergeCell ref="X169:AA169"/>
    <mergeCell ref="AF170:AI170"/>
    <mergeCell ref="AJ170:AM170"/>
    <mergeCell ref="B171:K171"/>
    <mergeCell ref="L171:N171"/>
    <mergeCell ref="O171:Q171"/>
    <mergeCell ref="R171:U171"/>
    <mergeCell ref="V171:W171"/>
    <mergeCell ref="X171:AA171"/>
    <mergeCell ref="AB171:AE171"/>
    <mergeCell ref="AF171:AI171"/>
    <mergeCell ref="AJ171:AM171"/>
    <mergeCell ref="B172:K172"/>
    <mergeCell ref="L172:N172"/>
    <mergeCell ref="O172:Q172"/>
    <mergeCell ref="R172:U172"/>
    <mergeCell ref="V172:W172"/>
    <mergeCell ref="X172:AA172"/>
    <mergeCell ref="AB172:AE172"/>
    <mergeCell ref="AF172:AI172"/>
    <mergeCell ref="AJ172:AM172"/>
    <mergeCell ref="B173:K173"/>
    <mergeCell ref="L173:N173"/>
    <mergeCell ref="O173:Q173"/>
    <mergeCell ref="R173:U173"/>
    <mergeCell ref="V173:W173"/>
    <mergeCell ref="X173:AA173"/>
    <mergeCell ref="AB173:AE173"/>
    <mergeCell ref="AF173:AI173"/>
    <mergeCell ref="AJ173:AM173"/>
    <mergeCell ref="B174:K174"/>
    <mergeCell ref="L174:N174"/>
    <mergeCell ref="O174:Q174"/>
    <mergeCell ref="R174:U174"/>
    <mergeCell ref="V174:W174"/>
    <mergeCell ref="X174:AA174"/>
    <mergeCell ref="AB174:AE174"/>
    <mergeCell ref="AF174:AI174"/>
    <mergeCell ref="AJ174:AM174"/>
  </mergeCells>
  <hyperlinks>
    <hyperlink ref="G11" r:id="rId1" xr:uid="{05E34119-C186-8F40-B435-3BF9833C4521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471C-ECAC-F543-AAFA-38173CEFF888}">
  <dimension ref="A1:AM374"/>
  <sheetViews>
    <sheetView view="pageLayout" zoomScale="140" zoomScaleNormal="100" zoomScalePageLayoutView="140" workbookViewId="0">
      <selection activeCell="AA29" sqref="AA29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Deva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nr.13,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RO17784816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J40/14123/2013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RO06 UGBI 0000 6520 0247 5RON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6/22.12.2023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27/28.02.2024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0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AB374</f>
        <v>639372.33999999985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AF374</f>
        <v>121480.74999999999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AJ374</f>
        <v>760853.09000000008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760853.09000000008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R337+R351+R352+R355</f>
        <v>708487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1.0739125629686925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VLOOKUP($AA$16,'Date SPV'!$B:$H,4,FALSE)</f>
        <v>Calea Zarandului, nr. 87, Deva, jud. Hunedoara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5000252884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_xlfn.CONCAT($AA$16,"_",1)</f>
        <v>RDSC_1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RO005E532240390/1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RDSC_1.1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1369534319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1127317 (citit)</v>
      </c>
      <c r="S41" s="647"/>
      <c r="T41" s="647"/>
      <c r="U41" s="647" t="str">
        <f>VLOOKUP(A41,Regularizare!$D:$U,4,FALSE)&amp;" ("&amp;VLOOKUP(A41,Regularizare!$D:$U,12,FALSE)&amp;")"</f>
        <v>1170510 (estimat)</v>
      </c>
      <c r="V41" s="647"/>
      <c r="W41" s="647"/>
      <c r="X41" s="647" t="str">
        <f>VLOOKUP(A41,Regularizare!$D:$Y,19,FALSE)&amp;" ("&amp;VLOOKUP(A41,Regularizare!$D:$U,12,FALSE)&amp;")"</f>
        <v>43193 (estimat)</v>
      </c>
      <c r="Y41" s="647"/>
      <c r="Z41" s="647"/>
      <c r="AA41" s="647">
        <f>(-1)*VLOOKUP(A41,Regularizare!$D:$Y,19,FALSE)</f>
        <v>-43193</v>
      </c>
      <c r="AB41" s="647"/>
      <c r="AC41" s="647"/>
      <c r="AD41" s="647" t="s">
        <v>69</v>
      </c>
      <c r="AE41" s="647"/>
      <c r="AF41" s="647">
        <f>AA41</f>
        <v>-43193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1369534319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157078 (citit)</v>
      </c>
      <c r="S44" s="647"/>
      <c r="T44" s="647"/>
      <c r="U44" s="647" t="str">
        <f>VLOOKUP(A44,Regularizare!$D:$U,8,FALSE)&amp;" ("&amp;VLOOKUP(A44,Regularizare!$D:$U,16,FALSE)&amp;")"</f>
        <v>157078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1369534319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2357 (citit)</v>
      </c>
      <c r="S47" s="647"/>
      <c r="T47" s="647"/>
      <c r="U47" s="647" t="str">
        <f>VLOOKUP(A47,Regularizare!$D:$U,10,FALSE)&amp;" ("&amp;VLOOKUP(A47,Regularizare!$D:$U,18,FALSE)&amp;")"</f>
        <v>2357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1369534319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1127317 (citit)</v>
      </c>
      <c r="S50" s="647"/>
      <c r="T50" s="647"/>
      <c r="U50" s="647" t="str">
        <f>VLOOKUP(A50,Regularizare!$D:$AX,25,FALSE)&amp;" ("&amp;VLOOKUP(A50,Regularizare!$D:$AX,26,FALSE)&amp;")"</f>
        <v>1170510 (citit)</v>
      </c>
      <c r="V50" s="647"/>
      <c r="W50" s="647"/>
      <c r="X50" s="647" t="str">
        <f>VLOOKUP(A50,Regularizare!$D:$AX,37,FALSE)&amp;" ("&amp;VLOOKUP(A50,Regularizare!$D:$AX,26,FALSE)&amp;")"</f>
        <v>43193 (citit)</v>
      </c>
      <c r="Y50" s="647"/>
      <c r="Z50" s="647"/>
      <c r="AA50" s="647">
        <f>VLOOKUP(A50,Regularizare!$D:$AX,37,FALSE)</f>
        <v>43193</v>
      </c>
      <c r="AB50" s="647"/>
      <c r="AC50" s="647"/>
      <c r="AD50" s="647" t="s">
        <v>69</v>
      </c>
      <c r="AE50" s="647"/>
      <c r="AF50" s="647">
        <f>AA50</f>
        <v>43193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1369534319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157078 (citit)</v>
      </c>
      <c r="S53" s="647"/>
      <c r="T53" s="647"/>
      <c r="U53" s="647" t="str">
        <f>VLOOKUP(A53,Regularizare!$D:$AX,31,FALSE)&amp;" ("&amp;VLOOKUP(A53,Regularizare!$D:$AX,32,FALSE)&amp;")"</f>
        <v>157078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1369534319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2357 (citit)</v>
      </c>
      <c r="S56" s="647"/>
      <c r="T56" s="647"/>
      <c r="U56" s="647" t="str">
        <f>VLOOKUP(A56,Regularizare!$D:$AX,35,FALSE)&amp;" ("&amp;VLOOKUP(A56,Regularizare!$D:$AX,36,FALSE)&amp;")"</f>
        <v>2357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1369534319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1170510 (citit)</v>
      </c>
      <c r="S59" s="647"/>
      <c r="T59" s="647"/>
      <c r="U59" s="647" t="str">
        <f>VLOOKUP(A59,'Incrementare indexe'!$D:$M,4,FALSE)&amp;" (estimat)"</f>
        <v>1210901 (estimat)</v>
      </c>
      <c r="V59" s="647"/>
      <c r="W59" s="647"/>
      <c r="X59" s="647" t="str">
        <f>VLOOKUP(A59,'Incrementare indexe'!$D:$Q,11,FALSE)&amp;" (estimat)"</f>
        <v>40391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40391</v>
      </c>
      <c r="AG59" s="647"/>
      <c r="AH59" s="647"/>
      <c r="AI59" s="647">
        <f>J61-J59+1</f>
        <v>31</v>
      </c>
      <c r="AJ59" s="647"/>
      <c r="AK59" s="647">
        <f>ROUND(AF59/AI59,2)</f>
        <v>1302.94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1369534319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157078 (citit)</v>
      </c>
      <c r="S62" s="647"/>
      <c r="T62" s="647"/>
      <c r="U62" s="647" t="str">
        <f>VLOOKUP(A62,'Incrementare indexe'!$D:$M,8,FALSE)&amp;" (estimat)"</f>
        <v>157078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1369534319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2357 (citit)</v>
      </c>
      <c r="S65" s="647"/>
      <c r="T65" s="647"/>
      <c r="U65" s="647" t="str">
        <f>VLOOKUP(A65,'Incrementare indexe'!$D:$M,10,FALSE)&amp;" (estimat)"</f>
        <v>2357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196"/>
      <c r="B79" s="196"/>
      <c r="C79" s="196"/>
      <c r="D79" s="196"/>
      <c r="E79" s="196"/>
      <c r="F79" s="196"/>
      <c r="G79" s="196"/>
      <c r="H79" s="196"/>
      <c r="I79" s="196"/>
      <c r="J79" s="197"/>
      <c r="K79" s="197"/>
      <c r="L79" s="197"/>
      <c r="M79" s="196"/>
      <c r="N79" s="196"/>
      <c r="O79" s="196"/>
      <c r="P79" s="196"/>
      <c r="Q79" s="196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</row>
    <row r="80" spans="1:39" ht="14.1" customHeight="1">
      <c r="A80" s="196"/>
      <c r="B80" s="196"/>
      <c r="C80" s="196"/>
      <c r="D80" s="196"/>
      <c r="E80" s="196"/>
      <c r="F80" s="196"/>
      <c r="G80" s="196"/>
      <c r="H80" s="196"/>
      <c r="I80" s="196"/>
      <c r="J80" s="197"/>
      <c r="K80" s="197"/>
      <c r="L80" s="197"/>
      <c r="M80" s="196"/>
      <c r="N80" s="196"/>
      <c r="O80" s="196"/>
      <c r="P80" s="196"/>
      <c r="Q80" s="196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</row>
    <row r="81" spans="1:39" ht="14.1" customHeight="1">
      <c r="A81" s="721" t="s">
        <v>1196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_xlfn.CONCAT(AI36,"/PV")</f>
        <v>RDSC_1.1/PV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1371641082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516268 (citit)</v>
      </c>
      <c r="S87" s="647"/>
      <c r="T87" s="647"/>
      <c r="U87" s="647" t="str">
        <f>VLOOKUP(AI82,'Incrementare indexe'!$B:$I,8,FALSE)&amp;" (citit)"</f>
        <v>550854 (citit)</v>
      </c>
      <c r="V87" s="647"/>
      <c r="W87" s="647"/>
      <c r="X87" s="647" t="str">
        <f>(VLOOKUP(AI82,'Incrementare indexe'!$B:$I,8,FALSE)-VLOOKUP(AI82,'Incrementare indexe'!$B:$I,7,FALSE))&amp;" (citit)"</f>
        <v>34586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34586</v>
      </c>
      <c r="AG87" s="647"/>
      <c r="AH87" s="647"/>
      <c r="AI87" s="647">
        <f>J89-J87+1</f>
        <v>31</v>
      </c>
      <c r="AJ87" s="647"/>
      <c r="AK87" s="647">
        <f>ROUND(AF87/AI87,2)</f>
        <v>1115.68</v>
      </c>
      <c r="AL87" s="647"/>
      <c r="AM87" s="647"/>
    </row>
    <row r="88" spans="1:39" ht="14.1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1371641082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14.1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1371641082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14.1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/>
    <row r="98" spans="1:39">
      <c r="A98" s="649" t="s">
        <v>748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50" t="str">
        <f>VLOOKUP(AI99,'Contorizare in SDI'!$E:$I,4,FALSE)</f>
        <v>RO005E532240390/2</v>
      </c>
      <c r="N98" s="650"/>
      <c r="O98" s="650"/>
      <c r="P98" s="650"/>
      <c r="Q98" s="650"/>
      <c r="R98" s="650"/>
      <c r="S98" s="650"/>
      <c r="T98" s="650"/>
      <c r="U98" s="650"/>
      <c r="V98" s="650"/>
      <c r="W98" s="650"/>
      <c r="X98" s="650"/>
      <c r="Y98" s="650"/>
      <c r="Z98" s="650"/>
      <c r="AA98" s="650"/>
      <c r="AB98" s="650"/>
      <c r="AC98" s="650"/>
      <c r="AD98" s="650"/>
      <c r="AE98" s="650"/>
      <c r="AF98" s="650"/>
      <c r="AG98" s="650"/>
      <c r="AH98" s="650"/>
      <c r="AI98" s="650" t="s">
        <v>695</v>
      </c>
      <c r="AJ98" s="650"/>
      <c r="AK98" s="650"/>
      <c r="AL98" s="650"/>
      <c r="AM98" s="650"/>
    </row>
    <row r="99" spans="1:39">
      <c r="A99" s="649" t="s">
        <v>746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tr">
        <f>VLOOKUP(AI99,'Inchidere contur'!$G:$U,15,FALSE)</f>
        <v>JT_SDI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19" t="str">
        <f>_xlfn.CONCAT(AA32,".",2)</f>
        <v>RDSC_1.2</v>
      </c>
      <c r="AJ99" s="619"/>
      <c r="AK99" s="619"/>
      <c r="AL99" s="619"/>
      <c r="AM99" s="619"/>
    </row>
    <row r="100" spans="1:39">
      <c r="A100" s="649" t="s">
        <v>747</v>
      </c>
      <c r="B100" s="649"/>
      <c r="C100" s="649"/>
      <c r="D100" s="649"/>
      <c r="E100" s="649"/>
      <c r="F100" s="649"/>
      <c r="G100" s="649"/>
      <c r="H100" s="649"/>
      <c r="I100" s="649"/>
      <c r="J100" s="649"/>
      <c r="K100" s="649"/>
      <c r="L100" s="649"/>
      <c r="M100" s="650" t="str">
        <f>IF(LEFT(M99,2)="JT","0.4kV",IF(LEFT(M99,2)="MT","20kV","-"))</f>
        <v>0.4kV</v>
      </c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19"/>
      <c r="AJ100" s="619"/>
      <c r="AK100" s="619"/>
      <c r="AL100" s="619"/>
      <c r="AM100" s="619"/>
    </row>
    <row r="101" spans="1:39" ht="15.95" customHeight="1">
      <c r="A101" s="648" t="s">
        <v>697</v>
      </c>
      <c r="B101" s="648"/>
      <c r="C101" s="648"/>
      <c r="D101" s="648"/>
      <c r="E101" s="648"/>
      <c r="F101" s="648"/>
      <c r="G101" s="647" t="s">
        <v>713</v>
      </c>
      <c r="H101" s="647"/>
      <c r="I101" s="647"/>
      <c r="J101" s="647" t="s">
        <v>714</v>
      </c>
      <c r="K101" s="647"/>
      <c r="L101" s="647"/>
      <c r="M101" s="648" t="s">
        <v>519</v>
      </c>
      <c r="N101" s="648"/>
      <c r="O101" s="648" t="s">
        <v>715</v>
      </c>
      <c r="P101" s="648"/>
      <c r="Q101" s="648"/>
      <c r="R101" s="647" t="s">
        <v>732</v>
      </c>
      <c r="S101" s="647"/>
      <c r="T101" s="647"/>
      <c r="U101" s="647" t="s">
        <v>734</v>
      </c>
      <c r="V101" s="647"/>
      <c r="W101" s="647"/>
      <c r="X101" s="647" t="s">
        <v>1085</v>
      </c>
      <c r="Y101" s="647"/>
      <c r="Z101" s="647"/>
      <c r="AA101" s="647" t="s">
        <v>1086</v>
      </c>
      <c r="AB101" s="647"/>
      <c r="AC101" s="647"/>
      <c r="AD101" s="647" t="s">
        <v>717</v>
      </c>
      <c r="AE101" s="647"/>
      <c r="AF101" s="647" t="s">
        <v>718</v>
      </c>
      <c r="AG101" s="647"/>
      <c r="AH101" s="647"/>
      <c r="AI101" s="647" t="s">
        <v>719</v>
      </c>
      <c r="AJ101" s="647"/>
      <c r="AK101" s="647" t="s">
        <v>733</v>
      </c>
      <c r="AL101" s="647"/>
      <c r="AM101" s="647"/>
    </row>
    <row r="102" spans="1:39">
      <c r="A102" s="648"/>
      <c r="B102" s="648"/>
      <c r="C102" s="648"/>
      <c r="D102" s="648"/>
      <c r="E102" s="648"/>
      <c r="F102" s="648"/>
      <c r="G102" s="647"/>
      <c r="H102" s="647"/>
      <c r="I102" s="647"/>
      <c r="J102" s="647"/>
      <c r="K102" s="647"/>
      <c r="L102" s="647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>
      <c r="A103" s="648"/>
      <c r="B103" s="648"/>
      <c r="C103" s="648"/>
      <c r="D103" s="648"/>
      <c r="E103" s="648"/>
      <c r="F103" s="648"/>
      <c r="G103" s="647"/>
      <c r="H103" s="647"/>
      <c r="I103" s="647"/>
      <c r="J103" s="713"/>
      <c r="K103" s="713"/>
      <c r="L103" s="713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VLOOKUP(AI99,'Contorizare in SDI'!$E:$I,5,FALSE)</f>
        <v>1369546405</v>
      </c>
      <c r="B104" s="679"/>
      <c r="C104" s="679"/>
      <c r="D104" s="679"/>
      <c r="E104" s="679"/>
      <c r="F104" s="680"/>
      <c r="G104" s="648" t="s">
        <v>730</v>
      </c>
      <c r="H104" s="648"/>
      <c r="I104" s="673"/>
      <c r="J104" s="655">
        <f>'Date masura OD'!$AK$5</f>
        <v>45748</v>
      </c>
      <c r="K104" s="656"/>
      <c r="L104" s="657"/>
      <c r="M104" s="720" t="s">
        <v>446</v>
      </c>
      <c r="N104" s="648"/>
      <c r="O104" s="648">
        <f>VLOOKUP(AI99,'Incrementare indexe'!$B:$T,4,FALSE)</f>
        <v>1</v>
      </c>
      <c r="P104" s="648"/>
      <c r="Q104" s="648"/>
      <c r="R104" s="647" t="str">
        <f>VLOOKUP(A104,Regularizare!$D:$YN,3,FALSE)&amp;" ("&amp;VLOOKUP(A104,Regularizare!$D:$Y,11,FALSE)&amp;")"</f>
        <v>1188334 (citit)</v>
      </c>
      <c r="S104" s="647"/>
      <c r="T104" s="647"/>
      <c r="U104" s="647" t="str">
        <f>VLOOKUP(A104,Regularizare!$D:$U,4,FALSE)&amp;" ("&amp;VLOOKUP(A104,Regularizare!$D:$U,12,FALSE)&amp;")"</f>
        <v>1233968 (estimat)</v>
      </c>
      <c r="V104" s="647"/>
      <c r="W104" s="647"/>
      <c r="X104" s="647" t="str">
        <f>VLOOKUP(A104,Regularizare!$D:$Y,19,FALSE)&amp;" ("&amp;VLOOKUP(A104,Regularizare!$D:$U,12,FALSE)&amp;")"</f>
        <v>45634 (estimat)</v>
      </c>
      <c r="Y104" s="647"/>
      <c r="Z104" s="647"/>
      <c r="AA104" s="647">
        <f>(-1)*VLOOKUP(A104,Regularizare!$D:$Y,19,FALSE)</f>
        <v>-45634</v>
      </c>
      <c r="AB104" s="647"/>
      <c r="AC104" s="647"/>
      <c r="AD104" s="647" t="s">
        <v>69</v>
      </c>
      <c r="AE104" s="647"/>
      <c r="AF104" s="647">
        <f>AA104</f>
        <v>-45634</v>
      </c>
      <c r="AG104" s="647"/>
      <c r="AH104" s="647"/>
      <c r="AI104" s="647" t="s">
        <v>69</v>
      </c>
      <c r="AJ104" s="647"/>
      <c r="AK104" s="647" t="s">
        <v>69</v>
      </c>
      <c r="AL104" s="647"/>
      <c r="AM104" s="647"/>
    </row>
    <row r="105" spans="1:39" ht="9.75" customHeight="1">
      <c r="A105" s="717"/>
      <c r="B105" s="718"/>
      <c r="C105" s="718"/>
      <c r="D105" s="718"/>
      <c r="E105" s="718"/>
      <c r="F105" s="719"/>
      <c r="G105" s="648"/>
      <c r="H105" s="648"/>
      <c r="I105" s="673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73"/>
      <c r="J106" s="714">
        <f>'Date masura OD'!$AL$5</f>
        <v>45777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1369546405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4">J104</f>
        <v>45748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VLOOKUP(A107,Regularizare!$D:$U,7,FALSE)&amp;" ("&amp;VLOOKUP(A107,Regularizare!$D:$U,15,FALSE)&amp;")"</f>
        <v>159835 (citit)</v>
      </c>
      <c r="S107" s="647"/>
      <c r="T107" s="647"/>
      <c r="U107" s="647" t="str">
        <f>VLOOKUP(A107,Regularizare!$D:$U,8,FALSE)&amp;" ("&amp;VLOOKUP(A107,Regularizare!$D:$U,16,FALSE)&amp;")"</f>
        <v>159835 (estimat)</v>
      </c>
      <c r="V107" s="647"/>
      <c r="W107" s="647"/>
      <c r="X107" s="647" t="str">
        <f>_xlfn.CONCAT(VLOOKUP(A107,Regularizare!$D:$U,8,FALSE)-VLOOKUP(A107,Regularizare!$D:$U,7,FALSE)," (",VLOOKUP(A107,Regularizare!$D:$U,16,FALSE),")")</f>
        <v>0 (estimat)</v>
      </c>
      <c r="Y107" s="647"/>
      <c r="Z107" s="647"/>
      <c r="AA107" s="647">
        <f>IF(VLOOKUP(A107,Regularizare!$D:$Y,21,FALSE)=0,VLOOKUP(A107,Regularizare!$D:$Y,21,FALSE),(-1)*VLOOKUP(A107,Regularizare!$D:$Y,21,FALSE))</f>
        <v>0</v>
      </c>
      <c r="AB107" s="647"/>
      <c r="AC107" s="647"/>
      <c r="AD107" s="647" t="s">
        <v>69</v>
      </c>
      <c r="AE107" s="647"/>
      <c r="AF107" s="647">
        <f>AA107</f>
        <v>0</v>
      </c>
      <c r="AG107" s="647"/>
      <c r="AH107" s="647"/>
      <c r="AI107" s="647" t="str">
        <f>AI104</f>
        <v>-</v>
      </c>
      <c r="AJ107" s="647"/>
      <c r="AK107" s="647" t="str">
        <f>AK104</f>
        <v>-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4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4"/>
        <v>45777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1369546405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4"/>
        <v>45748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VLOOKUP(A110,Regularizare!$D:$U,9,FALSE)&amp;" ("&amp;VLOOKUP(A110,Regularizare!$D:$U,17,FALSE)&amp;")"</f>
        <v>3873 (citit)</v>
      </c>
      <c r="S110" s="647"/>
      <c r="T110" s="647"/>
      <c r="U110" s="647" t="str">
        <f>VLOOKUP(A110,Regularizare!$D:$U,10,FALSE)&amp;" ("&amp;VLOOKUP(A110,Regularizare!$D:$U,18,FALSE)&amp;")"</f>
        <v>3873 (estimat)</v>
      </c>
      <c r="V110" s="647"/>
      <c r="W110" s="647"/>
      <c r="X110" s="647" t="str">
        <f>_xlfn.CONCAT(VLOOKUP(A110,Regularizare!$D:$U,10,FALSE)-VLOOKUP(A110,Regularizare!$D:$U,9,FALSE)," (",VLOOKUP(A110,Regularizare!$D:$U,18,FALSE),")")</f>
        <v>0 (estimat)</v>
      </c>
      <c r="Y110" s="647"/>
      <c r="Z110" s="647"/>
      <c r="AA110" s="647">
        <f>IF(VLOOKUP(A110,Regularizare!$D:$Y,22,FALSE)=0,VLOOKUP(A110,Regularizare!$D:$Y,22,FALSE),(-1)*VLOOKUP(A110,Regularizare!$D:$Y,22,FALSE))</f>
        <v>0</v>
      </c>
      <c r="AB110" s="647"/>
      <c r="AC110" s="647"/>
      <c r="AD110" s="647" t="s">
        <v>69</v>
      </c>
      <c r="AE110" s="647"/>
      <c r="AF110" s="647">
        <f>AA110</f>
        <v>0</v>
      </c>
      <c r="AG110" s="647"/>
      <c r="AH110" s="647"/>
      <c r="AI110" s="647" t="str">
        <f>AI107</f>
        <v>-</v>
      </c>
      <c r="AJ110" s="647"/>
      <c r="AK110" s="647" t="str">
        <f>AK107</f>
        <v>-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4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4"/>
        <v>45777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78">
        <f>A110</f>
        <v>1369546405</v>
      </c>
      <c r="B113" s="679"/>
      <c r="C113" s="679"/>
      <c r="D113" s="679"/>
      <c r="E113" s="679"/>
      <c r="F113" s="680"/>
      <c r="G113" s="648" t="s">
        <v>730</v>
      </c>
      <c r="H113" s="648"/>
      <c r="I113" s="673"/>
      <c r="J113" s="655">
        <f>'Date masura OD'!$AK$5</f>
        <v>45748</v>
      </c>
      <c r="K113" s="656"/>
      <c r="L113" s="657"/>
      <c r="M113" s="720" t="s">
        <v>446</v>
      </c>
      <c r="N113" s="648"/>
      <c r="O113" s="648">
        <f>O110</f>
        <v>1</v>
      </c>
      <c r="P113" s="648"/>
      <c r="Q113" s="648"/>
      <c r="R113" s="647" t="str">
        <f>VLOOKUP(A113,Regularizare!$D:$AX,23,FALSE)&amp;" ("&amp;VLOOKUP(A113,Regularizare!$D:$AX,24,FALSE)&amp;")"</f>
        <v>1188334 (citit)</v>
      </c>
      <c r="S113" s="647"/>
      <c r="T113" s="647"/>
      <c r="U113" s="647" t="str">
        <f>VLOOKUP(A113,Regularizare!$D:$AX,25,FALSE)&amp;" ("&amp;VLOOKUP(A113,Regularizare!$D:$AX,26,FALSE)&amp;")"</f>
        <v>1233968 (citit)</v>
      </c>
      <c r="V113" s="647"/>
      <c r="W113" s="647"/>
      <c r="X113" s="647" t="str">
        <f>VLOOKUP(A113,Regularizare!$D:$AX,37,FALSE)&amp;" ("&amp;VLOOKUP(A113,Regularizare!$D:$AX,26,FALSE)&amp;")"</f>
        <v>45634 (citit)</v>
      </c>
      <c r="Y113" s="647"/>
      <c r="Z113" s="647"/>
      <c r="AA113" s="647">
        <f>VLOOKUP(A113,Regularizare!$D:$AX,37,FALSE)</f>
        <v>45634</v>
      </c>
      <c r="AB113" s="647"/>
      <c r="AC113" s="647"/>
      <c r="AD113" s="647" t="s">
        <v>69</v>
      </c>
      <c r="AE113" s="647"/>
      <c r="AF113" s="647">
        <f>AA113</f>
        <v>45634</v>
      </c>
      <c r="AG113" s="647"/>
      <c r="AH113" s="647"/>
      <c r="AI113" s="647" t="str">
        <f>AI110</f>
        <v>-</v>
      </c>
      <c r="AJ113" s="647"/>
      <c r="AK113" s="647" t="str">
        <f>AK110</f>
        <v>-</v>
      </c>
      <c r="AL113" s="647"/>
      <c r="AM113" s="647"/>
    </row>
    <row r="114" spans="1:39" ht="8.4499999999999993" customHeight="1">
      <c r="A114" s="717"/>
      <c r="B114" s="718"/>
      <c r="C114" s="718"/>
      <c r="D114" s="718"/>
      <c r="E114" s="718"/>
      <c r="F114" s="719"/>
      <c r="G114" s="648"/>
      <c r="H114" s="648"/>
      <c r="I114" s="673"/>
      <c r="J114" s="717" t="s">
        <v>69</v>
      </c>
      <c r="K114" s="718"/>
      <c r="L114" s="719"/>
      <c r="M114" s="720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1"/>
      <c r="B115" s="682"/>
      <c r="C115" s="682"/>
      <c r="D115" s="682"/>
      <c r="E115" s="682"/>
      <c r="F115" s="683"/>
      <c r="G115" s="648"/>
      <c r="H115" s="648"/>
      <c r="I115" s="673"/>
      <c r="J115" s="714">
        <f>'Date masura OD'!$AL$5</f>
        <v>45777</v>
      </c>
      <c r="K115" s="715"/>
      <c r="L115" s="716"/>
      <c r="M115" s="720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78">
        <f>A113</f>
        <v>1369546405</v>
      </c>
      <c r="B116" s="679"/>
      <c r="C116" s="679"/>
      <c r="D116" s="679"/>
      <c r="E116" s="679"/>
      <c r="F116" s="680"/>
      <c r="G116" s="648" t="s">
        <v>696</v>
      </c>
      <c r="H116" s="648"/>
      <c r="I116" s="648"/>
      <c r="J116" s="655">
        <f t="shared" ref="J116:J121" si="5">J113</f>
        <v>45748</v>
      </c>
      <c r="K116" s="656"/>
      <c r="L116" s="657"/>
      <c r="M116" s="648" t="s">
        <v>720</v>
      </c>
      <c r="N116" s="648"/>
      <c r="O116" s="648">
        <f>O113</f>
        <v>1</v>
      </c>
      <c r="P116" s="648"/>
      <c r="Q116" s="648"/>
      <c r="R116" s="647" t="str">
        <f>VLOOKUP(A116,Regularizare!$D:$AX,29,FALSE)&amp;" ("&amp;VLOOKUP(A116,Regularizare!$D:$AX,30,FALSE)&amp;")"</f>
        <v>159835 (citit)</v>
      </c>
      <c r="S116" s="647"/>
      <c r="T116" s="647"/>
      <c r="U116" s="647" t="str">
        <f>VLOOKUP(A116,Regularizare!$D:$AX,31,FALSE)&amp;" ("&amp;VLOOKUP(A116,Regularizare!$D:$AX,32,FALSE)&amp;")"</f>
        <v>159835 (citit)</v>
      </c>
      <c r="V116" s="647"/>
      <c r="W116" s="647"/>
      <c r="X116" s="647" t="str">
        <f>VLOOKUP(A116,Regularizare!$D:$AX,39,FALSE)&amp;" ("&amp;VLOOKUP(A116,Regularizare!$D:$AX,32,FALSE)&amp;")"</f>
        <v>0 (citit)</v>
      </c>
      <c r="Y116" s="647"/>
      <c r="Z116" s="647"/>
      <c r="AA116" s="647">
        <f>VLOOKUP(A116,Regularizare!$D:$AX,44,FALSE)+VLOOKUP(A116,Regularizare!$D:$AX,45,FALSE)</f>
        <v>0</v>
      </c>
      <c r="AB116" s="647"/>
      <c r="AC116" s="647"/>
      <c r="AD116" s="647" t="s">
        <v>69</v>
      </c>
      <c r="AE116" s="647"/>
      <c r="AF116" s="647">
        <f>AA116</f>
        <v>0</v>
      </c>
      <c r="AG116" s="647"/>
      <c r="AH116" s="647"/>
      <c r="AI116" s="647" t="str">
        <f>AI113</f>
        <v>-</v>
      </c>
      <c r="AJ116" s="647"/>
      <c r="AK116" s="647" t="str">
        <f>AK113</f>
        <v>-</v>
      </c>
      <c r="AL116" s="647"/>
      <c r="AM116" s="647"/>
    </row>
    <row r="117" spans="1:39" ht="8.4499999999999993" customHeight="1">
      <c r="A117" s="717"/>
      <c r="B117" s="718"/>
      <c r="C117" s="718"/>
      <c r="D117" s="718"/>
      <c r="E117" s="718"/>
      <c r="F117" s="719"/>
      <c r="G117" s="648"/>
      <c r="H117" s="648"/>
      <c r="I117" s="648"/>
      <c r="J117" s="717" t="str">
        <f t="shared" si="5"/>
        <v>-</v>
      </c>
      <c r="K117" s="718"/>
      <c r="L117" s="719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81"/>
      <c r="B118" s="682"/>
      <c r="C118" s="682"/>
      <c r="D118" s="682"/>
      <c r="E118" s="682"/>
      <c r="F118" s="683"/>
      <c r="G118" s="648"/>
      <c r="H118" s="648"/>
      <c r="I118" s="648"/>
      <c r="J118" s="714">
        <f t="shared" si="5"/>
        <v>45777</v>
      </c>
      <c r="K118" s="715"/>
      <c r="L118" s="716"/>
      <c r="M118" s="648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>
      <c r="A119" s="678">
        <f>A116</f>
        <v>1369546405</v>
      </c>
      <c r="B119" s="679"/>
      <c r="C119" s="679"/>
      <c r="D119" s="679"/>
      <c r="E119" s="679"/>
      <c r="F119" s="680"/>
      <c r="G119" s="648" t="s">
        <v>731</v>
      </c>
      <c r="H119" s="648"/>
      <c r="I119" s="648"/>
      <c r="J119" s="655">
        <f t="shared" si="5"/>
        <v>45748</v>
      </c>
      <c r="K119" s="656"/>
      <c r="L119" s="657"/>
      <c r="M119" s="648" t="s">
        <v>720</v>
      </c>
      <c r="N119" s="648"/>
      <c r="O119" s="648">
        <f>O116</f>
        <v>1</v>
      </c>
      <c r="P119" s="648"/>
      <c r="Q119" s="648"/>
      <c r="R119" s="647" t="str">
        <f>VLOOKUP(A119,Regularizare!$D:$AX,33,FALSE)&amp;" ("&amp;VLOOKUP(A119,Regularizare!$D:$AX,34,FALSE)&amp;")"</f>
        <v>3873 (citit)</v>
      </c>
      <c r="S119" s="647"/>
      <c r="T119" s="647"/>
      <c r="U119" s="647" t="str">
        <f>VLOOKUP(A119,Regularizare!$D:$AX,35,FALSE)&amp;" ("&amp;VLOOKUP(A119,Regularizare!$D:$AX,36,FALSE)&amp;")"</f>
        <v>3873 (citit)</v>
      </c>
      <c r="V119" s="647"/>
      <c r="W119" s="647"/>
      <c r="X119" s="647" t="str">
        <f>VLOOKUP(A119,Regularizare!$D:$AX,40,FALSE)&amp;" ("&amp;VLOOKUP(A119,Regularizare!$D:$AX,36,FALSE)&amp;")"</f>
        <v>0 (citit)</v>
      </c>
      <c r="Y119" s="647"/>
      <c r="Z119" s="647"/>
      <c r="AA119" s="647">
        <f>VLOOKUP(A119,Regularizare!$D:$AX,46,FALSE)+VLOOKUP(A119,Regularizare!$D:$AX,47,FALSE)</f>
        <v>0</v>
      </c>
      <c r="AB119" s="647"/>
      <c r="AC119" s="647"/>
      <c r="AD119" s="647" t="s">
        <v>69</v>
      </c>
      <c r="AE119" s="647"/>
      <c r="AF119" s="647">
        <f>AA119</f>
        <v>0</v>
      </c>
      <c r="AG119" s="647"/>
      <c r="AH119" s="647"/>
      <c r="AI119" s="647" t="str">
        <f>AI116</f>
        <v>-</v>
      </c>
      <c r="AJ119" s="647"/>
      <c r="AK119" s="647" t="str">
        <f>AK116</f>
        <v>-</v>
      </c>
      <c r="AL119" s="647"/>
      <c r="AM119" s="647"/>
    </row>
    <row r="120" spans="1:39" ht="8.4499999999999993" customHeight="1">
      <c r="A120" s="717"/>
      <c r="B120" s="718"/>
      <c r="C120" s="718"/>
      <c r="D120" s="718"/>
      <c r="E120" s="718"/>
      <c r="F120" s="719"/>
      <c r="G120" s="648"/>
      <c r="H120" s="648"/>
      <c r="I120" s="648"/>
      <c r="J120" s="717" t="str">
        <f t="shared" si="5"/>
        <v>-</v>
      </c>
      <c r="K120" s="718"/>
      <c r="L120" s="719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81"/>
      <c r="B121" s="682"/>
      <c r="C121" s="682"/>
      <c r="D121" s="682"/>
      <c r="E121" s="682"/>
      <c r="F121" s="683"/>
      <c r="G121" s="648"/>
      <c r="H121" s="648"/>
      <c r="I121" s="648"/>
      <c r="J121" s="714">
        <f t="shared" si="5"/>
        <v>45777</v>
      </c>
      <c r="K121" s="715"/>
      <c r="L121" s="716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78">
        <f>A119</f>
        <v>1369546405</v>
      </c>
      <c r="B122" s="679"/>
      <c r="C122" s="679"/>
      <c r="D122" s="679"/>
      <c r="E122" s="679"/>
      <c r="F122" s="680"/>
      <c r="G122" s="648" t="s">
        <v>730</v>
      </c>
      <c r="H122" s="648"/>
      <c r="I122" s="673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O119</f>
        <v>1</v>
      </c>
      <c r="P122" s="648"/>
      <c r="Q122" s="648"/>
      <c r="R122" s="647" t="str">
        <f>U113</f>
        <v>1233968 (citit)</v>
      </c>
      <c r="S122" s="647"/>
      <c r="T122" s="647"/>
      <c r="U122" s="647" t="str">
        <f>VLOOKUP(A122,'Incrementare indexe'!$D:$M,4,FALSE)&amp;" (estimat)"</f>
        <v>1277439 (estimat)</v>
      </c>
      <c r="V122" s="647"/>
      <c r="W122" s="647"/>
      <c r="X122" s="647" t="str">
        <f>VLOOKUP(A122,'Incrementare indexe'!$D:$Q,11,FALSE)&amp;" (estimat)"</f>
        <v>43471 (estimat)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VLOOKUP(A122,'Incrementare indexe'!$D:$Q,11,FALSE)</f>
        <v>43471</v>
      </c>
      <c r="AG122" s="647"/>
      <c r="AH122" s="647"/>
      <c r="AI122" s="647">
        <f>J124-J122+1</f>
        <v>31</v>
      </c>
      <c r="AJ122" s="647"/>
      <c r="AK122" s="647">
        <f>ROUND(AF122/AI122,2)</f>
        <v>1402.29</v>
      </c>
      <c r="AL122" s="647"/>
      <c r="AM122" s="647"/>
    </row>
    <row r="123" spans="1:39" ht="8.4499999999999993" customHeight="1">
      <c r="A123" s="717"/>
      <c r="B123" s="718"/>
      <c r="C123" s="718"/>
      <c r="D123" s="718"/>
      <c r="E123" s="718"/>
      <c r="F123" s="719"/>
      <c r="G123" s="648"/>
      <c r="H123" s="648"/>
      <c r="I123" s="673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1"/>
      <c r="B124" s="682"/>
      <c r="C124" s="682"/>
      <c r="D124" s="682"/>
      <c r="E124" s="682"/>
      <c r="F124" s="683"/>
      <c r="G124" s="648"/>
      <c r="H124" s="648"/>
      <c r="I124" s="673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1369546405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tr">
        <f>U116</f>
        <v>159835 (citit)</v>
      </c>
      <c r="S125" s="647"/>
      <c r="T125" s="647"/>
      <c r="U125" s="647" t="str">
        <f>VLOOKUP(A125,'Incrementare indexe'!$D:$M,8,FALSE)&amp;" (estimat)"</f>
        <v>159835 (estimat)</v>
      </c>
      <c r="V125" s="647"/>
      <c r="W125" s="647"/>
      <c r="X125" s="647" t="str">
        <f>VLOOKUP(A125,'Incrementare indexe'!$D:$Q,12,FALSE)&amp;" (estimat)"</f>
        <v>0 (estimat)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f>VLOOKUP(A125,'Incrementare indexe'!$D:$Q,12,FALSE)</f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8.4499999999999993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1369546405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tr">
        <f>U119</f>
        <v>3873 (citit)</v>
      </c>
      <c r="S128" s="647"/>
      <c r="T128" s="647"/>
      <c r="U128" s="647" t="str">
        <f>VLOOKUP(A128,'Incrementare indexe'!$D:$M,10,FALSE)&amp;" (estimat)"</f>
        <v>3873 (estimat)</v>
      </c>
      <c r="V128" s="647"/>
      <c r="W128" s="647"/>
      <c r="X128" s="647" t="str">
        <f>VLOOKUP(A128,'Incrementare indexe'!$D:$Q,13,FALSE)&amp;" (estimat)"</f>
        <v>0 (estimat)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f>VLOOKUP(A128,'Incrementare indexe'!$D:$Q,13,FALSE)</f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8.4499999999999993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/>
    <row r="132" spans="1:39" ht="14.1" customHeight="1"/>
    <row r="133" spans="1:39" ht="14.1" customHeight="1"/>
    <row r="134" spans="1:39" ht="14.1" customHeight="1">
      <c r="A134" s="721" t="s">
        <v>1196</v>
      </c>
      <c r="B134" s="722"/>
      <c r="C134" s="722"/>
      <c r="D134" s="722"/>
      <c r="E134" s="722"/>
      <c r="F134" s="722"/>
      <c r="G134" s="722"/>
      <c r="H134" s="722"/>
      <c r="I134" s="722"/>
      <c r="J134" s="722"/>
      <c r="K134" s="722"/>
      <c r="L134" s="722"/>
      <c r="M134" s="722"/>
      <c r="N134" s="722"/>
      <c r="O134" s="722"/>
      <c r="P134" s="722"/>
      <c r="Q134" s="722"/>
      <c r="R134" s="722"/>
      <c r="S134" s="722"/>
      <c r="T134" s="722"/>
      <c r="U134" s="722"/>
      <c r="V134" s="722"/>
      <c r="W134" s="722"/>
      <c r="X134" s="722"/>
      <c r="Y134" s="722"/>
      <c r="Z134" s="722"/>
      <c r="AA134" s="722"/>
      <c r="AB134" s="722"/>
      <c r="AC134" s="722"/>
      <c r="AD134" s="722"/>
      <c r="AE134" s="722"/>
      <c r="AF134" s="722"/>
      <c r="AG134" s="722"/>
      <c r="AH134" s="723"/>
      <c r="AI134" s="650" t="s">
        <v>695</v>
      </c>
      <c r="AJ134" s="650"/>
      <c r="AK134" s="650"/>
      <c r="AL134" s="650"/>
      <c r="AM134" s="650"/>
    </row>
    <row r="135" spans="1:39" ht="14.1" customHeight="1">
      <c r="A135" s="649" t="s">
        <v>746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">
        <v>514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 t="str">
        <f>_xlfn.CONCAT(AI99,"/PV")</f>
        <v>RDSC_1.2/PV</v>
      </c>
      <c r="AJ135" s="619"/>
      <c r="AK135" s="619"/>
      <c r="AL135" s="619"/>
      <c r="AM135" s="619"/>
    </row>
    <row r="136" spans="1:39" ht="14.1" customHeight="1">
      <c r="A136" s="649" t="s">
        <v>747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">
        <v>1087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/>
      <c r="AJ136" s="619"/>
      <c r="AK136" s="619"/>
      <c r="AL136" s="619"/>
      <c r="AM136" s="619"/>
    </row>
    <row r="137" spans="1:39" ht="14.1" customHeight="1">
      <c r="A137" s="648" t="s">
        <v>697</v>
      </c>
      <c r="B137" s="648"/>
      <c r="C137" s="648"/>
      <c r="D137" s="648"/>
      <c r="E137" s="648"/>
      <c r="F137" s="648"/>
      <c r="G137" s="647" t="s">
        <v>713</v>
      </c>
      <c r="H137" s="647"/>
      <c r="I137" s="647"/>
      <c r="J137" s="647" t="s">
        <v>714</v>
      </c>
      <c r="K137" s="647"/>
      <c r="L137" s="647"/>
      <c r="M137" s="648" t="s">
        <v>519</v>
      </c>
      <c r="N137" s="648"/>
      <c r="O137" s="648" t="s">
        <v>715</v>
      </c>
      <c r="P137" s="648"/>
      <c r="Q137" s="648"/>
      <c r="R137" s="647" t="s">
        <v>732</v>
      </c>
      <c r="S137" s="647"/>
      <c r="T137" s="647"/>
      <c r="U137" s="647" t="s">
        <v>734</v>
      </c>
      <c r="V137" s="647"/>
      <c r="W137" s="647"/>
      <c r="X137" s="647" t="s">
        <v>1085</v>
      </c>
      <c r="Y137" s="647"/>
      <c r="Z137" s="647"/>
      <c r="AA137" s="647" t="s">
        <v>1086</v>
      </c>
      <c r="AB137" s="647"/>
      <c r="AC137" s="647"/>
      <c r="AD137" s="647" t="s">
        <v>717</v>
      </c>
      <c r="AE137" s="647"/>
      <c r="AF137" s="647" t="s">
        <v>718</v>
      </c>
      <c r="AG137" s="647"/>
      <c r="AH137" s="647"/>
      <c r="AI137" s="647" t="s">
        <v>719</v>
      </c>
      <c r="AJ137" s="647"/>
      <c r="AK137" s="647" t="s">
        <v>733</v>
      </c>
      <c r="AL137" s="647"/>
      <c r="AM137" s="647"/>
    </row>
    <row r="138" spans="1:39" ht="14.1" customHeight="1">
      <c r="A138" s="648"/>
      <c r="B138" s="648"/>
      <c r="C138" s="648"/>
      <c r="D138" s="648"/>
      <c r="E138" s="648"/>
      <c r="F138" s="648"/>
      <c r="G138" s="647"/>
      <c r="H138" s="647"/>
      <c r="I138" s="647"/>
      <c r="J138" s="647"/>
      <c r="K138" s="647"/>
      <c r="L138" s="647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48"/>
      <c r="B139" s="648"/>
      <c r="C139" s="648"/>
      <c r="D139" s="648"/>
      <c r="E139" s="648"/>
      <c r="F139" s="648"/>
      <c r="G139" s="647"/>
      <c r="H139" s="647"/>
      <c r="I139" s="647"/>
      <c r="J139" s="713"/>
      <c r="K139" s="713"/>
      <c r="L139" s="713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78">
        <f>VLOOKUP(AI135,'Incrementare indexe'!$B:$I,3,FALSE)</f>
        <v>1372628454</v>
      </c>
      <c r="B140" s="679"/>
      <c r="C140" s="679"/>
      <c r="D140" s="679"/>
      <c r="E140" s="679"/>
      <c r="F140" s="680"/>
      <c r="G140" s="647" t="s">
        <v>1088</v>
      </c>
      <c r="H140" s="647"/>
      <c r="I140" s="675"/>
      <c r="J140" s="655">
        <f>'Date masura OD'!$I$5</f>
        <v>45778</v>
      </c>
      <c r="K140" s="656"/>
      <c r="L140" s="657"/>
      <c r="M140" s="720" t="s">
        <v>446</v>
      </c>
      <c r="N140" s="648"/>
      <c r="O140" s="648">
        <f>VLOOKUP(AI135,'Incrementare indexe'!$B:$I,4,FALSE)</f>
        <v>1</v>
      </c>
      <c r="P140" s="648"/>
      <c r="Q140" s="648"/>
      <c r="R140" s="647" t="str">
        <f>VLOOKUP(AI135,'Incrementare indexe'!$B:$I,7,FALSE)&amp;" (citit)"</f>
        <v>357998 (citit)</v>
      </c>
      <c r="S140" s="647"/>
      <c r="T140" s="647"/>
      <c r="U140" s="647" t="str">
        <f>VLOOKUP(AI135,'Incrementare indexe'!$B:$I,8,FALSE)&amp;" (citit)"</f>
        <v>382151 (citit)</v>
      </c>
      <c r="V140" s="647"/>
      <c r="W140" s="647"/>
      <c r="X140" s="647" t="str">
        <f>(VLOOKUP(AI135,'Incrementare indexe'!$B:$I,8,FALSE)-VLOOKUP(AI135,'Incrementare indexe'!$B:$I,7,FALSE))&amp;" (citit)"</f>
        <v>24153 (citit)</v>
      </c>
      <c r="Y140" s="647"/>
      <c r="Z140" s="647"/>
      <c r="AA140" s="647" t="s">
        <v>69</v>
      </c>
      <c r="AB140" s="647"/>
      <c r="AC140" s="647"/>
      <c r="AD140" s="647" t="s">
        <v>69</v>
      </c>
      <c r="AE140" s="647"/>
      <c r="AF140" s="647">
        <f>(VLOOKUP(AI135,'Incrementare indexe'!$B:$I,8,FALSE)-VLOOKUP(AI135,'Incrementare indexe'!$B:$I,7,FALSE))</f>
        <v>24153</v>
      </c>
      <c r="AG140" s="647"/>
      <c r="AH140" s="647"/>
      <c r="AI140" s="647">
        <f>J142-J140+1</f>
        <v>31</v>
      </c>
      <c r="AJ140" s="647"/>
      <c r="AK140" s="647">
        <f>ROUND(AF140/AI140,2)</f>
        <v>779.13</v>
      </c>
      <c r="AL140" s="647"/>
      <c r="AM140" s="647"/>
    </row>
    <row r="141" spans="1:39" ht="14.1" customHeight="1">
      <c r="A141" s="717"/>
      <c r="B141" s="718"/>
      <c r="C141" s="718"/>
      <c r="D141" s="718"/>
      <c r="E141" s="718"/>
      <c r="F141" s="719"/>
      <c r="G141" s="647"/>
      <c r="H141" s="647"/>
      <c r="I141" s="675"/>
      <c r="J141" s="717" t="s">
        <v>69</v>
      </c>
      <c r="K141" s="718"/>
      <c r="L141" s="719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1"/>
      <c r="B142" s="682"/>
      <c r="C142" s="682"/>
      <c r="D142" s="682"/>
      <c r="E142" s="682"/>
      <c r="F142" s="683"/>
      <c r="G142" s="647"/>
      <c r="H142" s="647"/>
      <c r="I142" s="675"/>
      <c r="J142" s="714">
        <f>'Date masura OD'!$J$5</f>
        <v>45808</v>
      </c>
      <c r="K142" s="715"/>
      <c r="L142" s="716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1372628454</v>
      </c>
      <c r="B143" s="679"/>
      <c r="C143" s="679"/>
      <c r="D143" s="679"/>
      <c r="E143" s="679"/>
      <c r="F143" s="680"/>
      <c r="G143" s="648" t="s">
        <v>696</v>
      </c>
      <c r="H143" s="648"/>
      <c r="I143" s="648"/>
      <c r="J143" s="655">
        <f t="shared" ref="J143:J148" si="7">J140</f>
        <v>45778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">
        <v>1089</v>
      </c>
      <c r="S143" s="647"/>
      <c r="T143" s="647"/>
      <c r="U143" s="647" t="s">
        <v>1089</v>
      </c>
      <c r="V143" s="647"/>
      <c r="W143" s="647"/>
      <c r="X143" s="647" t="s">
        <v>1089</v>
      </c>
      <c r="Y143" s="647"/>
      <c r="Z143" s="647"/>
      <c r="AA143" s="647" t="s">
        <v>69</v>
      </c>
      <c r="AB143" s="647"/>
      <c r="AC143" s="647"/>
      <c r="AD143" s="647" t="s">
        <v>69</v>
      </c>
      <c r="AE143" s="647"/>
      <c r="AF143" s="647">
        <v>0</v>
      </c>
      <c r="AG143" s="647"/>
      <c r="AH143" s="647"/>
      <c r="AI143" s="647">
        <f>AI140</f>
        <v>31</v>
      </c>
      <c r="AJ143" s="647"/>
      <c r="AK143" s="647">
        <f>ROUND(AF143/AI143,2)</f>
        <v>0</v>
      </c>
      <c r="AL143" s="647"/>
      <c r="AM143" s="647"/>
    </row>
    <row r="144" spans="1:39" ht="14.1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7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7"/>
        <v>45808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1372628454</v>
      </c>
      <c r="B146" s="679"/>
      <c r="C146" s="679"/>
      <c r="D146" s="679"/>
      <c r="E146" s="679"/>
      <c r="F146" s="680"/>
      <c r="G146" s="648" t="s">
        <v>731</v>
      </c>
      <c r="H146" s="648"/>
      <c r="I146" s="648"/>
      <c r="J146" s="655">
        <f t="shared" si="7"/>
        <v>45778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">
        <v>1089</v>
      </c>
      <c r="S146" s="647"/>
      <c r="T146" s="647"/>
      <c r="U146" s="647" t="s">
        <v>1089</v>
      </c>
      <c r="V146" s="647"/>
      <c r="W146" s="647"/>
      <c r="X146" s="647" t="s">
        <v>1089</v>
      </c>
      <c r="Y146" s="647"/>
      <c r="Z146" s="647"/>
      <c r="AA146" s="647" t="s">
        <v>69</v>
      </c>
      <c r="AB146" s="647"/>
      <c r="AC146" s="647"/>
      <c r="AD146" s="647" t="s">
        <v>69</v>
      </c>
      <c r="AE146" s="647"/>
      <c r="AF146" s="647">
        <v>0</v>
      </c>
      <c r="AG146" s="647"/>
      <c r="AH146" s="647"/>
      <c r="AI146" s="647">
        <f>AI143</f>
        <v>31</v>
      </c>
      <c r="AJ146" s="647"/>
      <c r="AK146" s="647">
        <f>ROUND(AF146/AI146,2)</f>
        <v>0</v>
      </c>
      <c r="AL146" s="647"/>
      <c r="AM146" s="647"/>
    </row>
    <row r="147" spans="1:39" ht="14.1" customHeight="1">
      <c r="A147" s="717"/>
      <c r="B147" s="718"/>
      <c r="C147" s="718"/>
      <c r="D147" s="718"/>
      <c r="E147" s="718"/>
      <c r="F147" s="719"/>
      <c r="G147" s="648"/>
      <c r="H147" s="648"/>
      <c r="I147" s="648"/>
      <c r="J147" s="717" t="str">
        <f t="shared" si="7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48"/>
      <c r="J148" s="714">
        <f t="shared" si="7"/>
        <v>45808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196"/>
      <c r="B149" s="196"/>
      <c r="C149" s="196"/>
      <c r="D149" s="196"/>
      <c r="E149" s="196"/>
      <c r="F149" s="196"/>
      <c r="G149" s="196"/>
      <c r="H149" s="196"/>
      <c r="I149" s="196"/>
      <c r="J149" s="197"/>
      <c r="K149" s="197"/>
      <c r="L149" s="197"/>
      <c r="M149" s="196"/>
      <c r="N149" s="196"/>
      <c r="O149" s="196"/>
      <c r="P149" s="196"/>
      <c r="Q149" s="196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</row>
    <row r="150" spans="1:39" ht="14.1" customHeight="1"/>
    <row r="151" spans="1:39" ht="14.1" customHeight="1">
      <c r="A151" s="695" t="s">
        <v>858</v>
      </c>
      <c r="B151" s="695"/>
      <c r="C151" s="695"/>
      <c r="D151" s="695"/>
      <c r="E151" s="695"/>
      <c r="F151" s="695"/>
      <c r="G151" s="695"/>
      <c r="H151" s="695" t="str">
        <f>VLOOKUP($AA$16,'Date SPV'!$B:$H,4,FALSE)</f>
        <v>Calea Zarandului, nr. 87, Deva, jud. Hunedoara</v>
      </c>
      <c r="I151" s="695"/>
      <c r="J151" s="695"/>
      <c r="K151" s="695"/>
      <c r="L151" s="695"/>
      <c r="M151" s="695"/>
      <c r="N151" s="695"/>
      <c r="O151" s="695"/>
      <c r="P151" s="695"/>
      <c r="Q151" s="695"/>
      <c r="R151" s="695"/>
      <c r="S151" s="695"/>
      <c r="T151" s="695"/>
      <c r="U151" s="695"/>
      <c r="V151" s="695"/>
      <c r="W151" s="695"/>
      <c r="X151" s="695"/>
      <c r="Y151" s="695"/>
      <c r="Z151" s="695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</row>
    <row r="152" spans="1:39" ht="14.1" customHeight="1">
      <c r="A152" s="695"/>
      <c r="B152" s="695"/>
      <c r="C152" s="695"/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95"/>
      <c r="V152" s="695"/>
      <c r="W152" s="695"/>
      <c r="X152" s="695"/>
      <c r="Y152" s="695"/>
      <c r="Z152" s="695"/>
      <c r="AA152" s="695"/>
      <c r="AB152" s="695"/>
      <c r="AC152" s="695"/>
      <c r="AD152" s="695"/>
      <c r="AE152" s="695"/>
      <c r="AF152" s="695"/>
      <c r="AG152" s="695"/>
      <c r="AH152" s="695"/>
      <c r="AI152" s="695"/>
      <c r="AJ152" s="695"/>
      <c r="AK152" s="695"/>
      <c r="AL152" s="695"/>
      <c r="AM152" s="695"/>
    </row>
    <row r="153" spans="1:39" ht="14.1" customHeight="1">
      <c r="A153" s="695" t="s">
        <v>859</v>
      </c>
      <c r="B153" s="695"/>
      <c r="C153" s="695"/>
      <c r="D153" s="695"/>
      <c r="E153" s="695"/>
      <c r="F153" s="695"/>
      <c r="G153" s="695"/>
      <c r="H153" s="712">
        <f>VLOOKUP(AA153,'Date masura OD'!$G:$BE,51,FALSE)</f>
        <v>5000252893</v>
      </c>
      <c r="I153" s="712"/>
      <c r="J153" s="712"/>
      <c r="K153" s="712"/>
      <c r="L153" s="712"/>
      <c r="M153" s="712"/>
      <c r="N153" s="712"/>
      <c r="O153" s="712"/>
      <c r="P153" s="712"/>
      <c r="Q153" s="712"/>
      <c r="R153" s="712"/>
      <c r="S153" s="712"/>
      <c r="T153" s="712"/>
      <c r="U153" s="712"/>
      <c r="V153" s="712"/>
      <c r="W153" s="712" t="s">
        <v>860</v>
      </c>
      <c r="X153" s="712"/>
      <c r="Y153" s="712"/>
      <c r="Z153" s="712"/>
      <c r="AA153" s="640" t="str">
        <f>_xlfn.CONCAT($AA$16,"_",2)</f>
        <v>RDSC_2</v>
      </c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</row>
    <row r="154" spans="1:39" ht="14.1" customHeight="1">
      <c r="A154" s="695"/>
      <c r="B154" s="695"/>
      <c r="C154" s="695"/>
      <c r="D154" s="695"/>
      <c r="E154" s="695"/>
      <c r="F154" s="695"/>
      <c r="G154" s="695"/>
      <c r="H154" s="712"/>
      <c r="I154" s="712"/>
      <c r="J154" s="712"/>
      <c r="K154" s="712"/>
      <c r="L154" s="712"/>
      <c r="M154" s="712"/>
      <c r="N154" s="712"/>
      <c r="O154" s="712"/>
      <c r="P154" s="712"/>
      <c r="Q154" s="712"/>
      <c r="R154" s="712"/>
      <c r="S154" s="712"/>
      <c r="T154" s="712"/>
      <c r="U154" s="712"/>
      <c r="V154" s="712"/>
      <c r="W154" s="712"/>
      <c r="X154" s="712"/>
      <c r="Y154" s="712"/>
      <c r="Z154" s="712"/>
      <c r="AA154" s="640"/>
      <c r="AB154" s="640"/>
      <c r="AC154" s="640"/>
      <c r="AD154" s="640"/>
      <c r="AE154" s="640"/>
      <c r="AF154" s="640"/>
      <c r="AG154" s="640"/>
      <c r="AH154" s="640"/>
      <c r="AI154" s="640"/>
      <c r="AJ154" s="640"/>
      <c r="AK154" s="640"/>
      <c r="AL154" s="640"/>
      <c r="AM154" s="640"/>
    </row>
    <row r="155" spans="1:39" ht="14.1" customHeight="1">
      <c r="A155" s="274"/>
      <c r="B155" s="274"/>
      <c r="C155" s="274"/>
      <c r="D155" s="274"/>
      <c r="E155" s="274"/>
      <c r="F155" s="274"/>
      <c r="G155" s="274"/>
      <c r="H155" s="275"/>
      <c r="I155" s="275"/>
      <c r="J155" s="275"/>
      <c r="K155" s="275"/>
      <c r="L155" s="275"/>
      <c r="M155" s="275"/>
      <c r="N155" s="275"/>
      <c r="O155" s="275"/>
      <c r="P155" s="275"/>
      <c r="Q155" s="275"/>
      <c r="R155" s="275"/>
      <c r="S155" s="275"/>
      <c r="T155" s="275"/>
      <c r="U155" s="275"/>
      <c r="V155" s="275"/>
      <c r="W155" s="275"/>
      <c r="X155" s="275"/>
      <c r="Y155" s="275"/>
      <c r="Z155" s="275"/>
      <c r="AA155" s="276"/>
      <c r="AB155" s="276"/>
      <c r="AC155" s="276"/>
      <c r="AD155" s="276"/>
      <c r="AE155" s="276"/>
      <c r="AF155" s="276"/>
      <c r="AG155" s="276"/>
      <c r="AH155" s="276"/>
      <c r="AI155" s="276"/>
      <c r="AJ155" s="276"/>
      <c r="AK155" s="276"/>
      <c r="AL155" s="276"/>
      <c r="AM155" s="276"/>
    </row>
    <row r="156" spans="1:39" ht="14.1" customHeight="1">
      <c r="A156" s="649" t="s">
        <v>748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50" t="str">
        <f>VLOOKUP(AI157,'Contorizare in SDI'!$E:$I,4,FALSE)</f>
        <v>RO005E532371182/1</v>
      </c>
      <c r="N156" s="650"/>
      <c r="O156" s="650"/>
      <c r="P156" s="650"/>
      <c r="Q156" s="650"/>
      <c r="R156" s="650"/>
      <c r="S156" s="650"/>
      <c r="T156" s="650"/>
      <c r="U156" s="650"/>
      <c r="V156" s="650"/>
      <c r="W156" s="650"/>
      <c r="X156" s="650"/>
      <c r="Y156" s="650"/>
      <c r="Z156" s="650"/>
      <c r="AA156" s="650"/>
      <c r="AB156" s="650"/>
      <c r="AC156" s="650"/>
      <c r="AD156" s="650"/>
      <c r="AE156" s="650"/>
      <c r="AF156" s="650"/>
      <c r="AG156" s="650"/>
      <c r="AH156" s="650"/>
      <c r="AI156" s="650" t="s">
        <v>695</v>
      </c>
      <c r="AJ156" s="650"/>
      <c r="AK156" s="650"/>
      <c r="AL156" s="650"/>
      <c r="AM156" s="650"/>
    </row>
    <row r="157" spans="1:39" ht="14.1" customHeight="1">
      <c r="A157" s="649" t="s">
        <v>746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50" t="str">
        <f>VLOOKUP(AI157,'Inchidere contur'!$G:$U,15,FALSE)</f>
        <v>JT_SDI</v>
      </c>
      <c r="N157" s="650"/>
      <c r="O157" s="650"/>
      <c r="P157" s="650"/>
      <c r="Q157" s="650"/>
      <c r="R157" s="650"/>
      <c r="S157" s="650"/>
      <c r="T157" s="650"/>
      <c r="U157" s="650"/>
      <c r="V157" s="650"/>
      <c r="W157" s="650"/>
      <c r="X157" s="650"/>
      <c r="Y157" s="650"/>
      <c r="Z157" s="650"/>
      <c r="AA157" s="650"/>
      <c r="AB157" s="650"/>
      <c r="AC157" s="650"/>
      <c r="AD157" s="650"/>
      <c r="AE157" s="650"/>
      <c r="AF157" s="650"/>
      <c r="AG157" s="650"/>
      <c r="AH157" s="650"/>
      <c r="AI157" s="619" t="str">
        <f>_xlfn.CONCAT(AA153,".",1)</f>
        <v>RDSC_2.1</v>
      </c>
      <c r="AJ157" s="619"/>
      <c r="AK157" s="619"/>
      <c r="AL157" s="619"/>
      <c r="AM157" s="619"/>
    </row>
    <row r="158" spans="1:39" ht="14.1" customHeight="1">
      <c r="A158" s="649" t="s">
        <v>747</v>
      </c>
      <c r="B158" s="649"/>
      <c r="C158" s="649"/>
      <c r="D158" s="649"/>
      <c r="E158" s="649"/>
      <c r="F158" s="649"/>
      <c r="G158" s="649"/>
      <c r="H158" s="649"/>
      <c r="I158" s="649"/>
      <c r="J158" s="649"/>
      <c r="K158" s="649"/>
      <c r="L158" s="649"/>
      <c r="M158" s="650" t="str">
        <f>IF(LEFT(M157,2)="JT","0.4kV",IF(LEFT(M157,2)="MT","20kV","-"))</f>
        <v>0.4kV</v>
      </c>
      <c r="N158" s="650"/>
      <c r="O158" s="650"/>
      <c r="P158" s="650"/>
      <c r="Q158" s="650"/>
      <c r="R158" s="650"/>
      <c r="S158" s="650"/>
      <c r="T158" s="650"/>
      <c r="U158" s="650"/>
      <c r="V158" s="650"/>
      <c r="W158" s="650"/>
      <c r="X158" s="650"/>
      <c r="Y158" s="650"/>
      <c r="Z158" s="650"/>
      <c r="AA158" s="650"/>
      <c r="AB158" s="650"/>
      <c r="AC158" s="650"/>
      <c r="AD158" s="650"/>
      <c r="AE158" s="650"/>
      <c r="AF158" s="650"/>
      <c r="AG158" s="650"/>
      <c r="AH158" s="650"/>
      <c r="AI158" s="619"/>
      <c r="AJ158" s="619"/>
      <c r="AK158" s="619"/>
      <c r="AL158" s="619"/>
      <c r="AM158" s="619"/>
    </row>
    <row r="159" spans="1:39" ht="14.1" customHeight="1">
      <c r="A159" s="648" t="s">
        <v>697</v>
      </c>
      <c r="B159" s="648"/>
      <c r="C159" s="648"/>
      <c r="D159" s="648"/>
      <c r="E159" s="648"/>
      <c r="F159" s="648"/>
      <c r="G159" s="647" t="s">
        <v>713</v>
      </c>
      <c r="H159" s="647"/>
      <c r="I159" s="647"/>
      <c r="J159" s="647" t="s">
        <v>714</v>
      </c>
      <c r="K159" s="647"/>
      <c r="L159" s="647"/>
      <c r="M159" s="648" t="s">
        <v>519</v>
      </c>
      <c r="N159" s="648"/>
      <c r="O159" s="648" t="s">
        <v>715</v>
      </c>
      <c r="P159" s="648"/>
      <c r="Q159" s="648"/>
      <c r="R159" s="647" t="s">
        <v>732</v>
      </c>
      <c r="S159" s="647"/>
      <c r="T159" s="647"/>
      <c r="U159" s="647" t="s">
        <v>734</v>
      </c>
      <c r="V159" s="647"/>
      <c r="W159" s="647"/>
      <c r="X159" s="647" t="s">
        <v>1085</v>
      </c>
      <c r="Y159" s="647"/>
      <c r="Z159" s="647"/>
      <c r="AA159" s="647" t="s">
        <v>1086</v>
      </c>
      <c r="AB159" s="647"/>
      <c r="AC159" s="647"/>
      <c r="AD159" s="647" t="s">
        <v>717</v>
      </c>
      <c r="AE159" s="647"/>
      <c r="AF159" s="647" t="s">
        <v>718</v>
      </c>
      <c r="AG159" s="647"/>
      <c r="AH159" s="647"/>
      <c r="AI159" s="647" t="s">
        <v>719</v>
      </c>
      <c r="AJ159" s="647"/>
      <c r="AK159" s="647" t="s">
        <v>733</v>
      </c>
      <c r="AL159" s="647"/>
      <c r="AM159" s="647"/>
    </row>
    <row r="160" spans="1:39" ht="14.1" customHeight="1">
      <c r="A160" s="648"/>
      <c r="B160" s="648"/>
      <c r="C160" s="648"/>
      <c r="D160" s="648"/>
      <c r="E160" s="648"/>
      <c r="F160" s="648"/>
      <c r="G160" s="647"/>
      <c r="H160" s="647"/>
      <c r="I160" s="647"/>
      <c r="J160" s="647"/>
      <c r="K160" s="647"/>
      <c r="L160" s="647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48"/>
      <c r="B161" s="648"/>
      <c r="C161" s="648"/>
      <c r="D161" s="648"/>
      <c r="E161" s="648"/>
      <c r="F161" s="648"/>
      <c r="G161" s="647"/>
      <c r="H161" s="647"/>
      <c r="I161" s="647"/>
      <c r="J161" s="713"/>
      <c r="K161" s="713"/>
      <c r="L161" s="713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78">
        <f>VLOOKUP(AI157,'Contorizare in SDI'!$E:$I,5,FALSE)</f>
        <v>1371623665</v>
      </c>
      <c r="B162" s="679"/>
      <c r="C162" s="679"/>
      <c r="D162" s="679"/>
      <c r="E162" s="679"/>
      <c r="F162" s="680"/>
      <c r="G162" s="648" t="s">
        <v>730</v>
      </c>
      <c r="H162" s="648"/>
      <c r="I162" s="673"/>
      <c r="J162" s="655">
        <f>'Date masura OD'!$AK$5</f>
        <v>45748</v>
      </c>
      <c r="K162" s="656"/>
      <c r="L162" s="657"/>
      <c r="M162" s="720" t="s">
        <v>446</v>
      </c>
      <c r="N162" s="648"/>
      <c r="O162" s="648">
        <f>VLOOKUP(AI157,'Incrementare indexe'!$B:$T,4,FALSE)</f>
        <v>1</v>
      </c>
      <c r="P162" s="648"/>
      <c r="Q162" s="648"/>
      <c r="R162" s="647" t="str">
        <f>VLOOKUP(A162,Regularizare!$D:$YN,3,FALSE)&amp;" ("&amp;VLOOKUP(A162,Regularizare!$D:$Y,11,FALSE)&amp;")"</f>
        <v>2579695 (citit)</v>
      </c>
      <c r="S162" s="647"/>
      <c r="T162" s="647"/>
      <c r="U162" s="647" t="str">
        <f>VLOOKUP(A162,Regularizare!$D:$U,4,FALSE)&amp;" ("&amp;VLOOKUP(A162,Regularizare!$D:$U,12,FALSE)&amp;")"</f>
        <v>2700162 (estimat)</v>
      </c>
      <c r="V162" s="647"/>
      <c r="W162" s="647"/>
      <c r="X162" s="647" t="str">
        <f>VLOOKUP(A162,Regularizare!$D:$Y,19,FALSE)&amp;" ("&amp;VLOOKUP(A162,Regularizare!$D:$U,12,FALSE)&amp;")"</f>
        <v>120467 (estimat)</v>
      </c>
      <c r="Y162" s="647"/>
      <c r="Z162" s="647"/>
      <c r="AA162" s="647">
        <f>(-1)*VLOOKUP(A162,Regularizare!$D:$Y,19,FALSE)</f>
        <v>-120467</v>
      </c>
      <c r="AB162" s="647"/>
      <c r="AC162" s="647"/>
      <c r="AD162" s="647" t="s">
        <v>69</v>
      </c>
      <c r="AE162" s="647"/>
      <c r="AF162" s="647">
        <f>AA162</f>
        <v>-120467</v>
      </c>
      <c r="AG162" s="647"/>
      <c r="AH162" s="647"/>
      <c r="AI162" s="647" t="s">
        <v>69</v>
      </c>
      <c r="AJ162" s="647"/>
      <c r="AK162" s="647" t="s">
        <v>69</v>
      </c>
      <c r="AL162" s="647"/>
      <c r="AM162" s="647"/>
    </row>
    <row r="163" spans="1:39" ht="14.1" customHeight="1">
      <c r="A163" s="717"/>
      <c r="B163" s="718"/>
      <c r="C163" s="718"/>
      <c r="D163" s="718"/>
      <c r="E163" s="718"/>
      <c r="F163" s="719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1"/>
      <c r="B164" s="682"/>
      <c r="C164" s="682"/>
      <c r="D164" s="682"/>
      <c r="E164" s="682"/>
      <c r="F164" s="683"/>
      <c r="G164" s="648"/>
      <c r="H164" s="648"/>
      <c r="I164" s="673"/>
      <c r="J164" s="714">
        <f>'Date masura OD'!$AL$5</f>
        <v>45777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78">
        <f>A162</f>
        <v>1371623665</v>
      </c>
      <c r="B165" s="679"/>
      <c r="C165" s="679"/>
      <c r="D165" s="679"/>
      <c r="E165" s="679"/>
      <c r="F165" s="680"/>
      <c r="G165" s="648" t="s">
        <v>696</v>
      </c>
      <c r="H165" s="648"/>
      <c r="I165" s="648"/>
      <c r="J165" s="655">
        <f t="shared" ref="J165:J170" si="8">J162</f>
        <v>45748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VLOOKUP(A165,Regularizare!$D:$U,7,FALSE)&amp;" ("&amp;VLOOKUP(A165,Regularizare!$D:$U,15,FALSE)&amp;")"</f>
        <v>154643 (citit)</v>
      </c>
      <c r="S165" s="647"/>
      <c r="T165" s="647"/>
      <c r="U165" s="647" t="str">
        <f>VLOOKUP(A165,Regularizare!$D:$U,8,FALSE)&amp;" ("&amp;VLOOKUP(A165,Regularizare!$D:$U,16,FALSE)&amp;")"</f>
        <v>154643 (estimat)</v>
      </c>
      <c r="V165" s="647"/>
      <c r="W165" s="647"/>
      <c r="X165" s="647" t="str">
        <f>_xlfn.CONCAT(VLOOKUP(A165,Regularizare!$D:$U,8,FALSE)-VLOOKUP(A165,Regularizare!$D:$U,7,FALSE)," (",VLOOKUP(A165,Regularizare!$D:$U,16,FALSE),")")</f>
        <v>0 (estimat)</v>
      </c>
      <c r="Y165" s="647"/>
      <c r="Z165" s="647"/>
      <c r="AA165" s="647">
        <f>IF(VLOOKUP(A165,Regularizare!$D:$Y,21,FALSE)=0,VLOOKUP(A165,Regularizare!$D:$Y,21,FALSE),(-1)*VLOOKUP(A165,Regularizare!$D:$Y,21,FALSE))</f>
        <v>0</v>
      </c>
      <c r="AB165" s="647"/>
      <c r="AC165" s="647"/>
      <c r="AD165" s="647" t="s">
        <v>69</v>
      </c>
      <c r="AE165" s="647"/>
      <c r="AF165" s="647">
        <f>AA165</f>
        <v>0</v>
      </c>
      <c r="AG165" s="647"/>
      <c r="AH165" s="647"/>
      <c r="AI165" s="647" t="str">
        <f>AI162</f>
        <v>-</v>
      </c>
      <c r="AJ165" s="647"/>
      <c r="AK165" s="647" t="str">
        <f>AK162</f>
        <v>-</v>
      </c>
      <c r="AL165" s="647"/>
      <c r="AM165" s="647"/>
    </row>
    <row r="166" spans="1:39" ht="14.1" customHeight="1">
      <c r="A166" s="717"/>
      <c r="B166" s="718"/>
      <c r="C166" s="718"/>
      <c r="D166" s="718"/>
      <c r="E166" s="718"/>
      <c r="F166" s="719"/>
      <c r="G166" s="648"/>
      <c r="H166" s="648"/>
      <c r="I166" s="648"/>
      <c r="J166" s="717" t="str">
        <f t="shared" si="8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1"/>
      <c r="B167" s="682"/>
      <c r="C167" s="682"/>
      <c r="D167" s="682"/>
      <c r="E167" s="682"/>
      <c r="F167" s="683"/>
      <c r="G167" s="648"/>
      <c r="H167" s="648"/>
      <c r="I167" s="648"/>
      <c r="J167" s="714">
        <f t="shared" si="8"/>
        <v>45777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78">
        <f>A165</f>
        <v>1371623665</v>
      </c>
      <c r="B168" s="679"/>
      <c r="C168" s="679"/>
      <c r="D168" s="679"/>
      <c r="E168" s="679"/>
      <c r="F168" s="680"/>
      <c r="G168" s="648" t="s">
        <v>731</v>
      </c>
      <c r="H168" s="648"/>
      <c r="I168" s="648"/>
      <c r="J168" s="655">
        <f t="shared" si="8"/>
        <v>45748</v>
      </c>
      <c r="K168" s="656"/>
      <c r="L168" s="657"/>
      <c r="M168" s="648" t="s">
        <v>720</v>
      </c>
      <c r="N168" s="648"/>
      <c r="O168" s="648">
        <f>O165</f>
        <v>1</v>
      </c>
      <c r="P168" s="648"/>
      <c r="Q168" s="648"/>
      <c r="R168" s="647" t="str">
        <f>VLOOKUP(A168,Regularizare!$D:$U,9,FALSE)&amp;" ("&amp;VLOOKUP(A168,Regularizare!$D:$U,17,FALSE)&amp;")"</f>
        <v>1655 (citit)</v>
      </c>
      <c r="S168" s="647"/>
      <c r="T168" s="647"/>
      <c r="U168" s="647" t="str">
        <f>VLOOKUP(A168,Regularizare!$D:$U,10,FALSE)&amp;" ("&amp;VLOOKUP(A168,Regularizare!$D:$U,18,FALSE)&amp;")"</f>
        <v>1655 (estimat)</v>
      </c>
      <c r="V168" s="647"/>
      <c r="W168" s="647"/>
      <c r="X168" s="647" t="str">
        <f>_xlfn.CONCAT(VLOOKUP(A168,Regularizare!$D:$U,10,FALSE)-VLOOKUP(A168,Regularizare!$D:$U,9,FALSE)," (",VLOOKUP(A168,Regularizare!$D:$U,18,FALSE),")")</f>
        <v>0 (estimat)</v>
      </c>
      <c r="Y168" s="647"/>
      <c r="Z168" s="647"/>
      <c r="AA168" s="647">
        <f>IF(VLOOKUP(A168,Regularizare!$D:$Y,22,FALSE)=0,VLOOKUP(A168,Regularizare!$D:$Y,22,FALSE),(-1)*VLOOKUP(A168,Regularizare!$D:$Y,22,FALSE))</f>
        <v>0</v>
      </c>
      <c r="AB168" s="647"/>
      <c r="AC168" s="647"/>
      <c r="AD168" s="647" t="s">
        <v>69</v>
      </c>
      <c r="AE168" s="647"/>
      <c r="AF168" s="647">
        <f>AA168</f>
        <v>0</v>
      </c>
      <c r="AG168" s="647"/>
      <c r="AH168" s="647"/>
      <c r="AI168" s="647" t="str">
        <f>AI165</f>
        <v>-</v>
      </c>
      <c r="AJ168" s="647"/>
      <c r="AK168" s="647" t="str">
        <f>AK165</f>
        <v>-</v>
      </c>
      <c r="AL168" s="647"/>
      <c r="AM168" s="647"/>
    </row>
    <row r="169" spans="1:39" ht="14.1" customHeight="1">
      <c r="A169" s="717"/>
      <c r="B169" s="718"/>
      <c r="C169" s="718"/>
      <c r="D169" s="718"/>
      <c r="E169" s="718"/>
      <c r="F169" s="719"/>
      <c r="G169" s="648"/>
      <c r="H169" s="648"/>
      <c r="I169" s="648"/>
      <c r="J169" s="717" t="str">
        <f t="shared" si="8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1"/>
      <c r="B170" s="682"/>
      <c r="C170" s="682"/>
      <c r="D170" s="682"/>
      <c r="E170" s="682"/>
      <c r="F170" s="683"/>
      <c r="G170" s="648"/>
      <c r="H170" s="648"/>
      <c r="I170" s="648"/>
      <c r="J170" s="714">
        <f t="shared" si="8"/>
        <v>45777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78">
        <f>A168</f>
        <v>1371623665</v>
      </c>
      <c r="B171" s="679"/>
      <c r="C171" s="679"/>
      <c r="D171" s="679"/>
      <c r="E171" s="679"/>
      <c r="F171" s="680"/>
      <c r="G171" s="648" t="s">
        <v>730</v>
      </c>
      <c r="H171" s="648"/>
      <c r="I171" s="673"/>
      <c r="J171" s="655">
        <f>'Date masura OD'!$AK$5</f>
        <v>45748</v>
      </c>
      <c r="K171" s="656"/>
      <c r="L171" s="657"/>
      <c r="M171" s="720" t="s">
        <v>446</v>
      </c>
      <c r="N171" s="648"/>
      <c r="O171" s="648">
        <f>O168</f>
        <v>1</v>
      </c>
      <c r="P171" s="648"/>
      <c r="Q171" s="648"/>
      <c r="R171" s="647" t="str">
        <f>VLOOKUP(A171,Regularizare!$D:$AX,23,FALSE)&amp;" ("&amp;VLOOKUP(A171,Regularizare!$D:$AX,24,FALSE)&amp;")"</f>
        <v>2579695 (citit)</v>
      </c>
      <c r="S171" s="647"/>
      <c r="T171" s="647"/>
      <c r="U171" s="647" t="str">
        <f>VLOOKUP(A171,Regularizare!$D:$AX,25,FALSE)&amp;" ("&amp;VLOOKUP(A171,Regularizare!$D:$AX,26,FALSE)&amp;")"</f>
        <v>2700162 (citit)</v>
      </c>
      <c r="V171" s="647"/>
      <c r="W171" s="647"/>
      <c r="X171" s="647" t="str">
        <f>VLOOKUP(A171,Regularizare!$D:$AX,37,FALSE)&amp;" ("&amp;VLOOKUP(A171,Regularizare!$D:$AX,26,FALSE)&amp;")"</f>
        <v>120467 (citit)</v>
      </c>
      <c r="Y171" s="647"/>
      <c r="Z171" s="647"/>
      <c r="AA171" s="647">
        <f>VLOOKUP(A171,Regularizare!$D:$AX,37,FALSE)</f>
        <v>120467</v>
      </c>
      <c r="AB171" s="647"/>
      <c r="AC171" s="647"/>
      <c r="AD171" s="647" t="s">
        <v>69</v>
      </c>
      <c r="AE171" s="647"/>
      <c r="AF171" s="647">
        <f>AA171</f>
        <v>120467</v>
      </c>
      <c r="AG171" s="647"/>
      <c r="AH171" s="647"/>
      <c r="AI171" s="647" t="str">
        <f>AI168</f>
        <v>-</v>
      </c>
      <c r="AJ171" s="647"/>
      <c r="AK171" s="647" t="str">
        <f>AK168</f>
        <v>-</v>
      </c>
      <c r="AL171" s="647"/>
      <c r="AM171" s="647"/>
    </row>
    <row r="172" spans="1:39" ht="14.1" customHeight="1">
      <c r="A172" s="717"/>
      <c r="B172" s="718"/>
      <c r="C172" s="718"/>
      <c r="D172" s="718"/>
      <c r="E172" s="718"/>
      <c r="F172" s="719"/>
      <c r="G172" s="648"/>
      <c r="H172" s="648"/>
      <c r="I172" s="673"/>
      <c r="J172" s="717" t="s">
        <v>69</v>
      </c>
      <c r="K172" s="718"/>
      <c r="L172" s="719"/>
      <c r="M172" s="720"/>
      <c r="N172" s="648"/>
      <c r="O172" s="648"/>
      <c r="P172" s="648"/>
      <c r="Q172" s="648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7"/>
      <c r="AG172" s="647"/>
      <c r="AH172" s="647"/>
      <c r="AI172" s="647"/>
      <c r="AJ172" s="647"/>
      <c r="AK172" s="647"/>
      <c r="AL172" s="647"/>
      <c r="AM172" s="647"/>
    </row>
    <row r="173" spans="1:39" ht="14.1" customHeight="1">
      <c r="A173" s="681"/>
      <c r="B173" s="682"/>
      <c r="C173" s="682"/>
      <c r="D173" s="682"/>
      <c r="E173" s="682"/>
      <c r="F173" s="683"/>
      <c r="G173" s="648"/>
      <c r="H173" s="648"/>
      <c r="I173" s="673"/>
      <c r="J173" s="714">
        <f>'Date masura OD'!$AL$5</f>
        <v>45777</v>
      </c>
      <c r="K173" s="715"/>
      <c r="L173" s="716"/>
      <c r="M173" s="720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78">
        <f>A171</f>
        <v>1371623665</v>
      </c>
      <c r="B174" s="679"/>
      <c r="C174" s="679"/>
      <c r="D174" s="679"/>
      <c r="E174" s="679"/>
      <c r="F174" s="680"/>
      <c r="G174" s="648" t="s">
        <v>696</v>
      </c>
      <c r="H174" s="648"/>
      <c r="I174" s="648"/>
      <c r="J174" s="655">
        <f t="shared" ref="J174:J179" si="9">J171</f>
        <v>45748</v>
      </c>
      <c r="K174" s="656"/>
      <c r="L174" s="657"/>
      <c r="M174" s="648" t="s">
        <v>720</v>
      </c>
      <c r="N174" s="648"/>
      <c r="O174" s="648">
        <f>O171</f>
        <v>1</v>
      </c>
      <c r="P174" s="648"/>
      <c r="Q174" s="648"/>
      <c r="R174" s="647" t="str">
        <f>VLOOKUP(A174,Regularizare!$D:$AX,29,FALSE)&amp;" ("&amp;VLOOKUP(A174,Regularizare!$D:$AX,30,FALSE)&amp;")"</f>
        <v>154643 (citit)</v>
      </c>
      <c r="S174" s="647"/>
      <c r="T174" s="647"/>
      <c r="U174" s="647" t="str">
        <f>VLOOKUP(A174,Regularizare!$D:$AX,31,FALSE)&amp;" ("&amp;VLOOKUP(A174,Regularizare!$D:$AX,32,FALSE)&amp;")"</f>
        <v>155181 (citit)</v>
      </c>
      <c r="V174" s="647"/>
      <c r="W174" s="647"/>
      <c r="X174" s="647" t="str">
        <f>VLOOKUP(A174,Regularizare!$D:$AX,39,FALSE)&amp;" ("&amp;VLOOKUP(A174,Regularizare!$D:$AX,32,FALSE)&amp;")"</f>
        <v>538 (citit)</v>
      </c>
      <c r="Y174" s="647"/>
      <c r="Z174" s="647"/>
      <c r="AA174" s="647">
        <f>VLOOKUP(A174,Regularizare!$D:$AX,44,FALSE)+VLOOKUP(A174,Regularizare!$D:$AX,45,FALSE)</f>
        <v>538</v>
      </c>
      <c r="AB174" s="647"/>
      <c r="AC174" s="647"/>
      <c r="AD174" s="647" t="s">
        <v>69</v>
      </c>
      <c r="AE174" s="647"/>
      <c r="AF174" s="647">
        <f>AA174</f>
        <v>538</v>
      </c>
      <c r="AG174" s="647"/>
      <c r="AH174" s="647"/>
      <c r="AI174" s="647" t="str">
        <f>AI171</f>
        <v>-</v>
      </c>
      <c r="AJ174" s="647"/>
      <c r="AK174" s="647" t="str">
        <f>AK171</f>
        <v>-</v>
      </c>
      <c r="AL174" s="647"/>
      <c r="AM174" s="647"/>
    </row>
    <row r="175" spans="1:39" ht="14.1" customHeight="1">
      <c r="A175" s="717"/>
      <c r="B175" s="718"/>
      <c r="C175" s="718"/>
      <c r="D175" s="718"/>
      <c r="E175" s="718"/>
      <c r="F175" s="719"/>
      <c r="G175" s="648"/>
      <c r="H175" s="648"/>
      <c r="I175" s="648"/>
      <c r="J175" s="717" t="str">
        <f t="shared" si="9"/>
        <v>-</v>
      </c>
      <c r="K175" s="718"/>
      <c r="L175" s="719"/>
      <c r="M175" s="648"/>
      <c r="N175" s="648"/>
      <c r="O175" s="648"/>
      <c r="P175" s="648"/>
      <c r="Q175" s="648"/>
      <c r="R175" s="647"/>
      <c r="S175" s="647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647"/>
      <c r="AL175" s="647"/>
      <c r="AM175" s="647"/>
    </row>
    <row r="176" spans="1:39" ht="14.1" customHeight="1">
      <c r="A176" s="681"/>
      <c r="B176" s="682"/>
      <c r="C176" s="682"/>
      <c r="D176" s="682"/>
      <c r="E176" s="682"/>
      <c r="F176" s="683"/>
      <c r="G176" s="648"/>
      <c r="H176" s="648"/>
      <c r="I176" s="648"/>
      <c r="J176" s="714">
        <f t="shared" si="9"/>
        <v>45777</v>
      </c>
      <c r="K176" s="715"/>
      <c r="L176" s="716"/>
      <c r="M176" s="648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78">
        <f>A174</f>
        <v>1371623665</v>
      </c>
      <c r="B177" s="679"/>
      <c r="C177" s="679"/>
      <c r="D177" s="679"/>
      <c r="E177" s="679"/>
      <c r="F177" s="680"/>
      <c r="G177" s="648" t="s">
        <v>731</v>
      </c>
      <c r="H177" s="648"/>
      <c r="I177" s="648"/>
      <c r="J177" s="655">
        <f t="shared" si="9"/>
        <v>45748</v>
      </c>
      <c r="K177" s="656"/>
      <c r="L177" s="657"/>
      <c r="M177" s="648" t="s">
        <v>720</v>
      </c>
      <c r="N177" s="648"/>
      <c r="O177" s="648">
        <f>O174</f>
        <v>1</v>
      </c>
      <c r="P177" s="648"/>
      <c r="Q177" s="648"/>
      <c r="R177" s="647" t="str">
        <f>VLOOKUP(A177,Regularizare!$D:$AX,33,FALSE)&amp;" ("&amp;VLOOKUP(A177,Regularizare!$D:$AX,34,FALSE)&amp;")"</f>
        <v>1655 (citit)</v>
      </c>
      <c r="S177" s="647"/>
      <c r="T177" s="647"/>
      <c r="U177" s="647" t="str">
        <f>VLOOKUP(A177,Regularizare!$D:$AX,35,FALSE)&amp;" ("&amp;VLOOKUP(A177,Regularizare!$D:$AX,36,FALSE)&amp;")"</f>
        <v>1655 (citit)</v>
      </c>
      <c r="V177" s="647"/>
      <c r="W177" s="647"/>
      <c r="X177" s="647" t="str">
        <f>VLOOKUP(A177,Regularizare!$D:$AX,40,FALSE)&amp;" ("&amp;VLOOKUP(A177,Regularizare!$D:$AX,36,FALSE)&amp;")"</f>
        <v>0 (citit)</v>
      </c>
      <c r="Y177" s="647"/>
      <c r="Z177" s="647"/>
      <c r="AA177" s="647">
        <f>VLOOKUP(A177,Regularizare!$D:$AX,46,FALSE)+VLOOKUP(A177,Regularizare!$D:$AX,47,FALSE)</f>
        <v>0</v>
      </c>
      <c r="AB177" s="647"/>
      <c r="AC177" s="647"/>
      <c r="AD177" s="647" t="s">
        <v>69</v>
      </c>
      <c r="AE177" s="647"/>
      <c r="AF177" s="647">
        <f>AA177</f>
        <v>0</v>
      </c>
      <c r="AG177" s="647"/>
      <c r="AH177" s="647"/>
      <c r="AI177" s="647" t="str">
        <f>AI174</f>
        <v>-</v>
      </c>
      <c r="AJ177" s="647"/>
      <c r="AK177" s="647" t="str">
        <f>AK174</f>
        <v>-</v>
      </c>
      <c r="AL177" s="647"/>
      <c r="AM177" s="647"/>
    </row>
    <row r="178" spans="1:39" ht="14.1" customHeight="1">
      <c r="A178" s="717"/>
      <c r="B178" s="718"/>
      <c r="C178" s="718"/>
      <c r="D178" s="718"/>
      <c r="E178" s="718"/>
      <c r="F178" s="719"/>
      <c r="G178" s="648"/>
      <c r="H178" s="648"/>
      <c r="I178" s="648"/>
      <c r="J178" s="717" t="str">
        <f t="shared" si="9"/>
        <v>-</v>
      </c>
      <c r="K178" s="718"/>
      <c r="L178" s="719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81"/>
      <c r="B179" s="682"/>
      <c r="C179" s="682"/>
      <c r="D179" s="682"/>
      <c r="E179" s="682"/>
      <c r="F179" s="683"/>
      <c r="G179" s="648"/>
      <c r="H179" s="648"/>
      <c r="I179" s="648"/>
      <c r="J179" s="714">
        <f t="shared" si="9"/>
        <v>45777</v>
      </c>
      <c r="K179" s="715"/>
      <c r="L179" s="716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78">
        <f>A177</f>
        <v>1371623665</v>
      </c>
      <c r="B180" s="679"/>
      <c r="C180" s="679"/>
      <c r="D180" s="679"/>
      <c r="E180" s="679"/>
      <c r="F180" s="680"/>
      <c r="G180" s="648" t="s">
        <v>730</v>
      </c>
      <c r="H180" s="648"/>
      <c r="I180" s="673"/>
      <c r="J180" s="655">
        <f>'Date masura OD'!$I$5</f>
        <v>45778</v>
      </c>
      <c r="K180" s="656"/>
      <c r="L180" s="657"/>
      <c r="M180" s="720" t="s">
        <v>446</v>
      </c>
      <c r="N180" s="648"/>
      <c r="O180" s="648">
        <f>O177</f>
        <v>1</v>
      </c>
      <c r="P180" s="648"/>
      <c r="Q180" s="648"/>
      <c r="R180" s="647" t="str">
        <f>U171</f>
        <v>2700162 (citit)</v>
      </c>
      <c r="S180" s="647"/>
      <c r="T180" s="647"/>
      <c r="U180" s="647" t="str">
        <f>VLOOKUP(A180,'Incrementare indexe'!$D:$M,4,FALSE)&amp;" (estimat)"</f>
        <v>2820735 (estimat)</v>
      </c>
      <c r="V180" s="647"/>
      <c r="W180" s="647"/>
      <c r="X180" s="647" t="str">
        <f>VLOOKUP(A180,'Incrementare indexe'!$D:$Q,11,FALSE)&amp;" (estimat)"</f>
        <v>120573 (estimat)</v>
      </c>
      <c r="Y180" s="647"/>
      <c r="Z180" s="647"/>
      <c r="AA180" s="647" t="s">
        <v>69</v>
      </c>
      <c r="AB180" s="647"/>
      <c r="AC180" s="647"/>
      <c r="AD180" s="647" t="s">
        <v>69</v>
      </c>
      <c r="AE180" s="647"/>
      <c r="AF180" s="647">
        <f>VLOOKUP(A180,'Incrementare indexe'!$D:$Q,11,FALSE)</f>
        <v>120573</v>
      </c>
      <c r="AG180" s="647"/>
      <c r="AH180" s="647"/>
      <c r="AI180" s="647">
        <f>J182-J180+1</f>
        <v>31</v>
      </c>
      <c r="AJ180" s="647"/>
      <c r="AK180" s="647">
        <f>ROUND(AF180/AI180,2)</f>
        <v>3889.45</v>
      </c>
      <c r="AL180" s="647"/>
      <c r="AM180" s="647"/>
    </row>
    <row r="181" spans="1:39" ht="14.1" customHeight="1">
      <c r="A181" s="717"/>
      <c r="B181" s="718"/>
      <c r="C181" s="718"/>
      <c r="D181" s="718"/>
      <c r="E181" s="718"/>
      <c r="F181" s="719"/>
      <c r="G181" s="648"/>
      <c r="H181" s="648"/>
      <c r="I181" s="673"/>
      <c r="J181" s="717" t="s">
        <v>69</v>
      </c>
      <c r="K181" s="718"/>
      <c r="L181" s="719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81"/>
      <c r="B182" s="682"/>
      <c r="C182" s="682"/>
      <c r="D182" s="682"/>
      <c r="E182" s="682"/>
      <c r="F182" s="683"/>
      <c r="G182" s="648"/>
      <c r="H182" s="648"/>
      <c r="I182" s="673"/>
      <c r="J182" s="714">
        <f>'Date masura OD'!$J$5</f>
        <v>45808</v>
      </c>
      <c r="K182" s="715"/>
      <c r="L182" s="716"/>
      <c r="M182" s="720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78">
        <f>A180</f>
        <v>1371623665</v>
      </c>
      <c r="B183" s="679"/>
      <c r="C183" s="679"/>
      <c r="D183" s="679"/>
      <c r="E183" s="679"/>
      <c r="F183" s="680"/>
      <c r="G183" s="648" t="s">
        <v>696</v>
      </c>
      <c r="H183" s="648"/>
      <c r="I183" s="648"/>
      <c r="J183" s="655">
        <f t="shared" ref="J183:J188" si="10">J180</f>
        <v>45778</v>
      </c>
      <c r="K183" s="656"/>
      <c r="L183" s="657"/>
      <c r="M183" s="648" t="s">
        <v>720</v>
      </c>
      <c r="N183" s="648"/>
      <c r="O183" s="648">
        <f>O180</f>
        <v>1</v>
      </c>
      <c r="P183" s="648"/>
      <c r="Q183" s="648"/>
      <c r="R183" s="647" t="str">
        <f>U174</f>
        <v>155181 (citit)</v>
      </c>
      <c r="S183" s="647"/>
      <c r="T183" s="647"/>
      <c r="U183" s="647" t="str">
        <f>VLOOKUP(A183,'Incrementare indexe'!$D:$M,8,FALSE)&amp;" (estimat)"</f>
        <v>155181 (estimat)</v>
      </c>
      <c r="V183" s="647"/>
      <c r="W183" s="647"/>
      <c r="X183" s="647" t="str">
        <f>VLOOKUP(A183,'Incrementare indexe'!$D:$Q,12,FALSE)&amp;" (estimat)"</f>
        <v>0 (estimat)</v>
      </c>
      <c r="Y183" s="647"/>
      <c r="Z183" s="647"/>
      <c r="AA183" s="647" t="s">
        <v>69</v>
      </c>
      <c r="AB183" s="647"/>
      <c r="AC183" s="647"/>
      <c r="AD183" s="647" t="s">
        <v>69</v>
      </c>
      <c r="AE183" s="647"/>
      <c r="AF183" s="647">
        <f>VLOOKUP(A183,'Incrementare indexe'!$D:$Q,12,FALSE)</f>
        <v>0</v>
      </c>
      <c r="AG183" s="647"/>
      <c r="AH183" s="647"/>
      <c r="AI183" s="647">
        <f>AI180</f>
        <v>31</v>
      </c>
      <c r="AJ183" s="647"/>
      <c r="AK183" s="647">
        <f>ROUND(AF183/AI183,2)</f>
        <v>0</v>
      </c>
      <c r="AL183" s="647"/>
      <c r="AM183" s="647"/>
    </row>
    <row r="184" spans="1:39" ht="14.1" customHeight="1">
      <c r="A184" s="717"/>
      <c r="B184" s="718"/>
      <c r="C184" s="718"/>
      <c r="D184" s="718"/>
      <c r="E184" s="718"/>
      <c r="F184" s="719"/>
      <c r="G184" s="648"/>
      <c r="H184" s="648"/>
      <c r="I184" s="648"/>
      <c r="J184" s="717" t="str">
        <f t="shared" si="10"/>
        <v>-</v>
      </c>
      <c r="K184" s="718"/>
      <c r="L184" s="719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81"/>
      <c r="B185" s="682"/>
      <c r="C185" s="682"/>
      <c r="D185" s="682"/>
      <c r="E185" s="682"/>
      <c r="F185" s="683"/>
      <c r="G185" s="648"/>
      <c r="H185" s="648"/>
      <c r="I185" s="648"/>
      <c r="J185" s="714">
        <f t="shared" si="10"/>
        <v>45808</v>
      </c>
      <c r="K185" s="715"/>
      <c r="L185" s="716"/>
      <c r="M185" s="648"/>
      <c r="N185" s="648"/>
      <c r="O185" s="648"/>
      <c r="P185" s="648"/>
      <c r="Q185" s="648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7"/>
      <c r="AG185" s="647"/>
      <c r="AH185" s="647"/>
      <c r="AI185" s="647"/>
      <c r="AJ185" s="647"/>
      <c r="AK185" s="647"/>
      <c r="AL185" s="647"/>
      <c r="AM185" s="647"/>
    </row>
    <row r="186" spans="1:39" ht="14.1" customHeight="1">
      <c r="A186" s="678">
        <f>A183</f>
        <v>1371623665</v>
      </c>
      <c r="B186" s="679"/>
      <c r="C186" s="679"/>
      <c r="D186" s="679"/>
      <c r="E186" s="679"/>
      <c r="F186" s="680"/>
      <c r="G186" s="648" t="s">
        <v>731</v>
      </c>
      <c r="H186" s="648"/>
      <c r="I186" s="648"/>
      <c r="J186" s="655">
        <f t="shared" si="10"/>
        <v>45778</v>
      </c>
      <c r="K186" s="656"/>
      <c r="L186" s="657"/>
      <c r="M186" s="648" t="s">
        <v>720</v>
      </c>
      <c r="N186" s="648"/>
      <c r="O186" s="648">
        <f>O183</f>
        <v>1</v>
      </c>
      <c r="P186" s="648"/>
      <c r="Q186" s="648"/>
      <c r="R186" s="647" t="str">
        <f>U177</f>
        <v>1655 (citit)</v>
      </c>
      <c r="S186" s="647"/>
      <c r="T186" s="647"/>
      <c r="U186" s="647" t="str">
        <f>VLOOKUP(A186,'Incrementare indexe'!$D:$M,10,FALSE)&amp;" (estimat)"</f>
        <v>1655 (estimat)</v>
      </c>
      <c r="V186" s="647"/>
      <c r="W186" s="647"/>
      <c r="X186" s="647" t="str">
        <f>VLOOKUP(A186,'Incrementare indexe'!$D:$Q,13,FALSE)&amp;" (estimat)"</f>
        <v>0 (estimat)</v>
      </c>
      <c r="Y186" s="647"/>
      <c r="Z186" s="647"/>
      <c r="AA186" s="647" t="s">
        <v>69</v>
      </c>
      <c r="AB186" s="647"/>
      <c r="AC186" s="647"/>
      <c r="AD186" s="647" t="s">
        <v>69</v>
      </c>
      <c r="AE186" s="647"/>
      <c r="AF186" s="647">
        <f>VLOOKUP(A186,'Incrementare indexe'!$D:$Q,13,FALSE)</f>
        <v>0</v>
      </c>
      <c r="AG186" s="647"/>
      <c r="AH186" s="647"/>
      <c r="AI186" s="647">
        <f>AI183</f>
        <v>31</v>
      </c>
      <c r="AJ186" s="647"/>
      <c r="AK186" s="647">
        <f>ROUND(AF186/AI186,2)</f>
        <v>0</v>
      </c>
      <c r="AL186" s="647"/>
      <c r="AM186" s="647"/>
    </row>
    <row r="187" spans="1:39" ht="14.1" customHeight="1">
      <c r="A187" s="717"/>
      <c r="B187" s="718"/>
      <c r="C187" s="718"/>
      <c r="D187" s="718"/>
      <c r="E187" s="718"/>
      <c r="F187" s="719"/>
      <c r="G187" s="648"/>
      <c r="H187" s="648"/>
      <c r="I187" s="648"/>
      <c r="J187" s="717" t="str">
        <f t="shared" si="10"/>
        <v>-</v>
      </c>
      <c r="K187" s="718"/>
      <c r="L187" s="719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81"/>
      <c r="B188" s="682"/>
      <c r="C188" s="682"/>
      <c r="D188" s="682"/>
      <c r="E188" s="682"/>
      <c r="F188" s="683"/>
      <c r="G188" s="648"/>
      <c r="H188" s="648"/>
      <c r="I188" s="648"/>
      <c r="J188" s="714">
        <f t="shared" si="10"/>
        <v>45808</v>
      </c>
      <c r="K188" s="715"/>
      <c r="L188" s="716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/>
    <row r="190" spans="1:39" ht="14.1" customHeight="1"/>
    <row r="191" spans="1:39" ht="14.1" customHeight="1">
      <c r="A191" s="721" t="s">
        <v>1196</v>
      </c>
      <c r="B191" s="722"/>
      <c r="C191" s="722"/>
      <c r="D191" s="722"/>
      <c r="E191" s="722"/>
      <c r="F191" s="722"/>
      <c r="G191" s="722"/>
      <c r="H191" s="722"/>
      <c r="I191" s="722"/>
      <c r="J191" s="722"/>
      <c r="K191" s="722"/>
      <c r="L191" s="722"/>
      <c r="M191" s="722"/>
      <c r="N191" s="722"/>
      <c r="O191" s="722"/>
      <c r="P191" s="722"/>
      <c r="Q191" s="722"/>
      <c r="R191" s="722"/>
      <c r="S191" s="722"/>
      <c r="T191" s="722"/>
      <c r="U191" s="722"/>
      <c r="V191" s="722"/>
      <c r="W191" s="722"/>
      <c r="X191" s="722"/>
      <c r="Y191" s="722"/>
      <c r="Z191" s="722"/>
      <c r="AA191" s="722"/>
      <c r="AB191" s="722"/>
      <c r="AC191" s="722"/>
      <c r="AD191" s="722"/>
      <c r="AE191" s="722"/>
      <c r="AF191" s="722"/>
      <c r="AG191" s="722"/>
      <c r="AH191" s="723"/>
      <c r="AI191" s="650" t="s">
        <v>695</v>
      </c>
      <c r="AJ191" s="650"/>
      <c r="AK191" s="650"/>
      <c r="AL191" s="650"/>
      <c r="AM191" s="650"/>
    </row>
    <row r="192" spans="1:39" ht="14.1" customHeight="1">
      <c r="A192" s="649" t="s">
        <v>746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50" t="s">
        <v>514</v>
      </c>
      <c r="N192" s="650"/>
      <c r="O192" s="650"/>
      <c r="P192" s="650"/>
      <c r="Q192" s="650"/>
      <c r="R192" s="650"/>
      <c r="S192" s="650"/>
      <c r="T192" s="650"/>
      <c r="U192" s="650"/>
      <c r="V192" s="650"/>
      <c r="W192" s="650"/>
      <c r="X192" s="650"/>
      <c r="Y192" s="650"/>
      <c r="Z192" s="650"/>
      <c r="AA192" s="650"/>
      <c r="AB192" s="650"/>
      <c r="AC192" s="650"/>
      <c r="AD192" s="650"/>
      <c r="AE192" s="650"/>
      <c r="AF192" s="650"/>
      <c r="AG192" s="650"/>
      <c r="AH192" s="650"/>
      <c r="AI192" s="619" t="str">
        <f>_xlfn.CONCAT(AI157,"/PV")</f>
        <v>RDSC_2.1/PV</v>
      </c>
      <c r="AJ192" s="619"/>
      <c r="AK192" s="619"/>
      <c r="AL192" s="619"/>
      <c r="AM192" s="619"/>
    </row>
    <row r="193" spans="1:39" ht="14.1" customHeight="1">
      <c r="A193" s="649" t="s">
        <v>747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50" t="s">
        <v>1087</v>
      </c>
      <c r="N193" s="650"/>
      <c r="O193" s="650"/>
      <c r="P193" s="650"/>
      <c r="Q193" s="650"/>
      <c r="R193" s="650"/>
      <c r="S193" s="650"/>
      <c r="T193" s="650"/>
      <c r="U193" s="650"/>
      <c r="V193" s="650"/>
      <c r="W193" s="650"/>
      <c r="X193" s="650"/>
      <c r="Y193" s="650"/>
      <c r="Z193" s="650"/>
      <c r="AA193" s="650"/>
      <c r="AB193" s="650"/>
      <c r="AC193" s="650"/>
      <c r="AD193" s="650"/>
      <c r="AE193" s="650"/>
      <c r="AF193" s="650"/>
      <c r="AG193" s="650"/>
      <c r="AH193" s="650"/>
      <c r="AI193" s="619"/>
      <c r="AJ193" s="619"/>
      <c r="AK193" s="619"/>
      <c r="AL193" s="619"/>
      <c r="AM193" s="619"/>
    </row>
    <row r="194" spans="1:39" ht="14.1" customHeight="1">
      <c r="A194" s="648" t="s">
        <v>697</v>
      </c>
      <c r="B194" s="648"/>
      <c r="C194" s="648"/>
      <c r="D194" s="648"/>
      <c r="E194" s="648"/>
      <c r="F194" s="648"/>
      <c r="G194" s="647" t="s">
        <v>713</v>
      </c>
      <c r="H194" s="647"/>
      <c r="I194" s="647"/>
      <c r="J194" s="647" t="s">
        <v>714</v>
      </c>
      <c r="K194" s="647"/>
      <c r="L194" s="647"/>
      <c r="M194" s="648" t="s">
        <v>519</v>
      </c>
      <c r="N194" s="648"/>
      <c r="O194" s="648" t="s">
        <v>715</v>
      </c>
      <c r="P194" s="648"/>
      <c r="Q194" s="648"/>
      <c r="R194" s="647" t="s">
        <v>732</v>
      </c>
      <c r="S194" s="647"/>
      <c r="T194" s="647"/>
      <c r="U194" s="647" t="s">
        <v>734</v>
      </c>
      <c r="V194" s="647"/>
      <c r="W194" s="647"/>
      <c r="X194" s="647" t="s">
        <v>1085</v>
      </c>
      <c r="Y194" s="647"/>
      <c r="Z194" s="647"/>
      <c r="AA194" s="647" t="s">
        <v>1086</v>
      </c>
      <c r="AB194" s="647"/>
      <c r="AC194" s="647"/>
      <c r="AD194" s="647" t="s">
        <v>717</v>
      </c>
      <c r="AE194" s="647"/>
      <c r="AF194" s="647" t="s">
        <v>718</v>
      </c>
      <c r="AG194" s="647"/>
      <c r="AH194" s="647"/>
      <c r="AI194" s="647" t="s">
        <v>719</v>
      </c>
      <c r="AJ194" s="647"/>
      <c r="AK194" s="647" t="s">
        <v>733</v>
      </c>
      <c r="AL194" s="647"/>
      <c r="AM194" s="647"/>
    </row>
    <row r="195" spans="1:39" ht="14.1" customHeight="1">
      <c r="A195" s="648"/>
      <c r="B195" s="648"/>
      <c r="C195" s="648"/>
      <c r="D195" s="648"/>
      <c r="E195" s="648"/>
      <c r="F195" s="648"/>
      <c r="G195" s="647"/>
      <c r="H195" s="647"/>
      <c r="I195" s="647"/>
      <c r="J195" s="647"/>
      <c r="K195" s="647"/>
      <c r="L195" s="647"/>
      <c r="M195" s="648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48"/>
      <c r="B196" s="648"/>
      <c r="C196" s="648"/>
      <c r="D196" s="648"/>
      <c r="E196" s="648"/>
      <c r="F196" s="648"/>
      <c r="G196" s="647"/>
      <c r="H196" s="647"/>
      <c r="I196" s="647"/>
      <c r="J196" s="713"/>
      <c r="K196" s="713"/>
      <c r="L196" s="713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78">
        <f>VLOOKUP(AI192,'Incrementare indexe'!$B:$I,3,FALSE)</f>
        <v>1372655654</v>
      </c>
      <c r="B197" s="679"/>
      <c r="C197" s="679"/>
      <c r="D197" s="679"/>
      <c r="E197" s="679"/>
      <c r="F197" s="680"/>
      <c r="G197" s="647" t="s">
        <v>1088</v>
      </c>
      <c r="H197" s="647"/>
      <c r="I197" s="675"/>
      <c r="J197" s="655">
        <f>'Date masura OD'!$I$5</f>
        <v>45778</v>
      </c>
      <c r="K197" s="656"/>
      <c r="L197" s="657"/>
      <c r="M197" s="720" t="s">
        <v>446</v>
      </c>
      <c r="N197" s="648"/>
      <c r="O197" s="648">
        <f>VLOOKUP(AI192,'Incrementare indexe'!$B:$I,4,FALSE)</f>
        <v>1</v>
      </c>
      <c r="P197" s="648"/>
      <c r="Q197" s="648"/>
      <c r="R197" s="647" t="str">
        <f>VLOOKUP(AI192,'Incrementare indexe'!$B:$I,7,FALSE)&amp;" (citit)"</f>
        <v>1384703 (citit)</v>
      </c>
      <c r="S197" s="647"/>
      <c r="T197" s="647"/>
      <c r="U197" s="647" t="str">
        <f>VLOOKUP(AI192,'Incrementare indexe'!$B:$I,8,FALSE)&amp;" (citit)"</f>
        <v>1466167 (citit)</v>
      </c>
      <c r="V197" s="647"/>
      <c r="W197" s="647"/>
      <c r="X197" s="647" t="str">
        <f>(VLOOKUP(AI192,'Incrementare indexe'!$B:$I,8,FALSE)-VLOOKUP(AI192,'Incrementare indexe'!$B:$I,7,FALSE))&amp;" (citit)"</f>
        <v>81464 (citit)</v>
      </c>
      <c r="Y197" s="647"/>
      <c r="Z197" s="647"/>
      <c r="AA197" s="647" t="s">
        <v>69</v>
      </c>
      <c r="AB197" s="647"/>
      <c r="AC197" s="647"/>
      <c r="AD197" s="647" t="s">
        <v>69</v>
      </c>
      <c r="AE197" s="647"/>
      <c r="AF197" s="647">
        <f>(VLOOKUP(AI192,'Incrementare indexe'!$B:$I,8,FALSE)-VLOOKUP(AI192,'Incrementare indexe'!$B:$I,7,FALSE))</f>
        <v>81464</v>
      </c>
      <c r="AG197" s="647"/>
      <c r="AH197" s="647"/>
      <c r="AI197" s="647">
        <f>J199-J197+1</f>
        <v>31</v>
      </c>
      <c r="AJ197" s="647"/>
      <c r="AK197" s="647">
        <f>ROUND(AF197/AI197,2)</f>
        <v>2627.87</v>
      </c>
      <c r="AL197" s="647"/>
      <c r="AM197" s="647"/>
    </row>
    <row r="198" spans="1:39" ht="14.1" customHeight="1">
      <c r="A198" s="717"/>
      <c r="B198" s="718"/>
      <c r="C198" s="718"/>
      <c r="D198" s="718"/>
      <c r="E198" s="718"/>
      <c r="F198" s="719"/>
      <c r="G198" s="647"/>
      <c r="H198" s="647"/>
      <c r="I198" s="675"/>
      <c r="J198" s="717" t="s">
        <v>69</v>
      </c>
      <c r="K198" s="718"/>
      <c r="L198" s="719"/>
      <c r="M198" s="720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81"/>
      <c r="B199" s="682"/>
      <c r="C199" s="682"/>
      <c r="D199" s="682"/>
      <c r="E199" s="682"/>
      <c r="F199" s="683"/>
      <c r="G199" s="647"/>
      <c r="H199" s="647"/>
      <c r="I199" s="675"/>
      <c r="J199" s="714">
        <f>'Date masura OD'!$J$5</f>
        <v>45808</v>
      </c>
      <c r="K199" s="715"/>
      <c r="L199" s="716"/>
      <c r="M199" s="720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78">
        <f>A197</f>
        <v>1372655654</v>
      </c>
      <c r="B200" s="679"/>
      <c r="C200" s="679"/>
      <c r="D200" s="679"/>
      <c r="E200" s="679"/>
      <c r="F200" s="680"/>
      <c r="G200" s="648" t="s">
        <v>696</v>
      </c>
      <c r="H200" s="648"/>
      <c r="I200" s="648"/>
      <c r="J200" s="655">
        <f t="shared" ref="J200:J205" si="11">J197</f>
        <v>45778</v>
      </c>
      <c r="K200" s="656"/>
      <c r="L200" s="657"/>
      <c r="M200" s="648" t="s">
        <v>720</v>
      </c>
      <c r="N200" s="648"/>
      <c r="O200" s="648">
        <f>O197</f>
        <v>1</v>
      </c>
      <c r="P200" s="648"/>
      <c r="Q200" s="648"/>
      <c r="R200" s="647" t="s">
        <v>1089</v>
      </c>
      <c r="S200" s="647"/>
      <c r="T200" s="647"/>
      <c r="U200" s="647" t="s">
        <v>1089</v>
      </c>
      <c r="V200" s="647"/>
      <c r="W200" s="647"/>
      <c r="X200" s="647" t="s">
        <v>1089</v>
      </c>
      <c r="Y200" s="647"/>
      <c r="Z200" s="647"/>
      <c r="AA200" s="647" t="s">
        <v>69</v>
      </c>
      <c r="AB200" s="647"/>
      <c r="AC200" s="647"/>
      <c r="AD200" s="647" t="s">
        <v>69</v>
      </c>
      <c r="AE200" s="647"/>
      <c r="AF200" s="647">
        <v>0</v>
      </c>
      <c r="AG200" s="647"/>
      <c r="AH200" s="647"/>
      <c r="AI200" s="647">
        <f>AI197</f>
        <v>31</v>
      </c>
      <c r="AJ200" s="647"/>
      <c r="AK200" s="647">
        <f>ROUND(AF200/AI200,2)</f>
        <v>0</v>
      </c>
      <c r="AL200" s="647"/>
      <c r="AM200" s="647"/>
    </row>
    <row r="201" spans="1:39" ht="14.1" customHeight="1">
      <c r="A201" s="717"/>
      <c r="B201" s="718"/>
      <c r="C201" s="718"/>
      <c r="D201" s="718"/>
      <c r="E201" s="718"/>
      <c r="F201" s="719"/>
      <c r="G201" s="648"/>
      <c r="H201" s="648"/>
      <c r="I201" s="648"/>
      <c r="J201" s="717" t="str">
        <f t="shared" si="11"/>
        <v>-</v>
      </c>
      <c r="K201" s="718"/>
      <c r="L201" s="719"/>
      <c r="M201" s="648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81"/>
      <c r="B202" s="682"/>
      <c r="C202" s="682"/>
      <c r="D202" s="682"/>
      <c r="E202" s="682"/>
      <c r="F202" s="683"/>
      <c r="G202" s="648"/>
      <c r="H202" s="648"/>
      <c r="I202" s="648"/>
      <c r="J202" s="714">
        <f t="shared" si="11"/>
        <v>45808</v>
      </c>
      <c r="K202" s="715"/>
      <c r="L202" s="716"/>
      <c r="M202" s="648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78">
        <f>A200</f>
        <v>1372655654</v>
      </c>
      <c r="B203" s="679"/>
      <c r="C203" s="679"/>
      <c r="D203" s="679"/>
      <c r="E203" s="679"/>
      <c r="F203" s="680"/>
      <c r="G203" s="648" t="s">
        <v>731</v>
      </c>
      <c r="H203" s="648"/>
      <c r="I203" s="648"/>
      <c r="J203" s="655">
        <f t="shared" si="11"/>
        <v>45778</v>
      </c>
      <c r="K203" s="656"/>
      <c r="L203" s="657"/>
      <c r="M203" s="648" t="s">
        <v>720</v>
      </c>
      <c r="N203" s="648"/>
      <c r="O203" s="648">
        <f>O200</f>
        <v>1</v>
      </c>
      <c r="P203" s="648"/>
      <c r="Q203" s="648"/>
      <c r="R203" s="647" t="s">
        <v>1089</v>
      </c>
      <c r="S203" s="647"/>
      <c r="T203" s="647"/>
      <c r="U203" s="647" t="s">
        <v>1089</v>
      </c>
      <c r="V203" s="647"/>
      <c r="W203" s="647"/>
      <c r="X203" s="647" t="s">
        <v>1089</v>
      </c>
      <c r="Y203" s="647"/>
      <c r="Z203" s="647"/>
      <c r="AA203" s="647" t="s">
        <v>69</v>
      </c>
      <c r="AB203" s="647"/>
      <c r="AC203" s="647"/>
      <c r="AD203" s="647" t="s">
        <v>69</v>
      </c>
      <c r="AE203" s="647"/>
      <c r="AF203" s="647">
        <v>0</v>
      </c>
      <c r="AG203" s="647"/>
      <c r="AH203" s="647"/>
      <c r="AI203" s="647">
        <f>AI200</f>
        <v>31</v>
      </c>
      <c r="AJ203" s="647"/>
      <c r="AK203" s="647">
        <f>ROUND(AF203/AI203,2)</f>
        <v>0</v>
      </c>
      <c r="AL203" s="647"/>
      <c r="AM203" s="647"/>
    </row>
    <row r="204" spans="1:39" ht="14.1" customHeight="1">
      <c r="A204" s="717"/>
      <c r="B204" s="718"/>
      <c r="C204" s="718"/>
      <c r="D204" s="718"/>
      <c r="E204" s="718"/>
      <c r="F204" s="719"/>
      <c r="G204" s="648"/>
      <c r="H204" s="648"/>
      <c r="I204" s="648"/>
      <c r="J204" s="717" t="str">
        <f t="shared" si="11"/>
        <v>-</v>
      </c>
      <c r="K204" s="718"/>
      <c r="L204" s="719"/>
      <c r="M204" s="648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1"/>
      <c r="B205" s="682"/>
      <c r="C205" s="682"/>
      <c r="D205" s="682"/>
      <c r="E205" s="682"/>
      <c r="F205" s="683"/>
      <c r="G205" s="648"/>
      <c r="H205" s="648"/>
      <c r="I205" s="648"/>
      <c r="J205" s="714">
        <f t="shared" si="11"/>
        <v>45808</v>
      </c>
      <c r="K205" s="715"/>
      <c r="L205" s="716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196"/>
      <c r="B206" s="196"/>
      <c r="C206" s="196"/>
      <c r="D206" s="196"/>
      <c r="E206" s="196"/>
      <c r="F206" s="196"/>
      <c r="G206" s="196"/>
      <c r="H206" s="196"/>
      <c r="I206" s="196"/>
      <c r="J206" s="197"/>
      <c r="K206" s="197"/>
      <c r="L206" s="197"/>
      <c r="M206" s="196"/>
      <c r="N206" s="196"/>
      <c r="O206" s="196"/>
      <c r="P206" s="196"/>
      <c r="Q206" s="196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</row>
    <row r="207" spans="1:39" ht="14.1" customHeight="1">
      <c r="A207" s="196"/>
      <c r="B207" s="196"/>
      <c r="C207" s="196"/>
      <c r="D207" s="196"/>
      <c r="E207" s="196"/>
      <c r="F207" s="196"/>
      <c r="G207" s="196"/>
      <c r="H207" s="196"/>
      <c r="I207" s="196"/>
      <c r="J207" s="197"/>
      <c r="K207" s="197"/>
      <c r="L207" s="197"/>
      <c r="M207" s="196"/>
      <c r="N207" s="196"/>
      <c r="O207" s="196"/>
      <c r="P207" s="196"/>
      <c r="Q207" s="196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</row>
    <row r="208" spans="1:39" ht="14.1" customHeight="1"/>
    <row r="209" spans="1:39" ht="14.1" customHeight="1">
      <c r="A209" s="649" t="s">
        <v>748</v>
      </c>
      <c r="B209" s="649"/>
      <c r="C209" s="649"/>
      <c r="D209" s="649"/>
      <c r="E209" s="649"/>
      <c r="F209" s="649"/>
      <c r="G209" s="649"/>
      <c r="H209" s="649"/>
      <c r="I209" s="649"/>
      <c r="J209" s="649"/>
      <c r="K209" s="649"/>
      <c r="L209" s="649"/>
      <c r="M209" s="650" t="str">
        <f>VLOOKUP(AI210,'Contorizare in SDI'!$E:$I,4,FALSE)</f>
        <v>RO005E532371182/2</v>
      </c>
      <c r="N209" s="650"/>
      <c r="O209" s="650"/>
      <c r="P209" s="650"/>
      <c r="Q209" s="650"/>
      <c r="R209" s="650"/>
      <c r="S209" s="650"/>
      <c r="T209" s="650"/>
      <c r="U209" s="650"/>
      <c r="V209" s="650"/>
      <c r="W209" s="650"/>
      <c r="X209" s="650"/>
      <c r="Y209" s="650"/>
      <c r="Z209" s="650"/>
      <c r="AA209" s="650"/>
      <c r="AB209" s="650"/>
      <c r="AC209" s="650"/>
      <c r="AD209" s="650"/>
      <c r="AE209" s="650"/>
      <c r="AF209" s="650"/>
      <c r="AG209" s="650"/>
      <c r="AH209" s="650"/>
      <c r="AI209" s="650" t="s">
        <v>695</v>
      </c>
      <c r="AJ209" s="650"/>
      <c r="AK209" s="650"/>
      <c r="AL209" s="650"/>
      <c r="AM209" s="650"/>
    </row>
    <row r="210" spans="1:39" ht="14.1" customHeight="1">
      <c r="A210" s="649" t="s">
        <v>746</v>
      </c>
      <c r="B210" s="649"/>
      <c r="C210" s="649"/>
      <c r="D210" s="649"/>
      <c r="E210" s="649"/>
      <c r="F210" s="649"/>
      <c r="G210" s="649"/>
      <c r="H210" s="649"/>
      <c r="I210" s="649"/>
      <c r="J210" s="649"/>
      <c r="K210" s="649"/>
      <c r="L210" s="649"/>
      <c r="M210" s="650" t="str">
        <f>VLOOKUP(AI210,'Inchidere contur'!$G:$U,15,FALSE)</f>
        <v>JT_SDI</v>
      </c>
      <c r="N210" s="650"/>
      <c r="O210" s="650"/>
      <c r="P210" s="650"/>
      <c r="Q210" s="650"/>
      <c r="R210" s="650"/>
      <c r="S210" s="650"/>
      <c r="T210" s="650"/>
      <c r="U210" s="650"/>
      <c r="V210" s="650"/>
      <c r="W210" s="650"/>
      <c r="X210" s="650"/>
      <c r="Y210" s="650"/>
      <c r="Z210" s="650"/>
      <c r="AA210" s="650"/>
      <c r="AB210" s="650"/>
      <c r="AC210" s="650"/>
      <c r="AD210" s="650"/>
      <c r="AE210" s="650"/>
      <c r="AF210" s="650"/>
      <c r="AG210" s="650"/>
      <c r="AH210" s="650"/>
      <c r="AI210" s="619" t="str">
        <f>_xlfn.CONCAT(AA153,".",2)</f>
        <v>RDSC_2.2</v>
      </c>
      <c r="AJ210" s="619"/>
      <c r="AK210" s="619"/>
      <c r="AL210" s="619"/>
      <c r="AM210" s="619"/>
    </row>
    <row r="211" spans="1:39" ht="14.1" customHeight="1">
      <c r="A211" s="649" t="s">
        <v>747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50" t="str">
        <f>IF(LEFT(M210,2)="JT","0.4kV",IF(LEFT(M210,2)="MT","20kV","-"))</f>
        <v>0.4kV</v>
      </c>
      <c r="N211" s="650"/>
      <c r="O211" s="650"/>
      <c r="P211" s="650"/>
      <c r="Q211" s="650"/>
      <c r="R211" s="650"/>
      <c r="S211" s="650"/>
      <c r="T211" s="650"/>
      <c r="U211" s="650"/>
      <c r="V211" s="650"/>
      <c r="W211" s="650"/>
      <c r="X211" s="650"/>
      <c r="Y211" s="650"/>
      <c r="Z211" s="650"/>
      <c r="AA211" s="650"/>
      <c r="AB211" s="650"/>
      <c r="AC211" s="650"/>
      <c r="AD211" s="650"/>
      <c r="AE211" s="650"/>
      <c r="AF211" s="650"/>
      <c r="AG211" s="650"/>
      <c r="AH211" s="650"/>
      <c r="AI211" s="619"/>
      <c r="AJ211" s="619"/>
      <c r="AK211" s="619"/>
      <c r="AL211" s="619"/>
      <c r="AM211" s="619"/>
    </row>
    <row r="212" spans="1:39" ht="14.1" customHeight="1">
      <c r="A212" s="648" t="s">
        <v>697</v>
      </c>
      <c r="B212" s="648"/>
      <c r="C212" s="648"/>
      <c r="D212" s="648"/>
      <c r="E212" s="648"/>
      <c r="F212" s="648"/>
      <c r="G212" s="647" t="s">
        <v>713</v>
      </c>
      <c r="H212" s="647"/>
      <c r="I212" s="647"/>
      <c r="J212" s="647" t="s">
        <v>714</v>
      </c>
      <c r="K212" s="647"/>
      <c r="L212" s="647"/>
      <c r="M212" s="648" t="s">
        <v>519</v>
      </c>
      <c r="N212" s="648"/>
      <c r="O212" s="648" t="s">
        <v>715</v>
      </c>
      <c r="P212" s="648"/>
      <c r="Q212" s="648"/>
      <c r="R212" s="647" t="s">
        <v>732</v>
      </c>
      <c r="S212" s="647"/>
      <c r="T212" s="647"/>
      <c r="U212" s="647" t="s">
        <v>734</v>
      </c>
      <c r="V212" s="647"/>
      <c r="W212" s="647"/>
      <c r="X212" s="647" t="s">
        <v>1085</v>
      </c>
      <c r="Y212" s="647"/>
      <c r="Z212" s="647"/>
      <c r="AA212" s="647" t="s">
        <v>1086</v>
      </c>
      <c r="AB212" s="647"/>
      <c r="AC212" s="647"/>
      <c r="AD212" s="647" t="s">
        <v>717</v>
      </c>
      <c r="AE212" s="647"/>
      <c r="AF212" s="647" t="s">
        <v>718</v>
      </c>
      <c r="AG212" s="647"/>
      <c r="AH212" s="647"/>
      <c r="AI212" s="647" t="s">
        <v>719</v>
      </c>
      <c r="AJ212" s="647"/>
      <c r="AK212" s="647" t="s">
        <v>733</v>
      </c>
      <c r="AL212" s="647"/>
      <c r="AM212" s="647"/>
    </row>
    <row r="213" spans="1:39" ht="14.1" customHeight="1">
      <c r="A213" s="648"/>
      <c r="B213" s="648"/>
      <c r="C213" s="648"/>
      <c r="D213" s="648"/>
      <c r="E213" s="648"/>
      <c r="F213" s="648"/>
      <c r="G213" s="647"/>
      <c r="H213" s="647"/>
      <c r="I213" s="647"/>
      <c r="J213" s="647"/>
      <c r="K213" s="647"/>
      <c r="L213" s="647"/>
      <c r="M213" s="648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48"/>
      <c r="B214" s="648"/>
      <c r="C214" s="648"/>
      <c r="D214" s="648"/>
      <c r="E214" s="648"/>
      <c r="F214" s="648"/>
      <c r="G214" s="647"/>
      <c r="H214" s="647"/>
      <c r="I214" s="647"/>
      <c r="J214" s="713"/>
      <c r="K214" s="713"/>
      <c r="L214" s="713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78">
        <f>VLOOKUP(AI210,'Contorizare in SDI'!$E:$I,5,FALSE)</f>
        <v>1369534409</v>
      </c>
      <c r="B215" s="679"/>
      <c r="C215" s="679"/>
      <c r="D215" s="679"/>
      <c r="E215" s="679"/>
      <c r="F215" s="680"/>
      <c r="G215" s="648" t="s">
        <v>730</v>
      </c>
      <c r="H215" s="648"/>
      <c r="I215" s="673"/>
      <c r="J215" s="655">
        <f>'Date masura OD'!$AK$5</f>
        <v>45748</v>
      </c>
      <c r="K215" s="656"/>
      <c r="L215" s="657"/>
      <c r="M215" s="720" t="s">
        <v>446</v>
      </c>
      <c r="N215" s="648"/>
      <c r="O215" s="648">
        <f>VLOOKUP(AI210,'Incrementare indexe'!$B:$T,4,FALSE)</f>
        <v>1</v>
      </c>
      <c r="P215" s="648"/>
      <c r="Q215" s="648"/>
      <c r="R215" s="647" t="str">
        <f>VLOOKUP(A215,Regularizare!$D:$YN,3,FALSE)&amp;" ("&amp;VLOOKUP(A215,Regularizare!$D:$Y,11,FALSE)&amp;")"</f>
        <v>2007078 (citit)</v>
      </c>
      <c r="S215" s="647"/>
      <c r="T215" s="647"/>
      <c r="U215" s="647" t="str">
        <f>VLOOKUP(A215,Regularizare!$D:$U,4,FALSE)&amp;" ("&amp;VLOOKUP(A215,Regularizare!$D:$U,12,FALSE)&amp;")"</f>
        <v>2091333 (estimat)</v>
      </c>
      <c r="V215" s="647"/>
      <c r="W215" s="647"/>
      <c r="X215" s="647" t="str">
        <f>VLOOKUP(A215,Regularizare!$D:$Y,19,FALSE)&amp;" ("&amp;VLOOKUP(A215,Regularizare!$D:$U,12,FALSE)&amp;")"</f>
        <v>84255 (estimat)</v>
      </c>
      <c r="Y215" s="647"/>
      <c r="Z215" s="647"/>
      <c r="AA215" s="647">
        <f>(-1)*VLOOKUP(A215,Regularizare!$D:$Y,19,FALSE)</f>
        <v>-84255</v>
      </c>
      <c r="AB215" s="647"/>
      <c r="AC215" s="647"/>
      <c r="AD215" s="647" t="s">
        <v>69</v>
      </c>
      <c r="AE215" s="647"/>
      <c r="AF215" s="647">
        <f>AA215</f>
        <v>-84255</v>
      </c>
      <c r="AG215" s="647"/>
      <c r="AH215" s="647"/>
      <c r="AI215" s="647" t="s">
        <v>69</v>
      </c>
      <c r="AJ215" s="647"/>
      <c r="AK215" s="647" t="s">
        <v>69</v>
      </c>
      <c r="AL215" s="647"/>
      <c r="AM215" s="647"/>
    </row>
    <row r="216" spans="1:39" ht="14.1" customHeight="1">
      <c r="A216" s="717"/>
      <c r="B216" s="718"/>
      <c r="C216" s="718"/>
      <c r="D216" s="718"/>
      <c r="E216" s="718"/>
      <c r="F216" s="719"/>
      <c r="G216" s="648"/>
      <c r="H216" s="648"/>
      <c r="I216" s="673"/>
      <c r="J216" s="717" t="s">
        <v>69</v>
      </c>
      <c r="K216" s="718"/>
      <c r="L216" s="719"/>
      <c r="M216" s="720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81"/>
      <c r="B217" s="682"/>
      <c r="C217" s="682"/>
      <c r="D217" s="682"/>
      <c r="E217" s="682"/>
      <c r="F217" s="683"/>
      <c r="G217" s="648"/>
      <c r="H217" s="648"/>
      <c r="I217" s="673"/>
      <c r="J217" s="714">
        <f>'Date masura OD'!$AL$5</f>
        <v>45777</v>
      </c>
      <c r="K217" s="715"/>
      <c r="L217" s="716"/>
      <c r="M217" s="720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78">
        <f>A215</f>
        <v>1369534409</v>
      </c>
      <c r="B218" s="679"/>
      <c r="C218" s="679"/>
      <c r="D218" s="679"/>
      <c r="E218" s="679"/>
      <c r="F218" s="680"/>
      <c r="G218" s="648" t="s">
        <v>696</v>
      </c>
      <c r="H218" s="648"/>
      <c r="I218" s="648"/>
      <c r="J218" s="655">
        <f t="shared" ref="J218:J223" si="12">J215</f>
        <v>45748</v>
      </c>
      <c r="K218" s="656"/>
      <c r="L218" s="657"/>
      <c r="M218" s="648" t="s">
        <v>720</v>
      </c>
      <c r="N218" s="648"/>
      <c r="O218" s="648">
        <f>O215</f>
        <v>1</v>
      </c>
      <c r="P218" s="648"/>
      <c r="Q218" s="648"/>
      <c r="R218" s="647" t="str">
        <f>VLOOKUP(A218,Regularizare!$D:$U,7,FALSE)&amp;" ("&amp;VLOOKUP(A218,Regularizare!$D:$U,15,FALSE)&amp;")"</f>
        <v>167022 (citit)</v>
      </c>
      <c r="S218" s="647"/>
      <c r="T218" s="647"/>
      <c r="U218" s="647" t="str">
        <f>VLOOKUP(A218,Regularizare!$D:$U,8,FALSE)&amp;" ("&amp;VLOOKUP(A218,Regularizare!$D:$U,16,FALSE)&amp;")"</f>
        <v>167022 (estimat)</v>
      </c>
      <c r="V218" s="647"/>
      <c r="W218" s="647"/>
      <c r="X218" s="647" t="str">
        <f>_xlfn.CONCAT(VLOOKUP(A218,Regularizare!$D:$U,8,FALSE)-VLOOKUP(A218,Regularizare!$D:$U,7,FALSE)," (",VLOOKUP(A218,Regularizare!$D:$U,16,FALSE),")")</f>
        <v>0 (estimat)</v>
      </c>
      <c r="Y218" s="647"/>
      <c r="Z218" s="647"/>
      <c r="AA218" s="647">
        <f>IF(VLOOKUP(A218,Regularizare!$D:$Y,21,FALSE)=0,VLOOKUP(A218,Regularizare!$D:$Y,21,FALSE),(-1)*VLOOKUP(A218,Regularizare!$D:$Y,21,FALSE))</f>
        <v>0</v>
      </c>
      <c r="AB218" s="647"/>
      <c r="AC218" s="647"/>
      <c r="AD218" s="647" t="s">
        <v>69</v>
      </c>
      <c r="AE218" s="647"/>
      <c r="AF218" s="647">
        <f>AA218</f>
        <v>0</v>
      </c>
      <c r="AG218" s="647"/>
      <c r="AH218" s="647"/>
      <c r="AI218" s="647" t="str">
        <f>AI215</f>
        <v>-</v>
      </c>
      <c r="AJ218" s="647"/>
      <c r="AK218" s="647" t="str">
        <f>AK215</f>
        <v>-</v>
      </c>
      <c r="AL218" s="647"/>
      <c r="AM218" s="647"/>
    </row>
    <row r="219" spans="1:39" ht="14.1" customHeight="1">
      <c r="A219" s="717"/>
      <c r="B219" s="718"/>
      <c r="C219" s="718"/>
      <c r="D219" s="718"/>
      <c r="E219" s="718"/>
      <c r="F219" s="719"/>
      <c r="G219" s="648"/>
      <c r="H219" s="648"/>
      <c r="I219" s="648"/>
      <c r="J219" s="717" t="str">
        <f t="shared" si="12"/>
        <v>-</v>
      </c>
      <c r="K219" s="718"/>
      <c r="L219" s="719"/>
      <c r="M219" s="648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>
      <c r="A220" s="681"/>
      <c r="B220" s="682"/>
      <c r="C220" s="682"/>
      <c r="D220" s="682"/>
      <c r="E220" s="682"/>
      <c r="F220" s="683"/>
      <c r="G220" s="648"/>
      <c r="H220" s="648"/>
      <c r="I220" s="648"/>
      <c r="J220" s="714">
        <f t="shared" si="12"/>
        <v>45777</v>
      </c>
      <c r="K220" s="715"/>
      <c r="L220" s="716"/>
      <c r="M220" s="648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78">
        <f>A218</f>
        <v>1369534409</v>
      </c>
      <c r="B221" s="679"/>
      <c r="C221" s="679"/>
      <c r="D221" s="679"/>
      <c r="E221" s="679"/>
      <c r="F221" s="680"/>
      <c r="G221" s="648" t="s">
        <v>731</v>
      </c>
      <c r="H221" s="648"/>
      <c r="I221" s="648"/>
      <c r="J221" s="655">
        <f t="shared" si="12"/>
        <v>45748</v>
      </c>
      <c r="K221" s="656"/>
      <c r="L221" s="657"/>
      <c r="M221" s="648" t="s">
        <v>720</v>
      </c>
      <c r="N221" s="648"/>
      <c r="O221" s="648">
        <f>O218</f>
        <v>1</v>
      </c>
      <c r="P221" s="648"/>
      <c r="Q221" s="648"/>
      <c r="R221" s="647" t="str">
        <f>VLOOKUP(A221,Regularizare!$D:$U,9,FALSE)&amp;" ("&amp;VLOOKUP(A221,Regularizare!$D:$U,17,FALSE)&amp;")"</f>
        <v>4042 (citit)</v>
      </c>
      <c r="S221" s="647"/>
      <c r="T221" s="647"/>
      <c r="U221" s="647" t="str">
        <f>VLOOKUP(A221,Regularizare!$D:$U,10,FALSE)&amp;" ("&amp;VLOOKUP(A221,Regularizare!$D:$U,18,FALSE)&amp;")"</f>
        <v>4042 (estimat)</v>
      </c>
      <c r="V221" s="647"/>
      <c r="W221" s="647"/>
      <c r="X221" s="647" t="str">
        <f>_xlfn.CONCAT(VLOOKUP(A221,Regularizare!$D:$U,10,FALSE)-VLOOKUP(A221,Regularizare!$D:$U,9,FALSE)," (",VLOOKUP(A221,Regularizare!$D:$U,18,FALSE),")")</f>
        <v>0 (estimat)</v>
      </c>
      <c r="Y221" s="647"/>
      <c r="Z221" s="647"/>
      <c r="AA221" s="647">
        <f>IF(VLOOKUP(A221,Regularizare!$D:$Y,22,FALSE)=0,VLOOKUP(A221,Regularizare!$D:$Y,22,FALSE),(-1)*VLOOKUP(A221,Regularizare!$D:$Y,22,FALSE))</f>
        <v>0</v>
      </c>
      <c r="AB221" s="647"/>
      <c r="AC221" s="647"/>
      <c r="AD221" s="647" t="s">
        <v>69</v>
      </c>
      <c r="AE221" s="647"/>
      <c r="AF221" s="647">
        <f>AA221</f>
        <v>0</v>
      </c>
      <c r="AG221" s="647"/>
      <c r="AH221" s="647"/>
      <c r="AI221" s="647" t="str">
        <f>AI218</f>
        <v>-</v>
      </c>
      <c r="AJ221" s="647"/>
      <c r="AK221" s="647" t="str">
        <f>AK218</f>
        <v>-</v>
      </c>
      <c r="AL221" s="647"/>
      <c r="AM221" s="647"/>
    </row>
    <row r="222" spans="1:39" ht="14.1" customHeight="1">
      <c r="A222" s="717"/>
      <c r="B222" s="718"/>
      <c r="C222" s="718"/>
      <c r="D222" s="718"/>
      <c r="E222" s="718"/>
      <c r="F222" s="719"/>
      <c r="G222" s="648"/>
      <c r="H222" s="648"/>
      <c r="I222" s="648"/>
      <c r="J222" s="717" t="str">
        <f t="shared" si="12"/>
        <v>-</v>
      </c>
      <c r="K222" s="718"/>
      <c r="L222" s="719"/>
      <c r="M222" s="648"/>
      <c r="N222" s="648"/>
      <c r="O222" s="648"/>
      <c r="P222" s="648"/>
      <c r="Q222" s="648"/>
      <c r="R222" s="647"/>
      <c r="S222" s="647"/>
      <c r="T222" s="647"/>
      <c r="U222" s="647"/>
      <c r="V222" s="647"/>
      <c r="W222" s="647"/>
      <c r="X222" s="647"/>
      <c r="Y222" s="647"/>
      <c r="Z222" s="647"/>
      <c r="AA222" s="647"/>
      <c r="AB222" s="647"/>
      <c r="AC222" s="647"/>
      <c r="AD222" s="647"/>
      <c r="AE222" s="647"/>
      <c r="AF222" s="647"/>
      <c r="AG222" s="647"/>
      <c r="AH222" s="647"/>
      <c r="AI222" s="647"/>
      <c r="AJ222" s="647"/>
      <c r="AK222" s="647"/>
      <c r="AL222" s="647"/>
      <c r="AM222" s="647"/>
    </row>
    <row r="223" spans="1:39" ht="14.1" customHeight="1">
      <c r="A223" s="681"/>
      <c r="B223" s="682"/>
      <c r="C223" s="682"/>
      <c r="D223" s="682"/>
      <c r="E223" s="682"/>
      <c r="F223" s="683"/>
      <c r="G223" s="648"/>
      <c r="H223" s="648"/>
      <c r="I223" s="648"/>
      <c r="J223" s="714">
        <f t="shared" si="12"/>
        <v>45777</v>
      </c>
      <c r="K223" s="715"/>
      <c r="L223" s="716"/>
      <c r="M223" s="648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78">
        <f>A221</f>
        <v>1369534409</v>
      </c>
      <c r="B224" s="679"/>
      <c r="C224" s="679"/>
      <c r="D224" s="679"/>
      <c r="E224" s="679"/>
      <c r="F224" s="680"/>
      <c r="G224" s="648" t="s">
        <v>730</v>
      </c>
      <c r="H224" s="648"/>
      <c r="I224" s="673"/>
      <c r="J224" s="655">
        <f>'Date masura OD'!$AK$5</f>
        <v>45748</v>
      </c>
      <c r="K224" s="656"/>
      <c r="L224" s="657"/>
      <c r="M224" s="720" t="s">
        <v>446</v>
      </c>
      <c r="N224" s="648"/>
      <c r="O224" s="648">
        <f>O221</f>
        <v>1</v>
      </c>
      <c r="P224" s="648"/>
      <c r="Q224" s="648"/>
      <c r="R224" s="647" t="str">
        <f>VLOOKUP(A224,Regularizare!$D:$AX,23,FALSE)&amp;" ("&amp;VLOOKUP(A224,Regularizare!$D:$AX,24,FALSE)&amp;")"</f>
        <v>2007078 (citit)</v>
      </c>
      <c r="S224" s="647"/>
      <c r="T224" s="647"/>
      <c r="U224" s="647" t="str">
        <f>VLOOKUP(A224,Regularizare!$D:$AX,25,FALSE)&amp;" ("&amp;VLOOKUP(A224,Regularizare!$D:$AX,26,FALSE)&amp;")"</f>
        <v>2091333 (citit)</v>
      </c>
      <c r="V224" s="647"/>
      <c r="W224" s="647"/>
      <c r="X224" s="647" t="str">
        <f>VLOOKUP(A224,Regularizare!$D:$AX,37,FALSE)&amp;" ("&amp;VLOOKUP(A224,Regularizare!$D:$AX,26,FALSE)&amp;")"</f>
        <v>84255 (citit)</v>
      </c>
      <c r="Y224" s="647"/>
      <c r="Z224" s="647"/>
      <c r="AA224" s="647">
        <f>VLOOKUP(A224,Regularizare!$D:$AX,37,FALSE)</f>
        <v>84255</v>
      </c>
      <c r="AB224" s="647"/>
      <c r="AC224" s="647"/>
      <c r="AD224" s="647" t="s">
        <v>69</v>
      </c>
      <c r="AE224" s="647"/>
      <c r="AF224" s="647">
        <f>AA224</f>
        <v>84255</v>
      </c>
      <c r="AG224" s="647"/>
      <c r="AH224" s="647"/>
      <c r="AI224" s="647" t="str">
        <f>AI221</f>
        <v>-</v>
      </c>
      <c r="AJ224" s="647"/>
      <c r="AK224" s="647" t="str">
        <f>AK221</f>
        <v>-</v>
      </c>
      <c r="AL224" s="647"/>
      <c r="AM224" s="647"/>
    </row>
    <row r="225" spans="1:39" ht="14.1" customHeight="1">
      <c r="A225" s="717"/>
      <c r="B225" s="718"/>
      <c r="C225" s="718"/>
      <c r="D225" s="718"/>
      <c r="E225" s="718"/>
      <c r="F225" s="719"/>
      <c r="G225" s="648"/>
      <c r="H225" s="648"/>
      <c r="I225" s="673"/>
      <c r="J225" s="717" t="s">
        <v>69</v>
      </c>
      <c r="K225" s="718"/>
      <c r="L225" s="719"/>
      <c r="M225" s="720"/>
      <c r="N225" s="648"/>
      <c r="O225" s="648"/>
      <c r="P225" s="648"/>
      <c r="Q225" s="648"/>
      <c r="R225" s="647"/>
      <c r="S225" s="647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647"/>
      <c r="AL225" s="647"/>
      <c r="AM225" s="647"/>
    </row>
    <row r="226" spans="1:39" ht="14.1" customHeight="1">
      <c r="A226" s="681"/>
      <c r="B226" s="682"/>
      <c r="C226" s="682"/>
      <c r="D226" s="682"/>
      <c r="E226" s="682"/>
      <c r="F226" s="683"/>
      <c r="G226" s="648"/>
      <c r="H226" s="648"/>
      <c r="I226" s="673"/>
      <c r="J226" s="714">
        <f>'Date masura OD'!$AL$5</f>
        <v>45777</v>
      </c>
      <c r="K226" s="715"/>
      <c r="L226" s="716"/>
      <c r="M226" s="720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678">
        <f>A224</f>
        <v>1369534409</v>
      </c>
      <c r="B227" s="679"/>
      <c r="C227" s="679"/>
      <c r="D227" s="679"/>
      <c r="E227" s="679"/>
      <c r="F227" s="680"/>
      <c r="G227" s="648" t="s">
        <v>696</v>
      </c>
      <c r="H227" s="648"/>
      <c r="I227" s="648"/>
      <c r="J227" s="655">
        <f t="shared" ref="J227:J232" si="13">J224</f>
        <v>45748</v>
      </c>
      <c r="K227" s="656"/>
      <c r="L227" s="657"/>
      <c r="M227" s="648" t="s">
        <v>720</v>
      </c>
      <c r="N227" s="648"/>
      <c r="O227" s="648">
        <f>O224</f>
        <v>1</v>
      </c>
      <c r="P227" s="648"/>
      <c r="Q227" s="648"/>
      <c r="R227" s="647" t="str">
        <f>VLOOKUP(A227,Regularizare!$D:$AX,29,FALSE)&amp;" ("&amp;VLOOKUP(A227,Regularizare!$D:$AX,30,FALSE)&amp;")"</f>
        <v>167022 (citit)</v>
      </c>
      <c r="S227" s="647"/>
      <c r="T227" s="647"/>
      <c r="U227" s="647" t="str">
        <f>VLOOKUP(A227,Regularizare!$D:$AX,31,FALSE)&amp;" ("&amp;VLOOKUP(A227,Regularizare!$D:$AX,32,FALSE)&amp;")"</f>
        <v>167396 (citit)</v>
      </c>
      <c r="V227" s="647"/>
      <c r="W227" s="647"/>
      <c r="X227" s="647" t="str">
        <f>VLOOKUP(A227,Regularizare!$D:$AX,39,FALSE)&amp;" ("&amp;VLOOKUP(A227,Regularizare!$D:$AX,32,FALSE)&amp;")"</f>
        <v>374 (citit)</v>
      </c>
      <c r="Y227" s="647"/>
      <c r="Z227" s="647"/>
      <c r="AA227" s="647">
        <f>VLOOKUP(A227,Regularizare!$D:$AX,44,FALSE)+VLOOKUP(A227,Regularizare!$D:$AX,45,FALSE)</f>
        <v>374</v>
      </c>
      <c r="AB227" s="647"/>
      <c r="AC227" s="647"/>
      <c r="AD227" s="647" t="s">
        <v>69</v>
      </c>
      <c r="AE227" s="647"/>
      <c r="AF227" s="647">
        <f>AA227</f>
        <v>374</v>
      </c>
      <c r="AG227" s="647"/>
      <c r="AH227" s="647"/>
      <c r="AI227" s="647" t="str">
        <f>AI224</f>
        <v>-</v>
      </c>
      <c r="AJ227" s="647"/>
      <c r="AK227" s="647" t="str">
        <f>AK224</f>
        <v>-</v>
      </c>
      <c r="AL227" s="647"/>
      <c r="AM227" s="647"/>
    </row>
    <row r="228" spans="1:39" ht="14.1" customHeight="1">
      <c r="A228" s="717"/>
      <c r="B228" s="718"/>
      <c r="C228" s="718"/>
      <c r="D228" s="718"/>
      <c r="E228" s="718"/>
      <c r="F228" s="719"/>
      <c r="G228" s="648"/>
      <c r="H228" s="648"/>
      <c r="I228" s="648"/>
      <c r="J228" s="717" t="str">
        <f t="shared" si="13"/>
        <v>-</v>
      </c>
      <c r="K228" s="718"/>
      <c r="L228" s="719"/>
      <c r="M228" s="648"/>
      <c r="N228" s="648"/>
      <c r="O228" s="648"/>
      <c r="P228" s="648"/>
      <c r="Q228" s="648"/>
      <c r="R228" s="647"/>
      <c r="S228" s="647"/>
      <c r="T228" s="647"/>
      <c r="U228" s="647"/>
      <c r="V228" s="647"/>
      <c r="W228" s="647"/>
      <c r="X228" s="647"/>
      <c r="Y228" s="647"/>
      <c r="Z228" s="647"/>
      <c r="AA228" s="647"/>
      <c r="AB228" s="647"/>
      <c r="AC228" s="647"/>
      <c r="AD228" s="647"/>
      <c r="AE228" s="647"/>
      <c r="AF228" s="647"/>
      <c r="AG228" s="647"/>
      <c r="AH228" s="647"/>
      <c r="AI228" s="647"/>
      <c r="AJ228" s="647"/>
      <c r="AK228" s="647"/>
      <c r="AL228" s="647"/>
      <c r="AM228" s="647"/>
    </row>
    <row r="229" spans="1:39" ht="14.1" customHeight="1">
      <c r="A229" s="681"/>
      <c r="B229" s="682"/>
      <c r="C229" s="682"/>
      <c r="D229" s="682"/>
      <c r="E229" s="682"/>
      <c r="F229" s="683"/>
      <c r="G229" s="648"/>
      <c r="H229" s="648"/>
      <c r="I229" s="648"/>
      <c r="J229" s="714">
        <f t="shared" si="13"/>
        <v>45777</v>
      </c>
      <c r="K229" s="715"/>
      <c r="L229" s="716"/>
      <c r="M229" s="648"/>
      <c r="N229" s="648"/>
      <c r="O229" s="648"/>
      <c r="P229" s="648"/>
      <c r="Q229" s="648"/>
      <c r="R229" s="647"/>
      <c r="S229" s="647"/>
      <c r="T229" s="647"/>
      <c r="U229" s="647"/>
      <c r="V229" s="647"/>
      <c r="W229" s="647"/>
      <c r="X229" s="647"/>
      <c r="Y229" s="647"/>
      <c r="Z229" s="647"/>
      <c r="AA229" s="647"/>
      <c r="AB229" s="647"/>
      <c r="AC229" s="647"/>
      <c r="AD229" s="647"/>
      <c r="AE229" s="647"/>
      <c r="AF229" s="647"/>
      <c r="AG229" s="647"/>
      <c r="AH229" s="647"/>
      <c r="AI229" s="647"/>
      <c r="AJ229" s="647"/>
      <c r="AK229" s="647"/>
      <c r="AL229" s="647"/>
      <c r="AM229" s="647"/>
    </row>
    <row r="230" spans="1:39" ht="14.1" customHeight="1">
      <c r="A230" s="678">
        <f>A227</f>
        <v>1369534409</v>
      </c>
      <c r="B230" s="679"/>
      <c r="C230" s="679"/>
      <c r="D230" s="679"/>
      <c r="E230" s="679"/>
      <c r="F230" s="680"/>
      <c r="G230" s="648" t="s">
        <v>731</v>
      </c>
      <c r="H230" s="648"/>
      <c r="I230" s="648"/>
      <c r="J230" s="655">
        <f t="shared" si="13"/>
        <v>45748</v>
      </c>
      <c r="K230" s="656"/>
      <c r="L230" s="657"/>
      <c r="M230" s="648" t="s">
        <v>720</v>
      </c>
      <c r="N230" s="648"/>
      <c r="O230" s="648">
        <f>O227</f>
        <v>1</v>
      </c>
      <c r="P230" s="648"/>
      <c r="Q230" s="648"/>
      <c r="R230" s="647" t="str">
        <f>VLOOKUP(A230,Regularizare!$D:$AX,33,FALSE)&amp;" ("&amp;VLOOKUP(A230,Regularizare!$D:$AX,34,FALSE)&amp;")"</f>
        <v>4042 (citit)</v>
      </c>
      <c r="S230" s="647"/>
      <c r="T230" s="647"/>
      <c r="U230" s="647" t="str">
        <f>VLOOKUP(A230,Regularizare!$D:$AX,35,FALSE)&amp;" ("&amp;VLOOKUP(A230,Regularizare!$D:$AX,36,FALSE)&amp;")"</f>
        <v>4042 (citit)</v>
      </c>
      <c r="V230" s="647"/>
      <c r="W230" s="647"/>
      <c r="X230" s="647" t="str">
        <f>VLOOKUP(A230,Regularizare!$D:$AX,40,FALSE)&amp;" ("&amp;VLOOKUP(A230,Regularizare!$D:$AX,36,FALSE)&amp;")"</f>
        <v>0 (citit)</v>
      </c>
      <c r="Y230" s="647"/>
      <c r="Z230" s="647"/>
      <c r="AA230" s="647">
        <f>VLOOKUP(A230,Regularizare!$D:$AX,46,FALSE)+VLOOKUP(A230,Regularizare!$D:$AX,47,FALSE)</f>
        <v>0</v>
      </c>
      <c r="AB230" s="647"/>
      <c r="AC230" s="647"/>
      <c r="AD230" s="647" t="s">
        <v>69</v>
      </c>
      <c r="AE230" s="647"/>
      <c r="AF230" s="647">
        <f>AA230</f>
        <v>0</v>
      </c>
      <c r="AG230" s="647"/>
      <c r="AH230" s="647"/>
      <c r="AI230" s="647" t="str">
        <f>AI227</f>
        <v>-</v>
      </c>
      <c r="AJ230" s="647"/>
      <c r="AK230" s="647" t="str">
        <f>AK227</f>
        <v>-</v>
      </c>
      <c r="AL230" s="647"/>
      <c r="AM230" s="647"/>
    </row>
    <row r="231" spans="1:39" ht="14.1" customHeight="1">
      <c r="A231" s="717"/>
      <c r="B231" s="718"/>
      <c r="C231" s="718"/>
      <c r="D231" s="718"/>
      <c r="E231" s="718"/>
      <c r="F231" s="719"/>
      <c r="G231" s="648"/>
      <c r="H231" s="648"/>
      <c r="I231" s="648"/>
      <c r="J231" s="717" t="str">
        <f t="shared" si="13"/>
        <v>-</v>
      </c>
      <c r="K231" s="718"/>
      <c r="L231" s="719"/>
      <c r="M231" s="648"/>
      <c r="N231" s="648"/>
      <c r="O231" s="648"/>
      <c r="P231" s="648"/>
      <c r="Q231" s="648"/>
      <c r="R231" s="647"/>
      <c r="S231" s="647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647"/>
      <c r="AL231" s="647"/>
      <c r="AM231" s="647"/>
    </row>
    <row r="232" spans="1:39" ht="14.1" customHeight="1">
      <c r="A232" s="681"/>
      <c r="B232" s="682"/>
      <c r="C232" s="682"/>
      <c r="D232" s="682"/>
      <c r="E232" s="682"/>
      <c r="F232" s="683"/>
      <c r="G232" s="648"/>
      <c r="H232" s="648"/>
      <c r="I232" s="648"/>
      <c r="J232" s="714">
        <f t="shared" si="13"/>
        <v>45777</v>
      </c>
      <c r="K232" s="715"/>
      <c r="L232" s="716"/>
      <c r="M232" s="648"/>
      <c r="N232" s="648"/>
      <c r="O232" s="648"/>
      <c r="P232" s="648"/>
      <c r="Q232" s="648"/>
      <c r="R232" s="647"/>
      <c r="S232" s="647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647"/>
      <c r="AL232" s="647"/>
      <c r="AM232" s="647"/>
    </row>
    <row r="233" spans="1:39" ht="14.1" customHeight="1">
      <c r="A233" s="678">
        <f>A230</f>
        <v>1369534409</v>
      </c>
      <c r="B233" s="679"/>
      <c r="C233" s="679"/>
      <c r="D233" s="679"/>
      <c r="E233" s="679"/>
      <c r="F233" s="680"/>
      <c r="G233" s="648" t="s">
        <v>730</v>
      </c>
      <c r="H233" s="648"/>
      <c r="I233" s="673"/>
      <c r="J233" s="655">
        <f>'Date masura OD'!$I$5</f>
        <v>45778</v>
      </c>
      <c r="K233" s="656"/>
      <c r="L233" s="657"/>
      <c r="M233" s="720" t="s">
        <v>446</v>
      </c>
      <c r="N233" s="648"/>
      <c r="O233" s="648">
        <f>O230</f>
        <v>1</v>
      </c>
      <c r="P233" s="648"/>
      <c r="Q233" s="648"/>
      <c r="R233" s="647" t="str">
        <f>U224</f>
        <v>2091333 (citit)</v>
      </c>
      <c r="S233" s="647"/>
      <c r="T233" s="647"/>
      <c r="U233" s="647" t="str">
        <f>VLOOKUP(A233,'Incrementare indexe'!$D:$M,4,FALSE)&amp;" (estimat)"</f>
        <v>2172172 (estimat)</v>
      </c>
      <c r="V233" s="647"/>
      <c r="W233" s="647"/>
      <c r="X233" s="647" t="str">
        <f>VLOOKUP(A233,'Incrementare indexe'!$D:$Q,11,FALSE)&amp;" (estimat)"</f>
        <v>80839 (estimat)</v>
      </c>
      <c r="Y233" s="647"/>
      <c r="Z233" s="647"/>
      <c r="AA233" s="647" t="s">
        <v>69</v>
      </c>
      <c r="AB233" s="647"/>
      <c r="AC233" s="647"/>
      <c r="AD233" s="647" t="s">
        <v>69</v>
      </c>
      <c r="AE233" s="647"/>
      <c r="AF233" s="647">
        <f>VLOOKUP(A233,'Incrementare indexe'!$D:$Q,11,FALSE)</f>
        <v>80839</v>
      </c>
      <c r="AG233" s="647"/>
      <c r="AH233" s="647"/>
      <c r="AI233" s="647">
        <f>J235-J233+1</f>
        <v>31</v>
      </c>
      <c r="AJ233" s="647"/>
      <c r="AK233" s="647">
        <f>ROUND(AF233/AI233,2)</f>
        <v>2607.71</v>
      </c>
      <c r="AL233" s="647"/>
      <c r="AM233" s="647"/>
    </row>
    <row r="234" spans="1:39" ht="14.1" customHeight="1">
      <c r="A234" s="717"/>
      <c r="B234" s="718"/>
      <c r="C234" s="718"/>
      <c r="D234" s="718"/>
      <c r="E234" s="718"/>
      <c r="F234" s="719"/>
      <c r="G234" s="648"/>
      <c r="H234" s="648"/>
      <c r="I234" s="673"/>
      <c r="J234" s="717" t="s">
        <v>69</v>
      </c>
      <c r="K234" s="718"/>
      <c r="L234" s="719"/>
      <c r="M234" s="720"/>
      <c r="N234" s="648"/>
      <c r="O234" s="648"/>
      <c r="P234" s="648"/>
      <c r="Q234" s="648"/>
      <c r="R234" s="647"/>
      <c r="S234" s="647"/>
      <c r="T234" s="647"/>
      <c r="U234" s="647"/>
      <c r="V234" s="647"/>
      <c r="W234" s="647"/>
      <c r="X234" s="647"/>
      <c r="Y234" s="647"/>
      <c r="Z234" s="647"/>
      <c r="AA234" s="647"/>
      <c r="AB234" s="647"/>
      <c r="AC234" s="647"/>
      <c r="AD234" s="647"/>
      <c r="AE234" s="647"/>
      <c r="AF234" s="647"/>
      <c r="AG234" s="647"/>
      <c r="AH234" s="647"/>
      <c r="AI234" s="647"/>
      <c r="AJ234" s="647"/>
      <c r="AK234" s="647"/>
      <c r="AL234" s="647"/>
      <c r="AM234" s="647"/>
    </row>
    <row r="235" spans="1:39" ht="14.1" customHeight="1">
      <c r="A235" s="681"/>
      <c r="B235" s="682"/>
      <c r="C235" s="682"/>
      <c r="D235" s="682"/>
      <c r="E235" s="682"/>
      <c r="F235" s="683"/>
      <c r="G235" s="648"/>
      <c r="H235" s="648"/>
      <c r="I235" s="673"/>
      <c r="J235" s="714">
        <f>'Date masura OD'!$J$5</f>
        <v>45808</v>
      </c>
      <c r="K235" s="715"/>
      <c r="L235" s="716"/>
      <c r="M235" s="720"/>
      <c r="N235" s="648"/>
      <c r="O235" s="648"/>
      <c r="P235" s="648"/>
      <c r="Q235" s="648"/>
      <c r="R235" s="647"/>
      <c r="S235" s="647"/>
      <c r="T235" s="647"/>
      <c r="U235" s="647"/>
      <c r="V235" s="647"/>
      <c r="W235" s="647"/>
      <c r="X235" s="647"/>
      <c r="Y235" s="647"/>
      <c r="Z235" s="647"/>
      <c r="AA235" s="647"/>
      <c r="AB235" s="647"/>
      <c r="AC235" s="647"/>
      <c r="AD235" s="647"/>
      <c r="AE235" s="647"/>
      <c r="AF235" s="647"/>
      <c r="AG235" s="647"/>
      <c r="AH235" s="647"/>
      <c r="AI235" s="647"/>
      <c r="AJ235" s="647"/>
      <c r="AK235" s="647"/>
      <c r="AL235" s="647"/>
      <c r="AM235" s="647"/>
    </row>
    <row r="236" spans="1:39" ht="14.1" customHeight="1">
      <c r="A236" s="678">
        <f>A233</f>
        <v>1369534409</v>
      </c>
      <c r="B236" s="679"/>
      <c r="C236" s="679"/>
      <c r="D236" s="679"/>
      <c r="E236" s="679"/>
      <c r="F236" s="680"/>
      <c r="G236" s="648" t="s">
        <v>696</v>
      </c>
      <c r="H236" s="648"/>
      <c r="I236" s="648"/>
      <c r="J236" s="655">
        <f t="shared" ref="J236:J241" si="14">J233</f>
        <v>45778</v>
      </c>
      <c r="K236" s="656"/>
      <c r="L236" s="657"/>
      <c r="M236" s="648" t="s">
        <v>720</v>
      </c>
      <c r="N236" s="648"/>
      <c r="O236" s="648">
        <f>O233</f>
        <v>1</v>
      </c>
      <c r="P236" s="648"/>
      <c r="Q236" s="648"/>
      <c r="R236" s="647" t="str">
        <f>U227</f>
        <v>167396 (citit)</v>
      </c>
      <c r="S236" s="647"/>
      <c r="T236" s="647"/>
      <c r="U236" s="647" t="str">
        <f>VLOOKUP(A236,'Incrementare indexe'!$D:$M,8,FALSE)&amp;" (estimat)"</f>
        <v>167396 (estimat)</v>
      </c>
      <c r="V236" s="647"/>
      <c r="W236" s="647"/>
      <c r="X236" s="647" t="str">
        <f>VLOOKUP(A236,'Incrementare indexe'!$D:$Q,12,FALSE)&amp;" (estimat)"</f>
        <v>0 (estimat)</v>
      </c>
      <c r="Y236" s="647"/>
      <c r="Z236" s="647"/>
      <c r="AA236" s="647" t="s">
        <v>69</v>
      </c>
      <c r="AB236" s="647"/>
      <c r="AC236" s="647"/>
      <c r="AD236" s="647" t="s">
        <v>69</v>
      </c>
      <c r="AE236" s="647"/>
      <c r="AF236" s="647">
        <f>VLOOKUP(A236,'Incrementare indexe'!$D:$Q,12,FALSE)</f>
        <v>0</v>
      </c>
      <c r="AG236" s="647"/>
      <c r="AH236" s="647"/>
      <c r="AI236" s="647">
        <f>AI233</f>
        <v>31</v>
      </c>
      <c r="AJ236" s="647"/>
      <c r="AK236" s="647">
        <f>ROUND(AF236/AI236,2)</f>
        <v>0</v>
      </c>
      <c r="AL236" s="647"/>
      <c r="AM236" s="647"/>
    </row>
    <row r="237" spans="1:39" ht="14.1" customHeight="1">
      <c r="A237" s="717"/>
      <c r="B237" s="718"/>
      <c r="C237" s="718"/>
      <c r="D237" s="718"/>
      <c r="E237" s="718"/>
      <c r="F237" s="719"/>
      <c r="G237" s="648"/>
      <c r="H237" s="648"/>
      <c r="I237" s="648"/>
      <c r="J237" s="717" t="str">
        <f t="shared" si="14"/>
        <v>-</v>
      </c>
      <c r="K237" s="718"/>
      <c r="L237" s="719"/>
      <c r="M237" s="648"/>
      <c r="N237" s="648"/>
      <c r="O237" s="648"/>
      <c r="P237" s="648"/>
      <c r="Q237" s="648"/>
      <c r="R237" s="647"/>
      <c r="S237" s="647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647"/>
      <c r="AL237" s="647"/>
      <c r="AM237" s="647"/>
    </row>
    <row r="238" spans="1:39" ht="14.1" customHeight="1">
      <c r="A238" s="681"/>
      <c r="B238" s="682"/>
      <c r="C238" s="682"/>
      <c r="D238" s="682"/>
      <c r="E238" s="682"/>
      <c r="F238" s="683"/>
      <c r="G238" s="648"/>
      <c r="H238" s="648"/>
      <c r="I238" s="648"/>
      <c r="J238" s="714">
        <f t="shared" si="14"/>
        <v>45808</v>
      </c>
      <c r="K238" s="715"/>
      <c r="L238" s="716"/>
      <c r="M238" s="648"/>
      <c r="N238" s="648"/>
      <c r="O238" s="648"/>
      <c r="P238" s="648"/>
      <c r="Q238" s="648"/>
      <c r="R238" s="647"/>
      <c r="S238" s="647"/>
      <c r="T238" s="647"/>
      <c r="U238" s="647"/>
      <c r="V238" s="647"/>
      <c r="W238" s="647"/>
      <c r="X238" s="647"/>
      <c r="Y238" s="647"/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647"/>
      <c r="AL238" s="647"/>
      <c r="AM238" s="647"/>
    </row>
    <row r="239" spans="1:39" ht="14.1" customHeight="1">
      <c r="A239" s="678">
        <f>A236</f>
        <v>1369534409</v>
      </c>
      <c r="B239" s="679"/>
      <c r="C239" s="679"/>
      <c r="D239" s="679"/>
      <c r="E239" s="679"/>
      <c r="F239" s="680"/>
      <c r="G239" s="648" t="s">
        <v>731</v>
      </c>
      <c r="H239" s="648"/>
      <c r="I239" s="648"/>
      <c r="J239" s="655">
        <f t="shared" si="14"/>
        <v>45778</v>
      </c>
      <c r="K239" s="656"/>
      <c r="L239" s="657"/>
      <c r="M239" s="648" t="s">
        <v>720</v>
      </c>
      <c r="N239" s="648"/>
      <c r="O239" s="648">
        <f>O236</f>
        <v>1</v>
      </c>
      <c r="P239" s="648"/>
      <c r="Q239" s="648"/>
      <c r="R239" s="647" t="str">
        <f>U230</f>
        <v>4042 (citit)</v>
      </c>
      <c r="S239" s="647"/>
      <c r="T239" s="647"/>
      <c r="U239" s="647" t="str">
        <f>VLOOKUP(A239,'Incrementare indexe'!$D:$M,10,FALSE)&amp;" (estimat)"</f>
        <v>4042 (estimat)</v>
      </c>
      <c r="V239" s="647"/>
      <c r="W239" s="647"/>
      <c r="X239" s="647" t="str">
        <f>VLOOKUP(A239,'Incrementare indexe'!$D:$Q,13,FALSE)&amp;" (estimat)"</f>
        <v>0 (estimat)</v>
      </c>
      <c r="Y239" s="647"/>
      <c r="Z239" s="647"/>
      <c r="AA239" s="647" t="s">
        <v>69</v>
      </c>
      <c r="AB239" s="647"/>
      <c r="AC239" s="647"/>
      <c r="AD239" s="647" t="s">
        <v>69</v>
      </c>
      <c r="AE239" s="647"/>
      <c r="AF239" s="647">
        <f>VLOOKUP(A239,'Incrementare indexe'!$D:$Q,13,FALSE)</f>
        <v>0</v>
      </c>
      <c r="AG239" s="647"/>
      <c r="AH239" s="647"/>
      <c r="AI239" s="647">
        <f>AI236</f>
        <v>31</v>
      </c>
      <c r="AJ239" s="647"/>
      <c r="AK239" s="647">
        <f>ROUND(AF239/AI239,2)</f>
        <v>0</v>
      </c>
      <c r="AL239" s="647"/>
      <c r="AM239" s="647"/>
    </row>
    <row r="240" spans="1:39" ht="14.1" customHeight="1">
      <c r="A240" s="717"/>
      <c r="B240" s="718"/>
      <c r="C240" s="718"/>
      <c r="D240" s="718"/>
      <c r="E240" s="718"/>
      <c r="F240" s="719"/>
      <c r="G240" s="648"/>
      <c r="H240" s="648"/>
      <c r="I240" s="648"/>
      <c r="J240" s="717" t="str">
        <f t="shared" si="14"/>
        <v>-</v>
      </c>
      <c r="K240" s="718"/>
      <c r="L240" s="719"/>
      <c r="M240" s="648"/>
      <c r="N240" s="648"/>
      <c r="O240" s="648"/>
      <c r="P240" s="648"/>
      <c r="Q240" s="648"/>
      <c r="R240" s="647"/>
      <c r="S240" s="647"/>
      <c r="T240" s="647"/>
      <c r="U240" s="647"/>
      <c r="V240" s="647"/>
      <c r="W240" s="647"/>
      <c r="X240" s="647"/>
      <c r="Y240" s="647"/>
      <c r="Z240" s="647"/>
      <c r="AA240" s="647"/>
      <c r="AB240" s="647"/>
      <c r="AC240" s="647"/>
      <c r="AD240" s="647"/>
      <c r="AE240" s="647"/>
      <c r="AF240" s="647"/>
      <c r="AG240" s="647"/>
      <c r="AH240" s="647"/>
      <c r="AI240" s="647"/>
      <c r="AJ240" s="647"/>
      <c r="AK240" s="647"/>
      <c r="AL240" s="647"/>
      <c r="AM240" s="647"/>
    </row>
    <row r="241" spans="1:39" ht="14.1" customHeight="1">
      <c r="A241" s="681"/>
      <c r="B241" s="682"/>
      <c r="C241" s="682"/>
      <c r="D241" s="682"/>
      <c r="E241" s="682"/>
      <c r="F241" s="683"/>
      <c r="G241" s="648"/>
      <c r="H241" s="648"/>
      <c r="I241" s="648"/>
      <c r="J241" s="714">
        <f t="shared" si="14"/>
        <v>45808</v>
      </c>
      <c r="K241" s="715"/>
      <c r="L241" s="716"/>
      <c r="M241" s="648"/>
      <c r="N241" s="648"/>
      <c r="O241" s="648"/>
      <c r="P241" s="648"/>
      <c r="Q241" s="648"/>
      <c r="R241" s="647"/>
      <c r="S241" s="647"/>
      <c r="T241" s="647"/>
      <c r="U241" s="647"/>
      <c r="V241" s="647"/>
      <c r="W241" s="647"/>
      <c r="X241" s="647"/>
      <c r="Y241" s="647"/>
      <c r="Z241" s="647"/>
      <c r="AA241" s="647"/>
      <c r="AB241" s="647"/>
      <c r="AC241" s="647"/>
      <c r="AD241" s="647"/>
      <c r="AE241" s="647"/>
      <c r="AF241" s="647"/>
      <c r="AG241" s="647"/>
      <c r="AH241" s="647"/>
      <c r="AI241" s="647"/>
      <c r="AJ241" s="647"/>
      <c r="AK241" s="647"/>
      <c r="AL241" s="647"/>
      <c r="AM241" s="647"/>
    </row>
    <row r="242" spans="1:39" ht="14.1" customHeight="1"/>
    <row r="243" spans="1:39" ht="14.1" customHeight="1"/>
    <row r="244" spans="1:39" ht="14.1" customHeight="1">
      <c r="A244" s="695" t="s">
        <v>858</v>
      </c>
      <c r="B244" s="695"/>
      <c r="C244" s="695"/>
      <c r="D244" s="695"/>
      <c r="E244" s="695"/>
      <c r="F244" s="695"/>
      <c r="G244" s="695"/>
      <c r="H244" s="695" t="str">
        <f>VLOOKUP($AA$16,'Date SPV'!$B:$H,4,FALSE)</f>
        <v>Calea Zarandului, nr. 87, Deva, jud. Hunedoara</v>
      </c>
      <c r="I244" s="695"/>
      <c r="J244" s="695"/>
      <c r="K244" s="695"/>
      <c r="L244" s="695"/>
      <c r="M244" s="695"/>
      <c r="N244" s="695"/>
      <c r="O244" s="695"/>
      <c r="P244" s="695"/>
      <c r="Q244" s="695"/>
      <c r="R244" s="695"/>
      <c r="S244" s="695"/>
      <c r="T244" s="695"/>
      <c r="U244" s="695"/>
      <c r="V244" s="695"/>
      <c r="W244" s="695"/>
      <c r="X244" s="695"/>
      <c r="Y244" s="695"/>
      <c r="Z244" s="695"/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</row>
    <row r="245" spans="1:39" ht="14.1" customHeight="1">
      <c r="A245" s="695"/>
      <c r="B245" s="695"/>
      <c r="C245" s="695"/>
      <c r="D245" s="695"/>
      <c r="E245" s="695"/>
      <c r="F245" s="695"/>
      <c r="G245" s="695"/>
      <c r="H245" s="695"/>
      <c r="I245" s="695"/>
      <c r="J245" s="695"/>
      <c r="K245" s="695"/>
      <c r="L245" s="695"/>
      <c r="M245" s="695"/>
      <c r="N245" s="695"/>
      <c r="O245" s="695"/>
      <c r="P245" s="695"/>
      <c r="Q245" s="695"/>
      <c r="R245" s="695"/>
      <c r="S245" s="695"/>
      <c r="T245" s="695"/>
      <c r="U245" s="695"/>
      <c r="V245" s="695"/>
      <c r="W245" s="695"/>
      <c r="X245" s="695"/>
      <c r="Y245" s="695"/>
      <c r="Z245" s="695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</row>
    <row r="246" spans="1:39" ht="14.1" customHeight="1">
      <c r="A246" s="695" t="s">
        <v>859</v>
      </c>
      <c r="B246" s="695"/>
      <c r="C246" s="695"/>
      <c r="D246" s="695"/>
      <c r="E246" s="695"/>
      <c r="F246" s="695"/>
      <c r="G246" s="695"/>
      <c r="H246" s="712">
        <f>VLOOKUP(AA246,'Date masura OD'!$G:$BE,51,FALSE)</f>
        <v>5000252874</v>
      </c>
      <c r="I246" s="712"/>
      <c r="J246" s="712"/>
      <c r="K246" s="712"/>
      <c r="L246" s="712"/>
      <c r="M246" s="712"/>
      <c r="N246" s="712"/>
      <c r="O246" s="712"/>
      <c r="P246" s="712"/>
      <c r="Q246" s="712"/>
      <c r="R246" s="712"/>
      <c r="S246" s="712"/>
      <c r="T246" s="712"/>
      <c r="U246" s="712"/>
      <c r="V246" s="712"/>
      <c r="W246" s="712" t="s">
        <v>860</v>
      </c>
      <c r="X246" s="712"/>
      <c r="Y246" s="712"/>
      <c r="Z246" s="712"/>
      <c r="AA246" s="640" t="str">
        <f>_xlfn.CONCAT($AA$16,"_",3)</f>
        <v>RDSC_3</v>
      </c>
      <c r="AB246" s="640"/>
      <c r="AC246" s="640"/>
      <c r="AD246" s="640"/>
      <c r="AE246" s="640"/>
      <c r="AF246" s="640"/>
      <c r="AG246" s="640"/>
      <c r="AH246" s="640"/>
      <c r="AI246" s="640"/>
      <c r="AJ246" s="640"/>
      <c r="AK246" s="640"/>
      <c r="AL246" s="640"/>
      <c r="AM246" s="640"/>
    </row>
    <row r="247" spans="1:39" ht="14.1" customHeight="1">
      <c r="A247" s="695"/>
      <c r="B247" s="695"/>
      <c r="C247" s="695"/>
      <c r="D247" s="695"/>
      <c r="E247" s="695"/>
      <c r="F247" s="695"/>
      <c r="G247" s="695"/>
      <c r="H247" s="712"/>
      <c r="I247" s="712"/>
      <c r="J247" s="712"/>
      <c r="K247" s="712"/>
      <c r="L247" s="712"/>
      <c r="M247" s="712"/>
      <c r="N247" s="712"/>
      <c r="O247" s="712"/>
      <c r="P247" s="712"/>
      <c r="Q247" s="712"/>
      <c r="R247" s="712"/>
      <c r="S247" s="712"/>
      <c r="T247" s="712"/>
      <c r="U247" s="712"/>
      <c r="V247" s="712"/>
      <c r="W247" s="712"/>
      <c r="X247" s="712"/>
      <c r="Y247" s="712"/>
      <c r="Z247" s="712"/>
      <c r="AA247" s="640"/>
      <c r="AB247" s="640"/>
      <c r="AC247" s="640"/>
      <c r="AD247" s="640"/>
      <c r="AE247" s="640"/>
      <c r="AF247" s="640"/>
      <c r="AG247" s="640"/>
      <c r="AH247" s="640"/>
      <c r="AI247" s="640"/>
      <c r="AJ247" s="640"/>
      <c r="AK247" s="640"/>
      <c r="AL247" s="640"/>
      <c r="AM247" s="640"/>
    </row>
    <row r="248" spans="1:39" ht="14.1" customHeight="1"/>
    <row r="249" spans="1:39" ht="14.1" customHeight="1">
      <c r="A249" s="649" t="s">
        <v>748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50" t="str">
        <f>VLOOKUP(AI250,'Contorizare in SDI'!$E:$I,4,FALSE)</f>
        <v>RO005E532220590/1</v>
      </c>
      <c r="N249" s="650"/>
      <c r="O249" s="650"/>
      <c r="P249" s="650"/>
      <c r="Q249" s="650"/>
      <c r="R249" s="650"/>
      <c r="S249" s="650"/>
      <c r="T249" s="650"/>
      <c r="U249" s="650"/>
      <c r="V249" s="650"/>
      <c r="W249" s="650"/>
      <c r="X249" s="650"/>
      <c r="Y249" s="650"/>
      <c r="Z249" s="650"/>
      <c r="AA249" s="650"/>
      <c r="AB249" s="650"/>
      <c r="AC249" s="650"/>
      <c r="AD249" s="650"/>
      <c r="AE249" s="650"/>
      <c r="AF249" s="650"/>
      <c r="AG249" s="650"/>
      <c r="AH249" s="650"/>
      <c r="AI249" s="650" t="s">
        <v>695</v>
      </c>
      <c r="AJ249" s="650"/>
      <c r="AK249" s="650"/>
      <c r="AL249" s="650"/>
      <c r="AM249" s="650"/>
    </row>
    <row r="250" spans="1:39" ht="14.1" customHeight="1">
      <c r="A250" s="649" t="s">
        <v>746</v>
      </c>
      <c r="B250" s="649"/>
      <c r="C250" s="649"/>
      <c r="D250" s="649"/>
      <c r="E250" s="649"/>
      <c r="F250" s="649"/>
      <c r="G250" s="649"/>
      <c r="H250" s="649"/>
      <c r="I250" s="649"/>
      <c r="J250" s="649"/>
      <c r="K250" s="649"/>
      <c r="L250" s="649"/>
      <c r="M250" s="650" t="str">
        <f>VLOOKUP(AI250,'Inchidere contur'!$G:$U,15,FALSE)</f>
        <v>JT_SDI</v>
      </c>
      <c r="N250" s="650"/>
      <c r="O250" s="650"/>
      <c r="P250" s="650"/>
      <c r="Q250" s="650"/>
      <c r="R250" s="650"/>
      <c r="S250" s="650"/>
      <c r="T250" s="650"/>
      <c r="U250" s="650"/>
      <c r="V250" s="650"/>
      <c r="W250" s="650"/>
      <c r="X250" s="650"/>
      <c r="Y250" s="650"/>
      <c r="Z250" s="650"/>
      <c r="AA250" s="650"/>
      <c r="AB250" s="650"/>
      <c r="AC250" s="650"/>
      <c r="AD250" s="650"/>
      <c r="AE250" s="650"/>
      <c r="AF250" s="650"/>
      <c r="AG250" s="650"/>
      <c r="AH250" s="650"/>
      <c r="AI250" s="619" t="str">
        <f>_xlfn.CONCAT(AA246,".",1)</f>
        <v>RDSC_3.1</v>
      </c>
      <c r="AJ250" s="619"/>
      <c r="AK250" s="619"/>
      <c r="AL250" s="619"/>
      <c r="AM250" s="619"/>
    </row>
    <row r="251" spans="1:39" ht="14.1" customHeight="1">
      <c r="A251" s="649" t="s">
        <v>747</v>
      </c>
      <c r="B251" s="649"/>
      <c r="C251" s="649"/>
      <c r="D251" s="649"/>
      <c r="E251" s="649"/>
      <c r="F251" s="649"/>
      <c r="G251" s="649"/>
      <c r="H251" s="649"/>
      <c r="I251" s="649"/>
      <c r="J251" s="649"/>
      <c r="K251" s="649"/>
      <c r="L251" s="649"/>
      <c r="M251" s="650" t="str">
        <f>IF(LEFT(M250,2)="JT","0.4kV",IF(LEFT(M250,2)="MT","20kV","-"))</f>
        <v>0.4kV</v>
      </c>
      <c r="N251" s="650"/>
      <c r="O251" s="650"/>
      <c r="P251" s="650"/>
      <c r="Q251" s="650"/>
      <c r="R251" s="650"/>
      <c r="S251" s="650"/>
      <c r="T251" s="650"/>
      <c r="U251" s="650"/>
      <c r="V251" s="650"/>
      <c r="W251" s="650"/>
      <c r="X251" s="650"/>
      <c r="Y251" s="650"/>
      <c r="Z251" s="650"/>
      <c r="AA251" s="650"/>
      <c r="AB251" s="650"/>
      <c r="AC251" s="650"/>
      <c r="AD251" s="650"/>
      <c r="AE251" s="650"/>
      <c r="AF251" s="650"/>
      <c r="AG251" s="650"/>
      <c r="AH251" s="650"/>
      <c r="AI251" s="619"/>
      <c r="AJ251" s="619"/>
      <c r="AK251" s="619"/>
      <c r="AL251" s="619"/>
      <c r="AM251" s="619"/>
    </row>
    <row r="252" spans="1:39" ht="14.1" customHeight="1">
      <c r="A252" s="648" t="s">
        <v>697</v>
      </c>
      <c r="B252" s="648"/>
      <c r="C252" s="648"/>
      <c r="D252" s="648"/>
      <c r="E252" s="648"/>
      <c r="F252" s="648"/>
      <c r="G252" s="647" t="s">
        <v>713</v>
      </c>
      <c r="H252" s="647"/>
      <c r="I252" s="647"/>
      <c r="J252" s="647" t="s">
        <v>714</v>
      </c>
      <c r="K252" s="647"/>
      <c r="L252" s="647"/>
      <c r="M252" s="648" t="s">
        <v>519</v>
      </c>
      <c r="N252" s="648"/>
      <c r="O252" s="648" t="s">
        <v>715</v>
      </c>
      <c r="P252" s="648"/>
      <c r="Q252" s="648"/>
      <c r="R252" s="647" t="s">
        <v>732</v>
      </c>
      <c r="S252" s="647"/>
      <c r="T252" s="647"/>
      <c r="U252" s="647" t="s">
        <v>734</v>
      </c>
      <c r="V252" s="647"/>
      <c r="W252" s="647"/>
      <c r="X252" s="647" t="s">
        <v>1085</v>
      </c>
      <c r="Y252" s="647"/>
      <c r="Z252" s="647"/>
      <c r="AA252" s="647" t="s">
        <v>1086</v>
      </c>
      <c r="AB252" s="647"/>
      <c r="AC252" s="647"/>
      <c r="AD252" s="647" t="s">
        <v>717</v>
      </c>
      <c r="AE252" s="647"/>
      <c r="AF252" s="647" t="s">
        <v>718</v>
      </c>
      <c r="AG252" s="647"/>
      <c r="AH252" s="647"/>
      <c r="AI252" s="647" t="s">
        <v>719</v>
      </c>
      <c r="AJ252" s="647"/>
      <c r="AK252" s="647" t="s">
        <v>733</v>
      </c>
      <c r="AL252" s="647"/>
      <c r="AM252" s="647"/>
    </row>
    <row r="253" spans="1:39" ht="14.1" customHeight="1">
      <c r="A253" s="648"/>
      <c r="B253" s="648"/>
      <c r="C253" s="648"/>
      <c r="D253" s="648"/>
      <c r="E253" s="648"/>
      <c r="F253" s="648"/>
      <c r="G253" s="647"/>
      <c r="H253" s="647"/>
      <c r="I253" s="647"/>
      <c r="J253" s="647"/>
      <c r="K253" s="647"/>
      <c r="L253" s="647"/>
      <c r="M253" s="648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48"/>
      <c r="B254" s="648"/>
      <c r="C254" s="648"/>
      <c r="D254" s="648"/>
      <c r="E254" s="648"/>
      <c r="F254" s="648"/>
      <c r="G254" s="647"/>
      <c r="H254" s="647"/>
      <c r="I254" s="647"/>
      <c r="J254" s="713"/>
      <c r="K254" s="713"/>
      <c r="L254" s="713"/>
      <c r="M254" s="648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78">
        <f>VLOOKUP(AI250,'Contorizare in SDI'!$E:$I,5,FALSE)</f>
        <v>1372655772</v>
      </c>
      <c r="B255" s="679"/>
      <c r="C255" s="679"/>
      <c r="D255" s="679"/>
      <c r="E255" s="679"/>
      <c r="F255" s="680"/>
      <c r="G255" s="648" t="s">
        <v>730</v>
      </c>
      <c r="H255" s="648"/>
      <c r="I255" s="673"/>
      <c r="J255" s="655">
        <f>'Date masura OD'!$AK$5</f>
        <v>45748</v>
      </c>
      <c r="K255" s="656"/>
      <c r="L255" s="657"/>
      <c r="M255" s="720" t="s">
        <v>446</v>
      </c>
      <c r="N255" s="648"/>
      <c r="O255" s="648">
        <f>VLOOKUP(AI250,'Incrementare indexe'!$B:$T,4,FALSE)</f>
        <v>1</v>
      </c>
      <c r="P255" s="648"/>
      <c r="Q255" s="648"/>
      <c r="R255" s="647" t="str">
        <f>VLOOKUP(A255,Regularizare!$D:$YN,3,FALSE)&amp;" ("&amp;VLOOKUP(A255,Regularizare!$D:$Y,11,FALSE)&amp;")"</f>
        <v>1299002 (citit)</v>
      </c>
      <c r="S255" s="647"/>
      <c r="T255" s="647"/>
      <c r="U255" s="647" t="str">
        <f>VLOOKUP(A255,Regularizare!$D:$U,4,FALSE)&amp;" ("&amp;VLOOKUP(A255,Regularizare!$D:$U,12,FALSE)&amp;")"</f>
        <v>1325097 (estimat)</v>
      </c>
      <c r="V255" s="647"/>
      <c r="W255" s="647"/>
      <c r="X255" s="647" t="str">
        <f>VLOOKUP(A255,Regularizare!$D:$Y,19,FALSE)&amp;" ("&amp;VLOOKUP(A255,Regularizare!$D:$U,12,FALSE)&amp;")"</f>
        <v>26095 (estimat)</v>
      </c>
      <c r="Y255" s="647"/>
      <c r="Z255" s="647"/>
      <c r="AA255" s="647">
        <f>(-1)*VLOOKUP(A255,Regularizare!$D:$Y,19,FALSE)</f>
        <v>-26095</v>
      </c>
      <c r="AB255" s="647"/>
      <c r="AC255" s="647"/>
      <c r="AD255" s="647" t="s">
        <v>69</v>
      </c>
      <c r="AE255" s="647"/>
      <c r="AF255" s="647">
        <f>AA255</f>
        <v>-26095</v>
      </c>
      <c r="AG255" s="647"/>
      <c r="AH255" s="647"/>
      <c r="AI255" s="647" t="s">
        <v>69</v>
      </c>
      <c r="AJ255" s="647"/>
      <c r="AK255" s="647" t="s">
        <v>69</v>
      </c>
      <c r="AL255" s="647"/>
      <c r="AM255" s="647"/>
    </row>
    <row r="256" spans="1:39" ht="14.1" customHeight="1">
      <c r="A256" s="717"/>
      <c r="B256" s="718"/>
      <c r="C256" s="718"/>
      <c r="D256" s="718"/>
      <c r="E256" s="718"/>
      <c r="F256" s="719"/>
      <c r="G256" s="648"/>
      <c r="H256" s="648"/>
      <c r="I256" s="673"/>
      <c r="J256" s="717" t="s">
        <v>69</v>
      </c>
      <c r="K256" s="718"/>
      <c r="L256" s="719"/>
      <c r="M256" s="720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1"/>
      <c r="B257" s="682"/>
      <c r="C257" s="682"/>
      <c r="D257" s="682"/>
      <c r="E257" s="682"/>
      <c r="F257" s="683"/>
      <c r="G257" s="648"/>
      <c r="H257" s="648"/>
      <c r="I257" s="673"/>
      <c r="J257" s="714">
        <f>'Date masura OD'!$AL$5</f>
        <v>45777</v>
      </c>
      <c r="K257" s="715"/>
      <c r="L257" s="716"/>
      <c r="M257" s="720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78">
        <f>A255</f>
        <v>1372655772</v>
      </c>
      <c r="B258" s="679"/>
      <c r="C258" s="679"/>
      <c r="D258" s="679"/>
      <c r="E258" s="679"/>
      <c r="F258" s="680"/>
      <c r="G258" s="648" t="s">
        <v>696</v>
      </c>
      <c r="H258" s="648"/>
      <c r="I258" s="648"/>
      <c r="J258" s="655">
        <f t="shared" ref="J258:J263" si="15">J255</f>
        <v>45748</v>
      </c>
      <c r="K258" s="656"/>
      <c r="L258" s="657"/>
      <c r="M258" s="648" t="s">
        <v>720</v>
      </c>
      <c r="N258" s="648"/>
      <c r="O258" s="648">
        <f>O255</f>
        <v>1</v>
      </c>
      <c r="P258" s="648"/>
      <c r="Q258" s="648"/>
      <c r="R258" s="647" t="str">
        <f>VLOOKUP(A258,Regularizare!$D:$U,7,FALSE)&amp;" ("&amp;VLOOKUP(A258,Regularizare!$D:$U,15,FALSE)&amp;")"</f>
        <v>170961 (citit)</v>
      </c>
      <c r="S258" s="647"/>
      <c r="T258" s="647"/>
      <c r="U258" s="647" t="str">
        <f>VLOOKUP(A258,Regularizare!$D:$U,8,FALSE)&amp;" ("&amp;VLOOKUP(A258,Regularizare!$D:$U,16,FALSE)&amp;")"</f>
        <v>170961 (estimat)</v>
      </c>
      <c r="V258" s="647"/>
      <c r="W258" s="647"/>
      <c r="X258" s="647" t="str">
        <f>_xlfn.CONCAT(VLOOKUP(A258,Regularizare!$D:$U,8,FALSE)-VLOOKUP(A258,Regularizare!$D:$U,7,FALSE)," (",VLOOKUP(A258,Regularizare!$D:$U,16,FALSE),")")</f>
        <v>0 (estimat)</v>
      </c>
      <c r="Y258" s="647"/>
      <c r="Z258" s="647"/>
      <c r="AA258" s="647">
        <f>IF(VLOOKUP(A258,Regularizare!$D:$Y,21,FALSE)=0,VLOOKUP(A258,Regularizare!$D:$Y,21,FALSE),(-1)*VLOOKUP(A258,Regularizare!$D:$Y,21,FALSE))</f>
        <v>0</v>
      </c>
      <c r="AB258" s="647"/>
      <c r="AC258" s="647"/>
      <c r="AD258" s="647" t="s">
        <v>69</v>
      </c>
      <c r="AE258" s="647"/>
      <c r="AF258" s="647">
        <f>AA258</f>
        <v>0</v>
      </c>
      <c r="AG258" s="647"/>
      <c r="AH258" s="647"/>
      <c r="AI258" s="647" t="str">
        <f>AI255</f>
        <v>-</v>
      </c>
      <c r="AJ258" s="647"/>
      <c r="AK258" s="647" t="str">
        <f>AK255</f>
        <v>-</v>
      </c>
      <c r="AL258" s="647"/>
      <c r="AM258" s="647"/>
    </row>
    <row r="259" spans="1:39" ht="14.1" customHeight="1">
      <c r="A259" s="717"/>
      <c r="B259" s="718"/>
      <c r="C259" s="718"/>
      <c r="D259" s="718"/>
      <c r="E259" s="718"/>
      <c r="F259" s="719"/>
      <c r="G259" s="648"/>
      <c r="H259" s="648"/>
      <c r="I259" s="648"/>
      <c r="J259" s="717" t="str">
        <f t="shared" si="15"/>
        <v>-</v>
      </c>
      <c r="K259" s="718"/>
      <c r="L259" s="719"/>
      <c r="M259" s="648"/>
      <c r="N259" s="648"/>
      <c r="O259" s="648"/>
      <c r="P259" s="648"/>
      <c r="Q259" s="648"/>
      <c r="R259" s="647"/>
      <c r="S259" s="647"/>
      <c r="T259" s="647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1"/>
      <c r="B260" s="682"/>
      <c r="C260" s="682"/>
      <c r="D260" s="682"/>
      <c r="E260" s="682"/>
      <c r="F260" s="683"/>
      <c r="G260" s="648"/>
      <c r="H260" s="648"/>
      <c r="I260" s="648"/>
      <c r="J260" s="714">
        <f t="shared" si="15"/>
        <v>45777</v>
      </c>
      <c r="K260" s="715"/>
      <c r="L260" s="716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78">
        <f>A258</f>
        <v>1372655772</v>
      </c>
      <c r="B261" s="679"/>
      <c r="C261" s="679"/>
      <c r="D261" s="679"/>
      <c r="E261" s="679"/>
      <c r="F261" s="680"/>
      <c r="G261" s="648" t="s">
        <v>731</v>
      </c>
      <c r="H261" s="648"/>
      <c r="I261" s="648"/>
      <c r="J261" s="655">
        <f t="shared" si="15"/>
        <v>45748</v>
      </c>
      <c r="K261" s="656"/>
      <c r="L261" s="657"/>
      <c r="M261" s="648" t="s">
        <v>720</v>
      </c>
      <c r="N261" s="648"/>
      <c r="O261" s="648">
        <f>O258</f>
        <v>1</v>
      </c>
      <c r="P261" s="648"/>
      <c r="Q261" s="648"/>
      <c r="R261" s="647" t="str">
        <f>VLOOKUP(A261,Regularizare!$D:$U,9,FALSE)&amp;" ("&amp;VLOOKUP(A261,Regularizare!$D:$U,17,FALSE)&amp;")"</f>
        <v>138991 (citit)</v>
      </c>
      <c r="S261" s="647"/>
      <c r="T261" s="647"/>
      <c r="U261" s="647" t="str">
        <f>VLOOKUP(A261,Regularizare!$D:$U,10,FALSE)&amp;" ("&amp;VLOOKUP(A261,Regularizare!$D:$U,18,FALSE)&amp;")"</f>
        <v>138991 (estimat)</v>
      </c>
      <c r="V261" s="647"/>
      <c r="W261" s="647"/>
      <c r="X261" s="647" t="str">
        <f>_xlfn.CONCAT(VLOOKUP(A261,Regularizare!$D:$U,10,FALSE)-VLOOKUP(A261,Regularizare!$D:$U,9,FALSE)," (",VLOOKUP(A261,Regularizare!$D:$U,18,FALSE),")")</f>
        <v>0 (estimat)</v>
      </c>
      <c r="Y261" s="647"/>
      <c r="Z261" s="647"/>
      <c r="AA261" s="647">
        <f>IF(VLOOKUP(A261,Regularizare!$D:$Y,22,FALSE)=0,VLOOKUP(A261,Regularizare!$D:$Y,22,FALSE),(-1)*VLOOKUP(A261,Regularizare!$D:$Y,22,FALSE))</f>
        <v>0</v>
      </c>
      <c r="AB261" s="647"/>
      <c r="AC261" s="647"/>
      <c r="AD261" s="647" t="s">
        <v>69</v>
      </c>
      <c r="AE261" s="647"/>
      <c r="AF261" s="647">
        <f>AA261</f>
        <v>0</v>
      </c>
      <c r="AG261" s="647"/>
      <c r="AH261" s="647"/>
      <c r="AI261" s="647" t="str">
        <f>AI258</f>
        <v>-</v>
      </c>
      <c r="AJ261" s="647"/>
      <c r="AK261" s="647" t="str">
        <f>AK258</f>
        <v>-</v>
      </c>
      <c r="AL261" s="647"/>
      <c r="AM261" s="647"/>
    </row>
    <row r="262" spans="1:39" ht="14.1" customHeight="1">
      <c r="A262" s="717"/>
      <c r="B262" s="718"/>
      <c r="C262" s="718"/>
      <c r="D262" s="718"/>
      <c r="E262" s="718"/>
      <c r="F262" s="719"/>
      <c r="G262" s="648"/>
      <c r="H262" s="648"/>
      <c r="I262" s="648"/>
      <c r="J262" s="717" t="str">
        <f t="shared" si="15"/>
        <v>-</v>
      </c>
      <c r="K262" s="718"/>
      <c r="L262" s="719"/>
      <c r="M262" s="648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1"/>
      <c r="B263" s="682"/>
      <c r="C263" s="682"/>
      <c r="D263" s="682"/>
      <c r="E263" s="682"/>
      <c r="F263" s="683"/>
      <c r="G263" s="648"/>
      <c r="H263" s="648"/>
      <c r="I263" s="648"/>
      <c r="J263" s="714">
        <f t="shared" si="15"/>
        <v>45777</v>
      </c>
      <c r="K263" s="715"/>
      <c r="L263" s="716"/>
      <c r="M263" s="648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78">
        <f>A261</f>
        <v>1372655772</v>
      </c>
      <c r="B264" s="679"/>
      <c r="C264" s="679"/>
      <c r="D264" s="679"/>
      <c r="E264" s="679"/>
      <c r="F264" s="680"/>
      <c r="G264" s="648" t="s">
        <v>730</v>
      </c>
      <c r="H264" s="648"/>
      <c r="I264" s="673"/>
      <c r="J264" s="655">
        <f>'Date masura OD'!$AK$5</f>
        <v>45748</v>
      </c>
      <c r="K264" s="656"/>
      <c r="L264" s="657"/>
      <c r="M264" s="720" t="s">
        <v>446</v>
      </c>
      <c r="N264" s="648"/>
      <c r="O264" s="648">
        <f>O261</f>
        <v>1</v>
      </c>
      <c r="P264" s="648"/>
      <c r="Q264" s="648"/>
      <c r="R264" s="647" t="str">
        <f>VLOOKUP(A264,Regularizare!$D:$AX,23,FALSE)&amp;" ("&amp;VLOOKUP(A264,Regularizare!$D:$AX,24,FALSE)&amp;")"</f>
        <v>1299002 (citit)</v>
      </c>
      <c r="S264" s="647"/>
      <c r="T264" s="647"/>
      <c r="U264" s="647" t="str">
        <f>VLOOKUP(A264,Regularizare!$D:$AX,25,FALSE)&amp;" ("&amp;VLOOKUP(A264,Regularizare!$D:$AX,26,FALSE)&amp;")"</f>
        <v>1325097 (citit)</v>
      </c>
      <c r="V264" s="647"/>
      <c r="W264" s="647"/>
      <c r="X264" s="647" t="str">
        <f>VLOOKUP(A264,Regularizare!$D:$AX,37,FALSE)&amp;" ("&amp;VLOOKUP(A264,Regularizare!$D:$AX,26,FALSE)&amp;")"</f>
        <v>26095 (citit)</v>
      </c>
      <c r="Y264" s="647"/>
      <c r="Z264" s="647"/>
      <c r="AA264" s="647">
        <f>VLOOKUP(A264,Regularizare!$D:$AX,37,FALSE)</f>
        <v>26095</v>
      </c>
      <c r="AB264" s="647"/>
      <c r="AC264" s="647"/>
      <c r="AD264" s="647" t="s">
        <v>69</v>
      </c>
      <c r="AE264" s="647"/>
      <c r="AF264" s="647">
        <f>AA264</f>
        <v>26095</v>
      </c>
      <c r="AG264" s="647"/>
      <c r="AH264" s="647"/>
      <c r="AI264" s="647" t="str">
        <f>AI261</f>
        <v>-</v>
      </c>
      <c r="AJ264" s="647"/>
      <c r="AK264" s="647" t="str">
        <f>AK261</f>
        <v>-</v>
      </c>
      <c r="AL264" s="647"/>
      <c r="AM264" s="647"/>
    </row>
    <row r="265" spans="1:39" ht="14.1" customHeight="1">
      <c r="A265" s="717"/>
      <c r="B265" s="718"/>
      <c r="C265" s="718"/>
      <c r="D265" s="718"/>
      <c r="E265" s="718"/>
      <c r="F265" s="719"/>
      <c r="G265" s="648"/>
      <c r="H265" s="648"/>
      <c r="I265" s="673"/>
      <c r="J265" s="717" t="s">
        <v>69</v>
      </c>
      <c r="K265" s="718"/>
      <c r="L265" s="719"/>
      <c r="M265" s="720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1"/>
      <c r="B266" s="682"/>
      <c r="C266" s="682"/>
      <c r="D266" s="682"/>
      <c r="E266" s="682"/>
      <c r="F266" s="683"/>
      <c r="G266" s="648"/>
      <c r="H266" s="648"/>
      <c r="I266" s="673"/>
      <c r="J266" s="714">
        <f>'Date masura OD'!$AL$5</f>
        <v>45777</v>
      </c>
      <c r="K266" s="715"/>
      <c r="L266" s="716"/>
      <c r="M266" s="720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78">
        <f>A264</f>
        <v>1372655772</v>
      </c>
      <c r="B267" s="679"/>
      <c r="C267" s="679"/>
      <c r="D267" s="679"/>
      <c r="E267" s="679"/>
      <c r="F267" s="680"/>
      <c r="G267" s="648" t="s">
        <v>696</v>
      </c>
      <c r="H267" s="648"/>
      <c r="I267" s="648"/>
      <c r="J267" s="655">
        <f t="shared" ref="J267:J272" si="16">J264</f>
        <v>45748</v>
      </c>
      <c r="K267" s="656"/>
      <c r="L267" s="657"/>
      <c r="M267" s="648" t="s">
        <v>720</v>
      </c>
      <c r="N267" s="648"/>
      <c r="O267" s="648">
        <f>O264</f>
        <v>1</v>
      </c>
      <c r="P267" s="648"/>
      <c r="Q267" s="648"/>
      <c r="R267" s="647" t="str">
        <f>VLOOKUP(A267,Regularizare!$D:$AX,29,FALSE)&amp;" ("&amp;VLOOKUP(A267,Regularizare!$D:$AX,30,FALSE)&amp;")"</f>
        <v>170961 (citit)</v>
      </c>
      <c r="S267" s="647"/>
      <c r="T267" s="647"/>
      <c r="U267" s="647" t="str">
        <f>VLOOKUP(A267,Regularizare!$D:$AX,31,FALSE)&amp;" ("&amp;VLOOKUP(A267,Regularizare!$D:$AX,32,FALSE)&amp;")"</f>
        <v>172035 (citit)</v>
      </c>
      <c r="V267" s="647"/>
      <c r="W267" s="647"/>
      <c r="X267" s="647" t="str">
        <f>VLOOKUP(A267,Regularizare!$D:$AX,39,FALSE)&amp;" ("&amp;VLOOKUP(A267,Regularizare!$D:$AX,32,FALSE)&amp;")"</f>
        <v>1074 (citit)</v>
      </c>
      <c r="Y267" s="647"/>
      <c r="Z267" s="647"/>
      <c r="AA267" s="647">
        <f>VLOOKUP(A267,Regularizare!$D:$AX,44,FALSE)+VLOOKUP(A267,Regularizare!$D:$AX,45,FALSE)</f>
        <v>1074</v>
      </c>
      <c r="AB267" s="647"/>
      <c r="AC267" s="647"/>
      <c r="AD267" s="647" t="s">
        <v>69</v>
      </c>
      <c r="AE267" s="647"/>
      <c r="AF267" s="647">
        <f>AA267</f>
        <v>1074</v>
      </c>
      <c r="AG267" s="647"/>
      <c r="AH267" s="647"/>
      <c r="AI267" s="647" t="str">
        <f>AI264</f>
        <v>-</v>
      </c>
      <c r="AJ267" s="647"/>
      <c r="AK267" s="647" t="str">
        <f>AK264</f>
        <v>-</v>
      </c>
      <c r="AL267" s="647"/>
      <c r="AM267" s="647"/>
    </row>
    <row r="268" spans="1:39" ht="14.1" customHeight="1">
      <c r="A268" s="717"/>
      <c r="B268" s="718"/>
      <c r="C268" s="718"/>
      <c r="D268" s="718"/>
      <c r="E268" s="718"/>
      <c r="F268" s="719"/>
      <c r="G268" s="648"/>
      <c r="H268" s="648"/>
      <c r="I268" s="648"/>
      <c r="J268" s="717" t="str">
        <f t="shared" si="16"/>
        <v>-</v>
      </c>
      <c r="K268" s="718"/>
      <c r="L268" s="719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1"/>
      <c r="B269" s="682"/>
      <c r="C269" s="682"/>
      <c r="D269" s="682"/>
      <c r="E269" s="682"/>
      <c r="F269" s="683"/>
      <c r="G269" s="648"/>
      <c r="H269" s="648"/>
      <c r="I269" s="648"/>
      <c r="J269" s="714">
        <f t="shared" si="16"/>
        <v>45777</v>
      </c>
      <c r="K269" s="715"/>
      <c r="L269" s="716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78">
        <f>A267</f>
        <v>1372655772</v>
      </c>
      <c r="B270" s="679"/>
      <c r="C270" s="679"/>
      <c r="D270" s="679"/>
      <c r="E270" s="679"/>
      <c r="F270" s="680"/>
      <c r="G270" s="648" t="s">
        <v>731</v>
      </c>
      <c r="H270" s="648"/>
      <c r="I270" s="648"/>
      <c r="J270" s="655">
        <f t="shared" si="16"/>
        <v>45748</v>
      </c>
      <c r="K270" s="656"/>
      <c r="L270" s="657"/>
      <c r="M270" s="648" t="s">
        <v>720</v>
      </c>
      <c r="N270" s="648"/>
      <c r="O270" s="648">
        <f>O267</f>
        <v>1</v>
      </c>
      <c r="P270" s="648"/>
      <c r="Q270" s="648"/>
      <c r="R270" s="647" t="str">
        <f>VLOOKUP(A270,Regularizare!$D:$AX,33,FALSE)&amp;" ("&amp;VLOOKUP(A270,Regularizare!$D:$AX,34,FALSE)&amp;")"</f>
        <v>138991 (citit)</v>
      </c>
      <c r="S270" s="647"/>
      <c r="T270" s="647"/>
      <c r="U270" s="647" t="str">
        <f>VLOOKUP(A270,Regularizare!$D:$AX,35,FALSE)&amp;" ("&amp;VLOOKUP(A270,Regularizare!$D:$AX,36,FALSE)&amp;")"</f>
        <v>138991 (citit)</v>
      </c>
      <c r="V270" s="647"/>
      <c r="W270" s="647"/>
      <c r="X270" s="647" t="str">
        <f>VLOOKUP(A270,Regularizare!$D:$AX,40,FALSE)&amp;" ("&amp;VLOOKUP(A270,Regularizare!$D:$AX,36,FALSE)&amp;")"</f>
        <v>0 (citit)</v>
      </c>
      <c r="Y270" s="647"/>
      <c r="Z270" s="647"/>
      <c r="AA270" s="647">
        <f>VLOOKUP(A270,Regularizare!$D:$AX,46,FALSE)+VLOOKUP(A270,Regularizare!$D:$AX,47,FALSE)</f>
        <v>0</v>
      </c>
      <c r="AB270" s="647"/>
      <c r="AC270" s="647"/>
      <c r="AD270" s="647" t="s">
        <v>69</v>
      </c>
      <c r="AE270" s="647"/>
      <c r="AF270" s="647">
        <f>AA270</f>
        <v>0</v>
      </c>
      <c r="AG270" s="647"/>
      <c r="AH270" s="647"/>
      <c r="AI270" s="647" t="str">
        <f>AI267</f>
        <v>-</v>
      </c>
      <c r="AJ270" s="647"/>
      <c r="AK270" s="647" t="str">
        <f>AK267</f>
        <v>-</v>
      </c>
      <c r="AL270" s="647"/>
      <c r="AM270" s="647"/>
    </row>
    <row r="271" spans="1:39" ht="14.1" customHeight="1">
      <c r="A271" s="717"/>
      <c r="B271" s="718"/>
      <c r="C271" s="718"/>
      <c r="D271" s="718"/>
      <c r="E271" s="718"/>
      <c r="F271" s="719"/>
      <c r="G271" s="648"/>
      <c r="H271" s="648"/>
      <c r="I271" s="648"/>
      <c r="J271" s="717" t="str">
        <f t="shared" si="16"/>
        <v>-</v>
      </c>
      <c r="K271" s="718"/>
      <c r="L271" s="719"/>
      <c r="M271" s="648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>
      <c r="A272" s="681"/>
      <c r="B272" s="682"/>
      <c r="C272" s="682"/>
      <c r="D272" s="682"/>
      <c r="E272" s="682"/>
      <c r="F272" s="683"/>
      <c r="G272" s="648"/>
      <c r="H272" s="648"/>
      <c r="I272" s="648"/>
      <c r="J272" s="714">
        <f t="shared" si="16"/>
        <v>45777</v>
      </c>
      <c r="K272" s="715"/>
      <c r="L272" s="716"/>
      <c r="M272" s="648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spans="1:39" ht="14.1" customHeight="1">
      <c r="A273" s="678">
        <f>A270</f>
        <v>1372655772</v>
      </c>
      <c r="B273" s="679"/>
      <c r="C273" s="679"/>
      <c r="D273" s="679"/>
      <c r="E273" s="679"/>
      <c r="F273" s="680"/>
      <c r="G273" s="648" t="s">
        <v>730</v>
      </c>
      <c r="H273" s="648"/>
      <c r="I273" s="673"/>
      <c r="J273" s="655">
        <f>'Date masura OD'!$I$5</f>
        <v>45778</v>
      </c>
      <c r="K273" s="656"/>
      <c r="L273" s="657"/>
      <c r="M273" s="720" t="s">
        <v>446</v>
      </c>
      <c r="N273" s="648"/>
      <c r="O273" s="648">
        <f>O270</f>
        <v>1</v>
      </c>
      <c r="P273" s="648"/>
      <c r="Q273" s="648"/>
      <c r="R273" s="647" t="str">
        <f>U264</f>
        <v>1325097 (citit)</v>
      </c>
      <c r="S273" s="647"/>
      <c r="T273" s="647"/>
      <c r="U273" s="647" t="str">
        <f>VLOOKUP(A273,'Incrementare indexe'!$D:$M,4,FALSE)&amp;" (estimat)"</f>
        <v>1352170 (estimat)</v>
      </c>
      <c r="V273" s="647"/>
      <c r="W273" s="647"/>
      <c r="X273" s="647" t="str">
        <f>VLOOKUP(A273,'Incrementare indexe'!$D:$Q,11,FALSE)&amp;" (estimat)"</f>
        <v>27073 (estimat)</v>
      </c>
      <c r="Y273" s="647"/>
      <c r="Z273" s="647"/>
      <c r="AA273" s="647" t="s">
        <v>69</v>
      </c>
      <c r="AB273" s="647"/>
      <c r="AC273" s="647"/>
      <c r="AD273" s="647" t="s">
        <v>69</v>
      </c>
      <c r="AE273" s="647"/>
      <c r="AF273" s="647">
        <f>VLOOKUP(A273,'Incrementare indexe'!$D:$Q,11,FALSE)</f>
        <v>27073</v>
      </c>
      <c r="AG273" s="647"/>
      <c r="AH273" s="647"/>
      <c r="AI273" s="647">
        <f>J275-J273+1</f>
        <v>31</v>
      </c>
      <c r="AJ273" s="647"/>
      <c r="AK273" s="647">
        <f>ROUND(AF273/AI273,2)</f>
        <v>873.32</v>
      </c>
      <c r="AL273" s="647"/>
      <c r="AM273" s="647"/>
    </row>
    <row r="274" spans="1:39" ht="14.1" customHeight="1">
      <c r="A274" s="717"/>
      <c r="B274" s="718"/>
      <c r="C274" s="718"/>
      <c r="D274" s="718"/>
      <c r="E274" s="718"/>
      <c r="F274" s="719"/>
      <c r="G274" s="648"/>
      <c r="H274" s="648"/>
      <c r="I274" s="673"/>
      <c r="J274" s="717" t="s">
        <v>69</v>
      </c>
      <c r="K274" s="718"/>
      <c r="L274" s="719"/>
      <c r="M274" s="720"/>
      <c r="N274" s="648"/>
      <c r="O274" s="648"/>
      <c r="P274" s="648"/>
      <c r="Q274" s="648"/>
      <c r="R274" s="647"/>
      <c r="S274" s="647"/>
      <c r="T274" s="647"/>
      <c r="U274" s="647"/>
      <c r="V274" s="647"/>
      <c r="W274" s="647"/>
      <c r="X274" s="647"/>
      <c r="Y274" s="647"/>
      <c r="Z274" s="647"/>
      <c r="AA274" s="647"/>
      <c r="AB274" s="647"/>
      <c r="AC274" s="647"/>
      <c r="AD274" s="647"/>
      <c r="AE274" s="647"/>
      <c r="AF274" s="647"/>
      <c r="AG274" s="647"/>
      <c r="AH274" s="647"/>
      <c r="AI274" s="647"/>
      <c r="AJ274" s="647"/>
      <c r="AK274" s="647"/>
      <c r="AL274" s="647"/>
      <c r="AM274" s="647"/>
    </row>
    <row r="275" spans="1:39" ht="14.1" customHeight="1">
      <c r="A275" s="681"/>
      <c r="B275" s="682"/>
      <c r="C275" s="682"/>
      <c r="D275" s="682"/>
      <c r="E275" s="682"/>
      <c r="F275" s="683"/>
      <c r="G275" s="648"/>
      <c r="H275" s="648"/>
      <c r="I275" s="673"/>
      <c r="J275" s="714">
        <f>'Date masura OD'!$J$5</f>
        <v>45808</v>
      </c>
      <c r="K275" s="715"/>
      <c r="L275" s="716"/>
      <c r="M275" s="720"/>
      <c r="N275" s="648"/>
      <c r="O275" s="648"/>
      <c r="P275" s="648"/>
      <c r="Q275" s="648"/>
      <c r="R275" s="647"/>
      <c r="S275" s="647"/>
      <c r="T275" s="647"/>
      <c r="U275" s="647"/>
      <c r="V275" s="647"/>
      <c r="W275" s="647"/>
      <c r="X275" s="647"/>
      <c r="Y275" s="647"/>
      <c r="Z275" s="647"/>
      <c r="AA275" s="647"/>
      <c r="AB275" s="647"/>
      <c r="AC275" s="647"/>
      <c r="AD275" s="647"/>
      <c r="AE275" s="647"/>
      <c r="AF275" s="647"/>
      <c r="AG275" s="647"/>
      <c r="AH275" s="647"/>
      <c r="AI275" s="647"/>
      <c r="AJ275" s="647"/>
      <c r="AK275" s="647"/>
      <c r="AL275" s="647"/>
      <c r="AM275" s="647"/>
    </row>
    <row r="276" spans="1:39" ht="14.1" customHeight="1">
      <c r="A276" s="678">
        <f>A273</f>
        <v>1372655772</v>
      </c>
      <c r="B276" s="679"/>
      <c r="C276" s="679"/>
      <c r="D276" s="679"/>
      <c r="E276" s="679"/>
      <c r="F276" s="680"/>
      <c r="G276" s="648" t="s">
        <v>696</v>
      </c>
      <c r="H276" s="648"/>
      <c r="I276" s="648"/>
      <c r="J276" s="655">
        <f t="shared" ref="J276:J281" si="17">J273</f>
        <v>45778</v>
      </c>
      <c r="K276" s="656"/>
      <c r="L276" s="657"/>
      <c r="M276" s="648" t="s">
        <v>720</v>
      </c>
      <c r="N276" s="648"/>
      <c r="O276" s="648">
        <f>O273</f>
        <v>1</v>
      </c>
      <c r="P276" s="648"/>
      <c r="Q276" s="648"/>
      <c r="R276" s="647" t="str">
        <f>U267</f>
        <v>172035 (citit)</v>
      </c>
      <c r="S276" s="647"/>
      <c r="T276" s="647"/>
      <c r="U276" s="647" t="str">
        <f>VLOOKUP(A276,'Incrementare indexe'!$D:$M,8,FALSE)&amp;" (estimat)"</f>
        <v>172035 (estimat)</v>
      </c>
      <c r="V276" s="647"/>
      <c r="W276" s="647"/>
      <c r="X276" s="647" t="str">
        <f>VLOOKUP(A276,'Incrementare indexe'!$D:$Q,12,FALSE)&amp;" (estimat)"</f>
        <v>0 (estimat)</v>
      </c>
      <c r="Y276" s="647"/>
      <c r="Z276" s="647"/>
      <c r="AA276" s="647" t="s">
        <v>69</v>
      </c>
      <c r="AB276" s="647"/>
      <c r="AC276" s="647"/>
      <c r="AD276" s="647" t="s">
        <v>69</v>
      </c>
      <c r="AE276" s="647"/>
      <c r="AF276" s="647">
        <f>VLOOKUP(A276,'Incrementare indexe'!$D:$Q,12,FALSE)</f>
        <v>0</v>
      </c>
      <c r="AG276" s="647"/>
      <c r="AH276" s="647"/>
      <c r="AI276" s="647">
        <f>AI273</f>
        <v>31</v>
      </c>
      <c r="AJ276" s="647"/>
      <c r="AK276" s="647">
        <f>ROUND(AF276/AI276,2)</f>
        <v>0</v>
      </c>
      <c r="AL276" s="647"/>
      <c r="AM276" s="647"/>
    </row>
    <row r="277" spans="1:39" ht="14.1" customHeight="1">
      <c r="A277" s="717"/>
      <c r="B277" s="718"/>
      <c r="C277" s="718"/>
      <c r="D277" s="718"/>
      <c r="E277" s="718"/>
      <c r="F277" s="719"/>
      <c r="G277" s="648"/>
      <c r="H277" s="648"/>
      <c r="I277" s="648"/>
      <c r="J277" s="717" t="str">
        <f t="shared" si="17"/>
        <v>-</v>
      </c>
      <c r="K277" s="718"/>
      <c r="L277" s="719"/>
      <c r="M277" s="648"/>
      <c r="N277" s="648"/>
      <c r="O277" s="648"/>
      <c r="P277" s="648"/>
      <c r="Q277" s="648"/>
      <c r="R277" s="647"/>
      <c r="S277" s="647"/>
      <c r="T277" s="647"/>
      <c r="U277" s="647"/>
      <c r="V277" s="647"/>
      <c r="W277" s="647"/>
      <c r="X277" s="647"/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647"/>
      <c r="AL277" s="647"/>
      <c r="AM277" s="647"/>
    </row>
    <row r="278" spans="1:39" ht="14.1" customHeight="1">
      <c r="A278" s="681"/>
      <c r="B278" s="682"/>
      <c r="C278" s="682"/>
      <c r="D278" s="682"/>
      <c r="E278" s="682"/>
      <c r="F278" s="683"/>
      <c r="G278" s="648"/>
      <c r="H278" s="648"/>
      <c r="I278" s="648"/>
      <c r="J278" s="714">
        <f t="shared" si="17"/>
        <v>45808</v>
      </c>
      <c r="K278" s="715"/>
      <c r="L278" s="716"/>
      <c r="M278" s="648"/>
      <c r="N278" s="648"/>
      <c r="O278" s="648"/>
      <c r="P278" s="648"/>
      <c r="Q278" s="648"/>
      <c r="R278" s="647"/>
      <c r="S278" s="647"/>
      <c r="T278" s="647"/>
      <c r="U278" s="647"/>
      <c r="V278" s="647"/>
      <c r="W278" s="647"/>
      <c r="X278" s="647"/>
      <c r="Y278" s="647"/>
      <c r="Z278" s="647"/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</row>
    <row r="279" spans="1:39" ht="14.1" customHeight="1">
      <c r="A279" s="678">
        <f>A276</f>
        <v>1372655772</v>
      </c>
      <c r="B279" s="679"/>
      <c r="C279" s="679"/>
      <c r="D279" s="679"/>
      <c r="E279" s="679"/>
      <c r="F279" s="680"/>
      <c r="G279" s="648" t="s">
        <v>731</v>
      </c>
      <c r="H279" s="648"/>
      <c r="I279" s="648"/>
      <c r="J279" s="655">
        <f t="shared" si="17"/>
        <v>45778</v>
      </c>
      <c r="K279" s="656"/>
      <c r="L279" s="657"/>
      <c r="M279" s="648" t="s">
        <v>720</v>
      </c>
      <c r="N279" s="648"/>
      <c r="O279" s="648">
        <f>O276</f>
        <v>1</v>
      </c>
      <c r="P279" s="648"/>
      <c r="Q279" s="648"/>
      <c r="R279" s="647" t="str">
        <f>U270</f>
        <v>138991 (citit)</v>
      </c>
      <c r="S279" s="647"/>
      <c r="T279" s="647"/>
      <c r="U279" s="647" t="str">
        <f>VLOOKUP(A279,'Incrementare indexe'!$D:$M,10,FALSE)&amp;" (estimat)"</f>
        <v>138991 (estimat)</v>
      </c>
      <c r="V279" s="647"/>
      <c r="W279" s="647"/>
      <c r="X279" s="647" t="str">
        <f>VLOOKUP(A279,'Incrementare indexe'!$D:$Q,13,FALSE)&amp;" (estimat)"</f>
        <v>0 (estimat)</v>
      </c>
      <c r="Y279" s="647"/>
      <c r="Z279" s="647"/>
      <c r="AA279" s="647" t="s">
        <v>69</v>
      </c>
      <c r="AB279" s="647"/>
      <c r="AC279" s="647"/>
      <c r="AD279" s="647" t="s">
        <v>69</v>
      </c>
      <c r="AE279" s="647"/>
      <c r="AF279" s="647">
        <f>VLOOKUP(A279,'Incrementare indexe'!$D:$Q,13,FALSE)</f>
        <v>0</v>
      </c>
      <c r="AG279" s="647"/>
      <c r="AH279" s="647"/>
      <c r="AI279" s="647">
        <f>AI276</f>
        <v>31</v>
      </c>
      <c r="AJ279" s="647"/>
      <c r="AK279" s="647">
        <f>ROUND(AF279/AI279,2)</f>
        <v>0</v>
      </c>
      <c r="AL279" s="647"/>
      <c r="AM279" s="647"/>
    </row>
    <row r="280" spans="1:39" ht="14.1" customHeight="1">
      <c r="A280" s="717"/>
      <c r="B280" s="718"/>
      <c r="C280" s="718"/>
      <c r="D280" s="718"/>
      <c r="E280" s="718"/>
      <c r="F280" s="719"/>
      <c r="G280" s="648"/>
      <c r="H280" s="648"/>
      <c r="I280" s="648"/>
      <c r="J280" s="717" t="str">
        <f t="shared" si="17"/>
        <v>-</v>
      </c>
      <c r="K280" s="718"/>
      <c r="L280" s="719"/>
      <c r="M280" s="648"/>
      <c r="N280" s="648"/>
      <c r="O280" s="648"/>
      <c r="P280" s="648"/>
      <c r="Q280" s="648"/>
      <c r="R280" s="647"/>
      <c r="S280" s="647"/>
      <c r="T280" s="647"/>
      <c r="U280" s="647"/>
      <c r="V280" s="647"/>
      <c r="W280" s="647"/>
      <c r="X280" s="647"/>
      <c r="Y280" s="647"/>
      <c r="Z280" s="647"/>
      <c r="AA280" s="647"/>
      <c r="AB280" s="647"/>
      <c r="AC280" s="647"/>
      <c r="AD280" s="647"/>
      <c r="AE280" s="647"/>
      <c r="AF280" s="647"/>
      <c r="AG280" s="647"/>
      <c r="AH280" s="647"/>
      <c r="AI280" s="647"/>
      <c r="AJ280" s="647"/>
      <c r="AK280" s="647"/>
      <c r="AL280" s="647"/>
      <c r="AM280" s="647"/>
    </row>
    <row r="281" spans="1:39" ht="14.1" customHeight="1">
      <c r="A281" s="681"/>
      <c r="B281" s="682"/>
      <c r="C281" s="682"/>
      <c r="D281" s="682"/>
      <c r="E281" s="682"/>
      <c r="F281" s="683"/>
      <c r="G281" s="648"/>
      <c r="H281" s="648"/>
      <c r="I281" s="648"/>
      <c r="J281" s="714">
        <f t="shared" si="17"/>
        <v>45808</v>
      </c>
      <c r="K281" s="715"/>
      <c r="L281" s="716"/>
      <c r="M281" s="648"/>
      <c r="N281" s="648"/>
      <c r="O281" s="648"/>
      <c r="P281" s="648"/>
      <c r="Q281" s="648"/>
      <c r="R281" s="647"/>
      <c r="S281" s="647"/>
      <c r="T281" s="647"/>
      <c r="U281" s="647"/>
      <c r="V281" s="647"/>
      <c r="W281" s="647"/>
      <c r="X281" s="647"/>
      <c r="Y281" s="647"/>
      <c r="Z281" s="647"/>
      <c r="AA281" s="647"/>
      <c r="AB281" s="647"/>
      <c r="AC281" s="647"/>
      <c r="AD281" s="647"/>
      <c r="AE281" s="647"/>
      <c r="AF281" s="647"/>
      <c r="AG281" s="647"/>
      <c r="AH281" s="647"/>
      <c r="AI281" s="647"/>
      <c r="AJ281" s="647"/>
      <c r="AK281" s="647"/>
      <c r="AL281" s="647"/>
      <c r="AM281" s="647"/>
    </row>
    <row r="282" spans="1:39" ht="14.1" customHeight="1">
      <c r="A282" s="196"/>
      <c r="B282" s="196"/>
      <c r="C282" s="196"/>
      <c r="D282" s="196"/>
      <c r="E282" s="196"/>
      <c r="F282" s="196"/>
      <c r="G282" s="196"/>
      <c r="H282" s="196"/>
      <c r="I282" s="196"/>
      <c r="J282" s="197"/>
      <c r="K282" s="197"/>
      <c r="L282" s="197"/>
      <c r="M282" s="196"/>
      <c r="N282" s="196"/>
      <c r="O282" s="196"/>
      <c r="P282" s="196"/>
      <c r="Q282" s="196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</row>
    <row r="283" spans="1:39" ht="14.1" customHeight="1"/>
    <row r="284" spans="1:39" ht="14.1" customHeight="1">
      <c r="A284" s="721" t="s">
        <v>1196</v>
      </c>
      <c r="B284" s="722"/>
      <c r="C284" s="722"/>
      <c r="D284" s="722"/>
      <c r="E284" s="722"/>
      <c r="F284" s="722"/>
      <c r="G284" s="722"/>
      <c r="H284" s="722"/>
      <c r="I284" s="722"/>
      <c r="J284" s="722"/>
      <c r="K284" s="722"/>
      <c r="L284" s="722"/>
      <c r="M284" s="722"/>
      <c r="N284" s="722"/>
      <c r="O284" s="722"/>
      <c r="P284" s="722"/>
      <c r="Q284" s="722"/>
      <c r="R284" s="722"/>
      <c r="S284" s="722"/>
      <c r="T284" s="722"/>
      <c r="U284" s="722"/>
      <c r="V284" s="722"/>
      <c r="W284" s="722"/>
      <c r="X284" s="722"/>
      <c r="Y284" s="722"/>
      <c r="Z284" s="722"/>
      <c r="AA284" s="722"/>
      <c r="AB284" s="722"/>
      <c r="AC284" s="722"/>
      <c r="AD284" s="722"/>
      <c r="AE284" s="722"/>
      <c r="AF284" s="722"/>
      <c r="AG284" s="722"/>
      <c r="AH284" s="723"/>
      <c r="AI284" s="650" t="s">
        <v>695</v>
      </c>
      <c r="AJ284" s="650"/>
      <c r="AK284" s="650"/>
      <c r="AL284" s="650"/>
      <c r="AM284" s="650"/>
    </row>
    <row r="285" spans="1:39" ht="14.1" customHeight="1">
      <c r="A285" s="649" t="s">
        <v>746</v>
      </c>
      <c r="B285" s="649"/>
      <c r="C285" s="649"/>
      <c r="D285" s="649"/>
      <c r="E285" s="649"/>
      <c r="F285" s="649"/>
      <c r="G285" s="649"/>
      <c r="H285" s="649"/>
      <c r="I285" s="649"/>
      <c r="J285" s="649"/>
      <c r="K285" s="649"/>
      <c r="L285" s="649"/>
      <c r="M285" s="650" t="s">
        <v>514</v>
      </c>
      <c r="N285" s="650"/>
      <c r="O285" s="650"/>
      <c r="P285" s="650"/>
      <c r="Q285" s="650"/>
      <c r="R285" s="650"/>
      <c r="S285" s="650"/>
      <c r="T285" s="650"/>
      <c r="U285" s="650"/>
      <c r="V285" s="650"/>
      <c r="W285" s="650"/>
      <c r="X285" s="650"/>
      <c r="Y285" s="650"/>
      <c r="Z285" s="650"/>
      <c r="AA285" s="650"/>
      <c r="AB285" s="650"/>
      <c r="AC285" s="650"/>
      <c r="AD285" s="650"/>
      <c r="AE285" s="650"/>
      <c r="AF285" s="650"/>
      <c r="AG285" s="650"/>
      <c r="AH285" s="650"/>
      <c r="AI285" s="619" t="str">
        <f>_xlfn.CONCAT(AI250,"/PV")</f>
        <v>RDSC_3.1/PV</v>
      </c>
      <c r="AJ285" s="619"/>
      <c r="AK285" s="619"/>
      <c r="AL285" s="619"/>
      <c r="AM285" s="619"/>
    </row>
    <row r="286" spans="1:39" ht="14.1" customHeight="1">
      <c r="A286" s="649" t="s">
        <v>747</v>
      </c>
      <c r="B286" s="649"/>
      <c r="C286" s="649"/>
      <c r="D286" s="649"/>
      <c r="E286" s="649"/>
      <c r="F286" s="649"/>
      <c r="G286" s="649"/>
      <c r="H286" s="649"/>
      <c r="I286" s="649"/>
      <c r="J286" s="649"/>
      <c r="K286" s="649"/>
      <c r="L286" s="649"/>
      <c r="M286" s="650" t="s">
        <v>1087</v>
      </c>
      <c r="N286" s="650"/>
      <c r="O286" s="650"/>
      <c r="P286" s="650"/>
      <c r="Q286" s="650"/>
      <c r="R286" s="650"/>
      <c r="S286" s="650"/>
      <c r="T286" s="650"/>
      <c r="U286" s="650"/>
      <c r="V286" s="650"/>
      <c r="W286" s="650"/>
      <c r="X286" s="650"/>
      <c r="Y286" s="650"/>
      <c r="Z286" s="650"/>
      <c r="AA286" s="650"/>
      <c r="AB286" s="650"/>
      <c r="AC286" s="650"/>
      <c r="AD286" s="650"/>
      <c r="AE286" s="650"/>
      <c r="AF286" s="650"/>
      <c r="AG286" s="650"/>
      <c r="AH286" s="650"/>
      <c r="AI286" s="619"/>
      <c r="AJ286" s="619"/>
      <c r="AK286" s="619"/>
      <c r="AL286" s="619"/>
      <c r="AM286" s="619"/>
    </row>
    <row r="287" spans="1:39" ht="14.1" customHeight="1">
      <c r="A287" s="648" t="s">
        <v>697</v>
      </c>
      <c r="B287" s="648"/>
      <c r="C287" s="648"/>
      <c r="D287" s="648"/>
      <c r="E287" s="648"/>
      <c r="F287" s="648"/>
      <c r="G287" s="647" t="s">
        <v>713</v>
      </c>
      <c r="H287" s="647"/>
      <c r="I287" s="647"/>
      <c r="J287" s="647" t="s">
        <v>714</v>
      </c>
      <c r="K287" s="647"/>
      <c r="L287" s="647"/>
      <c r="M287" s="648" t="s">
        <v>519</v>
      </c>
      <c r="N287" s="648"/>
      <c r="O287" s="648" t="s">
        <v>715</v>
      </c>
      <c r="P287" s="648"/>
      <c r="Q287" s="648"/>
      <c r="R287" s="647" t="s">
        <v>732</v>
      </c>
      <c r="S287" s="647"/>
      <c r="T287" s="647"/>
      <c r="U287" s="647" t="s">
        <v>734</v>
      </c>
      <c r="V287" s="647"/>
      <c r="W287" s="647"/>
      <c r="X287" s="647" t="s">
        <v>1085</v>
      </c>
      <c r="Y287" s="647"/>
      <c r="Z287" s="647"/>
      <c r="AA287" s="647" t="s">
        <v>1086</v>
      </c>
      <c r="AB287" s="647"/>
      <c r="AC287" s="647"/>
      <c r="AD287" s="647" t="s">
        <v>717</v>
      </c>
      <c r="AE287" s="647"/>
      <c r="AF287" s="647" t="s">
        <v>718</v>
      </c>
      <c r="AG287" s="647"/>
      <c r="AH287" s="647"/>
      <c r="AI287" s="647" t="s">
        <v>719</v>
      </c>
      <c r="AJ287" s="647"/>
      <c r="AK287" s="647" t="s">
        <v>733</v>
      </c>
      <c r="AL287" s="647"/>
      <c r="AM287" s="647"/>
    </row>
    <row r="288" spans="1:39" ht="14.1" customHeight="1">
      <c r="A288" s="648"/>
      <c r="B288" s="648"/>
      <c r="C288" s="648"/>
      <c r="D288" s="648"/>
      <c r="E288" s="648"/>
      <c r="F288" s="648"/>
      <c r="G288" s="647"/>
      <c r="H288" s="647"/>
      <c r="I288" s="647"/>
      <c r="J288" s="647"/>
      <c r="K288" s="647"/>
      <c r="L288" s="647"/>
      <c r="M288" s="648"/>
      <c r="N288" s="648"/>
      <c r="O288" s="648"/>
      <c r="P288" s="648"/>
      <c r="Q288" s="648"/>
      <c r="R288" s="647"/>
      <c r="S288" s="647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647"/>
      <c r="AL288" s="647"/>
      <c r="AM288" s="647"/>
    </row>
    <row r="289" spans="1:39" ht="14.1" customHeight="1">
      <c r="A289" s="648"/>
      <c r="B289" s="648"/>
      <c r="C289" s="648"/>
      <c r="D289" s="648"/>
      <c r="E289" s="648"/>
      <c r="F289" s="648"/>
      <c r="G289" s="647"/>
      <c r="H289" s="647"/>
      <c r="I289" s="647"/>
      <c r="J289" s="713"/>
      <c r="K289" s="713"/>
      <c r="L289" s="713"/>
      <c r="M289" s="648"/>
      <c r="N289" s="648"/>
      <c r="O289" s="648"/>
      <c r="P289" s="648"/>
      <c r="Q289" s="648"/>
      <c r="R289" s="647"/>
      <c r="S289" s="647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647"/>
      <c r="AL289" s="647"/>
      <c r="AM289" s="647"/>
    </row>
    <row r="290" spans="1:39" ht="14.1" customHeight="1">
      <c r="A290" s="678">
        <f>VLOOKUP(AI285,'Incrementare indexe'!$B:$I,3,FALSE)</f>
        <v>1372640362</v>
      </c>
      <c r="B290" s="679"/>
      <c r="C290" s="679"/>
      <c r="D290" s="679"/>
      <c r="E290" s="679"/>
      <c r="F290" s="680"/>
      <c r="G290" s="647" t="s">
        <v>1088</v>
      </c>
      <c r="H290" s="647"/>
      <c r="I290" s="675"/>
      <c r="J290" s="655">
        <f>'Date masura OD'!$I$5</f>
        <v>45778</v>
      </c>
      <c r="K290" s="656"/>
      <c r="L290" s="657"/>
      <c r="M290" s="720" t="s">
        <v>446</v>
      </c>
      <c r="N290" s="648"/>
      <c r="O290" s="648">
        <f>VLOOKUP(AI285,'Incrementare indexe'!$B:$I,4,FALSE)</f>
        <v>1</v>
      </c>
      <c r="P290" s="648"/>
      <c r="Q290" s="648"/>
      <c r="R290" s="647" t="str">
        <f>VLOOKUP(AI285,'Incrementare indexe'!$B:$I,7,FALSE)&amp;" (citit)"</f>
        <v>1408554 (citit)</v>
      </c>
      <c r="S290" s="647"/>
      <c r="T290" s="647"/>
      <c r="U290" s="647" t="str">
        <f>VLOOKUP(AI285,'Incrementare indexe'!$B:$I,8,FALSE)&amp;" (citit)"</f>
        <v>1535919 (citit)</v>
      </c>
      <c r="V290" s="647"/>
      <c r="W290" s="647"/>
      <c r="X290" s="647" t="str">
        <f>(VLOOKUP(AI285,'Incrementare indexe'!$B:$I,8,FALSE)-VLOOKUP(AI285,'Incrementare indexe'!$B:$I,7,FALSE))&amp;" (citit)"</f>
        <v>127365 (citit)</v>
      </c>
      <c r="Y290" s="647"/>
      <c r="Z290" s="647"/>
      <c r="AA290" s="647" t="s">
        <v>69</v>
      </c>
      <c r="AB290" s="647"/>
      <c r="AC290" s="647"/>
      <c r="AD290" s="647" t="s">
        <v>69</v>
      </c>
      <c r="AE290" s="647"/>
      <c r="AF290" s="647">
        <f>(VLOOKUP(AI285,'Incrementare indexe'!$B:$I,8,FALSE)-VLOOKUP(AI285,'Incrementare indexe'!$B:$I,7,FALSE))</f>
        <v>127365</v>
      </c>
      <c r="AG290" s="647"/>
      <c r="AH290" s="647"/>
      <c r="AI290" s="647">
        <f>J292-J290+1</f>
        <v>31</v>
      </c>
      <c r="AJ290" s="647"/>
      <c r="AK290" s="647">
        <f>ROUND(AF290/AI290,2)</f>
        <v>4108.55</v>
      </c>
      <c r="AL290" s="647"/>
      <c r="AM290" s="647"/>
    </row>
    <row r="291" spans="1:39" ht="14.1" customHeight="1">
      <c r="A291" s="717"/>
      <c r="B291" s="718"/>
      <c r="C291" s="718"/>
      <c r="D291" s="718"/>
      <c r="E291" s="718"/>
      <c r="F291" s="719"/>
      <c r="G291" s="647"/>
      <c r="H291" s="647"/>
      <c r="I291" s="675"/>
      <c r="J291" s="717" t="s">
        <v>69</v>
      </c>
      <c r="K291" s="718"/>
      <c r="L291" s="719"/>
      <c r="M291" s="720"/>
      <c r="N291" s="648"/>
      <c r="O291" s="648"/>
      <c r="P291" s="648"/>
      <c r="Q291" s="648"/>
      <c r="R291" s="647"/>
      <c r="S291" s="647"/>
      <c r="T291" s="647"/>
      <c r="U291" s="647"/>
      <c r="V291" s="647"/>
      <c r="W291" s="647"/>
      <c r="X291" s="647"/>
      <c r="Y291" s="647"/>
      <c r="Z291" s="647"/>
      <c r="AA291" s="647"/>
      <c r="AB291" s="647"/>
      <c r="AC291" s="647"/>
      <c r="AD291" s="647"/>
      <c r="AE291" s="647"/>
      <c r="AF291" s="647"/>
      <c r="AG291" s="647"/>
      <c r="AH291" s="647"/>
      <c r="AI291" s="647"/>
      <c r="AJ291" s="647"/>
      <c r="AK291" s="647"/>
      <c r="AL291" s="647"/>
      <c r="AM291" s="647"/>
    </row>
    <row r="292" spans="1:39" ht="14.1" customHeight="1">
      <c r="A292" s="681"/>
      <c r="B292" s="682"/>
      <c r="C292" s="682"/>
      <c r="D292" s="682"/>
      <c r="E292" s="682"/>
      <c r="F292" s="683"/>
      <c r="G292" s="647"/>
      <c r="H292" s="647"/>
      <c r="I292" s="675"/>
      <c r="J292" s="714">
        <f>'Date masura OD'!$J$5</f>
        <v>45808</v>
      </c>
      <c r="K292" s="715"/>
      <c r="L292" s="716"/>
      <c r="M292" s="720"/>
      <c r="N292" s="648"/>
      <c r="O292" s="648"/>
      <c r="P292" s="648"/>
      <c r="Q292" s="648"/>
      <c r="R292" s="647"/>
      <c r="S292" s="647"/>
      <c r="T292" s="647"/>
      <c r="U292" s="647"/>
      <c r="V292" s="647"/>
      <c r="W292" s="647"/>
      <c r="X292" s="647"/>
      <c r="Y292" s="647"/>
      <c r="Z292" s="647"/>
      <c r="AA292" s="647"/>
      <c r="AB292" s="647"/>
      <c r="AC292" s="647"/>
      <c r="AD292" s="647"/>
      <c r="AE292" s="647"/>
      <c r="AF292" s="647"/>
      <c r="AG292" s="647"/>
      <c r="AH292" s="647"/>
      <c r="AI292" s="647"/>
      <c r="AJ292" s="647"/>
      <c r="AK292" s="647"/>
      <c r="AL292" s="647"/>
      <c r="AM292" s="647"/>
    </row>
    <row r="293" spans="1:39" ht="14.1" customHeight="1">
      <c r="A293" s="678">
        <f>A290</f>
        <v>1372640362</v>
      </c>
      <c r="B293" s="679"/>
      <c r="C293" s="679"/>
      <c r="D293" s="679"/>
      <c r="E293" s="679"/>
      <c r="F293" s="680"/>
      <c r="G293" s="648" t="s">
        <v>696</v>
      </c>
      <c r="H293" s="648"/>
      <c r="I293" s="648"/>
      <c r="J293" s="655">
        <f t="shared" ref="J293:J298" si="18">J290</f>
        <v>45778</v>
      </c>
      <c r="K293" s="656"/>
      <c r="L293" s="657"/>
      <c r="M293" s="648" t="s">
        <v>720</v>
      </c>
      <c r="N293" s="648"/>
      <c r="O293" s="648">
        <f>O290</f>
        <v>1</v>
      </c>
      <c r="P293" s="648"/>
      <c r="Q293" s="648"/>
      <c r="R293" s="647" t="s">
        <v>1089</v>
      </c>
      <c r="S293" s="647"/>
      <c r="T293" s="647"/>
      <c r="U293" s="647" t="s">
        <v>1089</v>
      </c>
      <c r="V293" s="647"/>
      <c r="W293" s="647"/>
      <c r="X293" s="647" t="s">
        <v>1089</v>
      </c>
      <c r="Y293" s="647"/>
      <c r="Z293" s="647"/>
      <c r="AA293" s="647" t="s">
        <v>69</v>
      </c>
      <c r="AB293" s="647"/>
      <c r="AC293" s="647"/>
      <c r="AD293" s="647" t="s">
        <v>69</v>
      </c>
      <c r="AE293" s="647"/>
      <c r="AF293" s="647">
        <v>0</v>
      </c>
      <c r="AG293" s="647"/>
      <c r="AH293" s="647"/>
      <c r="AI293" s="647">
        <f>AI290</f>
        <v>31</v>
      </c>
      <c r="AJ293" s="647"/>
      <c r="AK293" s="647">
        <f>ROUND(AF293/AI293,2)</f>
        <v>0</v>
      </c>
      <c r="AL293" s="647"/>
      <c r="AM293" s="647"/>
    </row>
    <row r="294" spans="1:39" ht="14.1" customHeight="1">
      <c r="A294" s="717"/>
      <c r="B294" s="718"/>
      <c r="C294" s="718"/>
      <c r="D294" s="718"/>
      <c r="E294" s="718"/>
      <c r="F294" s="719"/>
      <c r="G294" s="648"/>
      <c r="H294" s="648"/>
      <c r="I294" s="648"/>
      <c r="J294" s="717" t="str">
        <f t="shared" si="18"/>
        <v>-</v>
      </c>
      <c r="K294" s="718"/>
      <c r="L294" s="719"/>
      <c r="M294" s="648"/>
      <c r="N294" s="648"/>
      <c r="O294" s="648"/>
      <c r="P294" s="648"/>
      <c r="Q294" s="648"/>
      <c r="R294" s="647"/>
      <c r="S294" s="647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647"/>
      <c r="AL294" s="647"/>
      <c r="AM294" s="647"/>
    </row>
    <row r="295" spans="1:39" ht="14.1" customHeight="1">
      <c r="A295" s="681"/>
      <c r="B295" s="682"/>
      <c r="C295" s="682"/>
      <c r="D295" s="682"/>
      <c r="E295" s="682"/>
      <c r="F295" s="683"/>
      <c r="G295" s="648"/>
      <c r="H295" s="648"/>
      <c r="I295" s="648"/>
      <c r="J295" s="714">
        <f t="shared" si="18"/>
        <v>45808</v>
      </c>
      <c r="K295" s="715"/>
      <c r="L295" s="716"/>
      <c r="M295" s="648"/>
      <c r="N295" s="648"/>
      <c r="O295" s="648"/>
      <c r="P295" s="648"/>
      <c r="Q295" s="648"/>
      <c r="R295" s="647"/>
      <c r="S295" s="647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647"/>
      <c r="AL295" s="647"/>
      <c r="AM295" s="647"/>
    </row>
    <row r="296" spans="1:39" ht="14.1" customHeight="1">
      <c r="A296" s="678">
        <f>A293</f>
        <v>1372640362</v>
      </c>
      <c r="B296" s="679"/>
      <c r="C296" s="679"/>
      <c r="D296" s="679"/>
      <c r="E296" s="679"/>
      <c r="F296" s="680"/>
      <c r="G296" s="648" t="s">
        <v>731</v>
      </c>
      <c r="H296" s="648"/>
      <c r="I296" s="648"/>
      <c r="J296" s="655">
        <f t="shared" si="18"/>
        <v>45778</v>
      </c>
      <c r="K296" s="656"/>
      <c r="L296" s="657"/>
      <c r="M296" s="648" t="s">
        <v>720</v>
      </c>
      <c r="N296" s="648"/>
      <c r="O296" s="648">
        <f>O293</f>
        <v>1</v>
      </c>
      <c r="P296" s="648"/>
      <c r="Q296" s="648"/>
      <c r="R296" s="647" t="s">
        <v>1089</v>
      </c>
      <c r="S296" s="647"/>
      <c r="T296" s="647"/>
      <c r="U296" s="647" t="s">
        <v>1089</v>
      </c>
      <c r="V296" s="647"/>
      <c r="W296" s="647"/>
      <c r="X296" s="647" t="s">
        <v>1089</v>
      </c>
      <c r="Y296" s="647"/>
      <c r="Z296" s="647"/>
      <c r="AA296" s="647" t="s">
        <v>69</v>
      </c>
      <c r="AB296" s="647"/>
      <c r="AC296" s="647"/>
      <c r="AD296" s="647" t="s">
        <v>69</v>
      </c>
      <c r="AE296" s="647"/>
      <c r="AF296" s="647">
        <v>0</v>
      </c>
      <c r="AG296" s="647"/>
      <c r="AH296" s="647"/>
      <c r="AI296" s="647">
        <f>AI293</f>
        <v>31</v>
      </c>
      <c r="AJ296" s="647"/>
      <c r="AK296" s="647">
        <f>ROUND(AF296/AI296,2)</f>
        <v>0</v>
      </c>
      <c r="AL296" s="647"/>
      <c r="AM296" s="647"/>
    </row>
    <row r="297" spans="1:39" ht="14.1" customHeight="1">
      <c r="A297" s="717"/>
      <c r="B297" s="718"/>
      <c r="C297" s="718"/>
      <c r="D297" s="718"/>
      <c r="E297" s="718"/>
      <c r="F297" s="719"/>
      <c r="G297" s="648"/>
      <c r="H297" s="648"/>
      <c r="I297" s="648"/>
      <c r="J297" s="717" t="str">
        <f t="shared" si="18"/>
        <v>-</v>
      </c>
      <c r="K297" s="718"/>
      <c r="L297" s="719"/>
      <c r="M297" s="648"/>
      <c r="N297" s="648"/>
      <c r="O297" s="648"/>
      <c r="P297" s="648"/>
      <c r="Q297" s="648"/>
      <c r="R297" s="647"/>
      <c r="S297" s="647"/>
      <c r="T297" s="647"/>
      <c r="U297" s="647"/>
      <c r="V297" s="647"/>
      <c r="W297" s="647"/>
      <c r="X297" s="647"/>
      <c r="Y297" s="647"/>
      <c r="Z297" s="647"/>
      <c r="AA297" s="647"/>
      <c r="AB297" s="647"/>
      <c r="AC297" s="647"/>
      <c r="AD297" s="647"/>
      <c r="AE297" s="647"/>
      <c r="AF297" s="647"/>
      <c r="AG297" s="647"/>
      <c r="AH297" s="647"/>
      <c r="AI297" s="647"/>
      <c r="AJ297" s="647"/>
      <c r="AK297" s="647"/>
      <c r="AL297" s="647"/>
      <c r="AM297" s="647"/>
    </row>
    <row r="298" spans="1:39" ht="14.1" customHeight="1">
      <c r="A298" s="681"/>
      <c r="B298" s="682"/>
      <c r="C298" s="682"/>
      <c r="D298" s="682"/>
      <c r="E298" s="682"/>
      <c r="F298" s="683"/>
      <c r="G298" s="648"/>
      <c r="H298" s="648"/>
      <c r="I298" s="648"/>
      <c r="J298" s="714">
        <f t="shared" si="18"/>
        <v>45808</v>
      </c>
      <c r="K298" s="715"/>
      <c r="L298" s="716"/>
      <c r="M298" s="648"/>
      <c r="N298" s="648"/>
      <c r="O298" s="648"/>
      <c r="P298" s="648"/>
      <c r="Q298" s="648"/>
      <c r="R298" s="647"/>
      <c r="S298" s="647"/>
      <c r="T298" s="647"/>
      <c r="U298" s="647"/>
      <c r="V298" s="647"/>
      <c r="W298" s="647"/>
      <c r="X298" s="647"/>
      <c r="Y298" s="647"/>
      <c r="Z298" s="647"/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</row>
    <row r="299" spans="1:39" ht="14.1" customHeight="1">
      <c r="A299" s="196"/>
      <c r="B299" s="196"/>
      <c r="C299" s="196"/>
      <c r="D299" s="196"/>
      <c r="E299" s="196"/>
      <c r="F299" s="196"/>
      <c r="G299" s="196"/>
      <c r="H299" s="196"/>
      <c r="I299" s="196"/>
      <c r="J299" s="197"/>
      <c r="K299" s="197"/>
      <c r="L299" s="197"/>
      <c r="M299" s="196"/>
      <c r="N299" s="196"/>
      <c r="O299" s="196"/>
      <c r="P299" s="196"/>
      <c r="Q299" s="196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</row>
    <row r="300" spans="1:39" ht="14.1" customHeight="1">
      <c r="A300" s="649" t="s">
        <v>748</v>
      </c>
      <c r="B300" s="649"/>
      <c r="C300" s="649"/>
      <c r="D300" s="649"/>
      <c r="E300" s="649"/>
      <c r="F300" s="649"/>
      <c r="G300" s="649"/>
      <c r="H300" s="649"/>
      <c r="I300" s="649"/>
      <c r="J300" s="649"/>
      <c r="K300" s="649"/>
      <c r="L300" s="649"/>
      <c r="M300" s="650" t="str">
        <f>VLOOKUP(AI301,'Contorizare in SDI'!$E:$I,4,FALSE)</f>
        <v>RO005E532220590/2</v>
      </c>
      <c r="N300" s="650"/>
      <c r="O300" s="650"/>
      <c r="P300" s="650"/>
      <c r="Q300" s="650"/>
      <c r="R300" s="650"/>
      <c r="S300" s="650"/>
      <c r="T300" s="650"/>
      <c r="U300" s="650"/>
      <c r="V300" s="650"/>
      <c r="W300" s="650"/>
      <c r="X300" s="650"/>
      <c r="Y300" s="65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50" t="s">
        <v>695</v>
      </c>
      <c r="AJ300" s="650"/>
      <c r="AK300" s="650"/>
      <c r="AL300" s="650"/>
      <c r="AM300" s="650"/>
    </row>
    <row r="301" spans="1:39" ht="14.1" customHeight="1">
      <c r="A301" s="649" t="s">
        <v>746</v>
      </c>
      <c r="B301" s="649"/>
      <c r="C301" s="649"/>
      <c r="D301" s="649"/>
      <c r="E301" s="649"/>
      <c r="F301" s="649"/>
      <c r="G301" s="649"/>
      <c r="H301" s="649"/>
      <c r="I301" s="649"/>
      <c r="J301" s="649"/>
      <c r="K301" s="649"/>
      <c r="L301" s="649"/>
      <c r="M301" s="650" t="str">
        <f>VLOOKUP(AI301,'Inchidere contur'!$G:$U,15,FALSE)</f>
        <v>JT_SDI</v>
      </c>
      <c r="N301" s="650"/>
      <c r="O301" s="650"/>
      <c r="P301" s="650"/>
      <c r="Q301" s="650"/>
      <c r="R301" s="650"/>
      <c r="S301" s="650"/>
      <c r="T301" s="650"/>
      <c r="U301" s="650"/>
      <c r="V301" s="650"/>
      <c r="W301" s="650"/>
      <c r="X301" s="650"/>
      <c r="Y301" s="650"/>
      <c r="Z301" s="650"/>
      <c r="AA301" s="650"/>
      <c r="AB301" s="650"/>
      <c r="AC301" s="650"/>
      <c r="AD301" s="650"/>
      <c r="AE301" s="650"/>
      <c r="AF301" s="650"/>
      <c r="AG301" s="650"/>
      <c r="AH301" s="650"/>
      <c r="AI301" s="619" t="str">
        <f>_xlfn.CONCAT(AA246,".",2)</f>
        <v>RDSC_3.2</v>
      </c>
      <c r="AJ301" s="619"/>
      <c r="AK301" s="619"/>
      <c r="AL301" s="619"/>
      <c r="AM301" s="619"/>
    </row>
    <row r="302" spans="1:39" ht="14.1" customHeight="1">
      <c r="A302" s="649" t="s">
        <v>747</v>
      </c>
      <c r="B302" s="649"/>
      <c r="C302" s="649"/>
      <c r="D302" s="649"/>
      <c r="E302" s="649"/>
      <c r="F302" s="649"/>
      <c r="G302" s="649"/>
      <c r="H302" s="649"/>
      <c r="I302" s="649"/>
      <c r="J302" s="649"/>
      <c r="K302" s="649"/>
      <c r="L302" s="649"/>
      <c r="M302" s="650" t="str">
        <f>IF(LEFT(M301,2)="JT","0.4kV",IF(LEFT(M301,2)="MT","20kV","-"))</f>
        <v>0.4kV</v>
      </c>
      <c r="N302" s="650"/>
      <c r="O302" s="650"/>
      <c r="P302" s="650"/>
      <c r="Q302" s="650"/>
      <c r="R302" s="650"/>
      <c r="S302" s="650"/>
      <c r="T302" s="650"/>
      <c r="U302" s="650"/>
      <c r="V302" s="650"/>
      <c r="W302" s="650"/>
      <c r="X302" s="650"/>
      <c r="Y302" s="650"/>
      <c r="Z302" s="650"/>
      <c r="AA302" s="650"/>
      <c r="AB302" s="650"/>
      <c r="AC302" s="650"/>
      <c r="AD302" s="650"/>
      <c r="AE302" s="650"/>
      <c r="AF302" s="650"/>
      <c r="AG302" s="650"/>
      <c r="AH302" s="650"/>
      <c r="AI302" s="619"/>
      <c r="AJ302" s="619"/>
      <c r="AK302" s="619"/>
      <c r="AL302" s="619"/>
      <c r="AM302" s="619"/>
    </row>
    <row r="303" spans="1:39" ht="14.1" customHeight="1">
      <c r="A303" s="648" t="s">
        <v>697</v>
      </c>
      <c r="B303" s="648"/>
      <c r="C303" s="648"/>
      <c r="D303" s="648"/>
      <c r="E303" s="648"/>
      <c r="F303" s="648"/>
      <c r="G303" s="647" t="s">
        <v>713</v>
      </c>
      <c r="H303" s="647"/>
      <c r="I303" s="647"/>
      <c r="J303" s="647" t="s">
        <v>714</v>
      </c>
      <c r="K303" s="647"/>
      <c r="L303" s="647"/>
      <c r="M303" s="648" t="s">
        <v>519</v>
      </c>
      <c r="N303" s="648"/>
      <c r="O303" s="648" t="s">
        <v>715</v>
      </c>
      <c r="P303" s="648"/>
      <c r="Q303" s="648"/>
      <c r="R303" s="647" t="s">
        <v>732</v>
      </c>
      <c r="S303" s="647"/>
      <c r="T303" s="647"/>
      <c r="U303" s="647" t="s">
        <v>734</v>
      </c>
      <c r="V303" s="647"/>
      <c r="W303" s="647"/>
      <c r="X303" s="647" t="s">
        <v>1085</v>
      </c>
      <c r="Y303" s="647"/>
      <c r="Z303" s="647"/>
      <c r="AA303" s="647" t="s">
        <v>1086</v>
      </c>
      <c r="AB303" s="647"/>
      <c r="AC303" s="647"/>
      <c r="AD303" s="647" t="s">
        <v>717</v>
      </c>
      <c r="AE303" s="647"/>
      <c r="AF303" s="647" t="s">
        <v>718</v>
      </c>
      <c r="AG303" s="647"/>
      <c r="AH303" s="647"/>
      <c r="AI303" s="647" t="s">
        <v>719</v>
      </c>
      <c r="AJ303" s="647"/>
      <c r="AK303" s="647" t="s">
        <v>733</v>
      </c>
      <c r="AL303" s="647"/>
      <c r="AM303" s="647"/>
    </row>
    <row r="304" spans="1:39" ht="14.1" customHeight="1">
      <c r="A304" s="648"/>
      <c r="B304" s="648"/>
      <c r="C304" s="648"/>
      <c r="D304" s="648"/>
      <c r="E304" s="648"/>
      <c r="F304" s="648"/>
      <c r="G304" s="647"/>
      <c r="H304" s="647"/>
      <c r="I304" s="647"/>
      <c r="J304" s="647"/>
      <c r="K304" s="647"/>
      <c r="L304" s="647"/>
      <c r="M304" s="648"/>
      <c r="N304" s="648"/>
      <c r="O304" s="648"/>
      <c r="P304" s="648"/>
      <c r="Q304" s="648"/>
      <c r="R304" s="647"/>
      <c r="S304" s="647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647"/>
      <c r="AG304" s="647"/>
      <c r="AH304" s="647"/>
      <c r="AI304" s="647"/>
      <c r="AJ304" s="647"/>
      <c r="AK304" s="647"/>
      <c r="AL304" s="647"/>
      <c r="AM304" s="647"/>
    </row>
    <row r="305" spans="1:39" ht="14.1" customHeight="1">
      <c r="A305" s="648"/>
      <c r="B305" s="648"/>
      <c r="C305" s="648"/>
      <c r="D305" s="648"/>
      <c r="E305" s="648"/>
      <c r="F305" s="648"/>
      <c r="G305" s="647"/>
      <c r="H305" s="647"/>
      <c r="I305" s="647"/>
      <c r="J305" s="713"/>
      <c r="K305" s="713"/>
      <c r="L305" s="713"/>
      <c r="M305" s="648"/>
      <c r="N305" s="648"/>
      <c r="O305" s="648"/>
      <c r="P305" s="648"/>
      <c r="Q305" s="648"/>
      <c r="R305" s="647"/>
      <c r="S305" s="647"/>
      <c r="T305" s="647"/>
      <c r="U305" s="647"/>
      <c r="V305" s="647"/>
      <c r="W305" s="647"/>
      <c r="X305" s="647"/>
      <c r="Y305" s="647"/>
      <c r="Z305" s="647"/>
      <c r="AA305" s="647"/>
      <c r="AB305" s="647"/>
      <c r="AC305" s="647"/>
      <c r="AD305" s="647"/>
      <c r="AE305" s="647"/>
      <c r="AF305" s="647"/>
      <c r="AG305" s="647"/>
      <c r="AH305" s="647"/>
      <c r="AI305" s="647"/>
      <c r="AJ305" s="647"/>
      <c r="AK305" s="647"/>
      <c r="AL305" s="647"/>
      <c r="AM305" s="647"/>
    </row>
    <row r="306" spans="1:39" ht="14.1" customHeight="1">
      <c r="A306" s="678">
        <f>VLOOKUP(AI301,'Contorizare in SDI'!$E:$I,5,FALSE)</f>
        <v>1372654023</v>
      </c>
      <c r="B306" s="679"/>
      <c r="C306" s="679"/>
      <c r="D306" s="679"/>
      <c r="E306" s="679"/>
      <c r="F306" s="680"/>
      <c r="G306" s="648" t="s">
        <v>730</v>
      </c>
      <c r="H306" s="648"/>
      <c r="I306" s="673"/>
      <c r="J306" s="655">
        <f>'Date masura OD'!$AK$5</f>
        <v>45748</v>
      </c>
      <c r="K306" s="656"/>
      <c r="L306" s="657"/>
      <c r="M306" s="720" t="s">
        <v>446</v>
      </c>
      <c r="N306" s="648"/>
      <c r="O306" s="648">
        <f>VLOOKUP(AI301,'Incrementare indexe'!$B:$T,4,FALSE)</f>
        <v>1</v>
      </c>
      <c r="P306" s="648"/>
      <c r="Q306" s="648"/>
      <c r="R306" s="647" t="str">
        <f>VLOOKUP(A306,Regularizare!$D:$YN,3,FALSE)&amp;" ("&amp;VLOOKUP(A306,Regularizare!$D:$Y,11,FALSE)&amp;")"</f>
        <v>2106434 (citit)</v>
      </c>
      <c r="S306" s="647"/>
      <c r="T306" s="647"/>
      <c r="U306" s="647" t="str">
        <f>VLOOKUP(A306,Regularizare!$D:$U,4,FALSE)&amp;" ("&amp;VLOOKUP(A306,Regularizare!$D:$U,12,FALSE)&amp;")"</f>
        <v>2223912 (estimat)</v>
      </c>
      <c r="V306" s="647"/>
      <c r="W306" s="647"/>
      <c r="X306" s="647" t="str">
        <f>VLOOKUP(A306,Regularizare!$D:$Y,19,FALSE)&amp;" ("&amp;VLOOKUP(A306,Regularizare!$D:$U,12,FALSE)&amp;")"</f>
        <v>117478 (estimat)</v>
      </c>
      <c r="Y306" s="647"/>
      <c r="Z306" s="647"/>
      <c r="AA306" s="647">
        <f>(-1)*VLOOKUP(A306,Regularizare!$D:$Y,19,FALSE)</f>
        <v>-117478</v>
      </c>
      <c r="AB306" s="647"/>
      <c r="AC306" s="647"/>
      <c r="AD306" s="647" t="s">
        <v>69</v>
      </c>
      <c r="AE306" s="647"/>
      <c r="AF306" s="647">
        <f>AA306</f>
        <v>-117478</v>
      </c>
      <c r="AG306" s="647"/>
      <c r="AH306" s="647"/>
      <c r="AI306" s="647" t="s">
        <v>69</v>
      </c>
      <c r="AJ306" s="647"/>
      <c r="AK306" s="647" t="s">
        <v>69</v>
      </c>
      <c r="AL306" s="647"/>
      <c r="AM306" s="647"/>
    </row>
    <row r="307" spans="1:39" ht="14.1" customHeight="1">
      <c r="A307" s="717"/>
      <c r="B307" s="718"/>
      <c r="C307" s="718"/>
      <c r="D307" s="718"/>
      <c r="E307" s="718"/>
      <c r="F307" s="719"/>
      <c r="G307" s="648"/>
      <c r="H307" s="648"/>
      <c r="I307" s="673"/>
      <c r="J307" s="717" t="s">
        <v>69</v>
      </c>
      <c r="K307" s="718"/>
      <c r="L307" s="719"/>
      <c r="M307" s="720"/>
      <c r="N307" s="648"/>
      <c r="O307" s="648"/>
      <c r="P307" s="648"/>
      <c r="Q307" s="648"/>
      <c r="R307" s="647"/>
      <c r="S307" s="647"/>
      <c r="T307" s="647"/>
      <c r="U307" s="647"/>
      <c r="V307" s="647"/>
      <c r="W307" s="647"/>
      <c r="X307" s="647"/>
      <c r="Y307" s="647"/>
      <c r="Z307" s="647"/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</row>
    <row r="308" spans="1:39" ht="14.1" customHeight="1">
      <c r="A308" s="681"/>
      <c r="B308" s="682"/>
      <c r="C308" s="682"/>
      <c r="D308" s="682"/>
      <c r="E308" s="682"/>
      <c r="F308" s="683"/>
      <c r="G308" s="648"/>
      <c r="H308" s="648"/>
      <c r="I308" s="673"/>
      <c r="J308" s="714">
        <f>'Date masura OD'!$AL$5</f>
        <v>45777</v>
      </c>
      <c r="K308" s="715"/>
      <c r="L308" s="716"/>
      <c r="M308" s="720"/>
      <c r="N308" s="648"/>
      <c r="O308" s="648"/>
      <c r="P308" s="648"/>
      <c r="Q308" s="648"/>
      <c r="R308" s="647"/>
      <c r="S308" s="647"/>
      <c r="T308" s="647"/>
      <c r="U308" s="647"/>
      <c r="V308" s="647"/>
      <c r="W308" s="647"/>
      <c r="X308" s="647"/>
      <c r="Y308" s="647"/>
      <c r="Z308" s="647"/>
      <c r="AA308" s="647"/>
      <c r="AB308" s="647"/>
      <c r="AC308" s="647"/>
      <c r="AD308" s="647"/>
      <c r="AE308" s="647"/>
      <c r="AF308" s="647"/>
      <c r="AG308" s="647"/>
      <c r="AH308" s="647"/>
      <c r="AI308" s="647"/>
      <c r="AJ308" s="647"/>
      <c r="AK308" s="647"/>
      <c r="AL308" s="647"/>
      <c r="AM308" s="647"/>
    </row>
    <row r="309" spans="1:39" ht="14.1" customHeight="1">
      <c r="A309" s="678">
        <f>A306</f>
        <v>1372654023</v>
      </c>
      <c r="B309" s="679"/>
      <c r="C309" s="679"/>
      <c r="D309" s="679"/>
      <c r="E309" s="679"/>
      <c r="F309" s="680"/>
      <c r="G309" s="648" t="s">
        <v>696</v>
      </c>
      <c r="H309" s="648"/>
      <c r="I309" s="648"/>
      <c r="J309" s="655">
        <f t="shared" ref="J309:J314" si="19">J306</f>
        <v>45748</v>
      </c>
      <c r="K309" s="656"/>
      <c r="L309" s="657"/>
      <c r="M309" s="648" t="s">
        <v>720</v>
      </c>
      <c r="N309" s="648"/>
      <c r="O309" s="648">
        <f>O306</f>
        <v>1</v>
      </c>
      <c r="P309" s="648"/>
      <c r="Q309" s="648"/>
      <c r="R309" s="647" t="str">
        <f>VLOOKUP(A309,Regularizare!$D:$U,7,FALSE)&amp;" ("&amp;VLOOKUP(A309,Regularizare!$D:$U,15,FALSE)&amp;")"</f>
        <v>249691 (citit)</v>
      </c>
      <c r="S309" s="647"/>
      <c r="T309" s="647"/>
      <c r="U309" s="647" t="str">
        <f>VLOOKUP(A309,Regularizare!$D:$U,8,FALSE)&amp;" ("&amp;VLOOKUP(A309,Regularizare!$D:$U,16,FALSE)&amp;")"</f>
        <v>249691 (estimat)</v>
      </c>
      <c r="V309" s="647"/>
      <c r="W309" s="647"/>
      <c r="X309" s="647" t="str">
        <f>_xlfn.CONCAT(VLOOKUP(A309,Regularizare!$D:$U,8,FALSE)-VLOOKUP(A309,Regularizare!$D:$U,7,FALSE)," (",VLOOKUP(A309,Regularizare!$D:$U,16,FALSE),")")</f>
        <v>0 (estimat)</v>
      </c>
      <c r="Y309" s="647"/>
      <c r="Z309" s="647"/>
      <c r="AA309" s="647">
        <f>IF(VLOOKUP(A309,Regularizare!$D:$Y,21,FALSE)=0,VLOOKUP(A309,Regularizare!$D:$Y,21,FALSE),(-1)*VLOOKUP(A309,Regularizare!$D:$Y,21,FALSE))</f>
        <v>0</v>
      </c>
      <c r="AB309" s="647"/>
      <c r="AC309" s="647"/>
      <c r="AD309" s="647" t="s">
        <v>69</v>
      </c>
      <c r="AE309" s="647"/>
      <c r="AF309" s="647">
        <f>AA309</f>
        <v>0</v>
      </c>
      <c r="AG309" s="647"/>
      <c r="AH309" s="647"/>
      <c r="AI309" s="647" t="str">
        <f>AI306</f>
        <v>-</v>
      </c>
      <c r="AJ309" s="647"/>
      <c r="AK309" s="647" t="str">
        <f>AK306</f>
        <v>-</v>
      </c>
      <c r="AL309" s="647"/>
      <c r="AM309" s="647"/>
    </row>
    <row r="310" spans="1:39" ht="14.1" customHeight="1">
      <c r="A310" s="717"/>
      <c r="B310" s="718"/>
      <c r="C310" s="718"/>
      <c r="D310" s="718"/>
      <c r="E310" s="718"/>
      <c r="F310" s="719"/>
      <c r="G310" s="648"/>
      <c r="H310" s="648"/>
      <c r="I310" s="648"/>
      <c r="J310" s="717" t="str">
        <f t="shared" si="19"/>
        <v>-</v>
      </c>
      <c r="K310" s="718"/>
      <c r="L310" s="719"/>
      <c r="M310" s="648"/>
      <c r="N310" s="648"/>
      <c r="O310" s="648"/>
      <c r="P310" s="648"/>
      <c r="Q310" s="648"/>
      <c r="R310" s="647"/>
      <c r="S310" s="647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647"/>
      <c r="AL310" s="647"/>
      <c r="AM310" s="647"/>
    </row>
    <row r="311" spans="1:39" ht="14.1" customHeight="1">
      <c r="A311" s="681"/>
      <c r="B311" s="682"/>
      <c r="C311" s="682"/>
      <c r="D311" s="682"/>
      <c r="E311" s="682"/>
      <c r="F311" s="683"/>
      <c r="G311" s="648"/>
      <c r="H311" s="648"/>
      <c r="I311" s="648"/>
      <c r="J311" s="714">
        <f t="shared" si="19"/>
        <v>45777</v>
      </c>
      <c r="K311" s="715"/>
      <c r="L311" s="716"/>
      <c r="M311" s="648"/>
      <c r="N311" s="648"/>
      <c r="O311" s="648"/>
      <c r="P311" s="648"/>
      <c r="Q311" s="648"/>
      <c r="R311" s="647"/>
      <c r="S311" s="647"/>
      <c r="T311" s="647"/>
      <c r="U311" s="647"/>
      <c r="V311" s="647"/>
      <c r="W311" s="647"/>
      <c r="X311" s="647"/>
      <c r="Y311" s="647"/>
      <c r="Z311" s="647"/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</row>
    <row r="312" spans="1:39" ht="14.1" customHeight="1">
      <c r="A312" s="678">
        <f>A309</f>
        <v>1372654023</v>
      </c>
      <c r="B312" s="679"/>
      <c r="C312" s="679"/>
      <c r="D312" s="679"/>
      <c r="E312" s="679"/>
      <c r="F312" s="680"/>
      <c r="G312" s="648" t="s">
        <v>731</v>
      </c>
      <c r="H312" s="648"/>
      <c r="I312" s="648"/>
      <c r="J312" s="655">
        <f t="shared" si="19"/>
        <v>45748</v>
      </c>
      <c r="K312" s="656"/>
      <c r="L312" s="657"/>
      <c r="M312" s="648" t="s">
        <v>720</v>
      </c>
      <c r="N312" s="648"/>
      <c r="O312" s="648">
        <f>O309</f>
        <v>1</v>
      </c>
      <c r="P312" s="648"/>
      <c r="Q312" s="648"/>
      <c r="R312" s="647" t="str">
        <f>VLOOKUP(A312,Regularizare!$D:$U,9,FALSE)&amp;" ("&amp;VLOOKUP(A312,Regularizare!$D:$U,17,FALSE)&amp;")"</f>
        <v>64 (citit)</v>
      </c>
      <c r="S312" s="647"/>
      <c r="T312" s="647"/>
      <c r="U312" s="647" t="str">
        <f>VLOOKUP(A312,Regularizare!$D:$U,10,FALSE)&amp;" ("&amp;VLOOKUP(A312,Regularizare!$D:$U,18,FALSE)&amp;")"</f>
        <v>64 (estimat)</v>
      </c>
      <c r="V312" s="647"/>
      <c r="W312" s="647"/>
      <c r="X312" s="647" t="str">
        <f>_xlfn.CONCAT(VLOOKUP(A312,Regularizare!$D:$U,10,FALSE)-VLOOKUP(A312,Regularizare!$D:$U,9,FALSE)," (",VLOOKUP(A312,Regularizare!$D:$U,18,FALSE),")")</f>
        <v>0 (estimat)</v>
      </c>
      <c r="Y312" s="647"/>
      <c r="Z312" s="647"/>
      <c r="AA312" s="647">
        <f>IF(VLOOKUP(A312,Regularizare!$D:$Y,22,FALSE)=0,VLOOKUP(A312,Regularizare!$D:$Y,22,FALSE),(-1)*VLOOKUP(A312,Regularizare!$D:$Y,22,FALSE))</f>
        <v>0</v>
      </c>
      <c r="AB312" s="647"/>
      <c r="AC312" s="647"/>
      <c r="AD312" s="647" t="s">
        <v>69</v>
      </c>
      <c r="AE312" s="647"/>
      <c r="AF312" s="647">
        <f>AA312</f>
        <v>0</v>
      </c>
      <c r="AG312" s="647"/>
      <c r="AH312" s="647"/>
      <c r="AI312" s="647" t="str">
        <f>AI309</f>
        <v>-</v>
      </c>
      <c r="AJ312" s="647"/>
      <c r="AK312" s="647" t="str">
        <f>AK309</f>
        <v>-</v>
      </c>
      <c r="AL312" s="647"/>
      <c r="AM312" s="647"/>
    </row>
    <row r="313" spans="1:39" ht="14.1" customHeight="1">
      <c r="A313" s="717"/>
      <c r="B313" s="718"/>
      <c r="C313" s="718"/>
      <c r="D313" s="718"/>
      <c r="E313" s="718"/>
      <c r="F313" s="719"/>
      <c r="G313" s="648"/>
      <c r="H313" s="648"/>
      <c r="I313" s="648"/>
      <c r="J313" s="717" t="str">
        <f t="shared" si="19"/>
        <v>-</v>
      </c>
      <c r="K313" s="718"/>
      <c r="L313" s="719"/>
      <c r="M313" s="648"/>
      <c r="N313" s="648"/>
      <c r="O313" s="648"/>
      <c r="P313" s="648"/>
      <c r="Q313" s="648"/>
      <c r="R313" s="647"/>
      <c r="S313" s="647"/>
      <c r="T313" s="647"/>
      <c r="U313" s="647"/>
      <c r="V313" s="647"/>
      <c r="W313" s="647"/>
      <c r="X313" s="647"/>
      <c r="Y313" s="647"/>
      <c r="Z313" s="647"/>
      <c r="AA313" s="647"/>
      <c r="AB313" s="647"/>
      <c r="AC313" s="647"/>
      <c r="AD313" s="647"/>
      <c r="AE313" s="647"/>
      <c r="AF313" s="647"/>
      <c r="AG313" s="647"/>
      <c r="AH313" s="647"/>
      <c r="AI313" s="647"/>
      <c r="AJ313" s="647"/>
      <c r="AK313" s="647"/>
      <c r="AL313" s="647"/>
      <c r="AM313" s="647"/>
    </row>
    <row r="314" spans="1:39" ht="14.1" customHeight="1">
      <c r="A314" s="681"/>
      <c r="B314" s="682"/>
      <c r="C314" s="682"/>
      <c r="D314" s="682"/>
      <c r="E314" s="682"/>
      <c r="F314" s="683"/>
      <c r="G314" s="648"/>
      <c r="H314" s="648"/>
      <c r="I314" s="648"/>
      <c r="J314" s="714">
        <f t="shared" si="19"/>
        <v>45777</v>
      </c>
      <c r="K314" s="715"/>
      <c r="L314" s="716"/>
      <c r="M314" s="648"/>
      <c r="N314" s="648"/>
      <c r="O314" s="648"/>
      <c r="P314" s="648"/>
      <c r="Q314" s="648"/>
      <c r="R314" s="647"/>
      <c r="S314" s="647"/>
      <c r="T314" s="647"/>
      <c r="U314" s="647"/>
      <c r="V314" s="647"/>
      <c r="W314" s="647"/>
      <c r="X314" s="647"/>
      <c r="Y314" s="647"/>
      <c r="Z314" s="647"/>
      <c r="AA314" s="647"/>
      <c r="AB314" s="647"/>
      <c r="AC314" s="647"/>
      <c r="AD314" s="647"/>
      <c r="AE314" s="647"/>
      <c r="AF314" s="647"/>
      <c r="AG314" s="647"/>
      <c r="AH314" s="647"/>
      <c r="AI314" s="647"/>
      <c r="AJ314" s="647"/>
      <c r="AK314" s="647"/>
      <c r="AL314" s="647"/>
      <c r="AM314" s="647"/>
    </row>
    <row r="315" spans="1:39" ht="14.1" customHeight="1">
      <c r="A315" s="678">
        <f>A312</f>
        <v>1372654023</v>
      </c>
      <c r="B315" s="679"/>
      <c r="C315" s="679"/>
      <c r="D315" s="679"/>
      <c r="E315" s="679"/>
      <c r="F315" s="680"/>
      <c r="G315" s="648" t="s">
        <v>730</v>
      </c>
      <c r="H315" s="648"/>
      <c r="I315" s="673"/>
      <c r="J315" s="655">
        <f>'Date masura OD'!$AK$5</f>
        <v>45748</v>
      </c>
      <c r="K315" s="656"/>
      <c r="L315" s="657"/>
      <c r="M315" s="720" t="s">
        <v>446</v>
      </c>
      <c r="N315" s="648"/>
      <c r="O315" s="648">
        <f>O312</f>
        <v>1</v>
      </c>
      <c r="P315" s="648"/>
      <c r="Q315" s="648"/>
      <c r="R315" s="647" t="str">
        <f>VLOOKUP(A315,Regularizare!$D:$AX,23,FALSE)&amp;" ("&amp;VLOOKUP(A315,Regularizare!$D:$AX,24,FALSE)&amp;")"</f>
        <v>2106434 (citit)</v>
      </c>
      <c r="S315" s="647"/>
      <c r="T315" s="647"/>
      <c r="U315" s="647" t="str">
        <f>VLOOKUP(A315,Regularizare!$D:$AX,25,FALSE)&amp;" ("&amp;VLOOKUP(A315,Regularizare!$D:$AX,26,FALSE)&amp;")"</f>
        <v>2223912 (citit)</v>
      </c>
      <c r="V315" s="647"/>
      <c r="W315" s="647"/>
      <c r="X315" s="647" t="str">
        <f>VLOOKUP(A315,Regularizare!$D:$AX,37,FALSE)&amp;" ("&amp;VLOOKUP(A315,Regularizare!$D:$AX,26,FALSE)&amp;")"</f>
        <v>117478 (citit)</v>
      </c>
      <c r="Y315" s="647"/>
      <c r="Z315" s="647"/>
      <c r="AA315" s="647">
        <f>VLOOKUP(A315,Regularizare!$D:$AX,37,FALSE)</f>
        <v>117478</v>
      </c>
      <c r="AB315" s="647"/>
      <c r="AC315" s="647"/>
      <c r="AD315" s="647" t="s">
        <v>69</v>
      </c>
      <c r="AE315" s="647"/>
      <c r="AF315" s="647">
        <f>AA315</f>
        <v>117478</v>
      </c>
      <c r="AG315" s="647"/>
      <c r="AH315" s="647"/>
      <c r="AI315" s="647" t="str">
        <f>AI312</f>
        <v>-</v>
      </c>
      <c r="AJ315" s="647"/>
      <c r="AK315" s="647" t="str">
        <f>AK312</f>
        <v>-</v>
      </c>
      <c r="AL315" s="647"/>
      <c r="AM315" s="647"/>
    </row>
    <row r="316" spans="1:39" ht="14.1" customHeight="1">
      <c r="A316" s="717"/>
      <c r="B316" s="718"/>
      <c r="C316" s="718"/>
      <c r="D316" s="718"/>
      <c r="E316" s="718"/>
      <c r="F316" s="719"/>
      <c r="G316" s="648"/>
      <c r="H316" s="648"/>
      <c r="I316" s="673"/>
      <c r="J316" s="717" t="s">
        <v>69</v>
      </c>
      <c r="K316" s="718"/>
      <c r="L316" s="719"/>
      <c r="M316" s="720"/>
      <c r="N316" s="648"/>
      <c r="O316" s="648"/>
      <c r="P316" s="648"/>
      <c r="Q316" s="648"/>
      <c r="R316" s="647"/>
      <c r="S316" s="647"/>
      <c r="T316" s="647"/>
      <c r="U316" s="647"/>
      <c r="V316" s="647"/>
      <c r="W316" s="647"/>
      <c r="X316" s="647"/>
      <c r="Y316" s="647"/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647"/>
      <c r="AL316" s="647"/>
      <c r="AM316" s="647"/>
    </row>
    <row r="317" spans="1:39" ht="14.1" customHeight="1">
      <c r="A317" s="681"/>
      <c r="B317" s="682"/>
      <c r="C317" s="682"/>
      <c r="D317" s="682"/>
      <c r="E317" s="682"/>
      <c r="F317" s="683"/>
      <c r="G317" s="648"/>
      <c r="H317" s="648"/>
      <c r="I317" s="673"/>
      <c r="J317" s="714">
        <f>'Date masura OD'!$AL$5</f>
        <v>45777</v>
      </c>
      <c r="K317" s="715"/>
      <c r="L317" s="716"/>
      <c r="M317" s="720"/>
      <c r="N317" s="648"/>
      <c r="O317" s="648"/>
      <c r="P317" s="648"/>
      <c r="Q317" s="648"/>
      <c r="R317" s="647"/>
      <c r="S317" s="647"/>
      <c r="T317" s="647"/>
      <c r="U317" s="647"/>
      <c r="V317" s="647"/>
      <c r="W317" s="647"/>
      <c r="X317" s="647"/>
      <c r="Y317" s="647"/>
      <c r="Z317" s="647"/>
      <c r="AA317" s="647"/>
      <c r="AB317" s="647"/>
      <c r="AC317" s="647"/>
      <c r="AD317" s="647"/>
      <c r="AE317" s="647"/>
      <c r="AF317" s="647"/>
      <c r="AG317" s="647"/>
      <c r="AH317" s="647"/>
      <c r="AI317" s="647"/>
      <c r="AJ317" s="647"/>
      <c r="AK317" s="647"/>
      <c r="AL317" s="647"/>
      <c r="AM317" s="647"/>
    </row>
    <row r="318" spans="1:39" ht="14.1" customHeight="1">
      <c r="A318" s="678">
        <f>A315</f>
        <v>1372654023</v>
      </c>
      <c r="B318" s="679"/>
      <c r="C318" s="679"/>
      <c r="D318" s="679"/>
      <c r="E318" s="679"/>
      <c r="F318" s="680"/>
      <c r="G318" s="648" t="s">
        <v>696</v>
      </c>
      <c r="H318" s="648"/>
      <c r="I318" s="648"/>
      <c r="J318" s="655">
        <f t="shared" ref="J318:J323" si="20">J315</f>
        <v>45748</v>
      </c>
      <c r="K318" s="656"/>
      <c r="L318" s="657"/>
      <c r="M318" s="648" t="s">
        <v>720</v>
      </c>
      <c r="N318" s="648"/>
      <c r="O318" s="648">
        <f>O315</f>
        <v>1</v>
      </c>
      <c r="P318" s="648"/>
      <c r="Q318" s="648"/>
      <c r="R318" s="647" t="str">
        <f>VLOOKUP(A318,Regularizare!$D:$AX,29,FALSE)&amp;" ("&amp;VLOOKUP(A318,Regularizare!$D:$AX,30,FALSE)&amp;")"</f>
        <v>249691 (citit)</v>
      </c>
      <c r="S318" s="647"/>
      <c r="T318" s="647"/>
      <c r="U318" s="647" t="str">
        <f>VLOOKUP(A318,Regularizare!$D:$AX,31,FALSE)&amp;" ("&amp;VLOOKUP(A318,Regularizare!$D:$AX,32,FALSE)&amp;")"</f>
        <v>254523 (citit)</v>
      </c>
      <c r="V318" s="647"/>
      <c r="W318" s="647"/>
      <c r="X318" s="647" t="str">
        <f>VLOOKUP(A318,Regularizare!$D:$AX,39,FALSE)&amp;" ("&amp;VLOOKUP(A318,Regularizare!$D:$AX,32,FALSE)&amp;")"</f>
        <v>4832 (citit)</v>
      </c>
      <c r="Y318" s="647"/>
      <c r="Z318" s="647"/>
      <c r="AA318" s="647">
        <f>VLOOKUP(A318,Regularizare!$D:$AX,44,FALSE)+VLOOKUP(A318,Regularizare!$D:$AX,45,FALSE)</f>
        <v>4832</v>
      </c>
      <c r="AB318" s="647"/>
      <c r="AC318" s="647"/>
      <c r="AD318" s="647" t="s">
        <v>69</v>
      </c>
      <c r="AE318" s="647"/>
      <c r="AF318" s="647">
        <f>AA318</f>
        <v>4832</v>
      </c>
      <c r="AG318" s="647"/>
      <c r="AH318" s="647"/>
      <c r="AI318" s="647" t="str">
        <f>AI315</f>
        <v>-</v>
      </c>
      <c r="AJ318" s="647"/>
      <c r="AK318" s="647" t="str">
        <f>AK315</f>
        <v>-</v>
      </c>
      <c r="AL318" s="647"/>
      <c r="AM318" s="647"/>
    </row>
    <row r="319" spans="1:39" ht="14.1" customHeight="1">
      <c r="A319" s="717"/>
      <c r="B319" s="718"/>
      <c r="C319" s="718"/>
      <c r="D319" s="718"/>
      <c r="E319" s="718"/>
      <c r="F319" s="719"/>
      <c r="G319" s="648"/>
      <c r="H319" s="648"/>
      <c r="I319" s="648"/>
      <c r="J319" s="717" t="str">
        <f t="shared" si="20"/>
        <v>-</v>
      </c>
      <c r="K319" s="718"/>
      <c r="L319" s="719"/>
      <c r="M319" s="648"/>
      <c r="N319" s="648"/>
      <c r="O319" s="648"/>
      <c r="P319" s="648"/>
      <c r="Q319" s="648"/>
      <c r="R319" s="647"/>
      <c r="S319" s="647"/>
      <c r="T319" s="647"/>
      <c r="U319" s="647"/>
      <c r="V319" s="647"/>
      <c r="W319" s="647"/>
      <c r="X319" s="647"/>
      <c r="Y319" s="647"/>
      <c r="Z319" s="647"/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</row>
    <row r="320" spans="1:39" ht="14.1" customHeight="1">
      <c r="A320" s="681"/>
      <c r="B320" s="682"/>
      <c r="C320" s="682"/>
      <c r="D320" s="682"/>
      <c r="E320" s="682"/>
      <c r="F320" s="683"/>
      <c r="G320" s="648"/>
      <c r="H320" s="648"/>
      <c r="I320" s="648"/>
      <c r="J320" s="714">
        <f t="shared" si="20"/>
        <v>45777</v>
      </c>
      <c r="K320" s="715"/>
      <c r="L320" s="716"/>
      <c r="M320" s="648"/>
      <c r="N320" s="648"/>
      <c r="O320" s="648"/>
      <c r="P320" s="648"/>
      <c r="Q320" s="648"/>
      <c r="R320" s="647"/>
      <c r="S320" s="647"/>
      <c r="T320" s="647"/>
      <c r="U320" s="647"/>
      <c r="V320" s="647"/>
      <c r="W320" s="647"/>
      <c r="X320" s="647"/>
      <c r="Y320" s="647"/>
      <c r="Z320" s="647"/>
      <c r="AA320" s="647"/>
      <c r="AB320" s="647"/>
      <c r="AC320" s="647"/>
      <c r="AD320" s="647"/>
      <c r="AE320" s="647"/>
      <c r="AF320" s="647"/>
      <c r="AG320" s="647"/>
      <c r="AH320" s="647"/>
      <c r="AI320" s="647"/>
      <c r="AJ320" s="647"/>
      <c r="AK320" s="647"/>
      <c r="AL320" s="647"/>
      <c r="AM320" s="647"/>
    </row>
    <row r="321" spans="1:39" ht="14.1" customHeight="1">
      <c r="A321" s="678">
        <f>A318</f>
        <v>1372654023</v>
      </c>
      <c r="B321" s="679"/>
      <c r="C321" s="679"/>
      <c r="D321" s="679"/>
      <c r="E321" s="679"/>
      <c r="F321" s="680"/>
      <c r="G321" s="648" t="s">
        <v>731</v>
      </c>
      <c r="H321" s="648"/>
      <c r="I321" s="648"/>
      <c r="J321" s="655">
        <f t="shared" si="20"/>
        <v>45748</v>
      </c>
      <c r="K321" s="656"/>
      <c r="L321" s="657"/>
      <c r="M321" s="648" t="s">
        <v>720</v>
      </c>
      <c r="N321" s="648"/>
      <c r="O321" s="648">
        <f>O318</f>
        <v>1</v>
      </c>
      <c r="P321" s="648"/>
      <c r="Q321" s="648"/>
      <c r="R321" s="647" t="str">
        <f>VLOOKUP(A321,Regularizare!$D:$AX,33,FALSE)&amp;" ("&amp;VLOOKUP(A321,Regularizare!$D:$AX,34,FALSE)&amp;")"</f>
        <v>64 (citit)</v>
      </c>
      <c r="S321" s="647"/>
      <c r="T321" s="647"/>
      <c r="U321" s="647" t="str">
        <f>VLOOKUP(A321,Regularizare!$D:$AX,35,FALSE)&amp;" ("&amp;VLOOKUP(A321,Regularizare!$D:$AX,36,FALSE)&amp;")"</f>
        <v>64 (citit)</v>
      </c>
      <c r="V321" s="647"/>
      <c r="W321" s="647"/>
      <c r="X321" s="647" t="str">
        <f>VLOOKUP(A321,Regularizare!$D:$AX,40,FALSE)&amp;" ("&amp;VLOOKUP(A321,Regularizare!$D:$AX,36,FALSE)&amp;")"</f>
        <v>0 (citit)</v>
      </c>
      <c r="Y321" s="647"/>
      <c r="Z321" s="647"/>
      <c r="AA321" s="647">
        <f>VLOOKUP(A321,Regularizare!$D:$AX,46,FALSE)+VLOOKUP(A321,Regularizare!$D:$AX,47,FALSE)</f>
        <v>0</v>
      </c>
      <c r="AB321" s="647"/>
      <c r="AC321" s="647"/>
      <c r="AD321" s="647" t="s">
        <v>69</v>
      </c>
      <c r="AE321" s="647"/>
      <c r="AF321" s="647">
        <f>AA321</f>
        <v>0</v>
      </c>
      <c r="AG321" s="647"/>
      <c r="AH321" s="647"/>
      <c r="AI321" s="647" t="str">
        <f>AI318</f>
        <v>-</v>
      </c>
      <c r="AJ321" s="647"/>
      <c r="AK321" s="647" t="str">
        <f>AK318</f>
        <v>-</v>
      </c>
      <c r="AL321" s="647"/>
      <c r="AM321" s="647"/>
    </row>
    <row r="322" spans="1:39" ht="14.1" customHeight="1">
      <c r="A322" s="717"/>
      <c r="B322" s="718"/>
      <c r="C322" s="718"/>
      <c r="D322" s="718"/>
      <c r="E322" s="718"/>
      <c r="F322" s="719"/>
      <c r="G322" s="648"/>
      <c r="H322" s="648"/>
      <c r="I322" s="648"/>
      <c r="J322" s="717" t="str">
        <f t="shared" si="20"/>
        <v>-</v>
      </c>
      <c r="K322" s="718"/>
      <c r="L322" s="719"/>
      <c r="M322" s="648"/>
      <c r="N322" s="648"/>
      <c r="O322" s="648"/>
      <c r="P322" s="648"/>
      <c r="Q322" s="648"/>
      <c r="R322" s="647"/>
      <c r="S322" s="647"/>
      <c r="T322" s="647"/>
      <c r="U322" s="647"/>
      <c r="V322" s="647"/>
      <c r="W322" s="647"/>
      <c r="X322" s="647"/>
      <c r="Y322" s="647"/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647"/>
      <c r="AL322" s="647"/>
      <c r="AM322" s="647"/>
    </row>
    <row r="323" spans="1:39" ht="14.1" customHeight="1">
      <c r="A323" s="681"/>
      <c r="B323" s="682"/>
      <c r="C323" s="682"/>
      <c r="D323" s="682"/>
      <c r="E323" s="682"/>
      <c r="F323" s="683"/>
      <c r="G323" s="648"/>
      <c r="H323" s="648"/>
      <c r="I323" s="648"/>
      <c r="J323" s="714">
        <f t="shared" si="20"/>
        <v>45777</v>
      </c>
      <c r="K323" s="715"/>
      <c r="L323" s="716"/>
      <c r="M323" s="648"/>
      <c r="N323" s="648"/>
      <c r="O323" s="648"/>
      <c r="P323" s="648"/>
      <c r="Q323" s="648"/>
      <c r="R323" s="647"/>
      <c r="S323" s="647"/>
      <c r="T323" s="647"/>
      <c r="U323" s="647"/>
      <c r="V323" s="647"/>
      <c r="W323" s="647"/>
      <c r="X323" s="647"/>
      <c r="Y323" s="647"/>
      <c r="Z323" s="647"/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</row>
    <row r="324" spans="1:39" ht="14.1" customHeight="1">
      <c r="A324" s="678">
        <f>A321</f>
        <v>1372654023</v>
      </c>
      <c r="B324" s="679"/>
      <c r="C324" s="679"/>
      <c r="D324" s="679"/>
      <c r="E324" s="679"/>
      <c r="F324" s="680"/>
      <c r="G324" s="648" t="s">
        <v>730</v>
      </c>
      <c r="H324" s="648"/>
      <c r="I324" s="673"/>
      <c r="J324" s="655">
        <f>'Date masura OD'!$I$5</f>
        <v>45778</v>
      </c>
      <c r="K324" s="656"/>
      <c r="L324" s="657"/>
      <c r="M324" s="720" t="s">
        <v>446</v>
      </c>
      <c r="N324" s="648"/>
      <c r="O324" s="648">
        <f>O321</f>
        <v>1</v>
      </c>
      <c r="P324" s="648"/>
      <c r="Q324" s="648"/>
      <c r="R324" s="647" t="str">
        <f>U315</f>
        <v>2223912 (citit)</v>
      </c>
      <c r="S324" s="647"/>
      <c r="T324" s="647"/>
      <c r="U324" s="647" t="str">
        <f>VLOOKUP(A324,'Incrementare indexe'!$D:$M,4,FALSE)&amp;" (estimat)"</f>
        <v>2352484 (estimat)</v>
      </c>
      <c r="V324" s="647"/>
      <c r="W324" s="647"/>
      <c r="X324" s="647" t="str">
        <f>VLOOKUP(A324,'Incrementare indexe'!$D:$Q,11,FALSE)&amp;" (estimat)"</f>
        <v>128572 (estimat)</v>
      </c>
      <c r="Y324" s="647"/>
      <c r="Z324" s="647"/>
      <c r="AA324" s="647" t="s">
        <v>69</v>
      </c>
      <c r="AB324" s="647"/>
      <c r="AC324" s="647"/>
      <c r="AD324" s="647" t="s">
        <v>69</v>
      </c>
      <c r="AE324" s="647"/>
      <c r="AF324" s="647">
        <f>VLOOKUP(A324,'Incrementare indexe'!$D:$Q,11,FALSE)</f>
        <v>128572</v>
      </c>
      <c r="AG324" s="647"/>
      <c r="AH324" s="647"/>
      <c r="AI324" s="647">
        <f>J326-J324+1</f>
        <v>31</v>
      </c>
      <c r="AJ324" s="647"/>
      <c r="AK324" s="647">
        <f>ROUND(AF324/AI324,2)</f>
        <v>4147.4799999999996</v>
      </c>
      <c r="AL324" s="647"/>
      <c r="AM324" s="647"/>
    </row>
    <row r="325" spans="1:39" ht="14.1" customHeight="1">
      <c r="A325" s="717"/>
      <c r="B325" s="718"/>
      <c r="C325" s="718"/>
      <c r="D325" s="718"/>
      <c r="E325" s="718"/>
      <c r="F325" s="719"/>
      <c r="G325" s="648"/>
      <c r="H325" s="648"/>
      <c r="I325" s="673"/>
      <c r="J325" s="717" t="s">
        <v>69</v>
      </c>
      <c r="K325" s="718"/>
      <c r="L325" s="719"/>
      <c r="M325" s="720"/>
      <c r="N325" s="648"/>
      <c r="O325" s="648"/>
      <c r="P325" s="648"/>
      <c r="Q325" s="648"/>
      <c r="R325" s="647"/>
      <c r="S325" s="647"/>
      <c r="T325" s="647"/>
      <c r="U325" s="647"/>
      <c r="V325" s="647"/>
      <c r="W325" s="647"/>
      <c r="X325" s="647"/>
      <c r="Y325" s="647"/>
      <c r="Z325" s="647"/>
      <c r="AA325" s="647"/>
      <c r="AB325" s="647"/>
      <c r="AC325" s="647"/>
      <c r="AD325" s="647"/>
      <c r="AE325" s="647"/>
      <c r="AF325" s="647"/>
      <c r="AG325" s="647"/>
      <c r="AH325" s="647"/>
      <c r="AI325" s="647"/>
      <c r="AJ325" s="647"/>
      <c r="AK325" s="647"/>
      <c r="AL325" s="647"/>
      <c r="AM325" s="647"/>
    </row>
    <row r="326" spans="1:39" ht="14.1" customHeight="1">
      <c r="A326" s="681"/>
      <c r="B326" s="682"/>
      <c r="C326" s="682"/>
      <c r="D326" s="682"/>
      <c r="E326" s="682"/>
      <c r="F326" s="683"/>
      <c r="G326" s="648"/>
      <c r="H326" s="648"/>
      <c r="I326" s="673"/>
      <c r="J326" s="714">
        <f>'Date masura OD'!$J$5</f>
        <v>45808</v>
      </c>
      <c r="K326" s="715"/>
      <c r="L326" s="716"/>
      <c r="M326" s="720"/>
      <c r="N326" s="648"/>
      <c r="O326" s="648"/>
      <c r="P326" s="648"/>
      <c r="Q326" s="648"/>
      <c r="R326" s="647"/>
      <c r="S326" s="647"/>
      <c r="T326" s="647"/>
      <c r="U326" s="647"/>
      <c r="V326" s="647"/>
      <c r="W326" s="647"/>
      <c r="X326" s="647"/>
      <c r="Y326" s="647"/>
      <c r="Z326" s="647"/>
      <c r="AA326" s="647"/>
      <c r="AB326" s="647"/>
      <c r="AC326" s="647"/>
      <c r="AD326" s="647"/>
      <c r="AE326" s="647"/>
      <c r="AF326" s="647"/>
      <c r="AG326" s="647"/>
      <c r="AH326" s="647"/>
      <c r="AI326" s="647"/>
      <c r="AJ326" s="647"/>
      <c r="AK326" s="647"/>
      <c r="AL326" s="647"/>
      <c r="AM326" s="647"/>
    </row>
    <row r="327" spans="1:39" ht="14.1" customHeight="1">
      <c r="A327" s="678">
        <f>A324</f>
        <v>1372654023</v>
      </c>
      <c r="B327" s="679"/>
      <c r="C327" s="679"/>
      <c r="D327" s="679"/>
      <c r="E327" s="679"/>
      <c r="F327" s="680"/>
      <c r="G327" s="648" t="s">
        <v>696</v>
      </c>
      <c r="H327" s="648"/>
      <c r="I327" s="648"/>
      <c r="J327" s="655">
        <f t="shared" ref="J327:J332" si="21">J324</f>
        <v>45778</v>
      </c>
      <c r="K327" s="656"/>
      <c r="L327" s="657"/>
      <c r="M327" s="648" t="s">
        <v>720</v>
      </c>
      <c r="N327" s="648"/>
      <c r="O327" s="648">
        <f>O324</f>
        <v>1</v>
      </c>
      <c r="P327" s="648"/>
      <c r="Q327" s="648"/>
      <c r="R327" s="647" t="str">
        <f>U318</f>
        <v>254523 (citit)</v>
      </c>
      <c r="S327" s="647"/>
      <c r="T327" s="647"/>
      <c r="U327" s="647" t="str">
        <f>VLOOKUP(A327,'Incrementare indexe'!$D:$M,8,FALSE)&amp;" (estimat)"</f>
        <v>254523 (estimat)</v>
      </c>
      <c r="V327" s="647"/>
      <c r="W327" s="647"/>
      <c r="X327" s="647" t="str">
        <f>VLOOKUP(A327,'Incrementare indexe'!$D:$Q,12,FALSE)&amp;" (estimat)"</f>
        <v>0 (estimat)</v>
      </c>
      <c r="Y327" s="647"/>
      <c r="Z327" s="647"/>
      <c r="AA327" s="647" t="s">
        <v>69</v>
      </c>
      <c r="AB327" s="647"/>
      <c r="AC327" s="647"/>
      <c r="AD327" s="647" t="s">
        <v>69</v>
      </c>
      <c r="AE327" s="647"/>
      <c r="AF327" s="647">
        <f>VLOOKUP(A327,'Incrementare indexe'!$D:$Q,12,FALSE)</f>
        <v>0</v>
      </c>
      <c r="AG327" s="647"/>
      <c r="AH327" s="647"/>
      <c r="AI327" s="647">
        <f>AI324</f>
        <v>31</v>
      </c>
      <c r="AJ327" s="647"/>
      <c r="AK327" s="647">
        <f>ROUND(AF327/AI327,2)</f>
        <v>0</v>
      </c>
      <c r="AL327" s="647"/>
      <c r="AM327" s="647"/>
    </row>
    <row r="328" spans="1:39" ht="14.1" customHeight="1">
      <c r="A328" s="717"/>
      <c r="B328" s="718"/>
      <c r="C328" s="718"/>
      <c r="D328" s="718"/>
      <c r="E328" s="718"/>
      <c r="F328" s="719"/>
      <c r="G328" s="648"/>
      <c r="H328" s="648"/>
      <c r="I328" s="648"/>
      <c r="J328" s="717" t="str">
        <f t="shared" si="21"/>
        <v>-</v>
      </c>
      <c r="K328" s="718"/>
      <c r="L328" s="719"/>
      <c r="M328" s="648"/>
      <c r="N328" s="648"/>
      <c r="O328" s="648"/>
      <c r="P328" s="648"/>
      <c r="Q328" s="648"/>
      <c r="R328" s="647"/>
      <c r="S328" s="647"/>
      <c r="T328" s="647"/>
      <c r="U328" s="647"/>
      <c r="V328" s="647"/>
      <c r="W328" s="647"/>
      <c r="X328" s="647"/>
      <c r="Y328" s="647"/>
      <c r="Z328" s="647"/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</row>
    <row r="329" spans="1:39" ht="14.1" customHeight="1">
      <c r="A329" s="681"/>
      <c r="B329" s="682"/>
      <c r="C329" s="682"/>
      <c r="D329" s="682"/>
      <c r="E329" s="682"/>
      <c r="F329" s="683"/>
      <c r="G329" s="648"/>
      <c r="H329" s="648"/>
      <c r="I329" s="648"/>
      <c r="J329" s="714">
        <f t="shared" si="21"/>
        <v>45808</v>
      </c>
      <c r="K329" s="715"/>
      <c r="L329" s="716"/>
      <c r="M329" s="648"/>
      <c r="N329" s="648"/>
      <c r="O329" s="648"/>
      <c r="P329" s="648"/>
      <c r="Q329" s="648"/>
      <c r="R329" s="647"/>
      <c r="S329" s="647"/>
      <c r="T329" s="647"/>
      <c r="U329" s="647"/>
      <c r="V329" s="647"/>
      <c r="W329" s="647"/>
      <c r="X329" s="647"/>
      <c r="Y329" s="647"/>
      <c r="Z329" s="647"/>
      <c r="AA329" s="647"/>
      <c r="AB329" s="647"/>
      <c r="AC329" s="647"/>
      <c r="AD329" s="647"/>
      <c r="AE329" s="647"/>
      <c r="AF329" s="647"/>
      <c r="AG329" s="647"/>
      <c r="AH329" s="647"/>
      <c r="AI329" s="647"/>
      <c r="AJ329" s="647"/>
      <c r="AK329" s="647"/>
      <c r="AL329" s="647"/>
      <c r="AM329" s="647"/>
    </row>
    <row r="330" spans="1:39" ht="14.1" customHeight="1">
      <c r="A330" s="678">
        <f>A327</f>
        <v>1372654023</v>
      </c>
      <c r="B330" s="679"/>
      <c r="C330" s="679"/>
      <c r="D330" s="679"/>
      <c r="E330" s="679"/>
      <c r="F330" s="680"/>
      <c r="G330" s="648" t="s">
        <v>731</v>
      </c>
      <c r="H330" s="648"/>
      <c r="I330" s="648"/>
      <c r="J330" s="655">
        <f t="shared" si="21"/>
        <v>45778</v>
      </c>
      <c r="K330" s="656"/>
      <c r="L330" s="657"/>
      <c r="M330" s="648" t="s">
        <v>720</v>
      </c>
      <c r="N330" s="648"/>
      <c r="O330" s="648">
        <f>O327</f>
        <v>1</v>
      </c>
      <c r="P330" s="648"/>
      <c r="Q330" s="648"/>
      <c r="R330" s="647" t="str">
        <f>U321</f>
        <v>64 (citit)</v>
      </c>
      <c r="S330" s="647"/>
      <c r="T330" s="647"/>
      <c r="U330" s="647" t="str">
        <f>VLOOKUP(A330,'Incrementare indexe'!$D:$M,10,FALSE)&amp;" (estimat)"</f>
        <v>64 (estimat)</v>
      </c>
      <c r="V330" s="647"/>
      <c r="W330" s="647"/>
      <c r="X330" s="647" t="str">
        <f>VLOOKUP(A330,'Incrementare indexe'!$D:$Q,13,FALSE)&amp;" (estimat)"</f>
        <v>0 (estimat)</v>
      </c>
      <c r="Y330" s="647"/>
      <c r="Z330" s="647"/>
      <c r="AA330" s="647" t="s">
        <v>69</v>
      </c>
      <c r="AB330" s="647"/>
      <c r="AC330" s="647"/>
      <c r="AD330" s="647" t="s">
        <v>69</v>
      </c>
      <c r="AE330" s="647"/>
      <c r="AF330" s="647">
        <f>VLOOKUP(A330,'Incrementare indexe'!$D:$Q,13,FALSE)</f>
        <v>0</v>
      </c>
      <c r="AG330" s="647"/>
      <c r="AH330" s="647"/>
      <c r="AI330" s="647">
        <f>AI327</f>
        <v>31</v>
      </c>
      <c r="AJ330" s="647"/>
      <c r="AK330" s="647">
        <f>ROUND(AF330/AI330,2)</f>
        <v>0</v>
      </c>
      <c r="AL330" s="647"/>
      <c r="AM330" s="647"/>
    </row>
    <row r="331" spans="1:39" ht="14.1" customHeight="1">
      <c r="A331" s="717"/>
      <c r="B331" s="718"/>
      <c r="C331" s="718"/>
      <c r="D331" s="718"/>
      <c r="E331" s="718"/>
      <c r="F331" s="719"/>
      <c r="G331" s="648"/>
      <c r="H331" s="648"/>
      <c r="I331" s="648"/>
      <c r="J331" s="717" t="str">
        <f t="shared" si="21"/>
        <v>-</v>
      </c>
      <c r="K331" s="718"/>
      <c r="L331" s="719"/>
      <c r="M331" s="648"/>
      <c r="N331" s="648"/>
      <c r="O331" s="648"/>
      <c r="P331" s="648"/>
      <c r="Q331" s="648"/>
      <c r="R331" s="647"/>
      <c r="S331" s="647"/>
      <c r="T331" s="647"/>
      <c r="U331" s="647"/>
      <c r="V331" s="647"/>
      <c r="W331" s="647"/>
      <c r="X331" s="647"/>
      <c r="Y331" s="647"/>
      <c r="Z331" s="647"/>
      <c r="AA331" s="647"/>
      <c r="AB331" s="647"/>
      <c r="AC331" s="647"/>
      <c r="AD331" s="647"/>
      <c r="AE331" s="647"/>
      <c r="AF331" s="647"/>
      <c r="AG331" s="647"/>
      <c r="AH331" s="647"/>
      <c r="AI331" s="647"/>
      <c r="AJ331" s="647"/>
      <c r="AK331" s="647"/>
      <c r="AL331" s="647"/>
      <c r="AM331" s="647"/>
    </row>
    <row r="332" spans="1:39" ht="14.1" customHeight="1">
      <c r="A332" s="681"/>
      <c r="B332" s="682"/>
      <c r="C332" s="682"/>
      <c r="D332" s="682"/>
      <c r="E332" s="682"/>
      <c r="F332" s="683"/>
      <c r="G332" s="648"/>
      <c r="H332" s="648"/>
      <c r="I332" s="648"/>
      <c r="J332" s="714">
        <f t="shared" si="21"/>
        <v>45808</v>
      </c>
      <c r="K332" s="715"/>
      <c r="L332" s="716"/>
      <c r="M332" s="648"/>
      <c r="N332" s="648"/>
      <c r="O332" s="648"/>
      <c r="P332" s="648"/>
      <c r="Q332" s="648"/>
      <c r="R332" s="647"/>
      <c r="S332" s="647"/>
      <c r="T332" s="647"/>
      <c r="U332" s="647"/>
      <c r="V332" s="647"/>
      <c r="W332" s="647"/>
      <c r="X332" s="647"/>
      <c r="Y332" s="647"/>
      <c r="Z332" s="647"/>
      <c r="AA332" s="647"/>
      <c r="AB332" s="647"/>
      <c r="AC332" s="647"/>
      <c r="AD332" s="647"/>
      <c r="AE332" s="647"/>
      <c r="AF332" s="647"/>
      <c r="AG332" s="647"/>
      <c r="AH332" s="647"/>
      <c r="AI332" s="647"/>
      <c r="AJ332" s="647"/>
      <c r="AK332" s="647"/>
      <c r="AL332" s="647"/>
      <c r="AM332" s="647"/>
    </row>
    <row r="333" spans="1:39" ht="14.1" customHeight="1"/>
    <row r="334" spans="1:39" ht="15.95" customHeight="1">
      <c r="A334" s="624" t="str">
        <f>A28</f>
        <v>DETALII FACTURA FACTURA FISCALA SERIA …........ NR …................. din date de ….......06.2025</v>
      </c>
      <c r="B334" s="624"/>
      <c r="C334" s="624"/>
      <c r="D334" s="624"/>
      <c r="E334" s="624"/>
      <c r="F334" s="624"/>
      <c r="G334" s="624"/>
      <c r="H334" s="624"/>
      <c r="I334" s="624"/>
      <c r="J334" s="624"/>
      <c r="K334" s="624"/>
      <c r="L334" s="624"/>
      <c r="M334" s="624"/>
      <c r="N334" s="624"/>
      <c r="O334" s="624"/>
      <c r="P334" s="624"/>
      <c r="Q334" s="624"/>
      <c r="R334" s="624"/>
      <c r="S334" s="624"/>
      <c r="T334" s="624"/>
      <c r="U334" s="624"/>
      <c r="V334" s="624"/>
      <c r="W334" s="624"/>
      <c r="X334" s="624"/>
      <c r="Y334" s="624"/>
      <c r="Z334" s="624"/>
      <c r="AA334" s="624"/>
      <c r="AB334" s="624"/>
      <c r="AC334" s="624"/>
      <c r="AD334" s="624"/>
      <c r="AE334" s="624"/>
      <c r="AF334" s="624"/>
      <c r="AG334" s="624"/>
      <c r="AH334" s="624"/>
      <c r="AI334" s="624"/>
      <c r="AJ334" s="624"/>
      <c r="AK334" s="624"/>
      <c r="AL334" s="624"/>
      <c r="AM334" s="624"/>
    </row>
    <row r="336" spans="1:39" ht="36" customHeight="1">
      <c r="A336" s="66" t="s">
        <v>721</v>
      </c>
      <c r="B336" s="648" t="s">
        <v>95</v>
      </c>
      <c r="C336" s="648"/>
      <c r="D336" s="648"/>
      <c r="E336" s="648"/>
      <c r="F336" s="648"/>
      <c r="G336" s="648"/>
      <c r="H336" s="648"/>
      <c r="I336" s="648"/>
      <c r="J336" s="648"/>
      <c r="K336" s="648"/>
      <c r="L336" s="64" t="s">
        <v>709</v>
      </c>
      <c r="M336" s="69"/>
      <c r="N336" s="69"/>
      <c r="O336" s="64"/>
      <c r="P336" s="69"/>
      <c r="Q336" s="69"/>
      <c r="R336" s="647" t="s">
        <v>722</v>
      </c>
      <c r="S336" s="647"/>
      <c r="T336" s="647"/>
      <c r="U336" s="647"/>
      <c r="V336" s="648" t="s">
        <v>519</v>
      </c>
      <c r="W336" s="648"/>
      <c r="X336" s="647" t="s">
        <v>723</v>
      </c>
      <c r="Y336" s="647"/>
      <c r="Z336" s="647"/>
      <c r="AA336" s="647"/>
      <c r="AB336" s="647" t="s">
        <v>724</v>
      </c>
      <c r="AC336" s="647"/>
      <c r="AD336" s="647"/>
      <c r="AE336" s="647"/>
      <c r="AF336" s="647" t="s">
        <v>725</v>
      </c>
      <c r="AG336" s="647"/>
      <c r="AH336" s="647"/>
      <c r="AI336" s="647"/>
      <c r="AJ336" s="647" t="s">
        <v>726</v>
      </c>
      <c r="AK336" s="647"/>
      <c r="AL336" s="647"/>
      <c r="AM336" s="647"/>
    </row>
    <row r="337" spans="1:39" ht="15.95" customHeight="1">
      <c r="A337" s="65">
        <v>1</v>
      </c>
      <c r="B337" s="699" t="s">
        <v>71</v>
      </c>
      <c r="C337" s="700"/>
      <c r="D337" s="700"/>
      <c r="E337" s="700"/>
      <c r="F337" s="700"/>
      <c r="G337" s="700"/>
      <c r="H337" s="700"/>
      <c r="I337" s="700"/>
      <c r="J337" s="700"/>
      <c r="K337" s="701"/>
      <c r="L337" s="702">
        <f>'Date masura OD'!$I$5</f>
        <v>45778</v>
      </c>
      <c r="M337" s="702"/>
      <c r="N337" s="702"/>
      <c r="O337" s="702">
        <f>'Date masura OD'!$J$5</f>
        <v>45808</v>
      </c>
      <c r="P337" s="702"/>
      <c r="Q337" s="702"/>
      <c r="R337" s="690" cm="1">
        <f t="array" ref="R337">INDEX(verificare!$AT$4:$CC$26,VLOOKUP($AA$16,verificare!$AR$4:$AS$26,2,FALSE),A337)</f>
        <v>440919</v>
      </c>
      <c r="S337" s="690"/>
      <c r="T337" s="690"/>
      <c r="U337" s="690"/>
      <c r="V337" s="658" t="s">
        <v>446</v>
      </c>
      <c r="W337" s="658"/>
      <c r="X337" s="691">
        <f>HLOOKUP(VLOOKUP($AA$16,'Date SPV'!$B:$F,5,FALSE),'Preturi si tarife'!$C$2:$J$39,A337+2,FALSE)</f>
        <v>0.59499999999999997</v>
      </c>
      <c r="Y337" s="692"/>
      <c r="Z337" s="692"/>
      <c r="AA337" s="693"/>
      <c r="AB337" s="690">
        <f>ROUND(X337*R337,2)</f>
        <v>262346.81</v>
      </c>
      <c r="AC337" s="690"/>
      <c r="AD337" s="690"/>
      <c r="AE337" s="690"/>
      <c r="AF337" s="690">
        <f>ROUND(AB337*19%,2)</f>
        <v>49845.89</v>
      </c>
      <c r="AG337" s="690"/>
      <c r="AH337" s="690"/>
      <c r="AI337" s="690"/>
      <c r="AJ337" s="690">
        <f>AB337+AF337</f>
        <v>312192.7</v>
      </c>
      <c r="AK337" s="690"/>
      <c r="AL337" s="690"/>
      <c r="AM337" s="690"/>
    </row>
    <row r="338" spans="1:39" ht="15.95" customHeight="1">
      <c r="A338" s="65">
        <f>A337+1</f>
        <v>2</v>
      </c>
      <c r="B338" s="699" t="s">
        <v>72</v>
      </c>
      <c r="C338" s="700"/>
      <c r="D338" s="700"/>
      <c r="E338" s="700"/>
      <c r="F338" s="700"/>
      <c r="G338" s="700"/>
      <c r="H338" s="700"/>
      <c r="I338" s="700"/>
      <c r="J338" s="700"/>
      <c r="K338" s="701"/>
      <c r="L338" s="702">
        <f>L337</f>
        <v>45778</v>
      </c>
      <c r="M338" s="702"/>
      <c r="N338" s="702"/>
      <c r="O338" s="702">
        <f>O337</f>
        <v>45808</v>
      </c>
      <c r="P338" s="702"/>
      <c r="Q338" s="702"/>
      <c r="R338" s="690" cm="1">
        <f t="array" ref="R338">INDEX(verificare!$AT$4:$CC$26,VLOOKUP($AA$16,verificare!$AR$4:$AS$26,2,FALSE),A338)</f>
        <v>0</v>
      </c>
      <c r="S338" s="690"/>
      <c r="T338" s="690"/>
      <c r="U338" s="690"/>
      <c r="V338" s="658" t="s">
        <v>727</v>
      </c>
      <c r="W338" s="658"/>
      <c r="X338" s="691">
        <f>HLOOKUP(VLOOKUP($AA$16,'Date SPV'!$B:$F,5,FALSE),'Preturi si tarife'!$C$2:$J$39,A338+2,FALSE)</f>
        <v>0.14660000000000001</v>
      </c>
      <c r="Y338" s="692"/>
      <c r="Z338" s="692"/>
      <c r="AA338" s="693"/>
      <c r="AB338" s="690">
        <f t="shared" ref="AB338:AB372" si="22">ROUND(X338*R338,2)</f>
        <v>0</v>
      </c>
      <c r="AC338" s="690"/>
      <c r="AD338" s="690"/>
      <c r="AE338" s="690"/>
      <c r="AF338" s="690">
        <f t="shared" ref="AF338:AF372" si="23">ROUND(AB338*19%,2)</f>
        <v>0</v>
      </c>
      <c r="AG338" s="690"/>
      <c r="AH338" s="690"/>
      <c r="AI338" s="690"/>
      <c r="AJ338" s="690">
        <f t="shared" ref="AJ338:AJ372" si="24">AB338+AF338</f>
        <v>0</v>
      </c>
      <c r="AK338" s="690"/>
      <c r="AL338" s="690"/>
      <c r="AM338" s="690"/>
    </row>
    <row r="339" spans="1:39" ht="15.95" customHeight="1">
      <c r="A339" s="65">
        <f t="shared" ref="A339:A374" si="25">A338+1</f>
        <v>3</v>
      </c>
      <c r="B339" s="699" t="s">
        <v>73</v>
      </c>
      <c r="C339" s="700"/>
      <c r="D339" s="700"/>
      <c r="E339" s="700"/>
      <c r="F339" s="700"/>
      <c r="G339" s="700"/>
      <c r="H339" s="700"/>
      <c r="I339" s="700"/>
      <c r="J339" s="700"/>
      <c r="K339" s="701"/>
      <c r="L339" s="702">
        <f t="shared" ref="L339:L347" si="26">L338</f>
        <v>45778</v>
      </c>
      <c r="M339" s="702"/>
      <c r="N339" s="702"/>
      <c r="O339" s="702">
        <f t="shared" ref="O339:O347" si="27">O338</f>
        <v>45808</v>
      </c>
      <c r="P339" s="702"/>
      <c r="Q339" s="702"/>
      <c r="R339" s="690" cm="1">
        <f t="array" ref="R339">INDEX(verificare!$AT$4:$CC$26,VLOOKUP($AA$16,verificare!$AR$4:$AS$26,2,FALSE),A339)</f>
        <v>0</v>
      </c>
      <c r="S339" s="690"/>
      <c r="T339" s="690"/>
      <c r="U339" s="690"/>
      <c r="V339" s="658" t="s">
        <v>727</v>
      </c>
      <c r="W339" s="658"/>
      <c r="X339" s="691">
        <f>HLOOKUP(VLOOKUP($AA$16,'Date SPV'!$B:$F,5,FALSE),'Preturi si tarife'!$C$2:$J$39,A339+2,FALSE)</f>
        <v>0.43980000000000002</v>
      </c>
      <c r="Y339" s="692"/>
      <c r="Z339" s="692"/>
      <c r="AA339" s="693"/>
      <c r="AB339" s="690">
        <f t="shared" si="22"/>
        <v>0</v>
      </c>
      <c r="AC339" s="690"/>
      <c r="AD339" s="690"/>
      <c r="AE339" s="690"/>
      <c r="AF339" s="690">
        <f t="shared" si="23"/>
        <v>0</v>
      </c>
      <c r="AG339" s="690"/>
      <c r="AH339" s="690"/>
      <c r="AI339" s="690"/>
      <c r="AJ339" s="690">
        <f t="shared" si="24"/>
        <v>0</v>
      </c>
      <c r="AK339" s="690"/>
      <c r="AL339" s="690"/>
      <c r="AM339" s="690"/>
    </row>
    <row r="340" spans="1:39" ht="15.95" customHeight="1">
      <c r="A340" s="65">
        <f t="shared" si="25"/>
        <v>4</v>
      </c>
      <c r="B340" s="699" t="s">
        <v>868</v>
      </c>
      <c r="C340" s="700"/>
      <c r="D340" s="700"/>
      <c r="E340" s="700"/>
      <c r="F340" s="700"/>
      <c r="G340" s="700"/>
      <c r="H340" s="700"/>
      <c r="I340" s="700"/>
      <c r="J340" s="700"/>
      <c r="K340" s="701"/>
      <c r="L340" s="702">
        <f t="shared" si="26"/>
        <v>45778</v>
      </c>
      <c r="M340" s="702"/>
      <c r="N340" s="702"/>
      <c r="O340" s="702">
        <f t="shared" si="27"/>
        <v>45808</v>
      </c>
      <c r="P340" s="702"/>
      <c r="Q340" s="702"/>
      <c r="R340" s="690" cm="1">
        <f t="array" ref="R340">INDEX(verificare!$AT$4:$CC$26,VLOOKUP($AA$16,verificare!$AR$4:$AS$26,2,FALSE),A340)</f>
        <v>440919</v>
      </c>
      <c r="S340" s="690"/>
      <c r="T340" s="690"/>
      <c r="U340" s="690"/>
      <c r="V340" s="658" t="s">
        <v>446</v>
      </c>
      <c r="W340" s="658"/>
      <c r="X340" s="691">
        <f>HLOOKUP(VLOOKUP($AA$16,'Date SPV'!$B:$F,5,FALSE),'Preturi si tarife'!$C$2:$J$39,A340+2,FALSE)</f>
        <v>8.6180000000000007E-2</v>
      </c>
      <c r="Y340" s="692"/>
      <c r="Z340" s="692"/>
      <c r="AA340" s="693"/>
      <c r="AB340" s="690">
        <f t="shared" si="22"/>
        <v>37998.400000000001</v>
      </c>
      <c r="AC340" s="690"/>
      <c r="AD340" s="690"/>
      <c r="AE340" s="690"/>
      <c r="AF340" s="690">
        <f t="shared" si="23"/>
        <v>7219.7</v>
      </c>
      <c r="AG340" s="690"/>
      <c r="AH340" s="690"/>
      <c r="AI340" s="690"/>
      <c r="AJ340" s="690">
        <f t="shared" si="24"/>
        <v>45218.1</v>
      </c>
      <c r="AK340" s="690"/>
      <c r="AL340" s="690"/>
      <c r="AM340" s="690"/>
    </row>
    <row r="341" spans="1:39" ht="15.95" customHeight="1">
      <c r="A341" s="65">
        <f t="shared" si="25"/>
        <v>5</v>
      </c>
      <c r="B341" s="699" t="s">
        <v>757</v>
      </c>
      <c r="C341" s="700"/>
      <c r="D341" s="700"/>
      <c r="E341" s="700"/>
      <c r="F341" s="700"/>
      <c r="G341" s="700"/>
      <c r="H341" s="700"/>
      <c r="I341" s="700"/>
      <c r="J341" s="700"/>
      <c r="K341" s="701"/>
      <c r="L341" s="702">
        <f t="shared" si="26"/>
        <v>45778</v>
      </c>
      <c r="M341" s="702"/>
      <c r="N341" s="702"/>
      <c r="O341" s="702">
        <f t="shared" si="27"/>
        <v>45808</v>
      </c>
      <c r="P341" s="702"/>
      <c r="Q341" s="702"/>
      <c r="R341" s="690" cm="1">
        <f t="array" ref="R341">INDEX(verificare!$AT$4:$CC$26,VLOOKUP($AA$16,verificare!$AR$4:$AS$26,2,FALSE),A341)</f>
        <v>0</v>
      </c>
      <c r="S341" s="690"/>
      <c r="T341" s="690"/>
      <c r="U341" s="690"/>
      <c r="V341" s="658" t="s">
        <v>446</v>
      </c>
      <c r="W341" s="658"/>
      <c r="X341" s="691">
        <f>HLOOKUP(VLOOKUP($AA$16,'Date SPV'!$B:$F,5,FALSE),'Preturi si tarife'!$C$2:$J$39,A341+2,FALSE)</f>
        <v>0.2079</v>
      </c>
      <c r="Y341" s="692"/>
      <c r="Z341" s="692"/>
      <c r="AA341" s="693"/>
      <c r="AB341" s="690">
        <f t="shared" si="22"/>
        <v>0</v>
      </c>
      <c r="AC341" s="690"/>
      <c r="AD341" s="690"/>
      <c r="AE341" s="690"/>
      <c r="AF341" s="690">
        <f t="shared" si="23"/>
        <v>0</v>
      </c>
      <c r="AG341" s="690"/>
      <c r="AH341" s="690"/>
      <c r="AI341" s="690"/>
      <c r="AJ341" s="690">
        <f t="shared" si="24"/>
        <v>0</v>
      </c>
      <c r="AK341" s="690"/>
      <c r="AL341" s="690"/>
      <c r="AM341" s="690"/>
    </row>
    <row r="342" spans="1:39" ht="15.95" customHeight="1">
      <c r="A342" s="65">
        <f t="shared" si="25"/>
        <v>6</v>
      </c>
      <c r="B342" s="699" t="s">
        <v>74</v>
      </c>
      <c r="C342" s="700"/>
      <c r="D342" s="700"/>
      <c r="E342" s="700"/>
      <c r="F342" s="700"/>
      <c r="G342" s="700"/>
      <c r="H342" s="700"/>
      <c r="I342" s="700"/>
      <c r="J342" s="700"/>
      <c r="K342" s="701"/>
      <c r="L342" s="702">
        <f t="shared" si="26"/>
        <v>45778</v>
      </c>
      <c r="M342" s="702"/>
      <c r="N342" s="702"/>
      <c r="O342" s="702">
        <f t="shared" si="27"/>
        <v>45808</v>
      </c>
      <c r="P342" s="702"/>
      <c r="Q342" s="702"/>
      <c r="R342" s="690" cm="1">
        <f t="array" ref="R342">INDEX(verificare!$AT$4:$CC$26,VLOOKUP($AA$16,verificare!$AR$4:$AS$26,2,FALSE),A342)</f>
        <v>440919</v>
      </c>
      <c r="S342" s="690"/>
      <c r="T342" s="690"/>
      <c r="U342" s="690"/>
      <c r="V342" s="658" t="s">
        <v>446</v>
      </c>
      <c r="W342" s="658"/>
      <c r="X342" s="691">
        <f>HLOOKUP(VLOOKUP($AA$16,'Date SPV'!$B:$F,5,FALSE),'Preturi si tarife'!$C$2:$J$39,A342+2,FALSE)</f>
        <v>1.1509999999999999E-2</v>
      </c>
      <c r="Y342" s="692"/>
      <c r="Z342" s="692"/>
      <c r="AA342" s="693"/>
      <c r="AB342" s="690">
        <f t="shared" si="22"/>
        <v>5074.9799999999996</v>
      </c>
      <c r="AC342" s="690"/>
      <c r="AD342" s="690"/>
      <c r="AE342" s="690"/>
      <c r="AF342" s="690">
        <f t="shared" si="23"/>
        <v>964.25</v>
      </c>
      <c r="AG342" s="690"/>
      <c r="AH342" s="690"/>
      <c r="AI342" s="690"/>
      <c r="AJ342" s="690">
        <f t="shared" si="24"/>
        <v>6039.23</v>
      </c>
      <c r="AK342" s="690"/>
      <c r="AL342" s="690"/>
      <c r="AM342" s="690"/>
    </row>
    <row r="343" spans="1:39" ht="15.95" customHeight="1">
      <c r="A343" s="65">
        <f t="shared" si="25"/>
        <v>7</v>
      </c>
      <c r="B343" s="699" t="s">
        <v>75</v>
      </c>
      <c r="C343" s="700"/>
      <c r="D343" s="700"/>
      <c r="E343" s="700"/>
      <c r="F343" s="700"/>
      <c r="G343" s="700"/>
      <c r="H343" s="700"/>
      <c r="I343" s="700"/>
      <c r="J343" s="700"/>
      <c r="K343" s="701"/>
      <c r="L343" s="702">
        <f t="shared" si="26"/>
        <v>45778</v>
      </c>
      <c r="M343" s="702"/>
      <c r="N343" s="702"/>
      <c r="O343" s="702">
        <f t="shared" si="27"/>
        <v>45808</v>
      </c>
      <c r="P343" s="702"/>
      <c r="Q343" s="702"/>
      <c r="R343" s="690" cm="1">
        <f t="array" ref="R343">INDEX(verificare!$AT$4:$CC$26,VLOOKUP($AA$16,verificare!$AR$4:$AS$26,2,FALSE),A343)</f>
        <v>440919</v>
      </c>
      <c r="S343" s="690"/>
      <c r="T343" s="690"/>
      <c r="U343" s="690"/>
      <c r="V343" s="658" t="s">
        <v>446</v>
      </c>
      <c r="W343" s="658"/>
      <c r="X343" s="691">
        <f>HLOOKUP(VLOOKUP($AA$16,'Date SPV'!$B:$F,5,FALSE),'Preturi si tarife'!$C$2:$J$39,A343+2,FALSE)</f>
        <v>3.3030000000000004E-2</v>
      </c>
      <c r="Y343" s="692"/>
      <c r="Z343" s="692"/>
      <c r="AA343" s="693"/>
      <c r="AB343" s="690">
        <f t="shared" si="22"/>
        <v>14563.55</v>
      </c>
      <c r="AC343" s="690"/>
      <c r="AD343" s="690"/>
      <c r="AE343" s="690"/>
      <c r="AF343" s="690">
        <f t="shared" si="23"/>
        <v>2767.07</v>
      </c>
      <c r="AG343" s="690"/>
      <c r="AH343" s="690"/>
      <c r="AI343" s="690"/>
      <c r="AJ343" s="690">
        <f t="shared" si="24"/>
        <v>17330.62</v>
      </c>
      <c r="AK343" s="690"/>
      <c r="AL343" s="690"/>
      <c r="AM343" s="690"/>
    </row>
    <row r="344" spans="1:39" ht="15.95" customHeight="1">
      <c r="A344" s="65">
        <f t="shared" si="25"/>
        <v>8</v>
      </c>
      <c r="B344" s="699" t="s">
        <v>76</v>
      </c>
      <c r="C344" s="700"/>
      <c r="D344" s="700"/>
      <c r="E344" s="700"/>
      <c r="F344" s="700"/>
      <c r="G344" s="700"/>
      <c r="H344" s="700"/>
      <c r="I344" s="700"/>
      <c r="J344" s="700"/>
      <c r="K344" s="701"/>
      <c r="L344" s="702">
        <f t="shared" si="26"/>
        <v>45778</v>
      </c>
      <c r="M344" s="702"/>
      <c r="N344" s="702"/>
      <c r="O344" s="702">
        <f t="shared" si="27"/>
        <v>45808</v>
      </c>
      <c r="P344" s="702"/>
      <c r="Q344" s="702"/>
      <c r="R344" s="690" cm="1">
        <f t="array" ref="R344">INDEX(verificare!$AT$4:$CC$26,VLOOKUP($AA$16,verificare!$AR$4:$AS$26,2,FALSE),A344)</f>
        <v>440919</v>
      </c>
      <c r="S344" s="690"/>
      <c r="T344" s="690"/>
      <c r="U344" s="690"/>
      <c r="V344" s="658" t="s">
        <v>446</v>
      </c>
      <c r="W344" s="658"/>
      <c r="X344" s="691">
        <f>HLOOKUP(VLOOKUP($AA$16,'Date SPV'!$B:$F,5,FALSE),'Preturi si tarife'!$C$2:$J$39,A344+2,FALSE)</f>
        <v>3.29E-3</v>
      </c>
      <c r="Y344" s="692"/>
      <c r="Z344" s="692"/>
      <c r="AA344" s="693"/>
      <c r="AB344" s="690">
        <f t="shared" si="22"/>
        <v>1450.62</v>
      </c>
      <c r="AC344" s="690"/>
      <c r="AD344" s="690"/>
      <c r="AE344" s="690"/>
      <c r="AF344" s="690">
        <f t="shared" si="23"/>
        <v>275.62</v>
      </c>
      <c r="AG344" s="690"/>
      <c r="AH344" s="690"/>
      <c r="AI344" s="690"/>
      <c r="AJ344" s="690">
        <f t="shared" si="24"/>
        <v>1726.2399999999998</v>
      </c>
      <c r="AK344" s="690"/>
      <c r="AL344" s="690"/>
      <c r="AM344" s="690"/>
    </row>
    <row r="345" spans="1:39" ht="15.95" customHeight="1">
      <c r="A345" s="65">
        <f t="shared" si="25"/>
        <v>9</v>
      </c>
      <c r="B345" s="699" t="s">
        <v>77</v>
      </c>
      <c r="C345" s="700"/>
      <c r="D345" s="700"/>
      <c r="E345" s="700"/>
      <c r="F345" s="700"/>
      <c r="G345" s="700"/>
      <c r="H345" s="700"/>
      <c r="I345" s="700"/>
      <c r="J345" s="700"/>
      <c r="K345" s="701"/>
      <c r="L345" s="702">
        <f t="shared" si="26"/>
        <v>45778</v>
      </c>
      <c r="M345" s="702"/>
      <c r="N345" s="702"/>
      <c r="O345" s="702">
        <f t="shared" si="27"/>
        <v>45808</v>
      </c>
      <c r="P345" s="702"/>
      <c r="Q345" s="702"/>
      <c r="R345" s="690" cm="1">
        <f t="array" ref="R345">INDEX(verificare!$AT$4:$CC$26,VLOOKUP($AA$16,verificare!$AR$4:$AS$26,2,FALSE),A345)</f>
        <v>440919</v>
      </c>
      <c r="S345" s="690"/>
      <c r="T345" s="690"/>
      <c r="U345" s="690"/>
      <c r="V345" s="658" t="s">
        <v>446</v>
      </c>
      <c r="W345" s="658"/>
      <c r="X345" s="691">
        <f>HLOOKUP(VLOOKUP($AA$16,'Date SPV'!$B:$F,5,FALSE),'Preturi si tarife'!$C$2:$J$39,A345+2,FALSE)</f>
        <v>3.5000000000000001E-3</v>
      </c>
      <c r="Y345" s="692"/>
      <c r="Z345" s="692"/>
      <c r="AA345" s="693"/>
      <c r="AB345" s="690">
        <f t="shared" si="22"/>
        <v>1543.22</v>
      </c>
      <c r="AC345" s="690"/>
      <c r="AD345" s="690"/>
      <c r="AE345" s="690"/>
      <c r="AF345" s="690">
        <f t="shared" si="23"/>
        <v>293.20999999999998</v>
      </c>
      <c r="AG345" s="690"/>
      <c r="AH345" s="690"/>
      <c r="AI345" s="690"/>
      <c r="AJ345" s="690">
        <f t="shared" si="24"/>
        <v>1836.43</v>
      </c>
      <c r="AK345" s="690"/>
      <c r="AL345" s="690"/>
      <c r="AM345" s="690"/>
    </row>
    <row r="346" spans="1:39" ht="15.95" customHeight="1">
      <c r="A346" s="65">
        <f t="shared" si="25"/>
        <v>10</v>
      </c>
      <c r="B346" s="699" t="s">
        <v>78</v>
      </c>
      <c r="C346" s="700"/>
      <c r="D346" s="700"/>
      <c r="E346" s="700"/>
      <c r="F346" s="700"/>
      <c r="G346" s="700"/>
      <c r="H346" s="700"/>
      <c r="I346" s="700"/>
      <c r="J346" s="700"/>
      <c r="K346" s="701"/>
      <c r="L346" s="702">
        <f t="shared" si="26"/>
        <v>45778</v>
      </c>
      <c r="M346" s="702"/>
      <c r="N346" s="702"/>
      <c r="O346" s="702">
        <f t="shared" si="27"/>
        <v>45808</v>
      </c>
      <c r="P346" s="702"/>
      <c r="Q346" s="702"/>
      <c r="R346" s="690" cm="1">
        <f t="array" ref="R346">INDEX(verificare!$AT$4:$CC$26,VLOOKUP($AA$16,verificare!$AR$4:$AS$26,2,FALSE),A346)</f>
        <v>440919</v>
      </c>
      <c r="S346" s="690"/>
      <c r="T346" s="690"/>
      <c r="U346" s="690"/>
      <c r="V346" s="658" t="s">
        <v>446</v>
      </c>
      <c r="W346" s="658"/>
      <c r="X346" s="691">
        <f>HLOOKUP(VLOOKUP($AA$16,'Date SPV'!$B:$F,5,FALSE),'Preturi si tarife'!$C$2:$J$39,A346+2,FALSE)</f>
        <v>7.2541599999999998E-2</v>
      </c>
      <c r="Y346" s="692"/>
      <c r="Z346" s="692"/>
      <c r="AA346" s="693"/>
      <c r="AB346" s="690">
        <f t="shared" si="22"/>
        <v>31984.97</v>
      </c>
      <c r="AC346" s="690"/>
      <c r="AD346" s="690"/>
      <c r="AE346" s="690"/>
      <c r="AF346" s="690">
        <f t="shared" si="23"/>
        <v>6077.14</v>
      </c>
      <c r="AG346" s="690"/>
      <c r="AH346" s="690"/>
      <c r="AI346" s="690"/>
      <c r="AJ346" s="690">
        <f t="shared" si="24"/>
        <v>38062.11</v>
      </c>
      <c r="AK346" s="690"/>
      <c r="AL346" s="690"/>
      <c r="AM346" s="690"/>
    </row>
    <row r="347" spans="1:39" ht="15.95" customHeight="1">
      <c r="A347" s="65">
        <f t="shared" si="25"/>
        <v>11</v>
      </c>
      <c r="B347" s="699" t="s">
        <v>1313</v>
      </c>
      <c r="C347" s="700"/>
      <c r="D347" s="700"/>
      <c r="E347" s="700"/>
      <c r="F347" s="700"/>
      <c r="G347" s="700"/>
      <c r="H347" s="700"/>
      <c r="I347" s="700"/>
      <c r="J347" s="700"/>
      <c r="K347" s="701"/>
      <c r="L347" s="702">
        <f t="shared" si="26"/>
        <v>45778</v>
      </c>
      <c r="M347" s="702"/>
      <c r="N347" s="702"/>
      <c r="O347" s="702">
        <f t="shared" si="27"/>
        <v>45808</v>
      </c>
      <c r="P347" s="702"/>
      <c r="Q347" s="702"/>
      <c r="R347" s="690" cm="1">
        <f t="array" ref="R347">INDEX(verificare!$AT$4:$CC$26,VLOOKUP($AA$16,verificare!$AR$4:$AS$26,2,FALSE),A347)</f>
        <v>440919</v>
      </c>
      <c r="S347" s="690"/>
      <c r="T347" s="690"/>
      <c r="U347" s="690"/>
      <c r="V347" s="658" t="s">
        <v>446</v>
      </c>
      <c r="W347" s="658"/>
      <c r="X347" s="691">
        <f>HLOOKUP(VLOOKUP($AA$16,'Date SPV'!$B:$F,5,FALSE),'Preturi si tarife'!$C$2:$J$39,A347+2,FALSE)</f>
        <v>2.0599999999999999E-4</v>
      </c>
      <c r="Y347" s="692"/>
      <c r="Z347" s="692"/>
      <c r="AA347" s="693"/>
      <c r="AB347" s="690">
        <f t="shared" si="22"/>
        <v>90.83</v>
      </c>
      <c r="AC347" s="690"/>
      <c r="AD347" s="690"/>
      <c r="AE347" s="690"/>
      <c r="AF347" s="690">
        <f t="shared" si="23"/>
        <v>17.260000000000002</v>
      </c>
      <c r="AG347" s="690"/>
      <c r="AH347" s="690"/>
      <c r="AI347" s="690"/>
      <c r="AJ347" s="690">
        <f t="shared" si="24"/>
        <v>108.09</v>
      </c>
      <c r="AK347" s="690"/>
      <c r="AL347" s="690"/>
      <c r="AM347" s="690"/>
    </row>
    <row r="348" spans="1:39" ht="15.95" customHeight="1">
      <c r="A348" s="65">
        <f t="shared" si="25"/>
        <v>12</v>
      </c>
      <c r="B348" s="699" t="s">
        <v>79</v>
      </c>
      <c r="C348" s="700"/>
      <c r="D348" s="700"/>
      <c r="E348" s="700"/>
      <c r="F348" s="700"/>
      <c r="G348" s="700"/>
      <c r="H348" s="700"/>
      <c r="I348" s="700"/>
      <c r="J348" s="700"/>
      <c r="K348" s="701"/>
      <c r="L348" s="702">
        <f>L346</f>
        <v>45778</v>
      </c>
      <c r="M348" s="702"/>
      <c r="N348" s="702"/>
      <c r="O348" s="702">
        <f>O346</f>
        <v>45808</v>
      </c>
      <c r="P348" s="702"/>
      <c r="Q348" s="702"/>
      <c r="R348" s="690" cm="1">
        <f t="array" ref="R348">INDEX(verificare!$AT$4:$CC$26,VLOOKUP($AA$16,verificare!$AR$4:$AS$26,2,FALSE),A348)</f>
        <v>440919</v>
      </c>
      <c r="S348" s="690"/>
      <c r="T348" s="690"/>
      <c r="U348" s="690"/>
      <c r="V348" s="658" t="s">
        <v>446</v>
      </c>
      <c r="W348" s="658"/>
      <c r="X348" s="691">
        <f>HLOOKUP(VLOOKUP($AA$16,'Date SPV'!$B:$F,5,FALSE),'Preturi si tarife'!$C$2:$J$39,A348+2,FALSE)</f>
        <v>0</v>
      </c>
      <c r="Y348" s="692"/>
      <c r="Z348" s="692"/>
      <c r="AA348" s="693"/>
      <c r="AB348" s="690">
        <f t="shared" si="22"/>
        <v>0</v>
      </c>
      <c r="AC348" s="690"/>
      <c r="AD348" s="690"/>
      <c r="AE348" s="690"/>
      <c r="AF348" s="690">
        <f t="shared" si="23"/>
        <v>0</v>
      </c>
      <c r="AG348" s="690"/>
      <c r="AH348" s="690"/>
      <c r="AI348" s="690"/>
      <c r="AJ348" s="690">
        <f t="shared" si="24"/>
        <v>0</v>
      </c>
      <c r="AK348" s="690"/>
      <c r="AL348" s="690"/>
      <c r="AM348" s="690"/>
    </row>
    <row r="349" spans="1:39" ht="15.95" customHeight="1">
      <c r="A349" s="65">
        <f t="shared" si="25"/>
        <v>13</v>
      </c>
      <c r="B349" s="699" t="s">
        <v>80</v>
      </c>
      <c r="C349" s="700"/>
      <c r="D349" s="700"/>
      <c r="E349" s="700"/>
      <c r="F349" s="700"/>
      <c r="G349" s="700"/>
      <c r="H349" s="700"/>
      <c r="I349" s="700"/>
      <c r="J349" s="700"/>
      <c r="K349" s="701"/>
      <c r="L349" s="702">
        <f t="shared" ref="L349:L354" si="28">L348</f>
        <v>45778</v>
      </c>
      <c r="M349" s="702"/>
      <c r="N349" s="702"/>
      <c r="O349" s="702">
        <f t="shared" ref="O349:O354" si="29">O348</f>
        <v>45808</v>
      </c>
      <c r="P349" s="702"/>
      <c r="Q349" s="702"/>
      <c r="R349" s="690" cm="1">
        <f t="array" ref="R349">INDEX(verificare!$AT$4:$CC$26,VLOOKUP($AA$16,verificare!$AR$4:$AS$26,2,FALSE),A349)</f>
        <v>440919</v>
      </c>
      <c r="S349" s="690"/>
      <c r="T349" s="690"/>
      <c r="U349" s="690"/>
      <c r="V349" s="658" t="s">
        <v>446</v>
      </c>
      <c r="W349" s="658"/>
      <c r="X349" s="691">
        <f>HLOOKUP(VLOOKUP($AA$16,'Date SPV'!$B:$F,5,FALSE),'Preturi si tarife'!$C$2:$J$39,A349+2,FALSE)</f>
        <v>1.1599999999999999E-2</v>
      </c>
      <c r="Y349" s="692"/>
      <c r="Z349" s="692"/>
      <c r="AA349" s="693"/>
      <c r="AB349" s="690">
        <f t="shared" si="22"/>
        <v>5114.66</v>
      </c>
      <c r="AC349" s="690"/>
      <c r="AD349" s="690"/>
      <c r="AE349" s="690"/>
      <c r="AF349" s="690">
        <f t="shared" si="23"/>
        <v>971.79</v>
      </c>
      <c r="AG349" s="690"/>
      <c r="AH349" s="690"/>
      <c r="AI349" s="690"/>
      <c r="AJ349" s="690">
        <f t="shared" si="24"/>
        <v>6086.45</v>
      </c>
      <c r="AK349" s="690"/>
      <c r="AL349" s="690"/>
      <c r="AM349" s="690"/>
    </row>
    <row r="350" spans="1:39" ht="15.95" customHeight="1">
      <c r="A350" s="65">
        <f t="shared" si="25"/>
        <v>14</v>
      </c>
      <c r="B350" s="699" t="s">
        <v>81</v>
      </c>
      <c r="C350" s="700"/>
      <c r="D350" s="700"/>
      <c r="E350" s="700"/>
      <c r="F350" s="700"/>
      <c r="G350" s="700"/>
      <c r="H350" s="700"/>
      <c r="I350" s="700"/>
      <c r="J350" s="700"/>
      <c r="K350" s="701"/>
      <c r="L350" s="702">
        <f t="shared" si="28"/>
        <v>45778</v>
      </c>
      <c r="M350" s="702"/>
      <c r="N350" s="702"/>
      <c r="O350" s="702">
        <f t="shared" si="29"/>
        <v>45808</v>
      </c>
      <c r="P350" s="702"/>
      <c r="Q350" s="702"/>
      <c r="R350" s="690" cm="1">
        <f t="array" ref="R350">INDEX(verificare!$AT$4:$CC$26,VLOOKUP($AA$16,verificare!$AR$4:$AS$26,2,FALSE),A350)</f>
        <v>440919</v>
      </c>
      <c r="S350" s="690"/>
      <c r="T350" s="690"/>
      <c r="U350" s="690"/>
      <c r="V350" s="658" t="s">
        <v>446</v>
      </c>
      <c r="W350" s="658"/>
      <c r="X350" s="691">
        <f>HLOOKUP(VLOOKUP($AA$16,'Date SPV'!$B:$F,5,FALSE),'Preturi si tarife'!$C$2:$J$39,A350+2,FALSE)</f>
        <v>8.3199999999999996E-2</v>
      </c>
      <c r="Y350" s="692"/>
      <c r="Z350" s="692"/>
      <c r="AA350" s="693"/>
      <c r="AB350" s="690">
        <f t="shared" si="22"/>
        <v>36684.46</v>
      </c>
      <c r="AC350" s="690"/>
      <c r="AD350" s="690"/>
      <c r="AE350" s="690"/>
      <c r="AF350" s="690">
        <f t="shared" si="23"/>
        <v>6970.05</v>
      </c>
      <c r="AG350" s="690"/>
      <c r="AH350" s="690"/>
      <c r="AI350" s="690"/>
      <c r="AJ350" s="690">
        <f t="shared" si="24"/>
        <v>43654.51</v>
      </c>
      <c r="AK350" s="690"/>
      <c r="AL350" s="690"/>
      <c r="AM350" s="690"/>
    </row>
    <row r="351" spans="1:39" ht="15.95" customHeight="1">
      <c r="A351" s="65">
        <f t="shared" si="25"/>
        <v>15</v>
      </c>
      <c r="B351" s="699" t="s">
        <v>82</v>
      </c>
      <c r="C351" s="700"/>
      <c r="D351" s="700"/>
      <c r="E351" s="700"/>
      <c r="F351" s="700"/>
      <c r="G351" s="700"/>
      <c r="H351" s="700"/>
      <c r="I351" s="700"/>
      <c r="J351" s="700"/>
      <c r="K351" s="701"/>
      <c r="L351" s="702">
        <f t="shared" si="28"/>
        <v>45778</v>
      </c>
      <c r="M351" s="702"/>
      <c r="N351" s="702"/>
      <c r="O351" s="702">
        <f t="shared" si="29"/>
        <v>45808</v>
      </c>
      <c r="P351" s="702"/>
      <c r="Q351" s="702"/>
      <c r="R351" s="690" cm="1">
        <f t="array" ref="R351">INDEX(verificare!$AT$4:$CC$26,VLOOKUP($AA$16,verificare!$AR$4:$AS$26,2,FALSE),A351)</f>
        <v>210825</v>
      </c>
      <c r="S351" s="690"/>
      <c r="T351" s="690"/>
      <c r="U351" s="690"/>
      <c r="V351" s="658" t="s">
        <v>446</v>
      </c>
      <c r="W351" s="658"/>
      <c r="X351" s="691">
        <f>HLOOKUP(VLOOKUP($AA$16,'Date SPV'!$B:$F,5,FALSE),'Preturi si tarife'!$C$2:$J$39,A351+2,FALSE)</f>
        <v>0.90005760000000001</v>
      </c>
      <c r="Y351" s="692"/>
      <c r="Z351" s="692"/>
      <c r="AA351" s="693"/>
      <c r="AB351" s="690">
        <f t="shared" si="22"/>
        <v>189754.64</v>
      </c>
      <c r="AC351" s="690"/>
      <c r="AD351" s="690"/>
      <c r="AE351" s="690"/>
      <c r="AF351" s="690">
        <f t="shared" si="23"/>
        <v>36053.379999999997</v>
      </c>
      <c r="AG351" s="690"/>
      <c r="AH351" s="690"/>
      <c r="AI351" s="690"/>
      <c r="AJ351" s="690">
        <f t="shared" si="24"/>
        <v>225808.02000000002</v>
      </c>
      <c r="AK351" s="690"/>
      <c r="AL351" s="690"/>
      <c r="AM351" s="690"/>
    </row>
    <row r="352" spans="1:39" ht="15.95" customHeight="1">
      <c r="A352" s="65">
        <f t="shared" si="25"/>
        <v>16</v>
      </c>
      <c r="B352" s="699" t="s">
        <v>83</v>
      </c>
      <c r="C352" s="700"/>
      <c r="D352" s="700"/>
      <c r="E352" s="700"/>
      <c r="F352" s="700"/>
      <c r="G352" s="700"/>
      <c r="H352" s="700"/>
      <c r="I352" s="700"/>
      <c r="J352" s="700"/>
      <c r="K352" s="701"/>
      <c r="L352" s="702">
        <f t="shared" si="28"/>
        <v>45778</v>
      </c>
      <c r="M352" s="702"/>
      <c r="N352" s="702"/>
      <c r="O352" s="702">
        <f t="shared" si="29"/>
        <v>45808</v>
      </c>
      <c r="P352" s="702"/>
      <c r="Q352" s="702"/>
      <c r="R352" s="690" cm="1">
        <f t="array" ref="R352">INDEX(verificare!$AT$4:$CC$26,VLOOKUP($AA$16,verificare!$AR$4:$AS$26,2,FALSE),A352)</f>
        <v>56743</v>
      </c>
      <c r="S352" s="690"/>
      <c r="T352" s="690"/>
      <c r="U352" s="690"/>
      <c r="V352" s="658" t="s">
        <v>446</v>
      </c>
      <c r="W352" s="658"/>
      <c r="X352" s="691">
        <f>HLOOKUP(VLOOKUP($AA$16,'Date SPV'!$B:$F,5,FALSE),'Preturi si tarife'!$C$2:$J$39,A352+2,FALSE)</f>
        <v>0.80525760000000002</v>
      </c>
      <c r="Y352" s="692"/>
      <c r="Z352" s="692"/>
      <c r="AA352" s="693"/>
      <c r="AB352" s="690">
        <f t="shared" si="22"/>
        <v>45692.73</v>
      </c>
      <c r="AC352" s="690"/>
      <c r="AD352" s="690"/>
      <c r="AE352" s="690"/>
      <c r="AF352" s="690">
        <f t="shared" si="23"/>
        <v>8681.6200000000008</v>
      </c>
      <c r="AG352" s="690"/>
      <c r="AH352" s="690"/>
      <c r="AI352" s="690"/>
      <c r="AJ352" s="690">
        <f t="shared" si="24"/>
        <v>54374.350000000006</v>
      </c>
      <c r="AK352" s="690"/>
      <c r="AL352" s="690"/>
      <c r="AM352" s="690"/>
    </row>
    <row r="353" spans="1:39" ht="15.95" customHeight="1">
      <c r="A353" s="65">
        <f t="shared" si="25"/>
        <v>17</v>
      </c>
      <c r="B353" s="699" t="s">
        <v>1129</v>
      </c>
      <c r="C353" s="700"/>
      <c r="D353" s="700"/>
      <c r="E353" s="700"/>
      <c r="F353" s="700"/>
      <c r="G353" s="700"/>
      <c r="H353" s="700"/>
      <c r="I353" s="700"/>
      <c r="J353" s="700"/>
      <c r="K353" s="701"/>
      <c r="L353" s="702">
        <f t="shared" si="28"/>
        <v>45778</v>
      </c>
      <c r="M353" s="702"/>
      <c r="N353" s="702"/>
      <c r="O353" s="702">
        <f t="shared" si="29"/>
        <v>45808</v>
      </c>
      <c r="P353" s="702"/>
      <c r="Q353" s="702"/>
      <c r="R353" s="690" cm="1">
        <f t="array" ref="R353">INDEX(verificare!$AT$4:$CC$26,VLOOKUP($AA$16,verificare!$AR$4:$AS$26,2,FALSE),A353)</f>
        <v>56743</v>
      </c>
      <c r="S353" s="690"/>
      <c r="T353" s="690"/>
      <c r="U353" s="690"/>
      <c r="V353" s="658" t="s">
        <v>446</v>
      </c>
      <c r="W353" s="658"/>
      <c r="X353" s="691">
        <f>HLOOKUP(VLOOKUP($AA$16,'Date SPV'!$B:$F,5,FALSE),'Preturi si tarife'!$C$2:$J$39,A353+2,FALSE)</f>
        <v>1.1599999999999999E-2</v>
      </c>
      <c r="Y353" s="692"/>
      <c r="Z353" s="692"/>
      <c r="AA353" s="693"/>
      <c r="AB353" s="690">
        <f t="shared" si="22"/>
        <v>658.22</v>
      </c>
      <c r="AC353" s="690"/>
      <c r="AD353" s="690"/>
      <c r="AE353" s="690"/>
      <c r="AF353" s="690">
        <f t="shared" si="23"/>
        <v>125.06</v>
      </c>
      <c r="AG353" s="690"/>
      <c r="AH353" s="690"/>
      <c r="AI353" s="690"/>
      <c r="AJ353" s="690">
        <f t="shared" si="24"/>
        <v>783.28</v>
      </c>
      <c r="AK353" s="690"/>
      <c r="AL353" s="690"/>
      <c r="AM353" s="690"/>
    </row>
    <row r="354" spans="1:39" ht="15.95" customHeight="1">
      <c r="A354" s="65">
        <f t="shared" si="25"/>
        <v>18</v>
      </c>
      <c r="B354" s="699" t="s">
        <v>1130</v>
      </c>
      <c r="C354" s="700"/>
      <c r="D354" s="700"/>
      <c r="E354" s="700"/>
      <c r="F354" s="700"/>
      <c r="G354" s="700"/>
      <c r="H354" s="700"/>
      <c r="I354" s="700"/>
      <c r="J354" s="700"/>
      <c r="K354" s="701"/>
      <c r="L354" s="702">
        <f t="shared" si="28"/>
        <v>45778</v>
      </c>
      <c r="M354" s="702"/>
      <c r="N354" s="702"/>
      <c r="O354" s="702">
        <f t="shared" si="29"/>
        <v>45808</v>
      </c>
      <c r="P354" s="702"/>
      <c r="Q354" s="702"/>
      <c r="R354" s="690" cm="1">
        <f t="array" ref="R354">INDEX(verificare!$AT$4:$CC$26,VLOOKUP($AA$16,verificare!$AR$4:$AS$26,2,FALSE),A354)</f>
        <v>56743</v>
      </c>
      <c r="S354" s="690"/>
      <c r="T354" s="690"/>
      <c r="U354" s="690"/>
      <c r="V354" s="658" t="s">
        <v>446</v>
      </c>
      <c r="W354" s="658"/>
      <c r="X354" s="691">
        <f>HLOOKUP(VLOOKUP($AA$16,'Date SPV'!$B:$F,5,FALSE),'Preturi si tarife'!$C$2:$J$39,A354+2,FALSE)</f>
        <v>8.3199999999999996E-2</v>
      </c>
      <c r="Y354" s="692"/>
      <c r="Z354" s="692"/>
      <c r="AA354" s="693"/>
      <c r="AB354" s="690">
        <f t="shared" si="22"/>
        <v>4721.0200000000004</v>
      </c>
      <c r="AC354" s="690"/>
      <c r="AD354" s="690"/>
      <c r="AE354" s="690"/>
      <c r="AF354" s="690">
        <f t="shared" si="23"/>
        <v>896.99</v>
      </c>
      <c r="AG354" s="690"/>
      <c r="AH354" s="690"/>
      <c r="AI354" s="690"/>
      <c r="AJ354" s="690">
        <f t="shared" si="24"/>
        <v>5618.01</v>
      </c>
      <c r="AK354" s="690"/>
      <c r="AL354" s="690"/>
      <c r="AM354" s="690"/>
    </row>
    <row r="355" spans="1:39" ht="15.95" customHeight="1">
      <c r="A355" s="65">
        <f t="shared" si="25"/>
        <v>19</v>
      </c>
      <c r="B355" s="699" t="s">
        <v>99</v>
      </c>
      <c r="C355" s="700"/>
      <c r="D355" s="700"/>
      <c r="E355" s="700"/>
      <c r="F355" s="700"/>
      <c r="G355" s="700"/>
      <c r="H355" s="700"/>
      <c r="I355" s="700"/>
      <c r="J355" s="700"/>
      <c r="K355" s="701"/>
      <c r="L355" s="702">
        <f>'Date masura OD'!$W$5</f>
        <v>45748</v>
      </c>
      <c r="M355" s="702"/>
      <c r="N355" s="702"/>
      <c r="O355" s="702">
        <f>'Date masura OD'!$X$5</f>
        <v>45777</v>
      </c>
      <c r="P355" s="702"/>
      <c r="Q355" s="702"/>
      <c r="R355" s="690" cm="1">
        <f t="array" ref="R355">INDEX(verificare!$AT$4:$CC$26,VLOOKUP($AA$16,verificare!$AR$4:$AS$26,2,FALSE),A355)</f>
        <v>0</v>
      </c>
      <c r="S355" s="690"/>
      <c r="T355" s="690"/>
      <c r="U355" s="690"/>
      <c r="V355" s="658" t="s">
        <v>446</v>
      </c>
      <c r="W355" s="658"/>
      <c r="X355" s="691">
        <f>HLOOKUP(VLOOKUP($AA$16,'Date SPV'!$B:$F,5,FALSE),'Preturi si tarife'!$C$2:$J$39,A355+2,FALSE)</f>
        <v>0.59499999999999997</v>
      </c>
      <c r="Y355" s="692"/>
      <c r="Z355" s="692"/>
      <c r="AA355" s="693"/>
      <c r="AB355" s="690">
        <f t="shared" si="22"/>
        <v>0</v>
      </c>
      <c r="AC355" s="690"/>
      <c r="AD355" s="690"/>
      <c r="AE355" s="690"/>
      <c r="AF355" s="690">
        <f t="shared" si="23"/>
        <v>0</v>
      </c>
      <c r="AG355" s="690"/>
      <c r="AH355" s="690"/>
      <c r="AI355" s="690"/>
      <c r="AJ355" s="690">
        <f t="shared" si="24"/>
        <v>0</v>
      </c>
      <c r="AK355" s="690"/>
      <c r="AL355" s="690"/>
      <c r="AM355" s="690"/>
    </row>
    <row r="356" spans="1:39" ht="15.95" customHeight="1">
      <c r="A356" s="65">
        <f t="shared" si="25"/>
        <v>20</v>
      </c>
      <c r="B356" s="699" t="s">
        <v>100</v>
      </c>
      <c r="C356" s="700"/>
      <c r="D356" s="700"/>
      <c r="E356" s="700"/>
      <c r="F356" s="700"/>
      <c r="G356" s="700"/>
      <c r="H356" s="700"/>
      <c r="I356" s="700"/>
      <c r="J356" s="700"/>
      <c r="K356" s="701"/>
      <c r="L356" s="702">
        <f>L355</f>
        <v>45748</v>
      </c>
      <c r="M356" s="702"/>
      <c r="N356" s="702"/>
      <c r="O356" s="702">
        <f t="shared" ref="O356:O365" si="30">O355</f>
        <v>45777</v>
      </c>
      <c r="P356" s="702"/>
      <c r="Q356" s="702"/>
      <c r="R356" s="690" cm="1">
        <f t="array" ref="R356">INDEX(verificare!$AT$4:$CC$26,VLOOKUP($AA$16,verificare!$AR$4:$AS$26,2,FALSE),A356)</f>
        <v>4452</v>
      </c>
      <c r="S356" s="690"/>
      <c r="T356" s="690"/>
      <c r="U356" s="690"/>
      <c r="V356" s="658" t="s">
        <v>727</v>
      </c>
      <c r="W356" s="658"/>
      <c r="X356" s="691">
        <f>HLOOKUP(VLOOKUP($AA$16,'Date SPV'!$B:$F,5,FALSE),'Preturi si tarife'!$C$2:$J$39,A356+2,FALSE)</f>
        <v>0.14660000000000001</v>
      </c>
      <c r="Y356" s="692"/>
      <c r="Z356" s="692"/>
      <c r="AA356" s="693"/>
      <c r="AB356" s="690">
        <f t="shared" si="22"/>
        <v>652.66</v>
      </c>
      <c r="AC356" s="690"/>
      <c r="AD356" s="690"/>
      <c r="AE356" s="690"/>
      <c r="AF356" s="690">
        <f t="shared" si="23"/>
        <v>124.01</v>
      </c>
      <c r="AG356" s="690"/>
      <c r="AH356" s="690"/>
      <c r="AI356" s="690"/>
      <c r="AJ356" s="690">
        <f t="shared" si="24"/>
        <v>776.67</v>
      </c>
      <c r="AK356" s="690"/>
      <c r="AL356" s="690"/>
      <c r="AM356" s="690"/>
    </row>
    <row r="357" spans="1:39" ht="30.95" customHeight="1">
      <c r="A357" s="65">
        <f t="shared" si="25"/>
        <v>21</v>
      </c>
      <c r="B357" s="699" t="s">
        <v>101</v>
      </c>
      <c r="C357" s="700"/>
      <c r="D357" s="700"/>
      <c r="E357" s="700"/>
      <c r="F357" s="700"/>
      <c r="G357" s="700"/>
      <c r="H357" s="700"/>
      <c r="I357" s="700"/>
      <c r="J357" s="700"/>
      <c r="K357" s="701"/>
      <c r="L357" s="702">
        <f t="shared" ref="L357:L365" si="31">L356</f>
        <v>45748</v>
      </c>
      <c r="M357" s="702"/>
      <c r="N357" s="702"/>
      <c r="O357" s="702">
        <f t="shared" si="30"/>
        <v>45777</v>
      </c>
      <c r="P357" s="702"/>
      <c r="Q357" s="702"/>
      <c r="R357" s="690" cm="1">
        <f t="array" ref="R357">INDEX(verificare!$AT$4:$CC$26,VLOOKUP($AA$16,verificare!$AR$4:$AS$26,2,FALSE),A357)</f>
        <v>2366</v>
      </c>
      <c r="S357" s="690"/>
      <c r="T357" s="690"/>
      <c r="U357" s="690"/>
      <c r="V357" s="658" t="s">
        <v>727</v>
      </c>
      <c r="W357" s="658"/>
      <c r="X357" s="691">
        <f>HLOOKUP(VLOOKUP($AA$16,'Date SPV'!$B:$F,5,FALSE),'Preturi si tarife'!$C$2:$J$39,A357+2,FALSE)</f>
        <v>0.43980000000000002</v>
      </c>
      <c r="Y357" s="692"/>
      <c r="Z357" s="692"/>
      <c r="AA357" s="693"/>
      <c r="AB357" s="690">
        <f t="shared" si="22"/>
        <v>1040.57</v>
      </c>
      <c r="AC357" s="690"/>
      <c r="AD357" s="690"/>
      <c r="AE357" s="690"/>
      <c r="AF357" s="690">
        <f t="shared" si="23"/>
        <v>197.71</v>
      </c>
      <c r="AG357" s="690"/>
      <c r="AH357" s="690"/>
      <c r="AI357" s="690"/>
      <c r="AJ357" s="690">
        <f t="shared" si="24"/>
        <v>1238.28</v>
      </c>
      <c r="AK357" s="690"/>
      <c r="AL357" s="690"/>
      <c r="AM357" s="690"/>
    </row>
    <row r="358" spans="1:39" ht="15.95" customHeight="1">
      <c r="A358" s="65">
        <f t="shared" si="25"/>
        <v>22</v>
      </c>
      <c r="B358" s="699" t="s">
        <v>869</v>
      </c>
      <c r="C358" s="700"/>
      <c r="D358" s="700"/>
      <c r="E358" s="700"/>
      <c r="F358" s="700"/>
      <c r="G358" s="700"/>
      <c r="H358" s="700"/>
      <c r="I358" s="700"/>
      <c r="J358" s="700"/>
      <c r="K358" s="701"/>
      <c r="L358" s="702">
        <f t="shared" si="31"/>
        <v>45748</v>
      </c>
      <c r="M358" s="702"/>
      <c r="N358" s="702"/>
      <c r="O358" s="702">
        <f t="shared" si="30"/>
        <v>45777</v>
      </c>
      <c r="P358" s="702"/>
      <c r="Q358" s="702"/>
      <c r="R358" s="690" cm="1">
        <f t="array" ref="R358">INDEX(verificare!$AT$4:$CC$26,VLOOKUP($AA$16,verificare!$AR$4:$AS$26,2,FALSE),A358)</f>
        <v>0</v>
      </c>
      <c r="S358" s="690"/>
      <c r="T358" s="690"/>
      <c r="U358" s="690"/>
      <c r="V358" s="658" t="s">
        <v>446</v>
      </c>
      <c r="W358" s="658"/>
      <c r="X358" s="691">
        <f>HLOOKUP(VLOOKUP($AA$16,'Date SPV'!$B:$F,5,FALSE),'Preturi si tarife'!$C$2:$J$39,A358+2,FALSE)</f>
        <v>8.6180000000000007E-2</v>
      </c>
      <c r="Y358" s="692"/>
      <c r="Z358" s="692"/>
      <c r="AA358" s="693"/>
      <c r="AB358" s="690">
        <f t="shared" si="22"/>
        <v>0</v>
      </c>
      <c r="AC358" s="690"/>
      <c r="AD358" s="690"/>
      <c r="AE358" s="690"/>
      <c r="AF358" s="690">
        <f t="shared" si="23"/>
        <v>0</v>
      </c>
      <c r="AG358" s="690"/>
      <c r="AH358" s="690"/>
      <c r="AI358" s="690"/>
      <c r="AJ358" s="690">
        <f t="shared" si="24"/>
        <v>0</v>
      </c>
      <c r="AK358" s="690"/>
      <c r="AL358" s="690"/>
      <c r="AM358" s="690"/>
    </row>
    <row r="359" spans="1:39" ht="15.95" customHeight="1">
      <c r="A359" s="65">
        <f t="shared" si="25"/>
        <v>23</v>
      </c>
      <c r="B359" s="699" t="s">
        <v>758</v>
      </c>
      <c r="C359" s="700"/>
      <c r="D359" s="700"/>
      <c r="E359" s="700"/>
      <c r="F359" s="700"/>
      <c r="G359" s="700"/>
      <c r="H359" s="700"/>
      <c r="I359" s="700"/>
      <c r="J359" s="700"/>
      <c r="K359" s="701"/>
      <c r="L359" s="702">
        <f t="shared" si="31"/>
        <v>45748</v>
      </c>
      <c r="M359" s="702"/>
      <c r="N359" s="702"/>
      <c r="O359" s="702">
        <f t="shared" si="30"/>
        <v>45777</v>
      </c>
      <c r="P359" s="702"/>
      <c r="Q359" s="702"/>
      <c r="R359" s="690" cm="1">
        <f t="array" ref="R359">INDEX(verificare!$AT$4:$CC$26,VLOOKUP($AA$16,verificare!$AR$4:$AS$26,2,FALSE),A359)</f>
        <v>0</v>
      </c>
      <c r="S359" s="690"/>
      <c r="T359" s="690"/>
      <c r="U359" s="690"/>
      <c r="V359" s="658" t="s">
        <v>446</v>
      </c>
      <c r="W359" s="658"/>
      <c r="X359" s="691">
        <f>HLOOKUP(VLOOKUP($AA$16,'Date SPV'!$B:$F,5,FALSE),'Preturi si tarife'!$C$2:$J$39,A359+2,FALSE)</f>
        <v>0.2079</v>
      </c>
      <c r="Y359" s="692"/>
      <c r="Z359" s="692"/>
      <c r="AA359" s="693"/>
      <c r="AB359" s="690">
        <f t="shared" si="22"/>
        <v>0</v>
      </c>
      <c r="AC359" s="690"/>
      <c r="AD359" s="690"/>
      <c r="AE359" s="690"/>
      <c r="AF359" s="690">
        <f t="shared" si="23"/>
        <v>0</v>
      </c>
      <c r="AG359" s="690"/>
      <c r="AH359" s="690"/>
      <c r="AI359" s="690"/>
      <c r="AJ359" s="690">
        <f t="shared" si="24"/>
        <v>0</v>
      </c>
      <c r="AK359" s="690"/>
      <c r="AL359" s="690"/>
      <c r="AM359" s="690"/>
    </row>
    <row r="360" spans="1:39" ht="30.95" customHeight="1">
      <c r="A360" s="65">
        <f t="shared" si="25"/>
        <v>24</v>
      </c>
      <c r="B360" s="699" t="s">
        <v>102</v>
      </c>
      <c r="C360" s="700"/>
      <c r="D360" s="700"/>
      <c r="E360" s="700"/>
      <c r="F360" s="700"/>
      <c r="G360" s="700"/>
      <c r="H360" s="700"/>
      <c r="I360" s="700"/>
      <c r="J360" s="700"/>
      <c r="K360" s="701"/>
      <c r="L360" s="702">
        <f t="shared" si="31"/>
        <v>45748</v>
      </c>
      <c r="M360" s="702"/>
      <c r="N360" s="702"/>
      <c r="O360" s="702">
        <f t="shared" si="30"/>
        <v>45777</v>
      </c>
      <c r="P360" s="702"/>
      <c r="Q360" s="702"/>
      <c r="R360" s="690" cm="1">
        <f t="array" ref="R360">INDEX(verificare!$AT$4:$CC$26,VLOOKUP($AA$16,verificare!$AR$4:$AS$26,2,FALSE),A360)</f>
        <v>0</v>
      </c>
      <c r="S360" s="690"/>
      <c r="T360" s="690"/>
      <c r="U360" s="690"/>
      <c r="V360" s="658" t="s">
        <v>446</v>
      </c>
      <c r="W360" s="658"/>
      <c r="X360" s="691">
        <f>HLOOKUP(VLOOKUP($AA$16,'Date SPV'!$B:$F,5,FALSE),'Preturi si tarife'!$C$2:$J$39,A360+2,FALSE)</f>
        <v>1.1509999999999999E-2</v>
      </c>
      <c r="Y360" s="692"/>
      <c r="Z360" s="692"/>
      <c r="AA360" s="693"/>
      <c r="AB360" s="690">
        <f t="shared" si="22"/>
        <v>0</v>
      </c>
      <c r="AC360" s="690"/>
      <c r="AD360" s="690"/>
      <c r="AE360" s="690"/>
      <c r="AF360" s="690">
        <f t="shared" si="23"/>
        <v>0</v>
      </c>
      <c r="AG360" s="690"/>
      <c r="AH360" s="690"/>
      <c r="AI360" s="690"/>
      <c r="AJ360" s="690">
        <f t="shared" si="24"/>
        <v>0</v>
      </c>
      <c r="AK360" s="690"/>
      <c r="AL360" s="690"/>
      <c r="AM360" s="690"/>
    </row>
    <row r="361" spans="1:39" ht="30.95" customHeight="1">
      <c r="A361" s="65">
        <f t="shared" si="25"/>
        <v>25</v>
      </c>
      <c r="B361" s="699" t="s">
        <v>103</v>
      </c>
      <c r="C361" s="700"/>
      <c r="D361" s="700"/>
      <c r="E361" s="700"/>
      <c r="F361" s="700"/>
      <c r="G361" s="700"/>
      <c r="H361" s="700"/>
      <c r="I361" s="700"/>
      <c r="J361" s="700"/>
      <c r="K361" s="701"/>
      <c r="L361" s="702">
        <f t="shared" si="31"/>
        <v>45748</v>
      </c>
      <c r="M361" s="702"/>
      <c r="N361" s="702"/>
      <c r="O361" s="702">
        <f t="shared" si="30"/>
        <v>45777</v>
      </c>
      <c r="P361" s="702"/>
      <c r="Q361" s="702"/>
      <c r="R361" s="690" cm="1">
        <f t="array" ref="R361">INDEX(verificare!$AT$4:$CC$26,VLOOKUP($AA$16,verificare!$AR$4:$AS$26,2,FALSE),A361)</f>
        <v>0</v>
      </c>
      <c r="S361" s="690"/>
      <c r="T361" s="690"/>
      <c r="U361" s="690"/>
      <c r="V361" s="658" t="s">
        <v>446</v>
      </c>
      <c r="W361" s="658"/>
      <c r="X361" s="691">
        <f>HLOOKUP(VLOOKUP($AA$16,'Date SPV'!$B:$F,5,FALSE),'Preturi si tarife'!$C$2:$J$39,A361+2,FALSE)</f>
        <v>3.3030000000000004E-2</v>
      </c>
      <c r="Y361" s="692"/>
      <c r="Z361" s="692"/>
      <c r="AA361" s="693"/>
      <c r="AB361" s="690">
        <f t="shared" si="22"/>
        <v>0</v>
      </c>
      <c r="AC361" s="690"/>
      <c r="AD361" s="690"/>
      <c r="AE361" s="690"/>
      <c r="AF361" s="690">
        <f t="shared" si="23"/>
        <v>0</v>
      </c>
      <c r="AG361" s="690"/>
      <c r="AH361" s="690"/>
      <c r="AI361" s="690"/>
      <c r="AJ361" s="690">
        <f t="shared" si="24"/>
        <v>0</v>
      </c>
      <c r="AK361" s="690"/>
      <c r="AL361" s="690"/>
      <c r="AM361" s="690"/>
    </row>
    <row r="362" spans="1:39" ht="30.95" customHeight="1">
      <c r="A362" s="65">
        <f t="shared" si="25"/>
        <v>26</v>
      </c>
      <c r="B362" s="699" t="s">
        <v>104</v>
      </c>
      <c r="C362" s="700"/>
      <c r="D362" s="700"/>
      <c r="E362" s="700"/>
      <c r="F362" s="700"/>
      <c r="G362" s="700"/>
      <c r="H362" s="700"/>
      <c r="I362" s="700"/>
      <c r="J362" s="700"/>
      <c r="K362" s="701"/>
      <c r="L362" s="702">
        <f t="shared" si="31"/>
        <v>45748</v>
      </c>
      <c r="M362" s="702"/>
      <c r="N362" s="702"/>
      <c r="O362" s="702">
        <f t="shared" si="30"/>
        <v>45777</v>
      </c>
      <c r="P362" s="702"/>
      <c r="Q362" s="702"/>
      <c r="R362" s="690" cm="1">
        <f t="array" ref="R362">INDEX(verificare!$AT$4:$CC$26,VLOOKUP($AA$16,verificare!$AR$4:$AS$26,2,FALSE),A362)</f>
        <v>0</v>
      </c>
      <c r="S362" s="690"/>
      <c r="T362" s="690"/>
      <c r="U362" s="690"/>
      <c r="V362" s="658" t="s">
        <v>446</v>
      </c>
      <c r="W362" s="658"/>
      <c r="X362" s="691">
        <f>HLOOKUP(VLOOKUP($AA$16,'Date SPV'!$B:$F,5,FALSE),'Preturi si tarife'!$C$2:$J$39,A362+2,FALSE)</f>
        <v>3.29E-3</v>
      </c>
      <c r="Y362" s="692"/>
      <c r="Z362" s="692"/>
      <c r="AA362" s="693"/>
      <c r="AB362" s="690">
        <f t="shared" si="22"/>
        <v>0</v>
      </c>
      <c r="AC362" s="690"/>
      <c r="AD362" s="690"/>
      <c r="AE362" s="690"/>
      <c r="AF362" s="690">
        <f t="shared" si="23"/>
        <v>0</v>
      </c>
      <c r="AG362" s="690"/>
      <c r="AH362" s="690"/>
      <c r="AI362" s="690"/>
      <c r="AJ362" s="690">
        <f t="shared" si="24"/>
        <v>0</v>
      </c>
      <c r="AK362" s="690"/>
      <c r="AL362" s="690"/>
      <c r="AM362" s="690"/>
    </row>
    <row r="363" spans="1:39" ht="15.95" customHeight="1">
      <c r="A363" s="65">
        <f t="shared" si="25"/>
        <v>27</v>
      </c>
      <c r="B363" s="699" t="s">
        <v>105</v>
      </c>
      <c r="C363" s="700"/>
      <c r="D363" s="700"/>
      <c r="E363" s="700"/>
      <c r="F363" s="700"/>
      <c r="G363" s="700"/>
      <c r="H363" s="700"/>
      <c r="I363" s="700"/>
      <c r="J363" s="700"/>
      <c r="K363" s="701"/>
      <c r="L363" s="702">
        <f t="shared" si="31"/>
        <v>45748</v>
      </c>
      <c r="M363" s="702"/>
      <c r="N363" s="702"/>
      <c r="O363" s="702">
        <f t="shared" si="30"/>
        <v>45777</v>
      </c>
      <c r="P363" s="702"/>
      <c r="Q363" s="702"/>
      <c r="R363" s="690" cm="1">
        <f t="array" ref="R363">INDEX(verificare!$AT$4:$CC$26,VLOOKUP($AA$16,verificare!$AR$4:$AS$26,2,FALSE),A363)</f>
        <v>0</v>
      </c>
      <c r="S363" s="690"/>
      <c r="T363" s="690"/>
      <c r="U363" s="690"/>
      <c r="V363" s="658" t="s">
        <v>446</v>
      </c>
      <c r="W363" s="658"/>
      <c r="X363" s="691">
        <f>HLOOKUP(VLOOKUP($AA$16,'Date SPV'!$B:$F,5,FALSE),'Preturi si tarife'!$C$2:$J$39,A363+2,FALSE)</f>
        <v>3.5000000000000001E-3</v>
      </c>
      <c r="Y363" s="692"/>
      <c r="Z363" s="692"/>
      <c r="AA363" s="693"/>
      <c r="AB363" s="690">
        <f t="shared" si="22"/>
        <v>0</v>
      </c>
      <c r="AC363" s="690"/>
      <c r="AD363" s="690"/>
      <c r="AE363" s="690"/>
      <c r="AF363" s="690">
        <f t="shared" si="23"/>
        <v>0</v>
      </c>
      <c r="AG363" s="690"/>
      <c r="AH363" s="690"/>
      <c r="AI363" s="690"/>
      <c r="AJ363" s="690">
        <f t="shared" si="24"/>
        <v>0</v>
      </c>
      <c r="AK363" s="690"/>
      <c r="AL363" s="690"/>
      <c r="AM363" s="690"/>
    </row>
    <row r="364" spans="1:39" ht="15.95" customHeight="1">
      <c r="A364" s="65">
        <f t="shared" si="25"/>
        <v>28</v>
      </c>
      <c r="B364" s="699" t="s">
        <v>106</v>
      </c>
      <c r="C364" s="700"/>
      <c r="D364" s="700"/>
      <c r="E364" s="700"/>
      <c r="F364" s="700"/>
      <c r="G364" s="700"/>
      <c r="H364" s="700"/>
      <c r="I364" s="700"/>
      <c r="J364" s="700"/>
      <c r="K364" s="701"/>
      <c r="L364" s="702">
        <f t="shared" si="31"/>
        <v>45748</v>
      </c>
      <c r="M364" s="702"/>
      <c r="N364" s="702"/>
      <c r="O364" s="702">
        <f t="shared" si="30"/>
        <v>45777</v>
      </c>
      <c r="P364" s="702"/>
      <c r="Q364" s="702"/>
      <c r="R364" s="690" cm="1">
        <f t="array" ref="R364">INDEX(verificare!$AT$4:$CC$26,VLOOKUP($AA$16,verificare!$AR$4:$AS$26,2,FALSE),A364)</f>
        <v>0</v>
      </c>
      <c r="S364" s="690"/>
      <c r="T364" s="690"/>
      <c r="U364" s="690"/>
      <c r="V364" s="658" t="s">
        <v>446</v>
      </c>
      <c r="W364" s="658"/>
      <c r="X364" s="691">
        <f>HLOOKUP(VLOOKUP($AA$16,'Date SPV'!$B:$F,5,FALSE),'Preturi si tarife'!$C$2:$J$39,A364+2,FALSE)</f>
        <v>7.2541599999999998E-2</v>
      </c>
      <c r="Y364" s="692"/>
      <c r="Z364" s="692"/>
      <c r="AA364" s="693"/>
      <c r="AB364" s="690">
        <f t="shared" si="22"/>
        <v>0</v>
      </c>
      <c r="AC364" s="690"/>
      <c r="AD364" s="690"/>
      <c r="AE364" s="690"/>
      <c r="AF364" s="690">
        <f t="shared" si="23"/>
        <v>0</v>
      </c>
      <c r="AG364" s="690"/>
      <c r="AH364" s="690"/>
      <c r="AI364" s="690"/>
      <c r="AJ364" s="690">
        <f t="shared" si="24"/>
        <v>0</v>
      </c>
      <c r="AK364" s="690"/>
      <c r="AL364" s="690"/>
      <c r="AM364" s="690"/>
    </row>
    <row r="365" spans="1:39" ht="30.95" customHeight="1">
      <c r="A365" s="65">
        <f t="shared" si="25"/>
        <v>29</v>
      </c>
      <c r="B365" s="699" t="s">
        <v>1316</v>
      </c>
      <c r="C365" s="700"/>
      <c r="D365" s="700"/>
      <c r="E365" s="700"/>
      <c r="F365" s="700"/>
      <c r="G365" s="700"/>
      <c r="H365" s="700"/>
      <c r="I365" s="700"/>
      <c r="J365" s="700"/>
      <c r="K365" s="701"/>
      <c r="L365" s="702">
        <f t="shared" si="31"/>
        <v>45748</v>
      </c>
      <c r="M365" s="702"/>
      <c r="N365" s="702"/>
      <c r="O365" s="702">
        <f t="shared" si="30"/>
        <v>45777</v>
      </c>
      <c r="P365" s="702"/>
      <c r="Q365" s="702"/>
      <c r="R365" s="690" cm="1">
        <f t="array" ref="R365">INDEX(verificare!$AT$4:$CC$26,VLOOKUP($AA$16,verificare!$AR$4:$AS$26,2,FALSE),A365)</f>
        <v>0</v>
      </c>
      <c r="S365" s="690"/>
      <c r="T365" s="690"/>
      <c r="U365" s="690"/>
      <c r="V365" s="658" t="s">
        <v>446</v>
      </c>
      <c r="W365" s="658"/>
      <c r="X365" s="691">
        <f>HLOOKUP(VLOOKUP($AA$16,'Date SPV'!$B:$F,5,FALSE),'Preturi si tarife'!$C$2:$J$39,A365+2,FALSE)</f>
        <v>2.0599999999999999E-4</v>
      </c>
      <c r="Y365" s="692"/>
      <c r="Z365" s="692"/>
      <c r="AA365" s="693"/>
      <c r="AB365" s="690">
        <f t="shared" si="22"/>
        <v>0</v>
      </c>
      <c r="AC365" s="690"/>
      <c r="AD365" s="690"/>
      <c r="AE365" s="690"/>
      <c r="AF365" s="690">
        <f t="shared" si="23"/>
        <v>0</v>
      </c>
      <c r="AG365" s="690"/>
      <c r="AH365" s="690"/>
      <c r="AI365" s="690"/>
      <c r="AJ365" s="690">
        <f t="shared" si="24"/>
        <v>0</v>
      </c>
      <c r="AK365" s="690"/>
      <c r="AL365" s="690"/>
      <c r="AM365" s="690"/>
    </row>
    <row r="366" spans="1:39" ht="30.95" customHeight="1">
      <c r="A366" s="65">
        <f t="shared" si="25"/>
        <v>30</v>
      </c>
      <c r="B366" s="699" t="s">
        <v>107</v>
      </c>
      <c r="C366" s="700"/>
      <c r="D366" s="700"/>
      <c r="E366" s="700"/>
      <c r="F366" s="700"/>
      <c r="G366" s="700"/>
      <c r="H366" s="700"/>
      <c r="I366" s="700"/>
      <c r="J366" s="700"/>
      <c r="K366" s="701"/>
      <c r="L366" s="702">
        <f>L364</f>
        <v>45748</v>
      </c>
      <c r="M366" s="702"/>
      <c r="N366" s="702"/>
      <c r="O366" s="702">
        <f>O364</f>
        <v>45777</v>
      </c>
      <c r="P366" s="702"/>
      <c r="Q366" s="702"/>
      <c r="R366" s="690" cm="1">
        <f t="array" ref="R366">INDEX(verificare!$AT$4:$CC$26,VLOOKUP($AA$16,verificare!$AR$4:$AS$26,2,FALSE),A366)</f>
        <v>0</v>
      </c>
      <c r="S366" s="690"/>
      <c r="T366" s="690"/>
      <c r="U366" s="690"/>
      <c r="V366" s="658" t="s">
        <v>446</v>
      </c>
      <c r="W366" s="658"/>
      <c r="X366" s="691">
        <f>HLOOKUP(VLOOKUP($AA$16,'Date SPV'!$B:$F,5,FALSE),'Preturi si tarife'!$C$2:$J$39,A366+2,FALSE)</f>
        <v>0</v>
      </c>
      <c r="Y366" s="692"/>
      <c r="Z366" s="692"/>
      <c r="AA366" s="693"/>
      <c r="AB366" s="690">
        <f t="shared" si="22"/>
        <v>0</v>
      </c>
      <c r="AC366" s="690"/>
      <c r="AD366" s="690"/>
      <c r="AE366" s="690"/>
      <c r="AF366" s="690">
        <f t="shared" si="23"/>
        <v>0</v>
      </c>
      <c r="AG366" s="690"/>
      <c r="AH366" s="690"/>
      <c r="AI366" s="690"/>
      <c r="AJ366" s="690">
        <f t="shared" si="24"/>
        <v>0</v>
      </c>
      <c r="AK366" s="690"/>
      <c r="AL366" s="690"/>
      <c r="AM366" s="690"/>
    </row>
    <row r="367" spans="1:39" ht="15.95" customHeight="1">
      <c r="A367" s="65">
        <f t="shared" si="25"/>
        <v>31</v>
      </c>
      <c r="B367" s="699" t="s">
        <v>108</v>
      </c>
      <c r="C367" s="700"/>
      <c r="D367" s="700"/>
      <c r="E367" s="700"/>
      <c r="F367" s="700"/>
      <c r="G367" s="700"/>
      <c r="H367" s="700"/>
      <c r="I367" s="700"/>
      <c r="J367" s="700"/>
      <c r="K367" s="701"/>
      <c r="L367" s="702">
        <f t="shared" ref="L367:L372" si="32">L366</f>
        <v>45748</v>
      </c>
      <c r="M367" s="702"/>
      <c r="N367" s="702"/>
      <c r="O367" s="702">
        <f t="shared" ref="O367:O372" si="33">O366</f>
        <v>45777</v>
      </c>
      <c r="P367" s="702"/>
      <c r="Q367" s="702"/>
      <c r="R367" s="690" cm="1">
        <f t="array" ref="R367">INDEX(verificare!$AT$4:$CC$26,VLOOKUP($AA$16,verificare!$AR$4:$AS$26,2,FALSE),A367)</f>
        <v>0</v>
      </c>
      <c r="S367" s="690"/>
      <c r="T367" s="690"/>
      <c r="U367" s="690"/>
      <c r="V367" s="658" t="s">
        <v>446</v>
      </c>
      <c r="W367" s="658"/>
      <c r="X367" s="691">
        <f>HLOOKUP(VLOOKUP($AA$16,'Date SPV'!$B:$F,5,FALSE),'Preturi si tarife'!$C$2:$J$39,A367+2,FALSE)</f>
        <v>1.1599999999999999E-2</v>
      </c>
      <c r="Y367" s="692"/>
      <c r="Z367" s="692"/>
      <c r="AA367" s="693"/>
      <c r="AB367" s="690">
        <f t="shared" si="22"/>
        <v>0</v>
      </c>
      <c r="AC367" s="690"/>
      <c r="AD367" s="690"/>
      <c r="AE367" s="690"/>
      <c r="AF367" s="690">
        <f t="shared" si="23"/>
        <v>0</v>
      </c>
      <c r="AG367" s="690"/>
      <c r="AH367" s="690"/>
      <c r="AI367" s="690"/>
      <c r="AJ367" s="690">
        <f t="shared" si="24"/>
        <v>0</v>
      </c>
      <c r="AK367" s="690"/>
      <c r="AL367" s="690"/>
      <c r="AM367" s="690"/>
    </row>
    <row r="368" spans="1:39" ht="15.95" customHeight="1">
      <c r="A368" s="65">
        <f t="shared" si="25"/>
        <v>32</v>
      </c>
      <c r="B368" s="699" t="s">
        <v>109</v>
      </c>
      <c r="C368" s="700"/>
      <c r="D368" s="700"/>
      <c r="E368" s="700"/>
      <c r="F368" s="700"/>
      <c r="G368" s="700"/>
      <c r="H368" s="700"/>
      <c r="I368" s="700"/>
      <c r="J368" s="700"/>
      <c r="K368" s="701"/>
      <c r="L368" s="702">
        <f t="shared" si="32"/>
        <v>45748</v>
      </c>
      <c r="M368" s="702"/>
      <c r="N368" s="702"/>
      <c r="O368" s="702">
        <f t="shared" si="33"/>
        <v>45777</v>
      </c>
      <c r="P368" s="702"/>
      <c r="Q368" s="702"/>
      <c r="R368" s="690" cm="1">
        <f t="array" ref="R368">INDEX(verificare!$AT$4:$CC$26,VLOOKUP($AA$16,verificare!$AR$4:$AS$26,2,FALSE),A368)</f>
        <v>0</v>
      </c>
      <c r="S368" s="690"/>
      <c r="T368" s="690"/>
      <c r="U368" s="690"/>
      <c r="V368" s="724" t="s">
        <v>446</v>
      </c>
      <c r="W368" s="725"/>
      <c r="X368" s="691">
        <f>HLOOKUP(VLOOKUP($AA$16,'Date SPV'!$B:$F,5,FALSE),'Preturi si tarife'!$C$2:$J$39,A368+2,FALSE)</f>
        <v>8.3199999999999996E-2</v>
      </c>
      <c r="Y368" s="692"/>
      <c r="Z368" s="692"/>
      <c r="AA368" s="693"/>
      <c r="AB368" s="690">
        <f t="shared" si="22"/>
        <v>0</v>
      </c>
      <c r="AC368" s="690"/>
      <c r="AD368" s="690"/>
      <c r="AE368" s="690"/>
      <c r="AF368" s="690">
        <f t="shared" si="23"/>
        <v>0</v>
      </c>
      <c r="AG368" s="690"/>
      <c r="AH368" s="690"/>
      <c r="AI368" s="690"/>
      <c r="AJ368" s="690">
        <f t="shared" si="24"/>
        <v>0</v>
      </c>
      <c r="AK368" s="690"/>
      <c r="AL368" s="690"/>
      <c r="AM368" s="690"/>
    </row>
    <row r="369" spans="1:39" ht="30.95" customHeight="1">
      <c r="A369" s="65">
        <f t="shared" si="25"/>
        <v>33</v>
      </c>
      <c r="B369" s="699" t="s">
        <v>110</v>
      </c>
      <c r="C369" s="700"/>
      <c r="D369" s="700"/>
      <c r="E369" s="700"/>
      <c r="F369" s="700"/>
      <c r="G369" s="700"/>
      <c r="H369" s="700"/>
      <c r="I369" s="700"/>
      <c r="J369" s="700"/>
      <c r="K369" s="701"/>
      <c r="L369" s="702">
        <f t="shared" si="32"/>
        <v>45748</v>
      </c>
      <c r="M369" s="702"/>
      <c r="N369" s="702"/>
      <c r="O369" s="702">
        <f t="shared" si="33"/>
        <v>45777</v>
      </c>
      <c r="P369" s="702"/>
      <c r="Q369" s="702"/>
      <c r="R369" s="690" cm="1">
        <f t="array" ref="R369">INDEX(verificare!$AT$4:$CC$26,VLOOKUP($AA$16,verificare!$AR$4:$AS$26,2,FALSE),A369)</f>
        <v>0</v>
      </c>
      <c r="S369" s="690"/>
      <c r="T369" s="690"/>
      <c r="U369" s="690"/>
      <c r="V369" s="658" t="s">
        <v>446</v>
      </c>
      <c r="W369" s="658"/>
      <c r="X369" s="691">
        <f>HLOOKUP(VLOOKUP($AA$16,'Date SPV'!$B:$F,5,FALSE),'Preturi si tarife'!$C$2:$J$39,A369+2,FALSE)</f>
        <v>0.90005760000000001</v>
      </c>
      <c r="Y369" s="692"/>
      <c r="Z369" s="692"/>
      <c r="AA369" s="693"/>
      <c r="AB369" s="690">
        <f t="shared" si="22"/>
        <v>0</v>
      </c>
      <c r="AC369" s="690"/>
      <c r="AD369" s="690"/>
      <c r="AE369" s="690"/>
      <c r="AF369" s="690">
        <f t="shared" si="23"/>
        <v>0</v>
      </c>
      <c r="AG369" s="690"/>
      <c r="AH369" s="690"/>
      <c r="AI369" s="690"/>
      <c r="AJ369" s="690">
        <f t="shared" si="24"/>
        <v>0</v>
      </c>
      <c r="AK369" s="690"/>
      <c r="AL369" s="690"/>
      <c r="AM369" s="690"/>
    </row>
    <row r="370" spans="1:39" ht="30.95" customHeight="1">
      <c r="A370" s="65">
        <f t="shared" si="25"/>
        <v>34</v>
      </c>
      <c r="B370" s="699" t="s">
        <v>111</v>
      </c>
      <c r="C370" s="700"/>
      <c r="D370" s="700"/>
      <c r="E370" s="700"/>
      <c r="F370" s="700"/>
      <c r="G370" s="700"/>
      <c r="H370" s="700"/>
      <c r="I370" s="700"/>
      <c r="J370" s="700"/>
      <c r="K370" s="701"/>
      <c r="L370" s="702">
        <f t="shared" si="32"/>
        <v>45748</v>
      </c>
      <c r="M370" s="702"/>
      <c r="N370" s="702"/>
      <c r="O370" s="702">
        <f t="shared" si="33"/>
        <v>45777</v>
      </c>
      <c r="P370" s="702"/>
      <c r="Q370" s="702"/>
      <c r="R370" s="690" cm="1">
        <f t="array" ref="R370">INDEX(verificare!$AT$4:$CC$26,VLOOKUP($AA$16,verificare!$AR$4:$AS$26,2,FALSE),A370)</f>
        <v>0</v>
      </c>
      <c r="S370" s="690"/>
      <c r="T370" s="690"/>
      <c r="U370" s="690"/>
      <c r="V370" s="658" t="s">
        <v>446</v>
      </c>
      <c r="W370" s="658"/>
      <c r="X370" s="691">
        <f>HLOOKUP(VLOOKUP($AA$16,'Date SPV'!$B:$F,5,FALSE),'Preturi si tarife'!$C$2:$J$39,A370+2,FALSE)</f>
        <v>0.80525760000000002</v>
      </c>
      <c r="Y370" s="692"/>
      <c r="Z370" s="692"/>
      <c r="AA370" s="693"/>
      <c r="AB370" s="690">
        <f t="shared" si="22"/>
        <v>0</v>
      </c>
      <c r="AC370" s="690"/>
      <c r="AD370" s="690"/>
      <c r="AE370" s="690"/>
      <c r="AF370" s="690">
        <f t="shared" si="23"/>
        <v>0</v>
      </c>
      <c r="AG370" s="690"/>
      <c r="AH370" s="690"/>
      <c r="AI370" s="690"/>
      <c r="AJ370" s="690">
        <f t="shared" si="24"/>
        <v>0</v>
      </c>
      <c r="AK370" s="690"/>
      <c r="AL370" s="690"/>
      <c r="AM370" s="690"/>
    </row>
    <row r="371" spans="1:39" ht="15.95" customHeight="1">
      <c r="A371" s="65">
        <f t="shared" si="25"/>
        <v>35</v>
      </c>
      <c r="B371" s="699" t="s">
        <v>112</v>
      </c>
      <c r="C371" s="700"/>
      <c r="D371" s="700"/>
      <c r="E371" s="700"/>
      <c r="F371" s="700"/>
      <c r="G371" s="700"/>
      <c r="H371" s="700"/>
      <c r="I371" s="700"/>
      <c r="J371" s="700"/>
      <c r="K371" s="701"/>
      <c r="L371" s="702">
        <f t="shared" si="32"/>
        <v>45748</v>
      </c>
      <c r="M371" s="702"/>
      <c r="N371" s="702"/>
      <c r="O371" s="702">
        <f t="shared" si="33"/>
        <v>45777</v>
      </c>
      <c r="P371" s="702"/>
      <c r="Q371" s="702"/>
      <c r="R371" s="690" cm="1">
        <f t="array" ref="R371">INDEX(verificare!$AT$4:$CC$26,VLOOKUP($AA$16,verificare!$AR$4:$AS$26,2,FALSE),A371)</f>
        <v>0</v>
      </c>
      <c r="S371" s="690"/>
      <c r="T371" s="690"/>
      <c r="U371" s="690"/>
      <c r="V371" s="724" t="s">
        <v>446</v>
      </c>
      <c r="W371" s="725"/>
      <c r="X371" s="691">
        <f>HLOOKUP(VLOOKUP($AA$16,'Date SPV'!$B:$F,5,FALSE),'Preturi si tarife'!$C$2:$J$39,A371+2,FALSE)</f>
        <v>1.1599999999999999E-2</v>
      </c>
      <c r="Y371" s="692"/>
      <c r="Z371" s="692"/>
      <c r="AA371" s="693"/>
      <c r="AB371" s="690">
        <f t="shared" si="22"/>
        <v>0</v>
      </c>
      <c r="AC371" s="690"/>
      <c r="AD371" s="690"/>
      <c r="AE371" s="690"/>
      <c r="AF371" s="690">
        <f t="shared" si="23"/>
        <v>0</v>
      </c>
      <c r="AG371" s="690"/>
      <c r="AH371" s="690"/>
      <c r="AI371" s="690"/>
      <c r="AJ371" s="690">
        <f t="shared" si="24"/>
        <v>0</v>
      </c>
      <c r="AK371" s="690"/>
      <c r="AL371" s="690"/>
      <c r="AM371" s="690"/>
    </row>
    <row r="372" spans="1:39" ht="15.95" customHeight="1">
      <c r="A372" s="65">
        <f t="shared" si="25"/>
        <v>36</v>
      </c>
      <c r="B372" s="699" t="s">
        <v>113</v>
      </c>
      <c r="C372" s="700"/>
      <c r="D372" s="700"/>
      <c r="E372" s="700"/>
      <c r="F372" s="700"/>
      <c r="G372" s="700"/>
      <c r="H372" s="700"/>
      <c r="I372" s="700"/>
      <c r="J372" s="700"/>
      <c r="K372" s="701"/>
      <c r="L372" s="702">
        <f t="shared" si="32"/>
        <v>45748</v>
      </c>
      <c r="M372" s="702"/>
      <c r="N372" s="702"/>
      <c r="O372" s="702">
        <f t="shared" si="33"/>
        <v>45777</v>
      </c>
      <c r="P372" s="702"/>
      <c r="Q372" s="702"/>
      <c r="R372" s="690" cm="1">
        <f t="array" ref="R372">INDEX(verificare!$AT$4:$CC$26,VLOOKUP($AA$16,verificare!$AR$4:$AS$26,2,FALSE),A372)</f>
        <v>0</v>
      </c>
      <c r="S372" s="690"/>
      <c r="T372" s="690"/>
      <c r="U372" s="690"/>
      <c r="V372" s="724" t="s">
        <v>446</v>
      </c>
      <c r="W372" s="725"/>
      <c r="X372" s="691">
        <f>HLOOKUP(VLOOKUP($AA$16,'Date SPV'!$B:$F,5,FALSE),'Preturi si tarife'!$C$2:$J$39,A372+2,FALSE)</f>
        <v>8.3199999999999996E-2</v>
      </c>
      <c r="Y372" s="692"/>
      <c r="Z372" s="692"/>
      <c r="AA372" s="693"/>
      <c r="AB372" s="690">
        <f t="shared" si="22"/>
        <v>0</v>
      </c>
      <c r="AC372" s="690"/>
      <c r="AD372" s="690"/>
      <c r="AE372" s="690"/>
      <c r="AF372" s="690">
        <f t="shared" si="23"/>
        <v>0</v>
      </c>
      <c r="AG372" s="690"/>
      <c r="AH372" s="690"/>
      <c r="AI372" s="690"/>
      <c r="AJ372" s="690">
        <f t="shared" si="24"/>
        <v>0</v>
      </c>
      <c r="AK372" s="690"/>
      <c r="AL372" s="690"/>
      <c r="AM372" s="690"/>
    </row>
    <row r="373" spans="1:39" ht="15.95" customHeight="1">
      <c r="A373" s="65">
        <f t="shared" si="25"/>
        <v>37</v>
      </c>
      <c r="B373" s="699" t="s">
        <v>728</v>
      </c>
      <c r="C373" s="700"/>
      <c r="D373" s="700"/>
      <c r="E373" s="700"/>
      <c r="F373" s="700"/>
      <c r="G373" s="700"/>
      <c r="H373" s="700"/>
      <c r="I373" s="700"/>
      <c r="J373" s="700"/>
      <c r="K373" s="701"/>
      <c r="L373" s="702" t="s">
        <v>69</v>
      </c>
      <c r="M373" s="702"/>
      <c r="N373" s="702"/>
      <c r="O373" s="702" t="s">
        <v>69</v>
      </c>
      <c r="P373" s="702"/>
      <c r="Q373" s="702"/>
      <c r="R373" s="653">
        <v>0</v>
      </c>
      <c r="S373" s="653"/>
      <c r="T373" s="653"/>
      <c r="U373" s="653"/>
      <c r="V373" s="658" t="s">
        <v>69</v>
      </c>
      <c r="W373" s="658"/>
      <c r="X373" s="659" t="s">
        <v>69</v>
      </c>
      <c r="Y373" s="659"/>
      <c r="Z373" s="659"/>
      <c r="AA373" s="659"/>
      <c r="AB373" s="653">
        <v>0</v>
      </c>
      <c r="AC373" s="653"/>
      <c r="AD373" s="653"/>
      <c r="AE373" s="653"/>
      <c r="AF373" s="653">
        <f>ROUND(AB373*19%,2)</f>
        <v>0</v>
      </c>
      <c r="AG373" s="653"/>
      <c r="AH373" s="653"/>
      <c r="AI373" s="653"/>
      <c r="AJ373" s="653">
        <f>AB373+AF373</f>
        <v>0</v>
      </c>
      <c r="AK373" s="653"/>
      <c r="AL373" s="653"/>
      <c r="AM373" s="653"/>
    </row>
    <row r="374" spans="1:39">
      <c r="A374" s="65">
        <f t="shared" si="25"/>
        <v>38</v>
      </c>
      <c r="B374" s="699" t="s">
        <v>729</v>
      </c>
      <c r="C374" s="700"/>
      <c r="D374" s="700"/>
      <c r="E374" s="700"/>
      <c r="F374" s="700"/>
      <c r="G374" s="700"/>
      <c r="H374" s="700"/>
      <c r="I374" s="700"/>
      <c r="J374" s="700"/>
      <c r="K374" s="701"/>
      <c r="L374" s="702" t="s">
        <v>69</v>
      </c>
      <c r="M374" s="702"/>
      <c r="N374" s="702"/>
      <c r="O374" s="702" t="s">
        <v>69</v>
      </c>
      <c r="P374" s="702"/>
      <c r="Q374" s="702"/>
      <c r="R374" s="653">
        <v>0</v>
      </c>
      <c r="S374" s="653"/>
      <c r="T374" s="653"/>
      <c r="U374" s="653"/>
      <c r="V374" s="658" t="s">
        <v>69</v>
      </c>
      <c r="W374" s="658"/>
      <c r="X374" s="659" t="s">
        <v>69</v>
      </c>
      <c r="Y374" s="659"/>
      <c r="Z374" s="659"/>
      <c r="AA374" s="659"/>
      <c r="AB374" s="726">
        <f>SUM(AB337:AE373)</f>
        <v>639372.33999999985</v>
      </c>
      <c r="AC374" s="726"/>
      <c r="AD374" s="726"/>
      <c r="AE374" s="726"/>
      <c r="AF374" s="726">
        <f>SUM(AF337:AI373)</f>
        <v>121480.74999999999</v>
      </c>
      <c r="AG374" s="726"/>
      <c r="AH374" s="726"/>
      <c r="AI374" s="726"/>
      <c r="AJ374" s="726">
        <f>SUM(AJ337:AM373)</f>
        <v>760853.09000000008</v>
      </c>
      <c r="AK374" s="726"/>
      <c r="AL374" s="726"/>
      <c r="AM374" s="726"/>
    </row>
  </sheetData>
  <mergeCells count="1637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99:L99"/>
    <mergeCell ref="M99:AH99"/>
    <mergeCell ref="AI99:AM100"/>
    <mergeCell ref="A100:L100"/>
    <mergeCell ref="M100:AH100"/>
    <mergeCell ref="A101:F103"/>
    <mergeCell ref="G101:I103"/>
    <mergeCell ref="J101:L103"/>
    <mergeCell ref="M101:N103"/>
    <mergeCell ref="O101:Q103"/>
    <mergeCell ref="AI65:AJ67"/>
    <mergeCell ref="AK65:AM67"/>
    <mergeCell ref="J66:L66"/>
    <mergeCell ref="J67:L67"/>
    <mergeCell ref="A98:L98"/>
    <mergeCell ref="M98:AH98"/>
    <mergeCell ref="AI98:AM98"/>
    <mergeCell ref="A82:L82"/>
    <mergeCell ref="M82:AH82"/>
    <mergeCell ref="R65:T67"/>
    <mergeCell ref="U65:W67"/>
    <mergeCell ref="X65:Z67"/>
    <mergeCell ref="AA65:AC67"/>
    <mergeCell ref="AD65:AE67"/>
    <mergeCell ref="AF65:AH67"/>
    <mergeCell ref="AI81:AM81"/>
    <mergeCell ref="AI82:AM83"/>
    <mergeCell ref="A84:F86"/>
    <mergeCell ref="G84:I86"/>
    <mergeCell ref="J84:L86"/>
    <mergeCell ref="AF93:AH95"/>
    <mergeCell ref="AI93:AJ95"/>
    <mergeCell ref="AA104:AC106"/>
    <mergeCell ref="AD104:AE106"/>
    <mergeCell ref="AF104:AH106"/>
    <mergeCell ref="AI104:AJ106"/>
    <mergeCell ref="AK104:AM106"/>
    <mergeCell ref="J105:L105"/>
    <mergeCell ref="J106:L106"/>
    <mergeCell ref="AI101:AJ103"/>
    <mergeCell ref="AK101:AM103"/>
    <mergeCell ref="A104:F106"/>
    <mergeCell ref="G104:I106"/>
    <mergeCell ref="J104:L104"/>
    <mergeCell ref="M104:N106"/>
    <mergeCell ref="O104:Q106"/>
    <mergeCell ref="R104:T106"/>
    <mergeCell ref="U104:W106"/>
    <mergeCell ref="X104:Z106"/>
    <mergeCell ref="R101:T103"/>
    <mergeCell ref="U101:W103"/>
    <mergeCell ref="X101:Z103"/>
    <mergeCell ref="AA101:AC103"/>
    <mergeCell ref="AD101:AE103"/>
    <mergeCell ref="AF101:AH103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R110:T112"/>
    <mergeCell ref="U110:W112"/>
    <mergeCell ref="U107:W109"/>
    <mergeCell ref="X107:Z109"/>
    <mergeCell ref="AA107:AC109"/>
    <mergeCell ref="AD107:AE109"/>
    <mergeCell ref="AF107:AH109"/>
    <mergeCell ref="AI107:AJ109"/>
    <mergeCell ref="A107:F109"/>
    <mergeCell ref="G107:I109"/>
    <mergeCell ref="J107:L107"/>
    <mergeCell ref="M107:N109"/>
    <mergeCell ref="O107:Q109"/>
    <mergeCell ref="R107:T109"/>
    <mergeCell ref="AF113:AH115"/>
    <mergeCell ref="AI113:AJ115"/>
    <mergeCell ref="AK113:AM115"/>
    <mergeCell ref="J114:L114"/>
    <mergeCell ref="J115:L115"/>
    <mergeCell ref="A116:F118"/>
    <mergeCell ref="G116:I118"/>
    <mergeCell ref="J116:L116"/>
    <mergeCell ref="M116:N118"/>
    <mergeCell ref="O116:Q118"/>
    <mergeCell ref="O113:Q115"/>
    <mergeCell ref="R113:T115"/>
    <mergeCell ref="U113:W115"/>
    <mergeCell ref="X113:Z115"/>
    <mergeCell ref="AA113:AC115"/>
    <mergeCell ref="AD113:AE115"/>
    <mergeCell ref="J111:L111"/>
    <mergeCell ref="J112:L112"/>
    <mergeCell ref="A113:F115"/>
    <mergeCell ref="G113:I115"/>
    <mergeCell ref="J113:L113"/>
    <mergeCell ref="M113:N115"/>
    <mergeCell ref="X110:Z112"/>
    <mergeCell ref="AA110:AC112"/>
    <mergeCell ref="AD110:AE112"/>
    <mergeCell ref="AF110:AH112"/>
    <mergeCell ref="AI110:AJ112"/>
    <mergeCell ref="AK110:AM112"/>
    <mergeCell ref="AK119:AM121"/>
    <mergeCell ref="J120:L120"/>
    <mergeCell ref="J121:L121"/>
    <mergeCell ref="A122:F124"/>
    <mergeCell ref="G122:I124"/>
    <mergeCell ref="J122:L122"/>
    <mergeCell ref="M122:N124"/>
    <mergeCell ref="O122:Q124"/>
    <mergeCell ref="R122:T124"/>
    <mergeCell ref="U122:W124"/>
    <mergeCell ref="U119:W121"/>
    <mergeCell ref="X119:Z121"/>
    <mergeCell ref="AA119:AC121"/>
    <mergeCell ref="AD119:AE121"/>
    <mergeCell ref="AF119:AH121"/>
    <mergeCell ref="AI119:AJ121"/>
    <mergeCell ref="AI116:AJ118"/>
    <mergeCell ref="AK116:AM118"/>
    <mergeCell ref="J117:L117"/>
    <mergeCell ref="J118:L118"/>
    <mergeCell ref="A119:F121"/>
    <mergeCell ref="G119:I121"/>
    <mergeCell ref="J119:L119"/>
    <mergeCell ref="M119:N121"/>
    <mergeCell ref="O119:Q121"/>
    <mergeCell ref="R119:T121"/>
    <mergeCell ref="R116:T118"/>
    <mergeCell ref="U116:W118"/>
    <mergeCell ref="X116:Z118"/>
    <mergeCell ref="AA116:AC118"/>
    <mergeCell ref="AD116:AE118"/>
    <mergeCell ref="AF116:AH118"/>
    <mergeCell ref="AF125:AH127"/>
    <mergeCell ref="AI125:AJ127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O125:Q127"/>
    <mergeCell ref="R125:T127"/>
    <mergeCell ref="U125:W127"/>
    <mergeCell ref="X125:Z127"/>
    <mergeCell ref="AA125:AC127"/>
    <mergeCell ref="AD125:AE127"/>
    <mergeCell ref="J123:L123"/>
    <mergeCell ref="J124:L124"/>
    <mergeCell ref="A125:F127"/>
    <mergeCell ref="G125:I127"/>
    <mergeCell ref="J125:L125"/>
    <mergeCell ref="M125:N127"/>
    <mergeCell ref="X122:Z124"/>
    <mergeCell ref="AA122:AC124"/>
    <mergeCell ref="AD122:AE124"/>
    <mergeCell ref="AF122:AH124"/>
    <mergeCell ref="AI122:AJ124"/>
    <mergeCell ref="AK122:AM124"/>
    <mergeCell ref="A135:L135"/>
    <mergeCell ref="M135:AH135"/>
    <mergeCell ref="AI135:AM136"/>
    <mergeCell ref="A136:L136"/>
    <mergeCell ref="M136:AH136"/>
    <mergeCell ref="A137:F139"/>
    <mergeCell ref="G137:I139"/>
    <mergeCell ref="J137:L139"/>
    <mergeCell ref="M137:N139"/>
    <mergeCell ref="O137:Q139"/>
    <mergeCell ref="AI128:AJ130"/>
    <mergeCell ref="AK128:AM130"/>
    <mergeCell ref="J129:L129"/>
    <mergeCell ref="J130:L130"/>
    <mergeCell ref="AI134:AM134"/>
    <mergeCell ref="R128:T130"/>
    <mergeCell ref="U128:W130"/>
    <mergeCell ref="X128:Z130"/>
    <mergeCell ref="AA128:AC130"/>
    <mergeCell ref="AD128:AE130"/>
    <mergeCell ref="AF128:AH130"/>
    <mergeCell ref="AK140:AM142"/>
    <mergeCell ref="J141:L141"/>
    <mergeCell ref="J142:L142"/>
    <mergeCell ref="AI137:AJ139"/>
    <mergeCell ref="AK137:AM139"/>
    <mergeCell ref="A140:F142"/>
    <mergeCell ref="G140:I142"/>
    <mergeCell ref="J140:L140"/>
    <mergeCell ref="M140:N142"/>
    <mergeCell ref="O140:Q142"/>
    <mergeCell ref="R140:T142"/>
    <mergeCell ref="U140:W142"/>
    <mergeCell ref="X140:Z142"/>
    <mergeCell ref="R137:T139"/>
    <mergeCell ref="U137:W139"/>
    <mergeCell ref="X137:Z139"/>
    <mergeCell ref="AA137:AC139"/>
    <mergeCell ref="AD137:AE139"/>
    <mergeCell ref="AF137:AH139"/>
    <mergeCell ref="O146:Q148"/>
    <mergeCell ref="R146:T148"/>
    <mergeCell ref="U146:W148"/>
    <mergeCell ref="U143:W145"/>
    <mergeCell ref="X143:Z145"/>
    <mergeCell ref="AA143:AC145"/>
    <mergeCell ref="AD143:AE145"/>
    <mergeCell ref="AF143:AH145"/>
    <mergeCell ref="AI143:AJ145"/>
    <mergeCell ref="A143:F145"/>
    <mergeCell ref="G143:I145"/>
    <mergeCell ref="J143:L143"/>
    <mergeCell ref="M143:N145"/>
    <mergeCell ref="O143:Q145"/>
    <mergeCell ref="R143:T145"/>
    <mergeCell ref="AA140:AC142"/>
    <mergeCell ref="AD140:AE142"/>
    <mergeCell ref="AF140:AH142"/>
    <mergeCell ref="AI140:AJ142"/>
    <mergeCell ref="AB337:AE337"/>
    <mergeCell ref="AF337:AI337"/>
    <mergeCell ref="AJ337:AM337"/>
    <mergeCell ref="B338:K338"/>
    <mergeCell ref="L338:N338"/>
    <mergeCell ref="O338:Q338"/>
    <mergeCell ref="R338:U338"/>
    <mergeCell ref="V338:W338"/>
    <mergeCell ref="X338:AA338"/>
    <mergeCell ref="AB338:AE338"/>
    <mergeCell ref="B337:K337"/>
    <mergeCell ref="L337:N337"/>
    <mergeCell ref="O337:Q337"/>
    <mergeCell ref="R337:U337"/>
    <mergeCell ref="V337:W337"/>
    <mergeCell ref="X337:AA337"/>
    <mergeCell ref="J147:L147"/>
    <mergeCell ref="J148:L148"/>
    <mergeCell ref="A334:AM334"/>
    <mergeCell ref="B336:K336"/>
    <mergeCell ref="R336:U336"/>
    <mergeCell ref="V336:W336"/>
    <mergeCell ref="X336:AA336"/>
    <mergeCell ref="AB336:AE336"/>
    <mergeCell ref="AF336:AI336"/>
    <mergeCell ref="AJ336:AM336"/>
    <mergeCell ref="X146:Z148"/>
    <mergeCell ref="AA146:AC148"/>
    <mergeCell ref="AD146:AE148"/>
    <mergeCell ref="AF146:AH148"/>
    <mergeCell ref="AI146:AJ148"/>
    <mergeCell ref="AK146:AM148"/>
    <mergeCell ref="AJ339:AM339"/>
    <mergeCell ref="B340:K340"/>
    <mergeCell ref="L340:N340"/>
    <mergeCell ref="O340:Q340"/>
    <mergeCell ref="R340:U340"/>
    <mergeCell ref="V340:W340"/>
    <mergeCell ref="X340:AA340"/>
    <mergeCell ref="AB340:AE340"/>
    <mergeCell ref="AF340:AI340"/>
    <mergeCell ref="AJ340:AM340"/>
    <mergeCell ref="AF338:AI338"/>
    <mergeCell ref="AJ338:AM338"/>
    <mergeCell ref="B339:K339"/>
    <mergeCell ref="L339:N339"/>
    <mergeCell ref="O339:Q339"/>
    <mergeCell ref="R339:U339"/>
    <mergeCell ref="V339:W339"/>
    <mergeCell ref="X339:AA339"/>
    <mergeCell ref="AB339:AE339"/>
    <mergeCell ref="AF339:AI339"/>
    <mergeCell ref="AF342:AI342"/>
    <mergeCell ref="AJ342:AM342"/>
    <mergeCell ref="B343:K343"/>
    <mergeCell ref="L343:N343"/>
    <mergeCell ref="O343:Q343"/>
    <mergeCell ref="R343:U343"/>
    <mergeCell ref="V343:W343"/>
    <mergeCell ref="X343:AA343"/>
    <mergeCell ref="AB343:AE343"/>
    <mergeCell ref="AF343:AI343"/>
    <mergeCell ref="AB341:AE341"/>
    <mergeCell ref="AF341:AI341"/>
    <mergeCell ref="AJ341:AM341"/>
    <mergeCell ref="B342:K342"/>
    <mergeCell ref="L342:N342"/>
    <mergeCell ref="O342:Q342"/>
    <mergeCell ref="R342:U342"/>
    <mergeCell ref="V342:W342"/>
    <mergeCell ref="X342:AA342"/>
    <mergeCell ref="AB342:AE342"/>
    <mergeCell ref="B341:K341"/>
    <mergeCell ref="L341:N341"/>
    <mergeCell ref="O341:Q341"/>
    <mergeCell ref="R341:U341"/>
    <mergeCell ref="V341:W341"/>
    <mergeCell ref="X341:AA341"/>
    <mergeCell ref="AB345:AE345"/>
    <mergeCell ref="AF345:AI345"/>
    <mergeCell ref="AJ345:AM345"/>
    <mergeCell ref="B346:K346"/>
    <mergeCell ref="L346:N346"/>
    <mergeCell ref="O346:Q346"/>
    <mergeCell ref="R346:U346"/>
    <mergeCell ref="V346:W346"/>
    <mergeCell ref="X346:AA346"/>
    <mergeCell ref="AB346:AE346"/>
    <mergeCell ref="B345:K345"/>
    <mergeCell ref="L345:N345"/>
    <mergeCell ref="O345:Q345"/>
    <mergeCell ref="R345:U345"/>
    <mergeCell ref="V345:W345"/>
    <mergeCell ref="X345:AA345"/>
    <mergeCell ref="AJ343:AM343"/>
    <mergeCell ref="B344:K344"/>
    <mergeCell ref="L344:N344"/>
    <mergeCell ref="O344:Q344"/>
    <mergeCell ref="R344:U344"/>
    <mergeCell ref="V344:W344"/>
    <mergeCell ref="X344:AA344"/>
    <mergeCell ref="AB344:AE344"/>
    <mergeCell ref="AF344:AI344"/>
    <mergeCell ref="AJ344:AM344"/>
    <mergeCell ref="AJ347:AM347"/>
    <mergeCell ref="B348:K348"/>
    <mergeCell ref="L348:N348"/>
    <mergeCell ref="O348:Q348"/>
    <mergeCell ref="R348:U348"/>
    <mergeCell ref="V348:W348"/>
    <mergeCell ref="X348:AA348"/>
    <mergeCell ref="AB348:AE348"/>
    <mergeCell ref="AF348:AI348"/>
    <mergeCell ref="AJ348:AM348"/>
    <mergeCell ref="AF346:AI346"/>
    <mergeCell ref="AJ346:AM346"/>
    <mergeCell ref="B347:K347"/>
    <mergeCell ref="L347:N347"/>
    <mergeCell ref="O347:Q347"/>
    <mergeCell ref="R347:U347"/>
    <mergeCell ref="V347:W347"/>
    <mergeCell ref="X347:AA347"/>
    <mergeCell ref="AB347:AE347"/>
    <mergeCell ref="AF347:AI347"/>
    <mergeCell ref="AF350:AI350"/>
    <mergeCell ref="AJ350:AM350"/>
    <mergeCell ref="B351:K351"/>
    <mergeCell ref="L351:N351"/>
    <mergeCell ref="O351:Q351"/>
    <mergeCell ref="R351:U351"/>
    <mergeCell ref="V351:W351"/>
    <mergeCell ref="X351:AA351"/>
    <mergeCell ref="AB351:AE351"/>
    <mergeCell ref="AF351:AI351"/>
    <mergeCell ref="AB349:AE349"/>
    <mergeCell ref="AF349:AI349"/>
    <mergeCell ref="AJ349:AM349"/>
    <mergeCell ref="B350:K350"/>
    <mergeCell ref="L350:N350"/>
    <mergeCell ref="O350:Q350"/>
    <mergeCell ref="R350:U350"/>
    <mergeCell ref="V350:W350"/>
    <mergeCell ref="X350:AA350"/>
    <mergeCell ref="AB350:AE350"/>
    <mergeCell ref="B349:K349"/>
    <mergeCell ref="L349:N349"/>
    <mergeCell ref="O349:Q349"/>
    <mergeCell ref="R349:U349"/>
    <mergeCell ref="V349:W349"/>
    <mergeCell ref="X349:AA349"/>
    <mergeCell ref="AB353:AE353"/>
    <mergeCell ref="AF353:AI353"/>
    <mergeCell ref="AJ353:AM353"/>
    <mergeCell ref="B354:K354"/>
    <mergeCell ref="L354:N354"/>
    <mergeCell ref="O354:Q354"/>
    <mergeCell ref="R354:U354"/>
    <mergeCell ref="V354:W354"/>
    <mergeCell ref="X354:AA354"/>
    <mergeCell ref="AB354:AE354"/>
    <mergeCell ref="B353:K353"/>
    <mergeCell ref="L353:N353"/>
    <mergeCell ref="O353:Q353"/>
    <mergeCell ref="R353:U353"/>
    <mergeCell ref="V353:W353"/>
    <mergeCell ref="X353:AA353"/>
    <mergeCell ref="AJ351:AM351"/>
    <mergeCell ref="B352:K352"/>
    <mergeCell ref="L352:N352"/>
    <mergeCell ref="O352:Q352"/>
    <mergeCell ref="R352:U352"/>
    <mergeCell ref="V352:W352"/>
    <mergeCell ref="X352:AA352"/>
    <mergeCell ref="AB352:AE352"/>
    <mergeCell ref="AF352:AI352"/>
    <mergeCell ref="AJ352:AM352"/>
    <mergeCell ref="AJ355:AM355"/>
    <mergeCell ref="B356:K356"/>
    <mergeCell ref="L356:N356"/>
    <mergeCell ref="O356:Q356"/>
    <mergeCell ref="R356:U356"/>
    <mergeCell ref="V356:W356"/>
    <mergeCell ref="X356:AA356"/>
    <mergeCell ref="AB356:AE356"/>
    <mergeCell ref="AF356:AI356"/>
    <mergeCell ref="AJ356:AM356"/>
    <mergeCell ref="AF354:AI354"/>
    <mergeCell ref="AJ354:AM354"/>
    <mergeCell ref="B355:K355"/>
    <mergeCell ref="L355:N355"/>
    <mergeCell ref="O355:Q355"/>
    <mergeCell ref="R355:U355"/>
    <mergeCell ref="V355:W355"/>
    <mergeCell ref="X355:AA355"/>
    <mergeCell ref="AB355:AE355"/>
    <mergeCell ref="AF355:AI355"/>
    <mergeCell ref="AF358:AI358"/>
    <mergeCell ref="AJ358:AM358"/>
    <mergeCell ref="B359:K359"/>
    <mergeCell ref="L359:N359"/>
    <mergeCell ref="O359:Q359"/>
    <mergeCell ref="R359:U359"/>
    <mergeCell ref="V359:W359"/>
    <mergeCell ref="X359:AA359"/>
    <mergeCell ref="AB359:AE359"/>
    <mergeCell ref="AF359:AI359"/>
    <mergeCell ref="AB357:AE357"/>
    <mergeCell ref="AF357:AI357"/>
    <mergeCell ref="AJ357:AM357"/>
    <mergeCell ref="B358:K358"/>
    <mergeCell ref="L358:N358"/>
    <mergeCell ref="O358:Q358"/>
    <mergeCell ref="R358:U358"/>
    <mergeCell ref="V358:W358"/>
    <mergeCell ref="X358:AA358"/>
    <mergeCell ref="AB358:AE358"/>
    <mergeCell ref="B357:K357"/>
    <mergeCell ref="L357:N357"/>
    <mergeCell ref="O357:Q357"/>
    <mergeCell ref="R357:U357"/>
    <mergeCell ref="V357:W357"/>
    <mergeCell ref="X357:AA357"/>
    <mergeCell ref="AB361:AE361"/>
    <mergeCell ref="AF361:AI361"/>
    <mergeCell ref="AJ361:AM361"/>
    <mergeCell ref="B362:K362"/>
    <mergeCell ref="L362:N362"/>
    <mergeCell ref="O362:Q362"/>
    <mergeCell ref="R362:U362"/>
    <mergeCell ref="V362:W362"/>
    <mergeCell ref="X362:AA362"/>
    <mergeCell ref="AB362:AE362"/>
    <mergeCell ref="B361:K361"/>
    <mergeCell ref="L361:N361"/>
    <mergeCell ref="O361:Q361"/>
    <mergeCell ref="R361:U361"/>
    <mergeCell ref="V361:W361"/>
    <mergeCell ref="X361:AA361"/>
    <mergeCell ref="AJ359:AM359"/>
    <mergeCell ref="B360:K360"/>
    <mergeCell ref="L360:N360"/>
    <mergeCell ref="O360:Q360"/>
    <mergeCell ref="R360:U360"/>
    <mergeCell ref="V360:W360"/>
    <mergeCell ref="X360:AA360"/>
    <mergeCell ref="AB360:AE360"/>
    <mergeCell ref="AF360:AI360"/>
    <mergeCell ref="AJ360:AM360"/>
    <mergeCell ref="AJ363:AM363"/>
    <mergeCell ref="B364:K364"/>
    <mergeCell ref="L364:N364"/>
    <mergeCell ref="O364:Q364"/>
    <mergeCell ref="R364:U364"/>
    <mergeCell ref="V364:W364"/>
    <mergeCell ref="X364:AA364"/>
    <mergeCell ref="AB364:AE364"/>
    <mergeCell ref="AF364:AI364"/>
    <mergeCell ref="AJ364:AM364"/>
    <mergeCell ref="AF362:AI362"/>
    <mergeCell ref="AJ362:AM362"/>
    <mergeCell ref="B363:K363"/>
    <mergeCell ref="L363:N363"/>
    <mergeCell ref="O363:Q363"/>
    <mergeCell ref="R363:U363"/>
    <mergeCell ref="V363:W363"/>
    <mergeCell ref="X363:AA363"/>
    <mergeCell ref="AB363:AE363"/>
    <mergeCell ref="AF363:AI363"/>
    <mergeCell ref="AF366:AI366"/>
    <mergeCell ref="AJ366:AM366"/>
    <mergeCell ref="B367:K367"/>
    <mergeCell ref="L367:N367"/>
    <mergeCell ref="O367:Q367"/>
    <mergeCell ref="R367:U367"/>
    <mergeCell ref="V367:W367"/>
    <mergeCell ref="X367:AA367"/>
    <mergeCell ref="AB367:AE367"/>
    <mergeCell ref="AF367:AI367"/>
    <mergeCell ref="AB365:AE365"/>
    <mergeCell ref="AF365:AI365"/>
    <mergeCell ref="AJ365:AM365"/>
    <mergeCell ref="B366:K366"/>
    <mergeCell ref="L366:N366"/>
    <mergeCell ref="O366:Q366"/>
    <mergeCell ref="R366:U366"/>
    <mergeCell ref="V366:W366"/>
    <mergeCell ref="X366:AA366"/>
    <mergeCell ref="AB366:AE366"/>
    <mergeCell ref="B365:K365"/>
    <mergeCell ref="L365:N365"/>
    <mergeCell ref="O365:Q365"/>
    <mergeCell ref="R365:U365"/>
    <mergeCell ref="V365:W365"/>
    <mergeCell ref="X365:AA365"/>
    <mergeCell ref="AB369:AE369"/>
    <mergeCell ref="AF369:AI369"/>
    <mergeCell ref="AJ369:AM369"/>
    <mergeCell ref="B370:K370"/>
    <mergeCell ref="L370:N370"/>
    <mergeCell ref="O370:Q370"/>
    <mergeCell ref="R370:U370"/>
    <mergeCell ref="V370:W370"/>
    <mergeCell ref="X370:AA370"/>
    <mergeCell ref="AB370:AE370"/>
    <mergeCell ref="B369:K369"/>
    <mergeCell ref="L369:N369"/>
    <mergeCell ref="O369:Q369"/>
    <mergeCell ref="R369:U369"/>
    <mergeCell ref="V369:W369"/>
    <mergeCell ref="X369:AA369"/>
    <mergeCell ref="AJ367:AM367"/>
    <mergeCell ref="B368:K368"/>
    <mergeCell ref="L368:N368"/>
    <mergeCell ref="O368:Q368"/>
    <mergeCell ref="R368:U368"/>
    <mergeCell ref="V368:W368"/>
    <mergeCell ref="X368:AA368"/>
    <mergeCell ref="AB368:AE368"/>
    <mergeCell ref="AF368:AI368"/>
    <mergeCell ref="AJ368:AM368"/>
    <mergeCell ref="AJ371:AM371"/>
    <mergeCell ref="B372:K372"/>
    <mergeCell ref="L372:N372"/>
    <mergeCell ref="O372:Q372"/>
    <mergeCell ref="R372:U372"/>
    <mergeCell ref="V372:W372"/>
    <mergeCell ref="X372:AA372"/>
    <mergeCell ref="AB372:AE372"/>
    <mergeCell ref="AF372:AI372"/>
    <mergeCell ref="AJ372:AM372"/>
    <mergeCell ref="AF370:AI370"/>
    <mergeCell ref="AJ370:AM370"/>
    <mergeCell ref="B371:K371"/>
    <mergeCell ref="L371:N371"/>
    <mergeCell ref="O371:Q371"/>
    <mergeCell ref="R371:U371"/>
    <mergeCell ref="V371:W371"/>
    <mergeCell ref="X371:AA371"/>
    <mergeCell ref="AB371:AE371"/>
    <mergeCell ref="AF371:AI371"/>
    <mergeCell ref="AK93:AM95"/>
    <mergeCell ref="J92:L92"/>
    <mergeCell ref="J93:L93"/>
    <mergeCell ref="J94:L94"/>
    <mergeCell ref="AD90:AE92"/>
    <mergeCell ref="AF90:AH92"/>
    <mergeCell ref="AI90:AJ92"/>
    <mergeCell ref="J91:L91"/>
    <mergeCell ref="J89:L89"/>
    <mergeCell ref="J90:L90"/>
    <mergeCell ref="AA87:AC89"/>
    <mergeCell ref="AD87:AE89"/>
    <mergeCell ref="AF87:AH89"/>
    <mergeCell ref="J88:L88"/>
    <mergeCell ref="AF84:AH86"/>
    <mergeCell ref="A83:L83"/>
    <mergeCell ref="M83:AH83"/>
    <mergeCell ref="AI87:AJ89"/>
    <mergeCell ref="AK87:AM89"/>
    <mergeCell ref="A90:F92"/>
    <mergeCell ref="G90:I92"/>
    <mergeCell ref="M90:N92"/>
    <mergeCell ref="O90:Q92"/>
    <mergeCell ref="R90:T92"/>
    <mergeCell ref="U90:W92"/>
    <mergeCell ref="X90:Z92"/>
    <mergeCell ref="AA90:AC92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O84:Q86"/>
    <mergeCell ref="R84:T86"/>
    <mergeCell ref="U84:W86"/>
    <mergeCell ref="X84:Z86"/>
    <mergeCell ref="AA84:AC86"/>
    <mergeCell ref="AD84:AE86"/>
    <mergeCell ref="M84:N86"/>
    <mergeCell ref="A156:L156"/>
    <mergeCell ref="M156:AH156"/>
    <mergeCell ref="AI156:AM156"/>
    <mergeCell ref="A157:L157"/>
    <mergeCell ref="M157:AH157"/>
    <mergeCell ref="AI157:AM158"/>
    <mergeCell ref="A158:L158"/>
    <mergeCell ref="M158:AH158"/>
    <mergeCell ref="A151:G152"/>
    <mergeCell ref="H151:AM152"/>
    <mergeCell ref="A153:G154"/>
    <mergeCell ref="H153:V154"/>
    <mergeCell ref="W153:Z154"/>
    <mergeCell ref="AA153:AM154"/>
    <mergeCell ref="AK90:AM92"/>
    <mergeCell ref="A93:F95"/>
    <mergeCell ref="G93:I95"/>
    <mergeCell ref="M93:N95"/>
    <mergeCell ref="O93:Q95"/>
    <mergeCell ref="R93:T95"/>
    <mergeCell ref="U93:W95"/>
    <mergeCell ref="X93:Z95"/>
    <mergeCell ref="AA93:AC95"/>
    <mergeCell ref="AD93:AE95"/>
    <mergeCell ref="J95:L95"/>
    <mergeCell ref="AK143:AM145"/>
    <mergeCell ref="J144:L144"/>
    <mergeCell ref="J145:L145"/>
    <mergeCell ref="A146:F148"/>
    <mergeCell ref="G146:I148"/>
    <mergeCell ref="J146:L146"/>
    <mergeCell ref="M146:N148"/>
    <mergeCell ref="AD162:AE164"/>
    <mergeCell ref="AF162:AH164"/>
    <mergeCell ref="AI162:AJ164"/>
    <mergeCell ref="AK162:AM164"/>
    <mergeCell ref="J163:L163"/>
    <mergeCell ref="J164:L164"/>
    <mergeCell ref="AK159:AM161"/>
    <mergeCell ref="A162:F164"/>
    <mergeCell ref="G162:I164"/>
    <mergeCell ref="J162:L162"/>
    <mergeCell ref="M162:N164"/>
    <mergeCell ref="O162:Q164"/>
    <mergeCell ref="R162:T164"/>
    <mergeCell ref="U162:W164"/>
    <mergeCell ref="X162:Z164"/>
    <mergeCell ref="AA162:AC164"/>
    <mergeCell ref="U159:W161"/>
    <mergeCell ref="X159:Z161"/>
    <mergeCell ref="AA159:AC161"/>
    <mergeCell ref="AD159:AE161"/>
    <mergeCell ref="AF159:AH161"/>
    <mergeCell ref="AI159:AJ161"/>
    <mergeCell ref="A159:F161"/>
    <mergeCell ref="G159:I161"/>
    <mergeCell ref="J159:L161"/>
    <mergeCell ref="M159:N161"/>
    <mergeCell ref="O159:Q161"/>
    <mergeCell ref="R159:T161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R168:T170"/>
    <mergeCell ref="U168:W170"/>
    <mergeCell ref="U165:W167"/>
    <mergeCell ref="X165:Z167"/>
    <mergeCell ref="AA165:AC167"/>
    <mergeCell ref="AD165:AE167"/>
    <mergeCell ref="AF165:AH167"/>
    <mergeCell ref="AI165:AJ167"/>
    <mergeCell ref="A165:F167"/>
    <mergeCell ref="G165:I167"/>
    <mergeCell ref="J165:L165"/>
    <mergeCell ref="M165:N167"/>
    <mergeCell ref="O165:Q167"/>
    <mergeCell ref="R165:T167"/>
    <mergeCell ref="AF171:AH173"/>
    <mergeCell ref="AI171:AJ173"/>
    <mergeCell ref="AK171:AM173"/>
    <mergeCell ref="J172:L172"/>
    <mergeCell ref="J173:L173"/>
    <mergeCell ref="A174:F176"/>
    <mergeCell ref="G174:I176"/>
    <mergeCell ref="J174:L174"/>
    <mergeCell ref="M174:N176"/>
    <mergeCell ref="O174:Q176"/>
    <mergeCell ref="O171:Q173"/>
    <mergeCell ref="R171:T173"/>
    <mergeCell ref="U171:W173"/>
    <mergeCell ref="X171:Z173"/>
    <mergeCell ref="AA171:AC173"/>
    <mergeCell ref="AD171:AE173"/>
    <mergeCell ref="J169:L169"/>
    <mergeCell ref="J170:L170"/>
    <mergeCell ref="A171:F173"/>
    <mergeCell ref="G171:I173"/>
    <mergeCell ref="J171:L171"/>
    <mergeCell ref="M171:N173"/>
    <mergeCell ref="X168:Z170"/>
    <mergeCell ref="AA168:AC170"/>
    <mergeCell ref="AD168:AE170"/>
    <mergeCell ref="AF168:AH170"/>
    <mergeCell ref="AI168:AJ170"/>
    <mergeCell ref="AK168:AM170"/>
    <mergeCell ref="AK177:AM179"/>
    <mergeCell ref="J178:L178"/>
    <mergeCell ref="J179:L179"/>
    <mergeCell ref="A180:F182"/>
    <mergeCell ref="G180:I182"/>
    <mergeCell ref="J180:L180"/>
    <mergeCell ref="M180:N182"/>
    <mergeCell ref="O180:Q182"/>
    <mergeCell ref="R180:T182"/>
    <mergeCell ref="U180:W182"/>
    <mergeCell ref="U177:W179"/>
    <mergeCell ref="X177:Z179"/>
    <mergeCell ref="AA177:AC179"/>
    <mergeCell ref="AD177:AE179"/>
    <mergeCell ref="AF177:AH179"/>
    <mergeCell ref="AI177:AJ179"/>
    <mergeCell ref="AI174:AJ176"/>
    <mergeCell ref="AK174:AM176"/>
    <mergeCell ref="J175:L175"/>
    <mergeCell ref="J176:L176"/>
    <mergeCell ref="A177:F179"/>
    <mergeCell ref="G177:I179"/>
    <mergeCell ref="J177:L177"/>
    <mergeCell ref="M177:N179"/>
    <mergeCell ref="O177:Q179"/>
    <mergeCell ref="R177:T179"/>
    <mergeCell ref="R174:T176"/>
    <mergeCell ref="U174:W176"/>
    <mergeCell ref="X174:Z176"/>
    <mergeCell ref="AA174:AC176"/>
    <mergeCell ref="AD174:AE176"/>
    <mergeCell ref="AF174:AH176"/>
    <mergeCell ref="AF183:AH185"/>
    <mergeCell ref="AI183:AJ185"/>
    <mergeCell ref="AK183:AM185"/>
    <mergeCell ref="J184:L184"/>
    <mergeCell ref="J185:L185"/>
    <mergeCell ref="A186:F188"/>
    <mergeCell ref="G186:I188"/>
    <mergeCell ref="J186:L186"/>
    <mergeCell ref="M186:N188"/>
    <mergeCell ref="O186:Q188"/>
    <mergeCell ref="O183:Q185"/>
    <mergeCell ref="R183:T185"/>
    <mergeCell ref="U183:W185"/>
    <mergeCell ref="X183:Z185"/>
    <mergeCell ref="AA183:AC185"/>
    <mergeCell ref="AD183:AE185"/>
    <mergeCell ref="J181:L181"/>
    <mergeCell ref="J182:L182"/>
    <mergeCell ref="A183:F185"/>
    <mergeCell ref="G183:I185"/>
    <mergeCell ref="J183:L183"/>
    <mergeCell ref="M183:N185"/>
    <mergeCell ref="X180:Z182"/>
    <mergeCell ref="AA180:AC182"/>
    <mergeCell ref="AD180:AE182"/>
    <mergeCell ref="AF180:AH182"/>
    <mergeCell ref="AI180:AJ182"/>
    <mergeCell ref="AK180:AM182"/>
    <mergeCell ref="A192:L192"/>
    <mergeCell ref="M192:AH192"/>
    <mergeCell ref="AI192:AM193"/>
    <mergeCell ref="A193:L193"/>
    <mergeCell ref="M193:AH193"/>
    <mergeCell ref="A194:F196"/>
    <mergeCell ref="G194:I196"/>
    <mergeCell ref="J194:L196"/>
    <mergeCell ref="M194:N196"/>
    <mergeCell ref="O194:Q196"/>
    <mergeCell ref="AI186:AJ188"/>
    <mergeCell ref="AK186:AM188"/>
    <mergeCell ref="J187:L187"/>
    <mergeCell ref="J188:L188"/>
    <mergeCell ref="AI191:AM191"/>
    <mergeCell ref="R186:T188"/>
    <mergeCell ref="U186:W188"/>
    <mergeCell ref="X186:Z188"/>
    <mergeCell ref="AA186:AC188"/>
    <mergeCell ref="AD186:AE188"/>
    <mergeCell ref="AF186:AH188"/>
    <mergeCell ref="A200:F202"/>
    <mergeCell ref="G200:I202"/>
    <mergeCell ref="J200:L200"/>
    <mergeCell ref="M200:N202"/>
    <mergeCell ref="O200:Q202"/>
    <mergeCell ref="R200:T202"/>
    <mergeCell ref="AA197:AC199"/>
    <mergeCell ref="AD197:AE199"/>
    <mergeCell ref="AF197:AH199"/>
    <mergeCell ref="AI197:AJ199"/>
    <mergeCell ref="AK197:AM199"/>
    <mergeCell ref="J198:L198"/>
    <mergeCell ref="J199:L199"/>
    <mergeCell ref="AI194:AJ196"/>
    <mergeCell ref="AK194:AM196"/>
    <mergeCell ref="A197:F199"/>
    <mergeCell ref="G197:I199"/>
    <mergeCell ref="J197:L197"/>
    <mergeCell ref="M197:N199"/>
    <mergeCell ref="O197:Q199"/>
    <mergeCell ref="R197:T199"/>
    <mergeCell ref="U197:W199"/>
    <mergeCell ref="X197:Z199"/>
    <mergeCell ref="R194:T196"/>
    <mergeCell ref="U194:W196"/>
    <mergeCell ref="X194:Z196"/>
    <mergeCell ref="AA194:AC196"/>
    <mergeCell ref="AD194:AE196"/>
    <mergeCell ref="AF194:AH196"/>
    <mergeCell ref="J204:L204"/>
    <mergeCell ref="J205:L205"/>
    <mergeCell ref="A209:L209"/>
    <mergeCell ref="M209:AH209"/>
    <mergeCell ref="AI209:AM209"/>
    <mergeCell ref="A210:L210"/>
    <mergeCell ref="M210:AH210"/>
    <mergeCell ref="AI210:AM211"/>
    <mergeCell ref="A211:L211"/>
    <mergeCell ref="M211:AH211"/>
    <mergeCell ref="X203:Z205"/>
    <mergeCell ref="AA203:AC205"/>
    <mergeCell ref="AD203:AE205"/>
    <mergeCell ref="AF203:AH205"/>
    <mergeCell ref="AI203:AJ205"/>
    <mergeCell ref="AK203:AM205"/>
    <mergeCell ref="AK200:AM202"/>
    <mergeCell ref="J201:L201"/>
    <mergeCell ref="J202:L202"/>
    <mergeCell ref="A203:F205"/>
    <mergeCell ref="G203:I205"/>
    <mergeCell ref="J203:L203"/>
    <mergeCell ref="M203:N205"/>
    <mergeCell ref="O203:Q205"/>
    <mergeCell ref="R203:T205"/>
    <mergeCell ref="U203:W205"/>
    <mergeCell ref="U200:W202"/>
    <mergeCell ref="X200:Z202"/>
    <mergeCell ref="AA200:AC202"/>
    <mergeCell ref="AD200:AE202"/>
    <mergeCell ref="AF200:AH202"/>
    <mergeCell ref="AI200:AJ202"/>
    <mergeCell ref="O218:Q220"/>
    <mergeCell ref="R218:T220"/>
    <mergeCell ref="AD215:AE217"/>
    <mergeCell ref="AF215:AH217"/>
    <mergeCell ref="AI215:AJ217"/>
    <mergeCell ref="AK215:AM217"/>
    <mergeCell ref="J216:L216"/>
    <mergeCell ref="J217:L217"/>
    <mergeCell ref="AK212:AM214"/>
    <mergeCell ref="A215:F217"/>
    <mergeCell ref="G215:I217"/>
    <mergeCell ref="J215:L215"/>
    <mergeCell ref="M215:N217"/>
    <mergeCell ref="O215:Q217"/>
    <mergeCell ref="R215:T217"/>
    <mergeCell ref="U215:W217"/>
    <mergeCell ref="X215:Z217"/>
    <mergeCell ref="AA215:AC217"/>
    <mergeCell ref="U212:W214"/>
    <mergeCell ref="X212:Z214"/>
    <mergeCell ref="AA212:AC214"/>
    <mergeCell ref="AD212:AE214"/>
    <mergeCell ref="AF212:AH214"/>
    <mergeCell ref="AI212:AJ214"/>
    <mergeCell ref="A212:F214"/>
    <mergeCell ref="G212:I214"/>
    <mergeCell ref="J212:L214"/>
    <mergeCell ref="M212:N214"/>
    <mergeCell ref="O212:Q214"/>
    <mergeCell ref="R212:T214"/>
    <mergeCell ref="J222:L222"/>
    <mergeCell ref="J223:L223"/>
    <mergeCell ref="A224:F226"/>
    <mergeCell ref="G224:I226"/>
    <mergeCell ref="J224:L224"/>
    <mergeCell ref="M224:N226"/>
    <mergeCell ref="X221:Z223"/>
    <mergeCell ref="AA221:AC223"/>
    <mergeCell ref="AD221:AE223"/>
    <mergeCell ref="AF221:AH223"/>
    <mergeCell ref="AI221:AJ223"/>
    <mergeCell ref="AK221:AM223"/>
    <mergeCell ref="AK218:AM220"/>
    <mergeCell ref="J219:L219"/>
    <mergeCell ref="J220:L220"/>
    <mergeCell ref="A221:F223"/>
    <mergeCell ref="G221:I223"/>
    <mergeCell ref="J221:L221"/>
    <mergeCell ref="M221:N223"/>
    <mergeCell ref="O221:Q223"/>
    <mergeCell ref="R221:T223"/>
    <mergeCell ref="U221:W223"/>
    <mergeCell ref="U218:W220"/>
    <mergeCell ref="X218:Z220"/>
    <mergeCell ref="AA218:AC220"/>
    <mergeCell ref="AD218:AE220"/>
    <mergeCell ref="AF218:AH220"/>
    <mergeCell ref="AI218:AJ220"/>
    <mergeCell ref="A218:F220"/>
    <mergeCell ref="G218:I220"/>
    <mergeCell ref="J218:L218"/>
    <mergeCell ref="M218:N220"/>
    <mergeCell ref="AI227:AJ229"/>
    <mergeCell ref="AK227:AM229"/>
    <mergeCell ref="J228:L228"/>
    <mergeCell ref="J229:L229"/>
    <mergeCell ref="A230:F232"/>
    <mergeCell ref="G230:I232"/>
    <mergeCell ref="J230:L230"/>
    <mergeCell ref="M230:N232"/>
    <mergeCell ref="O230:Q232"/>
    <mergeCell ref="R230:T232"/>
    <mergeCell ref="R227:T229"/>
    <mergeCell ref="U227:W229"/>
    <mergeCell ref="X227:Z229"/>
    <mergeCell ref="AA227:AC229"/>
    <mergeCell ref="AD227:AE229"/>
    <mergeCell ref="AF227:AH229"/>
    <mergeCell ref="AF224:AH226"/>
    <mergeCell ref="AI224:AJ226"/>
    <mergeCell ref="AK224:AM226"/>
    <mergeCell ref="J225:L225"/>
    <mergeCell ref="J226:L226"/>
    <mergeCell ref="A227:F229"/>
    <mergeCell ref="G227:I229"/>
    <mergeCell ref="J227:L227"/>
    <mergeCell ref="M227:N229"/>
    <mergeCell ref="O227:Q229"/>
    <mergeCell ref="O224:Q226"/>
    <mergeCell ref="R224:T226"/>
    <mergeCell ref="U224:W226"/>
    <mergeCell ref="X224:Z226"/>
    <mergeCell ref="AA224:AC226"/>
    <mergeCell ref="AD224:AE226"/>
    <mergeCell ref="J234:L234"/>
    <mergeCell ref="J235:L235"/>
    <mergeCell ref="A236:F238"/>
    <mergeCell ref="G236:I238"/>
    <mergeCell ref="J236:L236"/>
    <mergeCell ref="M236:N238"/>
    <mergeCell ref="X233:Z235"/>
    <mergeCell ref="AA233:AC235"/>
    <mergeCell ref="AD233:AE235"/>
    <mergeCell ref="AF233:AH235"/>
    <mergeCell ref="AI233:AJ235"/>
    <mergeCell ref="AK233:AM235"/>
    <mergeCell ref="AK230:AM232"/>
    <mergeCell ref="J231:L231"/>
    <mergeCell ref="J232:L232"/>
    <mergeCell ref="A233:F235"/>
    <mergeCell ref="G233:I235"/>
    <mergeCell ref="J233:L233"/>
    <mergeCell ref="M233:N235"/>
    <mergeCell ref="O233:Q235"/>
    <mergeCell ref="R233:T235"/>
    <mergeCell ref="U233:W235"/>
    <mergeCell ref="U230:W232"/>
    <mergeCell ref="X230:Z232"/>
    <mergeCell ref="AA230:AC232"/>
    <mergeCell ref="AD230:AE232"/>
    <mergeCell ref="AF230:AH232"/>
    <mergeCell ref="AI230:AJ232"/>
    <mergeCell ref="AI239:AJ241"/>
    <mergeCell ref="AK239:AM241"/>
    <mergeCell ref="J240:L240"/>
    <mergeCell ref="J241:L241"/>
    <mergeCell ref="A244:G245"/>
    <mergeCell ref="H244:AM245"/>
    <mergeCell ref="R239:T241"/>
    <mergeCell ref="U239:W241"/>
    <mergeCell ref="X239:Z241"/>
    <mergeCell ref="AA239:AC241"/>
    <mergeCell ref="AD239:AE241"/>
    <mergeCell ref="AF239:AH241"/>
    <mergeCell ref="AF236:AH238"/>
    <mergeCell ref="AI236:AJ238"/>
    <mergeCell ref="AK236:AM238"/>
    <mergeCell ref="J237:L237"/>
    <mergeCell ref="J238:L238"/>
    <mergeCell ref="A239:F241"/>
    <mergeCell ref="G239:I241"/>
    <mergeCell ref="J239:L239"/>
    <mergeCell ref="M239:N241"/>
    <mergeCell ref="O239:Q241"/>
    <mergeCell ref="O236:Q238"/>
    <mergeCell ref="R236:T238"/>
    <mergeCell ref="U236:W238"/>
    <mergeCell ref="X236:Z238"/>
    <mergeCell ref="AA236:AC238"/>
    <mergeCell ref="AD236:AE238"/>
    <mergeCell ref="A250:L250"/>
    <mergeCell ref="M250:AH250"/>
    <mergeCell ref="AI250:AM251"/>
    <mergeCell ref="A251:L251"/>
    <mergeCell ref="M251:AH251"/>
    <mergeCell ref="A252:F254"/>
    <mergeCell ref="G252:I254"/>
    <mergeCell ref="J252:L254"/>
    <mergeCell ref="M252:N254"/>
    <mergeCell ref="O252:Q254"/>
    <mergeCell ref="A246:G247"/>
    <mergeCell ref="H246:V247"/>
    <mergeCell ref="W246:Z247"/>
    <mergeCell ref="AA246:AM247"/>
    <mergeCell ref="A249:L249"/>
    <mergeCell ref="M249:AH249"/>
    <mergeCell ref="AI249:AM249"/>
    <mergeCell ref="AA255:AC257"/>
    <mergeCell ref="AD255:AE257"/>
    <mergeCell ref="AF255:AH257"/>
    <mergeCell ref="AI255:AJ257"/>
    <mergeCell ref="AK255:AM257"/>
    <mergeCell ref="J256:L256"/>
    <mergeCell ref="J257:L257"/>
    <mergeCell ref="AI252:AJ254"/>
    <mergeCell ref="AK252:AM254"/>
    <mergeCell ref="A255:F257"/>
    <mergeCell ref="G255:I257"/>
    <mergeCell ref="J255:L255"/>
    <mergeCell ref="M255:N257"/>
    <mergeCell ref="O255:Q257"/>
    <mergeCell ref="R255:T257"/>
    <mergeCell ref="U255:W257"/>
    <mergeCell ref="X255:Z257"/>
    <mergeCell ref="R252:T254"/>
    <mergeCell ref="U252:W254"/>
    <mergeCell ref="X252:Z254"/>
    <mergeCell ref="AA252:AC254"/>
    <mergeCell ref="AD252:AE254"/>
    <mergeCell ref="AF252:AH254"/>
    <mergeCell ref="AK258:AM260"/>
    <mergeCell ref="J259:L259"/>
    <mergeCell ref="J260:L260"/>
    <mergeCell ref="A261:F263"/>
    <mergeCell ref="G261:I263"/>
    <mergeCell ref="J261:L261"/>
    <mergeCell ref="M261:N263"/>
    <mergeCell ref="O261:Q263"/>
    <mergeCell ref="R261:T263"/>
    <mergeCell ref="U261:W263"/>
    <mergeCell ref="U258:W260"/>
    <mergeCell ref="X258:Z260"/>
    <mergeCell ref="AA258:AC260"/>
    <mergeCell ref="AD258:AE260"/>
    <mergeCell ref="AF258:AH260"/>
    <mergeCell ref="AI258:AJ260"/>
    <mergeCell ref="A258:F260"/>
    <mergeCell ref="G258:I260"/>
    <mergeCell ref="J258:L258"/>
    <mergeCell ref="M258:N260"/>
    <mergeCell ref="O258:Q260"/>
    <mergeCell ref="R258:T260"/>
    <mergeCell ref="AF264:AH266"/>
    <mergeCell ref="AI264:AJ266"/>
    <mergeCell ref="AK264:AM266"/>
    <mergeCell ref="J265:L265"/>
    <mergeCell ref="J266:L266"/>
    <mergeCell ref="A267:F269"/>
    <mergeCell ref="G267:I269"/>
    <mergeCell ref="J267:L267"/>
    <mergeCell ref="M267:N269"/>
    <mergeCell ref="O267:Q269"/>
    <mergeCell ref="O264:Q266"/>
    <mergeCell ref="R264:T266"/>
    <mergeCell ref="U264:W266"/>
    <mergeCell ref="X264:Z266"/>
    <mergeCell ref="AA264:AC266"/>
    <mergeCell ref="AD264:AE266"/>
    <mergeCell ref="J262:L262"/>
    <mergeCell ref="J263:L263"/>
    <mergeCell ref="A264:F266"/>
    <mergeCell ref="G264:I266"/>
    <mergeCell ref="J264:L264"/>
    <mergeCell ref="M264:N266"/>
    <mergeCell ref="X261:Z263"/>
    <mergeCell ref="AA261:AC263"/>
    <mergeCell ref="AD261:AE263"/>
    <mergeCell ref="AF261:AH263"/>
    <mergeCell ref="AI261:AJ263"/>
    <mergeCell ref="AK261:AM263"/>
    <mergeCell ref="AK270:AM272"/>
    <mergeCell ref="J271:L271"/>
    <mergeCell ref="J272:L272"/>
    <mergeCell ref="A273:F275"/>
    <mergeCell ref="G273:I275"/>
    <mergeCell ref="J273:L273"/>
    <mergeCell ref="M273:N275"/>
    <mergeCell ref="O273:Q275"/>
    <mergeCell ref="R273:T275"/>
    <mergeCell ref="U273:W275"/>
    <mergeCell ref="U270:W272"/>
    <mergeCell ref="X270:Z272"/>
    <mergeCell ref="AA270:AC272"/>
    <mergeCell ref="AD270:AE272"/>
    <mergeCell ref="AF270:AH272"/>
    <mergeCell ref="AI270:AJ272"/>
    <mergeCell ref="AI267:AJ269"/>
    <mergeCell ref="AK267:AM269"/>
    <mergeCell ref="J268:L268"/>
    <mergeCell ref="J269:L269"/>
    <mergeCell ref="A270:F272"/>
    <mergeCell ref="G270:I272"/>
    <mergeCell ref="J270:L270"/>
    <mergeCell ref="M270:N272"/>
    <mergeCell ref="O270:Q272"/>
    <mergeCell ref="R270:T272"/>
    <mergeCell ref="R267:T269"/>
    <mergeCell ref="U267:W269"/>
    <mergeCell ref="X267:Z269"/>
    <mergeCell ref="AA267:AC269"/>
    <mergeCell ref="AD267:AE269"/>
    <mergeCell ref="AF267:AH269"/>
    <mergeCell ref="AF276:AH278"/>
    <mergeCell ref="AI276:AJ278"/>
    <mergeCell ref="AK276:AM278"/>
    <mergeCell ref="J277:L277"/>
    <mergeCell ref="J278:L278"/>
    <mergeCell ref="A279:F281"/>
    <mergeCell ref="G279:I281"/>
    <mergeCell ref="J279:L279"/>
    <mergeCell ref="M279:N281"/>
    <mergeCell ref="O279:Q281"/>
    <mergeCell ref="O276:Q278"/>
    <mergeCell ref="R276:T278"/>
    <mergeCell ref="U276:W278"/>
    <mergeCell ref="X276:Z278"/>
    <mergeCell ref="AA276:AC278"/>
    <mergeCell ref="AD276:AE278"/>
    <mergeCell ref="J274:L274"/>
    <mergeCell ref="J275:L275"/>
    <mergeCell ref="A276:F278"/>
    <mergeCell ref="G276:I278"/>
    <mergeCell ref="J276:L276"/>
    <mergeCell ref="M276:N278"/>
    <mergeCell ref="X273:Z275"/>
    <mergeCell ref="AA273:AC275"/>
    <mergeCell ref="AD273:AE275"/>
    <mergeCell ref="AF273:AH275"/>
    <mergeCell ref="AI273:AJ275"/>
    <mergeCell ref="AK273:AM275"/>
    <mergeCell ref="A285:L285"/>
    <mergeCell ref="M285:AH285"/>
    <mergeCell ref="AI285:AM286"/>
    <mergeCell ref="A286:L286"/>
    <mergeCell ref="M286:AH286"/>
    <mergeCell ref="A287:F289"/>
    <mergeCell ref="G287:I289"/>
    <mergeCell ref="J287:L289"/>
    <mergeCell ref="M287:N289"/>
    <mergeCell ref="O287:Q289"/>
    <mergeCell ref="AI279:AJ281"/>
    <mergeCell ref="AK279:AM281"/>
    <mergeCell ref="J280:L280"/>
    <mergeCell ref="J281:L281"/>
    <mergeCell ref="AI284:AM284"/>
    <mergeCell ref="R279:T281"/>
    <mergeCell ref="U279:W281"/>
    <mergeCell ref="X279:Z281"/>
    <mergeCell ref="AA279:AC281"/>
    <mergeCell ref="AD279:AE281"/>
    <mergeCell ref="AF279:AH281"/>
    <mergeCell ref="A293:F295"/>
    <mergeCell ref="G293:I295"/>
    <mergeCell ref="J293:L293"/>
    <mergeCell ref="M293:N295"/>
    <mergeCell ref="O293:Q295"/>
    <mergeCell ref="R293:T295"/>
    <mergeCell ref="AA290:AC292"/>
    <mergeCell ref="AD290:AE292"/>
    <mergeCell ref="AF290:AH292"/>
    <mergeCell ref="AI290:AJ292"/>
    <mergeCell ref="AK290:AM292"/>
    <mergeCell ref="J291:L291"/>
    <mergeCell ref="J292:L292"/>
    <mergeCell ref="AI287:AJ289"/>
    <mergeCell ref="AK287:AM289"/>
    <mergeCell ref="A290:F292"/>
    <mergeCell ref="G290:I292"/>
    <mergeCell ref="J290:L290"/>
    <mergeCell ref="M290:N292"/>
    <mergeCell ref="O290:Q292"/>
    <mergeCell ref="R290:T292"/>
    <mergeCell ref="U290:W292"/>
    <mergeCell ref="X290:Z292"/>
    <mergeCell ref="R287:T289"/>
    <mergeCell ref="U287:W289"/>
    <mergeCell ref="X287:Z289"/>
    <mergeCell ref="AA287:AC289"/>
    <mergeCell ref="AD287:AE289"/>
    <mergeCell ref="AF287:AH289"/>
    <mergeCell ref="J297:L297"/>
    <mergeCell ref="J298:L298"/>
    <mergeCell ref="A300:L300"/>
    <mergeCell ref="M300:AH300"/>
    <mergeCell ref="AI300:AM300"/>
    <mergeCell ref="A301:L301"/>
    <mergeCell ref="M301:AH301"/>
    <mergeCell ref="AI301:AM302"/>
    <mergeCell ref="A302:L302"/>
    <mergeCell ref="M302:AH302"/>
    <mergeCell ref="X296:Z298"/>
    <mergeCell ref="AA296:AC298"/>
    <mergeCell ref="AD296:AE298"/>
    <mergeCell ref="AF296:AH298"/>
    <mergeCell ref="AI296:AJ298"/>
    <mergeCell ref="AK296:AM298"/>
    <mergeCell ref="AK293:AM295"/>
    <mergeCell ref="J294:L294"/>
    <mergeCell ref="J295:L295"/>
    <mergeCell ref="A296:F298"/>
    <mergeCell ref="G296:I298"/>
    <mergeCell ref="J296:L296"/>
    <mergeCell ref="M296:N298"/>
    <mergeCell ref="O296:Q298"/>
    <mergeCell ref="R296:T298"/>
    <mergeCell ref="U296:W298"/>
    <mergeCell ref="U293:W295"/>
    <mergeCell ref="X293:Z295"/>
    <mergeCell ref="AA293:AC295"/>
    <mergeCell ref="AD293:AE295"/>
    <mergeCell ref="AF293:AH295"/>
    <mergeCell ref="AI293:AJ295"/>
    <mergeCell ref="O309:Q311"/>
    <mergeCell ref="R309:T311"/>
    <mergeCell ref="AD306:AE308"/>
    <mergeCell ref="AF306:AH308"/>
    <mergeCell ref="AI306:AJ308"/>
    <mergeCell ref="AK306:AM308"/>
    <mergeCell ref="J307:L307"/>
    <mergeCell ref="J308:L308"/>
    <mergeCell ref="AK303:AM305"/>
    <mergeCell ref="A306:F308"/>
    <mergeCell ref="G306:I308"/>
    <mergeCell ref="J306:L306"/>
    <mergeCell ref="M306:N308"/>
    <mergeCell ref="O306:Q308"/>
    <mergeCell ref="R306:T308"/>
    <mergeCell ref="U306:W308"/>
    <mergeCell ref="X306:Z308"/>
    <mergeCell ref="AA306:AC308"/>
    <mergeCell ref="U303:W305"/>
    <mergeCell ref="X303:Z305"/>
    <mergeCell ref="AA303:AC305"/>
    <mergeCell ref="AD303:AE305"/>
    <mergeCell ref="AF303:AH305"/>
    <mergeCell ref="AI303:AJ305"/>
    <mergeCell ref="A303:F305"/>
    <mergeCell ref="G303:I305"/>
    <mergeCell ref="J303:L305"/>
    <mergeCell ref="M303:N305"/>
    <mergeCell ref="O303:Q305"/>
    <mergeCell ref="R303:T305"/>
    <mergeCell ref="J313:L313"/>
    <mergeCell ref="J314:L314"/>
    <mergeCell ref="A315:F317"/>
    <mergeCell ref="G315:I317"/>
    <mergeCell ref="J315:L315"/>
    <mergeCell ref="M315:N317"/>
    <mergeCell ref="X312:Z314"/>
    <mergeCell ref="AA312:AC314"/>
    <mergeCell ref="AD312:AE314"/>
    <mergeCell ref="AF312:AH314"/>
    <mergeCell ref="AI312:AJ314"/>
    <mergeCell ref="AK312:AM314"/>
    <mergeCell ref="AK309:AM311"/>
    <mergeCell ref="J310:L310"/>
    <mergeCell ref="J311:L311"/>
    <mergeCell ref="A312:F314"/>
    <mergeCell ref="G312:I314"/>
    <mergeCell ref="J312:L312"/>
    <mergeCell ref="M312:N314"/>
    <mergeCell ref="O312:Q314"/>
    <mergeCell ref="R312:T314"/>
    <mergeCell ref="U312:W314"/>
    <mergeCell ref="U309:W311"/>
    <mergeCell ref="X309:Z311"/>
    <mergeCell ref="AA309:AC311"/>
    <mergeCell ref="AD309:AE311"/>
    <mergeCell ref="AF309:AH311"/>
    <mergeCell ref="AI309:AJ311"/>
    <mergeCell ref="A309:F311"/>
    <mergeCell ref="G309:I311"/>
    <mergeCell ref="J309:L309"/>
    <mergeCell ref="M309:N311"/>
    <mergeCell ref="AI318:AJ320"/>
    <mergeCell ref="AK318:AM320"/>
    <mergeCell ref="J319:L319"/>
    <mergeCell ref="J320:L320"/>
    <mergeCell ref="A321:F323"/>
    <mergeCell ref="G321:I323"/>
    <mergeCell ref="J321:L321"/>
    <mergeCell ref="M321:N323"/>
    <mergeCell ref="O321:Q323"/>
    <mergeCell ref="R321:T323"/>
    <mergeCell ref="R318:T320"/>
    <mergeCell ref="U318:W320"/>
    <mergeCell ref="X318:Z320"/>
    <mergeCell ref="AA318:AC320"/>
    <mergeCell ref="AD318:AE320"/>
    <mergeCell ref="AF318:AH320"/>
    <mergeCell ref="AF315:AH317"/>
    <mergeCell ref="AI315:AJ317"/>
    <mergeCell ref="AK315:AM317"/>
    <mergeCell ref="J316:L316"/>
    <mergeCell ref="J317:L317"/>
    <mergeCell ref="A318:F320"/>
    <mergeCell ref="G318:I320"/>
    <mergeCell ref="J318:L318"/>
    <mergeCell ref="M318:N320"/>
    <mergeCell ref="O318:Q320"/>
    <mergeCell ref="O315:Q317"/>
    <mergeCell ref="R315:T317"/>
    <mergeCell ref="U315:W317"/>
    <mergeCell ref="X315:Z317"/>
    <mergeCell ref="AA315:AC317"/>
    <mergeCell ref="AD315:AE317"/>
    <mergeCell ref="A327:F329"/>
    <mergeCell ref="G327:I329"/>
    <mergeCell ref="J327:L327"/>
    <mergeCell ref="M327:N329"/>
    <mergeCell ref="X324:Z326"/>
    <mergeCell ref="AA324:AC326"/>
    <mergeCell ref="AD324:AE326"/>
    <mergeCell ref="AF324:AH326"/>
    <mergeCell ref="AI324:AJ326"/>
    <mergeCell ref="AK324:AM326"/>
    <mergeCell ref="AK321:AM323"/>
    <mergeCell ref="J322:L322"/>
    <mergeCell ref="J323:L323"/>
    <mergeCell ref="A324:F326"/>
    <mergeCell ref="G324:I326"/>
    <mergeCell ref="J324:L324"/>
    <mergeCell ref="M324:N326"/>
    <mergeCell ref="O324:Q326"/>
    <mergeCell ref="R324:T326"/>
    <mergeCell ref="U324:W326"/>
    <mergeCell ref="U321:W323"/>
    <mergeCell ref="X321:Z323"/>
    <mergeCell ref="AA321:AC323"/>
    <mergeCell ref="AD321:AE323"/>
    <mergeCell ref="AF321:AH323"/>
    <mergeCell ref="AI321:AJ323"/>
    <mergeCell ref="A81:AH81"/>
    <mergeCell ref="A134:AH134"/>
    <mergeCell ref="A191:AH191"/>
    <mergeCell ref="A284:AH284"/>
    <mergeCell ref="AI330:AJ332"/>
    <mergeCell ref="AK330:AM332"/>
    <mergeCell ref="J331:L331"/>
    <mergeCell ref="J332:L332"/>
    <mergeCell ref="R330:T332"/>
    <mergeCell ref="U330:W332"/>
    <mergeCell ref="X330:Z332"/>
    <mergeCell ref="AA330:AC332"/>
    <mergeCell ref="AD330:AE332"/>
    <mergeCell ref="AF330:AH332"/>
    <mergeCell ref="AF327:AH329"/>
    <mergeCell ref="AI327:AJ329"/>
    <mergeCell ref="AK327:AM329"/>
    <mergeCell ref="J328:L328"/>
    <mergeCell ref="J329:L329"/>
    <mergeCell ref="A330:F332"/>
    <mergeCell ref="G330:I332"/>
    <mergeCell ref="J330:L330"/>
    <mergeCell ref="M330:N332"/>
    <mergeCell ref="O330:Q332"/>
    <mergeCell ref="O327:Q329"/>
    <mergeCell ref="R327:T329"/>
    <mergeCell ref="U327:W329"/>
    <mergeCell ref="X327:Z329"/>
    <mergeCell ref="AA327:AC329"/>
    <mergeCell ref="AD327:AE329"/>
    <mergeCell ref="J325:L325"/>
    <mergeCell ref="J326:L326"/>
    <mergeCell ref="B373:K373"/>
    <mergeCell ref="L373:N373"/>
    <mergeCell ref="O373:Q373"/>
    <mergeCell ref="R373:U373"/>
    <mergeCell ref="V373:W373"/>
    <mergeCell ref="X373:AA373"/>
    <mergeCell ref="AB373:AE373"/>
    <mergeCell ref="AF373:AI373"/>
    <mergeCell ref="AJ373:AM373"/>
    <mergeCell ref="B374:K374"/>
    <mergeCell ref="L374:N374"/>
    <mergeCell ref="O374:Q374"/>
    <mergeCell ref="R374:U374"/>
    <mergeCell ref="V374:W374"/>
    <mergeCell ref="X374:AA374"/>
    <mergeCell ref="AB374:AE374"/>
    <mergeCell ref="AF374:AI374"/>
    <mergeCell ref="AJ374:AM374"/>
  </mergeCells>
  <hyperlinks>
    <hyperlink ref="G11" r:id="rId1" xr:uid="{0802F432-BC8B-9E46-AA79-E8E7541861F0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467A8-9A29-2945-A58A-0094B20B4ABF}">
  <dimension ref="A1:AM280"/>
  <sheetViews>
    <sheetView view="pageLayout" zoomScale="85" zoomScaleNormal="100" zoomScalePageLayoutView="85" workbookViewId="0">
      <selection activeCell="AB30" sqref="AB30"/>
    </sheetView>
  </sheetViews>
  <sheetFormatPr defaultColWidth="10.625" defaultRowHeight="15.75"/>
  <cols>
    <col min="1" max="4" width="2.375" customWidth="1"/>
    <col min="5" max="5" width="1.25" customWidth="1"/>
    <col min="6" max="9" width="2.375" customWidth="1"/>
    <col min="10" max="10" width="1.375" customWidth="1"/>
    <col min="11" max="11" width="3.875" customWidth="1"/>
    <col min="12" max="12" width="2.375" customWidth="1"/>
    <col min="13" max="13" width="0.75" customWidth="1"/>
    <col min="14" max="14" width="3.875" customWidth="1"/>
    <col min="15" max="15" width="0.125" customWidth="1"/>
    <col min="16" max="16" width="1.625" hidden="1" customWidth="1"/>
    <col min="17" max="17" width="6.125" customWidth="1"/>
    <col min="18" max="26" width="2.375" customWidth="1"/>
    <col min="27" max="27" width="1.75" customWidth="1"/>
    <col min="28" max="29" width="2.375" customWidth="1"/>
    <col min="30" max="30" width="1.25" customWidth="1"/>
    <col min="31" max="31" width="2.875" customWidth="1"/>
    <col min="32" max="33" width="2.375" customWidth="1"/>
    <col min="34" max="34" width="1.875" customWidth="1"/>
    <col min="35" max="35" width="3.375" customWidth="1"/>
    <col min="36" max="38" width="2.375" customWidth="1"/>
    <col min="39" max="39" width="3.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Galati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nr.23, Sector 1, 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RO30356000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J40/7279/2012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RO66 UGBI 0000 6520 01756RON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7/22.12.2023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28/28.02.2024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5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AB280</f>
        <v>949768.6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AF280</f>
        <v>180456.03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AJ280</f>
        <v>1130224.6300000004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1130224.6300000004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R243+R257+R258+R261</f>
        <v>978130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1.1554953124840259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246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  <c r="AF29" s="246"/>
      <c r="AG29" s="246"/>
      <c r="AH29" s="246"/>
      <c r="AI29" s="246"/>
      <c r="AJ29" s="246"/>
      <c r="AK29" s="246"/>
      <c r="AL29" s="246"/>
      <c r="AM29" s="246"/>
    </row>
    <row r="30" spans="1:39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</row>
    <row r="31" spans="1:39" ht="14.1" customHeight="1">
      <c r="A31" s="695" t="s">
        <v>858</v>
      </c>
      <c r="B31" s="695"/>
      <c r="C31" s="695"/>
      <c r="D31" s="695"/>
      <c r="E31" s="695"/>
      <c r="F31" s="695"/>
      <c r="G31" s="695"/>
      <c r="H31" s="695" t="str">
        <f>VLOOKUP(AA16,'Date SPV'!$B:$H,4,FALSE)</f>
        <v>Bulevardul George Cosbuc, nr. 251, Galati, jud. Galati</v>
      </c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5"/>
      <c r="Q32" s="695"/>
      <c r="R32" s="695"/>
      <c r="S32" s="695"/>
      <c r="T32" s="695"/>
      <c r="U32" s="695"/>
      <c r="V32" s="695"/>
      <c r="W32" s="695"/>
      <c r="X32" s="695"/>
      <c r="Y32" s="695"/>
      <c r="Z32" s="695"/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</row>
    <row r="33" spans="1:39" ht="14.1" customHeight="1">
      <c r="A33" s="695" t="s">
        <v>859</v>
      </c>
      <c r="B33" s="695"/>
      <c r="C33" s="695"/>
      <c r="D33" s="695"/>
      <c r="E33" s="695"/>
      <c r="F33" s="695"/>
      <c r="G33" s="695"/>
      <c r="H33" s="712">
        <f>VLOOKUP(AA33,'Date masura OD'!$G:$BE,51,FALSE)</f>
        <v>5000579859</v>
      </c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 t="s">
        <v>860</v>
      </c>
      <c r="X33" s="712"/>
      <c r="Y33" s="712"/>
      <c r="Z33" s="712"/>
      <c r="AA33" s="640" t="str">
        <f>_xlfn.CONCAT(AA16,"_",1)</f>
        <v>RGSC_1</v>
      </c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4" spans="1:39" ht="14.1" customHeight="1">
      <c r="A34" s="695"/>
      <c r="B34" s="695"/>
      <c r="C34" s="695"/>
      <c r="D34" s="695"/>
      <c r="E34" s="695"/>
      <c r="F34" s="695"/>
      <c r="G34" s="695"/>
      <c r="H34" s="712"/>
      <c r="I34" s="712"/>
      <c r="J34" s="712"/>
      <c r="K34" s="712"/>
      <c r="L34" s="712"/>
      <c r="M34" s="712"/>
      <c r="N34" s="712"/>
      <c r="O34" s="712"/>
      <c r="P34" s="712"/>
      <c r="Q34" s="712"/>
      <c r="R34" s="712"/>
      <c r="S34" s="712"/>
      <c r="T34" s="712"/>
      <c r="U34" s="712"/>
      <c r="V34" s="712"/>
      <c r="W34" s="712"/>
      <c r="X34" s="712"/>
      <c r="Y34" s="712"/>
      <c r="Z34" s="712"/>
      <c r="AA34" s="640"/>
      <c r="AB34" s="640"/>
      <c r="AC34" s="640"/>
      <c r="AD34" s="640"/>
      <c r="AE34" s="640"/>
      <c r="AF34" s="640"/>
      <c r="AG34" s="640"/>
      <c r="AH34" s="640"/>
      <c r="AI34" s="640"/>
      <c r="AJ34" s="640"/>
      <c r="AK34" s="640"/>
      <c r="AL34" s="640"/>
      <c r="AM34" s="640"/>
    </row>
    <row r="36" spans="1:39">
      <c r="A36" s="649" t="s">
        <v>748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VLOOKUP(AI37,'Contorizare in SDI'!$E:$I,4,FALSE)</f>
        <v>594030500002463001/2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50" t="s">
        <v>695</v>
      </c>
      <c r="AJ36" s="650"/>
      <c r="AK36" s="650"/>
      <c r="AL36" s="650"/>
      <c r="AM36" s="650"/>
    </row>
    <row r="37" spans="1:39">
      <c r="A37" s="649" t="s">
        <v>746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VLOOKUP(AI37,'Inchidere contur'!$G:$U,15,FALSE)</f>
        <v>JT_SDI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 t="str">
        <f>_xlfn.CONCAT(AA33,".",1)</f>
        <v>RGSC_1.1</v>
      </c>
      <c r="AJ37" s="619"/>
      <c r="AK37" s="619"/>
      <c r="AL37" s="619"/>
      <c r="AM37" s="619"/>
    </row>
    <row r="38" spans="1:39">
      <c r="A38" s="649" t="s">
        <v>747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50" t="str">
        <f>IF(LEFT(M37,2)="JT","0.4kV",IF(LEFT(M37,2)="MT","20kV","-"))</f>
        <v>0.4kV</v>
      </c>
      <c r="N38" s="650"/>
      <c r="O38" s="650"/>
      <c r="P38" s="650"/>
      <c r="Q38" s="650"/>
      <c r="R38" s="650"/>
      <c r="S38" s="650"/>
      <c r="T38" s="650"/>
      <c r="U38" s="650"/>
      <c r="V38" s="650"/>
      <c r="W38" s="650"/>
      <c r="X38" s="650"/>
      <c r="Y38" s="650"/>
      <c r="Z38" s="650"/>
      <c r="AA38" s="650"/>
      <c r="AB38" s="650"/>
      <c r="AC38" s="650"/>
      <c r="AD38" s="650"/>
      <c r="AE38" s="650"/>
      <c r="AF38" s="650"/>
      <c r="AG38" s="650"/>
      <c r="AH38" s="650"/>
      <c r="AI38" s="619"/>
      <c r="AJ38" s="619"/>
      <c r="AK38" s="619"/>
      <c r="AL38" s="619"/>
      <c r="AM38" s="619"/>
    </row>
    <row r="39" spans="1:39" ht="15.95" customHeight="1">
      <c r="A39" s="742" t="s">
        <v>697</v>
      </c>
      <c r="B39" s="742"/>
      <c r="C39" s="742"/>
      <c r="D39" s="742"/>
      <c r="E39" s="742"/>
      <c r="F39" s="742"/>
      <c r="G39" s="666" t="s">
        <v>713</v>
      </c>
      <c r="H39" s="666"/>
      <c r="I39" s="666"/>
      <c r="J39" s="666" t="s">
        <v>714</v>
      </c>
      <c r="K39" s="666"/>
      <c r="L39" s="666"/>
      <c r="M39" s="742" t="s">
        <v>519</v>
      </c>
      <c r="N39" s="742"/>
      <c r="O39" s="742" t="s">
        <v>715</v>
      </c>
      <c r="P39" s="742"/>
      <c r="Q39" s="742"/>
      <c r="R39" s="666" t="s">
        <v>732</v>
      </c>
      <c r="S39" s="666"/>
      <c r="T39" s="666"/>
      <c r="U39" s="666" t="s">
        <v>734</v>
      </c>
      <c r="V39" s="666"/>
      <c r="W39" s="666"/>
      <c r="X39" s="666" t="s">
        <v>1085</v>
      </c>
      <c r="Y39" s="666"/>
      <c r="Z39" s="666"/>
      <c r="AA39" s="666" t="s">
        <v>1086</v>
      </c>
      <c r="AB39" s="666"/>
      <c r="AC39" s="666"/>
      <c r="AD39" s="666" t="s">
        <v>717</v>
      </c>
      <c r="AE39" s="666"/>
      <c r="AF39" s="666" t="s">
        <v>718</v>
      </c>
      <c r="AG39" s="666"/>
      <c r="AH39" s="666"/>
      <c r="AI39" s="666" t="s">
        <v>719</v>
      </c>
      <c r="AJ39" s="666"/>
      <c r="AK39" s="666" t="s">
        <v>733</v>
      </c>
      <c r="AL39" s="666"/>
      <c r="AM39" s="666"/>
    </row>
    <row r="40" spans="1:39">
      <c r="A40" s="742"/>
      <c r="B40" s="742"/>
      <c r="C40" s="742"/>
      <c r="D40" s="742"/>
      <c r="E40" s="742"/>
      <c r="F40" s="742"/>
      <c r="G40" s="666"/>
      <c r="H40" s="666"/>
      <c r="I40" s="666"/>
      <c r="J40" s="666"/>
      <c r="K40" s="666"/>
      <c r="L40" s="666"/>
      <c r="M40" s="742"/>
      <c r="N40" s="742"/>
      <c r="O40" s="742"/>
      <c r="P40" s="742"/>
      <c r="Q40" s="742"/>
      <c r="R40" s="666"/>
      <c r="S40" s="666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666"/>
      <c r="AL40" s="666"/>
      <c r="AM40" s="666"/>
    </row>
    <row r="41" spans="1:39">
      <c r="A41" s="742"/>
      <c r="B41" s="742"/>
      <c r="C41" s="742"/>
      <c r="D41" s="742"/>
      <c r="E41" s="742"/>
      <c r="F41" s="742"/>
      <c r="G41" s="666"/>
      <c r="H41" s="666"/>
      <c r="I41" s="666"/>
      <c r="J41" s="748"/>
      <c r="K41" s="748"/>
      <c r="L41" s="748"/>
      <c r="M41" s="742"/>
      <c r="N41" s="742"/>
      <c r="O41" s="742"/>
      <c r="P41" s="742"/>
      <c r="Q41" s="742"/>
      <c r="R41" s="666"/>
      <c r="S41" s="666"/>
      <c r="T41" s="666"/>
      <c r="U41" s="666"/>
      <c r="V41" s="666"/>
      <c r="W41" s="666"/>
      <c r="X41" s="666"/>
      <c r="Y41" s="666"/>
      <c r="Z41" s="666"/>
      <c r="AA41" s="666"/>
      <c r="AB41" s="666"/>
      <c r="AC41" s="666"/>
      <c r="AD41" s="666"/>
      <c r="AE41" s="666"/>
      <c r="AF41" s="666"/>
      <c r="AG41" s="666"/>
      <c r="AH41" s="666"/>
      <c r="AI41" s="666"/>
      <c r="AJ41" s="666"/>
      <c r="AK41" s="666"/>
      <c r="AL41" s="666"/>
      <c r="AM41" s="666"/>
    </row>
    <row r="42" spans="1:39" ht="14.1" customHeight="1">
      <c r="A42" s="667">
        <f>VLOOKUP(AI37,'Contorizare in SDI'!$E:$I,5,FALSE)</f>
        <v>1371628694</v>
      </c>
      <c r="B42" s="671"/>
      <c r="C42" s="671"/>
      <c r="D42" s="671"/>
      <c r="E42" s="671"/>
      <c r="F42" s="668"/>
      <c r="G42" s="742" t="s">
        <v>730</v>
      </c>
      <c r="H42" s="742"/>
      <c r="I42" s="750"/>
      <c r="J42" s="743">
        <f>'Date masura OD'!$AK$5</f>
        <v>45748</v>
      </c>
      <c r="K42" s="744"/>
      <c r="L42" s="745"/>
      <c r="M42" s="747" t="s">
        <v>446</v>
      </c>
      <c r="N42" s="742"/>
      <c r="O42" s="742">
        <f>VLOOKUP(AI37,'Incrementare indexe'!$B:$T,4,FALSE)</f>
        <v>1</v>
      </c>
      <c r="P42" s="742"/>
      <c r="Q42" s="742"/>
      <c r="R42" s="666" t="str">
        <f>VLOOKUP(A42,Regularizare!$D:$YN,3,FALSE)&amp;" ("&amp;VLOOKUP(A42,Regularizare!$D:$Y,11,FALSE)&amp;")"</f>
        <v>4931122 (citit)</v>
      </c>
      <c r="S42" s="666"/>
      <c r="T42" s="666"/>
      <c r="U42" s="666" t="str">
        <f>VLOOKUP(A42,Regularizare!$D:$U,4,FALSE)&amp;" ("&amp;VLOOKUP(A42,Regularizare!$D:$U,12,FALSE)&amp;")"</f>
        <v>5141961 (estimat)</v>
      </c>
      <c r="V42" s="666"/>
      <c r="W42" s="666"/>
      <c r="X42" s="666" t="str">
        <f>VLOOKUP(A42,Regularizare!$D:$Y,19,FALSE)&amp;" ("&amp;VLOOKUP(A42,Regularizare!$D:$U,12,FALSE)&amp;")"</f>
        <v>210839 (estimat)</v>
      </c>
      <c r="Y42" s="666"/>
      <c r="Z42" s="666"/>
      <c r="AA42" s="666">
        <f>(-1)*VLOOKUP(A42,Regularizare!$D:$Y,19,FALSE)</f>
        <v>-210839</v>
      </c>
      <c r="AB42" s="666"/>
      <c r="AC42" s="666"/>
      <c r="AD42" s="666" t="s">
        <v>69</v>
      </c>
      <c r="AE42" s="666"/>
      <c r="AF42" s="666">
        <f>AA42</f>
        <v>-210839</v>
      </c>
      <c r="AG42" s="666"/>
      <c r="AH42" s="666"/>
      <c r="AI42" s="666" t="s">
        <v>69</v>
      </c>
      <c r="AJ42" s="666"/>
      <c r="AK42" s="666" t="s">
        <v>69</v>
      </c>
      <c r="AL42" s="666"/>
      <c r="AM42" s="666"/>
    </row>
    <row r="43" spans="1:39" ht="9.75" customHeight="1">
      <c r="A43" s="736"/>
      <c r="B43" s="737"/>
      <c r="C43" s="737"/>
      <c r="D43" s="737"/>
      <c r="E43" s="737"/>
      <c r="F43" s="738"/>
      <c r="G43" s="742"/>
      <c r="H43" s="742"/>
      <c r="I43" s="750"/>
      <c r="J43" s="736" t="s">
        <v>69</v>
      </c>
      <c r="K43" s="737"/>
      <c r="L43" s="738"/>
      <c r="M43" s="747"/>
      <c r="N43" s="742"/>
      <c r="O43" s="742"/>
      <c r="P43" s="742"/>
      <c r="Q43" s="742"/>
      <c r="R43" s="666"/>
      <c r="S43" s="666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</row>
    <row r="44" spans="1:39" ht="14.1" customHeight="1">
      <c r="A44" s="669"/>
      <c r="B44" s="672"/>
      <c r="C44" s="672"/>
      <c r="D44" s="672"/>
      <c r="E44" s="672"/>
      <c r="F44" s="670"/>
      <c r="G44" s="742"/>
      <c r="H44" s="742"/>
      <c r="I44" s="750"/>
      <c r="J44" s="739">
        <f>'Date masura OD'!$AL$5</f>
        <v>45777</v>
      </c>
      <c r="K44" s="740"/>
      <c r="L44" s="741"/>
      <c r="M44" s="747"/>
      <c r="N44" s="742"/>
      <c r="O44" s="742"/>
      <c r="P44" s="742"/>
      <c r="Q44" s="742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6"/>
      <c r="AJ44" s="666"/>
      <c r="AK44" s="666"/>
      <c r="AL44" s="666"/>
      <c r="AM44" s="666"/>
    </row>
    <row r="45" spans="1:39" ht="14.1" customHeight="1">
      <c r="A45" s="667">
        <f>A42</f>
        <v>1371628694</v>
      </c>
      <c r="B45" s="671"/>
      <c r="C45" s="671"/>
      <c r="D45" s="671"/>
      <c r="E45" s="671"/>
      <c r="F45" s="668"/>
      <c r="G45" s="742" t="s">
        <v>696</v>
      </c>
      <c r="H45" s="742"/>
      <c r="I45" s="742"/>
      <c r="J45" s="743">
        <f t="shared" ref="J45:J50" si="0">J42</f>
        <v>45748</v>
      </c>
      <c r="K45" s="744"/>
      <c r="L45" s="745"/>
      <c r="M45" s="742" t="s">
        <v>720</v>
      </c>
      <c r="N45" s="742"/>
      <c r="O45" s="742">
        <f>O42</f>
        <v>1</v>
      </c>
      <c r="P45" s="742"/>
      <c r="Q45" s="742"/>
      <c r="R45" s="666" t="str">
        <f>VLOOKUP(A45,Regularizare!$D:$U,7,FALSE)&amp;" ("&amp;VLOOKUP(A45,Regularizare!$D:$U,15,FALSE)&amp;")"</f>
        <v>252379 (citit)</v>
      </c>
      <c r="S45" s="666"/>
      <c r="T45" s="666"/>
      <c r="U45" s="666" t="str">
        <f>VLOOKUP(A45,Regularizare!$D:$U,8,FALSE)&amp;" ("&amp;VLOOKUP(A45,Regularizare!$D:$U,16,FALSE)&amp;")"</f>
        <v>252379 (estimat)</v>
      </c>
      <c r="V45" s="666"/>
      <c r="W45" s="666"/>
      <c r="X45" s="666" t="str">
        <f>_xlfn.CONCAT(VLOOKUP(A45,Regularizare!$D:$U,8,FALSE)-VLOOKUP(A45,Regularizare!$D:$U,7,FALSE)," (",VLOOKUP(A45,Regularizare!$D:$U,16,FALSE),")")</f>
        <v>0 (estimat)</v>
      </c>
      <c r="Y45" s="666"/>
      <c r="Z45" s="666"/>
      <c r="AA45" s="666">
        <f>IF(VLOOKUP(A45,Regularizare!$D:$Y,21,FALSE)=0,VLOOKUP(A45,Regularizare!$D:$Y,21,FALSE),(-1)*VLOOKUP(A45,Regularizare!$D:$Y,21,FALSE))</f>
        <v>0</v>
      </c>
      <c r="AB45" s="666"/>
      <c r="AC45" s="666"/>
      <c r="AD45" s="666" t="s">
        <v>69</v>
      </c>
      <c r="AE45" s="666"/>
      <c r="AF45" s="666">
        <f>AA45</f>
        <v>0</v>
      </c>
      <c r="AG45" s="666"/>
      <c r="AH45" s="666"/>
      <c r="AI45" s="666" t="str">
        <f>AI42</f>
        <v>-</v>
      </c>
      <c r="AJ45" s="666"/>
      <c r="AK45" s="666" t="str">
        <f>AK42</f>
        <v>-</v>
      </c>
      <c r="AL45" s="666"/>
      <c r="AM45" s="666"/>
    </row>
    <row r="46" spans="1:39" ht="8.4499999999999993" customHeight="1">
      <c r="A46" s="736"/>
      <c r="B46" s="737"/>
      <c r="C46" s="737"/>
      <c r="D46" s="737"/>
      <c r="E46" s="737"/>
      <c r="F46" s="738"/>
      <c r="G46" s="742"/>
      <c r="H46" s="742"/>
      <c r="I46" s="742"/>
      <c r="J46" s="736" t="str">
        <f t="shared" si="0"/>
        <v>-</v>
      </c>
      <c r="K46" s="737"/>
      <c r="L46" s="738"/>
      <c r="M46" s="742"/>
      <c r="N46" s="742"/>
      <c r="O46" s="742"/>
      <c r="P46" s="742"/>
      <c r="Q46" s="742"/>
      <c r="R46" s="666"/>
      <c r="S46" s="666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666"/>
      <c r="AL46" s="666"/>
      <c r="AM46" s="666"/>
    </row>
    <row r="47" spans="1:39" ht="14.1" customHeight="1">
      <c r="A47" s="669"/>
      <c r="B47" s="672"/>
      <c r="C47" s="672"/>
      <c r="D47" s="672"/>
      <c r="E47" s="672"/>
      <c r="F47" s="670"/>
      <c r="G47" s="742"/>
      <c r="H47" s="742"/>
      <c r="I47" s="742"/>
      <c r="J47" s="739">
        <f t="shared" si="0"/>
        <v>45777</v>
      </c>
      <c r="K47" s="740"/>
      <c r="L47" s="741"/>
      <c r="M47" s="742"/>
      <c r="N47" s="742"/>
      <c r="O47" s="742"/>
      <c r="P47" s="742"/>
      <c r="Q47" s="742"/>
      <c r="R47" s="666"/>
      <c r="S47" s="666"/>
      <c r="T47" s="666"/>
      <c r="U47" s="666"/>
      <c r="V47" s="666"/>
      <c r="W47" s="666"/>
      <c r="X47" s="666"/>
      <c r="Y47" s="666"/>
      <c r="Z47" s="666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</row>
    <row r="48" spans="1:39" ht="14.1" customHeight="1">
      <c r="A48" s="667">
        <f>A45</f>
        <v>1371628694</v>
      </c>
      <c r="B48" s="671"/>
      <c r="C48" s="671"/>
      <c r="D48" s="671"/>
      <c r="E48" s="671"/>
      <c r="F48" s="668"/>
      <c r="G48" s="742" t="s">
        <v>731</v>
      </c>
      <c r="H48" s="742"/>
      <c r="I48" s="742"/>
      <c r="J48" s="743">
        <f t="shared" si="0"/>
        <v>45748</v>
      </c>
      <c r="K48" s="744"/>
      <c r="L48" s="745"/>
      <c r="M48" s="742" t="s">
        <v>720</v>
      </c>
      <c r="N48" s="742"/>
      <c r="O48" s="742">
        <f>O45</f>
        <v>1</v>
      </c>
      <c r="P48" s="742"/>
      <c r="Q48" s="742"/>
      <c r="R48" s="666" t="str">
        <f>VLOOKUP(A48,Regularizare!$D:$U,9,FALSE)&amp;" ("&amp;VLOOKUP(A48,Regularizare!$D:$U,17,FALSE)&amp;")"</f>
        <v>3792 (citit)</v>
      </c>
      <c r="S48" s="666"/>
      <c r="T48" s="666"/>
      <c r="U48" s="666" t="str">
        <f>VLOOKUP(A48,Regularizare!$D:$U,10,FALSE)&amp;" ("&amp;VLOOKUP(A48,Regularizare!$D:$U,18,FALSE)&amp;")"</f>
        <v>3792 (estimat)</v>
      </c>
      <c r="V48" s="666"/>
      <c r="W48" s="666"/>
      <c r="X48" s="666" t="str">
        <f>_xlfn.CONCAT(VLOOKUP(A48,Regularizare!$D:$U,10,FALSE)-VLOOKUP(A48,Regularizare!$D:$U,9,FALSE)," (",VLOOKUP(A48,Regularizare!$D:$U,18,FALSE),")")</f>
        <v>0 (estimat)</v>
      </c>
      <c r="Y48" s="666"/>
      <c r="Z48" s="666"/>
      <c r="AA48" s="666">
        <f>IF(VLOOKUP(A48,Regularizare!$D:$Y,22,FALSE)=0,VLOOKUP(A48,Regularizare!$D:$Y,22,FALSE),(-1)*VLOOKUP(A48,Regularizare!$D:$Y,22,FALSE))</f>
        <v>0</v>
      </c>
      <c r="AB48" s="666"/>
      <c r="AC48" s="666"/>
      <c r="AD48" s="666" t="s">
        <v>69</v>
      </c>
      <c r="AE48" s="666"/>
      <c r="AF48" s="666">
        <f>AA48</f>
        <v>0</v>
      </c>
      <c r="AG48" s="666"/>
      <c r="AH48" s="666"/>
      <c r="AI48" s="666" t="str">
        <f>AI45</f>
        <v>-</v>
      </c>
      <c r="AJ48" s="666"/>
      <c r="AK48" s="666" t="str">
        <f>AK45</f>
        <v>-</v>
      </c>
      <c r="AL48" s="666"/>
      <c r="AM48" s="666"/>
    </row>
    <row r="49" spans="1:39" ht="8.4499999999999993" customHeight="1">
      <c r="A49" s="736"/>
      <c r="B49" s="737"/>
      <c r="C49" s="737"/>
      <c r="D49" s="737"/>
      <c r="E49" s="737"/>
      <c r="F49" s="738"/>
      <c r="G49" s="742"/>
      <c r="H49" s="742"/>
      <c r="I49" s="742"/>
      <c r="J49" s="736" t="str">
        <f t="shared" si="0"/>
        <v>-</v>
      </c>
      <c r="K49" s="737"/>
      <c r="L49" s="738"/>
      <c r="M49" s="742"/>
      <c r="N49" s="742"/>
      <c r="O49" s="742"/>
      <c r="P49" s="742"/>
      <c r="Q49" s="742"/>
      <c r="R49" s="666"/>
      <c r="S49" s="666"/>
      <c r="T49" s="666"/>
      <c r="U49" s="666"/>
      <c r="V49" s="666"/>
      <c r="W49" s="666"/>
      <c r="X49" s="666"/>
      <c r="Y49" s="666"/>
      <c r="Z49" s="666"/>
      <c r="AA49" s="666"/>
      <c r="AB49" s="666"/>
      <c r="AC49" s="666"/>
      <c r="AD49" s="666"/>
      <c r="AE49" s="666"/>
      <c r="AF49" s="666"/>
      <c r="AG49" s="666"/>
      <c r="AH49" s="666"/>
      <c r="AI49" s="666"/>
      <c r="AJ49" s="666"/>
      <c r="AK49" s="666"/>
      <c r="AL49" s="666"/>
      <c r="AM49" s="666"/>
    </row>
    <row r="50" spans="1:39" ht="14.1" customHeight="1">
      <c r="A50" s="669"/>
      <c r="B50" s="672"/>
      <c r="C50" s="672"/>
      <c r="D50" s="672"/>
      <c r="E50" s="672"/>
      <c r="F50" s="670"/>
      <c r="G50" s="742"/>
      <c r="H50" s="742"/>
      <c r="I50" s="742"/>
      <c r="J50" s="739">
        <f t="shared" si="0"/>
        <v>45777</v>
      </c>
      <c r="K50" s="740"/>
      <c r="L50" s="741"/>
      <c r="M50" s="742"/>
      <c r="N50" s="742"/>
      <c r="O50" s="742"/>
      <c r="P50" s="742"/>
      <c r="Q50" s="742"/>
      <c r="R50" s="666"/>
      <c r="S50" s="666"/>
      <c r="T50" s="666"/>
      <c r="U50" s="666"/>
      <c r="V50" s="666"/>
      <c r="W50" s="666"/>
      <c r="X50" s="666"/>
      <c r="Y50" s="666"/>
      <c r="Z50" s="666"/>
      <c r="AA50" s="666"/>
      <c r="AB50" s="666"/>
      <c r="AC50" s="666"/>
      <c r="AD50" s="666"/>
      <c r="AE50" s="666"/>
      <c r="AF50" s="666"/>
      <c r="AG50" s="666"/>
      <c r="AH50" s="666"/>
      <c r="AI50" s="666"/>
      <c r="AJ50" s="666"/>
      <c r="AK50" s="666"/>
      <c r="AL50" s="666"/>
      <c r="AM50" s="666"/>
    </row>
    <row r="51" spans="1:39" ht="14.1" customHeight="1">
      <c r="A51" s="667">
        <f>A48</f>
        <v>1371628694</v>
      </c>
      <c r="B51" s="671"/>
      <c r="C51" s="671"/>
      <c r="D51" s="671"/>
      <c r="E51" s="671"/>
      <c r="F51" s="668"/>
      <c r="G51" s="742" t="s">
        <v>730</v>
      </c>
      <c r="H51" s="742"/>
      <c r="I51" s="750"/>
      <c r="J51" s="743">
        <f>'Date masura OD'!$AK$5</f>
        <v>45748</v>
      </c>
      <c r="K51" s="744"/>
      <c r="L51" s="745"/>
      <c r="M51" s="747" t="s">
        <v>446</v>
      </c>
      <c r="N51" s="742"/>
      <c r="O51" s="742">
        <f>O48</f>
        <v>1</v>
      </c>
      <c r="P51" s="742"/>
      <c r="Q51" s="742"/>
      <c r="R51" s="666" t="str">
        <f>VLOOKUP(A51,Regularizare!$D:$AX,23,FALSE)&amp;" ("&amp;VLOOKUP(A51,Regularizare!$D:$AX,24,FALSE)&amp;")"</f>
        <v>4931122 (citit)</v>
      </c>
      <c r="S51" s="666"/>
      <c r="T51" s="666"/>
      <c r="U51" s="666" t="str">
        <f>VLOOKUP(A51,Regularizare!$D:$AX,25,FALSE)&amp;" ("&amp;VLOOKUP(A51,Regularizare!$D:$AX,26,FALSE)&amp;")"</f>
        <v>5141961 (citit)</v>
      </c>
      <c r="V51" s="666"/>
      <c r="W51" s="666"/>
      <c r="X51" s="666" t="str">
        <f>VLOOKUP(A51,Regularizare!$D:$AX,37,FALSE)&amp;" ("&amp;VLOOKUP(A51,Regularizare!$D:$AX,26,FALSE)&amp;")"</f>
        <v>210839 (citit)</v>
      </c>
      <c r="Y51" s="666"/>
      <c r="Z51" s="666"/>
      <c r="AA51" s="666">
        <f>VLOOKUP(A51,Regularizare!$D:$AX,37,FALSE)</f>
        <v>210839</v>
      </c>
      <c r="AB51" s="666"/>
      <c r="AC51" s="666"/>
      <c r="AD51" s="666" t="s">
        <v>69</v>
      </c>
      <c r="AE51" s="666"/>
      <c r="AF51" s="666">
        <f>AA51</f>
        <v>210839</v>
      </c>
      <c r="AG51" s="666"/>
      <c r="AH51" s="666"/>
      <c r="AI51" s="666" t="str">
        <f>AI48</f>
        <v>-</v>
      </c>
      <c r="AJ51" s="666"/>
      <c r="AK51" s="666" t="str">
        <f>AK48</f>
        <v>-</v>
      </c>
      <c r="AL51" s="666"/>
      <c r="AM51" s="666"/>
    </row>
    <row r="52" spans="1:39" ht="8.4499999999999993" customHeight="1">
      <c r="A52" s="736"/>
      <c r="B52" s="737"/>
      <c r="C52" s="737"/>
      <c r="D52" s="737"/>
      <c r="E52" s="737"/>
      <c r="F52" s="738"/>
      <c r="G52" s="742"/>
      <c r="H52" s="742"/>
      <c r="I52" s="750"/>
      <c r="J52" s="736" t="s">
        <v>69</v>
      </c>
      <c r="K52" s="737"/>
      <c r="L52" s="738"/>
      <c r="M52" s="747"/>
      <c r="N52" s="742"/>
      <c r="O52" s="742"/>
      <c r="P52" s="742"/>
      <c r="Q52" s="742"/>
      <c r="R52" s="666"/>
      <c r="S52" s="666"/>
      <c r="T52" s="666"/>
      <c r="U52" s="666"/>
      <c r="V52" s="666"/>
      <c r="W52" s="666"/>
      <c r="X52" s="666"/>
      <c r="Y52" s="666"/>
      <c r="Z52" s="666"/>
      <c r="AA52" s="666"/>
      <c r="AB52" s="666"/>
      <c r="AC52" s="666"/>
      <c r="AD52" s="666"/>
      <c r="AE52" s="666"/>
      <c r="AF52" s="666"/>
      <c r="AG52" s="666"/>
      <c r="AH52" s="666"/>
      <c r="AI52" s="666"/>
      <c r="AJ52" s="666"/>
      <c r="AK52" s="666"/>
      <c r="AL52" s="666"/>
      <c r="AM52" s="666"/>
    </row>
    <row r="53" spans="1:39" ht="14.1" customHeight="1">
      <c r="A53" s="669"/>
      <c r="B53" s="672"/>
      <c r="C53" s="672"/>
      <c r="D53" s="672"/>
      <c r="E53" s="672"/>
      <c r="F53" s="670"/>
      <c r="G53" s="742"/>
      <c r="H53" s="742"/>
      <c r="I53" s="750"/>
      <c r="J53" s="739">
        <f>'Date masura OD'!$AL$5</f>
        <v>45777</v>
      </c>
      <c r="K53" s="740"/>
      <c r="L53" s="741"/>
      <c r="M53" s="747"/>
      <c r="N53" s="742"/>
      <c r="O53" s="742"/>
      <c r="P53" s="742"/>
      <c r="Q53" s="742"/>
      <c r="R53" s="666"/>
      <c r="S53" s="666"/>
      <c r="T53" s="666"/>
      <c r="U53" s="666"/>
      <c r="V53" s="666"/>
      <c r="W53" s="666"/>
      <c r="X53" s="666"/>
      <c r="Y53" s="666"/>
      <c r="Z53" s="666"/>
      <c r="AA53" s="666"/>
      <c r="AB53" s="666"/>
      <c r="AC53" s="666"/>
      <c r="AD53" s="666"/>
      <c r="AE53" s="666"/>
      <c r="AF53" s="666"/>
      <c r="AG53" s="666"/>
      <c r="AH53" s="666"/>
      <c r="AI53" s="666"/>
      <c r="AJ53" s="666"/>
      <c r="AK53" s="666"/>
      <c r="AL53" s="666"/>
      <c r="AM53" s="666"/>
    </row>
    <row r="54" spans="1:39" ht="14.1" customHeight="1">
      <c r="A54" s="667">
        <f>A51</f>
        <v>1371628694</v>
      </c>
      <c r="B54" s="671"/>
      <c r="C54" s="671"/>
      <c r="D54" s="671"/>
      <c r="E54" s="671"/>
      <c r="F54" s="668"/>
      <c r="G54" s="742" t="s">
        <v>696</v>
      </c>
      <c r="H54" s="742"/>
      <c r="I54" s="742"/>
      <c r="J54" s="743">
        <f t="shared" ref="J54:J59" si="1">J51</f>
        <v>45748</v>
      </c>
      <c r="K54" s="744"/>
      <c r="L54" s="745"/>
      <c r="M54" s="742" t="s">
        <v>720</v>
      </c>
      <c r="N54" s="742"/>
      <c r="O54" s="742">
        <f>O51</f>
        <v>1</v>
      </c>
      <c r="P54" s="742"/>
      <c r="Q54" s="742"/>
      <c r="R54" s="666" t="str">
        <f>VLOOKUP(A54,Regularizare!$D:$AX,29,FALSE)&amp;" ("&amp;VLOOKUP(A54,Regularizare!$D:$AX,30,FALSE)&amp;")"</f>
        <v>252379 (citit)</v>
      </c>
      <c r="S54" s="666"/>
      <c r="T54" s="666"/>
      <c r="U54" s="666" t="str">
        <f>VLOOKUP(A54,Regularizare!$D:$AX,31,FALSE)&amp;" ("&amp;VLOOKUP(A54,Regularizare!$D:$AX,32,FALSE)&amp;")"</f>
        <v>259831 (citit)</v>
      </c>
      <c r="V54" s="666"/>
      <c r="W54" s="666"/>
      <c r="X54" s="666" t="str">
        <f>VLOOKUP(A54,Regularizare!$D:$AX,39,FALSE)&amp;" ("&amp;VLOOKUP(A54,Regularizare!$D:$AX,32,FALSE)&amp;")"</f>
        <v>7452 (citit)</v>
      </c>
      <c r="Y54" s="666"/>
      <c r="Z54" s="666"/>
      <c r="AA54" s="666">
        <f>VLOOKUP(A54,Regularizare!$D:$AX,44,FALSE)+VLOOKUP(A54,Regularizare!$D:$AX,45,FALSE)</f>
        <v>7452</v>
      </c>
      <c r="AB54" s="666"/>
      <c r="AC54" s="666"/>
      <c r="AD54" s="666" t="s">
        <v>69</v>
      </c>
      <c r="AE54" s="666"/>
      <c r="AF54" s="666">
        <f>AA54</f>
        <v>7452</v>
      </c>
      <c r="AG54" s="666"/>
      <c r="AH54" s="666"/>
      <c r="AI54" s="666" t="str">
        <f>AI51</f>
        <v>-</v>
      </c>
      <c r="AJ54" s="666"/>
      <c r="AK54" s="666" t="str">
        <f>AK51</f>
        <v>-</v>
      </c>
      <c r="AL54" s="666"/>
      <c r="AM54" s="666"/>
    </row>
    <row r="55" spans="1:39" ht="8.4499999999999993" customHeight="1">
      <c r="A55" s="736"/>
      <c r="B55" s="737"/>
      <c r="C55" s="737"/>
      <c r="D55" s="737"/>
      <c r="E55" s="737"/>
      <c r="F55" s="738"/>
      <c r="G55" s="742"/>
      <c r="H55" s="742"/>
      <c r="I55" s="742"/>
      <c r="J55" s="736" t="str">
        <f t="shared" si="1"/>
        <v>-</v>
      </c>
      <c r="K55" s="737"/>
      <c r="L55" s="738"/>
      <c r="M55" s="742"/>
      <c r="N55" s="742"/>
      <c r="O55" s="742"/>
      <c r="P55" s="742"/>
      <c r="Q55" s="742"/>
      <c r="R55" s="666"/>
      <c r="S55" s="666"/>
      <c r="T55" s="666"/>
      <c r="U55" s="666"/>
      <c r="V55" s="666"/>
      <c r="W55" s="666"/>
      <c r="X55" s="666"/>
      <c r="Y55" s="666"/>
      <c r="Z55" s="666"/>
      <c r="AA55" s="666"/>
      <c r="AB55" s="666"/>
      <c r="AC55" s="666"/>
      <c r="AD55" s="666"/>
      <c r="AE55" s="666"/>
      <c r="AF55" s="666"/>
      <c r="AG55" s="666"/>
      <c r="AH55" s="666"/>
      <c r="AI55" s="666"/>
      <c r="AJ55" s="666"/>
      <c r="AK55" s="666"/>
      <c r="AL55" s="666"/>
      <c r="AM55" s="666"/>
    </row>
    <row r="56" spans="1:39" ht="14.1" customHeight="1">
      <c r="A56" s="669"/>
      <c r="B56" s="672"/>
      <c r="C56" s="672"/>
      <c r="D56" s="672"/>
      <c r="E56" s="672"/>
      <c r="F56" s="670"/>
      <c r="G56" s="742"/>
      <c r="H56" s="742"/>
      <c r="I56" s="742"/>
      <c r="J56" s="739">
        <f t="shared" si="1"/>
        <v>45777</v>
      </c>
      <c r="K56" s="740"/>
      <c r="L56" s="741"/>
      <c r="M56" s="742"/>
      <c r="N56" s="742"/>
      <c r="O56" s="742"/>
      <c r="P56" s="742"/>
      <c r="Q56" s="742"/>
      <c r="R56" s="666"/>
      <c r="S56" s="666"/>
      <c r="T56" s="666"/>
      <c r="U56" s="666"/>
      <c r="V56" s="666"/>
      <c r="W56" s="666"/>
      <c r="X56" s="666"/>
      <c r="Y56" s="666"/>
      <c r="Z56" s="666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</row>
    <row r="57" spans="1:39" ht="14.1" customHeight="1">
      <c r="A57" s="667">
        <f>A54</f>
        <v>1371628694</v>
      </c>
      <c r="B57" s="671"/>
      <c r="C57" s="671"/>
      <c r="D57" s="671"/>
      <c r="E57" s="671"/>
      <c r="F57" s="668"/>
      <c r="G57" s="742" t="s">
        <v>731</v>
      </c>
      <c r="H57" s="742"/>
      <c r="I57" s="742"/>
      <c r="J57" s="743">
        <f t="shared" si="1"/>
        <v>45748</v>
      </c>
      <c r="K57" s="744"/>
      <c r="L57" s="745"/>
      <c r="M57" s="742" t="s">
        <v>720</v>
      </c>
      <c r="N57" s="742"/>
      <c r="O57" s="742">
        <f>O54</f>
        <v>1</v>
      </c>
      <c r="P57" s="742"/>
      <c r="Q57" s="742"/>
      <c r="R57" s="666" t="str">
        <f>VLOOKUP(A57,Regularizare!$D:$AX,33,FALSE)&amp;" ("&amp;VLOOKUP(A57,Regularizare!$D:$AX,34,FALSE)&amp;")"</f>
        <v>3792 (citit)</v>
      </c>
      <c r="S57" s="666"/>
      <c r="T57" s="666"/>
      <c r="U57" s="666" t="str">
        <f>VLOOKUP(A57,Regularizare!$D:$AX,35,FALSE)&amp;" ("&amp;VLOOKUP(A57,Regularizare!$D:$AX,36,FALSE)&amp;")"</f>
        <v>3792 (citit)</v>
      </c>
      <c r="V57" s="666"/>
      <c r="W57" s="666"/>
      <c r="X57" s="666" t="str">
        <f>VLOOKUP(A57,Regularizare!$D:$AX,40,FALSE)&amp;" ("&amp;VLOOKUP(A57,Regularizare!$D:$AX,36,FALSE)&amp;")"</f>
        <v>0 (citit)</v>
      </c>
      <c r="Y57" s="666"/>
      <c r="Z57" s="666"/>
      <c r="AA57" s="666">
        <f>VLOOKUP(A57,Regularizare!$D:$AX,46,FALSE)+VLOOKUP(A57,Regularizare!$D:$AX,47,FALSE)</f>
        <v>0</v>
      </c>
      <c r="AB57" s="666"/>
      <c r="AC57" s="666"/>
      <c r="AD57" s="666" t="s">
        <v>69</v>
      </c>
      <c r="AE57" s="666"/>
      <c r="AF57" s="666">
        <f>AA57</f>
        <v>0</v>
      </c>
      <c r="AG57" s="666"/>
      <c r="AH57" s="666"/>
      <c r="AI57" s="666" t="str">
        <f>AI54</f>
        <v>-</v>
      </c>
      <c r="AJ57" s="666"/>
      <c r="AK57" s="666" t="str">
        <f>AK54</f>
        <v>-</v>
      </c>
      <c r="AL57" s="666"/>
      <c r="AM57" s="666"/>
    </row>
    <row r="58" spans="1:39" ht="8.4499999999999993" customHeight="1">
      <c r="A58" s="736"/>
      <c r="B58" s="737"/>
      <c r="C58" s="737"/>
      <c r="D58" s="737"/>
      <c r="E58" s="737"/>
      <c r="F58" s="738"/>
      <c r="G58" s="742"/>
      <c r="H58" s="742"/>
      <c r="I58" s="742"/>
      <c r="J58" s="736" t="str">
        <f t="shared" si="1"/>
        <v>-</v>
      </c>
      <c r="K58" s="737"/>
      <c r="L58" s="738"/>
      <c r="M58" s="742"/>
      <c r="N58" s="742"/>
      <c r="O58" s="742"/>
      <c r="P58" s="742"/>
      <c r="Q58" s="742"/>
      <c r="R58" s="666"/>
      <c r="S58" s="666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666"/>
      <c r="AL58" s="666"/>
      <c r="AM58" s="666"/>
    </row>
    <row r="59" spans="1:39" ht="14.1" customHeight="1">
      <c r="A59" s="669"/>
      <c r="B59" s="672"/>
      <c r="C59" s="672"/>
      <c r="D59" s="672"/>
      <c r="E59" s="672"/>
      <c r="F59" s="670"/>
      <c r="G59" s="742"/>
      <c r="H59" s="742"/>
      <c r="I59" s="742"/>
      <c r="J59" s="739">
        <f t="shared" si="1"/>
        <v>45777</v>
      </c>
      <c r="K59" s="740"/>
      <c r="L59" s="741"/>
      <c r="M59" s="742"/>
      <c r="N59" s="742"/>
      <c r="O59" s="742"/>
      <c r="P59" s="742"/>
      <c r="Q59" s="742"/>
      <c r="R59" s="666"/>
      <c r="S59" s="666"/>
      <c r="T59" s="666"/>
      <c r="U59" s="666"/>
      <c r="V59" s="666"/>
      <c r="W59" s="666"/>
      <c r="X59" s="666"/>
      <c r="Y59" s="666"/>
      <c r="Z59" s="666"/>
      <c r="AA59" s="666"/>
      <c r="AB59" s="666"/>
      <c r="AC59" s="666"/>
      <c r="AD59" s="666"/>
      <c r="AE59" s="666"/>
      <c r="AF59" s="666"/>
      <c r="AG59" s="666"/>
      <c r="AH59" s="666"/>
      <c r="AI59" s="666"/>
      <c r="AJ59" s="666"/>
      <c r="AK59" s="666"/>
      <c r="AL59" s="666"/>
      <c r="AM59" s="666"/>
    </row>
    <row r="60" spans="1:39" ht="14.1" customHeight="1">
      <c r="A60" s="667">
        <f>A57</f>
        <v>1371628694</v>
      </c>
      <c r="B60" s="671"/>
      <c r="C60" s="671"/>
      <c r="D60" s="671"/>
      <c r="E60" s="671"/>
      <c r="F60" s="668"/>
      <c r="G60" s="742" t="s">
        <v>730</v>
      </c>
      <c r="H60" s="742"/>
      <c r="I60" s="750"/>
      <c r="J60" s="743">
        <f>'Date masura OD'!$I$5</f>
        <v>45778</v>
      </c>
      <c r="K60" s="744"/>
      <c r="L60" s="745"/>
      <c r="M60" s="747" t="s">
        <v>446</v>
      </c>
      <c r="N60" s="742"/>
      <c r="O60" s="742">
        <f>O57</f>
        <v>1</v>
      </c>
      <c r="P60" s="742"/>
      <c r="Q60" s="742"/>
      <c r="R60" s="666" t="str">
        <f>U51</f>
        <v>5141961 (citit)</v>
      </c>
      <c r="S60" s="666"/>
      <c r="T60" s="666"/>
      <c r="U60" s="666" t="str">
        <f>VLOOKUP(A60,'Incrementare indexe'!$D:$M,4,FALSE)&amp;" (estimat)"</f>
        <v>5432069 (estimat)</v>
      </c>
      <c r="V60" s="666"/>
      <c r="W60" s="666"/>
      <c r="X60" s="666" t="str">
        <f>VLOOKUP(A60,'Incrementare indexe'!$D:$Q,11,FALSE)&amp;" (estimat)"</f>
        <v>290108 (estimat)</v>
      </c>
      <c r="Y60" s="666"/>
      <c r="Z60" s="666"/>
      <c r="AA60" s="666" t="s">
        <v>69</v>
      </c>
      <c r="AB60" s="666"/>
      <c r="AC60" s="666"/>
      <c r="AD60" s="666" t="s">
        <v>69</v>
      </c>
      <c r="AE60" s="666"/>
      <c r="AF60" s="666">
        <f>VLOOKUP(A60,'Incrementare indexe'!$D:$Q,11,FALSE)</f>
        <v>290108</v>
      </c>
      <c r="AG60" s="666"/>
      <c r="AH60" s="666"/>
      <c r="AI60" s="666">
        <f>J62-J60+1</f>
        <v>31</v>
      </c>
      <c r="AJ60" s="666"/>
      <c r="AK60" s="666">
        <f>ROUND(AF60/AI60,2)</f>
        <v>9358.32</v>
      </c>
      <c r="AL60" s="666"/>
      <c r="AM60" s="666"/>
    </row>
    <row r="61" spans="1:39" ht="8.4499999999999993" customHeight="1">
      <c r="A61" s="736"/>
      <c r="B61" s="737"/>
      <c r="C61" s="737"/>
      <c r="D61" s="737"/>
      <c r="E61" s="737"/>
      <c r="F61" s="738"/>
      <c r="G61" s="742"/>
      <c r="H61" s="742"/>
      <c r="I61" s="750"/>
      <c r="J61" s="736" t="s">
        <v>69</v>
      </c>
      <c r="K61" s="737"/>
      <c r="L61" s="738"/>
      <c r="M61" s="747"/>
      <c r="N61" s="742"/>
      <c r="O61" s="742"/>
      <c r="P61" s="742"/>
      <c r="Q61" s="742"/>
      <c r="R61" s="666"/>
      <c r="S61" s="666"/>
      <c r="T61" s="666"/>
      <c r="U61" s="666"/>
      <c r="V61" s="666"/>
      <c r="W61" s="666"/>
      <c r="X61" s="666"/>
      <c r="Y61" s="666"/>
      <c r="Z61" s="666"/>
      <c r="AA61" s="666"/>
      <c r="AB61" s="666"/>
      <c r="AC61" s="666"/>
      <c r="AD61" s="666"/>
      <c r="AE61" s="666"/>
      <c r="AF61" s="666"/>
      <c r="AG61" s="666"/>
      <c r="AH61" s="666"/>
      <c r="AI61" s="666"/>
      <c r="AJ61" s="666"/>
      <c r="AK61" s="666"/>
      <c r="AL61" s="666"/>
      <c r="AM61" s="666"/>
    </row>
    <row r="62" spans="1:39" ht="14.1" customHeight="1">
      <c r="A62" s="669"/>
      <c r="B62" s="672"/>
      <c r="C62" s="672"/>
      <c r="D62" s="672"/>
      <c r="E62" s="672"/>
      <c r="F62" s="670"/>
      <c r="G62" s="742"/>
      <c r="H62" s="742"/>
      <c r="I62" s="750"/>
      <c r="J62" s="739">
        <f>'Date masura OD'!$J$5</f>
        <v>45808</v>
      </c>
      <c r="K62" s="740"/>
      <c r="L62" s="741"/>
      <c r="M62" s="747"/>
      <c r="N62" s="742"/>
      <c r="O62" s="742"/>
      <c r="P62" s="742"/>
      <c r="Q62" s="742"/>
      <c r="R62" s="666"/>
      <c r="S62" s="666"/>
      <c r="T62" s="666"/>
      <c r="U62" s="666"/>
      <c r="V62" s="666"/>
      <c r="W62" s="666"/>
      <c r="X62" s="666"/>
      <c r="Y62" s="666"/>
      <c r="Z62" s="666"/>
      <c r="AA62" s="666"/>
      <c r="AB62" s="666"/>
      <c r="AC62" s="666"/>
      <c r="AD62" s="666"/>
      <c r="AE62" s="666"/>
      <c r="AF62" s="666"/>
      <c r="AG62" s="666"/>
      <c r="AH62" s="666"/>
      <c r="AI62" s="666"/>
      <c r="AJ62" s="666"/>
      <c r="AK62" s="666"/>
      <c r="AL62" s="666"/>
      <c r="AM62" s="666"/>
    </row>
    <row r="63" spans="1:39" ht="14.1" customHeight="1">
      <c r="A63" s="667">
        <f>A60</f>
        <v>1371628694</v>
      </c>
      <c r="B63" s="671"/>
      <c r="C63" s="671"/>
      <c r="D63" s="671"/>
      <c r="E63" s="671"/>
      <c r="F63" s="668"/>
      <c r="G63" s="742" t="s">
        <v>696</v>
      </c>
      <c r="H63" s="742"/>
      <c r="I63" s="742"/>
      <c r="J63" s="743">
        <f t="shared" ref="J63:J68" si="2">J60</f>
        <v>45778</v>
      </c>
      <c r="K63" s="744"/>
      <c r="L63" s="745"/>
      <c r="M63" s="742" t="s">
        <v>720</v>
      </c>
      <c r="N63" s="742"/>
      <c r="O63" s="742">
        <f>O60</f>
        <v>1</v>
      </c>
      <c r="P63" s="742"/>
      <c r="Q63" s="742"/>
      <c r="R63" s="666" t="str">
        <f>U54</f>
        <v>259831 (citit)</v>
      </c>
      <c r="S63" s="666"/>
      <c r="T63" s="666"/>
      <c r="U63" s="666" t="str">
        <f>VLOOKUP(A63,'Incrementare indexe'!$D:$M,8,FALSE)&amp;" (estimat)"</f>
        <v>259831 (estimat)</v>
      </c>
      <c r="V63" s="666"/>
      <c r="W63" s="666"/>
      <c r="X63" s="666" t="str">
        <f>VLOOKUP(A63,'Incrementare indexe'!$D:$Q,12,FALSE)&amp;" (estimat)"</f>
        <v>0 (estimat)</v>
      </c>
      <c r="Y63" s="666"/>
      <c r="Z63" s="666"/>
      <c r="AA63" s="666" t="s">
        <v>69</v>
      </c>
      <c r="AB63" s="666"/>
      <c r="AC63" s="666"/>
      <c r="AD63" s="666" t="s">
        <v>69</v>
      </c>
      <c r="AE63" s="666"/>
      <c r="AF63" s="666">
        <f>VLOOKUP(A63,'Incrementare indexe'!$D:$Q,12,FALSE)</f>
        <v>0</v>
      </c>
      <c r="AG63" s="666"/>
      <c r="AH63" s="666"/>
      <c r="AI63" s="666">
        <f>AI60</f>
        <v>31</v>
      </c>
      <c r="AJ63" s="666"/>
      <c r="AK63" s="666">
        <f>ROUND(AF63/AI63,2)</f>
        <v>0</v>
      </c>
      <c r="AL63" s="666"/>
      <c r="AM63" s="666"/>
    </row>
    <row r="64" spans="1:39" ht="8.4499999999999993" customHeight="1">
      <c r="A64" s="736"/>
      <c r="B64" s="737"/>
      <c r="C64" s="737"/>
      <c r="D64" s="737"/>
      <c r="E64" s="737"/>
      <c r="F64" s="738"/>
      <c r="G64" s="742"/>
      <c r="H64" s="742"/>
      <c r="I64" s="742"/>
      <c r="J64" s="736" t="str">
        <f t="shared" si="2"/>
        <v>-</v>
      </c>
      <c r="K64" s="737"/>
      <c r="L64" s="738"/>
      <c r="M64" s="742"/>
      <c r="N64" s="742"/>
      <c r="O64" s="742"/>
      <c r="P64" s="742"/>
      <c r="Q64" s="742"/>
      <c r="R64" s="666"/>
      <c r="S64" s="666"/>
      <c r="T64" s="666"/>
      <c r="U64" s="666"/>
      <c r="V64" s="666"/>
      <c r="W64" s="666"/>
      <c r="X64" s="666"/>
      <c r="Y64" s="666"/>
      <c r="Z64" s="666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</row>
    <row r="65" spans="1:39" ht="14.1" customHeight="1">
      <c r="A65" s="669"/>
      <c r="B65" s="672"/>
      <c r="C65" s="672"/>
      <c r="D65" s="672"/>
      <c r="E65" s="672"/>
      <c r="F65" s="670"/>
      <c r="G65" s="742"/>
      <c r="H65" s="742"/>
      <c r="I65" s="742"/>
      <c r="J65" s="739">
        <f t="shared" si="2"/>
        <v>45808</v>
      </c>
      <c r="K65" s="740"/>
      <c r="L65" s="741"/>
      <c r="M65" s="742"/>
      <c r="N65" s="742"/>
      <c r="O65" s="742"/>
      <c r="P65" s="742"/>
      <c r="Q65" s="742"/>
      <c r="R65" s="666"/>
      <c r="S65" s="666"/>
      <c r="T65" s="666"/>
      <c r="U65" s="666"/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666"/>
      <c r="AL65" s="666"/>
      <c r="AM65" s="666"/>
    </row>
    <row r="66" spans="1:39" ht="14.1" customHeight="1">
      <c r="A66" s="667">
        <f>A63</f>
        <v>1371628694</v>
      </c>
      <c r="B66" s="671"/>
      <c r="C66" s="671"/>
      <c r="D66" s="671"/>
      <c r="E66" s="671"/>
      <c r="F66" s="668"/>
      <c r="G66" s="742" t="s">
        <v>731</v>
      </c>
      <c r="H66" s="742"/>
      <c r="I66" s="742"/>
      <c r="J66" s="743">
        <f t="shared" si="2"/>
        <v>45778</v>
      </c>
      <c r="K66" s="744"/>
      <c r="L66" s="745"/>
      <c r="M66" s="742" t="s">
        <v>720</v>
      </c>
      <c r="N66" s="742"/>
      <c r="O66" s="742">
        <f>O63</f>
        <v>1</v>
      </c>
      <c r="P66" s="742"/>
      <c r="Q66" s="742"/>
      <c r="R66" s="666" t="str">
        <f>U57</f>
        <v>3792 (citit)</v>
      </c>
      <c r="S66" s="666"/>
      <c r="T66" s="666"/>
      <c r="U66" s="666" t="str">
        <f>VLOOKUP(A66,'Incrementare indexe'!$D:$M,10,FALSE)&amp;" (estimat)"</f>
        <v>3792 (estimat)</v>
      </c>
      <c r="V66" s="666"/>
      <c r="W66" s="666"/>
      <c r="X66" s="666" t="str">
        <f>VLOOKUP(A66,'Incrementare indexe'!$D:$Q,13,FALSE)&amp;" (estimat)"</f>
        <v>0 (estimat)</v>
      </c>
      <c r="Y66" s="666"/>
      <c r="Z66" s="666"/>
      <c r="AA66" s="666" t="s">
        <v>69</v>
      </c>
      <c r="AB66" s="666"/>
      <c r="AC66" s="666"/>
      <c r="AD66" s="666" t="s">
        <v>69</v>
      </c>
      <c r="AE66" s="666"/>
      <c r="AF66" s="666">
        <f>VLOOKUP(A66,'Incrementare indexe'!$D:$Q,13,FALSE)</f>
        <v>0</v>
      </c>
      <c r="AG66" s="666"/>
      <c r="AH66" s="666"/>
      <c r="AI66" s="666">
        <f>AI63</f>
        <v>31</v>
      </c>
      <c r="AJ66" s="666"/>
      <c r="AK66" s="666">
        <f>ROUND(AF66/AI66,2)</f>
        <v>0</v>
      </c>
      <c r="AL66" s="666"/>
      <c r="AM66" s="666"/>
    </row>
    <row r="67" spans="1:39" ht="8.4499999999999993" customHeight="1">
      <c r="A67" s="736"/>
      <c r="B67" s="737"/>
      <c r="C67" s="737"/>
      <c r="D67" s="737"/>
      <c r="E67" s="737"/>
      <c r="F67" s="738"/>
      <c r="G67" s="742"/>
      <c r="H67" s="742"/>
      <c r="I67" s="742"/>
      <c r="J67" s="736" t="str">
        <f t="shared" si="2"/>
        <v>-</v>
      </c>
      <c r="K67" s="737"/>
      <c r="L67" s="738"/>
      <c r="M67" s="742"/>
      <c r="N67" s="742"/>
      <c r="O67" s="742"/>
      <c r="P67" s="742"/>
      <c r="Q67" s="742"/>
      <c r="R67" s="666"/>
      <c r="S67" s="666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666"/>
      <c r="AL67" s="666"/>
      <c r="AM67" s="666"/>
    </row>
    <row r="68" spans="1:39" ht="14.1" customHeight="1">
      <c r="A68" s="669"/>
      <c r="B68" s="672"/>
      <c r="C68" s="672"/>
      <c r="D68" s="672"/>
      <c r="E68" s="672"/>
      <c r="F68" s="670"/>
      <c r="G68" s="742"/>
      <c r="H68" s="742"/>
      <c r="I68" s="742"/>
      <c r="J68" s="739">
        <f t="shared" si="2"/>
        <v>45808</v>
      </c>
      <c r="K68" s="740"/>
      <c r="L68" s="741"/>
      <c r="M68" s="742"/>
      <c r="N68" s="742"/>
      <c r="O68" s="742"/>
      <c r="P68" s="742"/>
      <c r="Q68" s="742"/>
      <c r="R68" s="666"/>
      <c r="S68" s="666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</row>
    <row r="69" spans="1:39" ht="14.1" customHeight="1"/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14.1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8.4499999999999993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8.4499999999999993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14.1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594030500002463001/3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_xlfn.CONCAT(AA33,".",2)</f>
        <v>RGSC_1.2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742" t="s">
        <v>697</v>
      </c>
      <c r="B84" s="742"/>
      <c r="C84" s="742"/>
      <c r="D84" s="742"/>
      <c r="E84" s="742"/>
      <c r="F84" s="742"/>
      <c r="G84" s="666" t="s">
        <v>713</v>
      </c>
      <c r="H84" s="666"/>
      <c r="I84" s="666"/>
      <c r="J84" s="666" t="s">
        <v>714</v>
      </c>
      <c r="K84" s="666"/>
      <c r="L84" s="666"/>
      <c r="M84" s="742" t="s">
        <v>519</v>
      </c>
      <c r="N84" s="742"/>
      <c r="O84" s="742" t="s">
        <v>715</v>
      </c>
      <c r="P84" s="742"/>
      <c r="Q84" s="742"/>
      <c r="R84" s="666" t="s">
        <v>732</v>
      </c>
      <c r="S84" s="666"/>
      <c r="T84" s="666"/>
      <c r="U84" s="666" t="s">
        <v>734</v>
      </c>
      <c r="V84" s="666"/>
      <c r="W84" s="666"/>
      <c r="X84" s="666" t="s">
        <v>1085</v>
      </c>
      <c r="Y84" s="666"/>
      <c r="Z84" s="666"/>
      <c r="AA84" s="666" t="s">
        <v>1086</v>
      </c>
      <c r="AB84" s="666"/>
      <c r="AC84" s="666"/>
      <c r="AD84" s="666" t="s">
        <v>717</v>
      </c>
      <c r="AE84" s="666"/>
      <c r="AF84" s="666" t="s">
        <v>718</v>
      </c>
      <c r="AG84" s="666"/>
      <c r="AH84" s="666"/>
      <c r="AI84" s="666" t="s">
        <v>719</v>
      </c>
      <c r="AJ84" s="666"/>
      <c r="AK84" s="666" t="s">
        <v>733</v>
      </c>
      <c r="AL84" s="666"/>
      <c r="AM84" s="666"/>
    </row>
    <row r="85" spans="1:39">
      <c r="A85" s="742"/>
      <c r="B85" s="742"/>
      <c r="C85" s="742"/>
      <c r="D85" s="742"/>
      <c r="E85" s="742"/>
      <c r="F85" s="742"/>
      <c r="G85" s="666"/>
      <c r="H85" s="666"/>
      <c r="I85" s="666"/>
      <c r="J85" s="666"/>
      <c r="K85" s="666"/>
      <c r="L85" s="666"/>
      <c r="M85" s="742"/>
      <c r="N85" s="742"/>
      <c r="O85" s="742"/>
      <c r="P85" s="742"/>
      <c r="Q85" s="742"/>
      <c r="R85" s="666"/>
      <c r="S85" s="666"/>
      <c r="T85" s="666"/>
      <c r="U85" s="666"/>
      <c r="V85" s="666"/>
      <c r="W85" s="666"/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</row>
    <row r="86" spans="1:39">
      <c r="A86" s="742"/>
      <c r="B86" s="742"/>
      <c r="C86" s="742"/>
      <c r="D86" s="742"/>
      <c r="E86" s="742"/>
      <c r="F86" s="742"/>
      <c r="G86" s="666"/>
      <c r="H86" s="666"/>
      <c r="I86" s="666"/>
      <c r="J86" s="748"/>
      <c r="K86" s="748"/>
      <c r="L86" s="748"/>
      <c r="M86" s="742"/>
      <c r="N86" s="742"/>
      <c r="O86" s="742"/>
      <c r="P86" s="742"/>
      <c r="Q86" s="742"/>
      <c r="R86" s="666"/>
      <c r="S86" s="666"/>
      <c r="T86" s="666"/>
      <c r="U86" s="666"/>
      <c r="V86" s="666"/>
      <c r="W86" s="666"/>
      <c r="X86" s="666"/>
      <c r="Y86" s="666"/>
      <c r="Z86" s="666"/>
      <c r="AA86" s="666"/>
      <c r="AB86" s="666"/>
      <c r="AC86" s="666"/>
      <c r="AD86" s="666"/>
      <c r="AE86" s="666"/>
      <c r="AF86" s="666"/>
      <c r="AG86" s="666"/>
      <c r="AH86" s="666"/>
      <c r="AI86" s="666"/>
      <c r="AJ86" s="666"/>
      <c r="AK86" s="666"/>
      <c r="AL86" s="666"/>
      <c r="AM86" s="666"/>
    </row>
    <row r="87" spans="1:39" ht="14.1" customHeight="1">
      <c r="A87" s="667">
        <f>VLOOKUP(AI82,'Contorizare in SDI'!$E:$I,5,FALSE)</f>
        <v>1372655644</v>
      </c>
      <c r="B87" s="671"/>
      <c r="C87" s="671"/>
      <c r="D87" s="671"/>
      <c r="E87" s="671"/>
      <c r="F87" s="668"/>
      <c r="G87" s="742" t="s">
        <v>730</v>
      </c>
      <c r="H87" s="742"/>
      <c r="I87" s="750"/>
      <c r="J87" s="743">
        <f>'Date masura OD'!$AK$5</f>
        <v>45748</v>
      </c>
      <c r="K87" s="744"/>
      <c r="L87" s="745"/>
      <c r="M87" s="747" t="s">
        <v>446</v>
      </c>
      <c r="N87" s="742"/>
      <c r="O87" s="742">
        <f>VLOOKUP(AI82,'Incrementare indexe'!$B:$T,4,FALSE)</f>
        <v>1</v>
      </c>
      <c r="P87" s="742"/>
      <c r="Q87" s="742"/>
      <c r="R87" s="666" t="str">
        <f>VLOOKUP(A87,Regularizare!$D:$YN,3,FALSE)&amp;" ("&amp;VLOOKUP(A87,Regularizare!$D:$Y,11,FALSE)&amp;")"</f>
        <v>3599670 (citit)</v>
      </c>
      <c r="S87" s="666"/>
      <c r="T87" s="666"/>
      <c r="U87" s="666" t="str">
        <f>VLOOKUP(A87,Regularizare!$D:$U,4,FALSE)&amp;" ("&amp;VLOOKUP(A87,Regularizare!$D:$U,12,FALSE)&amp;")"</f>
        <v>3707971 (estimat)</v>
      </c>
      <c r="V87" s="666"/>
      <c r="W87" s="666"/>
      <c r="X87" s="666" t="str">
        <f>VLOOKUP(A87,Regularizare!$D:$Y,19,FALSE)&amp;" ("&amp;VLOOKUP(A87,Regularizare!$D:$U,12,FALSE)&amp;")"</f>
        <v>108301 (estimat)</v>
      </c>
      <c r="Y87" s="666"/>
      <c r="Z87" s="666"/>
      <c r="AA87" s="666">
        <f>(-1)*VLOOKUP(A87,Regularizare!$D:$Y,19,FALSE)</f>
        <v>-108301</v>
      </c>
      <c r="AB87" s="666"/>
      <c r="AC87" s="666"/>
      <c r="AD87" s="666" t="s">
        <v>69</v>
      </c>
      <c r="AE87" s="666"/>
      <c r="AF87" s="666">
        <f>AA87</f>
        <v>-108301</v>
      </c>
      <c r="AG87" s="666"/>
      <c r="AH87" s="666"/>
      <c r="AI87" s="666" t="s">
        <v>69</v>
      </c>
      <c r="AJ87" s="666"/>
      <c r="AK87" s="666" t="s">
        <v>69</v>
      </c>
      <c r="AL87" s="666"/>
      <c r="AM87" s="666"/>
    </row>
    <row r="88" spans="1:39" ht="9.75" customHeight="1">
      <c r="A88" s="736"/>
      <c r="B88" s="737"/>
      <c r="C88" s="737"/>
      <c r="D88" s="737"/>
      <c r="E88" s="737"/>
      <c r="F88" s="738"/>
      <c r="G88" s="742"/>
      <c r="H88" s="742"/>
      <c r="I88" s="750"/>
      <c r="J88" s="736" t="s">
        <v>69</v>
      </c>
      <c r="K88" s="737"/>
      <c r="L88" s="738"/>
      <c r="M88" s="747"/>
      <c r="N88" s="742"/>
      <c r="O88" s="742"/>
      <c r="P88" s="742"/>
      <c r="Q88" s="742"/>
      <c r="R88" s="666"/>
      <c r="S88" s="666"/>
      <c r="T88" s="666"/>
      <c r="U88" s="666"/>
      <c r="V88" s="666"/>
      <c r="W88" s="666"/>
      <c r="X88" s="666"/>
      <c r="Y88" s="666"/>
      <c r="Z88" s="666"/>
      <c r="AA88" s="666"/>
      <c r="AB88" s="666"/>
      <c r="AC88" s="666"/>
      <c r="AD88" s="666"/>
      <c r="AE88" s="666"/>
      <c r="AF88" s="666"/>
      <c r="AG88" s="666"/>
      <c r="AH88" s="666"/>
      <c r="AI88" s="666"/>
      <c r="AJ88" s="666"/>
      <c r="AK88" s="666"/>
      <c r="AL88" s="666"/>
      <c r="AM88" s="666"/>
    </row>
    <row r="89" spans="1:39" ht="14.1" customHeight="1">
      <c r="A89" s="669"/>
      <c r="B89" s="672"/>
      <c r="C89" s="672"/>
      <c r="D89" s="672"/>
      <c r="E89" s="672"/>
      <c r="F89" s="670"/>
      <c r="G89" s="742"/>
      <c r="H89" s="742"/>
      <c r="I89" s="750"/>
      <c r="J89" s="739">
        <f>'Date masura OD'!$AL$5</f>
        <v>45777</v>
      </c>
      <c r="K89" s="740"/>
      <c r="L89" s="741"/>
      <c r="M89" s="747"/>
      <c r="N89" s="742"/>
      <c r="O89" s="742"/>
      <c r="P89" s="742"/>
      <c r="Q89" s="742"/>
      <c r="R89" s="666"/>
      <c r="S89" s="666"/>
      <c r="T89" s="666"/>
      <c r="U89" s="666"/>
      <c r="V89" s="666"/>
      <c r="W89" s="666"/>
      <c r="X89" s="666"/>
      <c r="Y89" s="666"/>
      <c r="Z89" s="666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</row>
    <row r="90" spans="1:39" ht="14.1" customHeight="1">
      <c r="A90" s="667">
        <f>A87</f>
        <v>1372655644</v>
      </c>
      <c r="B90" s="671"/>
      <c r="C90" s="671"/>
      <c r="D90" s="671"/>
      <c r="E90" s="671"/>
      <c r="F90" s="668"/>
      <c r="G90" s="742" t="s">
        <v>696</v>
      </c>
      <c r="H90" s="742"/>
      <c r="I90" s="742"/>
      <c r="J90" s="743">
        <f t="shared" ref="J90:J95" si="3">J87</f>
        <v>45748</v>
      </c>
      <c r="K90" s="744"/>
      <c r="L90" s="745"/>
      <c r="M90" s="742" t="s">
        <v>720</v>
      </c>
      <c r="N90" s="742"/>
      <c r="O90" s="742">
        <f>O87</f>
        <v>1</v>
      </c>
      <c r="P90" s="742"/>
      <c r="Q90" s="742"/>
      <c r="R90" s="666" t="str">
        <f>VLOOKUP(A90,Regularizare!$D:$U,7,FALSE)&amp;" ("&amp;VLOOKUP(A90,Regularizare!$D:$U,15,FALSE)&amp;")"</f>
        <v>94696 (citit)</v>
      </c>
      <c r="S90" s="666"/>
      <c r="T90" s="666"/>
      <c r="U90" s="666" t="str">
        <f>VLOOKUP(A90,Regularizare!$D:$U,8,FALSE)&amp;" ("&amp;VLOOKUP(A90,Regularizare!$D:$U,16,FALSE)&amp;")"</f>
        <v>94696 (estimat)</v>
      </c>
      <c r="V90" s="666"/>
      <c r="W90" s="666"/>
      <c r="X90" s="666" t="str">
        <f>_xlfn.CONCAT(VLOOKUP(A90,Regularizare!$D:$U,8,FALSE)-VLOOKUP(A90,Regularizare!$D:$U,7,FALSE)," (",VLOOKUP(A90,Regularizare!$D:$U,16,FALSE),")")</f>
        <v>0 (estimat)</v>
      </c>
      <c r="Y90" s="666"/>
      <c r="Z90" s="666"/>
      <c r="AA90" s="666">
        <f>IF(VLOOKUP(A90,Regularizare!$D:$Y,21,FALSE)=0,VLOOKUP(A90,Regularizare!$D:$Y,21,FALSE),(-1)*VLOOKUP(A90,Regularizare!$D:$Y,21,FALSE))</f>
        <v>0</v>
      </c>
      <c r="AB90" s="666"/>
      <c r="AC90" s="666"/>
      <c r="AD90" s="666" t="s">
        <v>69</v>
      </c>
      <c r="AE90" s="666"/>
      <c r="AF90" s="666">
        <f>AA90</f>
        <v>0</v>
      </c>
      <c r="AG90" s="666"/>
      <c r="AH90" s="666"/>
      <c r="AI90" s="666" t="str">
        <f>AI87</f>
        <v>-</v>
      </c>
      <c r="AJ90" s="666"/>
      <c r="AK90" s="666" t="str">
        <f>AK87</f>
        <v>-</v>
      </c>
      <c r="AL90" s="666"/>
      <c r="AM90" s="666"/>
    </row>
    <row r="91" spans="1:39" ht="8.4499999999999993" customHeight="1">
      <c r="A91" s="736"/>
      <c r="B91" s="737"/>
      <c r="C91" s="737"/>
      <c r="D91" s="737"/>
      <c r="E91" s="737"/>
      <c r="F91" s="738"/>
      <c r="G91" s="742"/>
      <c r="H91" s="742"/>
      <c r="I91" s="742"/>
      <c r="J91" s="736" t="str">
        <f t="shared" si="3"/>
        <v>-</v>
      </c>
      <c r="K91" s="737"/>
      <c r="L91" s="738"/>
      <c r="M91" s="742"/>
      <c r="N91" s="742"/>
      <c r="O91" s="742"/>
      <c r="P91" s="742"/>
      <c r="Q91" s="742"/>
      <c r="R91" s="666"/>
      <c r="S91" s="666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666"/>
      <c r="AL91" s="666"/>
      <c r="AM91" s="666"/>
    </row>
    <row r="92" spans="1:39" ht="14.1" customHeight="1">
      <c r="A92" s="669"/>
      <c r="B92" s="672"/>
      <c r="C92" s="672"/>
      <c r="D92" s="672"/>
      <c r="E92" s="672"/>
      <c r="F92" s="670"/>
      <c r="G92" s="742"/>
      <c r="H92" s="742"/>
      <c r="I92" s="742"/>
      <c r="J92" s="739">
        <f t="shared" si="3"/>
        <v>45777</v>
      </c>
      <c r="K92" s="740"/>
      <c r="L92" s="741"/>
      <c r="M92" s="742"/>
      <c r="N92" s="742"/>
      <c r="O92" s="742"/>
      <c r="P92" s="742"/>
      <c r="Q92" s="742"/>
      <c r="R92" s="666"/>
      <c r="S92" s="666"/>
      <c r="T92" s="666"/>
      <c r="U92" s="666"/>
      <c r="V92" s="666"/>
      <c r="W92" s="666"/>
      <c r="X92" s="666"/>
      <c r="Y92" s="666"/>
      <c r="Z92" s="666"/>
      <c r="AA92" s="666"/>
      <c r="AB92" s="666"/>
      <c r="AC92" s="666"/>
      <c r="AD92" s="666"/>
      <c r="AE92" s="666"/>
      <c r="AF92" s="666"/>
      <c r="AG92" s="666"/>
      <c r="AH92" s="666"/>
      <c r="AI92" s="666"/>
      <c r="AJ92" s="666"/>
      <c r="AK92" s="666"/>
      <c r="AL92" s="666"/>
      <c r="AM92" s="666"/>
    </row>
    <row r="93" spans="1:39" ht="14.1" customHeight="1">
      <c r="A93" s="667">
        <f>A90</f>
        <v>1372655644</v>
      </c>
      <c r="B93" s="671"/>
      <c r="C93" s="671"/>
      <c r="D93" s="671"/>
      <c r="E93" s="671"/>
      <c r="F93" s="668"/>
      <c r="G93" s="742" t="s">
        <v>731</v>
      </c>
      <c r="H93" s="742"/>
      <c r="I93" s="742"/>
      <c r="J93" s="743">
        <f t="shared" si="3"/>
        <v>45748</v>
      </c>
      <c r="K93" s="744"/>
      <c r="L93" s="745"/>
      <c r="M93" s="742" t="s">
        <v>720</v>
      </c>
      <c r="N93" s="742"/>
      <c r="O93" s="742">
        <f>O90</f>
        <v>1</v>
      </c>
      <c r="P93" s="742"/>
      <c r="Q93" s="742"/>
      <c r="R93" s="666" t="str">
        <f>VLOOKUP(A93,Regularizare!$D:$U,9,FALSE)&amp;" ("&amp;VLOOKUP(A93,Regularizare!$D:$U,17,FALSE)&amp;")"</f>
        <v>61553 (citit)</v>
      </c>
      <c r="S93" s="666"/>
      <c r="T93" s="666"/>
      <c r="U93" s="666" t="str">
        <f>VLOOKUP(A93,Regularizare!$D:$U,10,FALSE)&amp;" ("&amp;VLOOKUP(A93,Regularizare!$D:$U,18,FALSE)&amp;")"</f>
        <v>61553 (estimat)</v>
      </c>
      <c r="V93" s="666"/>
      <c r="W93" s="666"/>
      <c r="X93" s="666" t="str">
        <f>_xlfn.CONCAT(VLOOKUP(A93,Regularizare!$D:$U,10,FALSE)-VLOOKUP(A93,Regularizare!$D:$U,9,FALSE)," (",VLOOKUP(A93,Regularizare!$D:$U,18,FALSE),")")</f>
        <v>0 (estimat)</v>
      </c>
      <c r="Y93" s="666"/>
      <c r="Z93" s="666"/>
      <c r="AA93" s="666">
        <f>IF(VLOOKUP(A93,Regularizare!$D:$Y,22,FALSE)=0,VLOOKUP(A93,Regularizare!$D:$Y,22,FALSE),(-1)*VLOOKUP(A93,Regularizare!$D:$Y,22,FALSE))</f>
        <v>0</v>
      </c>
      <c r="AB93" s="666"/>
      <c r="AC93" s="666"/>
      <c r="AD93" s="666" t="s">
        <v>69</v>
      </c>
      <c r="AE93" s="666"/>
      <c r="AF93" s="666">
        <f>AA93</f>
        <v>0</v>
      </c>
      <c r="AG93" s="666"/>
      <c r="AH93" s="666"/>
      <c r="AI93" s="666" t="str">
        <f>AI90</f>
        <v>-</v>
      </c>
      <c r="AJ93" s="666"/>
      <c r="AK93" s="666" t="str">
        <f>AK90</f>
        <v>-</v>
      </c>
      <c r="AL93" s="666"/>
      <c r="AM93" s="666"/>
    </row>
    <row r="94" spans="1:39" ht="8.4499999999999993" customHeight="1">
      <c r="A94" s="736"/>
      <c r="B94" s="737"/>
      <c r="C94" s="737"/>
      <c r="D94" s="737"/>
      <c r="E94" s="737"/>
      <c r="F94" s="738"/>
      <c r="G94" s="742"/>
      <c r="H94" s="742"/>
      <c r="I94" s="742"/>
      <c r="J94" s="736" t="str">
        <f t="shared" si="3"/>
        <v>-</v>
      </c>
      <c r="K94" s="737"/>
      <c r="L94" s="738"/>
      <c r="M94" s="742"/>
      <c r="N94" s="742"/>
      <c r="O94" s="742"/>
      <c r="P94" s="742"/>
      <c r="Q94" s="742"/>
      <c r="R94" s="666"/>
      <c r="S94" s="666"/>
      <c r="T94" s="666"/>
      <c r="U94" s="666"/>
      <c r="V94" s="666"/>
      <c r="W94" s="666"/>
      <c r="X94" s="666"/>
      <c r="Y94" s="666"/>
      <c r="Z94" s="666"/>
      <c r="AA94" s="666"/>
      <c r="AB94" s="666"/>
      <c r="AC94" s="666"/>
      <c r="AD94" s="666"/>
      <c r="AE94" s="666"/>
      <c r="AF94" s="666"/>
      <c r="AG94" s="666"/>
      <c r="AH94" s="666"/>
      <c r="AI94" s="666"/>
      <c r="AJ94" s="666"/>
      <c r="AK94" s="666"/>
      <c r="AL94" s="666"/>
      <c r="AM94" s="666"/>
    </row>
    <row r="95" spans="1:39" ht="14.1" customHeight="1">
      <c r="A95" s="669"/>
      <c r="B95" s="672"/>
      <c r="C95" s="672"/>
      <c r="D95" s="672"/>
      <c r="E95" s="672"/>
      <c r="F95" s="670"/>
      <c r="G95" s="742"/>
      <c r="H95" s="742"/>
      <c r="I95" s="742"/>
      <c r="J95" s="739">
        <f t="shared" si="3"/>
        <v>45777</v>
      </c>
      <c r="K95" s="740"/>
      <c r="L95" s="741"/>
      <c r="M95" s="742"/>
      <c r="N95" s="742"/>
      <c r="O95" s="742"/>
      <c r="P95" s="742"/>
      <c r="Q95" s="742"/>
      <c r="R95" s="666"/>
      <c r="S95" s="666"/>
      <c r="T95" s="666"/>
      <c r="U95" s="666"/>
      <c r="V95" s="666"/>
      <c r="W95" s="666"/>
      <c r="X95" s="666"/>
      <c r="Y95" s="666"/>
      <c r="Z95" s="666"/>
      <c r="AA95" s="666"/>
      <c r="AB95" s="666"/>
      <c r="AC95" s="666"/>
      <c r="AD95" s="666"/>
      <c r="AE95" s="666"/>
      <c r="AF95" s="666"/>
      <c r="AG95" s="666"/>
      <c r="AH95" s="666"/>
      <c r="AI95" s="666"/>
      <c r="AJ95" s="666"/>
      <c r="AK95" s="666"/>
      <c r="AL95" s="666"/>
      <c r="AM95" s="666"/>
    </row>
    <row r="96" spans="1:39" ht="14.1" customHeight="1">
      <c r="A96" s="667">
        <f>A93</f>
        <v>1372655644</v>
      </c>
      <c r="B96" s="671"/>
      <c r="C96" s="671"/>
      <c r="D96" s="671"/>
      <c r="E96" s="671"/>
      <c r="F96" s="668"/>
      <c r="G96" s="742" t="s">
        <v>730</v>
      </c>
      <c r="H96" s="742"/>
      <c r="I96" s="750"/>
      <c r="J96" s="743">
        <f>'Date masura OD'!$AK$5</f>
        <v>45748</v>
      </c>
      <c r="K96" s="744"/>
      <c r="L96" s="745"/>
      <c r="M96" s="747" t="s">
        <v>446</v>
      </c>
      <c r="N96" s="742"/>
      <c r="O96" s="742">
        <f>O93</f>
        <v>1</v>
      </c>
      <c r="P96" s="742"/>
      <c r="Q96" s="742"/>
      <c r="R96" s="666" t="str">
        <f>VLOOKUP(A96,Regularizare!$D:$AX,23,FALSE)&amp;" ("&amp;VLOOKUP(A96,Regularizare!$D:$AX,24,FALSE)&amp;")"</f>
        <v>3599670 (citit)</v>
      </c>
      <c r="S96" s="666"/>
      <c r="T96" s="666"/>
      <c r="U96" s="666" t="str">
        <f>VLOOKUP(A96,Regularizare!$D:$AX,25,FALSE)&amp;" ("&amp;VLOOKUP(A96,Regularizare!$D:$AX,26,FALSE)&amp;")"</f>
        <v>3707971 (citit)</v>
      </c>
      <c r="V96" s="666"/>
      <c r="W96" s="666"/>
      <c r="X96" s="666" t="str">
        <f>VLOOKUP(A96,Regularizare!$D:$AX,37,FALSE)&amp;" ("&amp;VLOOKUP(A96,Regularizare!$D:$AX,26,FALSE)&amp;")"</f>
        <v>108301 (citit)</v>
      </c>
      <c r="Y96" s="666"/>
      <c r="Z96" s="666"/>
      <c r="AA96" s="666">
        <f>VLOOKUP(A96,Regularizare!$D:$AX,37,FALSE)</f>
        <v>108301</v>
      </c>
      <c r="AB96" s="666"/>
      <c r="AC96" s="666"/>
      <c r="AD96" s="666" t="s">
        <v>69</v>
      </c>
      <c r="AE96" s="666"/>
      <c r="AF96" s="666">
        <f>AA96</f>
        <v>108301</v>
      </c>
      <c r="AG96" s="666"/>
      <c r="AH96" s="666"/>
      <c r="AI96" s="666" t="str">
        <f>AI93</f>
        <v>-</v>
      </c>
      <c r="AJ96" s="666"/>
      <c r="AK96" s="666" t="str">
        <f>AK93</f>
        <v>-</v>
      </c>
      <c r="AL96" s="666"/>
      <c r="AM96" s="666"/>
    </row>
    <row r="97" spans="1:39" ht="8.4499999999999993" customHeight="1">
      <c r="A97" s="736"/>
      <c r="B97" s="737"/>
      <c r="C97" s="737"/>
      <c r="D97" s="737"/>
      <c r="E97" s="737"/>
      <c r="F97" s="738"/>
      <c r="G97" s="742"/>
      <c r="H97" s="742"/>
      <c r="I97" s="750"/>
      <c r="J97" s="736" t="s">
        <v>69</v>
      </c>
      <c r="K97" s="737"/>
      <c r="L97" s="738"/>
      <c r="M97" s="747"/>
      <c r="N97" s="742"/>
      <c r="O97" s="742"/>
      <c r="P97" s="742"/>
      <c r="Q97" s="742"/>
      <c r="R97" s="666"/>
      <c r="S97" s="666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</row>
    <row r="98" spans="1:39" ht="14.1" customHeight="1">
      <c r="A98" s="669"/>
      <c r="B98" s="672"/>
      <c r="C98" s="672"/>
      <c r="D98" s="672"/>
      <c r="E98" s="672"/>
      <c r="F98" s="670"/>
      <c r="G98" s="742"/>
      <c r="H98" s="742"/>
      <c r="I98" s="750"/>
      <c r="J98" s="739">
        <f>'Date masura OD'!$AL$5</f>
        <v>45777</v>
      </c>
      <c r="K98" s="740"/>
      <c r="L98" s="741"/>
      <c r="M98" s="747"/>
      <c r="N98" s="742"/>
      <c r="O98" s="742"/>
      <c r="P98" s="742"/>
      <c r="Q98" s="742"/>
      <c r="R98" s="666"/>
      <c r="S98" s="666"/>
      <c r="T98" s="666"/>
      <c r="U98" s="666"/>
      <c r="V98" s="666"/>
      <c r="W98" s="666"/>
      <c r="X98" s="666"/>
      <c r="Y98" s="666"/>
      <c r="Z98" s="666"/>
      <c r="AA98" s="666"/>
      <c r="AB98" s="666"/>
      <c r="AC98" s="666"/>
      <c r="AD98" s="666"/>
      <c r="AE98" s="666"/>
      <c r="AF98" s="666"/>
      <c r="AG98" s="666"/>
      <c r="AH98" s="666"/>
      <c r="AI98" s="666"/>
      <c r="AJ98" s="666"/>
      <c r="AK98" s="666"/>
      <c r="AL98" s="666"/>
      <c r="AM98" s="666"/>
    </row>
    <row r="99" spans="1:39" ht="14.1" customHeight="1">
      <c r="A99" s="667">
        <f>A96</f>
        <v>1372655644</v>
      </c>
      <c r="B99" s="671"/>
      <c r="C99" s="671"/>
      <c r="D99" s="671"/>
      <c r="E99" s="671"/>
      <c r="F99" s="668"/>
      <c r="G99" s="742" t="s">
        <v>696</v>
      </c>
      <c r="H99" s="742"/>
      <c r="I99" s="742"/>
      <c r="J99" s="743">
        <f t="shared" ref="J99:J104" si="4">J96</f>
        <v>45748</v>
      </c>
      <c r="K99" s="744"/>
      <c r="L99" s="745"/>
      <c r="M99" s="742" t="s">
        <v>720</v>
      </c>
      <c r="N99" s="742"/>
      <c r="O99" s="742">
        <f>O96</f>
        <v>1</v>
      </c>
      <c r="P99" s="742"/>
      <c r="Q99" s="742"/>
      <c r="R99" s="666" t="str">
        <f>VLOOKUP(A99,Regularizare!$D:$AX,29,FALSE)&amp;" ("&amp;VLOOKUP(A99,Regularizare!$D:$AX,30,FALSE)&amp;")"</f>
        <v>94696 (citit)</v>
      </c>
      <c r="S99" s="666"/>
      <c r="T99" s="666"/>
      <c r="U99" s="666" t="str">
        <f>VLOOKUP(A99,Regularizare!$D:$AX,31,FALSE)&amp;" ("&amp;VLOOKUP(A99,Regularizare!$D:$AX,32,FALSE)&amp;")"</f>
        <v>98523 (citit)</v>
      </c>
      <c r="V99" s="666"/>
      <c r="W99" s="666"/>
      <c r="X99" s="666" t="str">
        <f>VLOOKUP(A99,Regularizare!$D:$AX,39,FALSE)&amp;" ("&amp;VLOOKUP(A99,Regularizare!$D:$AX,32,FALSE)&amp;")"</f>
        <v>3827 (citit)</v>
      </c>
      <c r="Y99" s="666"/>
      <c r="Z99" s="666"/>
      <c r="AA99" s="666">
        <f>VLOOKUP(A99,Regularizare!$D:$AX,44,FALSE)+VLOOKUP(A99,Regularizare!$D:$AX,45,FALSE)</f>
        <v>3827</v>
      </c>
      <c r="AB99" s="666"/>
      <c r="AC99" s="666"/>
      <c r="AD99" s="666" t="s">
        <v>69</v>
      </c>
      <c r="AE99" s="666"/>
      <c r="AF99" s="666">
        <f>AA99</f>
        <v>3827</v>
      </c>
      <c r="AG99" s="666"/>
      <c r="AH99" s="666"/>
      <c r="AI99" s="666" t="str">
        <f>AI96</f>
        <v>-</v>
      </c>
      <c r="AJ99" s="666"/>
      <c r="AK99" s="666" t="str">
        <f>AK96</f>
        <v>-</v>
      </c>
      <c r="AL99" s="666"/>
      <c r="AM99" s="666"/>
    </row>
    <row r="100" spans="1:39" ht="8.4499999999999993" customHeight="1">
      <c r="A100" s="736"/>
      <c r="B100" s="737"/>
      <c r="C100" s="737"/>
      <c r="D100" s="737"/>
      <c r="E100" s="737"/>
      <c r="F100" s="738"/>
      <c r="G100" s="742"/>
      <c r="H100" s="742"/>
      <c r="I100" s="742"/>
      <c r="J100" s="736" t="str">
        <f t="shared" si="4"/>
        <v>-</v>
      </c>
      <c r="K100" s="737"/>
      <c r="L100" s="738"/>
      <c r="M100" s="742"/>
      <c r="N100" s="742"/>
      <c r="O100" s="742"/>
      <c r="P100" s="742"/>
      <c r="Q100" s="742"/>
      <c r="R100" s="666"/>
      <c r="S100" s="666"/>
      <c r="T100" s="666"/>
      <c r="U100" s="666"/>
      <c r="V100" s="666"/>
      <c r="W100" s="666"/>
      <c r="X100" s="666"/>
      <c r="Y100" s="666"/>
      <c r="Z100" s="666"/>
      <c r="AA100" s="666"/>
      <c r="AB100" s="666"/>
      <c r="AC100" s="666"/>
      <c r="AD100" s="666"/>
      <c r="AE100" s="666"/>
      <c r="AF100" s="666"/>
      <c r="AG100" s="666"/>
      <c r="AH100" s="666"/>
      <c r="AI100" s="666"/>
      <c r="AJ100" s="666"/>
      <c r="AK100" s="666"/>
      <c r="AL100" s="666"/>
      <c r="AM100" s="666"/>
    </row>
    <row r="101" spans="1:39" ht="14.1" customHeight="1">
      <c r="A101" s="669"/>
      <c r="B101" s="672"/>
      <c r="C101" s="672"/>
      <c r="D101" s="672"/>
      <c r="E101" s="672"/>
      <c r="F101" s="670"/>
      <c r="G101" s="742"/>
      <c r="H101" s="742"/>
      <c r="I101" s="742"/>
      <c r="J101" s="739">
        <f t="shared" si="4"/>
        <v>45777</v>
      </c>
      <c r="K101" s="740"/>
      <c r="L101" s="741"/>
      <c r="M101" s="742"/>
      <c r="N101" s="742"/>
      <c r="O101" s="742"/>
      <c r="P101" s="742"/>
      <c r="Q101" s="742"/>
      <c r="R101" s="666"/>
      <c r="S101" s="666"/>
      <c r="T101" s="666"/>
      <c r="U101" s="666"/>
      <c r="V101" s="666"/>
      <c r="W101" s="666"/>
      <c r="X101" s="666"/>
      <c r="Y101" s="666"/>
      <c r="Z101" s="666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</row>
    <row r="102" spans="1:39" ht="14.1" customHeight="1">
      <c r="A102" s="667">
        <f>A99</f>
        <v>1372655644</v>
      </c>
      <c r="B102" s="671"/>
      <c r="C102" s="671"/>
      <c r="D102" s="671"/>
      <c r="E102" s="671"/>
      <c r="F102" s="668"/>
      <c r="G102" s="742" t="s">
        <v>731</v>
      </c>
      <c r="H102" s="742"/>
      <c r="I102" s="742"/>
      <c r="J102" s="743">
        <f t="shared" si="4"/>
        <v>45748</v>
      </c>
      <c r="K102" s="744"/>
      <c r="L102" s="745"/>
      <c r="M102" s="742" t="s">
        <v>720</v>
      </c>
      <c r="N102" s="742"/>
      <c r="O102" s="742">
        <f>O99</f>
        <v>1</v>
      </c>
      <c r="P102" s="742"/>
      <c r="Q102" s="742"/>
      <c r="R102" s="666" t="str">
        <f>VLOOKUP(A102,Regularizare!$D:$AX,33,FALSE)&amp;" ("&amp;VLOOKUP(A102,Regularizare!$D:$AX,34,FALSE)&amp;")"</f>
        <v>61553 (citit)</v>
      </c>
      <c r="S102" s="666"/>
      <c r="T102" s="666"/>
      <c r="U102" s="666" t="str">
        <f>VLOOKUP(A102,Regularizare!$D:$AX,35,FALSE)&amp;" ("&amp;VLOOKUP(A102,Regularizare!$D:$AX,36,FALSE)&amp;")"</f>
        <v>61553 (citit)</v>
      </c>
      <c r="V102" s="666"/>
      <c r="W102" s="666"/>
      <c r="X102" s="666" t="str">
        <f>VLOOKUP(A102,Regularizare!$D:$AX,40,FALSE)&amp;" ("&amp;VLOOKUP(A102,Regularizare!$D:$AX,36,FALSE)&amp;")"</f>
        <v>0 (citit)</v>
      </c>
      <c r="Y102" s="666"/>
      <c r="Z102" s="666"/>
      <c r="AA102" s="666">
        <f>VLOOKUP(A102,Regularizare!$D:$AX,46,FALSE)+VLOOKUP(A102,Regularizare!$D:$AX,47,FALSE)</f>
        <v>0</v>
      </c>
      <c r="AB102" s="666"/>
      <c r="AC102" s="666"/>
      <c r="AD102" s="666" t="s">
        <v>69</v>
      </c>
      <c r="AE102" s="666"/>
      <c r="AF102" s="666">
        <f>AA102</f>
        <v>0</v>
      </c>
      <c r="AG102" s="666"/>
      <c r="AH102" s="666"/>
      <c r="AI102" s="666" t="str">
        <f>AI99</f>
        <v>-</v>
      </c>
      <c r="AJ102" s="666"/>
      <c r="AK102" s="666" t="str">
        <f>AK99</f>
        <v>-</v>
      </c>
      <c r="AL102" s="666"/>
      <c r="AM102" s="666"/>
    </row>
    <row r="103" spans="1:39" ht="8.4499999999999993" customHeight="1">
      <c r="A103" s="736"/>
      <c r="B103" s="737"/>
      <c r="C103" s="737"/>
      <c r="D103" s="737"/>
      <c r="E103" s="737"/>
      <c r="F103" s="738"/>
      <c r="G103" s="742"/>
      <c r="H103" s="742"/>
      <c r="I103" s="742"/>
      <c r="J103" s="736" t="str">
        <f t="shared" si="4"/>
        <v>-</v>
      </c>
      <c r="K103" s="737"/>
      <c r="L103" s="738"/>
      <c r="M103" s="742"/>
      <c r="N103" s="742"/>
      <c r="O103" s="742"/>
      <c r="P103" s="742"/>
      <c r="Q103" s="742"/>
      <c r="R103" s="666"/>
      <c r="S103" s="666"/>
      <c r="T103" s="666"/>
      <c r="U103" s="666"/>
      <c r="V103" s="666"/>
      <c r="W103" s="666"/>
      <c r="X103" s="666"/>
      <c r="Y103" s="666"/>
      <c r="Z103" s="666"/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666"/>
      <c r="AL103" s="666"/>
      <c r="AM103" s="666"/>
    </row>
    <row r="104" spans="1:39" ht="14.1" customHeight="1">
      <c r="A104" s="669"/>
      <c r="B104" s="672"/>
      <c r="C104" s="672"/>
      <c r="D104" s="672"/>
      <c r="E104" s="672"/>
      <c r="F104" s="670"/>
      <c r="G104" s="742"/>
      <c r="H104" s="742"/>
      <c r="I104" s="742"/>
      <c r="J104" s="739">
        <f t="shared" si="4"/>
        <v>45777</v>
      </c>
      <c r="K104" s="740"/>
      <c r="L104" s="741"/>
      <c r="M104" s="742"/>
      <c r="N104" s="742"/>
      <c r="O104" s="742"/>
      <c r="P104" s="742"/>
      <c r="Q104" s="742"/>
      <c r="R104" s="666"/>
      <c r="S104" s="666"/>
      <c r="T104" s="666"/>
      <c r="U104" s="666"/>
      <c r="V104" s="666"/>
      <c r="W104" s="666"/>
      <c r="X104" s="666"/>
      <c r="Y104" s="666"/>
      <c r="Z104" s="666"/>
      <c r="AA104" s="666"/>
      <c r="AB104" s="666"/>
      <c r="AC104" s="666"/>
      <c r="AD104" s="666"/>
      <c r="AE104" s="666"/>
      <c r="AF104" s="666"/>
      <c r="AG104" s="666"/>
      <c r="AH104" s="666"/>
      <c r="AI104" s="666"/>
      <c r="AJ104" s="666"/>
      <c r="AK104" s="666"/>
      <c r="AL104" s="666"/>
      <c r="AM104" s="666"/>
    </row>
    <row r="105" spans="1:39" ht="14.1" customHeight="1">
      <c r="A105" s="667">
        <f>A102</f>
        <v>1372655644</v>
      </c>
      <c r="B105" s="671"/>
      <c r="C105" s="671"/>
      <c r="D105" s="671"/>
      <c r="E105" s="671"/>
      <c r="F105" s="668"/>
      <c r="G105" s="742" t="s">
        <v>730</v>
      </c>
      <c r="H105" s="742"/>
      <c r="I105" s="750"/>
      <c r="J105" s="743">
        <f>'Date masura OD'!$I$5</f>
        <v>45778</v>
      </c>
      <c r="K105" s="744"/>
      <c r="L105" s="745"/>
      <c r="M105" s="747" t="s">
        <v>446</v>
      </c>
      <c r="N105" s="742"/>
      <c r="O105" s="742">
        <f>O102</f>
        <v>1</v>
      </c>
      <c r="P105" s="742"/>
      <c r="Q105" s="742"/>
      <c r="R105" s="666" t="str">
        <f>U96</f>
        <v>3707971 (citit)</v>
      </c>
      <c r="S105" s="666"/>
      <c r="T105" s="666"/>
      <c r="U105" s="666" t="str">
        <f>VLOOKUP(A105,'Incrementare indexe'!$D:$M,4,FALSE)&amp;" (estimat)"</f>
        <v>3741435 (estimat)</v>
      </c>
      <c r="V105" s="666"/>
      <c r="W105" s="666"/>
      <c r="X105" s="666" t="str">
        <f>VLOOKUP(A105,'Incrementare indexe'!$D:$Q,11,FALSE)&amp;" (estimat)"</f>
        <v>33464 (estimat)</v>
      </c>
      <c r="Y105" s="666"/>
      <c r="Z105" s="666"/>
      <c r="AA105" s="666" t="s">
        <v>69</v>
      </c>
      <c r="AB105" s="666"/>
      <c r="AC105" s="666"/>
      <c r="AD105" s="666" t="s">
        <v>69</v>
      </c>
      <c r="AE105" s="666"/>
      <c r="AF105" s="666">
        <f>VLOOKUP(A105,'Incrementare indexe'!$D:$Q,11,FALSE)</f>
        <v>33464</v>
      </c>
      <c r="AG105" s="666"/>
      <c r="AH105" s="666"/>
      <c r="AI105" s="666">
        <f>J107-J105+1</f>
        <v>31</v>
      </c>
      <c r="AJ105" s="666"/>
      <c r="AK105" s="666">
        <f>ROUND(AF105/AI105,2)</f>
        <v>1079.48</v>
      </c>
      <c r="AL105" s="666"/>
      <c r="AM105" s="666"/>
    </row>
    <row r="106" spans="1:39" ht="8.4499999999999993" customHeight="1">
      <c r="A106" s="736"/>
      <c r="B106" s="737"/>
      <c r="C106" s="737"/>
      <c r="D106" s="737"/>
      <c r="E106" s="737"/>
      <c r="F106" s="738"/>
      <c r="G106" s="742"/>
      <c r="H106" s="742"/>
      <c r="I106" s="750"/>
      <c r="J106" s="736" t="s">
        <v>69</v>
      </c>
      <c r="K106" s="737"/>
      <c r="L106" s="738"/>
      <c r="M106" s="747"/>
      <c r="N106" s="742"/>
      <c r="O106" s="742"/>
      <c r="P106" s="742"/>
      <c r="Q106" s="742"/>
      <c r="R106" s="666"/>
      <c r="S106" s="666"/>
      <c r="T106" s="666"/>
      <c r="U106" s="666"/>
      <c r="V106" s="666"/>
      <c r="W106" s="666"/>
      <c r="X106" s="666"/>
      <c r="Y106" s="666"/>
      <c r="Z106" s="666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</row>
    <row r="107" spans="1:39" ht="14.1" customHeight="1">
      <c r="A107" s="669"/>
      <c r="B107" s="672"/>
      <c r="C107" s="672"/>
      <c r="D107" s="672"/>
      <c r="E107" s="672"/>
      <c r="F107" s="670"/>
      <c r="G107" s="742"/>
      <c r="H107" s="742"/>
      <c r="I107" s="750"/>
      <c r="J107" s="739">
        <f>'Date masura OD'!$J$5</f>
        <v>45808</v>
      </c>
      <c r="K107" s="740"/>
      <c r="L107" s="741"/>
      <c r="M107" s="747"/>
      <c r="N107" s="742"/>
      <c r="O107" s="742"/>
      <c r="P107" s="742"/>
      <c r="Q107" s="742"/>
      <c r="R107" s="666"/>
      <c r="S107" s="666"/>
      <c r="T107" s="666"/>
      <c r="U107" s="666"/>
      <c r="V107" s="666"/>
      <c r="W107" s="666"/>
      <c r="X107" s="666"/>
      <c r="Y107" s="666"/>
      <c r="Z107" s="666"/>
      <c r="AA107" s="666"/>
      <c r="AB107" s="666"/>
      <c r="AC107" s="666"/>
      <c r="AD107" s="666"/>
      <c r="AE107" s="666"/>
      <c r="AF107" s="666"/>
      <c r="AG107" s="666"/>
      <c r="AH107" s="666"/>
      <c r="AI107" s="666"/>
      <c r="AJ107" s="666"/>
      <c r="AK107" s="666"/>
      <c r="AL107" s="666"/>
      <c r="AM107" s="666"/>
    </row>
    <row r="108" spans="1:39" ht="14.1" customHeight="1">
      <c r="A108" s="667">
        <f>A105</f>
        <v>1372655644</v>
      </c>
      <c r="B108" s="671"/>
      <c r="C108" s="671"/>
      <c r="D108" s="671"/>
      <c r="E108" s="671"/>
      <c r="F108" s="668"/>
      <c r="G108" s="742" t="s">
        <v>696</v>
      </c>
      <c r="H108" s="742"/>
      <c r="I108" s="742"/>
      <c r="J108" s="743">
        <f t="shared" ref="J108:J113" si="5">J105</f>
        <v>45778</v>
      </c>
      <c r="K108" s="744"/>
      <c r="L108" s="745"/>
      <c r="M108" s="742" t="s">
        <v>720</v>
      </c>
      <c r="N108" s="742"/>
      <c r="O108" s="742">
        <f>O105</f>
        <v>1</v>
      </c>
      <c r="P108" s="742"/>
      <c r="Q108" s="742"/>
      <c r="R108" s="666" t="str">
        <f>U99</f>
        <v>98523 (citit)</v>
      </c>
      <c r="S108" s="666"/>
      <c r="T108" s="666"/>
      <c r="U108" s="666" t="str">
        <f>VLOOKUP(A108,'Incrementare indexe'!$D:$M,8,FALSE)&amp;" (estimat)"</f>
        <v>98523 (estimat)</v>
      </c>
      <c r="V108" s="666"/>
      <c r="W108" s="666"/>
      <c r="X108" s="666" t="str">
        <f>VLOOKUP(A108,'Incrementare indexe'!$D:$Q,12,FALSE)&amp;" (estimat)"</f>
        <v>0 (estimat)</v>
      </c>
      <c r="Y108" s="666"/>
      <c r="Z108" s="666"/>
      <c r="AA108" s="666" t="s">
        <v>69</v>
      </c>
      <c r="AB108" s="666"/>
      <c r="AC108" s="666"/>
      <c r="AD108" s="666" t="s">
        <v>69</v>
      </c>
      <c r="AE108" s="666"/>
      <c r="AF108" s="666">
        <f>VLOOKUP(A108,'Incrementare indexe'!$D:$Q,12,FALSE)</f>
        <v>0</v>
      </c>
      <c r="AG108" s="666"/>
      <c r="AH108" s="666"/>
      <c r="AI108" s="666">
        <f>AI105</f>
        <v>31</v>
      </c>
      <c r="AJ108" s="666"/>
      <c r="AK108" s="666">
        <f>ROUND(AF108/AI108,2)</f>
        <v>0</v>
      </c>
      <c r="AL108" s="666"/>
      <c r="AM108" s="666"/>
    </row>
    <row r="109" spans="1:39" ht="8.4499999999999993" customHeight="1">
      <c r="A109" s="736"/>
      <c r="B109" s="737"/>
      <c r="C109" s="737"/>
      <c r="D109" s="737"/>
      <c r="E109" s="737"/>
      <c r="F109" s="738"/>
      <c r="G109" s="742"/>
      <c r="H109" s="742"/>
      <c r="I109" s="742"/>
      <c r="J109" s="736" t="str">
        <f t="shared" si="5"/>
        <v>-</v>
      </c>
      <c r="K109" s="737"/>
      <c r="L109" s="738"/>
      <c r="M109" s="742"/>
      <c r="N109" s="742"/>
      <c r="O109" s="742"/>
      <c r="P109" s="742"/>
      <c r="Q109" s="742"/>
      <c r="R109" s="666"/>
      <c r="S109" s="666"/>
      <c r="T109" s="666"/>
      <c r="U109" s="666"/>
      <c r="V109" s="666"/>
      <c r="W109" s="666"/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666"/>
      <c r="AL109" s="666"/>
      <c r="AM109" s="666"/>
    </row>
    <row r="110" spans="1:39" ht="14.1" customHeight="1">
      <c r="A110" s="669"/>
      <c r="B110" s="672"/>
      <c r="C110" s="672"/>
      <c r="D110" s="672"/>
      <c r="E110" s="672"/>
      <c r="F110" s="670"/>
      <c r="G110" s="742"/>
      <c r="H110" s="742"/>
      <c r="I110" s="742"/>
      <c r="J110" s="739">
        <f t="shared" si="5"/>
        <v>45808</v>
      </c>
      <c r="K110" s="740"/>
      <c r="L110" s="741"/>
      <c r="M110" s="742"/>
      <c r="N110" s="742"/>
      <c r="O110" s="742"/>
      <c r="P110" s="742"/>
      <c r="Q110" s="742"/>
      <c r="R110" s="666"/>
      <c r="S110" s="666"/>
      <c r="T110" s="666"/>
      <c r="U110" s="666"/>
      <c r="V110" s="666"/>
      <c r="W110" s="666"/>
      <c r="X110" s="666"/>
      <c r="Y110" s="666"/>
      <c r="Z110" s="666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</row>
    <row r="111" spans="1:39" ht="14.1" customHeight="1">
      <c r="A111" s="667">
        <f>A108</f>
        <v>1372655644</v>
      </c>
      <c r="B111" s="671"/>
      <c r="C111" s="671"/>
      <c r="D111" s="671"/>
      <c r="E111" s="671"/>
      <c r="F111" s="668"/>
      <c r="G111" s="742" t="s">
        <v>731</v>
      </c>
      <c r="H111" s="742"/>
      <c r="I111" s="742"/>
      <c r="J111" s="743">
        <f t="shared" si="5"/>
        <v>45778</v>
      </c>
      <c r="K111" s="744"/>
      <c r="L111" s="745"/>
      <c r="M111" s="742" t="s">
        <v>720</v>
      </c>
      <c r="N111" s="742"/>
      <c r="O111" s="742">
        <f>O108</f>
        <v>1</v>
      </c>
      <c r="P111" s="742"/>
      <c r="Q111" s="742"/>
      <c r="R111" s="666" t="str">
        <f>U102</f>
        <v>61553 (citit)</v>
      </c>
      <c r="S111" s="666"/>
      <c r="T111" s="666"/>
      <c r="U111" s="666" t="str">
        <f>VLOOKUP(A111,'Incrementare indexe'!$D:$M,10,FALSE)&amp;" (estimat)"</f>
        <v>61553 (estimat)</v>
      </c>
      <c r="V111" s="666"/>
      <c r="W111" s="666"/>
      <c r="X111" s="666" t="str">
        <f>VLOOKUP(A111,'Incrementare indexe'!$D:$Q,13,FALSE)&amp;" (estimat)"</f>
        <v>0 (estimat)</v>
      </c>
      <c r="Y111" s="666"/>
      <c r="Z111" s="666"/>
      <c r="AA111" s="666" t="s">
        <v>69</v>
      </c>
      <c r="AB111" s="666"/>
      <c r="AC111" s="666"/>
      <c r="AD111" s="666" t="s">
        <v>69</v>
      </c>
      <c r="AE111" s="666"/>
      <c r="AF111" s="666">
        <f>VLOOKUP(A111,'Incrementare indexe'!$D:$Q,13,FALSE)</f>
        <v>0</v>
      </c>
      <c r="AG111" s="666"/>
      <c r="AH111" s="666"/>
      <c r="AI111" s="666">
        <f>AI108</f>
        <v>31</v>
      </c>
      <c r="AJ111" s="666"/>
      <c r="AK111" s="666">
        <f>ROUND(AF111/AI111,2)</f>
        <v>0</v>
      </c>
      <c r="AL111" s="666"/>
      <c r="AM111" s="666"/>
    </row>
    <row r="112" spans="1:39" ht="8.4499999999999993" customHeight="1">
      <c r="A112" s="736"/>
      <c r="B112" s="737"/>
      <c r="C112" s="737"/>
      <c r="D112" s="737"/>
      <c r="E112" s="737"/>
      <c r="F112" s="738"/>
      <c r="G112" s="742"/>
      <c r="H112" s="742"/>
      <c r="I112" s="742"/>
      <c r="J112" s="736" t="str">
        <f t="shared" si="5"/>
        <v>-</v>
      </c>
      <c r="K112" s="737"/>
      <c r="L112" s="738"/>
      <c r="M112" s="742"/>
      <c r="N112" s="742"/>
      <c r="O112" s="742"/>
      <c r="P112" s="742"/>
      <c r="Q112" s="742"/>
      <c r="R112" s="666"/>
      <c r="S112" s="666"/>
      <c r="T112" s="666"/>
      <c r="U112" s="666"/>
      <c r="V112" s="666"/>
      <c r="W112" s="666"/>
      <c r="X112" s="666"/>
      <c r="Y112" s="666"/>
      <c r="Z112" s="666"/>
      <c r="AA112" s="666"/>
      <c r="AB112" s="666"/>
      <c r="AC112" s="666"/>
      <c r="AD112" s="666"/>
      <c r="AE112" s="666"/>
      <c r="AF112" s="666"/>
      <c r="AG112" s="666"/>
      <c r="AH112" s="666"/>
      <c r="AI112" s="666"/>
      <c r="AJ112" s="666"/>
      <c r="AK112" s="666"/>
      <c r="AL112" s="666"/>
      <c r="AM112" s="666"/>
    </row>
    <row r="113" spans="1:39" ht="14.1" customHeight="1">
      <c r="A113" s="669"/>
      <c r="B113" s="672"/>
      <c r="C113" s="672"/>
      <c r="D113" s="672"/>
      <c r="E113" s="672"/>
      <c r="F113" s="670"/>
      <c r="G113" s="742"/>
      <c r="H113" s="742"/>
      <c r="I113" s="742"/>
      <c r="J113" s="739">
        <f t="shared" si="5"/>
        <v>45808</v>
      </c>
      <c r="K113" s="740"/>
      <c r="L113" s="741"/>
      <c r="M113" s="742"/>
      <c r="N113" s="742"/>
      <c r="O113" s="742"/>
      <c r="P113" s="742"/>
      <c r="Q113" s="742"/>
      <c r="R113" s="666"/>
      <c r="S113" s="666"/>
      <c r="T113" s="666"/>
      <c r="U113" s="666"/>
      <c r="V113" s="666"/>
      <c r="W113" s="666"/>
      <c r="X113" s="666"/>
      <c r="Y113" s="666"/>
      <c r="Z113" s="666"/>
      <c r="AA113" s="666"/>
      <c r="AB113" s="666"/>
      <c r="AC113" s="666"/>
      <c r="AD113" s="666"/>
      <c r="AE113" s="666"/>
      <c r="AF113" s="666"/>
      <c r="AG113" s="666"/>
      <c r="AH113" s="666"/>
      <c r="AI113" s="666"/>
      <c r="AJ113" s="666"/>
      <c r="AK113" s="666"/>
      <c r="AL113" s="666"/>
      <c r="AM113" s="666"/>
    </row>
    <row r="114" spans="1:39" ht="14.1" customHeight="1"/>
    <row r="115" spans="1:39" ht="14.1" customHeight="1"/>
    <row r="116" spans="1:39" ht="14.1" customHeight="1">
      <c r="A116" s="721" t="s">
        <v>1196</v>
      </c>
      <c r="B116" s="722"/>
      <c r="C116" s="722"/>
      <c r="D116" s="722"/>
      <c r="E116" s="722"/>
      <c r="F116" s="722"/>
      <c r="G116" s="722"/>
      <c r="H116" s="722"/>
      <c r="I116" s="722"/>
      <c r="J116" s="722"/>
      <c r="K116" s="722"/>
      <c r="L116" s="722"/>
      <c r="M116" s="722"/>
      <c r="N116" s="722"/>
      <c r="O116" s="722"/>
      <c r="P116" s="722"/>
      <c r="Q116" s="722"/>
      <c r="R116" s="722"/>
      <c r="S116" s="722"/>
      <c r="T116" s="722"/>
      <c r="U116" s="722"/>
      <c r="V116" s="722"/>
      <c r="W116" s="722"/>
      <c r="X116" s="722"/>
      <c r="Y116" s="722"/>
      <c r="Z116" s="722"/>
      <c r="AA116" s="722"/>
      <c r="AB116" s="722"/>
      <c r="AC116" s="722"/>
      <c r="AD116" s="722"/>
      <c r="AE116" s="722"/>
      <c r="AF116" s="722"/>
      <c r="AG116" s="722"/>
      <c r="AH116" s="723"/>
      <c r="AI116" s="650" t="s">
        <v>695</v>
      </c>
      <c r="AJ116" s="650"/>
      <c r="AK116" s="650"/>
      <c r="AL116" s="650"/>
      <c r="AM116" s="650"/>
    </row>
    <row r="117" spans="1:39" ht="14.1" customHeight="1">
      <c r="A117" s="649" t="s">
        <v>746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514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50" t="str">
        <f>_xlfn.CONCAT(AI82,"/PV")</f>
        <v>RGSC_1.2/PV</v>
      </c>
      <c r="AJ117" s="650"/>
      <c r="AK117" s="650"/>
      <c r="AL117" s="650"/>
      <c r="AM117" s="650"/>
    </row>
    <row r="118" spans="1:39" ht="14.1" customHeight="1">
      <c r="A118" s="649" t="s">
        <v>747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1087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</row>
    <row r="119" spans="1:39" ht="14.1" customHeight="1">
      <c r="A119" s="742" t="s">
        <v>697</v>
      </c>
      <c r="B119" s="742"/>
      <c r="C119" s="742"/>
      <c r="D119" s="742"/>
      <c r="E119" s="742"/>
      <c r="F119" s="742"/>
      <c r="G119" s="666" t="s">
        <v>713</v>
      </c>
      <c r="H119" s="666"/>
      <c r="I119" s="666"/>
      <c r="J119" s="666" t="s">
        <v>714</v>
      </c>
      <c r="K119" s="666"/>
      <c r="L119" s="666"/>
      <c r="M119" s="742" t="s">
        <v>519</v>
      </c>
      <c r="N119" s="742"/>
      <c r="O119" s="742" t="s">
        <v>715</v>
      </c>
      <c r="P119" s="742"/>
      <c r="Q119" s="742"/>
      <c r="R119" s="666" t="s">
        <v>732</v>
      </c>
      <c r="S119" s="666"/>
      <c r="T119" s="666"/>
      <c r="U119" s="666" t="s">
        <v>734</v>
      </c>
      <c r="V119" s="666"/>
      <c r="W119" s="666"/>
      <c r="X119" s="666" t="s">
        <v>1085</v>
      </c>
      <c r="Y119" s="666"/>
      <c r="Z119" s="666"/>
      <c r="AA119" s="666" t="s">
        <v>1086</v>
      </c>
      <c r="AB119" s="666"/>
      <c r="AC119" s="666"/>
      <c r="AD119" s="666" t="s">
        <v>717</v>
      </c>
      <c r="AE119" s="666"/>
      <c r="AF119" s="666" t="s">
        <v>718</v>
      </c>
      <c r="AG119" s="666"/>
      <c r="AH119" s="666"/>
      <c r="AI119" s="666" t="s">
        <v>719</v>
      </c>
      <c r="AJ119" s="666"/>
      <c r="AK119" s="666" t="s">
        <v>733</v>
      </c>
      <c r="AL119" s="666"/>
      <c r="AM119" s="666"/>
    </row>
    <row r="120" spans="1:39" ht="14.1" customHeight="1">
      <c r="A120" s="742"/>
      <c r="B120" s="742"/>
      <c r="C120" s="742"/>
      <c r="D120" s="742"/>
      <c r="E120" s="742"/>
      <c r="F120" s="742"/>
      <c r="G120" s="666"/>
      <c r="H120" s="666"/>
      <c r="I120" s="666"/>
      <c r="J120" s="666"/>
      <c r="K120" s="666"/>
      <c r="L120" s="666"/>
      <c r="M120" s="742"/>
      <c r="N120" s="742"/>
      <c r="O120" s="742"/>
      <c r="P120" s="742"/>
      <c r="Q120" s="742"/>
      <c r="R120" s="666"/>
      <c r="S120" s="666"/>
      <c r="T120" s="666"/>
      <c r="U120" s="666"/>
      <c r="V120" s="666"/>
      <c r="W120" s="666"/>
      <c r="X120" s="666"/>
      <c r="Y120" s="666"/>
      <c r="Z120" s="666"/>
      <c r="AA120" s="666"/>
      <c r="AB120" s="666"/>
      <c r="AC120" s="666"/>
      <c r="AD120" s="666"/>
      <c r="AE120" s="666"/>
      <c r="AF120" s="666"/>
      <c r="AG120" s="666"/>
      <c r="AH120" s="666"/>
      <c r="AI120" s="666"/>
      <c r="AJ120" s="666"/>
      <c r="AK120" s="666"/>
      <c r="AL120" s="666"/>
      <c r="AM120" s="666"/>
    </row>
    <row r="121" spans="1:39" ht="14.1" customHeight="1">
      <c r="A121" s="742"/>
      <c r="B121" s="742"/>
      <c r="C121" s="742"/>
      <c r="D121" s="742"/>
      <c r="E121" s="742"/>
      <c r="F121" s="742"/>
      <c r="G121" s="666"/>
      <c r="H121" s="666"/>
      <c r="I121" s="666"/>
      <c r="J121" s="748"/>
      <c r="K121" s="748"/>
      <c r="L121" s="748"/>
      <c r="M121" s="742"/>
      <c r="N121" s="742"/>
      <c r="O121" s="742"/>
      <c r="P121" s="742"/>
      <c r="Q121" s="742"/>
      <c r="R121" s="666"/>
      <c r="S121" s="666"/>
      <c r="T121" s="666"/>
      <c r="U121" s="666"/>
      <c r="V121" s="666"/>
      <c r="W121" s="666"/>
      <c r="X121" s="666"/>
      <c r="Y121" s="666"/>
      <c r="Z121" s="666"/>
      <c r="AA121" s="666"/>
      <c r="AB121" s="666"/>
      <c r="AC121" s="666"/>
      <c r="AD121" s="666"/>
      <c r="AE121" s="666"/>
      <c r="AF121" s="666"/>
      <c r="AG121" s="666"/>
      <c r="AH121" s="666"/>
      <c r="AI121" s="666"/>
      <c r="AJ121" s="666"/>
      <c r="AK121" s="666"/>
      <c r="AL121" s="666"/>
      <c r="AM121" s="666"/>
    </row>
    <row r="122" spans="1:39" ht="14.1" customHeight="1">
      <c r="A122" s="667">
        <f>VLOOKUP(AI117,'Incrementare indexe'!$B:$I,3,FALSE)</f>
        <v>1371628684</v>
      </c>
      <c r="B122" s="671"/>
      <c r="C122" s="671"/>
      <c r="D122" s="671"/>
      <c r="E122" s="671"/>
      <c r="F122" s="668"/>
      <c r="G122" s="666" t="s">
        <v>1088</v>
      </c>
      <c r="H122" s="666"/>
      <c r="I122" s="746"/>
      <c r="J122" s="743">
        <f>'Date masura OD'!$I$5</f>
        <v>45778</v>
      </c>
      <c r="K122" s="744"/>
      <c r="L122" s="745"/>
      <c r="M122" s="747" t="s">
        <v>446</v>
      </c>
      <c r="N122" s="742"/>
      <c r="O122" s="742">
        <f>VLOOKUP(AI117,'Incrementare indexe'!$B:$I,4,FALSE)</f>
        <v>1</v>
      </c>
      <c r="P122" s="742"/>
      <c r="Q122" s="742"/>
      <c r="R122" s="666" t="str">
        <f>VLOOKUP(AI117,'Incrementare indexe'!$B:$I,7,FALSE)&amp;" (citit)"</f>
        <v>2221679 (citit)</v>
      </c>
      <c r="S122" s="666"/>
      <c r="T122" s="666"/>
      <c r="U122" s="666" t="str">
        <f>VLOOKUP(AI117,'Incrementare indexe'!$B:$I,8,FALSE)&amp;" (citit)"</f>
        <v>2390246 (citit)</v>
      </c>
      <c r="V122" s="666"/>
      <c r="W122" s="666"/>
      <c r="X122" s="666" t="str">
        <f>(VLOOKUP(AI117,'Incrementare indexe'!$B:$I,8,FALSE)-VLOOKUP(AI117,'Incrementare indexe'!$B:$I,7,FALSE))&amp;" (citit)"</f>
        <v>168567 (citit)</v>
      </c>
      <c r="Y122" s="666"/>
      <c r="Z122" s="666"/>
      <c r="AA122" s="666" t="s">
        <v>69</v>
      </c>
      <c r="AB122" s="666"/>
      <c r="AC122" s="666"/>
      <c r="AD122" s="666" t="s">
        <v>69</v>
      </c>
      <c r="AE122" s="666"/>
      <c r="AF122" s="666">
        <f>(VLOOKUP(AI117,'Incrementare indexe'!$B:$I,8,FALSE)-VLOOKUP(AI117,'Incrementare indexe'!$B:$I,7,FALSE))</f>
        <v>168567</v>
      </c>
      <c r="AG122" s="666"/>
      <c r="AH122" s="666"/>
      <c r="AI122" s="666">
        <f>J124-J122+1</f>
        <v>31</v>
      </c>
      <c r="AJ122" s="666"/>
      <c r="AK122" s="666">
        <f>ROUND(AF122/AI122,2)</f>
        <v>5437.65</v>
      </c>
      <c r="AL122" s="666"/>
      <c r="AM122" s="666"/>
    </row>
    <row r="123" spans="1:39" ht="14.1" customHeight="1">
      <c r="A123" s="736"/>
      <c r="B123" s="737"/>
      <c r="C123" s="737"/>
      <c r="D123" s="737"/>
      <c r="E123" s="737"/>
      <c r="F123" s="738"/>
      <c r="G123" s="666"/>
      <c r="H123" s="666"/>
      <c r="I123" s="746"/>
      <c r="J123" s="736" t="s">
        <v>69</v>
      </c>
      <c r="K123" s="737"/>
      <c r="L123" s="738"/>
      <c r="M123" s="747"/>
      <c r="N123" s="742"/>
      <c r="O123" s="742"/>
      <c r="P123" s="742"/>
      <c r="Q123" s="742"/>
      <c r="R123" s="666"/>
      <c r="S123" s="666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666"/>
      <c r="AL123" s="666"/>
      <c r="AM123" s="666"/>
    </row>
    <row r="124" spans="1:39" ht="14.1" customHeight="1">
      <c r="A124" s="669"/>
      <c r="B124" s="672"/>
      <c r="C124" s="672"/>
      <c r="D124" s="672"/>
      <c r="E124" s="672"/>
      <c r="F124" s="670"/>
      <c r="G124" s="666"/>
      <c r="H124" s="666"/>
      <c r="I124" s="746"/>
      <c r="J124" s="739">
        <f>'Date masura OD'!$J$5</f>
        <v>45808</v>
      </c>
      <c r="K124" s="740"/>
      <c r="L124" s="741"/>
      <c r="M124" s="747"/>
      <c r="N124" s="742"/>
      <c r="O124" s="742"/>
      <c r="P124" s="742"/>
      <c r="Q124" s="742"/>
      <c r="R124" s="666"/>
      <c r="S124" s="666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666"/>
      <c r="AL124" s="666"/>
      <c r="AM124" s="666"/>
    </row>
    <row r="125" spans="1:39" ht="14.1" customHeight="1">
      <c r="A125" s="667">
        <f>A122</f>
        <v>1371628684</v>
      </c>
      <c r="B125" s="671"/>
      <c r="C125" s="671"/>
      <c r="D125" s="671"/>
      <c r="E125" s="671"/>
      <c r="F125" s="668"/>
      <c r="G125" s="742" t="s">
        <v>696</v>
      </c>
      <c r="H125" s="742"/>
      <c r="I125" s="742"/>
      <c r="J125" s="743">
        <f t="shared" ref="J125:J130" si="6">J122</f>
        <v>45778</v>
      </c>
      <c r="K125" s="744"/>
      <c r="L125" s="745"/>
      <c r="M125" s="742" t="s">
        <v>720</v>
      </c>
      <c r="N125" s="742"/>
      <c r="O125" s="742">
        <f>O122</f>
        <v>1</v>
      </c>
      <c r="P125" s="742"/>
      <c r="Q125" s="742"/>
      <c r="R125" s="666" t="s">
        <v>1089</v>
      </c>
      <c r="S125" s="666"/>
      <c r="T125" s="666"/>
      <c r="U125" s="666" t="s">
        <v>1089</v>
      </c>
      <c r="V125" s="666"/>
      <c r="W125" s="666"/>
      <c r="X125" s="666" t="s">
        <v>1089</v>
      </c>
      <c r="Y125" s="666"/>
      <c r="Z125" s="666"/>
      <c r="AA125" s="666" t="s">
        <v>69</v>
      </c>
      <c r="AB125" s="666"/>
      <c r="AC125" s="666"/>
      <c r="AD125" s="666" t="s">
        <v>69</v>
      </c>
      <c r="AE125" s="666"/>
      <c r="AF125" s="666">
        <v>0</v>
      </c>
      <c r="AG125" s="666"/>
      <c r="AH125" s="666"/>
      <c r="AI125" s="666">
        <f>AI122</f>
        <v>31</v>
      </c>
      <c r="AJ125" s="666"/>
      <c r="AK125" s="666">
        <f>ROUND(AF125/AI125,2)</f>
        <v>0</v>
      </c>
      <c r="AL125" s="666"/>
      <c r="AM125" s="666"/>
    </row>
    <row r="126" spans="1:39" ht="14.1" customHeight="1">
      <c r="A126" s="736"/>
      <c r="B126" s="737"/>
      <c r="C126" s="737"/>
      <c r="D126" s="737"/>
      <c r="E126" s="737"/>
      <c r="F126" s="738"/>
      <c r="G126" s="742"/>
      <c r="H126" s="742"/>
      <c r="I126" s="742"/>
      <c r="J126" s="736" t="str">
        <f t="shared" si="6"/>
        <v>-</v>
      </c>
      <c r="K126" s="737"/>
      <c r="L126" s="738"/>
      <c r="M126" s="742"/>
      <c r="N126" s="742"/>
      <c r="O126" s="742"/>
      <c r="P126" s="742"/>
      <c r="Q126" s="742"/>
      <c r="R126" s="666"/>
      <c r="S126" s="666"/>
      <c r="T126" s="666"/>
      <c r="U126" s="666"/>
      <c r="V126" s="666"/>
      <c r="W126" s="666"/>
      <c r="X126" s="666"/>
      <c r="Y126" s="666"/>
      <c r="Z126" s="666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</row>
    <row r="127" spans="1:39" ht="14.1" customHeight="1">
      <c r="A127" s="669"/>
      <c r="B127" s="672"/>
      <c r="C127" s="672"/>
      <c r="D127" s="672"/>
      <c r="E127" s="672"/>
      <c r="F127" s="670"/>
      <c r="G127" s="742"/>
      <c r="H127" s="742"/>
      <c r="I127" s="742"/>
      <c r="J127" s="739">
        <f t="shared" si="6"/>
        <v>45808</v>
      </c>
      <c r="K127" s="740"/>
      <c r="L127" s="741"/>
      <c r="M127" s="742"/>
      <c r="N127" s="742"/>
      <c r="O127" s="742"/>
      <c r="P127" s="742"/>
      <c r="Q127" s="742"/>
      <c r="R127" s="666"/>
      <c r="S127" s="666"/>
      <c r="T127" s="666"/>
      <c r="U127" s="666"/>
      <c r="V127" s="666"/>
      <c r="W127" s="666"/>
      <c r="X127" s="666"/>
      <c r="Y127" s="666"/>
      <c r="Z127" s="666"/>
      <c r="AA127" s="666"/>
      <c r="AB127" s="666"/>
      <c r="AC127" s="666"/>
      <c r="AD127" s="666"/>
      <c r="AE127" s="666"/>
      <c r="AF127" s="666"/>
      <c r="AG127" s="666"/>
      <c r="AH127" s="666"/>
      <c r="AI127" s="666"/>
      <c r="AJ127" s="666"/>
      <c r="AK127" s="666"/>
      <c r="AL127" s="666"/>
      <c r="AM127" s="666"/>
    </row>
    <row r="128" spans="1:39" ht="14.1" customHeight="1">
      <c r="A128" s="667">
        <f>A125</f>
        <v>1371628684</v>
      </c>
      <c r="B128" s="671"/>
      <c r="C128" s="671"/>
      <c r="D128" s="671"/>
      <c r="E128" s="671"/>
      <c r="F128" s="668"/>
      <c r="G128" s="742" t="s">
        <v>731</v>
      </c>
      <c r="H128" s="742"/>
      <c r="I128" s="742"/>
      <c r="J128" s="743">
        <f t="shared" si="6"/>
        <v>45778</v>
      </c>
      <c r="K128" s="744"/>
      <c r="L128" s="745"/>
      <c r="M128" s="742" t="s">
        <v>720</v>
      </c>
      <c r="N128" s="742"/>
      <c r="O128" s="742">
        <f>O125</f>
        <v>1</v>
      </c>
      <c r="P128" s="742"/>
      <c r="Q128" s="742"/>
      <c r="R128" s="666" t="s">
        <v>1089</v>
      </c>
      <c r="S128" s="666"/>
      <c r="T128" s="666"/>
      <c r="U128" s="666" t="s">
        <v>1089</v>
      </c>
      <c r="V128" s="666"/>
      <c r="W128" s="666"/>
      <c r="X128" s="666" t="s">
        <v>1089</v>
      </c>
      <c r="Y128" s="666"/>
      <c r="Z128" s="666"/>
      <c r="AA128" s="666" t="s">
        <v>69</v>
      </c>
      <c r="AB128" s="666"/>
      <c r="AC128" s="666"/>
      <c r="AD128" s="666" t="s">
        <v>69</v>
      </c>
      <c r="AE128" s="666"/>
      <c r="AF128" s="666">
        <v>0</v>
      </c>
      <c r="AG128" s="666"/>
      <c r="AH128" s="666"/>
      <c r="AI128" s="666">
        <f>AI125</f>
        <v>31</v>
      </c>
      <c r="AJ128" s="666"/>
      <c r="AK128" s="666">
        <f>ROUND(AF128/AI128,2)</f>
        <v>0</v>
      </c>
      <c r="AL128" s="666"/>
      <c r="AM128" s="666"/>
    </row>
    <row r="129" spans="1:39" ht="14.1" customHeight="1">
      <c r="A129" s="736"/>
      <c r="B129" s="737"/>
      <c r="C129" s="737"/>
      <c r="D129" s="737"/>
      <c r="E129" s="737"/>
      <c r="F129" s="738"/>
      <c r="G129" s="742"/>
      <c r="H129" s="742"/>
      <c r="I129" s="742"/>
      <c r="J129" s="736" t="str">
        <f t="shared" si="6"/>
        <v>-</v>
      </c>
      <c r="K129" s="737"/>
      <c r="L129" s="738"/>
      <c r="M129" s="742"/>
      <c r="N129" s="742"/>
      <c r="O129" s="742"/>
      <c r="P129" s="742"/>
      <c r="Q129" s="742"/>
      <c r="R129" s="666"/>
      <c r="S129" s="666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666"/>
      <c r="AL129" s="666"/>
      <c r="AM129" s="666"/>
    </row>
    <row r="130" spans="1:39" ht="14.1" customHeight="1">
      <c r="A130" s="669"/>
      <c r="B130" s="672"/>
      <c r="C130" s="672"/>
      <c r="D130" s="672"/>
      <c r="E130" s="672"/>
      <c r="F130" s="670"/>
      <c r="G130" s="742"/>
      <c r="H130" s="742"/>
      <c r="I130" s="742"/>
      <c r="J130" s="739">
        <f t="shared" si="6"/>
        <v>45808</v>
      </c>
      <c r="K130" s="740"/>
      <c r="L130" s="741"/>
      <c r="M130" s="742"/>
      <c r="N130" s="742"/>
      <c r="O130" s="742"/>
      <c r="P130" s="742"/>
      <c r="Q130" s="742"/>
      <c r="R130" s="666"/>
      <c r="S130" s="666"/>
      <c r="T130" s="666"/>
      <c r="U130" s="666"/>
      <c r="V130" s="666"/>
      <c r="W130" s="666"/>
      <c r="X130" s="666"/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666"/>
      <c r="AL130" s="666"/>
      <c r="AM130" s="666"/>
    </row>
    <row r="131" spans="1:39" ht="14.1" customHeight="1"/>
    <row r="132" spans="1:39" ht="14.1" customHeight="1"/>
    <row r="133" spans="1:39" ht="14.1" customHeight="1"/>
    <row r="134" spans="1:39" ht="14.1" customHeight="1">
      <c r="A134" s="695" t="s">
        <v>858</v>
      </c>
      <c r="B134" s="695"/>
      <c r="C134" s="695"/>
      <c r="D134" s="695"/>
      <c r="E134" s="695"/>
      <c r="F134" s="695"/>
      <c r="G134" s="695"/>
      <c r="H134" s="695" t="str">
        <f>VLOOKUP($AA$16,'Date SPV'!$B:$H,4,FALSE)</f>
        <v>Bulevardul George Cosbuc, nr. 251, Galati, jud. Galati</v>
      </c>
      <c r="I134" s="695"/>
      <c r="J134" s="695"/>
      <c r="K134" s="695"/>
      <c r="L134" s="695"/>
      <c r="M134" s="695"/>
      <c r="N134" s="695"/>
      <c r="O134" s="695"/>
      <c r="P134" s="695"/>
      <c r="Q134" s="695"/>
      <c r="R134" s="695"/>
      <c r="S134" s="695"/>
      <c r="T134" s="695"/>
      <c r="U134" s="695"/>
      <c r="V134" s="695"/>
      <c r="W134" s="695"/>
      <c r="X134" s="695"/>
      <c r="Y134" s="695"/>
      <c r="Z134" s="695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</row>
    <row r="135" spans="1:39" ht="14.1" customHeight="1">
      <c r="A135" s="695"/>
      <c r="B135" s="695"/>
      <c r="C135" s="695"/>
      <c r="D135" s="695"/>
      <c r="E135" s="695"/>
      <c r="F135" s="695"/>
      <c r="G135" s="695"/>
      <c r="H135" s="695"/>
      <c r="I135" s="695"/>
      <c r="J135" s="695"/>
      <c r="K135" s="695"/>
      <c r="L135" s="695"/>
      <c r="M135" s="695"/>
      <c r="N135" s="695"/>
      <c r="O135" s="695"/>
      <c r="P135" s="695"/>
      <c r="Q135" s="695"/>
      <c r="R135" s="695"/>
      <c r="S135" s="695"/>
      <c r="T135" s="695"/>
      <c r="U135" s="695"/>
      <c r="V135" s="695"/>
      <c r="W135" s="695"/>
      <c r="X135" s="695"/>
      <c r="Y135" s="695"/>
      <c r="Z135" s="695"/>
      <c r="AA135" s="695"/>
      <c r="AB135" s="695"/>
      <c r="AC135" s="695"/>
      <c r="AD135" s="695"/>
      <c r="AE135" s="695"/>
      <c r="AF135" s="695"/>
      <c r="AG135" s="695"/>
      <c r="AH135" s="695"/>
      <c r="AI135" s="695"/>
      <c r="AJ135" s="695"/>
      <c r="AK135" s="695"/>
      <c r="AL135" s="695"/>
      <c r="AM135" s="695"/>
    </row>
    <row r="136" spans="1:39" ht="14.1" customHeight="1">
      <c r="A136" s="695" t="s">
        <v>859</v>
      </c>
      <c r="B136" s="695"/>
      <c r="C136" s="695"/>
      <c r="D136" s="695"/>
      <c r="E136" s="695"/>
      <c r="F136" s="695"/>
      <c r="G136" s="695"/>
      <c r="H136" s="712">
        <f>VLOOKUP(AA136,'Date masura OD'!$G:$BE,51,FALSE)</f>
        <v>5000579859</v>
      </c>
      <c r="I136" s="712"/>
      <c r="J136" s="712"/>
      <c r="K136" s="712"/>
      <c r="L136" s="712"/>
      <c r="M136" s="712"/>
      <c r="N136" s="712"/>
      <c r="O136" s="712"/>
      <c r="P136" s="712"/>
      <c r="Q136" s="712"/>
      <c r="R136" s="712"/>
      <c r="S136" s="712"/>
      <c r="T136" s="712"/>
      <c r="U136" s="712"/>
      <c r="V136" s="712"/>
      <c r="W136" s="712" t="s">
        <v>860</v>
      </c>
      <c r="X136" s="712"/>
      <c r="Y136" s="712"/>
      <c r="Z136" s="712"/>
      <c r="AA136" s="712" t="str">
        <f>_xlfn.CONCAT($AA$16,"_",2)</f>
        <v>RGSC_2</v>
      </c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</row>
    <row r="137" spans="1:39" ht="14.1" customHeight="1">
      <c r="A137" s="695"/>
      <c r="B137" s="695"/>
      <c r="C137" s="695"/>
      <c r="D137" s="695"/>
      <c r="E137" s="695"/>
      <c r="F137" s="695"/>
      <c r="G137" s="695"/>
      <c r="H137" s="712"/>
      <c r="I137" s="712"/>
      <c r="J137" s="712"/>
      <c r="K137" s="712"/>
      <c r="L137" s="712"/>
      <c r="M137" s="712"/>
      <c r="N137" s="712"/>
      <c r="O137" s="712"/>
      <c r="P137" s="712"/>
      <c r="Q137" s="712"/>
      <c r="R137" s="712"/>
      <c r="S137" s="712"/>
      <c r="T137" s="712"/>
      <c r="U137" s="712"/>
      <c r="V137" s="712"/>
      <c r="W137" s="712"/>
      <c r="X137" s="712"/>
      <c r="Y137" s="712"/>
      <c r="Z137" s="712"/>
      <c r="AA137" s="712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</row>
    <row r="139" spans="1:39">
      <c r="A139" s="649" t="s">
        <v>748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VLOOKUP(AI140,'Contorizare in SDI'!$E:$I,4,FALSE)</f>
        <v>594030500002463001/1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50" t="s">
        <v>695</v>
      </c>
      <c r="AJ139" s="650"/>
      <c r="AK139" s="650"/>
      <c r="AL139" s="650"/>
      <c r="AM139" s="650"/>
    </row>
    <row r="140" spans="1:39">
      <c r="A140" s="649" t="s">
        <v>746</v>
      </c>
      <c r="B140" s="649"/>
      <c r="C140" s="649"/>
      <c r="D140" s="649"/>
      <c r="E140" s="649"/>
      <c r="F140" s="649"/>
      <c r="G140" s="649"/>
      <c r="H140" s="649"/>
      <c r="I140" s="649"/>
      <c r="J140" s="649"/>
      <c r="K140" s="649"/>
      <c r="L140" s="649"/>
      <c r="M140" s="650" t="str">
        <f>VLOOKUP(AI140,'Inchidere contur'!$G:$U,15,FALSE)</f>
        <v>JT_SDI</v>
      </c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50" t="str">
        <f>_xlfn.CONCAT(AA136,".",1)</f>
        <v>RGSC_2.1</v>
      </c>
      <c r="AJ140" s="650"/>
      <c r="AK140" s="650"/>
      <c r="AL140" s="650"/>
      <c r="AM140" s="650"/>
    </row>
    <row r="141" spans="1:39">
      <c r="A141" s="649" t="s">
        <v>747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50" t="str">
        <f>IF(LEFT(M140,2)="JT","0.4kV",IF(LEFT(M140,2)="MT","20kV","-"))</f>
        <v>0.4kV</v>
      </c>
      <c r="N141" s="650"/>
      <c r="O141" s="650"/>
      <c r="P141" s="650"/>
      <c r="Q141" s="650"/>
      <c r="R141" s="650"/>
      <c r="S141" s="650"/>
      <c r="T141" s="650"/>
      <c r="U141" s="650"/>
      <c r="V141" s="650"/>
      <c r="W141" s="650"/>
      <c r="X141" s="650"/>
      <c r="Y141" s="650"/>
      <c r="Z141" s="650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</row>
    <row r="142" spans="1:39" ht="15.95" customHeight="1">
      <c r="A142" s="742" t="s">
        <v>697</v>
      </c>
      <c r="B142" s="742"/>
      <c r="C142" s="742"/>
      <c r="D142" s="742"/>
      <c r="E142" s="742"/>
      <c r="F142" s="742"/>
      <c r="G142" s="666" t="s">
        <v>713</v>
      </c>
      <c r="H142" s="666"/>
      <c r="I142" s="666"/>
      <c r="J142" s="666" t="s">
        <v>714</v>
      </c>
      <c r="K142" s="666"/>
      <c r="L142" s="666"/>
      <c r="M142" s="742" t="s">
        <v>519</v>
      </c>
      <c r="N142" s="742"/>
      <c r="O142" s="742" t="s">
        <v>715</v>
      </c>
      <c r="P142" s="742"/>
      <c r="Q142" s="742"/>
      <c r="R142" s="666" t="s">
        <v>732</v>
      </c>
      <c r="S142" s="666"/>
      <c r="T142" s="666"/>
      <c r="U142" s="666" t="s">
        <v>734</v>
      </c>
      <c r="V142" s="666"/>
      <c r="W142" s="666"/>
      <c r="X142" s="666" t="s">
        <v>1085</v>
      </c>
      <c r="Y142" s="666"/>
      <c r="Z142" s="666"/>
      <c r="AA142" s="666" t="s">
        <v>1086</v>
      </c>
      <c r="AB142" s="666"/>
      <c r="AC142" s="666"/>
      <c r="AD142" s="666" t="s">
        <v>717</v>
      </c>
      <c r="AE142" s="666"/>
      <c r="AF142" s="666" t="s">
        <v>718</v>
      </c>
      <c r="AG142" s="666"/>
      <c r="AH142" s="666"/>
      <c r="AI142" s="666" t="s">
        <v>719</v>
      </c>
      <c r="AJ142" s="666"/>
      <c r="AK142" s="666" t="s">
        <v>733</v>
      </c>
      <c r="AL142" s="666"/>
      <c r="AM142" s="666"/>
    </row>
    <row r="143" spans="1:39">
      <c r="A143" s="742"/>
      <c r="B143" s="742"/>
      <c r="C143" s="742"/>
      <c r="D143" s="742"/>
      <c r="E143" s="742"/>
      <c r="F143" s="742"/>
      <c r="G143" s="666"/>
      <c r="H143" s="666"/>
      <c r="I143" s="666"/>
      <c r="J143" s="666"/>
      <c r="K143" s="666"/>
      <c r="L143" s="666"/>
      <c r="M143" s="742"/>
      <c r="N143" s="742"/>
      <c r="O143" s="742"/>
      <c r="P143" s="742"/>
      <c r="Q143" s="742"/>
      <c r="R143" s="666"/>
      <c r="S143" s="666"/>
      <c r="T143" s="666"/>
      <c r="U143" s="666"/>
      <c r="V143" s="666"/>
      <c r="W143" s="666"/>
      <c r="X143" s="666"/>
      <c r="Y143" s="666"/>
      <c r="Z143" s="666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</row>
    <row r="144" spans="1:39">
      <c r="A144" s="742"/>
      <c r="B144" s="742"/>
      <c r="C144" s="742"/>
      <c r="D144" s="742"/>
      <c r="E144" s="742"/>
      <c r="F144" s="742"/>
      <c r="G144" s="666"/>
      <c r="H144" s="666"/>
      <c r="I144" s="666"/>
      <c r="J144" s="748"/>
      <c r="K144" s="748"/>
      <c r="L144" s="748"/>
      <c r="M144" s="742"/>
      <c r="N144" s="742"/>
      <c r="O144" s="742"/>
      <c r="P144" s="742"/>
      <c r="Q144" s="742"/>
      <c r="R144" s="666"/>
      <c r="S144" s="666"/>
      <c r="T144" s="666"/>
      <c r="U144" s="666"/>
      <c r="V144" s="666"/>
      <c r="W144" s="666"/>
      <c r="X144" s="666"/>
      <c r="Y144" s="666"/>
      <c r="Z144" s="666"/>
      <c r="AA144" s="666"/>
      <c r="AB144" s="666"/>
      <c r="AC144" s="666"/>
      <c r="AD144" s="666"/>
      <c r="AE144" s="666"/>
      <c r="AF144" s="666"/>
      <c r="AG144" s="666"/>
      <c r="AH144" s="666"/>
      <c r="AI144" s="666"/>
      <c r="AJ144" s="666"/>
      <c r="AK144" s="666"/>
      <c r="AL144" s="666"/>
      <c r="AM144" s="666"/>
    </row>
    <row r="145" spans="1:39" ht="14.1" customHeight="1">
      <c r="A145" s="667">
        <f>VLOOKUP(AI140,'Contorizare in SDI'!$E:$I,5,FALSE)</f>
        <v>1372745537</v>
      </c>
      <c r="B145" s="671"/>
      <c r="C145" s="671"/>
      <c r="D145" s="671"/>
      <c r="E145" s="671"/>
      <c r="F145" s="668"/>
      <c r="G145" s="742" t="s">
        <v>730</v>
      </c>
      <c r="H145" s="742"/>
      <c r="I145" s="750"/>
      <c r="J145" s="743">
        <f>'Date masura OD'!$AK$5</f>
        <v>45748</v>
      </c>
      <c r="K145" s="744"/>
      <c r="L145" s="745"/>
      <c r="M145" s="747" t="s">
        <v>446</v>
      </c>
      <c r="N145" s="742"/>
      <c r="O145" s="742">
        <f>VLOOKUP(AI140,'Incrementare indexe'!$B:$T,4,FALSE)</f>
        <v>1</v>
      </c>
      <c r="P145" s="742"/>
      <c r="Q145" s="742"/>
      <c r="R145" s="666" t="str">
        <f>VLOOKUP(A145,Regularizare!$D:$YN,3,FALSE)&amp;" ("&amp;VLOOKUP(A145,Regularizare!$D:$Y,11,FALSE)&amp;")"</f>
        <v>3674267 (citit)</v>
      </c>
      <c r="S145" s="666"/>
      <c r="T145" s="666"/>
      <c r="U145" s="666" t="str">
        <f>VLOOKUP(A145,Regularizare!$D:$U,4,FALSE)&amp;" ("&amp;VLOOKUP(A145,Regularizare!$D:$U,12,FALSE)&amp;")"</f>
        <v>3873591 (estimat)</v>
      </c>
      <c r="V145" s="666"/>
      <c r="W145" s="666"/>
      <c r="X145" s="666" t="str">
        <f>VLOOKUP(A145,Regularizare!$D:$Y,19,FALSE)&amp;" ("&amp;VLOOKUP(A145,Regularizare!$D:$U,12,FALSE)&amp;")"</f>
        <v>199324 (estimat)</v>
      </c>
      <c r="Y145" s="666"/>
      <c r="Z145" s="666"/>
      <c r="AA145" s="666">
        <f>(-1)*VLOOKUP(A145,Regularizare!$D:$Y,19,FALSE)</f>
        <v>-199324</v>
      </c>
      <c r="AB145" s="666"/>
      <c r="AC145" s="666"/>
      <c r="AD145" s="666" t="s">
        <v>69</v>
      </c>
      <c r="AE145" s="666"/>
      <c r="AF145" s="666">
        <f>AA145</f>
        <v>-199324</v>
      </c>
      <c r="AG145" s="666"/>
      <c r="AH145" s="666"/>
      <c r="AI145" s="666" t="s">
        <v>69</v>
      </c>
      <c r="AJ145" s="666"/>
      <c r="AK145" s="666" t="s">
        <v>69</v>
      </c>
      <c r="AL145" s="666"/>
      <c r="AM145" s="666"/>
    </row>
    <row r="146" spans="1:39" ht="9.75" customHeight="1">
      <c r="A146" s="736"/>
      <c r="B146" s="737"/>
      <c r="C146" s="737"/>
      <c r="D146" s="737"/>
      <c r="E146" s="737"/>
      <c r="F146" s="738"/>
      <c r="G146" s="742"/>
      <c r="H146" s="742"/>
      <c r="I146" s="750"/>
      <c r="J146" s="736" t="s">
        <v>69</v>
      </c>
      <c r="K146" s="737"/>
      <c r="L146" s="738"/>
      <c r="M146" s="747"/>
      <c r="N146" s="742"/>
      <c r="O146" s="742"/>
      <c r="P146" s="742"/>
      <c r="Q146" s="742"/>
      <c r="R146" s="666"/>
      <c r="S146" s="666"/>
      <c r="T146" s="666"/>
      <c r="U146" s="666"/>
      <c r="V146" s="666"/>
      <c r="W146" s="666"/>
      <c r="X146" s="666"/>
      <c r="Y146" s="666"/>
      <c r="Z146" s="666"/>
      <c r="AA146" s="666"/>
      <c r="AB146" s="666"/>
      <c r="AC146" s="666"/>
      <c r="AD146" s="666"/>
      <c r="AE146" s="666"/>
      <c r="AF146" s="666"/>
      <c r="AG146" s="666"/>
      <c r="AH146" s="666"/>
      <c r="AI146" s="666"/>
      <c r="AJ146" s="666"/>
      <c r="AK146" s="666"/>
      <c r="AL146" s="666"/>
      <c r="AM146" s="666"/>
    </row>
    <row r="147" spans="1:39" ht="14.1" customHeight="1">
      <c r="A147" s="669"/>
      <c r="B147" s="672"/>
      <c r="C147" s="672"/>
      <c r="D147" s="672"/>
      <c r="E147" s="672"/>
      <c r="F147" s="670"/>
      <c r="G147" s="742"/>
      <c r="H147" s="742"/>
      <c r="I147" s="750"/>
      <c r="J147" s="739">
        <f>'Date masura OD'!$AL$5</f>
        <v>45777</v>
      </c>
      <c r="K147" s="740"/>
      <c r="L147" s="741"/>
      <c r="M147" s="747"/>
      <c r="N147" s="742"/>
      <c r="O147" s="742"/>
      <c r="P147" s="742"/>
      <c r="Q147" s="742"/>
      <c r="R147" s="666"/>
      <c r="S147" s="666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</row>
    <row r="148" spans="1:39" ht="14.1" customHeight="1">
      <c r="A148" s="667">
        <f>A145</f>
        <v>1372745537</v>
      </c>
      <c r="B148" s="671"/>
      <c r="C148" s="671"/>
      <c r="D148" s="671"/>
      <c r="E148" s="671"/>
      <c r="F148" s="668"/>
      <c r="G148" s="742" t="s">
        <v>696</v>
      </c>
      <c r="H148" s="742"/>
      <c r="I148" s="742"/>
      <c r="J148" s="743">
        <f t="shared" ref="J148:J153" si="7">J145</f>
        <v>45748</v>
      </c>
      <c r="K148" s="744"/>
      <c r="L148" s="745"/>
      <c r="M148" s="742" t="s">
        <v>720</v>
      </c>
      <c r="N148" s="742"/>
      <c r="O148" s="742">
        <f>O145</f>
        <v>1</v>
      </c>
      <c r="P148" s="742"/>
      <c r="Q148" s="742"/>
      <c r="R148" s="666" t="str">
        <f>VLOOKUP(A148,Regularizare!$D:$U,7,FALSE)&amp;" ("&amp;VLOOKUP(A148,Regularizare!$D:$U,15,FALSE)&amp;")"</f>
        <v>439355 (citit)</v>
      </c>
      <c r="S148" s="666"/>
      <c r="T148" s="666"/>
      <c r="U148" s="666" t="str">
        <f>VLOOKUP(A148,Regularizare!$D:$U,8,FALSE)&amp;" ("&amp;VLOOKUP(A148,Regularizare!$D:$U,16,FALSE)&amp;")"</f>
        <v>439355 (estimat)</v>
      </c>
      <c r="V148" s="666"/>
      <c r="W148" s="666"/>
      <c r="X148" s="666" t="str">
        <f>_xlfn.CONCAT(VLOOKUP(A148,Regularizare!$D:$U,8,FALSE)-VLOOKUP(A148,Regularizare!$D:$U,7,FALSE)," (",VLOOKUP(A148,Regularizare!$D:$U,16,FALSE),")")</f>
        <v>0 (estimat)</v>
      </c>
      <c r="Y148" s="666"/>
      <c r="Z148" s="666"/>
      <c r="AA148" s="666">
        <f>IF(VLOOKUP(A148,Regularizare!$D:$Y,21,FALSE)=0,VLOOKUP(A148,Regularizare!$D:$Y,21,FALSE),(-1)*VLOOKUP(A148,Regularizare!$D:$Y,21,FALSE))</f>
        <v>0</v>
      </c>
      <c r="AB148" s="666"/>
      <c r="AC148" s="666"/>
      <c r="AD148" s="666" t="s">
        <v>69</v>
      </c>
      <c r="AE148" s="666"/>
      <c r="AF148" s="666">
        <f>AA148</f>
        <v>0</v>
      </c>
      <c r="AG148" s="666"/>
      <c r="AH148" s="666"/>
      <c r="AI148" s="666" t="str">
        <f>AI145</f>
        <v>-</v>
      </c>
      <c r="AJ148" s="666"/>
      <c r="AK148" s="666" t="str">
        <f>AK145</f>
        <v>-</v>
      </c>
      <c r="AL148" s="666"/>
      <c r="AM148" s="666"/>
    </row>
    <row r="149" spans="1:39" ht="8.4499999999999993" customHeight="1">
      <c r="A149" s="736"/>
      <c r="B149" s="737"/>
      <c r="C149" s="737"/>
      <c r="D149" s="737"/>
      <c r="E149" s="737"/>
      <c r="F149" s="738"/>
      <c r="G149" s="742"/>
      <c r="H149" s="742"/>
      <c r="I149" s="742"/>
      <c r="J149" s="736" t="str">
        <f t="shared" si="7"/>
        <v>-</v>
      </c>
      <c r="K149" s="737"/>
      <c r="L149" s="738"/>
      <c r="M149" s="742"/>
      <c r="N149" s="742"/>
      <c r="O149" s="742"/>
      <c r="P149" s="742"/>
      <c r="Q149" s="742"/>
      <c r="R149" s="666"/>
      <c r="S149" s="666"/>
      <c r="T149" s="666"/>
      <c r="U149" s="666"/>
      <c r="V149" s="666"/>
      <c r="W149" s="666"/>
      <c r="X149" s="666"/>
      <c r="Y149" s="666"/>
      <c r="Z149" s="666"/>
      <c r="AA149" s="666"/>
      <c r="AB149" s="666"/>
      <c r="AC149" s="666"/>
      <c r="AD149" s="666"/>
      <c r="AE149" s="666"/>
      <c r="AF149" s="666"/>
      <c r="AG149" s="666"/>
      <c r="AH149" s="666"/>
      <c r="AI149" s="666"/>
      <c r="AJ149" s="666"/>
      <c r="AK149" s="666"/>
      <c r="AL149" s="666"/>
      <c r="AM149" s="666"/>
    </row>
    <row r="150" spans="1:39" ht="14.1" customHeight="1">
      <c r="A150" s="669"/>
      <c r="B150" s="672"/>
      <c r="C150" s="672"/>
      <c r="D150" s="672"/>
      <c r="E150" s="672"/>
      <c r="F150" s="670"/>
      <c r="G150" s="742"/>
      <c r="H150" s="742"/>
      <c r="I150" s="742"/>
      <c r="J150" s="739">
        <f t="shared" si="7"/>
        <v>45777</v>
      </c>
      <c r="K150" s="740"/>
      <c r="L150" s="741"/>
      <c r="M150" s="742"/>
      <c r="N150" s="742"/>
      <c r="O150" s="742"/>
      <c r="P150" s="742"/>
      <c r="Q150" s="742"/>
      <c r="R150" s="666"/>
      <c r="S150" s="666"/>
      <c r="T150" s="666"/>
      <c r="U150" s="666"/>
      <c r="V150" s="666"/>
      <c r="W150" s="666"/>
      <c r="X150" s="666"/>
      <c r="Y150" s="666"/>
      <c r="Z150" s="666"/>
      <c r="AA150" s="666"/>
      <c r="AB150" s="666"/>
      <c r="AC150" s="666"/>
      <c r="AD150" s="666"/>
      <c r="AE150" s="666"/>
      <c r="AF150" s="666"/>
      <c r="AG150" s="666"/>
      <c r="AH150" s="666"/>
      <c r="AI150" s="666"/>
      <c r="AJ150" s="666"/>
      <c r="AK150" s="666"/>
      <c r="AL150" s="666"/>
      <c r="AM150" s="666"/>
    </row>
    <row r="151" spans="1:39" ht="14.1" customHeight="1">
      <c r="A151" s="667">
        <f>A148</f>
        <v>1372745537</v>
      </c>
      <c r="B151" s="671"/>
      <c r="C151" s="671"/>
      <c r="D151" s="671"/>
      <c r="E151" s="671"/>
      <c r="F151" s="668"/>
      <c r="G151" s="742" t="s">
        <v>731</v>
      </c>
      <c r="H151" s="742"/>
      <c r="I151" s="742"/>
      <c r="J151" s="743">
        <f t="shared" si="7"/>
        <v>45748</v>
      </c>
      <c r="K151" s="744"/>
      <c r="L151" s="745"/>
      <c r="M151" s="742" t="s">
        <v>720</v>
      </c>
      <c r="N151" s="742"/>
      <c r="O151" s="742">
        <f>O148</f>
        <v>1</v>
      </c>
      <c r="P151" s="742"/>
      <c r="Q151" s="742"/>
      <c r="R151" s="666" t="str">
        <f>VLOOKUP(A151,Regularizare!$D:$U,9,FALSE)&amp;" ("&amp;VLOOKUP(A151,Regularizare!$D:$U,17,FALSE)&amp;")"</f>
        <v>231 (citit)</v>
      </c>
      <c r="S151" s="666"/>
      <c r="T151" s="666"/>
      <c r="U151" s="666" t="str">
        <f>VLOOKUP(A151,Regularizare!$D:$U,10,FALSE)&amp;" ("&amp;VLOOKUP(A151,Regularizare!$D:$U,18,FALSE)&amp;")"</f>
        <v>231 (estimat)</v>
      </c>
      <c r="V151" s="666"/>
      <c r="W151" s="666"/>
      <c r="X151" s="666" t="str">
        <f>_xlfn.CONCAT(VLOOKUP(A151,Regularizare!$D:$U,10,FALSE)-VLOOKUP(A151,Regularizare!$D:$U,9,FALSE)," (",VLOOKUP(A151,Regularizare!$D:$U,18,FALSE),")")</f>
        <v>0 (estimat)</v>
      </c>
      <c r="Y151" s="666"/>
      <c r="Z151" s="666"/>
      <c r="AA151" s="666">
        <f>IF(VLOOKUP(A151,Regularizare!$D:$Y,22,FALSE)=0,VLOOKUP(A151,Regularizare!$D:$Y,22,FALSE),(-1)*VLOOKUP(A151,Regularizare!$D:$Y,22,FALSE))</f>
        <v>0</v>
      </c>
      <c r="AB151" s="666"/>
      <c r="AC151" s="666"/>
      <c r="AD151" s="666" t="s">
        <v>69</v>
      </c>
      <c r="AE151" s="666"/>
      <c r="AF151" s="666">
        <f>AA151</f>
        <v>0</v>
      </c>
      <c r="AG151" s="666"/>
      <c r="AH151" s="666"/>
      <c r="AI151" s="666" t="str">
        <f>AI148</f>
        <v>-</v>
      </c>
      <c r="AJ151" s="666"/>
      <c r="AK151" s="666" t="str">
        <f>AK148</f>
        <v>-</v>
      </c>
      <c r="AL151" s="666"/>
      <c r="AM151" s="666"/>
    </row>
    <row r="152" spans="1:39" ht="8.4499999999999993" customHeight="1">
      <c r="A152" s="736"/>
      <c r="B152" s="737"/>
      <c r="C152" s="737"/>
      <c r="D152" s="737"/>
      <c r="E152" s="737"/>
      <c r="F152" s="738"/>
      <c r="G152" s="742"/>
      <c r="H152" s="742"/>
      <c r="I152" s="742"/>
      <c r="J152" s="736" t="str">
        <f t="shared" si="7"/>
        <v>-</v>
      </c>
      <c r="K152" s="737"/>
      <c r="L152" s="738"/>
      <c r="M152" s="742"/>
      <c r="N152" s="742"/>
      <c r="O152" s="742"/>
      <c r="P152" s="742"/>
      <c r="Q152" s="742"/>
      <c r="R152" s="666"/>
      <c r="S152" s="666"/>
      <c r="T152" s="666"/>
      <c r="U152" s="666"/>
      <c r="V152" s="666"/>
      <c r="W152" s="666"/>
      <c r="X152" s="666"/>
      <c r="Y152" s="666"/>
      <c r="Z152" s="666"/>
      <c r="AA152" s="666"/>
      <c r="AB152" s="666"/>
      <c r="AC152" s="666"/>
      <c r="AD152" s="666"/>
      <c r="AE152" s="666"/>
      <c r="AF152" s="666"/>
      <c r="AG152" s="666"/>
      <c r="AH152" s="666"/>
      <c r="AI152" s="666"/>
      <c r="AJ152" s="666"/>
      <c r="AK152" s="666"/>
      <c r="AL152" s="666"/>
      <c r="AM152" s="666"/>
    </row>
    <row r="153" spans="1:39" ht="14.1" customHeight="1">
      <c r="A153" s="669"/>
      <c r="B153" s="672"/>
      <c r="C153" s="672"/>
      <c r="D153" s="672"/>
      <c r="E153" s="672"/>
      <c r="F153" s="670"/>
      <c r="G153" s="742"/>
      <c r="H153" s="742"/>
      <c r="I153" s="742"/>
      <c r="J153" s="739">
        <f t="shared" si="7"/>
        <v>45777</v>
      </c>
      <c r="K153" s="740"/>
      <c r="L153" s="741"/>
      <c r="M153" s="742"/>
      <c r="N153" s="742"/>
      <c r="O153" s="742"/>
      <c r="P153" s="742"/>
      <c r="Q153" s="742"/>
      <c r="R153" s="666"/>
      <c r="S153" s="666"/>
      <c r="T153" s="666"/>
      <c r="U153" s="666"/>
      <c r="V153" s="666"/>
      <c r="W153" s="666"/>
      <c r="X153" s="666"/>
      <c r="Y153" s="666"/>
      <c r="Z153" s="666"/>
      <c r="AA153" s="666"/>
      <c r="AB153" s="666"/>
      <c r="AC153" s="666"/>
      <c r="AD153" s="666"/>
      <c r="AE153" s="666"/>
      <c r="AF153" s="666"/>
      <c r="AG153" s="666"/>
      <c r="AH153" s="666"/>
      <c r="AI153" s="666"/>
      <c r="AJ153" s="666"/>
      <c r="AK153" s="666"/>
      <c r="AL153" s="666"/>
      <c r="AM153" s="666"/>
    </row>
    <row r="154" spans="1:39" ht="14.1" customHeight="1">
      <c r="A154" s="667">
        <f>A151</f>
        <v>1372745537</v>
      </c>
      <c r="B154" s="671"/>
      <c r="C154" s="671"/>
      <c r="D154" s="671"/>
      <c r="E154" s="671"/>
      <c r="F154" s="668"/>
      <c r="G154" s="742" t="s">
        <v>730</v>
      </c>
      <c r="H154" s="742"/>
      <c r="I154" s="750"/>
      <c r="J154" s="743">
        <f>'Date masura OD'!$AK$5</f>
        <v>45748</v>
      </c>
      <c r="K154" s="744"/>
      <c r="L154" s="745"/>
      <c r="M154" s="747" t="s">
        <v>446</v>
      </c>
      <c r="N154" s="742"/>
      <c r="O154" s="742">
        <f>O151</f>
        <v>1</v>
      </c>
      <c r="P154" s="742"/>
      <c r="Q154" s="742"/>
      <c r="R154" s="666" t="str">
        <f>VLOOKUP(A154,Regularizare!$D:$AX,23,FALSE)&amp;" ("&amp;VLOOKUP(A154,Regularizare!$D:$AX,24,FALSE)&amp;")"</f>
        <v>3674267 (citit)</v>
      </c>
      <c r="S154" s="666"/>
      <c r="T154" s="666"/>
      <c r="U154" s="666" t="str">
        <f>VLOOKUP(A154,Regularizare!$D:$AX,25,FALSE)&amp;" ("&amp;VLOOKUP(A154,Regularizare!$D:$AX,26,FALSE)&amp;")"</f>
        <v>3873591 (citit)</v>
      </c>
      <c r="V154" s="666"/>
      <c r="W154" s="666"/>
      <c r="X154" s="666" t="str">
        <f>VLOOKUP(A154,Regularizare!$D:$AX,37,FALSE)&amp;" ("&amp;VLOOKUP(A154,Regularizare!$D:$AX,26,FALSE)&amp;")"</f>
        <v>199324 (citit)</v>
      </c>
      <c r="Y154" s="666"/>
      <c r="Z154" s="666"/>
      <c r="AA154" s="666">
        <f>VLOOKUP(A154,Regularizare!$D:$AX,37,FALSE)</f>
        <v>199324</v>
      </c>
      <c r="AB154" s="666"/>
      <c r="AC154" s="666"/>
      <c r="AD154" s="666" t="s">
        <v>69</v>
      </c>
      <c r="AE154" s="666"/>
      <c r="AF154" s="666">
        <f>AA154</f>
        <v>199324</v>
      </c>
      <c r="AG154" s="666"/>
      <c r="AH154" s="666"/>
      <c r="AI154" s="666" t="str">
        <f>AI151</f>
        <v>-</v>
      </c>
      <c r="AJ154" s="666"/>
      <c r="AK154" s="666" t="str">
        <f>AK151</f>
        <v>-</v>
      </c>
      <c r="AL154" s="666"/>
      <c r="AM154" s="666"/>
    </row>
    <row r="155" spans="1:39" ht="8.4499999999999993" customHeight="1">
      <c r="A155" s="736"/>
      <c r="B155" s="737"/>
      <c r="C155" s="737"/>
      <c r="D155" s="737"/>
      <c r="E155" s="737"/>
      <c r="F155" s="738"/>
      <c r="G155" s="742"/>
      <c r="H155" s="742"/>
      <c r="I155" s="750"/>
      <c r="J155" s="736" t="s">
        <v>69</v>
      </c>
      <c r="K155" s="737"/>
      <c r="L155" s="738"/>
      <c r="M155" s="747"/>
      <c r="N155" s="742"/>
      <c r="O155" s="742"/>
      <c r="P155" s="742"/>
      <c r="Q155" s="742"/>
      <c r="R155" s="666"/>
      <c r="S155" s="666"/>
      <c r="T155" s="666"/>
      <c r="U155" s="666"/>
      <c r="V155" s="666"/>
      <c r="W155" s="666"/>
      <c r="X155" s="666"/>
      <c r="Y155" s="666"/>
      <c r="Z155" s="666"/>
      <c r="AA155" s="666"/>
      <c r="AB155" s="666"/>
      <c r="AC155" s="666"/>
      <c r="AD155" s="666"/>
      <c r="AE155" s="666"/>
      <c r="AF155" s="666"/>
      <c r="AG155" s="666"/>
      <c r="AH155" s="666"/>
      <c r="AI155" s="666"/>
      <c r="AJ155" s="666"/>
      <c r="AK155" s="666"/>
      <c r="AL155" s="666"/>
      <c r="AM155" s="666"/>
    </row>
    <row r="156" spans="1:39" ht="14.1" customHeight="1">
      <c r="A156" s="669"/>
      <c r="B156" s="672"/>
      <c r="C156" s="672"/>
      <c r="D156" s="672"/>
      <c r="E156" s="672"/>
      <c r="F156" s="670"/>
      <c r="G156" s="742"/>
      <c r="H156" s="742"/>
      <c r="I156" s="750"/>
      <c r="J156" s="739">
        <f>'Date masura OD'!$AL$5</f>
        <v>45777</v>
      </c>
      <c r="K156" s="740"/>
      <c r="L156" s="741"/>
      <c r="M156" s="747"/>
      <c r="N156" s="742"/>
      <c r="O156" s="742"/>
      <c r="P156" s="742"/>
      <c r="Q156" s="742"/>
      <c r="R156" s="666"/>
      <c r="S156" s="666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</row>
    <row r="157" spans="1:39" ht="14.1" customHeight="1">
      <c r="A157" s="667">
        <f>A154</f>
        <v>1372745537</v>
      </c>
      <c r="B157" s="671"/>
      <c r="C157" s="671"/>
      <c r="D157" s="671"/>
      <c r="E157" s="671"/>
      <c r="F157" s="668"/>
      <c r="G157" s="742" t="s">
        <v>696</v>
      </c>
      <c r="H157" s="742"/>
      <c r="I157" s="742"/>
      <c r="J157" s="743">
        <f t="shared" ref="J157:J162" si="8">J154</f>
        <v>45748</v>
      </c>
      <c r="K157" s="744"/>
      <c r="L157" s="745"/>
      <c r="M157" s="742" t="s">
        <v>720</v>
      </c>
      <c r="N157" s="742"/>
      <c r="O157" s="742">
        <f>O154</f>
        <v>1</v>
      </c>
      <c r="P157" s="742"/>
      <c r="Q157" s="742"/>
      <c r="R157" s="666" t="str">
        <f>VLOOKUP(A157,Regularizare!$D:$AX,29,FALSE)&amp;" ("&amp;VLOOKUP(A157,Regularizare!$D:$AX,30,FALSE)&amp;")"</f>
        <v>439355 (citit)</v>
      </c>
      <c r="S157" s="666"/>
      <c r="T157" s="666"/>
      <c r="U157" s="666" t="str">
        <f>VLOOKUP(A157,Regularizare!$D:$AX,31,FALSE)&amp;" ("&amp;VLOOKUP(A157,Regularizare!$D:$AX,32,FALSE)&amp;")"</f>
        <v>439355 (citit)</v>
      </c>
      <c r="V157" s="666"/>
      <c r="W157" s="666"/>
      <c r="X157" s="666" t="str">
        <f>VLOOKUP(A157,Regularizare!$D:$AX,39,FALSE)&amp;" ("&amp;VLOOKUP(A157,Regularizare!$D:$AX,32,FALSE)&amp;")"</f>
        <v>0 (citit)</v>
      </c>
      <c r="Y157" s="666"/>
      <c r="Z157" s="666"/>
      <c r="AA157" s="666">
        <f>VLOOKUP(A157,Regularizare!$D:$AX,44,FALSE)+VLOOKUP(A157,Regularizare!$D:$AX,45,FALSE)</f>
        <v>0</v>
      </c>
      <c r="AB157" s="666"/>
      <c r="AC157" s="666"/>
      <c r="AD157" s="666" t="s">
        <v>69</v>
      </c>
      <c r="AE157" s="666"/>
      <c r="AF157" s="666">
        <f>AA157</f>
        <v>0</v>
      </c>
      <c r="AG157" s="666"/>
      <c r="AH157" s="666"/>
      <c r="AI157" s="666" t="str">
        <f>AI154</f>
        <v>-</v>
      </c>
      <c r="AJ157" s="666"/>
      <c r="AK157" s="666" t="str">
        <f>AK154</f>
        <v>-</v>
      </c>
      <c r="AL157" s="666"/>
      <c r="AM157" s="666"/>
    </row>
    <row r="158" spans="1:39" ht="8.4499999999999993" customHeight="1">
      <c r="A158" s="736"/>
      <c r="B158" s="737"/>
      <c r="C158" s="737"/>
      <c r="D158" s="737"/>
      <c r="E158" s="737"/>
      <c r="F158" s="738"/>
      <c r="G158" s="742"/>
      <c r="H158" s="742"/>
      <c r="I158" s="742"/>
      <c r="J158" s="736" t="str">
        <f t="shared" si="8"/>
        <v>-</v>
      </c>
      <c r="K158" s="737"/>
      <c r="L158" s="738"/>
      <c r="M158" s="742"/>
      <c r="N158" s="742"/>
      <c r="O158" s="742"/>
      <c r="P158" s="742"/>
      <c r="Q158" s="742"/>
      <c r="R158" s="666"/>
      <c r="S158" s="666"/>
      <c r="T158" s="666"/>
      <c r="U158" s="666"/>
      <c r="V158" s="666"/>
      <c r="W158" s="666"/>
      <c r="X158" s="666"/>
      <c r="Y158" s="666"/>
      <c r="Z158" s="666"/>
      <c r="AA158" s="666"/>
      <c r="AB158" s="666"/>
      <c r="AC158" s="666"/>
      <c r="AD158" s="666"/>
      <c r="AE158" s="666"/>
      <c r="AF158" s="666"/>
      <c r="AG158" s="666"/>
      <c r="AH158" s="666"/>
      <c r="AI158" s="666"/>
      <c r="AJ158" s="666"/>
      <c r="AK158" s="666"/>
      <c r="AL158" s="666"/>
      <c r="AM158" s="666"/>
    </row>
    <row r="159" spans="1:39" ht="14.1" customHeight="1">
      <c r="A159" s="669"/>
      <c r="B159" s="672"/>
      <c r="C159" s="672"/>
      <c r="D159" s="672"/>
      <c r="E159" s="672"/>
      <c r="F159" s="670"/>
      <c r="G159" s="742"/>
      <c r="H159" s="742"/>
      <c r="I159" s="742"/>
      <c r="J159" s="739">
        <f t="shared" si="8"/>
        <v>45777</v>
      </c>
      <c r="K159" s="740"/>
      <c r="L159" s="741"/>
      <c r="M159" s="742"/>
      <c r="N159" s="742"/>
      <c r="O159" s="742"/>
      <c r="P159" s="742"/>
      <c r="Q159" s="742"/>
      <c r="R159" s="666"/>
      <c r="S159" s="666"/>
      <c r="T159" s="666"/>
      <c r="U159" s="666"/>
      <c r="V159" s="666"/>
      <c r="W159" s="666"/>
      <c r="X159" s="666"/>
      <c r="Y159" s="666"/>
      <c r="Z159" s="666"/>
      <c r="AA159" s="666"/>
      <c r="AB159" s="666"/>
      <c r="AC159" s="666"/>
      <c r="AD159" s="666"/>
      <c r="AE159" s="666"/>
      <c r="AF159" s="666"/>
      <c r="AG159" s="666"/>
      <c r="AH159" s="666"/>
      <c r="AI159" s="666"/>
      <c r="AJ159" s="666"/>
      <c r="AK159" s="666"/>
      <c r="AL159" s="666"/>
      <c r="AM159" s="666"/>
    </row>
    <row r="160" spans="1:39" ht="14.1" customHeight="1">
      <c r="A160" s="667">
        <f>A157</f>
        <v>1372745537</v>
      </c>
      <c r="B160" s="671"/>
      <c r="C160" s="671"/>
      <c r="D160" s="671"/>
      <c r="E160" s="671"/>
      <c r="F160" s="668"/>
      <c r="G160" s="742" t="s">
        <v>731</v>
      </c>
      <c r="H160" s="742"/>
      <c r="I160" s="742"/>
      <c r="J160" s="743">
        <f t="shared" si="8"/>
        <v>45748</v>
      </c>
      <c r="K160" s="744"/>
      <c r="L160" s="745"/>
      <c r="M160" s="742" t="s">
        <v>720</v>
      </c>
      <c r="N160" s="742"/>
      <c r="O160" s="742">
        <f>O157</f>
        <v>1</v>
      </c>
      <c r="P160" s="742"/>
      <c r="Q160" s="742"/>
      <c r="R160" s="666" t="str">
        <f>VLOOKUP(A160,Regularizare!$D:$AX,33,FALSE)&amp;" ("&amp;VLOOKUP(A160,Regularizare!$D:$AX,34,FALSE)&amp;")"</f>
        <v>231 (citit)</v>
      </c>
      <c r="S160" s="666"/>
      <c r="T160" s="666"/>
      <c r="U160" s="666" t="str">
        <f>VLOOKUP(A160,Regularizare!$D:$AX,35,FALSE)&amp;" ("&amp;VLOOKUP(A160,Regularizare!$D:$AX,36,FALSE)&amp;")"</f>
        <v>231 (citit)</v>
      </c>
      <c r="V160" s="666"/>
      <c r="W160" s="666"/>
      <c r="X160" s="666" t="str">
        <f>VLOOKUP(A160,Regularizare!$D:$AX,40,FALSE)&amp;" ("&amp;VLOOKUP(A160,Regularizare!$D:$AX,36,FALSE)&amp;")"</f>
        <v>0 (citit)</v>
      </c>
      <c r="Y160" s="666"/>
      <c r="Z160" s="666"/>
      <c r="AA160" s="666">
        <f>VLOOKUP(A160,Regularizare!$D:$AX,46,FALSE)+VLOOKUP(A160,Regularizare!$D:$AX,47,FALSE)</f>
        <v>0</v>
      </c>
      <c r="AB160" s="666"/>
      <c r="AC160" s="666"/>
      <c r="AD160" s="666" t="s">
        <v>69</v>
      </c>
      <c r="AE160" s="666"/>
      <c r="AF160" s="666">
        <f>AA160</f>
        <v>0</v>
      </c>
      <c r="AG160" s="666"/>
      <c r="AH160" s="666"/>
      <c r="AI160" s="666" t="str">
        <f>AI157</f>
        <v>-</v>
      </c>
      <c r="AJ160" s="666"/>
      <c r="AK160" s="666" t="str">
        <f>AK157</f>
        <v>-</v>
      </c>
      <c r="AL160" s="666"/>
      <c r="AM160" s="666"/>
    </row>
    <row r="161" spans="1:39" ht="8.4499999999999993" customHeight="1">
      <c r="A161" s="736"/>
      <c r="B161" s="737"/>
      <c r="C161" s="737"/>
      <c r="D161" s="737"/>
      <c r="E161" s="737"/>
      <c r="F161" s="738"/>
      <c r="G161" s="742"/>
      <c r="H161" s="742"/>
      <c r="I161" s="742"/>
      <c r="J161" s="736" t="str">
        <f t="shared" si="8"/>
        <v>-</v>
      </c>
      <c r="K161" s="737"/>
      <c r="L161" s="738"/>
      <c r="M161" s="742"/>
      <c r="N161" s="742"/>
      <c r="O161" s="742"/>
      <c r="P161" s="742"/>
      <c r="Q161" s="742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6"/>
      <c r="AJ161" s="666"/>
      <c r="AK161" s="666"/>
      <c r="AL161" s="666"/>
      <c r="AM161" s="666"/>
    </row>
    <row r="162" spans="1:39" ht="14.1" customHeight="1">
      <c r="A162" s="669"/>
      <c r="B162" s="672"/>
      <c r="C162" s="672"/>
      <c r="D162" s="672"/>
      <c r="E162" s="672"/>
      <c r="F162" s="670"/>
      <c r="G162" s="742"/>
      <c r="H162" s="742"/>
      <c r="I162" s="742"/>
      <c r="J162" s="739">
        <f t="shared" si="8"/>
        <v>45777</v>
      </c>
      <c r="K162" s="740"/>
      <c r="L162" s="741"/>
      <c r="M162" s="742"/>
      <c r="N162" s="742"/>
      <c r="O162" s="742"/>
      <c r="P162" s="742"/>
      <c r="Q162" s="742"/>
      <c r="R162" s="666"/>
      <c r="S162" s="666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666"/>
      <c r="AL162" s="666"/>
      <c r="AM162" s="666"/>
    </row>
    <row r="163" spans="1:39" ht="14.1" customHeight="1">
      <c r="A163" s="667">
        <f>A160</f>
        <v>1372745537</v>
      </c>
      <c r="B163" s="671"/>
      <c r="C163" s="671"/>
      <c r="D163" s="671"/>
      <c r="E163" s="671"/>
      <c r="F163" s="668"/>
      <c r="G163" s="742" t="s">
        <v>730</v>
      </c>
      <c r="H163" s="742"/>
      <c r="I163" s="750"/>
      <c r="J163" s="743">
        <f>'Date masura OD'!$I$5</f>
        <v>45778</v>
      </c>
      <c r="K163" s="744"/>
      <c r="L163" s="745"/>
      <c r="M163" s="747" t="s">
        <v>446</v>
      </c>
      <c r="N163" s="742"/>
      <c r="O163" s="742">
        <f>O160</f>
        <v>1</v>
      </c>
      <c r="P163" s="742"/>
      <c r="Q163" s="742"/>
      <c r="R163" s="666" t="str">
        <f>U154</f>
        <v>3873591 (citit)</v>
      </c>
      <c r="S163" s="666"/>
      <c r="T163" s="666"/>
      <c r="U163" s="666" t="str">
        <f>VLOOKUP(A163,'Incrementare indexe'!$D:$M,4,FALSE)&amp;" (estimat)"</f>
        <v>3992394 (estimat)</v>
      </c>
      <c r="V163" s="666"/>
      <c r="W163" s="666"/>
      <c r="X163" s="666" t="str">
        <f>VLOOKUP(A163,'Incrementare indexe'!$D:$Q,11,FALSE)&amp;" (estimat)"</f>
        <v>118803 (estimat)</v>
      </c>
      <c r="Y163" s="666"/>
      <c r="Z163" s="666"/>
      <c r="AA163" s="666" t="s">
        <v>69</v>
      </c>
      <c r="AB163" s="666"/>
      <c r="AC163" s="666"/>
      <c r="AD163" s="666" t="s">
        <v>69</v>
      </c>
      <c r="AE163" s="666"/>
      <c r="AF163" s="666">
        <f>VLOOKUP(A163,'Incrementare indexe'!$D:$Q,11,FALSE)</f>
        <v>118803</v>
      </c>
      <c r="AG163" s="666"/>
      <c r="AH163" s="666"/>
      <c r="AI163" s="666">
        <f>J165-J163+1</f>
        <v>31</v>
      </c>
      <c r="AJ163" s="666"/>
      <c r="AK163" s="666">
        <f>ROUND(AF163/AI163,2)</f>
        <v>3832.35</v>
      </c>
      <c r="AL163" s="666"/>
      <c r="AM163" s="666"/>
    </row>
    <row r="164" spans="1:39" ht="8.4499999999999993" customHeight="1">
      <c r="A164" s="736"/>
      <c r="B164" s="737"/>
      <c r="C164" s="737"/>
      <c r="D164" s="737"/>
      <c r="E164" s="737"/>
      <c r="F164" s="738"/>
      <c r="G164" s="742"/>
      <c r="H164" s="742"/>
      <c r="I164" s="750"/>
      <c r="J164" s="736" t="s">
        <v>69</v>
      </c>
      <c r="K164" s="737"/>
      <c r="L164" s="738"/>
      <c r="M164" s="747"/>
      <c r="N164" s="742"/>
      <c r="O164" s="742"/>
      <c r="P164" s="742"/>
      <c r="Q164" s="742"/>
      <c r="R164" s="666"/>
      <c r="S164" s="666"/>
      <c r="T164" s="666"/>
      <c r="U164" s="666"/>
      <c r="V164" s="666"/>
      <c r="W164" s="666"/>
      <c r="X164" s="666"/>
      <c r="Y164" s="666"/>
      <c r="Z164" s="666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</row>
    <row r="165" spans="1:39" ht="14.1" customHeight="1">
      <c r="A165" s="669"/>
      <c r="B165" s="672"/>
      <c r="C165" s="672"/>
      <c r="D165" s="672"/>
      <c r="E165" s="672"/>
      <c r="F165" s="670"/>
      <c r="G165" s="742"/>
      <c r="H165" s="742"/>
      <c r="I165" s="750"/>
      <c r="J165" s="739">
        <f>'Date masura OD'!$J$5</f>
        <v>45808</v>
      </c>
      <c r="K165" s="740"/>
      <c r="L165" s="741"/>
      <c r="M165" s="747"/>
      <c r="N165" s="742"/>
      <c r="O165" s="742"/>
      <c r="P165" s="742"/>
      <c r="Q165" s="742"/>
      <c r="R165" s="666"/>
      <c r="S165" s="666"/>
      <c r="T165" s="666"/>
      <c r="U165" s="666"/>
      <c r="V165" s="666"/>
      <c r="W165" s="666"/>
      <c r="X165" s="666"/>
      <c r="Y165" s="666"/>
      <c r="Z165" s="666"/>
      <c r="AA165" s="666"/>
      <c r="AB165" s="666"/>
      <c r="AC165" s="666"/>
      <c r="AD165" s="666"/>
      <c r="AE165" s="666"/>
      <c r="AF165" s="666"/>
      <c r="AG165" s="666"/>
      <c r="AH165" s="666"/>
      <c r="AI165" s="666"/>
      <c r="AJ165" s="666"/>
      <c r="AK165" s="666"/>
      <c r="AL165" s="666"/>
      <c r="AM165" s="666"/>
    </row>
    <row r="166" spans="1:39" ht="14.1" customHeight="1">
      <c r="A166" s="667">
        <f>A163</f>
        <v>1372745537</v>
      </c>
      <c r="B166" s="671"/>
      <c r="C166" s="671"/>
      <c r="D166" s="671"/>
      <c r="E166" s="671"/>
      <c r="F166" s="668"/>
      <c r="G166" s="742" t="s">
        <v>696</v>
      </c>
      <c r="H166" s="742"/>
      <c r="I166" s="742"/>
      <c r="J166" s="743">
        <f t="shared" ref="J166:J171" si="9">J163</f>
        <v>45778</v>
      </c>
      <c r="K166" s="744"/>
      <c r="L166" s="745"/>
      <c r="M166" s="742" t="s">
        <v>720</v>
      </c>
      <c r="N166" s="742"/>
      <c r="O166" s="742">
        <f>O163</f>
        <v>1</v>
      </c>
      <c r="P166" s="742"/>
      <c r="Q166" s="742"/>
      <c r="R166" s="666" t="str">
        <f>U157</f>
        <v>439355 (citit)</v>
      </c>
      <c r="S166" s="666"/>
      <c r="T166" s="666"/>
      <c r="U166" s="666" t="str">
        <f>VLOOKUP(A166,'Incrementare indexe'!$D:$M,8,FALSE)&amp;" (estimat)"</f>
        <v>439355 (estimat)</v>
      </c>
      <c r="V166" s="666"/>
      <c r="W166" s="666"/>
      <c r="X166" s="666" t="str">
        <f>VLOOKUP(A166,'Incrementare indexe'!$D:$Q,12,FALSE)&amp;" (estimat)"</f>
        <v>0 (estimat)</v>
      </c>
      <c r="Y166" s="666"/>
      <c r="Z166" s="666"/>
      <c r="AA166" s="666" t="s">
        <v>69</v>
      </c>
      <c r="AB166" s="666"/>
      <c r="AC166" s="666"/>
      <c r="AD166" s="666" t="s">
        <v>69</v>
      </c>
      <c r="AE166" s="666"/>
      <c r="AF166" s="666">
        <f>VLOOKUP(A166,'Incrementare indexe'!$D:$Q,12,FALSE)</f>
        <v>0</v>
      </c>
      <c r="AG166" s="666"/>
      <c r="AH166" s="666"/>
      <c r="AI166" s="666">
        <f>AI163</f>
        <v>31</v>
      </c>
      <c r="AJ166" s="666"/>
      <c r="AK166" s="666">
        <f>ROUND(AF166/AI166,2)</f>
        <v>0</v>
      </c>
      <c r="AL166" s="666"/>
      <c r="AM166" s="666"/>
    </row>
    <row r="167" spans="1:39" ht="8.4499999999999993" customHeight="1">
      <c r="A167" s="736"/>
      <c r="B167" s="737"/>
      <c r="C167" s="737"/>
      <c r="D167" s="737"/>
      <c r="E167" s="737"/>
      <c r="F167" s="738"/>
      <c r="G167" s="742"/>
      <c r="H167" s="742"/>
      <c r="I167" s="742"/>
      <c r="J167" s="736" t="str">
        <f t="shared" si="9"/>
        <v>-</v>
      </c>
      <c r="K167" s="737"/>
      <c r="L167" s="738"/>
      <c r="M167" s="742"/>
      <c r="N167" s="742"/>
      <c r="O167" s="742"/>
      <c r="P167" s="742"/>
      <c r="Q167" s="742"/>
      <c r="R167" s="666"/>
      <c r="S167" s="666"/>
      <c r="T167" s="666"/>
      <c r="U167" s="666"/>
      <c r="V167" s="666"/>
      <c r="W167" s="666"/>
      <c r="X167" s="666"/>
      <c r="Y167" s="666"/>
      <c r="Z167" s="666"/>
      <c r="AA167" s="666"/>
      <c r="AB167" s="666"/>
      <c r="AC167" s="666"/>
      <c r="AD167" s="666"/>
      <c r="AE167" s="666"/>
      <c r="AF167" s="666"/>
      <c r="AG167" s="666"/>
      <c r="AH167" s="666"/>
      <c r="AI167" s="666"/>
      <c r="AJ167" s="666"/>
      <c r="AK167" s="666"/>
      <c r="AL167" s="666"/>
      <c r="AM167" s="666"/>
    </row>
    <row r="168" spans="1:39" ht="14.1" customHeight="1">
      <c r="A168" s="669"/>
      <c r="B168" s="672"/>
      <c r="C168" s="672"/>
      <c r="D168" s="672"/>
      <c r="E168" s="672"/>
      <c r="F168" s="670"/>
      <c r="G168" s="742"/>
      <c r="H168" s="742"/>
      <c r="I168" s="742"/>
      <c r="J168" s="739">
        <f t="shared" si="9"/>
        <v>45808</v>
      </c>
      <c r="K168" s="740"/>
      <c r="L168" s="741"/>
      <c r="M168" s="742"/>
      <c r="N168" s="742"/>
      <c r="O168" s="742"/>
      <c r="P168" s="742"/>
      <c r="Q168" s="742"/>
      <c r="R168" s="666"/>
      <c r="S168" s="666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</row>
    <row r="169" spans="1:39" ht="14.1" customHeight="1">
      <c r="A169" s="667">
        <f>A166</f>
        <v>1372745537</v>
      </c>
      <c r="B169" s="671"/>
      <c r="C169" s="671"/>
      <c r="D169" s="671"/>
      <c r="E169" s="671"/>
      <c r="F169" s="668"/>
      <c r="G169" s="742" t="s">
        <v>731</v>
      </c>
      <c r="H169" s="742"/>
      <c r="I169" s="742"/>
      <c r="J169" s="743">
        <f t="shared" si="9"/>
        <v>45778</v>
      </c>
      <c r="K169" s="744"/>
      <c r="L169" s="745"/>
      <c r="M169" s="742" t="s">
        <v>720</v>
      </c>
      <c r="N169" s="742"/>
      <c r="O169" s="742">
        <f>O166</f>
        <v>1</v>
      </c>
      <c r="P169" s="742"/>
      <c r="Q169" s="742"/>
      <c r="R169" s="666" t="str">
        <f>U160</f>
        <v>231 (citit)</v>
      </c>
      <c r="S169" s="666"/>
      <c r="T169" s="666"/>
      <c r="U169" s="666" t="str">
        <f>VLOOKUP(A169,'Incrementare indexe'!$D:$M,10,FALSE)&amp;" (estimat)"</f>
        <v>231 (estimat)</v>
      </c>
      <c r="V169" s="666"/>
      <c r="W169" s="666"/>
      <c r="X169" s="666" t="str">
        <f>VLOOKUP(A169,'Incrementare indexe'!$D:$Q,13,FALSE)&amp;" (estimat)"</f>
        <v>0 (estimat)</v>
      </c>
      <c r="Y169" s="666"/>
      <c r="Z169" s="666"/>
      <c r="AA169" s="666" t="s">
        <v>69</v>
      </c>
      <c r="AB169" s="666"/>
      <c r="AC169" s="666"/>
      <c r="AD169" s="666" t="s">
        <v>69</v>
      </c>
      <c r="AE169" s="666"/>
      <c r="AF169" s="666">
        <f>VLOOKUP(A169,'Incrementare indexe'!$D:$Q,13,FALSE)</f>
        <v>0</v>
      </c>
      <c r="AG169" s="666"/>
      <c r="AH169" s="666"/>
      <c r="AI169" s="666">
        <f>AI166</f>
        <v>31</v>
      </c>
      <c r="AJ169" s="666"/>
      <c r="AK169" s="666">
        <f>ROUND(AF169/AI169,2)</f>
        <v>0</v>
      </c>
      <c r="AL169" s="666"/>
      <c r="AM169" s="666"/>
    </row>
    <row r="170" spans="1:39" ht="8.4499999999999993" customHeight="1">
      <c r="A170" s="736"/>
      <c r="B170" s="737"/>
      <c r="C170" s="737"/>
      <c r="D170" s="737"/>
      <c r="E170" s="737"/>
      <c r="F170" s="738"/>
      <c r="G170" s="742"/>
      <c r="H170" s="742"/>
      <c r="I170" s="742"/>
      <c r="J170" s="736" t="str">
        <f t="shared" si="9"/>
        <v>-</v>
      </c>
      <c r="K170" s="737"/>
      <c r="L170" s="738"/>
      <c r="M170" s="742"/>
      <c r="N170" s="742"/>
      <c r="O170" s="742"/>
      <c r="P170" s="742"/>
      <c r="Q170" s="742"/>
      <c r="R170" s="666"/>
      <c r="S170" s="666"/>
      <c r="T170" s="666"/>
      <c r="U170" s="666"/>
      <c r="V170" s="666"/>
      <c r="W170" s="666"/>
      <c r="X170" s="666"/>
      <c r="Y170" s="666"/>
      <c r="Z170" s="666"/>
      <c r="AA170" s="666"/>
      <c r="AB170" s="666"/>
      <c r="AC170" s="666"/>
      <c r="AD170" s="666"/>
      <c r="AE170" s="666"/>
      <c r="AF170" s="666"/>
      <c r="AG170" s="666"/>
      <c r="AH170" s="666"/>
      <c r="AI170" s="666"/>
      <c r="AJ170" s="666"/>
      <c r="AK170" s="666"/>
      <c r="AL170" s="666"/>
      <c r="AM170" s="666"/>
    </row>
    <row r="171" spans="1:39" ht="14.1" customHeight="1">
      <c r="A171" s="669"/>
      <c r="B171" s="672"/>
      <c r="C171" s="672"/>
      <c r="D171" s="672"/>
      <c r="E171" s="672"/>
      <c r="F171" s="670"/>
      <c r="G171" s="742"/>
      <c r="H171" s="742"/>
      <c r="I171" s="742"/>
      <c r="J171" s="739">
        <f t="shared" si="9"/>
        <v>45808</v>
      </c>
      <c r="K171" s="740"/>
      <c r="L171" s="741"/>
      <c r="M171" s="742"/>
      <c r="N171" s="742"/>
      <c r="O171" s="742"/>
      <c r="P171" s="742"/>
      <c r="Q171" s="742"/>
      <c r="R171" s="666"/>
      <c r="S171" s="666"/>
      <c r="T171" s="666"/>
      <c r="U171" s="666"/>
      <c r="V171" s="666"/>
      <c r="W171" s="666"/>
      <c r="X171" s="666"/>
      <c r="Y171" s="666"/>
      <c r="Z171" s="666"/>
      <c r="AA171" s="666"/>
      <c r="AB171" s="666"/>
      <c r="AC171" s="666"/>
      <c r="AD171" s="666"/>
      <c r="AE171" s="666"/>
      <c r="AF171" s="666"/>
      <c r="AG171" s="666"/>
      <c r="AH171" s="666"/>
      <c r="AI171" s="666"/>
      <c r="AJ171" s="666"/>
      <c r="AK171" s="666"/>
      <c r="AL171" s="666"/>
      <c r="AM171" s="666"/>
    </row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 ht="14.1" customHeight="1"/>
    <row r="187" spans="1:39">
      <c r="A187" s="649" t="s">
        <v>748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VLOOKUP(AI188,'Contorizare in SDI'!$E:$I,4,FALSE)</f>
        <v>594030500002463001/4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50" t="s">
        <v>695</v>
      </c>
      <c r="AJ187" s="650"/>
      <c r="AK187" s="650"/>
      <c r="AL187" s="650"/>
      <c r="AM187" s="650"/>
    </row>
    <row r="188" spans="1:39">
      <c r="A188" s="649" t="s">
        <v>746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VLOOKUP(AI188,'Inchidere contur'!$G:$U,15,FALSE)</f>
        <v>JT_SDI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50" t="str">
        <f>_xlfn.CONCAT(AA136,".",2)</f>
        <v>RGSC_2.2</v>
      </c>
      <c r="AJ188" s="650"/>
      <c r="AK188" s="650"/>
      <c r="AL188" s="650"/>
      <c r="AM188" s="650"/>
    </row>
    <row r="189" spans="1:39">
      <c r="A189" s="649" t="s">
        <v>747</v>
      </c>
      <c r="B189" s="649"/>
      <c r="C189" s="649"/>
      <c r="D189" s="649"/>
      <c r="E189" s="649"/>
      <c r="F189" s="649"/>
      <c r="G189" s="649"/>
      <c r="H189" s="649"/>
      <c r="I189" s="649"/>
      <c r="J189" s="649"/>
      <c r="K189" s="649"/>
      <c r="L189" s="649"/>
      <c r="M189" s="650" t="str">
        <f>IF(LEFT(M188,2)="JT","0.4kV",IF(LEFT(M188,2)="MT","20kV","-"))</f>
        <v>0.4kV</v>
      </c>
      <c r="N189" s="650"/>
      <c r="O189" s="650"/>
      <c r="P189" s="650"/>
      <c r="Q189" s="650"/>
      <c r="R189" s="650"/>
      <c r="S189" s="650"/>
      <c r="T189" s="650"/>
      <c r="U189" s="650"/>
      <c r="V189" s="650"/>
      <c r="W189" s="650"/>
      <c r="X189" s="650"/>
      <c r="Y189" s="650"/>
      <c r="Z189" s="650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</row>
    <row r="190" spans="1:39" ht="15.95" customHeight="1">
      <c r="A190" s="742" t="s">
        <v>697</v>
      </c>
      <c r="B190" s="742"/>
      <c r="C190" s="742"/>
      <c r="D190" s="742"/>
      <c r="E190" s="742"/>
      <c r="F190" s="742"/>
      <c r="G190" s="666" t="s">
        <v>713</v>
      </c>
      <c r="H190" s="666"/>
      <c r="I190" s="666"/>
      <c r="J190" s="666" t="s">
        <v>714</v>
      </c>
      <c r="K190" s="666"/>
      <c r="L190" s="666"/>
      <c r="M190" s="742" t="s">
        <v>519</v>
      </c>
      <c r="N190" s="742"/>
      <c r="O190" s="742" t="s">
        <v>715</v>
      </c>
      <c r="P190" s="742"/>
      <c r="Q190" s="742"/>
      <c r="R190" s="666" t="s">
        <v>732</v>
      </c>
      <c r="S190" s="666"/>
      <c r="T190" s="666"/>
      <c r="U190" s="666" t="s">
        <v>734</v>
      </c>
      <c r="V190" s="666"/>
      <c r="W190" s="666"/>
      <c r="X190" s="666" t="s">
        <v>1085</v>
      </c>
      <c r="Y190" s="666"/>
      <c r="Z190" s="666"/>
      <c r="AA190" s="666" t="s">
        <v>1086</v>
      </c>
      <c r="AB190" s="666"/>
      <c r="AC190" s="666"/>
      <c r="AD190" s="666" t="s">
        <v>717</v>
      </c>
      <c r="AE190" s="666"/>
      <c r="AF190" s="666" t="s">
        <v>718</v>
      </c>
      <c r="AG190" s="666"/>
      <c r="AH190" s="666"/>
      <c r="AI190" s="666" t="s">
        <v>719</v>
      </c>
      <c r="AJ190" s="666"/>
      <c r="AK190" s="666" t="s">
        <v>733</v>
      </c>
      <c r="AL190" s="666"/>
      <c r="AM190" s="666"/>
    </row>
    <row r="191" spans="1:39">
      <c r="A191" s="742"/>
      <c r="B191" s="742"/>
      <c r="C191" s="742"/>
      <c r="D191" s="742"/>
      <c r="E191" s="742"/>
      <c r="F191" s="742"/>
      <c r="G191" s="666"/>
      <c r="H191" s="666"/>
      <c r="I191" s="666"/>
      <c r="J191" s="666"/>
      <c r="K191" s="666"/>
      <c r="L191" s="666"/>
      <c r="M191" s="742"/>
      <c r="N191" s="742"/>
      <c r="O191" s="742"/>
      <c r="P191" s="742"/>
      <c r="Q191" s="742"/>
      <c r="R191" s="666"/>
      <c r="S191" s="666"/>
      <c r="T191" s="666"/>
      <c r="U191" s="666"/>
      <c r="V191" s="666"/>
      <c r="W191" s="666"/>
      <c r="X191" s="666"/>
      <c r="Y191" s="666"/>
      <c r="Z191" s="666"/>
      <c r="AA191" s="666"/>
      <c r="AB191" s="666"/>
      <c r="AC191" s="666"/>
      <c r="AD191" s="666"/>
      <c r="AE191" s="666"/>
      <c r="AF191" s="666"/>
      <c r="AG191" s="666"/>
      <c r="AH191" s="666"/>
      <c r="AI191" s="666"/>
      <c r="AJ191" s="666"/>
      <c r="AK191" s="666"/>
      <c r="AL191" s="666"/>
      <c r="AM191" s="666"/>
    </row>
    <row r="192" spans="1:39">
      <c r="A192" s="742"/>
      <c r="B192" s="742"/>
      <c r="C192" s="742"/>
      <c r="D192" s="742"/>
      <c r="E192" s="742"/>
      <c r="F192" s="742"/>
      <c r="G192" s="666"/>
      <c r="H192" s="666"/>
      <c r="I192" s="666"/>
      <c r="J192" s="748"/>
      <c r="K192" s="748"/>
      <c r="L192" s="748"/>
      <c r="M192" s="742"/>
      <c r="N192" s="742"/>
      <c r="O192" s="742"/>
      <c r="P192" s="742"/>
      <c r="Q192" s="742"/>
      <c r="R192" s="666"/>
      <c r="S192" s="666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666"/>
      <c r="AL192" s="666"/>
      <c r="AM192" s="666"/>
    </row>
    <row r="193" spans="1:39" ht="14.1" customHeight="1">
      <c r="A193" s="667">
        <f>VLOOKUP(AI188,'Contorizare in SDI'!$E:$I,5,FALSE)</f>
        <v>1371628703</v>
      </c>
      <c r="B193" s="671"/>
      <c r="C193" s="671"/>
      <c r="D193" s="671"/>
      <c r="E193" s="671"/>
      <c r="F193" s="668"/>
      <c r="G193" s="742" t="s">
        <v>730</v>
      </c>
      <c r="H193" s="742"/>
      <c r="I193" s="750"/>
      <c r="J193" s="743">
        <f>'Date masura OD'!$AK$5</f>
        <v>45748</v>
      </c>
      <c r="K193" s="744"/>
      <c r="L193" s="745"/>
      <c r="M193" s="747" t="s">
        <v>446</v>
      </c>
      <c r="N193" s="742"/>
      <c r="O193" s="742">
        <f>VLOOKUP(AI188,'Incrementare indexe'!$B:$T,4,FALSE)</f>
        <v>1</v>
      </c>
      <c r="P193" s="742"/>
      <c r="Q193" s="742"/>
      <c r="R193" s="666" t="str">
        <f>VLOOKUP(A193,Regularizare!$D:$YN,3,FALSE)&amp;" ("&amp;VLOOKUP(A193,Regularizare!$D:$Y,11,FALSE)&amp;")"</f>
        <v>3366507 (citit)</v>
      </c>
      <c r="S193" s="666"/>
      <c r="T193" s="666"/>
      <c r="U193" s="666" t="str">
        <f>VLOOKUP(A193,Regularizare!$D:$U,4,FALSE)&amp;" ("&amp;VLOOKUP(A193,Regularizare!$D:$U,12,FALSE)&amp;")"</f>
        <v>3477517 (estimat)</v>
      </c>
      <c r="V193" s="666"/>
      <c r="W193" s="666"/>
      <c r="X193" s="666" t="str">
        <f>VLOOKUP(A193,Regularizare!$D:$Y,19,FALSE)&amp;" ("&amp;VLOOKUP(A193,Regularizare!$D:$U,12,FALSE)&amp;")"</f>
        <v>111010 (estimat)</v>
      </c>
      <c r="Y193" s="666"/>
      <c r="Z193" s="666"/>
      <c r="AA193" s="666">
        <f>(-1)*VLOOKUP(A193,Regularizare!$D:$Y,19,FALSE)</f>
        <v>-111010</v>
      </c>
      <c r="AB193" s="666"/>
      <c r="AC193" s="666"/>
      <c r="AD193" s="666" t="s">
        <v>69</v>
      </c>
      <c r="AE193" s="666"/>
      <c r="AF193" s="666">
        <f>AA193</f>
        <v>-111010</v>
      </c>
      <c r="AG193" s="666"/>
      <c r="AH193" s="666"/>
      <c r="AI193" s="666" t="s">
        <v>69</v>
      </c>
      <c r="AJ193" s="666"/>
      <c r="AK193" s="666" t="s">
        <v>69</v>
      </c>
      <c r="AL193" s="666"/>
      <c r="AM193" s="666"/>
    </row>
    <row r="194" spans="1:39" ht="9.75" customHeight="1">
      <c r="A194" s="736"/>
      <c r="B194" s="737"/>
      <c r="C194" s="737"/>
      <c r="D194" s="737"/>
      <c r="E194" s="737"/>
      <c r="F194" s="738"/>
      <c r="G194" s="742"/>
      <c r="H194" s="742"/>
      <c r="I194" s="750"/>
      <c r="J194" s="736" t="s">
        <v>69</v>
      </c>
      <c r="K194" s="737"/>
      <c r="L194" s="738"/>
      <c r="M194" s="747"/>
      <c r="N194" s="742"/>
      <c r="O194" s="742"/>
      <c r="P194" s="742"/>
      <c r="Q194" s="742"/>
      <c r="R194" s="666"/>
      <c r="S194" s="666"/>
      <c r="T194" s="666"/>
      <c r="U194" s="666"/>
      <c r="V194" s="666"/>
      <c r="W194" s="666"/>
      <c r="X194" s="666"/>
      <c r="Y194" s="666"/>
      <c r="Z194" s="666"/>
      <c r="AA194" s="666"/>
      <c r="AB194" s="666"/>
      <c r="AC194" s="666"/>
      <c r="AD194" s="666"/>
      <c r="AE194" s="666"/>
      <c r="AF194" s="666"/>
      <c r="AG194" s="666"/>
      <c r="AH194" s="666"/>
      <c r="AI194" s="666"/>
      <c r="AJ194" s="666"/>
      <c r="AK194" s="666"/>
      <c r="AL194" s="666"/>
      <c r="AM194" s="666"/>
    </row>
    <row r="195" spans="1:39" ht="14.1" customHeight="1">
      <c r="A195" s="669"/>
      <c r="B195" s="672"/>
      <c r="C195" s="672"/>
      <c r="D195" s="672"/>
      <c r="E195" s="672"/>
      <c r="F195" s="670"/>
      <c r="G195" s="742"/>
      <c r="H195" s="742"/>
      <c r="I195" s="750"/>
      <c r="J195" s="739">
        <f>'Date masura OD'!$AL$5</f>
        <v>45777</v>
      </c>
      <c r="K195" s="740"/>
      <c r="L195" s="741"/>
      <c r="M195" s="747"/>
      <c r="N195" s="742"/>
      <c r="O195" s="742"/>
      <c r="P195" s="742"/>
      <c r="Q195" s="742"/>
      <c r="R195" s="666"/>
      <c r="S195" s="666"/>
      <c r="T195" s="666"/>
      <c r="U195" s="666"/>
      <c r="V195" s="666"/>
      <c r="W195" s="666"/>
      <c r="X195" s="666"/>
      <c r="Y195" s="666"/>
      <c r="Z195" s="666"/>
      <c r="AA195" s="666"/>
      <c r="AB195" s="666"/>
      <c r="AC195" s="666"/>
      <c r="AD195" s="666"/>
      <c r="AE195" s="666"/>
      <c r="AF195" s="666"/>
      <c r="AG195" s="666"/>
      <c r="AH195" s="666"/>
      <c r="AI195" s="666"/>
      <c r="AJ195" s="666"/>
      <c r="AK195" s="666"/>
      <c r="AL195" s="666"/>
      <c r="AM195" s="666"/>
    </row>
    <row r="196" spans="1:39" ht="14.1" customHeight="1">
      <c r="A196" s="667">
        <f>A193</f>
        <v>1371628703</v>
      </c>
      <c r="B196" s="671"/>
      <c r="C196" s="671"/>
      <c r="D196" s="671"/>
      <c r="E196" s="671"/>
      <c r="F196" s="668"/>
      <c r="G196" s="742" t="s">
        <v>696</v>
      </c>
      <c r="H196" s="742"/>
      <c r="I196" s="742"/>
      <c r="J196" s="743">
        <f t="shared" ref="J196:J201" si="10">J193</f>
        <v>45748</v>
      </c>
      <c r="K196" s="744"/>
      <c r="L196" s="745"/>
      <c r="M196" s="742" t="s">
        <v>720</v>
      </c>
      <c r="N196" s="742"/>
      <c r="O196" s="742">
        <f>O193</f>
        <v>1</v>
      </c>
      <c r="P196" s="742"/>
      <c r="Q196" s="742"/>
      <c r="R196" s="666" t="str">
        <f>VLOOKUP(A196,Regularizare!$D:$U,7,FALSE)&amp;" ("&amp;VLOOKUP(A196,Regularizare!$D:$U,15,FALSE)&amp;")"</f>
        <v>272596 (citit)</v>
      </c>
      <c r="S196" s="666"/>
      <c r="T196" s="666"/>
      <c r="U196" s="666" t="str">
        <f>VLOOKUP(A196,Regularizare!$D:$U,8,FALSE)&amp;" ("&amp;VLOOKUP(A196,Regularizare!$D:$U,16,FALSE)&amp;")"</f>
        <v>272596 (estimat)</v>
      </c>
      <c r="V196" s="666"/>
      <c r="W196" s="666"/>
      <c r="X196" s="666" t="str">
        <f>_xlfn.CONCAT(VLOOKUP(A196,Regularizare!$D:$U,8,FALSE)-VLOOKUP(A196,Regularizare!$D:$U,7,FALSE)," (",VLOOKUP(A196,Regularizare!$D:$U,16,FALSE),")")</f>
        <v>0 (estimat)</v>
      </c>
      <c r="Y196" s="666"/>
      <c r="Z196" s="666"/>
      <c r="AA196" s="666">
        <f>IF(VLOOKUP(A196,Regularizare!$D:$Y,21,FALSE)=0,VLOOKUP(A196,Regularizare!$D:$Y,21,FALSE),(-1)*VLOOKUP(A196,Regularizare!$D:$Y,21,FALSE))</f>
        <v>0</v>
      </c>
      <c r="AB196" s="666"/>
      <c r="AC196" s="666"/>
      <c r="AD196" s="666" t="s">
        <v>69</v>
      </c>
      <c r="AE196" s="666"/>
      <c r="AF196" s="666">
        <f>AA196</f>
        <v>0</v>
      </c>
      <c r="AG196" s="666"/>
      <c r="AH196" s="666"/>
      <c r="AI196" s="666" t="str">
        <f>AI193</f>
        <v>-</v>
      </c>
      <c r="AJ196" s="666"/>
      <c r="AK196" s="666" t="str">
        <f>AK193</f>
        <v>-</v>
      </c>
      <c r="AL196" s="666"/>
      <c r="AM196" s="666"/>
    </row>
    <row r="197" spans="1:39" ht="8.4499999999999993" customHeight="1">
      <c r="A197" s="736"/>
      <c r="B197" s="737"/>
      <c r="C197" s="737"/>
      <c r="D197" s="737"/>
      <c r="E197" s="737"/>
      <c r="F197" s="738"/>
      <c r="G197" s="742"/>
      <c r="H197" s="742"/>
      <c r="I197" s="742"/>
      <c r="J197" s="736" t="str">
        <f t="shared" si="10"/>
        <v>-</v>
      </c>
      <c r="K197" s="737"/>
      <c r="L197" s="738"/>
      <c r="M197" s="742"/>
      <c r="N197" s="742"/>
      <c r="O197" s="742"/>
      <c r="P197" s="742"/>
      <c r="Q197" s="742"/>
      <c r="R197" s="666"/>
      <c r="S197" s="666"/>
      <c r="T197" s="666"/>
      <c r="U197" s="666"/>
      <c r="V197" s="666"/>
      <c r="W197" s="666"/>
      <c r="X197" s="666"/>
      <c r="Y197" s="666"/>
      <c r="Z197" s="666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</row>
    <row r="198" spans="1:39" ht="14.1" customHeight="1">
      <c r="A198" s="669"/>
      <c r="B198" s="672"/>
      <c r="C198" s="672"/>
      <c r="D198" s="672"/>
      <c r="E198" s="672"/>
      <c r="F198" s="670"/>
      <c r="G198" s="742"/>
      <c r="H198" s="742"/>
      <c r="I198" s="742"/>
      <c r="J198" s="739">
        <f t="shared" si="10"/>
        <v>45777</v>
      </c>
      <c r="K198" s="740"/>
      <c r="L198" s="741"/>
      <c r="M198" s="742"/>
      <c r="N198" s="742"/>
      <c r="O198" s="742"/>
      <c r="P198" s="742"/>
      <c r="Q198" s="742"/>
      <c r="R198" s="666"/>
      <c r="S198" s="666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666"/>
      <c r="AL198" s="666"/>
      <c r="AM198" s="666"/>
    </row>
    <row r="199" spans="1:39" ht="14.1" customHeight="1">
      <c r="A199" s="667">
        <f>A196</f>
        <v>1371628703</v>
      </c>
      <c r="B199" s="671"/>
      <c r="C199" s="671"/>
      <c r="D199" s="671"/>
      <c r="E199" s="671"/>
      <c r="F199" s="668"/>
      <c r="G199" s="742" t="s">
        <v>731</v>
      </c>
      <c r="H199" s="742"/>
      <c r="I199" s="742"/>
      <c r="J199" s="743">
        <f t="shared" si="10"/>
        <v>45748</v>
      </c>
      <c r="K199" s="744"/>
      <c r="L199" s="745"/>
      <c r="M199" s="742" t="s">
        <v>720</v>
      </c>
      <c r="N199" s="742"/>
      <c r="O199" s="742">
        <f>O196</f>
        <v>1</v>
      </c>
      <c r="P199" s="742"/>
      <c r="Q199" s="742"/>
      <c r="R199" s="666" t="str">
        <f>VLOOKUP(A199,Regularizare!$D:$U,9,FALSE)&amp;" ("&amp;VLOOKUP(A199,Regularizare!$D:$U,17,FALSE)&amp;")"</f>
        <v>40904 (citit)</v>
      </c>
      <c r="S199" s="666"/>
      <c r="T199" s="666"/>
      <c r="U199" s="666" t="str">
        <f>VLOOKUP(A199,Regularizare!$D:$U,10,FALSE)&amp;" ("&amp;VLOOKUP(A199,Regularizare!$D:$U,18,FALSE)&amp;")"</f>
        <v>40904 (estimat)</v>
      </c>
      <c r="V199" s="666"/>
      <c r="W199" s="666"/>
      <c r="X199" s="666" t="str">
        <f>_xlfn.CONCAT(VLOOKUP(A199,Regularizare!$D:$U,10,FALSE)-VLOOKUP(A199,Regularizare!$D:$U,9,FALSE)," (",VLOOKUP(A199,Regularizare!$D:$U,18,FALSE),")")</f>
        <v>0 (estimat)</v>
      </c>
      <c r="Y199" s="666"/>
      <c r="Z199" s="666"/>
      <c r="AA199" s="666">
        <f>IF(VLOOKUP(A199,Regularizare!$D:$Y,22,FALSE)=0,VLOOKUP(A199,Regularizare!$D:$Y,22,FALSE),(-1)*VLOOKUP(A199,Regularizare!$D:$Y,22,FALSE))</f>
        <v>0</v>
      </c>
      <c r="AB199" s="666"/>
      <c r="AC199" s="666"/>
      <c r="AD199" s="666" t="s">
        <v>69</v>
      </c>
      <c r="AE199" s="666"/>
      <c r="AF199" s="666">
        <f>AA199</f>
        <v>0</v>
      </c>
      <c r="AG199" s="666"/>
      <c r="AH199" s="666"/>
      <c r="AI199" s="666" t="str">
        <f>AI196</f>
        <v>-</v>
      </c>
      <c r="AJ199" s="666"/>
      <c r="AK199" s="666" t="str">
        <f>AK196</f>
        <v>-</v>
      </c>
      <c r="AL199" s="666"/>
      <c r="AM199" s="666"/>
    </row>
    <row r="200" spans="1:39" ht="8.4499999999999993" customHeight="1">
      <c r="A200" s="736"/>
      <c r="B200" s="737"/>
      <c r="C200" s="737"/>
      <c r="D200" s="737"/>
      <c r="E200" s="737"/>
      <c r="F200" s="738"/>
      <c r="G200" s="742"/>
      <c r="H200" s="742"/>
      <c r="I200" s="742"/>
      <c r="J200" s="736" t="str">
        <f t="shared" si="10"/>
        <v>-</v>
      </c>
      <c r="K200" s="737"/>
      <c r="L200" s="738"/>
      <c r="M200" s="742"/>
      <c r="N200" s="742"/>
      <c r="O200" s="742"/>
      <c r="P200" s="742"/>
      <c r="Q200" s="742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6"/>
      <c r="AJ200" s="666"/>
      <c r="AK200" s="666"/>
      <c r="AL200" s="666"/>
      <c r="AM200" s="666"/>
    </row>
    <row r="201" spans="1:39" ht="14.1" customHeight="1">
      <c r="A201" s="669"/>
      <c r="B201" s="672"/>
      <c r="C201" s="672"/>
      <c r="D201" s="672"/>
      <c r="E201" s="672"/>
      <c r="F201" s="670"/>
      <c r="G201" s="742"/>
      <c r="H201" s="742"/>
      <c r="I201" s="742"/>
      <c r="J201" s="739">
        <f t="shared" si="10"/>
        <v>45777</v>
      </c>
      <c r="K201" s="740"/>
      <c r="L201" s="741"/>
      <c r="M201" s="742"/>
      <c r="N201" s="742"/>
      <c r="O201" s="742"/>
      <c r="P201" s="742"/>
      <c r="Q201" s="742"/>
      <c r="R201" s="666"/>
      <c r="S201" s="666"/>
      <c r="T201" s="666"/>
      <c r="U201" s="666"/>
      <c r="V201" s="666"/>
      <c r="W201" s="666"/>
      <c r="X201" s="666"/>
      <c r="Y201" s="666"/>
      <c r="Z201" s="666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</row>
    <row r="202" spans="1:39" ht="14.1" customHeight="1">
      <c r="A202" s="667">
        <f>A199</f>
        <v>1371628703</v>
      </c>
      <c r="B202" s="671"/>
      <c r="C202" s="671"/>
      <c r="D202" s="671"/>
      <c r="E202" s="671"/>
      <c r="F202" s="668"/>
      <c r="G202" s="742" t="s">
        <v>730</v>
      </c>
      <c r="H202" s="742"/>
      <c r="I202" s="750"/>
      <c r="J202" s="743">
        <f>'Date masura OD'!$AK$5</f>
        <v>45748</v>
      </c>
      <c r="K202" s="744"/>
      <c r="L202" s="745"/>
      <c r="M202" s="747" t="s">
        <v>446</v>
      </c>
      <c r="N202" s="742"/>
      <c r="O202" s="742">
        <f>O199</f>
        <v>1</v>
      </c>
      <c r="P202" s="742"/>
      <c r="Q202" s="742"/>
      <c r="R202" s="666" t="str">
        <f>VLOOKUP(A202,Regularizare!$D:$AX,23,FALSE)&amp;" ("&amp;VLOOKUP(A202,Regularizare!$D:$AX,24,FALSE)&amp;")"</f>
        <v>3366507 (citit)</v>
      </c>
      <c r="S202" s="666"/>
      <c r="T202" s="666"/>
      <c r="U202" s="666" t="str">
        <f>VLOOKUP(A202,Regularizare!$D:$AX,25,FALSE)&amp;" ("&amp;VLOOKUP(A202,Regularizare!$D:$AX,26,FALSE)&amp;")"</f>
        <v>3477517 (citit)</v>
      </c>
      <c r="V202" s="666"/>
      <c r="W202" s="666"/>
      <c r="X202" s="666" t="str">
        <f>VLOOKUP(A202,Regularizare!$D:$AX,37,FALSE)&amp;" ("&amp;VLOOKUP(A202,Regularizare!$D:$AX,26,FALSE)&amp;")"</f>
        <v>111010 (citit)</v>
      </c>
      <c r="Y202" s="666"/>
      <c r="Z202" s="666"/>
      <c r="AA202" s="666">
        <f>VLOOKUP(A202,Regularizare!$D:$AX,37,FALSE)</f>
        <v>111010</v>
      </c>
      <c r="AB202" s="666"/>
      <c r="AC202" s="666"/>
      <c r="AD202" s="666" t="s">
        <v>69</v>
      </c>
      <c r="AE202" s="666"/>
      <c r="AF202" s="666">
        <f>AA202</f>
        <v>111010</v>
      </c>
      <c r="AG202" s="666"/>
      <c r="AH202" s="666"/>
      <c r="AI202" s="666" t="str">
        <f>AI199</f>
        <v>-</v>
      </c>
      <c r="AJ202" s="666"/>
      <c r="AK202" s="666" t="str">
        <f>AK199</f>
        <v>-</v>
      </c>
      <c r="AL202" s="666"/>
      <c r="AM202" s="666"/>
    </row>
    <row r="203" spans="1:39" ht="8.4499999999999993" customHeight="1">
      <c r="A203" s="736"/>
      <c r="B203" s="737"/>
      <c r="C203" s="737"/>
      <c r="D203" s="737"/>
      <c r="E203" s="737"/>
      <c r="F203" s="738"/>
      <c r="G203" s="742"/>
      <c r="H203" s="742"/>
      <c r="I203" s="750"/>
      <c r="J203" s="736" t="s">
        <v>69</v>
      </c>
      <c r="K203" s="737"/>
      <c r="L203" s="738"/>
      <c r="M203" s="747"/>
      <c r="N203" s="742"/>
      <c r="O203" s="742"/>
      <c r="P203" s="742"/>
      <c r="Q203" s="742"/>
      <c r="R203" s="666"/>
      <c r="S203" s="666"/>
      <c r="T203" s="666"/>
      <c r="U203" s="666"/>
      <c r="V203" s="666"/>
      <c r="W203" s="666"/>
      <c r="X203" s="666"/>
      <c r="Y203" s="666"/>
      <c r="Z203" s="666"/>
      <c r="AA203" s="666"/>
      <c r="AB203" s="666"/>
      <c r="AC203" s="666"/>
      <c r="AD203" s="666"/>
      <c r="AE203" s="666"/>
      <c r="AF203" s="666"/>
      <c r="AG203" s="666"/>
      <c r="AH203" s="666"/>
      <c r="AI203" s="666"/>
      <c r="AJ203" s="666"/>
      <c r="AK203" s="666"/>
      <c r="AL203" s="666"/>
      <c r="AM203" s="666"/>
    </row>
    <row r="204" spans="1:39" ht="14.1" customHeight="1">
      <c r="A204" s="669"/>
      <c r="B204" s="672"/>
      <c r="C204" s="672"/>
      <c r="D204" s="672"/>
      <c r="E204" s="672"/>
      <c r="F204" s="670"/>
      <c r="G204" s="742"/>
      <c r="H204" s="742"/>
      <c r="I204" s="750"/>
      <c r="J204" s="739">
        <f>'Date masura OD'!$AL$5</f>
        <v>45777</v>
      </c>
      <c r="K204" s="740"/>
      <c r="L204" s="741"/>
      <c r="M204" s="747"/>
      <c r="N204" s="742"/>
      <c r="O204" s="742"/>
      <c r="P204" s="742"/>
      <c r="Q204" s="742"/>
      <c r="R204" s="666"/>
      <c r="S204" s="666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666"/>
      <c r="AL204" s="666"/>
      <c r="AM204" s="666"/>
    </row>
    <row r="205" spans="1:39" ht="14.1" customHeight="1">
      <c r="A205" s="667">
        <f>A202</f>
        <v>1371628703</v>
      </c>
      <c r="B205" s="671"/>
      <c r="C205" s="671"/>
      <c r="D205" s="671"/>
      <c r="E205" s="671"/>
      <c r="F205" s="668"/>
      <c r="G205" s="742" t="s">
        <v>696</v>
      </c>
      <c r="H205" s="742"/>
      <c r="I205" s="742"/>
      <c r="J205" s="743">
        <f t="shared" ref="J205:J210" si="11">J202</f>
        <v>45748</v>
      </c>
      <c r="K205" s="744"/>
      <c r="L205" s="745"/>
      <c r="M205" s="742" t="s">
        <v>720</v>
      </c>
      <c r="N205" s="742"/>
      <c r="O205" s="742">
        <f>O202</f>
        <v>1</v>
      </c>
      <c r="P205" s="742"/>
      <c r="Q205" s="742"/>
      <c r="R205" s="666" t="str">
        <f>VLOOKUP(A205,Regularizare!$D:$AX,29,FALSE)&amp;" ("&amp;VLOOKUP(A205,Regularizare!$D:$AX,30,FALSE)&amp;")"</f>
        <v>272596 (citit)</v>
      </c>
      <c r="S205" s="666"/>
      <c r="T205" s="666"/>
      <c r="U205" s="666" t="str">
        <f>VLOOKUP(A205,Regularizare!$D:$AX,31,FALSE)&amp;" ("&amp;VLOOKUP(A205,Regularizare!$D:$AX,32,FALSE)&amp;")"</f>
        <v>272596 (citit)</v>
      </c>
      <c r="V205" s="666"/>
      <c r="W205" s="666"/>
      <c r="X205" s="666" t="str">
        <f>VLOOKUP(A205,Regularizare!$D:$AX,39,FALSE)&amp;" ("&amp;VLOOKUP(A205,Regularizare!$D:$AX,32,FALSE)&amp;")"</f>
        <v>0 (citit)</v>
      </c>
      <c r="Y205" s="666"/>
      <c r="Z205" s="666"/>
      <c r="AA205" s="666">
        <f>VLOOKUP(A205,Regularizare!$D:$AX,44,FALSE)+VLOOKUP(A205,Regularizare!$D:$AX,45,FALSE)</f>
        <v>0</v>
      </c>
      <c r="AB205" s="666"/>
      <c r="AC205" s="666"/>
      <c r="AD205" s="666" t="s">
        <v>69</v>
      </c>
      <c r="AE205" s="666"/>
      <c r="AF205" s="666">
        <f>AA205</f>
        <v>0</v>
      </c>
      <c r="AG205" s="666"/>
      <c r="AH205" s="666"/>
      <c r="AI205" s="666" t="str">
        <f>AI202</f>
        <v>-</v>
      </c>
      <c r="AJ205" s="666"/>
      <c r="AK205" s="666" t="str">
        <f>AK202</f>
        <v>-</v>
      </c>
      <c r="AL205" s="666"/>
      <c r="AM205" s="666"/>
    </row>
    <row r="206" spans="1:39" ht="8.4499999999999993" customHeight="1">
      <c r="A206" s="736"/>
      <c r="B206" s="737"/>
      <c r="C206" s="737"/>
      <c r="D206" s="737"/>
      <c r="E206" s="737"/>
      <c r="F206" s="738"/>
      <c r="G206" s="742"/>
      <c r="H206" s="742"/>
      <c r="I206" s="742"/>
      <c r="J206" s="736" t="str">
        <f t="shared" si="11"/>
        <v>-</v>
      </c>
      <c r="K206" s="737"/>
      <c r="L206" s="738"/>
      <c r="M206" s="742"/>
      <c r="N206" s="742"/>
      <c r="O206" s="742"/>
      <c r="P206" s="742"/>
      <c r="Q206" s="742"/>
      <c r="R206" s="666"/>
      <c r="S206" s="666"/>
      <c r="T206" s="666"/>
      <c r="U206" s="666"/>
      <c r="V206" s="666"/>
      <c r="W206" s="666"/>
      <c r="X206" s="666"/>
      <c r="Y206" s="666"/>
      <c r="Z206" s="666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</row>
    <row r="207" spans="1:39" ht="14.1" customHeight="1">
      <c r="A207" s="669"/>
      <c r="B207" s="672"/>
      <c r="C207" s="672"/>
      <c r="D207" s="672"/>
      <c r="E207" s="672"/>
      <c r="F207" s="670"/>
      <c r="G207" s="742"/>
      <c r="H207" s="742"/>
      <c r="I207" s="742"/>
      <c r="J207" s="739">
        <f t="shared" si="11"/>
        <v>45777</v>
      </c>
      <c r="K207" s="740"/>
      <c r="L207" s="741"/>
      <c r="M207" s="742"/>
      <c r="N207" s="742"/>
      <c r="O207" s="742"/>
      <c r="P207" s="742"/>
      <c r="Q207" s="742"/>
      <c r="R207" s="666"/>
      <c r="S207" s="666"/>
      <c r="T207" s="666"/>
      <c r="U207" s="666"/>
      <c r="V207" s="666"/>
      <c r="W207" s="666"/>
      <c r="X207" s="666"/>
      <c r="Y207" s="666"/>
      <c r="Z207" s="666"/>
      <c r="AA207" s="666"/>
      <c r="AB207" s="666"/>
      <c r="AC207" s="666"/>
      <c r="AD207" s="666"/>
      <c r="AE207" s="666"/>
      <c r="AF207" s="666"/>
      <c r="AG207" s="666"/>
      <c r="AH207" s="666"/>
      <c r="AI207" s="666"/>
      <c r="AJ207" s="666"/>
      <c r="AK207" s="666"/>
      <c r="AL207" s="666"/>
      <c r="AM207" s="666"/>
    </row>
    <row r="208" spans="1:39" ht="14.1" customHeight="1">
      <c r="A208" s="667">
        <f>A205</f>
        <v>1371628703</v>
      </c>
      <c r="B208" s="671"/>
      <c r="C208" s="671"/>
      <c r="D208" s="671"/>
      <c r="E208" s="671"/>
      <c r="F208" s="668"/>
      <c r="G208" s="742" t="s">
        <v>731</v>
      </c>
      <c r="H208" s="742"/>
      <c r="I208" s="742"/>
      <c r="J208" s="743">
        <f t="shared" si="11"/>
        <v>45748</v>
      </c>
      <c r="K208" s="744"/>
      <c r="L208" s="745"/>
      <c r="M208" s="742" t="s">
        <v>720</v>
      </c>
      <c r="N208" s="742"/>
      <c r="O208" s="742">
        <f>O205</f>
        <v>1</v>
      </c>
      <c r="P208" s="742"/>
      <c r="Q208" s="742"/>
      <c r="R208" s="666" t="str">
        <f>VLOOKUP(A208,Regularizare!$D:$AX,33,FALSE)&amp;" ("&amp;VLOOKUP(A208,Regularizare!$D:$AX,34,FALSE)&amp;")"</f>
        <v>40904 (citit)</v>
      </c>
      <c r="S208" s="666"/>
      <c r="T208" s="666"/>
      <c r="U208" s="666" t="str">
        <f>VLOOKUP(A208,Regularizare!$D:$AX,35,FALSE)&amp;" ("&amp;VLOOKUP(A208,Regularizare!$D:$AX,36,FALSE)&amp;")"</f>
        <v>40904 (citit)</v>
      </c>
      <c r="V208" s="666"/>
      <c r="W208" s="666"/>
      <c r="X208" s="666" t="str">
        <f>VLOOKUP(A208,Regularizare!$D:$AX,40,FALSE)&amp;" ("&amp;VLOOKUP(A208,Regularizare!$D:$AX,36,FALSE)&amp;")"</f>
        <v>0 (citit)</v>
      </c>
      <c r="Y208" s="666"/>
      <c r="Z208" s="666"/>
      <c r="AA208" s="666">
        <f>VLOOKUP(A208,Regularizare!$D:$AX,46,FALSE)+VLOOKUP(A208,Regularizare!$D:$AX,47,FALSE)</f>
        <v>0</v>
      </c>
      <c r="AB208" s="666"/>
      <c r="AC208" s="666"/>
      <c r="AD208" s="666" t="s">
        <v>69</v>
      </c>
      <c r="AE208" s="666"/>
      <c r="AF208" s="666">
        <f>AA208</f>
        <v>0</v>
      </c>
      <c r="AG208" s="666"/>
      <c r="AH208" s="666"/>
      <c r="AI208" s="666" t="str">
        <f>AI205</f>
        <v>-</v>
      </c>
      <c r="AJ208" s="666"/>
      <c r="AK208" s="666" t="str">
        <f>AK205</f>
        <v>-</v>
      </c>
      <c r="AL208" s="666"/>
      <c r="AM208" s="666"/>
    </row>
    <row r="209" spans="1:39" ht="8.4499999999999993" customHeight="1">
      <c r="A209" s="736"/>
      <c r="B209" s="737"/>
      <c r="C209" s="737"/>
      <c r="D209" s="737"/>
      <c r="E209" s="737"/>
      <c r="F209" s="738"/>
      <c r="G209" s="742"/>
      <c r="H209" s="742"/>
      <c r="I209" s="742"/>
      <c r="J209" s="736" t="str">
        <f t="shared" si="11"/>
        <v>-</v>
      </c>
      <c r="K209" s="737"/>
      <c r="L209" s="738"/>
      <c r="M209" s="742"/>
      <c r="N209" s="742"/>
      <c r="O209" s="742"/>
      <c r="P209" s="742"/>
      <c r="Q209" s="742"/>
      <c r="R209" s="666"/>
      <c r="S209" s="666"/>
      <c r="T209" s="666"/>
      <c r="U209" s="666"/>
      <c r="V209" s="666"/>
      <c r="W209" s="666"/>
      <c r="X209" s="666"/>
      <c r="Y209" s="666"/>
      <c r="Z209" s="666"/>
      <c r="AA209" s="666"/>
      <c r="AB209" s="666"/>
      <c r="AC209" s="666"/>
      <c r="AD209" s="666"/>
      <c r="AE209" s="666"/>
      <c r="AF209" s="666"/>
      <c r="AG209" s="666"/>
      <c r="AH209" s="666"/>
      <c r="AI209" s="666"/>
      <c r="AJ209" s="666"/>
      <c r="AK209" s="666"/>
      <c r="AL209" s="666"/>
      <c r="AM209" s="666"/>
    </row>
    <row r="210" spans="1:39" ht="14.1" customHeight="1">
      <c r="A210" s="669"/>
      <c r="B210" s="672"/>
      <c r="C210" s="672"/>
      <c r="D210" s="672"/>
      <c r="E210" s="672"/>
      <c r="F210" s="670"/>
      <c r="G210" s="742"/>
      <c r="H210" s="742"/>
      <c r="I210" s="742"/>
      <c r="J210" s="739">
        <f t="shared" si="11"/>
        <v>45777</v>
      </c>
      <c r="K210" s="740"/>
      <c r="L210" s="741"/>
      <c r="M210" s="742"/>
      <c r="N210" s="742"/>
      <c r="O210" s="742"/>
      <c r="P210" s="742"/>
      <c r="Q210" s="742"/>
      <c r="R210" s="666"/>
      <c r="S210" s="666"/>
      <c r="T210" s="666"/>
      <c r="U210" s="666"/>
      <c r="V210" s="666"/>
      <c r="W210" s="666"/>
      <c r="X210" s="666"/>
      <c r="Y210" s="666"/>
      <c r="Z210" s="666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</row>
    <row r="211" spans="1:39" ht="14.1" customHeight="1">
      <c r="A211" s="667">
        <f>A208</f>
        <v>1371628703</v>
      </c>
      <c r="B211" s="671"/>
      <c r="C211" s="671"/>
      <c r="D211" s="671"/>
      <c r="E211" s="671"/>
      <c r="F211" s="668"/>
      <c r="G211" s="742" t="s">
        <v>730</v>
      </c>
      <c r="H211" s="742"/>
      <c r="I211" s="750"/>
      <c r="J211" s="743">
        <f>'Date masura OD'!$I$5</f>
        <v>45778</v>
      </c>
      <c r="K211" s="744"/>
      <c r="L211" s="745"/>
      <c r="M211" s="747" t="s">
        <v>446</v>
      </c>
      <c r="N211" s="742"/>
      <c r="O211" s="742">
        <f>O208</f>
        <v>1</v>
      </c>
      <c r="P211" s="742"/>
      <c r="Q211" s="742"/>
      <c r="R211" s="666" t="str">
        <f>U202</f>
        <v>3477517 (citit)</v>
      </c>
      <c r="S211" s="666"/>
      <c r="T211" s="666"/>
      <c r="U211" s="666" t="str">
        <f>VLOOKUP(A211,'Incrementare indexe'!$D:$M,4,FALSE)&amp;" (estimat)"</f>
        <v>3731635 (estimat)</v>
      </c>
      <c r="V211" s="666"/>
      <c r="W211" s="666"/>
      <c r="X211" s="666" t="str">
        <f>VLOOKUP(A211,'Incrementare indexe'!$D:$Q,11,FALSE)&amp;" (estimat)"</f>
        <v>254118 (estimat)</v>
      </c>
      <c r="Y211" s="666"/>
      <c r="Z211" s="666"/>
      <c r="AA211" s="666" t="s">
        <v>69</v>
      </c>
      <c r="AB211" s="666"/>
      <c r="AC211" s="666"/>
      <c r="AD211" s="666" t="s">
        <v>69</v>
      </c>
      <c r="AE211" s="666"/>
      <c r="AF211" s="666">
        <f>VLOOKUP(A211,'Incrementare indexe'!$D:$Q,11,FALSE)</f>
        <v>254118</v>
      </c>
      <c r="AG211" s="666"/>
      <c r="AH211" s="666"/>
      <c r="AI211" s="666">
        <f>J213-J211+1</f>
        <v>31</v>
      </c>
      <c r="AJ211" s="666"/>
      <c r="AK211" s="666">
        <f>ROUND(AF211/AI211,2)</f>
        <v>8197.35</v>
      </c>
      <c r="AL211" s="666"/>
      <c r="AM211" s="666"/>
    </row>
    <row r="212" spans="1:39" ht="8.4499999999999993" customHeight="1">
      <c r="A212" s="736"/>
      <c r="B212" s="737"/>
      <c r="C212" s="737"/>
      <c r="D212" s="737"/>
      <c r="E212" s="737"/>
      <c r="F212" s="738"/>
      <c r="G212" s="742"/>
      <c r="H212" s="742"/>
      <c r="I212" s="750"/>
      <c r="J212" s="736" t="s">
        <v>69</v>
      </c>
      <c r="K212" s="737"/>
      <c r="L212" s="738"/>
      <c r="M212" s="747"/>
      <c r="N212" s="742"/>
      <c r="O212" s="742"/>
      <c r="P212" s="742"/>
      <c r="Q212" s="742"/>
      <c r="R212" s="666"/>
      <c r="S212" s="666"/>
      <c r="T212" s="666"/>
      <c r="U212" s="666"/>
      <c r="V212" s="666"/>
      <c r="W212" s="666"/>
      <c r="X212" s="666"/>
      <c r="Y212" s="666"/>
      <c r="Z212" s="666"/>
      <c r="AA212" s="666"/>
      <c r="AB212" s="666"/>
      <c r="AC212" s="666"/>
      <c r="AD212" s="666"/>
      <c r="AE212" s="666"/>
      <c r="AF212" s="666"/>
      <c r="AG212" s="666"/>
      <c r="AH212" s="666"/>
      <c r="AI212" s="666"/>
      <c r="AJ212" s="666"/>
      <c r="AK212" s="666"/>
      <c r="AL212" s="666"/>
      <c r="AM212" s="666"/>
    </row>
    <row r="213" spans="1:39" ht="14.1" customHeight="1">
      <c r="A213" s="669"/>
      <c r="B213" s="672"/>
      <c r="C213" s="672"/>
      <c r="D213" s="672"/>
      <c r="E213" s="672"/>
      <c r="F213" s="670"/>
      <c r="G213" s="742"/>
      <c r="H213" s="742"/>
      <c r="I213" s="750"/>
      <c r="J213" s="739">
        <f>'Date masura OD'!$J$5</f>
        <v>45808</v>
      </c>
      <c r="K213" s="740"/>
      <c r="L213" s="741"/>
      <c r="M213" s="747"/>
      <c r="N213" s="742"/>
      <c r="O213" s="742"/>
      <c r="P213" s="742"/>
      <c r="Q213" s="742"/>
      <c r="R213" s="666"/>
      <c r="S213" s="666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666"/>
      <c r="AL213" s="666"/>
      <c r="AM213" s="666"/>
    </row>
    <row r="214" spans="1:39" ht="14.1" customHeight="1">
      <c r="A214" s="667">
        <f>A211</f>
        <v>1371628703</v>
      </c>
      <c r="B214" s="671"/>
      <c r="C214" s="671"/>
      <c r="D214" s="671"/>
      <c r="E214" s="671"/>
      <c r="F214" s="668"/>
      <c r="G214" s="742" t="s">
        <v>696</v>
      </c>
      <c r="H214" s="742"/>
      <c r="I214" s="742"/>
      <c r="J214" s="743">
        <f t="shared" ref="J214:J219" si="12">J211</f>
        <v>45778</v>
      </c>
      <c r="K214" s="744"/>
      <c r="L214" s="745"/>
      <c r="M214" s="742" t="s">
        <v>720</v>
      </c>
      <c r="N214" s="742"/>
      <c r="O214" s="742">
        <f>O211</f>
        <v>1</v>
      </c>
      <c r="P214" s="742"/>
      <c r="Q214" s="742"/>
      <c r="R214" s="666" t="str">
        <f>U205</f>
        <v>272596 (citit)</v>
      </c>
      <c r="S214" s="666"/>
      <c r="T214" s="666"/>
      <c r="U214" s="666" t="str">
        <f>VLOOKUP(A214,'Incrementare indexe'!$D:$M,8,FALSE)&amp;" (estimat)"</f>
        <v>272596 (estimat)</v>
      </c>
      <c r="V214" s="666"/>
      <c r="W214" s="666"/>
      <c r="X214" s="666" t="str">
        <f>VLOOKUP(A214,'Incrementare indexe'!$D:$Q,12,FALSE)&amp;" (estimat)"</f>
        <v>0 (estimat)</v>
      </c>
      <c r="Y214" s="666"/>
      <c r="Z214" s="666"/>
      <c r="AA214" s="666" t="s">
        <v>69</v>
      </c>
      <c r="AB214" s="666"/>
      <c r="AC214" s="666"/>
      <c r="AD214" s="666" t="s">
        <v>69</v>
      </c>
      <c r="AE214" s="666"/>
      <c r="AF214" s="666">
        <f>VLOOKUP(A214,'Incrementare indexe'!$D:$Q,12,FALSE)</f>
        <v>0</v>
      </c>
      <c r="AG214" s="666"/>
      <c r="AH214" s="666"/>
      <c r="AI214" s="666">
        <f>AI211</f>
        <v>31</v>
      </c>
      <c r="AJ214" s="666"/>
      <c r="AK214" s="666">
        <f>ROUND(AF214/AI214,2)</f>
        <v>0</v>
      </c>
      <c r="AL214" s="666"/>
      <c r="AM214" s="666"/>
    </row>
    <row r="215" spans="1:39" ht="8.4499999999999993" customHeight="1">
      <c r="A215" s="736"/>
      <c r="B215" s="737"/>
      <c r="C215" s="737"/>
      <c r="D215" s="737"/>
      <c r="E215" s="737"/>
      <c r="F215" s="738"/>
      <c r="G215" s="742"/>
      <c r="H215" s="742"/>
      <c r="I215" s="742"/>
      <c r="J215" s="736" t="str">
        <f t="shared" si="12"/>
        <v>-</v>
      </c>
      <c r="K215" s="737"/>
      <c r="L215" s="738"/>
      <c r="M215" s="742"/>
      <c r="N215" s="742"/>
      <c r="O215" s="742"/>
      <c r="P215" s="742"/>
      <c r="Q215" s="742"/>
      <c r="R215" s="666"/>
      <c r="S215" s="666"/>
      <c r="T215" s="666"/>
      <c r="U215" s="666"/>
      <c r="V215" s="666"/>
      <c r="W215" s="666"/>
      <c r="X215" s="666"/>
      <c r="Y215" s="666"/>
      <c r="Z215" s="666"/>
      <c r="AA215" s="666"/>
      <c r="AB215" s="666"/>
      <c r="AC215" s="666"/>
      <c r="AD215" s="666"/>
      <c r="AE215" s="666"/>
      <c r="AF215" s="666"/>
      <c r="AG215" s="666"/>
      <c r="AH215" s="666"/>
      <c r="AI215" s="666"/>
      <c r="AJ215" s="666"/>
      <c r="AK215" s="666"/>
      <c r="AL215" s="666"/>
      <c r="AM215" s="666"/>
    </row>
    <row r="216" spans="1:39" ht="14.1" customHeight="1">
      <c r="A216" s="669"/>
      <c r="B216" s="672"/>
      <c r="C216" s="672"/>
      <c r="D216" s="672"/>
      <c r="E216" s="672"/>
      <c r="F216" s="670"/>
      <c r="G216" s="742"/>
      <c r="H216" s="742"/>
      <c r="I216" s="742"/>
      <c r="J216" s="739">
        <f t="shared" si="12"/>
        <v>45808</v>
      </c>
      <c r="K216" s="740"/>
      <c r="L216" s="741"/>
      <c r="M216" s="742"/>
      <c r="N216" s="742"/>
      <c r="O216" s="742"/>
      <c r="P216" s="742"/>
      <c r="Q216" s="742"/>
      <c r="R216" s="666"/>
      <c r="S216" s="666"/>
      <c r="T216" s="666"/>
      <c r="U216" s="666"/>
      <c r="V216" s="666"/>
      <c r="W216" s="666"/>
      <c r="X216" s="666"/>
      <c r="Y216" s="666"/>
      <c r="Z216" s="666"/>
      <c r="AA216" s="666"/>
      <c r="AB216" s="666"/>
      <c r="AC216" s="666"/>
      <c r="AD216" s="666"/>
      <c r="AE216" s="666"/>
      <c r="AF216" s="666"/>
      <c r="AG216" s="666"/>
      <c r="AH216" s="666"/>
      <c r="AI216" s="666"/>
      <c r="AJ216" s="666"/>
      <c r="AK216" s="666"/>
      <c r="AL216" s="666"/>
      <c r="AM216" s="666"/>
    </row>
    <row r="217" spans="1:39" ht="14.1" customHeight="1">
      <c r="A217" s="667">
        <f>A214</f>
        <v>1371628703</v>
      </c>
      <c r="B217" s="671"/>
      <c r="C217" s="671"/>
      <c r="D217" s="671"/>
      <c r="E217" s="671"/>
      <c r="F217" s="668"/>
      <c r="G217" s="742" t="s">
        <v>731</v>
      </c>
      <c r="H217" s="742"/>
      <c r="I217" s="742"/>
      <c r="J217" s="743">
        <f t="shared" si="12"/>
        <v>45778</v>
      </c>
      <c r="K217" s="744"/>
      <c r="L217" s="745"/>
      <c r="M217" s="742" t="s">
        <v>720</v>
      </c>
      <c r="N217" s="742"/>
      <c r="O217" s="742">
        <f>O214</f>
        <v>1</v>
      </c>
      <c r="P217" s="742"/>
      <c r="Q217" s="742"/>
      <c r="R217" s="666" t="str">
        <f>U208</f>
        <v>40904 (citit)</v>
      </c>
      <c r="S217" s="666"/>
      <c r="T217" s="666"/>
      <c r="U217" s="666" t="str">
        <f>VLOOKUP(A217,'Incrementare indexe'!$D:$M,10,FALSE)&amp;" (estimat)"</f>
        <v>40904 (estimat)</v>
      </c>
      <c r="V217" s="666"/>
      <c r="W217" s="666"/>
      <c r="X217" s="666" t="str">
        <f>VLOOKUP(A217,'Incrementare indexe'!$D:$Q,13,FALSE)&amp;" (estimat)"</f>
        <v>0 (estimat)</v>
      </c>
      <c r="Y217" s="666"/>
      <c r="Z217" s="666"/>
      <c r="AA217" s="666" t="s">
        <v>69</v>
      </c>
      <c r="AB217" s="666"/>
      <c r="AC217" s="666"/>
      <c r="AD217" s="666" t="s">
        <v>69</v>
      </c>
      <c r="AE217" s="666"/>
      <c r="AF217" s="666">
        <f>VLOOKUP(A217,'Incrementare indexe'!$D:$Q,13,FALSE)</f>
        <v>0</v>
      </c>
      <c r="AG217" s="666"/>
      <c r="AH217" s="666"/>
      <c r="AI217" s="666">
        <f>AI214</f>
        <v>31</v>
      </c>
      <c r="AJ217" s="666"/>
      <c r="AK217" s="666">
        <f>ROUND(AF217/AI217,2)</f>
        <v>0</v>
      </c>
      <c r="AL217" s="666"/>
      <c r="AM217" s="666"/>
    </row>
    <row r="218" spans="1:39" ht="8.4499999999999993" customHeight="1">
      <c r="A218" s="736"/>
      <c r="B218" s="737"/>
      <c r="C218" s="737"/>
      <c r="D218" s="737"/>
      <c r="E218" s="737"/>
      <c r="F218" s="738"/>
      <c r="G218" s="742"/>
      <c r="H218" s="742"/>
      <c r="I218" s="742"/>
      <c r="J218" s="736" t="str">
        <f t="shared" si="12"/>
        <v>-</v>
      </c>
      <c r="K218" s="737"/>
      <c r="L218" s="738"/>
      <c r="M218" s="742"/>
      <c r="N218" s="742"/>
      <c r="O218" s="742"/>
      <c r="P218" s="742"/>
      <c r="Q218" s="742"/>
      <c r="R218" s="666"/>
      <c r="S218" s="666"/>
      <c r="T218" s="666"/>
      <c r="U218" s="666"/>
      <c r="V218" s="666"/>
      <c r="W218" s="666"/>
      <c r="X218" s="666"/>
      <c r="Y218" s="666"/>
      <c r="Z218" s="666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</row>
    <row r="219" spans="1:39" ht="14.1" customHeight="1">
      <c r="A219" s="669"/>
      <c r="B219" s="672"/>
      <c r="C219" s="672"/>
      <c r="D219" s="672"/>
      <c r="E219" s="672"/>
      <c r="F219" s="670"/>
      <c r="G219" s="742"/>
      <c r="H219" s="742"/>
      <c r="I219" s="742"/>
      <c r="J219" s="739">
        <f t="shared" si="12"/>
        <v>45808</v>
      </c>
      <c r="K219" s="740"/>
      <c r="L219" s="741"/>
      <c r="M219" s="742"/>
      <c r="N219" s="742"/>
      <c r="O219" s="742"/>
      <c r="P219" s="742"/>
      <c r="Q219" s="742"/>
      <c r="R219" s="666"/>
      <c r="S219" s="666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666"/>
      <c r="AL219" s="666"/>
      <c r="AM219" s="666"/>
    </row>
    <row r="220" spans="1:39" ht="14.1" customHeight="1"/>
    <row r="221" spans="1:39" ht="14.1" customHeight="1"/>
    <row r="222" spans="1:39" ht="14.1" customHeight="1">
      <c r="A222" s="721" t="s">
        <v>1196</v>
      </c>
      <c r="B222" s="722"/>
      <c r="C222" s="722"/>
      <c r="D222" s="722"/>
      <c r="E222" s="722"/>
      <c r="F222" s="722"/>
      <c r="G222" s="722"/>
      <c r="H222" s="722"/>
      <c r="I222" s="722"/>
      <c r="J222" s="722"/>
      <c r="K222" s="722"/>
      <c r="L222" s="722"/>
      <c r="M222" s="722"/>
      <c r="N222" s="722"/>
      <c r="O222" s="722"/>
      <c r="P222" s="722"/>
      <c r="Q222" s="722"/>
      <c r="R222" s="722"/>
      <c r="S222" s="722"/>
      <c r="T222" s="722"/>
      <c r="U222" s="722"/>
      <c r="V222" s="722"/>
      <c r="W222" s="722"/>
      <c r="X222" s="722"/>
      <c r="Y222" s="722"/>
      <c r="Z222" s="722"/>
      <c r="AA222" s="722"/>
      <c r="AB222" s="722"/>
      <c r="AC222" s="722"/>
      <c r="AD222" s="722"/>
      <c r="AE222" s="722"/>
      <c r="AF222" s="722"/>
      <c r="AG222" s="722"/>
      <c r="AH222" s="723"/>
      <c r="AI222" s="650" t="s">
        <v>695</v>
      </c>
      <c r="AJ222" s="650"/>
      <c r="AK222" s="650"/>
      <c r="AL222" s="650"/>
      <c r="AM222" s="650"/>
    </row>
    <row r="223" spans="1:39" ht="14.1" customHeight="1">
      <c r="A223" s="649" t="s">
        <v>746</v>
      </c>
      <c r="B223" s="649"/>
      <c r="C223" s="649"/>
      <c r="D223" s="649"/>
      <c r="E223" s="649"/>
      <c r="F223" s="649"/>
      <c r="G223" s="649"/>
      <c r="H223" s="649"/>
      <c r="I223" s="649"/>
      <c r="J223" s="649"/>
      <c r="K223" s="649"/>
      <c r="L223" s="649"/>
      <c r="M223" s="650" t="s">
        <v>514</v>
      </c>
      <c r="N223" s="650"/>
      <c r="O223" s="650"/>
      <c r="P223" s="650"/>
      <c r="Q223" s="650"/>
      <c r="R223" s="650"/>
      <c r="S223" s="650"/>
      <c r="T223" s="650"/>
      <c r="U223" s="650"/>
      <c r="V223" s="650"/>
      <c r="W223" s="650"/>
      <c r="X223" s="650"/>
      <c r="Y223" s="650"/>
      <c r="Z223" s="650"/>
      <c r="AA223" s="650"/>
      <c r="AB223" s="650"/>
      <c r="AC223" s="650"/>
      <c r="AD223" s="650"/>
      <c r="AE223" s="650"/>
      <c r="AF223" s="650"/>
      <c r="AG223" s="650"/>
      <c r="AH223" s="650"/>
      <c r="AI223" s="650" t="str">
        <f>_xlfn.CONCAT(AI188,"/PV")</f>
        <v>RGSC_2.2/PV</v>
      </c>
      <c r="AJ223" s="650"/>
      <c r="AK223" s="650"/>
      <c r="AL223" s="650"/>
      <c r="AM223" s="650"/>
    </row>
    <row r="224" spans="1:39" ht="14.1" customHeight="1">
      <c r="A224" s="649" t="s">
        <v>747</v>
      </c>
      <c r="B224" s="649"/>
      <c r="C224" s="649"/>
      <c r="D224" s="649"/>
      <c r="E224" s="649"/>
      <c r="F224" s="649"/>
      <c r="G224" s="649"/>
      <c r="H224" s="649"/>
      <c r="I224" s="649"/>
      <c r="J224" s="649"/>
      <c r="K224" s="649"/>
      <c r="L224" s="649"/>
      <c r="M224" s="650" t="s">
        <v>1087</v>
      </c>
      <c r="N224" s="650"/>
      <c r="O224" s="650"/>
      <c r="P224" s="650"/>
      <c r="Q224" s="650"/>
      <c r="R224" s="650"/>
      <c r="S224" s="650"/>
      <c r="T224" s="650"/>
      <c r="U224" s="650"/>
      <c r="V224" s="650"/>
      <c r="W224" s="650"/>
      <c r="X224" s="650"/>
      <c r="Y224" s="650"/>
      <c r="Z224" s="650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</row>
    <row r="225" spans="1:39" ht="14.1" customHeight="1">
      <c r="A225" s="742" t="s">
        <v>697</v>
      </c>
      <c r="B225" s="742"/>
      <c r="C225" s="742"/>
      <c r="D225" s="742"/>
      <c r="E225" s="742"/>
      <c r="F225" s="742"/>
      <c r="G225" s="666" t="s">
        <v>713</v>
      </c>
      <c r="H225" s="666"/>
      <c r="I225" s="666"/>
      <c r="J225" s="666" t="s">
        <v>714</v>
      </c>
      <c r="K225" s="666"/>
      <c r="L225" s="666"/>
      <c r="M225" s="742" t="s">
        <v>519</v>
      </c>
      <c r="N225" s="742"/>
      <c r="O225" s="742" t="s">
        <v>715</v>
      </c>
      <c r="P225" s="742"/>
      <c r="Q225" s="742"/>
      <c r="R225" s="666" t="s">
        <v>732</v>
      </c>
      <c r="S225" s="666"/>
      <c r="T225" s="666"/>
      <c r="U225" s="666" t="s">
        <v>734</v>
      </c>
      <c r="V225" s="666"/>
      <c r="W225" s="666"/>
      <c r="X225" s="666" t="s">
        <v>1085</v>
      </c>
      <c r="Y225" s="666"/>
      <c r="Z225" s="666"/>
      <c r="AA225" s="666" t="s">
        <v>1086</v>
      </c>
      <c r="AB225" s="666"/>
      <c r="AC225" s="666"/>
      <c r="AD225" s="666" t="s">
        <v>717</v>
      </c>
      <c r="AE225" s="666"/>
      <c r="AF225" s="666" t="s">
        <v>718</v>
      </c>
      <c r="AG225" s="666"/>
      <c r="AH225" s="666"/>
      <c r="AI225" s="666" t="s">
        <v>719</v>
      </c>
      <c r="AJ225" s="666"/>
      <c r="AK225" s="666" t="s">
        <v>733</v>
      </c>
      <c r="AL225" s="666"/>
      <c r="AM225" s="666"/>
    </row>
    <row r="226" spans="1:39" ht="14.1" customHeight="1">
      <c r="A226" s="742"/>
      <c r="B226" s="742"/>
      <c r="C226" s="742"/>
      <c r="D226" s="742"/>
      <c r="E226" s="742"/>
      <c r="F226" s="742"/>
      <c r="G226" s="666"/>
      <c r="H226" s="666"/>
      <c r="I226" s="666"/>
      <c r="J226" s="666"/>
      <c r="K226" s="666"/>
      <c r="L226" s="666"/>
      <c r="M226" s="742"/>
      <c r="N226" s="742"/>
      <c r="O226" s="742"/>
      <c r="P226" s="742"/>
      <c r="Q226" s="742"/>
      <c r="R226" s="666"/>
      <c r="S226" s="666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</row>
    <row r="227" spans="1:39" ht="14.1" customHeight="1">
      <c r="A227" s="742"/>
      <c r="B227" s="742"/>
      <c r="C227" s="742"/>
      <c r="D227" s="742"/>
      <c r="E227" s="742"/>
      <c r="F227" s="742"/>
      <c r="G227" s="666"/>
      <c r="H227" s="666"/>
      <c r="I227" s="666"/>
      <c r="J227" s="748"/>
      <c r="K227" s="748"/>
      <c r="L227" s="748"/>
      <c r="M227" s="742"/>
      <c r="N227" s="742"/>
      <c r="O227" s="742"/>
      <c r="P227" s="742"/>
      <c r="Q227" s="742"/>
      <c r="R227" s="666"/>
      <c r="S227" s="666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666"/>
      <c r="AL227" s="666"/>
      <c r="AM227" s="666"/>
    </row>
    <row r="228" spans="1:39" ht="14.1" customHeight="1">
      <c r="A228" s="667">
        <f>VLOOKUP(AI223,'Incrementare indexe'!$B:$I,3,FALSE)</f>
        <v>1371639203</v>
      </c>
      <c r="B228" s="671"/>
      <c r="C228" s="671"/>
      <c r="D228" s="671"/>
      <c r="E228" s="671"/>
      <c r="F228" s="668"/>
      <c r="G228" s="666" t="s">
        <v>1088</v>
      </c>
      <c r="H228" s="666"/>
      <c r="I228" s="746"/>
      <c r="J228" s="743">
        <f>'Date masura OD'!$I$5</f>
        <v>45778</v>
      </c>
      <c r="K228" s="744"/>
      <c r="L228" s="745"/>
      <c r="M228" s="747" t="s">
        <v>446</v>
      </c>
      <c r="N228" s="742"/>
      <c r="O228" s="742">
        <f>VLOOKUP(AI223,'Incrementare indexe'!$B:$I,4,FALSE)</f>
        <v>1</v>
      </c>
      <c r="P228" s="742"/>
      <c r="Q228" s="742"/>
      <c r="R228" s="666" t="str">
        <f>VLOOKUP(AI223,'Incrementare indexe'!$B:$I,7,FALSE)&amp;" (citit)"</f>
        <v>1473576 (citit)</v>
      </c>
      <c r="S228" s="666"/>
      <c r="T228" s="666"/>
      <c r="U228" s="666" t="str">
        <f>VLOOKUP(AI223,'Incrementare indexe'!$B:$I,8,FALSE)&amp;" (citit)"</f>
        <v>1586646 (citit)</v>
      </c>
      <c r="V228" s="666"/>
      <c r="W228" s="666"/>
      <c r="X228" s="666" t="str">
        <f>(VLOOKUP(AI223,'Incrementare indexe'!$B:$I,8,FALSE)-VLOOKUP(AI223,'Incrementare indexe'!$B:$I,7,FALSE))&amp;" (citit)"</f>
        <v>113070 (citit)</v>
      </c>
      <c r="Y228" s="666"/>
      <c r="Z228" s="666"/>
      <c r="AA228" s="666" t="s">
        <v>69</v>
      </c>
      <c r="AB228" s="666"/>
      <c r="AC228" s="666"/>
      <c r="AD228" s="666" t="s">
        <v>69</v>
      </c>
      <c r="AE228" s="666"/>
      <c r="AF228" s="666">
        <f>(VLOOKUP(AI223,'Incrementare indexe'!$B:$I,8,FALSE)-VLOOKUP(AI223,'Incrementare indexe'!$B:$I,7,FALSE))</f>
        <v>113070</v>
      </c>
      <c r="AG228" s="666"/>
      <c r="AH228" s="666"/>
      <c r="AI228" s="666">
        <f>J230-J228+1</f>
        <v>31</v>
      </c>
      <c r="AJ228" s="666"/>
      <c r="AK228" s="666">
        <f>ROUND(AF228/AI228,2)</f>
        <v>3647.42</v>
      </c>
      <c r="AL228" s="666"/>
      <c r="AM228" s="666"/>
    </row>
    <row r="229" spans="1:39" ht="14.1" customHeight="1">
      <c r="A229" s="736"/>
      <c r="B229" s="737"/>
      <c r="C229" s="737"/>
      <c r="D229" s="737"/>
      <c r="E229" s="737"/>
      <c r="F229" s="738"/>
      <c r="G229" s="666"/>
      <c r="H229" s="666"/>
      <c r="I229" s="746"/>
      <c r="J229" s="736" t="s">
        <v>69</v>
      </c>
      <c r="K229" s="737"/>
      <c r="L229" s="738"/>
      <c r="M229" s="747"/>
      <c r="N229" s="742"/>
      <c r="O229" s="742"/>
      <c r="P229" s="742"/>
      <c r="Q229" s="742"/>
      <c r="R229" s="666"/>
      <c r="S229" s="666"/>
      <c r="T229" s="666"/>
      <c r="U229" s="666"/>
      <c r="V229" s="666"/>
      <c r="W229" s="666"/>
      <c r="X229" s="666"/>
      <c r="Y229" s="666"/>
      <c r="Z229" s="666"/>
      <c r="AA229" s="666"/>
      <c r="AB229" s="666"/>
      <c r="AC229" s="666"/>
      <c r="AD229" s="666"/>
      <c r="AE229" s="666"/>
      <c r="AF229" s="666"/>
      <c r="AG229" s="666"/>
      <c r="AH229" s="666"/>
      <c r="AI229" s="666"/>
      <c r="AJ229" s="666"/>
      <c r="AK229" s="666"/>
      <c r="AL229" s="666"/>
      <c r="AM229" s="666"/>
    </row>
    <row r="230" spans="1:39" ht="14.1" customHeight="1">
      <c r="A230" s="669"/>
      <c r="B230" s="672"/>
      <c r="C230" s="672"/>
      <c r="D230" s="672"/>
      <c r="E230" s="672"/>
      <c r="F230" s="670"/>
      <c r="G230" s="666"/>
      <c r="H230" s="666"/>
      <c r="I230" s="746"/>
      <c r="J230" s="739">
        <f>'Date masura OD'!$J$5</f>
        <v>45808</v>
      </c>
      <c r="K230" s="740"/>
      <c r="L230" s="741"/>
      <c r="M230" s="747"/>
      <c r="N230" s="742"/>
      <c r="O230" s="742"/>
      <c r="P230" s="742"/>
      <c r="Q230" s="742"/>
      <c r="R230" s="666"/>
      <c r="S230" s="666"/>
      <c r="T230" s="666"/>
      <c r="U230" s="666"/>
      <c r="V230" s="666"/>
      <c r="W230" s="666"/>
      <c r="X230" s="666"/>
      <c r="Y230" s="666"/>
      <c r="Z230" s="666"/>
      <c r="AA230" s="666"/>
      <c r="AB230" s="666"/>
      <c r="AC230" s="666"/>
      <c r="AD230" s="666"/>
      <c r="AE230" s="666"/>
      <c r="AF230" s="666"/>
      <c r="AG230" s="666"/>
      <c r="AH230" s="666"/>
      <c r="AI230" s="666"/>
      <c r="AJ230" s="666"/>
      <c r="AK230" s="666"/>
      <c r="AL230" s="666"/>
      <c r="AM230" s="666"/>
    </row>
    <row r="231" spans="1:39" ht="14.1" customHeight="1">
      <c r="A231" s="667">
        <f>A228</f>
        <v>1371639203</v>
      </c>
      <c r="B231" s="671"/>
      <c r="C231" s="671"/>
      <c r="D231" s="671"/>
      <c r="E231" s="671"/>
      <c r="F231" s="668"/>
      <c r="G231" s="742" t="s">
        <v>696</v>
      </c>
      <c r="H231" s="742"/>
      <c r="I231" s="742"/>
      <c r="J231" s="743">
        <f t="shared" ref="J231:J236" si="13">J228</f>
        <v>45778</v>
      </c>
      <c r="K231" s="744"/>
      <c r="L231" s="745"/>
      <c r="M231" s="742" t="s">
        <v>720</v>
      </c>
      <c r="N231" s="742"/>
      <c r="O231" s="742">
        <f>O228</f>
        <v>1</v>
      </c>
      <c r="P231" s="742"/>
      <c r="Q231" s="742"/>
      <c r="R231" s="666" t="s">
        <v>1089</v>
      </c>
      <c r="S231" s="666"/>
      <c r="T231" s="666"/>
      <c r="U231" s="666" t="s">
        <v>1089</v>
      </c>
      <c r="V231" s="666"/>
      <c r="W231" s="666"/>
      <c r="X231" s="666" t="s">
        <v>1089</v>
      </c>
      <c r="Y231" s="666"/>
      <c r="Z231" s="666"/>
      <c r="AA231" s="666" t="s">
        <v>69</v>
      </c>
      <c r="AB231" s="666"/>
      <c r="AC231" s="666"/>
      <c r="AD231" s="666" t="s">
        <v>69</v>
      </c>
      <c r="AE231" s="666"/>
      <c r="AF231" s="666">
        <v>0</v>
      </c>
      <c r="AG231" s="666"/>
      <c r="AH231" s="666"/>
      <c r="AI231" s="666">
        <f>AI228</f>
        <v>31</v>
      </c>
      <c r="AJ231" s="666"/>
      <c r="AK231" s="666">
        <f>ROUND(AF231/AI231,2)</f>
        <v>0</v>
      </c>
      <c r="AL231" s="666"/>
      <c r="AM231" s="666"/>
    </row>
    <row r="232" spans="1:39" ht="14.1" customHeight="1">
      <c r="A232" s="736"/>
      <c r="B232" s="737"/>
      <c r="C232" s="737"/>
      <c r="D232" s="737"/>
      <c r="E232" s="737"/>
      <c r="F232" s="738"/>
      <c r="G232" s="742"/>
      <c r="H232" s="742"/>
      <c r="I232" s="742"/>
      <c r="J232" s="736" t="str">
        <f t="shared" si="13"/>
        <v>-</v>
      </c>
      <c r="K232" s="737"/>
      <c r="L232" s="738"/>
      <c r="M232" s="742"/>
      <c r="N232" s="742"/>
      <c r="O232" s="742"/>
      <c r="P232" s="742"/>
      <c r="Q232" s="742"/>
      <c r="R232" s="666"/>
      <c r="S232" s="666"/>
      <c r="T232" s="666"/>
      <c r="U232" s="666"/>
      <c r="V232" s="666"/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666"/>
      <c r="AL232" s="666"/>
      <c r="AM232" s="666"/>
    </row>
    <row r="233" spans="1:39" ht="14.1" customHeight="1">
      <c r="A233" s="669"/>
      <c r="B233" s="672"/>
      <c r="C233" s="672"/>
      <c r="D233" s="672"/>
      <c r="E233" s="672"/>
      <c r="F233" s="670"/>
      <c r="G233" s="742"/>
      <c r="H233" s="742"/>
      <c r="I233" s="742"/>
      <c r="J233" s="739">
        <f t="shared" si="13"/>
        <v>45808</v>
      </c>
      <c r="K233" s="740"/>
      <c r="L233" s="741"/>
      <c r="M233" s="742"/>
      <c r="N233" s="742"/>
      <c r="O233" s="742"/>
      <c r="P233" s="742"/>
      <c r="Q233" s="742"/>
      <c r="R233" s="666"/>
      <c r="S233" s="666"/>
      <c r="T233" s="666"/>
      <c r="U233" s="666"/>
      <c r="V233" s="666"/>
      <c r="W233" s="666"/>
      <c r="X233" s="666"/>
      <c r="Y233" s="666"/>
      <c r="Z233" s="666"/>
      <c r="AA233" s="666"/>
      <c r="AB233" s="666"/>
      <c r="AC233" s="666"/>
      <c r="AD233" s="666"/>
      <c r="AE233" s="666"/>
      <c r="AF233" s="666"/>
      <c r="AG233" s="666"/>
      <c r="AH233" s="666"/>
      <c r="AI233" s="666"/>
      <c r="AJ233" s="666"/>
      <c r="AK233" s="666"/>
      <c r="AL233" s="666"/>
      <c r="AM233" s="666"/>
    </row>
    <row r="234" spans="1:39" ht="14.1" customHeight="1">
      <c r="A234" s="667">
        <f>A231</f>
        <v>1371639203</v>
      </c>
      <c r="B234" s="671"/>
      <c r="C234" s="671"/>
      <c r="D234" s="671"/>
      <c r="E234" s="671"/>
      <c r="F234" s="668"/>
      <c r="G234" s="742" t="s">
        <v>731</v>
      </c>
      <c r="H234" s="742"/>
      <c r="I234" s="742"/>
      <c r="J234" s="743">
        <f t="shared" si="13"/>
        <v>45778</v>
      </c>
      <c r="K234" s="744"/>
      <c r="L234" s="745"/>
      <c r="M234" s="742" t="s">
        <v>720</v>
      </c>
      <c r="N234" s="742"/>
      <c r="O234" s="742">
        <f>O231</f>
        <v>1</v>
      </c>
      <c r="P234" s="742"/>
      <c r="Q234" s="742"/>
      <c r="R234" s="666" t="s">
        <v>1089</v>
      </c>
      <c r="S234" s="666"/>
      <c r="T234" s="666"/>
      <c r="U234" s="666" t="s">
        <v>1089</v>
      </c>
      <c r="V234" s="666"/>
      <c r="W234" s="666"/>
      <c r="X234" s="666" t="s">
        <v>1089</v>
      </c>
      <c r="Y234" s="666"/>
      <c r="Z234" s="666"/>
      <c r="AA234" s="666" t="s">
        <v>69</v>
      </c>
      <c r="AB234" s="666"/>
      <c r="AC234" s="666"/>
      <c r="AD234" s="666" t="s">
        <v>69</v>
      </c>
      <c r="AE234" s="666"/>
      <c r="AF234" s="666">
        <v>0</v>
      </c>
      <c r="AG234" s="666"/>
      <c r="AH234" s="666"/>
      <c r="AI234" s="666">
        <f>AI231</f>
        <v>31</v>
      </c>
      <c r="AJ234" s="666"/>
      <c r="AK234" s="666">
        <f>ROUND(AF234/AI234,2)</f>
        <v>0</v>
      </c>
      <c r="AL234" s="666"/>
      <c r="AM234" s="666"/>
    </row>
    <row r="235" spans="1:39" ht="14.1" customHeight="1">
      <c r="A235" s="736"/>
      <c r="B235" s="737"/>
      <c r="C235" s="737"/>
      <c r="D235" s="737"/>
      <c r="E235" s="737"/>
      <c r="F235" s="738"/>
      <c r="G235" s="742"/>
      <c r="H235" s="742"/>
      <c r="I235" s="742"/>
      <c r="J235" s="736" t="str">
        <f t="shared" si="13"/>
        <v>-</v>
      </c>
      <c r="K235" s="737"/>
      <c r="L235" s="738"/>
      <c r="M235" s="742"/>
      <c r="N235" s="742"/>
      <c r="O235" s="742"/>
      <c r="P235" s="742"/>
      <c r="Q235" s="742"/>
      <c r="R235" s="666"/>
      <c r="S235" s="666"/>
      <c r="T235" s="666"/>
      <c r="U235" s="666"/>
      <c r="V235" s="666"/>
      <c r="W235" s="666"/>
      <c r="X235" s="666"/>
      <c r="Y235" s="666"/>
      <c r="Z235" s="666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</row>
    <row r="236" spans="1:39" ht="14.1" customHeight="1">
      <c r="A236" s="669"/>
      <c r="B236" s="672"/>
      <c r="C236" s="672"/>
      <c r="D236" s="672"/>
      <c r="E236" s="672"/>
      <c r="F236" s="670"/>
      <c r="G236" s="742"/>
      <c r="H236" s="742"/>
      <c r="I236" s="742"/>
      <c r="J236" s="739">
        <f t="shared" si="13"/>
        <v>45808</v>
      </c>
      <c r="K236" s="740"/>
      <c r="L236" s="741"/>
      <c r="M236" s="742"/>
      <c r="N236" s="742"/>
      <c r="O236" s="742"/>
      <c r="P236" s="742"/>
      <c r="Q236" s="742"/>
      <c r="R236" s="666"/>
      <c r="S236" s="666"/>
      <c r="T236" s="666"/>
      <c r="U236" s="666"/>
      <c r="V236" s="666"/>
      <c r="W236" s="666"/>
      <c r="X236" s="666"/>
      <c r="Y236" s="666"/>
      <c r="Z236" s="666"/>
      <c r="AA236" s="666"/>
      <c r="AB236" s="666"/>
      <c r="AC236" s="666"/>
      <c r="AD236" s="666"/>
      <c r="AE236" s="666"/>
      <c r="AF236" s="666"/>
      <c r="AG236" s="666"/>
      <c r="AH236" s="666"/>
      <c r="AI236" s="666"/>
      <c r="AJ236" s="666"/>
      <c r="AK236" s="666"/>
      <c r="AL236" s="666"/>
      <c r="AM236" s="666"/>
    </row>
    <row r="237" spans="1:39" ht="14.1" customHeight="1"/>
    <row r="238" spans="1:39" ht="14.1" customHeight="1"/>
    <row r="239" spans="1:39" ht="14.1" customHeight="1"/>
    <row r="240" spans="1:39" ht="15.95" customHeight="1">
      <c r="A240" s="749" t="str">
        <f>A28</f>
        <v>DETALII FACTURA FACTURA FISCALA SERIA …........ NR …................. din date de ….......06.2025</v>
      </c>
      <c r="B240" s="749"/>
      <c r="C240" s="749"/>
      <c r="D240" s="749"/>
      <c r="E240" s="749"/>
      <c r="F240" s="749"/>
      <c r="G240" s="749"/>
      <c r="H240" s="749"/>
      <c r="I240" s="749"/>
      <c r="J240" s="749"/>
      <c r="K240" s="749"/>
      <c r="L240" s="749"/>
      <c r="M240" s="749"/>
      <c r="N240" s="749"/>
      <c r="O240" s="749"/>
      <c r="P240" s="749"/>
      <c r="Q240" s="749"/>
      <c r="R240" s="749"/>
      <c r="S240" s="749"/>
      <c r="T240" s="749"/>
      <c r="U240" s="749"/>
      <c r="V240" s="749"/>
      <c r="W240" s="749"/>
      <c r="X240" s="749"/>
      <c r="Y240" s="749"/>
      <c r="Z240" s="749"/>
      <c r="AA240" s="749"/>
      <c r="AB240" s="749"/>
      <c r="AC240" s="749"/>
      <c r="AD240" s="749"/>
      <c r="AE240" s="749"/>
      <c r="AF240" s="749"/>
      <c r="AG240" s="749"/>
      <c r="AH240" s="749"/>
      <c r="AI240" s="749"/>
      <c r="AJ240" s="749"/>
      <c r="AK240" s="749"/>
      <c r="AL240" s="749"/>
      <c r="AM240" s="749"/>
    </row>
    <row r="242" spans="1:39" ht="36" customHeight="1">
      <c r="A242" s="545" t="s">
        <v>721</v>
      </c>
      <c r="B242" s="742" t="s">
        <v>95</v>
      </c>
      <c r="C242" s="742"/>
      <c r="D242" s="742"/>
      <c r="E242" s="742"/>
      <c r="F242" s="742"/>
      <c r="G242" s="742"/>
      <c r="H242" s="742"/>
      <c r="I242" s="742"/>
      <c r="J242" s="742"/>
      <c r="K242" s="742"/>
      <c r="L242" s="547" t="s">
        <v>709</v>
      </c>
      <c r="M242" s="69"/>
      <c r="N242" s="69"/>
      <c r="O242" s="547"/>
      <c r="P242" s="69"/>
      <c r="Q242" s="69"/>
      <c r="R242" s="666" t="s">
        <v>722</v>
      </c>
      <c r="S242" s="666"/>
      <c r="T242" s="666"/>
      <c r="U242" s="666"/>
      <c r="V242" s="742" t="s">
        <v>519</v>
      </c>
      <c r="W242" s="742"/>
      <c r="X242" s="666" t="s">
        <v>723</v>
      </c>
      <c r="Y242" s="666"/>
      <c r="Z242" s="666"/>
      <c r="AA242" s="666"/>
      <c r="AB242" s="666" t="s">
        <v>724</v>
      </c>
      <c r="AC242" s="666"/>
      <c r="AD242" s="666"/>
      <c r="AE242" s="666"/>
      <c r="AF242" s="666" t="s">
        <v>725</v>
      </c>
      <c r="AG242" s="666"/>
      <c r="AH242" s="666"/>
      <c r="AI242" s="666"/>
      <c r="AJ242" s="666" t="s">
        <v>726</v>
      </c>
      <c r="AK242" s="666"/>
      <c r="AL242" s="666"/>
      <c r="AM242" s="666"/>
    </row>
    <row r="243" spans="1:39" ht="15.95" customHeight="1">
      <c r="A243" s="65">
        <v>1</v>
      </c>
      <c r="B243" s="699" t="s">
        <v>71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02">
        <f>'Date masura OD'!$I$5</f>
        <v>45778</v>
      </c>
      <c r="M243" s="702"/>
      <c r="N243" s="702"/>
      <c r="O243" s="702">
        <f>'Date masura OD'!$J$5</f>
        <v>45808</v>
      </c>
      <c r="P243" s="702"/>
      <c r="Q243" s="702"/>
      <c r="R243" s="690" cm="1">
        <f t="array" ref="R243">INDEX(verificare!$AT$4:$CC$26,VLOOKUP($AA$16,verificare!$AR$4:$AS$26,2,FALSE),A243)</f>
        <v>696493</v>
      </c>
      <c r="S243" s="690"/>
      <c r="T243" s="690"/>
      <c r="U243" s="690"/>
      <c r="V243" s="658" t="s">
        <v>446</v>
      </c>
      <c r="W243" s="658"/>
      <c r="X243" s="691">
        <f>HLOOKUP(VLOOKUP($AA$16,'Date SPV'!$B:$F,5,FALSE),'Preturi si tarife'!$C$2:$J$39,A243+2,FALSE)</f>
        <v>0.59499999999999997</v>
      </c>
      <c r="Y243" s="692"/>
      <c r="Z243" s="692"/>
      <c r="AA243" s="693"/>
      <c r="AB243" s="690">
        <f>ROUND(X243*R243,2)</f>
        <v>414413.34</v>
      </c>
      <c r="AC243" s="690"/>
      <c r="AD243" s="690"/>
      <c r="AE243" s="690"/>
      <c r="AF243" s="690">
        <f>ROUND(AB243*19%,2)</f>
        <v>78738.53</v>
      </c>
      <c r="AG243" s="690"/>
      <c r="AH243" s="690"/>
      <c r="AI243" s="690"/>
      <c r="AJ243" s="690">
        <f>AB243+AF243</f>
        <v>493151.87</v>
      </c>
      <c r="AK243" s="690"/>
      <c r="AL243" s="690"/>
      <c r="AM243" s="690"/>
    </row>
    <row r="244" spans="1:39" ht="15.95" customHeight="1">
      <c r="A244" s="65">
        <f>A243+1</f>
        <v>2</v>
      </c>
      <c r="B244" s="699" t="s">
        <v>72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02">
        <f>L243</f>
        <v>45778</v>
      </c>
      <c r="M244" s="702"/>
      <c r="N244" s="702"/>
      <c r="O244" s="702">
        <f>O243</f>
        <v>45808</v>
      </c>
      <c r="P244" s="702"/>
      <c r="Q244" s="702"/>
      <c r="R244" s="690" cm="1">
        <f t="array" ref="R244">INDEX(verificare!$AT$4:$CC$26,VLOOKUP($AA$16,verificare!$AR$4:$AS$26,2,FALSE),A244)</f>
        <v>0</v>
      </c>
      <c r="S244" s="690"/>
      <c r="T244" s="690"/>
      <c r="U244" s="690"/>
      <c r="V244" s="658" t="s">
        <v>727</v>
      </c>
      <c r="W244" s="658"/>
      <c r="X244" s="691">
        <f>HLOOKUP(VLOOKUP($AA$16,'Date SPV'!$B:$F,5,FALSE),'Preturi si tarife'!$C$2:$J$39,A244+2,FALSE)</f>
        <v>0.14649999999999999</v>
      </c>
      <c r="Y244" s="692"/>
      <c r="Z244" s="692"/>
      <c r="AA244" s="693"/>
      <c r="AB244" s="690">
        <f t="shared" ref="AB244:AB278" si="14">ROUND(X244*R244,2)</f>
        <v>0</v>
      </c>
      <c r="AC244" s="690"/>
      <c r="AD244" s="690"/>
      <c r="AE244" s="690"/>
      <c r="AF244" s="690">
        <f t="shared" ref="AF244:AF278" si="15">ROUND(AB244*19%,2)</f>
        <v>0</v>
      </c>
      <c r="AG244" s="690"/>
      <c r="AH244" s="690"/>
      <c r="AI244" s="690"/>
      <c r="AJ244" s="690">
        <f t="shared" ref="AJ244:AJ278" si="16">AB244+AF244</f>
        <v>0</v>
      </c>
      <c r="AK244" s="690"/>
      <c r="AL244" s="690"/>
      <c r="AM244" s="690"/>
    </row>
    <row r="245" spans="1:39" ht="15.95" customHeight="1">
      <c r="A245" s="65">
        <f t="shared" ref="A245:A280" si="17">A244+1</f>
        <v>3</v>
      </c>
      <c r="B245" s="699" t="s">
        <v>73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02">
        <f t="shared" ref="L245:L253" si="18">L244</f>
        <v>45778</v>
      </c>
      <c r="M245" s="702"/>
      <c r="N245" s="702"/>
      <c r="O245" s="702">
        <f t="shared" ref="O245:O253" si="19">O244</f>
        <v>45808</v>
      </c>
      <c r="P245" s="702"/>
      <c r="Q245" s="702"/>
      <c r="R245" s="690" cm="1">
        <f t="array" ref="R245">INDEX(verificare!$AT$4:$CC$26,VLOOKUP($AA$16,verificare!$AR$4:$AS$26,2,FALSE),A245)</f>
        <v>0</v>
      </c>
      <c r="S245" s="690"/>
      <c r="T245" s="690"/>
      <c r="U245" s="690"/>
      <c r="V245" s="658" t="s">
        <v>727</v>
      </c>
      <c r="W245" s="658"/>
      <c r="X245" s="691">
        <f>HLOOKUP(VLOOKUP($AA$16,'Date SPV'!$B:$F,5,FALSE),'Preturi si tarife'!$C$2:$J$39,A245+2,FALSE)</f>
        <v>0.4395</v>
      </c>
      <c r="Y245" s="692"/>
      <c r="Z245" s="692"/>
      <c r="AA245" s="693"/>
      <c r="AB245" s="690">
        <f t="shared" si="14"/>
        <v>0</v>
      </c>
      <c r="AC245" s="690"/>
      <c r="AD245" s="690"/>
      <c r="AE245" s="690"/>
      <c r="AF245" s="690">
        <f t="shared" si="15"/>
        <v>0</v>
      </c>
      <c r="AG245" s="690"/>
      <c r="AH245" s="690"/>
      <c r="AI245" s="690"/>
      <c r="AJ245" s="690">
        <f t="shared" si="16"/>
        <v>0</v>
      </c>
      <c r="AK245" s="690"/>
      <c r="AL245" s="690"/>
      <c r="AM245" s="690"/>
    </row>
    <row r="246" spans="1:39" ht="15.95" customHeight="1">
      <c r="A246" s="65">
        <f t="shared" si="17"/>
        <v>4</v>
      </c>
      <c r="B246" s="699" t="s">
        <v>868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02">
        <f t="shared" si="18"/>
        <v>45778</v>
      </c>
      <c r="M246" s="702"/>
      <c r="N246" s="702"/>
      <c r="O246" s="702">
        <f t="shared" si="19"/>
        <v>45808</v>
      </c>
      <c r="P246" s="702"/>
      <c r="Q246" s="702"/>
      <c r="R246" s="690" cm="1">
        <f t="array" ref="R246">INDEX(verificare!$AT$4:$CC$26,VLOOKUP($AA$16,verificare!$AR$4:$AS$26,2,FALSE),A246)</f>
        <v>696493</v>
      </c>
      <c r="S246" s="690"/>
      <c r="T246" s="690"/>
      <c r="U246" s="690"/>
      <c r="V246" s="658" t="s">
        <v>446</v>
      </c>
      <c r="W246" s="658"/>
      <c r="X246" s="691">
        <f>HLOOKUP(VLOOKUP($AA$16,'Date SPV'!$B:$F,5,FALSE),'Preturi si tarife'!$C$2:$J$39,A246+2,FALSE)</f>
        <v>0.11483</v>
      </c>
      <c r="Y246" s="692"/>
      <c r="Z246" s="692"/>
      <c r="AA246" s="693"/>
      <c r="AB246" s="690">
        <f t="shared" si="14"/>
        <v>79978.289999999994</v>
      </c>
      <c r="AC246" s="690"/>
      <c r="AD246" s="690"/>
      <c r="AE246" s="690"/>
      <c r="AF246" s="690">
        <f t="shared" si="15"/>
        <v>15195.88</v>
      </c>
      <c r="AG246" s="690"/>
      <c r="AH246" s="690"/>
      <c r="AI246" s="690"/>
      <c r="AJ246" s="690">
        <f t="shared" si="16"/>
        <v>95174.17</v>
      </c>
      <c r="AK246" s="690"/>
      <c r="AL246" s="690"/>
      <c r="AM246" s="690"/>
    </row>
    <row r="247" spans="1:39" ht="15.95" customHeight="1">
      <c r="A247" s="65">
        <f t="shared" si="17"/>
        <v>5</v>
      </c>
      <c r="B247" s="699" t="s">
        <v>757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02">
        <f t="shared" si="18"/>
        <v>45778</v>
      </c>
      <c r="M247" s="702"/>
      <c r="N247" s="702"/>
      <c r="O247" s="702">
        <f t="shared" si="19"/>
        <v>45808</v>
      </c>
      <c r="P247" s="702"/>
      <c r="Q247" s="702"/>
      <c r="R247" s="690" cm="1">
        <f t="array" ref="R247">INDEX(verificare!$AT$4:$CC$26,VLOOKUP($AA$16,verificare!$AR$4:$AS$26,2,FALSE),A247)</f>
        <v>0</v>
      </c>
      <c r="S247" s="690"/>
      <c r="T247" s="690"/>
      <c r="U247" s="690"/>
      <c r="V247" s="658" t="s">
        <v>446</v>
      </c>
      <c r="W247" s="658"/>
      <c r="X247" s="691">
        <f>HLOOKUP(VLOOKUP($AA$16,'Date SPV'!$B:$F,5,FALSE),'Preturi si tarife'!$C$2:$J$39,A247+2,FALSE)</f>
        <v>0.2361</v>
      </c>
      <c r="Y247" s="692"/>
      <c r="Z247" s="692"/>
      <c r="AA247" s="693"/>
      <c r="AB247" s="690">
        <f t="shared" si="14"/>
        <v>0</v>
      </c>
      <c r="AC247" s="690"/>
      <c r="AD247" s="690"/>
      <c r="AE247" s="690"/>
      <c r="AF247" s="690">
        <f t="shared" si="15"/>
        <v>0</v>
      </c>
      <c r="AG247" s="690"/>
      <c r="AH247" s="690"/>
      <c r="AI247" s="690"/>
      <c r="AJ247" s="690">
        <f t="shared" si="16"/>
        <v>0</v>
      </c>
      <c r="AK247" s="690"/>
      <c r="AL247" s="690"/>
      <c r="AM247" s="690"/>
    </row>
    <row r="248" spans="1:39" ht="15.95" customHeight="1">
      <c r="A248" s="65">
        <f t="shared" si="17"/>
        <v>6</v>
      </c>
      <c r="B248" s="699" t="s">
        <v>74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02">
        <f t="shared" si="18"/>
        <v>45778</v>
      </c>
      <c r="M248" s="702"/>
      <c r="N248" s="702"/>
      <c r="O248" s="702">
        <f t="shared" si="19"/>
        <v>45808</v>
      </c>
      <c r="P248" s="702"/>
      <c r="Q248" s="702"/>
      <c r="R248" s="690" cm="1">
        <f t="array" ref="R248">INDEX(verificare!$AT$4:$CC$26,VLOOKUP($AA$16,verificare!$AR$4:$AS$26,2,FALSE),A248)</f>
        <v>696493</v>
      </c>
      <c r="S248" s="690"/>
      <c r="T248" s="690"/>
      <c r="U248" s="690"/>
      <c r="V248" s="658" t="s">
        <v>446</v>
      </c>
      <c r="W248" s="658"/>
      <c r="X248" s="691">
        <f>HLOOKUP(VLOOKUP($AA$16,'Date SPV'!$B:$F,5,FALSE),'Preturi si tarife'!$C$2:$J$39,A248+2,FALSE)</f>
        <v>1.1509999999999999E-2</v>
      </c>
      <c r="Y248" s="692"/>
      <c r="Z248" s="692"/>
      <c r="AA248" s="693"/>
      <c r="AB248" s="690">
        <f t="shared" si="14"/>
        <v>8016.63</v>
      </c>
      <c r="AC248" s="690"/>
      <c r="AD248" s="690"/>
      <c r="AE248" s="690"/>
      <c r="AF248" s="690">
        <f t="shared" si="15"/>
        <v>1523.16</v>
      </c>
      <c r="AG248" s="690"/>
      <c r="AH248" s="690"/>
      <c r="AI248" s="690"/>
      <c r="AJ248" s="690">
        <f t="shared" si="16"/>
        <v>9539.7900000000009</v>
      </c>
      <c r="AK248" s="690"/>
      <c r="AL248" s="690"/>
      <c r="AM248" s="690"/>
    </row>
    <row r="249" spans="1:39" ht="15.95" customHeight="1">
      <c r="A249" s="65">
        <f t="shared" si="17"/>
        <v>7</v>
      </c>
      <c r="B249" s="699" t="s">
        <v>75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02">
        <f t="shared" si="18"/>
        <v>45778</v>
      </c>
      <c r="M249" s="702"/>
      <c r="N249" s="702"/>
      <c r="O249" s="702">
        <f t="shared" si="19"/>
        <v>45808</v>
      </c>
      <c r="P249" s="702"/>
      <c r="Q249" s="702"/>
      <c r="R249" s="690" cm="1">
        <f t="array" ref="R249">INDEX(verificare!$AT$4:$CC$26,VLOOKUP($AA$16,verificare!$AR$4:$AS$26,2,FALSE),A249)</f>
        <v>696493</v>
      </c>
      <c r="S249" s="690"/>
      <c r="T249" s="690"/>
      <c r="U249" s="690"/>
      <c r="V249" s="658" t="s">
        <v>446</v>
      </c>
      <c r="W249" s="658"/>
      <c r="X249" s="691">
        <f>HLOOKUP(VLOOKUP($AA$16,'Date SPV'!$B:$F,5,FALSE),'Preturi si tarife'!$C$2:$J$39,A249+2,FALSE)</f>
        <v>3.3030000000000004E-2</v>
      </c>
      <c r="Y249" s="692"/>
      <c r="Z249" s="692"/>
      <c r="AA249" s="693"/>
      <c r="AB249" s="690">
        <f t="shared" si="14"/>
        <v>23005.16</v>
      </c>
      <c r="AC249" s="690"/>
      <c r="AD249" s="690"/>
      <c r="AE249" s="690"/>
      <c r="AF249" s="690">
        <f t="shared" si="15"/>
        <v>4370.9799999999996</v>
      </c>
      <c r="AG249" s="690"/>
      <c r="AH249" s="690"/>
      <c r="AI249" s="690"/>
      <c r="AJ249" s="690">
        <f t="shared" si="16"/>
        <v>27376.14</v>
      </c>
      <c r="AK249" s="690"/>
      <c r="AL249" s="690"/>
      <c r="AM249" s="690"/>
    </row>
    <row r="250" spans="1:39" ht="15.95" customHeight="1">
      <c r="A250" s="65">
        <f t="shared" si="17"/>
        <v>8</v>
      </c>
      <c r="B250" s="699" t="s">
        <v>76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02">
        <f t="shared" si="18"/>
        <v>45778</v>
      </c>
      <c r="M250" s="702"/>
      <c r="N250" s="702"/>
      <c r="O250" s="702">
        <f t="shared" si="19"/>
        <v>45808</v>
      </c>
      <c r="P250" s="702"/>
      <c r="Q250" s="702"/>
      <c r="R250" s="690" cm="1">
        <f t="array" ref="R250">INDEX(verificare!$AT$4:$CC$26,VLOOKUP($AA$16,verificare!$AR$4:$AS$26,2,FALSE),A250)</f>
        <v>696493</v>
      </c>
      <c r="S250" s="690"/>
      <c r="T250" s="690"/>
      <c r="U250" s="690"/>
      <c r="V250" s="658" t="s">
        <v>446</v>
      </c>
      <c r="W250" s="658"/>
      <c r="X250" s="691">
        <f>HLOOKUP(VLOOKUP($AA$16,'Date SPV'!$B:$F,5,FALSE),'Preturi si tarife'!$C$2:$J$39,A250+2,FALSE)</f>
        <v>3.29E-3</v>
      </c>
      <c r="Y250" s="692"/>
      <c r="Z250" s="692"/>
      <c r="AA250" s="693"/>
      <c r="AB250" s="690">
        <f t="shared" si="14"/>
        <v>2291.46</v>
      </c>
      <c r="AC250" s="690"/>
      <c r="AD250" s="690"/>
      <c r="AE250" s="690"/>
      <c r="AF250" s="690">
        <f t="shared" si="15"/>
        <v>435.38</v>
      </c>
      <c r="AG250" s="690"/>
      <c r="AH250" s="690"/>
      <c r="AI250" s="690"/>
      <c r="AJ250" s="690">
        <f t="shared" si="16"/>
        <v>2726.84</v>
      </c>
      <c r="AK250" s="690"/>
      <c r="AL250" s="690"/>
      <c r="AM250" s="690"/>
    </row>
    <row r="251" spans="1:39" ht="15.95" customHeight="1">
      <c r="A251" s="65">
        <f t="shared" si="17"/>
        <v>9</v>
      </c>
      <c r="B251" s="699" t="s">
        <v>77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02">
        <f t="shared" si="18"/>
        <v>45778</v>
      </c>
      <c r="M251" s="702"/>
      <c r="N251" s="702"/>
      <c r="O251" s="702">
        <f t="shared" si="19"/>
        <v>45808</v>
      </c>
      <c r="P251" s="702"/>
      <c r="Q251" s="702"/>
      <c r="R251" s="690" cm="1">
        <f t="array" ref="R251">INDEX(verificare!$AT$4:$CC$26,VLOOKUP($AA$16,verificare!$AR$4:$AS$26,2,FALSE),A251)</f>
        <v>696493</v>
      </c>
      <c r="S251" s="690"/>
      <c r="T251" s="690"/>
      <c r="U251" s="690"/>
      <c r="V251" s="658" t="s">
        <v>446</v>
      </c>
      <c r="W251" s="658"/>
      <c r="X251" s="691">
        <f>HLOOKUP(VLOOKUP($AA$16,'Date SPV'!$B:$F,5,FALSE),'Preturi si tarife'!$C$2:$J$39,A251+2,FALSE)</f>
        <v>3.5000000000000001E-3</v>
      </c>
      <c r="Y251" s="692"/>
      <c r="Z251" s="692"/>
      <c r="AA251" s="693"/>
      <c r="AB251" s="690">
        <f t="shared" si="14"/>
        <v>2437.73</v>
      </c>
      <c r="AC251" s="690"/>
      <c r="AD251" s="690"/>
      <c r="AE251" s="690"/>
      <c r="AF251" s="690">
        <f t="shared" si="15"/>
        <v>463.17</v>
      </c>
      <c r="AG251" s="690"/>
      <c r="AH251" s="690"/>
      <c r="AI251" s="690"/>
      <c r="AJ251" s="690">
        <f t="shared" si="16"/>
        <v>2900.9</v>
      </c>
      <c r="AK251" s="690"/>
      <c r="AL251" s="690"/>
      <c r="AM251" s="690"/>
    </row>
    <row r="252" spans="1:39" ht="15.95" customHeight="1">
      <c r="A252" s="65">
        <f t="shared" si="17"/>
        <v>10</v>
      </c>
      <c r="B252" s="699" t="s">
        <v>78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02">
        <f t="shared" si="18"/>
        <v>45778</v>
      </c>
      <c r="M252" s="702"/>
      <c r="N252" s="702"/>
      <c r="O252" s="702">
        <f t="shared" si="19"/>
        <v>45808</v>
      </c>
      <c r="P252" s="702"/>
      <c r="Q252" s="702"/>
      <c r="R252" s="690" cm="1">
        <f t="array" ref="R252">INDEX(verificare!$AT$4:$CC$26,VLOOKUP($AA$16,verificare!$AR$4:$AS$26,2,FALSE),A252)</f>
        <v>696493</v>
      </c>
      <c r="S252" s="690"/>
      <c r="T252" s="690"/>
      <c r="U252" s="690"/>
      <c r="V252" s="658" t="s">
        <v>446</v>
      </c>
      <c r="W252" s="658"/>
      <c r="X252" s="691">
        <f>HLOOKUP(VLOOKUP($AA$16,'Date SPV'!$B:$F,5,FALSE),'Preturi si tarife'!$C$2:$J$39,A252+2,FALSE)</f>
        <v>7.2541599999999998E-2</v>
      </c>
      <c r="Y252" s="692"/>
      <c r="Z252" s="692"/>
      <c r="AA252" s="693"/>
      <c r="AB252" s="690">
        <f t="shared" si="14"/>
        <v>50524.72</v>
      </c>
      <c r="AC252" s="690"/>
      <c r="AD252" s="690"/>
      <c r="AE252" s="690"/>
      <c r="AF252" s="690">
        <f t="shared" si="15"/>
        <v>9599.7000000000007</v>
      </c>
      <c r="AG252" s="690"/>
      <c r="AH252" s="690"/>
      <c r="AI252" s="690"/>
      <c r="AJ252" s="690">
        <f t="shared" si="16"/>
        <v>60124.42</v>
      </c>
      <c r="AK252" s="690"/>
      <c r="AL252" s="690"/>
      <c r="AM252" s="690"/>
    </row>
    <row r="253" spans="1:39" ht="15.95" customHeight="1">
      <c r="A253" s="65">
        <f t="shared" si="17"/>
        <v>11</v>
      </c>
      <c r="B253" s="699" t="s">
        <v>1313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02">
        <f t="shared" si="18"/>
        <v>45778</v>
      </c>
      <c r="M253" s="702"/>
      <c r="N253" s="702"/>
      <c r="O253" s="702">
        <f t="shared" si="19"/>
        <v>45808</v>
      </c>
      <c r="P253" s="702"/>
      <c r="Q253" s="702"/>
      <c r="R253" s="690" cm="1">
        <f t="array" ref="R253">INDEX(verificare!$AT$4:$CC$26,VLOOKUP($AA$16,verificare!$AR$4:$AS$26,2,FALSE),A253)</f>
        <v>696493</v>
      </c>
      <c r="S253" s="690"/>
      <c r="T253" s="690"/>
      <c r="U253" s="690"/>
      <c r="V253" s="658" t="s">
        <v>446</v>
      </c>
      <c r="W253" s="658"/>
      <c r="X253" s="691">
        <f>HLOOKUP(VLOOKUP($AA$16,'Date SPV'!$B:$F,5,FALSE),'Preturi si tarife'!$C$2:$J$39,A253+2,FALSE)</f>
        <v>2.0599999999999999E-4</v>
      </c>
      <c r="Y253" s="692"/>
      <c r="Z253" s="692"/>
      <c r="AA253" s="693"/>
      <c r="AB253" s="690">
        <f t="shared" si="14"/>
        <v>143.47999999999999</v>
      </c>
      <c r="AC253" s="690"/>
      <c r="AD253" s="690"/>
      <c r="AE253" s="690"/>
      <c r="AF253" s="690">
        <f t="shared" si="15"/>
        <v>27.26</v>
      </c>
      <c r="AG253" s="690"/>
      <c r="AH253" s="690"/>
      <c r="AI253" s="690"/>
      <c r="AJ253" s="690">
        <f t="shared" si="16"/>
        <v>170.73999999999998</v>
      </c>
      <c r="AK253" s="690"/>
      <c r="AL253" s="690"/>
      <c r="AM253" s="690"/>
    </row>
    <row r="254" spans="1:39" ht="15.95" customHeight="1">
      <c r="A254" s="65">
        <f t="shared" si="17"/>
        <v>12</v>
      </c>
      <c r="B254" s="699" t="s">
        <v>79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02">
        <f>L252</f>
        <v>45778</v>
      </c>
      <c r="M254" s="702"/>
      <c r="N254" s="702"/>
      <c r="O254" s="702">
        <f>O252</f>
        <v>45808</v>
      </c>
      <c r="P254" s="702"/>
      <c r="Q254" s="702"/>
      <c r="R254" s="690" cm="1">
        <f t="array" ref="R254">INDEX(verificare!$AT$4:$CC$26,VLOOKUP($AA$16,verificare!$AR$4:$AS$26,2,FALSE),A254)</f>
        <v>696493</v>
      </c>
      <c r="S254" s="690"/>
      <c r="T254" s="690"/>
      <c r="U254" s="690"/>
      <c r="V254" s="658" t="s">
        <v>446</v>
      </c>
      <c r="W254" s="658"/>
      <c r="X254" s="691">
        <f>HLOOKUP(VLOOKUP($AA$16,'Date SPV'!$B:$F,5,FALSE),'Preturi si tarife'!$C$2:$J$39,A254+2,FALSE)</f>
        <v>0</v>
      </c>
      <c r="Y254" s="692"/>
      <c r="Z254" s="692"/>
      <c r="AA254" s="693"/>
      <c r="AB254" s="690">
        <f t="shared" si="14"/>
        <v>0</v>
      </c>
      <c r="AC254" s="690"/>
      <c r="AD254" s="690"/>
      <c r="AE254" s="690"/>
      <c r="AF254" s="690">
        <f t="shared" si="15"/>
        <v>0</v>
      </c>
      <c r="AG254" s="690"/>
      <c r="AH254" s="690"/>
      <c r="AI254" s="690"/>
      <c r="AJ254" s="690">
        <f t="shared" si="16"/>
        <v>0</v>
      </c>
      <c r="AK254" s="690"/>
      <c r="AL254" s="690"/>
      <c r="AM254" s="690"/>
    </row>
    <row r="255" spans="1:39" ht="15.95" customHeight="1">
      <c r="A255" s="65">
        <f t="shared" si="17"/>
        <v>13</v>
      </c>
      <c r="B255" s="699" t="s">
        <v>80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02">
        <f t="shared" ref="L255:L260" si="20">L254</f>
        <v>45778</v>
      </c>
      <c r="M255" s="702"/>
      <c r="N255" s="702"/>
      <c r="O255" s="702">
        <f t="shared" ref="O255:O260" si="21">O254</f>
        <v>45808</v>
      </c>
      <c r="P255" s="702"/>
      <c r="Q255" s="702"/>
      <c r="R255" s="690" cm="1">
        <f t="array" ref="R255">INDEX(verificare!$AT$4:$CC$26,VLOOKUP($AA$16,verificare!$AR$4:$AS$26,2,FALSE),A255)</f>
        <v>696493</v>
      </c>
      <c r="S255" s="690"/>
      <c r="T255" s="690"/>
      <c r="U255" s="690"/>
      <c r="V255" s="658" t="s">
        <v>446</v>
      </c>
      <c r="W255" s="658"/>
      <c r="X255" s="691">
        <f>HLOOKUP(VLOOKUP($AA$16,'Date SPV'!$B:$F,5,FALSE),'Preturi si tarife'!$C$2:$J$39,A255+2,FALSE)</f>
        <v>1.49E-2</v>
      </c>
      <c r="Y255" s="692"/>
      <c r="Z255" s="692"/>
      <c r="AA255" s="693"/>
      <c r="AB255" s="690">
        <f t="shared" si="14"/>
        <v>10377.75</v>
      </c>
      <c r="AC255" s="690"/>
      <c r="AD255" s="690"/>
      <c r="AE255" s="690"/>
      <c r="AF255" s="690">
        <f t="shared" si="15"/>
        <v>1971.77</v>
      </c>
      <c r="AG255" s="690"/>
      <c r="AH255" s="690"/>
      <c r="AI255" s="690"/>
      <c r="AJ255" s="690">
        <f t="shared" si="16"/>
        <v>12349.52</v>
      </c>
      <c r="AK255" s="690"/>
      <c r="AL255" s="690"/>
      <c r="AM255" s="690"/>
    </row>
    <row r="256" spans="1:39" ht="15.95" customHeight="1">
      <c r="A256" s="65">
        <f t="shared" si="17"/>
        <v>14</v>
      </c>
      <c r="B256" s="699" t="s">
        <v>81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02">
        <f t="shared" si="20"/>
        <v>45778</v>
      </c>
      <c r="M256" s="702"/>
      <c r="N256" s="702"/>
      <c r="O256" s="702">
        <f t="shared" si="21"/>
        <v>45808</v>
      </c>
      <c r="P256" s="702"/>
      <c r="Q256" s="702"/>
      <c r="R256" s="690" cm="1">
        <f t="array" ref="R256">INDEX(verificare!$AT$4:$CC$26,VLOOKUP($AA$16,verificare!$AR$4:$AS$26,2,FALSE),A256)</f>
        <v>696493</v>
      </c>
      <c r="S256" s="690"/>
      <c r="T256" s="690"/>
      <c r="U256" s="690"/>
      <c r="V256" s="658" t="s">
        <v>446</v>
      </c>
      <c r="W256" s="658"/>
      <c r="X256" s="691">
        <f>HLOOKUP(VLOOKUP($AA$16,'Date SPV'!$B:$F,5,FALSE),'Preturi si tarife'!$C$2:$J$39,A256+2,FALSE)</f>
        <v>0.1192</v>
      </c>
      <c r="Y256" s="692"/>
      <c r="Z256" s="692"/>
      <c r="AA256" s="693"/>
      <c r="AB256" s="690">
        <f t="shared" si="14"/>
        <v>83021.97</v>
      </c>
      <c r="AC256" s="690"/>
      <c r="AD256" s="690"/>
      <c r="AE256" s="690"/>
      <c r="AF256" s="690">
        <f t="shared" si="15"/>
        <v>15774.17</v>
      </c>
      <c r="AG256" s="690"/>
      <c r="AH256" s="690"/>
      <c r="AI256" s="690"/>
      <c r="AJ256" s="690">
        <f t="shared" si="16"/>
        <v>98796.14</v>
      </c>
      <c r="AK256" s="690"/>
      <c r="AL256" s="690"/>
      <c r="AM256" s="690"/>
    </row>
    <row r="257" spans="1:39" ht="15.95" customHeight="1">
      <c r="A257" s="65">
        <f t="shared" si="17"/>
        <v>15</v>
      </c>
      <c r="B257" s="699" t="s">
        <v>82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02">
        <f t="shared" si="20"/>
        <v>45778</v>
      </c>
      <c r="M257" s="702"/>
      <c r="N257" s="702"/>
      <c r="O257" s="702">
        <f t="shared" si="21"/>
        <v>45808</v>
      </c>
      <c r="P257" s="702"/>
      <c r="Q257" s="702"/>
      <c r="R257" s="690" cm="1">
        <f t="array" ref="R257">INDEX(verificare!$AT$4:$CC$26,VLOOKUP($AA$16,verificare!$AR$4:$AS$26,2,FALSE),A257)</f>
        <v>263626</v>
      </c>
      <c r="S257" s="690"/>
      <c r="T257" s="690"/>
      <c r="U257" s="690"/>
      <c r="V257" s="658" t="s">
        <v>446</v>
      </c>
      <c r="W257" s="658"/>
      <c r="X257" s="691">
        <f>HLOOKUP(VLOOKUP($AA$16,'Date SPV'!$B:$F,5,FALSE),'Preturi si tarife'!$C$2:$J$39,A257+2,FALSE)</f>
        <v>0.96800760000000008</v>
      </c>
      <c r="Y257" s="692"/>
      <c r="Z257" s="692"/>
      <c r="AA257" s="693"/>
      <c r="AB257" s="690">
        <f t="shared" si="14"/>
        <v>255191.97</v>
      </c>
      <c r="AC257" s="690"/>
      <c r="AD257" s="690"/>
      <c r="AE257" s="690"/>
      <c r="AF257" s="690">
        <f t="shared" si="15"/>
        <v>48486.47</v>
      </c>
      <c r="AG257" s="690"/>
      <c r="AH257" s="690"/>
      <c r="AI257" s="690"/>
      <c r="AJ257" s="690">
        <f t="shared" si="16"/>
        <v>303678.44</v>
      </c>
      <c r="AK257" s="690"/>
      <c r="AL257" s="690"/>
      <c r="AM257" s="690"/>
    </row>
    <row r="258" spans="1:39" ht="15.95" customHeight="1">
      <c r="A258" s="65">
        <f t="shared" si="17"/>
        <v>16</v>
      </c>
      <c r="B258" s="699" t="s">
        <v>83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02">
        <f t="shared" si="20"/>
        <v>45778</v>
      </c>
      <c r="M258" s="702"/>
      <c r="N258" s="702"/>
      <c r="O258" s="702">
        <f t="shared" si="21"/>
        <v>45808</v>
      </c>
      <c r="P258" s="702"/>
      <c r="Q258" s="702"/>
      <c r="R258" s="690" cm="1">
        <f t="array" ref="R258">INDEX(verificare!$AT$4:$CC$26,VLOOKUP($AA$16,verificare!$AR$4:$AS$26,2,FALSE),A258)</f>
        <v>18011</v>
      </c>
      <c r="S258" s="690"/>
      <c r="T258" s="690"/>
      <c r="U258" s="690"/>
      <c r="V258" s="658" t="s">
        <v>446</v>
      </c>
      <c r="W258" s="658"/>
      <c r="X258" s="691">
        <f>HLOOKUP(VLOOKUP($AA$16,'Date SPV'!$B:$F,5,FALSE),'Preturi si tarife'!$C$2:$J$39,A258+2,FALSE)</f>
        <v>0.83390760000000008</v>
      </c>
      <c r="Y258" s="692"/>
      <c r="Z258" s="692"/>
      <c r="AA258" s="693"/>
      <c r="AB258" s="690">
        <f t="shared" si="14"/>
        <v>15019.51</v>
      </c>
      <c r="AC258" s="690"/>
      <c r="AD258" s="690"/>
      <c r="AE258" s="690"/>
      <c r="AF258" s="690">
        <f t="shared" si="15"/>
        <v>2853.71</v>
      </c>
      <c r="AG258" s="690"/>
      <c r="AH258" s="690"/>
      <c r="AI258" s="690"/>
      <c r="AJ258" s="690">
        <f t="shared" si="16"/>
        <v>17873.22</v>
      </c>
      <c r="AK258" s="690"/>
      <c r="AL258" s="690"/>
      <c r="AM258" s="690"/>
    </row>
    <row r="259" spans="1:39" ht="15.95" customHeight="1">
      <c r="A259" s="65">
        <f t="shared" si="17"/>
        <v>17</v>
      </c>
      <c r="B259" s="699" t="s">
        <v>1129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02">
        <f t="shared" si="20"/>
        <v>45778</v>
      </c>
      <c r="M259" s="702"/>
      <c r="N259" s="702"/>
      <c r="O259" s="702">
        <f t="shared" si="21"/>
        <v>45808</v>
      </c>
      <c r="P259" s="702"/>
      <c r="Q259" s="702"/>
      <c r="R259" s="690" cm="1">
        <f t="array" ref="R259">INDEX(verificare!$AT$4:$CC$26,VLOOKUP($AA$16,verificare!$AR$4:$AS$26,2,FALSE),A259)</f>
        <v>18011</v>
      </c>
      <c r="S259" s="690"/>
      <c r="T259" s="690"/>
      <c r="U259" s="690"/>
      <c r="V259" s="658" t="s">
        <v>446</v>
      </c>
      <c r="W259" s="658"/>
      <c r="X259" s="691">
        <f>HLOOKUP(VLOOKUP($AA$16,'Date SPV'!$B:$F,5,FALSE),'Preturi si tarife'!$C$2:$J$39,A259+2,FALSE)</f>
        <v>1.49E-2</v>
      </c>
      <c r="Y259" s="692"/>
      <c r="Z259" s="692"/>
      <c r="AA259" s="693"/>
      <c r="AB259" s="690">
        <f t="shared" si="14"/>
        <v>268.36</v>
      </c>
      <c r="AC259" s="690"/>
      <c r="AD259" s="690"/>
      <c r="AE259" s="690"/>
      <c r="AF259" s="690">
        <f t="shared" si="15"/>
        <v>50.99</v>
      </c>
      <c r="AG259" s="690"/>
      <c r="AH259" s="690"/>
      <c r="AI259" s="690"/>
      <c r="AJ259" s="690">
        <f t="shared" si="16"/>
        <v>319.35000000000002</v>
      </c>
      <c r="AK259" s="690"/>
      <c r="AL259" s="690"/>
      <c r="AM259" s="690"/>
    </row>
    <row r="260" spans="1:39" ht="15.95" customHeight="1">
      <c r="A260" s="65">
        <f t="shared" si="17"/>
        <v>18</v>
      </c>
      <c r="B260" s="699" t="s">
        <v>1130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02">
        <f t="shared" si="20"/>
        <v>45778</v>
      </c>
      <c r="M260" s="702"/>
      <c r="N260" s="702"/>
      <c r="O260" s="702">
        <f t="shared" si="21"/>
        <v>45808</v>
      </c>
      <c r="P260" s="702"/>
      <c r="Q260" s="702"/>
      <c r="R260" s="690" cm="1">
        <f t="array" ref="R260">INDEX(verificare!$AT$4:$CC$26,VLOOKUP($AA$16,verificare!$AR$4:$AS$26,2,FALSE),A260)</f>
        <v>18011</v>
      </c>
      <c r="S260" s="690"/>
      <c r="T260" s="690"/>
      <c r="U260" s="690"/>
      <c r="V260" s="658" t="s">
        <v>446</v>
      </c>
      <c r="W260" s="658"/>
      <c r="X260" s="691">
        <f>HLOOKUP(VLOOKUP($AA$16,'Date SPV'!$B:$F,5,FALSE),'Preturi si tarife'!$C$2:$J$39,A260+2,FALSE)</f>
        <v>0.1192</v>
      </c>
      <c r="Y260" s="692"/>
      <c r="Z260" s="692"/>
      <c r="AA260" s="693"/>
      <c r="AB260" s="690">
        <f t="shared" si="14"/>
        <v>2146.91</v>
      </c>
      <c r="AC260" s="690"/>
      <c r="AD260" s="690"/>
      <c r="AE260" s="690"/>
      <c r="AF260" s="690">
        <f t="shared" si="15"/>
        <v>407.91</v>
      </c>
      <c r="AG260" s="690"/>
      <c r="AH260" s="690"/>
      <c r="AI260" s="690"/>
      <c r="AJ260" s="690">
        <f t="shared" si="16"/>
        <v>2554.8199999999997</v>
      </c>
      <c r="AK260" s="690"/>
      <c r="AL260" s="690"/>
      <c r="AM260" s="690"/>
    </row>
    <row r="261" spans="1:39" ht="15.95" customHeight="1">
      <c r="A261" s="65">
        <f t="shared" si="17"/>
        <v>19</v>
      </c>
      <c r="B261" s="699" t="s">
        <v>99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02">
        <f>'Date masura OD'!$W$5</f>
        <v>45748</v>
      </c>
      <c r="M261" s="702"/>
      <c r="N261" s="702"/>
      <c r="O261" s="702">
        <f>'Date masura OD'!$X$5</f>
        <v>45777</v>
      </c>
      <c r="P261" s="702"/>
      <c r="Q261" s="702"/>
      <c r="R261" s="690" cm="1">
        <f t="array" ref="R261">INDEX(verificare!$AT$4:$CC$26,VLOOKUP($AA$16,verificare!$AR$4:$AS$26,2,FALSE),A261)</f>
        <v>0</v>
      </c>
      <c r="S261" s="690"/>
      <c r="T261" s="690"/>
      <c r="U261" s="690"/>
      <c r="V261" s="658" t="s">
        <v>446</v>
      </c>
      <c r="W261" s="658"/>
      <c r="X261" s="691">
        <f>HLOOKUP(VLOOKUP($AA$16,'Date SPV'!$B:$F,5,FALSE),'Preturi si tarife'!$C$2:$J$39,A261+2,FALSE)</f>
        <v>0.59499999999999997</v>
      </c>
      <c r="Y261" s="692"/>
      <c r="Z261" s="692"/>
      <c r="AA261" s="693"/>
      <c r="AB261" s="690">
        <f t="shared" si="14"/>
        <v>0</v>
      </c>
      <c r="AC261" s="690"/>
      <c r="AD261" s="690"/>
      <c r="AE261" s="690"/>
      <c r="AF261" s="690">
        <f t="shared" si="15"/>
        <v>0</v>
      </c>
      <c r="AG261" s="690"/>
      <c r="AH261" s="690"/>
      <c r="AI261" s="690"/>
      <c r="AJ261" s="690">
        <f t="shared" si="16"/>
        <v>0</v>
      </c>
      <c r="AK261" s="690"/>
      <c r="AL261" s="690"/>
      <c r="AM261" s="690"/>
    </row>
    <row r="262" spans="1:39" ht="15.95" customHeight="1">
      <c r="A262" s="65">
        <f t="shared" si="17"/>
        <v>20</v>
      </c>
      <c r="B262" s="699" t="s">
        <v>100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02">
        <f>L261</f>
        <v>45748</v>
      </c>
      <c r="M262" s="702"/>
      <c r="N262" s="702"/>
      <c r="O262" s="702">
        <f t="shared" ref="O262:O271" si="22">O261</f>
        <v>45777</v>
      </c>
      <c r="P262" s="702"/>
      <c r="Q262" s="702"/>
      <c r="R262" s="690" cm="1">
        <f t="array" ref="R262">INDEX(verificare!$AT$4:$CC$26,VLOOKUP($AA$16,verificare!$AR$4:$AS$26,2,FALSE),A262)</f>
        <v>6914</v>
      </c>
      <c r="S262" s="690"/>
      <c r="T262" s="690"/>
      <c r="U262" s="690"/>
      <c r="V262" s="658" t="s">
        <v>727</v>
      </c>
      <c r="W262" s="658"/>
      <c r="X262" s="691">
        <f>HLOOKUP(VLOOKUP($AA$16,'Date SPV'!$B:$F,5,FALSE),'Preturi si tarife'!$C$2:$J$39,A262+2,FALSE)</f>
        <v>0.14649999999999999</v>
      </c>
      <c r="Y262" s="692"/>
      <c r="Z262" s="692"/>
      <c r="AA262" s="693"/>
      <c r="AB262" s="690">
        <f t="shared" si="14"/>
        <v>1012.9</v>
      </c>
      <c r="AC262" s="690"/>
      <c r="AD262" s="690"/>
      <c r="AE262" s="690"/>
      <c r="AF262" s="690">
        <f t="shared" si="15"/>
        <v>192.45</v>
      </c>
      <c r="AG262" s="690"/>
      <c r="AH262" s="690"/>
      <c r="AI262" s="690"/>
      <c r="AJ262" s="690">
        <f t="shared" si="16"/>
        <v>1205.3499999999999</v>
      </c>
      <c r="AK262" s="690"/>
      <c r="AL262" s="690"/>
      <c r="AM262" s="690"/>
    </row>
    <row r="263" spans="1:39" ht="30.95" customHeight="1">
      <c r="A263" s="65">
        <f t="shared" si="17"/>
        <v>21</v>
      </c>
      <c r="B263" s="699" t="s">
        <v>101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02">
        <f t="shared" ref="L263:L271" si="23">L262</f>
        <v>45748</v>
      </c>
      <c r="M263" s="702"/>
      <c r="N263" s="702"/>
      <c r="O263" s="702">
        <f t="shared" si="22"/>
        <v>45777</v>
      </c>
      <c r="P263" s="702"/>
      <c r="Q263" s="702"/>
      <c r="R263" s="690" cm="1">
        <f t="array" ref="R263">INDEX(verificare!$AT$4:$CC$26,VLOOKUP($AA$16,verificare!$AR$4:$AS$26,2,FALSE),A263)</f>
        <v>4365</v>
      </c>
      <c r="S263" s="690"/>
      <c r="T263" s="690"/>
      <c r="U263" s="690"/>
      <c r="V263" s="658" t="s">
        <v>727</v>
      </c>
      <c r="W263" s="658"/>
      <c r="X263" s="691">
        <f>HLOOKUP(VLOOKUP($AA$16,'Date SPV'!$B:$F,5,FALSE),'Preturi si tarife'!$C$2:$J$39,A263+2,FALSE)</f>
        <v>0.4395</v>
      </c>
      <c r="Y263" s="692"/>
      <c r="Z263" s="692"/>
      <c r="AA263" s="693"/>
      <c r="AB263" s="690">
        <f t="shared" si="14"/>
        <v>1918.42</v>
      </c>
      <c r="AC263" s="690"/>
      <c r="AD263" s="690"/>
      <c r="AE263" s="690"/>
      <c r="AF263" s="690">
        <f t="shared" si="15"/>
        <v>364.5</v>
      </c>
      <c r="AG263" s="690"/>
      <c r="AH263" s="690"/>
      <c r="AI263" s="690"/>
      <c r="AJ263" s="690">
        <f t="shared" si="16"/>
        <v>2282.92</v>
      </c>
      <c r="AK263" s="690"/>
      <c r="AL263" s="690"/>
      <c r="AM263" s="690"/>
    </row>
    <row r="264" spans="1:39" ht="15.95" customHeight="1">
      <c r="A264" s="65">
        <f t="shared" si="17"/>
        <v>22</v>
      </c>
      <c r="B264" s="699" t="s">
        <v>869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02">
        <f t="shared" si="23"/>
        <v>45748</v>
      </c>
      <c r="M264" s="702"/>
      <c r="N264" s="702"/>
      <c r="O264" s="702">
        <f t="shared" si="22"/>
        <v>45777</v>
      </c>
      <c r="P264" s="702"/>
      <c r="Q264" s="702"/>
      <c r="R264" s="690" cm="1">
        <f t="array" ref="R264">INDEX(verificare!$AT$4:$CC$26,VLOOKUP($AA$16,verificare!$AR$4:$AS$26,2,FALSE),A264)</f>
        <v>0</v>
      </c>
      <c r="S264" s="690"/>
      <c r="T264" s="690"/>
      <c r="U264" s="690"/>
      <c r="V264" s="658" t="s">
        <v>446</v>
      </c>
      <c r="W264" s="658"/>
      <c r="X264" s="691">
        <f>HLOOKUP(VLOOKUP($AA$16,'Date SPV'!$B:$F,5,FALSE),'Preturi si tarife'!$C$2:$J$39,A264+2,FALSE)</f>
        <v>0.11483</v>
      </c>
      <c r="Y264" s="692"/>
      <c r="Z264" s="692"/>
      <c r="AA264" s="693"/>
      <c r="AB264" s="690">
        <f t="shared" si="14"/>
        <v>0</v>
      </c>
      <c r="AC264" s="690"/>
      <c r="AD264" s="690"/>
      <c r="AE264" s="690"/>
      <c r="AF264" s="690">
        <f t="shared" si="15"/>
        <v>0</v>
      </c>
      <c r="AG264" s="690"/>
      <c r="AH264" s="690"/>
      <c r="AI264" s="690"/>
      <c r="AJ264" s="690">
        <f t="shared" si="16"/>
        <v>0</v>
      </c>
      <c r="AK264" s="690"/>
      <c r="AL264" s="690"/>
      <c r="AM264" s="690"/>
    </row>
    <row r="265" spans="1:39" ht="15.95" customHeight="1">
      <c r="A265" s="65">
        <f t="shared" si="17"/>
        <v>23</v>
      </c>
      <c r="B265" s="699" t="s">
        <v>758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02">
        <f t="shared" si="23"/>
        <v>45748</v>
      </c>
      <c r="M265" s="702"/>
      <c r="N265" s="702"/>
      <c r="O265" s="702">
        <f t="shared" si="22"/>
        <v>45777</v>
      </c>
      <c r="P265" s="702"/>
      <c r="Q265" s="702"/>
      <c r="R265" s="690" cm="1">
        <f t="array" ref="R265">INDEX(verificare!$AT$4:$CC$26,VLOOKUP($AA$16,verificare!$AR$4:$AS$26,2,FALSE),A265)</f>
        <v>0</v>
      </c>
      <c r="S265" s="690"/>
      <c r="T265" s="690"/>
      <c r="U265" s="690"/>
      <c r="V265" s="658" t="s">
        <v>446</v>
      </c>
      <c r="W265" s="658"/>
      <c r="X265" s="691">
        <f>HLOOKUP(VLOOKUP($AA$16,'Date SPV'!$B:$F,5,FALSE),'Preturi si tarife'!$C$2:$J$39,A265+2,FALSE)</f>
        <v>0.2361</v>
      </c>
      <c r="Y265" s="692"/>
      <c r="Z265" s="692"/>
      <c r="AA265" s="693"/>
      <c r="AB265" s="690">
        <f t="shared" si="14"/>
        <v>0</v>
      </c>
      <c r="AC265" s="690"/>
      <c r="AD265" s="690"/>
      <c r="AE265" s="690"/>
      <c r="AF265" s="690">
        <f t="shared" si="15"/>
        <v>0</v>
      </c>
      <c r="AG265" s="690"/>
      <c r="AH265" s="690"/>
      <c r="AI265" s="690"/>
      <c r="AJ265" s="690">
        <f t="shared" si="16"/>
        <v>0</v>
      </c>
      <c r="AK265" s="690"/>
      <c r="AL265" s="690"/>
      <c r="AM265" s="690"/>
    </row>
    <row r="266" spans="1:39" ht="30.95" customHeight="1">
      <c r="A266" s="65">
        <f t="shared" si="17"/>
        <v>24</v>
      </c>
      <c r="B266" s="699" t="s">
        <v>102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02">
        <f t="shared" si="23"/>
        <v>45748</v>
      </c>
      <c r="M266" s="702"/>
      <c r="N266" s="702"/>
      <c r="O266" s="702">
        <f t="shared" si="22"/>
        <v>45777</v>
      </c>
      <c r="P266" s="702"/>
      <c r="Q266" s="702"/>
      <c r="R266" s="690" cm="1">
        <f t="array" ref="R266">INDEX(verificare!$AT$4:$CC$26,VLOOKUP($AA$16,verificare!$AR$4:$AS$26,2,FALSE),A266)</f>
        <v>0</v>
      </c>
      <c r="S266" s="690"/>
      <c r="T266" s="690"/>
      <c r="U266" s="690"/>
      <c r="V266" s="658" t="s">
        <v>446</v>
      </c>
      <c r="W266" s="658"/>
      <c r="X266" s="691">
        <f>HLOOKUP(VLOOKUP($AA$16,'Date SPV'!$B:$F,5,FALSE),'Preturi si tarife'!$C$2:$J$39,A266+2,FALSE)</f>
        <v>1.1509999999999999E-2</v>
      </c>
      <c r="Y266" s="692"/>
      <c r="Z266" s="692"/>
      <c r="AA266" s="693"/>
      <c r="AB266" s="690">
        <f t="shared" si="14"/>
        <v>0</v>
      </c>
      <c r="AC266" s="690"/>
      <c r="AD266" s="690"/>
      <c r="AE266" s="690"/>
      <c r="AF266" s="690">
        <f t="shared" si="15"/>
        <v>0</v>
      </c>
      <c r="AG266" s="690"/>
      <c r="AH266" s="690"/>
      <c r="AI266" s="690"/>
      <c r="AJ266" s="690">
        <f t="shared" si="16"/>
        <v>0</v>
      </c>
      <c r="AK266" s="690"/>
      <c r="AL266" s="690"/>
      <c r="AM266" s="690"/>
    </row>
    <row r="267" spans="1:39" ht="30.95" customHeight="1">
      <c r="A267" s="65">
        <f t="shared" si="17"/>
        <v>25</v>
      </c>
      <c r="B267" s="699" t="s">
        <v>103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02">
        <f t="shared" si="23"/>
        <v>45748</v>
      </c>
      <c r="M267" s="702"/>
      <c r="N267" s="702"/>
      <c r="O267" s="702">
        <f t="shared" si="22"/>
        <v>45777</v>
      </c>
      <c r="P267" s="702"/>
      <c r="Q267" s="702"/>
      <c r="R267" s="690" cm="1">
        <f t="array" ref="R267">INDEX(verificare!$AT$4:$CC$26,VLOOKUP($AA$16,verificare!$AR$4:$AS$26,2,FALSE),A267)</f>
        <v>0</v>
      </c>
      <c r="S267" s="690"/>
      <c r="T267" s="690"/>
      <c r="U267" s="690"/>
      <c r="V267" s="658" t="s">
        <v>446</v>
      </c>
      <c r="W267" s="658"/>
      <c r="X267" s="691">
        <f>HLOOKUP(VLOOKUP($AA$16,'Date SPV'!$B:$F,5,FALSE),'Preturi si tarife'!$C$2:$J$39,A267+2,FALSE)</f>
        <v>3.3030000000000004E-2</v>
      </c>
      <c r="Y267" s="692"/>
      <c r="Z267" s="692"/>
      <c r="AA267" s="693"/>
      <c r="AB267" s="690">
        <f t="shared" si="14"/>
        <v>0</v>
      </c>
      <c r="AC267" s="690"/>
      <c r="AD267" s="690"/>
      <c r="AE267" s="690"/>
      <c r="AF267" s="690">
        <f t="shared" si="15"/>
        <v>0</v>
      </c>
      <c r="AG267" s="690"/>
      <c r="AH267" s="690"/>
      <c r="AI267" s="690"/>
      <c r="AJ267" s="690">
        <f t="shared" si="16"/>
        <v>0</v>
      </c>
      <c r="AK267" s="690"/>
      <c r="AL267" s="690"/>
      <c r="AM267" s="690"/>
    </row>
    <row r="268" spans="1:39" ht="30.95" customHeight="1">
      <c r="A268" s="65">
        <f t="shared" si="17"/>
        <v>26</v>
      </c>
      <c r="B268" s="699" t="s">
        <v>104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02">
        <f t="shared" si="23"/>
        <v>45748</v>
      </c>
      <c r="M268" s="702"/>
      <c r="N268" s="702"/>
      <c r="O268" s="702">
        <f t="shared" si="22"/>
        <v>45777</v>
      </c>
      <c r="P268" s="702"/>
      <c r="Q268" s="702"/>
      <c r="R268" s="690" cm="1">
        <f t="array" ref="R268">INDEX(verificare!$AT$4:$CC$26,VLOOKUP($AA$16,verificare!$AR$4:$AS$26,2,FALSE),A268)</f>
        <v>0</v>
      </c>
      <c r="S268" s="690"/>
      <c r="T268" s="690"/>
      <c r="U268" s="690"/>
      <c r="V268" s="658" t="s">
        <v>446</v>
      </c>
      <c r="W268" s="658"/>
      <c r="X268" s="691">
        <f>HLOOKUP(VLOOKUP($AA$16,'Date SPV'!$B:$F,5,FALSE),'Preturi si tarife'!$C$2:$J$39,A268+2,FALSE)</f>
        <v>3.29E-3</v>
      </c>
      <c r="Y268" s="692"/>
      <c r="Z268" s="692"/>
      <c r="AA268" s="693"/>
      <c r="AB268" s="690">
        <f t="shared" si="14"/>
        <v>0</v>
      </c>
      <c r="AC268" s="690"/>
      <c r="AD268" s="690"/>
      <c r="AE268" s="690"/>
      <c r="AF268" s="690">
        <f t="shared" si="15"/>
        <v>0</v>
      </c>
      <c r="AG268" s="690"/>
      <c r="AH268" s="690"/>
      <c r="AI268" s="690"/>
      <c r="AJ268" s="690">
        <f t="shared" si="16"/>
        <v>0</v>
      </c>
      <c r="AK268" s="690"/>
      <c r="AL268" s="690"/>
      <c r="AM268" s="690"/>
    </row>
    <row r="269" spans="1:39" ht="15.95" customHeight="1">
      <c r="A269" s="65">
        <f t="shared" si="17"/>
        <v>27</v>
      </c>
      <c r="B269" s="699" t="s">
        <v>105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02">
        <f t="shared" si="23"/>
        <v>45748</v>
      </c>
      <c r="M269" s="702"/>
      <c r="N269" s="702"/>
      <c r="O269" s="702">
        <f t="shared" si="22"/>
        <v>45777</v>
      </c>
      <c r="P269" s="702"/>
      <c r="Q269" s="702"/>
      <c r="R269" s="690" cm="1">
        <f t="array" ref="R269">INDEX(verificare!$AT$4:$CC$26,VLOOKUP($AA$16,verificare!$AR$4:$AS$26,2,FALSE),A269)</f>
        <v>0</v>
      </c>
      <c r="S269" s="690"/>
      <c r="T269" s="690"/>
      <c r="U269" s="690"/>
      <c r="V269" s="658" t="s">
        <v>446</v>
      </c>
      <c r="W269" s="658"/>
      <c r="X269" s="691">
        <f>HLOOKUP(VLOOKUP($AA$16,'Date SPV'!$B:$F,5,FALSE),'Preturi si tarife'!$C$2:$J$39,A269+2,FALSE)</f>
        <v>3.5000000000000001E-3</v>
      </c>
      <c r="Y269" s="692"/>
      <c r="Z269" s="692"/>
      <c r="AA269" s="693"/>
      <c r="AB269" s="690">
        <f t="shared" si="14"/>
        <v>0</v>
      </c>
      <c r="AC269" s="690"/>
      <c r="AD269" s="690"/>
      <c r="AE269" s="690"/>
      <c r="AF269" s="690">
        <f t="shared" si="15"/>
        <v>0</v>
      </c>
      <c r="AG269" s="690"/>
      <c r="AH269" s="690"/>
      <c r="AI269" s="690"/>
      <c r="AJ269" s="690">
        <f t="shared" si="16"/>
        <v>0</v>
      </c>
      <c r="AK269" s="690"/>
      <c r="AL269" s="690"/>
      <c r="AM269" s="690"/>
    </row>
    <row r="270" spans="1:39" ht="15.95" customHeight="1">
      <c r="A270" s="65">
        <f t="shared" si="17"/>
        <v>28</v>
      </c>
      <c r="B270" s="699" t="s">
        <v>106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02">
        <f t="shared" si="23"/>
        <v>45748</v>
      </c>
      <c r="M270" s="702"/>
      <c r="N270" s="702"/>
      <c r="O270" s="702">
        <f t="shared" si="22"/>
        <v>45777</v>
      </c>
      <c r="P270" s="702"/>
      <c r="Q270" s="702"/>
      <c r="R270" s="690" cm="1">
        <f t="array" ref="R270">INDEX(verificare!$AT$4:$CC$26,VLOOKUP($AA$16,verificare!$AR$4:$AS$26,2,FALSE),A270)</f>
        <v>0</v>
      </c>
      <c r="S270" s="690"/>
      <c r="T270" s="690"/>
      <c r="U270" s="690"/>
      <c r="V270" s="658" t="s">
        <v>446</v>
      </c>
      <c r="W270" s="658"/>
      <c r="X270" s="691">
        <f>HLOOKUP(VLOOKUP($AA$16,'Date SPV'!$B:$F,5,FALSE),'Preturi si tarife'!$C$2:$J$39,A270+2,FALSE)</f>
        <v>7.2541599999999998E-2</v>
      </c>
      <c r="Y270" s="692"/>
      <c r="Z270" s="692"/>
      <c r="AA270" s="693"/>
      <c r="AB270" s="690">
        <f t="shared" si="14"/>
        <v>0</v>
      </c>
      <c r="AC270" s="690"/>
      <c r="AD270" s="690"/>
      <c r="AE270" s="690"/>
      <c r="AF270" s="690">
        <f t="shared" si="15"/>
        <v>0</v>
      </c>
      <c r="AG270" s="690"/>
      <c r="AH270" s="690"/>
      <c r="AI270" s="690"/>
      <c r="AJ270" s="690">
        <f t="shared" si="16"/>
        <v>0</v>
      </c>
      <c r="AK270" s="690"/>
      <c r="AL270" s="690"/>
      <c r="AM270" s="690"/>
    </row>
    <row r="271" spans="1:39" ht="30.95" customHeight="1">
      <c r="A271" s="65">
        <f t="shared" si="17"/>
        <v>29</v>
      </c>
      <c r="B271" s="699" t="s">
        <v>1316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02">
        <f t="shared" si="23"/>
        <v>45748</v>
      </c>
      <c r="M271" s="702"/>
      <c r="N271" s="702"/>
      <c r="O271" s="702">
        <f t="shared" si="22"/>
        <v>45777</v>
      </c>
      <c r="P271" s="702"/>
      <c r="Q271" s="702"/>
      <c r="R271" s="690" cm="1">
        <f t="array" ref="R271">INDEX(verificare!$AT$4:$CC$26,VLOOKUP($AA$16,verificare!$AR$4:$AS$26,2,FALSE),A271)</f>
        <v>0</v>
      </c>
      <c r="S271" s="690"/>
      <c r="T271" s="690"/>
      <c r="U271" s="690"/>
      <c r="V271" s="658" t="s">
        <v>446</v>
      </c>
      <c r="W271" s="658"/>
      <c r="X271" s="691">
        <f>HLOOKUP(VLOOKUP($AA$16,'Date SPV'!$B:$F,5,FALSE),'Preturi si tarife'!$C$2:$J$39,A271+2,FALSE)</f>
        <v>2.0599999999999999E-4</v>
      </c>
      <c r="Y271" s="692"/>
      <c r="Z271" s="692"/>
      <c r="AA271" s="693"/>
      <c r="AB271" s="690">
        <f t="shared" si="14"/>
        <v>0</v>
      </c>
      <c r="AC271" s="690"/>
      <c r="AD271" s="690"/>
      <c r="AE271" s="690"/>
      <c r="AF271" s="690">
        <f t="shared" si="15"/>
        <v>0</v>
      </c>
      <c r="AG271" s="690"/>
      <c r="AH271" s="690"/>
      <c r="AI271" s="690"/>
      <c r="AJ271" s="690">
        <f t="shared" si="16"/>
        <v>0</v>
      </c>
      <c r="AK271" s="690"/>
      <c r="AL271" s="690"/>
      <c r="AM271" s="690"/>
    </row>
    <row r="272" spans="1:39" ht="30.95" customHeight="1">
      <c r="A272" s="65">
        <f t="shared" si="17"/>
        <v>30</v>
      </c>
      <c r="B272" s="699" t="s">
        <v>107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02">
        <f>L270</f>
        <v>45748</v>
      </c>
      <c r="M272" s="702"/>
      <c r="N272" s="702"/>
      <c r="O272" s="702">
        <f>O270</f>
        <v>45777</v>
      </c>
      <c r="P272" s="702"/>
      <c r="Q272" s="702"/>
      <c r="R272" s="690" cm="1">
        <f t="array" ref="R272">INDEX(verificare!$AT$4:$CC$26,VLOOKUP($AA$16,verificare!$AR$4:$AS$26,2,FALSE),A272)</f>
        <v>0</v>
      </c>
      <c r="S272" s="690"/>
      <c r="T272" s="690"/>
      <c r="U272" s="690"/>
      <c r="V272" s="658" t="s">
        <v>446</v>
      </c>
      <c r="W272" s="658"/>
      <c r="X272" s="691">
        <f>HLOOKUP(VLOOKUP($AA$16,'Date SPV'!$B:$F,5,FALSE),'Preturi si tarife'!$C$2:$J$39,A272+2,FALSE)</f>
        <v>0</v>
      </c>
      <c r="Y272" s="692"/>
      <c r="Z272" s="692"/>
      <c r="AA272" s="693"/>
      <c r="AB272" s="690">
        <f t="shared" si="14"/>
        <v>0</v>
      </c>
      <c r="AC272" s="690"/>
      <c r="AD272" s="690"/>
      <c r="AE272" s="690"/>
      <c r="AF272" s="690">
        <f t="shared" si="15"/>
        <v>0</v>
      </c>
      <c r="AG272" s="690"/>
      <c r="AH272" s="690"/>
      <c r="AI272" s="690"/>
      <c r="AJ272" s="690">
        <f t="shared" si="16"/>
        <v>0</v>
      </c>
      <c r="AK272" s="690"/>
      <c r="AL272" s="690"/>
      <c r="AM272" s="690"/>
    </row>
    <row r="273" spans="1:39" ht="15.95" customHeight="1">
      <c r="A273" s="65">
        <f t="shared" si="17"/>
        <v>31</v>
      </c>
      <c r="B273" s="699" t="s">
        <v>108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02">
        <f t="shared" ref="L273:L278" si="24">L272</f>
        <v>45748</v>
      </c>
      <c r="M273" s="702"/>
      <c r="N273" s="702"/>
      <c r="O273" s="702">
        <f t="shared" ref="O273:O278" si="25">O272</f>
        <v>45777</v>
      </c>
      <c r="P273" s="702"/>
      <c r="Q273" s="702"/>
      <c r="R273" s="690" cm="1">
        <f t="array" ref="R273">INDEX(verificare!$AT$4:$CC$26,VLOOKUP($AA$16,verificare!$AR$4:$AS$26,2,FALSE),A273)</f>
        <v>0</v>
      </c>
      <c r="S273" s="690"/>
      <c r="T273" s="690"/>
      <c r="U273" s="690"/>
      <c r="V273" s="658" t="s">
        <v>446</v>
      </c>
      <c r="W273" s="658"/>
      <c r="X273" s="691">
        <f>HLOOKUP(VLOOKUP($AA$16,'Date SPV'!$B:$F,5,FALSE),'Preturi si tarife'!$C$2:$J$39,A273+2,FALSE)</f>
        <v>1.49E-2</v>
      </c>
      <c r="Y273" s="692"/>
      <c r="Z273" s="692"/>
      <c r="AA273" s="693"/>
      <c r="AB273" s="690">
        <f t="shared" si="14"/>
        <v>0</v>
      </c>
      <c r="AC273" s="690"/>
      <c r="AD273" s="690"/>
      <c r="AE273" s="690"/>
      <c r="AF273" s="690">
        <f t="shared" si="15"/>
        <v>0</v>
      </c>
      <c r="AG273" s="690"/>
      <c r="AH273" s="690"/>
      <c r="AI273" s="690"/>
      <c r="AJ273" s="690">
        <f t="shared" si="16"/>
        <v>0</v>
      </c>
      <c r="AK273" s="690"/>
      <c r="AL273" s="690"/>
      <c r="AM273" s="690"/>
    </row>
    <row r="274" spans="1:39" ht="15.95" customHeight="1">
      <c r="A274" s="65">
        <f t="shared" si="17"/>
        <v>32</v>
      </c>
      <c r="B274" s="699" t="s">
        <v>109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02">
        <f t="shared" si="24"/>
        <v>45748</v>
      </c>
      <c r="M274" s="702"/>
      <c r="N274" s="702"/>
      <c r="O274" s="702">
        <f t="shared" si="25"/>
        <v>45777</v>
      </c>
      <c r="P274" s="702"/>
      <c r="Q274" s="702"/>
      <c r="R274" s="690" cm="1">
        <f t="array" ref="R274">INDEX(verificare!$AT$4:$CC$26,VLOOKUP($AA$16,verificare!$AR$4:$AS$26,2,FALSE),A274)</f>
        <v>0</v>
      </c>
      <c r="S274" s="690"/>
      <c r="T274" s="690"/>
      <c r="U274" s="690"/>
      <c r="V274" s="724" t="s">
        <v>446</v>
      </c>
      <c r="W274" s="725"/>
      <c r="X274" s="691">
        <f>HLOOKUP(VLOOKUP($AA$16,'Date SPV'!$B:$F,5,FALSE),'Preturi si tarife'!$C$2:$J$39,A274+2,FALSE)</f>
        <v>0.1192</v>
      </c>
      <c r="Y274" s="692"/>
      <c r="Z274" s="692"/>
      <c r="AA274" s="693"/>
      <c r="AB274" s="690">
        <f t="shared" si="14"/>
        <v>0</v>
      </c>
      <c r="AC274" s="690"/>
      <c r="AD274" s="690"/>
      <c r="AE274" s="690"/>
      <c r="AF274" s="690">
        <f t="shared" si="15"/>
        <v>0</v>
      </c>
      <c r="AG274" s="690"/>
      <c r="AH274" s="690"/>
      <c r="AI274" s="690"/>
      <c r="AJ274" s="690">
        <f t="shared" si="16"/>
        <v>0</v>
      </c>
      <c r="AK274" s="690"/>
      <c r="AL274" s="690"/>
      <c r="AM274" s="690"/>
    </row>
    <row r="275" spans="1:39" ht="30.95" customHeight="1">
      <c r="A275" s="65">
        <f t="shared" si="17"/>
        <v>33</v>
      </c>
      <c r="B275" s="699" t="s">
        <v>110</v>
      </c>
      <c r="C275" s="700"/>
      <c r="D275" s="700"/>
      <c r="E275" s="700"/>
      <c r="F275" s="700"/>
      <c r="G275" s="700"/>
      <c r="H275" s="700"/>
      <c r="I275" s="700"/>
      <c r="J275" s="700"/>
      <c r="K275" s="701"/>
      <c r="L275" s="702">
        <f t="shared" si="24"/>
        <v>45748</v>
      </c>
      <c r="M275" s="702"/>
      <c r="N275" s="702"/>
      <c r="O275" s="702">
        <f t="shared" si="25"/>
        <v>45777</v>
      </c>
      <c r="P275" s="702"/>
      <c r="Q275" s="702"/>
      <c r="R275" s="690" cm="1">
        <f t="array" ref="R275">INDEX(verificare!$AT$4:$CC$26,VLOOKUP($AA$16,verificare!$AR$4:$AS$26,2,FALSE),A275)</f>
        <v>0</v>
      </c>
      <c r="S275" s="690"/>
      <c r="T275" s="690"/>
      <c r="U275" s="690"/>
      <c r="V275" s="658" t="s">
        <v>446</v>
      </c>
      <c r="W275" s="658"/>
      <c r="X275" s="691">
        <f>HLOOKUP(VLOOKUP($AA$16,'Date SPV'!$B:$F,5,FALSE),'Preturi si tarife'!$C$2:$J$39,A275+2,FALSE)</f>
        <v>0.96800760000000008</v>
      </c>
      <c r="Y275" s="692"/>
      <c r="Z275" s="692"/>
      <c r="AA275" s="693"/>
      <c r="AB275" s="690">
        <f t="shared" si="14"/>
        <v>0</v>
      </c>
      <c r="AC275" s="690"/>
      <c r="AD275" s="690"/>
      <c r="AE275" s="690"/>
      <c r="AF275" s="690">
        <f t="shared" si="15"/>
        <v>0</v>
      </c>
      <c r="AG275" s="690"/>
      <c r="AH275" s="690"/>
      <c r="AI275" s="690"/>
      <c r="AJ275" s="690">
        <f t="shared" si="16"/>
        <v>0</v>
      </c>
      <c r="AK275" s="690"/>
      <c r="AL275" s="690"/>
      <c r="AM275" s="690"/>
    </row>
    <row r="276" spans="1:39" ht="30.95" customHeight="1">
      <c r="A276" s="65">
        <f t="shared" si="17"/>
        <v>34</v>
      </c>
      <c r="B276" s="699" t="s">
        <v>111</v>
      </c>
      <c r="C276" s="700"/>
      <c r="D276" s="700"/>
      <c r="E276" s="700"/>
      <c r="F276" s="700"/>
      <c r="G276" s="700"/>
      <c r="H276" s="700"/>
      <c r="I276" s="700"/>
      <c r="J276" s="700"/>
      <c r="K276" s="701"/>
      <c r="L276" s="702">
        <f t="shared" si="24"/>
        <v>45748</v>
      </c>
      <c r="M276" s="702"/>
      <c r="N276" s="702"/>
      <c r="O276" s="702">
        <f t="shared" si="25"/>
        <v>45777</v>
      </c>
      <c r="P276" s="702"/>
      <c r="Q276" s="702"/>
      <c r="R276" s="690" cm="1">
        <f t="array" ref="R276">INDEX(verificare!$AT$4:$CC$26,VLOOKUP($AA$16,verificare!$AR$4:$AS$26,2,FALSE),A276)</f>
        <v>0</v>
      </c>
      <c r="S276" s="690"/>
      <c r="T276" s="690"/>
      <c r="U276" s="690"/>
      <c r="V276" s="658" t="s">
        <v>446</v>
      </c>
      <c r="W276" s="658"/>
      <c r="X276" s="691">
        <f>HLOOKUP(VLOOKUP($AA$16,'Date SPV'!$B:$F,5,FALSE),'Preturi si tarife'!$C$2:$J$39,A276+2,FALSE)</f>
        <v>0.83390760000000008</v>
      </c>
      <c r="Y276" s="692"/>
      <c r="Z276" s="692"/>
      <c r="AA276" s="693"/>
      <c r="AB276" s="690">
        <f t="shared" si="14"/>
        <v>0</v>
      </c>
      <c r="AC276" s="690"/>
      <c r="AD276" s="690"/>
      <c r="AE276" s="690"/>
      <c r="AF276" s="690">
        <f t="shared" si="15"/>
        <v>0</v>
      </c>
      <c r="AG276" s="690"/>
      <c r="AH276" s="690"/>
      <c r="AI276" s="690"/>
      <c r="AJ276" s="690">
        <f t="shared" si="16"/>
        <v>0</v>
      </c>
      <c r="AK276" s="690"/>
      <c r="AL276" s="690"/>
      <c r="AM276" s="690"/>
    </row>
    <row r="277" spans="1:39" ht="15.95" customHeight="1">
      <c r="A277" s="65">
        <f t="shared" si="17"/>
        <v>35</v>
      </c>
      <c r="B277" s="699" t="s">
        <v>112</v>
      </c>
      <c r="C277" s="700"/>
      <c r="D277" s="700"/>
      <c r="E277" s="700"/>
      <c r="F277" s="700"/>
      <c r="G277" s="700"/>
      <c r="H277" s="700"/>
      <c r="I277" s="700"/>
      <c r="J277" s="700"/>
      <c r="K277" s="701"/>
      <c r="L277" s="702">
        <f t="shared" si="24"/>
        <v>45748</v>
      </c>
      <c r="M277" s="702"/>
      <c r="N277" s="702"/>
      <c r="O277" s="702">
        <f t="shared" si="25"/>
        <v>45777</v>
      </c>
      <c r="P277" s="702"/>
      <c r="Q277" s="702"/>
      <c r="R277" s="690" cm="1">
        <f t="array" ref="R277">INDEX(verificare!$AT$4:$CC$26,VLOOKUP($AA$16,verificare!$AR$4:$AS$26,2,FALSE),A277)</f>
        <v>0</v>
      </c>
      <c r="S277" s="690"/>
      <c r="T277" s="690"/>
      <c r="U277" s="690"/>
      <c r="V277" s="724" t="s">
        <v>446</v>
      </c>
      <c r="W277" s="725"/>
      <c r="X277" s="691">
        <f>HLOOKUP(VLOOKUP($AA$16,'Date SPV'!$B:$F,5,FALSE),'Preturi si tarife'!$C$2:$J$39,A277+2,FALSE)</f>
        <v>1.49E-2</v>
      </c>
      <c r="Y277" s="692"/>
      <c r="Z277" s="692"/>
      <c r="AA277" s="693"/>
      <c r="AB277" s="690">
        <f t="shared" si="14"/>
        <v>0</v>
      </c>
      <c r="AC277" s="690"/>
      <c r="AD277" s="690"/>
      <c r="AE277" s="690"/>
      <c r="AF277" s="690">
        <f t="shared" si="15"/>
        <v>0</v>
      </c>
      <c r="AG277" s="690"/>
      <c r="AH277" s="690"/>
      <c r="AI277" s="690"/>
      <c r="AJ277" s="690">
        <f t="shared" si="16"/>
        <v>0</v>
      </c>
      <c r="AK277" s="690"/>
      <c r="AL277" s="690"/>
      <c r="AM277" s="690"/>
    </row>
    <row r="278" spans="1:39" ht="15.95" customHeight="1">
      <c r="A278" s="65">
        <f t="shared" si="17"/>
        <v>36</v>
      </c>
      <c r="B278" s="699" t="s">
        <v>113</v>
      </c>
      <c r="C278" s="700"/>
      <c r="D278" s="700"/>
      <c r="E278" s="700"/>
      <c r="F278" s="700"/>
      <c r="G278" s="700"/>
      <c r="H278" s="700"/>
      <c r="I278" s="700"/>
      <c r="J278" s="700"/>
      <c r="K278" s="701"/>
      <c r="L278" s="702">
        <f t="shared" si="24"/>
        <v>45748</v>
      </c>
      <c r="M278" s="702"/>
      <c r="N278" s="702"/>
      <c r="O278" s="702">
        <f t="shared" si="25"/>
        <v>45777</v>
      </c>
      <c r="P278" s="702"/>
      <c r="Q278" s="702"/>
      <c r="R278" s="690" cm="1">
        <f t="array" ref="R278">INDEX(verificare!$AT$4:$CC$26,VLOOKUP($AA$16,verificare!$AR$4:$AS$26,2,FALSE),A278)</f>
        <v>0</v>
      </c>
      <c r="S278" s="690"/>
      <c r="T278" s="690"/>
      <c r="U278" s="690"/>
      <c r="V278" s="724" t="s">
        <v>446</v>
      </c>
      <c r="W278" s="725"/>
      <c r="X278" s="691">
        <f>HLOOKUP(VLOOKUP($AA$16,'Date SPV'!$B:$F,5,FALSE),'Preturi si tarife'!$C$2:$J$39,A278+2,FALSE)</f>
        <v>0.1192</v>
      </c>
      <c r="Y278" s="692"/>
      <c r="Z278" s="692"/>
      <c r="AA278" s="693"/>
      <c r="AB278" s="690">
        <f t="shared" si="14"/>
        <v>0</v>
      </c>
      <c r="AC278" s="690"/>
      <c r="AD278" s="690"/>
      <c r="AE278" s="690"/>
      <c r="AF278" s="690">
        <f t="shared" si="15"/>
        <v>0</v>
      </c>
      <c r="AG278" s="690"/>
      <c r="AH278" s="690"/>
      <c r="AI278" s="690"/>
      <c r="AJ278" s="690">
        <f t="shared" si="16"/>
        <v>0</v>
      </c>
      <c r="AK278" s="690"/>
      <c r="AL278" s="690"/>
      <c r="AM278" s="690"/>
    </row>
    <row r="279" spans="1:39" ht="15.95" customHeight="1">
      <c r="A279" s="65">
        <f t="shared" si="17"/>
        <v>37</v>
      </c>
      <c r="B279" s="699" t="s">
        <v>728</v>
      </c>
      <c r="C279" s="700"/>
      <c r="D279" s="700"/>
      <c r="E279" s="700"/>
      <c r="F279" s="700"/>
      <c r="G279" s="700"/>
      <c r="H279" s="700"/>
      <c r="I279" s="700"/>
      <c r="J279" s="700"/>
      <c r="K279" s="701"/>
      <c r="L279" s="702" t="s">
        <v>69</v>
      </c>
      <c r="M279" s="702"/>
      <c r="N279" s="702"/>
      <c r="O279" s="702" t="s">
        <v>69</v>
      </c>
      <c r="P279" s="702"/>
      <c r="Q279" s="702"/>
      <c r="R279" s="653">
        <v>0</v>
      </c>
      <c r="S279" s="653"/>
      <c r="T279" s="653"/>
      <c r="U279" s="653"/>
      <c r="V279" s="658" t="s">
        <v>69</v>
      </c>
      <c r="W279" s="658"/>
      <c r="X279" s="659" t="s">
        <v>69</v>
      </c>
      <c r="Y279" s="659"/>
      <c r="Z279" s="659"/>
      <c r="AA279" s="659"/>
      <c r="AB279" s="653">
        <v>0</v>
      </c>
      <c r="AC279" s="653"/>
      <c r="AD279" s="653"/>
      <c r="AE279" s="653"/>
      <c r="AF279" s="653">
        <f>ROUND(AB279*19%,2)</f>
        <v>0</v>
      </c>
      <c r="AG279" s="653"/>
      <c r="AH279" s="653"/>
      <c r="AI279" s="653"/>
      <c r="AJ279" s="653">
        <f>AB279+AF279</f>
        <v>0</v>
      </c>
      <c r="AK279" s="653"/>
      <c r="AL279" s="653"/>
      <c r="AM279" s="653"/>
    </row>
    <row r="280" spans="1:39">
      <c r="A280" s="65">
        <f t="shared" si="17"/>
        <v>38</v>
      </c>
      <c r="B280" s="699" t="s">
        <v>729</v>
      </c>
      <c r="C280" s="700"/>
      <c r="D280" s="700"/>
      <c r="E280" s="700"/>
      <c r="F280" s="700"/>
      <c r="G280" s="700"/>
      <c r="H280" s="700"/>
      <c r="I280" s="700"/>
      <c r="J280" s="700"/>
      <c r="K280" s="701"/>
      <c r="L280" s="702" t="s">
        <v>69</v>
      </c>
      <c r="M280" s="702"/>
      <c r="N280" s="702"/>
      <c r="O280" s="702" t="s">
        <v>69</v>
      </c>
      <c r="P280" s="702"/>
      <c r="Q280" s="702"/>
      <c r="R280" s="653">
        <v>0</v>
      </c>
      <c r="S280" s="653"/>
      <c r="T280" s="653"/>
      <c r="U280" s="653"/>
      <c r="V280" s="658" t="s">
        <v>69</v>
      </c>
      <c r="W280" s="658"/>
      <c r="X280" s="659" t="s">
        <v>69</v>
      </c>
      <c r="Y280" s="659"/>
      <c r="Z280" s="659"/>
      <c r="AA280" s="659"/>
      <c r="AB280" s="653">
        <f>SUM(AB243:AE279)</f>
        <v>949768.6</v>
      </c>
      <c r="AC280" s="653"/>
      <c r="AD280" s="653"/>
      <c r="AE280" s="653"/>
      <c r="AF280" s="653">
        <f>SUM(AF243:AI279)</f>
        <v>180456.03</v>
      </c>
      <c r="AG280" s="653"/>
      <c r="AH280" s="653"/>
      <c r="AI280" s="653"/>
      <c r="AJ280" s="653">
        <f>SUM(AJ243:AM279)</f>
        <v>1130224.6300000004</v>
      </c>
      <c r="AK280" s="653"/>
      <c r="AL280" s="653"/>
      <c r="AM280" s="653"/>
    </row>
  </sheetData>
  <mergeCells count="1189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6:L36"/>
    <mergeCell ref="M36:AH36"/>
    <mergeCell ref="AI36:AM36"/>
    <mergeCell ref="A37:L37"/>
    <mergeCell ref="M37:AH37"/>
    <mergeCell ref="AI37:AM38"/>
    <mergeCell ref="A38:L38"/>
    <mergeCell ref="M38:AH38"/>
    <mergeCell ref="A28:AM28"/>
    <mergeCell ref="A31:G32"/>
    <mergeCell ref="H31:AM32"/>
    <mergeCell ref="A33:G34"/>
    <mergeCell ref="H33:V34"/>
    <mergeCell ref="W33:Z34"/>
    <mergeCell ref="AA33:AM34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2:AE44"/>
    <mergeCell ref="AF42:AH44"/>
    <mergeCell ref="AI42:AJ44"/>
    <mergeCell ref="AK42:AM44"/>
    <mergeCell ref="J43:L43"/>
    <mergeCell ref="J44:L44"/>
    <mergeCell ref="AK39:AM41"/>
    <mergeCell ref="A42:F44"/>
    <mergeCell ref="G42:I44"/>
    <mergeCell ref="J42:L42"/>
    <mergeCell ref="M42:N44"/>
    <mergeCell ref="O42:Q44"/>
    <mergeCell ref="R42:T44"/>
    <mergeCell ref="U42:W44"/>
    <mergeCell ref="X42:Z44"/>
    <mergeCell ref="AA42:AC44"/>
    <mergeCell ref="U39:W41"/>
    <mergeCell ref="X39:Z41"/>
    <mergeCell ref="AA39:AC41"/>
    <mergeCell ref="AD39:AE41"/>
    <mergeCell ref="AF39:AH41"/>
    <mergeCell ref="AI39:AJ41"/>
    <mergeCell ref="A39:F41"/>
    <mergeCell ref="G39:I41"/>
    <mergeCell ref="J39:L41"/>
    <mergeCell ref="M39:N41"/>
    <mergeCell ref="O39:Q41"/>
    <mergeCell ref="R39:T41"/>
    <mergeCell ref="AK45:AM47"/>
    <mergeCell ref="J46:L46"/>
    <mergeCell ref="J47:L47"/>
    <mergeCell ref="A48:F50"/>
    <mergeCell ref="G48:I50"/>
    <mergeCell ref="J48:L48"/>
    <mergeCell ref="M48:N50"/>
    <mergeCell ref="O48:Q50"/>
    <mergeCell ref="R48:T50"/>
    <mergeCell ref="U48:W50"/>
    <mergeCell ref="U45:W47"/>
    <mergeCell ref="X45:Z47"/>
    <mergeCell ref="AA45:AC47"/>
    <mergeCell ref="AD45:AE47"/>
    <mergeCell ref="AF45:AH47"/>
    <mergeCell ref="AI45:AJ47"/>
    <mergeCell ref="A45:F47"/>
    <mergeCell ref="G45:I47"/>
    <mergeCell ref="J45:L45"/>
    <mergeCell ref="M45:N47"/>
    <mergeCell ref="O45:Q47"/>
    <mergeCell ref="R45:T47"/>
    <mergeCell ref="AF51:AH53"/>
    <mergeCell ref="AI51:AJ53"/>
    <mergeCell ref="AK51:AM53"/>
    <mergeCell ref="J52:L52"/>
    <mergeCell ref="J53:L53"/>
    <mergeCell ref="A54:F56"/>
    <mergeCell ref="G54:I56"/>
    <mergeCell ref="J54:L54"/>
    <mergeCell ref="M54:N56"/>
    <mergeCell ref="O54:Q56"/>
    <mergeCell ref="O51:Q53"/>
    <mergeCell ref="R51:T53"/>
    <mergeCell ref="U51:W53"/>
    <mergeCell ref="X51:Z53"/>
    <mergeCell ref="AA51:AC53"/>
    <mergeCell ref="AD51:AE53"/>
    <mergeCell ref="J49:L49"/>
    <mergeCell ref="J50:L50"/>
    <mergeCell ref="A51:F53"/>
    <mergeCell ref="G51:I53"/>
    <mergeCell ref="J51:L51"/>
    <mergeCell ref="M51:N53"/>
    <mergeCell ref="X48:Z50"/>
    <mergeCell ref="AA48:AC50"/>
    <mergeCell ref="AD48:AE50"/>
    <mergeCell ref="AF48:AH50"/>
    <mergeCell ref="AI48:AJ50"/>
    <mergeCell ref="AK48:AM50"/>
    <mergeCell ref="AK57:AM59"/>
    <mergeCell ref="J58:L58"/>
    <mergeCell ref="J59:L59"/>
    <mergeCell ref="A60:F62"/>
    <mergeCell ref="G60:I62"/>
    <mergeCell ref="J60:L60"/>
    <mergeCell ref="M60:N62"/>
    <mergeCell ref="O60:Q62"/>
    <mergeCell ref="R60:T62"/>
    <mergeCell ref="U60:W62"/>
    <mergeCell ref="U57:W59"/>
    <mergeCell ref="X57:Z59"/>
    <mergeCell ref="AA57:AC59"/>
    <mergeCell ref="AD57:AE59"/>
    <mergeCell ref="AF57:AH59"/>
    <mergeCell ref="AI57:AJ59"/>
    <mergeCell ref="AI54:AJ56"/>
    <mergeCell ref="AK54:AM56"/>
    <mergeCell ref="J55:L55"/>
    <mergeCell ref="J56:L56"/>
    <mergeCell ref="A57:F59"/>
    <mergeCell ref="G57:I59"/>
    <mergeCell ref="J57:L57"/>
    <mergeCell ref="M57:N59"/>
    <mergeCell ref="O57:Q59"/>
    <mergeCell ref="R57:T59"/>
    <mergeCell ref="R54:T56"/>
    <mergeCell ref="U54:W56"/>
    <mergeCell ref="X54:Z56"/>
    <mergeCell ref="AA54:AC56"/>
    <mergeCell ref="AD54:AE56"/>
    <mergeCell ref="AF54:AH56"/>
    <mergeCell ref="AF63:AH65"/>
    <mergeCell ref="AI63:AJ65"/>
    <mergeCell ref="AK63:AM65"/>
    <mergeCell ref="J64:L64"/>
    <mergeCell ref="J65:L65"/>
    <mergeCell ref="A66:F68"/>
    <mergeCell ref="G66:I68"/>
    <mergeCell ref="J66:L66"/>
    <mergeCell ref="M66:N68"/>
    <mergeCell ref="O66:Q68"/>
    <mergeCell ref="O63:Q65"/>
    <mergeCell ref="R63:T65"/>
    <mergeCell ref="U63:W65"/>
    <mergeCell ref="X63:Z65"/>
    <mergeCell ref="AA63:AC65"/>
    <mergeCell ref="AD63:AE65"/>
    <mergeCell ref="J61:L61"/>
    <mergeCell ref="J62:L62"/>
    <mergeCell ref="A63:F65"/>
    <mergeCell ref="G63:I65"/>
    <mergeCell ref="J63:L63"/>
    <mergeCell ref="M63:N65"/>
    <mergeCell ref="X60:Z62"/>
    <mergeCell ref="AA60:AC62"/>
    <mergeCell ref="AD60:AE62"/>
    <mergeCell ref="AF60:AH62"/>
    <mergeCell ref="AI60:AJ62"/>
    <mergeCell ref="AK60:AM62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I66:AJ68"/>
    <mergeCell ref="AK66:AM68"/>
    <mergeCell ref="J67:L67"/>
    <mergeCell ref="J68:L68"/>
    <mergeCell ref="A81:L81"/>
    <mergeCell ref="M81:AH81"/>
    <mergeCell ref="AI81:AM81"/>
    <mergeCell ref="R66:T68"/>
    <mergeCell ref="U66:W68"/>
    <mergeCell ref="X66:Z68"/>
    <mergeCell ref="AA66:AC68"/>
    <mergeCell ref="AD66:AE68"/>
    <mergeCell ref="AF66:AH68"/>
    <mergeCell ref="AA87:AC89"/>
    <mergeCell ref="AD87:AE89"/>
    <mergeCell ref="AF87:AH89"/>
    <mergeCell ref="AI87:AJ89"/>
    <mergeCell ref="AK87:AM89"/>
    <mergeCell ref="J88:L88"/>
    <mergeCell ref="J89:L89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A84:AC86"/>
    <mergeCell ref="AD84:AE86"/>
    <mergeCell ref="AF84:AH86"/>
    <mergeCell ref="AK90:AM92"/>
    <mergeCell ref="J91:L91"/>
    <mergeCell ref="J92:L92"/>
    <mergeCell ref="A93:F95"/>
    <mergeCell ref="G93:I95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A90:F92"/>
    <mergeCell ref="G90:I92"/>
    <mergeCell ref="J90:L90"/>
    <mergeCell ref="M90:N92"/>
    <mergeCell ref="O90:Q92"/>
    <mergeCell ref="R90:T92"/>
    <mergeCell ref="AF96:AH98"/>
    <mergeCell ref="AI96:AJ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J94:L94"/>
    <mergeCell ref="J95:L95"/>
    <mergeCell ref="A96:F98"/>
    <mergeCell ref="G96:I98"/>
    <mergeCell ref="J96:L96"/>
    <mergeCell ref="M96:N98"/>
    <mergeCell ref="X93:Z95"/>
    <mergeCell ref="AA93:AC95"/>
    <mergeCell ref="AD93:AE95"/>
    <mergeCell ref="AF93:AH95"/>
    <mergeCell ref="AI93:AJ95"/>
    <mergeCell ref="AK93:AM95"/>
    <mergeCell ref="AK102:AM104"/>
    <mergeCell ref="J103:L103"/>
    <mergeCell ref="J104:L104"/>
    <mergeCell ref="A105:F107"/>
    <mergeCell ref="G105:I107"/>
    <mergeCell ref="J105:L105"/>
    <mergeCell ref="M105:N107"/>
    <mergeCell ref="O105:Q107"/>
    <mergeCell ref="R105:T107"/>
    <mergeCell ref="U105:W107"/>
    <mergeCell ref="U102:W104"/>
    <mergeCell ref="X102:Z104"/>
    <mergeCell ref="AA102:AC104"/>
    <mergeCell ref="AD102:AE104"/>
    <mergeCell ref="AF102:AH104"/>
    <mergeCell ref="AI102:AJ104"/>
    <mergeCell ref="AI99:AJ101"/>
    <mergeCell ref="AK99:AM101"/>
    <mergeCell ref="J100:L100"/>
    <mergeCell ref="J101:L101"/>
    <mergeCell ref="A102:F104"/>
    <mergeCell ref="G102:I104"/>
    <mergeCell ref="J102:L102"/>
    <mergeCell ref="M102:N104"/>
    <mergeCell ref="O102:Q104"/>
    <mergeCell ref="R102:T104"/>
    <mergeCell ref="R99:T101"/>
    <mergeCell ref="U99:W101"/>
    <mergeCell ref="X99:Z101"/>
    <mergeCell ref="AA99:AC101"/>
    <mergeCell ref="AD99:AE101"/>
    <mergeCell ref="AF99:AH101"/>
    <mergeCell ref="AF108:AH110"/>
    <mergeCell ref="AI108:AJ110"/>
    <mergeCell ref="AK108:AM110"/>
    <mergeCell ref="J109:L109"/>
    <mergeCell ref="J110:L110"/>
    <mergeCell ref="A111:F113"/>
    <mergeCell ref="G111:I113"/>
    <mergeCell ref="J111:L111"/>
    <mergeCell ref="M111:N113"/>
    <mergeCell ref="O111:Q113"/>
    <mergeCell ref="O108:Q110"/>
    <mergeCell ref="R108:T110"/>
    <mergeCell ref="U108:W110"/>
    <mergeCell ref="X108:Z110"/>
    <mergeCell ref="AA108:AC110"/>
    <mergeCell ref="AD108:AE110"/>
    <mergeCell ref="J106:L106"/>
    <mergeCell ref="J107:L107"/>
    <mergeCell ref="A108:F110"/>
    <mergeCell ref="G108:I110"/>
    <mergeCell ref="J108:L108"/>
    <mergeCell ref="M108:N110"/>
    <mergeCell ref="X105:Z107"/>
    <mergeCell ref="AA105:AC107"/>
    <mergeCell ref="AD105:AE107"/>
    <mergeCell ref="AF105:AH107"/>
    <mergeCell ref="AI105:AJ107"/>
    <mergeCell ref="AK105:AM107"/>
    <mergeCell ref="A117:L117"/>
    <mergeCell ref="M117:AH117"/>
    <mergeCell ref="AI117:AM118"/>
    <mergeCell ref="A118:L118"/>
    <mergeCell ref="M118:AH118"/>
    <mergeCell ref="A119:F121"/>
    <mergeCell ref="G119:I121"/>
    <mergeCell ref="J119:L121"/>
    <mergeCell ref="M119:N121"/>
    <mergeCell ref="O119:Q121"/>
    <mergeCell ref="AI111:AJ113"/>
    <mergeCell ref="AK111:AM113"/>
    <mergeCell ref="J112:L112"/>
    <mergeCell ref="J113:L113"/>
    <mergeCell ref="AI116:AM116"/>
    <mergeCell ref="R111:T113"/>
    <mergeCell ref="U111:W113"/>
    <mergeCell ref="X111:Z113"/>
    <mergeCell ref="AA111:AC113"/>
    <mergeCell ref="AD111:AE113"/>
    <mergeCell ref="AF111:AH113"/>
    <mergeCell ref="A116:AH116"/>
    <mergeCell ref="AA122:AC124"/>
    <mergeCell ref="AD122:AE124"/>
    <mergeCell ref="AF122:AH124"/>
    <mergeCell ref="AI122:AJ124"/>
    <mergeCell ref="AK122:AM124"/>
    <mergeCell ref="J123:L123"/>
    <mergeCell ref="J124:L124"/>
    <mergeCell ref="AI119:AJ121"/>
    <mergeCell ref="AK119:AM121"/>
    <mergeCell ref="A122:F124"/>
    <mergeCell ref="G122:I124"/>
    <mergeCell ref="J122:L122"/>
    <mergeCell ref="M122:N124"/>
    <mergeCell ref="O122:Q124"/>
    <mergeCell ref="R122:T124"/>
    <mergeCell ref="U122:W124"/>
    <mergeCell ref="X122:Z124"/>
    <mergeCell ref="R119:T121"/>
    <mergeCell ref="U119:W121"/>
    <mergeCell ref="X119:Z121"/>
    <mergeCell ref="AA119:AC121"/>
    <mergeCell ref="AD119:AE121"/>
    <mergeCell ref="AF119:AH121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R128:T130"/>
    <mergeCell ref="U128:W130"/>
    <mergeCell ref="U125:W127"/>
    <mergeCell ref="X125:Z127"/>
    <mergeCell ref="AA125:AC127"/>
    <mergeCell ref="AD125:AE127"/>
    <mergeCell ref="AF125:AH127"/>
    <mergeCell ref="AI125:AJ127"/>
    <mergeCell ref="A125:F127"/>
    <mergeCell ref="G125:I127"/>
    <mergeCell ref="J125:L125"/>
    <mergeCell ref="M125:N127"/>
    <mergeCell ref="O125:Q127"/>
    <mergeCell ref="R125:T127"/>
    <mergeCell ref="A139:L139"/>
    <mergeCell ref="M139:AH139"/>
    <mergeCell ref="AI139:AM139"/>
    <mergeCell ref="A140:L140"/>
    <mergeCell ref="M140:AH140"/>
    <mergeCell ref="AI140:AM141"/>
    <mergeCell ref="A141:L141"/>
    <mergeCell ref="M141:AH141"/>
    <mergeCell ref="J129:L129"/>
    <mergeCell ref="J130:L130"/>
    <mergeCell ref="A134:G135"/>
    <mergeCell ref="H134:AM135"/>
    <mergeCell ref="A136:G137"/>
    <mergeCell ref="H136:V137"/>
    <mergeCell ref="W136:Z137"/>
    <mergeCell ref="AA136:AM137"/>
    <mergeCell ref="X128:Z130"/>
    <mergeCell ref="AA128:AC130"/>
    <mergeCell ref="AD128:AE130"/>
    <mergeCell ref="AF128:AH130"/>
    <mergeCell ref="AI128:AJ130"/>
    <mergeCell ref="AK128:AM130"/>
    <mergeCell ref="AD145:AE147"/>
    <mergeCell ref="AF145:AH147"/>
    <mergeCell ref="AI145:AJ147"/>
    <mergeCell ref="AK145:AM147"/>
    <mergeCell ref="J146:L146"/>
    <mergeCell ref="J147:L147"/>
    <mergeCell ref="AK142:AM144"/>
    <mergeCell ref="A145:F147"/>
    <mergeCell ref="G145:I147"/>
    <mergeCell ref="J145:L145"/>
    <mergeCell ref="M145:N147"/>
    <mergeCell ref="O145:Q147"/>
    <mergeCell ref="R145:T147"/>
    <mergeCell ref="U145:W147"/>
    <mergeCell ref="X145:Z147"/>
    <mergeCell ref="AA145:AC147"/>
    <mergeCell ref="U142:W144"/>
    <mergeCell ref="X142:Z144"/>
    <mergeCell ref="AA142:AC144"/>
    <mergeCell ref="AD142:AE144"/>
    <mergeCell ref="AF142:AH144"/>
    <mergeCell ref="AI142:AJ144"/>
    <mergeCell ref="A142:F144"/>
    <mergeCell ref="G142:I144"/>
    <mergeCell ref="J142:L144"/>
    <mergeCell ref="M142:N144"/>
    <mergeCell ref="O142:Q144"/>
    <mergeCell ref="R142:T144"/>
    <mergeCell ref="AK148:AM150"/>
    <mergeCell ref="J149:L149"/>
    <mergeCell ref="J150:L150"/>
    <mergeCell ref="A151:F153"/>
    <mergeCell ref="G151:I153"/>
    <mergeCell ref="J151:L151"/>
    <mergeCell ref="M151:N153"/>
    <mergeCell ref="O151:Q153"/>
    <mergeCell ref="R151:T153"/>
    <mergeCell ref="U151:W153"/>
    <mergeCell ref="U148:W150"/>
    <mergeCell ref="X148:Z150"/>
    <mergeCell ref="AA148:AC150"/>
    <mergeCell ref="AD148:AE150"/>
    <mergeCell ref="AF148:AH150"/>
    <mergeCell ref="AI148:AJ150"/>
    <mergeCell ref="A148:F150"/>
    <mergeCell ref="G148:I150"/>
    <mergeCell ref="J148:L148"/>
    <mergeCell ref="M148:N150"/>
    <mergeCell ref="O148:Q150"/>
    <mergeCell ref="R148:T150"/>
    <mergeCell ref="AF154:AH156"/>
    <mergeCell ref="AI154:AJ156"/>
    <mergeCell ref="AK154:AM156"/>
    <mergeCell ref="J155:L155"/>
    <mergeCell ref="J156:L156"/>
    <mergeCell ref="A157:F159"/>
    <mergeCell ref="G157:I159"/>
    <mergeCell ref="J157:L157"/>
    <mergeCell ref="M157:N159"/>
    <mergeCell ref="O157:Q159"/>
    <mergeCell ref="O154:Q156"/>
    <mergeCell ref="R154:T156"/>
    <mergeCell ref="U154:W156"/>
    <mergeCell ref="X154:Z156"/>
    <mergeCell ref="AA154:AC156"/>
    <mergeCell ref="AD154:AE156"/>
    <mergeCell ref="J152:L152"/>
    <mergeCell ref="J153:L153"/>
    <mergeCell ref="A154:F156"/>
    <mergeCell ref="G154:I156"/>
    <mergeCell ref="J154:L154"/>
    <mergeCell ref="M154:N156"/>
    <mergeCell ref="X151:Z153"/>
    <mergeCell ref="AA151:AC153"/>
    <mergeCell ref="AD151:AE153"/>
    <mergeCell ref="AF151:AH153"/>
    <mergeCell ref="AI151:AJ153"/>
    <mergeCell ref="AK151:AM153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R163:T165"/>
    <mergeCell ref="U163:W165"/>
    <mergeCell ref="U160:W162"/>
    <mergeCell ref="X160:Z162"/>
    <mergeCell ref="AA160:AC162"/>
    <mergeCell ref="AD160:AE162"/>
    <mergeCell ref="AF160:AH162"/>
    <mergeCell ref="AI160:AJ162"/>
    <mergeCell ref="AI157:AJ159"/>
    <mergeCell ref="AK157:AM159"/>
    <mergeCell ref="J158:L158"/>
    <mergeCell ref="J159:L159"/>
    <mergeCell ref="A160:F162"/>
    <mergeCell ref="G160:I162"/>
    <mergeCell ref="J160:L160"/>
    <mergeCell ref="M160:N162"/>
    <mergeCell ref="O160:Q162"/>
    <mergeCell ref="R160:T162"/>
    <mergeCell ref="R157:T159"/>
    <mergeCell ref="U157:W159"/>
    <mergeCell ref="X157:Z159"/>
    <mergeCell ref="AA157:AC159"/>
    <mergeCell ref="AD157:AE159"/>
    <mergeCell ref="AF157:AH159"/>
    <mergeCell ref="AF166:AH168"/>
    <mergeCell ref="AI166:AJ168"/>
    <mergeCell ref="AK166:AM168"/>
    <mergeCell ref="J167:L167"/>
    <mergeCell ref="J168:L168"/>
    <mergeCell ref="A169:F171"/>
    <mergeCell ref="G169:I171"/>
    <mergeCell ref="J169:L169"/>
    <mergeCell ref="M169:N171"/>
    <mergeCell ref="O169:Q171"/>
    <mergeCell ref="O166:Q168"/>
    <mergeCell ref="R166:T168"/>
    <mergeCell ref="U166:W168"/>
    <mergeCell ref="X166:Z168"/>
    <mergeCell ref="AA166:AC168"/>
    <mergeCell ref="AD166:AE168"/>
    <mergeCell ref="J164:L164"/>
    <mergeCell ref="J165:L165"/>
    <mergeCell ref="A166:F168"/>
    <mergeCell ref="G166:I168"/>
    <mergeCell ref="J166:L166"/>
    <mergeCell ref="M166:N168"/>
    <mergeCell ref="X163:Z165"/>
    <mergeCell ref="AA163:AC165"/>
    <mergeCell ref="AD163:AE165"/>
    <mergeCell ref="AF163:AH165"/>
    <mergeCell ref="AI163:AJ165"/>
    <mergeCell ref="AK163:AM165"/>
    <mergeCell ref="A188:L188"/>
    <mergeCell ref="M188:AH188"/>
    <mergeCell ref="AI188:AM189"/>
    <mergeCell ref="A189:L189"/>
    <mergeCell ref="M189:AH189"/>
    <mergeCell ref="A190:F192"/>
    <mergeCell ref="G190:I192"/>
    <mergeCell ref="J190:L192"/>
    <mergeCell ref="M190:N192"/>
    <mergeCell ref="O190:Q192"/>
    <mergeCell ref="AI169:AJ171"/>
    <mergeCell ref="AK169:AM171"/>
    <mergeCell ref="J170:L170"/>
    <mergeCell ref="J171:L171"/>
    <mergeCell ref="A187:L187"/>
    <mergeCell ref="M187:AH187"/>
    <mergeCell ref="AI187:AM187"/>
    <mergeCell ref="R169:T171"/>
    <mergeCell ref="U169:W171"/>
    <mergeCell ref="X169:Z171"/>
    <mergeCell ref="AA169:AC171"/>
    <mergeCell ref="AD169:AE171"/>
    <mergeCell ref="AF169:AH171"/>
    <mergeCell ref="AA193:AC195"/>
    <mergeCell ref="AD193:AE195"/>
    <mergeCell ref="AF193:AH195"/>
    <mergeCell ref="AI193:AJ195"/>
    <mergeCell ref="AK193:AM195"/>
    <mergeCell ref="J194:L194"/>
    <mergeCell ref="J195:L195"/>
    <mergeCell ref="AI190:AJ192"/>
    <mergeCell ref="AK190:AM192"/>
    <mergeCell ref="A193:F195"/>
    <mergeCell ref="G193:I195"/>
    <mergeCell ref="J193:L193"/>
    <mergeCell ref="M193:N195"/>
    <mergeCell ref="O193:Q195"/>
    <mergeCell ref="R193:T195"/>
    <mergeCell ref="U193:W195"/>
    <mergeCell ref="X193:Z195"/>
    <mergeCell ref="R190:T192"/>
    <mergeCell ref="U190:W192"/>
    <mergeCell ref="X190:Z192"/>
    <mergeCell ref="AA190:AC192"/>
    <mergeCell ref="AD190:AE192"/>
    <mergeCell ref="AF190:AH192"/>
    <mergeCell ref="AK196:AM198"/>
    <mergeCell ref="J197:L197"/>
    <mergeCell ref="J198:L198"/>
    <mergeCell ref="A199:F201"/>
    <mergeCell ref="G199:I201"/>
    <mergeCell ref="J199:L199"/>
    <mergeCell ref="M199:N201"/>
    <mergeCell ref="O199:Q201"/>
    <mergeCell ref="R199:T201"/>
    <mergeCell ref="U199:W201"/>
    <mergeCell ref="U196:W198"/>
    <mergeCell ref="X196:Z198"/>
    <mergeCell ref="AA196:AC198"/>
    <mergeCell ref="AD196:AE198"/>
    <mergeCell ref="AF196:AH198"/>
    <mergeCell ref="AI196:AJ198"/>
    <mergeCell ref="A196:F198"/>
    <mergeCell ref="G196:I198"/>
    <mergeCell ref="J196:L196"/>
    <mergeCell ref="M196:N198"/>
    <mergeCell ref="O196:Q198"/>
    <mergeCell ref="R196:T198"/>
    <mergeCell ref="AF202:AH204"/>
    <mergeCell ref="AI202:AJ204"/>
    <mergeCell ref="AK202:AM204"/>
    <mergeCell ref="J203:L203"/>
    <mergeCell ref="J204:L204"/>
    <mergeCell ref="A205:F207"/>
    <mergeCell ref="G205:I207"/>
    <mergeCell ref="J205:L205"/>
    <mergeCell ref="M205:N207"/>
    <mergeCell ref="O205:Q207"/>
    <mergeCell ref="O202:Q204"/>
    <mergeCell ref="R202:T204"/>
    <mergeCell ref="U202:W204"/>
    <mergeCell ref="X202:Z204"/>
    <mergeCell ref="AA202:AC204"/>
    <mergeCell ref="AD202:AE204"/>
    <mergeCell ref="J200:L200"/>
    <mergeCell ref="J201:L201"/>
    <mergeCell ref="A202:F204"/>
    <mergeCell ref="G202:I204"/>
    <mergeCell ref="J202:L202"/>
    <mergeCell ref="M202:N204"/>
    <mergeCell ref="X199:Z201"/>
    <mergeCell ref="AA199:AC201"/>
    <mergeCell ref="AD199:AE201"/>
    <mergeCell ref="AF199:AH201"/>
    <mergeCell ref="AI199:AJ201"/>
    <mergeCell ref="AK199:AM201"/>
    <mergeCell ref="AK208:AM210"/>
    <mergeCell ref="J209:L209"/>
    <mergeCell ref="J210:L210"/>
    <mergeCell ref="A211:F213"/>
    <mergeCell ref="G211:I213"/>
    <mergeCell ref="J211:L211"/>
    <mergeCell ref="M211:N213"/>
    <mergeCell ref="O211:Q213"/>
    <mergeCell ref="R211:T213"/>
    <mergeCell ref="U211:W213"/>
    <mergeCell ref="U208:W210"/>
    <mergeCell ref="X208:Z210"/>
    <mergeCell ref="AA208:AC210"/>
    <mergeCell ref="AD208:AE210"/>
    <mergeCell ref="AF208:AH210"/>
    <mergeCell ref="AI208:AJ210"/>
    <mergeCell ref="AI205:AJ207"/>
    <mergeCell ref="AK205:AM207"/>
    <mergeCell ref="J206:L206"/>
    <mergeCell ref="J207:L207"/>
    <mergeCell ref="A208:F210"/>
    <mergeCell ref="G208:I210"/>
    <mergeCell ref="J208:L208"/>
    <mergeCell ref="M208:N210"/>
    <mergeCell ref="O208:Q210"/>
    <mergeCell ref="R208:T210"/>
    <mergeCell ref="R205:T207"/>
    <mergeCell ref="U205:W207"/>
    <mergeCell ref="X205:Z207"/>
    <mergeCell ref="AA205:AC207"/>
    <mergeCell ref="AD205:AE207"/>
    <mergeCell ref="AF205:AH207"/>
    <mergeCell ref="AF214:AH216"/>
    <mergeCell ref="AI214:AJ216"/>
    <mergeCell ref="AK214:AM216"/>
    <mergeCell ref="J215:L215"/>
    <mergeCell ref="J216:L216"/>
    <mergeCell ref="A217:F219"/>
    <mergeCell ref="G217:I219"/>
    <mergeCell ref="J217:L217"/>
    <mergeCell ref="M217:N219"/>
    <mergeCell ref="O217:Q219"/>
    <mergeCell ref="O214:Q216"/>
    <mergeCell ref="R214:T216"/>
    <mergeCell ref="U214:W216"/>
    <mergeCell ref="X214:Z216"/>
    <mergeCell ref="AA214:AC216"/>
    <mergeCell ref="AD214:AE216"/>
    <mergeCell ref="J212:L212"/>
    <mergeCell ref="J213:L213"/>
    <mergeCell ref="A214:F216"/>
    <mergeCell ref="G214:I216"/>
    <mergeCell ref="J214:L214"/>
    <mergeCell ref="M214:N216"/>
    <mergeCell ref="X211:Z213"/>
    <mergeCell ref="AA211:AC213"/>
    <mergeCell ref="AD211:AE213"/>
    <mergeCell ref="AF211:AH213"/>
    <mergeCell ref="AI211:AJ213"/>
    <mergeCell ref="AK211:AM213"/>
    <mergeCell ref="AF242:AI242"/>
    <mergeCell ref="AJ242:AM242"/>
    <mergeCell ref="B243:K243"/>
    <mergeCell ref="L243:N243"/>
    <mergeCell ref="O243:Q243"/>
    <mergeCell ref="R243:U243"/>
    <mergeCell ref="V243:W243"/>
    <mergeCell ref="X243:AA243"/>
    <mergeCell ref="AB243:AE243"/>
    <mergeCell ref="AF243:AI243"/>
    <mergeCell ref="AI217:AJ219"/>
    <mergeCell ref="AK217:AM219"/>
    <mergeCell ref="J218:L218"/>
    <mergeCell ref="J219:L219"/>
    <mergeCell ref="A240:AM240"/>
    <mergeCell ref="B242:K242"/>
    <mergeCell ref="R242:U242"/>
    <mergeCell ref="V242:W242"/>
    <mergeCell ref="X242:AA242"/>
    <mergeCell ref="AB242:AE242"/>
    <mergeCell ref="R217:T219"/>
    <mergeCell ref="U217:W219"/>
    <mergeCell ref="X217:Z219"/>
    <mergeCell ref="AA217:AC219"/>
    <mergeCell ref="AD217:AE219"/>
    <mergeCell ref="AF217:AH219"/>
    <mergeCell ref="AD228:AE230"/>
    <mergeCell ref="AF228:AH230"/>
    <mergeCell ref="AI228:AJ230"/>
    <mergeCell ref="AK228:AM230"/>
    <mergeCell ref="J229:L229"/>
    <mergeCell ref="J230:L230"/>
    <mergeCell ref="AB245:AE245"/>
    <mergeCell ref="AF245:AI245"/>
    <mergeCell ref="AJ245:AM245"/>
    <mergeCell ref="B246:K246"/>
    <mergeCell ref="L246:N246"/>
    <mergeCell ref="O246:Q246"/>
    <mergeCell ref="R246:U246"/>
    <mergeCell ref="V246:W246"/>
    <mergeCell ref="X246:AA246"/>
    <mergeCell ref="AB246:AE246"/>
    <mergeCell ref="B245:K245"/>
    <mergeCell ref="L245:N245"/>
    <mergeCell ref="O245:Q245"/>
    <mergeCell ref="R245:U245"/>
    <mergeCell ref="V245:W245"/>
    <mergeCell ref="X245:AA245"/>
    <mergeCell ref="AJ243:AM243"/>
    <mergeCell ref="B244:K244"/>
    <mergeCell ref="L244:N244"/>
    <mergeCell ref="O244:Q244"/>
    <mergeCell ref="R244:U244"/>
    <mergeCell ref="V244:W244"/>
    <mergeCell ref="X244:AA244"/>
    <mergeCell ref="AB244:AE244"/>
    <mergeCell ref="AF244:AI244"/>
    <mergeCell ref="AJ244:AM244"/>
    <mergeCell ref="AJ247:AM247"/>
    <mergeCell ref="B248:K248"/>
    <mergeCell ref="L248:N248"/>
    <mergeCell ref="O248:Q248"/>
    <mergeCell ref="R248:U248"/>
    <mergeCell ref="V248:W248"/>
    <mergeCell ref="X248:AA248"/>
    <mergeCell ref="AB248:AE248"/>
    <mergeCell ref="AF248:AI248"/>
    <mergeCell ref="AJ248:AM248"/>
    <mergeCell ref="AF246:AI246"/>
    <mergeCell ref="AJ246:AM246"/>
    <mergeCell ref="B247:K247"/>
    <mergeCell ref="L247:N247"/>
    <mergeCell ref="O247:Q247"/>
    <mergeCell ref="R247:U247"/>
    <mergeCell ref="V247:W247"/>
    <mergeCell ref="X247:AA247"/>
    <mergeCell ref="AB247:AE247"/>
    <mergeCell ref="AF247:AI247"/>
    <mergeCell ref="AF250:AI250"/>
    <mergeCell ref="AJ250:AM250"/>
    <mergeCell ref="B251:K251"/>
    <mergeCell ref="L251:N251"/>
    <mergeCell ref="O251:Q251"/>
    <mergeCell ref="R251:U251"/>
    <mergeCell ref="V251:W251"/>
    <mergeCell ref="X251:AA251"/>
    <mergeCell ref="AB251:AE251"/>
    <mergeCell ref="AF251:AI251"/>
    <mergeCell ref="AB249:AE249"/>
    <mergeCell ref="AF249:AI249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B249:K249"/>
    <mergeCell ref="L249:N249"/>
    <mergeCell ref="O249:Q249"/>
    <mergeCell ref="R249:U249"/>
    <mergeCell ref="V249:W249"/>
    <mergeCell ref="X249:AA249"/>
    <mergeCell ref="AB253:AE253"/>
    <mergeCell ref="AF253:AI253"/>
    <mergeCell ref="AJ253:AM253"/>
    <mergeCell ref="B254:K254"/>
    <mergeCell ref="L254:N254"/>
    <mergeCell ref="O254:Q254"/>
    <mergeCell ref="R254:U254"/>
    <mergeCell ref="V254:W254"/>
    <mergeCell ref="X254:AA254"/>
    <mergeCell ref="AB254:AE254"/>
    <mergeCell ref="B253:K253"/>
    <mergeCell ref="L253:N253"/>
    <mergeCell ref="O253:Q253"/>
    <mergeCell ref="R253:U253"/>
    <mergeCell ref="V253:W253"/>
    <mergeCell ref="X253:AA253"/>
    <mergeCell ref="AJ251:AM251"/>
    <mergeCell ref="B252:K252"/>
    <mergeCell ref="L252:N252"/>
    <mergeCell ref="O252:Q252"/>
    <mergeCell ref="R252:U252"/>
    <mergeCell ref="V252:W252"/>
    <mergeCell ref="X252:AA252"/>
    <mergeCell ref="AB252:AE252"/>
    <mergeCell ref="AF252:AI252"/>
    <mergeCell ref="AJ252:AM252"/>
    <mergeCell ref="AJ255:AM255"/>
    <mergeCell ref="B256:K256"/>
    <mergeCell ref="L256:N256"/>
    <mergeCell ref="O256:Q256"/>
    <mergeCell ref="R256:U256"/>
    <mergeCell ref="V256:W256"/>
    <mergeCell ref="X256:AA256"/>
    <mergeCell ref="AB256:AE256"/>
    <mergeCell ref="AF256:AI256"/>
    <mergeCell ref="AJ256:AM256"/>
    <mergeCell ref="AF254:AI254"/>
    <mergeCell ref="AJ254:AM254"/>
    <mergeCell ref="B255:K255"/>
    <mergeCell ref="L255:N255"/>
    <mergeCell ref="O255:Q255"/>
    <mergeCell ref="R255:U255"/>
    <mergeCell ref="V255:W255"/>
    <mergeCell ref="X255:AA255"/>
    <mergeCell ref="AB255:AE255"/>
    <mergeCell ref="AF255:AI255"/>
    <mergeCell ref="AF258:AI258"/>
    <mergeCell ref="AJ258:AM258"/>
    <mergeCell ref="B259:K259"/>
    <mergeCell ref="L259:N259"/>
    <mergeCell ref="O259:Q259"/>
    <mergeCell ref="R259:U259"/>
    <mergeCell ref="V259:W259"/>
    <mergeCell ref="X259:AA259"/>
    <mergeCell ref="AB259:AE259"/>
    <mergeCell ref="AF259:AI259"/>
    <mergeCell ref="AB257:AE257"/>
    <mergeCell ref="AF257:AI257"/>
    <mergeCell ref="AJ257:AM257"/>
    <mergeCell ref="B258:K258"/>
    <mergeCell ref="L258:N258"/>
    <mergeCell ref="O258:Q258"/>
    <mergeCell ref="R258:U258"/>
    <mergeCell ref="V258:W258"/>
    <mergeCell ref="X258:AA258"/>
    <mergeCell ref="AB258:AE258"/>
    <mergeCell ref="B257:K257"/>
    <mergeCell ref="L257:N257"/>
    <mergeCell ref="O257:Q257"/>
    <mergeCell ref="R257:U257"/>
    <mergeCell ref="V257:W257"/>
    <mergeCell ref="X257:AA257"/>
    <mergeCell ref="AB261:AE261"/>
    <mergeCell ref="AF261:AI261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B261:K261"/>
    <mergeCell ref="L261:N261"/>
    <mergeCell ref="O261:Q261"/>
    <mergeCell ref="R261:U261"/>
    <mergeCell ref="V261:W261"/>
    <mergeCell ref="X261:AA261"/>
    <mergeCell ref="AJ259:AM259"/>
    <mergeCell ref="B260:K260"/>
    <mergeCell ref="L260:N260"/>
    <mergeCell ref="O260:Q260"/>
    <mergeCell ref="R260:U260"/>
    <mergeCell ref="V260:W260"/>
    <mergeCell ref="X260:AA260"/>
    <mergeCell ref="AB260:AE260"/>
    <mergeCell ref="AF260:AI260"/>
    <mergeCell ref="AJ260:AM260"/>
    <mergeCell ref="AJ263:AM263"/>
    <mergeCell ref="B264:K264"/>
    <mergeCell ref="L264:N264"/>
    <mergeCell ref="O264:Q264"/>
    <mergeCell ref="R264:U264"/>
    <mergeCell ref="V264:W264"/>
    <mergeCell ref="X264:AA264"/>
    <mergeCell ref="AB264:AE264"/>
    <mergeCell ref="AF264:AI264"/>
    <mergeCell ref="AJ264:AM264"/>
    <mergeCell ref="AF262:AI262"/>
    <mergeCell ref="AJ262:AM262"/>
    <mergeCell ref="B263:K263"/>
    <mergeCell ref="L263:N263"/>
    <mergeCell ref="O263:Q263"/>
    <mergeCell ref="R263:U263"/>
    <mergeCell ref="V263:W263"/>
    <mergeCell ref="X263:AA263"/>
    <mergeCell ref="AB263:AE263"/>
    <mergeCell ref="AF263:AI263"/>
    <mergeCell ref="AF266:AI266"/>
    <mergeCell ref="AJ266:AM266"/>
    <mergeCell ref="B267:K267"/>
    <mergeCell ref="L267:N267"/>
    <mergeCell ref="O267:Q267"/>
    <mergeCell ref="R267:U267"/>
    <mergeCell ref="V267:W267"/>
    <mergeCell ref="X267:AA267"/>
    <mergeCell ref="AB267:AE267"/>
    <mergeCell ref="AF267:AI267"/>
    <mergeCell ref="AB265:AE265"/>
    <mergeCell ref="AF265:AI265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B265:K265"/>
    <mergeCell ref="L265:N265"/>
    <mergeCell ref="O265:Q265"/>
    <mergeCell ref="R265:U265"/>
    <mergeCell ref="V265:W265"/>
    <mergeCell ref="X265:AA265"/>
    <mergeCell ref="AB269:AE269"/>
    <mergeCell ref="AF269:AI269"/>
    <mergeCell ref="AJ269:AM269"/>
    <mergeCell ref="B270:K270"/>
    <mergeCell ref="L270:N270"/>
    <mergeCell ref="O270:Q270"/>
    <mergeCell ref="R270:U270"/>
    <mergeCell ref="V270:W270"/>
    <mergeCell ref="X270:AA270"/>
    <mergeCell ref="AB270:AE270"/>
    <mergeCell ref="B269:K269"/>
    <mergeCell ref="L269:N269"/>
    <mergeCell ref="O269:Q269"/>
    <mergeCell ref="R269:U269"/>
    <mergeCell ref="V269:W269"/>
    <mergeCell ref="X269:AA269"/>
    <mergeCell ref="AJ267:AM267"/>
    <mergeCell ref="B268:K268"/>
    <mergeCell ref="L268:N268"/>
    <mergeCell ref="O268:Q268"/>
    <mergeCell ref="R268:U268"/>
    <mergeCell ref="V268:W268"/>
    <mergeCell ref="X268:AA268"/>
    <mergeCell ref="AB268:AE268"/>
    <mergeCell ref="AF268:AI268"/>
    <mergeCell ref="AJ268:AM268"/>
    <mergeCell ref="AJ271:AM271"/>
    <mergeCell ref="B272:K272"/>
    <mergeCell ref="L272:N272"/>
    <mergeCell ref="O272:Q272"/>
    <mergeCell ref="R272:U272"/>
    <mergeCell ref="V272:W272"/>
    <mergeCell ref="X272:AA272"/>
    <mergeCell ref="AB272:AE272"/>
    <mergeCell ref="AF272:AI272"/>
    <mergeCell ref="AJ272:AM272"/>
    <mergeCell ref="AF270:AI270"/>
    <mergeCell ref="AJ270:AM270"/>
    <mergeCell ref="B271:K271"/>
    <mergeCell ref="L271:N271"/>
    <mergeCell ref="O271:Q271"/>
    <mergeCell ref="R271:U271"/>
    <mergeCell ref="V271:W271"/>
    <mergeCell ref="X271:AA271"/>
    <mergeCell ref="AB271:AE271"/>
    <mergeCell ref="AF271:AI271"/>
    <mergeCell ref="AF276:AI276"/>
    <mergeCell ref="AJ276:AM276"/>
    <mergeCell ref="AF274:AI274"/>
    <mergeCell ref="AJ274:AM274"/>
    <mergeCell ref="B275:K275"/>
    <mergeCell ref="L275:N275"/>
    <mergeCell ref="O275:Q275"/>
    <mergeCell ref="R275:U275"/>
    <mergeCell ref="V275:W275"/>
    <mergeCell ref="X275:AA275"/>
    <mergeCell ref="AB275:AE275"/>
    <mergeCell ref="AF275:AI275"/>
    <mergeCell ref="AB273:AE273"/>
    <mergeCell ref="AF273:AI273"/>
    <mergeCell ref="AJ273:AM273"/>
    <mergeCell ref="B274:K274"/>
    <mergeCell ref="L274:N274"/>
    <mergeCell ref="O274:Q274"/>
    <mergeCell ref="R274:U274"/>
    <mergeCell ref="V274:W274"/>
    <mergeCell ref="X274:AA274"/>
    <mergeCell ref="AB274:AE274"/>
    <mergeCell ref="B273:K273"/>
    <mergeCell ref="L273:N273"/>
    <mergeCell ref="O273:Q273"/>
    <mergeCell ref="R273:U273"/>
    <mergeCell ref="V273:W273"/>
    <mergeCell ref="X273:AA273"/>
    <mergeCell ref="AF278:AI278"/>
    <mergeCell ref="AJ278:AM278"/>
    <mergeCell ref="AI222:AM222"/>
    <mergeCell ref="A223:L223"/>
    <mergeCell ref="M223:AH223"/>
    <mergeCell ref="AI223:AM224"/>
    <mergeCell ref="A224:L224"/>
    <mergeCell ref="M224:AH224"/>
    <mergeCell ref="AB277:AE277"/>
    <mergeCell ref="AF277:AI277"/>
    <mergeCell ref="AJ277:AM277"/>
    <mergeCell ref="B278:K278"/>
    <mergeCell ref="L278:N278"/>
    <mergeCell ref="O278:Q278"/>
    <mergeCell ref="R278:U278"/>
    <mergeCell ref="V278:W278"/>
    <mergeCell ref="X278:AA278"/>
    <mergeCell ref="AB278:AE278"/>
    <mergeCell ref="B277:K277"/>
    <mergeCell ref="L277:N277"/>
    <mergeCell ref="O277:Q277"/>
    <mergeCell ref="R277:U277"/>
    <mergeCell ref="V277:W277"/>
    <mergeCell ref="X277:AA277"/>
    <mergeCell ref="AJ275:AM275"/>
    <mergeCell ref="B276:K276"/>
    <mergeCell ref="L276:N276"/>
    <mergeCell ref="O276:Q276"/>
    <mergeCell ref="R276:U276"/>
    <mergeCell ref="V276:W276"/>
    <mergeCell ref="X276:AA276"/>
    <mergeCell ref="AB276:AE276"/>
    <mergeCell ref="A228:F230"/>
    <mergeCell ref="G228:I230"/>
    <mergeCell ref="J228:L228"/>
    <mergeCell ref="M228:N230"/>
    <mergeCell ref="O228:Q230"/>
    <mergeCell ref="R228:T230"/>
    <mergeCell ref="U228:W230"/>
    <mergeCell ref="X228:Z230"/>
    <mergeCell ref="AA228:AC230"/>
    <mergeCell ref="U225:W227"/>
    <mergeCell ref="X225:Z227"/>
    <mergeCell ref="AA225:AC227"/>
    <mergeCell ref="AD225:AE227"/>
    <mergeCell ref="AF225:AH227"/>
    <mergeCell ref="AI225:AJ227"/>
    <mergeCell ref="A225:F227"/>
    <mergeCell ref="G225:I227"/>
    <mergeCell ref="J225:L227"/>
    <mergeCell ref="M225:N227"/>
    <mergeCell ref="O225:Q227"/>
    <mergeCell ref="R225:T227"/>
    <mergeCell ref="A222:AH222"/>
    <mergeCell ref="J235:L235"/>
    <mergeCell ref="J236:L236"/>
    <mergeCell ref="X234:Z236"/>
    <mergeCell ref="AA234:AC236"/>
    <mergeCell ref="AD234:AE236"/>
    <mergeCell ref="AF234:AH236"/>
    <mergeCell ref="AI234:AJ236"/>
    <mergeCell ref="AK234:AM236"/>
    <mergeCell ref="AK231:AM233"/>
    <mergeCell ref="J232:L232"/>
    <mergeCell ref="J233:L233"/>
    <mergeCell ref="A234:F236"/>
    <mergeCell ref="G234:I236"/>
    <mergeCell ref="J234:L234"/>
    <mergeCell ref="M234:N236"/>
    <mergeCell ref="O234:Q236"/>
    <mergeCell ref="R234:T236"/>
    <mergeCell ref="U234:W236"/>
    <mergeCell ref="U231:W233"/>
    <mergeCell ref="X231:Z233"/>
    <mergeCell ref="AA231:AC233"/>
    <mergeCell ref="AD231:AE233"/>
    <mergeCell ref="AF231:AH233"/>
    <mergeCell ref="AI231:AJ233"/>
    <mergeCell ref="A231:F233"/>
    <mergeCell ref="G231:I233"/>
    <mergeCell ref="J231:L231"/>
    <mergeCell ref="M231:N233"/>
    <mergeCell ref="O231:Q233"/>
    <mergeCell ref="R231:T233"/>
    <mergeCell ref="AK225:AM227"/>
    <mergeCell ref="B279:K279"/>
    <mergeCell ref="L279:N279"/>
    <mergeCell ref="O279:Q279"/>
    <mergeCell ref="R279:U279"/>
    <mergeCell ref="V279:W279"/>
    <mergeCell ref="X279:AA279"/>
    <mergeCell ref="AB279:AE279"/>
    <mergeCell ref="AF279:AI279"/>
    <mergeCell ref="AJ279:AM279"/>
    <mergeCell ref="B280:K280"/>
    <mergeCell ref="L280:N280"/>
    <mergeCell ref="O280:Q280"/>
    <mergeCell ref="R280:U280"/>
    <mergeCell ref="V280:W280"/>
    <mergeCell ref="X280:AA280"/>
    <mergeCell ref="AB280:AE280"/>
    <mergeCell ref="AF280:AI280"/>
    <mergeCell ref="AJ280:AM280"/>
  </mergeCells>
  <hyperlinks>
    <hyperlink ref="G11" r:id="rId1" xr:uid="{EC2D707B-C2AD-CF49-949D-AB0EA8BD9394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92C1B-D3EC-F049-B81C-28F522C40DF1}">
  <dimension ref="A1:AM599"/>
  <sheetViews>
    <sheetView view="pageLayout" zoomScale="140" zoomScaleNormal="100" zoomScalePageLayoutView="140" workbookViewId="0">
      <selection activeCell="Z3" sqref="Z3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Shopping City Timisoara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21,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RO30356345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J/40/7313/2012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RO21 RZBR 0000 0600 1748 7175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8/22.12.2023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29/28.02.2024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8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AB599</f>
        <v>1113692.3600000001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AF599</f>
        <v>211601.54000000004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AJ599</f>
        <v>1325293.9000000001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1325293.9000000001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R562+R576+R577+R580</f>
        <v>1237239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1.0711704852498185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VLOOKUP(AA16,'Date SPV'!$B:$H,4,FALSE)</f>
        <v>Strada Calea Sagului, nr. 100, Timisoara, jud. Timis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5000148966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_xlfn.CONCAT($AA$16,"_",1)</f>
        <v>RTIM_1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RO005E513396506/1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RTIM_1.1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1372642650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4305420 (citit)</v>
      </c>
      <c r="S41" s="647"/>
      <c r="T41" s="647"/>
      <c r="U41" s="647" t="str">
        <f>VLOOKUP(A41,Regularizare!$D:$U,4,FALSE)&amp;" ("&amp;VLOOKUP(A41,Regularizare!$D:$U,12,FALSE)&amp;")"</f>
        <v>4541006 (estimat)</v>
      </c>
      <c r="V41" s="647"/>
      <c r="W41" s="647"/>
      <c r="X41" s="647" t="str">
        <f>VLOOKUP(A41,Regularizare!$D:$Y,19,FALSE)&amp;" ("&amp;VLOOKUP(A41,Regularizare!$D:$U,12,FALSE)&amp;")"</f>
        <v>235586 (estimat)</v>
      </c>
      <c r="Y41" s="647"/>
      <c r="Z41" s="647"/>
      <c r="AA41" s="647">
        <f>(-1)*VLOOKUP(A41,Regularizare!$D:$Y,19,FALSE)</f>
        <v>-235586</v>
      </c>
      <c r="AB41" s="647"/>
      <c r="AC41" s="647"/>
      <c r="AD41" s="647" t="s">
        <v>69</v>
      </c>
      <c r="AE41" s="647"/>
      <c r="AF41" s="647">
        <f>AA41</f>
        <v>-235586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1372642650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277796 (citit)</v>
      </c>
      <c r="S44" s="647"/>
      <c r="T44" s="647"/>
      <c r="U44" s="647" t="str">
        <f>VLOOKUP(A44,Regularizare!$D:$U,8,FALSE)&amp;" ("&amp;VLOOKUP(A44,Regularizare!$D:$U,16,FALSE)&amp;")"</f>
        <v>277796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1372642650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3740 (citit)</v>
      </c>
      <c r="S47" s="647"/>
      <c r="T47" s="647"/>
      <c r="U47" s="647" t="str">
        <f>VLOOKUP(A47,Regularizare!$D:$U,10,FALSE)&amp;" ("&amp;VLOOKUP(A47,Regularizare!$D:$U,18,FALSE)&amp;")"</f>
        <v>3740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1372642650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4305420 (citit)</v>
      </c>
      <c r="S50" s="647"/>
      <c r="T50" s="647"/>
      <c r="U50" s="647" t="str">
        <f>VLOOKUP(A50,Regularizare!$D:$AX,25,FALSE)&amp;" ("&amp;VLOOKUP(A50,Regularizare!$D:$AX,26,FALSE)&amp;")"</f>
        <v>4541006 (citit)</v>
      </c>
      <c r="V50" s="647"/>
      <c r="W50" s="647"/>
      <c r="X50" s="647" t="str">
        <f>VLOOKUP(A50,Regularizare!$D:$AX,37,FALSE)&amp;" ("&amp;VLOOKUP(A50,Regularizare!$D:$AX,26,FALSE)&amp;")"</f>
        <v>235586 (citit)</v>
      </c>
      <c r="Y50" s="647"/>
      <c r="Z50" s="647"/>
      <c r="AA50" s="647">
        <f>VLOOKUP(A50,Regularizare!$D:$AX,37,FALSE)</f>
        <v>235586</v>
      </c>
      <c r="AB50" s="647"/>
      <c r="AC50" s="647"/>
      <c r="AD50" s="647" t="s">
        <v>69</v>
      </c>
      <c r="AE50" s="647"/>
      <c r="AF50" s="647">
        <f>AA50</f>
        <v>235586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1372642650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277796 (citit)</v>
      </c>
      <c r="S53" s="647"/>
      <c r="T53" s="647"/>
      <c r="U53" s="647" t="str">
        <f>VLOOKUP(A53,Regularizare!$D:$AX,31,FALSE)&amp;" ("&amp;VLOOKUP(A53,Regularizare!$D:$AX,32,FALSE)&amp;")"</f>
        <v>277909 (citit)</v>
      </c>
      <c r="V53" s="647"/>
      <c r="W53" s="647"/>
      <c r="X53" s="647" t="str">
        <f>VLOOKUP(A53,Regularizare!$D:$AX,39,FALSE)&amp;" ("&amp;VLOOKUP(A53,Regularizare!$D:$AX,32,FALSE)&amp;")"</f>
        <v>113 (citit)</v>
      </c>
      <c r="Y53" s="647"/>
      <c r="Z53" s="647"/>
      <c r="AA53" s="647">
        <f>VLOOKUP(A53,Regularizare!$D:$AX,44,FALSE)+VLOOKUP(A53,Regularizare!$D:$AX,45,FALSE)</f>
        <v>113</v>
      </c>
      <c r="AB53" s="647"/>
      <c r="AC53" s="647"/>
      <c r="AD53" s="647" t="s">
        <v>69</v>
      </c>
      <c r="AE53" s="647"/>
      <c r="AF53" s="647">
        <f>AA53</f>
        <v>113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1372642650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3740 (citit)</v>
      </c>
      <c r="S56" s="647"/>
      <c r="T56" s="647"/>
      <c r="U56" s="647" t="str">
        <f>VLOOKUP(A56,Regularizare!$D:$AX,35,FALSE)&amp;" ("&amp;VLOOKUP(A56,Regularizare!$D:$AX,36,FALSE)&amp;")"</f>
        <v>3740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1372642650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4541006 (citit)</v>
      </c>
      <c r="S59" s="647"/>
      <c r="T59" s="647"/>
      <c r="U59" s="647" t="str">
        <f>VLOOKUP(A59,'Incrementare indexe'!$D:$M,4,FALSE)&amp;" (estimat)"</f>
        <v>4797506 (estimat)</v>
      </c>
      <c r="V59" s="647"/>
      <c r="W59" s="647"/>
      <c r="X59" s="647" t="str">
        <f>VLOOKUP(A59,'Incrementare indexe'!$D:$Q,11,FALSE)&amp;" (estimat)"</f>
        <v>256500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256500</v>
      </c>
      <c r="AG59" s="647"/>
      <c r="AH59" s="647"/>
      <c r="AI59" s="647">
        <f>J61-J59+1</f>
        <v>31</v>
      </c>
      <c r="AJ59" s="647"/>
      <c r="AK59" s="647">
        <f>ROUND(AF59/AI59,2)</f>
        <v>8274.19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1372642650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277909 (citit)</v>
      </c>
      <c r="S62" s="647"/>
      <c r="T62" s="647"/>
      <c r="U62" s="647" t="str">
        <f>VLOOKUP(A62,'Incrementare indexe'!$D:$M,8,FALSE)&amp;" (estimat)"</f>
        <v>277909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1372642650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3740 (citit)</v>
      </c>
      <c r="S65" s="647"/>
      <c r="T65" s="647"/>
      <c r="U65" s="647" t="str">
        <f>VLOOKUP(A65,'Incrementare indexe'!$D:$M,10,FALSE)&amp;" (estimat)"</f>
        <v>3740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RO005E513396506/2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_xlfn.CONCAT(AA32,".",2)</f>
        <v>RTIM_1.2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VLOOKUP(AI82,'Contorizare in SDI'!$E:$I,5,FALSE)</f>
        <v>1372628301</v>
      </c>
      <c r="B87" s="679"/>
      <c r="C87" s="679"/>
      <c r="D87" s="679"/>
      <c r="E87" s="679"/>
      <c r="F87" s="680"/>
      <c r="G87" s="648" t="s">
        <v>730</v>
      </c>
      <c r="H87" s="648"/>
      <c r="I87" s="673"/>
      <c r="J87" s="655">
        <f>'Date masura OD'!$AK$5</f>
        <v>45748</v>
      </c>
      <c r="K87" s="656"/>
      <c r="L87" s="657"/>
      <c r="M87" s="720" t="s">
        <v>446</v>
      </c>
      <c r="N87" s="648"/>
      <c r="O87" s="648">
        <f>VLOOKUP(AI82,'Incrementare indexe'!$B:$T,4,FALSE)</f>
        <v>1</v>
      </c>
      <c r="P87" s="648"/>
      <c r="Q87" s="648"/>
      <c r="R87" s="647" t="str">
        <f>VLOOKUP(A87,Regularizare!$D:$YN,3,FALSE)&amp;" ("&amp;VLOOKUP(A87,Regularizare!$D:$Y,11,FALSE)&amp;")"</f>
        <v>7133568 (citit)</v>
      </c>
      <c r="S87" s="647"/>
      <c r="T87" s="647"/>
      <c r="U87" s="647" t="str">
        <f>VLOOKUP(A87,Regularizare!$D:$U,4,FALSE)&amp;" ("&amp;VLOOKUP(A87,Regularizare!$D:$U,12,FALSE)&amp;")"</f>
        <v>7554483 (estimat)</v>
      </c>
      <c r="V87" s="647"/>
      <c r="W87" s="647"/>
      <c r="X87" s="647" t="str">
        <f>VLOOKUP(A87,Regularizare!$D:$Y,19,FALSE)&amp;" ("&amp;VLOOKUP(A87,Regularizare!$D:$U,12,FALSE)&amp;")"</f>
        <v>420915 (estimat)</v>
      </c>
      <c r="Y87" s="647"/>
      <c r="Z87" s="647"/>
      <c r="AA87" s="647">
        <f>(-1)*VLOOKUP(A87,Regularizare!$D:$Y,19,FALSE)</f>
        <v>-420915</v>
      </c>
      <c r="AB87" s="647"/>
      <c r="AC87" s="647"/>
      <c r="AD87" s="647" t="s">
        <v>69</v>
      </c>
      <c r="AE87" s="647"/>
      <c r="AF87" s="647">
        <f>AA87</f>
        <v>-420915</v>
      </c>
      <c r="AG87" s="647"/>
      <c r="AH87" s="647"/>
      <c r="AI87" s="647" t="s">
        <v>69</v>
      </c>
      <c r="AJ87" s="647"/>
      <c r="AK87" s="647" t="s">
        <v>69</v>
      </c>
      <c r="AL87" s="647"/>
      <c r="AM87" s="647"/>
    </row>
    <row r="88" spans="1:39" ht="9.75" customHeight="1">
      <c r="A88" s="717"/>
      <c r="B88" s="718"/>
      <c r="C88" s="718"/>
      <c r="D88" s="718"/>
      <c r="E88" s="718"/>
      <c r="F88" s="719"/>
      <c r="G88" s="648"/>
      <c r="H88" s="648"/>
      <c r="I88" s="673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8"/>
      <c r="H89" s="648"/>
      <c r="I89" s="673"/>
      <c r="J89" s="714">
        <f>'Date masura OD'!$AL$5</f>
        <v>45777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1372628301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45748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tr">
        <f>VLOOKUP(A90,Regularizare!$D:$U,7,FALSE)&amp;" ("&amp;VLOOKUP(A90,Regularizare!$D:$U,15,FALSE)&amp;")"</f>
        <v>369972 (citit)</v>
      </c>
      <c r="S90" s="647"/>
      <c r="T90" s="647"/>
      <c r="U90" s="647" t="str">
        <f>VLOOKUP(A90,Regularizare!$D:$U,8,FALSE)&amp;" ("&amp;VLOOKUP(A90,Regularizare!$D:$U,16,FALSE)&amp;")"</f>
        <v>369972 (estimat)</v>
      </c>
      <c r="V90" s="647"/>
      <c r="W90" s="647"/>
      <c r="X90" s="647" t="str">
        <f>_xlfn.CONCAT(VLOOKUP(A90,Regularizare!$D:$U,8,FALSE)-VLOOKUP(A90,Regularizare!$D:$U,7,FALSE)," (",VLOOKUP(A90,Regularizare!$D:$U,16,FALSE),")")</f>
        <v>0 (estimat)</v>
      </c>
      <c r="Y90" s="647"/>
      <c r="Z90" s="647"/>
      <c r="AA90" s="647">
        <f>IF(VLOOKUP(A90,Regularizare!$D:$Y,21,FALSE)=0,VLOOKUP(A90,Regularizare!$D:$Y,21,FALSE),(-1)*VLOOKUP(A90,Regularizare!$D:$Y,21,FALSE))</f>
        <v>0</v>
      </c>
      <c r="AB90" s="647"/>
      <c r="AC90" s="647"/>
      <c r="AD90" s="647" t="s">
        <v>69</v>
      </c>
      <c r="AE90" s="647"/>
      <c r="AF90" s="647">
        <f>AA90</f>
        <v>0</v>
      </c>
      <c r="AG90" s="647"/>
      <c r="AH90" s="647"/>
      <c r="AI90" s="647" t="str">
        <f>AI87</f>
        <v>-</v>
      </c>
      <c r="AJ90" s="647"/>
      <c r="AK90" s="647" t="str">
        <f>AK87</f>
        <v>-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45777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1372628301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45748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tr">
        <f>VLOOKUP(A93,Regularizare!$D:$U,9,FALSE)&amp;" ("&amp;VLOOKUP(A93,Regularizare!$D:$U,17,FALSE)&amp;")"</f>
        <v>1793 (citit)</v>
      </c>
      <c r="S93" s="647"/>
      <c r="T93" s="647"/>
      <c r="U93" s="647" t="str">
        <f>VLOOKUP(A93,Regularizare!$D:$U,10,FALSE)&amp;" ("&amp;VLOOKUP(A93,Regularizare!$D:$U,18,FALSE)&amp;")"</f>
        <v>1793 (estimat)</v>
      </c>
      <c r="V93" s="647"/>
      <c r="W93" s="647"/>
      <c r="X93" s="647" t="str">
        <f>_xlfn.CONCAT(VLOOKUP(A93,Regularizare!$D:$U,10,FALSE)-VLOOKUP(A93,Regularizare!$D:$U,9,FALSE)," (",VLOOKUP(A93,Regularizare!$D:$U,18,FALSE),")")</f>
        <v>0 (estimat)</v>
      </c>
      <c r="Y93" s="647"/>
      <c r="Z93" s="647"/>
      <c r="AA93" s="647">
        <f>IF(VLOOKUP(A93,Regularizare!$D:$Y,22,FALSE)=0,VLOOKUP(A93,Regularizare!$D:$Y,22,FALSE),(-1)*VLOOKUP(A93,Regularizare!$D:$Y,22,FALSE))</f>
        <v>0</v>
      </c>
      <c r="AB93" s="647"/>
      <c r="AC93" s="647"/>
      <c r="AD93" s="647" t="s">
        <v>69</v>
      </c>
      <c r="AE93" s="647"/>
      <c r="AF93" s="647">
        <f>AA93</f>
        <v>0</v>
      </c>
      <c r="AG93" s="647"/>
      <c r="AH93" s="647"/>
      <c r="AI93" s="647" t="str">
        <f>AI90</f>
        <v>-</v>
      </c>
      <c r="AJ93" s="647"/>
      <c r="AK93" s="647" t="str">
        <f>AK90</f>
        <v>-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45777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78">
        <f>A93</f>
        <v>1372628301</v>
      </c>
      <c r="B96" s="679"/>
      <c r="C96" s="679"/>
      <c r="D96" s="679"/>
      <c r="E96" s="679"/>
      <c r="F96" s="680"/>
      <c r="G96" s="648" t="s">
        <v>730</v>
      </c>
      <c r="H96" s="648"/>
      <c r="I96" s="673"/>
      <c r="J96" s="655">
        <f>'Date masura OD'!$AK$5</f>
        <v>45748</v>
      </c>
      <c r="K96" s="656"/>
      <c r="L96" s="657"/>
      <c r="M96" s="720" t="s">
        <v>446</v>
      </c>
      <c r="N96" s="648"/>
      <c r="O96" s="648">
        <f>O93</f>
        <v>1</v>
      </c>
      <c r="P96" s="648"/>
      <c r="Q96" s="648"/>
      <c r="R96" s="647" t="str">
        <f>VLOOKUP(A96,Regularizare!$D:$AX,23,FALSE)&amp;" ("&amp;VLOOKUP(A96,Regularizare!$D:$AX,24,FALSE)&amp;")"</f>
        <v>7133568 (citit)</v>
      </c>
      <c r="S96" s="647"/>
      <c r="T96" s="647"/>
      <c r="U96" s="647" t="str">
        <f>VLOOKUP(A96,Regularizare!$D:$AX,25,FALSE)&amp;" ("&amp;VLOOKUP(A96,Regularizare!$D:$AX,26,FALSE)&amp;")"</f>
        <v>7554483 (citit)</v>
      </c>
      <c r="V96" s="647"/>
      <c r="W96" s="647"/>
      <c r="X96" s="647" t="str">
        <f>VLOOKUP(A96,Regularizare!$D:$AX,37,FALSE)&amp;" ("&amp;VLOOKUP(A96,Regularizare!$D:$AX,26,FALSE)&amp;")"</f>
        <v>420915 (citit)</v>
      </c>
      <c r="Y96" s="647"/>
      <c r="Z96" s="647"/>
      <c r="AA96" s="647">
        <f>VLOOKUP(A96,Regularizare!$D:$AX,37,FALSE)</f>
        <v>420915</v>
      </c>
      <c r="AB96" s="647"/>
      <c r="AC96" s="647"/>
      <c r="AD96" s="647" t="s">
        <v>69</v>
      </c>
      <c r="AE96" s="647"/>
      <c r="AF96" s="647">
        <f>AA96</f>
        <v>420915</v>
      </c>
      <c r="AG96" s="647"/>
      <c r="AH96" s="647"/>
      <c r="AI96" s="647" t="str">
        <f>AI93</f>
        <v>-</v>
      </c>
      <c r="AJ96" s="647"/>
      <c r="AK96" s="647" t="str">
        <f>AK93</f>
        <v>-</v>
      </c>
      <c r="AL96" s="647"/>
      <c r="AM96" s="647"/>
    </row>
    <row r="97" spans="1:39" ht="8.4499999999999993" customHeight="1">
      <c r="A97" s="717"/>
      <c r="B97" s="718"/>
      <c r="C97" s="718"/>
      <c r="D97" s="718"/>
      <c r="E97" s="718"/>
      <c r="F97" s="719"/>
      <c r="G97" s="648"/>
      <c r="H97" s="648"/>
      <c r="I97" s="673"/>
      <c r="J97" s="717" t="s">
        <v>69</v>
      </c>
      <c r="K97" s="718"/>
      <c r="L97" s="719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1"/>
      <c r="B98" s="682"/>
      <c r="C98" s="682"/>
      <c r="D98" s="682"/>
      <c r="E98" s="682"/>
      <c r="F98" s="683"/>
      <c r="G98" s="648"/>
      <c r="H98" s="648"/>
      <c r="I98" s="673"/>
      <c r="J98" s="714">
        <f>'Date masura OD'!$AL$5</f>
        <v>45777</v>
      </c>
      <c r="K98" s="715"/>
      <c r="L98" s="716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78">
        <f>A96</f>
        <v>1372628301</v>
      </c>
      <c r="B99" s="679"/>
      <c r="C99" s="679"/>
      <c r="D99" s="679"/>
      <c r="E99" s="679"/>
      <c r="F99" s="680"/>
      <c r="G99" s="648" t="s">
        <v>696</v>
      </c>
      <c r="H99" s="648"/>
      <c r="I99" s="648"/>
      <c r="J99" s="655">
        <f t="shared" ref="J99:J104" si="4">J96</f>
        <v>45748</v>
      </c>
      <c r="K99" s="656"/>
      <c r="L99" s="657"/>
      <c r="M99" s="648" t="s">
        <v>720</v>
      </c>
      <c r="N99" s="648"/>
      <c r="O99" s="648">
        <f>O96</f>
        <v>1</v>
      </c>
      <c r="P99" s="648"/>
      <c r="Q99" s="648"/>
      <c r="R99" s="647" t="str">
        <f>VLOOKUP(A99,Regularizare!$D:$AX,29,FALSE)&amp;" ("&amp;VLOOKUP(A99,Regularizare!$D:$AX,30,FALSE)&amp;")"</f>
        <v>369972 (citit)</v>
      </c>
      <c r="S99" s="647"/>
      <c r="T99" s="647"/>
      <c r="U99" s="647" t="str">
        <f>VLOOKUP(A99,Regularizare!$D:$AX,31,FALSE)&amp;" ("&amp;VLOOKUP(A99,Regularizare!$D:$AX,32,FALSE)&amp;")"</f>
        <v>370173 (citit)</v>
      </c>
      <c r="V99" s="647"/>
      <c r="W99" s="647"/>
      <c r="X99" s="647" t="str">
        <f>VLOOKUP(A99,Regularizare!$D:$AX,39,FALSE)&amp;" ("&amp;VLOOKUP(A99,Regularizare!$D:$AX,32,FALSE)&amp;")"</f>
        <v>201 (citit)</v>
      </c>
      <c r="Y99" s="647"/>
      <c r="Z99" s="647"/>
      <c r="AA99" s="647">
        <f>VLOOKUP(A99,Regularizare!$D:$AX,44,FALSE)+VLOOKUP(A99,Regularizare!$D:$AX,45,FALSE)</f>
        <v>201</v>
      </c>
      <c r="AB99" s="647"/>
      <c r="AC99" s="647"/>
      <c r="AD99" s="647" t="s">
        <v>69</v>
      </c>
      <c r="AE99" s="647"/>
      <c r="AF99" s="647">
        <f>AA99</f>
        <v>201</v>
      </c>
      <c r="AG99" s="647"/>
      <c r="AH99" s="647"/>
      <c r="AI99" s="647" t="str">
        <f>AI96</f>
        <v>-</v>
      </c>
      <c r="AJ99" s="647"/>
      <c r="AK99" s="647" t="str">
        <f>AK96</f>
        <v>-</v>
      </c>
      <c r="AL99" s="647"/>
      <c r="AM99" s="647"/>
    </row>
    <row r="100" spans="1:39" ht="8.4499999999999993" customHeight="1">
      <c r="A100" s="717"/>
      <c r="B100" s="718"/>
      <c r="C100" s="718"/>
      <c r="D100" s="718"/>
      <c r="E100" s="718"/>
      <c r="F100" s="719"/>
      <c r="G100" s="648"/>
      <c r="H100" s="648"/>
      <c r="I100" s="648"/>
      <c r="J100" s="717" t="str">
        <f t="shared" si="4"/>
        <v>-</v>
      </c>
      <c r="K100" s="718"/>
      <c r="L100" s="719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1"/>
      <c r="B101" s="682"/>
      <c r="C101" s="682"/>
      <c r="D101" s="682"/>
      <c r="E101" s="682"/>
      <c r="F101" s="683"/>
      <c r="G101" s="648"/>
      <c r="H101" s="648"/>
      <c r="I101" s="648"/>
      <c r="J101" s="714">
        <f t="shared" si="4"/>
        <v>45777</v>
      </c>
      <c r="K101" s="715"/>
      <c r="L101" s="716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78">
        <f>A99</f>
        <v>1372628301</v>
      </c>
      <c r="B102" s="679"/>
      <c r="C102" s="679"/>
      <c r="D102" s="679"/>
      <c r="E102" s="679"/>
      <c r="F102" s="680"/>
      <c r="G102" s="648" t="s">
        <v>731</v>
      </c>
      <c r="H102" s="648"/>
      <c r="I102" s="648"/>
      <c r="J102" s="655">
        <f t="shared" si="4"/>
        <v>45748</v>
      </c>
      <c r="K102" s="656"/>
      <c r="L102" s="657"/>
      <c r="M102" s="648" t="s">
        <v>720</v>
      </c>
      <c r="N102" s="648"/>
      <c r="O102" s="648">
        <f>O99</f>
        <v>1</v>
      </c>
      <c r="P102" s="648"/>
      <c r="Q102" s="648"/>
      <c r="R102" s="647" t="str">
        <f>VLOOKUP(A102,Regularizare!$D:$AX,33,FALSE)&amp;" ("&amp;VLOOKUP(A102,Regularizare!$D:$AX,34,FALSE)&amp;")"</f>
        <v>1793 (citit)</v>
      </c>
      <c r="S102" s="647"/>
      <c r="T102" s="647"/>
      <c r="U102" s="647" t="str">
        <f>VLOOKUP(A102,Regularizare!$D:$AX,35,FALSE)&amp;" ("&amp;VLOOKUP(A102,Regularizare!$D:$AX,36,FALSE)&amp;")"</f>
        <v>1793 (citit)</v>
      </c>
      <c r="V102" s="647"/>
      <c r="W102" s="647"/>
      <c r="X102" s="647" t="str">
        <f>VLOOKUP(A102,Regularizare!$D:$AX,40,FALSE)&amp;" ("&amp;VLOOKUP(A102,Regularizare!$D:$AX,36,FALSE)&amp;")"</f>
        <v>0 (citit)</v>
      </c>
      <c r="Y102" s="647"/>
      <c r="Z102" s="647"/>
      <c r="AA102" s="647">
        <f>VLOOKUP(A102,Regularizare!$D:$AX,46,FALSE)+VLOOKUP(A102,Regularizare!$D:$AX,47,FALSE)</f>
        <v>0</v>
      </c>
      <c r="AB102" s="647"/>
      <c r="AC102" s="647"/>
      <c r="AD102" s="647" t="s">
        <v>69</v>
      </c>
      <c r="AE102" s="647"/>
      <c r="AF102" s="647">
        <f>AA102</f>
        <v>0</v>
      </c>
      <c r="AG102" s="647"/>
      <c r="AH102" s="647"/>
      <c r="AI102" s="647" t="str">
        <f>AI99</f>
        <v>-</v>
      </c>
      <c r="AJ102" s="647"/>
      <c r="AK102" s="647" t="str">
        <f>AK99</f>
        <v>-</v>
      </c>
      <c r="AL102" s="647"/>
      <c r="AM102" s="647"/>
    </row>
    <row r="103" spans="1:39" ht="8.4499999999999993" customHeight="1">
      <c r="A103" s="717"/>
      <c r="B103" s="718"/>
      <c r="C103" s="718"/>
      <c r="D103" s="718"/>
      <c r="E103" s="718"/>
      <c r="F103" s="719"/>
      <c r="G103" s="648"/>
      <c r="H103" s="648"/>
      <c r="I103" s="648"/>
      <c r="J103" s="717" t="str">
        <f t="shared" si="4"/>
        <v>-</v>
      </c>
      <c r="K103" s="718"/>
      <c r="L103" s="719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1"/>
      <c r="B104" s="682"/>
      <c r="C104" s="682"/>
      <c r="D104" s="682"/>
      <c r="E104" s="682"/>
      <c r="F104" s="683"/>
      <c r="G104" s="648"/>
      <c r="H104" s="648"/>
      <c r="I104" s="648"/>
      <c r="J104" s="714">
        <f t="shared" si="4"/>
        <v>45777</v>
      </c>
      <c r="K104" s="715"/>
      <c r="L104" s="716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>
        <f>A102</f>
        <v>1372628301</v>
      </c>
      <c r="B105" s="679"/>
      <c r="C105" s="679"/>
      <c r="D105" s="679"/>
      <c r="E105" s="679"/>
      <c r="F105" s="680"/>
      <c r="G105" s="648" t="s">
        <v>730</v>
      </c>
      <c r="H105" s="648"/>
      <c r="I105" s="673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O102</f>
        <v>1</v>
      </c>
      <c r="P105" s="648"/>
      <c r="Q105" s="648"/>
      <c r="R105" s="647" t="str">
        <f>U96</f>
        <v>7554483 (citit)</v>
      </c>
      <c r="S105" s="647"/>
      <c r="T105" s="647"/>
      <c r="U105" s="647" t="str">
        <f>VLOOKUP(A105,'Incrementare indexe'!$D:$M,4,FALSE)&amp;" (estimat)"</f>
        <v>8007153 (estimat)</v>
      </c>
      <c r="V105" s="647"/>
      <c r="W105" s="647"/>
      <c r="X105" s="647" t="str">
        <f>VLOOKUP(A105,'Incrementare indexe'!$D:$Q,11,FALSE)&amp;" (estimat)"</f>
        <v>452670 (estimat)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VLOOKUP(A105,'Incrementare indexe'!$D:$Q,11,FALSE)</f>
        <v>452670</v>
      </c>
      <c r="AG105" s="647"/>
      <c r="AH105" s="647"/>
      <c r="AI105" s="647">
        <f>J107-J105+1</f>
        <v>31</v>
      </c>
      <c r="AJ105" s="647"/>
      <c r="AK105" s="647">
        <f>ROUND(AF105/AI105,2)</f>
        <v>14602.26</v>
      </c>
      <c r="AL105" s="647"/>
      <c r="AM105" s="647"/>
    </row>
    <row r="106" spans="1:39" ht="8.4499999999999993" customHeight="1">
      <c r="A106" s="717"/>
      <c r="B106" s="718"/>
      <c r="C106" s="718"/>
      <c r="D106" s="718"/>
      <c r="E106" s="718"/>
      <c r="F106" s="719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8"/>
      <c r="H107" s="648"/>
      <c r="I107" s="673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>
        <f>A105</f>
        <v>1372628301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 t="shared" ref="J108:J113" si="5">J105</f>
        <v>45778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U99</f>
        <v>370173 (citit)</v>
      </c>
      <c r="S108" s="647"/>
      <c r="T108" s="647"/>
      <c r="U108" s="647" t="str">
        <f>VLOOKUP(A108,'Incrementare indexe'!$D:$M,8,FALSE)&amp;" (estimat)"</f>
        <v>370173 (estimat)</v>
      </c>
      <c r="V108" s="647"/>
      <c r="W108" s="647"/>
      <c r="X108" s="647" t="str">
        <f>VLOOKUP(A108,'Incrementare indexe'!$D:$Q,12,FALSE)&amp;" (estimat)"</f>
        <v>0 (estimat)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f>VLOOKUP(A108,'Incrementare indexe'!$D:$Q,12,FALSE)</f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8.4499999999999993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 t="shared" si="5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 t="shared" si="5"/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>
        <f>A108</f>
        <v>1372628301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si="5"/>
        <v>45778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U102</f>
        <v>1793 (citit)</v>
      </c>
      <c r="S111" s="647"/>
      <c r="T111" s="647"/>
      <c r="U111" s="647" t="str">
        <f>VLOOKUP(A111,'Incrementare indexe'!$D:$M,10,FALSE)&amp;" (estimat)"</f>
        <v>1793 (estimat)</v>
      </c>
      <c r="V111" s="647"/>
      <c r="W111" s="647"/>
      <c r="X111" s="647" t="str">
        <f>VLOOKUP(A111,'Incrementare indexe'!$D:$Q,13,FALSE)&amp;" (estimat)"</f>
        <v>0 (estimat)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f>VLOOKUP(A111,'Incrementare indexe'!$D:$Q,13,FALSE)</f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8.4499999999999993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5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5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/>
    <row r="117" spans="1:39" ht="14.1" customHeight="1"/>
    <row r="118" spans="1:39" ht="14.1" customHeight="1"/>
    <row r="119" spans="1:39" ht="14.1" customHeight="1"/>
    <row r="120" spans="1:39" ht="14.1" customHeight="1"/>
    <row r="121" spans="1:39" ht="14.1" customHeight="1"/>
    <row r="122" spans="1:39" ht="14.1" customHeight="1"/>
    <row r="123" spans="1:39" ht="14.1" customHeight="1"/>
    <row r="124" spans="1:39" ht="14.1" customHeight="1"/>
    <row r="125" spans="1:39" ht="14.1" customHeight="1"/>
    <row r="126" spans="1:39" ht="14.1" customHeight="1"/>
    <row r="127" spans="1:39" ht="14.1" customHeight="1"/>
    <row r="128" spans="1:39" ht="14.1" customHeight="1"/>
    <row r="129" spans="1:39" ht="14.1" customHeight="1"/>
    <row r="130" spans="1:39" ht="14.1" customHeight="1"/>
    <row r="131" spans="1:39" ht="14.1" customHeight="1"/>
    <row r="132" spans="1:39" ht="14.1" customHeight="1"/>
    <row r="133" spans="1:39" ht="14.1" customHeight="1"/>
    <row r="134" spans="1:39">
      <c r="A134" s="649" t="s">
        <v>748</v>
      </c>
      <c r="B134" s="649"/>
      <c r="C134" s="649"/>
      <c r="D134" s="649"/>
      <c r="E134" s="649"/>
      <c r="F134" s="649"/>
      <c r="G134" s="649"/>
      <c r="H134" s="649"/>
      <c r="I134" s="649"/>
      <c r="J134" s="649"/>
      <c r="K134" s="649"/>
      <c r="L134" s="649"/>
      <c r="M134" s="650" t="str">
        <f>VLOOKUP(AI135,'Contorizare in SDI'!$E:$I,4,FALSE)</f>
        <v>RO005E513396506/3</v>
      </c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50" t="s">
        <v>695</v>
      </c>
      <c r="AJ134" s="650"/>
      <c r="AK134" s="650"/>
      <c r="AL134" s="650"/>
      <c r="AM134" s="650"/>
    </row>
    <row r="135" spans="1:39">
      <c r="A135" s="649" t="s">
        <v>746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VLOOKUP(AI135,'Inchidere contur'!$G:$U,15,FALSE)</f>
        <v>JT_SDI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 t="str">
        <f>_xlfn.CONCAT(AA32,".",3)</f>
        <v>RTIM_1.3</v>
      </c>
      <c r="AJ135" s="619"/>
      <c r="AK135" s="619"/>
      <c r="AL135" s="619"/>
      <c r="AM135" s="619"/>
    </row>
    <row r="136" spans="1:39">
      <c r="A136" s="649" t="s">
        <v>747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IF(LEFT(M135,2)="JT","0.4kV",IF(LEFT(M135,2)="MT","20kV","-"))</f>
        <v>0.4kV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/>
      <c r="AJ136" s="619"/>
      <c r="AK136" s="619"/>
      <c r="AL136" s="619"/>
      <c r="AM136" s="619"/>
    </row>
    <row r="137" spans="1:39" ht="15.95" customHeight="1">
      <c r="A137" s="648" t="s">
        <v>697</v>
      </c>
      <c r="B137" s="648"/>
      <c r="C137" s="648"/>
      <c r="D137" s="648"/>
      <c r="E137" s="648"/>
      <c r="F137" s="648"/>
      <c r="G137" s="647" t="s">
        <v>713</v>
      </c>
      <c r="H137" s="647"/>
      <c r="I137" s="647"/>
      <c r="J137" s="647" t="s">
        <v>714</v>
      </c>
      <c r="K137" s="647"/>
      <c r="L137" s="647"/>
      <c r="M137" s="648" t="s">
        <v>519</v>
      </c>
      <c r="N137" s="648"/>
      <c r="O137" s="648" t="s">
        <v>715</v>
      </c>
      <c r="P137" s="648"/>
      <c r="Q137" s="648"/>
      <c r="R137" s="647" t="s">
        <v>732</v>
      </c>
      <c r="S137" s="647"/>
      <c r="T137" s="647"/>
      <c r="U137" s="647" t="s">
        <v>734</v>
      </c>
      <c r="V137" s="647"/>
      <c r="W137" s="647"/>
      <c r="X137" s="647" t="s">
        <v>1085</v>
      </c>
      <c r="Y137" s="647"/>
      <c r="Z137" s="647"/>
      <c r="AA137" s="647" t="s">
        <v>1086</v>
      </c>
      <c r="AB137" s="647"/>
      <c r="AC137" s="647"/>
      <c r="AD137" s="647" t="s">
        <v>717</v>
      </c>
      <c r="AE137" s="647"/>
      <c r="AF137" s="647" t="s">
        <v>718</v>
      </c>
      <c r="AG137" s="647"/>
      <c r="AH137" s="647"/>
      <c r="AI137" s="647" t="s">
        <v>719</v>
      </c>
      <c r="AJ137" s="647"/>
      <c r="AK137" s="647" t="s">
        <v>733</v>
      </c>
      <c r="AL137" s="647"/>
      <c r="AM137" s="647"/>
    </row>
    <row r="138" spans="1:39">
      <c r="A138" s="648"/>
      <c r="B138" s="648"/>
      <c r="C138" s="648"/>
      <c r="D138" s="648"/>
      <c r="E138" s="648"/>
      <c r="F138" s="648"/>
      <c r="G138" s="647"/>
      <c r="H138" s="647"/>
      <c r="I138" s="647"/>
      <c r="J138" s="647"/>
      <c r="K138" s="647"/>
      <c r="L138" s="647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>
      <c r="A139" s="648"/>
      <c r="B139" s="648"/>
      <c r="C139" s="648"/>
      <c r="D139" s="648"/>
      <c r="E139" s="648"/>
      <c r="F139" s="648"/>
      <c r="G139" s="647"/>
      <c r="H139" s="647"/>
      <c r="I139" s="647"/>
      <c r="J139" s="713"/>
      <c r="K139" s="713"/>
      <c r="L139" s="713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78">
        <f>VLOOKUP(AI135,'Contorizare in SDI'!$E:$I,5,FALSE)</f>
        <v>1372642646</v>
      </c>
      <c r="B140" s="679"/>
      <c r="C140" s="679"/>
      <c r="D140" s="679"/>
      <c r="E140" s="679"/>
      <c r="F140" s="680"/>
      <c r="G140" s="648" t="s">
        <v>730</v>
      </c>
      <c r="H140" s="648"/>
      <c r="I140" s="673"/>
      <c r="J140" s="655">
        <f>'Date masura OD'!$AK$5</f>
        <v>45748</v>
      </c>
      <c r="K140" s="656"/>
      <c r="L140" s="657"/>
      <c r="M140" s="720" t="s">
        <v>446</v>
      </c>
      <c r="N140" s="648"/>
      <c r="O140" s="648">
        <f>VLOOKUP(AI135,'Incrementare indexe'!$B:$T,4,FALSE)</f>
        <v>1</v>
      </c>
      <c r="P140" s="648"/>
      <c r="Q140" s="648"/>
      <c r="R140" s="647" t="str">
        <f>VLOOKUP(A140,Regularizare!$D:$YN,3,FALSE)&amp;" ("&amp;VLOOKUP(A140,Regularizare!$D:$Y,11,FALSE)&amp;")"</f>
        <v>3046494 (citit)</v>
      </c>
      <c r="S140" s="647"/>
      <c r="T140" s="647"/>
      <c r="U140" s="647" t="str">
        <f>VLOOKUP(A140,Regularizare!$D:$U,4,FALSE)&amp;" ("&amp;VLOOKUP(A140,Regularizare!$D:$U,12,FALSE)&amp;")"</f>
        <v>3192300 (estimat)</v>
      </c>
      <c r="V140" s="647"/>
      <c r="W140" s="647"/>
      <c r="X140" s="647" t="str">
        <f>VLOOKUP(A140,Regularizare!$D:$Y,19,FALSE)&amp;" ("&amp;VLOOKUP(A140,Regularizare!$D:$U,12,FALSE)&amp;")"</f>
        <v>145806 (estimat)</v>
      </c>
      <c r="Y140" s="647"/>
      <c r="Z140" s="647"/>
      <c r="AA140" s="647">
        <f>(-1)*VLOOKUP(A140,Regularizare!$D:$Y,19,FALSE)</f>
        <v>-145806</v>
      </c>
      <c r="AB140" s="647"/>
      <c r="AC140" s="647"/>
      <c r="AD140" s="647" t="s">
        <v>69</v>
      </c>
      <c r="AE140" s="647"/>
      <c r="AF140" s="647">
        <f>AA140</f>
        <v>-145806</v>
      </c>
      <c r="AG140" s="647"/>
      <c r="AH140" s="647"/>
      <c r="AI140" s="647" t="s">
        <v>69</v>
      </c>
      <c r="AJ140" s="647"/>
      <c r="AK140" s="647" t="s">
        <v>69</v>
      </c>
      <c r="AL140" s="647"/>
      <c r="AM140" s="647"/>
    </row>
    <row r="141" spans="1:39" ht="9.75" customHeight="1">
      <c r="A141" s="717"/>
      <c r="B141" s="718"/>
      <c r="C141" s="718"/>
      <c r="D141" s="718"/>
      <c r="E141" s="718"/>
      <c r="F141" s="719"/>
      <c r="G141" s="648"/>
      <c r="H141" s="648"/>
      <c r="I141" s="673"/>
      <c r="J141" s="717" t="s">
        <v>69</v>
      </c>
      <c r="K141" s="718"/>
      <c r="L141" s="719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1"/>
      <c r="B142" s="682"/>
      <c r="C142" s="682"/>
      <c r="D142" s="682"/>
      <c r="E142" s="682"/>
      <c r="F142" s="683"/>
      <c r="G142" s="648"/>
      <c r="H142" s="648"/>
      <c r="I142" s="673"/>
      <c r="J142" s="714">
        <f>'Date masura OD'!$AL$5</f>
        <v>45777</v>
      </c>
      <c r="K142" s="715"/>
      <c r="L142" s="716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1372642646</v>
      </c>
      <c r="B143" s="679"/>
      <c r="C143" s="679"/>
      <c r="D143" s="679"/>
      <c r="E143" s="679"/>
      <c r="F143" s="680"/>
      <c r="G143" s="648" t="s">
        <v>696</v>
      </c>
      <c r="H143" s="648"/>
      <c r="I143" s="648"/>
      <c r="J143" s="655">
        <f t="shared" ref="J143:J148" si="6">J140</f>
        <v>45748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tr">
        <f>VLOOKUP(A143,Regularizare!$D:$U,7,FALSE)&amp;" ("&amp;VLOOKUP(A143,Regularizare!$D:$U,15,FALSE)&amp;")"</f>
        <v>236709 (citit)</v>
      </c>
      <c r="S143" s="647"/>
      <c r="T143" s="647"/>
      <c r="U143" s="647" t="str">
        <f>VLOOKUP(A143,Regularizare!$D:$U,8,FALSE)&amp;" ("&amp;VLOOKUP(A143,Regularizare!$D:$U,16,FALSE)&amp;")"</f>
        <v>236709 (estimat)</v>
      </c>
      <c r="V143" s="647"/>
      <c r="W143" s="647"/>
      <c r="X143" s="647" t="str">
        <f>_xlfn.CONCAT(VLOOKUP(A143,Regularizare!$D:$U,8,FALSE)-VLOOKUP(A143,Regularizare!$D:$U,7,FALSE)," (",VLOOKUP(A143,Regularizare!$D:$U,16,FALSE),")")</f>
        <v>0 (estimat)</v>
      </c>
      <c r="Y143" s="647"/>
      <c r="Z143" s="647"/>
      <c r="AA143" s="647">
        <f>IF(VLOOKUP(A143,Regularizare!$D:$Y,21,FALSE)=0,VLOOKUP(A143,Regularizare!$D:$Y,21,FALSE),(-1)*VLOOKUP(A143,Regularizare!$D:$Y,21,FALSE))</f>
        <v>0</v>
      </c>
      <c r="AB143" s="647"/>
      <c r="AC143" s="647"/>
      <c r="AD143" s="647" t="s">
        <v>69</v>
      </c>
      <c r="AE143" s="647"/>
      <c r="AF143" s="647">
        <f>AA143</f>
        <v>0</v>
      </c>
      <c r="AG143" s="647"/>
      <c r="AH143" s="647"/>
      <c r="AI143" s="647" t="str">
        <f>AI140</f>
        <v>-</v>
      </c>
      <c r="AJ143" s="647"/>
      <c r="AK143" s="647" t="str">
        <f>AK140</f>
        <v>-</v>
      </c>
      <c r="AL143" s="647"/>
      <c r="AM143" s="647"/>
    </row>
    <row r="144" spans="1:39" ht="8.4499999999999993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6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6"/>
        <v>45777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1372642646</v>
      </c>
      <c r="B146" s="679"/>
      <c r="C146" s="679"/>
      <c r="D146" s="679"/>
      <c r="E146" s="679"/>
      <c r="F146" s="680"/>
      <c r="G146" s="648" t="s">
        <v>731</v>
      </c>
      <c r="H146" s="648"/>
      <c r="I146" s="648"/>
      <c r="J146" s="655">
        <f t="shared" si="6"/>
        <v>45748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tr">
        <f>VLOOKUP(A146,Regularizare!$D:$U,9,FALSE)&amp;" ("&amp;VLOOKUP(A146,Regularizare!$D:$U,17,FALSE)&amp;")"</f>
        <v>53981 (citit)</v>
      </c>
      <c r="S146" s="647"/>
      <c r="T146" s="647"/>
      <c r="U146" s="647" t="str">
        <f>VLOOKUP(A146,Regularizare!$D:$U,10,FALSE)&amp;" ("&amp;VLOOKUP(A146,Regularizare!$D:$U,18,FALSE)&amp;")"</f>
        <v>53981 (estimat)</v>
      </c>
      <c r="V146" s="647"/>
      <c r="W146" s="647"/>
      <c r="X146" s="647" t="str">
        <f>_xlfn.CONCAT(VLOOKUP(A146,Regularizare!$D:$U,10,FALSE)-VLOOKUP(A146,Regularizare!$D:$U,9,FALSE)," (",VLOOKUP(A146,Regularizare!$D:$U,18,FALSE),")")</f>
        <v>0 (estimat)</v>
      </c>
      <c r="Y146" s="647"/>
      <c r="Z146" s="647"/>
      <c r="AA146" s="647">
        <f>IF(VLOOKUP(A146,Regularizare!$D:$Y,22,FALSE)=0,VLOOKUP(A146,Regularizare!$D:$Y,22,FALSE),(-1)*VLOOKUP(A146,Regularizare!$D:$Y,22,FALSE))</f>
        <v>0</v>
      </c>
      <c r="AB146" s="647"/>
      <c r="AC146" s="647"/>
      <c r="AD146" s="647" t="s">
        <v>69</v>
      </c>
      <c r="AE146" s="647"/>
      <c r="AF146" s="647">
        <f>AA146</f>
        <v>0</v>
      </c>
      <c r="AG146" s="647"/>
      <c r="AH146" s="647"/>
      <c r="AI146" s="647" t="str">
        <f>AI143</f>
        <v>-</v>
      </c>
      <c r="AJ146" s="647"/>
      <c r="AK146" s="647" t="str">
        <f>AK143</f>
        <v>-</v>
      </c>
      <c r="AL146" s="647"/>
      <c r="AM146" s="647"/>
    </row>
    <row r="147" spans="1:39" ht="8.4499999999999993" customHeight="1">
      <c r="A147" s="717"/>
      <c r="B147" s="718"/>
      <c r="C147" s="718"/>
      <c r="D147" s="718"/>
      <c r="E147" s="718"/>
      <c r="F147" s="719"/>
      <c r="G147" s="648"/>
      <c r="H147" s="648"/>
      <c r="I147" s="648"/>
      <c r="J147" s="717" t="str">
        <f t="shared" si="6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48"/>
      <c r="J148" s="714">
        <f t="shared" si="6"/>
        <v>45777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78">
        <f>A146</f>
        <v>1372642646</v>
      </c>
      <c r="B149" s="679"/>
      <c r="C149" s="679"/>
      <c r="D149" s="679"/>
      <c r="E149" s="679"/>
      <c r="F149" s="680"/>
      <c r="G149" s="648" t="s">
        <v>730</v>
      </c>
      <c r="H149" s="648"/>
      <c r="I149" s="673"/>
      <c r="J149" s="655">
        <f>'Date masura OD'!$AK$5</f>
        <v>45748</v>
      </c>
      <c r="K149" s="656"/>
      <c r="L149" s="657"/>
      <c r="M149" s="720" t="s">
        <v>446</v>
      </c>
      <c r="N149" s="648"/>
      <c r="O149" s="648">
        <f>O146</f>
        <v>1</v>
      </c>
      <c r="P149" s="648"/>
      <c r="Q149" s="648"/>
      <c r="R149" s="647" t="str">
        <f>VLOOKUP(A149,Regularizare!$D:$AX,23,FALSE)&amp;" ("&amp;VLOOKUP(A149,Regularizare!$D:$AX,24,FALSE)&amp;")"</f>
        <v>3046494 (citit)</v>
      </c>
      <c r="S149" s="647"/>
      <c r="T149" s="647"/>
      <c r="U149" s="647" t="str">
        <f>VLOOKUP(A149,Regularizare!$D:$AX,25,FALSE)&amp;" ("&amp;VLOOKUP(A149,Regularizare!$D:$AX,26,FALSE)&amp;")"</f>
        <v>3192300 (citit)</v>
      </c>
      <c r="V149" s="647"/>
      <c r="W149" s="647"/>
      <c r="X149" s="647" t="str">
        <f>VLOOKUP(A149,Regularizare!$D:$AX,37,FALSE)&amp;" ("&amp;VLOOKUP(A149,Regularizare!$D:$AX,26,FALSE)&amp;")"</f>
        <v>145806 (citit)</v>
      </c>
      <c r="Y149" s="647"/>
      <c r="Z149" s="647"/>
      <c r="AA149" s="647">
        <f>VLOOKUP(A149,Regularizare!$D:$AX,37,FALSE)</f>
        <v>145806</v>
      </c>
      <c r="AB149" s="647"/>
      <c r="AC149" s="647"/>
      <c r="AD149" s="647" t="s">
        <v>69</v>
      </c>
      <c r="AE149" s="647"/>
      <c r="AF149" s="647">
        <f>AA149</f>
        <v>145806</v>
      </c>
      <c r="AG149" s="647"/>
      <c r="AH149" s="647"/>
      <c r="AI149" s="647" t="str">
        <f>AI146</f>
        <v>-</v>
      </c>
      <c r="AJ149" s="647"/>
      <c r="AK149" s="647" t="str">
        <f>AK146</f>
        <v>-</v>
      </c>
      <c r="AL149" s="647"/>
      <c r="AM149" s="647"/>
    </row>
    <row r="150" spans="1:39" ht="8.4499999999999993" customHeight="1">
      <c r="A150" s="717"/>
      <c r="B150" s="718"/>
      <c r="C150" s="718"/>
      <c r="D150" s="718"/>
      <c r="E150" s="718"/>
      <c r="F150" s="719"/>
      <c r="G150" s="648"/>
      <c r="H150" s="648"/>
      <c r="I150" s="673"/>
      <c r="J150" s="717" t="s">
        <v>69</v>
      </c>
      <c r="K150" s="718"/>
      <c r="L150" s="719"/>
      <c r="M150" s="720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1"/>
      <c r="B151" s="682"/>
      <c r="C151" s="682"/>
      <c r="D151" s="682"/>
      <c r="E151" s="682"/>
      <c r="F151" s="683"/>
      <c r="G151" s="648"/>
      <c r="H151" s="648"/>
      <c r="I151" s="673"/>
      <c r="J151" s="714">
        <f>'Date masura OD'!$AL$5</f>
        <v>45777</v>
      </c>
      <c r="K151" s="715"/>
      <c r="L151" s="716"/>
      <c r="M151" s="720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78">
        <f>A149</f>
        <v>1372642646</v>
      </c>
      <c r="B152" s="679"/>
      <c r="C152" s="679"/>
      <c r="D152" s="679"/>
      <c r="E152" s="679"/>
      <c r="F152" s="680"/>
      <c r="G152" s="648" t="s">
        <v>696</v>
      </c>
      <c r="H152" s="648"/>
      <c r="I152" s="648"/>
      <c r="J152" s="655">
        <f t="shared" ref="J152:J157" si="7">J149</f>
        <v>45748</v>
      </c>
      <c r="K152" s="656"/>
      <c r="L152" s="657"/>
      <c r="M152" s="648" t="s">
        <v>720</v>
      </c>
      <c r="N152" s="648"/>
      <c r="O152" s="648">
        <f>O149</f>
        <v>1</v>
      </c>
      <c r="P152" s="648"/>
      <c r="Q152" s="648"/>
      <c r="R152" s="647" t="str">
        <f>VLOOKUP(A152,Regularizare!$D:$AX,29,FALSE)&amp;" ("&amp;VLOOKUP(A152,Regularizare!$D:$AX,30,FALSE)&amp;")"</f>
        <v>236709 (citit)</v>
      </c>
      <c r="S152" s="647"/>
      <c r="T152" s="647"/>
      <c r="U152" s="647" t="str">
        <f>VLOOKUP(A152,Regularizare!$D:$AX,31,FALSE)&amp;" ("&amp;VLOOKUP(A152,Regularizare!$D:$AX,32,FALSE)&amp;")"</f>
        <v>236780 (citit)</v>
      </c>
      <c r="V152" s="647"/>
      <c r="W152" s="647"/>
      <c r="X152" s="647" t="str">
        <f>VLOOKUP(A152,Regularizare!$D:$AX,39,FALSE)&amp;" ("&amp;VLOOKUP(A152,Regularizare!$D:$AX,32,FALSE)&amp;")"</f>
        <v>71 (citit)</v>
      </c>
      <c r="Y152" s="647"/>
      <c r="Z152" s="647"/>
      <c r="AA152" s="647">
        <f>VLOOKUP(A152,Regularizare!$D:$AX,44,FALSE)+VLOOKUP(A152,Regularizare!$D:$AX,45,FALSE)</f>
        <v>71</v>
      </c>
      <c r="AB152" s="647"/>
      <c r="AC152" s="647"/>
      <c r="AD152" s="647" t="s">
        <v>69</v>
      </c>
      <c r="AE152" s="647"/>
      <c r="AF152" s="647">
        <f>AA152</f>
        <v>71</v>
      </c>
      <c r="AG152" s="647"/>
      <c r="AH152" s="647"/>
      <c r="AI152" s="647" t="str">
        <f>AI149</f>
        <v>-</v>
      </c>
      <c r="AJ152" s="647"/>
      <c r="AK152" s="647" t="str">
        <f>AK149</f>
        <v>-</v>
      </c>
      <c r="AL152" s="647"/>
      <c r="AM152" s="647"/>
    </row>
    <row r="153" spans="1:39" ht="8.4499999999999993" customHeight="1">
      <c r="A153" s="717"/>
      <c r="B153" s="718"/>
      <c r="C153" s="718"/>
      <c r="D153" s="718"/>
      <c r="E153" s="718"/>
      <c r="F153" s="719"/>
      <c r="G153" s="648"/>
      <c r="H153" s="648"/>
      <c r="I153" s="648"/>
      <c r="J153" s="717" t="str">
        <f t="shared" si="7"/>
        <v>-</v>
      </c>
      <c r="K153" s="718"/>
      <c r="L153" s="719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1"/>
      <c r="B154" s="682"/>
      <c r="C154" s="682"/>
      <c r="D154" s="682"/>
      <c r="E154" s="682"/>
      <c r="F154" s="683"/>
      <c r="G154" s="648"/>
      <c r="H154" s="648"/>
      <c r="I154" s="648"/>
      <c r="J154" s="714">
        <f t="shared" si="7"/>
        <v>45777</v>
      </c>
      <c r="K154" s="715"/>
      <c r="L154" s="716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78">
        <f>A152</f>
        <v>1372642646</v>
      </c>
      <c r="B155" s="679"/>
      <c r="C155" s="679"/>
      <c r="D155" s="679"/>
      <c r="E155" s="679"/>
      <c r="F155" s="680"/>
      <c r="G155" s="648" t="s">
        <v>731</v>
      </c>
      <c r="H155" s="648"/>
      <c r="I155" s="648"/>
      <c r="J155" s="655">
        <f t="shared" si="7"/>
        <v>45748</v>
      </c>
      <c r="K155" s="656"/>
      <c r="L155" s="657"/>
      <c r="M155" s="648" t="s">
        <v>720</v>
      </c>
      <c r="N155" s="648"/>
      <c r="O155" s="648">
        <f>O152</f>
        <v>1</v>
      </c>
      <c r="P155" s="648"/>
      <c r="Q155" s="648"/>
      <c r="R155" s="647" t="str">
        <f>VLOOKUP(A155,Regularizare!$D:$AX,33,FALSE)&amp;" ("&amp;VLOOKUP(A155,Regularizare!$D:$AX,34,FALSE)&amp;")"</f>
        <v>53981 (citit)</v>
      </c>
      <c r="S155" s="647"/>
      <c r="T155" s="647"/>
      <c r="U155" s="647" t="str">
        <f>VLOOKUP(A155,Regularizare!$D:$AX,35,FALSE)&amp;" ("&amp;VLOOKUP(A155,Regularizare!$D:$AX,36,FALSE)&amp;")"</f>
        <v>53981 (citit)</v>
      </c>
      <c r="V155" s="647"/>
      <c r="W155" s="647"/>
      <c r="X155" s="647" t="str">
        <f>VLOOKUP(A155,Regularizare!$D:$AX,40,FALSE)&amp;" ("&amp;VLOOKUP(A155,Regularizare!$D:$AX,36,FALSE)&amp;")"</f>
        <v>0 (citit)</v>
      </c>
      <c r="Y155" s="647"/>
      <c r="Z155" s="647"/>
      <c r="AA155" s="647">
        <f>VLOOKUP(A155,Regularizare!$D:$AX,46,FALSE)+VLOOKUP(A155,Regularizare!$D:$AX,47,FALSE)</f>
        <v>0</v>
      </c>
      <c r="AB155" s="647"/>
      <c r="AC155" s="647"/>
      <c r="AD155" s="647" t="s">
        <v>69</v>
      </c>
      <c r="AE155" s="647"/>
      <c r="AF155" s="647">
        <f>AA155</f>
        <v>0</v>
      </c>
      <c r="AG155" s="647"/>
      <c r="AH155" s="647"/>
      <c r="AI155" s="647" t="str">
        <f>AI152</f>
        <v>-</v>
      </c>
      <c r="AJ155" s="647"/>
      <c r="AK155" s="647" t="str">
        <f>AK152</f>
        <v>-</v>
      </c>
      <c r="AL155" s="647"/>
      <c r="AM155" s="647"/>
    </row>
    <row r="156" spans="1:39" ht="8.4499999999999993" customHeight="1">
      <c r="A156" s="717"/>
      <c r="B156" s="718"/>
      <c r="C156" s="718"/>
      <c r="D156" s="718"/>
      <c r="E156" s="718"/>
      <c r="F156" s="719"/>
      <c r="G156" s="648"/>
      <c r="H156" s="648"/>
      <c r="I156" s="648"/>
      <c r="J156" s="717" t="str">
        <f t="shared" si="7"/>
        <v>-</v>
      </c>
      <c r="K156" s="718"/>
      <c r="L156" s="719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1"/>
      <c r="B157" s="682"/>
      <c r="C157" s="682"/>
      <c r="D157" s="682"/>
      <c r="E157" s="682"/>
      <c r="F157" s="683"/>
      <c r="G157" s="648"/>
      <c r="H157" s="648"/>
      <c r="I157" s="648"/>
      <c r="J157" s="714">
        <f t="shared" si="7"/>
        <v>45777</v>
      </c>
      <c r="K157" s="715"/>
      <c r="L157" s="716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78">
        <f>A155</f>
        <v>1372642646</v>
      </c>
      <c r="B158" s="679"/>
      <c r="C158" s="679"/>
      <c r="D158" s="679"/>
      <c r="E158" s="679"/>
      <c r="F158" s="680"/>
      <c r="G158" s="648" t="s">
        <v>730</v>
      </c>
      <c r="H158" s="648"/>
      <c r="I158" s="673"/>
      <c r="J158" s="655">
        <f>'Date masura OD'!$I$5</f>
        <v>45778</v>
      </c>
      <c r="K158" s="656"/>
      <c r="L158" s="657"/>
      <c r="M158" s="720" t="s">
        <v>446</v>
      </c>
      <c r="N158" s="648"/>
      <c r="O158" s="648">
        <f>O155</f>
        <v>1</v>
      </c>
      <c r="P158" s="648"/>
      <c r="Q158" s="648"/>
      <c r="R158" s="647" t="str">
        <f>U149</f>
        <v>3192300 (citit)</v>
      </c>
      <c r="S158" s="647"/>
      <c r="T158" s="647"/>
      <c r="U158" s="647" t="str">
        <f>VLOOKUP(A158,'Incrementare indexe'!$D:$M,4,FALSE)&amp;" (estimat)"</f>
        <v>3357636 (estimat)</v>
      </c>
      <c r="V158" s="647"/>
      <c r="W158" s="647"/>
      <c r="X158" s="647" t="str">
        <f>VLOOKUP(A158,'Incrementare indexe'!$D:$Q,11,FALSE)&amp;" (estimat)"</f>
        <v>165336 (estimat)</v>
      </c>
      <c r="Y158" s="647"/>
      <c r="Z158" s="647"/>
      <c r="AA158" s="647" t="s">
        <v>69</v>
      </c>
      <c r="AB158" s="647"/>
      <c r="AC158" s="647"/>
      <c r="AD158" s="647" t="s">
        <v>69</v>
      </c>
      <c r="AE158" s="647"/>
      <c r="AF158" s="647">
        <f>VLOOKUP(A158,'Incrementare indexe'!$D:$Q,11,FALSE)</f>
        <v>165336</v>
      </c>
      <c r="AG158" s="647"/>
      <c r="AH158" s="647"/>
      <c r="AI158" s="647">
        <f>J160-J158+1</f>
        <v>31</v>
      </c>
      <c r="AJ158" s="647"/>
      <c r="AK158" s="647">
        <f>ROUND(AF158/AI158,2)</f>
        <v>5333.42</v>
      </c>
      <c r="AL158" s="647"/>
      <c r="AM158" s="647"/>
    </row>
    <row r="159" spans="1:39" ht="8.4499999999999993" customHeight="1">
      <c r="A159" s="717"/>
      <c r="B159" s="718"/>
      <c r="C159" s="718"/>
      <c r="D159" s="718"/>
      <c r="E159" s="718"/>
      <c r="F159" s="719"/>
      <c r="G159" s="648"/>
      <c r="H159" s="648"/>
      <c r="I159" s="673"/>
      <c r="J159" s="717" t="s">
        <v>69</v>
      </c>
      <c r="K159" s="718"/>
      <c r="L159" s="719"/>
      <c r="M159" s="720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1"/>
      <c r="B160" s="682"/>
      <c r="C160" s="682"/>
      <c r="D160" s="682"/>
      <c r="E160" s="682"/>
      <c r="F160" s="683"/>
      <c r="G160" s="648"/>
      <c r="H160" s="648"/>
      <c r="I160" s="673"/>
      <c r="J160" s="714">
        <f>'Date masura OD'!$J$5</f>
        <v>45808</v>
      </c>
      <c r="K160" s="715"/>
      <c r="L160" s="716"/>
      <c r="M160" s="720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78">
        <f>A158</f>
        <v>1372642646</v>
      </c>
      <c r="B161" s="679"/>
      <c r="C161" s="679"/>
      <c r="D161" s="679"/>
      <c r="E161" s="679"/>
      <c r="F161" s="680"/>
      <c r="G161" s="648" t="s">
        <v>696</v>
      </c>
      <c r="H161" s="648"/>
      <c r="I161" s="648"/>
      <c r="J161" s="655">
        <f t="shared" ref="J161:J166" si="8">J158</f>
        <v>45778</v>
      </c>
      <c r="K161" s="656"/>
      <c r="L161" s="657"/>
      <c r="M161" s="648" t="s">
        <v>720</v>
      </c>
      <c r="N161" s="648"/>
      <c r="O161" s="648">
        <f>O158</f>
        <v>1</v>
      </c>
      <c r="P161" s="648"/>
      <c r="Q161" s="648"/>
      <c r="R161" s="647" t="str">
        <f>U152</f>
        <v>236780 (citit)</v>
      </c>
      <c r="S161" s="647"/>
      <c r="T161" s="647"/>
      <c r="U161" s="647" t="str">
        <f>VLOOKUP(A161,'Incrementare indexe'!$D:$M,8,FALSE)&amp;" (estimat)"</f>
        <v>236780 (estimat)</v>
      </c>
      <c r="V161" s="647"/>
      <c r="W161" s="647"/>
      <c r="X161" s="647" t="str">
        <f>VLOOKUP(A161,'Incrementare indexe'!$D:$Q,12,FALSE)&amp;" (estimat)"</f>
        <v>0 (estimat)</v>
      </c>
      <c r="Y161" s="647"/>
      <c r="Z161" s="647"/>
      <c r="AA161" s="647" t="s">
        <v>69</v>
      </c>
      <c r="AB161" s="647"/>
      <c r="AC161" s="647"/>
      <c r="AD161" s="647" t="s">
        <v>69</v>
      </c>
      <c r="AE161" s="647"/>
      <c r="AF161" s="647">
        <f>VLOOKUP(A161,'Incrementare indexe'!$D:$Q,12,FALSE)</f>
        <v>0</v>
      </c>
      <c r="AG161" s="647"/>
      <c r="AH161" s="647"/>
      <c r="AI161" s="647">
        <f>AI158</f>
        <v>31</v>
      </c>
      <c r="AJ161" s="647"/>
      <c r="AK161" s="647">
        <f>ROUND(AF161/AI161,2)</f>
        <v>0</v>
      </c>
      <c r="AL161" s="647"/>
      <c r="AM161" s="647"/>
    </row>
    <row r="162" spans="1:39" ht="8.4499999999999993" customHeight="1">
      <c r="A162" s="717"/>
      <c r="B162" s="718"/>
      <c r="C162" s="718"/>
      <c r="D162" s="718"/>
      <c r="E162" s="718"/>
      <c r="F162" s="719"/>
      <c r="G162" s="648"/>
      <c r="H162" s="648"/>
      <c r="I162" s="648"/>
      <c r="J162" s="717" t="str">
        <f t="shared" si="8"/>
        <v>-</v>
      </c>
      <c r="K162" s="718"/>
      <c r="L162" s="719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1"/>
      <c r="B163" s="682"/>
      <c r="C163" s="682"/>
      <c r="D163" s="682"/>
      <c r="E163" s="682"/>
      <c r="F163" s="683"/>
      <c r="G163" s="648"/>
      <c r="H163" s="648"/>
      <c r="I163" s="648"/>
      <c r="J163" s="714">
        <f t="shared" si="8"/>
        <v>45808</v>
      </c>
      <c r="K163" s="715"/>
      <c r="L163" s="716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78">
        <f>A161</f>
        <v>1372642646</v>
      </c>
      <c r="B164" s="679"/>
      <c r="C164" s="679"/>
      <c r="D164" s="679"/>
      <c r="E164" s="679"/>
      <c r="F164" s="680"/>
      <c r="G164" s="648" t="s">
        <v>731</v>
      </c>
      <c r="H164" s="648"/>
      <c r="I164" s="648"/>
      <c r="J164" s="655">
        <f t="shared" si="8"/>
        <v>45778</v>
      </c>
      <c r="K164" s="656"/>
      <c r="L164" s="657"/>
      <c r="M164" s="648" t="s">
        <v>720</v>
      </c>
      <c r="N164" s="648"/>
      <c r="O164" s="648">
        <f>O161</f>
        <v>1</v>
      </c>
      <c r="P164" s="648"/>
      <c r="Q164" s="648"/>
      <c r="R164" s="647" t="str">
        <f>U155</f>
        <v>53981 (citit)</v>
      </c>
      <c r="S164" s="647"/>
      <c r="T164" s="647"/>
      <c r="U164" s="647" t="str">
        <f>VLOOKUP(A164,'Incrementare indexe'!$D:$M,10,FALSE)&amp;" (estimat)"</f>
        <v>53981 (estimat)</v>
      </c>
      <c r="V164" s="647"/>
      <c r="W164" s="647"/>
      <c r="X164" s="647" t="str">
        <f>VLOOKUP(A164,'Incrementare indexe'!$D:$Q,13,FALSE)&amp;" (estimat)"</f>
        <v>0 (estimat)</v>
      </c>
      <c r="Y164" s="647"/>
      <c r="Z164" s="647"/>
      <c r="AA164" s="647" t="s">
        <v>69</v>
      </c>
      <c r="AB164" s="647"/>
      <c r="AC164" s="647"/>
      <c r="AD164" s="647" t="s">
        <v>69</v>
      </c>
      <c r="AE164" s="647"/>
      <c r="AF164" s="647">
        <f>VLOOKUP(A164,'Incrementare indexe'!$D:$Q,13,FALSE)</f>
        <v>0</v>
      </c>
      <c r="AG164" s="647"/>
      <c r="AH164" s="647"/>
      <c r="AI164" s="647">
        <f>AI161</f>
        <v>31</v>
      </c>
      <c r="AJ164" s="647"/>
      <c r="AK164" s="647">
        <f>ROUND(AF164/AI164,2)</f>
        <v>0</v>
      </c>
      <c r="AL164" s="647"/>
      <c r="AM164" s="647"/>
    </row>
    <row r="165" spans="1:39" ht="8.4499999999999993" customHeight="1">
      <c r="A165" s="717"/>
      <c r="B165" s="718"/>
      <c r="C165" s="718"/>
      <c r="D165" s="718"/>
      <c r="E165" s="718"/>
      <c r="F165" s="719"/>
      <c r="G165" s="648"/>
      <c r="H165" s="648"/>
      <c r="I165" s="648"/>
      <c r="J165" s="717" t="str">
        <f t="shared" si="8"/>
        <v>-</v>
      </c>
      <c r="K165" s="718"/>
      <c r="L165" s="719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81"/>
      <c r="B166" s="682"/>
      <c r="C166" s="682"/>
      <c r="D166" s="682"/>
      <c r="E166" s="682"/>
      <c r="F166" s="683"/>
      <c r="G166" s="648"/>
      <c r="H166" s="648"/>
      <c r="I166" s="648"/>
      <c r="J166" s="714">
        <f t="shared" si="8"/>
        <v>45808</v>
      </c>
      <c r="K166" s="715"/>
      <c r="L166" s="716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/>
    <row r="168" spans="1:39" ht="14.1" customHeight="1"/>
    <row r="169" spans="1:39" ht="14.1" customHeight="1">
      <c r="A169" s="721" t="s">
        <v>1196</v>
      </c>
      <c r="B169" s="722"/>
      <c r="C169" s="722"/>
      <c r="D169" s="722"/>
      <c r="E169" s="722"/>
      <c r="F169" s="722"/>
      <c r="G169" s="722"/>
      <c r="H169" s="722"/>
      <c r="I169" s="722"/>
      <c r="J169" s="722"/>
      <c r="K169" s="722"/>
      <c r="L169" s="722"/>
      <c r="M169" s="722"/>
      <c r="N169" s="722"/>
      <c r="O169" s="722"/>
      <c r="P169" s="722"/>
      <c r="Q169" s="722"/>
      <c r="R169" s="722"/>
      <c r="S169" s="722"/>
      <c r="T169" s="722"/>
      <c r="U169" s="722"/>
      <c r="V169" s="722"/>
      <c r="W169" s="722"/>
      <c r="X169" s="722"/>
      <c r="Y169" s="722"/>
      <c r="Z169" s="722"/>
      <c r="AA169" s="722"/>
      <c r="AB169" s="722"/>
      <c r="AC169" s="722"/>
      <c r="AD169" s="722"/>
      <c r="AE169" s="722"/>
      <c r="AF169" s="722"/>
      <c r="AG169" s="722"/>
      <c r="AH169" s="723"/>
      <c r="AI169" s="650" t="s">
        <v>695</v>
      </c>
      <c r="AJ169" s="650"/>
      <c r="AK169" s="650"/>
      <c r="AL169" s="650"/>
      <c r="AM169" s="650"/>
    </row>
    <row r="170" spans="1:39" ht="14.1" customHeight="1">
      <c r="A170" s="649" t="s">
        <v>746</v>
      </c>
      <c r="B170" s="649"/>
      <c r="C170" s="649"/>
      <c r="D170" s="649"/>
      <c r="E170" s="649"/>
      <c r="F170" s="649"/>
      <c r="G170" s="649"/>
      <c r="H170" s="649"/>
      <c r="I170" s="649"/>
      <c r="J170" s="649"/>
      <c r="K170" s="649"/>
      <c r="L170" s="649"/>
      <c r="M170" s="650" t="s">
        <v>514</v>
      </c>
      <c r="N170" s="650"/>
      <c r="O170" s="650"/>
      <c r="P170" s="650"/>
      <c r="Q170" s="650"/>
      <c r="R170" s="650"/>
      <c r="S170" s="650"/>
      <c r="T170" s="650"/>
      <c r="U170" s="650"/>
      <c r="V170" s="650"/>
      <c r="W170" s="650"/>
      <c r="X170" s="650"/>
      <c r="Y170" s="650"/>
      <c r="Z170" s="650"/>
      <c r="AA170" s="650"/>
      <c r="AB170" s="650"/>
      <c r="AC170" s="650"/>
      <c r="AD170" s="650"/>
      <c r="AE170" s="650"/>
      <c r="AF170" s="650"/>
      <c r="AG170" s="650"/>
      <c r="AH170" s="650"/>
      <c r="AI170" s="619" t="str">
        <f>_xlfn.CONCAT(AI135,"/PV")</f>
        <v>RTIM_1.3/PV</v>
      </c>
      <c r="AJ170" s="619"/>
      <c r="AK170" s="619"/>
      <c r="AL170" s="619"/>
      <c r="AM170" s="619"/>
    </row>
    <row r="171" spans="1:39" ht="14.1" customHeight="1">
      <c r="A171" s="649" t="s">
        <v>747</v>
      </c>
      <c r="B171" s="649"/>
      <c r="C171" s="649"/>
      <c r="D171" s="649"/>
      <c r="E171" s="649"/>
      <c r="F171" s="649"/>
      <c r="G171" s="649"/>
      <c r="H171" s="649"/>
      <c r="I171" s="649"/>
      <c r="J171" s="649"/>
      <c r="K171" s="649"/>
      <c r="L171" s="649"/>
      <c r="M171" s="650" t="s">
        <v>1087</v>
      </c>
      <c r="N171" s="650"/>
      <c r="O171" s="650"/>
      <c r="P171" s="650"/>
      <c r="Q171" s="650"/>
      <c r="R171" s="650"/>
      <c r="S171" s="650"/>
      <c r="T171" s="650"/>
      <c r="U171" s="650"/>
      <c r="V171" s="650"/>
      <c r="W171" s="650"/>
      <c r="X171" s="650"/>
      <c r="Y171" s="650"/>
      <c r="Z171" s="650"/>
      <c r="AA171" s="650"/>
      <c r="AB171" s="650"/>
      <c r="AC171" s="650"/>
      <c r="AD171" s="650"/>
      <c r="AE171" s="650"/>
      <c r="AF171" s="650"/>
      <c r="AG171" s="650"/>
      <c r="AH171" s="650"/>
      <c r="AI171" s="619"/>
      <c r="AJ171" s="619"/>
      <c r="AK171" s="619"/>
      <c r="AL171" s="619"/>
      <c r="AM171" s="619"/>
    </row>
    <row r="172" spans="1:39" ht="14.1" customHeight="1">
      <c r="A172" s="648" t="s">
        <v>697</v>
      </c>
      <c r="B172" s="648"/>
      <c r="C172" s="648"/>
      <c r="D172" s="648"/>
      <c r="E172" s="648"/>
      <c r="F172" s="648"/>
      <c r="G172" s="647" t="s">
        <v>713</v>
      </c>
      <c r="H172" s="647"/>
      <c r="I172" s="647"/>
      <c r="J172" s="647" t="s">
        <v>714</v>
      </c>
      <c r="K172" s="647"/>
      <c r="L172" s="647"/>
      <c r="M172" s="648" t="s">
        <v>519</v>
      </c>
      <c r="N172" s="648"/>
      <c r="O172" s="648" t="s">
        <v>715</v>
      </c>
      <c r="P172" s="648"/>
      <c r="Q172" s="648"/>
      <c r="R172" s="647" t="s">
        <v>732</v>
      </c>
      <c r="S172" s="647"/>
      <c r="T172" s="647"/>
      <c r="U172" s="647" t="s">
        <v>734</v>
      </c>
      <c r="V172" s="647"/>
      <c r="W172" s="647"/>
      <c r="X172" s="647" t="s">
        <v>1085</v>
      </c>
      <c r="Y172" s="647"/>
      <c r="Z172" s="647"/>
      <c r="AA172" s="647" t="s">
        <v>1086</v>
      </c>
      <c r="AB172" s="647"/>
      <c r="AC172" s="647"/>
      <c r="AD172" s="647" t="s">
        <v>717</v>
      </c>
      <c r="AE172" s="647"/>
      <c r="AF172" s="647" t="s">
        <v>718</v>
      </c>
      <c r="AG172" s="647"/>
      <c r="AH172" s="647"/>
      <c r="AI172" s="647" t="s">
        <v>719</v>
      </c>
      <c r="AJ172" s="647"/>
      <c r="AK172" s="647" t="s">
        <v>733</v>
      </c>
      <c r="AL172" s="647"/>
      <c r="AM172" s="647"/>
    </row>
    <row r="173" spans="1:39" ht="14.1" customHeight="1">
      <c r="A173" s="648"/>
      <c r="B173" s="648"/>
      <c r="C173" s="648"/>
      <c r="D173" s="648"/>
      <c r="E173" s="648"/>
      <c r="F173" s="648"/>
      <c r="G173" s="647"/>
      <c r="H173" s="647"/>
      <c r="I173" s="647"/>
      <c r="J173" s="647"/>
      <c r="K173" s="647"/>
      <c r="L173" s="647"/>
      <c r="M173" s="648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48"/>
      <c r="B174" s="648"/>
      <c r="C174" s="648"/>
      <c r="D174" s="648"/>
      <c r="E174" s="648"/>
      <c r="F174" s="648"/>
      <c r="G174" s="647"/>
      <c r="H174" s="647"/>
      <c r="I174" s="647"/>
      <c r="J174" s="713"/>
      <c r="K174" s="713"/>
      <c r="L174" s="713"/>
      <c r="M174" s="648"/>
      <c r="N174" s="648"/>
      <c r="O174" s="648"/>
      <c r="P174" s="648"/>
      <c r="Q174" s="648"/>
      <c r="R174" s="647"/>
      <c r="S174" s="647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647"/>
      <c r="AL174" s="647"/>
      <c r="AM174" s="647"/>
    </row>
    <row r="175" spans="1:39" ht="14.1" customHeight="1">
      <c r="A175" s="678">
        <f>VLOOKUP(AI170,'Incrementare indexe'!$B:$I,3,FALSE)</f>
        <v>1371621427</v>
      </c>
      <c r="B175" s="679"/>
      <c r="C175" s="679"/>
      <c r="D175" s="679"/>
      <c r="E175" s="679"/>
      <c r="F175" s="680"/>
      <c r="G175" s="647" t="s">
        <v>1088</v>
      </c>
      <c r="H175" s="647"/>
      <c r="I175" s="675"/>
      <c r="J175" s="655">
        <f>'Date masura OD'!$I$5</f>
        <v>45778</v>
      </c>
      <c r="K175" s="656"/>
      <c r="L175" s="657"/>
      <c r="M175" s="720" t="s">
        <v>446</v>
      </c>
      <c r="N175" s="648"/>
      <c r="O175" s="648">
        <f>VLOOKUP(AI170,'Incrementare indexe'!$B:$I,4,FALSE)</f>
        <v>1</v>
      </c>
      <c r="P175" s="648"/>
      <c r="Q175" s="648"/>
      <c r="R175" s="647" t="str">
        <f>VLOOKUP(AI170,'Incrementare indexe'!$B:$I,7,FALSE)&amp;" (citit)"</f>
        <v>1601886 (citit)</v>
      </c>
      <c r="S175" s="647"/>
      <c r="T175" s="647"/>
      <c r="U175" s="647" t="str">
        <f>VLOOKUP(AI170,'Incrementare indexe'!$B:$I,8,FALSE)&amp;" (citit)"</f>
        <v>1761772 (citit)</v>
      </c>
      <c r="V175" s="647"/>
      <c r="W175" s="647"/>
      <c r="X175" s="647" t="str">
        <f>(VLOOKUP(AI170,'Incrementare indexe'!$B:$I,8,FALSE)-VLOOKUP(AI170,'Incrementare indexe'!$B:$I,7,FALSE))&amp;" (citit)"</f>
        <v>159886 (citit)</v>
      </c>
      <c r="Y175" s="647"/>
      <c r="Z175" s="647"/>
      <c r="AA175" s="647" t="s">
        <v>69</v>
      </c>
      <c r="AB175" s="647"/>
      <c r="AC175" s="647"/>
      <c r="AD175" s="647" t="s">
        <v>69</v>
      </c>
      <c r="AE175" s="647"/>
      <c r="AF175" s="647">
        <f>(VLOOKUP(AI170,'Incrementare indexe'!$B:$I,8,FALSE)-VLOOKUP(AI170,'Incrementare indexe'!$B:$I,7,FALSE))</f>
        <v>159886</v>
      </c>
      <c r="AG175" s="647"/>
      <c r="AH175" s="647"/>
      <c r="AI175" s="647">
        <f>J177-J175+1</f>
        <v>31</v>
      </c>
      <c r="AJ175" s="647"/>
      <c r="AK175" s="647">
        <f>ROUND(AF175/AI175,2)</f>
        <v>5157.6099999999997</v>
      </c>
      <c r="AL175" s="647"/>
      <c r="AM175" s="647"/>
    </row>
    <row r="176" spans="1:39" ht="14.1" customHeight="1">
      <c r="A176" s="717"/>
      <c r="B176" s="718"/>
      <c r="C176" s="718"/>
      <c r="D176" s="718"/>
      <c r="E176" s="718"/>
      <c r="F176" s="719"/>
      <c r="G176" s="647"/>
      <c r="H176" s="647"/>
      <c r="I176" s="675"/>
      <c r="J176" s="717" t="s">
        <v>69</v>
      </c>
      <c r="K176" s="718"/>
      <c r="L176" s="719"/>
      <c r="M176" s="720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1"/>
      <c r="B177" s="682"/>
      <c r="C177" s="682"/>
      <c r="D177" s="682"/>
      <c r="E177" s="682"/>
      <c r="F177" s="683"/>
      <c r="G177" s="647"/>
      <c r="H177" s="647"/>
      <c r="I177" s="675"/>
      <c r="J177" s="714">
        <f>'Date masura OD'!$J$5</f>
        <v>45808</v>
      </c>
      <c r="K177" s="715"/>
      <c r="L177" s="716"/>
      <c r="M177" s="720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78">
        <f>A175</f>
        <v>1371621427</v>
      </c>
      <c r="B178" s="679"/>
      <c r="C178" s="679"/>
      <c r="D178" s="679"/>
      <c r="E178" s="679"/>
      <c r="F178" s="680"/>
      <c r="G178" s="648" t="s">
        <v>696</v>
      </c>
      <c r="H178" s="648"/>
      <c r="I178" s="648"/>
      <c r="J178" s="655">
        <f t="shared" ref="J178:J183" si="9">J175</f>
        <v>45778</v>
      </c>
      <c r="K178" s="656"/>
      <c r="L178" s="657"/>
      <c r="M178" s="648" t="s">
        <v>720</v>
      </c>
      <c r="N178" s="648"/>
      <c r="O178" s="648">
        <f>O175</f>
        <v>1</v>
      </c>
      <c r="P178" s="648"/>
      <c r="Q178" s="648"/>
      <c r="R178" s="647" t="s">
        <v>1089</v>
      </c>
      <c r="S178" s="647"/>
      <c r="T178" s="647"/>
      <c r="U178" s="647" t="s">
        <v>1089</v>
      </c>
      <c r="V178" s="647"/>
      <c r="W178" s="647"/>
      <c r="X178" s="647" t="s">
        <v>1089</v>
      </c>
      <c r="Y178" s="647"/>
      <c r="Z178" s="647"/>
      <c r="AA178" s="647" t="s">
        <v>69</v>
      </c>
      <c r="AB178" s="647"/>
      <c r="AC178" s="647"/>
      <c r="AD178" s="647" t="s">
        <v>69</v>
      </c>
      <c r="AE178" s="647"/>
      <c r="AF178" s="647">
        <v>0</v>
      </c>
      <c r="AG178" s="647"/>
      <c r="AH178" s="647"/>
      <c r="AI178" s="647">
        <f>AI175</f>
        <v>31</v>
      </c>
      <c r="AJ178" s="647"/>
      <c r="AK178" s="647">
        <f>ROUND(AF178/AI178,2)</f>
        <v>0</v>
      </c>
      <c r="AL178" s="647"/>
      <c r="AM178" s="647"/>
    </row>
    <row r="179" spans="1:39" ht="14.1" customHeight="1">
      <c r="A179" s="717"/>
      <c r="B179" s="718"/>
      <c r="C179" s="718"/>
      <c r="D179" s="718"/>
      <c r="E179" s="718"/>
      <c r="F179" s="719"/>
      <c r="G179" s="648"/>
      <c r="H179" s="648"/>
      <c r="I179" s="648"/>
      <c r="J179" s="717" t="str">
        <f t="shared" si="9"/>
        <v>-</v>
      </c>
      <c r="K179" s="718"/>
      <c r="L179" s="719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1"/>
      <c r="B180" s="682"/>
      <c r="C180" s="682"/>
      <c r="D180" s="682"/>
      <c r="E180" s="682"/>
      <c r="F180" s="683"/>
      <c r="G180" s="648"/>
      <c r="H180" s="648"/>
      <c r="I180" s="648"/>
      <c r="J180" s="714">
        <f t="shared" si="9"/>
        <v>45808</v>
      </c>
      <c r="K180" s="715"/>
      <c r="L180" s="716"/>
      <c r="M180" s="648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78">
        <f>A178</f>
        <v>1371621427</v>
      </c>
      <c r="B181" s="679"/>
      <c r="C181" s="679"/>
      <c r="D181" s="679"/>
      <c r="E181" s="679"/>
      <c r="F181" s="680"/>
      <c r="G181" s="648" t="s">
        <v>731</v>
      </c>
      <c r="H181" s="648"/>
      <c r="I181" s="648"/>
      <c r="J181" s="655">
        <f t="shared" si="9"/>
        <v>45778</v>
      </c>
      <c r="K181" s="656"/>
      <c r="L181" s="657"/>
      <c r="M181" s="648" t="s">
        <v>720</v>
      </c>
      <c r="N181" s="648"/>
      <c r="O181" s="648">
        <f>O178</f>
        <v>1</v>
      </c>
      <c r="P181" s="648"/>
      <c r="Q181" s="648"/>
      <c r="R181" s="647" t="s">
        <v>1089</v>
      </c>
      <c r="S181" s="647"/>
      <c r="T181" s="647"/>
      <c r="U181" s="647" t="s">
        <v>1089</v>
      </c>
      <c r="V181" s="647"/>
      <c r="W181" s="647"/>
      <c r="X181" s="647" t="s">
        <v>1089</v>
      </c>
      <c r="Y181" s="647"/>
      <c r="Z181" s="647"/>
      <c r="AA181" s="647" t="s">
        <v>69</v>
      </c>
      <c r="AB181" s="647"/>
      <c r="AC181" s="647"/>
      <c r="AD181" s="647" t="s">
        <v>69</v>
      </c>
      <c r="AE181" s="647"/>
      <c r="AF181" s="647">
        <v>0</v>
      </c>
      <c r="AG181" s="647"/>
      <c r="AH181" s="647"/>
      <c r="AI181" s="647">
        <f>AI178</f>
        <v>31</v>
      </c>
      <c r="AJ181" s="647"/>
      <c r="AK181" s="647">
        <f>ROUND(AF181/AI181,2)</f>
        <v>0</v>
      </c>
      <c r="AL181" s="647"/>
      <c r="AM181" s="647"/>
    </row>
    <row r="182" spans="1:39" ht="14.1" customHeight="1">
      <c r="A182" s="717"/>
      <c r="B182" s="718"/>
      <c r="C182" s="718"/>
      <c r="D182" s="718"/>
      <c r="E182" s="718"/>
      <c r="F182" s="719"/>
      <c r="G182" s="648"/>
      <c r="H182" s="648"/>
      <c r="I182" s="648"/>
      <c r="J182" s="717" t="str">
        <f t="shared" si="9"/>
        <v>-</v>
      </c>
      <c r="K182" s="718"/>
      <c r="L182" s="719"/>
      <c r="M182" s="648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81"/>
      <c r="B183" s="682"/>
      <c r="C183" s="682"/>
      <c r="D183" s="682"/>
      <c r="E183" s="682"/>
      <c r="F183" s="683"/>
      <c r="G183" s="648"/>
      <c r="H183" s="648"/>
      <c r="I183" s="648"/>
      <c r="J183" s="714">
        <f t="shared" si="9"/>
        <v>45808</v>
      </c>
      <c r="K183" s="715"/>
      <c r="L183" s="716"/>
      <c r="M183" s="648"/>
      <c r="N183" s="648"/>
      <c r="O183" s="648"/>
      <c r="P183" s="648"/>
      <c r="Q183" s="648"/>
      <c r="R183" s="647"/>
      <c r="S183" s="647"/>
      <c r="T183" s="647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/>
    <row r="185" spans="1:39" ht="14.1" customHeight="1"/>
    <row r="186" spans="1:39" ht="14.1" customHeight="1"/>
    <row r="187" spans="1:39">
      <c r="A187" s="649" t="s">
        <v>748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VLOOKUP(AI188,'Contorizare in SDI'!$E:$I,4,FALSE)</f>
        <v>RO005E513396506/4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50" t="s">
        <v>695</v>
      </c>
      <c r="AJ187" s="650"/>
      <c r="AK187" s="650"/>
      <c r="AL187" s="650"/>
      <c r="AM187" s="650"/>
    </row>
    <row r="188" spans="1:39">
      <c r="A188" s="649" t="s">
        <v>746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VLOOKUP(AI188,'Inchidere contur'!$G:$U,15,FALSE)</f>
        <v>JT_SDI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 t="str">
        <f>_xlfn.CONCAT(AA32,".",4)</f>
        <v>RTIM_1.4</v>
      </c>
      <c r="AJ188" s="619"/>
      <c r="AK188" s="619"/>
      <c r="AL188" s="619"/>
      <c r="AM188" s="619"/>
    </row>
    <row r="189" spans="1:39">
      <c r="A189" s="649" t="s">
        <v>747</v>
      </c>
      <c r="B189" s="649"/>
      <c r="C189" s="649"/>
      <c r="D189" s="649"/>
      <c r="E189" s="649"/>
      <c r="F189" s="649"/>
      <c r="G189" s="649"/>
      <c r="H189" s="649"/>
      <c r="I189" s="649"/>
      <c r="J189" s="649"/>
      <c r="K189" s="649"/>
      <c r="L189" s="649"/>
      <c r="M189" s="650" t="str">
        <f>IF(LEFT(M188,2)="JT","0.4kV",IF(LEFT(M188,2)="MT","20kV","-"))</f>
        <v>0.4kV</v>
      </c>
      <c r="N189" s="650"/>
      <c r="O189" s="650"/>
      <c r="P189" s="650"/>
      <c r="Q189" s="650"/>
      <c r="R189" s="650"/>
      <c r="S189" s="650"/>
      <c r="T189" s="650"/>
      <c r="U189" s="650"/>
      <c r="V189" s="650"/>
      <c r="W189" s="650"/>
      <c r="X189" s="650"/>
      <c r="Y189" s="650"/>
      <c r="Z189" s="650"/>
      <c r="AA189" s="650"/>
      <c r="AB189" s="650"/>
      <c r="AC189" s="650"/>
      <c r="AD189" s="650"/>
      <c r="AE189" s="650"/>
      <c r="AF189" s="650"/>
      <c r="AG189" s="650"/>
      <c r="AH189" s="650"/>
      <c r="AI189" s="619"/>
      <c r="AJ189" s="619"/>
      <c r="AK189" s="619"/>
      <c r="AL189" s="619"/>
      <c r="AM189" s="619"/>
    </row>
    <row r="190" spans="1:39" ht="15.95" customHeight="1">
      <c r="A190" s="648" t="s">
        <v>697</v>
      </c>
      <c r="B190" s="648"/>
      <c r="C190" s="648"/>
      <c r="D190" s="648"/>
      <c r="E190" s="648"/>
      <c r="F190" s="648"/>
      <c r="G190" s="647" t="s">
        <v>713</v>
      </c>
      <c r="H190" s="647"/>
      <c r="I190" s="647"/>
      <c r="J190" s="647" t="s">
        <v>714</v>
      </c>
      <c r="K190" s="647"/>
      <c r="L190" s="647"/>
      <c r="M190" s="648" t="s">
        <v>519</v>
      </c>
      <c r="N190" s="648"/>
      <c r="O190" s="648" t="s">
        <v>715</v>
      </c>
      <c r="P190" s="648"/>
      <c r="Q190" s="648"/>
      <c r="R190" s="647" t="s">
        <v>732</v>
      </c>
      <c r="S190" s="647"/>
      <c r="T190" s="647"/>
      <c r="U190" s="647" t="s">
        <v>734</v>
      </c>
      <c r="V190" s="647"/>
      <c r="W190" s="647"/>
      <c r="X190" s="647" t="s">
        <v>1085</v>
      </c>
      <c r="Y190" s="647"/>
      <c r="Z190" s="647"/>
      <c r="AA190" s="647" t="s">
        <v>1086</v>
      </c>
      <c r="AB190" s="647"/>
      <c r="AC190" s="647"/>
      <c r="AD190" s="647" t="s">
        <v>717</v>
      </c>
      <c r="AE190" s="647"/>
      <c r="AF190" s="647" t="s">
        <v>718</v>
      </c>
      <c r="AG190" s="647"/>
      <c r="AH190" s="647"/>
      <c r="AI190" s="647" t="s">
        <v>719</v>
      </c>
      <c r="AJ190" s="647"/>
      <c r="AK190" s="647" t="s">
        <v>733</v>
      </c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647"/>
      <c r="K191" s="647"/>
      <c r="L191" s="647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>
      <c r="A192" s="648"/>
      <c r="B192" s="648"/>
      <c r="C192" s="648"/>
      <c r="D192" s="648"/>
      <c r="E192" s="648"/>
      <c r="F192" s="648"/>
      <c r="G192" s="647"/>
      <c r="H192" s="647"/>
      <c r="I192" s="647"/>
      <c r="J192" s="713"/>
      <c r="K192" s="713"/>
      <c r="L192" s="713"/>
      <c r="M192" s="648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 ht="14.1" customHeight="1">
      <c r="A193" s="678">
        <f>VLOOKUP(AI188,'Contorizare in SDI'!$E:$I,5,FALSE)</f>
        <v>1372627968</v>
      </c>
      <c r="B193" s="679"/>
      <c r="C193" s="679"/>
      <c r="D193" s="679"/>
      <c r="E193" s="679"/>
      <c r="F193" s="680"/>
      <c r="G193" s="648" t="s">
        <v>730</v>
      </c>
      <c r="H193" s="648"/>
      <c r="I193" s="673"/>
      <c r="J193" s="655">
        <f>'Date masura OD'!$AK$5</f>
        <v>45748</v>
      </c>
      <c r="K193" s="656"/>
      <c r="L193" s="657"/>
      <c r="M193" s="720" t="s">
        <v>446</v>
      </c>
      <c r="N193" s="648"/>
      <c r="O193" s="648">
        <f>VLOOKUP(AI188,'Incrementare indexe'!$B:$T,4,FALSE)</f>
        <v>1</v>
      </c>
      <c r="P193" s="648"/>
      <c r="Q193" s="648"/>
      <c r="R193" s="647" t="str">
        <f>VLOOKUP(A193,Regularizare!$D:$YN,3,FALSE)&amp;" ("&amp;VLOOKUP(A193,Regularizare!$D:$Y,11,FALSE)&amp;")"</f>
        <v>3461150 (citit)</v>
      </c>
      <c r="S193" s="647"/>
      <c r="T193" s="647"/>
      <c r="U193" s="647" t="str">
        <f>VLOOKUP(A193,Regularizare!$D:$U,4,FALSE)&amp;" ("&amp;VLOOKUP(A193,Regularizare!$D:$U,12,FALSE)&amp;")"</f>
        <v>3644631 (estimat)</v>
      </c>
      <c r="V193" s="647"/>
      <c r="W193" s="647"/>
      <c r="X193" s="647" t="str">
        <f>VLOOKUP(A193,Regularizare!$D:$Y,19,FALSE)&amp;" ("&amp;VLOOKUP(A193,Regularizare!$D:$U,12,FALSE)&amp;")"</f>
        <v>183481 (estimat)</v>
      </c>
      <c r="Y193" s="647"/>
      <c r="Z193" s="647"/>
      <c r="AA193" s="647">
        <f>(-1)*VLOOKUP(A193,Regularizare!$D:$Y,19,FALSE)</f>
        <v>-183481</v>
      </c>
      <c r="AB193" s="647"/>
      <c r="AC193" s="647"/>
      <c r="AD193" s="647" t="s">
        <v>69</v>
      </c>
      <c r="AE193" s="647"/>
      <c r="AF193" s="647">
        <f>AA193</f>
        <v>-183481</v>
      </c>
      <c r="AG193" s="647"/>
      <c r="AH193" s="647"/>
      <c r="AI193" s="647" t="s">
        <v>69</v>
      </c>
      <c r="AJ193" s="647"/>
      <c r="AK193" s="647" t="s">
        <v>69</v>
      </c>
      <c r="AL193" s="647"/>
      <c r="AM193" s="647"/>
    </row>
    <row r="194" spans="1:39" ht="9.75" customHeight="1">
      <c r="A194" s="717"/>
      <c r="B194" s="718"/>
      <c r="C194" s="718"/>
      <c r="D194" s="718"/>
      <c r="E194" s="718"/>
      <c r="F194" s="719"/>
      <c r="G194" s="648"/>
      <c r="H194" s="648"/>
      <c r="I194" s="673"/>
      <c r="J194" s="717" t="s">
        <v>69</v>
      </c>
      <c r="K194" s="718"/>
      <c r="L194" s="719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1"/>
      <c r="B195" s="682"/>
      <c r="C195" s="682"/>
      <c r="D195" s="682"/>
      <c r="E195" s="682"/>
      <c r="F195" s="683"/>
      <c r="G195" s="648"/>
      <c r="H195" s="648"/>
      <c r="I195" s="673"/>
      <c r="J195" s="714">
        <f>'Date masura OD'!$AL$5</f>
        <v>45777</v>
      </c>
      <c r="K195" s="715"/>
      <c r="L195" s="716"/>
      <c r="M195" s="720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78">
        <f>A193</f>
        <v>1372627968</v>
      </c>
      <c r="B196" s="679"/>
      <c r="C196" s="679"/>
      <c r="D196" s="679"/>
      <c r="E196" s="679"/>
      <c r="F196" s="680"/>
      <c r="G196" s="648" t="s">
        <v>696</v>
      </c>
      <c r="H196" s="648"/>
      <c r="I196" s="648"/>
      <c r="J196" s="655">
        <f t="shared" ref="J196:J201" si="10">J193</f>
        <v>45748</v>
      </c>
      <c r="K196" s="656"/>
      <c r="L196" s="657"/>
      <c r="M196" s="648" t="s">
        <v>720</v>
      </c>
      <c r="N196" s="648"/>
      <c r="O196" s="648">
        <f>O193</f>
        <v>1</v>
      </c>
      <c r="P196" s="648"/>
      <c r="Q196" s="648"/>
      <c r="R196" s="647" t="str">
        <f>VLOOKUP(A196,Regularizare!$D:$U,7,FALSE)&amp;" ("&amp;VLOOKUP(A196,Regularizare!$D:$U,15,FALSE)&amp;")"</f>
        <v>327280 (citit)</v>
      </c>
      <c r="S196" s="647"/>
      <c r="T196" s="647"/>
      <c r="U196" s="647" t="str">
        <f>VLOOKUP(A196,Regularizare!$D:$U,8,FALSE)&amp;" ("&amp;VLOOKUP(A196,Regularizare!$D:$U,16,FALSE)&amp;")"</f>
        <v>327280 (estimat)</v>
      </c>
      <c r="V196" s="647"/>
      <c r="W196" s="647"/>
      <c r="X196" s="647" t="str">
        <f>_xlfn.CONCAT(VLOOKUP(A196,Regularizare!$D:$U,8,FALSE)-VLOOKUP(A196,Regularizare!$D:$U,7,FALSE)," (",VLOOKUP(A196,Regularizare!$D:$U,16,FALSE),")")</f>
        <v>0 (estimat)</v>
      </c>
      <c r="Y196" s="647"/>
      <c r="Z196" s="647"/>
      <c r="AA196" s="647">
        <f>IF(VLOOKUP(A196,Regularizare!$D:$Y,21,FALSE)=0,VLOOKUP(A196,Regularizare!$D:$Y,21,FALSE),(-1)*VLOOKUP(A196,Regularizare!$D:$Y,21,FALSE))</f>
        <v>0</v>
      </c>
      <c r="AB196" s="647"/>
      <c r="AC196" s="647"/>
      <c r="AD196" s="647" t="s">
        <v>69</v>
      </c>
      <c r="AE196" s="647"/>
      <c r="AF196" s="647">
        <f>AA196</f>
        <v>0</v>
      </c>
      <c r="AG196" s="647"/>
      <c r="AH196" s="647"/>
      <c r="AI196" s="647" t="str">
        <f>AI193</f>
        <v>-</v>
      </c>
      <c r="AJ196" s="647"/>
      <c r="AK196" s="647" t="str">
        <f>AK193</f>
        <v>-</v>
      </c>
      <c r="AL196" s="647"/>
      <c r="AM196" s="647"/>
    </row>
    <row r="197" spans="1:39" ht="8.4499999999999993" customHeight="1">
      <c r="A197" s="717"/>
      <c r="B197" s="718"/>
      <c r="C197" s="718"/>
      <c r="D197" s="718"/>
      <c r="E197" s="718"/>
      <c r="F197" s="719"/>
      <c r="G197" s="648"/>
      <c r="H197" s="648"/>
      <c r="I197" s="648"/>
      <c r="J197" s="717" t="str">
        <f t="shared" si="10"/>
        <v>-</v>
      </c>
      <c r="K197" s="718"/>
      <c r="L197" s="719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1"/>
      <c r="B198" s="682"/>
      <c r="C198" s="682"/>
      <c r="D198" s="682"/>
      <c r="E198" s="682"/>
      <c r="F198" s="683"/>
      <c r="G198" s="648"/>
      <c r="H198" s="648"/>
      <c r="I198" s="648"/>
      <c r="J198" s="714">
        <f t="shared" si="10"/>
        <v>45777</v>
      </c>
      <c r="K198" s="715"/>
      <c r="L198" s="716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78">
        <f>A196</f>
        <v>1372627968</v>
      </c>
      <c r="B199" s="679"/>
      <c r="C199" s="679"/>
      <c r="D199" s="679"/>
      <c r="E199" s="679"/>
      <c r="F199" s="680"/>
      <c r="G199" s="648" t="s">
        <v>731</v>
      </c>
      <c r="H199" s="648"/>
      <c r="I199" s="648"/>
      <c r="J199" s="655">
        <f t="shared" si="10"/>
        <v>45748</v>
      </c>
      <c r="K199" s="656"/>
      <c r="L199" s="657"/>
      <c r="M199" s="648" t="s">
        <v>720</v>
      </c>
      <c r="N199" s="648"/>
      <c r="O199" s="648">
        <f>O196</f>
        <v>1</v>
      </c>
      <c r="P199" s="648"/>
      <c r="Q199" s="648"/>
      <c r="R199" s="647" t="str">
        <f>VLOOKUP(A199,Regularizare!$D:$U,9,FALSE)&amp;" ("&amp;VLOOKUP(A199,Regularizare!$D:$U,17,FALSE)&amp;")"</f>
        <v>1643 (citit)</v>
      </c>
      <c r="S199" s="647"/>
      <c r="T199" s="647"/>
      <c r="U199" s="647" t="str">
        <f>VLOOKUP(A199,Regularizare!$D:$U,10,FALSE)&amp;" ("&amp;VLOOKUP(A199,Regularizare!$D:$U,18,FALSE)&amp;")"</f>
        <v>1643 (estimat)</v>
      </c>
      <c r="V199" s="647"/>
      <c r="W199" s="647"/>
      <c r="X199" s="647" t="str">
        <f>_xlfn.CONCAT(VLOOKUP(A199,Regularizare!$D:$U,10,FALSE)-VLOOKUP(A199,Regularizare!$D:$U,9,FALSE)," (",VLOOKUP(A199,Regularizare!$D:$U,18,FALSE),")")</f>
        <v>0 (estimat)</v>
      </c>
      <c r="Y199" s="647"/>
      <c r="Z199" s="647"/>
      <c r="AA199" s="647">
        <f>IF(VLOOKUP(A199,Regularizare!$D:$Y,22,FALSE)=0,VLOOKUP(A199,Regularizare!$D:$Y,22,FALSE),(-1)*VLOOKUP(A199,Regularizare!$D:$Y,22,FALSE))</f>
        <v>0</v>
      </c>
      <c r="AB199" s="647"/>
      <c r="AC199" s="647"/>
      <c r="AD199" s="647" t="s">
        <v>69</v>
      </c>
      <c r="AE199" s="647"/>
      <c r="AF199" s="647">
        <f>AA199</f>
        <v>0</v>
      </c>
      <c r="AG199" s="647"/>
      <c r="AH199" s="647"/>
      <c r="AI199" s="647" t="str">
        <f>AI196</f>
        <v>-</v>
      </c>
      <c r="AJ199" s="647"/>
      <c r="AK199" s="647" t="str">
        <f>AK196</f>
        <v>-</v>
      </c>
      <c r="AL199" s="647"/>
      <c r="AM199" s="647"/>
    </row>
    <row r="200" spans="1:39" ht="8.4499999999999993" customHeight="1">
      <c r="A200" s="717"/>
      <c r="B200" s="718"/>
      <c r="C200" s="718"/>
      <c r="D200" s="718"/>
      <c r="E200" s="718"/>
      <c r="F200" s="719"/>
      <c r="G200" s="648"/>
      <c r="H200" s="648"/>
      <c r="I200" s="648"/>
      <c r="J200" s="717" t="str">
        <f t="shared" si="10"/>
        <v>-</v>
      </c>
      <c r="K200" s="718"/>
      <c r="L200" s="719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1"/>
      <c r="B201" s="682"/>
      <c r="C201" s="682"/>
      <c r="D201" s="682"/>
      <c r="E201" s="682"/>
      <c r="F201" s="683"/>
      <c r="G201" s="648"/>
      <c r="H201" s="648"/>
      <c r="I201" s="648"/>
      <c r="J201" s="714">
        <f t="shared" si="10"/>
        <v>45777</v>
      </c>
      <c r="K201" s="715"/>
      <c r="L201" s="716"/>
      <c r="M201" s="648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78">
        <f>A199</f>
        <v>1372627968</v>
      </c>
      <c r="B202" s="679"/>
      <c r="C202" s="679"/>
      <c r="D202" s="679"/>
      <c r="E202" s="679"/>
      <c r="F202" s="680"/>
      <c r="G202" s="648" t="s">
        <v>730</v>
      </c>
      <c r="H202" s="648"/>
      <c r="I202" s="673"/>
      <c r="J202" s="655">
        <f>'Date masura OD'!$AK$5</f>
        <v>45748</v>
      </c>
      <c r="K202" s="656"/>
      <c r="L202" s="657"/>
      <c r="M202" s="720" t="s">
        <v>446</v>
      </c>
      <c r="N202" s="648"/>
      <c r="O202" s="648">
        <f>O199</f>
        <v>1</v>
      </c>
      <c r="P202" s="648"/>
      <c r="Q202" s="648"/>
      <c r="R202" s="647" t="str">
        <f>VLOOKUP(A202,Regularizare!$D:$AX,23,FALSE)&amp;" ("&amp;VLOOKUP(A202,Regularizare!$D:$AX,24,FALSE)&amp;")"</f>
        <v>3461150 (citit)</v>
      </c>
      <c r="S202" s="647"/>
      <c r="T202" s="647"/>
      <c r="U202" s="647" t="str">
        <f>VLOOKUP(A202,Regularizare!$D:$AX,25,FALSE)&amp;" ("&amp;VLOOKUP(A202,Regularizare!$D:$AX,26,FALSE)&amp;")"</f>
        <v>3644631 (citit)</v>
      </c>
      <c r="V202" s="647"/>
      <c r="W202" s="647"/>
      <c r="X202" s="647" t="str">
        <f>VLOOKUP(A202,Regularizare!$D:$AX,37,FALSE)&amp;" ("&amp;VLOOKUP(A202,Regularizare!$D:$AX,26,FALSE)&amp;")"</f>
        <v>183481 (citit)</v>
      </c>
      <c r="Y202" s="647"/>
      <c r="Z202" s="647"/>
      <c r="AA202" s="647">
        <f>VLOOKUP(A202,Regularizare!$D:$AX,37,FALSE)</f>
        <v>183481</v>
      </c>
      <c r="AB202" s="647"/>
      <c r="AC202" s="647"/>
      <c r="AD202" s="647" t="s">
        <v>69</v>
      </c>
      <c r="AE202" s="647"/>
      <c r="AF202" s="647">
        <f>AA202</f>
        <v>183481</v>
      </c>
      <c r="AG202" s="647"/>
      <c r="AH202" s="647"/>
      <c r="AI202" s="647" t="str">
        <f>AI199</f>
        <v>-</v>
      </c>
      <c r="AJ202" s="647"/>
      <c r="AK202" s="647" t="str">
        <f>AK199</f>
        <v>-</v>
      </c>
      <c r="AL202" s="647"/>
      <c r="AM202" s="647"/>
    </row>
    <row r="203" spans="1:39" ht="8.4499999999999993" customHeight="1">
      <c r="A203" s="717"/>
      <c r="B203" s="718"/>
      <c r="C203" s="718"/>
      <c r="D203" s="718"/>
      <c r="E203" s="718"/>
      <c r="F203" s="719"/>
      <c r="G203" s="648"/>
      <c r="H203" s="648"/>
      <c r="I203" s="673"/>
      <c r="J203" s="717" t="s">
        <v>69</v>
      </c>
      <c r="K203" s="718"/>
      <c r="L203" s="719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1"/>
      <c r="B204" s="682"/>
      <c r="C204" s="682"/>
      <c r="D204" s="682"/>
      <c r="E204" s="682"/>
      <c r="F204" s="683"/>
      <c r="G204" s="648"/>
      <c r="H204" s="648"/>
      <c r="I204" s="673"/>
      <c r="J204" s="714">
        <f>'Date masura OD'!$AL$5</f>
        <v>45777</v>
      </c>
      <c r="K204" s="715"/>
      <c r="L204" s="716"/>
      <c r="M204" s="720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78">
        <f>A202</f>
        <v>1372627968</v>
      </c>
      <c r="B205" s="679"/>
      <c r="C205" s="679"/>
      <c r="D205" s="679"/>
      <c r="E205" s="679"/>
      <c r="F205" s="680"/>
      <c r="G205" s="648" t="s">
        <v>696</v>
      </c>
      <c r="H205" s="648"/>
      <c r="I205" s="648"/>
      <c r="J205" s="655">
        <f t="shared" ref="J205:J210" si="11">J202</f>
        <v>45748</v>
      </c>
      <c r="K205" s="656"/>
      <c r="L205" s="657"/>
      <c r="M205" s="648" t="s">
        <v>720</v>
      </c>
      <c r="N205" s="648"/>
      <c r="O205" s="648">
        <f>O202</f>
        <v>1</v>
      </c>
      <c r="P205" s="648"/>
      <c r="Q205" s="648"/>
      <c r="R205" s="647" t="str">
        <f>VLOOKUP(A205,Regularizare!$D:$AX,29,FALSE)&amp;" ("&amp;VLOOKUP(A205,Regularizare!$D:$AX,30,FALSE)&amp;")"</f>
        <v>327280 (citit)</v>
      </c>
      <c r="S205" s="647"/>
      <c r="T205" s="647"/>
      <c r="U205" s="647" t="str">
        <f>VLOOKUP(A205,Regularizare!$D:$AX,31,FALSE)&amp;" ("&amp;VLOOKUP(A205,Regularizare!$D:$AX,32,FALSE)&amp;")"</f>
        <v>327368 (citit)</v>
      </c>
      <c r="V205" s="647"/>
      <c r="W205" s="647"/>
      <c r="X205" s="647" t="str">
        <f>VLOOKUP(A205,Regularizare!$D:$AX,39,FALSE)&amp;" ("&amp;VLOOKUP(A205,Regularizare!$D:$AX,32,FALSE)&amp;")"</f>
        <v>88 (citit)</v>
      </c>
      <c r="Y205" s="647"/>
      <c r="Z205" s="647"/>
      <c r="AA205" s="647">
        <f>VLOOKUP(A205,Regularizare!$D:$AX,44,FALSE)+VLOOKUP(A205,Regularizare!$D:$AX,45,FALSE)</f>
        <v>88</v>
      </c>
      <c r="AB205" s="647"/>
      <c r="AC205" s="647"/>
      <c r="AD205" s="647" t="s">
        <v>69</v>
      </c>
      <c r="AE205" s="647"/>
      <c r="AF205" s="647">
        <f>AA205</f>
        <v>88</v>
      </c>
      <c r="AG205" s="647"/>
      <c r="AH205" s="647"/>
      <c r="AI205" s="647" t="str">
        <f>AI202</f>
        <v>-</v>
      </c>
      <c r="AJ205" s="647"/>
      <c r="AK205" s="647" t="str">
        <f>AK202</f>
        <v>-</v>
      </c>
      <c r="AL205" s="647"/>
      <c r="AM205" s="647"/>
    </row>
    <row r="206" spans="1:39" ht="8.4499999999999993" customHeight="1">
      <c r="A206" s="717"/>
      <c r="B206" s="718"/>
      <c r="C206" s="718"/>
      <c r="D206" s="718"/>
      <c r="E206" s="718"/>
      <c r="F206" s="719"/>
      <c r="G206" s="648"/>
      <c r="H206" s="648"/>
      <c r="I206" s="648"/>
      <c r="J206" s="717" t="str">
        <f t="shared" si="11"/>
        <v>-</v>
      </c>
      <c r="K206" s="718"/>
      <c r="L206" s="719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1"/>
      <c r="B207" s="682"/>
      <c r="C207" s="682"/>
      <c r="D207" s="682"/>
      <c r="E207" s="682"/>
      <c r="F207" s="683"/>
      <c r="G207" s="648"/>
      <c r="H207" s="648"/>
      <c r="I207" s="648"/>
      <c r="J207" s="714">
        <f t="shared" si="11"/>
        <v>45777</v>
      </c>
      <c r="K207" s="715"/>
      <c r="L207" s="716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78">
        <f>A205</f>
        <v>1372627968</v>
      </c>
      <c r="B208" s="679"/>
      <c r="C208" s="679"/>
      <c r="D208" s="679"/>
      <c r="E208" s="679"/>
      <c r="F208" s="680"/>
      <c r="G208" s="648" t="s">
        <v>731</v>
      </c>
      <c r="H208" s="648"/>
      <c r="I208" s="648"/>
      <c r="J208" s="655">
        <f t="shared" si="11"/>
        <v>45748</v>
      </c>
      <c r="K208" s="656"/>
      <c r="L208" s="657"/>
      <c r="M208" s="648" t="s">
        <v>720</v>
      </c>
      <c r="N208" s="648"/>
      <c r="O208" s="648">
        <f>O205</f>
        <v>1</v>
      </c>
      <c r="P208" s="648"/>
      <c r="Q208" s="648"/>
      <c r="R208" s="647" t="str">
        <f>VLOOKUP(A208,Regularizare!$D:$AX,33,FALSE)&amp;" ("&amp;VLOOKUP(A208,Regularizare!$D:$AX,34,FALSE)&amp;")"</f>
        <v>1643 (citit)</v>
      </c>
      <c r="S208" s="647"/>
      <c r="T208" s="647"/>
      <c r="U208" s="647" t="str">
        <f>VLOOKUP(A208,Regularizare!$D:$AX,35,FALSE)&amp;" ("&amp;VLOOKUP(A208,Regularizare!$D:$AX,36,FALSE)&amp;")"</f>
        <v>1643 (citit)</v>
      </c>
      <c r="V208" s="647"/>
      <c r="W208" s="647"/>
      <c r="X208" s="647" t="str">
        <f>VLOOKUP(A208,Regularizare!$D:$AX,40,FALSE)&amp;" ("&amp;VLOOKUP(A208,Regularizare!$D:$AX,36,FALSE)&amp;")"</f>
        <v>0 (citit)</v>
      </c>
      <c r="Y208" s="647"/>
      <c r="Z208" s="647"/>
      <c r="AA208" s="647">
        <f>VLOOKUP(A208,Regularizare!$D:$AX,46,FALSE)+VLOOKUP(A208,Regularizare!$D:$AX,47,FALSE)</f>
        <v>0</v>
      </c>
      <c r="AB208" s="647"/>
      <c r="AC208" s="647"/>
      <c r="AD208" s="647" t="s">
        <v>69</v>
      </c>
      <c r="AE208" s="647"/>
      <c r="AF208" s="647">
        <f>AA208</f>
        <v>0</v>
      </c>
      <c r="AG208" s="647"/>
      <c r="AH208" s="647"/>
      <c r="AI208" s="647" t="str">
        <f>AI205</f>
        <v>-</v>
      </c>
      <c r="AJ208" s="647"/>
      <c r="AK208" s="647" t="str">
        <f>AK205</f>
        <v>-</v>
      </c>
      <c r="AL208" s="647"/>
      <c r="AM208" s="647"/>
    </row>
    <row r="209" spans="1:39" ht="8.4499999999999993" customHeight="1">
      <c r="A209" s="717"/>
      <c r="B209" s="718"/>
      <c r="C209" s="718"/>
      <c r="D209" s="718"/>
      <c r="E209" s="718"/>
      <c r="F209" s="719"/>
      <c r="G209" s="648"/>
      <c r="H209" s="648"/>
      <c r="I209" s="648"/>
      <c r="J209" s="717" t="str">
        <f t="shared" si="11"/>
        <v>-</v>
      </c>
      <c r="K209" s="718"/>
      <c r="L209" s="719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1"/>
      <c r="B210" s="682"/>
      <c r="C210" s="682"/>
      <c r="D210" s="682"/>
      <c r="E210" s="682"/>
      <c r="F210" s="683"/>
      <c r="G210" s="648"/>
      <c r="H210" s="648"/>
      <c r="I210" s="648"/>
      <c r="J210" s="714">
        <f t="shared" si="11"/>
        <v>45777</v>
      </c>
      <c r="K210" s="715"/>
      <c r="L210" s="716"/>
      <c r="M210" s="648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78">
        <f>A208</f>
        <v>1372627968</v>
      </c>
      <c r="B211" s="679"/>
      <c r="C211" s="679"/>
      <c r="D211" s="679"/>
      <c r="E211" s="679"/>
      <c r="F211" s="680"/>
      <c r="G211" s="648" t="s">
        <v>730</v>
      </c>
      <c r="H211" s="648"/>
      <c r="I211" s="673"/>
      <c r="J211" s="655">
        <f>'Date masura OD'!$I$5</f>
        <v>45778</v>
      </c>
      <c r="K211" s="656"/>
      <c r="L211" s="657"/>
      <c r="M211" s="720" t="s">
        <v>446</v>
      </c>
      <c r="N211" s="648"/>
      <c r="O211" s="648">
        <f>O208</f>
        <v>1</v>
      </c>
      <c r="P211" s="648"/>
      <c r="Q211" s="648"/>
      <c r="R211" s="647" t="str">
        <f>U202</f>
        <v>3644631 (citit)</v>
      </c>
      <c r="S211" s="647"/>
      <c r="T211" s="647"/>
      <c r="U211" s="647" t="str">
        <f>VLOOKUP(A211,'Incrementare indexe'!$D:$M,4,FALSE)&amp;" (estimat)"</f>
        <v>3847478 (estimat)</v>
      </c>
      <c r="V211" s="647"/>
      <c r="W211" s="647"/>
      <c r="X211" s="647" t="str">
        <f>VLOOKUP(A211,'Incrementare indexe'!$D:$Q,11,FALSE)&amp;" (estimat)"</f>
        <v>202847 (estimat)</v>
      </c>
      <c r="Y211" s="647"/>
      <c r="Z211" s="647"/>
      <c r="AA211" s="647" t="s">
        <v>69</v>
      </c>
      <c r="AB211" s="647"/>
      <c r="AC211" s="647"/>
      <c r="AD211" s="647" t="s">
        <v>69</v>
      </c>
      <c r="AE211" s="647"/>
      <c r="AF211" s="647">
        <f>VLOOKUP(A211,'Incrementare indexe'!$D:$Q,11,FALSE)</f>
        <v>202847</v>
      </c>
      <c r="AG211" s="647"/>
      <c r="AH211" s="647"/>
      <c r="AI211" s="647">
        <f>J213-J211+1</f>
        <v>31</v>
      </c>
      <c r="AJ211" s="647"/>
      <c r="AK211" s="647">
        <f>ROUND(AF211/AI211,2)</f>
        <v>6543.45</v>
      </c>
      <c r="AL211" s="647"/>
      <c r="AM211" s="647"/>
    </row>
    <row r="212" spans="1:39" ht="8.4499999999999993" customHeight="1">
      <c r="A212" s="717"/>
      <c r="B212" s="718"/>
      <c r="C212" s="718"/>
      <c r="D212" s="718"/>
      <c r="E212" s="718"/>
      <c r="F212" s="719"/>
      <c r="G212" s="648"/>
      <c r="H212" s="648"/>
      <c r="I212" s="673"/>
      <c r="J212" s="717" t="s">
        <v>69</v>
      </c>
      <c r="K212" s="718"/>
      <c r="L212" s="719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1"/>
      <c r="B213" s="682"/>
      <c r="C213" s="682"/>
      <c r="D213" s="682"/>
      <c r="E213" s="682"/>
      <c r="F213" s="683"/>
      <c r="G213" s="648"/>
      <c r="H213" s="648"/>
      <c r="I213" s="673"/>
      <c r="J213" s="714">
        <f>'Date masura OD'!$J$5</f>
        <v>45808</v>
      </c>
      <c r="K213" s="715"/>
      <c r="L213" s="716"/>
      <c r="M213" s="720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78">
        <f>A211</f>
        <v>1372627968</v>
      </c>
      <c r="B214" s="679"/>
      <c r="C214" s="679"/>
      <c r="D214" s="679"/>
      <c r="E214" s="679"/>
      <c r="F214" s="680"/>
      <c r="G214" s="648" t="s">
        <v>696</v>
      </c>
      <c r="H214" s="648"/>
      <c r="I214" s="648"/>
      <c r="J214" s="655">
        <f t="shared" ref="J214:J219" si="12">J211</f>
        <v>45778</v>
      </c>
      <c r="K214" s="656"/>
      <c r="L214" s="657"/>
      <c r="M214" s="648" t="s">
        <v>720</v>
      </c>
      <c r="N214" s="648"/>
      <c r="O214" s="648">
        <f>O211</f>
        <v>1</v>
      </c>
      <c r="P214" s="648"/>
      <c r="Q214" s="648"/>
      <c r="R214" s="647" t="str">
        <f>U205</f>
        <v>327368 (citit)</v>
      </c>
      <c r="S214" s="647"/>
      <c r="T214" s="647"/>
      <c r="U214" s="647" t="str">
        <f>VLOOKUP(A214,'Incrementare indexe'!$D:$M,8,FALSE)&amp;" (estimat)"</f>
        <v>327368 (estimat)</v>
      </c>
      <c r="V214" s="647"/>
      <c r="W214" s="647"/>
      <c r="X214" s="647" t="str">
        <f>VLOOKUP(A214,'Incrementare indexe'!$D:$Q,12,FALSE)&amp;" (estimat)"</f>
        <v>0 (estimat)</v>
      </c>
      <c r="Y214" s="647"/>
      <c r="Z214" s="647"/>
      <c r="AA214" s="647" t="s">
        <v>69</v>
      </c>
      <c r="AB214" s="647"/>
      <c r="AC214" s="647"/>
      <c r="AD214" s="647" t="s">
        <v>69</v>
      </c>
      <c r="AE214" s="647"/>
      <c r="AF214" s="647">
        <f>VLOOKUP(A214,'Incrementare indexe'!$D:$Q,12,FALSE)</f>
        <v>0</v>
      </c>
      <c r="AG214" s="647"/>
      <c r="AH214" s="647"/>
      <c r="AI214" s="647">
        <f>AI211</f>
        <v>31</v>
      </c>
      <c r="AJ214" s="647"/>
      <c r="AK214" s="647">
        <f>ROUND(AF214/AI214,2)</f>
        <v>0</v>
      </c>
      <c r="AL214" s="647"/>
      <c r="AM214" s="647"/>
    </row>
    <row r="215" spans="1:39" ht="8.4499999999999993" customHeight="1">
      <c r="A215" s="717"/>
      <c r="B215" s="718"/>
      <c r="C215" s="718"/>
      <c r="D215" s="718"/>
      <c r="E215" s="718"/>
      <c r="F215" s="719"/>
      <c r="G215" s="648"/>
      <c r="H215" s="648"/>
      <c r="I215" s="648"/>
      <c r="J215" s="717" t="str">
        <f t="shared" si="12"/>
        <v>-</v>
      </c>
      <c r="K215" s="718"/>
      <c r="L215" s="719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1"/>
      <c r="B216" s="682"/>
      <c r="C216" s="682"/>
      <c r="D216" s="682"/>
      <c r="E216" s="682"/>
      <c r="F216" s="683"/>
      <c r="G216" s="648"/>
      <c r="H216" s="648"/>
      <c r="I216" s="648"/>
      <c r="J216" s="714">
        <f t="shared" si="12"/>
        <v>45808</v>
      </c>
      <c r="K216" s="715"/>
      <c r="L216" s="716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78">
        <f>A214</f>
        <v>1372627968</v>
      </c>
      <c r="B217" s="679"/>
      <c r="C217" s="679"/>
      <c r="D217" s="679"/>
      <c r="E217" s="679"/>
      <c r="F217" s="680"/>
      <c r="G217" s="648" t="s">
        <v>731</v>
      </c>
      <c r="H217" s="648"/>
      <c r="I217" s="648"/>
      <c r="J217" s="655">
        <f t="shared" si="12"/>
        <v>45778</v>
      </c>
      <c r="K217" s="656"/>
      <c r="L217" s="657"/>
      <c r="M217" s="648" t="s">
        <v>720</v>
      </c>
      <c r="N217" s="648"/>
      <c r="O217" s="648">
        <f>O214</f>
        <v>1</v>
      </c>
      <c r="P217" s="648"/>
      <c r="Q217" s="648"/>
      <c r="R217" s="647" t="str">
        <f>U208</f>
        <v>1643 (citit)</v>
      </c>
      <c r="S217" s="647"/>
      <c r="T217" s="647"/>
      <c r="U217" s="647" t="str">
        <f>VLOOKUP(A217,'Incrementare indexe'!$D:$M,10,FALSE)&amp;" (estimat)"</f>
        <v>1643 (estimat)</v>
      </c>
      <c r="V217" s="647"/>
      <c r="W217" s="647"/>
      <c r="X217" s="647" t="str">
        <f>VLOOKUP(A217,'Incrementare indexe'!$D:$Q,13,FALSE)&amp;" (estimat)"</f>
        <v>0 (estimat)</v>
      </c>
      <c r="Y217" s="647"/>
      <c r="Z217" s="647"/>
      <c r="AA217" s="647" t="s">
        <v>69</v>
      </c>
      <c r="AB217" s="647"/>
      <c r="AC217" s="647"/>
      <c r="AD217" s="647" t="s">
        <v>69</v>
      </c>
      <c r="AE217" s="647"/>
      <c r="AF217" s="647">
        <f>VLOOKUP(A217,'Incrementare indexe'!$D:$Q,13,FALSE)</f>
        <v>0</v>
      </c>
      <c r="AG217" s="647"/>
      <c r="AH217" s="647"/>
      <c r="AI217" s="647">
        <f>AI214</f>
        <v>31</v>
      </c>
      <c r="AJ217" s="647"/>
      <c r="AK217" s="647">
        <f>ROUND(AF217/AI217,2)</f>
        <v>0</v>
      </c>
      <c r="AL217" s="647"/>
      <c r="AM217" s="647"/>
    </row>
    <row r="218" spans="1:39" ht="8.4499999999999993" customHeight="1">
      <c r="A218" s="717"/>
      <c r="B218" s="718"/>
      <c r="C218" s="718"/>
      <c r="D218" s="718"/>
      <c r="E218" s="718"/>
      <c r="F218" s="719"/>
      <c r="G218" s="648"/>
      <c r="H218" s="648"/>
      <c r="I218" s="648"/>
      <c r="J218" s="717" t="str">
        <f t="shared" si="12"/>
        <v>-</v>
      </c>
      <c r="K218" s="718"/>
      <c r="L218" s="719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>
      <c r="A219" s="681"/>
      <c r="B219" s="682"/>
      <c r="C219" s="682"/>
      <c r="D219" s="682"/>
      <c r="E219" s="682"/>
      <c r="F219" s="683"/>
      <c r="G219" s="648"/>
      <c r="H219" s="648"/>
      <c r="I219" s="648"/>
      <c r="J219" s="714">
        <f t="shared" si="12"/>
        <v>45808</v>
      </c>
      <c r="K219" s="715"/>
      <c r="L219" s="716"/>
      <c r="M219" s="648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 ht="14.1" customHeight="1"/>
    <row r="240" spans="1:39">
      <c r="A240" s="649" t="s">
        <v>748</v>
      </c>
      <c r="B240" s="649"/>
      <c r="C240" s="649"/>
      <c r="D240" s="649"/>
      <c r="E240" s="649"/>
      <c r="F240" s="649"/>
      <c r="G240" s="649"/>
      <c r="H240" s="649"/>
      <c r="I240" s="649"/>
      <c r="J240" s="649"/>
      <c r="K240" s="649"/>
      <c r="L240" s="649"/>
      <c r="M240" s="650" t="str">
        <f>VLOOKUP(AI241,'Contorizare in SDI'!$E:$I,4,FALSE)</f>
        <v>RO005E513396506/5</v>
      </c>
      <c r="N240" s="650"/>
      <c r="O240" s="650"/>
      <c r="P240" s="650"/>
      <c r="Q240" s="650"/>
      <c r="R240" s="650"/>
      <c r="S240" s="650"/>
      <c r="T240" s="650"/>
      <c r="U240" s="650"/>
      <c r="V240" s="650"/>
      <c r="W240" s="650"/>
      <c r="X240" s="650"/>
      <c r="Y240" s="650"/>
      <c r="Z240" s="650"/>
      <c r="AA240" s="650"/>
      <c r="AB240" s="650"/>
      <c r="AC240" s="650"/>
      <c r="AD240" s="650"/>
      <c r="AE240" s="650"/>
      <c r="AF240" s="650"/>
      <c r="AG240" s="650"/>
      <c r="AH240" s="650"/>
      <c r="AI240" s="650" t="s">
        <v>695</v>
      </c>
      <c r="AJ240" s="650"/>
      <c r="AK240" s="650"/>
      <c r="AL240" s="650"/>
      <c r="AM240" s="650"/>
    </row>
    <row r="241" spans="1:39">
      <c r="A241" s="649" t="s">
        <v>746</v>
      </c>
      <c r="B241" s="649"/>
      <c r="C241" s="649"/>
      <c r="D241" s="649"/>
      <c r="E241" s="649"/>
      <c r="F241" s="649"/>
      <c r="G241" s="649"/>
      <c r="H241" s="649"/>
      <c r="I241" s="649"/>
      <c r="J241" s="649"/>
      <c r="K241" s="649"/>
      <c r="L241" s="649"/>
      <c r="M241" s="650" t="str">
        <f>VLOOKUP(AI241,'Inchidere contur'!$G:$U,15,FALSE)</f>
        <v>MT_SDI</v>
      </c>
      <c r="N241" s="650"/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0"/>
      <c r="Z241" s="650"/>
      <c r="AA241" s="650"/>
      <c r="AB241" s="650"/>
      <c r="AC241" s="650"/>
      <c r="AD241" s="650"/>
      <c r="AE241" s="650"/>
      <c r="AF241" s="650"/>
      <c r="AG241" s="650"/>
      <c r="AH241" s="650"/>
      <c r="AI241" s="619" t="str">
        <f>_xlfn.CONCAT(AA32,".",5)</f>
        <v>RTIM_1.5</v>
      </c>
      <c r="AJ241" s="619"/>
      <c r="AK241" s="619"/>
      <c r="AL241" s="619"/>
      <c r="AM241" s="619"/>
    </row>
    <row r="242" spans="1:39">
      <c r="A242" s="649" t="s">
        <v>747</v>
      </c>
      <c r="B242" s="649"/>
      <c r="C242" s="649"/>
      <c r="D242" s="649"/>
      <c r="E242" s="649"/>
      <c r="F242" s="649"/>
      <c r="G242" s="649"/>
      <c r="H242" s="649"/>
      <c r="I242" s="649"/>
      <c r="J242" s="649"/>
      <c r="K242" s="649"/>
      <c r="L242" s="649"/>
      <c r="M242" s="650" t="str">
        <f>IF(LEFT(M241,2)="JT","0.4kV",IF(LEFT(M241,2)="MT","20kV","-"))</f>
        <v>20kV</v>
      </c>
      <c r="N242" s="650"/>
      <c r="O242" s="650"/>
      <c r="P242" s="650"/>
      <c r="Q242" s="650"/>
      <c r="R242" s="650"/>
      <c r="S242" s="650"/>
      <c r="T242" s="650"/>
      <c r="U242" s="650"/>
      <c r="V242" s="650"/>
      <c r="W242" s="650"/>
      <c r="X242" s="650"/>
      <c r="Y242" s="650"/>
      <c r="Z242" s="650"/>
      <c r="AA242" s="650"/>
      <c r="AB242" s="650"/>
      <c r="AC242" s="650"/>
      <c r="AD242" s="650"/>
      <c r="AE242" s="650"/>
      <c r="AF242" s="650"/>
      <c r="AG242" s="650"/>
      <c r="AH242" s="650"/>
      <c r="AI242" s="619"/>
      <c r="AJ242" s="619"/>
      <c r="AK242" s="619"/>
      <c r="AL242" s="619"/>
      <c r="AM242" s="619"/>
    </row>
    <row r="243" spans="1:39" ht="15.95" customHeight="1">
      <c r="A243" s="648" t="s">
        <v>697</v>
      </c>
      <c r="B243" s="648"/>
      <c r="C243" s="648"/>
      <c r="D243" s="648"/>
      <c r="E243" s="648"/>
      <c r="F243" s="648"/>
      <c r="G243" s="647" t="s">
        <v>713</v>
      </c>
      <c r="H243" s="647"/>
      <c r="I243" s="647"/>
      <c r="J243" s="647" t="s">
        <v>714</v>
      </c>
      <c r="K243" s="647"/>
      <c r="L243" s="647"/>
      <c r="M243" s="648" t="s">
        <v>519</v>
      </c>
      <c r="N243" s="648"/>
      <c r="O243" s="648" t="s">
        <v>715</v>
      </c>
      <c r="P243" s="648"/>
      <c r="Q243" s="648"/>
      <c r="R243" s="647" t="s">
        <v>732</v>
      </c>
      <c r="S243" s="647"/>
      <c r="T243" s="647"/>
      <c r="U243" s="647" t="s">
        <v>734</v>
      </c>
      <c r="V243" s="647"/>
      <c r="W243" s="647"/>
      <c r="X243" s="647" t="s">
        <v>1085</v>
      </c>
      <c r="Y243" s="647"/>
      <c r="Z243" s="647"/>
      <c r="AA243" s="647" t="s">
        <v>1086</v>
      </c>
      <c r="AB243" s="647"/>
      <c r="AC243" s="647"/>
      <c r="AD243" s="647" t="s">
        <v>717</v>
      </c>
      <c r="AE243" s="647"/>
      <c r="AF243" s="647" t="s">
        <v>718</v>
      </c>
      <c r="AG243" s="647"/>
      <c r="AH243" s="647"/>
      <c r="AI243" s="647" t="s">
        <v>719</v>
      </c>
      <c r="AJ243" s="647"/>
      <c r="AK243" s="647" t="s">
        <v>733</v>
      </c>
      <c r="AL243" s="647"/>
      <c r="AM243" s="647"/>
    </row>
    <row r="244" spans="1:39">
      <c r="A244" s="648"/>
      <c r="B244" s="648"/>
      <c r="C244" s="648"/>
      <c r="D244" s="648"/>
      <c r="E244" s="648"/>
      <c r="F244" s="648"/>
      <c r="G244" s="647"/>
      <c r="H244" s="647"/>
      <c r="I244" s="647"/>
      <c r="J244" s="647"/>
      <c r="K244" s="647"/>
      <c r="L244" s="647"/>
      <c r="M244" s="648"/>
      <c r="N244" s="648"/>
      <c r="O244" s="648"/>
      <c r="P244" s="648"/>
      <c r="Q244" s="648"/>
      <c r="R244" s="647"/>
      <c r="S244" s="647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</row>
    <row r="245" spans="1:39">
      <c r="A245" s="648"/>
      <c r="B245" s="648"/>
      <c r="C245" s="648"/>
      <c r="D245" s="648"/>
      <c r="E245" s="648"/>
      <c r="F245" s="648"/>
      <c r="G245" s="647"/>
      <c r="H245" s="647"/>
      <c r="I245" s="647"/>
      <c r="J245" s="713"/>
      <c r="K245" s="713"/>
      <c r="L245" s="713"/>
      <c r="M245" s="648"/>
      <c r="N245" s="648"/>
      <c r="O245" s="648"/>
      <c r="P245" s="648"/>
      <c r="Q245" s="648"/>
      <c r="R245" s="647"/>
      <c r="S245" s="647"/>
      <c r="T245" s="647"/>
      <c r="U245" s="647"/>
      <c r="V245" s="647"/>
      <c r="W245" s="647"/>
      <c r="X245" s="647"/>
      <c r="Y245" s="647"/>
      <c r="Z245" s="647"/>
      <c r="AA245" s="647"/>
      <c r="AB245" s="647"/>
      <c r="AC245" s="647"/>
      <c r="AD245" s="647"/>
      <c r="AE245" s="647"/>
      <c r="AF245" s="647"/>
      <c r="AG245" s="647"/>
      <c r="AH245" s="647"/>
      <c r="AI245" s="647"/>
      <c r="AJ245" s="647"/>
      <c r="AK245" s="647"/>
      <c r="AL245" s="647"/>
      <c r="AM245" s="647"/>
    </row>
    <row r="246" spans="1:39" ht="14.1" customHeight="1">
      <c r="A246" s="678" t="str">
        <f>VLOOKUP(AI241,'Contorizare in SDI'!$E:$I,5,FALSE)</f>
        <v>02680111</v>
      </c>
      <c r="B246" s="679"/>
      <c r="C246" s="679"/>
      <c r="D246" s="679"/>
      <c r="E246" s="679"/>
      <c r="F246" s="680"/>
      <c r="G246" s="648" t="s">
        <v>730</v>
      </c>
      <c r="H246" s="648"/>
      <c r="I246" s="673"/>
      <c r="J246" s="655">
        <f>'Date masura OD'!$AK$5</f>
        <v>45748</v>
      </c>
      <c r="K246" s="656"/>
      <c r="L246" s="657"/>
      <c r="M246" s="720" t="s">
        <v>446</v>
      </c>
      <c r="N246" s="648"/>
      <c r="O246" s="648">
        <f>VLOOKUP(AI241,'Incrementare indexe'!$B:$T,4,FALSE)</f>
        <v>1</v>
      </c>
      <c r="P246" s="648"/>
      <c r="Q246" s="648"/>
      <c r="R246" s="647" t="str">
        <f>VLOOKUP(A246,Regularizare!$D:$YN,3,FALSE)&amp;" ("&amp;VLOOKUP(A246,Regularizare!$D:$Y,11,FALSE)&amp;")"</f>
        <v>0 (citit)</v>
      </c>
      <c r="S246" s="647"/>
      <c r="T246" s="647"/>
      <c r="U246" s="647" t="str">
        <f>VLOOKUP(A246,Regularizare!$D:$U,4,FALSE)&amp;" ("&amp;VLOOKUP(A246,Regularizare!$D:$U,12,FALSE)&amp;")"</f>
        <v>0 (estimat)</v>
      </c>
      <c r="V246" s="647"/>
      <c r="W246" s="647"/>
      <c r="X246" s="647" t="str">
        <f>VLOOKUP(A246,Regularizare!$D:$Y,19,FALSE)&amp;" ("&amp;VLOOKUP(A246,Regularizare!$D:$U,12,FALSE)&amp;")"</f>
        <v>0 (estimat)</v>
      </c>
      <c r="Y246" s="647"/>
      <c r="Z246" s="647"/>
      <c r="AA246" s="647">
        <f>(-1)*VLOOKUP(A246,Regularizare!$D:$Y,19,FALSE)</f>
        <v>0</v>
      </c>
      <c r="AB246" s="647"/>
      <c r="AC246" s="647"/>
      <c r="AD246" s="647" t="s">
        <v>69</v>
      </c>
      <c r="AE246" s="647"/>
      <c r="AF246" s="647">
        <f>AA246</f>
        <v>0</v>
      </c>
      <c r="AG246" s="647"/>
      <c r="AH246" s="647"/>
      <c r="AI246" s="647" t="s">
        <v>69</v>
      </c>
      <c r="AJ246" s="647"/>
      <c r="AK246" s="647" t="s">
        <v>69</v>
      </c>
      <c r="AL246" s="647"/>
      <c r="AM246" s="647"/>
    </row>
    <row r="247" spans="1:39" ht="9.75" customHeight="1">
      <c r="A247" s="717"/>
      <c r="B247" s="718"/>
      <c r="C247" s="718"/>
      <c r="D247" s="718"/>
      <c r="E247" s="718"/>
      <c r="F247" s="719"/>
      <c r="G247" s="648"/>
      <c r="H247" s="648"/>
      <c r="I247" s="673"/>
      <c r="J247" s="717" t="s">
        <v>69</v>
      </c>
      <c r="K247" s="718"/>
      <c r="L247" s="719"/>
      <c r="M247" s="720"/>
      <c r="N247" s="648"/>
      <c r="O247" s="648"/>
      <c r="P247" s="648"/>
      <c r="Q247" s="648"/>
      <c r="R247" s="647"/>
      <c r="S247" s="647"/>
      <c r="T247" s="647"/>
      <c r="U247" s="647"/>
      <c r="V247" s="647"/>
      <c r="W247" s="647"/>
      <c r="X247" s="647"/>
      <c r="Y247" s="647"/>
      <c r="Z247" s="647"/>
      <c r="AA247" s="647"/>
      <c r="AB247" s="647"/>
      <c r="AC247" s="647"/>
      <c r="AD247" s="647"/>
      <c r="AE247" s="647"/>
      <c r="AF247" s="647"/>
      <c r="AG247" s="647"/>
      <c r="AH247" s="647"/>
      <c r="AI247" s="647"/>
      <c r="AJ247" s="647"/>
      <c r="AK247" s="647"/>
      <c r="AL247" s="647"/>
      <c r="AM247" s="647"/>
    </row>
    <row r="248" spans="1:39" ht="14.1" customHeight="1">
      <c r="A248" s="681"/>
      <c r="B248" s="682"/>
      <c r="C248" s="682"/>
      <c r="D248" s="682"/>
      <c r="E248" s="682"/>
      <c r="F248" s="683"/>
      <c r="G248" s="648"/>
      <c r="H248" s="648"/>
      <c r="I248" s="673"/>
      <c r="J248" s="714">
        <f>'Date masura OD'!$AL$5</f>
        <v>45777</v>
      </c>
      <c r="K248" s="715"/>
      <c r="L248" s="716"/>
      <c r="M248" s="720"/>
      <c r="N248" s="648"/>
      <c r="O248" s="648"/>
      <c r="P248" s="648"/>
      <c r="Q248" s="648"/>
      <c r="R248" s="647"/>
      <c r="S248" s="647"/>
      <c r="T248" s="647"/>
      <c r="U248" s="647"/>
      <c r="V248" s="647"/>
      <c r="W248" s="647"/>
      <c r="X248" s="647"/>
      <c r="Y248" s="647"/>
      <c r="Z248" s="647"/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</row>
    <row r="249" spans="1:39" ht="14.1" customHeight="1">
      <c r="A249" s="678" t="str">
        <f>A246</f>
        <v>02680111</v>
      </c>
      <c r="B249" s="679"/>
      <c r="C249" s="679"/>
      <c r="D249" s="679"/>
      <c r="E249" s="679"/>
      <c r="F249" s="680"/>
      <c r="G249" s="648" t="s">
        <v>696</v>
      </c>
      <c r="H249" s="648"/>
      <c r="I249" s="648"/>
      <c r="J249" s="655">
        <f t="shared" ref="J249:J254" si="13">J246</f>
        <v>45748</v>
      </c>
      <c r="K249" s="656"/>
      <c r="L249" s="657"/>
      <c r="M249" s="648" t="s">
        <v>720</v>
      </c>
      <c r="N249" s="648"/>
      <c r="O249" s="648">
        <f>O246</f>
        <v>1</v>
      </c>
      <c r="P249" s="648"/>
      <c r="Q249" s="648"/>
      <c r="R249" s="647" t="str">
        <f>VLOOKUP(A249,Regularizare!$D:$U,7,FALSE)&amp;" ("&amp;VLOOKUP(A249,Regularizare!$D:$U,15,FALSE)&amp;")"</f>
        <v>234174 (citit)</v>
      </c>
      <c r="S249" s="647"/>
      <c r="T249" s="647"/>
      <c r="U249" s="647" t="str">
        <f>VLOOKUP(A249,Regularizare!$D:$U,8,FALSE)&amp;" ("&amp;VLOOKUP(A249,Regularizare!$D:$U,16,FALSE)&amp;")"</f>
        <v>234174 (estimat)</v>
      </c>
      <c r="V249" s="647"/>
      <c r="W249" s="647"/>
      <c r="X249" s="647" t="str">
        <f>_xlfn.CONCAT(VLOOKUP(A249,Regularizare!$D:$U,8,FALSE)-VLOOKUP(A249,Regularizare!$D:$U,7,FALSE)," (",VLOOKUP(A249,Regularizare!$D:$U,16,FALSE),")")</f>
        <v>0 (estimat)</v>
      </c>
      <c r="Y249" s="647"/>
      <c r="Z249" s="647"/>
      <c r="AA249" s="647">
        <f>IF(VLOOKUP(A249,Regularizare!$D:$Y,21,FALSE)=0,VLOOKUP(A249,Regularizare!$D:$Y,21,FALSE),(-1)*VLOOKUP(A249,Regularizare!$D:$Y,21,FALSE))</f>
        <v>0</v>
      </c>
      <c r="AB249" s="647"/>
      <c r="AC249" s="647"/>
      <c r="AD249" s="647" t="s">
        <v>69</v>
      </c>
      <c r="AE249" s="647"/>
      <c r="AF249" s="647">
        <f>AA249</f>
        <v>0</v>
      </c>
      <c r="AG249" s="647"/>
      <c r="AH249" s="647"/>
      <c r="AI249" s="647" t="str">
        <f>AI246</f>
        <v>-</v>
      </c>
      <c r="AJ249" s="647"/>
      <c r="AK249" s="647" t="str">
        <f>AK246</f>
        <v>-</v>
      </c>
      <c r="AL249" s="647"/>
      <c r="AM249" s="647"/>
    </row>
    <row r="250" spans="1:39" ht="8.4499999999999993" customHeight="1">
      <c r="A250" s="717"/>
      <c r="B250" s="718"/>
      <c r="C250" s="718"/>
      <c r="D250" s="718"/>
      <c r="E250" s="718"/>
      <c r="F250" s="719"/>
      <c r="G250" s="648"/>
      <c r="H250" s="648"/>
      <c r="I250" s="648"/>
      <c r="J250" s="717" t="str">
        <f t="shared" si="13"/>
        <v>-</v>
      </c>
      <c r="K250" s="718"/>
      <c r="L250" s="719"/>
      <c r="M250" s="648"/>
      <c r="N250" s="648"/>
      <c r="O250" s="648"/>
      <c r="P250" s="648"/>
      <c r="Q250" s="648"/>
      <c r="R250" s="647"/>
      <c r="S250" s="647"/>
      <c r="T250" s="647"/>
      <c r="U250" s="647"/>
      <c r="V250" s="647"/>
      <c r="W250" s="647"/>
      <c r="X250" s="647"/>
      <c r="Y250" s="647"/>
      <c r="Z250" s="647"/>
      <c r="AA250" s="647"/>
      <c r="AB250" s="647"/>
      <c r="AC250" s="647"/>
      <c r="AD250" s="647"/>
      <c r="AE250" s="647"/>
      <c r="AF250" s="647"/>
      <c r="AG250" s="647"/>
      <c r="AH250" s="647"/>
      <c r="AI250" s="647"/>
      <c r="AJ250" s="647"/>
      <c r="AK250" s="647"/>
      <c r="AL250" s="647"/>
      <c r="AM250" s="647"/>
    </row>
    <row r="251" spans="1:39" ht="14.1" customHeight="1">
      <c r="A251" s="681"/>
      <c r="B251" s="682"/>
      <c r="C251" s="682"/>
      <c r="D251" s="682"/>
      <c r="E251" s="682"/>
      <c r="F251" s="683"/>
      <c r="G251" s="648"/>
      <c r="H251" s="648"/>
      <c r="I251" s="648"/>
      <c r="J251" s="714">
        <f t="shared" si="13"/>
        <v>45777</v>
      </c>
      <c r="K251" s="715"/>
      <c r="L251" s="716"/>
      <c r="M251" s="648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78" t="str">
        <f>A249</f>
        <v>02680111</v>
      </c>
      <c r="B252" s="679"/>
      <c r="C252" s="679"/>
      <c r="D252" s="679"/>
      <c r="E252" s="679"/>
      <c r="F252" s="680"/>
      <c r="G252" s="648" t="s">
        <v>731</v>
      </c>
      <c r="H252" s="648"/>
      <c r="I252" s="648"/>
      <c r="J252" s="655">
        <f t="shared" si="13"/>
        <v>45748</v>
      </c>
      <c r="K252" s="656"/>
      <c r="L252" s="657"/>
      <c r="M252" s="648" t="s">
        <v>720</v>
      </c>
      <c r="N252" s="648"/>
      <c r="O252" s="648">
        <f>O249</f>
        <v>1</v>
      </c>
      <c r="P252" s="648"/>
      <c r="Q252" s="648"/>
      <c r="R252" s="647" t="str">
        <f>VLOOKUP(A252,Regularizare!$D:$U,9,FALSE)&amp;" ("&amp;VLOOKUP(A252,Regularizare!$D:$U,17,FALSE)&amp;")"</f>
        <v>1684 (citit)</v>
      </c>
      <c r="S252" s="647"/>
      <c r="T252" s="647"/>
      <c r="U252" s="647" t="str">
        <f>VLOOKUP(A252,Regularizare!$D:$U,10,FALSE)&amp;" ("&amp;VLOOKUP(A252,Regularizare!$D:$U,18,FALSE)&amp;")"</f>
        <v>1684 (estimat)</v>
      </c>
      <c r="V252" s="647"/>
      <c r="W252" s="647"/>
      <c r="X252" s="647" t="str">
        <f>_xlfn.CONCAT(VLOOKUP(A252,Regularizare!$D:$U,10,FALSE)-VLOOKUP(A252,Regularizare!$D:$U,9,FALSE)," (",VLOOKUP(A252,Regularizare!$D:$U,18,FALSE),")")</f>
        <v>0 (estimat)</v>
      </c>
      <c r="Y252" s="647"/>
      <c r="Z252" s="647"/>
      <c r="AA252" s="647">
        <f>IF(VLOOKUP(A252,Regularizare!$D:$Y,22,FALSE)=0,VLOOKUP(A252,Regularizare!$D:$Y,22,FALSE),(-1)*VLOOKUP(A252,Regularizare!$D:$Y,22,FALSE))</f>
        <v>0</v>
      </c>
      <c r="AB252" s="647"/>
      <c r="AC252" s="647"/>
      <c r="AD252" s="647" t="s">
        <v>69</v>
      </c>
      <c r="AE252" s="647"/>
      <c r="AF252" s="647">
        <f>AA252</f>
        <v>0</v>
      </c>
      <c r="AG252" s="647"/>
      <c r="AH252" s="647"/>
      <c r="AI252" s="647" t="str">
        <f>AI249</f>
        <v>-</v>
      </c>
      <c r="AJ252" s="647"/>
      <c r="AK252" s="647" t="str">
        <f>AK249</f>
        <v>-</v>
      </c>
      <c r="AL252" s="647"/>
      <c r="AM252" s="647"/>
    </row>
    <row r="253" spans="1:39" ht="8.4499999999999993" customHeight="1">
      <c r="A253" s="717"/>
      <c r="B253" s="718"/>
      <c r="C253" s="718"/>
      <c r="D253" s="718"/>
      <c r="E253" s="718"/>
      <c r="F253" s="719"/>
      <c r="G253" s="648"/>
      <c r="H253" s="648"/>
      <c r="I253" s="648"/>
      <c r="J253" s="717" t="str">
        <f t="shared" si="13"/>
        <v>-</v>
      </c>
      <c r="K253" s="718"/>
      <c r="L253" s="719"/>
      <c r="M253" s="648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81"/>
      <c r="B254" s="682"/>
      <c r="C254" s="682"/>
      <c r="D254" s="682"/>
      <c r="E254" s="682"/>
      <c r="F254" s="683"/>
      <c r="G254" s="648"/>
      <c r="H254" s="648"/>
      <c r="I254" s="648"/>
      <c r="J254" s="714">
        <f t="shared" si="13"/>
        <v>45777</v>
      </c>
      <c r="K254" s="715"/>
      <c r="L254" s="716"/>
      <c r="M254" s="648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78" t="str">
        <f>A252</f>
        <v>02680111</v>
      </c>
      <c r="B255" s="679"/>
      <c r="C255" s="679"/>
      <c r="D255" s="679"/>
      <c r="E255" s="679"/>
      <c r="F255" s="680"/>
      <c r="G255" s="648" t="s">
        <v>730</v>
      </c>
      <c r="H255" s="648"/>
      <c r="I255" s="673"/>
      <c r="J255" s="655">
        <f>'Date masura OD'!$AK$5</f>
        <v>45748</v>
      </c>
      <c r="K255" s="656"/>
      <c r="L255" s="657"/>
      <c r="M255" s="720" t="s">
        <v>446</v>
      </c>
      <c r="N255" s="648"/>
      <c r="O255" s="648">
        <f>O252</f>
        <v>1</v>
      </c>
      <c r="P255" s="648"/>
      <c r="Q255" s="648"/>
      <c r="R255" s="647" t="str">
        <f>VLOOKUP(A255,Regularizare!$D:$AX,23,FALSE)&amp;" ("&amp;VLOOKUP(A255,Regularizare!$D:$AX,24,FALSE)&amp;")"</f>
        <v>0 (citit)</v>
      </c>
      <c r="S255" s="647"/>
      <c r="T255" s="647"/>
      <c r="U255" s="647" t="str">
        <f>VLOOKUP(A255,Regularizare!$D:$AX,25,FALSE)&amp;" ("&amp;VLOOKUP(A255,Regularizare!$D:$AX,26,FALSE)&amp;")"</f>
        <v>0 (citit)</v>
      </c>
      <c r="V255" s="647"/>
      <c r="W255" s="647"/>
      <c r="X255" s="647" t="str">
        <f>VLOOKUP(A255,Regularizare!$D:$AX,37,FALSE)&amp;" ("&amp;VLOOKUP(A255,Regularizare!$D:$AX,26,FALSE)&amp;")"</f>
        <v>0 (citit)</v>
      </c>
      <c r="Y255" s="647"/>
      <c r="Z255" s="647"/>
      <c r="AA255" s="647">
        <f>VLOOKUP(A255,Regularizare!$D:$AX,37,FALSE)</f>
        <v>0</v>
      </c>
      <c r="AB255" s="647"/>
      <c r="AC255" s="647"/>
      <c r="AD255" s="647" t="s">
        <v>69</v>
      </c>
      <c r="AE255" s="647"/>
      <c r="AF255" s="647">
        <f>AA255</f>
        <v>0</v>
      </c>
      <c r="AG255" s="647"/>
      <c r="AH255" s="647"/>
      <c r="AI255" s="647" t="str">
        <f>AI252</f>
        <v>-</v>
      </c>
      <c r="AJ255" s="647"/>
      <c r="AK255" s="647" t="str">
        <f>AK252</f>
        <v>-</v>
      </c>
      <c r="AL255" s="647"/>
      <c r="AM255" s="647"/>
    </row>
    <row r="256" spans="1:39" ht="8.4499999999999993" customHeight="1">
      <c r="A256" s="717"/>
      <c r="B256" s="718"/>
      <c r="C256" s="718"/>
      <c r="D256" s="718"/>
      <c r="E256" s="718"/>
      <c r="F256" s="719"/>
      <c r="G256" s="648"/>
      <c r="H256" s="648"/>
      <c r="I256" s="673"/>
      <c r="J256" s="717" t="s">
        <v>69</v>
      </c>
      <c r="K256" s="718"/>
      <c r="L256" s="719"/>
      <c r="M256" s="720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1"/>
      <c r="B257" s="682"/>
      <c r="C257" s="682"/>
      <c r="D257" s="682"/>
      <c r="E257" s="682"/>
      <c r="F257" s="683"/>
      <c r="G257" s="648"/>
      <c r="H257" s="648"/>
      <c r="I257" s="673"/>
      <c r="J257" s="714">
        <f>'Date masura OD'!$AL$5</f>
        <v>45777</v>
      </c>
      <c r="K257" s="715"/>
      <c r="L257" s="716"/>
      <c r="M257" s="720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78" t="str">
        <f>A255</f>
        <v>02680111</v>
      </c>
      <c r="B258" s="679"/>
      <c r="C258" s="679"/>
      <c r="D258" s="679"/>
      <c r="E258" s="679"/>
      <c r="F258" s="680"/>
      <c r="G258" s="648" t="s">
        <v>696</v>
      </c>
      <c r="H258" s="648"/>
      <c r="I258" s="648"/>
      <c r="J258" s="655">
        <f t="shared" ref="J258:J263" si="14">J255</f>
        <v>45748</v>
      </c>
      <c r="K258" s="656"/>
      <c r="L258" s="657"/>
      <c r="M258" s="648" t="s">
        <v>720</v>
      </c>
      <c r="N258" s="648"/>
      <c r="O258" s="648">
        <f>O255</f>
        <v>1</v>
      </c>
      <c r="P258" s="648"/>
      <c r="Q258" s="648"/>
      <c r="R258" s="647" t="str">
        <f>VLOOKUP(A258,Regularizare!$D:$AX,29,FALSE)&amp;" ("&amp;VLOOKUP(A258,Regularizare!$D:$AX,30,FALSE)&amp;")"</f>
        <v>234174 (citit)</v>
      </c>
      <c r="S258" s="647"/>
      <c r="T258" s="647"/>
      <c r="U258" s="647" t="str">
        <f>VLOOKUP(A258,Regularizare!$D:$AX,31,FALSE)&amp;" ("&amp;VLOOKUP(A258,Regularizare!$D:$AX,32,FALSE)&amp;")"</f>
        <v>234174 (citit)</v>
      </c>
      <c r="V258" s="647"/>
      <c r="W258" s="647"/>
      <c r="X258" s="647" t="str">
        <f>VLOOKUP(A258,Regularizare!$D:$AX,39,FALSE)&amp;" ("&amp;VLOOKUP(A258,Regularizare!$D:$AX,32,FALSE)&amp;")"</f>
        <v>0 (citit)</v>
      </c>
      <c r="Y258" s="647"/>
      <c r="Z258" s="647"/>
      <c r="AA258" s="647">
        <f>VLOOKUP(A258,Regularizare!$D:$AX,44,FALSE)+VLOOKUP(A258,Regularizare!$D:$AX,45,FALSE)</f>
        <v>0</v>
      </c>
      <c r="AB258" s="647"/>
      <c r="AC258" s="647"/>
      <c r="AD258" s="647" t="s">
        <v>69</v>
      </c>
      <c r="AE258" s="647"/>
      <c r="AF258" s="647">
        <f>AA258</f>
        <v>0</v>
      </c>
      <c r="AG258" s="647"/>
      <c r="AH258" s="647"/>
      <c r="AI258" s="647" t="str">
        <f>AI255</f>
        <v>-</v>
      </c>
      <c r="AJ258" s="647"/>
      <c r="AK258" s="647" t="str">
        <f>AK255</f>
        <v>-</v>
      </c>
      <c r="AL258" s="647"/>
      <c r="AM258" s="647"/>
    </row>
    <row r="259" spans="1:39" ht="8.4499999999999993" customHeight="1">
      <c r="A259" s="717"/>
      <c r="B259" s="718"/>
      <c r="C259" s="718"/>
      <c r="D259" s="718"/>
      <c r="E259" s="718"/>
      <c r="F259" s="719"/>
      <c r="G259" s="648"/>
      <c r="H259" s="648"/>
      <c r="I259" s="648"/>
      <c r="J259" s="717" t="str">
        <f t="shared" si="14"/>
        <v>-</v>
      </c>
      <c r="K259" s="718"/>
      <c r="L259" s="719"/>
      <c r="M259" s="648"/>
      <c r="N259" s="648"/>
      <c r="O259" s="648"/>
      <c r="P259" s="648"/>
      <c r="Q259" s="648"/>
      <c r="R259" s="647"/>
      <c r="S259" s="647"/>
      <c r="T259" s="647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1"/>
      <c r="B260" s="682"/>
      <c r="C260" s="682"/>
      <c r="D260" s="682"/>
      <c r="E260" s="682"/>
      <c r="F260" s="683"/>
      <c r="G260" s="648"/>
      <c r="H260" s="648"/>
      <c r="I260" s="648"/>
      <c r="J260" s="714">
        <f t="shared" si="14"/>
        <v>45777</v>
      </c>
      <c r="K260" s="715"/>
      <c r="L260" s="716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78" t="str">
        <f>A258</f>
        <v>02680111</v>
      </c>
      <c r="B261" s="679"/>
      <c r="C261" s="679"/>
      <c r="D261" s="679"/>
      <c r="E261" s="679"/>
      <c r="F261" s="680"/>
      <c r="G261" s="648" t="s">
        <v>731</v>
      </c>
      <c r="H261" s="648"/>
      <c r="I261" s="648"/>
      <c r="J261" s="655">
        <f t="shared" si="14"/>
        <v>45748</v>
      </c>
      <c r="K261" s="656"/>
      <c r="L261" s="657"/>
      <c r="M261" s="648" t="s">
        <v>720</v>
      </c>
      <c r="N261" s="648"/>
      <c r="O261" s="648">
        <f>O258</f>
        <v>1</v>
      </c>
      <c r="P261" s="648"/>
      <c r="Q261" s="648"/>
      <c r="R261" s="647" t="str">
        <f>VLOOKUP(A261,Regularizare!$D:$AX,33,FALSE)&amp;" ("&amp;VLOOKUP(A261,Regularizare!$D:$AX,34,FALSE)&amp;")"</f>
        <v>1684 (citit)</v>
      </c>
      <c r="S261" s="647"/>
      <c r="T261" s="647"/>
      <c r="U261" s="647" t="str">
        <f>VLOOKUP(A261,Regularizare!$D:$AX,35,FALSE)&amp;" ("&amp;VLOOKUP(A261,Regularizare!$D:$AX,36,FALSE)&amp;")"</f>
        <v>1684 (citit)</v>
      </c>
      <c r="V261" s="647"/>
      <c r="W261" s="647"/>
      <c r="X261" s="647" t="str">
        <f>VLOOKUP(A261,Regularizare!$D:$AX,40,FALSE)&amp;" ("&amp;VLOOKUP(A261,Regularizare!$D:$AX,36,FALSE)&amp;")"</f>
        <v>0 (citit)</v>
      </c>
      <c r="Y261" s="647"/>
      <c r="Z261" s="647"/>
      <c r="AA261" s="647">
        <f>VLOOKUP(A261,Regularizare!$D:$AX,46,FALSE)+VLOOKUP(A261,Regularizare!$D:$AX,47,FALSE)</f>
        <v>0</v>
      </c>
      <c r="AB261" s="647"/>
      <c r="AC261" s="647"/>
      <c r="AD261" s="647" t="s">
        <v>69</v>
      </c>
      <c r="AE261" s="647"/>
      <c r="AF261" s="647">
        <f>AA261</f>
        <v>0</v>
      </c>
      <c r="AG261" s="647"/>
      <c r="AH261" s="647"/>
      <c r="AI261" s="647" t="str">
        <f>AI258</f>
        <v>-</v>
      </c>
      <c r="AJ261" s="647"/>
      <c r="AK261" s="647" t="str">
        <f>AK258</f>
        <v>-</v>
      </c>
      <c r="AL261" s="647"/>
      <c r="AM261" s="647"/>
    </row>
    <row r="262" spans="1:39" ht="8.4499999999999993" customHeight="1">
      <c r="A262" s="717"/>
      <c r="B262" s="718"/>
      <c r="C262" s="718"/>
      <c r="D262" s="718"/>
      <c r="E262" s="718"/>
      <c r="F262" s="719"/>
      <c r="G262" s="648"/>
      <c r="H262" s="648"/>
      <c r="I262" s="648"/>
      <c r="J262" s="717" t="str">
        <f t="shared" si="14"/>
        <v>-</v>
      </c>
      <c r="K262" s="718"/>
      <c r="L262" s="719"/>
      <c r="M262" s="648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1"/>
      <c r="B263" s="682"/>
      <c r="C263" s="682"/>
      <c r="D263" s="682"/>
      <c r="E263" s="682"/>
      <c r="F263" s="683"/>
      <c r="G263" s="648"/>
      <c r="H263" s="648"/>
      <c r="I263" s="648"/>
      <c r="J263" s="714">
        <f t="shared" si="14"/>
        <v>45777</v>
      </c>
      <c r="K263" s="715"/>
      <c r="L263" s="716"/>
      <c r="M263" s="648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78" t="str">
        <f>A261</f>
        <v>02680111</v>
      </c>
      <c r="B264" s="679"/>
      <c r="C264" s="679"/>
      <c r="D264" s="679"/>
      <c r="E264" s="679"/>
      <c r="F264" s="680"/>
      <c r="G264" s="648" t="s">
        <v>730</v>
      </c>
      <c r="H264" s="648"/>
      <c r="I264" s="673"/>
      <c r="J264" s="655">
        <f>'Date masura OD'!$I$5</f>
        <v>45778</v>
      </c>
      <c r="K264" s="656"/>
      <c r="L264" s="657"/>
      <c r="M264" s="720" t="s">
        <v>446</v>
      </c>
      <c r="N264" s="648"/>
      <c r="O264" s="648">
        <f>O261</f>
        <v>1</v>
      </c>
      <c r="P264" s="648"/>
      <c r="Q264" s="648"/>
      <c r="R264" s="647" t="str">
        <f>U255</f>
        <v>0 (citit)</v>
      </c>
      <c r="S264" s="647"/>
      <c r="T264" s="647"/>
      <c r="U264" s="647" t="str">
        <f>VLOOKUP(A264,'Incrementare indexe'!$D:$M,4,FALSE)&amp;" (estimat)"</f>
        <v>0 (estimat)</v>
      </c>
      <c r="V264" s="647"/>
      <c r="W264" s="647"/>
      <c r="X264" s="647" t="str">
        <f>VLOOKUP(A264,'Incrementare indexe'!$D:$Q,11,FALSE)&amp;" (estimat)"</f>
        <v>0 (estimat)</v>
      </c>
      <c r="Y264" s="647"/>
      <c r="Z264" s="647"/>
      <c r="AA264" s="647" t="s">
        <v>69</v>
      </c>
      <c r="AB264" s="647"/>
      <c r="AC264" s="647"/>
      <c r="AD264" s="647" t="s">
        <v>69</v>
      </c>
      <c r="AE264" s="647"/>
      <c r="AF264" s="647">
        <f>VLOOKUP(A264,'Incrementare indexe'!$D:$Q,11,FALSE)</f>
        <v>0</v>
      </c>
      <c r="AG264" s="647"/>
      <c r="AH264" s="647"/>
      <c r="AI264" s="647">
        <f>J266-J264+1</f>
        <v>31</v>
      </c>
      <c r="AJ264" s="647"/>
      <c r="AK264" s="647">
        <f>ROUND(AF264/AI264,2)</f>
        <v>0</v>
      </c>
      <c r="AL264" s="647"/>
      <c r="AM264" s="647"/>
    </row>
    <row r="265" spans="1:39" ht="8.4499999999999993" customHeight="1">
      <c r="A265" s="717"/>
      <c r="B265" s="718"/>
      <c r="C265" s="718"/>
      <c r="D265" s="718"/>
      <c r="E265" s="718"/>
      <c r="F265" s="719"/>
      <c r="G265" s="648"/>
      <c r="H265" s="648"/>
      <c r="I265" s="673"/>
      <c r="J265" s="717" t="s">
        <v>69</v>
      </c>
      <c r="K265" s="718"/>
      <c r="L265" s="719"/>
      <c r="M265" s="720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1"/>
      <c r="B266" s="682"/>
      <c r="C266" s="682"/>
      <c r="D266" s="682"/>
      <c r="E266" s="682"/>
      <c r="F266" s="683"/>
      <c r="G266" s="648"/>
      <c r="H266" s="648"/>
      <c r="I266" s="673"/>
      <c r="J266" s="714">
        <f>'Date masura OD'!$J$5</f>
        <v>45808</v>
      </c>
      <c r="K266" s="715"/>
      <c r="L266" s="716"/>
      <c r="M266" s="720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78" t="str">
        <f>A264</f>
        <v>02680111</v>
      </c>
      <c r="B267" s="679"/>
      <c r="C267" s="679"/>
      <c r="D267" s="679"/>
      <c r="E267" s="679"/>
      <c r="F267" s="680"/>
      <c r="G267" s="648" t="s">
        <v>696</v>
      </c>
      <c r="H267" s="648"/>
      <c r="I267" s="648"/>
      <c r="J267" s="655">
        <f t="shared" ref="J267:J272" si="15">J264</f>
        <v>45778</v>
      </c>
      <c r="K267" s="656"/>
      <c r="L267" s="657"/>
      <c r="M267" s="648" t="s">
        <v>720</v>
      </c>
      <c r="N267" s="648"/>
      <c r="O267" s="648">
        <f>O264</f>
        <v>1</v>
      </c>
      <c r="P267" s="648"/>
      <c r="Q267" s="648"/>
      <c r="R267" s="647" t="str">
        <f>U258</f>
        <v>234174 (citit)</v>
      </c>
      <c r="S267" s="647"/>
      <c r="T267" s="647"/>
      <c r="U267" s="647" t="str">
        <f>VLOOKUP(A267,'Incrementare indexe'!$D:$M,8,FALSE)&amp;" (estimat)"</f>
        <v>234174 (estimat)</v>
      </c>
      <c r="V267" s="647"/>
      <c r="W267" s="647"/>
      <c r="X267" s="647" t="str">
        <f>VLOOKUP(A267,'Incrementare indexe'!$D:$Q,12,FALSE)&amp;" (estimat)"</f>
        <v>0 (estimat)</v>
      </c>
      <c r="Y267" s="647"/>
      <c r="Z267" s="647"/>
      <c r="AA267" s="647" t="s">
        <v>69</v>
      </c>
      <c r="AB267" s="647"/>
      <c r="AC267" s="647"/>
      <c r="AD267" s="647" t="s">
        <v>69</v>
      </c>
      <c r="AE267" s="647"/>
      <c r="AF267" s="647">
        <f>VLOOKUP(A267,'Incrementare indexe'!$D:$Q,12,FALSE)</f>
        <v>0</v>
      </c>
      <c r="AG267" s="647"/>
      <c r="AH267" s="647"/>
      <c r="AI267" s="647">
        <f>AI264</f>
        <v>31</v>
      </c>
      <c r="AJ267" s="647"/>
      <c r="AK267" s="647">
        <f>ROUND(AF267/AI267,2)</f>
        <v>0</v>
      </c>
      <c r="AL267" s="647"/>
      <c r="AM267" s="647"/>
    </row>
    <row r="268" spans="1:39" ht="8.4499999999999993" customHeight="1">
      <c r="A268" s="717"/>
      <c r="B268" s="718"/>
      <c r="C268" s="718"/>
      <c r="D268" s="718"/>
      <c r="E268" s="718"/>
      <c r="F268" s="719"/>
      <c r="G268" s="648"/>
      <c r="H268" s="648"/>
      <c r="I268" s="648"/>
      <c r="J268" s="717" t="str">
        <f t="shared" si="15"/>
        <v>-</v>
      </c>
      <c r="K268" s="718"/>
      <c r="L268" s="719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1"/>
      <c r="B269" s="682"/>
      <c r="C269" s="682"/>
      <c r="D269" s="682"/>
      <c r="E269" s="682"/>
      <c r="F269" s="683"/>
      <c r="G269" s="648"/>
      <c r="H269" s="648"/>
      <c r="I269" s="648"/>
      <c r="J269" s="714">
        <f t="shared" si="15"/>
        <v>45808</v>
      </c>
      <c r="K269" s="715"/>
      <c r="L269" s="716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78" t="str">
        <f>A267</f>
        <v>02680111</v>
      </c>
      <c r="B270" s="679"/>
      <c r="C270" s="679"/>
      <c r="D270" s="679"/>
      <c r="E270" s="679"/>
      <c r="F270" s="680"/>
      <c r="G270" s="648" t="s">
        <v>731</v>
      </c>
      <c r="H270" s="648"/>
      <c r="I270" s="648"/>
      <c r="J270" s="655">
        <f t="shared" si="15"/>
        <v>45778</v>
      </c>
      <c r="K270" s="656"/>
      <c r="L270" s="657"/>
      <c r="M270" s="648" t="s">
        <v>720</v>
      </c>
      <c r="N270" s="648"/>
      <c r="O270" s="648">
        <f>O267</f>
        <v>1</v>
      </c>
      <c r="P270" s="648"/>
      <c r="Q270" s="648"/>
      <c r="R270" s="647" t="str">
        <f>U261</f>
        <v>1684 (citit)</v>
      </c>
      <c r="S270" s="647"/>
      <c r="T270" s="647"/>
      <c r="U270" s="647" t="str">
        <f>VLOOKUP(A270,'Incrementare indexe'!$D:$M,10,FALSE)&amp;" (estimat)"</f>
        <v>1684 (estimat)</v>
      </c>
      <c r="V270" s="647"/>
      <c r="W270" s="647"/>
      <c r="X270" s="647" t="str">
        <f>VLOOKUP(A270,'Incrementare indexe'!$D:$Q,13,FALSE)&amp;" (estimat)"</f>
        <v>0 (estimat)</v>
      </c>
      <c r="Y270" s="647"/>
      <c r="Z270" s="647"/>
      <c r="AA270" s="647" t="s">
        <v>69</v>
      </c>
      <c r="AB270" s="647"/>
      <c r="AC270" s="647"/>
      <c r="AD270" s="647" t="s">
        <v>69</v>
      </c>
      <c r="AE270" s="647"/>
      <c r="AF270" s="647">
        <f>VLOOKUP(A270,'Incrementare indexe'!$D:$Q,13,FALSE)</f>
        <v>0</v>
      </c>
      <c r="AG270" s="647"/>
      <c r="AH270" s="647"/>
      <c r="AI270" s="647">
        <f>AI267</f>
        <v>31</v>
      </c>
      <c r="AJ270" s="647"/>
      <c r="AK270" s="647">
        <f>ROUND(AF270/AI270,2)</f>
        <v>0</v>
      </c>
      <c r="AL270" s="647"/>
      <c r="AM270" s="647"/>
    </row>
    <row r="271" spans="1:39" ht="8.4499999999999993" customHeight="1">
      <c r="A271" s="717"/>
      <c r="B271" s="718"/>
      <c r="C271" s="718"/>
      <c r="D271" s="718"/>
      <c r="E271" s="718"/>
      <c r="F271" s="719"/>
      <c r="G271" s="648"/>
      <c r="H271" s="648"/>
      <c r="I271" s="648"/>
      <c r="J271" s="717" t="str">
        <f t="shared" si="15"/>
        <v>-</v>
      </c>
      <c r="K271" s="718"/>
      <c r="L271" s="719"/>
      <c r="M271" s="648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>
      <c r="A272" s="681"/>
      <c r="B272" s="682"/>
      <c r="C272" s="682"/>
      <c r="D272" s="682"/>
      <c r="E272" s="682"/>
      <c r="F272" s="683"/>
      <c r="G272" s="648"/>
      <c r="H272" s="648"/>
      <c r="I272" s="648"/>
      <c r="J272" s="714">
        <f t="shared" si="15"/>
        <v>45808</v>
      </c>
      <c r="K272" s="715"/>
      <c r="L272" s="716"/>
      <c r="M272" s="648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ht="14.1" customHeight="1"/>
    <row r="274" ht="14.1" customHeight="1"/>
    <row r="275" ht="14.1" customHeight="1"/>
    <row r="276" ht="14.1" customHeight="1"/>
    <row r="277" ht="14.1" customHeight="1"/>
    <row r="278" ht="14.1" customHeight="1"/>
    <row r="279" ht="14.1" customHeight="1"/>
    <row r="280" ht="14.1" customHeight="1"/>
    <row r="281" ht="14.1" customHeight="1"/>
    <row r="282" ht="14.1" customHeight="1"/>
    <row r="283" ht="14.1" customHeight="1"/>
    <row r="284" ht="14.1" customHeight="1"/>
    <row r="285" ht="14.1" customHeight="1"/>
    <row r="286" ht="14.1" customHeight="1"/>
    <row r="287" ht="14.1" customHeight="1"/>
    <row r="288" ht="14.1" customHeight="1"/>
    <row r="289" spans="1:39" ht="14.1" customHeight="1"/>
    <row r="290" spans="1:39" ht="14.1" customHeight="1"/>
    <row r="291" spans="1:39" ht="14.1" customHeight="1"/>
    <row r="292" spans="1:39" ht="14.1" customHeight="1"/>
    <row r="293" spans="1:39" ht="14.1" customHeight="1">
      <c r="A293" s="695" t="s">
        <v>858</v>
      </c>
      <c r="B293" s="695"/>
      <c r="C293" s="695"/>
      <c r="D293" s="695"/>
      <c r="E293" s="695"/>
      <c r="F293" s="695"/>
      <c r="G293" s="695"/>
      <c r="H293" s="695" t="str">
        <f>VLOOKUP($AA$16,'Date SPV'!$B:$H,4,FALSE)</f>
        <v>Strada Calea Sagului, nr. 100, Timisoara, jud. Timis</v>
      </c>
      <c r="I293" s="695"/>
      <c r="J293" s="695"/>
      <c r="K293" s="695"/>
      <c r="L293" s="695"/>
      <c r="M293" s="695"/>
      <c r="N293" s="695"/>
      <c r="O293" s="695"/>
      <c r="P293" s="695"/>
      <c r="Q293" s="695"/>
      <c r="R293" s="695"/>
      <c r="S293" s="695"/>
      <c r="T293" s="695"/>
      <c r="U293" s="695"/>
      <c r="V293" s="695"/>
      <c r="W293" s="695"/>
      <c r="X293" s="695"/>
      <c r="Y293" s="695"/>
      <c r="Z293" s="695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</row>
    <row r="294" spans="1:39" ht="14.1" customHeight="1">
      <c r="A294" s="695"/>
      <c r="B294" s="695"/>
      <c r="C294" s="695"/>
      <c r="D294" s="695"/>
      <c r="E294" s="695"/>
      <c r="F294" s="695"/>
      <c r="G294" s="695"/>
      <c r="H294" s="695"/>
      <c r="I294" s="695"/>
      <c r="J294" s="695"/>
      <c r="K294" s="695"/>
      <c r="L294" s="695"/>
      <c r="M294" s="695"/>
      <c r="N294" s="695"/>
      <c r="O294" s="695"/>
      <c r="P294" s="695"/>
      <c r="Q294" s="695"/>
      <c r="R294" s="695"/>
      <c r="S294" s="695"/>
      <c r="T294" s="695"/>
      <c r="U294" s="695"/>
      <c r="V294" s="695"/>
      <c r="W294" s="695"/>
      <c r="X294" s="695"/>
      <c r="Y294" s="695"/>
      <c r="Z294" s="695"/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</row>
    <row r="295" spans="1:39" ht="14.1" customHeight="1">
      <c r="A295" s="695" t="s">
        <v>859</v>
      </c>
      <c r="B295" s="695"/>
      <c r="C295" s="695"/>
      <c r="D295" s="695"/>
      <c r="E295" s="695"/>
      <c r="F295" s="695"/>
      <c r="G295" s="695"/>
      <c r="H295" s="712">
        <f>VLOOKUP(AA295,'Date masura OD'!$G:$BE,51,FALSE)</f>
        <v>5000148973</v>
      </c>
      <c r="I295" s="712"/>
      <c r="J295" s="712"/>
      <c r="K295" s="712"/>
      <c r="L295" s="712"/>
      <c r="M295" s="712"/>
      <c r="N295" s="712"/>
      <c r="O295" s="712"/>
      <c r="P295" s="712"/>
      <c r="Q295" s="712"/>
      <c r="R295" s="712"/>
      <c r="S295" s="712"/>
      <c r="T295" s="712"/>
      <c r="U295" s="712"/>
      <c r="V295" s="712"/>
      <c r="W295" s="712" t="s">
        <v>860</v>
      </c>
      <c r="X295" s="712"/>
      <c r="Y295" s="712"/>
      <c r="Z295" s="712"/>
      <c r="AA295" s="640" t="str">
        <f>_xlfn.CONCAT($AA$16,"_",2)</f>
        <v>RTIM_2</v>
      </c>
      <c r="AB295" s="640"/>
      <c r="AC295" s="640"/>
      <c r="AD295" s="640"/>
      <c r="AE295" s="640"/>
      <c r="AF295" s="640"/>
      <c r="AG295" s="640"/>
      <c r="AH295" s="640"/>
      <c r="AI295" s="640"/>
      <c r="AJ295" s="640"/>
      <c r="AK295" s="640"/>
      <c r="AL295" s="640"/>
      <c r="AM295" s="640"/>
    </row>
    <row r="296" spans="1:39" ht="14.1" customHeight="1">
      <c r="A296" s="695"/>
      <c r="B296" s="695"/>
      <c r="C296" s="695"/>
      <c r="D296" s="695"/>
      <c r="E296" s="695"/>
      <c r="F296" s="695"/>
      <c r="G296" s="695"/>
      <c r="H296" s="712"/>
      <c r="I296" s="712"/>
      <c r="J296" s="712"/>
      <c r="K296" s="712"/>
      <c r="L296" s="712"/>
      <c r="M296" s="712"/>
      <c r="N296" s="712"/>
      <c r="O296" s="712"/>
      <c r="P296" s="712"/>
      <c r="Q296" s="712"/>
      <c r="R296" s="712"/>
      <c r="S296" s="712"/>
      <c r="T296" s="712"/>
      <c r="U296" s="712"/>
      <c r="V296" s="712"/>
      <c r="W296" s="712"/>
      <c r="X296" s="712"/>
      <c r="Y296" s="712"/>
      <c r="Z296" s="712"/>
      <c r="AA296" s="640"/>
      <c r="AB296" s="640"/>
      <c r="AC296" s="640"/>
      <c r="AD296" s="640"/>
      <c r="AE296" s="640"/>
      <c r="AF296" s="640"/>
      <c r="AG296" s="640"/>
      <c r="AH296" s="640"/>
      <c r="AI296" s="640"/>
      <c r="AJ296" s="640"/>
      <c r="AK296" s="640"/>
      <c r="AL296" s="640"/>
      <c r="AM296" s="640"/>
    </row>
    <row r="298" spans="1:39">
      <c r="A298" s="649" t="s">
        <v>748</v>
      </c>
      <c r="B298" s="649"/>
      <c r="C298" s="649"/>
      <c r="D298" s="649"/>
      <c r="E298" s="649"/>
      <c r="F298" s="649"/>
      <c r="G298" s="649"/>
      <c r="H298" s="649"/>
      <c r="I298" s="649"/>
      <c r="J298" s="649"/>
      <c r="K298" s="649"/>
      <c r="L298" s="649"/>
      <c r="M298" s="650" t="str">
        <f>VLOOKUP(AI299,'Contorizare in SDI'!$E:$I,4,FALSE)</f>
        <v>RO005E513431450/1</v>
      </c>
      <c r="N298" s="650"/>
      <c r="O298" s="650"/>
      <c r="P298" s="650"/>
      <c r="Q298" s="650"/>
      <c r="R298" s="650"/>
      <c r="S298" s="650"/>
      <c r="T298" s="650"/>
      <c r="U298" s="650"/>
      <c r="V298" s="650"/>
      <c r="W298" s="650"/>
      <c r="X298" s="650"/>
      <c r="Y298" s="650"/>
      <c r="Z298" s="650"/>
      <c r="AA298" s="650"/>
      <c r="AB298" s="650"/>
      <c r="AC298" s="650"/>
      <c r="AD298" s="650"/>
      <c r="AE298" s="650"/>
      <c r="AF298" s="650"/>
      <c r="AG298" s="650"/>
      <c r="AH298" s="650"/>
      <c r="AI298" s="650" t="s">
        <v>695</v>
      </c>
      <c r="AJ298" s="650"/>
      <c r="AK298" s="650"/>
      <c r="AL298" s="650"/>
      <c r="AM298" s="650"/>
    </row>
    <row r="299" spans="1:39">
      <c r="A299" s="649" t="s">
        <v>746</v>
      </c>
      <c r="B299" s="649"/>
      <c r="C299" s="649"/>
      <c r="D299" s="649"/>
      <c r="E299" s="649"/>
      <c r="F299" s="649"/>
      <c r="G299" s="649"/>
      <c r="H299" s="649"/>
      <c r="I299" s="649"/>
      <c r="J299" s="649"/>
      <c r="K299" s="649"/>
      <c r="L299" s="649"/>
      <c r="M299" s="650" t="str">
        <f>VLOOKUP(AI299,'Inchidere contur'!$G:$U,15,FALSE)</f>
        <v>JT_SDI</v>
      </c>
      <c r="N299" s="650"/>
      <c r="O299" s="650"/>
      <c r="P299" s="650"/>
      <c r="Q299" s="650"/>
      <c r="R299" s="650"/>
      <c r="S299" s="650"/>
      <c r="T299" s="650"/>
      <c r="U299" s="650"/>
      <c r="V299" s="650"/>
      <c r="W299" s="650"/>
      <c r="X299" s="650"/>
      <c r="Y299" s="650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19" t="str">
        <f>_xlfn.CONCAT(AA295,".",1)</f>
        <v>RTIM_2.1</v>
      </c>
      <c r="AJ299" s="619"/>
      <c r="AK299" s="619"/>
      <c r="AL299" s="619"/>
      <c r="AM299" s="619"/>
    </row>
    <row r="300" spans="1:39">
      <c r="A300" s="649" t="s">
        <v>747</v>
      </c>
      <c r="B300" s="649"/>
      <c r="C300" s="649"/>
      <c r="D300" s="649"/>
      <c r="E300" s="649"/>
      <c r="F300" s="649"/>
      <c r="G300" s="649"/>
      <c r="H300" s="649"/>
      <c r="I300" s="649"/>
      <c r="J300" s="649"/>
      <c r="K300" s="649"/>
      <c r="L300" s="649"/>
      <c r="M300" s="650" t="str">
        <f>IF(LEFT(M299,2)="JT","0.4kV",IF(LEFT(M299,2)="MT","20kV","-"))</f>
        <v>0.4kV</v>
      </c>
      <c r="N300" s="650"/>
      <c r="O300" s="650"/>
      <c r="P300" s="650"/>
      <c r="Q300" s="650"/>
      <c r="R300" s="650"/>
      <c r="S300" s="650"/>
      <c r="T300" s="650"/>
      <c r="U300" s="650"/>
      <c r="V300" s="650"/>
      <c r="W300" s="650"/>
      <c r="X300" s="650"/>
      <c r="Y300" s="65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19"/>
      <c r="AJ300" s="619"/>
      <c r="AK300" s="619"/>
      <c r="AL300" s="619"/>
      <c r="AM300" s="619"/>
    </row>
    <row r="301" spans="1:39" ht="15.95" customHeight="1">
      <c r="A301" s="648" t="s">
        <v>697</v>
      </c>
      <c r="B301" s="648"/>
      <c r="C301" s="648"/>
      <c r="D301" s="648"/>
      <c r="E301" s="648"/>
      <c r="F301" s="648"/>
      <c r="G301" s="647" t="s">
        <v>713</v>
      </c>
      <c r="H301" s="647"/>
      <c r="I301" s="647"/>
      <c r="J301" s="647" t="s">
        <v>714</v>
      </c>
      <c r="K301" s="647"/>
      <c r="L301" s="647"/>
      <c r="M301" s="648" t="s">
        <v>519</v>
      </c>
      <c r="N301" s="648"/>
      <c r="O301" s="648" t="s">
        <v>715</v>
      </c>
      <c r="P301" s="648"/>
      <c r="Q301" s="648"/>
      <c r="R301" s="647" t="s">
        <v>732</v>
      </c>
      <c r="S301" s="647"/>
      <c r="T301" s="647"/>
      <c r="U301" s="647" t="s">
        <v>734</v>
      </c>
      <c r="V301" s="647"/>
      <c r="W301" s="647"/>
      <c r="X301" s="647" t="s">
        <v>1085</v>
      </c>
      <c r="Y301" s="647"/>
      <c r="Z301" s="647"/>
      <c r="AA301" s="647" t="s">
        <v>1086</v>
      </c>
      <c r="AB301" s="647"/>
      <c r="AC301" s="647"/>
      <c r="AD301" s="647" t="s">
        <v>717</v>
      </c>
      <c r="AE301" s="647"/>
      <c r="AF301" s="647" t="s">
        <v>718</v>
      </c>
      <c r="AG301" s="647"/>
      <c r="AH301" s="647"/>
      <c r="AI301" s="647" t="s">
        <v>719</v>
      </c>
      <c r="AJ301" s="647"/>
      <c r="AK301" s="647" t="s">
        <v>733</v>
      </c>
      <c r="AL301" s="647"/>
      <c r="AM301" s="647"/>
    </row>
    <row r="302" spans="1:39">
      <c r="A302" s="648"/>
      <c r="B302" s="648"/>
      <c r="C302" s="648"/>
      <c r="D302" s="648"/>
      <c r="E302" s="648"/>
      <c r="F302" s="648"/>
      <c r="G302" s="647"/>
      <c r="H302" s="647"/>
      <c r="I302" s="647"/>
      <c r="J302" s="647"/>
      <c r="K302" s="647"/>
      <c r="L302" s="647"/>
      <c r="M302" s="648"/>
      <c r="N302" s="648"/>
      <c r="O302" s="648"/>
      <c r="P302" s="648"/>
      <c r="Q302" s="648"/>
      <c r="R302" s="647"/>
      <c r="S302" s="647"/>
      <c r="T302" s="647"/>
      <c r="U302" s="647"/>
      <c r="V302" s="647"/>
      <c r="W302" s="647"/>
      <c r="X302" s="647"/>
      <c r="Y302" s="647"/>
      <c r="Z302" s="647"/>
      <c r="AA302" s="647"/>
      <c r="AB302" s="647"/>
      <c r="AC302" s="647"/>
      <c r="AD302" s="647"/>
      <c r="AE302" s="647"/>
      <c r="AF302" s="647"/>
      <c r="AG302" s="647"/>
      <c r="AH302" s="647"/>
      <c r="AI302" s="647"/>
      <c r="AJ302" s="647"/>
      <c r="AK302" s="647"/>
      <c r="AL302" s="647"/>
      <c r="AM302" s="647"/>
    </row>
    <row r="303" spans="1:39">
      <c r="A303" s="648"/>
      <c r="B303" s="648"/>
      <c r="C303" s="648"/>
      <c r="D303" s="648"/>
      <c r="E303" s="648"/>
      <c r="F303" s="648"/>
      <c r="G303" s="647"/>
      <c r="H303" s="647"/>
      <c r="I303" s="647"/>
      <c r="J303" s="713"/>
      <c r="K303" s="713"/>
      <c r="L303" s="713"/>
      <c r="M303" s="648"/>
      <c r="N303" s="648"/>
      <c r="O303" s="648"/>
      <c r="P303" s="648"/>
      <c r="Q303" s="648"/>
      <c r="R303" s="647"/>
      <c r="S303" s="647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</row>
    <row r="304" spans="1:39" ht="14.1" customHeight="1">
      <c r="A304" s="678" t="str">
        <f>VLOOKUP(AI299,'Contorizare in SDI'!$E:$I,5,FALSE)</f>
        <v>V.15G90220110064591/1</v>
      </c>
      <c r="B304" s="679"/>
      <c r="C304" s="679"/>
      <c r="D304" s="679"/>
      <c r="E304" s="679"/>
      <c r="F304" s="680"/>
      <c r="G304" s="648" t="s">
        <v>730</v>
      </c>
      <c r="H304" s="648"/>
      <c r="I304" s="673"/>
      <c r="J304" s="655">
        <f>'Date masura OD'!$AK$5</f>
        <v>45748</v>
      </c>
      <c r="K304" s="656"/>
      <c r="L304" s="657"/>
      <c r="M304" s="720" t="s">
        <v>446</v>
      </c>
      <c r="N304" s="648"/>
      <c r="O304" s="648">
        <f>VLOOKUP(AI299,'Incrementare indexe'!$B:$T,4,FALSE)</f>
        <v>1</v>
      </c>
      <c r="P304" s="648"/>
      <c r="Q304" s="648"/>
      <c r="R304" s="647" t="str">
        <f>VLOOKUP(A304,Regularizare!$D:$YN,3,FALSE)&amp;" ("&amp;VLOOKUP(A304,Regularizare!$D:$Y,11,FALSE)&amp;")"</f>
        <v>0 (citit)</v>
      </c>
      <c r="S304" s="647"/>
      <c r="T304" s="647"/>
      <c r="U304" s="647" t="str">
        <f>VLOOKUP(A304,Regularizare!$D:$U,4,FALSE)&amp;" ("&amp;VLOOKUP(A304,Regularizare!$D:$U,12,FALSE)&amp;")"</f>
        <v>0 (estimat)</v>
      </c>
      <c r="V304" s="647"/>
      <c r="W304" s="647"/>
      <c r="X304" s="647" t="str">
        <f>VLOOKUP(A304,Regularizare!$D:$Y,19,FALSE)&amp;" ("&amp;VLOOKUP(A304,Regularizare!$D:$U,12,FALSE)&amp;")"</f>
        <v>0 (estimat)</v>
      </c>
      <c r="Y304" s="647"/>
      <c r="Z304" s="647"/>
      <c r="AA304" s="647">
        <f>(-1)*VLOOKUP(A304,Regularizare!$D:$Y,19,FALSE)</f>
        <v>0</v>
      </c>
      <c r="AB304" s="647"/>
      <c r="AC304" s="647"/>
      <c r="AD304" s="647" t="s">
        <v>69</v>
      </c>
      <c r="AE304" s="647"/>
      <c r="AF304" s="647">
        <f>AA304</f>
        <v>0</v>
      </c>
      <c r="AG304" s="647"/>
      <c r="AH304" s="647"/>
      <c r="AI304" s="647" t="s">
        <v>69</v>
      </c>
      <c r="AJ304" s="647"/>
      <c r="AK304" s="647" t="s">
        <v>69</v>
      </c>
      <c r="AL304" s="647"/>
      <c r="AM304" s="647"/>
    </row>
    <row r="305" spans="1:39" ht="9.75" customHeight="1">
      <c r="A305" s="717"/>
      <c r="B305" s="718"/>
      <c r="C305" s="718"/>
      <c r="D305" s="718"/>
      <c r="E305" s="718"/>
      <c r="F305" s="719"/>
      <c r="G305" s="648"/>
      <c r="H305" s="648"/>
      <c r="I305" s="673"/>
      <c r="J305" s="717" t="s">
        <v>69</v>
      </c>
      <c r="K305" s="718"/>
      <c r="L305" s="719"/>
      <c r="M305" s="720"/>
      <c r="N305" s="648"/>
      <c r="O305" s="648"/>
      <c r="P305" s="648"/>
      <c r="Q305" s="648"/>
      <c r="R305" s="647"/>
      <c r="S305" s="647"/>
      <c r="T305" s="647"/>
      <c r="U305" s="647"/>
      <c r="V305" s="647"/>
      <c r="W305" s="647"/>
      <c r="X305" s="647"/>
      <c r="Y305" s="647"/>
      <c r="Z305" s="647"/>
      <c r="AA305" s="647"/>
      <c r="AB305" s="647"/>
      <c r="AC305" s="647"/>
      <c r="AD305" s="647"/>
      <c r="AE305" s="647"/>
      <c r="AF305" s="647"/>
      <c r="AG305" s="647"/>
      <c r="AH305" s="647"/>
      <c r="AI305" s="647"/>
      <c r="AJ305" s="647"/>
      <c r="AK305" s="647"/>
      <c r="AL305" s="647"/>
      <c r="AM305" s="647"/>
    </row>
    <row r="306" spans="1:39" ht="14.1" customHeight="1">
      <c r="A306" s="681"/>
      <c r="B306" s="682"/>
      <c r="C306" s="682"/>
      <c r="D306" s="682"/>
      <c r="E306" s="682"/>
      <c r="F306" s="683"/>
      <c r="G306" s="648"/>
      <c r="H306" s="648"/>
      <c r="I306" s="673"/>
      <c r="J306" s="714">
        <f>'Date masura OD'!$AL$5</f>
        <v>45777</v>
      </c>
      <c r="K306" s="715"/>
      <c r="L306" s="716"/>
      <c r="M306" s="720"/>
      <c r="N306" s="648"/>
      <c r="O306" s="648"/>
      <c r="P306" s="648"/>
      <c r="Q306" s="648"/>
      <c r="R306" s="647"/>
      <c r="S306" s="647"/>
      <c r="T306" s="647"/>
      <c r="U306" s="647"/>
      <c r="V306" s="647"/>
      <c r="W306" s="647"/>
      <c r="X306" s="647"/>
      <c r="Y306" s="647"/>
      <c r="Z306" s="647"/>
      <c r="AA306" s="647"/>
      <c r="AB306" s="647"/>
      <c r="AC306" s="647"/>
      <c r="AD306" s="647"/>
      <c r="AE306" s="647"/>
      <c r="AF306" s="647"/>
      <c r="AG306" s="647"/>
      <c r="AH306" s="647"/>
      <c r="AI306" s="647"/>
      <c r="AJ306" s="647"/>
      <c r="AK306" s="647"/>
      <c r="AL306" s="647"/>
      <c r="AM306" s="647"/>
    </row>
    <row r="307" spans="1:39" ht="14.1" customHeight="1">
      <c r="A307" s="678" t="str">
        <f>A304</f>
        <v>V.15G90220110064591/1</v>
      </c>
      <c r="B307" s="679"/>
      <c r="C307" s="679"/>
      <c r="D307" s="679"/>
      <c r="E307" s="679"/>
      <c r="F307" s="680"/>
      <c r="G307" s="648" t="s">
        <v>696</v>
      </c>
      <c r="H307" s="648"/>
      <c r="I307" s="648"/>
      <c r="J307" s="655">
        <f t="shared" ref="J307:J312" si="16">J304</f>
        <v>45748</v>
      </c>
      <c r="K307" s="656"/>
      <c r="L307" s="657"/>
      <c r="M307" s="648" t="s">
        <v>720</v>
      </c>
      <c r="N307" s="648"/>
      <c r="O307" s="648">
        <f>O304</f>
        <v>1</v>
      </c>
      <c r="P307" s="648"/>
      <c r="Q307" s="648"/>
      <c r="R307" s="647" t="str">
        <f>VLOOKUP(A307,Regularizare!$D:$U,7,FALSE)&amp;" ("&amp;VLOOKUP(A307,Regularizare!$D:$U,15,FALSE)&amp;")"</f>
        <v>0 (citit)</v>
      </c>
      <c r="S307" s="647"/>
      <c r="T307" s="647"/>
      <c r="U307" s="647" t="str">
        <f>VLOOKUP(A307,Regularizare!$D:$U,8,FALSE)&amp;" ("&amp;VLOOKUP(A307,Regularizare!$D:$U,16,FALSE)&amp;")"</f>
        <v>0 (estimat)</v>
      </c>
      <c r="V307" s="647"/>
      <c r="W307" s="647"/>
      <c r="X307" s="647" t="str">
        <f>_xlfn.CONCAT(VLOOKUP(A307,Regularizare!$D:$U,8,FALSE)-VLOOKUP(A307,Regularizare!$D:$U,7,FALSE)," (",VLOOKUP(A307,Regularizare!$D:$U,16,FALSE),")")</f>
        <v>0 (estimat)</v>
      </c>
      <c r="Y307" s="647"/>
      <c r="Z307" s="647"/>
      <c r="AA307" s="647">
        <f>IF(VLOOKUP(A307,Regularizare!$D:$Y,21,FALSE)=0,VLOOKUP(A307,Regularizare!$D:$Y,21,FALSE),(-1)*VLOOKUP(A307,Regularizare!$D:$Y,21,FALSE))</f>
        <v>0</v>
      </c>
      <c r="AB307" s="647"/>
      <c r="AC307" s="647"/>
      <c r="AD307" s="647" t="s">
        <v>69</v>
      </c>
      <c r="AE307" s="647"/>
      <c r="AF307" s="647">
        <f>AA307</f>
        <v>0</v>
      </c>
      <c r="AG307" s="647"/>
      <c r="AH307" s="647"/>
      <c r="AI307" s="647" t="str">
        <f>AI304</f>
        <v>-</v>
      </c>
      <c r="AJ307" s="647"/>
      <c r="AK307" s="647" t="str">
        <f>AK304</f>
        <v>-</v>
      </c>
      <c r="AL307" s="647"/>
      <c r="AM307" s="647"/>
    </row>
    <row r="308" spans="1:39" ht="8.4499999999999993" customHeight="1">
      <c r="A308" s="717"/>
      <c r="B308" s="718"/>
      <c r="C308" s="718"/>
      <c r="D308" s="718"/>
      <c r="E308" s="718"/>
      <c r="F308" s="719"/>
      <c r="G308" s="648"/>
      <c r="H308" s="648"/>
      <c r="I308" s="648"/>
      <c r="J308" s="717" t="str">
        <f t="shared" si="16"/>
        <v>-</v>
      </c>
      <c r="K308" s="718"/>
      <c r="L308" s="719"/>
      <c r="M308" s="648"/>
      <c r="N308" s="648"/>
      <c r="O308" s="648"/>
      <c r="P308" s="648"/>
      <c r="Q308" s="648"/>
      <c r="R308" s="647"/>
      <c r="S308" s="647"/>
      <c r="T308" s="647"/>
      <c r="U308" s="647"/>
      <c r="V308" s="647"/>
      <c r="W308" s="647"/>
      <c r="X308" s="647"/>
      <c r="Y308" s="647"/>
      <c r="Z308" s="647"/>
      <c r="AA308" s="647"/>
      <c r="AB308" s="647"/>
      <c r="AC308" s="647"/>
      <c r="AD308" s="647"/>
      <c r="AE308" s="647"/>
      <c r="AF308" s="647"/>
      <c r="AG308" s="647"/>
      <c r="AH308" s="647"/>
      <c r="AI308" s="647"/>
      <c r="AJ308" s="647"/>
      <c r="AK308" s="647"/>
      <c r="AL308" s="647"/>
      <c r="AM308" s="647"/>
    </row>
    <row r="309" spans="1:39" ht="14.1" customHeight="1">
      <c r="A309" s="681"/>
      <c r="B309" s="682"/>
      <c r="C309" s="682"/>
      <c r="D309" s="682"/>
      <c r="E309" s="682"/>
      <c r="F309" s="683"/>
      <c r="G309" s="648"/>
      <c r="H309" s="648"/>
      <c r="I309" s="648"/>
      <c r="J309" s="714">
        <f t="shared" si="16"/>
        <v>45777</v>
      </c>
      <c r="K309" s="715"/>
      <c r="L309" s="716"/>
      <c r="M309" s="648"/>
      <c r="N309" s="648"/>
      <c r="O309" s="648"/>
      <c r="P309" s="648"/>
      <c r="Q309" s="648"/>
      <c r="R309" s="647"/>
      <c r="S309" s="647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647"/>
      <c r="AL309" s="647"/>
      <c r="AM309" s="647"/>
    </row>
    <row r="310" spans="1:39" ht="14.1" customHeight="1">
      <c r="A310" s="678" t="str">
        <f>A307</f>
        <v>V.15G90220110064591/1</v>
      </c>
      <c r="B310" s="679"/>
      <c r="C310" s="679"/>
      <c r="D310" s="679"/>
      <c r="E310" s="679"/>
      <c r="F310" s="680"/>
      <c r="G310" s="648" t="s">
        <v>731</v>
      </c>
      <c r="H310" s="648"/>
      <c r="I310" s="648"/>
      <c r="J310" s="655">
        <f t="shared" si="16"/>
        <v>45748</v>
      </c>
      <c r="K310" s="656"/>
      <c r="L310" s="657"/>
      <c r="M310" s="648" t="s">
        <v>720</v>
      </c>
      <c r="N310" s="648"/>
      <c r="O310" s="648">
        <f>O307</f>
        <v>1</v>
      </c>
      <c r="P310" s="648"/>
      <c r="Q310" s="648"/>
      <c r="R310" s="647" t="str">
        <f>VLOOKUP(A310,Regularizare!$D:$U,9,FALSE)&amp;" ("&amp;VLOOKUP(A310,Regularizare!$D:$U,17,FALSE)&amp;")"</f>
        <v>32 (citit)</v>
      </c>
      <c r="S310" s="647"/>
      <c r="T310" s="647"/>
      <c r="U310" s="647" t="str">
        <f>VLOOKUP(A310,Regularizare!$D:$U,10,FALSE)&amp;" ("&amp;VLOOKUP(A310,Regularizare!$D:$U,18,FALSE)&amp;")"</f>
        <v>32 (estimat)</v>
      </c>
      <c r="V310" s="647"/>
      <c r="W310" s="647"/>
      <c r="X310" s="647" t="str">
        <f>_xlfn.CONCAT(VLOOKUP(A310,Regularizare!$D:$U,10,FALSE)-VLOOKUP(A310,Regularizare!$D:$U,9,FALSE)," (",VLOOKUP(A310,Regularizare!$D:$U,18,FALSE),")")</f>
        <v>0 (estimat)</v>
      </c>
      <c r="Y310" s="647"/>
      <c r="Z310" s="647"/>
      <c r="AA310" s="647">
        <f>IF(VLOOKUP(A310,Regularizare!$D:$Y,22,FALSE)=0,VLOOKUP(A310,Regularizare!$D:$Y,22,FALSE),(-1)*VLOOKUP(A310,Regularizare!$D:$Y,22,FALSE))</f>
        <v>0</v>
      </c>
      <c r="AB310" s="647"/>
      <c r="AC310" s="647"/>
      <c r="AD310" s="647" t="s">
        <v>69</v>
      </c>
      <c r="AE310" s="647"/>
      <c r="AF310" s="647">
        <f>AA310</f>
        <v>0</v>
      </c>
      <c r="AG310" s="647"/>
      <c r="AH310" s="647"/>
      <c r="AI310" s="647" t="str">
        <f>AI307</f>
        <v>-</v>
      </c>
      <c r="AJ310" s="647"/>
      <c r="AK310" s="647" t="str">
        <f>AK307</f>
        <v>-</v>
      </c>
      <c r="AL310" s="647"/>
      <c r="AM310" s="647"/>
    </row>
    <row r="311" spans="1:39" ht="8.4499999999999993" customHeight="1">
      <c r="A311" s="717"/>
      <c r="B311" s="718"/>
      <c r="C311" s="718"/>
      <c r="D311" s="718"/>
      <c r="E311" s="718"/>
      <c r="F311" s="719"/>
      <c r="G311" s="648"/>
      <c r="H311" s="648"/>
      <c r="I311" s="648"/>
      <c r="J311" s="717" t="str">
        <f t="shared" si="16"/>
        <v>-</v>
      </c>
      <c r="K311" s="718"/>
      <c r="L311" s="719"/>
      <c r="M311" s="648"/>
      <c r="N311" s="648"/>
      <c r="O311" s="648"/>
      <c r="P311" s="648"/>
      <c r="Q311" s="648"/>
      <c r="R311" s="647"/>
      <c r="S311" s="647"/>
      <c r="T311" s="647"/>
      <c r="U311" s="647"/>
      <c r="V311" s="647"/>
      <c r="W311" s="647"/>
      <c r="X311" s="647"/>
      <c r="Y311" s="647"/>
      <c r="Z311" s="647"/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</row>
    <row r="312" spans="1:39" ht="14.1" customHeight="1">
      <c r="A312" s="681"/>
      <c r="B312" s="682"/>
      <c r="C312" s="682"/>
      <c r="D312" s="682"/>
      <c r="E312" s="682"/>
      <c r="F312" s="683"/>
      <c r="G312" s="648"/>
      <c r="H312" s="648"/>
      <c r="I312" s="648"/>
      <c r="J312" s="714">
        <f t="shared" si="16"/>
        <v>45777</v>
      </c>
      <c r="K312" s="715"/>
      <c r="L312" s="716"/>
      <c r="M312" s="648"/>
      <c r="N312" s="648"/>
      <c r="O312" s="648"/>
      <c r="P312" s="648"/>
      <c r="Q312" s="648"/>
      <c r="R312" s="647"/>
      <c r="S312" s="647"/>
      <c r="T312" s="647"/>
      <c r="U312" s="647"/>
      <c r="V312" s="647"/>
      <c r="W312" s="647"/>
      <c r="X312" s="647"/>
      <c r="Y312" s="647"/>
      <c r="Z312" s="647"/>
      <c r="AA312" s="647"/>
      <c r="AB312" s="647"/>
      <c r="AC312" s="647"/>
      <c r="AD312" s="647"/>
      <c r="AE312" s="647"/>
      <c r="AF312" s="647"/>
      <c r="AG312" s="647"/>
      <c r="AH312" s="647"/>
      <c r="AI312" s="647"/>
      <c r="AJ312" s="647"/>
      <c r="AK312" s="647"/>
      <c r="AL312" s="647"/>
      <c r="AM312" s="647"/>
    </row>
    <row r="313" spans="1:39" ht="14.1" customHeight="1">
      <c r="A313" s="678" t="str">
        <f>A310</f>
        <v>V.15G90220110064591/1</v>
      </c>
      <c r="B313" s="679"/>
      <c r="C313" s="679"/>
      <c r="D313" s="679"/>
      <c r="E313" s="679"/>
      <c r="F313" s="680"/>
      <c r="G313" s="648" t="s">
        <v>730</v>
      </c>
      <c r="H313" s="648"/>
      <c r="I313" s="673"/>
      <c r="J313" s="655">
        <f>'Date masura OD'!$AK$5</f>
        <v>45748</v>
      </c>
      <c r="K313" s="656"/>
      <c r="L313" s="657"/>
      <c r="M313" s="720" t="s">
        <v>446</v>
      </c>
      <c r="N313" s="648"/>
      <c r="O313" s="648">
        <f>O310</f>
        <v>1</v>
      </c>
      <c r="P313" s="648"/>
      <c r="Q313" s="648"/>
      <c r="R313" s="647" t="str">
        <f>VLOOKUP(A313,Regularizare!$D:$AX,23,FALSE)&amp;" ("&amp;VLOOKUP(A313,Regularizare!$D:$AX,24,FALSE)&amp;")"</f>
        <v>0 (citit)</v>
      </c>
      <c r="S313" s="647"/>
      <c r="T313" s="647"/>
      <c r="U313" s="647" t="str">
        <f>VLOOKUP(A313,Regularizare!$D:$AX,25,FALSE)&amp;" ("&amp;VLOOKUP(A313,Regularizare!$D:$AX,26,FALSE)&amp;")"</f>
        <v>0 (citit)</v>
      </c>
      <c r="V313" s="647"/>
      <c r="W313" s="647"/>
      <c r="X313" s="647" t="str">
        <f>VLOOKUP(A313,Regularizare!$D:$AX,37,FALSE)&amp;" ("&amp;VLOOKUP(A313,Regularizare!$D:$AX,26,FALSE)&amp;")"</f>
        <v>0 (citit)</v>
      </c>
      <c r="Y313" s="647"/>
      <c r="Z313" s="647"/>
      <c r="AA313" s="647">
        <f>VLOOKUP(A313,Regularizare!$D:$AX,37,FALSE)</f>
        <v>0</v>
      </c>
      <c r="AB313" s="647"/>
      <c r="AC313" s="647"/>
      <c r="AD313" s="647" t="s">
        <v>69</v>
      </c>
      <c r="AE313" s="647"/>
      <c r="AF313" s="647">
        <f>AA313</f>
        <v>0</v>
      </c>
      <c r="AG313" s="647"/>
      <c r="AH313" s="647"/>
      <c r="AI313" s="647" t="str">
        <f>AI310</f>
        <v>-</v>
      </c>
      <c r="AJ313" s="647"/>
      <c r="AK313" s="647" t="str">
        <f>AK310</f>
        <v>-</v>
      </c>
      <c r="AL313" s="647"/>
      <c r="AM313" s="647"/>
    </row>
    <row r="314" spans="1:39" ht="8.4499999999999993" customHeight="1">
      <c r="A314" s="717"/>
      <c r="B314" s="718"/>
      <c r="C314" s="718"/>
      <c r="D314" s="718"/>
      <c r="E314" s="718"/>
      <c r="F314" s="719"/>
      <c r="G314" s="648"/>
      <c r="H314" s="648"/>
      <c r="I314" s="673"/>
      <c r="J314" s="717" t="s">
        <v>69</v>
      </c>
      <c r="K314" s="718"/>
      <c r="L314" s="719"/>
      <c r="M314" s="720"/>
      <c r="N314" s="648"/>
      <c r="O314" s="648"/>
      <c r="P314" s="648"/>
      <c r="Q314" s="648"/>
      <c r="R314" s="647"/>
      <c r="S314" s="647"/>
      <c r="T314" s="647"/>
      <c r="U314" s="647"/>
      <c r="V314" s="647"/>
      <c r="W314" s="647"/>
      <c r="X314" s="647"/>
      <c r="Y314" s="647"/>
      <c r="Z314" s="647"/>
      <c r="AA314" s="647"/>
      <c r="AB314" s="647"/>
      <c r="AC314" s="647"/>
      <c r="AD314" s="647"/>
      <c r="AE314" s="647"/>
      <c r="AF314" s="647"/>
      <c r="AG314" s="647"/>
      <c r="AH314" s="647"/>
      <c r="AI314" s="647"/>
      <c r="AJ314" s="647"/>
      <c r="AK314" s="647"/>
      <c r="AL314" s="647"/>
      <c r="AM314" s="647"/>
    </row>
    <row r="315" spans="1:39" ht="14.1" customHeight="1">
      <c r="A315" s="681"/>
      <c r="B315" s="682"/>
      <c r="C315" s="682"/>
      <c r="D315" s="682"/>
      <c r="E315" s="682"/>
      <c r="F315" s="683"/>
      <c r="G315" s="648"/>
      <c r="H315" s="648"/>
      <c r="I315" s="673"/>
      <c r="J315" s="714">
        <f>'Date masura OD'!$AL$5</f>
        <v>45777</v>
      </c>
      <c r="K315" s="715"/>
      <c r="L315" s="716"/>
      <c r="M315" s="720"/>
      <c r="N315" s="648"/>
      <c r="O315" s="648"/>
      <c r="P315" s="648"/>
      <c r="Q315" s="648"/>
      <c r="R315" s="647"/>
      <c r="S315" s="647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</row>
    <row r="316" spans="1:39" ht="14.1" customHeight="1">
      <c r="A316" s="678" t="str">
        <f>A313</f>
        <v>V.15G90220110064591/1</v>
      </c>
      <c r="B316" s="679"/>
      <c r="C316" s="679"/>
      <c r="D316" s="679"/>
      <c r="E316" s="679"/>
      <c r="F316" s="680"/>
      <c r="G316" s="648" t="s">
        <v>696</v>
      </c>
      <c r="H316" s="648"/>
      <c r="I316" s="648"/>
      <c r="J316" s="655">
        <f t="shared" ref="J316:J321" si="17">J313</f>
        <v>45748</v>
      </c>
      <c r="K316" s="656"/>
      <c r="L316" s="657"/>
      <c r="M316" s="648" t="s">
        <v>720</v>
      </c>
      <c r="N316" s="648"/>
      <c r="O316" s="648">
        <f>O313</f>
        <v>1</v>
      </c>
      <c r="P316" s="648"/>
      <c r="Q316" s="648"/>
      <c r="R316" s="647" t="str">
        <f>VLOOKUP(A316,Regularizare!$D:$AX,29,FALSE)&amp;" ("&amp;VLOOKUP(A316,Regularizare!$D:$AX,30,FALSE)&amp;")"</f>
        <v>0 (citit)</v>
      </c>
      <c r="S316" s="647"/>
      <c r="T316" s="647"/>
      <c r="U316" s="647" t="str">
        <f>VLOOKUP(A316,Regularizare!$D:$AX,31,FALSE)&amp;" ("&amp;VLOOKUP(A316,Regularizare!$D:$AX,32,FALSE)&amp;")"</f>
        <v>0 (citit)</v>
      </c>
      <c r="V316" s="647"/>
      <c r="W316" s="647"/>
      <c r="X316" s="647" t="str">
        <f>VLOOKUP(A316,Regularizare!$D:$AX,39,FALSE)&amp;" ("&amp;VLOOKUP(A316,Regularizare!$D:$AX,32,FALSE)&amp;")"</f>
        <v>0 (citit)</v>
      </c>
      <c r="Y316" s="647"/>
      <c r="Z316" s="647"/>
      <c r="AA316" s="647">
        <f>VLOOKUP(A316,Regularizare!$D:$AX,44,FALSE)+VLOOKUP(A316,Regularizare!$D:$AX,45,FALSE)</f>
        <v>0</v>
      </c>
      <c r="AB316" s="647"/>
      <c r="AC316" s="647"/>
      <c r="AD316" s="647" t="s">
        <v>69</v>
      </c>
      <c r="AE316" s="647"/>
      <c r="AF316" s="647">
        <f>AA316</f>
        <v>0</v>
      </c>
      <c r="AG316" s="647"/>
      <c r="AH316" s="647"/>
      <c r="AI316" s="647" t="str">
        <f>AI313</f>
        <v>-</v>
      </c>
      <c r="AJ316" s="647"/>
      <c r="AK316" s="647" t="str">
        <f>AK313</f>
        <v>-</v>
      </c>
      <c r="AL316" s="647"/>
      <c r="AM316" s="647"/>
    </row>
    <row r="317" spans="1:39" ht="8.4499999999999993" customHeight="1">
      <c r="A317" s="717"/>
      <c r="B317" s="718"/>
      <c r="C317" s="718"/>
      <c r="D317" s="718"/>
      <c r="E317" s="718"/>
      <c r="F317" s="719"/>
      <c r="G317" s="648"/>
      <c r="H317" s="648"/>
      <c r="I317" s="648"/>
      <c r="J317" s="717" t="str">
        <f t="shared" si="17"/>
        <v>-</v>
      </c>
      <c r="K317" s="718"/>
      <c r="L317" s="719"/>
      <c r="M317" s="648"/>
      <c r="N317" s="648"/>
      <c r="O317" s="648"/>
      <c r="P317" s="648"/>
      <c r="Q317" s="648"/>
      <c r="R317" s="647"/>
      <c r="S317" s="647"/>
      <c r="T317" s="647"/>
      <c r="U317" s="647"/>
      <c r="V317" s="647"/>
      <c r="W317" s="647"/>
      <c r="X317" s="647"/>
      <c r="Y317" s="647"/>
      <c r="Z317" s="647"/>
      <c r="AA317" s="647"/>
      <c r="AB317" s="647"/>
      <c r="AC317" s="647"/>
      <c r="AD317" s="647"/>
      <c r="AE317" s="647"/>
      <c r="AF317" s="647"/>
      <c r="AG317" s="647"/>
      <c r="AH317" s="647"/>
      <c r="AI317" s="647"/>
      <c r="AJ317" s="647"/>
      <c r="AK317" s="647"/>
      <c r="AL317" s="647"/>
      <c r="AM317" s="647"/>
    </row>
    <row r="318" spans="1:39" ht="14.1" customHeight="1">
      <c r="A318" s="681"/>
      <c r="B318" s="682"/>
      <c r="C318" s="682"/>
      <c r="D318" s="682"/>
      <c r="E318" s="682"/>
      <c r="F318" s="683"/>
      <c r="G318" s="648"/>
      <c r="H318" s="648"/>
      <c r="I318" s="648"/>
      <c r="J318" s="714">
        <f t="shared" si="17"/>
        <v>45777</v>
      </c>
      <c r="K318" s="715"/>
      <c r="L318" s="716"/>
      <c r="M318" s="648"/>
      <c r="N318" s="648"/>
      <c r="O318" s="648"/>
      <c r="P318" s="648"/>
      <c r="Q318" s="648"/>
      <c r="R318" s="647"/>
      <c r="S318" s="647"/>
      <c r="T318" s="647"/>
      <c r="U318" s="647"/>
      <c r="V318" s="647"/>
      <c r="W318" s="647"/>
      <c r="X318" s="647"/>
      <c r="Y318" s="647"/>
      <c r="Z318" s="647"/>
      <c r="AA318" s="647"/>
      <c r="AB318" s="647"/>
      <c r="AC318" s="647"/>
      <c r="AD318" s="647"/>
      <c r="AE318" s="647"/>
      <c r="AF318" s="647"/>
      <c r="AG318" s="647"/>
      <c r="AH318" s="647"/>
      <c r="AI318" s="647"/>
      <c r="AJ318" s="647"/>
      <c r="AK318" s="647"/>
      <c r="AL318" s="647"/>
      <c r="AM318" s="647"/>
    </row>
    <row r="319" spans="1:39" ht="14.1" customHeight="1">
      <c r="A319" s="678" t="str">
        <f>A316</f>
        <v>V.15G90220110064591/1</v>
      </c>
      <c r="B319" s="679"/>
      <c r="C319" s="679"/>
      <c r="D319" s="679"/>
      <c r="E319" s="679"/>
      <c r="F319" s="680"/>
      <c r="G319" s="648" t="s">
        <v>731</v>
      </c>
      <c r="H319" s="648"/>
      <c r="I319" s="648"/>
      <c r="J319" s="655">
        <f t="shared" si="17"/>
        <v>45748</v>
      </c>
      <c r="K319" s="656"/>
      <c r="L319" s="657"/>
      <c r="M319" s="648" t="s">
        <v>720</v>
      </c>
      <c r="N319" s="648"/>
      <c r="O319" s="648">
        <f>O316</f>
        <v>1</v>
      </c>
      <c r="P319" s="648"/>
      <c r="Q319" s="648"/>
      <c r="R319" s="647" t="str">
        <f>VLOOKUP(A319,Regularizare!$D:$AX,33,FALSE)&amp;" ("&amp;VLOOKUP(A319,Regularizare!$D:$AX,34,FALSE)&amp;")"</f>
        <v>32 (citit)</v>
      </c>
      <c r="S319" s="647"/>
      <c r="T319" s="647"/>
      <c r="U319" s="647" t="str">
        <f>VLOOKUP(A319,Regularizare!$D:$AX,35,FALSE)&amp;" ("&amp;VLOOKUP(A319,Regularizare!$D:$AX,36,FALSE)&amp;")"</f>
        <v>32 (citit)</v>
      </c>
      <c r="V319" s="647"/>
      <c r="W319" s="647"/>
      <c r="X319" s="647" t="str">
        <f>VLOOKUP(A319,Regularizare!$D:$AX,40,FALSE)&amp;" ("&amp;VLOOKUP(A319,Regularizare!$D:$AX,36,FALSE)&amp;")"</f>
        <v>0 (citit)</v>
      </c>
      <c r="Y319" s="647"/>
      <c r="Z319" s="647"/>
      <c r="AA319" s="647">
        <f>VLOOKUP(A319,Regularizare!$D:$AX,46,FALSE)+VLOOKUP(A319,Regularizare!$D:$AX,47,FALSE)</f>
        <v>0</v>
      </c>
      <c r="AB319" s="647"/>
      <c r="AC319" s="647"/>
      <c r="AD319" s="647" t="s">
        <v>69</v>
      </c>
      <c r="AE319" s="647"/>
      <c r="AF319" s="647">
        <f>AA319</f>
        <v>0</v>
      </c>
      <c r="AG319" s="647"/>
      <c r="AH319" s="647"/>
      <c r="AI319" s="647" t="str">
        <f>AI316</f>
        <v>-</v>
      </c>
      <c r="AJ319" s="647"/>
      <c r="AK319" s="647" t="str">
        <f>AK316</f>
        <v>-</v>
      </c>
      <c r="AL319" s="647"/>
      <c r="AM319" s="647"/>
    </row>
    <row r="320" spans="1:39" ht="8.4499999999999993" customHeight="1">
      <c r="A320" s="717"/>
      <c r="B320" s="718"/>
      <c r="C320" s="718"/>
      <c r="D320" s="718"/>
      <c r="E320" s="718"/>
      <c r="F320" s="719"/>
      <c r="G320" s="648"/>
      <c r="H320" s="648"/>
      <c r="I320" s="648"/>
      <c r="J320" s="717" t="str">
        <f t="shared" si="17"/>
        <v>-</v>
      </c>
      <c r="K320" s="718"/>
      <c r="L320" s="719"/>
      <c r="M320" s="648"/>
      <c r="N320" s="648"/>
      <c r="O320" s="648"/>
      <c r="P320" s="648"/>
      <c r="Q320" s="648"/>
      <c r="R320" s="647"/>
      <c r="S320" s="647"/>
      <c r="T320" s="647"/>
      <c r="U320" s="647"/>
      <c r="V320" s="647"/>
      <c r="W320" s="647"/>
      <c r="X320" s="647"/>
      <c r="Y320" s="647"/>
      <c r="Z320" s="647"/>
      <c r="AA320" s="647"/>
      <c r="AB320" s="647"/>
      <c r="AC320" s="647"/>
      <c r="AD320" s="647"/>
      <c r="AE320" s="647"/>
      <c r="AF320" s="647"/>
      <c r="AG320" s="647"/>
      <c r="AH320" s="647"/>
      <c r="AI320" s="647"/>
      <c r="AJ320" s="647"/>
      <c r="AK320" s="647"/>
      <c r="AL320" s="647"/>
      <c r="AM320" s="647"/>
    </row>
    <row r="321" spans="1:39" ht="14.1" customHeight="1">
      <c r="A321" s="681"/>
      <c r="B321" s="682"/>
      <c r="C321" s="682"/>
      <c r="D321" s="682"/>
      <c r="E321" s="682"/>
      <c r="F321" s="683"/>
      <c r="G321" s="648"/>
      <c r="H321" s="648"/>
      <c r="I321" s="648"/>
      <c r="J321" s="714">
        <f t="shared" si="17"/>
        <v>45777</v>
      </c>
      <c r="K321" s="715"/>
      <c r="L321" s="716"/>
      <c r="M321" s="648"/>
      <c r="N321" s="648"/>
      <c r="O321" s="648"/>
      <c r="P321" s="648"/>
      <c r="Q321" s="648"/>
      <c r="R321" s="647"/>
      <c r="S321" s="647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647"/>
      <c r="AL321" s="647"/>
      <c r="AM321" s="647"/>
    </row>
    <row r="322" spans="1:39" ht="14.1" customHeight="1">
      <c r="A322" s="678" t="str">
        <f>A319</f>
        <v>V.15G90220110064591/1</v>
      </c>
      <c r="B322" s="679"/>
      <c r="C322" s="679"/>
      <c r="D322" s="679"/>
      <c r="E322" s="679"/>
      <c r="F322" s="680"/>
      <c r="G322" s="648" t="s">
        <v>730</v>
      </c>
      <c r="H322" s="648"/>
      <c r="I322" s="673"/>
      <c r="J322" s="655">
        <f>'Date masura OD'!$I$5</f>
        <v>45778</v>
      </c>
      <c r="K322" s="656"/>
      <c r="L322" s="657"/>
      <c r="M322" s="720" t="s">
        <v>446</v>
      </c>
      <c r="N322" s="648"/>
      <c r="O322" s="648">
        <f>O319</f>
        <v>1</v>
      </c>
      <c r="P322" s="648"/>
      <c r="Q322" s="648"/>
      <c r="R322" s="647" t="str">
        <f>U313</f>
        <v>0 (citit)</v>
      </c>
      <c r="S322" s="647"/>
      <c r="T322" s="647"/>
      <c r="U322" s="647" t="str">
        <f>VLOOKUP(A322,'Incrementare indexe'!$D:$M,4,FALSE)&amp;" (estimat)"</f>
        <v>0 (estimat)</v>
      </c>
      <c r="V322" s="647"/>
      <c r="W322" s="647"/>
      <c r="X322" s="647" t="str">
        <f>VLOOKUP(A322,'Incrementare indexe'!$D:$Q,11,FALSE)&amp;" (estimat)"</f>
        <v>0 (estimat)</v>
      </c>
      <c r="Y322" s="647"/>
      <c r="Z322" s="647"/>
      <c r="AA322" s="647" t="s">
        <v>69</v>
      </c>
      <c r="AB322" s="647"/>
      <c r="AC322" s="647"/>
      <c r="AD322" s="647" t="s">
        <v>69</v>
      </c>
      <c r="AE322" s="647"/>
      <c r="AF322" s="647">
        <f>VLOOKUP(A322,'Incrementare indexe'!$D:$Q,11,FALSE)</f>
        <v>0</v>
      </c>
      <c r="AG322" s="647"/>
      <c r="AH322" s="647"/>
      <c r="AI322" s="647">
        <f>J324-J322+1</f>
        <v>31</v>
      </c>
      <c r="AJ322" s="647"/>
      <c r="AK322" s="647">
        <f>ROUND(AF322/AI322,2)</f>
        <v>0</v>
      </c>
      <c r="AL322" s="647"/>
      <c r="AM322" s="647"/>
    </row>
    <row r="323" spans="1:39" ht="8.4499999999999993" customHeight="1">
      <c r="A323" s="717"/>
      <c r="B323" s="718"/>
      <c r="C323" s="718"/>
      <c r="D323" s="718"/>
      <c r="E323" s="718"/>
      <c r="F323" s="719"/>
      <c r="G323" s="648"/>
      <c r="H323" s="648"/>
      <c r="I323" s="673"/>
      <c r="J323" s="717" t="s">
        <v>69</v>
      </c>
      <c r="K323" s="718"/>
      <c r="L323" s="719"/>
      <c r="M323" s="720"/>
      <c r="N323" s="648"/>
      <c r="O323" s="648"/>
      <c r="P323" s="648"/>
      <c r="Q323" s="648"/>
      <c r="R323" s="647"/>
      <c r="S323" s="647"/>
      <c r="T323" s="647"/>
      <c r="U323" s="647"/>
      <c r="V323" s="647"/>
      <c r="W323" s="647"/>
      <c r="X323" s="647"/>
      <c r="Y323" s="647"/>
      <c r="Z323" s="647"/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</row>
    <row r="324" spans="1:39" ht="14.1" customHeight="1">
      <c r="A324" s="681"/>
      <c r="B324" s="682"/>
      <c r="C324" s="682"/>
      <c r="D324" s="682"/>
      <c r="E324" s="682"/>
      <c r="F324" s="683"/>
      <c r="G324" s="648"/>
      <c r="H324" s="648"/>
      <c r="I324" s="673"/>
      <c r="J324" s="714">
        <f>'Date masura OD'!$J$5</f>
        <v>45808</v>
      </c>
      <c r="K324" s="715"/>
      <c r="L324" s="716"/>
      <c r="M324" s="720"/>
      <c r="N324" s="648"/>
      <c r="O324" s="648"/>
      <c r="P324" s="648"/>
      <c r="Q324" s="648"/>
      <c r="R324" s="647"/>
      <c r="S324" s="647"/>
      <c r="T324" s="647"/>
      <c r="U324" s="647"/>
      <c r="V324" s="647"/>
      <c r="W324" s="647"/>
      <c r="X324" s="647"/>
      <c r="Y324" s="647"/>
      <c r="Z324" s="647"/>
      <c r="AA324" s="647"/>
      <c r="AB324" s="647"/>
      <c r="AC324" s="647"/>
      <c r="AD324" s="647"/>
      <c r="AE324" s="647"/>
      <c r="AF324" s="647"/>
      <c r="AG324" s="647"/>
      <c r="AH324" s="647"/>
      <c r="AI324" s="647"/>
      <c r="AJ324" s="647"/>
      <c r="AK324" s="647"/>
      <c r="AL324" s="647"/>
      <c r="AM324" s="647"/>
    </row>
    <row r="325" spans="1:39" ht="14.1" customHeight="1">
      <c r="A325" s="678" t="str">
        <f>A322</f>
        <v>V.15G90220110064591/1</v>
      </c>
      <c r="B325" s="679"/>
      <c r="C325" s="679"/>
      <c r="D325" s="679"/>
      <c r="E325" s="679"/>
      <c r="F325" s="680"/>
      <c r="G325" s="648" t="s">
        <v>696</v>
      </c>
      <c r="H325" s="648"/>
      <c r="I325" s="648"/>
      <c r="J325" s="655">
        <f t="shared" ref="J325:J330" si="18">J322</f>
        <v>45778</v>
      </c>
      <c r="K325" s="656"/>
      <c r="L325" s="657"/>
      <c r="M325" s="648" t="s">
        <v>720</v>
      </c>
      <c r="N325" s="648"/>
      <c r="O325" s="648">
        <f>O322</f>
        <v>1</v>
      </c>
      <c r="P325" s="648"/>
      <c r="Q325" s="648"/>
      <c r="R325" s="647" t="str">
        <f>U316</f>
        <v>0 (citit)</v>
      </c>
      <c r="S325" s="647"/>
      <c r="T325" s="647"/>
      <c r="U325" s="647" t="str">
        <f>VLOOKUP(A325,'Incrementare indexe'!$D:$M,8,FALSE)&amp;" (estimat)"</f>
        <v>0 (estimat)</v>
      </c>
      <c r="V325" s="647"/>
      <c r="W325" s="647"/>
      <c r="X325" s="647" t="str">
        <f>VLOOKUP(A325,'Incrementare indexe'!$D:$Q,12,FALSE)&amp;" (estimat)"</f>
        <v>0 (estimat)</v>
      </c>
      <c r="Y325" s="647"/>
      <c r="Z325" s="647"/>
      <c r="AA325" s="647" t="s">
        <v>69</v>
      </c>
      <c r="AB325" s="647"/>
      <c r="AC325" s="647"/>
      <c r="AD325" s="647" t="s">
        <v>69</v>
      </c>
      <c r="AE325" s="647"/>
      <c r="AF325" s="647">
        <f>VLOOKUP(A325,'Incrementare indexe'!$D:$Q,12,FALSE)</f>
        <v>0</v>
      </c>
      <c r="AG325" s="647"/>
      <c r="AH325" s="647"/>
      <c r="AI325" s="647">
        <f>AI322</f>
        <v>31</v>
      </c>
      <c r="AJ325" s="647"/>
      <c r="AK325" s="647">
        <f>ROUND(AF325/AI325,2)</f>
        <v>0</v>
      </c>
      <c r="AL325" s="647"/>
      <c r="AM325" s="647"/>
    </row>
    <row r="326" spans="1:39" ht="8.4499999999999993" customHeight="1">
      <c r="A326" s="717"/>
      <c r="B326" s="718"/>
      <c r="C326" s="718"/>
      <c r="D326" s="718"/>
      <c r="E326" s="718"/>
      <c r="F326" s="719"/>
      <c r="G326" s="648"/>
      <c r="H326" s="648"/>
      <c r="I326" s="648"/>
      <c r="J326" s="717" t="str">
        <f t="shared" si="18"/>
        <v>-</v>
      </c>
      <c r="K326" s="718"/>
      <c r="L326" s="719"/>
      <c r="M326" s="648"/>
      <c r="N326" s="648"/>
      <c r="O326" s="648"/>
      <c r="P326" s="648"/>
      <c r="Q326" s="648"/>
      <c r="R326" s="647"/>
      <c r="S326" s="647"/>
      <c r="T326" s="647"/>
      <c r="U326" s="647"/>
      <c r="V326" s="647"/>
      <c r="W326" s="647"/>
      <c r="X326" s="647"/>
      <c r="Y326" s="647"/>
      <c r="Z326" s="647"/>
      <c r="AA326" s="647"/>
      <c r="AB326" s="647"/>
      <c r="AC326" s="647"/>
      <c r="AD326" s="647"/>
      <c r="AE326" s="647"/>
      <c r="AF326" s="647"/>
      <c r="AG326" s="647"/>
      <c r="AH326" s="647"/>
      <c r="AI326" s="647"/>
      <c r="AJ326" s="647"/>
      <c r="AK326" s="647"/>
      <c r="AL326" s="647"/>
      <c r="AM326" s="647"/>
    </row>
    <row r="327" spans="1:39" ht="14.1" customHeight="1">
      <c r="A327" s="681"/>
      <c r="B327" s="682"/>
      <c r="C327" s="682"/>
      <c r="D327" s="682"/>
      <c r="E327" s="682"/>
      <c r="F327" s="683"/>
      <c r="G327" s="648"/>
      <c r="H327" s="648"/>
      <c r="I327" s="648"/>
      <c r="J327" s="714">
        <f t="shared" si="18"/>
        <v>45808</v>
      </c>
      <c r="K327" s="715"/>
      <c r="L327" s="716"/>
      <c r="M327" s="648"/>
      <c r="N327" s="648"/>
      <c r="O327" s="648"/>
      <c r="P327" s="648"/>
      <c r="Q327" s="648"/>
      <c r="R327" s="647"/>
      <c r="S327" s="647"/>
      <c r="T327" s="647"/>
      <c r="U327" s="647"/>
      <c r="V327" s="647"/>
      <c r="W327" s="647"/>
      <c r="X327" s="647"/>
      <c r="Y327" s="647"/>
      <c r="Z327" s="647"/>
      <c r="AA327" s="647"/>
      <c r="AB327" s="647"/>
      <c r="AC327" s="647"/>
      <c r="AD327" s="647"/>
      <c r="AE327" s="647"/>
      <c r="AF327" s="647"/>
      <c r="AG327" s="647"/>
      <c r="AH327" s="647"/>
      <c r="AI327" s="647"/>
      <c r="AJ327" s="647"/>
      <c r="AK327" s="647"/>
      <c r="AL327" s="647"/>
      <c r="AM327" s="647"/>
    </row>
    <row r="328" spans="1:39" ht="14.1" customHeight="1">
      <c r="A328" s="678" t="str">
        <f>A325</f>
        <v>V.15G90220110064591/1</v>
      </c>
      <c r="B328" s="679"/>
      <c r="C328" s="679"/>
      <c r="D328" s="679"/>
      <c r="E328" s="679"/>
      <c r="F328" s="680"/>
      <c r="G328" s="648" t="s">
        <v>731</v>
      </c>
      <c r="H328" s="648"/>
      <c r="I328" s="648"/>
      <c r="J328" s="655">
        <f t="shared" si="18"/>
        <v>45778</v>
      </c>
      <c r="K328" s="656"/>
      <c r="L328" s="657"/>
      <c r="M328" s="648" t="s">
        <v>720</v>
      </c>
      <c r="N328" s="648"/>
      <c r="O328" s="648">
        <f>O325</f>
        <v>1</v>
      </c>
      <c r="P328" s="648"/>
      <c r="Q328" s="648"/>
      <c r="R328" s="647" t="str">
        <f>U319</f>
        <v>32 (citit)</v>
      </c>
      <c r="S328" s="647"/>
      <c r="T328" s="647"/>
      <c r="U328" s="647" t="str">
        <f>VLOOKUP(A328,'Incrementare indexe'!$D:$M,10,FALSE)&amp;" (estimat)"</f>
        <v>32 (estimat)</v>
      </c>
      <c r="V328" s="647"/>
      <c r="W328" s="647"/>
      <c r="X328" s="647" t="str">
        <f>VLOOKUP(A328,'Incrementare indexe'!$D:$Q,13,FALSE)&amp;" (estimat)"</f>
        <v>0 (estimat)</v>
      </c>
      <c r="Y328" s="647"/>
      <c r="Z328" s="647"/>
      <c r="AA328" s="647" t="s">
        <v>69</v>
      </c>
      <c r="AB328" s="647"/>
      <c r="AC328" s="647"/>
      <c r="AD328" s="647" t="s">
        <v>69</v>
      </c>
      <c r="AE328" s="647"/>
      <c r="AF328" s="647">
        <f>VLOOKUP(A328,'Incrementare indexe'!$D:$Q,13,FALSE)</f>
        <v>0</v>
      </c>
      <c r="AG328" s="647"/>
      <c r="AH328" s="647"/>
      <c r="AI328" s="647">
        <f>AI325</f>
        <v>31</v>
      </c>
      <c r="AJ328" s="647"/>
      <c r="AK328" s="647">
        <f>ROUND(AF328/AI328,2)</f>
        <v>0</v>
      </c>
      <c r="AL328" s="647"/>
      <c r="AM328" s="647"/>
    </row>
    <row r="329" spans="1:39" ht="8.4499999999999993" customHeight="1">
      <c r="A329" s="717"/>
      <c r="B329" s="718"/>
      <c r="C329" s="718"/>
      <c r="D329" s="718"/>
      <c r="E329" s="718"/>
      <c r="F329" s="719"/>
      <c r="G329" s="648"/>
      <c r="H329" s="648"/>
      <c r="I329" s="648"/>
      <c r="J329" s="717" t="str">
        <f t="shared" si="18"/>
        <v>-</v>
      </c>
      <c r="K329" s="718"/>
      <c r="L329" s="719"/>
      <c r="M329" s="648"/>
      <c r="N329" s="648"/>
      <c r="O329" s="648"/>
      <c r="P329" s="648"/>
      <c r="Q329" s="648"/>
      <c r="R329" s="647"/>
      <c r="S329" s="647"/>
      <c r="T329" s="647"/>
      <c r="U329" s="647"/>
      <c r="V329" s="647"/>
      <c r="W329" s="647"/>
      <c r="X329" s="647"/>
      <c r="Y329" s="647"/>
      <c r="Z329" s="647"/>
      <c r="AA329" s="647"/>
      <c r="AB329" s="647"/>
      <c r="AC329" s="647"/>
      <c r="AD329" s="647"/>
      <c r="AE329" s="647"/>
      <c r="AF329" s="647"/>
      <c r="AG329" s="647"/>
      <c r="AH329" s="647"/>
      <c r="AI329" s="647"/>
      <c r="AJ329" s="647"/>
      <c r="AK329" s="647"/>
      <c r="AL329" s="647"/>
      <c r="AM329" s="647"/>
    </row>
    <row r="330" spans="1:39" ht="14.1" customHeight="1">
      <c r="A330" s="681"/>
      <c r="B330" s="682"/>
      <c r="C330" s="682"/>
      <c r="D330" s="682"/>
      <c r="E330" s="682"/>
      <c r="F330" s="683"/>
      <c r="G330" s="648"/>
      <c r="H330" s="648"/>
      <c r="I330" s="648"/>
      <c r="J330" s="714">
        <f t="shared" si="18"/>
        <v>45808</v>
      </c>
      <c r="K330" s="715"/>
      <c r="L330" s="716"/>
      <c r="M330" s="648"/>
      <c r="N330" s="648"/>
      <c r="O330" s="648"/>
      <c r="P330" s="648"/>
      <c r="Q330" s="648"/>
      <c r="R330" s="647"/>
      <c r="S330" s="647"/>
      <c r="T330" s="647"/>
      <c r="U330" s="647"/>
      <c r="V330" s="647"/>
      <c r="W330" s="647"/>
      <c r="X330" s="647"/>
      <c r="Y330" s="647"/>
      <c r="Z330" s="647"/>
      <c r="AA330" s="647"/>
      <c r="AB330" s="647"/>
      <c r="AC330" s="647"/>
      <c r="AD330" s="647"/>
      <c r="AE330" s="647"/>
      <c r="AF330" s="647"/>
      <c r="AG330" s="647"/>
      <c r="AH330" s="647"/>
      <c r="AI330" s="647"/>
      <c r="AJ330" s="647"/>
      <c r="AK330" s="647"/>
      <c r="AL330" s="647"/>
      <c r="AM330" s="647"/>
    </row>
    <row r="331" spans="1:39" ht="14.1" customHeight="1"/>
    <row r="332" spans="1:39" ht="14.1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</row>
    <row r="333" spans="1:39" ht="14.1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</row>
    <row r="334" spans="1:39" ht="14.1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</row>
    <row r="335" spans="1:39" ht="14.1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</row>
    <row r="336" spans="1:39" ht="14.1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</row>
    <row r="337" spans="1:39" ht="14.1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</row>
    <row r="338" spans="1:39" ht="14.1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</row>
    <row r="339" spans="1:39" ht="8.4499999999999993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</row>
    <row r="340" spans="1:39" ht="14.1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</row>
    <row r="341" spans="1:39" ht="14.1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</row>
    <row r="342" spans="1:39" ht="8.4499999999999993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</row>
    <row r="343" spans="1:39" ht="14.1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</row>
    <row r="344" spans="1:39" ht="14.1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</row>
    <row r="345" spans="1:39" ht="8.4499999999999993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</row>
    <row r="346" spans="1:39" ht="14.1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</row>
    <row r="347" spans="1:39">
      <c r="A347" s="649" t="s">
        <v>748</v>
      </c>
      <c r="B347" s="649"/>
      <c r="C347" s="649"/>
      <c r="D347" s="649"/>
      <c r="E347" s="649"/>
      <c r="F347" s="649"/>
      <c r="G347" s="649"/>
      <c r="H347" s="649"/>
      <c r="I347" s="649"/>
      <c r="J347" s="649"/>
      <c r="K347" s="649"/>
      <c r="L347" s="649"/>
      <c r="M347" s="650" t="str">
        <f>VLOOKUP(AI348,'Contorizare in SDI'!$E:$I,4,FALSE)</f>
        <v>RO005E513431450/2</v>
      </c>
      <c r="N347" s="650"/>
      <c r="O347" s="650"/>
      <c r="P347" s="650"/>
      <c r="Q347" s="650"/>
      <c r="R347" s="650"/>
      <c r="S347" s="650"/>
      <c r="T347" s="650"/>
      <c r="U347" s="650"/>
      <c r="V347" s="650"/>
      <c r="W347" s="650"/>
      <c r="X347" s="650"/>
      <c r="Y347" s="650"/>
      <c r="Z347" s="650"/>
      <c r="AA347" s="650"/>
      <c r="AB347" s="650"/>
      <c r="AC347" s="650"/>
      <c r="AD347" s="650"/>
      <c r="AE347" s="650"/>
      <c r="AF347" s="650"/>
      <c r="AG347" s="650"/>
      <c r="AH347" s="650"/>
      <c r="AI347" s="650" t="s">
        <v>695</v>
      </c>
      <c r="AJ347" s="650"/>
      <c r="AK347" s="650"/>
      <c r="AL347" s="650"/>
      <c r="AM347" s="650"/>
    </row>
    <row r="348" spans="1:39">
      <c r="A348" s="649" t="s">
        <v>746</v>
      </c>
      <c r="B348" s="649"/>
      <c r="C348" s="649"/>
      <c r="D348" s="649"/>
      <c r="E348" s="649"/>
      <c r="F348" s="649"/>
      <c r="G348" s="649"/>
      <c r="H348" s="649"/>
      <c r="I348" s="649"/>
      <c r="J348" s="649"/>
      <c r="K348" s="649"/>
      <c r="L348" s="649"/>
      <c r="M348" s="650" t="str">
        <f>VLOOKUP(AI348,'Inchidere contur'!$G:$U,15,FALSE)</f>
        <v>JT_SDI</v>
      </c>
      <c r="N348" s="650"/>
      <c r="O348" s="650"/>
      <c r="P348" s="650"/>
      <c r="Q348" s="650"/>
      <c r="R348" s="650"/>
      <c r="S348" s="650"/>
      <c r="T348" s="650"/>
      <c r="U348" s="650"/>
      <c r="V348" s="650"/>
      <c r="W348" s="650"/>
      <c r="X348" s="650"/>
      <c r="Y348" s="650"/>
      <c r="Z348" s="650"/>
      <c r="AA348" s="650"/>
      <c r="AB348" s="650"/>
      <c r="AC348" s="650"/>
      <c r="AD348" s="650"/>
      <c r="AE348" s="650"/>
      <c r="AF348" s="650"/>
      <c r="AG348" s="650"/>
      <c r="AH348" s="650"/>
      <c r="AI348" s="619" t="str">
        <f>_xlfn.CONCAT(AA295,".",2)</f>
        <v>RTIM_2.2</v>
      </c>
      <c r="AJ348" s="619"/>
      <c r="AK348" s="619"/>
      <c r="AL348" s="619"/>
      <c r="AM348" s="619"/>
    </row>
    <row r="349" spans="1:39">
      <c r="A349" s="649" t="s">
        <v>747</v>
      </c>
      <c r="B349" s="649"/>
      <c r="C349" s="649"/>
      <c r="D349" s="649"/>
      <c r="E349" s="649"/>
      <c r="F349" s="649"/>
      <c r="G349" s="649"/>
      <c r="H349" s="649"/>
      <c r="I349" s="649"/>
      <c r="J349" s="649"/>
      <c r="K349" s="649"/>
      <c r="L349" s="649"/>
      <c r="M349" s="650" t="str">
        <f>IF(LEFT(M348,2)="JT","0.4kV",IF(LEFT(M348,2)="MT","20kV","-"))</f>
        <v>0.4kV</v>
      </c>
      <c r="N349" s="650"/>
      <c r="O349" s="650"/>
      <c r="P349" s="650"/>
      <c r="Q349" s="650"/>
      <c r="R349" s="650"/>
      <c r="S349" s="650"/>
      <c r="T349" s="650"/>
      <c r="U349" s="650"/>
      <c r="V349" s="650"/>
      <c r="W349" s="650"/>
      <c r="X349" s="650"/>
      <c r="Y349" s="650"/>
      <c r="Z349" s="650"/>
      <c r="AA349" s="650"/>
      <c r="AB349" s="650"/>
      <c r="AC349" s="650"/>
      <c r="AD349" s="650"/>
      <c r="AE349" s="650"/>
      <c r="AF349" s="650"/>
      <c r="AG349" s="650"/>
      <c r="AH349" s="650"/>
      <c r="AI349" s="619"/>
      <c r="AJ349" s="619"/>
      <c r="AK349" s="619"/>
      <c r="AL349" s="619"/>
      <c r="AM349" s="619"/>
    </row>
    <row r="350" spans="1:39" ht="15.95" customHeight="1">
      <c r="A350" s="648" t="s">
        <v>697</v>
      </c>
      <c r="B350" s="648"/>
      <c r="C350" s="648"/>
      <c r="D350" s="648"/>
      <c r="E350" s="648"/>
      <c r="F350" s="648"/>
      <c r="G350" s="647" t="s">
        <v>713</v>
      </c>
      <c r="H350" s="647"/>
      <c r="I350" s="647"/>
      <c r="J350" s="647" t="s">
        <v>714</v>
      </c>
      <c r="K350" s="647"/>
      <c r="L350" s="647"/>
      <c r="M350" s="648" t="s">
        <v>519</v>
      </c>
      <c r="N350" s="648"/>
      <c r="O350" s="648" t="s">
        <v>715</v>
      </c>
      <c r="P350" s="648"/>
      <c r="Q350" s="648"/>
      <c r="R350" s="647" t="s">
        <v>732</v>
      </c>
      <c r="S350" s="647"/>
      <c r="T350" s="647"/>
      <c r="U350" s="647" t="s">
        <v>734</v>
      </c>
      <c r="V350" s="647"/>
      <c r="W350" s="647"/>
      <c r="X350" s="647" t="s">
        <v>1085</v>
      </c>
      <c r="Y350" s="647"/>
      <c r="Z350" s="647"/>
      <c r="AA350" s="647" t="s">
        <v>1086</v>
      </c>
      <c r="AB350" s="647"/>
      <c r="AC350" s="647"/>
      <c r="AD350" s="647" t="s">
        <v>717</v>
      </c>
      <c r="AE350" s="647"/>
      <c r="AF350" s="647" t="s">
        <v>718</v>
      </c>
      <c r="AG350" s="647"/>
      <c r="AH350" s="647"/>
      <c r="AI350" s="647" t="s">
        <v>719</v>
      </c>
      <c r="AJ350" s="647"/>
      <c r="AK350" s="647" t="s">
        <v>733</v>
      </c>
      <c r="AL350" s="647"/>
      <c r="AM350" s="647"/>
    </row>
    <row r="351" spans="1:39">
      <c r="A351" s="648"/>
      <c r="B351" s="648"/>
      <c r="C351" s="648"/>
      <c r="D351" s="648"/>
      <c r="E351" s="648"/>
      <c r="F351" s="648"/>
      <c r="G351" s="647"/>
      <c r="H351" s="647"/>
      <c r="I351" s="647"/>
      <c r="J351" s="647"/>
      <c r="K351" s="647"/>
      <c r="L351" s="647"/>
      <c r="M351" s="648"/>
      <c r="N351" s="648"/>
      <c r="O351" s="648"/>
      <c r="P351" s="648"/>
      <c r="Q351" s="648"/>
      <c r="R351" s="647"/>
      <c r="S351" s="647"/>
      <c r="T351" s="647"/>
      <c r="U351" s="647"/>
      <c r="V351" s="647"/>
      <c r="W351" s="647"/>
      <c r="X351" s="647"/>
      <c r="Y351" s="647"/>
      <c r="Z351" s="647"/>
      <c r="AA351" s="647"/>
      <c r="AB351" s="647"/>
      <c r="AC351" s="647"/>
      <c r="AD351" s="647"/>
      <c r="AE351" s="647"/>
      <c r="AF351" s="647"/>
      <c r="AG351" s="647"/>
      <c r="AH351" s="647"/>
      <c r="AI351" s="647"/>
      <c r="AJ351" s="647"/>
      <c r="AK351" s="647"/>
      <c r="AL351" s="647"/>
      <c r="AM351" s="647"/>
    </row>
    <row r="352" spans="1:39">
      <c r="A352" s="648"/>
      <c r="B352" s="648"/>
      <c r="C352" s="648"/>
      <c r="D352" s="648"/>
      <c r="E352" s="648"/>
      <c r="F352" s="648"/>
      <c r="G352" s="647"/>
      <c r="H352" s="647"/>
      <c r="I352" s="647"/>
      <c r="J352" s="713"/>
      <c r="K352" s="713"/>
      <c r="L352" s="713"/>
      <c r="M352" s="648"/>
      <c r="N352" s="648"/>
      <c r="O352" s="648"/>
      <c r="P352" s="648"/>
      <c r="Q352" s="648"/>
      <c r="R352" s="647"/>
      <c r="S352" s="647"/>
      <c r="T352" s="647"/>
      <c r="U352" s="647"/>
      <c r="V352" s="647"/>
      <c r="W352" s="647"/>
      <c r="X352" s="647"/>
      <c r="Y352" s="647"/>
      <c r="Z352" s="647"/>
      <c r="AA352" s="647"/>
      <c r="AB352" s="647"/>
      <c r="AC352" s="647"/>
      <c r="AD352" s="647"/>
      <c r="AE352" s="647"/>
      <c r="AF352" s="647"/>
      <c r="AG352" s="647"/>
      <c r="AH352" s="647"/>
      <c r="AI352" s="647"/>
      <c r="AJ352" s="647"/>
      <c r="AK352" s="647"/>
      <c r="AL352" s="647"/>
      <c r="AM352" s="647"/>
    </row>
    <row r="353" spans="1:39" ht="14.1" customHeight="1">
      <c r="A353" s="678" t="str">
        <f>VLOOKUP(AI348,'Contorizare in SDI'!$E:$I,5,FALSE)</f>
        <v>V.15G90220110064591/2</v>
      </c>
      <c r="B353" s="679"/>
      <c r="C353" s="679"/>
      <c r="D353" s="679"/>
      <c r="E353" s="679"/>
      <c r="F353" s="680"/>
      <c r="G353" s="648" t="s">
        <v>730</v>
      </c>
      <c r="H353" s="648"/>
      <c r="I353" s="673"/>
      <c r="J353" s="655">
        <f>'Date masura OD'!$AK$5</f>
        <v>45748</v>
      </c>
      <c r="K353" s="656"/>
      <c r="L353" s="657"/>
      <c r="M353" s="720" t="s">
        <v>446</v>
      </c>
      <c r="N353" s="648"/>
      <c r="O353" s="648">
        <f>VLOOKUP(AI348,'Incrementare indexe'!$B:$T,4,FALSE)</f>
        <v>1</v>
      </c>
      <c r="P353" s="648"/>
      <c r="Q353" s="648"/>
      <c r="R353" s="647" t="str">
        <f>VLOOKUP(A353,Regularizare!$D:$YN,3,FALSE)&amp;" ("&amp;VLOOKUP(A353,Regularizare!$D:$Y,11,FALSE)&amp;")"</f>
        <v>0 (citit)</v>
      </c>
      <c r="S353" s="647"/>
      <c r="T353" s="647"/>
      <c r="U353" s="647" t="str">
        <f>VLOOKUP(A353,Regularizare!$D:$U,4,FALSE)&amp;" ("&amp;VLOOKUP(A353,Regularizare!$D:$U,12,FALSE)&amp;")"</f>
        <v>0 (estimat)</v>
      </c>
      <c r="V353" s="647"/>
      <c r="W353" s="647"/>
      <c r="X353" s="647" t="str">
        <f>VLOOKUP(A353,Regularizare!$D:$Y,19,FALSE)&amp;" ("&amp;VLOOKUP(A353,Regularizare!$D:$U,12,FALSE)&amp;")"</f>
        <v>0 (estimat)</v>
      </c>
      <c r="Y353" s="647"/>
      <c r="Z353" s="647"/>
      <c r="AA353" s="647">
        <f>(-1)*VLOOKUP(A353,Regularizare!$D:$Y,19,FALSE)</f>
        <v>0</v>
      </c>
      <c r="AB353" s="647"/>
      <c r="AC353" s="647"/>
      <c r="AD353" s="647" t="s">
        <v>69</v>
      </c>
      <c r="AE353" s="647"/>
      <c r="AF353" s="647">
        <f>AA353</f>
        <v>0</v>
      </c>
      <c r="AG353" s="647"/>
      <c r="AH353" s="647"/>
      <c r="AI353" s="647" t="s">
        <v>69</v>
      </c>
      <c r="AJ353" s="647"/>
      <c r="AK353" s="647" t="s">
        <v>69</v>
      </c>
      <c r="AL353" s="647"/>
      <c r="AM353" s="647"/>
    </row>
    <row r="354" spans="1:39" ht="9.75" customHeight="1">
      <c r="A354" s="717"/>
      <c r="B354" s="718"/>
      <c r="C354" s="718"/>
      <c r="D354" s="718"/>
      <c r="E354" s="718"/>
      <c r="F354" s="719"/>
      <c r="G354" s="648"/>
      <c r="H354" s="648"/>
      <c r="I354" s="673"/>
      <c r="J354" s="717" t="s">
        <v>69</v>
      </c>
      <c r="K354" s="718"/>
      <c r="L354" s="719"/>
      <c r="M354" s="720"/>
      <c r="N354" s="648"/>
      <c r="O354" s="648"/>
      <c r="P354" s="648"/>
      <c r="Q354" s="648"/>
      <c r="R354" s="647"/>
      <c r="S354" s="647"/>
      <c r="T354" s="647"/>
      <c r="U354" s="647"/>
      <c r="V354" s="647"/>
      <c r="W354" s="647"/>
      <c r="X354" s="647"/>
      <c r="Y354" s="647"/>
      <c r="Z354" s="647"/>
      <c r="AA354" s="647"/>
      <c r="AB354" s="647"/>
      <c r="AC354" s="647"/>
      <c r="AD354" s="647"/>
      <c r="AE354" s="647"/>
      <c r="AF354" s="647"/>
      <c r="AG354" s="647"/>
      <c r="AH354" s="647"/>
      <c r="AI354" s="647"/>
      <c r="AJ354" s="647"/>
      <c r="AK354" s="647"/>
      <c r="AL354" s="647"/>
      <c r="AM354" s="647"/>
    </row>
    <row r="355" spans="1:39" ht="14.1" customHeight="1">
      <c r="A355" s="681"/>
      <c r="B355" s="682"/>
      <c r="C355" s="682"/>
      <c r="D355" s="682"/>
      <c r="E355" s="682"/>
      <c r="F355" s="683"/>
      <c r="G355" s="648"/>
      <c r="H355" s="648"/>
      <c r="I355" s="673"/>
      <c r="J355" s="714">
        <f>'Date masura OD'!$AL$5</f>
        <v>45777</v>
      </c>
      <c r="K355" s="715"/>
      <c r="L355" s="716"/>
      <c r="M355" s="720"/>
      <c r="N355" s="648"/>
      <c r="O355" s="648"/>
      <c r="P355" s="648"/>
      <c r="Q355" s="648"/>
      <c r="R355" s="647"/>
      <c r="S355" s="647"/>
      <c r="T355" s="647"/>
      <c r="U355" s="647"/>
      <c r="V355" s="647"/>
      <c r="W355" s="647"/>
      <c r="X355" s="647"/>
      <c r="Y355" s="647"/>
      <c r="Z355" s="647"/>
      <c r="AA355" s="647"/>
      <c r="AB355" s="647"/>
      <c r="AC355" s="647"/>
      <c r="AD355" s="647"/>
      <c r="AE355" s="647"/>
      <c r="AF355" s="647"/>
      <c r="AG355" s="647"/>
      <c r="AH355" s="647"/>
      <c r="AI355" s="647"/>
      <c r="AJ355" s="647"/>
      <c r="AK355" s="647"/>
      <c r="AL355" s="647"/>
      <c r="AM355" s="647"/>
    </row>
    <row r="356" spans="1:39" ht="14.1" customHeight="1">
      <c r="A356" s="678" t="str">
        <f>A353</f>
        <v>V.15G90220110064591/2</v>
      </c>
      <c r="B356" s="679"/>
      <c r="C356" s="679"/>
      <c r="D356" s="679"/>
      <c r="E356" s="679"/>
      <c r="F356" s="680"/>
      <c r="G356" s="648" t="s">
        <v>696</v>
      </c>
      <c r="H356" s="648"/>
      <c r="I356" s="648"/>
      <c r="J356" s="655">
        <f t="shared" ref="J356:J361" si="19">J353</f>
        <v>45748</v>
      </c>
      <c r="K356" s="656"/>
      <c r="L356" s="657"/>
      <c r="M356" s="648" t="s">
        <v>720</v>
      </c>
      <c r="N356" s="648"/>
      <c r="O356" s="648">
        <f>O353</f>
        <v>1</v>
      </c>
      <c r="P356" s="648"/>
      <c r="Q356" s="648"/>
      <c r="R356" s="647" t="str">
        <f>VLOOKUP(A356,Regularizare!$D:$U,7,FALSE)&amp;" ("&amp;VLOOKUP(A356,Regularizare!$D:$U,15,FALSE)&amp;")"</f>
        <v>0 (citit)</v>
      </c>
      <c r="S356" s="647"/>
      <c r="T356" s="647"/>
      <c r="U356" s="647" t="str">
        <f>VLOOKUP(A356,Regularizare!$D:$U,8,FALSE)&amp;" ("&amp;VLOOKUP(A356,Regularizare!$D:$U,16,FALSE)&amp;")"</f>
        <v>0 (estimat)</v>
      </c>
      <c r="V356" s="647"/>
      <c r="W356" s="647"/>
      <c r="X356" s="647" t="str">
        <f>_xlfn.CONCAT(VLOOKUP(A356,Regularizare!$D:$U,8,FALSE)-VLOOKUP(A356,Regularizare!$D:$U,7,FALSE)," (",VLOOKUP(A356,Regularizare!$D:$U,16,FALSE),")")</f>
        <v>0 (estimat)</v>
      </c>
      <c r="Y356" s="647"/>
      <c r="Z356" s="647"/>
      <c r="AA356" s="647">
        <f>IF(VLOOKUP(A356,Regularizare!$D:$Y,21,FALSE)=0,VLOOKUP(A356,Regularizare!$D:$Y,21,FALSE),(-1)*VLOOKUP(A356,Regularizare!$D:$Y,21,FALSE))</f>
        <v>0</v>
      </c>
      <c r="AB356" s="647"/>
      <c r="AC356" s="647"/>
      <c r="AD356" s="647" t="s">
        <v>69</v>
      </c>
      <c r="AE356" s="647"/>
      <c r="AF356" s="647">
        <f>AA356</f>
        <v>0</v>
      </c>
      <c r="AG356" s="647"/>
      <c r="AH356" s="647"/>
      <c r="AI356" s="647" t="str">
        <f>AI353</f>
        <v>-</v>
      </c>
      <c r="AJ356" s="647"/>
      <c r="AK356" s="647" t="str">
        <f>AK353</f>
        <v>-</v>
      </c>
      <c r="AL356" s="647"/>
      <c r="AM356" s="647"/>
    </row>
    <row r="357" spans="1:39" ht="8.4499999999999993" customHeight="1">
      <c r="A357" s="717"/>
      <c r="B357" s="718"/>
      <c r="C357" s="718"/>
      <c r="D357" s="718"/>
      <c r="E357" s="718"/>
      <c r="F357" s="719"/>
      <c r="G357" s="648"/>
      <c r="H357" s="648"/>
      <c r="I357" s="648"/>
      <c r="J357" s="717" t="str">
        <f t="shared" si="19"/>
        <v>-</v>
      </c>
      <c r="K357" s="718"/>
      <c r="L357" s="719"/>
      <c r="M357" s="648"/>
      <c r="N357" s="648"/>
      <c r="O357" s="648"/>
      <c r="P357" s="648"/>
      <c r="Q357" s="648"/>
      <c r="R357" s="647"/>
      <c r="S357" s="647"/>
      <c r="T357" s="647"/>
      <c r="U357" s="647"/>
      <c r="V357" s="647"/>
      <c r="W357" s="647"/>
      <c r="X357" s="647"/>
      <c r="Y357" s="647"/>
      <c r="Z357" s="647"/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</row>
    <row r="358" spans="1:39" ht="14.1" customHeight="1">
      <c r="A358" s="681"/>
      <c r="B358" s="682"/>
      <c r="C358" s="682"/>
      <c r="D358" s="682"/>
      <c r="E358" s="682"/>
      <c r="F358" s="683"/>
      <c r="G358" s="648"/>
      <c r="H358" s="648"/>
      <c r="I358" s="648"/>
      <c r="J358" s="714">
        <f t="shared" si="19"/>
        <v>45777</v>
      </c>
      <c r="K358" s="715"/>
      <c r="L358" s="716"/>
      <c r="M358" s="648"/>
      <c r="N358" s="648"/>
      <c r="O358" s="648"/>
      <c r="P358" s="648"/>
      <c r="Q358" s="648"/>
      <c r="R358" s="647"/>
      <c r="S358" s="647"/>
      <c r="T358" s="647"/>
      <c r="U358" s="647"/>
      <c r="V358" s="647"/>
      <c r="W358" s="647"/>
      <c r="X358" s="647"/>
      <c r="Y358" s="647"/>
      <c r="Z358" s="647"/>
      <c r="AA358" s="647"/>
      <c r="AB358" s="647"/>
      <c r="AC358" s="647"/>
      <c r="AD358" s="647"/>
      <c r="AE358" s="647"/>
      <c r="AF358" s="647"/>
      <c r="AG358" s="647"/>
      <c r="AH358" s="647"/>
      <c r="AI358" s="647"/>
      <c r="AJ358" s="647"/>
      <c r="AK358" s="647"/>
      <c r="AL358" s="647"/>
      <c r="AM358" s="647"/>
    </row>
    <row r="359" spans="1:39" ht="14.1" customHeight="1">
      <c r="A359" s="678" t="str">
        <f>A356</f>
        <v>V.15G90220110064591/2</v>
      </c>
      <c r="B359" s="679"/>
      <c r="C359" s="679"/>
      <c r="D359" s="679"/>
      <c r="E359" s="679"/>
      <c r="F359" s="680"/>
      <c r="G359" s="648" t="s">
        <v>731</v>
      </c>
      <c r="H359" s="648"/>
      <c r="I359" s="648"/>
      <c r="J359" s="655">
        <f t="shared" si="19"/>
        <v>45748</v>
      </c>
      <c r="K359" s="656"/>
      <c r="L359" s="657"/>
      <c r="M359" s="648" t="s">
        <v>720</v>
      </c>
      <c r="N359" s="648"/>
      <c r="O359" s="648">
        <f>O356</f>
        <v>1</v>
      </c>
      <c r="P359" s="648"/>
      <c r="Q359" s="648"/>
      <c r="R359" s="647" t="str">
        <f>VLOOKUP(A359,Regularizare!$D:$U,9,FALSE)&amp;" ("&amp;VLOOKUP(A359,Regularizare!$D:$U,17,FALSE)&amp;")"</f>
        <v>32 (citit)</v>
      </c>
      <c r="S359" s="647"/>
      <c r="T359" s="647"/>
      <c r="U359" s="647" t="str">
        <f>VLOOKUP(A359,Regularizare!$D:$U,10,FALSE)&amp;" ("&amp;VLOOKUP(A359,Regularizare!$D:$U,18,FALSE)&amp;")"</f>
        <v>32 (estimat)</v>
      </c>
      <c r="V359" s="647"/>
      <c r="W359" s="647"/>
      <c r="X359" s="647" t="str">
        <f>_xlfn.CONCAT(VLOOKUP(A359,Regularizare!$D:$U,10,FALSE)-VLOOKUP(A359,Regularizare!$D:$U,9,FALSE)," (",VLOOKUP(A359,Regularizare!$D:$U,18,FALSE),")")</f>
        <v>0 (estimat)</v>
      </c>
      <c r="Y359" s="647"/>
      <c r="Z359" s="647"/>
      <c r="AA359" s="647">
        <f>IF(VLOOKUP(A359,Regularizare!$D:$Y,22,FALSE)=0,VLOOKUP(A359,Regularizare!$D:$Y,22,FALSE),(-1)*VLOOKUP(A359,Regularizare!$D:$Y,22,FALSE))</f>
        <v>0</v>
      </c>
      <c r="AB359" s="647"/>
      <c r="AC359" s="647"/>
      <c r="AD359" s="647" t="s">
        <v>69</v>
      </c>
      <c r="AE359" s="647"/>
      <c r="AF359" s="647">
        <f>AA359</f>
        <v>0</v>
      </c>
      <c r="AG359" s="647"/>
      <c r="AH359" s="647"/>
      <c r="AI359" s="647" t="str">
        <f>AI356</f>
        <v>-</v>
      </c>
      <c r="AJ359" s="647"/>
      <c r="AK359" s="647" t="str">
        <f>AK356</f>
        <v>-</v>
      </c>
      <c r="AL359" s="647"/>
      <c r="AM359" s="647"/>
    </row>
    <row r="360" spans="1:39" ht="8.4499999999999993" customHeight="1">
      <c r="A360" s="717"/>
      <c r="B360" s="718"/>
      <c r="C360" s="718"/>
      <c r="D360" s="718"/>
      <c r="E360" s="718"/>
      <c r="F360" s="719"/>
      <c r="G360" s="648"/>
      <c r="H360" s="648"/>
      <c r="I360" s="648"/>
      <c r="J360" s="717" t="str">
        <f t="shared" si="19"/>
        <v>-</v>
      </c>
      <c r="K360" s="718"/>
      <c r="L360" s="719"/>
      <c r="M360" s="648"/>
      <c r="N360" s="648"/>
      <c r="O360" s="648"/>
      <c r="P360" s="648"/>
      <c r="Q360" s="648"/>
      <c r="R360" s="647"/>
      <c r="S360" s="647"/>
      <c r="T360" s="647"/>
      <c r="U360" s="647"/>
      <c r="V360" s="647"/>
      <c r="W360" s="647"/>
      <c r="X360" s="647"/>
      <c r="Y360" s="647"/>
      <c r="Z360" s="647"/>
      <c r="AA360" s="647"/>
      <c r="AB360" s="647"/>
      <c r="AC360" s="647"/>
      <c r="AD360" s="647"/>
      <c r="AE360" s="647"/>
      <c r="AF360" s="647"/>
      <c r="AG360" s="647"/>
      <c r="AH360" s="647"/>
      <c r="AI360" s="647"/>
      <c r="AJ360" s="647"/>
      <c r="AK360" s="647"/>
      <c r="AL360" s="647"/>
      <c r="AM360" s="647"/>
    </row>
    <row r="361" spans="1:39" ht="14.1" customHeight="1">
      <c r="A361" s="681"/>
      <c r="B361" s="682"/>
      <c r="C361" s="682"/>
      <c r="D361" s="682"/>
      <c r="E361" s="682"/>
      <c r="F361" s="683"/>
      <c r="G361" s="648"/>
      <c r="H361" s="648"/>
      <c r="I361" s="648"/>
      <c r="J361" s="714">
        <f t="shared" si="19"/>
        <v>45777</v>
      </c>
      <c r="K361" s="715"/>
      <c r="L361" s="716"/>
      <c r="M361" s="648"/>
      <c r="N361" s="648"/>
      <c r="O361" s="648"/>
      <c r="P361" s="648"/>
      <c r="Q361" s="648"/>
      <c r="R361" s="647"/>
      <c r="S361" s="647"/>
      <c r="T361" s="647"/>
      <c r="U361" s="647"/>
      <c r="V361" s="647"/>
      <c r="W361" s="647"/>
      <c r="X361" s="647"/>
      <c r="Y361" s="647"/>
      <c r="Z361" s="647"/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</row>
    <row r="362" spans="1:39" ht="14.1" customHeight="1">
      <c r="A362" s="678" t="str">
        <f>A359</f>
        <v>V.15G90220110064591/2</v>
      </c>
      <c r="B362" s="679"/>
      <c r="C362" s="679"/>
      <c r="D362" s="679"/>
      <c r="E362" s="679"/>
      <c r="F362" s="680"/>
      <c r="G362" s="648" t="s">
        <v>730</v>
      </c>
      <c r="H362" s="648"/>
      <c r="I362" s="673"/>
      <c r="J362" s="655">
        <f>'Date masura OD'!$AK$5</f>
        <v>45748</v>
      </c>
      <c r="K362" s="656"/>
      <c r="L362" s="657"/>
      <c r="M362" s="720" t="s">
        <v>446</v>
      </c>
      <c r="N362" s="648"/>
      <c r="O362" s="648">
        <f>O359</f>
        <v>1</v>
      </c>
      <c r="P362" s="648"/>
      <c r="Q362" s="648"/>
      <c r="R362" s="647" t="str">
        <f>VLOOKUP(A362,Regularizare!$D:$AX,23,FALSE)&amp;" ("&amp;VLOOKUP(A362,Regularizare!$D:$AX,24,FALSE)&amp;")"</f>
        <v>0 (citit)</v>
      </c>
      <c r="S362" s="647"/>
      <c r="T362" s="647"/>
      <c r="U362" s="647" t="str">
        <f>VLOOKUP(A362,Regularizare!$D:$AX,25,FALSE)&amp;" ("&amp;VLOOKUP(A362,Regularizare!$D:$AX,26,FALSE)&amp;")"</f>
        <v>0 (citit)</v>
      </c>
      <c r="V362" s="647"/>
      <c r="W362" s="647"/>
      <c r="X362" s="647" t="str">
        <f>VLOOKUP(A362,Regularizare!$D:$AX,37,FALSE)&amp;" ("&amp;VLOOKUP(A362,Regularizare!$D:$AX,26,FALSE)&amp;")"</f>
        <v>0 (citit)</v>
      </c>
      <c r="Y362" s="647"/>
      <c r="Z362" s="647"/>
      <c r="AA362" s="647">
        <f>VLOOKUP(A362,Regularizare!$D:$AX,37,FALSE)</f>
        <v>0</v>
      </c>
      <c r="AB362" s="647"/>
      <c r="AC362" s="647"/>
      <c r="AD362" s="647" t="s">
        <v>69</v>
      </c>
      <c r="AE362" s="647"/>
      <c r="AF362" s="647">
        <f>AA362</f>
        <v>0</v>
      </c>
      <c r="AG362" s="647"/>
      <c r="AH362" s="647"/>
      <c r="AI362" s="647" t="str">
        <f>AI359</f>
        <v>-</v>
      </c>
      <c r="AJ362" s="647"/>
      <c r="AK362" s="647" t="str">
        <f>AK359</f>
        <v>-</v>
      </c>
      <c r="AL362" s="647"/>
      <c r="AM362" s="647"/>
    </row>
    <row r="363" spans="1:39" ht="8.4499999999999993" customHeight="1">
      <c r="A363" s="717"/>
      <c r="B363" s="718"/>
      <c r="C363" s="718"/>
      <c r="D363" s="718"/>
      <c r="E363" s="718"/>
      <c r="F363" s="719"/>
      <c r="G363" s="648"/>
      <c r="H363" s="648"/>
      <c r="I363" s="673"/>
      <c r="J363" s="717" t="s">
        <v>69</v>
      </c>
      <c r="K363" s="718"/>
      <c r="L363" s="719"/>
      <c r="M363" s="720"/>
      <c r="N363" s="648"/>
      <c r="O363" s="648"/>
      <c r="P363" s="648"/>
      <c r="Q363" s="648"/>
      <c r="R363" s="647"/>
      <c r="S363" s="647"/>
      <c r="T363" s="647"/>
      <c r="U363" s="647"/>
      <c r="V363" s="647"/>
      <c r="W363" s="647"/>
      <c r="X363" s="647"/>
      <c r="Y363" s="647"/>
      <c r="Z363" s="647"/>
      <c r="AA363" s="647"/>
      <c r="AB363" s="647"/>
      <c r="AC363" s="647"/>
      <c r="AD363" s="647"/>
      <c r="AE363" s="647"/>
      <c r="AF363" s="647"/>
      <c r="AG363" s="647"/>
      <c r="AH363" s="647"/>
      <c r="AI363" s="647"/>
      <c r="AJ363" s="647"/>
      <c r="AK363" s="647"/>
      <c r="AL363" s="647"/>
      <c r="AM363" s="647"/>
    </row>
    <row r="364" spans="1:39" ht="14.1" customHeight="1">
      <c r="A364" s="681"/>
      <c r="B364" s="682"/>
      <c r="C364" s="682"/>
      <c r="D364" s="682"/>
      <c r="E364" s="682"/>
      <c r="F364" s="683"/>
      <c r="G364" s="648"/>
      <c r="H364" s="648"/>
      <c r="I364" s="673"/>
      <c r="J364" s="714">
        <f>'Date masura OD'!$AL$5</f>
        <v>45777</v>
      </c>
      <c r="K364" s="715"/>
      <c r="L364" s="716"/>
      <c r="M364" s="720"/>
      <c r="N364" s="648"/>
      <c r="O364" s="648"/>
      <c r="P364" s="648"/>
      <c r="Q364" s="648"/>
      <c r="R364" s="647"/>
      <c r="S364" s="647"/>
      <c r="T364" s="647"/>
      <c r="U364" s="647"/>
      <c r="V364" s="647"/>
      <c r="W364" s="647"/>
      <c r="X364" s="647"/>
      <c r="Y364" s="647"/>
      <c r="Z364" s="647"/>
      <c r="AA364" s="647"/>
      <c r="AB364" s="647"/>
      <c r="AC364" s="647"/>
      <c r="AD364" s="647"/>
      <c r="AE364" s="647"/>
      <c r="AF364" s="647"/>
      <c r="AG364" s="647"/>
      <c r="AH364" s="647"/>
      <c r="AI364" s="647"/>
      <c r="AJ364" s="647"/>
      <c r="AK364" s="647"/>
      <c r="AL364" s="647"/>
      <c r="AM364" s="647"/>
    </row>
    <row r="365" spans="1:39" ht="14.1" customHeight="1">
      <c r="A365" s="678" t="str">
        <f>A362</f>
        <v>V.15G90220110064591/2</v>
      </c>
      <c r="B365" s="679"/>
      <c r="C365" s="679"/>
      <c r="D365" s="679"/>
      <c r="E365" s="679"/>
      <c r="F365" s="680"/>
      <c r="G365" s="648" t="s">
        <v>696</v>
      </c>
      <c r="H365" s="648"/>
      <c r="I365" s="648"/>
      <c r="J365" s="655">
        <f t="shared" ref="J365:J370" si="20">J362</f>
        <v>45748</v>
      </c>
      <c r="K365" s="656"/>
      <c r="L365" s="657"/>
      <c r="M365" s="648" t="s">
        <v>720</v>
      </c>
      <c r="N365" s="648"/>
      <c r="O365" s="648">
        <f>O362</f>
        <v>1</v>
      </c>
      <c r="P365" s="648"/>
      <c r="Q365" s="648"/>
      <c r="R365" s="647" t="str">
        <f>VLOOKUP(A365,Regularizare!$D:$AX,29,FALSE)&amp;" ("&amp;VLOOKUP(A365,Regularizare!$D:$AX,30,FALSE)&amp;")"</f>
        <v>0 (citit)</v>
      </c>
      <c r="S365" s="647"/>
      <c r="T365" s="647"/>
      <c r="U365" s="647" t="str">
        <f>VLOOKUP(A365,Regularizare!$D:$AX,31,FALSE)&amp;" ("&amp;VLOOKUP(A365,Regularizare!$D:$AX,32,FALSE)&amp;")"</f>
        <v>0 (citit)</v>
      </c>
      <c r="V365" s="647"/>
      <c r="W365" s="647"/>
      <c r="X365" s="647" t="str">
        <f>VLOOKUP(A365,Regularizare!$D:$AX,39,FALSE)&amp;" ("&amp;VLOOKUP(A365,Regularizare!$D:$AX,32,FALSE)&amp;")"</f>
        <v>0 (citit)</v>
      </c>
      <c r="Y365" s="647"/>
      <c r="Z365" s="647"/>
      <c r="AA365" s="647">
        <f>VLOOKUP(A365,Regularizare!$D:$AX,44,FALSE)+VLOOKUP(A365,Regularizare!$D:$AX,45,FALSE)</f>
        <v>0</v>
      </c>
      <c r="AB365" s="647"/>
      <c r="AC365" s="647"/>
      <c r="AD365" s="647" t="s">
        <v>69</v>
      </c>
      <c r="AE365" s="647"/>
      <c r="AF365" s="647">
        <f>AA365</f>
        <v>0</v>
      </c>
      <c r="AG365" s="647"/>
      <c r="AH365" s="647"/>
      <c r="AI365" s="647" t="str">
        <f>AI362</f>
        <v>-</v>
      </c>
      <c r="AJ365" s="647"/>
      <c r="AK365" s="647" t="str">
        <f>AK362</f>
        <v>-</v>
      </c>
      <c r="AL365" s="647"/>
      <c r="AM365" s="647"/>
    </row>
    <row r="366" spans="1:39" ht="8.4499999999999993" customHeight="1">
      <c r="A366" s="717"/>
      <c r="B366" s="718"/>
      <c r="C366" s="718"/>
      <c r="D366" s="718"/>
      <c r="E366" s="718"/>
      <c r="F366" s="719"/>
      <c r="G366" s="648"/>
      <c r="H366" s="648"/>
      <c r="I366" s="648"/>
      <c r="J366" s="717" t="str">
        <f t="shared" si="20"/>
        <v>-</v>
      </c>
      <c r="K366" s="718"/>
      <c r="L366" s="719"/>
      <c r="M366" s="648"/>
      <c r="N366" s="648"/>
      <c r="O366" s="648"/>
      <c r="P366" s="648"/>
      <c r="Q366" s="648"/>
      <c r="R366" s="647"/>
      <c r="S366" s="647"/>
      <c r="T366" s="647"/>
      <c r="U366" s="647"/>
      <c r="V366" s="647"/>
      <c r="W366" s="647"/>
      <c r="X366" s="647"/>
      <c r="Y366" s="647"/>
      <c r="Z366" s="647"/>
      <c r="AA366" s="647"/>
      <c r="AB366" s="647"/>
      <c r="AC366" s="647"/>
      <c r="AD366" s="647"/>
      <c r="AE366" s="647"/>
      <c r="AF366" s="647"/>
      <c r="AG366" s="647"/>
      <c r="AH366" s="647"/>
      <c r="AI366" s="647"/>
      <c r="AJ366" s="647"/>
      <c r="AK366" s="647"/>
      <c r="AL366" s="647"/>
      <c r="AM366" s="647"/>
    </row>
    <row r="367" spans="1:39" ht="14.1" customHeight="1">
      <c r="A367" s="681"/>
      <c r="B367" s="682"/>
      <c r="C367" s="682"/>
      <c r="D367" s="682"/>
      <c r="E367" s="682"/>
      <c r="F367" s="683"/>
      <c r="G367" s="648"/>
      <c r="H367" s="648"/>
      <c r="I367" s="648"/>
      <c r="J367" s="714">
        <f t="shared" si="20"/>
        <v>45777</v>
      </c>
      <c r="K367" s="715"/>
      <c r="L367" s="716"/>
      <c r="M367" s="648"/>
      <c r="N367" s="648"/>
      <c r="O367" s="648"/>
      <c r="P367" s="648"/>
      <c r="Q367" s="648"/>
      <c r="R367" s="647"/>
      <c r="S367" s="647"/>
      <c r="T367" s="647"/>
      <c r="U367" s="647"/>
      <c r="V367" s="647"/>
      <c r="W367" s="647"/>
      <c r="X367" s="647"/>
      <c r="Y367" s="647"/>
      <c r="Z367" s="647"/>
      <c r="AA367" s="647"/>
      <c r="AB367" s="647"/>
      <c r="AC367" s="647"/>
      <c r="AD367" s="647"/>
      <c r="AE367" s="647"/>
      <c r="AF367" s="647"/>
      <c r="AG367" s="647"/>
      <c r="AH367" s="647"/>
      <c r="AI367" s="647"/>
      <c r="AJ367" s="647"/>
      <c r="AK367" s="647"/>
      <c r="AL367" s="647"/>
      <c r="AM367" s="647"/>
    </row>
    <row r="368" spans="1:39" ht="14.1" customHeight="1">
      <c r="A368" s="678" t="str">
        <f>A365</f>
        <v>V.15G90220110064591/2</v>
      </c>
      <c r="B368" s="679"/>
      <c r="C368" s="679"/>
      <c r="D368" s="679"/>
      <c r="E368" s="679"/>
      <c r="F368" s="680"/>
      <c r="G368" s="648" t="s">
        <v>731</v>
      </c>
      <c r="H368" s="648"/>
      <c r="I368" s="648"/>
      <c r="J368" s="655">
        <f t="shared" si="20"/>
        <v>45748</v>
      </c>
      <c r="K368" s="656"/>
      <c r="L368" s="657"/>
      <c r="M368" s="648" t="s">
        <v>720</v>
      </c>
      <c r="N368" s="648"/>
      <c r="O368" s="648">
        <f>O365</f>
        <v>1</v>
      </c>
      <c r="P368" s="648"/>
      <c r="Q368" s="648"/>
      <c r="R368" s="647" t="str">
        <f>VLOOKUP(A368,Regularizare!$D:$AX,33,FALSE)&amp;" ("&amp;VLOOKUP(A368,Regularizare!$D:$AX,34,FALSE)&amp;")"</f>
        <v>32 (citit)</v>
      </c>
      <c r="S368" s="647"/>
      <c r="T368" s="647"/>
      <c r="U368" s="647" t="str">
        <f>VLOOKUP(A368,Regularizare!$D:$AX,35,FALSE)&amp;" ("&amp;VLOOKUP(A368,Regularizare!$D:$AX,36,FALSE)&amp;")"</f>
        <v>32 (citit)</v>
      </c>
      <c r="V368" s="647"/>
      <c r="W368" s="647"/>
      <c r="X368" s="647" t="str">
        <f>VLOOKUP(A368,Regularizare!$D:$AX,40,FALSE)&amp;" ("&amp;VLOOKUP(A368,Regularizare!$D:$AX,36,FALSE)&amp;")"</f>
        <v>0 (citit)</v>
      </c>
      <c r="Y368" s="647"/>
      <c r="Z368" s="647"/>
      <c r="AA368" s="647">
        <f>VLOOKUP(A368,Regularizare!$D:$AX,46,FALSE)+VLOOKUP(A368,Regularizare!$D:$AX,47,FALSE)</f>
        <v>0</v>
      </c>
      <c r="AB368" s="647"/>
      <c r="AC368" s="647"/>
      <c r="AD368" s="647" t="s">
        <v>69</v>
      </c>
      <c r="AE368" s="647"/>
      <c r="AF368" s="647">
        <f>AA368</f>
        <v>0</v>
      </c>
      <c r="AG368" s="647"/>
      <c r="AH368" s="647"/>
      <c r="AI368" s="647" t="str">
        <f>AI365</f>
        <v>-</v>
      </c>
      <c r="AJ368" s="647"/>
      <c r="AK368" s="647" t="str">
        <f>AK365</f>
        <v>-</v>
      </c>
      <c r="AL368" s="647"/>
      <c r="AM368" s="647"/>
    </row>
    <row r="369" spans="1:39" ht="8.4499999999999993" customHeight="1">
      <c r="A369" s="717"/>
      <c r="B369" s="718"/>
      <c r="C369" s="718"/>
      <c r="D369" s="718"/>
      <c r="E369" s="718"/>
      <c r="F369" s="719"/>
      <c r="G369" s="648"/>
      <c r="H369" s="648"/>
      <c r="I369" s="648"/>
      <c r="J369" s="717" t="str">
        <f t="shared" si="20"/>
        <v>-</v>
      </c>
      <c r="K369" s="718"/>
      <c r="L369" s="719"/>
      <c r="M369" s="648"/>
      <c r="N369" s="648"/>
      <c r="O369" s="648"/>
      <c r="P369" s="648"/>
      <c r="Q369" s="648"/>
      <c r="R369" s="647"/>
      <c r="S369" s="647"/>
      <c r="T369" s="647"/>
      <c r="U369" s="647"/>
      <c r="V369" s="647"/>
      <c r="W369" s="647"/>
      <c r="X369" s="647"/>
      <c r="Y369" s="647"/>
      <c r="Z369" s="647"/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647"/>
      <c r="AK369" s="647"/>
      <c r="AL369" s="647"/>
      <c r="AM369" s="647"/>
    </row>
    <row r="370" spans="1:39" ht="14.1" customHeight="1">
      <c r="A370" s="681"/>
      <c r="B370" s="682"/>
      <c r="C370" s="682"/>
      <c r="D370" s="682"/>
      <c r="E370" s="682"/>
      <c r="F370" s="683"/>
      <c r="G370" s="648"/>
      <c r="H370" s="648"/>
      <c r="I370" s="648"/>
      <c r="J370" s="714">
        <f t="shared" si="20"/>
        <v>45777</v>
      </c>
      <c r="K370" s="715"/>
      <c r="L370" s="716"/>
      <c r="M370" s="648"/>
      <c r="N370" s="648"/>
      <c r="O370" s="648"/>
      <c r="P370" s="648"/>
      <c r="Q370" s="648"/>
      <c r="R370" s="647"/>
      <c r="S370" s="647"/>
      <c r="T370" s="647"/>
      <c r="U370" s="647"/>
      <c r="V370" s="647"/>
      <c r="W370" s="647"/>
      <c r="X370" s="647"/>
      <c r="Y370" s="647"/>
      <c r="Z370" s="647"/>
      <c r="AA370" s="647"/>
      <c r="AB370" s="647"/>
      <c r="AC370" s="647"/>
      <c r="AD370" s="647"/>
      <c r="AE370" s="647"/>
      <c r="AF370" s="647"/>
      <c r="AG370" s="647"/>
      <c r="AH370" s="647"/>
      <c r="AI370" s="647"/>
      <c r="AJ370" s="647"/>
      <c r="AK370" s="647"/>
      <c r="AL370" s="647"/>
      <c r="AM370" s="647"/>
    </row>
    <row r="371" spans="1:39" ht="14.1" customHeight="1">
      <c r="A371" s="678" t="str">
        <f>A368</f>
        <v>V.15G90220110064591/2</v>
      </c>
      <c r="B371" s="679"/>
      <c r="C371" s="679"/>
      <c r="D371" s="679"/>
      <c r="E371" s="679"/>
      <c r="F371" s="680"/>
      <c r="G371" s="648" t="s">
        <v>730</v>
      </c>
      <c r="H371" s="648"/>
      <c r="I371" s="673"/>
      <c r="J371" s="655">
        <f>'Date masura OD'!$I$5</f>
        <v>45778</v>
      </c>
      <c r="K371" s="656"/>
      <c r="L371" s="657"/>
      <c r="M371" s="720" t="s">
        <v>446</v>
      </c>
      <c r="N371" s="648"/>
      <c r="O371" s="648">
        <f>O368</f>
        <v>1</v>
      </c>
      <c r="P371" s="648"/>
      <c r="Q371" s="648"/>
      <c r="R371" s="647" t="str">
        <f>U362</f>
        <v>0 (citit)</v>
      </c>
      <c r="S371" s="647"/>
      <c r="T371" s="647"/>
      <c r="U371" s="647" t="str">
        <f>VLOOKUP(A371,'Incrementare indexe'!$D:$M,4,FALSE)&amp;" (estimat)"</f>
        <v>0 (estimat)</v>
      </c>
      <c r="V371" s="647"/>
      <c r="W371" s="647"/>
      <c r="X371" s="647" t="str">
        <f>VLOOKUP(A371,'Incrementare indexe'!$D:$Q,11,FALSE)&amp;" (estimat)"</f>
        <v>0 (estimat)</v>
      </c>
      <c r="Y371" s="647"/>
      <c r="Z371" s="647"/>
      <c r="AA371" s="647" t="s">
        <v>69</v>
      </c>
      <c r="AB371" s="647"/>
      <c r="AC371" s="647"/>
      <c r="AD371" s="647" t="s">
        <v>69</v>
      </c>
      <c r="AE371" s="647"/>
      <c r="AF371" s="647">
        <f>VLOOKUP(A371,'Incrementare indexe'!$D:$Q,11,FALSE)</f>
        <v>0</v>
      </c>
      <c r="AG371" s="647"/>
      <c r="AH371" s="647"/>
      <c r="AI371" s="647">
        <f>J373-J371+1</f>
        <v>31</v>
      </c>
      <c r="AJ371" s="647"/>
      <c r="AK371" s="647">
        <f>ROUND(AF371/AI371,2)</f>
        <v>0</v>
      </c>
      <c r="AL371" s="647"/>
      <c r="AM371" s="647"/>
    </row>
    <row r="372" spans="1:39" ht="8.4499999999999993" customHeight="1">
      <c r="A372" s="717"/>
      <c r="B372" s="718"/>
      <c r="C372" s="718"/>
      <c r="D372" s="718"/>
      <c r="E372" s="718"/>
      <c r="F372" s="719"/>
      <c r="G372" s="648"/>
      <c r="H372" s="648"/>
      <c r="I372" s="673"/>
      <c r="J372" s="717" t="s">
        <v>69</v>
      </c>
      <c r="K372" s="718"/>
      <c r="L372" s="719"/>
      <c r="M372" s="720"/>
      <c r="N372" s="648"/>
      <c r="O372" s="648"/>
      <c r="P372" s="648"/>
      <c r="Q372" s="648"/>
      <c r="R372" s="647"/>
      <c r="S372" s="647"/>
      <c r="T372" s="647"/>
      <c r="U372" s="647"/>
      <c r="V372" s="647"/>
      <c r="W372" s="647"/>
      <c r="X372" s="647"/>
      <c r="Y372" s="647"/>
      <c r="Z372" s="647"/>
      <c r="AA372" s="647"/>
      <c r="AB372" s="647"/>
      <c r="AC372" s="647"/>
      <c r="AD372" s="647"/>
      <c r="AE372" s="647"/>
      <c r="AF372" s="647"/>
      <c r="AG372" s="647"/>
      <c r="AH372" s="647"/>
      <c r="AI372" s="647"/>
      <c r="AJ372" s="647"/>
      <c r="AK372" s="647"/>
      <c r="AL372" s="647"/>
      <c r="AM372" s="647"/>
    </row>
    <row r="373" spans="1:39" ht="14.1" customHeight="1">
      <c r="A373" s="681"/>
      <c r="B373" s="682"/>
      <c r="C373" s="682"/>
      <c r="D373" s="682"/>
      <c r="E373" s="682"/>
      <c r="F373" s="683"/>
      <c r="G373" s="648"/>
      <c r="H373" s="648"/>
      <c r="I373" s="673"/>
      <c r="J373" s="714">
        <f>'Date masura OD'!$J$5</f>
        <v>45808</v>
      </c>
      <c r="K373" s="715"/>
      <c r="L373" s="716"/>
      <c r="M373" s="720"/>
      <c r="N373" s="648"/>
      <c r="O373" s="648"/>
      <c r="P373" s="648"/>
      <c r="Q373" s="648"/>
      <c r="R373" s="647"/>
      <c r="S373" s="647"/>
      <c r="T373" s="647"/>
      <c r="U373" s="647"/>
      <c r="V373" s="647"/>
      <c r="W373" s="647"/>
      <c r="X373" s="647"/>
      <c r="Y373" s="647"/>
      <c r="Z373" s="647"/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</row>
    <row r="374" spans="1:39" ht="14.1" customHeight="1">
      <c r="A374" s="678" t="str">
        <f>A371</f>
        <v>V.15G90220110064591/2</v>
      </c>
      <c r="B374" s="679"/>
      <c r="C374" s="679"/>
      <c r="D374" s="679"/>
      <c r="E374" s="679"/>
      <c r="F374" s="680"/>
      <c r="G374" s="648" t="s">
        <v>696</v>
      </c>
      <c r="H374" s="648"/>
      <c r="I374" s="648"/>
      <c r="J374" s="655">
        <f t="shared" ref="J374:J379" si="21">J371</f>
        <v>45778</v>
      </c>
      <c r="K374" s="656"/>
      <c r="L374" s="657"/>
      <c r="M374" s="648" t="s">
        <v>720</v>
      </c>
      <c r="N374" s="648"/>
      <c r="O374" s="648">
        <f>O371</f>
        <v>1</v>
      </c>
      <c r="P374" s="648"/>
      <c r="Q374" s="648"/>
      <c r="R374" s="647" t="str">
        <f>U365</f>
        <v>0 (citit)</v>
      </c>
      <c r="S374" s="647"/>
      <c r="T374" s="647"/>
      <c r="U374" s="647" t="str">
        <f>VLOOKUP(A374,'Incrementare indexe'!$D:$M,8,FALSE)&amp;" (estimat)"</f>
        <v>0 (estimat)</v>
      </c>
      <c r="V374" s="647"/>
      <c r="W374" s="647"/>
      <c r="X374" s="647" t="str">
        <f>VLOOKUP(A374,'Incrementare indexe'!$D:$Q,12,FALSE)&amp;" (estimat)"</f>
        <v>0 (estimat)</v>
      </c>
      <c r="Y374" s="647"/>
      <c r="Z374" s="647"/>
      <c r="AA374" s="647" t="s">
        <v>69</v>
      </c>
      <c r="AB374" s="647"/>
      <c r="AC374" s="647"/>
      <c r="AD374" s="647" t="s">
        <v>69</v>
      </c>
      <c r="AE374" s="647"/>
      <c r="AF374" s="647">
        <f>VLOOKUP(A374,'Incrementare indexe'!$D:$Q,12,FALSE)</f>
        <v>0</v>
      </c>
      <c r="AG374" s="647"/>
      <c r="AH374" s="647"/>
      <c r="AI374" s="647">
        <f>AI371</f>
        <v>31</v>
      </c>
      <c r="AJ374" s="647"/>
      <c r="AK374" s="647">
        <f>ROUND(AF374/AI374,2)</f>
        <v>0</v>
      </c>
      <c r="AL374" s="647"/>
      <c r="AM374" s="647"/>
    </row>
    <row r="375" spans="1:39" ht="8.4499999999999993" customHeight="1">
      <c r="A375" s="717"/>
      <c r="B375" s="718"/>
      <c r="C375" s="718"/>
      <c r="D375" s="718"/>
      <c r="E375" s="718"/>
      <c r="F375" s="719"/>
      <c r="G375" s="648"/>
      <c r="H375" s="648"/>
      <c r="I375" s="648"/>
      <c r="J375" s="717" t="str">
        <f t="shared" si="21"/>
        <v>-</v>
      </c>
      <c r="K375" s="718"/>
      <c r="L375" s="719"/>
      <c r="M375" s="648"/>
      <c r="N375" s="648"/>
      <c r="O375" s="648"/>
      <c r="P375" s="648"/>
      <c r="Q375" s="648"/>
      <c r="R375" s="647"/>
      <c r="S375" s="647"/>
      <c r="T375" s="647"/>
      <c r="U375" s="647"/>
      <c r="V375" s="647"/>
      <c r="W375" s="647"/>
      <c r="X375" s="647"/>
      <c r="Y375" s="647"/>
      <c r="Z375" s="647"/>
      <c r="AA375" s="647"/>
      <c r="AB375" s="647"/>
      <c r="AC375" s="647"/>
      <c r="AD375" s="647"/>
      <c r="AE375" s="647"/>
      <c r="AF375" s="647"/>
      <c r="AG375" s="647"/>
      <c r="AH375" s="647"/>
      <c r="AI375" s="647"/>
      <c r="AJ375" s="647"/>
      <c r="AK375" s="647"/>
      <c r="AL375" s="647"/>
      <c r="AM375" s="647"/>
    </row>
    <row r="376" spans="1:39" ht="14.1" customHeight="1">
      <c r="A376" s="681"/>
      <c r="B376" s="682"/>
      <c r="C376" s="682"/>
      <c r="D376" s="682"/>
      <c r="E376" s="682"/>
      <c r="F376" s="683"/>
      <c r="G376" s="648"/>
      <c r="H376" s="648"/>
      <c r="I376" s="648"/>
      <c r="J376" s="714">
        <f t="shared" si="21"/>
        <v>45808</v>
      </c>
      <c r="K376" s="715"/>
      <c r="L376" s="716"/>
      <c r="M376" s="648"/>
      <c r="N376" s="648"/>
      <c r="O376" s="648"/>
      <c r="P376" s="648"/>
      <c r="Q376" s="648"/>
      <c r="R376" s="647"/>
      <c r="S376" s="647"/>
      <c r="T376" s="647"/>
      <c r="U376" s="647"/>
      <c r="V376" s="647"/>
      <c r="W376" s="647"/>
      <c r="X376" s="647"/>
      <c r="Y376" s="647"/>
      <c r="Z376" s="647"/>
      <c r="AA376" s="647"/>
      <c r="AB376" s="647"/>
      <c r="AC376" s="647"/>
      <c r="AD376" s="647"/>
      <c r="AE376" s="647"/>
      <c r="AF376" s="647"/>
      <c r="AG376" s="647"/>
      <c r="AH376" s="647"/>
      <c r="AI376" s="647"/>
      <c r="AJ376" s="647"/>
      <c r="AK376" s="647"/>
      <c r="AL376" s="647"/>
      <c r="AM376" s="647"/>
    </row>
    <row r="377" spans="1:39" ht="14.1" customHeight="1">
      <c r="A377" s="678" t="str">
        <f>A374</f>
        <v>V.15G90220110064591/2</v>
      </c>
      <c r="B377" s="679"/>
      <c r="C377" s="679"/>
      <c r="D377" s="679"/>
      <c r="E377" s="679"/>
      <c r="F377" s="680"/>
      <c r="G377" s="648" t="s">
        <v>731</v>
      </c>
      <c r="H377" s="648"/>
      <c r="I377" s="648"/>
      <c r="J377" s="655">
        <f t="shared" si="21"/>
        <v>45778</v>
      </c>
      <c r="K377" s="656"/>
      <c r="L377" s="657"/>
      <c r="M377" s="648" t="s">
        <v>720</v>
      </c>
      <c r="N377" s="648"/>
      <c r="O377" s="648">
        <f>O374</f>
        <v>1</v>
      </c>
      <c r="P377" s="648"/>
      <c r="Q377" s="648"/>
      <c r="R377" s="647" t="str">
        <f>U368</f>
        <v>32 (citit)</v>
      </c>
      <c r="S377" s="647"/>
      <c r="T377" s="647"/>
      <c r="U377" s="647" t="str">
        <f>VLOOKUP(A377,'Incrementare indexe'!$D:$M,10,FALSE)&amp;" (estimat)"</f>
        <v>32 (estimat)</v>
      </c>
      <c r="V377" s="647"/>
      <c r="W377" s="647"/>
      <c r="X377" s="647" t="str">
        <f>VLOOKUP(A377,'Incrementare indexe'!$D:$Q,13,FALSE)&amp;" (estimat)"</f>
        <v>0 (estimat)</v>
      </c>
      <c r="Y377" s="647"/>
      <c r="Z377" s="647"/>
      <c r="AA377" s="647" t="s">
        <v>69</v>
      </c>
      <c r="AB377" s="647"/>
      <c r="AC377" s="647"/>
      <c r="AD377" s="647" t="s">
        <v>69</v>
      </c>
      <c r="AE377" s="647"/>
      <c r="AF377" s="647">
        <f>VLOOKUP(A377,'Incrementare indexe'!$D:$Q,13,FALSE)</f>
        <v>0</v>
      </c>
      <c r="AG377" s="647"/>
      <c r="AH377" s="647"/>
      <c r="AI377" s="647">
        <f>AI374</f>
        <v>31</v>
      </c>
      <c r="AJ377" s="647"/>
      <c r="AK377" s="647">
        <f>ROUND(AF377/AI377,2)</f>
        <v>0</v>
      </c>
      <c r="AL377" s="647"/>
      <c r="AM377" s="647"/>
    </row>
    <row r="378" spans="1:39" ht="8.4499999999999993" customHeight="1">
      <c r="A378" s="717"/>
      <c r="B378" s="718"/>
      <c r="C378" s="718"/>
      <c r="D378" s="718"/>
      <c r="E378" s="718"/>
      <c r="F378" s="719"/>
      <c r="G378" s="648"/>
      <c r="H378" s="648"/>
      <c r="I378" s="648"/>
      <c r="J378" s="717" t="str">
        <f t="shared" si="21"/>
        <v>-</v>
      </c>
      <c r="K378" s="718"/>
      <c r="L378" s="719"/>
      <c r="M378" s="648"/>
      <c r="N378" s="648"/>
      <c r="O378" s="648"/>
      <c r="P378" s="648"/>
      <c r="Q378" s="648"/>
      <c r="R378" s="647"/>
      <c r="S378" s="647"/>
      <c r="T378" s="647"/>
      <c r="U378" s="647"/>
      <c r="V378" s="647"/>
      <c r="W378" s="647"/>
      <c r="X378" s="647"/>
      <c r="Y378" s="647"/>
      <c r="Z378" s="647"/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</row>
    <row r="379" spans="1:39" ht="14.1" customHeight="1">
      <c r="A379" s="681"/>
      <c r="B379" s="682"/>
      <c r="C379" s="682"/>
      <c r="D379" s="682"/>
      <c r="E379" s="682"/>
      <c r="F379" s="683"/>
      <c r="G379" s="648"/>
      <c r="H379" s="648"/>
      <c r="I379" s="648"/>
      <c r="J379" s="714">
        <f t="shared" si="21"/>
        <v>45808</v>
      </c>
      <c r="K379" s="715"/>
      <c r="L379" s="716"/>
      <c r="M379" s="648"/>
      <c r="N379" s="648"/>
      <c r="O379" s="648"/>
      <c r="P379" s="648"/>
      <c r="Q379" s="648"/>
      <c r="R379" s="647"/>
      <c r="S379" s="647"/>
      <c r="T379" s="647"/>
      <c r="U379" s="647"/>
      <c r="V379" s="647"/>
      <c r="W379" s="647"/>
      <c r="X379" s="647"/>
      <c r="Y379" s="647"/>
      <c r="Z379" s="647"/>
      <c r="AA379" s="647"/>
      <c r="AB379" s="647"/>
      <c r="AC379" s="647"/>
      <c r="AD379" s="647"/>
      <c r="AE379" s="647"/>
      <c r="AF379" s="647"/>
      <c r="AG379" s="647"/>
      <c r="AH379" s="647"/>
      <c r="AI379" s="647"/>
      <c r="AJ379" s="647"/>
      <c r="AK379" s="647"/>
      <c r="AL379" s="647"/>
      <c r="AM379" s="647"/>
    </row>
    <row r="380" spans="1:39" ht="14.1" customHeight="1"/>
    <row r="381" spans="1:39" ht="14.1" customHeight="1"/>
    <row r="382" spans="1:39" ht="14.1" customHeight="1"/>
    <row r="383" spans="1:39" ht="14.1" customHeight="1"/>
    <row r="384" spans="1:39" ht="14.1" customHeight="1"/>
    <row r="385" spans="1:39" ht="14.1" customHeight="1"/>
    <row r="386" spans="1:39" ht="14.1" customHeight="1"/>
    <row r="387" spans="1:39" ht="14.1" customHeight="1"/>
    <row r="388" spans="1:39" ht="14.1" customHeight="1"/>
    <row r="389" spans="1:39" ht="14.1" customHeight="1"/>
    <row r="390" spans="1:39" ht="14.1" customHeight="1"/>
    <row r="391" spans="1:39" ht="14.1" customHeight="1"/>
    <row r="392" spans="1:39" ht="14.1" customHeight="1"/>
    <row r="393" spans="1:39" ht="14.1" customHeight="1"/>
    <row r="394" spans="1:39" ht="14.1" customHeight="1"/>
    <row r="395" spans="1:39" ht="14.1" customHeight="1"/>
    <row r="396" spans="1:39" ht="14.1" customHeight="1"/>
    <row r="397" spans="1:39" ht="14.1" customHeight="1"/>
    <row r="398" spans="1:39" ht="14.1" customHeight="1"/>
    <row r="399" spans="1:39" ht="14.1" customHeight="1"/>
    <row r="400" spans="1:39">
      <c r="A400" s="649" t="s">
        <v>748</v>
      </c>
      <c r="B400" s="649"/>
      <c r="C400" s="649"/>
      <c r="D400" s="649"/>
      <c r="E400" s="649"/>
      <c r="F400" s="649"/>
      <c r="G400" s="649"/>
      <c r="H400" s="649"/>
      <c r="I400" s="649"/>
      <c r="J400" s="649"/>
      <c r="K400" s="649"/>
      <c r="L400" s="649"/>
      <c r="M400" s="650" t="str">
        <f>VLOOKUP(AI401,'Contorizare in SDI'!$E:$I,4,FALSE)</f>
        <v>RO005E513431450/3</v>
      </c>
      <c r="N400" s="650"/>
      <c r="O400" s="650"/>
      <c r="P400" s="650"/>
      <c r="Q400" s="650"/>
      <c r="R400" s="650"/>
      <c r="S400" s="650"/>
      <c r="T400" s="650"/>
      <c r="U400" s="650"/>
      <c r="V400" s="650"/>
      <c r="W400" s="650"/>
      <c r="X400" s="650"/>
      <c r="Y400" s="650"/>
      <c r="Z400" s="650"/>
      <c r="AA400" s="650"/>
      <c r="AB400" s="650"/>
      <c r="AC400" s="650"/>
      <c r="AD400" s="650"/>
      <c r="AE400" s="650"/>
      <c r="AF400" s="650"/>
      <c r="AG400" s="650"/>
      <c r="AH400" s="650"/>
      <c r="AI400" s="650" t="s">
        <v>695</v>
      </c>
      <c r="AJ400" s="650"/>
      <c r="AK400" s="650"/>
      <c r="AL400" s="650"/>
      <c r="AM400" s="650"/>
    </row>
    <row r="401" spans="1:39">
      <c r="A401" s="649" t="s">
        <v>746</v>
      </c>
      <c r="B401" s="649"/>
      <c r="C401" s="649"/>
      <c r="D401" s="649"/>
      <c r="E401" s="649"/>
      <c r="F401" s="649"/>
      <c r="G401" s="649"/>
      <c r="H401" s="649"/>
      <c r="I401" s="649"/>
      <c r="J401" s="649"/>
      <c r="K401" s="649"/>
      <c r="L401" s="649"/>
      <c r="M401" s="650" t="str">
        <f>VLOOKUP(AI401,'Inchidere contur'!$G:$U,15,FALSE)</f>
        <v>JT_SDI</v>
      </c>
      <c r="N401" s="650"/>
      <c r="O401" s="650"/>
      <c r="P401" s="650"/>
      <c r="Q401" s="650"/>
      <c r="R401" s="650"/>
      <c r="S401" s="650"/>
      <c r="T401" s="650"/>
      <c r="U401" s="650"/>
      <c r="V401" s="650"/>
      <c r="W401" s="650"/>
      <c r="X401" s="650"/>
      <c r="Y401" s="650"/>
      <c r="Z401" s="650"/>
      <c r="AA401" s="650"/>
      <c r="AB401" s="650"/>
      <c r="AC401" s="650"/>
      <c r="AD401" s="650"/>
      <c r="AE401" s="650"/>
      <c r="AF401" s="650"/>
      <c r="AG401" s="650"/>
      <c r="AH401" s="650"/>
      <c r="AI401" s="619" t="str">
        <f>_xlfn.CONCAT(AA295,".",3)</f>
        <v>RTIM_2.3</v>
      </c>
      <c r="AJ401" s="619"/>
      <c r="AK401" s="619"/>
      <c r="AL401" s="619"/>
      <c r="AM401" s="619"/>
    </row>
    <row r="402" spans="1:39">
      <c r="A402" s="649" t="s">
        <v>747</v>
      </c>
      <c r="B402" s="649"/>
      <c r="C402" s="649"/>
      <c r="D402" s="649"/>
      <c r="E402" s="649"/>
      <c r="F402" s="649"/>
      <c r="G402" s="649"/>
      <c r="H402" s="649"/>
      <c r="I402" s="649"/>
      <c r="J402" s="649"/>
      <c r="K402" s="649"/>
      <c r="L402" s="649"/>
      <c r="M402" s="650" t="str">
        <f>IF(LEFT(M401,2)="JT","0.4kV",IF(LEFT(M401,2)="MT","20kV","-"))</f>
        <v>0.4kV</v>
      </c>
      <c r="N402" s="650"/>
      <c r="O402" s="650"/>
      <c r="P402" s="650"/>
      <c r="Q402" s="650"/>
      <c r="R402" s="650"/>
      <c r="S402" s="650"/>
      <c r="T402" s="650"/>
      <c r="U402" s="650"/>
      <c r="V402" s="650"/>
      <c r="W402" s="650"/>
      <c r="X402" s="650"/>
      <c r="Y402" s="650"/>
      <c r="Z402" s="650"/>
      <c r="AA402" s="650"/>
      <c r="AB402" s="650"/>
      <c r="AC402" s="650"/>
      <c r="AD402" s="650"/>
      <c r="AE402" s="650"/>
      <c r="AF402" s="650"/>
      <c r="AG402" s="650"/>
      <c r="AH402" s="650"/>
      <c r="AI402" s="619"/>
      <c r="AJ402" s="619"/>
      <c r="AK402" s="619"/>
      <c r="AL402" s="619"/>
      <c r="AM402" s="619"/>
    </row>
    <row r="403" spans="1:39" ht="15.95" customHeight="1">
      <c r="A403" s="648" t="s">
        <v>697</v>
      </c>
      <c r="B403" s="648"/>
      <c r="C403" s="648"/>
      <c r="D403" s="648"/>
      <c r="E403" s="648"/>
      <c r="F403" s="648"/>
      <c r="G403" s="647" t="s">
        <v>713</v>
      </c>
      <c r="H403" s="647"/>
      <c r="I403" s="647"/>
      <c r="J403" s="647" t="s">
        <v>714</v>
      </c>
      <c r="K403" s="647"/>
      <c r="L403" s="647"/>
      <c r="M403" s="648" t="s">
        <v>519</v>
      </c>
      <c r="N403" s="648"/>
      <c r="O403" s="648" t="s">
        <v>715</v>
      </c>
      <c r="P403" s="648"/>
      <c r="Q403" s="648"/>
      <c r="R403" s="647" t="s">
        <v>732</v>
      </c>
      <c r="S403" s="647"/>
      <c r="T403" s="647"/>
      <c r="U403" s="647" t="s">
        <v>734</v>
      </c>
      <c r="V403" s="647"/>
      <c r="W403" s="647"/>
      <c r="X403" s="647" t="s">
        <v>1085</v>
      </c>
      <c r="Y403" s="647"/>
      <c r="Z403" s="647"/>
      <c r="AA403" s="647" t="s">
        <v>1086</v>
      </c>
      <c r="AB403" s="647"/>
      <c r="AC403" s="647"/>
      <c r="AD403" s="647" t="s">
        <v>717</v>
      </c>
      <c r="AE403" s="647"/>
      <c r="AF403" s="647" t="s">
        <v>718</v>
      </c>
      <c r="AG403" s="647"/>
      <c r="AH403" s="647"/>
      <c r="AI403" s="647" t="s">
        <v>719</v>
      </c>
      <c r="AJ403" s="647"/>
      <c r="AK403" s="647" t="s">
        <v>733</v>
      </c>
      <c r="AL403" s="647"/>
      <c r="AM403" s="647"/>
    </row>
    <row r="404" spans="1:39">
      <c r="A404" s="648"/>
      <c r="B404" s="648"/>
      <c r="C404" s="648"/>
      <c r="D404" s="648"/>
      <c r="E404" s="648"/>
      <c r="F404" s="648"/>
      <c r="G404" s="647"/>
      <c r="H404" s="647"/>
      <c r="I404" s="647"/>
      <c r="J404" s="647"/>
      <c r="K404" s="647"/>
      <c r="L404" s="647"/>
      <c r="M404" s="648"/>
      <c r="N404" s="648"/>
      <c r="O404" s="648"/>
      <c r="P404" s="648"/>
      <c r="Q404" s="648"/>
      <c r="R404" s="647"/>
      <c r="S404" s="647"/>
      <c r="T404" s="647"/>
      <c r="U404" s="647"/>
      <c r="V404" s="647"/>
      <c r="W404" s="647"/>
      <c r="X404" s="647"/>
      <c r="Y404" s="647"/>
      <c r="Z404" s="647"/>
      <c r="AA404" s="647"/>
      <c r="AB404" s="647"/>
      <c r="AC404" s="647"/>
      <c r="AD404" s="647"/>
      <c r="AE404" s="647"/>
      <c r="AF404" s="647"/>
      <c r="AG404" s="647"/>
      <c r="AH404" s="647"/>
      <c r="AI404" s="647"/>
      <c r="AJ404" s="647"/>
      <c r="AK404" s="647"/>
      <c r="AL404" s="647"/>
      <c r="AM404" s="647"/>
    </row>
    <row r="405" spans="1:39">
      <c r="A405" s="648"/>
      <c r="B405" s="648"/>
      <c r="C405" s="648"/>
      <c r="D405" s="648"/>
      <c r="E405" s="648"/>
      <c r="F405" s="648"/>
      <c r="G405" s="647"/>
      <c r="H405" s="647"/>
      <c r="I405" s="647"/>
      <c r="J405" s="713"/>
      <c r="K405" s="713"/>
      <c r="L405" s="713"/>
      <c r="M405" s="648"/>
      <c r="N405" s="648"/>
      <c r="O405" s="648"/>
      <c r="P405" s="648"/>
      <c r="Q405" s="648"/>
      <c r="R405" s="647"/>
      <c r="S405" s="647"/>
      <c r="T405" s="647"/>
      <c r="U405" s="647"/>
      <c r="V405" s="647"/>
      <c r="W405" s="647"/>
      <c r="X405" s="647"/>
      <c r="Y405" s="647"/>
      <c r="Z405" s="647"/>
      <c r="AA405" s="647"/>
      <c r="AB405" s="647"/>
      <c r="AC405" s="647"/>
      <c r="AD405" s="647"/>
      <c r="AE405" s="647"/>
      <c r="AF405" s="647"/>
      <c r="AG405" s="647"/>
      <c r="AH405" s="647"/>
      <c r="AI405" s="647"/>
      <c r="AJ405" s="647"/>
      <c r="AK405" s="647"/>
      <c r="AL405" s="647"/>
      <c r="AM405" s="647"/>
    </row>
    <row r="406" spans="1:39" ht="14.1" customHeight="1">
      <c r="A406" s="678" t="str">
        <f>VLOOKUP(AI401,'Contorizare in SDI'!$E:$I,5,FALSE)</f>
        <v>V.15G90220110064591/3</v>
      </c>
      <c r="B406" s="679"/>
      <c r="C406" s="679"/>
      <c r="D406" s="679"/>
      <c r="E406" s="679"/>
      <c r="F406" s="680"/>
      <c r="G406" s="648" t="s">
        <v>730</v>
      </c>
      <c r="H406" s="648"/>
      <c r="I406" s="673"/>
      <c r="J406" s="655">
        <f>'Date masura OD'!$AK$5</f>
        <v>45748</v>
      </c>
      <c r="K406" s="656"/>
      <c r="L406" s="657"/>
      <c r="M406" s="720" t="s">
        <v>446</v>
      </c>
      <c r="N406" s="648"/>
      <c r="O406" s="648">
        <f>VLOOKUP(AI401,'Incrementare indexe'!$B:$T,4,FALSE)</f>
        <v>1</v>
      </c>
      <c r="P406" s="648"/>
      <c r="Q406" s="648"/>
      <c r="R406" s="647" t="str">
        <f>VLOOKUP(A406,Regularizare!$D:$YN,3,FALSE)&amp;" ("&amp;VLOOKUP(A406,Regularizare!$D:$Y,11,FALSE)&amp;")"</f>
        <v>0 (citit)</v>
      </c>
      <c r="S406" s="647"/>
      <c r="T406" s="647"/>
      <c r="U406" s="647" t="str">
        <f>VLOOKUP(A406,Regularizare!$D:$U,4,FALSE)&amp;" ("&amp;VLOOKUP(A406,Regularizare!$D:$U,12,FALSE)&amp;")"</f>
        <v>0 (estimat)</v>
      </c>
      <c r="V406" s="647"/>
      <c r="W406" s="647"/>
      <c r="X406" s="647" t="str">
        <f>VLOOKUP(A406,Regularizare!$D:$Y,19,FALSE)&amp;" ("&amp;VLOOKUP(A406,Regularizare!$D:$U,12,FALSE)&amp;")"</f>
        <v>0 (estimat)</v>
      </c>
      <c r="Y406" s="647"/>
      <c r="Z406" s="647"/>
      <c r="AA406" s="647">
        <f>(-1)*VLOOKUP(A406,Regularizare!$D:$Y,19,FALSE)</f>
        <v>0</v>
      </c>
      <c r="AB406" s="647"/>
      <c r="AC406" s="647"/>
      <c r="AD406" s="647" t="s">
        <v>69</v>
      </c>
      <c r="AE406" s="647"/>
      <c r="AF406" s="647">
        <f>AA406</f>
        <v>0</v>
      </c>
      <c r="AG406" s="647"/>
      <c r="AH406" s="647"/>
      <c r="AI406" s="647" t="s">
        <v>69</v>
      </c>
      <c r="AJ406" s="647"/>
      <c r="AK406" s="647" t="s">
        <v>69</v>
      </c>
      <c r="AL406" s="647"/>
      <c r="AM406" s="647"/>
    </row>
    <row r="407" spans="1:39" ht="9.75" customHeight="1">
      <c r="A407" s="717"/>
      <c r="B407" s="718"/>
      <c r="C407" s="718"/>
      <c r="D407" s="718"/>
      <c r="E407" s="718"/>
      <c r="F407" s="719"/>
      <c r="G407" s="648"/>
      <c r="H407" s="648"/>
      <c r="I407" s="673"/>
      <c r="J407" s="717" t="s">
        <v>69</v>
      </c>
      <c r="K407" s="718"/>
      <c r="L407" s="719"/>
      <c r="M407" s="720"/>
      <c r="N407" s="648"/>
      <c r="O407" s="648"/>
      <c r="P407" s="648"/>
      <c r="Q407" s="648"/>
      <c r="R407" s="647"/>
      <c r="S407" s="647"/>
      <c r="T407" s="647"/>
      <c r="U407" s="647"/>
      <c r="V407" s="647"/>
      <c r="W407" s="647"/>
      <c r="X407" s="647"/>
      <c r="Y407" s="647"/>
      <c r="Z407" s="647"/>
      <c r="AA407" s="647"/>
      <c r="AB407" s="647"/>
      <c r="AC407" s="647"/>
      <c r="AD407" s="647"/>
      <c r="AE407" s="647"/>
      <c r="AF407" s="647"/>
      <c r="AG407" s="647"/>
      <c r="AH407" s="647"/>
      <c r="AI407" s="647"/>
      <c r="AJ407" s="647"/>
      <c r="AK407" s="647"/>
      <c r="AL407" s="647"/>
      <c r="AM407" s="647"/>
    </row>
    <row r="408" spans="1:39" ht="14.1" customHeight="1">
      <c r="A408" s="681"/>
      <c r="B408" s="682"/>
      <c r="C408" s="682"/>
      <c r="D408" s="682"/>
      <c r="E408" s="682"/>
      <c r="F408" s="683"/>
      <c r="G408" s="648"/>
      <c r="H408" s="648"/>
      <c r="I408" s="673"/>
      <c r="J408" s="714">
        <f>'Date masura OD'!$AL$5</f>
        <v>45777</v>
      </c>
      <c r="K408" s="715"/>
      <c r="L408" s="716"/>
      <c r="M408" s="720"/>
      <c r="N408" s="648"/>
      <c r="O408" s="648"/>
      <c r="P408" s="648"/>
      <c r="Q408" s="648"/>
      <c r="R408" s="647"/>
      <c r="S408" s="647"/>
      <c r="T408" s="647"/>
      <c r="U408" s="647"/>
      <c r="V408" s="647"/>
      <c r="W408" s="647"/>
      <c r="X408" s="647"/>
      <c r="Y408" s="647"/>
      <c r="Z408" s="647"/>
      <c r="AA408" s="647"/>
      <c r="AB408" s="647"/>
      <c r="AC408" s="647"/>
      <c r="AD408" s="647"/>
      <c r="AE408" s="647"/>
      <c r="AF408" s="647"/>
      <c r="AG408" s="647"/>
      <c r="AH408" s="647"/>
      <c r="AI408" s="647"/>
      <c r="AJ408" s="647"/>
      <c r="AK408" s="647"/>
      <c r="AL408" s="647"/>
      <c r="AM408" s="647"/>
    </row>
    <row r="409" spans="1:39" ht="14.1" customHeight="1">
      <c r="A409" s="678" t="str">
        <f>A406</f>
        <v>V.15G90220110064591/3</v>
      </c>
      <c r="B409" s="679"/>
      <c r="C409" s="679"/>
      <c r="D409" s="679"/>
      <c r="E409" s="679"/>
      <c r="F409" s="680"/>
      <c r="G409" s="648" t="s">
        <v>696</v>
      </c>
      <c r="H409" s="648"/>
      <c r="I409" s="648"/>
      <c r="J409" s="655">
        <f t="shared" ref="J409:J414" si="22">J406</f>
        <v>45748</v>
      </c>
      <c r="K409" s="656"/>
      <c r="L409" s="657"/>
      <c r="M409" s="648" t="s">
        <v>720</v>
      </c>
      <c r="N409" s="648"/>
      <c r="O409" s="648">
        <f>O406</f>
        <v>1</v>
      </c>
      <c r="P409" s="648"/>
      <c r="Q409" s="648"/>
      <c r="R409" s="647" t="str">
        <f>VLOOKUP(A409,Regularizare!$D:$U,7,FALSE)&amp;" ("&amp;VLOOKUP(A409,Regularizare!$D:$U,15,FALSE)&amp;")"</f>
        <v>0 (citit)</v>
      </c>
      <c r="S409" s="647"/>
      <c r="T409" s="647"/>
      <c r="U409" s="647" t="str">
        <f>VLOOKUP(A409,Regularizare!$D:$U,8,FALSE)&amp;" ("&amp;VLOOKUP(A409,Regularizare!$D:$U,16,FALSE)&amp;")"</f>
        <v>0 (estimat)</v>
      </c>
      <c r="V409" s="647"/>
      <c r="W409" s="647"/>
      <c r="X409" s="647" t="str">
        <f>_xlfn.CONCAT(VLOOKUP(A409,Regularizare!$D:$U,8,FALSE)-VLOOKUP(A409,Regularizare!$D:$U,7,FALSE)," (",VLOOKUP(A409,Regularizare!$D:$U,16,FALSE),")")</f>
        <v>0 (estimat)</v>
      </c>
      <c r="Y409" s="647"/>
      <c r="Z409" s="647"/>
      <c r="AA409" s="647">
        <f>IF(VLOOKUP(A409,Regularizare!$D:$Y,21,FALSE)=0,VLOOKUP(A409,Regularizare!$D:$Y,21,FALSE),(-1)*VLOOKUP(A409,Regularizare!$D:$Y,21,FALSE))</f>
        <v>0</v>
      </c>
      <c r="AB409" s="647"/>
      <c r="AC409" s="647"/>
      <c r="AD409" s="647" t="s">
        <v>69</v>
      </c>
      <c r="AE409" s="647"/>
      <c r="AF409" s="647">
        <f>AA409</f>
        <v>0</v>
      </c>
      <c r="AG409" s="647"/>
      <c r="AH409" s="647"/>
      <c r="AI409" s="647" t="str">
        <f>AI406</f>
        <v>-</v>
      </c>
      <c r="AJ409" s="647"/>
      <c r="AK409" s="647" t="str">
        <f>AK406</f>
        <v>-</v>
      </c>
      <c r="AL409" s="647"/>
      <c r="AM409" s="647"/>
    </row>
    <row r="410" spans="1:39" ht="8.4499999999999993" customHeight="1">
      <c r="A410" s="717"/>
      <c r="B410" s="718"/>
      <c r="C410" s="718"/>
      <c r="D410" s="718"/>
      <c r="E410" s="718"/>
      <c r="F410" s="719"/>
      <c r="G410" s="648"/>
      <c r="H410" s="648"/>
      <c r="I410" s="648"/>
      <c r="J410" s="717" t="str">
        <f t="shared" si="22"/>
        <v>-</v>
      </c>
      <c r="K410" s="718"/>
      <c r="L410" s="719"/>
      <c r="M410" s="648"/>
      <c r="N410" s="648"/>
      <c r="O410" s="648"/>
      <c r="P410" s="648"/>
      <c r="Q410" s="648"/>
      <c r="R410" s="647"/>
      <c r="S410" s="647"/>
      <c r="T410" s="647"/>
      <c r="U410" s="647"/>
      <c r="V410" s="647"/>
      <c r="W410" s="647"/>
      <c r="X410" s="647"/>
      <c r="Y410" s="647"/>
      <c r="Z410" s="647"/>
      <c r="AA410" s="647"/>
      <c r="AB410" s="647"/>
      <c r="AC410" s="647"/>
      <c r="AD410" s="647"/>
      <c r="AE410" s="647"/>
      <c r="AF410" s="647"/>
      <c r="AG410" s="647"/>
      <c r="AH410" s="647"/>
      <c r="AI410" s="647"/>
      <c r="AJ410" s="647"/>
      <c r="AK410" s="647"/>
      <c r="AL410" s="647"/>
      <c r="AM410" s="647"/>
    </row>
    <row r="411" spans="1:39" ht="14.1" customHeight="1">
      <c r="A411" s="681"/>
      <c r="B411" s="682"/>
      <c r="C411" s="682"/>
      <c r="D411" s="682"/>
      <c r="E411" s="682"/>
      <c r="F411" s="683"/>
      <c r="G411" s="648"/>
      <c r="H411" s="648"/>
      <c r="I411" s="648"/>
      <c r="J411" s="714">
        <f t="shared" si="22"/>
        <v>45777</v>
      </c>
      <c r="K411" s="715"/>
      <c r="L411" s="716"/>
      <c r="M411" s="648"/>
      <c r="N411" s="648"/>
      <c r="O411" s="648"/>
      <c r="P411" s="648"/>
      <c r="Q411" s="648"/>
      <c r="R411" s="647"/>
      <c r="S411" s="647"/>
      <c r="T411" s="647"/>
      <c r="U411" s="647"/>
      <c r="V411" s="647"/>
      <c r="W411" s="647"/>
      <c r="X411" s="647"/>
      <c r="Y411" s="647"/>
      <c r="Z411" s="647"/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</row>
    <row r="412" spans="1:39" ht="14.1" customHeight="1">
      <c r="A412" s="678" t="str">
        <f>A409</f>
        <v>V.15G90220110064591/3</v>
      </c>
      <c r="B412" s="679"/>
      <c r="C412" s="679"/>
      <c r="D412" s="679"/>
      <c r="E412" s="679"/>
      <c r="F412" s="680"/>
      <c r="G412" s="648" t="s">
        <v>731</v>
      </c>
      <c r="H412" s="648"/>
      <c r="I412" s="648"/>
      <c r="J412" s="655">
        <f t="shared" si="22"/>
        <v>45748</v>
      </c>
      <c r="K412" s="656"/>
      <c r="L412" s="657"/>
      <c r="M412" s="648" t="s">
        <v>720</v>
      </c>
      <c r="N412" s="648"/>
      <c r="O412" s="648">
        <f>O409</f>
        <v>1</v>
      </c>
      <c r="P412" s="648"/>
      <c r="Q412" s="648"/>
      <c r="R412" s="647" t="str">
        <f>VLOOKUP(A412,Regularizare!$D:$U,9,FALSE)&amp;" ("&amp;VLOOKUP(A412,Regularizare!$D:$U,17,FALSE)&amp;")"</f>
        <v>32 (citit)</v>
      </c>
      <c r="S412" s="647"/>
      <c r="T412" s="647"/>
      <c r="U412" s="647" t="str">
        <f>VLOOKUP(A412,Regularizare!$D:$U,10,FALSE)&amp;" ("&amp;VLOOKUP(A412,Regularizare!$D:$U,18,FALSE)&amp;")"</f>
        <v>32 (estimat)</v>
      </c>
      <c r="V412" s="647"/>
      <c r="W412" s="647"/>
      <c r="X412" s="647" t="str">
        <f>_xlfn.CONCAT(VLOOKUP(A412,Regularizare!$D:$U,10,FALSE)-VLOOKUP(A412,Regularizare!$D:$U,9,FALSE)," (",VLOOKUP(A412,Regularizare!$D:$U,18,FALSE),")")</f>
        <v>0 (estimat)</v>
      </c>
      <c r="Y412" s="647"/>
      <c r="Z412" s="647"/>
      <c r="AA412" s="647">
        <f>IF(VLOOKUP(A412,Regularizare!$D:$Y,22,FALSE)=0,VLOOKUP(A412,Regularizare!$D:$Y,22,FALSE),(-1)*VLOOKUP(A412,Regularizare!$D:$Y,22,FALSE))</f>
        <v>0</v>
      </c>
      <c r="AB412" s="647"/>
      <c r="AC412" s="647"/>
      <c r="AD412" s="647" t="s">
        <v>69</v>
      </c>
      <c r="AE412" s="647"/>
      <c r="AF412" s="647">
        <f>AA412</f>
        <v>0</v>
      </c>
      <c r="AG412" s="647"/>
      <c r="AH412" s="647"/>
      <c r="AI412" s="647" t="str">
        <f>AI409</f>
        <v>-</v>
      </c>
      <c r="AJ412" s="647"/>
      <c r="AK412" s="647" t="str">
        <f>AK409</f>
        <v>-</v>
      </c>
      <c r="AL412" s="647"/>
      <c r="AM412" s="647"/>
    </row>
    <row r="413" spans="1:39" ht="8.4499999999999993" customHeight="1">
      <c r="A413" s="717"/>
      <c r="B413" s="718"/>
      <c r="C413" s="718"/>
      <c r="D413" s="718"/>
      <c r="E413" s="718"/>
      <c r="F413" s="719"/>
      <c r="G413" s="648"/>
      <c r="H413" s="648"/>
      <c r="I413" s="648"/>
      <c r="J413" s="717" t="str">
        <f t="shared" si="22"/>
        <v>-</v>
      </c>
      <c r="K413" s="718"/>
      <c r="L413" s="719"/>
      <c r="M413" s="648"/>
      <c r="N413" s="648"/>
      <c r="O413" s="648"/>
      <c r="P413" s="648"/>
      <c r="Q413" s="648"/>
      <c r="R413" s="647"/>
      <c r="S413" s="647"/>
      <c r="T413" s="647"/>
      <c r="U413" s="647"/>
      <c r="V413" s="647"/>
      <c r="W413" s="647"/>
      <c r="X413" s="647"/>
      <c r="Y413" s="647"/>
      <c r="Z413" s="647"/>
      <c r="AA413" s="647"/>
      <c r="AB413" s="647"/>
      <c r="AC413" s="647"/>
      <c r="AD413" s="647"/>
      <c r="AE413" s="647"/>
      <c r="AF413" s="647"/>
      <c r="AG413" s="647"/>
      <c r="AH413" s="647"/>
      <c r="AI413" s="647"/>
      <c r="AJ413" s="647"/>
      <c r="AK413" s="647"/>
      <c r="AL413" s="647"/>
      <c r="AM413" s="647"/>
    </row>
    <row r="414" spans="1:39" ht="14.1" customHeight="1">
      <c r="A414" s="681"/>
      <c r="B414" s="682"/>
      <c r="C414" s="682"/>
      <c r="D414" s="682"/>
      <c r="E414" s="682"/>
      <c r="F414" s="683"/>
      <c r="G414" s="648"/>
      <c r="H414" s="648"/>
      <c r="I414" s="648"/>
      <c r="J414" s="714">
        <f t="shared" si="22"/>
        <v>45777</v>
      </c>
      <c r="K414" s="715"/>
      <c r="L414" s="716"/>
      <c r="M414" s="648"/>
      <c r="N414" s="648"/>
      <c r="O414" s="648"/>
      <c r="P414" s="648"/>
      <c r="Q414" s="648"/>
      <c r="R414" s="647"/>
      <c r="S414" s="647"/>
      <c r="T414" s="647"/>
      <c r="U414" s="647"/>
      <c r="V414" s="647"/>
      <c r="W414" s="647"/>
      <c r="X414" s="647"/>
      <c r="Y414" s="647"/>
      <c r="Z414" s="647"/>
      <c r="AA414" s="647"/>
      <c r="AB414" s="647"/>
      <c r="AC414" s="647"/>
      <c r="AD414" s="647"/>
      <c r="AE414" s="647"/>
      <c r="AF414" s="647"/>
      <c r="AG414" s="647"/>
      <c r="AH414" s="647"/>
      <c r="AI414" s="647"/>
      <c r="AJ414" s="647"/>
      <c r="AK414" s="647"/>
      <c r="AL414" s="647"/>
      <c r="AM414" s="647"/>
    </row>
    <row r="415" spans="1:39" ht="14.1" customHeight="1">
      <c r="A415" s="678" t="str">
        <f>A412</f>
        <v>V.15G90220110064591/3</v>
      </c>
      <c r="B415" s="679"/>
      <c r="C415" s="679"/>
      <c r="D415" s="679"/>
      <c r="E415" s="679"/>
      <c r="F415" s="680"/>
      <c r="G415" s="648" t="s">
        <v>730</v>
      </c>
      <c r="H415" s="648"/>
      <c r="I415" s="673"/>
      <c r="J415" s="655">
        <f>'Date masura OD'!$AK$5</f>
        <v>45748</v>
      </c>
      <c r="K415" s="656"/>
      <c r="L415" s="657"/>
      <c r="M415" s="720" t="s">
        <v>446</v>
      </c>
      <c r="N415" s="648"/>
      <c r="O415" s="648">
        <f>O412</f>
        <v>1</v>
      </c>
      <c r="P415" s="648"/>
      <c r="Q415" s="648"/>
      <c r="R415" s="647" t="str">
        <f>VLOOKUP(A415,Regularizare!$D:$AX,23,FALSE)&amp;" ("&amp;VLOOKUP(A415,Regularizare!$D:$AX,24,FALSE)&amp;")"</f>
        <v>0 (citit)</v>
      </c>
      <c r="S415" s="647"/>
      <c r="T415" s="647"/>
      <c r="U415" s="647" t="str">
        <f>VLOOKUP(A415,Regularizare!$D:$AX,25,FALSE)&amp;" ("&amp;VLOOKUP(A415,Regularizare!$D:$AX,26,FALSE)&amp;")"</f>
        <v>0 (citit)</v>
      </c>
      <c r="V415" s="647"/>
      <c r="W415" s="647"/>
      <c r="X415" s="647" t="str">
        <f>VLOOKUP(A415,Regularizare!$D:$AX,37,FALSE)&amp;" ("&amp;VLOOKUP(A415,Regularizare!$D:$AX,26,FALSE)&amp;")"</f>
        <v>0 (citit)</v>
      </c>
      <c r="Y415" s="647"/>
      <c r="Z415" s="647"/>
      <c r="AA415" s="647">
        <f>VLOOKUP(A415,Regularizare!$D:$AX,37,FALSE)</f>
        <v>0</v>
      </c>
      <c r="AB415" s="647"/>
      <c r="AC415" s="647"/>
      <c r="AD415" s="647" t="s">
        <v>69</v>
      </c>
      <c r="AE415" s="647"/>
      <c r="AF415" s="647">
        <f>AA415</f>
        <v>0</v>
      </c>
      <c r="AG415" s="647"/>
      <c r="AH415" s="647"/>
      <c r="AI415" s="647" t="str">
        <f>AI412</f>
        <v>-</v>
      </c>
      <c r="AJ415" s="647"/>
      <c r="AK415" s="647" t="str">
        <f>AK412</f>
        <v>-</v>
      </c>
      <c r="AL415" s="647"/>
      <c r="AM415" s="647"/>
    </row>
    <row r="416" spans="1:39" ht="8.4499999999999993" customHeight="1">
      <c r="A416" s="717"/>
      <c r="B416" s="718"/>
      <c r="C416" s="718"/>
      <c r="D416" s="718"/>
      <c r="E416" s="718"/>
      <c r="F416" s="719"/>
      <c r="G416" s="648"/>
      <c r="H416" s="648"/>
      <c r="I416" s="673"/>
      <c r="J416" s="717" t="s">
        <v>69</v>
      </c>
      <c r="K416" s="718"/>
      <c r="L416" s="719"/>
      <c r="M416" s="720"/>
      <c r="N416" s="648"/>
      <c r="O416" s="648"/>
      <c r="P416" s="648"/>
      <c r="Q416" s="648"/>
      <c r="R416" s="647"/>
      <c r="S416" s="647"/>
      <c r="T416" s="647"/>
      <c r="U416" s="647"/>
      <c r="V416" s="647"/>
      <c r="W416" s="647"/>
      <c r="X416" s="647"/>
      <c r="Y416" s="647"/>
      <c r="Z416" s="647"/>
      <c r="AA416" s="647"/>
      <c r="AB416" s="647"/>
      <c r="AC416" s="647"/>
      <c r="AD416" s="647"/>
      <c r="AE416" s="647"/>
      <c r="AF416" s="647"/>
      <c r="AG416" s="647"/>
      <c r="AH416" s="647"/>
      <c r="AI416" s="647"/>
      <c r="AJ416" s="647"/>
      <c r="AK416" s="647"/>
      <c r="AL416" s="647"/>
      <c r="AM416" s="647"/>
    </row>
    <row r="417" spans="1:39" ht="14.1" customHeight="1">
      <c r="A417" s="681"/>
      <c r="B417" s="682"/>
      <c r="C417" s="682"/>
      <c r="D417" s="682"/>
      <c r="E417" s="682"/>
      <c r="F417" s="683"/>
      <c r="G417" s="648"/>
      <c r="H417" s="648"/>
      <c r="I417" s="673"/>
      <c r="J417" s="714">
        <f>'Date masura OD'!$AL$5</f>
        <v>45777</v>
      </c>
      <c r="K417" s="715"/>
      <c r="L417" s="716"/>
      <c r="M417" s="720"/>
      <c r="N417" s="648"/>
      <c r="O417" s="648"/>
      <c r="P417" s="648"/>
      <c r="Q417" s="648"/>
      <c r="R417" s="647"/>
      <c r="S417" s="647"/>
      <c r="T417" s="647"/>
      <c r="U417" s="647"/>
      <c r="V417" s="647"/>
      <c r="W417" s="647"/>
      <c r="X417" s="647"/>
      <c r="Y417" s="647"/>
      <c r="Z417" s="647"/>
      <c r="AA417" s="647"/>
      <c r="AB417" s="647"/>
      <c r="AC417" s="647"/>
      <c r="AD417" s="647"/>
      <c r="AE417" s="647"/>
      <c r="AF417" s="647"/>
      <c r="AG417" s="647"/>
      <c r="AH417" s="647"/>
      <c r="AI417" s="647"/>
      <c r="AJ417" s="647"/>
      <c r="AK417" s="647"/>
      <c r="AL417" s="647"/>
      <c r="AM417" s="647"/>
    </row>
    <row r="418" spans="1:39" ht="14.1" customHeight="1">
      <c r="A418" s="678" t="str">
        <f>A415</f>
        <v>V.15G90220110064591/3</v>
      </c>
      <c r="B418" s="679"/>
      <c r="C418" s="679"/>
      <c r="D418" s="679"/>
      <c r="E418" s="679"/>
      <c r="F418" s="680"/>
      <c r="G418" s="648" t="s">
        <v>696</v>
      </c>
      <c r="H418" s="648"/>
      <c r="I418" s="648"/>
      <c r="J418" s="655">
        <f t="shared" ref="J418:J423" si="23">J415</f>
        <v>45748</v>
      </c>
      <c r="K418" s="656"/>
      <c r="L418" s="657"/>
      <c r="M418" s="648" t="s">
        <v>720</v>
      </c>
      <c r="N418" s="648"/>
      <c r="O418" s="648">
        <f>O415</f>
        <v>1</v>
      </c>
      <c r="P418" s="648"/>
      <c r="Q418" s="648"/>
      <c r="R418" s="647" t="str">
        <f>VLOOKUP(A418,Regularizare!$D:$AX,29,FALSE)&amp;" ("&amp;VLOOKUP(A418,Regularizare!$D:$AX,30,FALSE)&amp;")"</f>
        <v>0 (citit)</v>
      </c>
      <c r="S418" s="647"/>
      <c r="T418" s="647"/>
      <c r="U418" s="647" t="str">
        <f>VLOOKUP(A418,Regularizare!$D:$AX,31,FALSE)&amp;" ("&amp;VLOOKUP(A418,Regularizare!$D:$AX,32,FALSE)&amp;")"</f>
        <v>0 (citit)</v>
      </c>
      <c r="V418" s="647"/>
      <c r="W418" s="647"/>
      <c r="X418" s="647" t="str">
        <f>VLOOKUP(A418,Regularizare!$D:$AX,39,FALSE)&amp;" ("&amp;VLOOKUP(A418,Regularizare!$D:$AX,32,FALSE)&amp;")"</f>
        <v>0 (citit)</v>
      </c>
      <c r="Y418" s="647"/>
      <c r="Z418" s="647"/>
      <c r="AA418" s="647">
        <f>VLOOKUP(A418,Regularizare!$D:$AX,44,FALSE)+VLOOKUP(A418,Regularizare!$D:$AX,45,FALSE)</f>
        <v>0</v>
      </c>
      <c r="AB418" s="647"/>
      <c r="AC418" s="647"/>
      <c r="AD418" s="647" t="s">
        <v>69</v>
      </c>
      <c r="AE418" s="647"/>
      <c r="AF418" s="647">
        <f>AA418</f>
        <v>0</v>
      </c>
      <c r="AG418" s="647"/>
      <c r="AH418" s="647"/>
      <c r="AI418" s="647" t="str">
        <f>AI415</f>
        <v>-</v>
      </c>
      <c r="AJ418" s="647"/>
      <c r="AK418" s="647" t="str">
        <f>AK415</f>
        <v>-</v>
      </c>
      <c r="AL418" s="647"/>
      <c r="AM418" s="647"/>
    </row>
    <row r="419" spans="1:39" ht="8.4499999999999993" customHeight="1">
      <c r="A419" s="717"/>
      <c r="B419" s="718"/>
      <c r="C419" s="718"/>
      <c r="D419" s="718"/>
      <c r="E419" s="718"/>
      <c r="F419" s="719"/>
      <c r="G419" s="648"/>
      <c r="H419" s="648"/>
      <c r="I419" s="648"/>
      <c r="J419" s="717" t="str">
        <f t="shared" si="23"/>
        <v>-</v>
      </c>
      <c r="K419" s="718"/>
      <c r="L419" s="719"/>
      <c r="M419" s="648"/>
      <c r="N419" s="648"/>
      <c r="O419" s="648"/>
      <c r="P419" s="648"/>
      <c r="Q419" s="648"/>
      <c r="R419" s="647"/>
      <c r="S419" s="647"/>
      <c r="T419" s="647"/>
      <c r="U419" s="647"/>
      <c r="V419" s="647"/>
      <c r="W419" s="647"/>
      <c r="X419" s="647"/>
      <c r="Y419" s="647"/>
      <c r="Z419" s="647"/>
      <c r="AA419" s="647"/>
      <c r="AB419" s="647"/>
      <c r="AC419" s="647"/>
      <c r="AD419" s="647"/>
      <c r="AE419" s="647"/>
      <c r="AF419" s="647"/>
      <c r="AG419" s="647"/>
      <c r="AH419" s="647"/>
      <c r="AI419" s="647"/>
      <c r="AJ419" s="647"/>
      <c r="AK419" s="647"/>
      <c r="AL419" s="647"/>
      <c r="AM419" s="647"/>
    </row>
    <row r="420" spans="1:39" ht="14.1" customHeight="1">
      <c r="A420" s="681"/>
      <c r="B420" s="682"/>
      <c r="C420" s="682"/>
      <c r="D420" s="682"/>
      <c r="E420" s="682"/>
      <c r="F420" s="683"/>
      <c r="G420" s="648"/>
      <c r="H420" s="648"/>
      <c r="I420" s="648"/>
      <c r="J420" s="714">
        <f t="shared" si="23"/>
        <v>45777</v>
      </c>
      <c r="K420" s="715"/>
      <c r="L420" s="716"/>
      <c r="M420" s="648"/>
      <c r="N420" s="648"/>
      <c r="O420" s="648"/>
      <c r="P420" s="648"/>
      <c r="Q420" s="648"/>
      <c r="R420" s="647"/>
      <c r="S420" s="647"/>
      <c r="T420" s="647"/>
      <c r="U420" s="647"/>
      <c r="V420" s="647"/>
      <c r="W420" s="647"/>
      <c r="X420" s="647"/>
      <c r="Y420" s="647"/>
      <c r="Z420" s="647"/>
      <c r="AA420" s="647"/>
      <c r="AB420" s="647"/>
      <c r="AC420" s="647"/>
      <c r="AD420" s="647"/>
      <c r="AE420" s="647"/>
      <c r="AF420" s="647"/>
      <c r="AG420" s="647"/>
      <c r="AH420" s="647"/>
      <c r="AI420" s="647"/>
      <c r="AJ420" s="647"/>
      <c r="AK420" s="647"/>
      <c r="AL420" s="647"/>
      <c r="AM420" s="647"/>
    </row>
    <row r="421" spans="1:39" ht="14.1" customHeight="1">
      <c r="A421" s="678" t="str">
        <f>A418</f>
        <v>V.15G90220110064591/3</v>
      </c>
      <c r="B421" s="679"/>
      <c r="C421" s="679"/>
      <c r="D421" s="679"/>
      <c r="E421" s="679"/>
      <c r="F421" s="680"/>
      <c r="G421" s="648" t="s">
        <v>731</v>
      </c>
      <c r="H421" s="648"/>
      <c r="I421" s="648"/>
      <c r="J421" s="655">
        <f t="shared" si="23"/>
        <v>45748</v>
      </c>
      <c r="K421" s="656"/>
      <c r="L421" s="657"/>
      <c r="M421" s="648" t="s">
        <v>720</v>
      </c>
      <c r="N421" s="648"/>
      <c r="O421" s="648">
        <f>O418</f>
        <v>1</v>
      </c>
      <c r="P421" s="648"/>
      <c r="Q421" s="648"/>
      <c r="R421" s="647" t="str">
        <f>VLOOKUP(A421,Regularizare!$D:$AX,33,FALSE)&amp;" ("&amp;VLOOKUP(A421,Regularizare!$D:$AX,34,FALSE)&amp;")"</f>
        <v>32 (citit)</v>
      </c>
      <c r="S421" s="647"/>
      <c r="T421" s="647"/>
      <c r="U421" s="647" t="str">
        <f>VLOOKUP(A421,Regularizare!$D:$AX,35,FALSE)&amp;" ("&amp;VLOOKUP(A421,Regularizare!$D:$AX,36,FALSE)&amp;")"</f>
        <v>32 (citit)</v>
      </c>
      <c r="V421" s="647"/>
      <c r="W421" s="647"/>
      <c r="X421" s="647" t="str">
        <f>VLOOKUP(A421,Regularizare!$D:$AX,40,FALSE)&amp;" ("&amp;VLOOKUP(A421,Regularizare!$D:$AX,36,FALSE)&amp;")"</f>
        <v>0 (citit)</v>
      </c>
      <c r="Y421" s="647"/>
      <c r="Z421" s="647"/>
      <c r="AA421" s="647">
        <f>VLOOKUP(A421,Regularizare!$D:$AX,46,FALSE)+VLOOKUP(A421,Regularizare!$D:$AX,47,FALSE)</f>
        <v>0</v>
      </c>
      <c r="AB421" s="647"/>
      <c r="AC421" s="647"/>
      <c r="AD421" s="647" t="s">
        <v>69</v>
      </c>
      <c r="AE421" s="647"/>
      <c r="AF421" s="647">
        <f>AA421</f>
        <v>0</v>
      </c>
      <c r="AG421" s="647"/>
      <c r="AH421" s="647"/>
      <c r="AI421" s="647" t="str">
        <f>AI418</f>
        <v>-</v>
      </c>
      <c r="AJ421" s="647"/>
      <c r="AK421" s="647" t="str">
        <f>AK418</f>
        <v>-</v>
      </c>
      <c r="AL421" s="647"/>
      <c r="AM421" s="647"/>
    </row>
    <row r="422" spans="1:39" ht="8.4499999999999993" customHeight="1">
      <c r="A422" s="717"/>
      <c r="B422" s="718"/>
      <c r="C422" s="718"/>
      <c r="D422" s="718"/>
      <c r="E422" s="718"/>
      <c r="F422" s="719"/>
      <c r="G422" s="648"/>
      <c r="H422" s="648"/>
      <c r="I422" s="648"/>
      <c r="J422" s="717" t="str">
        <f t="shared" si="23"/>
        <v>-</v>
      </c>
      <c r="K422" s="718"/>
      <c r="L422" s="719"/>
      <c r="M422" s="648"/>
      <c r="N422" s="648"/>
      <c r="O422" s="648"/>
      <c r="P422" s="648"/>
      <c r="Q422" s="648"/>
      <c r="R422" s="647"/>
      <c r="S422" s="647"/>
      <c r="T422" s="647"/>
      <c r="U422" s="647"/>
      <c r="V422" s="647"/>
      <c r="W422" s="647"/>
      <c r="X422" s="647"/>
      <c r="Y422" s="647"/>
      <c r="Z422" s="647"/>
      <c r="AA422" s="647"/>
      <c r="AB422" s="647"/>
      <c r="AC422" s="647"/>
      <c r="AD422" s="647"/>
      <c r="AE422" s="647"/>
      <c r="AF422" s="647"/>
      <c r="AG422" s="647"/>
      <c r="AH422" s="647"/>
      <c r="AI422" s="647"/>
      <c r="AJ422" s="647"/>
      <c r="AK422" s="647"/>
      <c r="AL422" s="647"/>
      <c r="AM422" s="647"/>
    </row>
    <row r="423" spans="1:39" ht="14.1" customHeight="1">
      <c r="A423" s="681"/>
      <c r="B423" s="682"/>
      <c r="C423" s="682"/>
      <c r="D423" s="682"/>
      <c r="E423" s="682"/>
      <c r="F423" s="683"/>
      <c r="G423" s="648"/>
      <c r="H423" s="648"/>
      <c r="I423" s="648"/>
      <c r="J423" s="714">
        <f t="shared" si="23"/>
        <v>45777</v>
      </c>
      <c r="K423" s="715"/>
      <c r="L423" s="716"/>
      <c r="M423" s="648"/>
      <c r="N423" s="648"/>
      <c r="O423" s="648"/>
      <c r="P423" s="648"/>
      <c r="Q423" s="648"/>
      <c r="R423" s="647"/>
      <c r="S423" s="647"/>
      <c r="T423" s="647"/>
      <c r="U423" s="647"/>
      <c r="V423" s="647"/>
      <c r="W423" s="647"/>
      <c r="X423" s="647"/>
      <c r="Y423" s="647"/>
      <c r="Z423" s="647"/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</row>
    <row r="424" spans="1:39" ht="14.1" customHeight="1">
      <c r="A424" s="678" t="str">
        <f>A421</f>
        <v>V.15G90220110064591/3</v>
      </c>
      <c r="B424" s="679"/>
      <c r="C424" s="679"/>
      <c r="D424" s="679"/>
      <c r="E424" s="679"/>
      <c r="F424" s="680"/>
      <c r="G424" s="648" t="s">
        <v>730</v>
      </c>
      <c r="H424" s="648"/>
      <c r="I424" s="673"/>
      <c r="J424" s="655">
        <f>'Date masura OD'!$I$5</f>
        <v>45778</v>
      </c>
      <c r="K424" s="656"/>
      <c r="L424" s="657"/>
      <c r="M424" s="720" t="s">
        <v>446</v>
      </c>
      <c r="N424" s="648"/>
      <c r="O424" s="648">
        <f>O421</f>
        <v>1</v>
      </c>
      <c r="P424" s="648"/>
      <c r="Q424" s="648"/>
      <c r="R424" s="647" t="str">
        <f>U415</f>
        <v>0 (citit)</v>
      </c>
      <c r="S424" s="647"/>
      <c r="T424" s="647"/>
      <c r="U424" s="647" t="str">
        <f>VLOOKUP(A424,'Incrementare indexe'!$D:$M,4,FALSE)&amp;" (estimat)"</f>
        <v>0 (estimat)</v>
      </c>
      <c r="V424" s="647"/>
      <c r="W424" s="647"/>
      <c r="X424" s="647" t="str">
        <f>VLOOKUP(A424,'Incrementare indexe'!$D:$Q,11,FALSE)&amp;" (estimat)"</f>
        <v>0 (estimat)</v>
      </c>
      <c r="Y424" s="647"/>
      <c r="Z424" s="647"/>
      <c r="AA424" s="647" t="s">
        <v>69</v>
      </c>
      <c r="AB424" s="647"/>
      <c r="AC424" s="647"/>
      <c r="AD424" s="647" t="s">
        <v>69</v>
      </c>
      <c r="AE424" s="647"/>
      <c r="AF424" s="647">
        <f>VLOOKUP(A424,'Incrementare indexe'!$D:$Q,11,FALSE)</f>
        <v>0</v>
      </c>
      <c r="AG424" s="647"/>
      <c r="AH424" s="647"/>
      <c r="AI424" s="647">
        <f>J426-J424+1</f>
        <v>31</v>
      </c>
      <c r="AJ424" s="647"/>
      <c r="AK424" s="647">
        <f>ROUND(AF424/AI424,2)</f>
        <v>0</v>
      </c>
      <c r="AL424" s="647"/>
      <c r="AM424" s="647"/>
    </row>
    <row r="425" spans="1:39" ht="8.4499999999999993" customHeight="1">
      <c r="A425" s="717"/>
      <c r="B425" s="718"/>
      <c r="C425" s="718"/>
      <c r="D425" s="718"/>
      <c r="E425" s="718"/>
      <c r="F425" s="719"/>
      <c r="G425" s="648"/>
      <c r="H425" s="648"/>
      <c r="I425" s="673"/>
      <c r="J425" s="717" t="s">
        <v>69</v>
      </c>
      <c r="K425" s="718"/>
      <c r="L425" s="719"/>
      <c r="M425" s="720"/>
      <c r="N425" s="648"/>
      <c r="O425" s="648"/>
      <c r="P425" s="648"/>
      <c r="Q425" s="648"/>
      <c r="R425" s="647"/>
      <c r="S425" s="647"/>
      <c r="T425" s="647"/>
      <c r="U425" s="647"/>
      <c r="V425" s="647"/>
      <c r="W425" s="647"/>
      <c r="X425" s="647"/>
      <c r="Y425" s="647"/>
      <c r="Z425" s="647"/>
      <c r="AA425" s="647"/>
      <c r="AB425" s="647"/>
      <c r="AC425" s="647"/>
      <c r="AD425" s="647"/>
      <c r="AE425" s="647"/>
      <c r="AF425" s="647"/>
      <c r="AG425" s="647"/>
      <c r="AH425" s="647"/>
      <c r="AI425" s="647"/>
      <c r="AJ425" s="647"/>
      <c r="AK425" s="647"/>
      <c r="AL425" s="647"/>
      <c r="AM425" s="647"/>
    </row>
    <row r="426" spans="1:39" ht="14.1" customHeight="1">
      <c r="A426" s="681"/>
      <c r="B426" s="682"/>
      <c r="C426" s="682"/>
      <c r="D426" s="682"/>
      <c r="E426" s="682"/>
      <c r="F426" s="683"/>
      <c r="G426" s="648"/>
      <c r="H426" s="648"/>
      <c r="I426" s="673"/>
      <c r="J426" s="714">
        <f>'Date masura OD'!$J$5</f>
        <v>45808</v>
      </c>
      <c r="K426" s="715"/>
      <c r="L426" s="716"/>
      <c r="M426" s="720"/>
      <c r="N426" s="648"/>
      <c r="O426" s="648"/>
      <c r="P426" s="648"/>
      <c r="Q426" s="648"/>
      <c r="R426" s="647"/>
      <c r="S426" s="647"/>
      <c r="T426" s="647"/>
      <c r="U426" s="647"/>
      <c r="V426" s="647"/>
      <c r="W426" s="647"/>
      <c r="X426" s="647"/>
      <c r="Y426" s="647"/>
      <c r="Z426" s="647"/>
      <c r="AA426" s="647"/>
      <c r="AB426" s="647"/>
      <c r="AC426" s="647"/>
      <c r="AD426" s="647"/>
      <c r="AE426" s="647"/>
      <c r="AF426" s="647"/>
      <c r="AG426" s="647"/>
      <c r="AH426" s="647"/>
      <c r="AI426" s="647"/>
      <c r="AJ426" s="647"/>
      <c r="AK426" s="647"/>
      <c r="AL426" s="647"/>
      <c r="AM426" s="647"/>
    </row>
    <row r="427" spans="1:39" ht="14.1" customHeight="1">
      <c r="A427" s="678" t="str">
        <f>A424</f>
        <v>V.15G90220110064591/3</v>
      </c>
      <c r="B427" s="679"/>
      <c r="C427" s="679"/>
      <c r="D427" s="679"/>
      <c r="E427" s="679"/>
      <c r="F427" s="680"/>
      <c r="G427" s="648" t="s">
        <v>696</v>
      </c>
      <c r="H427" s="648"/>
      <c r="I427" s="648"/>
      <c r="J427" s="655">
        <f t="shared" ref="J427:J432" si="24">J424</f>
        <v>45778</v>
      </c>
      <c r="K427" s="656"/>
      <c r="L427" s="657"/>
      <c r="M427" s="648" t="s">
        <v>720</v>
      </c>
      <c r="N427" s="648"/>
      <c r="O427" s="648">
        <f>O424</f>
        <v>1</v>
      </c>
      <c r="P427" s="648"/>
      <c r="Q427" s="648"/>
      <c r="R427" s="647" t="str">
        <f>U418</f>
        <v>0 (citit)</v>
      </c>
      <c r="S427" s="647"/>
      <c r="T427" s="647"/>
      <c r="U427" s="647" t="str">
        <f>VLOOKUP(A427,'Incrementare indexe'!$D:$M,8,FALSE)&amp;" (estimat)"</f>
        <v>0 (estimat)</v>
      </c>
      <c r="V427" s="647"/>
      <c r="W427" s="647"/>
      <c r="X427" s="647" t="str">
        <f>VLOOKUP(A427,'Incrementare indexe'!$D:$Q,12,FALSE)&amp;" (estimat)"</f>
        <v>0 (estimat)</v>
      </c>
      <c r="Y427" s="647"/>
      <c r="Z427" s="647"/>
      <c r="AA427" s="647" t="s">
        <v>69</v>
      </c>
      <c r="AB427" s="647"/>
      <c r="AC427" s="647"/>
      <c r="AD427" s="647" t="s">
        <v>69</v>
      </c>
      <c r="AE427" s="647"/>
      <c r="AF427" s="647">
        <f>VLOOKUP(A427,'Incrementare indexe'!$D:$Q,12,FALSE)</f>
        <v>0</v>
      </c>
      <c r="AG427" s="647"/>
      <c r="AH427" s="647"/>
      <c r="AI427" s="647">
        <f>AI424</f>
        <v>31</v>
      </c>
      <c r="AJ427" s="647"/>
      <c r="AK427" s="647">
        <f>ROUND(AF427/AI427,2)</f>
        <v>0</v>
      </c>
      <c r="AL427" s="647"/>
      <c r="AM427" s="647"/>
    </row>
    <row r="428" spans="1:39" ht="8.4499999999999993" customHeight="1">
      <c r="A428" s="717"/>
      <c r="B428" s="718"/>
      <c r="C428" s="718"/>
      <c r="D428" s="718"/>
      <c r="E428" s="718"/>
      <c r="F428" s="719"/>
      <c r="G428" s="648"/>
      <c r="H428" s="648"/>
      <c r="I428" s="648"/>
      <c r="J428" s="717" t="str">
        <f t="shared" si="24"/>
        <v>-</v>
      </c>
      <c r="K428" s="718"/>
      <c r="L428" s="719"/>
      <c r="M428" s="648"/>
      <c r="N428" s="648"/>
      <c r="O428" s="648"/>
      <c r="P428" s="648"/>
      <c r="Q428" s="648"/>
      <c r="R428" s="647"/>
      <c r="S428" s="647"/>
      <c r="T428" s="647"/>
      <c r="U428" s="647"/>
      <c r="V428" s="647"/>
      <c r="W428" s="647"/>
      <c r="X428" s="647"/>
      <c r="Y428" s="647"/>
      <c r="Z428" s="647"/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7"/>
    </row>
    <row r="429" spans="1:39" ht="14.1" customHeight="1">
      <c r="A429" s="681"/>
      <c r="B429" s="682"/>
      <c r="C429" s="682"/>
      <c r="D429" s="682"/>
      <c r="E429" s="682"/>
      <c r="F429" s="683"/>
      <c r="G429" s="648"/>
      <c r="H429" s="648"/>
      <c r="I429" s="648"/>
      <c r="J429" s="714">
        <f t="shared" si="24"/>
        <v>45808</v>
      </c>
      <c r="K429" s="715"/>
      <c r="L429" s="716"/>
      <c r="M429" s="648"/>
      <c r="N429" s="648"/>
      <c r="O429" s="648"/>
      <c r="P429" s="648"/>
      <c r="Q429" s="648"/>
      <c r="R429" s="647"/>
      <c r="S429" s="647"/>
      <c r="T429" s="647"/>
      <c r="U429" s="647"/>
      <c r="V429" s="647"/>
      <c r="W429" s="647"/>
      <c r="X429" s="647"/>
      <c r="Y429" s="647"/>
      <c r="Z429" s="647"/>
      <c r="AA429" s="647"/>
      <c r="AB429" s="647"/>
      <c r="AC429" s="647"/>
      <c r="AD429" s="647"/>
      <c r="AE429" s="647"/>
      <c r="AF429" s="647"/>
      <c r="AG429" s="647"/>
      <c r="AH429" s="647"/>
      <c r="AI429" s="647"/>
      <c r="AJ429" s="647"/>
      <c r="AK429" s="647"/>
      <c r="AL429" s="647"/>
      <c r="AM429" s="647"/>
    </row>
    <row r="430" spans="1:39" ht="14.1" customHeight="1">
      <c r="A430" s="678" t="str">
        <f>A427</f>
        <v>V.15G90220110064591/3</v>
      </c>
      <c r="B430" s="679"/>
      <c r="C430" s="679"/>
      <c r="D430" s="679"/>
      <c r="E430" s="679"/>
      <c r="F430" s="680"/>
      <c r="G430" s="648" t="s">
        <v>731</v>
      </c>
      <c r="H430" s="648"/>
      <c r="I430" s="648"/>
      <c r="J430" s="655">
        <f t="shared" si="24"/>
        <v>45778</v>
      </c>
      <c r="K430" s="656"/>
      <c r="L430" s="657"/>
      <c r="M430" s="648" t="s">
        <v>720</v>
      </c>
      <c r="N430" s="648"/>
      <c r="O430" s="648">
        <f>O427</f>
        <v>1</v>
      </c>
      <c r="P430" s="648"/>
      <c r="Q430" s="648"/>
      <c r="R430" s="647" t="str">
        <f>U421</f>
        <v>32 (citit)</v>
      </c>
      <c r="S430" s="647"/>
      <c r="T430" s="647"/>
      <c r="U430" s="647" t="str">
        <f>VLOOKUP(A430,'Incrementare indexe'!$D:$M,10,FALSE)&amp;" (estimat)"</f>
        <v>32 (estimat)</v>
      </c>
      <c r="V430" s="647"/>
      <c r="W430" s="647"/>
      <c r="X430" s="647" t="str">
        <f>VLOOKUP(A430,'Incrementare indexe'!$D:$Q,13,FALSE)&amp;" (estimat)"</f>
        <v>0 (estimat)</v>
      </c>
      <c r="Y430" s="647"/>
      <c r="Z430" s="647"/>
      <c r="AA430" s="647" t="s">
        <v>69</v>
      </c>
      <c r="AB430" s="647"/>
      <c r="AC430" s="647"/>
      <c r="AD430" s="647" t="s">
        <v>69</v>
      </c>
      <c r="AE430" s="647"/>
      <c r="AF430" s="647">
        <f>VLOOKUP(A430,'Incrementare indexe'!$D:$Q,13,FALSE)</f>
        <v>0</v>
      </c>
      <c r="AG430" s="647"/>
      <c r="AH430" s="647"/>
      <c r="AI430" s="647">
        <f>AI427</f>
        <v>31</v>
      </c>
      <c r="AJ430" s="647"/>
      <c r="AK430" s="647">
        <f>ROUND(AF430/AI430,2)</f>
        <v>0</v>
      </c>
      <c r="AL430" s="647"/>
      <c r="AM430" s="647"/>
    </row>
    <row r="431" spans="1:39" ht="8.4499999999999993" customHeight="1">
      <c r="A431" s="717"/>
      <c r="B431" s="718"/>
      <c r="C431" s="718"/>
      <c r="D431" s="718"/>
      <c r="E431" s="718"/>
      <c r="F431" s="719"/>
      <c r="G431" s="648"/>
      <c r="H431" s="648"/>
      <c r="I431" s="648"/>
      <c r="J431" s="717" t="str">
        <f t="shared" si="24"/>
        <v>-</v>
      </c>
      <c r="K431" s="718"/>
      <c r="L431" s="719"/>
      <c r="M431" s="648"/>
      <c r="N431" s="648"/>
      <c r="O431" s="648"/>
      <c r="P431" s="648"/>
      <c r="Q431" s="648"/>
      <c r="R431" s="647"/>
      <c r="S431" s="647"/>
      <c r="T431" s="647"/>
      <c r="U431" s="647"/>
      <c r="V431" s="647"/>
      <c r="W431" s="647"/>
      <c r="X431" s="647"/>
      <c r="Y431" s="647"/>
      <c r="Z431" s="647"/>
      <c r="AA431" s="647"/>
      <c r="AB431" s="647"/>
      <c r="AC431" s="647"/>
      <c r="AD431" s="647"/>
      <c r="AE431" s="647"/>
      <c r="AF431" s="647"/>
      <c r="AG431" s="647"/>
      <c r="AH431" s="647"/>
      <c r="AI431" s="647"/>
      <c r="AJ431" s="647"/>
      <c r="AK431" s="647"/>
      <c r="AL431" s="647"/>
      <c r="AM431" s="647"/>
    </row>
    <row r="432" spans="1:39" ht="14.1" customHeight="1">
      <c r="A432" s="681"/>
      <c r="B432" s="682"/>
      <c r="C432" s="682"/>
      <c r="D432" s="682"/>
      <c r="E432" s="682"/>
      <c r="F432" s="683"/>
      <c r="G432" s="648"/>
      <c r="H432" s="648"/>
      <c r="I432" s="648"/>
      <c r="J432" s="714">
        <f t="shared" si="24"/>
        <v>45808</v>
      </c>
      <c r="K432" s="715"/>
      <c r="L432" s="716"/>
      <c r="M432" s="648"/>
      <c r="N432" s="648"/>
      <c r="O432" s="648"/>
      <c r="P432" s="648"/>
      <c r="Q432" s="648"/>
      <c r="R432" s="647"/>
      <c r="S432" s="647"/>
      <c r="T432" s="647"/>
      <c r="U432" s="647"/>
      <c r="V432" s="647"/>
      <c r="W432" s="647"/>
      <c r="X432" s="647"/>
      <c r="Y432" s="647"/>
      <c r="Z432" s="647"/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7"/>
    </row>
    <row r="433" spans="1:39" ht="14.1" customHeight="1"/>
    <row r="434" spans="1:39" ht="14.1" customHeight="1"/>
    <row r="435" spans="1:39" ht="14.1" customHeight="1">
      <c r="A435" s="721" t="s">
        <v>1196</v>
      </c>
      <c r="B435" s="722"/>
      <c r="C435" s="722"/>
      <c r="D435" s="722"/>
      <c r="E435" s="722"/>
      <c r="F435" s="722"/>
      <c r="G435" s="722"/>
      <c r="H435" s="722"/>
      <c r="I435" s="722"/>
      <c r="J435" s="722"/>
      <c r="K435" s="722"/>
      <c r="L435" s="722"/>
      <c r="M435" s="722"/>
      <c r="N435" s="722"/>
      <c r="O435" s="722"/>
      <c r="P435" s="722"/>
      <c r="Q435" s="722"/>
      <c r="R435" s="722"/>
      <c r="S435" s="722"/>
      <c r="T435" s="722"/>
      <c r="U435" s="722"/>
      <c r="V435" s="722"/>
      <c r="W435" s="722"/>
      <c r="X435" s="722"/>
      <c r="Y435" s="722"/>
      <c r="Z435" s="722"/>
      <c r="AA435" s="722"/>
      <c r="AB435" s="722"/>
      <c r="AC435" s="722"/>
      <c r="AD435" s="722"/>
      <c r="AE435" s="722"/>
      <c r="AF435" s="722"/>
      <c r="AG435" s="722"/>
      <c r="AH435" s="723"/>
      <c r="AI435" s="650" t="s">
        <v>695</v>
      </c>
      <c r="AJ435" s="650"/>
      <c r="AK435" s="650"/>
      <c r="AL435" s="650"/>
      <c r="AM435" s="650"/>
    </row>
    <row r="436" spans="1:39" ht="14.1" customHeight="1">
      <c r="A436" s="649" t="s">
        <v>746</v>
      </c>
      <c r="B436" s="649"/>
      <c r="C436" s="649"/>
      <c r="D436" s="649"/>
      <c r="E436" s="649"/>
      <c r="F436" s="649"/>
      <c r="G436" s="649"/>
      <c r="H436" s="649"/>
      <c r="I436" s="649"/>
      <c r="J436" s="649"/>
      <c r="K436" s="649"/>
      <c r="L436" s="649"/>
      <c r="M436" s="650" t="s">
        <v>514</v>
      </c>
      <c r="N436" s="650"/>
      <c r="O436" s="650"/>
      <c r="P436" s="650"/>
      <c r="Q436" s="650"/>
      <c r="R436" s="650"/>
      <c r="S436" s="650"/>
      <c r="T436" s="650"/>
      <c r="U436" s="650"/>
      <c r="V436" s="650"/>
      <c r="W436" s="650"/>
      <c r="X436" s="650"/>
      <c r="Y436" s="650"/>
      <c r="Z436" s="650"/>
      <c r="AA436" s="650"/>
      <c r="AB436" s="650"/>
      <c r="AC436" s="650"/>
      <c r="AD436" s="650"/>
      <c r="AE436" s="650"/>
      <c r="AF436" s="650"/>
      <c r="AG436" s="650"/>
      <c r="AH436" s="650"/>
      <c r="AI436" s="619" t="str">
        <f>_xlfn.CONCAT(AI401,"/PV")</f>
        <v>RTIM_2.3/PV</v>
      </c>
      <c r="AJ436" s="619"/>
      <c r="AK436" s="619"/>
      <c r="AL436" s="619"/>
      <c r="AM436" s="619"/>
    </row>
    <row r="437" spans="1:39" ht="14.1" customHeight="1">
      <c r="A437" s="649" t="s">
        <v>747</v>
      </c>
      <c r="B437" s="649"/>
      <c r="C437" s="649"/>
      <c r="D437" s="649"/>
      <c r="E437" s="649"/>
      <c r="F437" s="649"/>
      <c r="G437" s="649"/>
      <c r="H437" s="649"/>
      <c r="I437" s="649"/>
      <c r="J437" s="649"/>
      <c r="K437" s="649"/>
      <c r="L437" s="649"/>
      <c r="M437" s="650" t="s">
        <v>1087</v>
      </c>
      <c r="N437" s="650"/>
      <c r="O437" s="650"/>
      <c r="P437" s="650"/>
      <c r="Q437" s="650"/>
      <c r="R437" s="650"/>
      <c r="S437" s="650"/>
      <c r="T437" s="650"/>
      <c r="U437" s="650"/>
      <c r="V437" s="650"/>
      <c r="W437" s="650"/>
      <c r="X437" s="650"/>
      <c r="Y437" s="650"/>
      <c r="Z437" s="650"/>
      <c r="AA437" s="650"/>
      <c r="AB437" s="650"/>
      <c r="AC437" s="650"/>
      <c r="AD437" s="650"/>
      <c r="AE437" s="650"/>
      <c r="AF437" s="650"/>
      <c r="AG437" s="650"/>
      <c r="AH437" s="650"/>
      <c r="AI437" s="619"/>
      <c r="AJ437" s="619"/>
      <c r="AK437" s="619"/>
      <c r="AL437" s="619"/>
      <c r="AM437" s="619"/>
    </row>
    <row r="438" spans="1:39" ht="14.1" customHeight="1">
      <c r="A438" s="648" t="s">
        <v>697</v>
      </c>
      <c r="B438" s="648"/>
      <c r="C438" s="648"/>
      <c r="D438" s="648"/>
      <c r="E438" s="648"/>
      <c r="F438" s="648"/>
      <c r="G438" s="647" t="s">
        <v>713</v>
      </c>
      <c r="H438" s="647"/>
      <c r="I438" s="647"/>
      <c r="J438" s="647" t="s">
        <v>714</v>
      </c>
      <c r="K438" s="647"/>
      <c r="L438" s="647"/>
      <c r="M438" s="648" t="s">
        <v>519</v>
      </c>
      <c r="N438" s="648"/>
      <c r="O438" s="648" t="s">
        <v>715</v>
      </c>
      <c r="P438" s="648"/>
      <c r="Q438" s="648"/>
      <c r="R438" s="647" t="s">
        <v>732</v>
      </c>
      <c r="S438" s="647"/>
      <c r="T438" s="647"/>
      <c r="U438" s="647" t="s">
        <v>734</v>
      </c>
      <c r="V438" s="647"/>
      <c r="W438" s="647"/>
      <c r="X438" s="647" t="s">
        <v>1085</v>
      </c>
      <c r="Y438" s="647"/>
      <c r="Z438" s="647"/>
      <c r="AA438" s="647" t="s">
        <v>1086</v>
      </c>
      <c r="AB438" s="647"/>
      <c r="AC438" s="647"/>
      <c r="AD438" s="647" t="s">
        <v>717</v>
      </c>
      <c r="AE438" s="647"/>
      <c r="AF438" s="647" t="s">
        <v>718</v>
      </c>
      <c r="AG438" s="647"/>
      <c r="AH438" s="647"/>
      <c r="AI438" s="647" t="s">
        <v>719</v>
      </c>
      <c r="AJ438" s="647"/>
      <c r="AK438" s="647" t="s">
        <v>733</v>
      </c>
      <c r="AL438" s="647"/>
      <c r="AM438" s="647"/>
    </row>
    <row r="439" spans="1:39" ht="14.1" customHeight="1">
      <c r="A439" s="648"/>
      <c r="B439" s="648"/>
      <c r="C439" s="648"/>
      <c r="D439" s="648"/>
      <c r="E439" s="648"/>
      <c r="F439" s="648"/>
      <c r="G439" s="647"/>
      <c r="H439" s="647"/>
      <c r="I439" s="647"/>
      <c r="J439" s="647"/>
      <c r="K439" s="647"/>
      <c r="L439" s="647"/>
      <c r="M439" s="648"/>
      <c r="N439" s="648"/>
      <c r="O439" s="648"/>
      <c r="P439" s="648"/>
      <c r="Q439" s="648"/>
      <c r="R439" s="647"/>
      <c r="S439" s="647"/>
      <c r="T439" s="647"/>
      <c r="U439" s="647"/>
      <c r="V439" s="647"/>
      <c r="W439" s="647"/>
      <c r="X439" s="647"/>
      <c r="Y439" s="647"/>
      <c r="Z439" s="647"/>
      <c r="AA439" s="647"/>
      <c r="AB439" s="647"/>
      <c r="AC439" s="647"/>
      <c r="AD439" s="647"/>
      <c r="AE439" s="647"/>
      <c r="AF439" s="647"/>
      <c r="AG439" s="647"/>
      <c r="AH439" s="647"/>
      <c r="AI439" s="647"/>
      <c r="AJ439" s="647"/>
      <c r="AK439" s="647"/>
      <c r="AL439" s="647"/>
      <c r="AM439" s="647"/>
    </row>
    <row r="440" spans="1:39" ht="14.1" customHeight="1">
      <c r="A440" s="648"/>
      <c r="B440" s="648"/>
      <c r="C440" s="648"/>
      <c r="D440" s="648"/>
      <c r="E440" s="648"/>
      <c r="F440" s="648"/>
      <c r="G440" s="647"/>
      <c r="H440" s="647"/>
      <c r="I440" s="647"/>
      <c r="J440" s="713"/>
      <c r="K440" s="713"/>
      <c r="L440" s="713"/>
      <c r="M440" s="648"/>
      <c r="N440" s="648"/>
      <c r="O440" s="648"/>
      <c r="P440" s="648"/>
      <c r="Q440" s="648"/>
      <c r="R440" s="647"/>
      <c r="S440" s="647"/>
      <c r="T440" s="647"/>
      <c r="U440" s="647"/>
      <c r="V440" s="647"/>
      <c r="W440" s="647"/>
      <c r="X440" s="647"/>
      <c r="Y440" s="647"/>
      <c r="Z440" s="647"/>
      <c r="AA440" s="647"/>
      <c r="AB440" s="647"/>
      <c r="AC440" s="647"/>
      <c r="AD440" s="647"/>
      <c r="AE440" s="647"/>
      <c r="AF440" s="647"/>
      <c r="AG440" s="647"/>
      <c r="AH440" s="647"/>
      <c r="AI440" s="647"/>
      <c r="AJ440" s="647"/>
      <c r="AK440" s="647"/>
      <c r="AL440" s="647"/>
      <c r="AM440" s="647"/>
    </row>
    <row r="441" spans="1:39" ht="14.1" customHeight="1">
      <c r="A441" s="678">
        <f>VLOOKUP(AI436,'Incrementare indexe'!$B:$I,3,FALSE)</f>
        <v>1371621427</v>
      </c>
      <c r="B441" s="679"/>
      <c r="C441" s="679"/>
      <c r="D441" s="679"/>
      <c r="E441" s="679"/>
      <c r="F441" s="680"/>
      <c r="G441" s="647" t="s">
        <v>1088</v>
      </c>
      <c r="H441" s="647"/>
      <c r="I441" s="675"/>
      <c r="J441" s="655">
        <f>'Date masura OD'!$I$5</f>
        <v>45778</v>
      </c>
      <c r="K441" s="656"/>
      <c r="L441" s="657"/>
      <c r="M441" s="720" t="s">
        <v>446</v>
      </c>
      <c r="N441" s="648"/>
      <c r="O441" s="648">
        <f>VLOOKUP(AI436,'Incrementare indexe'!$B:$I,4,FALSE)</f>
        <v>1</v>
      </c>
      <c r="P441" s="648"/>
      <c r="Q441" s="648"/>
      <c r="R441" s="647" t="str">
        <f>VLOOKUP(AI436,'Incrementare indexe'!$B:$I,7,FALSE)&amp;" (citit)"</f>
        <v>1601886 (citit)</v>
      </c>
      <c r="S441" s="647"/>
      <c r="T441" s="647"/>
      <c r="U441" s="647" t="str">
        <f>VLOOKUP(AI436,'Incrementare indexe'!$B:$I,8,FALSE)&amp;" (citit)"</f>
        <v>1761772 (citit)</v>
      </c>
      <c r="V441" s="647"/>
      <c r="W441" s="647"/>
      <c r="X441" s="647" t="str">
        <f>(VLOOKUP(AI436,'Incrementare indexe'!$B:$I,8,FALSE)-VLOOKUP(AI436,'Incrementare indexe'!$B:$I,7,FALSE))&amp;" (citit)"</f>
        <v>159886 (citit)</v>
      </c>
      <c r="Y441" s="647"/>
      <c r="Z441" s="647"/>
      <c r="AA441" s="647" t="s">
        <v>69</v>
      </c>
      <c r="AB441" s="647"/>
      <c r="AC441" s="647"/>
      <c r="AD441" s="647" t="s">
        <v>69</v>
      </c>
      <c r="AE441" s="647"/>
      <c r="AF441" s="647">
        <f>(VLOOKUP(AI436,'Incrementare indexe'!$B:$I,8,FALSE)-VLOOKUP(AI436,'Incrementare indexe'!$B:$I,7,FALSE))</f>
        <v>159886</v>
      </c>
      <c r="AG441" s="647"/>
      <c r="AH441" s="647"/>
      <c r="AI441" s="647">
        <f>J443-J441+1</f>
        <v>31</v>
      </c>
      <c r="AJ441" s="647"/>
      <c r="AK441" s="647">
        <f>ROUND(AF441/AI441,2)</f>
        <v>5157.6099999999997</v>
      </c>
      <c r="AL441" s="647"/>
      <c r="AM441" s="647"/>
    </row>
    <row r="442" spans="1:39" ht="14.1" customHeight="1">
      <c r="A442" s="717"/>
      <c r="B442" s="718"/>
      <c r="C442" s="718"/>
      <c r="D442" s="718"/>
      <c r="E442" s="718"/>
      <c r="F442" s="719"/>
      <c r="G442" s="647"/>
      <c r="H442" s="647"/>
      <c r="I442" s="675"/>
      <c r="J442" s="717" t="s">
        <v>69</v>
      </c>
      <c r="K442" s="718"/>
      <c r="L442" s="719"/>
      <c r="M442" s="720"/>
      <c r="N442" s="648"/>
      <c r="O442" s="648"/>
      <c r="P442" s="648"/>
      <c r="Q442" s="648"/>
      <c r="R442" s="647"/>
      <c r="S442" s="647"/>
      <c r="T442" s="647"/>
      <c r="U442" s="647"/>
      <c r="V442" s="647"/>
      <c r="W442" s="647"/>
      <c r="X442" s="647"/>
      <c r="Y442" s="647"/>
      <c r="Z442" s="647"/>
      <c r="AA442" s="647"/>
      <c r="AB442" s="647"/>
      <c r="AC442" s="647"/>
      <c r="AD442" s="647"/>
      <c r="AE442" s="647"/>
      <c r="AF442" s="647"/>
      <c r="AG442" s="647"/>
      <c r="AH442" s="647"/>
      <c r="AI442" s="647"/>
      <c r="AJ442" s="647"/>
      <c r="AK442" s="647"/>
      <c r="AL442" s="647"/>
      <c r="AM442" s="647"/>
    </row>
    <row r="443" spans="1:39" ht="14.1" customHeight="1">
      <c r="A443" s="681"/>
      <c r="B443" s="682"/>
      <c r="C443" s="682"/>
      <c r="D443" s="682"/>
      <c r="E443" s="682"/>
      <c r="F443" s="683"/>
      <c r="G443" s="647"/>
      <c r="H443" s="647"/>
      <c r="I443" s="675"/>
      <c r="J443" s="714">
        <f>'Date masura OD'!$J$5</f>
        <v>45808</v>
      </c>
      <c r="K443" s="715"/>
      <c r="L443" s="716"/>
      <c r="M443" s="720"/>
      <c r="N443" s="648"/>
      <c r="O443" s="648"/>
      <c r="P443" s="648"/>
      <c r="Q443" s="648"/>
      <c r="R443" s="647"/>
      <c r="S443" s="647"/>
      <c r="T443" s="647"/>
      <c r="U443" s="647"/>
      <c r="V443" s="647"/>
      <c r="W443" s="647"/>
      <c r="X443" s="647"/>
      <c r="Y443" s="647"/>
      <c r="Z443" s="647"/>
      <c r="AA443" s="647"/>
      <c r="AB443" s="647"/>
      <c r="AC443" s="647"/>
      <c r="AD443" s="647"/>
      <c r="AE443" s="647"/>
      <c r="AF443" s="647"/>
      <c r="AG443" s="647"/>
      <c r="AH443" s="647"/>
      <c r="AI443" s="647"/>
      <c r="AJ443" s="647"/>
      <c r="AK443" s="647"/>
      <c r="AL443" s="647"/>
      <c r="AM443" s="647"/>
    </row>
    <row r="444" spans="1:39" ht="14.1" customHeight="1">
      <c r="A444" s="678">
        <f>A441</f>
        <v>1371621427</v>
      </c>
      <c r="B444" s="679"/>
      <c r="C444" s="679"/>
      <c r="D444" s="679"/>
      <c r="E444" s="679"/>
      <c r="F444" s="680"/>
      <c r="G444" s="648" t="s">
        <v>696</v>
      </c>
      <c r="H444" s="648"/>
      <c r="I444" s="648"/>
      <c r="J444" s="655">
        <f t="shared" ref="J444:J449" si="25">J441</f>
        <v>45778</v>
      </c>
      <c r="K444" s="656"/>
      <c r="L444" s="657"/>
      <c r="M444" s="648" t="s">
        <v>720</v>
      </c>
      <c r="N444" s="648"/>
      <c r="O444" s="648">
        <f>O441</f>
        <v>1</v>
      </c>
      <c r="P444" s="648"/>
      <c r="Q444" s="648"/>
      <c r="R444" s="647" t="s">
        <v>1089</v>
      </c>
      <c r="S444" s="647"/>
      <c r="T444" s="647"/>
      <c r="U444" s="647" t="s">
        <v>1089</v>
      </c>
      <c r="V444" s="647"/>
      <c r="W444" s="647"/>
      <c r="X444" s="647" t="s">
        <v>1089</v>
      </c>
      <c r="Y444" s="647"/>
      <c r="Z444" s="647"/>
      <c r="AA444" s="647" t="s">
        <v>69</v>
      </c>
      <c r="AB444" s="647"/>
      <c r="AC444" s="647"/>
      <c r="AD444" s="647" t="s">
        <v>69</v>
      </c>
      <c r="AE444" s="647"/>
      <c r="AF444" s="647">
        <v>0</v>
      </c>
      <c r="AG444" s="647"/>
      <c r="AH444" s="647"/>
      <c r="AI444" s="647">
        <f>AI441</f>
        <v>31</v>
      </c>
      <c r="AJ444" s="647"/>
      <c r="AK444" s="647">
        <f>ROUND(AF444/AI444,2)</f>
        <v>0</v>
      </c>
      <c r="AL444" s="647"/>
      <c r="AM444" s="647"/>
    </row>
    <row r="445" spans="1:39" ht="14.1" customHeight="1">
      <c r="A445" s="717"/>
      <c r="B445" s="718"/>
      <c r="C445" s="718"/>
      <c r="D445" s="718"/>
      <c r="E445" s="718"/>
      <c r="F445" s="719"/>
      <c r="G445" s="648"/>
      <c r="H445" s="648"/>
      <c r="I445" s="648"/>
      <c r="J445" s="717" t="str">
        <f t="shared" si="25"/>
        <v>-</v>
      </c>
      <c r="K445" s="718"/>
      <c r="L445" s="719"/>
      <c r="M445" s="648"/>
      <c r="N445" s="648"/>
      <c r="O445" s="648"/>
      <c r="P445" s="648"/>
      <c r="Q445" s="648"/>
      <c r="R445" s="647"/>
      <c r="S445" s="647"/>
      <c r="T445" s="647"/>
      <c r="U445" s="647"/>
      <c r="V445" s="647"/>
      <c r="W445" s="647"/>
      <c r="X445" s="647"/>
      <c r="Y445" s="647"/>
      <c r="Z445" s="647"/>
      <c r="AA445" s="647"/>
      <c r="AB445" s="647"/>
      <c r="AC445" s="647"/>
      <c r="AD445" s="647"/>
      <c r="AE445" s="647"/>
      <c r="AF445" s="647"/>
      <c r="AG445" s="647"/>
      <c r="AH445" s="647"/>
      <c r="AI445" s="647"/>
      <c r="AJ445" s="647"/>
      <c r="AK445" s="647"/>
      <c r="AL445" s="647"/>
      <c r="AM445" s="647"/>
    </row>
    <row r="446" spans="1:39" ht="14.1" customHeight="1">
      <c r="A446" s="681"/>
      <c r="B446" s="682"/>
      <c r="C446" s="682"/>
      <c r="D446" s="682"/>
      <c r="E446" s="682"/>
      <c r="F446" s="683"/>
      <c r="G446" s="648"/>
      <c r="H446" s="648"/>
      <c r="I446" s="648"/>
      <c r="J446" s="714">
        <f t="shared" si="25"/>
        <v>45808</v>
      </c>
      <c r="K446" s="715"/>
      <c r="L446" s="716"/>
      <c r="M446" s="648"/>
      <c r="N446" s="648"/>
      <c r="O446" s="648"/>
      <c r="P446" s="648"/>
      <c r="Q446" s="648"/>
      <c r="R446" s="647"/>
      <c r="S446" s="647"/>
      <c r="T446" s="647"/>
      <c r="U446" s="647"/>
      <c r="V446" s="647"/>
      <c r="W446" s="647"/>
      <c r="X446" s="647"/>
      <c r="Y446" s="647"/>
      <c r="Z446" s="647"/>
      <c r="AA446" s="647"/>
      <c r="AB446" s="647"/>
      <c r="AC446" s="647"/>
      <c r="AD446" s="647"/>
      <c r="AE446" s="647"/>
      <c r="AF446" s="647"/>
      <c r="AG446" s="647"/>
      <c r="AH446" s="647"/>
      <c r="AI446" s="647"/>
      <c r="AJ446" s="647"/>
      <c r="AK446" s="647"/>
      <c r="AL446" s="647"/>
      <c r="AM446" s="647"/>
    </row>
    <row r="447" spans="1:39" ht="14.1" customHeight="1">
      <c r="A447" s="678">
        <f>A444</f>
        <v>1371621427</v>
      </c>
      <c r="B447" s="679"/>
      <c r="C447" s="679"/>
      <c r="D447" s="679"/>
      <c r="E447" s="679"/>
      <c r="F447" s="680"/>
      <c r="G447" s="648" t="s">
        <v>731</v>
      </c>
      <c r="H447" s="648"/>
      <c r="I447" s="648"/>
      <c r="J447" s="655">
        <f t="shared" si="25"/>
        <v>45778</v>
      </c>
      <c r="K447" s="656"/>
      <c r="L447" s="657"/>
      <c r="M447" s="648" t="s">
        <v>720</v>
      </c>
      <c r="N447" s="648"/>
      <c r="O447" s="648">
        <f>O444</f>
        <v>1</v>
      </c>
      <c r="P447" s="648"/>
      <c r="Q447" s="648"/>
      <c r="R447" s="647" t="s">
        <v>1089</v>
      </c>
      <c r="S447" s="647"/>
      <c r="T447" s="647"/>
      <c r="U447" s="647" t="s">
        <v>1089</v>
      </c>
      <c r="V447" s="647"/>
      <c r="W447" s="647"/>
      <c r="X447" s="647" t="s">
        <v>1089</v>
      </c>
      <c r="Y447" s="647"/>
      <c r="Z447" s="647"/>
      <c r="AA447" s="647" t="s">
        <v>69</v>
      </c>
      <c r="AB447" s="647"/>
      <c r="AC447" s="647"/>
      <c r="AD447" s="647" t="s">
        <v>69</v>
      </c>
      <c r="AE447" s="647"/>
      <c r="AF447" s="647">
        <v>0</v>
      </c>
      <c r="AG447" s="647"/>
      <c r="AH447" s="647"/>
      <c r="AI447" s="647">
        <f>AI444</f>
        <v>31</v>
      </c>
      <c r="AJ447" s="647"/>
      <c r="AK447" s="647">
        <f>ROUND(AF447/AI447,2)</f>
        <v>0</v>
      </c>
      <c r="AL447" s="647"/>
      <c r="AM447" s="647"/>
    </row>
    <row r="448" spans="1:39" ht="14.1" customHeight="1">
      <c r="A448" s="717"/>
      <c r="B448" s="718"/>
      <c r="C448" s="718"/>
      <c r="D448" s="718"/>
      <c r="E448" s="718"/>
      <c r="F448" s="719"/>
      <c r="G448" s="648"/>
      <c r="H448" s="648"/>
      <c r="I448" s="648"/>
      <c r="J448" s="717" t="str">
        <f t="shared" si="25"/>
        <v>-</v>
      </c>
      <c r="K448" s="718"/>
      <c r="L448" s="719"/>
      <c r="M448" s="648"/>
      <c r="N448" s="648"/>
      <c r="O448" s="648"/>
      <c r="P448" s="648"/>
      <c r="Q448" s="648"/>
      <c r="R448" s="647"/>
      <c r="S448" s="647"/>
      <c r="T448" s="647"/>
      <c r="U448" s="647"/>
      <c r="V448" s="647"/>
      <c r="W448" s="647"/>
      <c r="X448" s="647"/>
      <c r="Y448" s="647"/>
      <c r="Z448" s="647"/>
      <c r="AA448" s="647"/>
      <c r="AB448" s="647"/>
      <c r="AC448" s="647"/>
      <c r="AD448" s="647"/>
      <c r="AE448" s="647"/>
      <c r="AF448" s="647"/>
      <c r="AG448" s="647"/>
      <c r="AH448" s="647"/>
      <c r="AI448" s="647"/>
      <c r="AJ448" s="647"/>
      <c r="AK448" s="647"/>
      <c r="AL448" s="647"/>
      <c r="AM448" s="647"/>
    </row>
    <row r="449" spans="1:39" ht="14.1" customHeight="1">
      <c r="A449" s="681"/>
      <c r="B449" s="682"/>
      <c r="C449" s="682"/>
      <c r="D449" s="682"/>
      <c r="E449" s="682"/>
      <c r="F449" s="683"/>
      <c r="G449" s="648"/>
      <c r="H449" s="648"/>
      <c r="I449" s="648"/>
      <c r="J449" s="714">
        <f t="shared" si="25"/>
        <v>45808</v>
      </c>
      <c r="K449" s="715"/>
      <c r="L449" s="716"/>
      <c r="M449" s="648"/>
      <c r="N449" s="648"/>
      <c r="O449" s="648"/>
      <c r="P449" s="648"/>
      <c r="Q449" s="648"/>
      <c r="R449" s="647"/>
      <c r="S449" s="647"/>
      <c r="T449" s="647"/>
      <c r="U449" s="647"/>
      <c r="V449" s="647"/>
      <c r="W449" s="647"/>
      <c r="X449" s="647"/>
      <c r="Y449" s="647"/>
      <c r="Z449" s="647"/>
      <c r="AA449" s="647"/>
      <c r="AB449" s="647"/>
      <c r="AC449" s="647"/>
      <c r="AD449" s="647"/>
      <c r="AE449" s="647"/>
      <c r="AF449" s="647"/>
      <c r="AG449" s="647"/>
      <c r="AH449" s="647"/>
      <c r="AI449" s="647"/>
      <c r="AJ449" s="647"/>
      <c r="AK449" s="647"/>
      <c r="AL449" s="647"/>
      <c r="AM449" s="647"/>
    </row>
    <row r="450" spans="1:39" ht="14.1" customHeight="1"/>
    <row r="451" spans="1:39" ht="14.1" customHeight="1"/>
    <row r="452" spans="1:39" ht="14.1" customHeight="1"/>
    <row r="453" spans="1:39">
      <c r="A453" s="649" t="s">
        <v>748</v>
      </c>
      <c r="B453" s="649"/>
      <c r="C453" s="649"/>
      <c r="D453" s="649"/>
      <c r="E453" s="649"/>
      <c r="F453" s="649"/>
      <c r="G453" s="649"/>
      <c r="H453" s="649"/>
      <c r="I453" s="649"/>
      <c r="J453" s="649"/>
      <c r="K453" s="649"/>
      <c r="L453" s="649"/>
      <c r="M453" s="650" t="str">
        <f>VLOOKUP(AI454,'Contorizare in SDI'!$E:$I,4,FALSE)</f>
        <v>RO005E513431450/4</v>
      </c>
      <c r="N453" s="650"/>
      <c r="O453" s="650"/>
      <c r="P453" s="650"/>
      <c r="Q453" s="650"/>
      <c r="R453" s="650"/>
      <c r="S453" s="650"/>
      <c r="T453" s="650"/>
      <c r="U453" s="650"/>
      <c r="V453" s="650"/>
      <c r="W453" s="650"/>
      <c r="X453" s="650"/>
      <c r="Y453" s="650"/>
      <c r="Z453" s="650"/>
      <c r="AA453" s="650"/>
      <c r="AB453" s="650"/>
      <c r="AC453" s="650"/>
      <c r="AD453" s="650"/>
      <c r="AE453" s="650"/>
      <c r="AF453" s="650"/>
      <c r="AG453" s="650"/>
      <c r="AH453" s="650"/>
      <c r="AI453" s="650" t="s">
        <v>695</v>
      </c>
      <c r="AJ453" s="650"/>
      <c r="AK453" s="650"/>
      <c r="AL453" s="650"/>
      <c r="AM453" s="650"/>
    </row>
    <row r="454" spans="1:39">
      <c r="A454" s="649" t="s">
        <v>746</v>
      </c>
      <c r="B454" s="649"/>
      <c r="C454" s="649"/>
      <c r="D454" s="649"/>
      <c r="E454" s="649"/>
      <c r="F454" s="649"/>
      <c r="G454" s="649"/>
      <c r="H454" s="649"/>
      <c r="I454" s="649"/>
      <c r="J454" s="649"/>
      <c r="K454" s="649"/>
      <c r="L454" s="649"/>
      <c r="M454" s="650" t="str">
        <f>VLOOKUP(AI454,'Inchidere contur'!$G:$U,15,FALSE)</f>
        <v>JT_SDI</v>
      </c>
      <c r="N454" s="650"/>
      <c r="O454" s="650"/>
      <c r="P454" s="650"/>
      <c r="Q454" s="650"/>
      <c r="R454" s="650"/>
      <c r="S454" s="650"/>
      <c r="T454" s="650"/>
      <c r="U454" s="650"/>
      <c r="V454" s="650"/>
      <c r="W454" s="650"/>
      <c r="X454" s="650"/>
      <c r="Y454" s="650"/>
      <c r="Z454" s="650"/>
      <c r="AA454" s="650"/>
      <c r="AB454" s="650"/>
      <c r="AC454" s="650"/>
      <c r="AD454" s="650"/>
      <c r="AE454" s="650"/>
      <c r="AF454" s="650"/>
      <c r="AG454" s="650"/>
      <c r="AH454" s="650"/>
      <c r="AI454" s="619" t="str">
        <f>_xlfn.CONCAT(AA295,".",4)</f>
        <v>RTIM_2.4</v>
      </c>
      <c r="AJ454" s="619"/>
      <c r="AK454" s="619"/>
      <c r="AL454" s="619"/>
      <c r="AM454" s="619"/>
    </row>
    <row r="455" spans="1:39">
      <c r="A455" s="649" t="s">
        <v>747</v>
      </c>
      <c r="B455" s="649"/>
      <c r="C455" s="649"/>
      <c r="D455" s="649"/>
      <c r="E455" s="649"/>
      <c r="F455" s="649"/>
      <c r="G455" s="649"/>
      <c r="H455" s="649"/>
      <c r="I455" s="649"/>
      <c r="J455" s="649"/>
      <c r="K455" s="649"/>
      <c r="L455" s="649"/>
      <c r="M455" s="650" t="str">
        <f>IF(LEFT(M454,2)="JT","0.4kV",IF(LEFT(M454,2)="MT","20kV","-"))</f>
        <v>0.4kV</v>
      </c>
      <c r="N455" s="650"/>
      <c r="O455" s="650"/>
      <c r="P455" s="650"/>
      <c r="Q455" s="650"/>
      <c r="R455" s="650"/>
      <c r="S455" s="650"/>
      <c r="T455" s="650"/>
      <c r="U455" s="650"/>
      <c r="V455" s="650"/>
      <c r="W455" s="650"/>
      <c r="X455" s="650"/>
      <c r="Y455" s="650"/>
      <c r="Z455" s="650"/>
      <c r="AA455" s="650"/>
      <c r="AB455" s="650"/>
      <c r="AC455" s="650"/>
      <c r="AD455" s="650"/>
      <c r="AE455" s="650"/>
      <c r="AF455" s="650"/>
      <c r="AG455" s="650"/>
      <c r="AH455" s="650"/>
      <c r="AI455" s="619"/>
      <c r="AJ455" s="619"/>
      <c r="AK455" s="619"/>
      <c r="AL455" s="619"/>
      <c r="AM455" s="619"/>
    </row>
    <row r="456" spans="1:39" ht="15.95" customHeight="1">
      <c r="A456" s="648" t="s">
        <v>697</v>
      </c>
      <c r="B456" s="648"/>
      <c r="C456" s="648"/>
      <c r="D456" s="648"/>
      <c r="E456" s="648"/>
      <c r="F456" s="648"/>
      <c r="G456" s="647" t="s">
        <v>713</v>
      </c>
      <c r="H456" s="647"/>
      <c r="I456" s="647"/>
      <c r="J456" s="647" t="s">
        <v>714</v>
      </c>
      <c r="K456" s="647"/>
      <c r="L456" s="647"/>
      <c r="M456" s="648" t="s">
        <v>519</v>
      </c>
      <c r="N456" s="648"/>
      <c r="O456" s="648" t="s">
        <v>715</v>
      </c>
      <c r="P456" s="648"/>
      <c r="Q456" s="648"/>
      <c r="R456" s="647" t="s">
        <v>732</v>
      </c>
      <c r="S456" s="647"/>
      <c r="T456" s="647"/>
      <c r="U456" s="647" t="s">
        <v>734</v>
      </c>
      <c r="V456" s="647"/>
      <c r="W456" s="647"/>
      <c r="X456" s="647" t="s">
        <v>1085</v>
      </c>
      <c r="Y456" s="647"/>
      <c r="Z456" s="647"/>
      <c r="AA456" s="647" t="s">
        <v>1086</v>
      </c>
      <c r="AB456" s="647"/>
      <c r="AC456" s="647"/>
      <c r="AD456" s="647" t="s">
        <v>717</v>
      </c>
      <c r="AE456" s="647"/>
      <c r="AF456" s="647" t="s">
        <v>718</v>
      </c>
      <c r="AG456" s="647"/>
      <c r="AH456" s="647"/>
      <c r="AI456" s="647" t="s">
        <v>719</v>
      </c>
      <c r="AJ456" s="647"/>
      <c r="AK456" s="647" t="s">
        <v>733</v>
      </c>
      <c r="AL456" s="647"/>
      <c r="AM456" s="647"/>
    </row>
    <row r="457" spans="1:39">
      <c r="A457" s="648"/>
      <c r="B457" s="648"/>
      <c r="C457" s="648"/>
      <c r="D457" s="648"/>
      <c r="E457" s="648"/>
      <c r="F457" s="648"/>
      <c r="G457" s="647"/>
      <c r="H457" s="647"/>
      <c r="I457" s="647"/>
      <c r="J457" s="647"/>
      <c r="K457" s="647"/>
      <c r="L457" s="647"/>
      <c r="M457" s="648"/>
      <c r="N457" s="648"/>
      <c r="O457" s="648"/>
      <c r="P457" s="648"/>
      <c r="Q457" s="648"/>
      <c r="R457" s="647"/>
      <c r="S457" s="647"/>
      <c r="T457" s="647"/>
      <c r="U457" s="647"/>
      <c r="V457" s="647"/>
      <c r="W457" s="647"/>
      <c r="X457" s="647"/>
      <c r="Y457" s="647"/>
      <c r="Z457" s="647"/>
      <c r="AA457" s="647"/>
      <c r="AB457" s="647"/>
      <c r="AC457" s="647"/>
      <c r="AD457" s="647"/>
      <c r="AE457" s="647"/>
      <c r="AF457" s="647"/>
      <c r="AG457" s="647"/>
      <c r="AH457" s="647"/>
      <c r="AI457" s="647"/>
      <c r="AJ457" s="647"/>
      <c r="AK457" s="647"/>
      <c r="AL457" s="647"/>
      <c r="AM457" s="647"/>
    </row>
    <row r="458" spans="1:39">
      <c r="A458" s="648"/>
      <c r="B458" s="648"/>
      <c r="C458" s="648"/>
      <c r="D458" s="648"/>
      <c r="E458" s="648"/>
      <c r="F458" s="648"/>
      <c r="G458" s="647"/>
      <c r="H458" s="647"/>
      <c r="I458" s="647"/>
      <c r="J458" s="713"/>
      <c r="K458" s="713"/>
      <c r="L458" s="713"/>
      <c r="M458" s="648"/>
      <c r="N458" s="648"/>
      <c r="O458" s="648"/>
      <c r="P458" s="648"/>
      <c r="Q458" s="648"/>
      <c r="R458" s="647"/>
      <c r="S458" s="647"/>
      <c r="T458" s="647"/>
      <c r="U458" s="647"/>
      <c r="V458" s="647"/>
      <c r="W458" s="647"/>
      <c r="X458" s="647"/>
      <c r="Y458" s="647"/>
      <c r="Z458" s="647"/>
      <c r="AA458" s="647"/>
      <c r="AB458" s="647"/>
      <c r="AC458" s="647"/>
      <c r="AD458" s="647"/>
      <c r="AE458" s="647"/>
      <c r="AF458" s="647"/>
      <c r="AG458" s="647"/>
      <c r="AH458" s="647"/>
      <c r="AI458" s="647"/>
      <c r="AJ458" s="647"/>
      <c r="AK458" s="647"/>
      <c r="AL458" s="647"/>
      <c r="AM458" s="647"/>
    </row>
    <row r="459" spans="1:39" ht="14.1" customHeight="1">
      <c r="A459" s="678" t="str">
        <f>VLOOKUP(AI454,'Contorizare in SDI'!$E:$I,5,FALSE)</f>
        <v>V.15G90220110064591/4</v>
      </c>
      <c r="B459" s="679"/>
      <c r="C459" s="679"/>
      <c r="D459" s="679"/>
      <c r="E459" s="679"/>
      <c r="F459" s="680"/>
      <c r="G459" s="648" t="s">
        <v>730</v>
      </c>
      <c r="H459" s="648"/>
      <c r="I459" s="673"/>
      <c r="J459" s="655">
        <f>'Date masura OD'!$AK$5</f>
        <v>45748</v>
      </c>
      <c r="K459" s="656"/>
      <c r="L459" s="657"/>
      <c r="M459" s="720" t="s">
        <v>446</v>
      </c>
      <c r="N459" s="648"/>
      <c r="O459" s="648">
        <f>VLOOKUP(AI454,'Incrementare indexe'!$B:$T,4,FALSE)</f>
        <v>1</v>
      </c>
      <c r="P459" s="648"/>
      <c r="Q459" s="648"/>
      <c r="R459" s="647" t="str">
        <f>VLOOKUP(A459,Regularizare!$D:$YN,3,FALSE)&amp;" ("&amp;VLOOKUP(A459,Regularizare!$D:$Y,11,FALSE)&amp;")"</f>
        <v>0 (citit)</v>
      </c>
      <c r="S459" s="647"/>
      <c r="T459" s="647"/>
      <c r="U459" s="647" t="str">
        <f>VLOOKUP(A459,Regularizare!$D:$U,4,FALSE)&amp;" ("&amp;VLOOKUP(A459,Regularizare!$D:$U,12,FALSE)&amp;")"</f>
        <v>0 (estimat)</v>
      </c>
      <c r="V459" s="647"/>
      <c r="W459" s="647"/>
      <c r="X459" s="647" t="str">
        <f>VLOOKUP(A459,Regularizare!$D:$Y,19,FALSE)&amp;" ("&amp;VLOOKUP(A459,Regularizare!$D:$U,12,FALSE)&amp;")"</f>
        <v>0 (estimat)</v>
      </c>
      <c r="Y459" s="647"/>
      <c r="Z459" s="647"/>
      <c r="AA459" s="647">
        <f>(-1)*VLOOKUP(A459,Regularizare!$D:$Y,19,FALSE)</f>
        <v>0</v>
      </c>
      <c r="AB459" s="647"/>
      <c r="AC459" s="647"/>
      <c r="AD459" s="647" t="s">
        <v>69</v>
      </c>
      <c r="AE459" s="647"/>
      <c r="AF459" s="647">
        <f>AA459</f>
        <v>0</v>
      </c>
      <c r="AG459" s="647"/>
      <c r="AH459" s="647"/>
      <c r="AI459" s="647" t="s">
        <v>69</v>
      </c>
      <c r="AJ459" s="647"/>
      <c r="AK459" s="647" t="s">
        <v>69</v>
      </c>
      <c r="AL459" s="647"/>
      <c r="AM459" s="647"/>
    </row>
    <row r="460" spans="1:39" ht="9.75" customHeight="1">
      <c r="A460" s="717"/>
      <c r="B460" s="718"/>
      <c r="C460" s="718"/>
      <c r="D460" s="718"/>
      <c r="E460" s="718"/>
      <c r="F460" s="719"/>
      <c r="G460" s="648"/>
      <c r="H460" s="648"/>
      <c r="I460" s="673"/>
      <c r="J460" s="717" t="s">
        <v>69</v>
      </c>
      <c r="K460" s="718"/>
      <c r="L460" s="719"/>
      <c r="M460" s="720"/>
      <c r="N460" s="648"/>
      <c r="O460" s="648"/>
      <c r="P460" s="648"/>
      <c r="Q460" s="648"/>
      <c r="R460" s="647"/>
      <c r="S460" s="647"/>
      <c r="T460" s="647"/>
      <c r="U460" s="647"/>
      <c r="V460" s="647"/>
      <c r="W460" s="647"/>
      <c r="X460" s="647"/>
      <c r="Y460" s="647"/>
      <c r="Z460" s="647"/>
      <c r="AA460" s="647"/>
      <c r="AB460" s="647"/>
      <c r="AC460" s="647"/>
      <c r="AD460" s="647"/>
      <c r="AE460" s="647"/>
      <c r="AF460" s="647"/>
      <c r="AG460" s="647"/>
      <c r="AH460" s="647"/>
      <c r="AI460" s="647"/>
      <c r="AJ460" s="647"/>
      <c r="AK460" s="647"/>
      <c r="AL460" s="647"/>
      <c r="AM460" s="647"/>
    </row>
    <row r="461" spans="1:39" ht="14.1" customHeight="1">
      <c r="A461" s="681"/>
      <c r="B461" s="682"/>
      <c r="C461" s="682"/>
      <c r="D461" s="682"/>
      <c r="E461" s="682"/>
      <c r="F461" s="683"/>
      <c r="G461" s="648"/>
      <c r="H461" s="648"/>
      <c r="I461" s="673"/>
      <c r="J461" s="714">
        <f>'Date masura OD'!$AL$5</f>
        <v>45777</v>
      </c>
      <c r="K461" s="715"/>
      <c r="L461" s="716"/>
      <c r="M461" s="720"/>
      <c r="N461" s="648"/>
      <c r="O461" s="648"/>
      <c r="P461" s="648"/>
      <c r="Q461" s="648"/>
      <c r="R461" s="647"/>
      <c r="S461" s="647"/>
      <c r="T461" s="647"/>
      <c r="U461" s="647"/>
      <c r="V461" s="647"/>
      <c r="W461" s="647"/>
      <c r="X461" s="647"/>
      <c r="Y461" s="647"/>
      <c r="Z461" s="647"/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</row>
    <row r="462" spans="1:39" ht="14.1" customHeight="1">
      <c r="A462" s="678" t="str">
        <f>A459</f>
        <v>V.15G90220110064591/4</v>
      </c>
      <c r="B462" s="679"/>
      <c r="C462" s="679"/>
      <c r="D462" s="679"/>
      <c r="E462" s="679"/>
      <c r="F462" s="680"/>
      <c r="G462" s="648" t="s">
        <v>696</v>
      </c>
      <c r="H462" s="648"/>
      <c r="I462" s="648"/>
      <c r="J462" s="655">
        <f t="shared" ref="J462:J467" si="26">J459</f>
        <v>45748</v>
      </c>
      <c r="K462" s="656"/>
      <c r="L462" s="657"/>
      <c r="M462" s="648" t="s">
        <v>720</v>
      </c>
      <c r="N462" s="648"/>
      <c r="O462" s="648">
        <f>O459</f>
        <v>1</v>
      </c>
      <c r="P462" s="648"/>
      <c r="Q462" s="648"/>
      <c r="R462" s="647" t="str">
        <f>VLOOKUP(A462,Regularizare!$D:$U,7,FALSE)&amp;" ("&amp;VLOOKUP(A462,Regularizare!$D:$U,15,FALSE)&amp;")"</f>
        <v>0 (citit)</v>
      </c>
      <c r="S462" s="647"/>
      <c r="T462" s="647"/>
      <c r="U462" s="647" t="str">
        <f>VLOOKUP(A462,Regularizare!$D:$U,8,FALSE)&amp;" ("&amp;VLOOKUP(A462,Regularizare!$D:$U,16,FALSE)&amp;")"</f>
        <v>0 (estimat)</v>
      </c>
      <c r="V462" s="647"/>
      <c r="W462" s="647"/>
      <c r="X462" s="647" t="str">
        <f>_xlfn.CONCAT(VLOOKUP(A462,Regularizare!$D:$U,8,FALSE)-VLOOKUP(A462,Regularizare!$D:$U,7,FALSE)," (",VLOOKUP(A462,Regularizare!$D:$U,16,FALSE),")")</f>
        <v>0 (estimat)</v>
      </c>
      <c r="Y462" s="647"/>
      <c r="Z462" s="647"/>
      <c r="AA462" s="647">
        <f>IF(VLOOKUP(A462,Regularizare!$D:$Y,21,FALSE)=0,VLOOKUP(A462,Regularizare!$D:$Y,21,FALSE),(-1)*VLOOKUP(A462,Regularizare!$D:$Y,21,FALSE))</f>
        <v>0</v>
      </c>
      <c r="AB462" s="647"/>
      <c r="AC462" s="647"/>
      <c r="AD462" s="647" t="s">
        <v>69</v>
      </c>
      <c r="AE462" s="647"/>
      <c r="AF462" s="647">
        <f>AA462</f>
        <v>0</v>
      </c>
      <c r="AG462" s="647"/>
      <c r="AH462" s="647"/>
      <c r="AI462" s="647" t="str">
        <f>AI459</f>
        <v>-</v>
      </c>
      <c r="AJ462" s="647"/>
      <c r="AK462" s="647" t="str">
        <f>AK459</f>
        <v>-</v>
      </c>
      <c r="AL462" s="647"/>
      <c r="AM462" s="647"/>
    </row>
    <row r="463" spans="1:39" ht="8.4499999999999993" customHeight="1">
      <c r="A463" s="717"/>
      <c r="B463" s="718"/>
      <c r="C463" s="718"/>
      <c r="D463" s="718"/>
      <c r="E463" s="718"/>
      <c r="F463" s="719"/>
      <c r="G463" s="648"/>
      <c r="H463" s="648"/>
      <c r="I463" s="648"/>
      <c r="J463" s="717" t="str">
        <f t="shared" si="26"/>
        <v>-</v>
      </c>
      <c r="K463" s="718"/>
      <c r="L463" s="719"/>
      <c r="M463" s="648"/>
      <c r="N463" s="648"/>
      <c r="O463" s="648"/>
      <c r="P463" s="648"/>
      <c r="Q463" s="648"/>
      <c r="R463" s="647"/>
      <c r="S463" s="647"/>
      <c r="T463" s="647"/>
      <c r="U463" s="647"/>
      <c r="V463" s="647"/>
      <c r="W463" s="647"/>
      <c r="X463" s="647"/>
      <c r="Y463" s="647"/>
      <c r="Z463" s="647"/>
      <c r="AA463" s="647"/>
      <c r="AB463" s="647"/>
      <c r="AC463" s="647"/>
      <c r="AD463" s="647"/>
      <c r="AE463" s="647"/>
      <c r="AF463" s="647"/>
      <c r="AG463" s="647"/>
      <c r="AH463" s="647"/>
      <c r="AI463" s="647"/>
      <c r="AJ463" s="647"/>
      <c r="AK463" s="647"/>
      <c r="AL463" s="647"/>
      <c r="AM463" s="647"/>
    </row>
    <row r="464" spans="1:39" ht="14.1" customHeight="1">
      <c r="A464" s="681"/>
      <c r="B464" s="682"/>
      <c r="C464" s="682"/>
      <c r="D464" s="682"/>
      <c r="E464" s="682"/>
      <c r="F464" s="683"/>
      <c r="G464" s="648"/>
      <c r="H464" s="648"/>
      <c r="I464" s="648"/>
      <c r="J464" s="714">
        <f t="shared" si="26"/>
        <v>45777</v>
      </c>
      <c r="K464" s="715"/>
      <c r="L464" s="716"/>
      <c r="M464" s="648"/>
      <c r="N464" s="648"/>
      <c r="O464" s="648"/>
      <c r="P464" s="648"/>
      <c r="Q464" s="648"/>
      <c r="R464" s="647"/>
      <c r="S464" s="647"/>
      <c r="T464" s="647"/>
      <c r="U464" s="647"/>
      <c r="V464" s="647"/>
      <c r="W464" s="647"/>
      <c r="X464" s="647"/>
      <c r="Y464" s="647"/>
      <c r="Z464" s="647"/>
      <c r="AA464" s="647"/>
      <c r="AB464" s="647"/>
      <c r="AC464" s="647"/>
      <c r="AD464" s="647"/>
      <c r="AE464" s="647"/>
      <c r="AF464" s="647"/>
      <c r="AG464" s="647"/>
      <c r="AH464" s="647"/>
      <c r="AI464" s="647"/>
      <c r="AJ464" s="647"/>
      <c r="AK464" s="647"/>
      <c r="AL464" s="647"/>
      <c r="AM464" s="647"/>
    </row>
    <row r="465" spans="1:39" ht="14.1" customHeight="1">
      <c r="A465" s="678" t="str">
        <f>A462</f>
        <v>V.15G90220110064591/4</v>
      </c>
      <c r="B465" s="679"/>
      <c r="C465" s="679"/>
      <c r="D465" s="679"/>
      <c r="E465" s="679"/>
      <c r="F465" s="680"/>
      <c r="G465" s="648" t="s">
        <v>731</v>
      </c>
      <c r="H465" s="648"/>
      <c r="I465" s="648"/>
      <c r="J465" s="655">
        <f t="shared" si="26"/>
        <v>45748</v>
      </c>
      <c r="K465" s="656"/>
      <c r="L465" s="657"/>
      <c r="M465" s="648" t="s">
        <v>720</v>
      </c>
      <c r="N465" s="648"/>
      <c r="O465" s="648">
        <f>O462</f>
        <v>1</v>
      </c>
      <c r="P465" s="648"/>
      <c r="Q465" s="648"/>
      <c r="R465" s="647" t="str">
        <f>VLOOKUP(A465,Regularizare!$D:$U,9,FALSE)&amp;" ("&amp;VLOOKUP(A465,Regularizare!$D:$U,17,FALSE)&amp;")"</f>
        <v>32 (citit)</v>
      </c>
      <c r="S465" s="647"/>
      <c r="T465" s="647"/>
      <c r="U465" s="647" t="str">
        <f>VLOOKUP(A465,Regularizare!$D:$U,10,FALSE)&amp;" ("&amp;VLOOKUP(A465,Regularizare!$D:$U,18,FALSE)&amp;")"</f>
        <v>32 (estimat)</v>
      </c>
      <c r="V465" s="647"/>
      <c r="W465" s="647"/>
      <c r="X465" s="647" t="str">
        <f>_xlfn.CONCAT(VLOOKUP(A465,Regularizare!$D:$U,10,FALSE)-VLOOKUP(A465,Regularizare!$D:$U,9,FALSE)," (",VLOOKUP(A465,Regularizare!$D:$U,18,FALSE),")")</f>
        <v>0 (estimat)</v>
      </c>
      <c r="Y465" s="647"/>
      <c r="Z465" s="647"/>
      <c r="AA465" s="647">
        <f>IF(VLOOKUP(A465,Regularizare!$D:$Y,22,FALSE)=0,VLOOKUP(A465,Regularizare!$D:$Y,22,FALSE),(-1)*VLOOKUP(A465,Regularizare!$D:$Y,22,FALSE))</f>
        <v>0</v>
      </c>
      <c r="AB465" s="647"/>
      <c r="AC465" s="647"/>
      <c r="AD465" s="647" t="s">
        <v>69</v>
      </c>
      <c r="AE465" s="647"/>
      <c r="AF465" s="647">
        <f>AA465</f>
        <v>0</v>
      </c>
      <c r="AG465" s="647"/>
      <c r="AH465" s="647"/>
      <c r="AI465" s="647" t="str">
        <f>AI462</f>
        <v>-</v>
      </c>
      <c r="AJ465" s="647"/>
      <c r="AK465" s="647" t="str">
        <f>AK462</f>
        <v>-</v>
      </c>
      <c r="AL465" s="647"/>
      <c r="AM465" s="647"/>
    </row>
    <row r="466" spans="1:39" ht="8.4499999999999993" customHeight="1">
      <c r="A466" s="717"/>
      <c r="B466" s="718"/>
      <c r="C466" s="718"/>
      <c r="D466" s="718"/>
      <c r="E466" s="718"/>
      <c r="F466" s="719"/>
      <c r="G466" s="648"/>
      <c r="H466" s="648"/>
      <c r="I466" s="648"/>
      <c r="J466" s="717" t="str">
        <f t="shared" si="26"/>
        <v>-</v>
      </c>
      <c r="K466" s="718"/>
      <c r="L466" s="719"/>
      <c r="M466" s="648"/>
      <c r="N466" s="648"/>
      <c r="O466" s="648"/>
      <c r="P466" s="648"/>
      <c r="Q466" s="648"/>
      <c r="R466" s="647"/>
      <c r="S466" s="647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647"/>
      <c r="AL466" s="647"/>
      <c r="AM466" s="647"/>
    </row>
    <row r="467" spans="1:39" ht="14.1" customHeight="1">
      <c r="A467" s="681"/>
      <c r="B467" s="682"/>
      <c r="C467" s="682"/>
      <c r="D467" s="682"/>
      <c r="E467" s="682"/>
      <c r="F467" s="683"/>
      <c r="G467" s="648"/>
      <c r="H467" s="648"/>
      <c r="I467" s="648"/>
      <c r="J467" s="714">
        <f t="shared" si="26"/>
        <v>45777</v>
      </c>
      <c r="K467" s="715"/>
      <c r="L467" s="716"/>
      <c r="M467" s="648"/>
      <c r="N467" s="648"/>
      <c r="O467" s="648"/>
      <c r="P467" s="648"/>
      <c r="Q467" s="648"/>
      <c r="R467" s="647"/>
      <c r="S467" s="647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647"/>
      <c r="AL467" s="647"/>
      <c r="AM467" s="647"/>
    </row>
    <row r="468" spans="1:39" ht="14.1" customHeight="1">
      <c r="A468" s="678" t="str">
        <f>A465</f>
        <v>V.15G90220110064591/4</v>
      </c>
      <c r="B468" s="679"/>
      <c r="C468" s="679"/>
      <c r="D468" s="679"/>
      <c r="E468" s="679"/>
      <c r="F468" s="680"/>
      <c r="G468" s="648" t="s">
        <v>730</v>
      </c>
      <c r="H468" s="648"/>
      <c r="I468" s="673"/>
      <c r="J468" s="655">
        <f>'Date masura OD'!$AK$5</f>
        <v>45748</v>
      </c>
      <c r="K468" s="656"/>
      <c r="L468" s="657"/>
      <c r="M468" s="720" t="s">
        <v>446</v>
      </c>
      <c r="N468" s="648"/>
      <c r="O468" s="648">
        <f>O465</f>
        <v>1</v>
      </c>
      <c r="P468" s="648"/>
      <c r="Q468" s="648"/>
      <c r="R468" s="647" t="str">
        <f>VLOOKUP(A468,Regularizare!$D:$AX,23,FALSE)&amp;" ("&amp;VLOOKUP(A468,Regularizare!$D:$AX,24,FALSE)&amp;")"</f>
        <v>0 (citit)</v>
      </c>
      <c r="S468" s="647"/>
      <c r="T468" s="647"/>
      <c r="U468" s="647" t="str">
        <f>VLOOKUP(A468,Regularizare!$D:$AX,25,FALSE)&amp;" ("&amp;VLOOKUP(A468,Regularizare!$D:$AX,26,FALSE)&amp;")"</f>
        <v>0 (citit)</v>
      </c>
      <c r="V468" s="647"/>
      <c r="W468" s="647"/>
      <c r="X468" s="647" t="str">
        <f>VLOOKUP(A468,Regularizare!$D:$AX,37,FALSE)&amp;" ("&amp;VLOOKUP(A468,Regularizare!$D:$AX,26,FALSE)&amp;")"</f>
        <v>0 (citit)</v>
      </c>
      <c r="Y468" s="647"/>
      <c r="Z468" s="647"/>
      <c r="AA468" s="647">
        <f>VLOOKUP(A468,Regularizare!$D:$AX,37,FALSE)</f>
        <v>0</v>
      </c>
      <c r="AB468" s="647"/>
      <c r="AC468" s="647"/>
      <c r="AD468" s="647" t="s">
        <v>69</v>
      </c>
      <c r="AE468" s="647"/>
      <c r="AF468" s="647">
        <f>AA468</f>
        <v>0</v>
      </c>
      <c r="AG468" s="647"/>
      <c r="AH468" s="647"/>
      <c r="AI468" s="647" t="str">
        <f>AI465</f>
        <v>-</v>
      </c>
      <c r="AJ468" s="647"/>
      <c r="AK468" s="647" t="str">
        <f>AK465</f>
        <v>-</v>
      </c>
      <c r="AL468" s="647"/>
      <c r="AM468" s="647"/>
    </row>
    <row r="469" spans="1:39" ht="8.4499999999999993" customHeight="1">
      <c r="A469" s="717"/>
      <c r="B469" s="718"/>
      <c r="C469" s="718"/>
      <c r="D469" s="718"/>
      <c r="E469" s="718"/>
      <c r="F469" s="719"/>
      <c r="G469" s="648"/>
      <c r="H469" s="648"/>
      <c r="I469" s="673"/>
      <c r="J469" s="717" t="s">
        <v>69</v>
      </c>
      <c r="K469" s="718"/>
      <c r="L469" s="719"/>
      <c r="M469" s="720"/>
      <c r="N469" s="648"/>
      <c r="O469" s="648"/>
      <c r="P469" s="648"/>
      <c r="Q469" s="648"/>
      <c r="R469" s="647"/>
      <c r="S469" s="647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7"/>
    </row>
    <row r="470" spans="1:39" ht="14.1" customHeight="1">
      <c r="A470" s="681"/>
      <c r="B470" s="682"/>
      <c r="C470" s="682"/>
      <c r="D470" s="682"/>
      <c r="E470" s="682"/>
      <c r="F470" s="683"/>
      <c r="G470" s="648"/>
      <c r="H470" s="648"/>
      <c r="I470" s="673"/>
      <c r="J470" s="714">
        <f>'Date masura OD'!$AL$5</f>
        <v>45777</v>
      </c>
      <c r="K470" s="715"/>
      <c r="L470" s="716"/>
      <c r="M470" s="720"/>
      <c r="N470" s="648"/>
      <c r="O470" s="648"/>
      <c r="P470" s="648"/>
      <c r="Q470" s="648"/>
      <c r="R470" s="647"/>
      <c r="S470" s="647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647"/>
      <c r="AL470" s="647"/>
      <c r="AM470" s="647"/>
    </row>
    <row r="471" spans="1:39" ht="14.1" customHeight="1">
      <c r="A471" s="678" t="str">
        <f>A468</f>
        <v>V.15G90220110064591/4</v>
      </c>
      <c r="B471" s="679"/>
      <c r="C471" s="679"/>
      <c r="D471" s="679"/>
      <c r="E471" s="679"/>
      <c r="F471" s="680"/>
      <c r="G471" s="648" t="s">
        <v>696</v>
      </c>
      <c r="H471" s="648"/>
      <c r="I471" s="648"/>
      <c r="J471" s="655">
        <f t="shared" ref="J471:J476" si="27">J468</f>
        <v>45748</v>
      </c>
      <c r="K471" s="656"/>
      <c r="L471" s="657"/>
      <c r="M471" s="648" t="s">
        <v>720</v>
      </c>
      <c r="N471" s="648"/>
      <c r="O471" s="648">
        <f>O468</f>
        <v>1</v>
      </c>
      <c r="P471" s="648"/>
      <c r="Q471" s="648"/>
      <c r="R471" s="647" t="str">
        <f>VLOOKUP(A471,Regularizare!$D:$AX,29,FALSE)&amp;" ("&amp;VLOOKUP(A471,Regularizare!$D:$AX,30,FALSE)&amp;")"</f>
        <v>0 (citit)</v>
      </c>
      <c r="S471" s="647"/>
      <c r="T471" s="647"/>
      <c r="U471" s="647" t="str">
        <f>VLOOKUP(A471,Regularizare!$D:$AX,31,FALSE)&amp;" ("&amp;VLOOKUP(A471,Regularizare!$D:$AX,32,FALSE)&amp;")"</f>
        <v>0 (citit)</v>
      </c>
      <c r="V471" s="647"/>
      <c r="W471" s="647"/>
      <c r="X471" s="647" t="str">
        <f>VLOOKUP(A471,Regularizare!$D:$AX,39,FALSE)&amp;" ("&amp;VLOOKUP(A471,Regularizare!$D:$AX,32,FALSE)&amp;")"</f>
        <v>0 (citit)</v>
      </c>
      <c r="Y471" s="647"/>
      <c r="Z471" s="647"/>
      <c r="AA471" s="647">
        <f>VLOOKUP(A471,Regularizare!$D:$AX,44,FALSE)+VLOOKUP(A471,Regularizare!$D:$AX,45,FALSE)</f>
        <v>0</v>
      </c>
      <c r="AB471" s="647"/>
      <c r="AC471" s="647"/>
      <c r="AD471" s="647" t="s">
        <v>69</v>
      </c>
      <c r="AE471" s="647"/>
      <c r="AF471" s="647">
        <f>AA471</f>
        <v>0</v>
      </c>
      <c r="AG471" s="647"/>
      <c r="AH471" s="647"/>
      <c r="AI471" s="647" t="str">
        <f>AI468</f>
        <v>-</v>
      </c>
      <c r="AJ471" s="647"/>
      <c r="AK471" s="647" t="str">
        <f>AK468</f>
        <v>-</v>
      </c>
      <c r="AL471" s="647"/>
      <c r="AM471" s="647"/>
    </row>
    <row r="472" spans="1:39" ht="8.4499999999999993" customHeight="1">
      <c r="A472" s="717"/>
      <c r="B472" s="718"/>
      <c r="C472" s="718"/>
      <c r="D472" s="718"/>
      <c r="E472" s="718"/>
      <c r="F472" s="719"/>
      <c r="G472" s="648"/>
      <c r="H472" s="648"/>
      <c r="I472" s="648"/>
      <c r="J472" s="717" t="str">
        <f t="shared" si="27"/>
        <v>-</v>
      </c>
      <c r="K472" s="718"/>
      <c r="L472" s="719"/>
      <c r="M472" s="648"/>
      <c r="N472" s="648"/>
      <c r="O472" s="648"/>
      <c r="P472" s="648"/>
      <c r="Q472" s="648"/>
      <c r="R472" s="647"/>
      <c r="S472" s="647"/>
      <c r="T472" s="647"/>
      <c r="U472" s="647"/>
      <c r="V472" s="647"/>
      <c r="W472" s="647"/>
      <c r="X472" s="647"/>
      <c r="Y472" s="647"/>
      <c r="Z472" s="647"/>
      <c r="AA472" s="647"/>
      <c r="AB472" s="647"/>
      <c r="AC472" s="647"/>
      <c r="AD472" s="647"/>
      <c r="AE472" s="647"/>
      <c r="AF472" s="647"/>
      <c r="AG472" s="647"/>
      <c r="AH472" s="647"/>
      <c r="AI472" s="647"/>
      <c r="AJ472" s="647"/>
      <c r="AK472" s="647"/>
      <c r="AL472" s="647"/>
      <c r="AM472" s="647"/>
    </row>
    <row r="473" spans="1:39" ht="14.1" customHeight="1">
      <c r="A473" s="681"/>
      <c r="B473" s="682"/>
      <c r="C473" s="682"/>
      <c r="D473" s="682"/>
      <c r="E473" s="682"/>
      <c r="F473" s="683"/>
      <c r="G473" s="648"/>
      <c r="H473" s="648"/>
      <c r="I473" s="648"/>
      <c r="J473" s="714">
        <f t="shared" si="27"/>
        <v>45777</v>
      </c>
      <c r="K473" s="715"/>
      <c r="L473" s="716"/>
      <c r="M473" s="648"/>
      <c r="N473" s="648"/>
      <c r="O473" s="648"/>
      <c r="P473" s="648"/>
      <c r="Q473" s="648"/>
      <c r="R473" s="647"/>
      <c r="S473" s="647"/>
      <c r="T473" s="647"/>
      <c r="U473" s="647"/>
      <c r="V473" s="647"/>
      <c r="W473" s="647"/>
      <c r="X473" s="647"/>
      <c r="Y473" s="647"/>
      <c r="Z473" s="647"/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</row>
    <row r="474" spans="1:39" ht="14.1" customHeight="1">
      <c r="A474" s="678" t="str">
        <f>A471</f>
        <v>V.15G90220110064591/4</v>
      </c>
      <c r="B474" s="679"/>
      <c r="C474" s="679"/>
      <c r="D474" s="679"/>
      <c r="E474" s="679"/>
      <c r="F474" s="680"/>
      <c r="G474" s="648" t="s">
        <v>731</v>
      </c>
      <c r="H474" s="648"/>
      <c r="I474" s="648"/>
      <c r="J474" s="655">
        <f t="shared" si="27"/>
        <v>45748</v>
      </c>
      <c r="K474" s="656"/>
      <c r="L474" s="657"/>
      <c r="M474" s="648" t="s">
        <v>720</v>
      </c>
      <c r="N474" s="648"/>
      <c r="O474" s="648">
        <f>O471</f>
        <v>1</v>
      </c>
      <c r="P474" s="648"/>
      <c r="Q474" s="648"/>
      <c r="R474" s="647" t="str">
        <f>VLOOKUP(A474,Regularizare!$D:$AX,33,FALSE)&amp;" ("&amp;VLOOKUP(A474,Regularizare!$D:$AX,34,FALSE)&amp;")"</f>
        <v>32 (citit)</v>
      </c>
      <c r="S474" s="647"/>
      <c r="T474" s="647"/>
      <c r="U474" s="647" t="str">
        <f>VLOOKUP(A474,Regularizare!$D:$AX,35,FALSE)&amp;" ("&amp;VLOOKUP(A474,Regularizare!$D:$AX,36,FALSE)&amp;")"</f>
        <v>32 (citit)</v>
      </c>
      <c r="V474" s="647"/>
      <c r="W474" s="647"/>
      <c r="X474" s="647" t="str">
        <f>VLOOKUP(A474,Regularizare!$D:$AX,40,FALSE)&amp;" ("&amp;VLOOKUP(A474,Regularizare!$D:$AX,36,FALSE)&amp;")"</f>
        <v>0 (citit)</v>
      </c>
      <c r="Y474" s="647"/>
      <c r="Z474" s="647"/>
      <c r="AA474" s="647">
        <f>VLOOKUP(A474,Regularizare!$D:$AX,46,FALSE)+VLOOKUP(A474,Regularizare!$D:$AX,47,FALSE)</f>
        <v>0</v>
      </c>
      <c r="AB474" s="647"/>
      <c r="AC474" s="647"/>
      <c r="AD474" s="647" t="s">
        <v>69</v>
      </c>
      <c r="AE474" s="647"/>
      <c r="AF474" s="647">
        <f>AA474</f>
        <v>0</v>
      </c>
      <c r="AG474" s="647"/>
      <c r="AH474" s="647"/>
      <c r="AI474" s="647" t="str">
        <f>AI471</f>
        <v>-</v>
      </c>
      <c r="AJ474" s="647"/>
      <c r="AK474" s="647" t="str">
        <f>AK471</f>
        <v>-</v>
      </c>
      <c r="AL474" s="647"/>
      <c r="AM474" s="647"/>
    </row>
    <row r="475" spans="1:39" ht="8.4499999999999993" customHeight="1">
      <c r="A475" s="717"/>
      <c r="B475" s="718"/>
      <c r="C475" s="718"/>
      <c r="D475" s="718"/>
      <c r="E475" s="718"/>
      <c r="F475" s="719"/>
      <c r="G475" s="648"/>
      <c r="H475" s="648"/>
      <c r="I475" s="648"/>
      <c r="J475" s="717" t="str">
        <f t="shared" si="27"/>
        <v>-</v>
      </c>
      <c r="K475" s="718"/>
      <c r="L475" s="719"/>
      <c r="M475" s="648"/>
      <c r="N475" s="648"/>
      <c r="O475" s="648"/>
      <c r="P475" s="648"/>
      <c r="Q475" s="648"/>
      <c r="R475" s="647"/>
      <c r="S475" s="647"/>
      <c r="T475" s="647"/>
      <c r="U475" s="647"/>
      <c r="V475" s="647"/>
      <c r="W475" s="647"/>
      <c r="X475" s="647"/>
      <c r="Y475" s="647"/>
      <c r="Z475" s="647"/>
      <c r="AA475" s="647"/>
      <c r="AB475" s="647"/>
      <c r="AC475" s="647"/>
      <c r="AD475" s="647"/>
      <c r="AE475" s="647"/>
      <c r="AF475" s="647"/>
      <c r="AG475" s="647"/>
      <c r="AH475" s="647"/>
      <c r="AI475" s="647"/>
      <c r="AJ475" s="647"/>
      <c r="AK475" s="647"/>
      <c r="AL475" s="647"/>
      <c r="AM475" s="647"/>
    </row>
    <row r="476" spans="1:39" ht="14.1" customHeight="1">
      <c r="A476" s="681"/>
      <c r="B476" s="682"/>
      <c r="C476" s="682"/>
      <c r="D476" s="682"/>
      <c r="E476" s="682"/>
      <c r="F476" s="683"/>
      <c r="G476" s="648"/>
      <c r="H476" s="648"/>
      <c r="I476" s="648"/>
      <c r="J476" s="714">
        <f t="shared" si="27"/>
        <v>45777</v>
      </c>
      <c r="K476" s="715"/>
      <c r="L476" s="716"/>
      <c r="M476" s="648"/>
      <c r="N476" s="648"/>
      <c r="O476" s="648"/>
      <c r="P476" s="648"/>
      <c r="Q476" s="648"/>
      <c r="R476" s="647"/>
      <c r="S476" s="647"/>
      <c r="T476" s="647"/>
      <c r="U476" s="647"/>
      <c r="V476" s="647"/>
      <c r="W476" s="647"/>
      <c r="X476" s="647"/>
      <c r="Y476" s="647"/>
      <c r="Z476" s="647"/>
      <c r="AA476" s="647"/>
      <c r="AB476" s="647"/>
      <c r="AC476" s="647"/>
      <c r="AD476" s="647"/>
      <c r="AE476" s="647"/>
      <c r="AF476" s="647"/>
      <c r="AG476" s="647"/>
      <c r="AH476" s="647"/>
      <c r="AI476" s="647"/>
      <c r="AJ476" s="647"/>
      <c r="AK476" s="647"/>
      <c r="AL476" s="647"/>
      <c r="AM476" s="647"/>
    </row>
    <row r="477" spans="1:39" ht="14.1" customHeight="1">
      <c r="A477" s="678" t="str">
        <f>A474</f>
        <v>V.15G90220110064591/4</v>
      </c>
      <c r="B477" s="679"/>
      <c r="C477" s="679"/>
      <c r="D477" s="679"/>
      <c r="E477" s="679"/>
      <c r="F477" s="680"/>
      <c r="G477" s="648" t="s">
        <v>730</v>
      </c>
      <c r="H477" s="648"/>
      <c r="I477" s="673"/>
      <c r="J477" s="655">
        <f>'Date masura OD'!$I$5</f>
        <v>45778</v>
      </c>
      <c r="K477" s="656"/>
      <c r="L477" s="657"/>
      <c r="M477" s="720" t="s">
        <v>446</v>
      </c>
      <c r="N477" s="648"/>
      <c r="O477" s="648">
        <f>O474</f>
        <v>1</v>
      </c>
      <c r="P477" s="648"/>
      <c r="Q477" s="648"/>
      <c r="R477" s="647" t="str">
        <f>U468</f>
        <v>0 (citit)</v>
      </c>
      <c r="S477" s="647"/>
      <c r="T477" s="647"/>
      <c r="U477" s="647" t="str">
        <f>VLOOKUP(A477,'Incrementare indexe'!$D:$M,4,FALSE)&amp;" (estimat)"</f>
        <v>0 (estimat)</v>
      </c>
      <c r="V477" s="647"/>
      <c r="W477" s="647"/>
      <c r="X477" s="647" t="str">
        <f>VLOOKUP(A477,'Incrementare indexe'!$D:$Q,11,FALSE)&amp;" (estimat)"</f>
        <v>0 (estimat)</v>
      </c>
      <c r="Y477" s="647"/>
      <c r="Z477" s="647"/>
      <c r="AA477" s="647" t="s">
        <v>69</v>
      </c>
      <c r="AB477" s="647"/>
      <c r="AC477" s="647"/>
      <c r="AD477" s="647" t="s">
        <v>69</v>
      </c>
      <c r="AE477" s="647"/>
      <c r="AF477" s="647">
        <f>VLOOKUP(A477,'Incrementare indexe'!$D:$Q,11,FALSE)</f>
        <v>0</v>
      </c>
      <c r="AG477" s="647"/>
      <c r="AH477" s="647"/>
      <c r="AI477" s="647">
        <f>J479-J477+1</f>
        <v>31</v>
      </c>
      <c r="AJ477" s="647"/>
      <c r="AK477" s="647">
        <f>ROUND(AF477/AI477,2)</f>
        <v>0</v>
      </c>
      <c r="AL477" s="647"/>
      <c r="AM477" s="647"/>
    </row>
    <row r="478" spans="1:39" ht="8.4499999999999993" customHeight="1">
      <c r="A478" s="717"/>
      <c r="B478" s="718"/>
      <c r="C478" s="718"/>
      <c r="D478" s="718"/>
      <c r="E478" s="718"/>
      <c r="F478" s="719"/>
      <c r="G478" s="648"/>
      <c r="H478" s="648"/>
      <c r="I478" s="673"/>
      <c r="J478" s="717" t="s">
        <v>69</v>
      </c>
      <c r="K478" s="718"/>
      <c r="L478" s="719"/>
      <c r="M478" s="720"/>
      <c r="N478" s="648"/>
      <c r="O478" s="648"/>
      <c r="P478" s="648"/>
      <c r="Q478" s="648"/>
      <c r="R478" s="647"/>
      <c r="S478" s="647"/>
      <c r="T478" s="647"/>
      <c r="U478" s="647"/>
      <c r="V478" s="647"/>
      <c r="W478" s="647"/>
      <c r="X478" s="647"/>
      <c r="Y478" s="647"/>
      <c r="Z478" s="647"/>
      <c r="AA478" s="647"/>
      <c r="AB478" s="647"/>
      <c r="AC478" s="647"/>
      <c r="AD478" s="647"/>
      <c r="AE478" s="647"/>
      <c r="AF478" s="647"/>
      <c r="AG478" s="647"/>
      <c r="AH478" s="647"/>
      <c r="AI478" s="647"/>
      <c r="AJ478" s="647"/>
      <c r="AK478" s="647"/>
      <c r="AL478" s="647"/>
      <c r="AM478" s="647"/>
    </row>
    <row r="479" spans="1:39" ht="14.1" customHeight="1">
      <c r="A479" s="681"/>
      <c r="B479" s="682"/>
      <c r="C479" s="682"/>
      <c r="D479" s="682"/>
      <c r="E479" s="682"/>
      <c r="F479" s="683"/>
      <c r="G479" s="648"/>
      <c r="H479" s="648"/>
      <c r="I479" s="673"/>
      <c r="J479" s="714">
        <f>'Date masura OD'!$J$5</f>
        <v>45808</v>
      </c>
      <c r="K479" s="715"/>
      <c r="L479" s="716"/>
      <c r="M479" s="720"/>
      <c r="N479" s="648"/>
      <c r="O479" s="648"/>
      <c r="P479" s="648"/>
      <c r="Q479" s="648"/>
      <c r="R479" s="647"/>
      <c r="S479" s="647"/>
      <c r="T479" s="647"/>
      <c r="U479" s="647"/>
      <c r="V479" s="647"/>
      <c r="W479" s="647"/>
      <c r="X479" s="647"/>
      <c r="Y479" s="647"/>
      <c r="Z479" s="647"/>
      <c r="AA479" s="647"/>
      <c r="AB479" s="647"/>
      <c r="AC479" s="647"/>
      <c r="AD479" s="647"/>
      <c r="AE479" s="647"/>
      <c r="AF479" s="647"/>
      <c r="AG479" s="647"/>
      <c r="AH479" s="647"/>
      <c r="AI479" s="647"/>
      <c r="AJ479" s="647"/>
      <c r="AK479" s="647"/>
      <c r="AL479" s="647"/>
      <c r="AM479" s="647"/>
    </row>
    <row r="480" spans="1:39" ht="14.1" customHeight="1">
      <c r="A480" s="678" t="str">
        <f>A477</f>
        <v>V.15G90220110064591/4</v>
      </c>
      <c r="B480" s="679"/>
      <c r="C480" s="679"/>
      <c r="D480" s="679"/>
      <c r="E480" s="679"/>
      <c r="F480" s="680"/>
      <c r="G480" s="648" t="s">
        <v>696</v>
      </c>
      <c r="H480" s="648"/>
      <c r="I480" s="648"/>
      <c r="J480" s="655">
        <f t="shared" ref="J480:J485" si="28">J477</f>
        <v>45778</v>
      </c>
      <c r="K480" s="656"/>
      <c r="L480" s="657"/>
      <c r="M480" s="648" t="s">
        <v>720</v>
      </c>
      <c r="N480" s="648"/>
      <c r="O480" s="648">
        <f>O477</f>
        <v>1</v>
      </c>
      <c r="P480" s="648"/>
      <c r="Q480" s="648"/>
      <c r="R480" s="647" t="str">
        <f>U471</f>
        <v>0 (citit)</v>
      </c>
      <c r="S480" s="647"/>
      <c r="T480" s="647"/>
      <c r="U480" s="647" t="str">
        <f>VLOOKUP(A480,'Incrementare indexe'!$D:$M,8,FALSE)&amp;" (estimat)"</f>
        <v>0 (estimat)</v>
      </c>
      <c r="V480" s="647"/>
      <c r="W480" s="647"/>
      <c r="X480" s="647" t="str">
        <f>VLOOKUP(A480,'Incrementare indexe'!$D:$Q,12,FALSE)&amp;" (estimat)"</f>
        <v>0 (estimat)</v>
      </c>
      <c r="Y480" s="647"/>
      <c r="Z480" s="647"/>
      <c r="AA480" s="647" t="s">
        <v>69</v>
      </c>
      <c r="AB480" s="647"/>
      <c r="AC480" s="647"/>
      <c r="AD480" s="647" t="s">
        <v>69</v>
      </c>
      <c r="AE480" s="647"/>
      <c r="AF480" s="647">
        <f>VLOOKUP(A480,'Incrementare indexe'!$D:$Q,12,FALSE)</f>
        <v>0</v>
      </c>
      <c r="AG480" s="647"/>
      <c r="AH480" s="647"/>
      <c r="AI480" s="647">
        <f>AI477</f>
        <v>31</v>
      </c>
      <c r="AJ480" s="647"/>
      <c r="AK480" s="647">
        <f>ROUND(AF480/AI480,2)</f>
        <v>0</v>
      </c>
      <c r="AL480" s="647"/>
      <c r="AM480" s="647"/>
    </row>
    <row r="481" spans="1:39" ht="8.4499999999999993" customHeight="1">
      <c r="A481" s="717"/>
      <c r="B481" s="718"/>
      <c r="C481" s="718"/>
      <c r="D481" s="718"/>
      <c r="E481" s="718"/>
      <c r="F481" s="719"/>
      <c r="G481" s="648"/>
      <c r="H481" s="648"/>
      <c r="I481" s="648"/>
      <c r="J481" s="717" t="str">
        <f t="shared" si="28"/>
        <v>-</v>
      </c>
      <c r="K481" s="718"/>
      <c r="L481" s="719"/>
      <c r="M481" s="648"/>
      <c r="N481" s="648"/>
      <c r="O481" s="648"/>
      <c r="P481" s="648"/>
      <c r="Q481" s="648"/>
      <c r="R481" s="647"/>
      <c r="S481" s="647"/>
      <c r="T481" s="647"/>
      <c r="U481" s="647"/>
      <c r="V481" s="647"/>
      <c r="W481" s="647"/>
      <c r="X481" s="647"/>
      <c r="Y481" s="647"/>
      <c r="Z481" s="647"/>
      <c r="AA481" s="647"/>
      <c r="AB481" s="647"/>
      <c r="AC481" s="647"/>
      <c r="AD481" s="647"/>
      <c r="AE481" s="647"/>
      <c r="AF481" s="647"/>
      <c r="AG481" s="647"/>
      <c r="AH481" s="647"/>
      <c r="AI481" s="647"/>
      <c r="AJ481" s="647"/>
      <c r="AK481" s="647"/>
      <c r="AL481" s="647"/>
      <c r="AM481" s="647"/>
    </row>
    <row r="482" spans="1:39" ht="14.1" customHeight="1">
      <c r="A482" s="681"/>
      <c r="B482" s="682"/>
      <c r="C482" s="682"/>
      <c r="D482" s="682"/>
      <c r="E482" s="682"/>
      <c r="F482" s="683"/>
      <c r="G482" s="648"/>
      <c r="H482" s="648"/>
      <c r="I482" s="648"/>
      <c r="J482" s="714">
        <f t="shared" si="28"/>
        <v>45808</v>
      </c>
      <c r="K482" s="715"/>
      <c r="L482" s="716"/>
      <c r="M482" s="648"/>
      <c r="N482" s="648"/>
      <c r="O482" s="648"/>
      <c r="P482" s="648"/>
      <c r="Q482" s="648"/>
      <c r="R482" s="647"/>
      <c r="S482" s="647"/>
      <c r="T482" s="647"/>
      <c r="U482" s="647"/>
      <c r="V482" s="647"/>
      <c r="W482" s="647"/>
      <c r="X482" s="647"/>
      <c r="Y482" s="647"/>
      <c r="Z482" s="647"/>
      <c r="AA482" s="647"/>
      <c r="AB482" s="647"/>
      <c r="AC482" s="647"/>
      <c r="AD482" s="647"/>
      <c r="AE482" s="647"/>
      <c r="AF482" s="647"/>
      <c r="AG482" s="647"/>
      <c r="AH482" s="647"/>
      <c r="AI482" s="647"/>
      <c r="AJ482" s="647"/>
      <c r="AK482" s="647"/>
      <c r="AL482" s="647"/>
      <c r="AM482" s="647"/>
    </row>
    <row r="483" spans="1:39" ht="14.1" customHeight="1">
      <c r="A483" s="678" t="str">
        <f>A480</f>
        <v>V.15G90220110064591/4</v>
      </c>
      <c r="B483" s="679"/>
      <c r="C483" s="679"/>
      <c r="D483" s="679"/>
      <c r="E483" s="679"/>
      <c r="F483" s="680"/>
      <c r="G483" s="648" t="s">
        <v>731</v>
      </c>
      <c r="H483" s="648"/>
      <c r="I483" s="648"/>
      <c r="J483" s="655">
        <f t="shared" si="28"/>
        <v>45778</v>
      </c>
      <c r="K483" s="656"/>
      <c r="L483" s="657"/>
      <c r="M483" s="648" t="s">
        <v>720</v>
      </c>
      <c r="N483" s="648"/>
      <c r="O483" s="648">
        <f>O480</f>
        <v>1</v>
      </c>
      <c r="P483" s="648"/>
      <c r="Q483" s="648"/>
      <c r="R483" s="647" t="str">
        <f>U474</f>
        <v>32 (citit)</v>
      </c>
      <c r="S483" s="647"/>
      <c r="T483" s="647"/>
      <c r="U483" s="647" t="str">
        <f>VLOOKUP(A483,'Incrementare indexe'!$D:$M,10,FALSE)&amp;" (estimat)"</f>
        <v>32 (estimat)</v>
      </c>
      <c r="V483" s="647"/>
      <c r="W483" s="647"/>
      <c r="X483" s="647" t="str">
        <f>VLOOKUP(A483,'Incrementare indexe'!$D:$Q,13,FALSE)&amp;" (estimat)"</f>
        <v>0 (estimat)</v>
      </c>
      <c r="Y483" s="647"/>
      <c r="Z483" s="647"/>
      <c r="AA483" s="647" t="s">
        <v>69</v>
      </c>
      <c r="AB483" s="647"/>
      <c r="AC483" s="647"/>
      <c r="AD483" s="647" t="s">
        <v>69</v>
      </c>
      <c r="AE483" s="647"/>
      <c r="AF483" s="647">
        <f>VLOOKUP(A483,'Incrementare indexe'!$D:$Q,13,FALSE)</f>
        <v>0</v>
      </c>
      <c r="AG483" s="647"/>
      <c r="AH483" s="647"/>
      <c r="AI483" s="647">
        <f>AI480</f>
        <v>31</v>
      </c>
      <c r="AJ483" s="647"/>
      <c r="AK483" s="647">
        <f>ROUND(AF483/AI483,2)</f>
        <v>0</v>
      </c>
      <c r="AL483" s="647"/>
      <c r="AM483" s="647"/>
    </row>
    <row r="484" spans="1:39" ht="8.4499999999999993" customHeight="1">
      <c r="A484" s="717"/>
      <c r="B484" s="718"/>
      <c r="C484" s="718"/>
      <c r="D484" s="718"/>
      <c r="E484" s="718"/>
      <c r="F484" s="719"/>
      <c r="G484" s="648"/>
      <c r="H484" s="648"/>
      <c r="I484" s="648"/>
      <c r="J484" s="717" t="str">
        <f t="shared" si="28"/>
        <v>-</v>
      </c>
      <c r="K484" s="718"/>
      <c r="L484" s="719"/>
      <c r="M484" s="648"/>
      <c r="N484" s="648"/>
      <c r="O484" s="648"/>
      <c r="P484" s="648"/>
      <c r="Q484" s="648"/>
      <c r="R484" s="647"/>
      <c r="S484" s="647"/>
      <c r="T484" s="647"/>
      <c r="U484" s="647"/>
      <c r="V484" s="647"/>
      <c r="W484" s="647"/>
      <c r="X484" s="647"/>
      <c r="Y484" s="647"/>
      <c r="Z484" s="647"/>
      <c r="AA484" s="647"/>
      <c r="AB484" s="647"/>
      <c r="AC484" s="647"/>
      <c r="AD484" s="647"/>
      <c r="AE484" s="647"/>
      <c r="AF484" s="647"/>
      <c r="AG484" s="647"/>
      <c r="AH484" s="647"/>
      <c r="AI484" s="647"/>
      <c r="AJ484" s="647"/>
      <c r="AK484" s="647"/>
      <c r="AL484" s="647"/>
      <c r="AM484" s="647"/>
    </row>
    <row r="485" spans="1:39" ht="14.1" customHeight="1">
      <c r="A485" s="681"/>
      <c r="B485" s="682"/>
      <c r="C485" s="682"/>
      <c r="D485" s="682"/>
      <c r="E485" s="682"/>
      <c r="F485" s="683"/>
      <c r="G485" s="648"/>
      <c r="H485" s="648"/>
      <c r="I485" s="648"/>
      <c r="J485" s="714">
        <f t="shared" si="28"/>
        <v>45808</v>
      </c>
      <c r="K485" s="715"/>
      <c r="L485" s="716"/>
      <c r="M485" s="648"/>
      <c r="N485" s="648"/>
      <c r="O485" s="648"/>
      <c r="P485" s="648"/>
      <c r="Q485" s="648"/>
      <c r="R485" s="647"/>
      <c r="S485" s="647"/>
      <c r="T485" s="647"/>
      <c r="U485" s="647"/>
      <c r="V485" s="647"/>
      <c r="W485" s="647"/>
      <c r="X485" s="647"/>
      <c r="Y485" s="647"/>
      <c r="Z485" s="647"/>
      <c r="AA485" s="647"/>
      <c r="AB485" s="647"/>
      <c r="AC485" s="647"/>
      <c r="AD485" s="647"/>
      <c r="AE485" s="647"/>
      <c r="AF485" s="647"/>
      <c r="AG485" s="647"/>
      <c r="AH485" s="647"/>
      <c r="AI485" s="647"/>
      <c r="AJ485" s="647"/>
      <c r="AK485" s="647"/>
      <c r="AL485" s="647"/>
      <c r="AM485" s="647"/>
    </row>
    <row r="486" spans="1:39" ht="14.1" customHeight="1"/>
    <row r="487" spans="1:39" ht="14.1" customHeight="1"/>
    <row r="488" spans="1:39" ht="14.1" customHeight="1"/>
    <row r="489" spans="1:39" ht="14.1" customHeight="1"/>
    <row r="490" spans="1:39" ht="14.1" customHeight="1"/>
    <row r="491" spans="1:39" ht="14.1" customHeight="1"/>
    <row r="492" spans="1:39" ht="14.1" customHeight="1"/>
    <row r="493" spans="1:39" ht="14.1" customHeight="1"/>
    <row r="494" spans="1:39" ht="14.1" customHeight="1"/>
    <row r="495" spans="1:39" ht="14.1" customHeight="1"/>
    <row r="496" spans="1:39" ht="14.1" customHeight="1"/>
    <row r="497" spans="1:39" ht="14.1" customHeight="1"/>
    <row r="498" spans="1:39" ht="14.1" customHeight="1"/>
    <row r="499" spans="1:39" ht="14.1" customHeight="1"/>
    <row r="500" spans="1:39" ht="14.1" customHeight="1"/>
    <row r="501" spans="1:39" ht="14.1" customHeight="1"/>
    <row r="502" spans="1:39" ht="14.1" customHeight="1"/>
    <row r="503" spans="1:39" ht="14.1" customHeight="1"/>
    <row r="504" spans="1:39" ht="14.1" customHeight="1"/>
    <row r="505" spans="1:39" ht="14.1" customHeight="1"/>
    <row r="506" spans="1:39">
      <c r="A506" s="649" t="s">
        <v>748</v>
      </c>
      <c r="B506" s="649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50" t="str">
        <f>VLOOKUP(AI507,'Contorizare in SDI'!$E:$I,4,FALSE)</f>
        <v>RO005E513431450/5</v>
      </c>
      <c r="N506" s="650"/>
      <c r="O506" s="650"/>
      <c r="P506" s="650"/>
      <c r="Q506" s="650"/>
      <c r="R506" s="650"/>
      <c r="S506" s="650"/>
      <c r="T506" s="650"/>
      <c r="U506" s="650"/>
      <c r="V506" s="650"/>
      <c r="W506" s="650"/>
      <c r="X506" s="650"/>
      <c r="Y506" s="650"/>
      <c r="Z506" s="650"/>
      <c r="AA506" s="650"/>
      <c r="AB506" s="650"/>
      <c r="AC506" s="650"/>
      <c r="AD506" s="650"/>
      <c r="AE506" s="650"/>
      <c r="AF506" s="650"/>
      <c r="AG506" s="650"/>
      <c r="AH506" s="650"/>
      <c r="AI506" s="650" t="s">
        <v>695</v>
      </c>
      <c r="AJ506" s="650"/>
      <c r="AK506" s="650"/>
      <c r="AL506" s="650"/>
      <c r="AM506" s="650"/>
    </row>
    <row r="507" spans="1:39">
      <c r="A507" s="649" t="s">
        <v>746</v>
      </c>
      <c r="B507" s="649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50" t="str">
        <f>VLOOKUP(AI507,'Inchidere contur'!$G:$U,15,FALSE)</f>
        <v>MT_SDI</v>
      </c>
      <c r="N507" s="650"/>
      <c r="O507" s="650"/>
      <c r="P507" s="650"/>
      <c r="Q507" s="650"/>
      <c r="R507" s="650"/>
      <c r="S507" s="650"/>
      <c r="T507" s="650"/>
      <c r="U507" s="650"/>
      <c r="V507" s="650"/>
      <c r="W507" s="650"/>
      <c r="X507" s="650"/>
      <c r="Y507" s="650"/>
      <c r="Z507" s="650"/>
      <c r="AA507" s="650"/>
      <c r="AB507" s="650"/>
      <c r="AC507" s="650"/>
      <c r="AD507" s="650"/>
      <c r="AE507" s="650"/>
      <c r="AF507" s="650"/>
      <c r="AG507" s="650"/>
      <c r="AH507" s="650"/>
      <c r="AI507" s="619" t="str">
        <f>_xlfn.CONCAT(AA295,".",5)</f>
        <v>RTIM_2.5</v>
      </c>
      <c r="AJ507" s="619"/>
      <c r="AK507" s="619"/>
      <c r="AL507" s="619"/>
      <c r="AM507" s="619"/>
    </row>
    <row r="508" spans="1:39">
      <c r="A508" s="649" t="s">
        <v>747</v>
      </c>
      <c r="B508" s="649"/>
      <c r="C508" s="649"/>
      <c r="D508" s="649"/>
      <c r="E508" s="649"/>
      <c r="F508" s="649"/>
      <c r="G508" s="649"/>
      <c r="H508" s="649"/>
      <c r="I508" s="649"/>
      <c r="J508" s="649"/>
      <c r="K508" s="649"/>
      <c r="L508" s="649"/>
      <c r="M508" s="650" t="str">
        <f>IF(LEFT(M507,2)="JT","0.4kV",IF(LEFT(M507,2)="MT","20kV","-"))</f>
        <v>20kV</v>
      </c>
      <c r="N508" s="650"/>
      <c r="O508" s="650"/>
      <c r="P508" s="650"/>
      <c r="Q508" s="650"/>
      <c r="R508" s="650"/>
      <c r="S508" s="650"/>
      <c r="T508" s="650"/>
      <c r="U508" s="650"/>
      <c r="V508" s="650"/>
      <c r="W508" s="650"/>
      <c r="X508" s="650"/>
      <c r="Y508" s="650"/>
      <c r="Z508" s="650"/>
      <c r="AA508" s="650"/>
      <c r="AB508" s="650"/>
      <c r="AC508" s="650"/>
      <c r="AD508" s="650"/>
      <c r="AE508" s="650"/>
      <c r="AF508" s="650"/>
      <c r="AG508" s="650"/>
      <c r="AH508" s="650"/>
      <c r="AI508" s="619"/>
      <c r="AJ508" s="619"/>
      <c r="AK508" s="619"/>
      <c r="AL508" s="619"/>
      <c r="AM508" s="619"/>
    </row>
    <row r="509" spans="1:39" ht="15.95" customHeight="1">
      <c r="A509" s="648" t="s">
        <v>697</v>
      </c>
      <c r="B509" s="648"/>
      <c r="C509" s="648"/>
      <c r="D509" s="648"/>
      <c r="E509" s="648"/>
      <c r="F509" s="648"/>
      <c r="G509" s="647" t="s">
        <v>713</v>
      </c>
      <c r="H509" s="647"/>
      <c r="I509" s="647"/>
      <c r="J509" s="647" t="s">
        <v>714</v>
      </c>
      <c r="K509" s="647"/>
      <c r="L509" s="647"/>
      <c r="M509" s="648" t="s">
        <v>519</v>
      </c>
      <c r="N509" s="648"/>
      <c r="O509" s="648" t="s">
        <v>715</v>
      </c>
      <c r="P509" s="648"/>
      <c r="Q509" s="648"/>
      <c r="R509" s="647" t="s">
        <v>732</v>
      </c>
      <c r="S509" s="647"/>
      <c r="T509" s="647"/>
      <c r="U509" s="647" t="s">
        <v>734</v>
      </c>
      <c r="V509" s="647"/>
      <c r="W509" s="647"/>
      <c r="X509" s="647" t="s">
        <v>1085</v>
      </c>
      <c r="Y509" s="647"/>
      <c r="Z509" s="647"/>
      <c r="AA509" s="647" t="s">
        <v>1086</v>
      </c>
      <c r="AB509" s="647"/>
      <c r="AC509" s="647"/>
      <c r="AD509" s="647" t="s">
        <v>717</v>
      </c>
      <c r="AE509" s="647"/>
      <c r="AF509" s="647" t="s">
        <v>718</v>
      </c>
      <c r="AG509" s="647"/>
      <c r="AH509" s="647"/>
      <c r="AI509" s="647" t="s">
        <v>719</v>
      </c>
      <c r="AJ509" s="647"/>
      <c r="AK509" s="647" t="s">
        <v>733</v>
      </c>
      <c r="AL509" s="647"/>
      <c r="AM509" s="647"/>
    </row>
    <row r="510" spans="1:39">
      <c r="A510" s="648"/>
      <c r="B510" s="648"/>
      <c r="C510" s="648"/>
      <c r="D510" s="648"/>
      <c r="E510" s="648"/>
      <c r="F510" s="648"/>
      <c r="G510" s="647"/>
      <c r="H510" s="647"/>
      <c r="I510" s="647"/>
      <c r="J510" s="647"/>
      <c r="K510" s="647"/>
      <c r="L510" s="647"/>
      <c r="M510" s="648"/>
      <c r="N510" s="648"/>
      <c r="O510" s="648"/>
      <c r="P510" s="648"/>
      <c r="Q510" s="648"/>
      <c r="R510" s="647"/>
      <c r="S510" s="647"/>
      <c r="T510" s="647"/>
      <c r="U510" s="647"/>
      <c r="V510" s="647"/>
      <c r="W510" s="647"/>
      <c r="X510" s="647"/>
      <c r="Y510" s="647"/>
      <c r="Z510" s="647"/>
      <c r="AA510" s="647"/>
      <c r="AB510" s="647"/>
      <c r="AC510" s="647"/>
      <c r="AD510" s="647"/>
      <c r="AE510" s="647"/>
      <c r="AF510" s="647"/>
      <c r="AG510" s="647"/>
      <c r="AH510" s="647"/>
      <c r="AI510" s="647"/>
      <c r="AJ510" s="647"/>
      <c r="AK510" s="647"/>
      <c r="AL510" s="647"/>
      <c r="AM510" s="647"/>
    </row>
    <row r="511" spans="1:39">
      <c r="A511" s="648"/>
      <c r="B511" s="648"/>
      <c r="C511" s="648"/>
      <c r="D511" s="648"/>
      <c r="E511" s="648"/>
      <c r="F511" s="648"/>
      <c r="G511" s="647"/>
      <c r="H511" s="647"/>
      <c r="I511" s="647"/>
      <c r="J511" s="713"/>
      <c r="K511" s="713"/>
      <c r="L511" s="713"/>
      <c r="M511" s="648"/>
      <c r="N511" s="648"/>
      <c r="O511" s="648"/>
      <c r="P511" s="648"/>
      <c r="Q511" s="648"/>
      <c r="R511" s="647"/>
      <c r="S511" s="647"/>
      <c r="T511" s="647"/>
      <c r="U511" s="647"/>
      <c r="V511" s="647"/>
      <c r="W511" s="647"/>
      <c r="X511" s="647"/>
      <c r="Y511" s="647"/>
      <c r="Z511" s="647"/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</row>
    <row r="512" spans="1:39" ht="14.1" customHeight="1">
      <c r="A512" s="678" t="str">
        <f>VLOOKUP(AI507,'Contorizare in SDI'!$E:$I,5,FALSE)</f>
        <v>V.15G90220110064591/5</v>
      </c>
      <c r="B512" s="679"/>
      <c r="C512" s="679"/>
      <c r="D512" s="679"/>
      <c r="E512" s="679"/>
      <c r="F512" s="680"/>
      <c r="G512" s="648" t="s">
        <v>730</v>
      </c>
      <c r="H512" s="648"/>
      <c r="I512" s="673"/>
      <c r="J512" s="655">
        <f>'Date masura OD'!$AK$5</f>
        <v>45748</v>
      </c>
      <c r="K512" s="656"/>
      <c r="L512" s="657"/>
      <c r="M512" s="720" t="s">
        <v>446</v>
      </c>
      <c r="N512" s="648"/>
      <c r="O512" s="648">
        <f>VLOOKUP(AI507,'Incrementare indexe'!$B:$T,4,FALSE)</f>
        <v>1</v>
      </c>
      <c r="P512" s="648"/>
      <c r="Q512" s="648"/>
      <c r="R512" s="647" t="str">
        <f>VLOOKUP(A512,Regularizare!$D:$YN,3,FALSE)&amp;" ("&amp;VLOOKUP(A512,Regularizare!$D:$Y,11,FALSE)&amp;")"</f>
        <v>-48 (citit)</v>
      </c>
      <c r="S512" s="647"/>
      <c r="T512" s="647"/>
      <c r="U512" s="647" t="str">
        <f>VLOOKUP(A512,Regularizare!$D:$U,4,FALSE)&amp;" ("&amp;VLOOKUP(A512,Regularizare!$D:$U,12,FALSE)&amp;")"</f>
        <v>-48 (estimat)</v>
      </c>
      <c r="V512" s="647"/>
      <c r="W512" s="647"/>
      <c r="X512" s="647" t="str">
        <f>VLOOKUP(A512,Regularizare!$D:$Y,19,FALSE)&amp;" ("&amp;VLOOKUP(A512,Regularizare!$D:$U,12,FALSE)&amp;")"</f>
        <v>0 (estimat)</v>
      </c>
      <c r="Y512" s="647"/>
      <c r="Z512" s="647"/>
      <c r="AA512" s="647">
        <f>(-1)*VLOOKUP(A512,Regularizare!$D:$Y,19,FALSE)</f>
        <v>0</v>
      </c>
      <c r="AB512" s="647"/>
      <c r="AC512" s="647"/>
      <c r="AD512" s="647" t="s">
        <v>69</v>
      </c>
      <c r="AE512" s="647"/>
      <c r="AF512" s="647">
        <f>AA512</f>
        <v>0</v>
      </c>
      <c r="AG512" s="647"/>
      <c r="AH512" s="647"/>
      <c r="AI512" s="647" t="s">
        <v>69</v>
      </c>
      <c r="AJ512" s="647"/>
      <c r="AK512" s="647" t="s">
        <v>69</v>
      </c>
      <c r="AL512" s="647"/>
      <c r="AM512" s="647"/>
    </row>
    <row r="513" spans="1:39" ht="9.75" customHeight="1">
      <c r="A513" s="717"/>
      <c r="B513" s="718"/>
      <c r="C513" s="718"/>
      <c r="D513" s="718"/>
      <c r="E513" s="718"/>
      <c r="F513" s="719"/>
      <c r="G513" s="648"/>
      <c r="H513" s="648"/>
      <c r="I513" s="673"/>
      <c r="J513" s="717" t="s">
        <v>69</v>
      </c>
      <c r="K513" s="718"/>
      <c r="L513" s="719"/>
      <c r="M513" s="720"/>
      <c r="N513" s="648"/>
      <c r="O513" s="648"/>
      <c r="P513" s="648"/>
      <c r="Q513" s="648"/>
      <c r="R513" s="647"/>
      <c r="S513" s="647"/>
      <c r="T513" s="647"/>
      <c r="U513" s="647"/>
      <c r="V513" s="647"/>
      <c r="W513" s="647"/>
      <c r="X513" s="647"/>
      <c r="Y513" s="647"/>
      <c r="Z513" s="647"/>
      <c r="AA513" s="647"/>
      <c r="AB513" s="647"/>
      <c r="AC513" s="647"/>
      <c r="AD513" s="647"/>
      <c r="AE513" s="647"/>
      <c r="AF513" s="647"/>
      <c r="AG513" s="647"/>
      <c r="AH513" s="647"/>
      <c r="AI513" s="647"/>
      <c r="AJ513" s="647"/>
      <c r="AK513" s="647"/>
      <c r="AL513" s="647"/>
      <c r="AM513" s="647"/>
    </row>
    <row r="514" spans="1:39" ht="14.1" customHeight="1">
      <c r="A514" s="681"/>
      <c r="B514" s="682"/>
      <c r="C514" s="682"/>
      <c r="D514" s="682"/>
      <c r="E514" s="682"/>
      <c r="F514" s="683"/>
      <c r="G514" s="648"/>
      <c r="H514" s="648"/>
      <c r="I514" s="673"/>
      <c r="J514" s="714">
        <f>'Date masura OD'!$AL$5</f>
        <v>45777</v>
      </c>
      <c r="K514" s="715"/>
      <c r="L514" s="716"/>
      <c r="M514" s="720"/>
      <c r="N514" s="648"/>
      <c r="O514" s="648"/>
      <c r="P514" s="648"/>
      <c r="Q514" s="648"/>
      <c r="R514" s="647"/>
      <c r="S514" s="647"/>
      <c r="T514" s="647"/>
      <c r="U514" s="647"/>
      <c r="V514" s="647"/>
      <c r="W514" s="647"/>
      <c r="X514" s="647"/>
      <c r="Y514" s="647"/>
      <c r="Z514" s="647"/>
      <c r="AA514" s="647"/>
      <c r="AB514" s="647"/>
      <c r="AC514" s="647"/>
      <c r="AD514" s="647"/>
      <c r="AE514" s="647"/>
      <c r="AF514" s="647"/>
      <c r="AG514" s="647"/>
      <c r="AH514" s="647"/>
      <c r="AI514" s="647"/>
      <c r="AJ514" s="647"/>
      <c r="AK514" s="647"/>
      <c r="AL514" s="647"/>
      <c r="AM514" s="647"/>
    </row>
    <row r="515" spans="1:39" ht="14.1" customHeight="1">
      <c r="A515" s="678" t="str">
        <f>A512</f>
        <v>V.15G90220110064591/5</v>
      </c>
      <c r="B515" s="679"/>
      <c r="C515" s="679"/>
      <c r="D515" s="679"/>
      <c r="E515" s="679"/>
      <c r="F515" s="680"/>
      <c r="G515" s="648" t="s">
        <v>696</v>
      </c>
      <c r="H515" s="648"/>
      <c r="I515" s="648"/>
      <c r="J515" s="655">
        <f t="shared" ref="J515:J520" si="29">J512</f>
        <v>45748</v>
      </c>
      <c r="K515" s="656"/>
      <c r="L515" s="657"/>
      <c r="M515" s="648" t="s">
        <v>720</v>
      </c>
      <c r="N515" s="648"/>
      <c r="O515" s="648">
        <f>O512</f>
        <v>1</v>
      </c>
      <c r="P515" s="648"/>
      <c r="Q515" s="648"/>
      <c r="R515" s="647" t="str">
        <f>VLOOKUP(A515,Regularizare!$D:$U,7,FALSE)&amp;" ("&amp;VLOOKUP(A515,Regularizare!$D:$U,15,FALSE)&amp;")"</f>
        <v>48 (citit)</v>
      </c>
      <c r="S515" s="647"/>
      <c r="T515" s="647"/>
      <c r="U515" s="647" t="str">
        <f>VLOOKUP(A515,Regularizare!$D:$U,8,FALSE)&amp;" ("&amp;VLOOKUP(A515,Regularizare!$D:$U,16,FALSE)&amp;")"</f>
        <v>48 (estimat)</v>
      </c>
      <c r="V515" s="647"/>
      <c r="W515" s="647"/>
      <c r="X515" s="647" t="str">
        <f>_xlfn.CONCAT(VLOOKUP(A515,Regularizare!$D:$U,8,FALSE)-VLOOKUP(A515,Regularizare!$D:$U,7,FALSE)," (",VLOOKUP(A515,Regularizare!$D:$U,16,FALSE),")")</f>
        <v>0 (estimat)</v>
      </c>
      <c r="Y515" s="647"/>
      <c r="Z515" s="647"/>
      <c r="AA515" s="647">
        <f>IF(VLOOKUP(A515,Regularizare!$D:$Y,21,FALSE)=0,VLOOKUP(A515,Regularizare!$D:$Y,21,FALSE),(-1)*VLOOKUP(A515,Regularizare!$D:$Y,21,FALSE))</f>
        <v>0</v>
      </c>
      <c r="AB515" s="647"/>
      <c r="AC515" s="647"/>
      <c r="AD515" s="647" t="s">
        <v>69</v>
      </c>
      <c r="AE515" s="647"/>
      <c r="AF515" s="647">
        <f>AA515</f>
        <v>0</v>
      </c>
      <c r="AG515" s="647"/>
      <c r="AH515" s="647"/>
      <c r="AI515" s="647" t="str">
        <f>AI512</f>
        <v>-</v>
      </c>
      <c r="AJ515" s="647"/>
      <c r="AK515" s="647" t="str">
        <f>AK512</f>
        <v>-</v>
      </c>
      <c r="AL515" s="647"/>
      <c r="AM515" s="647"/>
    </row>
    <row r="516" spans="1:39" ht="8.4499999999999993" customHeight="1">
      <c r="A516" s="717"/>
      <c r="B516" s="718"/>
      <c r="C516" s="718"/>
      <c r="D516" s="718"/>
      <c r="E516" s="718"/>
      <c r="F516" s="719"/>
      <c r="G516" s="648"/>
      <c r="H516" s="648"/>
      <c r="I516" s="648"/>
      <c r="J516" s="717" t="str">
        <f t="shared" si="29"/>
        <v>-</v>
      </c>
      <c r="K516" s="718"/>
      <c r="L516" s="719"/>
      <c r="M516" s="648"/>
      <c r="N516" s="648"/>
      <c r="O516" s="648"/>
      <c r="P516" s="648"/>
      <c r="Q516" s="648"/>
      <c r="R516" s="647"/>
      <c r="S516" s="647"/>
      <c r="T516" s="647"/>
      <c r="U516" s="647"/>
      <c r="V516" s="647"/>
      <c r="W516" s="647"/>
      <c r="X516" s="647"/>
      <c r="Y516" s="647"/>
      <c r="Z516" s="647"/>
      <c r="AA516" s="647"/>
      <c r="AB516" s="647"/>
      <c r="AC516" s="647"/>
      <c r="AD516" s="647"/>
      <c r="AE516" s="647"/>
      <c r="AF516" s="647"/>
      <c r="AG516" s="647"/>
      <c r="AH516" s="647"/>
      <c r="AI516" s="647"/>
      <c r="AJ516" s="647"/>
      <c r="AK516" s="647"/>
      <c r="AL516" s="647"/>
      <c r="AM516" s="647"/>
    </row>
    <row r="517" spans="1:39" ht="14.1" customHeight="1">
      <c r="A517" s="681"/>
      <c r="B517" s="682"/>
      <c r="C517" s="682"/>
      <c r="D517" s="682"/>
      <c r="E517" s="682"/>
      <c r="F517" s="683"/>
      <c r="G517" s="648"/>
      <c r="H517" s="648"/>
      <c r="I517" s="648"/>
      <c r="J517" s="714">
        <f t="shared" si="29"/>
        <v>45777</v>
      </c>
      <c r="K517" s="715"/>
      <c r="L517" s="716"/>
      <c r="M517" s="648"/>
      <c r="N517" s="648"/>
      <c r="O517" s="648"/>
      <c r="P517" s="648"/>
      <c r="Q517" s="648"/>
      <c r="R517" s="647"/>
      <c r="S517" s="647"/>
      <c r="T517" s="647"/>
      <c r="U517" s="647"/>
      <c r="V517" s="647"/>
      <c r="W517" s="647"/>
      <c r="X517" s="647"/>
      <c r="Y517" s="647"/>
      <c r="Z517" s="647"/>
      <c r="AA517" s="647"/>
      <c r="AB517" s="647"/>
      <c r="AC517" s="647"/>
      <c r="AD517" s="647"/>
      <c r="AE517" s="647"/>
      <c r="AF517" s="647"/>
      <c r="AG517" s="647"/>
      <c r="AH517" s="647"/>
      <c r="AI517" s="647"/>
      <c r="AJ517" s="647"/>
      <c r="AK517" s="647"/>
      <c r="AL517" s="647"/>
      <c r="AM517" s="647"/>
    </row>
    <row r="518" spans="1:39" ht="14.1" customHeight="1">
      <c r="A518" s="678" t="str">
        <f>A515</f>
        <v>V.15G90220110064591/5</v>
      </c>
      <c r="B518" s="679"/>
      <c r="C518" s="679"/>
      <c r="D518" s="679"/>
      <c r="E518" s="679"/>
      <c r="F518" s="680"/>
      <c r="G518" s="648" t="s">
        <v>731</v>
      </c>
      <c r="H518" s="648"/>
      <c r="I518" s="648"/>
      <c r="J518" s="655">
        <f t="shared" si="29"/>
        <v>45748</v>
      </c>
      <c r="K518" s="656"/>
      <c r="L518" s="657"/>
      <c r="M518" s="648" t="s">
        <v>720</v>
      </c>
      <c r="N518" s="648"/>
      <c r="O518" s="648">
        <f>O515</f>
        <v>1</v>
      </c>
      <c r="P518" s="648"/>
      <c r="Q518" s="648"/>
      <c r="R518" s="647" t="str">
        <f>VLOOKUP(A518,Regularizare!$D:$U,9,FALSE)&amp;" ("&amp;VLOOKUP(A518,Regularizare!$D:$U,17,FALSE)&amp;")"</f>
        <v>80 (citit)</v>
      </c>
      <c r="S518" s="647"/>
      <c r="T518" s="647"/>
      <c r="U518" s="647" t="str">
        <f>VLOOKUP(A518,Regularizare!$D:$U,10,FALSE)&amp;" ("&amp;VLOOKUP(A518,Regularizare!$D:$U,18,FALSE)&amp;")"</f>
        <v>80 (estimat)</v>
      </c>
      <c r="V518" s="647"/>
      <c r="W518" s="647"/>
      <c r="X518" s="647" t="str">
        <f>_xlfn.CONCAT(VLOOKUP(A518,Regularizare!$D:$U,10,FALSE)-VLOOKUP(A518,Regularizare!$D:$U,9,FALSE)," (",VLOOKUP(A518,Regularizare!$D:$U,18,FALSE),")")</f>
        <v>0 (estimat)</v>
      </c>
      <c r="Y518" s="647"/>
      <c r="Z518" s="647"/>
      <c r="AA518" s="647">
        <f>IF(VLOOKUP(A518,Regularizare!$D:$Y,22,FALSE)=0,VLOOKUP(A518,Regularizare!$D:$Y,22,FALSE),(-1)*VLOOKUP(A518,Regularizare!$D:$Y,22,FALSE))</f>
        <v>0</v>
      </c>
      <c r="AB518" s="647"/>
      <c r="AC518" s="647"/>
      <c r="AD518" s="647" t="s">
        <v>69</v>
      </c>
      <c r="AE518" s="647"/>
      <c r="AF518" s="647">
        <f>AA518</f>
        <v>0</v>
      </c>
      <c r="AG518" s="647"/>
      <c r="AH518" s="647"/>
      <c r="AI518" s="647" t="str">
        <f>AI515</f>
        <v>-</v>
      </c>
      <c r="AJ518" s="647"/>
      <c r="AK518" s="647" t="str">
        <f>AK515</f>
        <v>-</v>
      </c>
      <c r="AL518" s="647"/>
      <c r="AM518" s="647"/>
    </row>
    <row r="519" spans="1:39" ht="8.4499999999999993" customHeight="1">
      <c r="A519" s="717"/>
      <c r="B519" s="718"/>
      <c r="C519" s="718"/>
      <c r="D519" s="718"/>
      <c r="E519" s="718"/>
      <c r="F519" s="719"/>
      <c r="G519" s="648"/>
      <c r="H519" s="648"/>
      <c r="I519" s="648"/>
      <c r="J519" s="717" t="str">
        <f t="shared" si="29"/>
        <v>-</v>
      </c>
      <c r="K519" s="718"/>
      <c r="L519" s="719"/>
      <c r="M519" s="648"/>
      <c r="N519" s="648"/>
      <c r="O519" s="648"/>
      <c r="P519" s="648"/>
      <c r="Q519" s="648"/>
      <c r="R519" s="647"/>
      <c r="S519" s="647"/>
      <c r="T519" s="647"/>
      <c r="U519" s="647"/>
      <c r="V519" s="647"/>
      <c r="W519" s="647"/>
      <c r="X519" s="647"/>
      <c r="Y519" s="647"/>
      <c r="Z519" s="647"/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</row>
    <row r="520" spans="1:39" ht="14.1" customHeight="1">
      <c r="A520" s="681"/>
      <c r="B520" s="682"/>
      <c r="C520" s="682"/>
      <c r="D520" s="682"/>
      <c r="E520" s="682"/>
      <c r="F520" s="683"/>
      <c r="G520" s="648"/>
      <c r="H520" s="648"/>
      <c r="I520" s="648"/>
      <c r="J520" s="714">
        <f t="shared" si="29"/>
        <v>45777</v>
      </c>
      <c r="K520" s="715"/>
      <c r="L520" s="716"/>
      <c r="M520" s="648"/>
      <c r="N520" s="648"/>
      <c r="O520" s="648"/>
      <c r="P520" s="648"/>
      <c r="Q520" s="648"/>
      <c r="R520" s="647"/>
      <c r="S520" s="647"/>
      <c r="T520" s="647"/>
      <c r="U520" s="647"/>
      <c r="V520" s="647"/>
      <c r="W520" s="647"/>
      <c r="X520" s="647"/>
      <c r="Y520" s="647"/>
      <c r="Z520" s="647"/>
      <c r="AA520" s="647"/>
      <c r="AB520" s="647"/>
      <c r="AC520" s="647"/>
      <c r="AD520" s="647"/>
      <c r="AE520" s="647"/>
      <c r="AF520" s="647"/>
      <c r="AG520" s="647"/>
      <c r="AH520" s="647"/>
      <c r="AI520" s="647"/>
      <c r="AJ520" s="647"/>
      <c r="AK520" s="647"/>
      <c r="AL520" s="647"/>
      <c r="AM520" s="647"/>
    </row>
    <row r="521" spans="1:39" ht="14.1" customHeight="1">
      <c r="A521" s="678" t="str">
        <f>A518</f>
        <v>V.15G90220110064591/5</v>
      </c>
      <c r="B521" s="679"/>
      <c r="C521" s="679"/>
      <c r="D521" s="679"/>
      <c r="E521" s="679"/>
      <c r="F521" s="680"/>
      <c r="G521" s="648" t="s">
        <v>730</v>
      </c>
      <c r="H521" s="648"/>
      <c r="I521" s="673"/>
      <c r="J521" s="655">
        <f>'Date masura OD'!$AK$5</f>
        <v>45748</v>
      </c>
      <c r="K521" s="656"/>
      <c r="L521" s="657"/>
      <c r="M521" s="720" t="s">
        <v>446</v>
      </c>
      <c r="N521" s="648"/>
      <c r="O521" s="648">
        <f>O518</f>
        <v>1</v>
      </c>
      <c r="P521" s="648"/>
      <c r="Q521" s="648"/>
      <c r="R521" s="647" t="str">
        <f>VLOOKUP(A521,Regularizare!$D:$AX,23,FALSE)&amp;" ("&amp;VLOOKUP(A521,Regularizare!$D:$AX,24,FALSE)&amp;")"</f>
        <v>-48 (citit)</v>
      </c>
      <c r="S521" s="647"/>
      <c r="T521" s="647"/>
      <c r="U521" s="647" t="str">
        <f>VLOOKUP(A521,Regularizare!$D:$AX,25,FALSE)&amp;" ("&amp;VLOOKUP(A521,Regularizare!$D:$AX,26,FALSE)&amp;")"</f>
        <v>-48 (citit)</v>
      </c>
      <c r="V521" s="647"/>
      <c r="W521" s="647"/>
      <c r="X521" s="647" t="str">
        <f>VLOOKUP(A521,Regularizare!$D:$AX,37,FALSE)&amp;" ("&amp;VLOOKUP(A521,Regularizare!$D:$AX,26,FALSE)&amp;")"</f>
        <v>0 (citit)</v>
      </c>
      <c r="Y521" s="647"/>
      <c r="Z521" s="647"/>
      <c r="AA521" s="647">
        <f>VLOOKUP(A521,Regularizare!$D:$AX,37,FALSE)</f>
        <v>0</v>
      </c>
      <c r="AB521" s="647"/>
      <c r="AC521" s="647"/>
      <c r="AD521" s="647" t="s">
        <v>69</v>
      </c>
      <c r="AE521" s="647"/>
      <c r="AF521" s="647">
        <f>AA521</f>
        <v>0</v>
      </c>
      <c r="AG521" s="647"/>
      <c r="AH521" s="647"/>
      <c r="AI521" s="647" t="str">
        <f>AI518</f>
        <v>-</v>
      </c>
      <c r="AJ521" s="647"/>
      <c r="AK521" s="647" t="str">
        <f>AK518</f>
        <v>-</v>
      </c>
      <c r="AL521" s="647"/>
      <c r="AM521" s="647"/>
    </row>
    <row r="522" spans="1:39" ht="8.4499999999999993" customHeight="1">
      <c r="A522" s="717"/>
      <c r="B522" s="718"/>
      <c r="C522" s="718"/>
      <c r="D522" s="718"/>
      <c r="E522" s="718"/>
      <c r="F522" s="719"/>
      <c r="G522" s="648"/>
      <c r="H522" s="648"/>
      <c r="I522" s="673"/>
      <c r="J522" s="717" t="s">
        <v>69</v>
      </c>
      <c r="K522" s="718"/>
      <c r="L522" s="719"/>
      <c r="M522" s="720"/>
      <c r="N522" s="648"/>
      <c r="O522" s="648"/>
      <c r="P522" s="648"/>
      <c r="Q522" s="648"/>
      <c r="R522" s="647"/>
      <c r="S522" s="647"/>
      <c r="T522" s="647"/>
      <c r="U522" s="647"/>
      <c r="V522" s="647"/>
      <c r="W522" s="647"/>
      <c r="X522" s="647"/>
      <c r="Y522" s="647"/>
      <c r="Z522" s="647"/>
      <c r="AA522" s="647"/>
      <c r="AB522" s="647"/>
      <c r="AC522" s="647"/>
      <c r="AD522" s="647"/>
      <c r="AE522" s="647"/>
      <c r="AF522" s="647"/>
      <c r="AG522" s="647"/>
      <c r="AH522" s="647"/>
      <c r="AI522" s="647"/>
      <c r="AJ522" s="647"/>
      <c r="AK522" s="647"/>
      <c r="AL522" s="647"/>
      <c r="AM522" s="647"/>
    </row>
    <row r="523" spans="1:39" ht="14.1" customHeight="1">
      <c r="A523" s="681"/>
      <c r="B523" s="682"/>
      <c r="C523" s="682"/>
      <c r="D523" s="682"/>
      <c r="E523" s="682"/>
      <c r="F523" s="683"/>
      <c r="G523" s="648"/>
      <c r="H523" s="648"/>
      <c r="I523" s="673"/>
      <c r="J523" s="714">
        <f>'Date masura OD'!$AL$5</f>
        <v>45777</v>
      </c>
      <c r="K523" s="715"/>
      <c r="L523" s="716"/>
      <c r="M523" s="720"/>
      <c r="N523" s="648"/>
      <c r="O523" s="648"/>
      <c r="P523" s="648"/>
      <c r="Q523" s="648"/>
      <c r="R523" s="647"/>
      <c r="S523" s="647"/>
      <c r="T523" s="647"/>
      <c r="U523" s="647"/>
      <c r="V523" s="647"/>
      <c r="W523" s="647"/>
      <c r="X523" s="647"/>
      <c r="Y523" s="647"/>
      <c r="Z523" s="647"/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</row>
    <row r="524" spans="1:39" ht="14.1" customHeight="1">
      <c r="A524" s="678" t="str">
        <f>A521</f>
        <v>V.15G90220110064591/5</v>
      </c>
      <c r="B524" s="679"/>
      <c r="C524" s="679"/>
      <c r="D524" s="679"/>
      <c r="E524" s="679"/>
      <c r="F524" s="680"/>
      <c r="G524" s="648" t="s">
        <v>696</v>
      </c>
      <c r="H524" s="648"/>
      <c r="I524" s="648"/>
      <c r="J524" s="655">
        <f t="shared" ref="J524:J529" si="30">J521</f>
        <v>45748</v>
      </c>
      <c r="K524" s="656"/>
      <c r="L524" s="657"/>
      <c r="M524" s="648" t="s">
        <v>720</v>
      </c>
      <c r="N524" s="648"/>
      <c r="O524" s="648">
        <f>O521</f>
        <v>1</v>
      </c>
      <c r="P524" s="648"/>
      <c r="Q524" s="648"/>
      <c r="R524" s="647" t="str">
        <f>VLOOKUP(A524,Regularizare!$D:$AX,29,FALSE)&amp;" ("&amp;VLOOKUP(A524,Regularizare!$D:$AX,30,FALSE)&amp;")"</f>
        <v>48 (citit)</v>
      </c>
      <c r="S524" s="647"/>
      <c r="T524" s="647"/>
      <c r="U524" s="647" t="str">
        <f>VLOOKUP(A524,Regularizare!$D:$AX,31,FALSE)&amp;" ("&amp;VLOOKUP(A524,Regularizare!$D:$AX,32,FALSE)&amp;")"</f>
        <v>48 (citit)</v>
      </c>
      <c r="V524" s="647"/>
      <c r="W524" s="647"/>
      <c r="X524" s="647" t="str">
        <f>VLOOKUP(A524,Regularizare!$D:$AX,39,FALSE)&amp;" ("&amp;VLOOKUP(A524,Regularizare!$D:$AX,32,FALSE)&amp;")"</f>
        <v>0 (citit)</v>
      </c>
      <c r="Y524" s="647"/>
      <c r="Z524" s="647"/>
      <c r="AA524" s="647">
        <f>VLOOKUP(A524,Regularizare!$D:$AX,44,FALSE)+VLOOKUP(A524,Regularizare!$D:$AX,45,FALSE)</f>
        <v>0</v>
      </c>
      <c r="AB524" s="647"/>
      <c r="AC524" s="647"/>
      <c r="AD524" s="647" t="s">
        <v>69</v>
      </c>
      <c r="AE524" s="647"/>
      <c r="AF524" s="647">
        <f>AA524</f>
        <v>0</v>
      </c>
      <c r="AG524" s="647"/>
      <c r="AH524" s="647"/>
      <c r="AI524" s="647" t="str">
        <f>AI521</f>
        <v>-</v>
      </c>
      <c r="AJ524" s="647"/>
      <c r="AK524" s="647" t="str">
        <f>AK521</f>
        <v>-</v>
      </c>
      <c r="AL524" s="647"/>
      <c r="AM524" s="647"/>
    </row>
    <row r="525" spans="1:39" ht="8.4499999999999993" customHeight="1">
      <c r="A525" s="717"/>
      <c r="B525" s="718"/>
      <c r="C525" s="718"/>
      <c r="D525" s="718"/>
      <c r="E525" s="718"/>
      <c r="F525" s="719"/>
      <c r="G525" s="648"/>
      <c r="H525" s="648"/>
      <c r="I525" s="648"/>
      <c r="J525" s="717" t="str">
        <f t="shared" si="30"/>
        <v>-</v>
      </c>
      <c r="K525" s="718"/>
      <c r="L525" s="719"/>
      <c r="M525" s="648"/>
      <c r="N525" s="648"/>
      <c r="O525" s="648"/>
      <c r="P525" s="648"/>
      <c r="Q525" s="648"/>
      <c r="R525" s="647"/>
      <c r="S525" s="647"/>
      <c r="T525" s="647"/>
      <c r="U525" s="647"/>
      <c r="V525" s="647"/>
      <c r="W525" s="647"/>
      <c r="X525" s="647"/>
      <c r="Y525" s="647"/>
      <c r="Z525" s="647"/>
      <c r="AA525" s="647"/>
      <c r="AB525" s="647"/>
      <c r="AC525" s="647"/>
      <c r="AD525" s="647"/>
      <c r="AE525" s="647"/>
      <c r="AF525" s="647"/>
      <c r="AG525" s="647"/>
      <c r="AH525" s="647"/>
      <c r="AI525" s="647"/>
      <c r="AJ525" s="647"/>
      <c r="AK525" s="647"/>
      <c r="AL525" s="647"/>
      <c r="AM525" s="647"/>
    </row>
    <row r="526" spans="1:39" ht="14.1" customHeight="1">
      <c r="A526" s="681"/>
      <c r="B526" s="682"/>
      <c r="C526" s="682"/>
      <c r="D526" s="682"/>
      <c r="E526" s="682"/>
      <c r="F526" s="683"/>
      <c r="G526" s="648"/>
      <c r="H526" s="648"/>
      <c r="I526" s="648"/>
      <c r="J526" s="714">
        <f t="shared" si="30"/>
        <v>45777</v>
      </c>
      <c r="K526" s="715"/>
      <c r="L526" s="716"/>
      <c r="M526" s="648"/>
      <c r="N526" s="648"/>
      <c r="O526" s="648"/>
      <c r="P526" s="648"/>
      <c r="Q526" s="648"/>
      <c r="R526" s="647"/>
      <c r="S526" s="647"/>
      <c r="T526" s="647"/>
      <c r="U526" s="647"/>
      <c r="V526" s="647"/>
      <c r="W526" s="647"/>
      <c r="X526" s="647"/>
      <c r="Y526" s="647"/>
      <c r="Z526" s="647"/>
      <c r="AA526" s="647"/>
      <c r="AB526" s="647"/>
      <c r="AC526" s="647"/>
      <c r="AD526" s="647"/>
      <c r="AE526" s="647"/>
      <c r="AF526" s="647"/>
      <c r="AG526" s="647"/>
      <c r="AH526" s="647"/>
      <c r="AI526" s="647"/>
      <c r="AJ526" s="647"/>
      <c r="AK526" s="647"/>
      <c r="AL526" s="647"/>
      <c r="AM526" s="647"/>
    </row>
    <row r="527" spans="1:39" ht="14.1" customHeight="1">
      <c r="A527" s="678" t="str">
        <f>A524</f>
        <v>V.15G90220110064591/5</v>
      </c>
      <c r="B527" s="679"/>
      <c r="C527" s="679"/>
      <c r="D527" s="679"/>
      <c r="E527" s="679"/>
      <c r="F527" s="680"/>
      <c r="G527" s="648" t="s">
        <v>731</v>
      </c>
      <c r="H527" s="648"/>
      <c r="I527" s="648"/>
      <c r="J527" s="655">
        <f t="shared" si="30"/>
        <v>45748</v>
      </c>
      <c r="K527" s="656"/>
      <c r="L527" s="657"/>
      <c r="M527" s="648" t="s">
        <v>720</v>
      </c>
      <c r="N527" s="648"/>
      <c r="O527" s="648">
        <f>O524</f>
        <v>1</v>
      </c>
      <c r="P527" s="648"/>
      <c r="Q527" s="648"/>
      <c r="R527" s="647" t="str">
        <f>VLOOKUP(A527,Regularizare!$D:$AX,33,FALSE)&amp;" ("&amp;VLOOKUP(A527,Regularizare!$D:$AX,34,FALSE)&amp;")"</f>
        <v>80 (citit)</v>
      </c>
      <c r="S527" s="647"/>
      <c r="T527" s="647"/>
      <c r="U527" s="647" t="str">
        <f>VLOOKUP(A527,Regularizare!$D:$AX,35,FALSE)&amp;" ("&amp;VLOOKUP(A527,Regularizare!$D:$AX,36,FALSE)&amp;")"</f>
        <v>80 (citit)</v>
      </c>
      <c r="V527" s="647"/>
      <c r="W527" s="647"/>
      <c r="X527" s="647" t="str">
        <f>VLOOKUP(A527,Regularizare!$D:$AX,40,FALSE)&amp;" ("&amp;VLOOKUP(A527,Regularizare!$D:$AX,36,FALSE)&amp;")"</f>
        <v>0 (citit)</v>
      </c>
      <c r="Y527" s="647"/>
      <c r="Z527" s="647"/>
      <c r="AA527" s="647">
        <f>VLOOKUP(A527,Regularizare!$D:$AX,46,FALSE)+VLOOKUP(A527,Regularizare!$D:$AX,47,FALSE)</f>
        <v>0</v>
      </c>
      <c r="AB527" s="647"/>
      <c r="AC527" s="647"/>
      <c r="AD527" s="647" t="s">
        <v>69</v>
      </c>
      <c r="AE527" s="647"/>
      <c r="AF527" s="647">
        <f>AA527</f>
        <v>0</v>
      </c>
      <c r="AG527" s="647"/>
      <c r="AH527" s="647"/>
      <c r="AI527" s="647" t="str">
        <f>AI524</f>
        <v>-</v>
      </c>
      <c r="AJ527" s="647"/>
      <c r="AK527" s="647" t="str">
        <f>AK524</f>
        <v>-</v>
      </c>
      <c r="AL527" s="647"/>
      <c r="AM527" s="647"/>
    </row>
    <row r="528" spans="1:39" ht="8.4499999999999993" customHeight="1">
      <c r="A528" s="717"/>
      <c r="B528" s="718"/>
      <c r="C528" s="718"/>
      <c r="D528" s="718"/>
      <c r="E528" s="718"/>
      <c r="F528" s="719"/>
      <c r="G528" s="648"/>
      <c r="H528" s="648"/>
      <c r="I528" s="648"/>
      <c r="J528" s="717" t="str">
        <f t="shared" si="30"/>
        <v>-</v>
      </c>
      <c r="K528" s="718"/>
      <c r="L528" s="719"/>
      <c r="M528" s="648"/>
      <c r="N528" s="648"/>
      <c r="O528" s="648"/>
      <c r="P528" s="648"/>
      <c r="Q528" s="648"/>
      <c r="R528" s="647"/>
      <c r="S528" s="647"/>
      <c r="T528" s="647"/>
      <c r="U528" s="647"/>
      <c r="V528" s="647"/>
      <c r="W528" s="647"/>
      <c r="X528" s="647"/>
      <c r="Y528" s="647"/>
      <c r="Z528" s="647"/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</row>
    <row r="529" spans="1:39" ht="14.1" customHeight="1">
      <c r="A529" s="681"/>
      <c r="B529" s="682"/>
      <c r="C529" s="682"/>
      <c r="D529" s="682"/>
      <c r="E529" s="682"/>
      <c r="F529" s="683"/>
      <c r="G529" s="648"/>
      <c r="H529" s="648"/>
      <c r="I529" s="648"/>
      <c r="J529" s="714">
        <f t="shared" si="30"/>
        <v>45777</v>
      </c>
      <c r="K529" s="715"/>
      <c r="L529" s="716"/>
      <c r="M529" s="648"/>
      <c r="N529" s="648"/>
      <c r="O529" s="648"/>
      <c r="P529" s="648"/>
      <c r="Q529" s="648"/>
      <c r="R529" s="647"/>
      <c r="S529" s="647"/>
      <c r="T529" s="647"/>
      <c r="U529" s="647"/>
      <c r="V529" s="647"/>
      <c r="W529" s="647"/>
      <c r="X529" s="647"/>
      <c r="Y529" s="647"/>
      <c r="Z529" s="647"/>
      <c r="AA529" s="647"/>
      <c r="AB529" s="647"/>
      <c r="AC529" s="647"/>
      <c r="AD529" s="647"/>
      <c r="AE529" s="647"/>
      <c r="AF529" s="647"/>
      <c r="AG529" s="647"/>
      <c r="AH529" s="647"/>
      <c r="AI529" s="647"/>
      <c r="AJ529" s="647"/>
      <c r="AK529" s="647"/>
      <c r="AL529" s="647"/>
      <c r="AM529" s="647"/>
    </row>
    <row r="530" spans="1:39" ht="14.1" customHeight="1">
      <c r="A530" s="678" t="str">
        <f>A527</f>
        <v>V.15G90220110064591/5</v>
      </c>
      <c r="B530" s="679"/>
      <c r="C530" s="679"/>
      <c r="D530" s="679"/>
      <c r="E530" s="679"/>
      <c r="F530" s="680"/>
      <c r="G530" s="648" t="s">
        <v>730</v>
      </c>
      <c r="H530" s="648"/>
      <c r="I530" s="673"/>
      <c r="J530" s="655">
        <f>'Date masura OD'!$I$5</f>
        <v>45778</v>
      </c>
      <c r="K530" s="656"/>
      <c r="L530" s="657"/>
      <c r="M530" s="720" t="s">
        <v>446</v>
      </c>
      <c r="N530" s="648"/>
      <c r="O530" s="648">
        <f>O527</f>
        <v>1</v>
      </c>
      <c r="P530" s="648"/>
      <c r="Q530" s="648"/>
      <c r="R530" s="647" t="str">
        <f>U521</f>
        <v>-48 (citit)</v>
      </c>
      <c r="S530" s="647"/>
      <c r="T530" s="647"/>
      <c r="U530" s="647" t="str">
        <f>VLOOKUP(A530,'Incrementare indexe'!$D:$M,4,FALSE)&amp;" (estimat)"</f>
        <v>-48 (estimat)</v>
      </c>
      <c r="V530" s="647"/>
      <c r="W530" s="647"/>
      <c r="X530" s="647" t="str">
        <f>VLOOKUP(A530,'Incrementare indexe'!$D:$Q,11,FALSE)&amp;" (estimat)"</f>
        <v>0 (estimat)</v>
      </c>
      <c r="Y530" s="647"/>
      <c r="Z530" s="647"/>
      <c r="AA530" s="647" t="s">
        <v>69</v>
      </c>
      <c r="AB530" s="647"/>
      <c r="AC530" s="647"/>
      <c r="AD530" s="647" t="s">
        <v>69</v>
      </c>
      <c r="AE530" s="647"/>
      <c r="AF530" s="647">
        <f>VLOOKUP(A530,'Incrementare indexe'!$D:$Q,11,FALSE)</f>
        <v>0</v>
      </c>
      <c r="AG530" s="647"/>
      <c r="AH530" s="647"/>
      <c r="AI530" s="647">
        <f>J532-J530+1</f>
        <v>31</v>
      </c>
      <c r="AJ530" s="647"/>
      <c r="AK530" s="647">
        <f>ROUND(AF530/AI530,2)</f>
        <v>0</v>
      </c>
      <c r="AL530" s="647"/>
      <c r="AM530" s="647"/>
    </row>
    <row r="531" spans="1:39" ht="8.4499999999999993" customHeight="1">
      <c r="A531" s="717"/>
      <c r="B531" s="718"/>
      <c r="C531" s="718"/>
      <c r="D531" s="718"/>
      <c r="E531" s="718"/>
      <c r="F531" s="719"/>
      <c r="G531" s="648"/>
      <c r="H531" s="648"/>
      <c r="I531" s="673"/>
      <c r="J531" s="717" t="s">
        <v>69</v>
      </c>
      <c r="K531" s="718"/>
      <c r="L531" s="719"/>
      <c r="M531" s="720"/>
      <c r="N531" s="648"/>
      <c r="O531" s="648"/>
      <c r="P531" s="648"/>
      <c r="Q531" s="648"/>
      <c r="R531" s="647"/>
      <c r="S531" s="647"/>
      <c r="T531" s="647"/>
      <c r="U531" s="647"/>
      <c r="V531" s="647"/>
      <c r="W531" s="647"/>
      <c r="X531" s="647"/>
      <c r="Y531" s="647"/>
      <c r="Z531" s="647"/>
      <c r="AA531" s="647"/>
      <c r="AB531" s="647"/>
      <c r="AC531" s="647"/>
      <c r="AD531" s="647"/>
      <c r="AE531" s="647"/>
      <c r="AF531" s="647"/>
      <c r="AG531" s="647"/>
      <c r="AH531" s="647"/>
      <c r="AI531" s="647"/>
      <c r="AJ531" s="647"/>
      <c r="AK531" s="647"/>
      <c r="AL531" s="647"/>
      <c r="AM531" s="647"/>
    </row>
    <row r="532" spans="1:39" ht="14.1" customHeight="1">
      <c r="A532" s="681"/>
      <c r="B532" s="682"/>
      <c r="C532" s="682"/>
      <c r="D532" s="682"/>
      <c r="E532" s="682"/>
      <c r="F532" s="683"/>
      <c r="G532" s="648"/>
      <c r="H532" s="648"/>
      <c r="I532" s="673"/>
      <c r="J532" s="714">
        <f>'Date masura OD'!$J$5</f>
        <v>45808</v>
      </c>
      <c r="K532" s="715"/>
      <c r="L532" s="716"/>
      <c r="M532" s="720"/>
      <c r="N532" s="648"/>
      <c r="O532" s="648"/>
      <c r="P532" s="648"/>
      <c r="Q532" s="648"/>
      <c r="R532" s="647"/>
      <c r="S532" s="647"/>
      <c r="T532" s="647"/>
      <c r="U532" s="647"/>
      <c r="V532" s="647"/>
      <c r="W532" s="647"/>
      <c r="X532" s="647"/>
      <c r="Y532" s="647"/>
      <c r="Z532" s="647"/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</row>
    <row r="533" spans="1:39" ht="14.1" customHeight="1">
      <c r="A533" s="678" t="str">
        <f>A530</f>
        <v>V.15G90220110064591/5</v>
      </c>
      <c r="B533" s="679"/>
      <c r="C533" s="679"/>
      <c r="D533" s="679"/>
      <c r="E533" s="679"/>
      <c r="F533" s="680"/>
      <c r="G533" s="648" t="s">
        <v>696</v>
      </c>
      <c r="H533" s="648"/>
      <c r="I533" s="648"/>
      <c r="J533" s="655">
        <f t="shared" ref="J533:J538" si="31">J530</f>
        <v>45778</v>
      </c>
      <c r="K533" s="656"/>
      <c r="L533" s="657"/>
      <c r="M533" s="648" t="s">
        <v>720</v>
      </c>
      <c r="N533" s="648"/>
      <c r="O533" s="648">
        <f>O530</f>
        <v>1</v>
      </c>
      <c r="P533" s="648"/>
      <c r="Q533" s="648"/>
      <c r="R533" s="647" t="str">
        <f>U524</f>
        <v>48 (citit)</v>
      </c>
      <c r="S533" s="647"/>
      <c r="T533" s="647"/>
      <c r="U533" s="647" t="str">
        <f>VLOOKUP(A533,'Incrementare indexe'!$D:$M,8,FALSE)&amp;" (estimat)"</f>
        <v>48 (estimat)</v>
      </c>
      <c r="V533" s="647"/>
      <c r="W533" s="647"/>
      <c r="X533" s="647" t="str">
        <f>VLOOKUP(A533,'Incrementare indexe'!$D:$Q,12,FALSE)&amp;" (estimat)"</f>
        <v>0 (estimat)</v>
      </c>
      <c r="Y533" s="647"/>
      <c r="Z533" s="647"/>
      <c r="AA533" s="647" t="s">
        <v>69</v>
      </c>
      <c r="AB533" s="647"/>
      <c r="AC533" s="647"/>
      <c r="AD533" s="647" t="s">
        <v>69</v>
      </c>
      <c r="AE533" s="647"/>
      <c r="AF533" s="647">
        <f>VLOOKUP(A533,'Incrementare indexe'!$D:$Q,12,FALSE)</f>
        <v>0</v>
      </c>
      <c r="AG533" s="647"/>
      <c r="AH533" s="647"/>
      <c r="AI533" s="647">
        <f>AI530</f>
        <v>31</v>
      </c>
      <c r="AJ533" s="647"/>
      <c r="AK533" s="647">
        <f>ROUND(AF533/AI533,2)</f>
        <v>0</v>
      </c>
      <c r="AL533" s="647"/>
      <c r="AM533" s="647"/>
    </row>
    <row r="534" spans="1:39" ht="8.4499999999999993" customHeight="1">
      <c r="A534" s="717"/>
      <c r="B534" s="718"/>
      <c r="C534" s="718"/>
      <c r="D534" s="718"/>
      <c r="E534" s="718"/>
      <c r="F534" s="719"/>
      <c r="G534" s="648"/>
      <c r="H534" s="648"/>
      <c r="I534" s="648"/>
      <c r="J534" s="717" t="str">
        <f t="shared" si="31"/>
        <v>-</v>
      </c>
      <c r="K534" s="718"/>
      <c r="L534" s="719"/>
      <c r="M534" s="648"/>
      <c r="N534" s="648"/>
      <c r="O534" s="648"/>
      <c r="P534" s="648"/>
      <c r="Q534" s="648"/>
      <c r="R534" s="647"/>
      <c r="S534" s="647"/>
      <c r="T534" s="647"/>
      <c r="U534" s="647"/>
      <c r="V534" s="647"/>
      <c r="W534" s="647"/>
      <c r="X534" s="647"/>
      <c r="Y534" s="647"/>
      <c r="Z534" s="647"/>
      <c r="AA534" s="647"/>
      <c r="AB534" s="647"/>
      <c r="AC534" s="647"/>
      <c r="AD534" s="647"/>
      <c r="AE534" s="647"/>
      <c r="AF534" s="647"/>
      <c r="AG534" s="647"/>
      <c r="AH534" s="647"/>
      <c r="AI534" s="647"/>
      <c r="AJ534" s="647"/>
      <c r="AK534" s="647"/>
      <c r="AL534" s="647"/>
      <c r="AM534" s="647"/>
    </row>
    <row r="535" spans="1:39" ht="14.1" customHeight="1">
      <c r="A535" s="681"/>
      <c r="B535" s="682"/>
      <c r="C535" s="682"/>
      <c r="D535" s="682"/>
      <c r="E535" s="682"/>
      <c r="F535" s="683"/>
      <c r="G535" s="648"/>
      <c r="H535" s="648"/>
      <c r="I535" s="648"/>
      <c r="J535" s="714">
        <f t="shared" si="31"/>
        <v>45808</v>
      </c>
      <c r="K535" s="715"/>
      <c r="L535" s="716"/>
      <c r="M535" s="648"/>
      <c r="N535" s="648"/>
      <c r="O535" s="648"/>
      <c r="P535" s="648"/>
      <c r="Q535" s="648"/>
      <c r="R535" s="647"/>
      <c r="S535" s="647"/>
      <c r="T535" s="647"/>
      <c r="U535" s="647"/>
      <c r="V535" s="647"/>
      <c r="W535" s="647"/>
      <c r="X535" s="647"/>
      <c r="Y535" s="647"/>
      <c r="Z535" s="647"/>
      <c r="AA535" s="647"/>
      <c r="AB535" s="647"/>
      <c r="AC535" s="647"/>
      <c r="AD535" s="647"/>
      <c r="AE535" s="647"/>
      <c r="AF535" s="647"/>
      <c r="AG535" s="647"/>
      <c r="AH535" s="647"/>
      <c r="AI535" s="647"/>
      <c r="AJ535" s="647"/>
      <c r="AK535" s="647"/>
      <c r="AL535" s="647"/>
      <c r="AM535" s="647"/>
    </row>
    <row r="536" spans="1:39" ht="14.1" customHeight="1">
      <c r="A536" s="678" t="str">
        <f>A533</f>
        <v>V.15G90220110064591/5</v>
      </c>
      <c r="B536" s="679"/>
      <c r="C536" s="679"/>
      <c r="D536" s="679"/>
      <c r="E536" s="679"/>
      <c r="F536" s="680"/>
      <c r="G536" s="648" t="s">
        <v>731</v>
      </c>
      <c r="H536" s="648"/>
      <c r="I536" s="648"/>
      <c r="J536" s="655">
        <f t="shared" si="31"/>
        <v>45778</v>
      </c>
      <c r="K536" s="656"/>
      <c r="L536" s="657"/>
      <c r="M536" s="648" t="s">
        <v>720</v>
      </c>
      <c r="N536" s="648"/>
      <c r="O536" s="648">
        <f>O533</f>
        <v>1</v>
      </c>
      <c r="P536" s="648"/>
      <c r="Q536" s="648"/>
      <c r="R536" s="647" t="str">
        <f>U527</f>
        <v>80 (citit)</v>
      </c>
      <c r="S536" s="647"/>
      <c r="T536" s="647"/>
      <c r="U536" s="647" t="str">
        <f>VLOOKUP(A536,'Incrementare indexe'!$D:$M,10,FALSE)&amp;" (estimat)"</f>
        <v>80 (estimat)</v>
      </c>
      <c r="V536" s="647"/>
      <c r="W536" s="647"/>
      <c r="X536" s="647" t="str">
        <f>VLOOKUP(A536,'Incrementare indexe'!$D:$Q,13,FALSE)&amp;" (estimat)"</f>
        <v>0 (estimat)</v>
      </c>
      <c r="Y536" s="647"/>
      <c r="Z536" s="647"/>
      <c r="AA536" s="647" t="s">
        <v>69</v>
      </c>
      <c r="AB536" s="647"/>
      <c r="AC536" s="647"/>
      <c r="AD536" s="647" t="s">
        <v>69</v>
      </c>
      <c r="AE536" s="647"/>
      <c r="AF536" s="647">
        <f>VLOOKUP(A536,'Incrementare indexe'!$D:$Q,13,FALSE)</f>
        <v>0</v>
      </c>
      <c r="AG536" s="647"/>
      <c r="AH536" s="647"/>
      <c r="AI536" s="647">
        <f>AI533</f>
        <v>31</v>
      </c>
      <c r="AJ536" s="647"/>
      <c r="AK536" s="647">
        <f>ROUND(AF536/AI536,2)</f>
        <v>0</v>
      </c>
      <c r="AL536" s="647"/>
      <c r="AM536" s="647"/>
    </row>
    <row r="537" spans="1:39" ht="8.4499999999999993" customHeight="1">
      <c r="A537" s="717"/>
      <c r="B537" s="718"/>
      <c r="C537" s="718"/>
      <c r="D537" s="718"/>
      <c r="E537" s="718"/>
      <c r="F537" s="719"/>
      <c r="G537" s="648"/>
      <c r="H537" s="648"/>
      <c r="I537" s="648"/>
      <c r="J537" s="717" t="str">
        <f t="shared" si="31"/>
        <v>-</v>
      </c>
      <c r="K537" s="718"/>
      <c r="L537" s="719"/>
      <c r="M537" s="648"/>
      <c r="N537" s="648"/>
      <c r="O537" s="648"/>
      <c r="P537" s="648"/>
      <c r="Q537" s="648"/>
      <c r="R537" s="647"/>
      <c r="S537" s="647"/>
      <c r="T537" s="647"/>
      <c r="U537" s="647"/>
      <c r="V537" s="647"/>
      <c r="W537" s="647"/>
      <c r="X537" s="647"/>
      <c r="Y537" s="647"/>
      <c r="Z537" s="647"/>
      <c r="AA537" s="647"/>
      <c r="AB537" s="647"/>
      <c r="AC537" s="647"/>
      <c r="AD537" s="647"/>
      <c r="AE537" s="647"/>
      <c r="AF537" s="647"/>
      <c r="AG537" s="647"/>
      <c r="AH537" s="647"/>
      <c r="AI537" s="647"/>
      <c r="AJ537" s="647"/>
      <c r="AK537" s="647"/>
      <c r="AL537" s="647"/>
      <c r="AM537" s="647"/>
    </row>
    <row r="538" spans="1:39" ht="14.1" customHeight="1">
      <c r="A538" s="681"/>
      <c r="B538" s="682"/>
      <c r="C538" s="682"/>
      <c r="D538" s="682"/>
      <c r="E538" s="682"/>
      <c r="F538" s="683"/>
      <c r="G538" s="648"/>
      <c r="H538" s="648"/>
      <c r="I538" s="648"/>
      <c r="J538" s="714">
        <f t="shared" si="31"/>
        <v>45808</v>
      </c>
      <c r="K538" s="715"/>
      <c r="L538" s="716"/>
      <c r="M538" s="648"/>
      <c r="N538" s="648"/>
      <c r="O538" s="648"/>
      <c r="P538" s="648"/>
      <c r="Q538" s="648"/>
      <c r="R538" s="647"/>
      <c r="S538" s="647"/>
      <c r="T538" s="647"/>
      <c r="U538" s="647"/>
      <c r="V538" s="647"/>
      <c r="W538" s="647"/>
      <c r="X538" s="647"/>
      <c r="Y538" s="647"/>
      <c r="Z538" s="647"/>
      <c r="AA538" s="647"/>
      <c r="AB538" s="647"/>
      <c r="AC538" s="647"/>
      <c r="AD538" s="647"/>
      <c r="AE538" s="647"/>
      <c r="AF538" s="647"/>
      <c r="AG538" s="647"/>
      <c r="AH538" s="647"/>
      <c r="AI538" s="647"/>
      <c r="AJ538" s="647"/>
      <c r="AK538" s="647"/>
      <c r="AL538" s="647"/>
      <c r="AM538" s="647"/>
    </row>
    <row r="539" spans="1:39" ht="14.1" customHeight="1"/>
    <row r="540" spans="1:39" ht="14.1" customHeight="1"/>
    <row r="541" spans="1:39" ht="14.1" customHeight="1"/>
    <row r="542" spans="1:39" ht="14.1" customHeight="1"/>
    <row r="543" spans="1:39" ht="14.1" customHeight="1"/>
    <row r="544" spans="1:39" ht="14.1" customHeight="1"/>
    <row r="545" spans="1:39" ht="14.1" customHeight="1"/>
    <row r="546" spans="1:39" ht="14.1" customHeight="1"/>
    <row r="547" spans="1:39" ht="14.1" customHeight="1"/>
    <row r="548" spans="1:39" ht="14.1" customHeight="1"/>
    <row r="549" spans="1:39" ht="14.1" customHeight="1"/>
    <row r="550" spans="1:39" ht="14.1" customHeight="1"/>
    <row r="551" spans="1:39" ht="14.1" customHeight="1"/>
    <row r="552" spans="1:39" ht="14.1" customHeight="1"/>
    <row r="553" spans="1:39" ht="14.1" customHeight="1"/>
    <row r="554" spans="1:39" ht="14.1" customHeight="1"/>
    <row r="555" spans="1:39" ht="14.1" customHeight="1"/>
    <row r="556" spans="1:39" ht="14.1" customHeight="1"/>
    <row r="557" spans="1:39" ht="14.1" customHeight="1"/>
    <row r="558" spans="1:39" ht="14.1" customHeight="1"/>
    <row r="559" spans="1:39" ht="15.95" customHeight="1">
      <c r="A559" s="624" t="str">
        <f>A28</f>
        <v>DETALII FACTURA FACTURA FISCALA SERIA …........ NR …................. din date de ….......06.2025</v>
      </c>
      <c r="B559" s="624"/>
      <c r="C559" s="624"/>
      <c r="D559" s="624"/>
      <c r="E559" s="624"/>
      <c r="F559" s="624"/>
      <c r="G559" s="624"/>
      <c r="H559" s="624"/>
      <c r="I559" s="624"/>
      <c r="J559" s="624"/>
      <c r="K559" s="624"/>
      <c r="L559" s="624"/>
      <c r="M559" s="624"/>
      <c r="N559" s="624"/>
      <c r="O559" s="624"/>
      <c r="P559" s="624"/>
      <c r="Q559" s="624"/>
      <c r="R559" s="624"/>
      <c r="S559" s="624"/>
      <c r="T559" s="624"/>
      <c r="U559" s="624"/>
      <c r="V559" s="624"/>
      <c r="W559" s="624"/>
      <c r="X559" s="624"/>
      <c r="Y559" s="624"/>
      <c r="Z559" s="624"/>
      <c r="AA559" s="624"/>
      <c r="AB559" s="624"/>
      <c r="AC559" s="624"/>
      <c r="AD559" s="624"/>
      <c r="AE559" s="624"/>
      <c r="AF559" s="624"/>
      <c r="AG559" s="624"/>
      <c r="AH559" s="624"/>
      <c r="AI559" s="624"/>
      <c r="AJ559" s="624"/>
      <c r="AK559" s="624"/>
      <c r="AL559" s="624"/>
      <c r="AM559" s="624"/>
    </row>
    <row r="561" spans="1:39" ht="36" customHeight="1">
      <c r="A561" s="66" t="s">
        <v>721</v>
      </c>
      <c r="B561" s="648" t="s">
        <v>95</v>
      </c>
      <c r="C561" s="648"/>
      <c r="D561" s="648"/>
      <c r="E561" s="648"/>
      <c r="F561" s="648"/>
      <c r="G561" s="648"/>
      <c r="H561" s="648"/>
      <c r="I561" s="648"/>
      <c r="J561" s="648"/>
      <c r="K561" s="648"/>
      <c r="L561" s="64" t="s">
        <v>709</v>
      </c>
      <c r="M561" s="69"/>
      <c r="N561" s="69"/>
      <c r="O561" s="64"/>
      <c r="P561" s="69"/>
      <c r="Q561" s="69"/>
      <c r="R561" s="647" t="s">
        <v>722</v>
      </c>
      <c r="S561" s="647"/>
      <c r="T561" s="647"/>
      <c r="U561" s="647"/>
      <c r="V561" s="648" t="s">
        <v>519</v>
      </c>
      <c r="W561" s="648"/>
      <c r="X561" s="647" t="s">
        <v>723</v>
      </c>
      <c r="Y561" s="647"/>
      <c r="Z561" s="647"/>
      <c r="AA561" s="647"/>
      <c r="AB561" s="647" t="s">
        <v>724</v>
      </c>
      <c r="AC561" s="647"/>
      <c r="AD561" s="647"/>
      <c r="AE561" s="647"/>
      <c r="AF561" s="647" t="s">
        <v>725</v>
      </c>
      <c r="AG561" s="647"/>
      <c r="AH561" s="647"/>
      <c r="AI561" s="647"/>
      <c r="AJ561" s="647" t="s">
        <v>726</v>
      </c>
      <c r="AK561" s="647"/>
      <c r="AL561" s="647"/>
      <c r="AM561" s="647"/>
    </row>
    <row r="562" spans="1:39" ht="15.95" customHeight="1">
      <c r="A562" s="65">
        <v>1</v>
      </c>
      <c r="B562" s="699" t="s">
        <v>71</v>
      </c>
      <c r="C562" s="700"/>
      <c r="D562" s="700"/>
      <c r="E562" s="700"/>
      <c r="F562" s="700"/>
      <c r="G562" s="700"/>
      <c r="H562" s="700"/>
      <c r="I562" s="700"/>
      <c r="J562" s="700"/>
      <c r="K562" s="701"/>
      <c r="L562" s="702">
        <f>'Date masura OD'!$I$5</f>
        <v>45778</v>
      </c>
      <c r="M562" s="702"/>
      <c r="N562" s="702"/>
      <c r="O562" s="702">
        <f>'Date masura OD'!$J$5</f>
        <v>45808</v>
      </c>
      <c r="P562" s="702"/>
      <c r="Q562" s="702"/>
      <c r="R562" s="690" cm="1">
        <f t="array" ref="R562">INDEX(verificare!$AT$4:$CC$26,VLOOKUP($AA$16,verificare!$AR$4:$AS$26,2,FALSE),A562)</f>
        <v>1077353</v>
      </c>
      <c r="S562" s="690"/>
      <c r="T562" s="690"/>
      <c r="U562" s="690"/>
      <c r="V562" s="658" t="s">
        <v>446</v>
      </c>
      <c r="W562" s="658"/>
      <c r="X562" s="691">
        <f>HLOOKUP(VLOOKUP($AA$16,'Date SPV'!$B:$F,5,FALSE),'Preturi si tarife'!$C$2:$J$39,A562+2,FALSE)</f>
        <v>0.59499999999999997</v>
      </c>
      <c r="Y562" s="692"/>
      <c r="Z562" s="692"/>
      <c r="AA562" s="693"/>
      <c r="AB562" s="690">
        <f>ROUND(X562*R562,2)</f>
        <v>641025.04</v>
      </c>
      <c r="AC562" s="690"/>
      <c r="AD562" s="690"/>
      <c r="AE562" s="690"/>
      <c r="AF562" s="690">
        <f>ROUND(AB562*19%,2)</f>
        <v>121794.76</v>
      </c>
      <c r="AG562" s="690"/>
      <c r="AH562" s="690"/>
      <c r="AI562" s="690"/>
      <c r="AJ562" s="690">
        <f>AB562+AF562</f>
        <v>762819.8</v>
      </c>
      <c r="AK562" s="690"/>
      <c r="AL562" s="690"/>
      <c r="AM562" s="690"/>
    </row>
    <row r="563" spans="1:39" ht="15.95" customHeight="1">
      <c r="A563" s="65">
        <f>A562+1</f>
        <v>2</v>
      </c>
      <c r="B563" s="699" t="s">
        <v>72</v>
      </c>
      <c r="C563" s="700"/>
      <c r="D563" s="700"/>
      <c r="E563" s="700"/>
      <c r="F563" s="700"/>
      <c r="G563" s="700"/>
      <c r="H563" s="700"/>
      <c r="I563" s="700"/>
      <c r="J563" s="700"/>
      <c r="K563" s="701"/>
      <c r="L563" s="702">
        <f>L562</f>
        <v>45778</v>
      </c>
      <c r="M563" s="702"/>
      <c r="N563" s="702"/>
      <c r="O563" s="702">
        <f>O562</f>
        <v>45808</v>
      </c>
      <c r="P563" s="702"/>
      <c r="Q563" s="702"/>
      <c r="R563" s="690" cm="1">
        <f t="array" ref="R563">INDEX(verificare!$AT$4:$CC$26,VLOOKUP($AA$16,verificare!$AR$4:$AS$26,2,FALSE),A563)</f>
        <v>0</v>
      </c>
      <c r="S563" s="690"/>
      <c r="T563" s="690"/>
      <c r="U563" s="690"/>
      <c r="V563" s="658" t="s">
        <v>727</v>
      </c>
      <c r="W563" s="658"/>
      <c r="X563" s="691">
        <f>HLOOKUP(VLOOKUP($AA$16,'Date SPV'!$B:$F,5,FALSE),'Preturi si tarife'!$C$2:$J$39,A563+2,FALSE)</f>
        <v>0.14660000000000001</v>
      </c>
      <c r="Y563" s="692"/>
      <c r="Z563" s="692"/>
      <c r="AA563" s="693"/>
      <c r="AB563" s="690">
        <f t="shared" ref="AB563:AB597" si="32">ROUND(X563*R563,2)</f>
        <v>0</v>
      </c>
      <c r="AC563" s="690"/>
      <c r="AD563" s="690"/>
      <c r="AE563" s="690"/>
      <c r="AF563" s="690">
        <f t="shared" ref="AF563:AF597" si="33">ROUND(AB563*19%,2)</f>
        <v>0</v>
      </c>
      <c r="AG563" s="690"/>
      <c r="AH563" s="690"/>
      <c r="AI563" s="690"/>
      <c r="AJ563" s="690">
        <f t="shared" ref="AJ563:AJ597" si="34">AB563+AF563</f>
        <v>0</v>
      </c>
      <c r="AK563" s="690"/>
      <c r="AL563" s="690"/>
      <c r="AM563" s="690"/>
    </row>
    <row r="564" spans="1:39" ht="15.95" customHeight="1">
      <c r="A564" s="65">
        <f t="shared" ref="A564:A599" si="35">A563+1</f>
        <v>3</v>
      </c>
      <c r="B564" s="699" t="s">
        <v>73</v>
      </c>
      <c r="C564" s="700"/>
      <c r="D564" s="700"/>
      <c r="E564" s="700"/>
      <c r="F564" s="700"/>
      <c r="G564" s="700"/>
      <c r="H564" s="700"/>
      <c r="I564" s="700"/>
      <c r="J564" s="700"/>
      <c r="K564" s="701"/>
      <c r="L564" s="702">
        <f t="shared" ref="L564:L572" si="36">L563</f>
        <v>45778</v>
      </c>
      <c r="M564" s="702"/>
      <c r="N564" s="702"/>
      <c r="O564" s="702">
        <f t="shared" ref="O564:O572" si="37">O563</f>
        <v>45808</v>
      </c>
      <c r="P564" s="702"/>
      <c r="Q564" s="702"/>
      <c r="R564" s="690" cm="1">
        <f t="array" ref="R564">INDEX(verificare!$AT$4:$CC$26,VLOOKUP($AA$16,verificare!$AR$4:$AS$26,2,FALSE),A564)</f>
        <v>0</v>
      </c>
      <c r="S564" s="690"/>
      <c r="T564" s="690"/>
      <c r="U564" s="690"/>
      <c r="V564" s="658" t="s">
        <v>727</v>
      </c>
      <c r="W564" s="658"/>
      <c r="X564" s="691">
        <f>HLOOKUP(VLOOKUP($AA$16,'Date SPV'!$B:$F,5,FALSE),'Preturi si tarife'!$C$2:$J$39,A564+2,FALSE)</f>
        <v>0.43980000000000002</v>
      </c>
      <c r="Y564" s="692"/>
      <c r="Z564" s="692"/>
      <c r="AA564" s="693"/>
      <c r="AB564" s="690">
        <f t="shared" si="32"/>
        <v>0</v>
      </c>
      <c r="AC564" s="690"/>
      <c r="AD564" s="690"/>
      <c r="AE564" s="690"/>
      <c r="AF564" s="690">
        <f t="shared" si="33"/>
        <v>0</v>
      </c>
      <c r="AG564" s="690"/>
      <c r="AH564" s="690"/>
      <c r="AI564" s="690"/>
      <c r="AJ564" s="690">
        <f t="shared" si="34"/>
        <v>0</v>
      </c>
      <c r="AK564" s="690"/>
      <c r="AL564" s="690"/>
      <c r="AM564" s="690"/>
    </row>
    <row r="565" spans="1:39" ht="15.95" customHeight="1">
      <c r="A565" s="65">
        <f t="shared" si="35"/>
        <v>4</v>
      </c>
      <c r="B565" s="699" t="s">
        <v>868</v>
      </c>
      <c r="C565" s="700"/>
      <c r="D565" s="700"/>
      <c r="E565" s="700"/>
      <c r="F565" s="700"/>
      <c r="G565" s="700"/>
      <c r="H565" s="700"/>
      <c r="I565" s="700"/>
      <c r="J565" s="700"/>
      <c r="K565" s="701"/>
      <c r="L565" s="702">
        <f t="shared" si="36"/>
        <v>45778</v>
      </c>
      <c r="M565" s="702"/>
      <c r="N565" s="702"/>
      <c r="O565" s="702">
        <f t="shared" si="37"/>
        <v>45808</v>
      </c>
      <c r="P565" s="702"/>
      <c r="Q565" s="702"/>
      <c r="R565" s="690" cm="1">
        <f t="array" ref="R565">INDEX(verificare!$AT$4:$CC$26,VLOOKUP($AA$16,verificare!$AR$4:$AS$26,2,FALSE),A565)</f>
        <v>1077353</v>
      </c>
      <c r="S565" s="690"/>
      <c r="T565" s="690"/>
      <c r="U565" s="690"/>
      <c r="V565" s="658" t="s">
        <v>446</v>
      </c>
      <c r="W565" s="658"/>
      <c r="X565" s="691">
        <f>HLOOKUP(VLOOKUP($AA$16,'Date SPV'!$B:$F,5,FALSE),'Preturi si tarife'!$C$2:$J$39,A565+2,FALSE)</f>
        <v>8.6180000000000007E-2</v>
      </c>
      <c r="Y565" s="692"/>
      <c r="Z565" s="692"/>
      <c r="AA565" s="693"/>
      <c r="AB565" s="690">
        <f t="shared" si="32"/>
        <v>92846.28</v>
      </c>
      <c r="AC565" s="690"/>
      <c r="AD565" s="690"/>
      <c r="AE565" s="690"/>
      <c r="AF565" s="690">
        <f t="shared" si="33"/>
        <v>17640.79</v>
      </c>
      <c r="AG565" s="690"/>
      <c r="AH565" s="690"/>
      <c r="AI565" s="690"/>
      <c r="AJ565" s="690">
        <f t="shared" si="34"/>
        <v>110487.07</v>
      </c>
      <c r="AK565" s="690"/>
      <c r="AL565" s="690"/>
      <c r="AM565" s="690"/>
    </row>
    <row r="566" spans="1:39" ht="15.95" customHeight="1">
      <c r="A566" s="65">
        <f t="shared" si="35"/>
        <v>5</v>
      </c>
      <c r="B566" s="699" t="s">
        <v>757</v>
      </c>
      <c r="C566" s="700"/>
      <c r="D566" s="700"/>
      <c r="E566" s="700"/>
      <c r="F566" s="700"/>
      <c r="G566" s="700"/>
      <c r="H566" s="700"/>
      <c r="I566" s="700"/>
      <c r="J566" s="700"/>
      <c r="K566" s="701"/>
      <c r="L566" s="702">
        <f t="shared" si="36"/>
        <v>45778</v>
      </c>
      <c r="M566" s="702"/>
      <c r="N566" s="702"/>
      <c r="O566" s="702">
        <f t="shared" si="37"/>
        <v>45808</v>
      </c>
      <c r="P566" s="702"/>
      <c r="Q566" s="702"/>
      <c r="R566" s="690" cm="1">
        <f t="array" ref="R566">INDEX(verificare!$AT$4:$CC$26,VLOOKUP($AA$16,verificare!$AR$4:$AS$26,2,FALSE),A566)</f>
        <v>0</v>
      </c>
      <c r="S566" s="690"/>
      <c r="T566" s="690"/>
      <c r="U566" s="690"/>
      <c r="V566" s="658" t="s">
        <v>446</v>
      </c>
      <c r="W566" s="658"/>
      <c r="X566" s="691">
        <f>HLOOKUP(VLOOKUP($AA$16,'Date SPV'!$B:$F,5,FALSE),'Preturi si tarife'!$C$2:$J$39,A566+2,FALSE)</f>
        <v>0.2079</v>
      </c>
      <c r="Y566" s="692"/>
      <c r="Z566" s="692"/>
      <c r="AA566" s="693"/>
      <c r="AB566" s="690">
        <f t="shared" si="32"/>
        <v>0</v>
      </c>
      <c r="AC566" s="690"/>
      <c r="AD566" s="690"/>
      <c r="AE566" s="690"/>
      <c r="AF566" s="690">
        <f t="shared" si="33"/>
        <v>0</v>
      </c>
      <c r="AG566" s="690"/>
      <c r="AH566" s="690"/>
      <c r="AI566" s="690"/>
      <c r="AJ566" s="690">
        <f t="shared" si="34"/>
        <v>0</v>
      </c>
      <c r="AK566" s="690"/>
      <c r="AL566" s="690"/>
      <c r="AM566" s="690"/>
    </row>
    <row r="567" spans="1:39" ht="15.95" customHeight="1">
      <c r="A567" s="65">
        <f t="shared" si="35"/>
        <v>6</v>
      </c>
      <c r="B567" s="699" t="s">
        <v>74</v>
      </c>
      <c r="C567" s="700"/>
      <c r="D567" s="700"/>
      <c r="E567" s="700"/>
      <c r="F567" s="700"/>
      <c r="G567" s="700"/>
      <c r="H567" s="700"/>
      <c r="I567" s="700"/>
      <c r="J567" s="700"/>
      <c r="K567" s="701"/>
      <c r="L567" s="702">
        <f t="shared" si="36"/>
        <v>45778</v>
      </c>
      <c r="M567" s="702"/>
      <c r="N567" s="702"/>
      <c r="O567" s="702">
        <f t="shared" si="37"/>
        <v>45808</v>
      </c>
      <c r="P567" s="702"/>
      <c r="Q567" s="702"/>
      <c r="R567" s="690" cm="1">
        <f t="array" ref="R567">INDEX(verificare!$AT$4:$CC$26,VLOOKUP($AA$16,verificare!$AR$4:$AS$26,2,FALSE),A567)</f>
        <v>1077353</v>
      </c>
      <c r="S567" s="690"/>
      <c r="T567" s="690"/>
      <c r="U567" s="690"/>
      <c r="V567" s="658" t="s">
        <v>446</v>
      </c>
      <c r="W567" s="658"/>
      <c r="X567" s="691">
        <f>HLOOKUP(VLOOKUP($AA$16,'Date SPV'!$B:$F,5,FALSE),'Preturi si tarife'!$C$2:$J$39,A567+2,FALSE)</f>
        <v>1.1509999999999999E-2</v>
      </c>
      <c r="Y567" s="692"/>
      <c r="Z567" s="692"/>
      <c r="AA567" s="693"/>
      <c r="AB567" s="690">
        <f t="shared" si="32"/>
        <v>12400.33</v>
      </c>
      <c r="AC567" s="690"/>
      <c r="AD567" s="690"/>
      <c r="AE567" s="690"/>
      <c r="AF567" s="690">
        <f t="shared" si="33"/>
        <v>2356.06</v>
      </c>
      <c r="AG567" s="690"/>
      <c r="AH567" s="690"/>
      <c r="AI567" s="690"/>
      <c r="AJ567" s="690">
        <f t="shared" si="34"/>
        <v>14756.39</v>
      </c>
      <c r="AK567" s="690"/>
      <c r="AL567" s="690"/>
      <c r="AM567" s="690"/>
    </row>
    <row r="568" spans="1:39" ht="15.95" customHeight="1">
      <c r="A568" s="65">
        <f t="shared" si="35"/>
        <v>7</v>
      </c>
      <c r="B568" s="699" t="s">
        <v>75</v>
      </c>
      <c r="C568" s="700"/>
      <c r="D568" s="700"/>
      <c r="E568" s="700"/>
      <c r="F568" s="700"/>
      <c r="G568" s="700"/>
      <c r="H568" s="700"/>
      <c r="I568" s="700"/>
      <c r="J568" s="700"/>
      <c r="K568" s="701"/>
      <c r="L568" s="702">
        <f t="shared" si="36"/>
        <v>45778</v>
      </c>
      <c r="M568" s="702"/>
      <c r="N568" s="702"/>
      <c r="O568" s="702">
        <f t="shared" si="37"/>
        <v>45808</v>
      </c>
      <c r="P568" s="702"/>
      <c r="Q568" s="702"/>
      <c r="R568" s="690" cm="1">
        <f t="array" ref="R568">INDEX(verificare!$AT$4:$CC$26,VLOOKUP($AA$16,verificare!$AR$4:$AS$26,2,FALSE),A568)</f>
        <v>1077353</v>
      </c>
      <c r="S568" s="690"/>
      <c r="T568" s="690"/>
      <c r="U568" s="690"/>
      <c r="V568" s="658" t="s">
        <v>446</v>
      </c>
      <c r="W568" s="658"/>
      <c r="X568" s="691">
        <f>HLOOKUP(VLOOKUP($AA$16,'Date SPV'!$B:$F,5,FALSE),'Preturi si tarife'!$C$2:$J$39,A568+2,FALSE)</f>
        <v>3.3030000000000004E-2</v>
      </c>
      <c r="Y568" s="692"/>
      <c r="Z568" s="692"/>
      <c r="AA568" s="693"/>
      <c r="AB568" s="690">
        <f t="shared" si="32"/>
        <v>35584.97</v>
      </c>
      <c r="AC568" s="690"/>
      <c r="AD568" s="690"/>
      <c r="AE568" s="690"/>
      <c r="AF568" s="690">
        <f t="shared" si="33"/>
        <v>6761.14</v>
      </c>
      <c r="AG568" s="690"/>
      <c r="AH568" s="690"/>
      <c r="AI568" s="690"/>
      <c r="AJ568" s="690">
        <f t="shared" si="34"/>
        <v>42346.11</v>
      </c>
      <c r="AK568" s="690"/>
      <c r="AL568" s="690"/>
      <c r="AM568" s="690"/>
    </row>
    <row r="569" spans="1:39" ht="15.95" customHeight="1">
      <c r="A569" s="65">
        <f t="shared" si="35"/>
        <v>8</v>
      </c>
      <c r="B569" s="699" t="s">
        <v>76</v>
      </c>
      <c r="C569" s="700"/>
      <c r="D569" s="700"/>
      <c r="E569" s="700"/>
      <c r="F569" s="700"/>
      <c r="G569" s="700"/>
      <c r="H569" s="700"/>
      <c r="I569" s="700"/>
      <c r="J569" s="700"/>
      <c r="K569" s="701"/>
      <c r="L569" s="702">
        <f t="shared" si="36"/>
        <v>45778</v>
      </c>
      <c r="M569" s="702"/>
      <c r="N569" s="702"/>
      <c r="O569" s="702">
        <f t="shared" si="37"/>
        <v>45808</v>
      </c>
      <c r="P569" s="702"/>
      <c r="Q569" s="702"/>
      <c r="R569" s="690" cm="1">
        <f t="array" ref="R569">INDEX(verificare!$AT$4:$CC$26,VLOOKUP($AA$16,verificare!$AR$4:$AS$26,2,FALSE),A569)</f>
        <v>1077353</v>
      </c>
      <c r="S569" s="690"/>
      <c r="T569" s="690"/>
      <c r="U569" s="690"/>
      <c r="V569" s="658" t="s">
        <v>446</v>
      </c>
      <c r="W569" s="658"/>
      <c r="X569" s="691">
        <f>HLOOKUP(VLOOKUP($AA$16,'Date SPV'!$B:$F,5,FALSE),'Preturi si tarife'!$C$2:$J$39,A569+2,FALSE)</f>
        <v>3.29E-3</v>
      </c>
      <c r="Y569" s="692"/>
      <c r="Z569" s="692"/>
      <c r="AA569" s="693"/>
      <c r="AB569" s="690">
        <f t="shared" si="32"/>
        <v>3544.49</v>
      </c>
      <c r="AC569" s="690"/>
      <c r="AD569" s="690"/>
      <c r="AE569" s="690"/>
      <c r="AF569" s="690">
        <f t="shared" si="33"/>
        <v>673.45</v>
      </c>
      <c r="AG569" s="690"/>
      <c r="AH569" s="690"/>
      <c r="AI569" s="690"/>
      <c r="AJ569" s="690">
        <f t="shared" si="34"/>
        <v>4217.9399999999996</v>
      </c>
      <c r="AK569" s="690"/>
      <c r="AL569" s="690"/>
      <c r="AM569" s="690"/>
    </row>
    <row r="570" spans="1:39" ht="15.95" customHeight="1">
      <c r="A570" s="65">
        <f t="shared" si="35"/>
        <v>9</v>
      </c>
      <c r="B570" s="699" t="s">
        <v>77</v>
      </c>
      <c r="C570" s="700"/>
      <c r="D570" s="700"/>
      <c r="E570" s="700"/>
      <c r="F570" s="700"/>
      <c r="G570" s="700"/>
      <c r="H570" s="700"/>
      <c r="I570" s="700"/>
      <c r="J570" s="700"/>
      <c r="K570" s="701"/>
      <c r="L570" s="702">
        <f t="shared" si="36"/>
        <v>45778</v>
      </c>
      <c r="M570" s="702"/>
      <c r="N570" s="702"/>
      <c r="O570" s="702">
        <f t="shared" si="37"/>
        <v>45808</v>
      </c>
      <c r="P570" s="702"/>
      <c r="Q570" s="702"/>
      <c r="R570" s="690" cm="1">
        <f t="array" ref="R570">INDEX(verificare!$AT$4:$CC$26,VLOOKUP($AA$16,verificare!$AR$4:$AS$26,2,FALSE),A570)</f>
        <v>1077353</v>
      </c>
      <c r="S570" s="690"/>
      <c r="T570" s="690"/>
      <c r="U570" s="690"/>
      <c r="V570" s="658" t="s">
        <v>446</v>
      </c>
      <c r="W570" s="658"/>
      <c r="X570" s="691">
        <f>HLOOKUP(VLOOKUP($AA$16,'Date SPV'!$B:$F,5,FALSE),'Preturi si tarife'!$C$2:$J$39,A570+2,FALSE)</f>
        <v>3.5000000000000001E-3</v>
      </c>
      <c r="Y570" s="692"/>
      <c r="Z570" s="692"/>
      <c r="AA570" s="693"/>
      <c r="AB570" s="690">
        <f t="shared" si="32"/>
        <v>3770.74</v>
      </c>
      <c r="AC570" s="690"/>
      <c r="AD570" s="690"/>
      <c r="AE570" s="690"/>
      <c r="AF570" s="690">
        <f t="shared" si="33"/>
        <v>716.44</v>
      </c>
      <c r="AG570" s="690"/>
      <c r="AH570" s="690"/>
      <c r="AI570" s="690"/>
      <c r="AJ570" s="690">
        <f t="shared" si="34"/>
        <v>4487.18</v>
      </c>
      <c r="AK570" s="690"/>
      <c r="AL570" s="690"/>
      <c r="AM570" s="690"/>
    </row>
    <row r="571" spans="1:39" ht="15.95" customHeight="1">
      <c r="A571" s="65">
        <f t="shared" si="35"/>
        <v>10</v>
      </c>
      <c r="B571" s="699" t="s">
        <v>78</v>
      </c>
      <c r="C571" s="700"/>
      <c r="D571" s="700"/>
      <c r="E571" s="700"/>
      <c r="F571" s="700"/>
      <c r="G571" s="700"/>
      <c r="H571" s="700"/>
      <c r="I571" s="700"/>
      <c r="J571" s="700"/>
      <c r="K571" s="701"/>
      <c r="L571" s="702">
        <f t="shared" si="36"/>
        <v>45778</v>
      </c>
      <c r="M571" s="702"/>
      <c r="N571" s="702"/>
      <c r="O571" s="702">
        <f t="shared" si="37"/>
        <v>45808</v>
      </c>
      <c r="P571" s="702"/>
      <c r="Q571" s="702"/>
      <c r="R571" s="690" cm="1">
        <f t="array" ref="R571">INDEX(verificare!$AT$4:$CC$26,VLOOKUP($AA$16,verificare!$AR$4:$AS$26,2,FALSE),A571)</f>
        <v>1077353</v>
      </c>
      <c r="S571" s="690"/>
      <c r="T571" s="690"/>
      <c r="U571" s="690"/>
      <c r="V571" s="658" t="s">
        <v>446</v>
      </c>
      <c r="W571" s="658"/>
      <c r="X571" s="691">
        <f>HLOOKUP(VLOOKUP($AA$16,'Date SPV'!$B:$F,5,FALSE),'Preturi si tarife'!$C$2:$J$39,A571+2,FALSE)</f>
        <v>7.2541599999999998E-2</v>
      </c>
      <c r="Y571" s="692"/>
      <c r="Z571" s="692"/>
      <c r="AA571" s="693"/>
      <c r="AB571" s="690">
        <f t="shared" si="32"/>
        <v>78152.91</v>
      </c>
      <c r="AC571" s="690"/>
      <c r="AD571" s="690"/>
      <c r="AE571" s="690"/>
      <c r="AF571" s="690">
        <f t="shared" si="33"/>
        <v>14849.05</v>
      </c>
      <c r="AG571" s="690"/>
      <c r="AH571" s="690"/>
      <c r="AI571" s="690"/>
      <c r="AJ571" s="690">
        <f t="shared" si="34"/>
        <v>93001.96</v>
      </c>
      <c r="AK571" s="690"/>
      <c r="AL571" s="690"/>
      <c r="AM571" s="690"/>
    </row>
    <row r="572" spans="1:39" ht="15.95" customHeight="1">
      <c r="A572" s="65">
        <f t="shared" si="35"/>
        <v>11</v>
      </c>
      <c r="B572" s="699" t="s">
        <v>1313</v>
      </c>
      <c r="C572" s="700"/>
      <c r="D572" s="700"/>
      <c r="E572" s="700"/>
      <c r="F572" s="700"/>
      <c r="G572" s="700"/>
      <c r="H572" s="700"/>
      <c r="I572" s="700"/>
      <c r="J572" s="700"/>
      <c r="K572" s="701"/>
      <c r="L572" s="702">
        <f t="shared" si="36"/>
        <v>45778</v>
      </c>
      <c r="M572" s="702"/>
      <c r="N572" s="702"/>
      <c r="O572" s="702">
        <f t="shared" si="37"/>
        <v>45808</v>
      </c>
      <c r="P572" s="702"/>
      <c r="Q572" s="702"/>
      <c r="R572" s="690" cm="1">
        <f t="array" ref="R572">INDEX(verificare!$AT$4:$CC$26,VLOOKUP($AA$16,verificare!$AR$4:$AS$26,2,FALSE),A572)</f>
        <v>1077353</v>
      </c>
      <c r="S572" s="690"/>
      <c r="T572" s="690"/>
      <c r="U572" s="690"/>
      <c r="V572" s="658" t="s">
        <v>446</v>
      </c>
      <c r="W572" s="658"/>
      <c r="X572" s="691">
        <f>HLOOKUP(VLOOKUP($AA$16,'Date SPV'!$B:$F,5,FALSE),'Preturi si tarife'!$C$2:$J$39,A572+2,FALSE)</f>
        <v>2.0599999999999999E-4</v>
      </c>
      <c r="Y572" s="692"/>
      <c r="Z572" s="692"/>
      <c r="AA572" s="693"/>
      <c r="AB572" s="690">
        <f t="shared" si="32"/>
        <v>221.93</v>
      </c>
      <c r="AC572" s="690"/>
      <c r="AD572" s="690"/>
      <c r="AE572" s="690"/>
      <c r="AF572" s="690">
        <f t="shared" si="33"/>
        <v>42.17</v>
      </c>
      <c r="AG572" s="690"/>
      <c r="AH572" s="690"/>
      <c r="AI572" s="690"/>
      <c r="AJ572" s="690">
        <f t="shared" si="34"/>
        <v>264.10000000000002</v>
      </c>
      <c r="AK572" s="690"/>
      <c r="AL572" s="690"/>
      <c r="AM572" s="690"/>
    </row>
    <row r="573" spans="1:39" ht="15.95" customHeight="1">
      <c r="A573" s="65">
        <f t="shared" si="35"/>
        <v>12</v>
      </c>
      <c r="B573" s="699" t="s">
        <v>79</v>
      </c>
      <c r="C573" s="700"/>
      <c r="D573" s="700"/>
      <c r="E573" s="700"/>
      <c r="F573" s="700"/>
      <c r="G573" s="700"/>
      <c r="H573" s="700"/>
      <c r="I573" s="700"/>
      <c r="J573" s="700"/>
      <c r="K573" s="701"/>
      <c r="L573" s="702">
        <f>L571</f>
        <v>45778</v>
      </c>
      <c r="M573" s="702"/>
      <c r="N573" s="702"/>
      <c r="O573" s="702">
        <f>O571</f>
        <v>45808</v>
      </c>
      <c r="P573" s="702"/>
      <c r="Q573" s="702"/>
      <c r="R573" s="690" cm="1">
        <f t="array" ref="R573">INDEX(verificare!$AT$4:$CC$26,VLOOKUP($AA$16,verificare!$AR$4:$AS$26,2,FALSE),A573)</f>
        <v>1077353</v>
      </c>
      <c r="S573" s="690"/>
      <c r="T573" s="690"/>
      <c r="U573" s="690"/>
      <c r="V573" s="658" t="s">
        <v>446</v>
      </c>
      <c r="W573" s="658"/>
      <c r="X573" s="691">
        <f>HLOOKUP(VLOOKUP($AA$16,'Date SPV'!$B:$F,5,FALSE),'Preturi si tarife'!$C$2:$J$39,A573+2,FALSE)</f>
        <v>0</v>
      </c>
      <c r="Y573" s="692"/>
      <c r="Z573" s="692"/>
      <c r="AA573" s="693"/>
      <c r="AB573" s="690">
        <f t="shared" si="32"/>
        <v>0</v>
      </c>
      <c r="AC573" s="690"/>
      <c r="AD573" s="690"/>
      <c r="AE573" s="690"/>
      <c r="AF573" s="690">
        <f t="shared" si="33"/>
        <v>0</v>
      </c>
      <c r="AG573" s="690"/>
      <c r="AH573" s="690"/>
      <c r="AI573" s="690"/>
      <c r="AJ573" s="690">
        <f t="shared" si="34"/>
        <v>0</v>
      </c>
      <c r="AK573" s="690"/>
      <c r="AL573" s="690"/>
      <c r="AM573" s="690"/>
    </row>
    <row r="574" spans="1:39" ht="15.95" customHeight="1">
      <c r="A574" s="65">
        <f t="shared" si="35"/>
        <v>13</v>
      </c>
      <c r="B574" s="699" t="s">
        <v>80</v>
      </c>
      <c r="C574" s="700"/>
      <c r="D574" s="700"/>
      <c r="E574" s="700"/>
      <c r="F574" s="700"/>
      <c r="G574" s="700"/>
      <c r="H574" s="700"/>
      <c r="I574" s="700"/>
      <c r="J574" s="700"/>
      <c r="K574" s="701"/>
      <c r="L574" s="702">
        <f t="shared" ref="L574:L579" si="38">L573</f>
        <v>45778</v>
      </c>
      <c r="M574" s="702"/>
      <c r="N574" s="702"/>
      <c r="O574" s="702">
        <f t="shared" ref="O574:O579" si="39">O573</f>
        <v>45808</v>
      </c>
      <c r="P574" s="702"/>
      <c r="Q574" s="702"/>
      <c r="R574" s="690" cm="1">
        <f t="array" ref="R574">INDEX(verificare!$AT$4:$CC$26,VLOOKUP($AA$16,verificare!$AR$4:$AS$26,2,FALSE),A574)</f>
        <v>1077353</v>
      </c>
      <c r="S574" s="690"/>
      <c r="T574" s="690"/>
      <c r="U574" s="690"/>
      <c r="V574" s="658" t="s">
        <v>446</v>
      </c>
      <c r="W574" s="658"/>
      <c r="X574" s="691">
        <f>HLOOKUP(VLOOKUP($AA$16,'Date SPV'!$B:$F,5,FALSE),'Preturi si tarife'!$C$2:$J$39,A574+2,FALSE)</f>
        <v>1.1599999999999999E-2</v>
      </c>
      <c r="Y574" s="692"/>
      <c r="Z574" s="692"/>
      <c r="AA574" s="693"/>
      <c r="AB574" s="690">
        <f t="shared" si="32"/>
        <v>12497.29</v>
      </c>
      <c r="AC574" s="690"/>
      <c r="AD574" s="690"/>
      <c r="AE574" s="690"/>
      <c r="AF574" s="690">
        <f t="shared" si="33"/>
        <v>2374.4899999999998</v>
      </c>
      <c r="AG574" s="690"/>
      <c r="AH574" s="690"/>
      <c r="AI574" s="690"/>
      <c r="AJ574" s="690">
        <f t="shared" si="34"/>
        <v>14871.78</v>
      </c>
      <c r="AK574" s="690"/>
      <c r="AL574" s="690"/>
      <c r="AM574" s="690"/>
    </row>
    <row r="575" spans="1:39" ht="15.95" customHeight="1">
      <c r="A575" s="65">
        <f t="shared" si="35"/>
        <v>14</v>
      </c>
      <c r="B575" s="699" t="s">
        <v>81</v>
      </c>
      <c r="C575" s="700"/>
      <c r="D575" s="700"/>
      <c r="E575" s="700"/>
      <c r="F575" s="700"/>
      <c r="G575" s="700"/>
      <c r="H575" s="700"/>
      <c r="I575" s="700"/>
      <c r="J575" s="700"/>
      <c r="K575" s="701"/>
      <c r="L575" s="702">
        <f t="shared" si="38"/>
        <v>45778</v>
      </c>
      <c r="M575" s="702"/>
      <c r="N575" s="702"/>
      <c r="O575" s="702">
        <f t="shared" si="39"/>
        <v>45808</v>
      </c>
      <c r="P575" s="702"/>
      <c r="Q575" s="702"/>
      <c r="R575" s="690" cm="1">
        <f t="array" ref="R575">INDEX(verificare!$AT$4:$CC$26,VLOOKUP($AA$16,verificare!$AR$4:$AS$26,2,FALSE),A575)</f>
        <v>1077353</v>
      </c>
      <c r="S575" s="690"/>
      <c r="T575" s="690"/>
      <c r="U575" s="690"/>
      <c r="V575" s="658" t="s">
        <v>446</v>
      </c>
      <c r="W575" s="658"/>
      <c r="X575" s="691">
        <f>HLOOKUP(VLOOKUP($AA$16,'Date SPV'!$B:$F,5,FALSE),'Preturi si tarife'!$C$2:$J$39,A575+2,FALSE)</f>
        <v>8.3199999999999996E-2</v>
      </c>
      <c r="Y575" s="692"/>
      <c r="Z575" s="692"/>
      <c r="AA575" s="693"/>
      <c r="AB575" s="690">
        <f t="shared" si="32"/>
        <v>89635.77</v>
      </c>
      <c r="AC575" s="690"/>
      <c r="AD575" s="690"/>
      <c r="AE575" s="690"/>
      <c r="AF575" s="690">
        <f t="shared" si="33"/>
        <v>17030.8</v>
      </c>
      <c r="AG575" s="690"/>
      <c r="AH575" s="690"/>
      <c r="AI575" s="690"/>
      <c r="AJ575" s="690">
        <f t="shared" si="34"/>
        <v>106666.57</v>
      </c>
      <c r="AK575" s="690"/>
      <c r="AL575" s="690"/>
      <c r="AM575" s="690"/>
    </row>
    <row r="576" spans="1:39" ht="15.95" customHeight="1">
      <c r="A576" s="65">
        <f t="shared" si="35"/>
        <v>15</v>
      </c>
      <c r="B576" s="699" t="s">
        <v>82</v>
      </c>
      <c r="C576" s="700"/>
      <c r="D576" s="700"/>
      <c r="E576" s="700"/>
      <c r="F576" s="700"/>
      <c r="G576" s="700"/>
      <c r="H576" s="700"/>
      <c r="I576" s="700"/>
      <c r="J576" s="700"/>
      <c r="K576" s="701"/>
      <c r="L576" s="702">
        <f t="shared" si="38"/>
        <v>45778</v>
      </c>
      <c r="M576" s="702"/>
      <c r="N576" s="702"/>
      <c r="O576" s="702">
        <f t="shared" si="39"/>
        <v>45808</v>
      </c>
      <c r="P576" s="702"/>
      <c r="Q576" s="702"/>
      <c r="R576" s="690" cm="1">
        <f t="array" ref="R576">INDEX(verificare!$AT$4:$CC$26,VLOOKUP($AA$16,verificare!$AR$4:$AS$26,2,FALSE),A576)</f>
        <v>147904</v>
      </c>
      <c r="S576" s="690"/>
      <c r="T576" s="690"/>
      <c r="U576" s="690"/>
      <c r="V576" s="658" t="s">
        <v>446</v>
      </c>
      <c r="W576" s="658"/>
      <c r="X576" s="691">
        <f>HLOOKUP(VLOOKUP($AA$16,'Date SPV'!$B:$F,5,FALSE),'Preturi si tarife'!$C$2:$J$39,A576+2,FALSE)</f>
        <v>0.90005760000000001</v>
      </c>
      <c r="Y576" s="692"/>
      <c r="Z576" s="692"/>
      <c r="AA576" s="693"/>
      <c r="AB576" s="690">
        <f t="shared" si="32"/>
        <v>133122.12</v>
      </c>
      <c r="AC576" s="690"/>
      <c r="AD576" s="690"/>
      <c r="AE576" s="690"/>
      <c r="AF576" s="690">
        <f t="shared" si="33"/>
        <v>25293.200000000001</v>
      </c>
      <c r="AG576" s="690"/>
      <c r="AH576" s="690"/>
      <c r="AI576" s="690"/>
      <c r="AJ576" s="690">
        <f t="shared" si="34"/>
        <v>158415.32</v>
      </c>
      <c r="AK576" s="690"/>
      <c r="AL576" s="690"/>
      <c r="AM576" s="690"/>
    </row>
    <row r="577" spans="1:39" ht="15.95" customHeight="1">
      <c r="A577" s="65">
        <f t="shared" si="35"/>
        <v>16</v>
      </c>
      <c r="B577" s="699" t="s">
        <v>83</v>
      </c>
      <c r="C577" s="700"/>
      <c r="D577" s="700"/>
      <c r="E577" s="700"/>
      <c r="F577" s="700"/>
      <c r="G577" s="700"/>
      <c r="H577" s="700"/>
      <c r="I577" s="700"/>
      <c r="J577" s="700"/>
      <c r="K577" s="701"/>
      <c r="L577" s="702">
        <f t="shared" si="38"/>
        <v>45778</v>
      </c>
      <c r="M577" s="702"/>
      <c r="N577" s="702"/>
      <c r="O577" s="702">
        <f t="shared" si="39"/>
        <v>45808</v>
      </c>
      <c r="P577" s="702"/>
      <c r="Q577" s="702"/>
      <c r="R577" s="690" cm="1">
        <f t="array" ref="R577">INDEX(verificare!$AT$4:$CC$26,VLOOKUP($AA$16,verificare!$AR$4:$AS$26,2,FALSE),A577)</f>
        <v>11982</v>
      </c>
      <c r="S577" s="690"/>
      <c r="T577" s="690"/>
      <c r="U577" s="690"/>
      <c r="V577" s="658" t="s">
        <v>446</v>
      </c>
      <c r="W577" s="658"/>
      <c r="X577" s="691">
        <f>HLOOKUP(VLOOKUP($AA$16,'Date SPV'!$B:$F,5,FALSE),'Preturi si tarife'!$C$2:$J$39,A577+2,FALSE)</f>
        <v>0.80525760000000002</v>
      </c>
      <c r="Y577" s="692"/>
      <c r="Z577" s="692"/>
      <c r="AA577" s="693"/>
      <c r="AB577" s="690">
        <f t="shared" si="32"/>
        <v>9648.6</v>
      </c>
      <c r="AC577" s="690"/>
      <c r="AD577" s="690"/>
      <c r="AE577" s="690"/>
      <c r="AF577" s="690">
        <f t="shared" si="33"/>
        <v>1833.23</v>
      </c>
      <c r="AG577" s="690"/>
      <c r="AH577" s="690"/>
      <c r="AI577" s="690"/>
      <c r="AJ577" s="690">
        <f t="shared" si="34"/>
        <v>11481.83</v>
      </c>
      <c r="AK577" s="690"/>
      <c r="AL577" s="690"/>
      <c r="AM577" s="690"/>
    </row>
    <row r="578" spans="1:39" ht="15.95" customHeight="1">
      <c r="A578" s="65">
        <f t="shared" si="35"/>
        <v>17</v>
      </c>
      <c r="B578" s="699" t="s">
        <v>1129</v>
      </c>
      <c r="C578" s="700"/>
      <c r="D578" s="700"/>
      <c r="E578" s="700"/>
      <c r="F578" s="700"/>
      <c r="G578" s="700"/>
      <c r="H578" s="700"/>
      <c r="I578" s="700"/>
      <c r="J578" s="700"/>
      <c r="K578" s="701"/>
      <c r="L578" s="702">
        <f t="shared" si="38"/>
        <v>45778</v>
      </c>
      <c r="M578" s="702"/>
      <c r="N578" s="702"/>
      <c r="O578" s="702">
        <f t="shared" si="39"/>
        <v>45808</v>
      </c>
      <c r="P578" s="702"/>
      <c r="Q578" s="702"/>
      <c r="R578" s="690" cm="1">
        <f t="array" ref="R578">INDEX(verificare!$AT$4:$CC$26,VLOOKUP($AA$16,verificare!$AR$4:$AS$26,2,FALSE),A578)</f>
        <v>11982</v>
      </c>
      <c r="S578" s="690"/>
      <c r="T578" s="690"/>
      <c r="U578" s="690"/>
      <c r="V578" s="658" t="s">
        <v>446</v>
      </c>
      <c r="W578" s="658"/>
      <c r="X578" s="691">
        <f>HLOOKUP(VLOOKUP($AA$16,'Date SPV'!$B:$F,5,FALSE),'Preturi si tarife'!$C$2:$J$39,A578+2,FALSE)</f>
        <v>1.1599999999999999E-2</v>
      </c>
      <c r="Y578" s="692"/>
      <c r="Z578" s="692"/>
      <c r="AA578" s="693"/>
      <c r="AB578" s="690">
        <f t="shared" si="32"/>
        <v>138.99</v>
      </c>
      <c r="AC578" s="690"/>
      <c r="AD578" s="690"/>
      <c r="AE578" s="690"/>
      <c r="AF578" s="690">
        <f t="shared" si="33"/>
        <v>26.41</v>
      </c>
      <c r="AG578" s="690"/>
      <c r="AH578" s="690"/>
      <c r="AI578" s="690"/>
      <c r="AJ578" s="690">
        <f t="shared" si="34"/>
        <v>165.4</v>
      </c>
      <c r="AK578" s="690"/>
      <c r="AL578" s="690"/>
      <c r="AM578" s="690"/>
    </row>
    <row r="579" spans="1:39" ht="15.95" customHeight="1">
      <c r="A579" s="65">
        <f t="shared" si="35"/>
        <v>18</v>
      </c>
      <c r="B579" s="699" t="s">
        <v>1130</v>
      </c>
      <c r="C579" s="700"/>
      <c r="D579" s="700"/>
      <c r="E579" s="700"/>
      <c r="F579" s="700"/>
      <c r="G579" s="700"/>
      <c r="H579" s="700"/>
      <c r="I579" s="700"/>
      <c r="J579" s="700"/>
      <c r="K579" s="701"/>
      <c r="L579" s="702">
        <f t="shared" si="38"/>
        <v>45778</v>
      </c>
      <c r="M579" s="702"/>
      <c r="N579" s="702"/>
      <c r="O579" s="702">
        <f t="shared" si="39"/>
        <v>45808</v>
      </c>
      <c r="P579" s="702"/>
      <c r="Q579" s="702"/>
      <c r="R579" s="690" cm="1">
        <f t="array" ref="R579">INDEX(verificare!$AT$4:$CC$26,VLOOKUP($AA$16,verificare!$AR$4:$AS$26,2,FALSE),A579)</f>
        <v>11982</v>
      </c>
      <c r="S579" s="690"/>
      <c r="T579" s="690"/>
      <c r="U579" s="690"/>
      <c r="V579" s="658" t="s">
        <v>446</v>
      </c>
      <c r="W579" s="658"/>
      <c r="X579" s="691">
        <f>HLOOKUP(VLOOKUP($AA$16,'Date SPV'!$B:$F,5,FALSE),'Preturi si tarife'!$C$2:$J$39,A579+2,FALSE)</f>
        <v>8.3199999999999996E-2</v>
      </c>
      <c r="Y579" s="692"/>
      <c r="Z579" s="692"/>
      <c r="AA579" s="693"/>
      <c r="AB579" s="690">
        <f t="shared" si="32"/>
        <v>996.9</v>
      </c>
      <c r="AC579" s="690"/>
      <c r="AD579" s="690"/>
      <c r="AE579" s="690"/>
      <c r="AF579" s="690">
        <f t="shared" si="33"/>
        <v>189.41</v>
      </c>
      <c r="AG579" s="690"/>
      <c r="AH579" s="690"/>
      <c r="AI579" s="690"/>
      <c r="AJ579" s="690">
        <f t="shared" si="34"/>
        <v>1186.31</v>
      </c>
      <c r="AK579" s="690"/>
      <c r="AL579" s="690"/>
      <c r="AM579" s="690"/>
    </row>
    <row r="580" spans="1:39" ht="15.95" customHeight="1">
      <c r="A580" s="65">
        <f t="shared" si="35"/>
        <v>19</v>
      </c>
      <c r="B580" s="699" t="s">
        <v>99</v>
      </c>
      <c r="C580" s="700"/>
      <c r="D580" s="700"/>
      <c r="E580" s="700"/>
      <c r="F580" s="700"/>
      <c r="G580" s="700"/>
      <c r="H580" s="700"/>
      <c r="I580" s="700"/>
      <c r="J580" s="700"/>
      <c r="K580" s="701"/>
      <c r="L580" s="702">
        <f>'Date masura OD'!$W$5</f>
        <v>45748</v>
      </c>
      <c r="M580" s="702"/>
      <c r="N580" s="702"/>
      <c r="O580" s="702">
        <f>'Date masura OD'!$X$5</f>
        <v>45777</v>
      </c>
      <c r="P580" s="702"/>
      <c r="Q580" s="702"/>
      <c r="R580" s="690" cm="1">
        <f t="array" ref="R580">INDEX(verificare!$AT$4:$CC$26,VLOOKUP($AA$16,verificare!$AR$4:$AS$26,2,FALSE),A580)</f>
        <v>0</v>
      </c>
      <c r="S580" s="690"/>
      <c r="T580" s="690"/>
      <c r="U580" s="690"/>
      <c r="V580" s="658" t="s">
        <v>446</v>
      </c>
      <c r="W580" s="658"/>
      <c r="X580" s="691">
        <f>HLOOKUP(VLOOKUP($AA$16,'Date SPV'!$B:$F,5,FALSE),'Preturi si tarife'!$C$2:$J$39,A580+2,FALSE)</f>
        <v>0.59499999999999997</v>
      </c>
      <c r="Y580" s="692"/>
      <c r="Z580" s="692"/>
      <c r="AA580" s="693"/>
      <c r="AB580" s="690">
        <f t="shared" si="32"/>
        <v>0</v>
      </c>
      <c r="AC580" s="690"/>
      <c r="AD580" s="690"/>
      <c r="AE580" s="690"/>
      <c r="AF580" s="690">
        <f t="shared" si="33"/>
        <v>0</v>
      </c>
      <c r="AG580" s="690"/>
      <c r="AH580" s="690"/>
      <c r="AI580" s="690"/>
      <c r="AJ580" s="690">
        <f t="shared" si="34"/>
        <v>0</v>
      </c>
      <c r="AK580" s="690"/>
      <c r="AL580" s="690"/>
      <c r="AM580" s="690"/>
    </row>
    <row r="581" spans="1:39" ht="15.95" customHeight="1">
      <c r="A581" s="65">
        <f t="shared" si="35"/>
        <v>20</v>
      </c>
      <c r="B581" s="699" t="s">
        <v>100</v>
      </c>
      <c r="C581" s="700"/>
      <c r="D581" s="700"/>
      <c r="E581" s="700"/>
      <c r="F581" s="700"/>
      <c r="G581" s="700"/>
      <c r="H581" s="700"/>
      <c r="I581" s="700"/>
      <c r="J581" s="700"/>
      <c r="K581" s="701"/>
      <c r="L581" s="702">
        <f>L580</f>
        <v>45748</v>
      </c>
      <c r="M581" s="702"/>
      <c r="N581" s="702"/>
      <c r="O581" s="702">
        <f t="shared" ref="O581:O590" si="40">O580</f>
        <v>45777</v>
      </c>
      <c r="P581" s="702"/>
      <c r="Q581" s="702"/>
      <c r="R581" s="690" cm="1">
        <f t="array" ref="R581">INDEX(verificare!$AT$4:$CC$26,VLOOKUP($AA$16,verificare!$AR$4:$AS$26,2,FALSE),A581)</f>
        <v>348</v>
      </c>
      <c r="S581" s="690"/>
      <c r="T581" s="690"/>
      <c r="U581" s="690"/>
      <c r="V581" s="658" t="s">
        <v>727</v>
      </c>
      <c r="W581" s="658"/>
      <c r="X581" s="691">
        <f>HLOOKUP(VLOOKUP($AA$16,'Date SPV'!$B:$F,5,FALSE),'Preturi si tarife'!$C$2:$J$39,A581+2,FALSE)</f>
        <v>0.14660000000000001</v>
      </c>
      <c r="Y581" s="692"/>
      <c r="Z581" s="692"/>
      <c r="AA581" s="693"/>
      <c r="AB581" s="690">
        <f t="shared" si="32"/>
        <v>51.02</v>
      </c>
      <c r="AC581" s="690"/>
      <c r="AD581" s="690"/>
      <c r="AE581" s="690"/>
      <c r="AF581" s="690">
        <f t="shared" si="33"/>
        <v>9.69</v>
      </c>
      <c r="AG581" s="690"/>
      <c r="AH581" s="690"/>
      <c r="AI581" s="690"/>
      <c r="AJ581" s="690">
        <f t="shared" si="34"/>
        <v>60.71</v>
      </c>
      <c r="AK581" s="690"/>
      <c r="AL581" s="690"/>
      <c r="AM581" s="690"/>
    </row>
    <row r="582" spans="1:39" ht="30.95" customHeight="1">
      <c r="A582" s="65">
        <f t="shared" si="35"/>
        <v>21</v>
      </c>
      <c r="B582" s="699" t="s">
        <v>101</v>
      </c>
      <c r="C582" s="700"/>
      <c r="D582" s="700"/>
      <c r="E582" s="700"/>
      <c r="F582" s="700"/>
      <c r="G582" s="700"/>
      <c r="H582" s="700"/>
      <c r="I582" s="700"/>
      <c r="J582" s="700"/>
      <c r="K582" s="701"/>
      <c r="L582" s="702">
        <f t="shared" ref="L582:L590" si="41">L581</f>
        <v>45748</v>
      </c>
      <c r="M582" s="702"/>
      <c r="N582" s="702"/>
      <c r="O582" s="702">
        <f t="shared" si="40"/>
        <v>45777</v>
      </c>
      <c r="P582" s="702"/>
      <c r="Q582" s="702"/>
      <c r="R582" s="690" cm="1">
        <f t="array" ref="R582">INDEX(verificare!$AT$4:$CC$26,VLOOKUP($AA$16,verificare!$AR$4:$AS$26,2,FALSE),A582)</f>
        <v>125</v>
      </c>
      <c r="S582" s="690"/>
      <c r="T582" s="690"/>
      <c r="U582" s="690"/>
      <c r="V582" s="658" t="s">
        <v>727</v>
      </c>
      <c r="W582" s="658"/>
      <c r="X582" s="691">
        <f>HLOOKUP(VLOOKUP($AA$16,'Date SPV'!$B:$F,5,FALSE),'Preturi si tarife'!$C$2:$J$39,A582+2,FALSE)</f>
        <v>0.43980000000000002</v>
      </c>
      <c r="Y582" s="692"/>
      <c r="Z582" s="692"/>
      <c r="AA582" s="693"/>
      <c r="AB582" s="690">
        <f t="shared" si="32"/>
        <v>54.98</v>
      </c>
      <c r="AC582" s="690"/>
      <c r="AD582" s="690"/>
      <c r="AE582" s="690"/>
      <c r="AF582" s="690">
        <f t="shared" si="33"/>
        <v>10.45</v>
      </c>
      <c r="AG582" s="690"/>
      <c r="AH582" s="690"/>
      <c r="AI582" s="690"/>
      <c r="AJ582" s="690">
        <f t="shared" si="34"/>
        <v>65.429999999999993</v>
      </c>
      <c r="AK582" s="690"/>
      <c r="AL582" s="690"/>
      <c r="AM582" s="690"/>
    </row>
    <row r="583" spans="1:39" ht="15.95" customHeight="1">
      <c r="A583" s="65">
        <f t="shared" si="35"/>
        <v>22</v>
      </c>
      <c r="B583" s="699" t="s">
        <v>869</v>
      </c>
      <c r="C583" s="700"/>
      <c r="D583" s="700"/>
      <c r="E583" s="700"/>
      <c r="F583" s="700"/>
      <c r="G583" s="700"/>
      <c r="H583" s="700"/>
      <c r="I583" s="700"/>
      <c r="J583" s="700"/>
      <c r="K583" s="701"/>
      <c r="L583" s="702">
        <f t="shared" si="41"/>
        <v>45748</v>
      </c>
      <c r="M583" s="702"/>
      <c r="N583" s="702"/>
      <c r="O583" s="702">
        <f t="shared" si="40"/>
        <v>45777</v>
      </c>
      <c r="P583" s="702"/>
      <c r="Q583" s="702"/>
      <c r="R583" s="690" cm="1">
        <f t="array" ref="R583">INDEX(verificare!$AT$4:$CC$26,VLOOKUP($AA$16,verificare!$AR$4:$AS$26,2,FALSE),A583)</f>
        <v>0</v>
      </c>
      <c r="S583" s="690"/>
      <c r="T583" s="690"/>
      <c r="U583" s="690"/>
      <c r="V583" s="658" t="s">
        <v>446</v>
      </c>
      <c r="W583" s="658"/>
      <c r="X583" s="691">
        <f>HLOOKUP(VLOOKUP($AA$16,'Date SPV'!$B:$F,5,FALSE),'Preturi si tarife'!$C$2:$J$39,A583+2,FALSE)</f>
        <v>8.6180000000000007E-2</v>
      </c>
      <c r="Y583" s="692"/>
      <c r="Z583" s="692"/>
      <c r="AA583" s="693"/>
      <c r="AB583" s="690">
        <f t="shared" si="32"/>
        <v>0</v>
      </c>
      <c r="AC583" s="690"/>
      <c r="AD583" s="690"/>
      <c r="AE583" s="690"/>
      <c r="AF583" s="690">
        <f t="shared" si="33"/>
        <v>0</v>
      </c>
      <c r="AG583" s="690"/>
      <c r="AH583" s="690"/>
      <c r="AI583" s="690"/>
      <c r="AJ583" s="690">
        <f t="shared" si="34"/>
        <v>0</v>
      </c>
      <c r="AK583" s="690"/>
      <c r="AL583" s="690"/>
      <c r="AM583" s="690"/>
    </row>
    <row r="584" spans="1:39" ht="15.95" customHeight="1">
      <c r="A584" s="65">
        <f t="shared" si="35"/>
        <v>23</v>
      </c>
      <c r="B584" s="699" t="s">
        <v>758</v>
      </c>
      <c r="C584" s="700"/>
      <c r="D584" s="700"/>
      <c r="E584" s="700"/>
      <c r="F584" s="700"/>
      <c r="G584" s="700"/>
      <c r="H584" s="700"/>
      <c r="I584" s="700"/>
      <c r="J584" s="700"/>
      <c r="K584" s="701"/>
      <c r="L584" s="702">
        <f t="shared" si="41"/>
        <v>45748</v>
      </c>
      <c r="M584" s="702"/>
      <c r="N584" s="702"/>
      <c r="O584" s="702">
        <f t="shared" si="40"/>
        <v>45777</v>
      </c>
      <c r="P584" s="702"/>
      <c r="Q584" s="702"/>
      <c r="R584" s="690" cm="1">
        <f t="array" ref="R584">INDEX(verificare!$AT$4:$CC$26,VLOOKUP($AA$16,verificare!$AR$4:$AS$26,2,FALSE),A584)</f>
        <v>0</v>
      </c>
      <c r="S584" s="690"/>
      <c r="T584" s="690"/>
      <c r="U584" s="690"/>
      <c r="V584" s="658" t="s">
        <v>446</v>
      </c>
      <c r="W584" s="658"/>
      <c r="X584" s="691">
        <f>HLOOKUP(VLOOKUP($AA$16,'Date SPV'!$B:$F,5,FALSE),'Preturi si tarife'!$C$2:$J$39,A584+2,FALSE)</f>
        <v>0.2079</v>
      </c>
      <c r="Y584" s="692"/>
      <c r="Z584" s="692"/>
      <c r="AA584" s="693"/>
      <c r="AB584" s="690">
        <f t="shared" si="32"/>
        <v>0</v>
      </c>
      <c r="AC584" s="690"/>
      <c r="AD584" s="690"/>
      <c r="AE584" s="690"/>
      <c r="AF584" s="690">
        <f t="shared" si="33"/>
        <v>0</v>
      </c>
      <c r="AG584" s="690"/>
      <c r="AH584" s="690"/>
      <c r="AI584" s="690"/>
      <c r="AJ584" s="690">
        <f t="shared" si="34"/>
        <v>0</v>
      </c>
      <c r="AK584" s="690"/>
      <c r="AL584" s="690"/>
      <c r="AM584" s="690"/>
    </row>
    <row r="585" spans="1:39" ht="30.95" customHeight="1">
      <c r="A585" s="65">
        <f t="shared" si="35"/>
        <v>24</v>
      </c>
      <c r="B585" s="699" t="s">
        <v>102</v>
      </c>
      <c r="C585" s="700"/>
      <c r="D585" s="700"/>
      <c r="E585" s="700"/>
      <c r="F585" s="700"/>
      <c r="G585" s="700"/>
      <c r="H585" s="700"/>
      <c r="I585" s="700"/>
      <c r="J585" s="700"/>
      <c r="K585" s="701"/>
      <c r="L585" s="702">
        <f t="shared" si="41"/>
        <v>45748</v>
      </c>
      <c r="M585" s="702"/>
      <c r="N585" s="702"/>
      <c r="O585" s="702">
        <f t="shared" si="40"/>
        <v>45777</v>
      </c>
      <c r="P585" s="702"/>
      <c r="Q585" s="702"/>
      <c r="R585" s="690" cm="1">
        <f t="array" ref="R585">INDEX(verificare!$AT$4:$CC$26,VLOOKUP($AA$16,verificare!$AR$4:$AS$26,2,FALSE),A585)</f>
        <v>0</v>
      </c>
      <c r="S585" s="690"/>
      <c r="T585" s="690"/>
      <c r="U585" s="690"/>
      <c r="V585" s="658" t="s">
        <v>446</v>
      </c>
      <c r="W585" s="658"/>
      <c r="X585" s="691">
        <f>HLOOKUP(VLOOKUP($AA$16,'Date SPV'!$B:$F,5,FALSE),'Preturi si tarife'!$C$2:$J$39,A585+2,FALSE)</f>
        <v>1.1509999999999999E-2</v>
      </c>
      <c r="Y585" s="692"/>
      <c r="Z585" s="692"/>
      <c r="AA585" s="693"/>
      <c r="AB585" s="690">
        <f t="shared" si="32"/>
        <v>0</v>
      </c>
      <c r="AC585" s="690"/>
      <c r="AD585" s="690"/>
      <c r="AE585" s="690"/>
      <c r="AF585" s="690">
        <f t="shared" si="33"/>
        <v>0</v>
      </c>
      <c r="AG585" s="690"/>
      <c r="AH585" s="690"/>
      <c r="AI585" s="690"/>
      <c r="AJ585" s="690">
        <f t="shared" si="34"/>
        <v>0</v>
      </c>
      <c r="AK585" s="690"/>
      <c r="AL585" s="690"/>
      <c r="AM585" s="690"/>
    </row>
    <row r="586" spans="1:39" ht="30.95" customHeight="1">
      <c r="A586" s="65">
        <f t="shared" si="35"/>
        <v>25</v>
      </c>
      <c r="B586" s="699" t="s">
        <v>103</v>
      </c>
      <c r="C586" s="700"/>
      <c r="D586" s="700"/>
      <c r="E586" s="700"/>
      <c r="F586" s="700"/>
      <c r="G586" s="700"/>
      <c r="H586" s="700"/>
      <c r="I586" s="700"/>
      <c r="J586" s="700"/>
      <c r="K586" s="701"/>
      <c r="L586" s="702">
        <f t="shared" si="41"/>
        <v>45748</v>
      </c>
      <c r="M586" s="702"/>
      <c r="N586" s="702"/>
      <c r="O586" s="702">
        <f t="shared" si="40"/>
        <v>45777</v>
      </c>
      <c r="P586" s="702"/>
      <c r="Q586" s="702"/>
      <c r="R586" s="690" cm="1">
        <f t="array" ref="R586">INDEX(verificare!$AT$4:$CC$26,VLOOKUP($AA$16,verificare!$AR$4:$AS$26,2,FALSE),A586)</f>
        <v>0</v>
      </c>
      <c r="S586" s="690"/>
      <c r="T586" s="690"/>
      <c r="U586" s="690"/>
      <c r="V586" s="658" t="s">
        <v>446</v>
      </c>
      <c r="W586" s="658"/>
      <c r="X586" s="691">
        <f>HLOOKUP(VLOOKUP($AA$16,'Date SPV'!$B:$F,5,FALSE),'Preturi si tarife'!$C$2:$J$39,A586+2,FALSE)</f>
        <v>3.3030000000000004E-2</v>
      </c>
      <c r="Y586" s="692"/>
      <c r="Z586" s="692"/>
      <c r="AA586" s="693"/>
      <c r="AB586" s="690">
        <f t="shared" si="32"/>
        <v>0</v>
      </c>
      <c r="AC586" s="690"/>
      <c r="AD586" s="690"/>
      <c r="AE586" s="690"/>
      <c r="AF586" s="690">
        <f t="shared" si="33"/>
        <v>0</v>
      </c>
      <c r="AG586" s="690"/>
      <c r="AH586" s="690"/>
      <c r="AI586" s="690"/>
      <c r="AJ586" s="690">
        <f t="shared" si="34"/>
        <v>0</v>
      </c>
      <c r="AK586" s="690"/>
      <c r="AL586" s="690"/>
      <c r="AM586" s="690"/>
    </row>
    <row r="587" spans="1:39" ht="30.95" customHeight="1">
      <c r="A587" s="65">
        <f t="shared" si="35"/>
        <v>26</v>
      </c>
      <c r="B587" s="699" t="s">
        <v>104</v>
      </c>
      <c r="C587" s="700"/>
      <c r="D587" s="700"/>
      <c r="E587" s="700"/>
      <c r="F587" s="700"/>
      <c r="G587" s="700"/>
      <c r="H587" s="700"/>
      <c r="I587" s="700"/>
      <c r="J587" s="700"/>
      <c r="K587" s="701"/>
      <c r="L587" s="702">
        <f t="shared" si="41"/>
        <v>45748</v>
      </c>
      <c r="M587" s="702"/>
      <c r="N587" s="702"/>
      <c r="O587" s="702">
        <f t="shared" si="40"/>
        <v>45777</v>
      </c>
      <c r="P587" s="702"/>
      <c r="Q587" s="702"/>
      <c r="R587" s="690" cm="1">
        <f t="array" ref="R587">INDEX(verificare!$AT$4:$CC$26,VLOOKUP($AA$16,verificare!$AR$4:$AS$26,2,FALSE),A587)</f>
        <v>0</v>
      </c>
      <c r="S587" s="690"/>
      <c r="T587" s="690"/>
      <c r="U587" s="690"/>
      <c r="V587" s="658" t="s">
        <v>446</v>
      </c>
      <c r="W587" s="658"/>
      <c r="X587" s="691">
        <f>HLOOKUP(VLOOKUP($AA$16,'Date SPV'!$B:$F,5,FALSE),'Preturi si tarife'!$C$2:$J$39,A587+2,FALSE)</f>
        <v>3.29E-3</v>
      </c>
      <c r="Y587" s="692"/>
      <c r="Z587" s="692"/>
      <c r="AA587" s="693"/>
      <c r="AB587" s="690">
        <f t="shared" si="32"/>
        <v>0</v>
      </c>
      <c r="AC587" s="690"/>
      <c r="AD587" s="690"/>
      <c r="AE587" s="690"/>
      <c r="AF587" s="690">
        <f t="shared" si="33"/>
        <v>0</v>
      </c>
      <c r="AG587" s="690"/>
      <c r="AH587" s="690"/>
      <c r="AI587" s="690"/>
      <c r="AJ587" s="690">
        <f t="shared" si="34"/>
        <v>0</v>
      </c>
      <c r="AK587" s="690"/>
      <c r="AL587" s="690"/>
      <c r="AM587" s="690"/>
    </row>
    <row r="588" spans="1:39" ht="15.95" customHeight="1">
      <c r="A588" s="65">
        <f t="shared" si="35"/>
        <v>27</v>
      </c>
      <c r="B588" s="699" t="s">
        <v>105</v>
      </c>
      <c r="C588" s="700"/>
      <c r="D588" s="700"/>
      <c r="E588" s="700"/>
      <c r="F588" s="700"/>
      <c r="G588" s="700"/>
      <c r="H588" s="700"/>
      <c r="I588" s="700"/>
      <c r="J588" s="700"/>
      <c r="K588" s="701"/>
      <c r="L588" s="702">
        <f t="shared" si="41"/>
        <v>45748</v>
      </c>
      <c r="M588" s="702"/>
      <c r="N588" s="702"/>
      <c r="O588" s="702">
        <f t="shared" si="40"/>
        <v>45777</v>
      </c>
      <c r="P588" s="702"/>
      <c r="Q588" s="702"/>
      <c r="R588" s="690" cm="1">
        <f t="array" ref="R588">INDEX(verificare!$AT$4:$CC$26,VLOOKUP($AA$16,verificare!$AR$4:$AS$26,2,FALSE),A588)</f>
        <v>0</v>
      </c>
      <c r="S588" s="690"/>
      <c r="T588" s="690"/>
      <c r="U588" s="690"/>
      <c r="V588" s="658" t="s">
        <v>446</v>
      </c>
      <c r="W588" s="658"/>
      <c r="X588" s="691">
        <f>HLOOKUP(VLOOKUP($AA$16,'Date SPV'!$B:$F,5,FALSE),'Preturi si tarife'!$C$2:$J$39,A588+2,FALSE)</f>
        <v>3.5000000000000001E-3</v>
      </c>
      <c r="Y588" s="692"/>
      <c r="Z588" s="692"/>
      <c r="AA588" s="693"/>
      <c r="AB588" s="690">
        <f t="shared" si="32"/>
        <v>0</v>
      </c>
      <c r="AC588" s="690"/>
      <c r="AD588" s="690"/>
      <c r="AE588" s="690"/>
      <c r="AF588" s="690">
        <f t="shared" si="33"/>
        <v>0</v>
      </c>
      <c r="AG588" s="690"/>
      <c r="AH588" s="690"/>
      <c r="AI588" s="690"/>
      <c r="AJ588" s="690">
        <f t="shared" si="34"/>
        <v>0</v>
      </c>
      <c r="AK588" s="690"/>
      <c r="AL588" s="690"/>
      <c r="AM588" s="690"/>
    </row>
    <row r="589" spans="1:39" ht="15.95" customHeight="1">
      <c r="A589" s="65">
        <f t="shared" si="35"/>
        <v>28</v>
      </c>
      <c r="B589" s="699" t="s">
        <v>106</v>
      </c>
      <c r="C589" s="700"/>
      <c r="D589" s="700"/>
      <c r="E589" s="700"/>
      <c r="F589" s="700"/>
      <c r="G589" s="700"/>
      <c r="H589" s="700"/>
      <c r="I589" s="700"/>
      <c r="J589" s="700"/>
      <c r="K589" s="701"/>
      <c r="L589" s="702">
        <f t="shared" si="41"/>
        <v>45748</v>
      </c>
      <c r="M589" s="702"/>
      <c r="N589" s="702"/>
      <c r="O589" s="702">
        <f t="shared" si="40"/>
        <v>45777</v>
      </c>
      <c r="P589" s="702"/>
      <c r="Q589" s="702"/>
      <c r="R589" s="690" cm="1">
        <f t="array" ref="R589">INDEX(verificare!$AT$4:$CC$26,VLOOKUP($AA$16,verificare!$AR$4:$AS$26,2,FALSE),A589)</f>
        <v>0</v>
      </c>
      <c r="S589" s="690"/>
      <c r="T589" s="690"/>
      <c r="U589" s="690"/>
      <c r="V589" s="658" t="s">
        <v>446</v>
      </c>
      <c r="W589" s="658"/>
      <c r="X589" s="691">
        <f>HLOOKUP(VLOOKUP($AA$16,'Date SPV'!$B:$F,5,FALSE),'Preturi si tarife'!$C$2:$J$39,A589+2,FALSE)</f>
        <v>7.2541599999999998E-2</v>
      </c>
      <c r="Y589" s="692"/>
      <c r="Z589" s="692"/>
      <c r="AA589" s="693"/>
      <c r="AB589" s="690">
        <f t="shared" si="32"/>
        <v>0</v>
      </c>
      <c r="AC589" s="690"/>
      <c r="AD589" s="690"/>
      <c r="AE589" s="690"/>
      <c r="AF589" s="690">
        <f t="shared" si="33"/>
        <v>0</v>
      </c>
      <c r="AG589" s="690"/>
      <c r="AH589" s="690"/>
      <c r="AI589" s="690"/>
      <c r="AJ589" s="690">
        <f t="shared" si="34"/>
        <v>0</v>
      </c>
      <c r="AK589" s="690"/>
      <c r="AL589" s="690"/>
      <c r="AM589" s="690"/>
    </row>
    <row r="590" spans="1:39" ht="30.95" customHeight="1">
      <c r="A590" s="65">
        <f t="shared" si="35"/>
        <v>29</v>
      </c>
      <c r="B590" s="699" t="s">
        <v>1316</v>
      </c>
      <c r="C590" s="700"/>
      <c r="D590" s="700"/>
      <c r="E590" s="700"/>
      <c r="F590" s="700"/>
      <c r="G590" s="700"/>
      <c r="H590" s="700"/>
      <c r="I590" s="700"/>
      <c r="J590" s="700"/>
      <c r="K590" s="701"/>
      <c r="L590" s="702">
        <f t="shared" si="41"/>
        <v>45748</v>
      </c>
      <c r="M590" s="702"/>
      <c r="N590" s="702"/>
      <c r="O590" s="702">
        <f t="shared" si="40"/>
        <v>45777</v>
      </c>
      <c r="P590" s="702"/>
      <c r="Q590" s="702"/>
      <c r="R590" s="690" cm="1">
        <f t="array" ref="R590">INDEX(verificare!$AT$4:$CC$26,VLOOKUP($AA$16,verificare!$AR$4:$AS$26,2,FALSE),A590)</f>
        <v>0</v>
      </c>
      <c r="S590" s="690"/>
      <c r="T590" s="690"/>
      <c r="U590" s="690"/>
      <c r="V590" s="658" t="s">
        <v>446</v>
      </c>
      <c r="W590" s="658"/>
      <c r="X590" s="691">
        <f>HLOOKUP(VLOOKUP($AA$16,'Date SPV'!$B:$F,5,FALSE),'Preturi si tarife'!$C$2:$J$39,A590+2,FALSE)</f>
        <v>2.0599999999999999E-4</v>
      </c>
      <c r="Y590" s="692"/>
      <c r="Z590" s="692"/>
      <c r="AA590" s="693"/>
      <c r="AB590" s="690">
        <f t="shared" si="32"/>
        <v>0</v>
      </c>
      <c r="AC590" s="690"/>
      <c r="AD590" s="690"/>
      <c r="AE590" s="690"/>
      <c r="AF590" s="690">
        <f t="shared" si="33"/>
        <v>0</v>
      </c>
      <c r="AG590" s="690"/>
      <c r="AH590" s="690"/>
      <c r="AI590" s="690"/>
      <c r="AJ590" s="690">
        <f t="shared" si="34"/>
        <v>0</v>
      </c>
      <c r="AK590" s="690"/>
      <c r="AL590" s="690"/>
      <c r="AM590" s="690"/>
    </row>
    <row r="591" spans="1:39" ht="30.95" customHeight="1">
      <c r="A591" s="65">
        <f t="shared" si="35"/>
        <v>30</v>
      </c>
      <c r="B591" s="699" t="s">
        <v>107</v>
      </c>
      <c r="C591" s="700"/>
      <c r="D591" s="700"/>
      <c r="E591" s="700"/>
      <c r="F591" s="700"/>
      <c r="G591" s="700"/>
      <c r="H591" s="700"/>
      <c r="I591" s="700"/>
      <c r="J591" s="700"/>
      <c r="K591" s="701"/>
      <c r="L591" s="702">
        <f>L589</f>
        <v>45748</v>
      </c>
      <c r="M591" s="702"/>
      <c r="N591" s="702"/>
      <c r="O591" s="702">
        <f>O589</f>
        <v>45777</v>
      </c>
      <c r="P591" s="702"/>
      <c r="Q591" s="702"/>
      <c r="R591" s="690" cm="1">
        <f t="array" ref="R591">INDEX(verificare!$AT$4:$CC$26,VLOOKUP($AA$16,verificare!$AR$4:$AS$26,2,FALSE),A591)</f>
        <v>0</v>
      </c>
      <c r="S591" s="690"/>
      <c r="T591" s="690"/>
      <c r="U591" s="690"/>
      <c r="V591" s="658" t="s">
        <v>446</v>
      </c>
      <c r="W591" s="658"/>
      <c r="X591" s="691">
        <f>HLOOKUP(VLOOKUP($AA$16,'Date SPV'!$B:$F,5,FALSE),'Preturi si tarife'!$C$2:$J$39,A591+2,FALSE)</f>
        <v>0</v>
      </c>
      <c r="Y591" s="692"/>
      <c r="Z591" s="692"/>
      <c r="AA591" s="693"/>
      <c r="AB591" s="690">
        <f t="shared" si="32"/>
        <v>0</v>
      </c>
      <c r="AC591" s="690"/>
      <c r="AD591" s="690"/>
      <c r="AE591" s="690"/>
      <c r="AF591" s="690">
        <f t="shared" si="33"/>
        <v>0</v>
      </c>
      <c r="AG591" s="690"/>
      <c r="AH591" s="690"/>
      <c r="AI591" s="690"/>
      <c r="AJ591" s="690">
        <f t="shared" si="34"/>
        <v>0</v>
      </c>
      <c r="AK591" s="690"/>
      <c r="AL591" s="690"/>
      <c r="AM591" s="690"/>
    </row>
    <row r="592" spans="1:39" ht="15.95" customHeight="1">
      <c r="A592" s="65">
        <f t="shared" si="35"/>
        <v>31</v>
      </c>
      <c r="B592" s="699" t="s">
        <v>108</v>
      </c>
      <c r="C592" s="700"/>
      <c r="D592" s="700"/>
      <c r="E592" s="700"/>
      <c r="F592" s="700"/>
      <c r="G592" s="700"/>
      <c r="H592" s="700"/>
      <c r="I592" s="700"/>
      <c r="J592" s="700"/>
      <c r="K592" s="701"/>
      <c r="L592" s="702">
        <f t="shared" ref="L592:L597" si="42">L591</f>
        <v>45748</v>
      </c>
      <c r="M592" s="702"/>
      <c r="N592" s="702"/>
      <c r="O592" s="702">
        <f t="shared" ref="O592:O597" si="43">O591</f>
        <v>45777</v>
      </c>
      <c r="P592" s="702"/>
      <c r="Q592" s="702"/>
      <c r="R592" s="690" cm="1">
        <f t="array" ref="R592">INDEX(verificare!$AT$4:$CC$26,VLOOKUP($AA$16,verificare!$AR$4:$AS$26,2,FALSE),A592)</f>
        <v>0</v>
      </c>
      <c r="S592" s="690"/>
      <c r="T592" s="690"/>
      <c r="U592" s="690"/>
      <c r="V592" s="658" t="s">
        <v>446</v>
      </c>
      <c r="W592" s="658"/>
      <c r="X592" s="691">
        <f>HLOOKUP(VLOOKUP($AA$16,'Date SPV'!$B:$F,5,FALSE),'Preturi si tarife'!$C$2:$J$39,A592+2,FALSE)</f>
        <v>1.1599999999999999E-2</v>
      </c>
      <c r="Y592" s="692"/>
      <c r="Z592" s="692"/>
      <c r="AA592" s="693"/>
      <c r="AB592" s="690">
        <f t="shared" si="32"/>
        <v>0</v>
      </c>
      <c r="AC592" s="690"/>
      <c r="AD592" s="690"/>
      <c r="AE592" s="690"/>
      <c r="AF592" s="690">
        <f t="shared" si="33"/>
        <v>0</v>
      </c>
      <c r="AG592" s="690"/>
      <c r="AH592" s="690"/>
      <c r="AI592" s="690"/>
      <c r="AJ592" s="690">
        <f t="shared" si="34"/>
        <v>0</v>
      </c>
      <c r="AK592" s="690"/>
      <c r="AL592" s="690"/>
      <c r="AM592" s="690"/>
    </row>
    <row r="593" spans="1:39" ht="15.95" customHeight="1">
      <c r="A593" s="65">
        <f t="shared" si="35"/>
        <v>32</v>
      </c>
      <c r="B593" s="699" t="s">
        <v>109</v>
      </c>
      <c r="C593" s="700"/>
      <c r="D593" s="700"/>
      <c r="E593" s="700"/>
      <c r="F593" s="700"/>
      <c r="G593" s="700"/>
      <c r="H593" s="700"/>
      <c r="I593" s="700"/>
      <c r="J593" s="700"/>
      <c r="K593" s="701"/>
      <c r="L593" s="702">
        <f t="shared" si="42"/>
        <v>45748</v>
      </c>
      <c r="M593" s="702"/>
      <c r="N593" s="702"/>
      <c r="O593" s="702">
        <f t="shared" si="43"/>
        <v>45777</v>
      </c>
      <c r="P593" s="702"/>
      <c r="Q593" s="702"/>
      <c r="R593" s="690" cm="1">
        <f t="array" ref="R593">INDEX(verificare!$AT$4:$CC$26,VLOOKUP($AA$16,verificare!$AR$4:$AS$26,2,FALSE),A593)</f>
        <v>0</v>
      </c>
      <c r="S593" s="690"/>
      <c r="T593" s="690"/>
      <c r="U593" s="690"/>
      <c r="V593" s="724" t="s">
        <v>446</v>
      </c>
      <c r="W593" s="725"/>
      <c r="X593" s="691">
        <f>HLOOKUP(VLOOKUP($AA$16,'Date SPV'!$B:$F,5,FALSE),'Preturi si tarife'!$C$2:$J$39,A593+2,FALSE)</f>
        <v>8.3199999999999996E-2</v>
      </c>
      <c r="Y593" s="692"/>
      <c r="Z593" s="692"/>
      <c r="AA593" s="693"/>
      <c r="AB593" s="690">
        <f t="shared" si="32"/>
        <v>0</v>
      </c>
      <c r="AC593" s="690"/>
      <c r="AD593" s="690"/>
      <c r="AE593" s="690"/>
      <c r="AF593" s="690">
        <f t="shared" si="33"/>
        <v>0</v>
      </c>
      <c r="AG593" s="690"/>
      <c r="AH593" s="690"/>
      <c r="AI593" s="690"/>
      <c r="AJ593" s="690">
        <f t="shared" si="34"/>
        <v>0</v>
      </c>
      <c r="AK593" s="690"/>
      <c r="AL593" s="690"/>
      <c r="AM593" s="690"/>
    </row>
    <row r="594" spans="1:39" ht="30.95" customHeight="1">
      <c r="A594" s="65">
        <f t="shared" si="35"/>
        <v>33</v>
      </c>
      <c r="B594" s="699" t="s">
        <v>110</v>
      </c>
      <c r="C594" s="700"/>
      <c r="D594" s="700"/>
      <c r="E594" s="700"/>
      <c r="F594" s="700"/>
      <c r="G594" s="700"/>
      <c r="H594" s="700"/>
      <c r="I594" s="700"/>
      <c r="J594" s="700"/>
      <c r="K594" s="701"/>
      <c r="L594" s="702">
        <f t="shared" si="42"/>
        <v>45748</v>
      </c>
      <c r="M594" s="702"/>
      <c r="N594" s="702"/>
      <c r="O594" s="702">
        <f t="shared" si="43"/>
        <v>45777</v>
      </c>
      <c r="P594" s="702"/>
      <c r="Q594" s="702"/>
      <c r="R594" s="690" cm="1">
        <f t="array" ref="R594">INDEX(verificare!$AT$4:$CC$26,VLOOKUP($AA$16,verificare!$AR$4:$AS$26,2,FALSE),A594)</f>
        <v>0</v>
      </c>
      <c r="S594" s="690"/>
      <c r="T594" s="690"/>
      <c r="U594" s="690"/>
      <c r="V594" s="658" t="s">
        <v>446</v>
      </c>
      <c r="W594" s="658"/>
      <c r="X594" s="691">
        <f>HLOOKUP(VLOOKUP($AA$16,'Date SPV'!$B:$F,5,FALSE),'Preturi si tarife'!$C$2:$J$39,A594+2,FALSE)</f>
        <v>0.90005760000000001</v>
      </c>
      <c r="Y594" s="692"/>
      <c r="Z594" s="692"/>
      <c r="AA594" s="693"/>
      <c r="AB594" s="690">
        <f t="shared" si="32"/>
        <v>0</v>
      </c>
      <c r="AC594" s="690"/>
      <c r="AD594" s="690"/>
      <c r="AE594" s="690"/>
      <c r="AF594" s="690">
        <f t="shared" si="33"/>
        <v>0</v>
      </c>
      <c r="AG594" s="690"/>
      <c r="AH594" s="690"/>
      <c r="AI594" s="690"/>
      <c r="AJ594" s="690">
        <f t="shared" si="34"/>
        <v>0</v>
      </c>
      <c r="AK594" s="690"/>
      <c r="AL594" s="690"/>
      <c r="AM594" s="690"/>
    </row>
    <row r="595" spans="1:39" ht="30.95" customHeight="1">
      <c r="A595" s="65">
        <f t="shared" si="35"/>
        <v>34</v>
      </c>
      <c r="B595" s="699" t="s">
        <v>111</v>
      </c>
      <c r="C595" s="700"/>
      <c r="D595" s="700"/>
      <c r="E595" s="700"/>
      <c r="F595" s="700"/>
      <c r="G595" s="700"/>
      <c r="H595" s="700"/>
      <c r="I595" s="700"/>
      <c r="J595" s="700"/>
      <c r="K595" s="701"/>
      <c r="L595" s="702">
        <f t="shared" si="42"/>
        <v>45748</v>
      </c>
      <c r="M595" s="702"/>
      <c r="N595" s="702"/>
      <c r="O595" s="702">
        <f t="shared" si="43"/>
        <v>45777</v>
      </c>
      <c r="P595" s="702"/>
      <c r="Q595" s="702"/>
      <c r="R595" s="690" cm="1">
        <f t="array" ref="R595">INDEX(verificare!$AT$4:$CC$26,VLOOKUP($AA$16,verificare!$AR$4:$AS$26,2,FALSE),A595)</f>
        <v>0</v>
      </c>
      <c r="S595" s="690"/>
      <c r="T595" s="690"/>
      <c r="U595" s="690"/>
      <c r="V595" s="658" t="s">
        <v>446</v>
      </c>
      <c r="W595" s="658"/>
      <c r="X595" s="691">
        <f>HLOOKUP(VLOOKUP($AA$16,'Date SPV'!$B:$F,5,FALSE),'Preturi si tarife'!$C$2:$J$39,A595+2,FALSE)</f>
        <v>0.80525760000000002</v>
      </c>
      <c r="Y595" s="692"/>
      <c r="Z595" s="692"/>
      <c r="AA595" s="693"/>
      <c r="AB595" s="690">
        <f t="shared" si="32"/>
        <v>0</v>
      </c>
      <c r="AC595" s="690"/>
      <c r="AD595" s="690"/>
      <c r="AE595" s="690"/>
      <c r="AF595" s="690">
        <f t="shared" si="33"/>
        <v>0</v>
      </c>
      <c r="AG595" s="690"/>
      <c r="AH595" s="690"/>
      <c r="AI595" s="690"/>
      <c r="AJ595" s="690">
        <f t="shared" si="34"/>
        <v>0</v>
      </c>
      <c r="AK595" s="690"/>
      <c r="AL595" s="690"/>
      <c r="AM595" s="690"/>
    </row>
    <row r="596" spans="1:39" ht="15.95" customHeight="1">
      <c r="A596" s="65">
        <f t="shared" si="35"/>
        <v>35</v>
      </c>
      <c r="B596" s="699" t="s">
        <v>112</v>
      </c>
      <c r="C596" s="700"/>
      <c r="D596" s="700"/>
      <c r="E596" s="700"/>
      <c r="F596" s="700"/>
      <c r="G596" s="700"/>
      <c r="H596" s="700"/>
      <c r="I596" s="700"/>
      <c r="J596" s="700"/>
      <c r="K596" s="701"/>
      <c r="L596" s="702">
        <f t="shared" si="42"/>
        <v>45748</v>
      </c>
      <c r="M596" s="702"/>
      <c r="N596" s="702"/>
      <c r="O596" s="702">
        <f t="shared" si="43"/>
        <v>45777</v>
      </c>
      <c r="P596" s="702"/>
      <c r="Q596" s="702"/>
      <c r="R596" s="690" cm="1">
        <f t="array" ref="R596">INDEX(verificare!$AT$4:$CC$26,VLOOKUP($AA$16,verificare!$AR$4:$AS$26,2,FALSE),A596)</f>
        <v>0</v>
      </c>
      <c r="S596" s="690"/>
      <c r="T596" s="690"/>
      <c r="U596" s="690"/>
      <c r="V596" s="724" t="s">
        <v>446</v>
      </c>
      <c r="W596" s="725"/>
      <c r="X596" s="691">
        <f>HLOOKUP(VLOOKUP($AA$16,'Date SPV'!$B:$F,5,FALSE),'Preturi si tarife'!$C$2:$J$39,A596+2,FALSE)</f>
        <v>1.1599999999999999E-2</v>
      </c>
      <c r="Y596" s="692"/>
      <c r="Z596" s="692"/>
      <c r="AA596" s="693"/>
      <c r="AB596" s="690">
        <f t="shared" si="32"/>
        <v>0</v>
      </c>
      <c r="AC596" s="690"/>
      <c r="AD596" s="690"/>
      <c r="AE596" s="690"/>
      <c r="AF596" s="690">
        <f t="shared" si="33"/>
        <v>0</v>
      </c>
      <c r="AG596" s="690"/>
      <c r="AH596" s="690"/>
      <c r="AI596" s="690"/>
      <c r="AJ596" s="690">
        <f t="shared" si="34"/>
        <v>0</v>
      </c>
      <c r="AK596" s="690"/>
      <c r="AL596" s="690"/>
      <c r="AM596" s="690"/>
    </row>
    <row r="597" spans="1:39" ht="15.95" customHeight="1">
      <c r="A597" s="65">
        <f t="shared" si="35"/>
        <v>36</v>
      </c>
      <c r="B597" s="699" t="s">
        <v>113</v>
      </c>
      <c r="C597" s="700"/>
      <c r="D597" s="700"/>
      <c r="E597" s="700"/>
      <c r="F597" s="700"/>
      <c r="G597" s="700"/>
      <c r="H597" s="700"/>
      <c r="I597" s="700"/>
      <c r="J597" s="700"/>
      <c r="K597" s="701"/>
      <c r="L597" s="702">
        <f t="shared" si="42"/>
        <v>45748</v>
      </c>
      <c r="M597" s="702"/>
      <c r="N597" s="702"/>
      <c r="O597" s="702">
        <f t="shared" si="43"/>
        <v>45777</v>
      </c>
      <c r="P597" s="702"/>
      <c r="Q597" s="702"/>
      <c r="R597" s="690" cm="1">
        <f t="array" ref="R597">INDEX(verificare!$AT$4:$CC$26,VLOOKUP($AA$16,verificare!$AR$4:$AS$26,2,FALSE),A597)</f>
        <v>0</v>
      </c>
      <c r="S597" s="690"/>
      <c r="T597" s="690"/>
      <c r="U597" s="690"/>
      <c r="V597" s="724" t="s">
        <v>446</v>
      </c>
      <c r="W597" s="725"/>
      <c r="X597" s="691">
        <f>HLOOKUP(VLOOKUP($AA$16,'Date SPV'!$B:$F,5,FALSE),'Preturi si tarife'!$C$2:$J$39,A597+2,FALSE)</f>
        <v>8.3199999999999996E-2</v>
      </c>
      <c r="Y597" s="692"/>
      <c r="Z597" s="692"/>
      <c r="AA597" s="693"/>
      <c r="AB597" s="690">
        <f t="shared" si="32"/>
        <v>0</v>
      </c>
      <c r="AC597" s="690"/>
      <c r="AD597" s="690"/>
      <c r="AE597" s="690"/>
      <c r="AF597" s="690">
        <f t="shared" si="33"/>
        <v>0</v>
      </c>
      <c r="AG597" s="690"/>
      <c r="AH597" s="690"/>
      <c r="AI597" s="690"/>
      <c r="AJ597" s="690">
        <f t="shared" si="34"/>
        <v>0</v>
      </c>
      <c r="AK597" s="690"/>
      <c r="AL597" s="690"/>
      <c r="AM597" s="690"/>
    </row>
    <row r="598" spans="1:39" ht="15.95" customHeight="1">
      <c r="A598" s="65">
        <f t="shared" si="35"/>
        <v>37</v>
      </c>
      <c r="B598" s="699" t="s">
        <v>728</v>
      </c>
      <c r="C598" s="700"/>
      <c r="D598" s="700"/>
      <c r="E598" s="700"/>
      <c r="F598" s="700"/>
      <c r="G598" s="700"/>
      <c r="H598" s="700"/>
      <c r="I598" s="700"/>
      <c r="J598" s="700"/>
      <c r="K598" s="701"/>
      <c r="L598" s="702" t="s">
        <v>69</v>
      </c>
      <c r="M598" s="702"/>
      <c r="N598" s="702"/>
      <c r="O598" s="702" t="s">
        <v>69</v>
      </c>
      <c r="P598" s="702"/>
      <c r="Q598" s="702"/>
      <c r="R598" s="653">
        <v>0</v>
      </c>
      <c r="S598" s="653"/>
      <c r="T598" s="653"/>
      <c r="U598" s="653"/>
      <c r="V598" s="658" t="s">
        <v>69</v>
      </c>
      <c r="W598" s="658"/>
      <c r="X598" s="659" t="s">
        <v>69</v>
      </c>
      <c r="Y598" s="659"/>
      <c r="Z598" s="659"/>
      <c r="AA598" s="659"/>
      <c r="AB598" s="653">
        <v>0</v>
      </c>
      <c r="AC598" s="653"/>
      <c r="AD598" s="653"/>
      <c r="AE598" s="653"/>
      <c r="AF598" s="653">
        <f>ROUND(AB598*19%,2)</f>
        <v>0</v>
      </c>
      <c r="AG598" s="653"/>
      <c r="AH598" s="653"/>
      <c r="AI598" s="653"/>
      <c r="AJ598" s="653">
        <f>AB598+AF598</f>
        <v>0</v>
      </c>
      <c r="AK598" s="653"/>
      <c r="AL598" s="653"/>
      <c r="AM598" s="653"/>
    </row>
    <row r="599" spans="1:39">
      <c r="A599" s="65">
        <f t="shared" si="35"/>
        <v>38</v>
      </c>
      <c r="B599" s="699" t="s">
        <v>729</v>
      </c>
      <c r="C599" s="700"/>
      <c r="D599" s="700"/>
      <c r="E599" s="700"/>
      <c r="F599" s="700"/>
      <c r="G599" s="700"/>
      <c r="H599" s="700"/>
      <c r="I599" s="700"/>
      <c r="J599" s="700"/>
      <c r="K599" s="701"/>
      <c r="L599" s="702" t="s">
        <v>69</v>
      </c>
      <c r="M599" s="702"/>
      <c r="N599" s="702"/>
      <c r="O599" s="702" t="s">
        <v>69</v>
      </c>
      <c r="P599" s="702"/>
      <c r="Q599" s="702"/>
      <c r="R599" s="653">
        <v>0</v>
      </c>
      <c r="S599" s="653"/>
      <c r="T599" s="653"/>
      <c r="U599" s="653"/>
      <c r="V599" s="658" t="s">
        <v>69</v>
      </c>
      <c r="W599" s="658"/>
      <c r="X599" s="659" t="s">
        <v>69</v>
      </c>
      <c r="Y599" s="659"/>
      <c r="Z599" s="659"/>
      <c r="AA599" s="659"/>
      <c r="AB599" s="726">
        <f>SUM(AB562:AE598)</f>
        <v>1113692.3600000001</v>
      </c>
      <c r="AC599" s="726"/>
      <c r="AD599" s="726"/>
      <c r="AE599" s="726"/>
      <c r="AF599" s="726">
        <f>SUM(AF562:AI598)</f>
        <v>211601.54000000004</v>
      </c>
      <c r="AG599" s="726"/>
      <c r="AH599" s="726"/>
      <c r="AI599" s="726"/>
      <c r="AJ599" s="726">
        <f>SUM(AJ562:AM598)</f>
        <v>1325293.9000000001</v>
      </c>
      <c r="AK599" s="726"/>
      <c r="AL599" s="726"/>
      <c r="AM599" s="726"/>
    </row>
  </sheetData>
  <mergeCells count="2125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I65:AJ67"/>
    <mergeCell ref="AK65:AM67"/>
    <mergeCell ref="J66:L66"/>
    <mergeCell ref="J67:L67"/>
    <mergeCell ref="A81:L81"/>
    <mergeCell ref="M81:AH81"/>
    <mergeCell ref="AI81:AM81"/>
    <mergeCell ref="R65:T67"/>
    <mergeCell ref="U65:W67"/>
    <mergeCell ref="X65:Z67"/>
    <mergeCell ref="AA65:AC67"/>
    <mergeCell ref="AD65:AE67"/>
    <mergeCell ref="AF65:AH67"/>
    <mergeCell ref="AA87:AC89"/>
    <mergeCell ref="AD87:AE89"/>
    <mergeCell ref="AF87:AH89"/>
    <mergeCell ref="AI87:AJ89"/>
    <mergeCell ref="AK87:AM89"/>
    <mergeCell ref="J88:L88"/>
    <mergeCell ref="J89:L89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A84:AC86"/>
    <mergeCell ref="AD84:AE86"/>
    <mergeCell ref="AF84:AH86"/>
    <mergeCell ref="AK90:AM92"/>
    <mergeCell ref="J91:L91"/>
    <mergeCell ref="J92:L92"/>
    <mergeCell ref="A93:F95"/>
    <mergeCell ref="G93:I95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A90:F92"/>
    <mergeCell ref="G90:I92"/>
    <mergeCell ref="J90:L90"/>
    <mergeCell ref="M90:N92"/>
    <mergeCell ref="O90:Q92"/>
    <mergeCell ref="R90:T92"/>
    <mergeCell ref="AF96:AH98"/>
    <mergeCell ref="AI96:AJ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J94:L94"/>
    <mergeCell ref="J95:L95"/>
    <mergeCell ref="A96:F98"/>
    <mergeCell ref="G96:I98"/>
    <mergeCell ref="J96:L96"/>
    <mergeCell ref="M96:N98"/>
    <mergeCell ref="X93:Z95"/>
    <mergeCell ref="AA93:AC95"/>
    <mergeCell ref="AD93:AE95"/>
    <mergeCell ref="AF93:AH95"/>
    <mergeCell ref="AI93:AJ95"/>
    <mergeCell ref="AK93:AM95"/>
    <mergeCell ref="AK102:AM104"/>
    <mergeCell ref="J103:L103"/>
    <mergeCell ref="J104:L104"/>
    <mergeCell ref="A105:F107"/>
    <mergeCell ref="G105:I107"/>
    <mergeCell ref="J105:L105"/>
    <mergeCell ref="M105:N107"/>
    <mergeCell ref="O105:Q107"/>
    <mergeCell ref="R105:T107"/>
    <mergeCell ref="U105:W107"/>
    <mergeCell ref="U102:W104"/>
    <mergeCell ref="X102:Z104"/>
    <mergeCell ref="AA102:AC104"/>
    <mergeCell ref="AD102:AE104"/>
    <mergeCell ref="AF102:AH104"/>
    <mergeCell ref="AI102:AJ104"/>
    <mergeCell ref="AI99:AJ101"/>
    <mergeCell ref="AK99:AM101"/>
    <mergeCell ref="J100:L100"/>
    <mergeCell ref="J101:L101"/>
    <mergeCell ref="A102:F104"/>
    <mergeCell ref="G102:I104"/>
    <mergeCell ref="J102:L102"/>
    <mergeCell ref="M102:N104"/>
    <mergeCell ref="O102:Q104"/>
    <mergeCell ref="R102:T104"/>
    <mergeCell ref="R99:T101"/>
    <mergeCell ref="U99:W101"/>
    <mergeCell ref="X99:Z101"/>
    <mergeCell ref="AA99:AC101"/>
    <mergeCell ref="AD99:AE101"/>
    <mergeCell ref="AF99:AH101"/>
    <mergeCell ref="AF108:AH110"/>
    <mergeCell ref="AI108:AJ110"/>
    <mergeCell ref="AK108:AM110"/>
    <mergeCell ref="J109:L109"/>
    <mergeCell ref="J110:L110"/>
    <mergeCell ref="A111:F113"/>
    <mergeCell ref="G111:I113"/>
    <mergeCell ref="J111:L111"/>
    <mergeCell ref="M111:N113"/>
    <mergeCell ref="O111:Q113"/>
    <mergeCell ref="O108:Q110"/>
    <mergeCell ref="R108:T110"/>
    <mergeCell ref="U108:W110"/>
    <mergeCell ref="X108:Z110"/>
    <mergeCell ref="AA108:AC110"/>
    <mergeCell ref="AD108:AE110"/>
    <mergeCell ref="J106:L106"/>
    <mergeCell ref="J107:L107"/>
    <mergeCell ref="A108:F110"/>
    <mergeCell ref="G108:I110"/>
    <mergeCell ref="J108:L108"/>
    <mergeCell ref="M108:N110"/>
    <mergeCell ref="X105:Z107"/>
    <mergeCell ref="AA105:AC107"/>
    <mergeCell ref="AD105:AE107"/>
    <mergeCell ref="AF105:AH107"/>
    <mergeCell ref="AI105:AJ107"/>
    <mergeCell ref="AK105:AM107"/>
    <mergeCell ref="J146:L146"/>
    <mergeCell ref="J147:L147"/>
    <mergeCell ref="R143:T145"/>
    <mergeCell ref="U143:W145"/>
    <mergeCell ref="X143:Z145"/>
    <mergeCell ref="AA143:AC145"/>
    <mergeCell ref="J145:L145"/>
    <mergeCell ref="U140:W142"/>
    <mergeCell ref="X140:Z142"/>
    <mergeCell ref="AA140:AC142"/>
    <mergeCell ref="AD140:AE142"/>
    <mergeCell ref="A137:F139"/>
    <mergeCell ref="G137:I139"/>
    <mergeCell ref="M136:AH136"/>
    <mergeCell ref="J137:L139"/>
    <mergeCell ref="AI111:AJ113"/>
    <mergeCell ref="AK111:AM113"/>
    <mergeCell ref="J112:L112"/>
    <mergeCell ref="J113:L113"/>
    <mergeCell ref="R111:T113"/>
    <mergeCell ref="U111:W113"/>
    <mergeCell ref="X111:Z113"/>
    <mergeCell ref="AA111:AC113"/>
    <mergeCell ref="AD111:AE113"/>
    <mergeCell ref="AF111:AH113"/>
    <mergeCell ref="AF140:AH142"/>
    <mergeCell ref="AI140:AJ142"/>
    <mergeCell ref="AK140:AM142"/>
    <mergeCell ref="J141:L141"/>
    <mergeCell ref="J142:L142"/>
    <mergeCell ref="A143:F145"/>
    <mergeCell ref="G143:I145"/>
    <mergeCell ref="A188:L188"/>
    <mergeCell ref="M188:AH188"/>
    <mergeCell ref="AI188:AM189"/>
    <mergeCell ref="A189:L189"/>
    <mergeCell ref="M189:AH189"/>
    <mergeCell ref="A190:F192"/>
    <mergeCell ref="G190:I192"/>
    <mergeCell ref="J190:L192"/>
    <mergeCell ref="M190:N192"/>
    <mergeCell ref="O190:Q192"/>
    <mergeCell ref="A187:L187"/>
    <mergeCell ref="M187:AH187"/>
    <mergeCell ref="AI187:AM187"/>
    <mergeCell ref="A170:L170"/>
    <mergeCell ref="M170:AH170"/>
    <mergeCell ref="AI170:AM171"/>
    <mergeCell ref="O164:Q166"/>
    <mergeCell ref="R164:T166"/>
    <mergeCell ref="U164:W166"/>
    <mergeCell ref="X164:Z166"/>
    <mergeCell ref="J164:L164"/>
    <mergeCell ref="J165:L165"/>
    <mergeCell ref="J166:L166"/>
    <mergeCell ref="A164:F166"/>
    <mergeCell ref="G164:I166"/>
    <mergeCell ref="M164:N166"/>
    <mergeCell ref="AA164:AC166"/>
    <mergeCell ref="A171:L171"/>
    <mergeCell ref="M171:AH171"/>
    <mergeCell ref="A172:F174"/>
    <mergeCell ref="G172:I174"/>
    <mergeCell ref="J172:L174"/>
    <mergeCell ref="AA193:AC195"/>
    <mergeCell ref="AD193:AE195"/>
    <mergeCell ref="AF193:AH195"/>
    <mergeCell ref="AI193:AJ195"/>
    <mergeCell ref="AK193:AM195"/>
    <mergeCell ref="J194:L194"/>
    <mergeCell ref="J195:L195"/>
    <mergeCell ref="AI190:AJ192"/>
    <mergeCell ref="AK190:AM192"/>
    <mergeCell ref="A193:F195"/>
    <mergeCell ref="G193:I195"/>
    <mergeCell ref="J193:L193"/>
    <mergeCell ref="M193:N195"/>
    <mergeCell ref="O193:Q195"/>
    <mergeCell ref="R193:T195"/>
    <mergeCell ref="U193:W195"/>
    <mergeCell ref="X193:Z195"/>
    <mergeCell ref="R190:T192"/>
    <mergeCell ref="U190:W192"/>
    <mergeCell ref="X190:Z192"/>
    <mergeCell ref="AA190:AC192"/>
    <mergeCell ref="AD190:AE192"/>
    <mergeCell ref="AF190:AH192"/>
    <mergeCell ref="AK196:AM198"/>
    <mergeCell ref="J197:L197"/>
    <mergeCell ref="J198:L198"/>
    <mergeCell ref="A199:F201"/>
    <mergeCell ref="G199:I201"/>
    <mergeCell ref="J199:L199"/>
    <mergeCell ref="M199:N201"/>
    <mergeCell ref="O199:Q201"/>
    <mergeCell ref="R199:T201"/>
    <mergeCell ref="U199:W201"/>
    <mergeCell ref="U196:W198"/>
    <mergeCell ref="X196:Z198"/>
    <mergeCell ref="AA196:AC198"/>
    <mergeCell ref="AD196:AE198"/>
    <mergeCell ref="AF196:AH198"/>
    <mergeCell ref="AI196:AJ198"/>
    <mergeCell ref="A196:F198"/>
    <mergeCell ref="G196:I198"/>
    <mergeCell ref="J196:L196"/>
    <mergeCell ref="M196:N198"/>
    <mergeCell ref="O196:Q198"/>
    <mergeCell ref="R196:T198"/>
    <mergeCell ref="AF202:AH204"/>
    <mergeCell ref="AI202:AJ204"/>
    <mergeCell ref="AK202:AM204"/>
    <mergeCell ref="J203:L203"/>
    <mergeCell ref="J204:L204"/>
    <mergeCell ref="A205:F207"/>
    <mergeCell ref="G205:I207"/>
    <mergeCell ref="J205:L205"/>
    <mergeCell ref="M205:N207"/>
    <mergeCell ref="O205:Q207"/>
    <mergeCell ref="O202:Q204"/>
    <mergeCell ref="R202:T204"/>
    <mergeCell ref="U202:W204"/>
    <mergeCell ref="X202:Z204"/>
    <mergeCell ref="AA202:AC204"/>
    <mergeCell ref="AD202:AE204"/>
    <mergeCell ref="J200:L200"/>
    <mergeCell ref="J201:L201"/>
    <mergeCell ref="A202:F204"/>
    <mergeCell ref="G202:I204"/>
    <mergeCell ref="J202:L202"/>
    <mergeCell ref="M202:N204"/>
    <mergeCell ref="X199:Z201"/>
    <mergeCell ref="AA199:AC201"/>
    <mergeCell ref="AD199:AE201"/>
    <mergeCell ref="AF199:AH201"/>
    <mergeCell ref="AI199:AJ201"/>
    <mergeCell ref="AK199:AM201"/>
    <mergeCell ref="AK208:AM210"/>
    <mergeCell ref="J209:L209"/>
    <mergeCell ref="J210:L210"/>
    <mergeCell ref="A211:F213"/>
    <mergeCell ref="G211:I213"/>
    <mergeCell ref="J211:L211"/>
    <mergeCell ref="M211:N213"/>
    <mergeCell ref="O211:Q213"/>
    <mergeCell ref="R211:T213"/>
    <mergeCell ref="U211:W213"/>
    <mergeCell ref="U208:W210"/>
    <mergeCell ref="X208:Z210"/>
    <mergeCell ref="AA208:AC210"/>
    <mergeCell ref="AD208:AE210"/>
    <mergeCell ref="AF208:AH210"/>
    <mergeCell ref="AI208:AJ210"/>
    <mergeCell ref="AI205:AJ207"/>
    <mergeCell ref="AK205:AM207"/>
    <mergeCell ref="J206:L206"/>
    <mergeCell ref="J207:L207"/>
    <mergeCell ref="A208:F210"/>
    <mergeCell ref="G208:I210"/>
    <mergeCell ref="J208:L208"/>
    <mergeCell ref="M208:N210"/>
    <mergeCell ref="O208:Q210"/>
    <mergeCell ref="R208:T210"/>
    <mergeCell ref="R205:T207"/>
    <mergeCell ref="U205:W207"/>
    <mergeCell ref="X205:Z207"/>
    <mergeCell ref="AA205:AC207"/>
    <mergeCell ref="AD205:AE207"/>
    <mergeCell ref="AF205:AH207"/>
    <mergeCell ref="AK214:AM216"/>
    <mergeCell ref="J215:L215"/>
    <mergeCell ref="J216:L216"/>
    <mergeCell ref="A217:F219"/>
    <mergeCell ref="G217:I219"/>
    <mergeCell ref="J217:L217"/>
    <mergeCell ref="M217:N219"/>
    <mergeCell ref="O217:Q219"/>
    <mergeCell ref="O214:Q216"/>
    <mergeCell ref="R214:T216"/>
    <mergeCell ref="U214:W216"/>
    <mergeCell ref="X214:Z216"/>
    <mergeCell ref="AA214:AC216"/>
    <mergeCell ref="AD214:AE216"/>
    <mergeCell ref="J212:L212"/>
    <mergeCell ref="J213:L213"/>
    <mergeCell ref="A214:F216"/>
    <mergeCell ref="G214:I216"/>
    <mergeCell ref="J214:L214"/>
    <mergeCell ref="M214:N216"/>
    <mergeCell ref="X211:Z213"/>
    <mergeCell ref="AA211:AC213"/>
    <mergeCell ref="AD211:AE213"/>
    <mergeCell ref="AF211:AH213"/>
    <mergeCell ref="AI211:AJ213"/>
    <mergeCell ref="AK211:AM213"/>
    <mergeCell ref="AF561:AI561"/>
    <mergeCell ref="AJ561:AM561"/>
    <mergeCell ref="B562:K562"/>
    <mergeCell ref="L562:N562"/>
    <mergeCell ref="O562:Q562"/>
    <mergeCell ref="R562:U562"/>
    <mergeCell ref="V562:W562"/>
    <mergeCell ref="X562:AA562"/>
    <mergeCell ref="AB562:AE562"/>
    <mergeCell ref="AF562:AI562"/>
    <mergeCell ref="AI217:AJ219"/>
    <mergeCell ref="AK217:AM219"/>
    <mergeCell ref="J218:L218"/>
    <mergeCell ref="J219:L219"/>
    <mergeCell ref="A559:AM559"/>
    <mergeCell ref="B561:K561"/>
    <mergeCell ref="R561:U561"/>
    <mergeCell ref="V561:W561"/>
    <mergeCell ref="X561:AA561"/>
    <mergeCell ref="AB561:AE561"/>
    <mergeCell ref="R217:T219"/>
    <mergeCell ref="U217:W219"/>
    <mergeCell ref="X217:Z219"/>
    <mergeCell ref="AA217:AC219"/>
    <mergeCell ref="AD217:AE219"/>
    <mergeCell ref="AF217:AH219"/>
    <mergeCell ref="J243:L245"/>
    <mergeCell ref="M243:N245"/>
    <mergeCell ref="O243:Q245"/>
    <mergeCell ref="R243:T245"/>
    <mergeCell ref="J253:L253"/>
    <mergeCell ref="J254:L254"/>
    <mergeCell ref="AB564:AE564"/>
    <mergeCell ref="AF564:AI564"/>
    <mergeCell ref="AJ564:AM564"/>
    <mergeCell ref="B565:K565"/>
    <mergeCell ref="L565:N565"/>
    <mergeCell ref="O565:Q565"/>
    <mergeCell ref="R565:U565"/>
    <mergeCell ref="V565:W565"/>
    <mergeCell ref="X565:AA565"/>
    <mergeCell ref="AB565:AE565"/>
    <mergeCell ref="B564:K564"/>
    <mergeCell ref="L564:N564"/>
    <mergeCell ref="O564:Q564"/>
    <mergeCell ref="R564:U564"/>
    <mergeCell ref="V564:W564"/>
    <mergeCell ref="X564:AA564"/>
    <mergeCell ref="AJ562:AM562"/>
    <mergeCell ref="B563:K563"/>
    <mergeCell ref="L563:N563"/>
    <mergeCell ref="O563:Q563"/>
    <mergeCell ref="R563:U563"/>
    <mergeCell ref="V563:W563"/>
    <mergeCell ref="X563:AA563"/>
    <mergeCell ref="AB563:AE563"/>
    <mergeCell ref="AF563:AI563"/>
    <mergeCell ref="AJ563:AM563"/>
    <mergeCell ref="AJ566:AM566"/>
    <mergeCell ref="B567:K567"/>
    <mergeCell ref="L567:N567"/>
    <mergeCell ref="O567:Q567"/>
    <mergeCell ref="R567:U567"/>
    <mergeCell ref="V567:W567"/>
    <mergeCell ref="X567:AA567"/>
    <mergeCell ref="AB567:AE567"/>
    <mergeCell ref="AF567:AI567"/>
    <mergeCell ref="AJ567:AM567"/>
    <mergeCell ref="AF565:AI565"/>
    <mergeCell ref="AJ565:AM565"/>
    <mergeCell ref="B566:K566"/>
    <mergeCell ref="L566:N566"/>
    <mergeCell ref="O566:Q566"/>
    <mergeCell ref="R566:U566"/>
    <mergeCell ref="V566:W566"/>
    <mergeCell ref="X566:AA566"/>
    <mergeCell ref="AB566:AE566"/>
    <mergeCell ref="AF566:AI566"/>
    <mergeCell ref="AF569:AI569"/>
    <mergeCell ref="AJ569:AM569"/>
    <mergeCell ref="B570:K570"/>
    <mergeCell ref="L570:N570"/>
    <mergeCell ref="O570:Q570"/>
    <mergeCell ref="R570:U570"/>
    <mergeCell ref="V570:W570"/>
    <mergeCell ref="X570:AA570"/>
    <mergeCell ref="AB570:AE570"/>
    <mergeCell ref="AF570:AI570"/>
    <mergeCell ref="AB568:AE568"/>
    <mergeCell ref="AF568:AI568"/>
    <mergeCell ref="AJ568:AM568"/>
    <mergeCell ref="B569:K569"/>
    <mergeCell ref="L569:N569"/>
    <mergeCell ref="O569:Q569"/>
    <mergeCell ref="R569:U569"/>
    <mergeCell ref="V569:W569"/>
    <mergeCell ref="X569:AA569"/>
    <mergeCell ref="AB569:AE569"/>
    <mergeCell ref="B568:K568"/>
    <mergeCell ref="L568:N568"/>
    <mergeCell ref="O568:Q568"/>
    <mergeCell ref="R568:U568"/>
    <mergeCell ref="V568:W568"/>
    <mergeCell ref="X568:AA568"/>
    <mergeCell ref="AB572:AE572"/>
    <mergeCell ref="AF572:AI572"/>
    <mergeCell ref="AJ572:AM572"/>
    <mergeCell ref="B573:K573"/>
    <mergeCell ref="L573:N573"/>
    <mergeCell ref="O573:Q573"/>
    <mergeCell ref="R573:U573"/>
    <mergeCell ref="V573:W573"/>
    <mergeCell ref="X573:AA573"/>
    <mergeCell ref="AB573:AE573"/>
    <mergeCell ref="B572:K572"/>
    <mergeCell ref="L572:N572"/>
    <mergeCell ref="O572:Q572"/>
    <mergeCell ref="R572:U572"/>
    <mergeCell ref="V572:W572"/>
    <mergeCell ref="X572:AA572"/>
    <mergeCell ref="AJ570:AM570"/>
    <mergeCell ref="B571:K571"/>
    <mergeCell ref="L571:N571"/>
    <mergeCell ref="O571:Q571"/>
    <mergeCell ref="R571:U571"/>
    <mergeCell ref="V571:W571"/>
    <mergeCell ref="X571:AA571"/>
    <mergeCell ref="AB571:AE571"/>
    <mergeCell ref="AF571:AI571"/>
    <mergeCell ref="AJ571:AM571"/>
    <mergeCell ref="AJ574:AM574"/>
    <mergeCell ref="B575:K575"/>
    <mergeCell ref="L575:N575"/>
    <mergeCell ref="O575:Q575"/>
    <mergeCell ref="R575:U575"/>
    <mergeCell ref="V575:W575"/>
    <mergeCell ref="X575:AA575"/>
    <mergeCell ref="AB575:AE575"/>
    <mergeCell ref="AF575:AI575"/>
    <mergeCell ref="AJ575:AM575"/>
    <mergeCell ref="AF573:AI573"/>
    <mergeCell ref="AJ573:AM573"/>
    <mergeCell ref="B574:K574"/>
    <mergeCell ref="L574:N574"/>
    <mergeCell ref="O574:Q574"/>
    <mergeCell ref="R574:U574"/>
    <mergeCell ref="V574:W574"/>
    <mergeCell ref="X574:AA574"/>
    <mergeCell ref="AB574:AE574"/>
    <mergeCell ref="AF574:AI574"/>
    <mergeCell ref="AF577:AI577"/>
    <mergeCell ref="AJ577:AM577"/>
    <mergeCell ref="B578:K578"/>
    <mergeCell ref="L578:N578"/>
    <mergeCell ref="O578:Q578"/>
    <mergeCell ref="R578:U578"/>
    <mergeCell ref="V578:W578"/>
    <mergeCell ref="X578:AA578"/>
    <mergeCell ref="AB578:AE578"/>
    <mergeCell ref="AF578:AI578"/>
    <mergeCell ref="AB576:AE576"/>
    <mergeCell ref="AF576:AI576"/>
    <mergeCell ref="AJ576:AM576"/>
    <mergeCell ref="B577:K577"/>
    <mergeCell ref="L577:N577"/>
    <mergeCell ref="O577:Q577"/>
    <mergeCell ref="R577:U577"/>
    <mergeCell ref="V577:W577"/>
    <mergeCell ref="X577:AA577"/>
    <mergeCell ref="AB577:AE577"/>
    <mergeCell ref="B576:K576"/>
    <mergeCell ref="L576:N576"/>
    <mergeCell ref="O576:Q576"/>
    <mergeCell ref="R576:U576"/>
    <mergeCell ref="V576:W576"/>
    <mergeCell ref="X576:AA576"/>
    <mergeCell ref="AB580:AE580"/>
    <mergeCell ref="AF580:AI580"/>
    <mergeCell ref="AJ580:AM580"/>
    <mergeCell ref="B581:K581"/>
    <mergeCell ref="L581:N581"/>
    <mergeCell ref="O581:Q581"/>
    <mergeCell ref="R581:U581"/>
    <mergeCell ref="V581:W581"/>
    <mergeCell ref="X581:AA581"/>
    <mergeCell ref="AB581:AE581"/>
    <mergeCell ref="B580:K580"/>
    <mergeCell ref="L580:N580"/>
    <mergeCell ref="O580:Q580"/>
    <mergeCell ref="R580:U580"/>
    <mergeCell ref="V580:W580"/>
    <mergeCell ref="X580:AA580"/>
    <mergeCell ref="AJ578:AM578"/>
    <mergeCell ref="B579:K579"/>
    <mergeCell ref="L579:N579"/>
    <mergeCell ref="O579:Q579"/>
    <mergeCell ref="R579:U579"/>
    <mergeCell ref="V579:W579"/>
    <mergeCell ref="X579:AA579"/>
    <mergeCell ref="AB579:AE579"/>
    <mergeCell ref="AF579:AI579"/>
    <mergeCell ref="AJ579:AM579"/>
    <mergeCell ref="AJ582:AM582"/>
    <mergeCell ref="B583:K583"/>
    <mergeCell ref="L583:N583"/>
    <mergeCell ref="O583:Q583"/>
    <mergeCell ref="R583:U583"/>
    <mergeCell ref="V583:W583"/>
    <mergeCell ref="X583:AA583"/>
    <mergeCell ref="AB583:AE583"/>
    <mergeCell ref="AF583:AI583"/>
    <mergeCell ref="AJ583:AM583"/>
    <mergeCell ref="AF581:AI581"/>
    <mergeCell ref="AJ581:AM581"/>
    <mergeCell ref="B582:K582"/>
    <mergeCell ref="L582:N582"/>
    <mergeCell ref="O582:Q582"/>
    <mergeCell ref="R582:U582"/>
    <mergeCell ref="V582:W582"/>
    <mergeCell ref="X582:AA582"/>
    <mergeCell ref="AB582:AE582"/>
    <mergeCell ref="AF582:AI582"/>
    <mergeCell ref="AF585:AI585"/>
    <mergeCell ref="AJ585:AM585"/>
    <mergeCell ref="B586:K586"/>
    <mergeCell ref="L586:N586"/>
    <mergeCell ref="O586:Q586"/>
    <mergeCell ref="R586:U586"/>
    <mergeCell ref="V586:W586"/>
    <mergeCell ref="X586:AA586"/>
    <mergeCell ref="AB586:AE586"/>
    <mergeCell ref="AF586:AI586"/>
    <mergeCell ref="AB584:AE584"/>
    <mergeCell ref="AF584:AI584"/>
    <mergeCell ref="AJ584:AM584"/>
    <mergeCell ref="B585:K585"/>
    <mergeCell ref="L585:N585"/>
    <mergeCell ref="O585:Q585"/>
    <mergeCell ref="R585:U585"/>
    <mergeCell ref="V585:W585"/>
    <mergeCell ref="X585:AA585"/>
    <mergeCell ref="AB585:AE585"/>
    <mergeCell ref="B584:K584"/>
    <mergeCell ref="L584:N584"/>
    <mergeCell ref="O584:Q584"/>
    <mergeCell ref="R584:U584"/>
    <mergeCell ref="V584:W584"/>
    <mergeCell ref="X584:AA584"/>
    <mergeCell ref="AB588:AE588"/>
    <mergeCell ref="AF588:AI588"/>
    <mergeCell ref="AJ588:AM588"/>
    <mergeCell ref="B589:K589"/>
    <mergeCell ref="L589:N589"/>
    <mergeCell ref="O589:Q589"/>
    <mergeCell ref="R589:U589"/>
    <mergeCell ref="V589:W589"/>
    <mergeCell ref="X589:AA589"/>
    <mergeCell ref="AB589:AE589"/>
    <mergeCell ref="B588:K588"/>
    <mergeCell ref="L588:N588"/>
    <mergeCell ref="O588:Q588"/>
    <mergeCell ref="R588:U588"/>
    <mergeCell ref="V588:W588"/>
    <mergeCell ref="X588:AA588"/>
    <mergeCell ref="AJ586:AM586"/>
    <mergeCell ref="B587:K587"/>
    <mergeCell ref="L587:N587"/>
    <mergeCell ref="O587:Q587"/>
    <mergeCell ref="R587:U587"/>
    <mergeCell ref="V587:W587"/>
    <mergeCell ref="X587:AA587"/>
    <mergeCell ref="AB587:AE587"/>
    <mergeCell ref="AF587:AI587"/>
    <mergeCell ref="AJ587:AM587"/>
    <mergeCell ref="AJ590:AM590"/>
    <mergeCell ref="B591:K591"/>
    <mergeCell ref="L591:N591"/>
    <mergeCell ref="O591:Q591"/>
    <mergeCell ref="R591:U591"/>
    <mergeCell ref="V591:W591"/>
    <mergeCell ref="X591:AA591"/>
    <mergeCell ref="AB591:AE591"/>
    <mergeCell ref="AF591:AI591"/>
    <mergeCell ref="AJ591:AM591"/>
    <mergeCell ref="AF589:AI589"/>
    <mergeCell ref="AJ589:AM589"/>
    <mergeCell ref="B590:K590"/>
    <mergeCell ref="L590:N590"/>
    <mergeCell ref="O590:Q590"/>
    <mergeCell ref="R590:U590"/>
    <mergeCell ref="V590:W590"/>
    <mergeCell ref="X590:AA590"/>
    <mergeCell ref="AB590:AE590"/>
    <mergeCell ref="AF590:AI590"/>
    <mergeCell ref="AB595:AE595"/>
    <mergeCell ref="AF595:AI595"/>
    <mergeCell ref="AJ595:AM595"/>
    <mergeCell ref="AF593:AI593"/>
    <mergeCell ref="AJ593:AM593"/>
    <mergeCell ref="B594:K594"/>
    <mergeCell ref="L594:N594"/>
    <mergeCell ref="O594:Q594"/>
    <mergeCell ref="R594:U594"/>
    <mergeCell ref="V594:W594"/>
    <mergeCell ref="X594:AA594"/>
    <mergeCell ref="AB594:AE594"/>
    <mergeCell ref="AF594:AI594"/>
    <mergeCell ref="AB592:AE592"/>
    <mergeCell ref="AF592:AI592"/>
    <mergeCell ref="AJ592:AM592"/>
    <mergeCell ref="B593:K593"/>
    <mergeCell ref="L593:N593"/>
    <mergeCell ref="O593:Q593"/>
    <mergeCell ref="R593:U593"/>
    <mergeCell ref="V593:W593"/>
    <mergeCell ref="X593:AA593"/>
    <mergeCell ref="AB593:AE593"/>
    <mergeCell ref="B592:K592"/>
    <mergeCell ref="L592:N592"/>
    <mergeCell ref="O592:Q592"/>
    <mergeCell ref="R592:U592"/>
    <mergeCell ref="V592:W592"/>
    <mergeCell ref="X592:AA592"/>
    <mergeCell ref="AF597:AI597"/>
    <mergeCell ref="AJ597:AM597"/>
    <mergeCell ref="A134:L134"/>
    <mergeCell ref="M134:AH134"/>
    <mergeCell ref="AI134:AM134"/>
    <mergeCell ref="A135:L135"/>
    <mergeCell ref="M135:AH135"/>
    <mergeCell ref="AI135:AM136"/>
    <mergeCell ref="A136:L136"/>
    <mergeCell ref="AB596:AE596"/>
    <mergeCell ref="AF596:AI596"/>
    <mergeCell ref="AJ596:AM596"/>
    <mergeCell ref="B597:K597"/>
    <mergeCell ref="L597:N597"/>
    <mergeCell ref="O597:Q597"/>
    <mergeCell ref="R597:U597"/>
    <mergeCell ref="V597:W597"/>
    <mergeCell ref="X597:AA597"/>
    <mergeCell ref="AB597:AE597"/>
    <mergeCell ref="B596:K596"/>
    <mergeCell ref="L596:N596"/>
    <mergeCell ref="O596:Q596"/>
    <mergeCell ref="R596:U596"/>
    <mergeCell ref="V596:W596"/>
    <mergeCell ref="X596:AA596"/>
    <mergeCell ref="AJ594:AM594"/>
    <mergeCell ref="B595:K595"/>
    <mergeCell ref="L595:N595"/>
    <mergeCell ref="O595:Q595"/>
    <mergeCell ref="R595:U595"/>
    <mergeCell ref="V595:W595"/>
    <mergeCell ref="X595:AA595"/>
    <mergeCell ref="J143:L143"/>
    <mergeCell ref="M143:N145"/>
    <mergeCell ref="O143:Q145"/>
    <mergeCell ref="AD137:AE139"/>
    <mergeCell ref="AF137:AH139"/>
    <mergeCell ref="AI137:AJ139"/>
    <mergeCell ref="AK137:AM139"/>
    <mergeCell ref="A140:F142"/>
    <mergeCell ref="G140:I142"/>
    <mergeCell ref="J140:L140"/>
    <mergeCell ref="M140:N142"/>
    <mergeCell ref="O140:Q142"/>
    <mergeCell ref="R140:T142"/>
    <mergeCell ref="M137:N139"/>
    <mergeCell ref="O137:Q139"/>
    <mergeCell ref="R137:T139"/>
    <mergeCell ref="U137:W139"/>
    <mergeCell ref="X137:Z139"/>
    <mergeCell ref="AA137:AC139"/>
    <mergeCell ref="AF146:AH148"/>
    <mergeCell ref="AI146:AJ148"/>
    <mergeCell ref="AK146:AM148"/>
    <mergeCell ref="A149:F151"/>
    <mergeCell ref="G149:I151"/>
    <mergeCell ref="M149:N151"/>
    <mergeCell ref="O149:Q151"/>
    <mergeCell ref="R149:T151"/>
    <mergeCell ref="U149:W151"/>
    <mergeCell ref="X149:Z151"/>
    <mergeCell ref="AD143:AE145"/>
    <mergeCell ref="AF143:AH145"/>
    <mergeCell ref="AI143:AJ145"/>
    <mergeCell ref="AK143:AM145"/>
    <mergeCell ref="J144:L144"/>
    <mergeCell ref="A146:F148"/>
    <mergeCell ref="G146:I148"/>
    <mergeCell ref="M146:N148"/>
    <mergeCell ref="O146:Q148"/>
    <mergeCell ref="R146:T148"/>
    <mergeCell ref="AA149:AC151"/>
    <mergeCell ref="AD149:AE151"/>
    <mergeCell ref="AF149:AH151"/>
    <mergeCell ref="AI149:AJ151"/>
    <mergeCell ref="J149:L149"/>
    <mergeCell ref="J150:L150"/>
    <mergeCell ref="J151:L151"/>
    <mergeCell ref="U146:W148"/>
    <mergeCell ref="X146:Z148"/>
    <mergeCell ref="AA146:AC148"/>
    <mergeCell ref="AD146:AE148"/>
    <mergeCell ref="J148:L148"/>
    <mergeCell ref="AF152:AH154"/>
    <mergeCell ref="AI152:AJ154"/>
    <mergeCell ref="AK152:AM154"/>
    <mergeCell ref="A155:F157"/>
    <mergeCell ref="G155:I157"/>
    <mergeCell ref="M155:N157"/>
    <mergeCell ref="O155:Q157"/>
    <mergeCell ref="R155:T157"/>
    <mergeCell ref="U155:W157"/>
    <mergeCell ref="X155:Z157"/>
    <mergeCell ref="AK149:AM151"/>
    <mergeCell ref="A152:F154"/>
    <mergeCell ref="G152:I154"/>
    <mergeCell ref="M152:N154"/>
    <mergeCell ref="O152:Q154"/>
    <mergeCell ref="R152:T154"/>
    <mergeCell ref="U152:W154"/>
    <mergeCell ref="X152:Z154"/>
    <mergeCell ref="AA152:AC154"/>
    <mergeCell ref="AD152:AE154"/>
    <mergeCell ref="AA155:AC157"/>
    <mergeCell ref="AD155:AE157"/>
    <mergeCell ref="AF155:AH157"/>
    <mergeCell ref="J155:L155"/>
    <mergeCell ref="J156:L156"/>
    <mergeCell ref="J157:L157"/>
    <mergeCell ref="J152:L152"/>
    <mergeCell ref="J153:L153"/>
    <mergeCell ref="J154:L154"/>
    <mergeCell ref="AK158:AM160"/>
    <mergeCell ref="A161:F163"/>
    <mergeCell ref="G161:I163"/>
    <mergeCell ref="M161:N163"/>
    <mergeCell ref="O161:Q163"/>
    <mergeCell ref="R161:T163"/>
    <mergeCell ref="U161:W163"/>
    <mergeCell ref="X161:Z163"/>
    <mergeCell ref="AA161:AC163"/>
    <mergeCell ref="AD161:AE163"/>
    <mergeCell ref="AI155:AJ157"/>
    <mergeCell ref="AK155:AM157"/>
    <mergeCell ref="A158:F160"/>
    <mergeCell ref="G158:I160"/>
    <mergeCell ref="M158:N160"/>
    <mergeCell ref="O158:Q160"/>
    <mergeCell ref="R158:T160"/>
    <mergeCell ref="U158:W160"/>
    <mergeCell ref="X158:Z160"/>
    <mergeCell ref="AA158:AC160"/>
    <mergeCell ref="AF161:AH163"/>
    <mergeCell ref="AI161:AJ163"/>
    <mergeCell ref="AK161:AM163"/>
    <mergeCell ref="J161:L161"/>
    <mergeCell ref="J162:L162"/>
    <mergeCell ref="J163:L163"/>
    <mergeCell ref="AD158:AE160"/>
    <mergeCell ref="AF158:AH160"/>
    <mergeCell ref="AI158:AJ160"/>
    <mergeCell ref="J158:L158"/>
    <mergeCell ref="J159:L159"/>
    <mergeCell ref="J160:L160"/>
    <mergeCell ref="M172:N174"/>
    <mergeCell ref="O172:Q174"/>
    <mergeCell ref="R172:T174"/>
    <mergeCell ref="U172:W174"/>
    <mergeCell ref="X172:Z174"/>
    <mergeCell ref="AD164:AE166"/>
    <mergeCell ref="AF164:AH166"/>
    <mergeCell ref="AI164:AJ166"/>
    <mergeCell ref="AK164:AM166"/>
    <mergeCell ref="AI169:AM169"/>
    <mergeCell ref="AI175:AJ177"/>
    <mergeCell ref="AK175:AM177"/>
    <mergeCell ref="J176:L176"/>
    <mergeCell ref="J177:L177"/>
    <mergeCell ref="A178:F180"/>
    <mergeCell ref="G178:I180"/>
    <mergeCell ref="J178:L178"/>
    <mergeCell ref="M178:N180"/>
    <mergeCell ref="O178:Q180"/>
    <mergeCell ref="R178:T180"/>
    <mergeCell ref="R175:T177"/>
    <mergeCell ref="U175:W177"/>
    <mergeCell ref="X175:Z177"/>
    <mergeCell ref="AA175:AC177"/>
    <mergeCell ref="AD175:AE177"/>
    <mergeCell ref="AF175:AH177"/>
    <mergeCell ref="AA172:AC174"/>
    <mergeCell ref="AD172:AE174"/>
    <mergeCell ref="AF172:AH174"/>
    <mergeCell ref="AI172:AJ174"/>
    <mergeCell ref="AK172:AM174"/>
    <mergeCell ref="A175:F177"/>
    <mergeCell ref="G175:I177"/>
    <mergeCell ref="J175:L175"/>
    <mergeCell ref="M175:N177"/>
    <mergeCell ref="O175:Q177"/>
    <mergeCell ref="J182:L182"/>
    <mergeCell ref="J183:L183"/>
    <mergeCell ref="A240:L240"/>
    <mergeCell ref="M240:AH240"/>
    <mergeCell ref="AI240:AM240"/>
    <mergeCell ref="A241:L241"/>
    <mergeCell ref="M241:AH241"/>
    <mergeCell ref="AI241:AM242"/>
    <mergeCell ref="A242:L242"/>
    <mergeCell ref="M242:AH242"/>
    <mergeCell ref="X181:Z183"/>
    <mergeCell ref="AA181:AC183"/>
    <mergeCell ref="AD181:AE183"/>
    <mergeCell ref="AF181:AH183"/>
    <mergeCell ref="AI181:AJ183"/>
    <mergeCell ref="AK181:AM183"/>
    <mergeCell ref="AK178:AM180"/>
    <mergeCell ref="J179:L179"/>
    <mergeCell ref="J180:L180"/>
    <mergeCell ref="A181:F183"/>
    <mergeCell ref="G181:I183"/>
    <mergeCell ref="J181:L181"/>
    <mergeCell ref="M181:N183"/>
    <mergeCell ref="O181:Q183"/>
    <mergeCell ref="R181:T183"/>
    <mergeCell ref="U181:W183"/>
    <mergeCell ref="U178:W180"/>
    <mergeCell ref="X178:Z180"/>
    <mergeCell ref="AA178:AC180"/>
    <mergeCell ref="AD178:AE180"/>
    <mergeCell ref="AF178:AH180"/>
    <mergeCell ref="AI178:AJ180"/>
    <mergeCell ref="O249:Q251"/>
    <mergeCell ref="R249:T251"/>
    <mergeCell ref="AD246:AE248"/>
    <mergeCell ref="AF246:AH248"/>
    <mergeCell ref="AI246:AJ248"/>
    <mergeCell ref="AK246:AM248"/>
    <mergeCell ref="J247:L247"/>
    <mergeCell ref="J248:L248"/>
    <mergeCell ref="AK243:AM245"/>
    <mergeCell ref="A246:F248"/>
    <mergeCell ref="G246:I248"/>
    <mergeCell ref="J246:L246"/>
    <mergeCell ref="M246:N248"/>
    <mergeCell ref="O246:Q248"/>
    <mergeCell ref="R246:T248"/>
    <mergeCell ref="U246:W248"/>
    <mergeCell ref="X246:Z248"/>
    <mergeCell ref="AA246:AC248"/>
    <mergeCell ref="U243:W245"/>
    <mergeCell ref="X243:Z245"/>
    <mergeCell ref="AA243:AC245"/>
    <mergeCell ref="AD243:AE245"/>
    <mergeCell ref="AF243:AH245"/>
    <mergeCell ref="AI243:AJ245"/>
    <mergeCell ref="A243:F245"/>
    <mergeCell ref="G243:I245"/>
    <mergeCell ref="AF214:AH216"/>
    <mergeCell ref="AI214:AJ216"/>
    <mergeCell ref="A255:F257"/>
    <mergeCell ref="G255:I257"/>
    <mergeCell ref="J255:L255"/>
    <mergeCell ref="M255:N257"/>
    <mergeCell ref="X252:Z254"/>
    <mergeCell ref="AA252:AC254"/>
    <mergeCell ref="AD252:AE254"/>
    <mergeCell ref="AF252:AH254"/>
    <mergeCell ref="AI252:AJ254"/>
    <mergeCell ref="AK252:AM254"/>
    <mergeCell ref="AK249:AM251"/>
    <mergeCell ref="J250:L250"/>
    <mergeCell ref="J251:L251"/>
    <mergeCell ref="A252:F254"/>
    <mergeCell ref="G252:I254"/>
    <mergeCell ref="J252:L252"/>
    <mergeCell ref="M252:N254"/>
    <mergeCell ref="O252:Q254"/>
    <mergeCell ref="R252:T254"/>
    <mergeCell ref="U252:W254"/>
    <mergeCell ref="U249:W251"/>
    <mergeCell ref="X249:Z251"/>
    <mergeCell ref="AA249:AC251"/>
    <mergeCell ref="AD249:AE251"/>
    <mergeCell ref="AF249:AH251"/>
    <mergeCell ref="AI249:AJ251"/>
    <mergeCell ref="A249:F251"/>
    <mergeCell ref="G249:I251"/>
    <mergeCell ref="J249:L249"/>
    <mergeCell ref="M249:N251"/>
    <mergeCell ref="AI258:AJ260"/>
    <mergeCell ref="AK258:AM260"/>
    <mergeCell ref="J259:L259"/>
    <mergeCell ref="J260:L260"/>
    <mergeCell ref="A261:F263"/>
    <mergeCell ref="G261:I263"/>
    <mergeCell ref="J261:L261"/>
    <mergeCell ref="M261:N263"/>
    <mergeCell ref="O261:Q263"/>
    <mergeCell ref="R261:T263"/>
    <mergeCell ref="R258:T260"/>
    <mergeCell ref="U258:W260"/>
    <mergeCell ref="X258:Z260"/>
    <mergeCell ref="AA258:AC260"/>
    <mergeCell ref="AD258:AE260"/>
    <mergeCell ref="AF258:AH260"/>
    <mergeCell ref="AF255:AH257"/>
    <mergeCell ref="AI255:AJ257"/>
    <mergeCell ref="AK255:AM257"/>
    <mergeCell ref="J256:L256"/>
    <mergeCell ref="J257:L257"/>
    <mergeCell ref="A258:F260"/>
    <mergeCell ref="G258:I260"/>
    <mergeCell ref="J258:L258"/>
    <mergeCell ref="M258:N260"/>
    <mergeCell ref="O258:Q260"/>
    <mergeCell ref="O255:Q257"/>
    <mergeCell ref="R255:T257"/>
    <mergeCell ref="U255:W257"/>
    <mergeCell ref="X255:Z257"/>
    <mergeCell ref="AA255:AC257"/>
    <mergeCell ref="AD255:AE257"/>
    <mergeCell ref="J265:L265"/>
    <mergeCell ref="J266:L266"/>
    <mergeCell ref="A267:F269"/>
    <mergeCell ref="G267:I269"/>
    <mergeCell ref="J267:L267"/>
    <mergeCell ref="M267:N269"/>
    <mergeCell ref="X264:Z266"/>
    <mergeCell ref="AA264:AC266"/>
    <mergeCell ref="AD264:AE266"/>
    <mergeCell ref="AF264:AH266"/>
    <mergeCell ref="AI264:AJ266"/>
    <mergeCell ref="AK264:AM266"/>
    <mergeCell ref="AK261:AM263"/>
    <mergeCell ref="J262:L262"/>
    <mergeCell ref="J263:L263"/>
    <mergeCell ref="A264:F266"/>
    <mergeCell ref="G264:I266"/>
    <mergeCell ref="J264:L264"/>
    <mergeCell ref="M264:N266"/>
    <mergeCell ref="O264:Q266"/>
    <mergeCell ref="R264:T266"/>
    <mergeCell ref="U264:W266"/>
    <mergeCell ref="U261:W263"/>
    <mergeCell ref="X261:Z263"/>
    <mergeCell ref="AA261:AC263"/>
    <mergeCell ref="AD261:AE263"/>
    <mergeCell ref="AF261:AH263"/>
    <mergeCell ref="AI261:AJ263"/>
    <mergeCell ref="AI270:AJ272"/>
    <mergeCell ref="AK270:AM272"/>
    <mergeCell ref="J271:L271"/>
    <mergeCell ref="J272:L272"/>
    <mergeCell ref="A293:G294"/>
    <mergeCell ref="H293:AM294"/>
    <mergeCell ref="R270:T272"/>
    <mergeCell ref="U270:W272"/>
    <mergeCell ref="X270:Z272"/>
    <mergeCell ref="AA270:AC272"/>
    <mergeCell ref="AD270:AE272"/>
    <mergeCell ref="AF270:AH272"/>
    <mergeCell ref="AF267:AH269"/>
    <mergeCell ref="AI267:AJ269"/>
    <mergeCell ref="AK267:AM269"/>
    <mergeCell ref="J268:L268"/>
    <mergeCell ref="J269:L269"/>
    <mergeCell ref="A270:F272"/>
    <mergeCell ref="G270:I272"/>
    <mergeCell ref="J270:L270"/>
    <mergeCell ref="M270:N272"/>
    <mergeCell ref="O270:Q272"/>
    <mergeCell ref="O267:Q269"/>
    <mergeCell ref="R267:T269"/>
    <mergeCell ref="U267:W269"/>
    <mergeCell ref="X267:Z269"/>
    <mergeCell ref="AA267:AC269"/>
    <mergeCell ref="AD267:AE269"/>
    <mergeCell ref="A299:L299"/>
    <mergeCell ref="M299:AH299"/>
    <mergeCell ref="AI299:AM300"/>
    <mergeCell ref="A300:L300"/>
    <mergeCell ref="M300:AH300"/>
    <mergeCell ref="A301:F303"/>
    <mergeCell ref="G301:I303"/>
    <mergeCell ref="J301:L303"/>
    <mergeCell ref="M301:N303"/>
    <mergeCell ref="O301:Q303"/>
    <mergeCell ref="A295:G296"/>
    <mergeCell ref="H295:V296"/>
    <mergeCell ref="W295:Z296"/>
    <mergeCell ref="AA295:AM296"/>
    <mergeCell ref="A298:L298"/>
    <mergeCell ref="M298:AH298"/>
    <mergeCell ref="AI298:AM298"/>
    <mergeCell ref="AA304:AC306"/>
    <mergeCell ref="AD304:AE306"/>
    <mergeCell ref="AF304:AH306"/>
    <mergeCell ref="AI304:AJ306"/>
    <mergeCell ref="AK304:AM306"/>
    <mergeCell ref="J305:L305"/>
    <mergeCell ref="J306:L306"/>
    <mergeCell ref="AI301:AJ303"/>
    <mergeCell ref="AK301:AM303"/>
    <mergeCell ref="A304:F306"/>
    <mergeCell ref="G304:I306"/>
    <mergeCell ref="J304:L304"/>
    <mergeCell ref="M304:N306"/>
    <mergeCell ref="O304:Q306"/>
    <mergeCell ref="R304:T306"/>
    <mergeCell ref="U304:W306"/>
    <mergeCell ref="X304:Z306"/>
    <mergeCell ref="R301:T303"/>
    <mergeCell ref="U301:W303"/>
    <mergeCell ref="X301:Z303"/>
    <mergeCell ref="AA301:AC303"/>
    <mergeCell ref="AD301:AE303"/>
    <mergeCell ref="AF301:AH303"/>
    <mergeCell ref="AK307:AM309"/>
    <mergeCell ref="J308:L308"/>
    <mergeCell ref="J309:L309"/>
    <mergeCell ref="A310:F312"/>
    <mergeCell ref="G310:I312"/>
    <mergeCell ref="J310:L310"/>
    <mergeCell ref="M310:N312"/>
    <mergeCell ref="O310:Q312"/>
    <mergeCell ref="R310:T312"/>
    <mergeCell ref="U310:W312"/>
    <mergeCell ref="U307:W309"/>
    <mergeCell ref="X307:Z309"/>
    <mergeCell ref="AA307:AC309"/>
    <mergeCell ref="AD307:AE309"/>
    <mergeCell ref="AF307:AH309"/>
    <mergeCell ref="AI307:AJ309"/>
    <mergeCell ref="A307:F309"/>
    <mergeCell ref="G307:I309"/>
    <mergeCell ref="J307:L307"/>
    <mergeCell ref="M307:N309"/>
    <mergeCell ref="O307:Q309"/>
    <mergeCell ref="R307:T309"/>
    <mergeCell ref="AF313:AH315"/>
    <mergeCell ref="AI313:AJ315"/>
    <mergeCell ref="AK313:AM315"/>
    <mergeCell ref="J314:L314"/>
    <mergeCell ref="J315:L315"/>
    <mergeCell ref="A316:F318"/>
    <mergeCell ref="G316:I318"/>
    <mergeCell ref="J316:L316"/>
    <mergeCell ref="M316:N318"/>
    <mergeCell ref="O316:Q318"/>
    <mergeCell ref="O313:Q315"/>
    <mergeCell ref="R313:T315"/>
    <mergeCell ref="U313:W315"/>
    <mergeCell ref="X313:Z315"/>
    <mergeCell ref="AA313:AC315"/>
    <mergeCell ref="AD313:AE315"/>
    <mergeCell ref="J311:L311"/>
    <mergeCell ref="J312:L312"/>
    <mergeCell ref="A313:F315"/>
    <mergeCell ref="G313:I315"/>
    <mergeCell ref="J313:L313"/>
    <mergeCell ref="M313:N315"/>
    <mergeCell ref="X310:Z312"/>
    <mergeCell ref="AA310:AC312"/>
    <mergeCell ref="AD310:AE312"/>
    <mergeCell ref="AF310:AH312"/>
    <mergeCell ref="AI310:AJ312"/>
    <mergeCell ref="AK310:AM312"/>
    <mergeCell ref="AK319:AM321"/>
    <mergeCell ref="J320:L320"/>
    <mergeCell ref="J321:L321"/>
    <mergeCell ref="A322:F324"/>
    <mergeCell ref="G322:I324"/>
    <mergeCell ref="J322:L322"/>
    <mergeCell ref="M322:N324"/>
    <mergeCell ref="O322:Q324"/>
    <mergeCell ref="R322:T324"/>
    <mergeCell ref="U322:W324"/>
    <mergeCell ref="U319:W321"/>
    <mergeCell ref="X319:Z321"/>
    <mergeCell ref="AA319:AC321"/>
    <mergeCell ref="AD319:AE321"/>
    <mergeCell ref="AF319:AH321"/>
    <mergeCell ref="AI319:AJ321"/>
    <mergeCell ref="AI316:AJ318"/>
    <mergeCell ref="AK316:AM318"/>
    <mergeCell ref="J317:L317"/>
    <mergeCell ref="J318:L318"/>
    <mergeCell ref="A319:F321"/>
    <mergeCell ref="G319:I321"/>
    <mergeCell ref="J319:L319"/>
    <mergeCell ref="M319:N321"/>
    <mergeCell ref="O319:Q321"/>
    <mergeCell ref="R319:T321"/>
    <mergeCell ref="R316:T318"/>
    <mergeCell ref="U316:W318"/>
    <mergeCell ref="X316:Z318"/>
    <mergeCell ref="AA316:AC318"/>
    <mergeCell ref="AD316:AE318"/>
    <mergeCell ref="AF316:AH318"/>
    <mergeCell ref="AF325:AH327"/>
    <mergeCell ref="AI325:AJ327"/>
    <mergeCell ref="AK325:AM327"/>
    <mergeCell ref="J326:L326"/>
    <mergeCell ref="J327:L327"/>
    <mergeCell ref="A328:F330"/>
    <mergeCell ref="G328:I330"/>
    <mergeCell ref="J328:L328"/>
    <mergeCell ref="M328:N330"/>
    <mergeCell ref="O328:Q330"/>
    <mergeCell ref="O325:Q327"/>
    <mergeCell ref="R325:T327"/>
    <mergeCell ref="U325:W327"/>
    <mergeCell ref="X325:Z327"/>
    <mergeCell ref="AA325:AC327"/>
    <mergeCell ref="AD325:AE327"/>
    <mergeCell ref="J323:L323"/>
    <mergeCell ref="J324:L324"/>
    <mergeCell ref="A325:F327"/>
    <mergeCell ref="G325:I327"/>
    <mergeCell ref="J325:L325"/>
    <mergeCell ref="M325:N327"/>
    <mergeCell ref="X322:Z324"/>
    <mergeCell ref="AA322:AC324"/>
    <mergeCell ref="AD322:AE324"/>
    <mergeCell ref="AF322:AH324"/>
    <mergeCell ref="AI322:AJ324"/>
    <mergeCell ref="AK322:AM324"/>
    <mergeCell ref="A348:L348"/>
    <mergeCell ref="M348:AH348"/>
    <mergeCell ref="AI348:AM349"/>
    <mergeCell ref="A349:L349"/>
    <mergeCell ref="M349:AH349"/>
    <mergeCell ref="A350:F352"/>
    <mergeCell ref="G350:I352"/>
    <mergeCell ref="J350:L352"/>
    <mergeCell ref="M350:N352"/>
    <mergeCell ref="O350:Q352"/>
    <mergeCell ref="AI328:AJ330"/>
    <mergeCell ref="AK328:AM330"/>
    <mergeCell ref="J329:L329"/>
    <mergeCell ref="J330:L330"/>
    <mergeCell ref="A347:L347"/>
    <mergeCell ref="M347:AH347"/>
    <mergeCell ref="AI347:AM347"/>
    <mergeCell ref="R328:T330"/>
    <mergeCell ref="U328:W330"/>
    <mergeCell ref="X328:Z330"/>
    <mergeCell ref="AA328:AC330"/>
    <mergeCell ref="AD328:AE330"/>
    <mergeCell ref="AF328:AH330"/>
    <mergeCell ref="AA353:AC355"/>
    <mergeCell ref="AD353:AE355"/>
    <mergeCell ref="AF353:AH355"/>
    <mergeCell ref="AI353:AJ355"/>
    <mergeCell ref="AK353:AM355"/>
    <mergeCell ref="J354:L354"/>
    <mergeCell ref="J355:L355"/>
    <mergeCell ref="AI350:AJ352"/>
    <mergeCell ref="AK350:AM352"/>
    <mergeCell ref="A353:F355"/>
    <mergeCell ref="G353:I355"/>
    <mergeCell ref="J353:L353"/>
    <mergeCell ref="M353:N355"/>
    <mergeCell ref="O353:Q355"/>
    <mergeCell ref="R353:T355"/>
    <mergeCell ref="U353:W355"/>
    <mergeCell ref="X353:Z355"/>
    <mergeCell ref="R350:T352"/>
    <mergeCell ref="U350:W352"/>
    <mergeCell ref="X350:Z352"/>
    <mergeCell ref="AA350:AC352"/>
    <mergeCell ref="AD350:AE352"/>
    <mergeCell ref="AF350:AH352"/>
    <mergeCell ref="AK356:AM358"/>
    <mergeCell ref="J357:L357"/>
    <mergeCell ref="J358:L358"/>
    <mergeCell ref="A359:F361"/>
    <mergeCell ref="G359:I361"/>
    <mergeCell ref="J359:L359"/>
    <mergeCell ref="M359:N361"/>
    <mergeCell ref="O359:Q361"/>
    <mergeCell ref="R359:T361"/>
    <mergeCell ref="U359:W361"/>
    <mergeCell ref="U356:W358"/>
    <mergeCell ref="X356:Z358"/>
    <mergeCell ref="AA356:AC358"/>
    <mergeCell ref="AD356:AE358"/>
    <mergeCell ref="AF356:AH358"/>
    <mergeCell ref="AI356:AJ358"/>
    <mergeCell ref="A356:F358"/>
    <mergeCell ref="G356:I358"/>
    <mergeCell ref="J356:L356"/>
    <mergeCell ref="M356:N358"/>
    <mergeCell ref="O356:Q358"/>
    <mergeCell ref="R356:T358"/>
    <mergeCell ref="AF362:AH364"/>
    <mergeCell ref="AI362:AJ364"/>
    <mergeCell ref="AK362:AM364"/>
    <mergeCell ref="J363:L363"/>
    <mergeCell ref="J364:L364"/>
    <mergeCell ref="A365:F367"/>
    <mergeCell ref="G365:I367"/>
    <mergeCell ref="J365:L365"/>
    <mergeCell ref="M365:N367"/>
    <mergeCell ref="O365:Q367"/>
    <mergeCell ref="O362:Q364"/>
    <mergeCell ref="R362:T364"/>
    <mergeCell ref="U362:W364"/>
    <mergeCell ref="X362:Z364"/>
    <mergeCell ref="AA362:AC364"/>
    <mergeCell ref="AD362:AE364"/>
    <mergeCell ref="J360:L360"/>
    <mergeCell ref="J361:L361"/>
    <mergeCell ref="A362:F364"/>
    <mergeCell ref="G362:I364"/>
    <mergeCell ref="J362:L362"/>
    <mergeCell ref="M362:N364"/>
    <mergeCell ref="X359:Z361"/>
    <mergeCell ref="AA359:AC361"/>
    <mergeCell ref="AD359:AE361"/>
    <mergeCell ref="AF359:AH361"/>
    <mergeCell ref="AI359:AJ361"/>
    <mergeCell ref="AK359:AM361"/>
    <mergeCell ref="AK368:AM370"/>
    <mergeCell ref="J369:L369"/>
    <mergeCell ref="J370:L370"/>
    <mergeCell ref="A371:F373"/>
    <mergeCell ref="G371:I373"/>
    <mergeCell ref="J371:L371"/>
    <mergeCell ref="M371:N373"/>
    <mergeCell ref="O371:Q373"/>
    <mergeCell ref="R371:T373"/>
    <mergeCell ref="U371:W373"/>
    <mergeCell ref="U368:W370"/>
    <mergeCell ref="X368:Z370"/>
    <mergeCell ref="AA368:AC370"/>
    <mergeCell ref="AD368:AE370"/>
    <mergeCell ref="AF368:AH370"/>
    <mergeCell ref="AI368:AJ370"/>
    <mergeCell ref="AI365:AJ367"/>
    <mergeCell ref="AK365:AM367"/>
    <mergeCell ref="J366:L366"/>
    <mergeCell ref="J367:L367"/>
    <mergeCell ref="A368:F370"/>
    <mergeCell ref="G368:I370"/>
    <mergeCell ref="J368:L368"/>
    <mergeCell ref="M368:N370"/>
    <mergeCell ref="O368:Q370"/>
    <mergeCell ref="R368:T370"/>
    <mergeCell ref="R365:T367"/>
    <mergeCell ref="U365:W367"/>
    <mergeCell ref="X365:Z367"/>
    <mergeCell ref="AA365:AC367"/>
    <mergeCell ref="AD365:AE367"/>
    <mergeCell ref="AF365:AH367"/>
    <mergeCell ref="AF374:AH376"/>
    <mergeCell ref="AI374:AJ376"/>
    <mergeCell ref="AK374:AM376"/>
    <mergeCell ref="J375:L375"/>
    <mergeCell ref="J376:L376"/>
    <mergeCell ref="A377:F379"/>
    <mergeCell ref="G377:I379"/>
    <mergeCell ref="J377:L377"/>
    <mergeCell ref="M377:N379"/>
    <mergeCell ref="O377:Q379"/>
    <mergeCell ref="O374:Q376"/>
    <mergeCell ref="R374:T376"/>
    <mergeCell ref="U374:W376"/>
    <mergeCell ref="X374:Z376"/>
    <mergeCell ref="AA374:AC376"/>
    <mergeCell ref="AD374:AE376"/>
    <mergeCell ref="J372:L372"/>
    <mergeCell ref="J373:L373"/>
    <mergeCell ref="A374:F376"/>
    <mergeCell ref="G374:I376"/>
    <mergeCell ref="J374:L374"/>
    <mergeCell ref="M374:N376"/>
    <mergeCell ref="X371:Z373"/>
    <mergeCell ref="AA371:AC373"/>
    <mergeCell ref="AD371:AE373"/>
    <mergeCell ref="AF371:AH373"/>
    <mergeCell ref="AI371:AJ373"/>
    <mergeCell ref="AK371:AM373"/>
    <mergeCell ref="A401:L401"/>
    <mergeCell ref="M401:AH401"/>
    <mergeCell ref="AI401:AM402"/>
    <mergeCell ref="A402:L402"/>
    <mergeCell ref="M402:AH402"/>
    <mergeCell ref="A403:F405"/>
    <mergeCell ref="G403:I405"/>
    <mergeCell ref="J403:L405"/>
    <mergeCell ref="M403:N405"/>
    <mergeCell ref="O403:Q405"/>
    <mergeCell ref="AI377:AJ379"/>
    <mergeCell ref="AK377:AM379"/>
    <mergeCell ref="J378:L378"/>
    <mergeCell ref="J379:L379"/>
    <mergeCell ref="A400:L400"/>
    <mergeCell ref="M400:AH400"/>
    <mergeCell ref="AI400:AM400"/>
    <mergeCell ref="R377:T379"/>
    <mergeCell ref="U377:W379"/>
    <mergeCell ref="X377:Z379"/>
    <mergeCell ref="AA377:AC379"/>
    <mergeCell ref="AD377:AE379"/>
    <mergeCell ref="AF377:AH379"/>
    <mergeCell ref="AA406:AC408"/>
    <mergeCell ref="AD406:AE408"/>
    <mergeCell ref="AF406:AH408"/>
    <mergeCell ref="AI406:AJ408"/>
    <mergeCell ref="AK406:AM408"/>
    <mergeCell ref="J407:L407"/>
    <mergeCell ref="J408:L408"/>
    <mergeCell ref="AI403:AJ405"/>
    <mergeCell ref="AK403:AM405"/>
    <mergeCell ref="A406:F408"/>
    <mergeCell ref="G406:I408"/>
    <mergeCell ref="J406:L406"/>
    <mergeCell ref="M406:N408"/>
    <mergeCell ref="O406:Q408"/>
    <mergeCell ref="R406:T408"/>
    <mergeCell ref="U406:W408"/>
    <mergeCell ref="X406:Z408"/>
    <mergeCell ref="R403:T405"/>
    <mergeCell ref="U403:W405"/>
    <mergeCell ref="X403:Z405"/>
    <mergeCell ref="AA403:AC405"/>
    <mergeCell ref="AD403:AE405"/>
    <mergeCell ref="AF403:AH405"/>
    <mergeCell ref="AK409:AM411"/>
    <mergeCell ref="J410:L410"/>
    <mergeCell ref="J411:L411"/>
    <mergeCell ref="A412:F414"/>
    <mergeCell ref="G412:I414"/>
    <mergeCell ref="J412:L412"/>
    <mergeCell ref="M412:N414"/>
    <mergeCell ref="O412:Q414"/>
    <mergeCell ref="R412:T414"/>
    <mergeCell ref="U412:W414"/>
    <mergeCell ref="U409:W411"/>
    <mergeCell ref="X409:Z411"/>
    <mergeCell ref="AA409:AC411"/>
    <mergeCell ref="AD409:AE411"/>
    <mergeCell ref="AF409:AH411"/>
    <mergeCell ref="AI409:AJ411"/>
    <mergeCell ref="A409:F411"/>
    <mergeCell ref="G409:I411"/>
    <mergeCell ref="J409:L409"/>
    <mergeCell ref="M409:N411"/>
    <mergeCell ref="O409:Q411"/>
    <mergeCell ref="R409:T411"/>
    <mergeCell ref="AF415:AH417"/>
    <mergeCell ref="AI415:AJ417"/>
    <mergeCell ref="AK415:AM417"/>
    <mergeCell ref="J416:L416"/>
    <mergeCell ref="J417:L417"/>
    <mergeCell ref="A418:F420"/>
    <mergeCell ref="G418:I420"/>
    <mergeCell ref="J418:L418"/>
    <mergeCell ref="M418:N420"/>
    <mergeCell ref="O418:Q420"/>
    <mergeCell ref="O415:Q417"/>
    <mergeCell ref="R415:T417"/>
    <mergeCell ref="U415:W417"/>
    <mergeCell ref="X415:Z417"/>
    <mergeCell ref="AA415:AC417"/>
    <mergeCell ref="AD415:AE417"/>
    <mergeCell ref="J413:L413"/>
    <mergeCell ref="J414:L414"/>
    <mergeCell ref="A415:F417"/>
    <mergeCell ref="G415:I417"/>
    <mergeCell ref="J415:L415"/>
    <mergeCell ref="M415:N417"/>
    <mergeCell ref="X412:Z414"/>
    <mergeCell ref="AA412:AC414"/>
    <mergeCell ref="AD412:AE414"/>
    <mergeCell ref="AF412:AH414"/>
    <mergeCell ref="AI412:AJ414"/>
    <mergeCell ref="AK412:AM414"/>
    <mergeCell ref="AK421:AM423"/>
    <mergeCell ref="J422:L422"/>
    <mergeCell ref="J423:L423"/>
    <mergeCell ref="A424:F426"/>
    <mergeCell ref="G424:I426"/>
    <mergeCell ref="J424:L424"/>
    <mergeCell ref="M424:N426"/>
    <mergeCell ref="O424:Q426"/>
    <mergeCell ref="R424:T426"/>
    <mergeCell ref="U424:W426"/>
    <mergeCell ref="U421:W423"/>
    <mergeCell ref="X421:Z423"/>
    <mergeCell ref="AA421:AC423"/>
    <mergeCell ref="AD421:AE423"/>
    <mergeCell ref="AF421:AH423"/>
    <mergeCell ref="AI421:AJ423"/>
    <mergeCell ref="AI418:AJ420"/>
    <mergeCell ref="AK418:AM420"/>
    <mergeCell ref="J419:L419"/>
    <mergeCell ref="J420:L420"/>
    <mergeCell ref="A421:F423"/>
    <mergeCell ref="G421:I423"/>
    <mergeCell ref="J421:L421"/>
    <mergeCell ref="M421:N423"/>
    <mergeCell ref="O421:Q423"/>
    <mergeCell ref="R421:T423"/>
    <mergeCell ref="R418:T420"/>
    <mergeCell ref="U418:W420"/>
    <mergeCell ref="X418:Z420"/>
    <mergeCell ref="AA418:AC420"/>
    <mergeCell ref="AD418:AE420"/>
    <mergeCell ref="AF418:AH420"/>
    <mergeCell ref="AF427:AH429"/>
    <mergeCell ref="AI427:AJ429"/>
    <mergeCell ref="AK427:AM429"/>
    <mergeCell ref="J428:L428"/>
    <mergeCell ref="J429:L429"/>
    <mergeCell ref="A430:F432"/>
    <mergeCell ref="G430:I432"/>
    <mergeCell ref="J430:L430"/>
    <mergeCell ref="M430:N432"/>
    <mergeCell ref="O430:Q432"/>
    <mergeCell ref="O427:Q429"/>
    <mergeCell ref="R427:T429"/>
    <mergeCell ref="U427:W429"/>
    <mergeCell ref="X427:Z429"/>
    <mergeCell ref="AA427:AC429"/>
    <mergeCell ref="AD427:AE429"/>
    <mergeCell ref="J425:L425"/>
    <mergeCell ref="J426:L426"/>
    <mergeCell ref="A427:F429"/>
    <mergeCell ref="G427:I429"/>
    <mergeCell ref="J427:L427"/>
    <mergeCell ref="M427:N429"/>
    <mergeCell ref="X424:Z426"/>
    <mergeCell ref="AA424:AC426"/>
    <mergeCell ref="AD424:AE426"/>
    <mergeCell ref="AF424:AH426"/>
    <mergeCell ref="AI424:AJ426"/>
    <mergeCell ref="AK424:AM426"/>
    <mergeCell ref="A436:L436"/>
    <mergeCell ref="M436:AH436"/>
    <mergeCell ref="AI436:AM437"/>
    <mergeCell ref="A437:L437"/>
    <mergeCell ref="M437:AH437"/>
    <mergeCell ref="A438:F440"/>
    <mergeCell ref="G438:I440"/>
    <mergeCell ref="J438:L440"/>
    <mergeCell ref="M438:N440"/>
    <mergeCell ref="O438:Q440"/>
    <mergeCell ref="AI430:AJ432"/>
    <mergeCell ref="AK430:AM432"/>
    <mergeCell ref="J431:L431"/>
    <mergeCell ref="J432:L432"/>
    <mergeCell ref="AI435:AM435"/>
    <mergeCell ref="R430:T432"/>
    <mergeCell ref="U430:W432"/>
    <mergeCell ref="X430:Z432"/>
    <mergeCell ref="AA430:AC432"/>
    <mergeCell ref="AD430:AE432"/>
    <mergeCell ref="AF430:AH432"/>
    <mergeCell ref="A444:F446"/>
    <mergeCell ref="G444:I446"/>
    <mergeCell ref="J444:L444"/>
    <mergeCell ref="M444:N446"/>
    <mergeCell ref="O444:Q446"/>
    <mergeCell ref="R444:T446"/>
    <mergeCell ref="AA441:AC443"/>
    <mergeCell ref="AD441:AE443"/>
    <mergeCell ref="AF441:AH443"/>
    <mergeCell ref="AI441:AJ443"/>
    <mergeCell ref="AK441:AM443"/>
    <mergeCell ref="J442:L442"/>
    <mergeCell ref="J443:L443"/>
    <mergeCell ref="AI438:AJ440"/>
    <mergeCell ref="AK438:AM440"/>
    <mergeCell ref="A441:F443"/>
    <mergeCell ref="G441:I443"/>
    <mergeCell ref="J441:L441"/>
    <mergeCell ref="M441:N443"/>
    <mergeCell ref="O441:Q443"/>
    <mergeCell ref="R441:T443"/>
    <mergeCell ref="U441:W443"/>
    <mergeCell ref="X441:Z443"/>
    <mergeCell ref="R438:T440"/>
    <mergeCell ref="U438:W440"/>
    <mergeCell ref="X438:Z440"/>
    <mergeCell ref="AA438:AC440"/>
    <mergeCell ref="AD438:AE440"/>
    <mergeCell ref="AF438:AH440"/>
    <mergeCell ref="J448:L448"/>
    <mergeCell ref="J449:L449"/>
    <mergeCell ref="A453:L453"/>
    <mergeCell ref="M453:AH453"/>
    <mergeCell ref="AI453:AM453"/>
    <mergeCell ref="A454:L454"/>
    <mergeCell ref="M454:AH454"/>
    <mergeCell ref="AI454:AM455"/>
    <mergeCell ref="A455:L455"/>
    <mergeCell ref="M455:AH455"/>
    <mergeCell ref="X447:Z449"/>
    <mergeCell ref="AA447:AC449"/>
    <mergeCell ref="AD447:AE449"/>
    <mergeCell ref="AF447:AH449"/>
    <mergeCell ref="AI447:AJ449"/>
    <mergeCell ref="AK447:AM449"/>
    <mergeCell ref="AK444:AM446"/>
    <mergeCell ref="J445:L445"/>
    <mergeCell ref="J446:L446"/>
    <mergeCell ref="A447:F449"/>
    <mergeCell ref="G447:I449"/>
    <mergeCell ref="J447:L447"/>
    <mergeCell ref="M447:N449"/>
    <mergeCell ref="O447:Q449"/>
    <mergeCell ref="R447:T449"/>
    <mergeCell ref="U447:W449"/>
    <mergeCell ref="U444:W446"/>
    <mergeCell ref="X444:Z446"/>
    <mergeCell ref="AA444:AC446"/>
    <mergeCell ref="AD444:AE446"/>
    <mergeCell ref="AF444:AH446"/>
    <mergeCell ref="AI444:AJ446"/>
    <mergeCell ref="AD459:AE461"/>
    <mergeCell ref="AF459:AH461"/>
    <mergeCell ref="AI459:AJ461"/>
    <mergeCell ref="AK459:AM461"/>
    <mergeCell ref="J460:L460"/>
    <mergeCell ref="J461:L461"/>
    <mergeCell ref="AK456:AM458"/>
    <mergeCell ref="A459:F461"/>
    <mergeCell ref="G459:I461"/>
    <mergeCell ref="J459:L459"/>
    <mergeCell ref="M459:N461"/>
    <mergeCell ref="O459:Q461"/>
    <mergeCell ref="R459:T461"/>
    <mergeCell ref="U459:W461"/>
    <mergeCell ref="X459:Z461"/>
    <mergeCell ref="AA459:AC461"/>
    <mergeCell ref="U456:W458"/>
    <mergeCell ref="X456:Z458"/>
    <mergeCell ref="AA456:AC458"/>
    <mergeCell ref="AD456:AE458"/>
    <mergeCell ref="AF456:AH458"/>
    <mergeCell ref="AI456:AJ458"/>
    <mergeCell ref="A456:F458"/>
    <mergeCell ref="G456:I458"/>
    <mergeCell ref="J456:L458"/>
    <mergeCell ref="M456:N458"/>
    <mergeCell ref="O456:Q458"/>
    <mergeCell ref="R456:T458"/>
    <mergeCell ref="AK462:AM464"/>
    <mergeCell ref="J463:L463"/>
    <mergeCell ref="J464:L464"/>
    <mergeCell ref="A465:F467"/>
    <mergeCell ref="G465:I467"/>
    <mergeCell ref="J465:L465"/>
    <mergeCell ref="M465:N467"/>
    <mergeCell ref="O465:Q467"/>
    <mergeCell ref="R465:T467"/>
    <mergeCell ref="U465:W467"/>
    <mergeCell ref="U462:W464"/>
    <mergeCell ref="X462:Z464"/>
    <mergeCell ref="AA462:AC464"/>
    <mergeCell ref="AD462:AE464"/>
    <mergeCell ref="AF462:AH464"/>
    <mergeCell ref="AI462:AJ464"/>
    <mergeCell ref="A462:F464"/>
    <mergeCell ref="G462:I464"/>
    <mergeCell ref="J462:L462"/>
    <mergeCell ref="M462:N464"/>
    <mergeCell ref="O462:Q464"/>
    <mergeCell ref="R462:T464"/>
    <mergeCell ref="AF468:AH470"/>
    <mergeCell ref="AI468:AJ470"/>
    <mergeCell ref="AK468:AM470"/>
    <mergeCell ref="J469:L469"/>
    <mergeCell ref="J470:L470"/>
    <mergeCell ref="A471:F473"/>
    <mergeCell ref="G471:I473"/>
    <mergeCell ref="J471:L471"/>
    <mergeCell ref="M471:N473"/>
    <mergeCell ref="O471:Q473"/>
    <mergeCell ref="O468:Q470"/>
    <mergeCell ref="R468:T470"/>
    <mergeCell ref="U468:W470"/>
    <mergeCell ref="X468:Z470"/>
    <mergeCell ref="AA468:AC470"/>
    <mergeCell ref="AD468:AE470"/>
    <mergeCell ref="J466:L466"/>
    <mergeCell ref="J467:L467"/>
    <mergeCell ref="A468:F470"/>
    <mergeCell ref="G468:I470"/>
    <mergeCell ref="J468:L468"/>
    <mergeCell ref="M468:N470"/>
    <mergeCell ref="X465:Z467"/>
    <mergeCell ref="AA465:AC467"/>
    <mergeCell ref="AD465:AE467"/>
    <mergeCell ref="AF465:AH467"/>
    <mergeCell ref="AI465:AJ467"/>
    <mergeCell ref="AK465:AM467"/>
    <mergeCell ref="AK474:AM476"/>
    <mergeCell ref="J475:L475"/>
    <mergeCell ref="J476:L476"/>
    <mergeCell ref="A477:F479"/>
    <mergeCell ref="G477:I479"/>
    <mergeCell ref="J477:L477"/>
    <mergeCell ref="M477:N479"/>
    <mergeCell ref="O477:Q479"/>
    <mergeCell ref="R477:T479"/>
    <mergeCell ref="U477:W479"/>
    <mergeCell ref="U474:W476"/>
    <mergeCell ref="X474:Z476"/>
    <mergeCell ref="AA474:AC476"/>
    <mergeCell ref="AD474:AE476"/>
    <mergeCell ref="AF474:AH476"/>
    <mergeCell ref="AI474:AJ476"/>
    <mergeCell ref="AI471:AJ473"/>
    <mergeCell ref="AK471:AM473"/>
    <mergeCell ref="J472:L472"/>
    <mergeCell ref="J473:L473"/>
    <mergeCell ref="A474:F476"/>
    <mergeCell ref="G474:I476"/>
    <mergeCell ref="J474:L474"/>
    <mergeCell ref="M474:N476"/>
    <mergeCell ref="O474:Q476"/>
    <mergeCell ref="R474:T476"/>
    <mergeCell ref="R471:T473"/>
    <mergeCell ref="U471:W473"/>
    <mergeCell ref="X471:Z473"/>
    <mergeCell ref="AA471:AC473"/>
    <mergeCell ref="AD471:AE473"/>
    <mergeCell ref="AF471:AH473"/>
    <mergeCell ref="AF480:AH482"/>
    <mergeCell ref="AI480:AJ482"/>
    <mergeCell ref="AK480:AM482"/>
    <mergeCell ref="J481:L481"/>
    <mergeCell ref="J482:L482"/>
    <mergeCell ref="A483:F485"/>
    <mergeCell ref="G483:I485"/>
    <mergeCell ref="J483:L483"/>
    <mergeCell ref="M483:N485"/>
    <mergeCell ref="O483:Q485"/>
    <mergeCell ref="O480:Q482"/>
    <mergeCell ref="R480:T482"/>
    <mergeCell ref="U480:W482"/>
    <mergeCell ref="X480:Z482"/>
    <mergeCell ref="AA480:AC482"/>
    <mergeCell ref="AD480:AE482"/>
    <mergeCell ref="J478:L478"/>
    <mergeCell ref="J479:L479"/>
    <mergeCell ref="A480:F482"/>
    <mergeCell ref="G480:I482"/>
    <mergeCell ref="J480:L480"/>
    <mergeCell ref="M480:N482"/>
    <mergeCell ref="X477:Z479"/>
    <mergeCell ref="AA477:AC479"/>
    <mergeCell ref="AD477:AE479"/>
    <mergeCell ref="AF477:AH479"/>
    <mergeCell ref="AI477:AJ479"/>
    <mergeCell ref="AK477:AM479"/>
    <mergeCell ref="A507:L507"/>
    <mergeCell ref="M507:AH507"/>
    <mergeCell ref="AI507:AM508"/>
    <mergeCell ref="A508:L508"/>
    <mergeCell ref="M508:AH508"/>
    <mergeCell ref="A509:F511"/>
    <mergeCell ref="G509:I511"/>
    <mergeCell ref="J509:L511"/>
    <mergeCell ref="M509:N511"/>
    <mergeCell ref="O509:Q511"/>
    <mergeCell ref="AI483:AJ485"/>
    <mergeCell ref="AK483:AM485"/>
    <mergeCell ref="J484:L484"/>
    <mergeCell ref="J485:L485"/>
    <mergeCell ref="A506:L506"/>
    <mergeCell ref="M506:AH506"/>
    <mergeCell ref="AI506:AM506"/>
    <mergeCell ref="R483:T485"/>
    <mergeCell ref="U483:W485"/>
    <mergeCell ref="X483:Z485"/>
    <mergeCell ref="AA483:AC485"/>
    <mergeCell ref="AD483:AE485"/>
    <mergeCell ref="AF483:AH485"/>
    <mergeCell ref="O515:Q517"/>
    <mergeCell ref="R515:T517"/>
    <mergeCell ref="AA512:AC514"/>
    <mergeCell ref="AD512:AE514"/>
    <mergeCell ref="AF512:AH514"/>
    <mergeCell ref="AI512:AJ514"/>
    <mergeCell ref="AK512:AM514"/>
    <mergeCell ref="J513:L513"/>
    <mergeCell ref="J514:L514"/>
    <mergeCell ref="AI509:AJ511"/>
    <mergeCell ref="AK509:AM511"/>
    <mergeCell ref="A512:F514"/>
    <mergeCell ref="G512:I514"/>
    <mergeCell ref="J512:L512"/>
    <mergeCell ref="M512:N514"/>
    <mergeCell ref="O512:Q514"/>
    <mergeCell ref="R512:T514"/>
    <mergeCell ref="U512:W514"/>
    <mergeCell ref="X512:Z514"/>
    <mergeCell ref="R509:T511"/>
    <mergeCell ref="U509:W511"/>
    <mergeCell ref="X509:Z511"/>
    <mergeCell ref="AA509:AC511"/>
    <mergeCell ref="AD509:AE511"/>
    <mergeCell ref="AF509:AH511"/>
    <mergeCell ref="J519:L519"/>
    <mergeCell ref="J520:L520"/>
    <mergeCell ref="A521:F523"/>
    <mergeCell ref="G521:I523"/>
    <mergeCell ref="J521:L521"/>
    <mergeCell ref="M521:N523"/>
    <mergeCell ref="X518:Z520"/>
    <mergeCell ref="AA518:AC520"/>
    <mergeCell ref="AD518:AE520"/>
    <mergeCell ref="AF518:AH520"/>
    <mergeCell ref="AI518:AJ520"/>
    <mergeCell ref="AK518:AM520"/>
    <mergeCell ref="AK515:AM517"/>
    <mergeCell ref="J516:L516"/>
    <mergeCell ref="J517:L517"/>
    <mergeCell ref="A518:F520"/>
    <mergeCell ref="G518:I520"/>
    <mergeCell ref="J518:L518"/>
    <mergeCell ref="M518:N520"/>
    <mergeCell ref="O518:Q520"/>
    <mergeCell ref="R518:T520"/>
    <mergeCell ref="U518:W520"/>
    <mergeCell ref="U515:W517"/>
    <mergeCell ref="X515:Z517"/>
    <mergeCell ref="AA515:AC517"/>
    <mergeCell ref="AD515:AE517"/>
    <mergeCell ref="AF515:AH517"/>
    <mergeCell ref="AI515:AJ517"/>
    <mergeCell ref="A515:F517"/>
    <mergeCell ref="G515:I517"/>
    <mergeCell ref="J515:L515"/>
    <mergeCell ref="M515:N517"/>
    <mergeCell ref="AI524:AJ526"/>
    <mergeCell ref="AK524:AM526"/>
    <mergeCell ref="J525:L525"/>
    <mergeCell ref="J526:L526"/>
    <mergeCell ref="A527:F529"/>
    <mergeCell ref="G527:I529"/>
    <mergeCell ref="J527:L527"/>
    <mergeCell ref="M527:N529"/>
    <mergeCell ref="O527:Q529"/>
    <mergeCell ref="R527:T529"/>
    <mergeCell ref="R524:T526"/>
    <mergeCell ref="U524:W526"/>
    <mergeCell ref="X524:Z526"/>
    <mergeCell ref="AA524:AC526"/>
    <mergeCell ref="AD524:AE526"/>
    <mergeCell ref="AF524:AH526"/>
    <mergeCell ref="AF521:AH523"/>
    <mergeCell ref="AI521:AJ523"/>
    <mergeCell ref="AK521:AM523"/>
    <mergeCell ref="J522:L522"/>
    <mergeCell ref="J523:L523"/>
    <mergeCell ref="A524:F526"/>
    <mergeCell ref="G524:I526"/>
    <mergeCell ref="J524:L524"/>
    <mergeCell ref="M524:N526"/>
    <mergeCell ref="O524:Q526"/>
    <mergeCell ref="O521:Q523"/>
    <mergeCell ref="R521:T523"/>
    <mergeCell ref="U521:W523"/>
    <mergeCell ref="X521:Z523"/>
    <mergeCell ref="AA521:AC523"/>
    <mergeCell ref="AD521:AE523"/>
    <mergeCell ref="J533:L533"/>
    <mergeCell ref="M533:N535"/>
    <mergeCell ref="X530:Z532"/>
    <mergeCell ref="AA530:AC532"/>
    <mergeCell ref="AD530:AE532"/>
    <mergeCell ref="AF530:AH532"/>
    <mergeCell ref="AI530:AJ532"/>
    <mergeCell ref="AK530:AM532"/>
    <mergeCell ref="AK527:AM529"/>
    <mergeCell ref="J528:L528"/>
    <mergeCell ref="J529:L529"/>
    <mergeCell ref="A530:F532"/>
    <mergeCell ref="G530:I532"/>
    <mergeCell ref="J530:L530"/>
    <mergeCell ref="M530:N532"/>
    <mergeCell ref="O530:Q532"/>
    <mergeCell ref="R530:T532"/>
    <mergeCell ref="U530:W532"/>
    <mergeCell ref="U527:W529"/>
    <mergeCell ref="X527:Z529"/>
    <mergeCell ref="AA527:AC529"/>
    <mergeCell ref="AD527:AE529"/>
    <mergeCell ref="AF527:AH529"/>
    <mergeCell ref="AI527:AJ529"/>
    <mergeCell ref="A169:AH169"/>
    <mergeCell ref="A435:AH435"/>
    <mergeCell ref="AI536:AJ538"/>
    <mergeCell ref="AK536:AM538"/>
    <mergeCell ref="J537:L537"/>
    <mergeCell ref="J538:L538"/>
    <mergeCell ref="R536:T538"/>
    <mergeCell ref="U536:W538"/>
    <mergeCell ref="X536:Z538"/>
    <mergeCell ref="AA536:AC538"/>
    <mergeCell ref="AD536:AE538"/>
    <mergeCell ref="AF536:AH538"/>
    <mergeCell ref="AF533:AH535"/>
    <mergeCell ref="AI533:AJ535"/>
    <mergeCell ref="AK533:AM535"/>
    <mergeCell ref="J534:L534"/>
    <mergeCell ref="J535:L535"/>
    <mergeCell ref="A536:F538"/>
    <mergeCell ref="G536:I538"/>
    <mergeCell ref="J536:L536"/>
    <mergeCell ref="M536:N538"/>
    <mergeCell ref="O536:Q538"/>
    <mergeCell ref="O533:Q535"/>
    <mergeCell ref="R533:T535"/>
    <mergeCell ref="U533:W535"/>
    <mergeCell ref="X533:Z535"/>
    <mergeCell ref="AA533:AC535"/>
    <mergeCell ref="AD533:AE535"/>
    <mergeCell ref="J531:L531"/>
    <mergeCell ref="J532:L532"/>
    <mergeCell ref="A533:F535"/>
    <mergeCell ref="G533:I535"/>
    <mergeCell ref="B598:K598"/>
    <mergeCell ref="L598:N598"/>
    <mergeCell ref="O598:Q598"/>
    <mergeCell ref="R598:U598"/>
    <mergeCell ref="V598:W598"/>
    <mergeCell ref="X598:AA598"/>
    <mergeCell ref="AB598:AE598"/>
    <mergeCell ref="AF598:AI598"/>
    <mergeCell ref="AJ598:AM598"/>
    <mergeCell ref="B599:K599"/>
    <mergeCell ref="L599:N599"/>
    <mergeCell ref="O599:Q599"/>
    <mergeCell ref="R599:U599"/>
    <mergeCell ref="V599:W599"/>
    <mergeCell ref="X599:AA599"/>
    <mergeCell ref="AB599:AE599"/>
    <mergeCell ref="AF599:AI599"/>
    <mergeCell ref="AJ599:AM599"/>
  </mergeCells>
  <hyperlinks>
    <hyperlink ref="G11" r:id="rId1" xr:uid="{D28B2365-6F31-F349-8BA5-9DFB91E17E8C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65B8-41EE-A24B-902B-AB5ECA523C70}">
  <dimension ref="A1:AM227"/>
  <sheetViews>
    <sheetView view="pageLayout" zoomScale="140" zoomScaleNormal="100" zoomScalePageLayoutView="140" workbookViewId="0">
      <selection activeCell="AC27" sqref="AC27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Targu Jiu Development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nr.29,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RO30832015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J40/12446/2012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RO46 RZBR 0000 0600 1747 2660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9/22.12.2023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30/28.02.2024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13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AB227</f>
        <v>391584.56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AF227</f>
        <v>74401.06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AJ227</f>
        <v>465985.62000000011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465985.62000000011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R190+R204+R205+R208</f>
        <v>401557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1.1604470100135227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VLOOKUP($AA$16,'Date SPV'!$B:$H,4,FALSE)</f>
        <v>Strada Termocentralei, nr. 10, loc. Targu Jiu, jud. Gorj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5000395813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_xlfn.CONCAT(AA16,"_",1)</f>
        <v>RTJD_1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59401030000224144171589916/1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RTJD_1.1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1371034845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2938670 (citit)</v>
      </c>
      <c r="S41" s="647"/>
      <c r="T41" s="647"/>
      <c r="U41" s="647" t="str">
        <f>VLOOKUP(A41,Regularizare!$D:$U,4,FALSE)&amp;" ("&amp;VLOOKUP(A41,Regularizare!$D:$U,12,FALSE)&amp;")"</f>
        <v>3071645 (estimat)</v>
      </c>
      <c r="V41" s="647"/>
      <c r="W41" s="647"/>
      <c r="X41" s="647" t="str">
        <f>VLOOKUP(A41,Regularizare!$D:$Y,19,FALSE)&amp;" ("&amp;VLOOKUP(A41,Regularizare!$D:$U,12,FALSE)&amp;")"</f>
        <v>132975 (estimat)</v>
      </c>
      <c r="Y41" s="647"/>
      <c r="Z41" s="647"/>
      <c r="AA41" s="647">
        <f>(-1)*VLOOKUP(A41,Regularizare!$D:$Y,19,FALSE)</f>
        <v>-132975</v>
      </c>
      <c r="AB41" s="647"/>
      <c r="AC41" s="647"/>
      <c r="AD41" s="647" t="s">
        <v>69</v>
      </c>
      <c r="AE41" s="647"/>
      <c r="AF41" s="647">
        <f>AA41</f>
        <v>-132975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1371034845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313261 (citit)</v>
      </c>
      <c r="S44" s="647"/>
      <c r="T44" s="647"/>
      <c r="U44" s="647" t="str">
        <f>VLOOKUP(A44,Regularizare!$D:$U,8,FALSE)&amp;" ("&amp;VLOOKUP(A44,Regularizare!$D:$U,16,FALSE)&amp;")"</f>
        <v>313261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1371034845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3526 (citit)</v>
      </c>
      <c r="S47" s="647"/>
      <c r="T47" s="647"/>
      <c r="U47" s="647" t="str">
        <f>VLOOKUP(A47,Regularizare!$D:$U,10,FALSE)&amp;" ("&amp;VLOOKUP(A47,Regularizare!$D:$U,18,FALSE)&amp;")"</f>
        <v>3526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1371034845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2938670 (citit)</v>
      </c>
      <c r="S50" s="647"/>
      <c r="T50" s="647"/>
      <c r="U50" s="647" t="str">
        <f>VLOOKUP(A50,Regularizare!$D:$AX,25,FALSE)&amp;" ("&amp;VLOOKUP(A50,Regularizare!$D:$AX,26,FALSE)&amp;")"</f>
        <v>3071645 (citit)</v>
      </c>
      <c r="V50" s="647"/>
      <c r="W50" s="647"/>
      <c r="X50" s="647" t="str">
        <f>VLOOKUP(A50,Regularizare!$D:$AX,37,FALSE)&amp;" ("&amp;VLOOKUP(A50,Regularizare!$D:$AX,26,FALSE)&amp;")"</f>
        <v>132975 (citit)</v>
      </c>
      <c r="Y50" s="647"/>
      <c r="Z50" s="647"/>
      <c r="AA50" s="647">
        <f>VLOOKUP(A50,Regularizare!$D:$AX,37,FALSE)</f>
        <v>132975</v>
      </c>
      <c r="AB50" s="647"/>
      <c r="AC50" s="647"/>
      <c r="AD50" s="647" t="s">
        <v>69</v>
      </c>
      <c r="AE50" s="647"/>
      <c r="AF50" s="647">
        <f>AA50</f>
        <v>132975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1371034845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313261 (citit)</v>
      </c>
      <c r="S53" s="647"/>
      <c r="T53" s="647"/>
      <c r="U53" s="647" t="str">
        <f>VLOOKUP(A53,Regularizare!$D:$AX,31,FALSE)&amp;" ("&amp;VLOOKUP(A53,Regularizare!$D:$AX,32,FALSE)&amp;")"</f>
        <v>313261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1371034845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3526 (citit)</v>
      </c>
      <c r="S56" s="647"/>
      <c r="T56" s="647"/>
      <c r="U56" s="647" t="str">
        <f>VLOOKUP(A56,Regularizare!$D:$AX,35,FALSE)&amp;" ("&amp;VLOOKUP(A56,Regularizare!$D:$AX,36,FALSE)&amp;")"</f>
        <v>3526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1371034845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3071645 (citit)</v>
      </c>
      <c r="S59" s="647"/>
      <c r="T59" s="647"/>
      <c r="U59" s="647" t="str">
        <f>VLOOKUP(A59,'Incrementare indexe'!$D:$M,4,FALSE)&amp;" (estimat)"</f>
        <v>3199478 (estimat)</v>
      </c>
      <c r="V59" s="647"/>
      <c r="W59" s="647"/>
      <c r="X59" s="647" t="str">
        <f>VLOOKUP(A59,'Incrementare indexe'!$D:$Q,11,FALSE)&amp;" (estimat)"</f>
        <v>127833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127833</v>
      </c>
      <c r="AG59" s="647"/>
      <c r="AH59" s="647"/>
      <c r="AI59" s="647">
        <f>J61-J59+1</f>
        <v>31</v>
      </c>
      <c r="AJ59" s="647"/>
      <c r="AK59" s="647">
        <f>ROUND(AF59/AI59,2)</f>
        <v>4123.6499999999996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1371034845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313261 (citit)</v>
      </c>
      <c r="S62" s="647"/>
      <c r="T62" s="647"/>
      <c r="U62" s="647" t="str">
        <f>VLOOKUP(A62,'Incrementare indexe'!$D:$M,8,FALSE)&amp;" (estimat)"</f>
        <v>313261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1371034845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3526 (citit)</v>
      </c>
      <c r="S65" s="647"/>
      <c r="T65" s="647"/>
      <c r="U65" s="647" t="str">
        <f>VLOOKUP(A65,'Incrementare indexe'!$D:$M,10,FALSE)&amp;" (estimat)"</f>
        <v>3526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59401030000224144171589916/2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_xlfn.CONCAT(AA32,".",2)</f>
        <v>RTJD_1.2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VLOOKUP(AI82,'Contorizare in SDI'!$E:$I,5,FALSE)</f>
        <v>1371022908</v>
      </c>
      <c r="B87" s="679"/>
      <c r="C87" s="679"/>
      <c r="D87" s="679"/>
      <c r="E87" s="679"/>
      <c r="F87" s="680"/>
      <c r="G87" s="648" t="s">
        <v>730</v>
      </c>
      <c r="H87" s="648"/>
      <c r="I87" s="673"/>
      <c r="J87" s="655">
        <f>'Date masura OD'!$AK$5</f>
        <v>45748</v>
      </c>
      <c r="K87" s="656"/>
      <c r="L87" s="657"/>
      <c r="M87" s="720" t="s">
        <v>446</v>
      </c>
      <c r="N87" s="648"/>
      <c r="O87" s="648">
        <f>VLOOKUP(AI82,'Incrementare indexe'!$B:$T,4,FALSE)</f>
        <v>1</v>
      </c>
      <c r="P87" s="648"/>
      <c r="Q87" s="648"/>
      <c r="R87" s="647" t="str">
        <f>VLOOKUP(A87,Regularizare!$D:$YN,3,FALSE)&amp;" ("&amp;VLOOKUP(A87,Regularizare!$D:$Y,11,FALSE)&amp;")"</f>
        <v>4956440 (citit)</v>
      </c>
      <c r="S87" s="647"/>
      <c r="T87" s="647"/>
      <c r="U87" s="647" t="str">
        <f>VLOOKUP(A87,Regularizare!$D:$U,4,FALSE)&amp;" ("&amp;VLOOKUP(A87,Regularizare!$D:$U,12,FALSE)&amp;")"</f>
        <v>5113217 (estimat)</v>
      </c>
      <c r="V87" s="647"/>
      <c r="W87" s="647"/>
      <c r="X87" s="647" t="str">
        <f>VLOOKUP(A87,Regularizare!$D:$Y,19,FALSE)&amp;" ("&amp;VLOOKUP(A87,Regularizare!$D:$U,12,FALSE)&amp;")"</f>
        <v>156777 (estimat)</v>
      </c>
      <c r="Y87" s="647"/>
      <c r="Z87" s="647"/>
      <c r="AA87" s="647">
        <f>(-1)*VLOOKUP(A87,Regularizare!$D:$Y,19,FALSE)</f>
        <v>-156777</v>
      </c>
      <c r="AB87" s="647"/>
      <c r="AC87" s="647"/>
      <c r="AD87" s="647" t="s">
        <v>69</v>
      </c>
      <c r="AE87" s="647"/>
      <c r="AF87" s="647">
        <f>AA87</f>
        <v>-156777</v>
      </c>
      <c r="AG87" s="647"/>
      <c r="AH87" s="647"/>
      <c r="AI87" s="647" t="s">
        <v>69</v>
      </c>
      <c r="AJ87" s="647"/>
      <c r="AK87" s="647" t="s">
        <v>69</v>
      </c>
      <c r="AL87" s="647"/>
      <c r="AM87" s="647"/>
    </row>
    <row r="88" spans="1:39" ht="9.75" customHeight="1">
      <c r="A88" s="717"/>
      <c r="B88" s="718"/>
      <c r="C88" s="718"/>
      <c r="D88" s="718"/>
      <c r="E88" s="718"/>
      <c r="F88" s="719"/>
      <c r="G88" s="648"/>
      <c r="H88" s="648"/>
      <c r="I88" s="673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8"/>
      <c r="H89" s="648"/>
      <c r="I89" s="673"/>
      <c r="J89" s="714">
        <f>'Date masura OD'!$AL$5</f>
        <v>45777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1371022908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45748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tr">
        <f>VLOOKUP(A90,Regularizare!$D:$U,7,FALSE)&amp;" ("&amp;VLOOKUP(A90,Regularizare!$D:$U,15,FALSE)&amp;")"</f>
        <v>244391 (citit)</v>
      </c>
      <c r="S90" s="647"/>
      <c r="T90" s="647"/>
      <c r="U90" s="647" t="str">
        <f>VLOOKUP(A90,Regularizare!$D:$U,8,FALSE)&amp;" ("&amp;VLOOKUP(A90,Regularizare!$D:$U,16,FALSE)&amp;")"</f>
        <v>244391 (estimat)</v>
      </c>
      <c r="V90" s="647"/>
      <c r="W90" s="647"/>
      <c r="X90" s="647" t="str">
        <f>_xlfn.CONCAT(VLOOKUP(A90,Regularizare!$D:$U,8,FALSE)-VLOOKUP(A90,Regularizare!$D:$U,7,FALSE)," (",VLOOKUP(A90,Regularizare!$D:$U,16,FALSE),")")</f>
        <v>0 (estimat)</v>
      </c>
      <c r="Y90" s="647"/>
      <c r="Z90" s="647"/>
      <c r="AA90" s="647">
        <f>IF(VLOOKUP(A90,Regularizare!$D:$Y,21,FALSE)=0,VLOOKUP(A90,Regularizare!$D:$Y,21,FALSE),(-1)*VLOOKUP(A90,Regularizare!$D:$Y,21,FALSE))</f>
        <v>0</v>
      </c>
      <c r="AB90" s="647"/>
      <c r="AC90" s="647"/>
      <c r="AD90" s="647" t="s">
        <v>69</v>
      </c>
      <c r="AE90" s="647"/>
      <c r="AF90" s="647">
        <f>AA90</f>
        <v>0</v>
      </c>
      <c r="AG90" s="647"/>
      <c r="AH90" s="647"/>
      <c r="AI90" s="647" t="str">
        <f>AI87</f>
        <v>-</v>
      </c>
      <c r="AJ90" s="647"/>
      <c r="AK90" s="647" t="str">
        <f>AK87</f>
        <v>-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45777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1371022908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45748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tr">
        <f>VLOOKUP(A93,Regularizare!$D:$U,9,FALSE)&amp;" ("&amp;VLOOKUP(A93,Regularizare!$D:$U,17,FALSE)&amp;")"</f>
        <v>105113 (citit)</v>
      </c>
      <c r="S93" s="647"/>
      <c r="T93" s="647"/>
      <c r="U93" s="647" t="str">
        <f>VLOOKUP(A93,Regularizare!$D:$U,10,FALSE)&amp;" ("&amp;VLOOKUP(A93,Regularizare!$D:$U,18,FALSE)&amp;")"</f>
        <v>105113 (estimat)</v>
      </c>
      <c r="V93" s="647"/>
      <c r="W93" s="647"/>
      <c r="X93" s="647" t="str">
        <f>_xlfn.CONCAT(VLOOKUP(A93,Regularizare!$D:$U,10,FALSE)-VLOOKUP(A93,Regularizare!$D:$U,9,FALSE)," (",VLOOKUP(A93,Regularizare!$D:$U,18,FALSE),")")</f>
        <v>0 (estimat)</v>
      </c>
      <c r="Y93" s="647"/>
      <c r="Z93" s="647"/>
      <c r="AA93" s="647">
        <f>IF(VLOOKUP(A93,Regularizare!$D:$Y,22,FALSE)=0,VLOOKUP(A93,Regularizare!$D:$Y,22,FALSE),(-1)*VLOOKUP(A93,Regularizare!$D:$Y,22,FALSE))</f>
        <v>0</v>
      </c>
      <c r="AB93" s="647"/>
      <c r="AC93" s="647"/>
      <c r="AD93" s="647" t="s">
        <v>69</v>
      </c>
      <c r="AE93" s="647"/>
      <c r="AF93" s="647">
        <f>AA93</f>
        <v>0</v>
      </c>
      <c r="AG93" s="647"/>
      <c r="AH93" s="647"/>
      <c r="AI93" s="647" t="str">
        <f>AI90</f>
        <v>-</v>
      </c>
      <c r="AJ93" s="647"/>
      <c r="AK93" s="647" t="str">
        <f>AK90</f>
        <v>-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45777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78">
        <f>A93</f>
        <v>1371022908</v>
      </c>
      <c r="B96" s="679"/>
      <c r="C96" s="679"/>
      <c r="D96" s="679"/>
      <c r="E96" s="679"/>
      <c r="F96" s="680"/>
      <c r="G96" s="648" t="s">
        <v>730</v>
      </c>
      <c r="H96" s="648"/>
      <c r="I96" s="673"/>
      <c r="J96" s="655">
        <f>'Date masura OD'!$AK$5</f>
        <v>45748</v>
      </c>
      <c r="K96" s="656"/>
      <c r="L96" s="657"/>
      <c r="M96" s="720" t="s">
        <v>446</v>
      </c>
      <c r="N96" s="648"/>
      <c r="O96" s="648">
        <f>O93</f>
        <v>1</v>
      </c>
      <c r="P96" s="648"/>
      <c r="Q96" s="648"/>
      <c r="R96" s="647" t="str">
        <f>VLOOKUP(A96,Regularizare!$D:$AX,23,FALSE)&amp;" ("&amp;VLOOKUP(A96,Regularizare!$D:$AX,24,FALSE)&amp;")"</f>
        <v>4956440 (citit)</v>
      </c>
      <c r="S96" s="647"/>
      <c r="T96" s="647"/>
      <c r="U96" s="647" t="str">
        <f>VLOOKUP(A96,Regularizare!$D:$AX,25,FALSE)&amp;" ("&amp;VLOOKUP(A96,Regularizare!$D:$AX,26,FALSE)&amp;")"</f>
        <v>5113217 (citit)</v>
      </c>
      <c r="V96" s="647"/>
      <c r="W96" s="647"/>
      <c r="X96" s="647" t="str">
        <f>VLOOKUP(A96,Regularizare!$D:$AX,37,FALSE)&amp;" ("&amp;VLOOKUP(A96,Regularizare!$D:$AX,26,FALSE)&amp;")"</f>
        <v>156777 (citit)</v>
      </c>
      <c r="Y96" s="647"/>
      <c r="Z96" s="647"/>
      <c r="AA96" s="647">
        <f>VLOOKUP(A96,Regularizare!$D:$AX,37,FALSE)</f>
        <v>156777</v>
      </c>
      <c r="AB96" s="647"/>
      <c r="AC96" s="647"/>
      <c r="AD96" s="647" t="s">
        <v>69</v>
      </c>
      <c r="AE96" s="647"/>
      <c r="AF96" s="647">
        <f>AA96</f>
        <v>156777</v>
      </c>
      <c r="AG96" s="647"/>
      <c r="AH96" s="647"/>
      <c r="AI96" s="647" t="str">
        <f>AI93</f>
        <v>-</v>
      </c>
      <c r="AJ96" s="647"/>
      <c r="AK96" s="647" t="str">
        <f>AK93</f>
        <v>-</v>
      </c>
      <c r="AL96" s="647"/>
      <c r="AM96" s="647"/>
    </row>
    <row r="97" spans="1:39" ht="8.4499999999999993" customHeight="1">
      <c r="A97" s="717"/>
      <c r="B97" s="718"/>
      <c r="C97" s="718"/>
      <c r="D97" s="718"/>
      <c r="E97" s="718"/>
      <c r="F97" s="719"/>
      <c r="G97" s="648"/>
      <c r="H97" s="648"/>
      <c r="I97" s="673"/>
      <c r="J97" s="717" t="s">
        <v>69</v>
      </c>
      <c r="K97" s="718"/>
      <c r="L97" s="719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1"/>
      <c r="B98" s="682"/>
      <c r="C98" s="682"/>
      <c r="D98" s="682"/>
      <c r="E98" s="682"/>
      <c r="F98" s="683"/>
      <c r="G98" s="648"/>
      <c r="H98" s="648"/>
      <c r="I98" s="673"/>
      <c r="J98" s="714">
        <f>'Date masura OD'!$AL$5</f>
        <v>45777</v>
      </c>
      <c r="K98" s="715"/>
      <c r="L98" s="716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78">
        <f>A96</f>
        <v>1371022908</v>
      </c>
      <c r="B99" s="679"/>
      <c r="C99" s="679"/>
      <c r="D99" s="679"/>
      <c r="E99" s="679"/>
      <c r="F99" s="680"/>
      <c r="G99" s="648" t="s">
        <v>696</v>
      </c>
      <c r="H99" s="648"/>
      <c r="I99" s="648"/>
      <c r="J99" s="655">
        <f t="shared" ref="J99:J104" si="4">J96</f>
        <v>45748</v>
      </c>
      <c r="K99" s="656"/>
      <c r="L99" s="657"/>
      <c r="M99" s="648" t="s">
        <v>720</v>
      </c>
      <c r="N99" s="648"/>
      <c r="O99" s="648">
        <f>O96</f>
        <v>1</v>
      </c>
      <c r="P99" s="648"/>
      <c r="Q99" s="648"/>
      <c r="R99" s="647" t="str">
        <f>VLOOKUP(A99,Regularizare!$D:$AX,29,FALSE)&amp;" ("&amp;VLOOKUP(A99,Regularizare!$D:$AX,30,FALSE)&amp;")"</f>
        <v>244391 (citit)</v>
      </c>
      <c r="S99" s="647"/>
      <c r="T99" s="647"/>
      <c r="U99" s="647" t="str">
        <f>VLOOKUP(A99,Regularizare!$D:$AX,31,FALSE)&amp;" ("&amp;VLOOKUP(A99,Regularizare!$D:$AX,32,FALSE)&amp;")"</f>
        <v>244391 (citit)</v>
      </c>
      <c r="V99" s="647"/>
      <c r="W99" s="647"/>
      <c r="X99" s="647" t="str">
        <f>VLOOKUP(A99,Regularizare!$D:$AX,39,FALSE)&amp;" ("&amp;VLOOKUP(A99,Regularizare!$D:$AX,32,FALSE)&amp;")"</f>
        <v>0 (citit)</v>
      </c>
      <c r="Y99" s="647"/>
      <c r="Z99" s="647"/>
      <c r="AA99" s="647">
        <f>VLOOKUP(A99,Regularizare!$D:$AX,44,FALSE)+VLOOKUP(A99,Regularizare!$D:$AX,45,FALSE)</f>
        <v>0</v>
      </c>
      <c r="AB99" s="647"/>
      <c r="AC99" s="647"/>
      <c r="AD99" s="647" t="s">
        <v>69</v>
      </c>
      <c r="AE99" s="647"/>
      <c r="AF99" s="647">
        <f>AA99</f>
        <v>0</v>
      </c>
      <c r="AG99" s="647"/>
      <c r="AH99" s="647"/>
      <c r="AI99" s="647" t="str">
        <f>AI96</f>
        <v>-</v>
      </c>
      <c r="AJ99" s="647"/>
      <c r="AK99" s="647" t="str">
        <f>AK96</f>
        <v>-</v>
      </c>
      <c r="AL99" s="647"/>
      <c r="AM99" s="647"/>
    </row>
    <row r="100" spans="1:39" ht="8.4499999999999993" customHeight="1">
      <c r="A100" s="717"/>
      <c r="B100" s="718"/>
      <c r="C100" s="718"/>
      <c r="D100" s="718"/>
      <c r="E100" s="718"/>
      <c r="F100" s="719"/>
      <c r="G100" s="648"/>
      <c r="H100" s="648"/>
      <c r="I100" s="648"/>
      <c r="J100" s="717" t="str">
        <f t="shared" si="4"/>
        <v>-</v>
      </c>
      <c r="K100" s="718"/>
      <c r="L100" s="719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1"/>
      <c r="B101" s="682"/>
      <c r="C101" s="682"/>
      <c r="D101" s="682"/>
      <c r="E101" s="682"/>
      <c r="F101" s="683"/>
      <c r="G101" s="648"/>
      <c r="H101" s="648"/>
      <c r="I101" s="648"/>
      <c r="J101" s="714">
        <f t="shared" si="4"/>
        <v>45777</v>
      </c>
      <c r="K101" s="715"/>
      <c r="L101" s="716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78">
        <f>A99</f>
        <v>1371022908</v>
      </c>
      <c r="B102" s="679"/>
      <c r="C102" s="679"/>
      <c r="D102" s="679"/>
      <c r="E102" s="679"/>
      <c r="F102" s="680"/>
      <c r="G102" s="648" t="s">
        <v>731</v>
      </c>
      <c r="H102" s="648"/>
      <c r="I102" s="648"/>
      <c r="J102" s="655">
        <f t="shared" si="4"/>
        <v>45748</v>
      </c>
      <c r="K102" s="656"/>
      <c r="L102" s="657"/>
      <c r="M102" s="648" t="s">
        <v>720</v>
      </c>
      <c r="N102" s="648"/>
      <c r="O102" s="648">
        <f>O99</f>
        <v>1</v>
      </c>
      <c r="P102" s="648"/>
      <c r="Q102" s="648"/>
      <c r="R102" s="647" t="str">
        <f>VLOOKUP(A102,Regularizare!$D:$AX,33,FALSE)&amp;" ("&amp;VLOOKUP(A102,Regularizare!$D:$AX,34,FALSE)&amp;")"</f>
        <v>105113 (citit)</v>
      </c>
      <c r="S102" s="647"/>
      <c r="T102" s="647"/>
      <c r="U102" s="647" t="str">
        <f>VLOOKUP(A102,Regularizare!$D:$AX,35,FALSE)&amp;" ("&amp;VLOOKUP(A102,Regularizare!$D:$AX,36,FALSE)&amp;")"</f>
        <v>105113 (citit)</v>
      </c>
      <c r="V102" s="647"/>
      <c r="W102" s="647"/>
      <c r="X102" s="647" t="str">
        <f>VLOOKUP(A102,Regularizare!$D:$AX,40,FALSE)&amp;" ("&amp;VLOOKUP(A102,Regularizare!$D:$AX,36,FALSE)&amp;")"</f>
        <v>0 (citit)</v>
      </c>
      <c r="Y102" s="647"/>
      <c r="Z102" s="647"/>
      <c r="AA102" s="647">
        <f>VLOOKUP(A102,Regularizare!$D:$AX,46,FALSE)+VLOOKUP(A102,Regularizare!$D:$AX,47,FALSE)</f>
        <v>0</v>
      </c>
      <c r="AB102" s="647"/>
      <c r="AC102" s="647"/>
      <c r="AD102" s="647" t="s">
        <v>69</v>
      </c>
      <c r="AE102" s="647"/>
      <c r="AF102" s="647">
        <f>AA102</f>
        <v>0</v>
      </c>
      <c r="AG102" s="647"/>
      <c r="AH102" s="647"/>
      <c r="AI102" s="647" t="str">
        <f>AI99</f>
        <v>-</v>
      </c>
      <c r="AJ102" s="647"/>
      <c r="AK102" s="647" t="str">
        <f>AK99</f>
        <v>-</v>
      </c>
      <c r="AL102" s="647"/>
      <c r="AM102" s="647"/>
    </row>
    <row r="103" spans="1:39" ht="8.4499999999999993" customHeight="1">
      <c r="A103" s="717"/>
      <c r="B103" s="718"/>
      <c r="C103" s="718"/>
      <c r="D103" s="718"/>
      <c r="E103" s="718"/>
      <c r="F103" s="719"/>
      <c r="G103" s="648"/>
      <c r="H103" s="648"/>
      <c r="I103" s="648"/>
      <c r="J103" s="717" t="str">
        <f t="shared" si="4"/>
        <v>-</v>
      </c>
      <c r="K103" s="718"/>
      <c r="L103" s="719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1"/>
      <c r="B104" s="682"/>
      <c r="C104" s="682"/>
      <c r="D104" s="682"/>
      <c r="E104" s="682"/>
      <c r="F104" s="683"/>
      <c r="G104" s="648"/>
      <c r="H104" s="648"/>
      <c r="I104" s="648"/>
      <c r="J104" s="714">
        <f t="shared" si="4"/>
        <v>45777</v>
      </c>
      <c r="K104" s="715"/>
      <c r="L104" s="716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>
        <f>A102</f>
        <v>1371022908</v>
      </c>
      <c r="B105" s="679"/>
      <c r="C105" s="679"/>
      <c r="D105" s="679"/>
      <c r="E105" s="679"/>
      <c r="F105" s="680"/>
      <c r="G105" s="648" t="s">
        <v>730</v>
      </c>
      <c r="H105" s="648"/>
      <c r="I105" s="673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O102</f>
        <v>1</v>
      </c>
      <c r="P105" s="648"/>
      <c r="Q105" s="648"/>
      <c r="R105" s="647" t="str">
        <f>U96</f>
        <v>5113217 (citit)</v>
      </c>
      <c r="S105" s="647"/>
      <c r="T105" s="647"/>
      <c r="U105" s="647" t="str">
        <f>VLOOKUP(A105,'Incrementare indexe'!$D:$M,4,FALSE)&amp;" (estimat)"</f>
        <v>5266729 (estimat)</v>
      </c>
      <c r="V105" s="647"/>
      <c r="W105" s="647"/>
      <c r="X105" s="647" t="str">
        <f>VLOOKUP(A105,'Incrementare indexe'!$D:$Q,11,FALSE)&amp;" (estimat)"</f>
        <v>153512 (estimat)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VLOOKUP(A105,'Incrementare indexe'!$D:$Q,11,FALSE)</f>
        <v>153512</v>
      </c>
      <c r="AG105" s="647"/>
      <c r="AH105" s="647"/>
      <c r="AI105" s="647">
        <f>J107-J105+1</f>
        <v>31</v>
      </c>
      <c r="AJ105" s="647"/>
      <c r="AK105" s="647">
        <f>ROUND(AF105/AI105,2)</f>
        <v>4952</v>
      </c>
      <c r="AL105" s="647"/>
      <c r="AM105" s="647"/>
    </row>
    <row r="106" spans="1:39" ht="8.4499999999999993" customHeight="1">
      <c r="A106" s="717"/>
      <c r="B106" s="718"/>
      <c r="C106" s="718"/>
      <c r="D106" s="718"/>
      <c r="E106" s="718"/>
      <c r="F106" s="719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8"/>
      <c r="H107" s="648"/>
      <c r="I107" s="673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>
        <f>A105</f>
        <v>1371022908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 t="shared" ref="J108:J113" si="5">J105</f>
        <v>45778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U99</f>
        <v>244391 (citit)</v>
      </c>
      <c r="S108" s="647"/>
      <c r="T108" s="647"/>
      <c r="U108" s="647" t="str">
        <f>VLOOKUP(A108,'Incrementare indexe'!$D:$M,8,FALSE)&amp;" (estimat)"</f>
        <v>244391 (estimat)</v>
      </c>
      <c r="V108" s="647"/>
      <c r="W108" s="647"/>
      <c r="X108" s="647" t="str">
        <f>VLOOKUP(A108,'Incrementare indexe'!$D:$Q,12,FALSE)&amp;" (estimat)"</f>
        <v>0 (estimat)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f>VLOOKUP(A108,'Incrementare indexe'!$D:$Q,12,FALSE)</f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8.4499999999999993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 t="shared" si="5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 t="shared" si="5"/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>
        <f>A108</f>
        <v>1371022908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si="5"/>
        <v>45778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U102</f>
        <v>105113 (citit)</v>
      </c>
      <c r="S111" s="647"/>
      <c r="T111" s="647"/>
      <c r="U111" s="647" t="str">
        <f>VLOOKUP(A111,'Incrementare indexe'!$D:$M,10,FALSE)&amp;" (estimat)"</f>
        <v>105113 (estimat)</v>
      </c>
      <c r="V111" s="647"/>
      <c r="W111" s="647"/>
      <c r="X111" s="647" t="str">
        <f>VLOOKUP(A111,'Incrementare indexe'!$D:$Q,13,FALSE)&amp;" (estimat)"</f>
        <v>0 (estimat)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f>VLOOKUP(A111,'Incrementare indexe'!$D:$Q,13,FALSE)</f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8.4499999999999993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5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5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>
      <c r="A116" s="721" t="s">
        <v>1196</v>
      </c>
      <c r="B116" s="722"/>
      <c r="C116" s="722"/>
      <c r="D116" s="722"/>
      <c r="E116" s="722"/>
      <c r="F116" s="722"/>
      <c r="G116" s="722"/>
      <c r="H116" s="722"/>
      <c r="I116" s="722"/>
      <c r="J116" s="722"/>
      <c r="K116" s="722"/>
      <c r="L116" s="722"/>
      <c r="M116" s="722"/>
      <c r="N116" s="722"/>
      <c r="O116" s="722"/>
      <c r="P116" s="722"/>
      <c r="Q116" s="722"/>
      <c r="R116" s="722"/>
      <c r="S116" s="722"/>
      <c r="T116" s="722"/>
      <c r="U116" s="722"/>
      <c r="V116" s="722"/>
      <c r="W116" s="722"/>
      <c r="X116" s="722"/>
      <c r="Y116" s="722"/>
      <c r="Z116" s="722"/>
      <c r="AA116" s="722"/>
      <c r="AB116" s="722"/>
      <c r="AC116" s="722"/>
      <c r="AD116" s="722"/>
      <c r="AE116" s="722"/>
      <c r="AF116" s="722"/>
      <c r="AG116" s="722"/>
      <c r="AH116" s="723"/>
      <c r="AI116" s="650" t="s">
        <v>695</v>
      </c>
      <c r="AJ116" s="650"/>
      <c r="AK116" s="650"/>
      <c r="AL116" s="650"/>
      <c r="AM116" s="650"/>
    </row>
    <row r="117" spans="1:39" ht="14.1" customHeight="1">
      <c r="A117" s="649" t="s">
        <v>746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514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 t="str">
        <f>_xlfn.CONCAT(AI82,"/PV")</f>
        <v>RTJD_1.2/PV</v>
      </c>
      <c r="AJ117" s="619"/>
      <c r="AK117" s="619"/>
      <c r="AL117" s="619"/>
      <c r="AM117" s="619"/>
    </row>
    <row r="118" spans="1:39" ht="14.1" customHeight="1">
      <c r="A118" s="649" t="s">
        <v>747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1087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/>
      <c r="AJ118" s="619"/>
      <c r="AK118" s="619"/>
      <c r="AL118" s="619"/>
      <c r="AM118" s="619"/>
    </row>
    <row r="119" spans="1:39" ht="14.1" customHeight="1">
      <c r="A119" s="648" t="s">
        <v>697</v>
      </c>
      <c r="B119" s="648"/>
      <c r="C119" s="648"/>
      <c r="D119" s="648"/>
      <c r="E119" s="648"/>
      <c r="F119" s="648"/>
      <c r="G119" s="647" t="s">
        <v>713</v>
      </c>
      <c r="H119" s="647"/>
      <c r="I119" s="647"/>
      <c r="J119" s="647" t="s">
        <v>714</v>
      </c>
      <c r="K119" s="647"/>
      <c r="L119" s="647"/>
      <c r="M119" s="648" t="s">
        <v>519</v>
      </c>
      <c r="N119" s="648"/>
      <c r="O119" s="648" t="s">
        <v>715</v>
      </c>
      <c r="P119" s="648"/>
      <c r="Q119" s="648"/>
      <c r="R119" s="647" t="s">
        <v>732</v>
      </c>
      <c r="S119" s="647"/>
      <c r="T119" s="647"/>
      <c r="U119" s="647" t="s">
        <v>734</v>
      </c>
      <c r="V119" s="647"/>
      <c r="W119" s="647"/>
      <c r="X119" s="647" t="s">
        <v>1085</v>
      </c>
      <c r="Y119" s="647"/>
      <c r="Z119" s="647"/>
      <c r="AA119" s="647" t="s">
        <v>1086</v>
      </c>
      <c r="AB119" s="647"/>
      <c r="AC119" s="647"/>
      <c r="AD119" s="647" t="s">
        <v>717</v>
      </c>
      <c r="AE119" s="647"/>
      <c r="AF119" s="647" t="s">
        <v>718</v>
      </c>
      <c r="AG119" s="647"/>
      <c r="AH119" s="647"/>
      <c r="AI119" s="647" t="s">
        <v>719</v>
      </c>
      <c r="AJ119" s="647"/>
      <c r="AK119" s="647" t="s">
        <v>733</v>
      </c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647"/>
      <c r="K120" s="647"/>
      <c r="L120" s="647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713"/>
      <c r="K121" s="713"/>
      <c r="L121" s="713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78">
        <f>VLOOKUP(AI117,'Incrementare indexe'!$B:$I,3,FALSE)</f>
        <v>1371020412</v>
      </c>
      <c r="B122" s="679"/>
      <c r="C122" s="679"/>
      <c r="D122" s="679"/>
      <c r="E122" s="679"/>
      <c r="F122" s="680"/>
      <c r="G122" s="647" t="s">
        <v>1088</v>
      </c>
      <c r="H122" s="647"/>
      <c r="I122" s="675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VLOOKUP(AI117,'Incrementare indexe'!$B:$I,4,FALSE)</f>
        <v>1</v>
      </c>
      <c r="P122" s="648"/>
      <c r="Q122" s="648"/>
      <c r="R122" s="647" t="str">
        <f>VLOOKUP(AI117,'Incrementare indexe'!$B:$I,7,FALSE)&amp;" (citit)"</f>
        <v>2146057 (citit)</v>
      </c>
      <c r="S122" s="647"/>
      <c r="T122" s="647"/>
      <c r="U122" s="647" t="str">
        <f>VLOOKUP(AI117,'Incrementare indexe'!$B:$I,8,FALSE)&amp;" (citit)"</f>
        <v>2266090 (citit)</v>
      </c>
      <c r="V122" s="647"/>
      <c r="W122" s="647"/>
      <c r="X122" s="647" t="str">
        <f>(VLOOKUP(AI117,'Incrementare indexe'!$B:$I,8,FALSE)-VLOOKUP(AI117,'Incrementare indexe'!$B:$I,7,FALSE))&amp;" (citit)"</f>
        <v>120033 (citit)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(VLOOKUP(AI117,'Incrementare indexe'!$B:$I,8,FALSE)-VLOOKUP(AI117,'Incrementare indexe'!$B:$I,7,FALSE))</f>
        <v>120033</v>
      </c>
      <c r="AG122" s="647"/>
      <c r="AH122" s="647"/>
      <c r="AI122" s="647">
        <f>J124-J122+1</f>
        <v>31</v>
      </c>
      <c r="AJ122" s="647"/>
      <c r="AK122" s="647">
        <f>ROUND(AF122/AI122,2)</f>
        <v>3872.03</v>
      </c>
      <c r="AL122" s="647"/>
      <c r="AM122" s="647"/>
    </row>
    <row r="123" spans="1:39" ht="14.1" customHeight="1">
      <c r="A123" s="717"/>
      <c r="B123" s="718"/>
      <c r="C123" s="718"/>
      <c r="D123" s="718"/>
      <c r="E123" s="718"/>
      <c r="F123" s="719"/>
      <c r="G123" s="647"/>
      <c r="H123" s="647"/>
      <c r="I123" s="675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1"/>
      <c r="B124" s="682"/>
      <c r="C124" s="682"/>
      <c r="D124" s="682"/>
      <c r="E124" s="682"/>
      <c r="F124" s="683"/>
      <c r="G124" s="647"/>
      <c r="H124" s="647"/>
      <c r="I124" s="675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1371020412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">
        <v>1089</v>
      </c>
      <c r="S125" s="647"/>
      <c r="T125" s="647"/>
      <c r="U125" s="647" t="s">
        <v>1089</v>
      </c>
      <c r="V125" s="647"/>
      <c r="W125" s="647"/>
      <c r="X125" s="647" t="s">
        <v>1089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14.1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1371020412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">
        <v>1089</v>
      </c>
      <c r="S128" s="647"/>
      <c r="T128" s="647"/>
      <c r="U128" s="647" t="s">
        <v>1089</v>
      </c>
      <c r="V128" s="647"/>
      <c r="W128" s="647"/>
      <c r="X128" s="647" t="s">
        <v>1089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14.1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/>
    <row r="132" spans="1:39" ht="14.1" customHeight="1"/>
    <row r="133" spans="1:39" ht="14.1" customHeight="1"/>
    <row r="134" spans="1:39" ht="14.1" customHeight="1">
      <c r="A134" s="751" t="s">
        <v>858</v>
      </c>
      <c r="B134" s="752"/>
      <c r="C134" s="752"/>
      <c r="D134" s="752"/>
      <c r="E134" s="752"/>
      <c r="F134" s="752"/>
      <c r="G134" s="753"/>
      <c r="H134" s="751" t="str">
        <f>VLOOKUP($AA$16,'Date SPV'!$B:$H,4,FALSE)</f>
        <v>Strada Termocentralei, nr. 10, loc. Targu Jiu, jud. Gorj</v>
      </c>
      <c r="I134" s="752"/>
      <c r="J134" s="752"/>
      <c r="K134" s="752"/>
      <c r="L134" s="752"/>
      <c r="M134" s="752"/>
      <c r="N134" s="752"/>
      <c r="O134" s="752"/>
      <c r="P134" s="752"/>
      <c r="Q134" s="752"/>
      <c r="R134" s="752"/>
      <c r="S134" s="752"/>
      <c r="T134" s="752"/>
      <c r="U134" s="752"/>
      <c r="V134" s="752"/>
      <c r="W134" s="752"/>
      <c r="X134" s="752"/>
      <c r="Y134" s="752"/>
      <c r="Z134" s="752"/>
      <c r="AA134" s="752"/>
      <c r="AB134" s="752"/>
      <c r="AC134" s="752"/>
      <c r="AD134" s="752"/>
      <c r="AE134" s="752"/>
      <c r="AF134" s="752"/>
      <c r="AG134" s="752"/>
      <c r="AH134" s="752"/>
      <c r="AI134" s="752"/>
      <c r="AJ134" s="752"/>
      <c r="AK134" s="752"/>
      <c r="AL134" s="752"/>
      <c r="AM134" s="753"/>
    </row>
    <row r="135" spans="1:39" ht="14.1" customHeight="1">
      <c r="A135" s="754"/>
      <c r="B135" s="755"/>
      <c r="C135" s="755"/>
      <c r="D135" s="755"/>
      <c r="E135" s="755"/>
      <c r="F135" s="755"/>
      <c r="G135" s="756"/>
      <c r="H135" s="754"/>
      <c r="I135" s="755"/>
      <c r="J135" s="755"/>
      <c r="K135" s="755"/>
      <c r="L135" s="755"/>
      <c r="M135" s="755"/>
      <c r="N135" s="755"/>
      <c r="O135" s="755"/>
      <c r="P135" s="755"/>
      <c r="Q135" s="755"/>
      <c r="R135" s="755"/>
      <c r="S135" s="755"/>
      <c r="T135" s="755"/>
      <c r="U135" s="755"/>
      <c r="V135" s="755"/>
      <c r="W135" s="755"/>
      <c r="X135" s="755"/>
      <c r="Y135" s="755"/>
      <c r="Z135" s="755"/>
      <c r="AA135" s="755"/>
      <c r="AB135" s="755"/>
      <c r="AC135" s="755"/>
      <c r="AD135" s="755"/>
      <c r="AE135" s="755"/>
      <c r="AF135" s="755"/>
      <c r="AG135" s="755"/>
      <c r="AH135" s="755"/>
      <c r="AI135" s="755"/>
      <c r="AJ135" s="755"/>
      <c r="AK135" s="755"/>
      <c r="AL135" s="755"/>
      <c r="AM135" s="756"/>
    </row>
    <row r="136" spans="1:39" ht="14.1" customHeight="1">
      <c r="A136" s="751" t="s">
        <v>859</v>
      </c>
      <c r="B136" s="752"/>
      <c r="C136" s="752"/>
      <c r="D136" s="752"/>
      <c r="E136" s="752"/>
      <c r="F136" s="752"/>
      <c r="G136" s="753"/>
      <c r="H136" s="757">
        <f>VLOOKUP(AA136,'Date masura OD'!$G:$BE,51,FALSE)</f>
        <v>5000395817</v>
      </c>
      <c r="I136" s="758"/>
      <c r="J136" s="758"/>
      <c r="K136" s="758"/>
      <c r="L136" s="758"/>
      <c r="M136" s="758"/>
      <c r="N136" s="758"/>
      <c r="O136" s="758"/>
      <c r="P136" s="758"/>
      <c r="Q136" s="758"/>
      <c r="R136" s="758"/>
      <c r="S136" s="758"/>
      <c r="T136" s="758"/>
      <c r="U136" s="758"/>
      <c r="V136" s="759"/>
      <c r="W136" s="757" t="s">
        <v>860</v>
      </c>
      <c r="X136" s="758"/>
      <c r="Y136" s="758"/>
      <c r="Z136" s="759"/>
      <c r="AA136" s="632" t="str">
        <f>_xlfn.CONCAT($AA$16,"_",2)</f>
        <v>RTJD_2</v>
      </c>
      <c r="AB136" s="633"/>
      <c r="AC136" s="633"/>
      <c r="AD136" s="633"/>
      <c r="AE136" s="633"/>
      <c r="AF136" s="633"/>
      <c r="AG136" s="633"/>
      <c r="AH136" s="633"/>
      <c r="AI136" s="633"/>
      <c r="AJ136" s="633"/>
      <c r="AK136" s="633"/>
      <c r="AL136" s="633"/>
      <c r="AM136" s="634"/>
    </row>
    <row r="137" spans="1:39" ht="14.1" customHeight="1">
      <c r="A137" s="754"/>
      <c r="B137" s="755"/>
      <c r="C137" s="755"/>
      <c r="D137" s="755"/>
      <c r="E137" s="755"/>
      <c r="F137" s="755"/>
      <c r="G137" s="756"/>
      <c r="H137" s="760"/>
      <c r="I137" s="761"/>
      <c r="J137" s="761"/>
      <c r="K137" s="761"/>
      <c r="L137" s="761"/>
      <c r="M137" s="761"/>
      <c r="N137" s="761"/>
      <c r="O137" s="761"/>
      <c r="P137" s="761"/>
      <c r="Q137" s="761"/>
      <c r="R137" s="761"/>
      <c r="S137" s="761"/>
      <c r="T137" s="761"/>
      <c r="U137" s="761"/>
      <c r="V137" s="762"/>
      <c r="W137" s="760"/>
      <c r="X137" s="761"/>
      <c r="Y137" s="761"/>
      <c r="Z137" s="762"/>
      <c r="AA137" s="635"/>
      <c r="AB137" s="636"/>
      <c r="AC137" s="636"/>
      <c r="AD137" s="636"/>
      <c r="AE137" s="636"/>
      <c r="AF137" s="636"/>
      <c r="AG137" s="636"/>
      <c r="AH137" s="636"/>
      <c r="AI137" s="636"/>
      <c r="AJ137" s="636"/>
      <c r="AK137" s="636"/>
      <c r="AL137" s="636"/>
      <c r="AM137" s="637"/>
    </row>
    <row r="139" spans="1:39">
      <c r="A139" s="730" t="s">
        <v>748</v>
      </c>
      <c r="B139" s="731"/>
      <c r="C139" s="731"/>
      <c r="D139" s="731"/>
      <c r="E139" s="731"/>
      <c r="F139" s="731"/>
      <c r="G139" s="731"/>
      <c r="H139" s="731"/>
      <c r="I139" s="731"/>
      <c r="J139" s="731"/>
      <c r="K139" s="731"/>
      <c r="L139" s="732"/>
      <c r="M139" s="721" t="str">
        <f>VLOOKUP(AI140,'Contorizare in SDI'!$E:$I,4,FALSE)</f>
        <v>59401030000225704671594029</v>
      </c>
      <c r="N139" s="722"/>
      <c r="O139" s="722"/>
      <c r="P139" s="722"/>
      <c r="Q139" s="722"/>
      <c r="R139" s="722"/>
      <c r="S139" s="722"/>
      <c r="T139" s="722"/>
      <c r="U139" s="722"/>
      <c r="V139" s="722"/>
      <c r="W139" s="722"/>
      <c r="X139" s="722"/>
      <c r="Y139" s="722"/>
      <c r="Z139" s="722"/>
      <c r="AA139" s="722"/>
      <c r="AB139" s="722"/>
      <c r="AC139" s="722"/>
      <c r="AD139" s="722"/>
      <c r="AE139" s="722"/>
      <c r="AF139" s="722"/>
      <c r="AG139" s="722"/>
      <c r="AH139" s="723"/>
      <c r="AI139" s="721" t="s">
        <v>695</v>
      </c>
      <c r="AJ139" s="722"/>
      <c r="AK139" s="722"/>
      <c r="AL139" s="722"/>
      <c r="AM139" s="723"/>
    </row>
    <row r="140" spans="1:39">
      <c r="A140" s="730" t="s">
        <v>746</v>
      </c>
      <c r="B140" s="731"/>
      <c r="C140" s="731"/>
      <c r="D140" s="731"/>
      <c r="E140" s="731"/>
      <c r="F140" s="731"/>
      <c r="G140" s="731"/>
      <c r="H140" s="731"/>
      <c r="I140" s="731"/>
      <c r="J140" s="731"/>
      <c r="K140" s="731"/>
      <c r="L140" s="732"/>
      <c r="M140" s="721" t="str">
        <f>VLOOKUP(AI140,'Inchidere contur'!$G:$U,15,FALSE)</f>
        <v>JT_OD</v>
      </c>
      <c r="N140" s="722"/>
      <c r="O140" s="722"/>
      <c r="P140" s="722"/>
      <c r="Q140" s="722"/>
      <c r="R140" s="722"/>
      <c r="S140" s="722"/>
      <c r="T140" s="722"/>
      <c r="U140" s="722"/>
      <c r="V140" s="722"/>
      <c r="W140" s="722"/>
      <c r="X140" s="722"/>
      <c r="Y140" s="722"/>
      <c r="Z140" s="722"/>
      <c r="AA140" s="722"/>
      <c r="AB140" s="722"/>
      <c r="AC140" s="722"/>
      <c r="AD140" s="722"/>
      <c r="AE140" s="722"/>
      <c r="AF140" s="722"/>
      <c r="AG140" s="722"/>
      <c r="AH140" s="723"/>
      <c r="AI140" s="641" t="str">
        <f>_xlfn.CONCAT(AA136,)</f>
        <v>RTJD_2</v>
      </c>
      <c r="AJ140" s="642"/>
      <c r="AK140" s="642"/>
      <c r="AL140" s="642"/>
      <c r="AM140" s="643"/>
    </row>
    <row r="141" spans="1:39">
      <c r="A141" s="730" t="s">
        <v>747</v>
      </c>
      <c r="B141" s="731"/>
      <c r="C141" s="731"/>
      <c r="D141" s="731"/>
      <c r="E141" s="731"/>
      <c r="F141" s="731"/>
      <c r="G141" s="731"/>
      <c r="H141" s="731"/>
      <c r="I141" s="731"/>
      <c r="J141" s="731"/>
      <c r="K141" s="731"/>
      <c r="L141" s="732"/>
      <c r="M141" s="721" t="str">
        <f>IF(LEFT(M140,2)="JT","0.4kV",IF(LEFT(M140,2)="MT","20kV","-"))</f>
        <v>0.4kV</v>
      </c>
      <c r="N141" s="722"/>
      <c r="O141" s="722"/>
      <c r="P141" s="722"/>
      <c r="Q141" s="722"/>
      <c r="R141" s="722"/>
      <c r="S141" s="722"/>
      <c r="T141" s="722"/>
      <c r="U141" s="722"/>
      <c r="V141" s="722"/>
      <c r="W141" s="722"/>
      <c r="X141" s="722"/>
      <c r="Y141" s="722"/>
      <c r="Z141" s="722"/>
      <c r="AA141" s="722"/>
      <c r="AB141" s="722"/>
      <c r="AC141" s="722"/>
      <c r="AD141" s="722"/>
      <c r="AE141" s="722"/>
      <c r="AF141" s="722"/>
      <c r="AG141" s="722"/>
      <c r="AH141" s="723"/>
      <c r="AI141" s="644"/>
      <c r="AJ141" s="645"/>
      <c r="AK141" s="645"/>
      <c r="AL141" s="645"/>
      <c r="AM141" s="646"/>
    </row>
    <row r="142" spans="1:39" ht="15.95" customHeight="1">
      <c r="A142" s="678" t="s">
        <v>697</v>
      </c>
      <c r="B142" s="679"/>
      <c r="C142" s="679"/>
      <c r="D142" s="679"/>
      <c r="E142" s="679"/>
      <c r="F142" s="680"/>
      <c r="G142" s="684" t="s">
        <v>713</v>
      </c>
      <c r="H142" s="685"/>
      <c r="I142" s="686"/>
      <c r="J142" s="684" t="s">
        <v>714</v>
      </c>
      <c r="K142" s="685"/>
      <c r="L142" s="686"/>
      <c r="M142" s="678" t="s">
        <v>519</v>
      </c>
      <c r="N142" s="680"/>
      <c r="O142" s="678" t="s">
        <v>715</v>
      </c>
      <c r="P142" s="679"/>
      <c r="Q142" s="680"/>
      <c r="R142" s="684" t="s">
        <v>732</v>
      </c>
      <c r="S142" s="685"/>
      <c r="T142" s="686"/>
      <c r="U142" s="684" t="s">
        <v>734</v>
      </c>
      <c r="V142" s="685"/>
      <c r="W142" s="686"/>
      <c r="X142" s="684" t="s">
        <v>1085</v>
      </c>
      <c r="Y142" s="685"/>
      <c r="Z142" s="686"/>
      <c r="AA142" s="684" t="s">
        <v>1086</v>
      </c>
      <c r="AB142" s="685"/>
      <c r="AC142" s="686"/>
      <c r="AD142" s="684" t="s">
        <v>717</v>
      </c>
      <c r="AE142" s="686"/>
      <c r="AF142" s="684" t="s">
        <v>718</v>
      </c>
      <c r="AG142" s="685"/>
      <c r="AH142" s="686"/>
      <c r="AI142" s="684" t="s">
        <v>719</v>
      </c>
      <c r="AJ142" s="686"/>
      <c r="AK142" s="684" t="s">
        <v>733</v>
      </c>
      <c r="AL142" s="685"/>
      <c r="AM142" s="686"/>
    </row>
    <row r="143" spans="1:39">
      <c r="A143" s="717"/>
      <c r="B143" s="718"/>
      <c r="C143" s="718"/>
      <c r="D143" s="718"/>
      <c r="E143" s="718"/>
      <c r="F143" s="719"/>
      <c r="G143" s="727"/>
      <c r="H143" s="729"/>
      <c r="I143" s="728"/>
      <c r="J143" s="727"/>
      <c r="K143" s="729"/>
      <c r="L143" s="728"/>
      <c r="M143" s="717"/>
      <c r="N143" s="719"/>
      <c r="O143" s="717"/>
      <c r="P143" s="718"/>
      <c r="Q143" s="719"/>
      <c r="R143" s="727"/>
      <c r="S143" s="729"/>
      <c r="T143" s="728"/>
      <c r="U143" s="727"/>
      <c r="V143" s="729"/>
      <c r="W143" s="728"/>
      <c r="X143" s="727"/>
      <c r="Y143" s="729"/>
      <c r="Z143" s="728"/>
      <c r="AA143" s="727"/>
      <c r="AB143" s="729"/>
      <c r="AC143" s="728"/>
      <c r="AD143" s="727"/>
      <c r="AE143" s="728"/>
      <c r="AF143" s="727"/>
      <c r="AG143" s="729"/>
      <c r="AH143" s="728"/>
      <c r="AI143" s="727"/>
      <c r="AJ143" s="728"/>
      <c r="AK143" s="727"/>
      <c r="AL143" s="729"/>
      <c r="AM143" s="728"/>
    </row>
    <row r="144" spans="1:39">
      <c r="A144" s="681"/>
      <c r="B144" s="682"/>
      <c r="C144" s="682"/>
      <c r="D144" s="682"/>
      <c r="E144" s="682"/>
      <c r="F144" s="683"/>
      <c r="G144" s="687"/>
      <c r="H144" s="688"/>
      <c r="I144" s="689"/>
      <c r="J144" s="687"/>
      <c r="K144" s="688"/>
      <c r="L144" s="689"/>
      <c r="M144" s="681"/>
      <c r="N144" s="683"/>
      <c r="O144" s="681"/>
      <c r="P144" s="682"/>
      <c r="Q144" s="683"/>
      <c r="R144" s="687"/>
      <c r="S144" s="688"/>
      <c r="T144" s="689"/>
      <c r="U144" s="687"/>
      <c r="V144" s="688"/>
      <c r="W144" s="689"/>
      <c r="X144" s="687"/>
      <c r="Y144" s="688"/>
      <c r="Z144" s="689"/>
      <c r="AA144" s="687"/>
      <c r="AB144" s="688"/>
      <c r="AC144" s="689"/>
      <c r="AD144" s="687"/>
      <c r="AE144" s="689"/>
      <c r="AF144" s="687"/>
      <c r="AG144" s="688"/>
      <c r="AH144" s="689"/>
      <c r="AI144" s="687"/>
      <c r="AJ144" s="689"/>
      <c r="AK144" s="687"/>
      <c r="AL144" s="688"/>
      <c r="AM144" s="689"/>
    </row>
    <row r="145" spans="1:39" ht="14.1" customHeight="1">
      <c r="A145" s="678">
        <f>VLOOKUP(AI140,'Contorizare in SDI'!$E:$I,5,FALSE)</f>
        <v>161192</v>
      </c>
      <c r="B145" s="679"/>
      <c r="C145" s="679"/>
      <c r="D145" s="679"/>
      <c r="E145" s="679"/>
      <c r="F145" s="680"/>
      <c r="G145" s="678" t="s">
        <v>730</v>
      </c>
      <c r="H145" s="679"/>
      <c r="I145" s="680"/>
      <c r="J145" s="655">
        <f>'Date masura OD'!$AK$5</f>
        <v>45748</v>
      </c>
      <c r="K145" s="656"/>
      <c r="L145" s="657"/>
      <c r="M145" s="678" t="s">
        <v>446</v>
      </c>
      <c r="N145" s="680"/>
      <c r="O145" s="648">
        <f>VLOOKUP(AI140,'Date masura OD'!$G:$BB,2,FALSE)</f>
        <v>1</v>
      </c>
      <c r="P145" s="648"/>
      <c r="Q145" s="648"/>
      <c r="R145" s="647" t="str">
        <f>VLOOKUP(AI140,'Date masura OD'!$G:$BB,20,FALSE)&amp;" ("&amp;VLOOKUP(AI140,'Date masura OD'!$G:$BB,19,FALSE)&amp;")"</f>
        <v>55818 (estimare)</v>
      </c>
      <c r="S145" s="647"/>
      <c r="T145" s="647"/>
      <c r="U145" s="647" t="str">
        <f>VLOOKUP(AI140,'Date masura OD'!$G:$BB,21,FALSE)&amp;" ("&amp;VLOOKUP(AI140,'Date masura OD'!$G:$BB,19,FALSE)&amp;")"</f>
        <v>55918 (estimare)</v>
      </c>
      <c r="V145" s="647"/>
      <c r="W145" s="647"/>
      <c r="X145" s="647" t="str">
        <f>VLOOKUP(AI140,'Date masura OD'!$G:$BB,26,FALSE)&amp;" ("&amp;VLOOKUP(AI140,'Date masura OD'!$G:$BB,19,FALSE)&amp;")"</f>
        <v>100 (estimare)</v>
      </c>
      <c r="Y145" s="647"/>
      <c r="Z145" s="647"/>
      <c r="AA145" s="647">
        <f>(-1)*VLOOKUP(AI140,'Date masura OD'!$G:$BB,26,FALSE)</f>
        <v>-100</v>
      </c>
      <c r="AB145" s="647"/>
      <c r="AC145" s="647"/>
      <c r="AD145" s="647" t="s">
        <v>69</v>
      </c>
      <c r="AE145" s="647"/>
      <c r="AF145" s="647">
        <f>AA145</f>
        <v>-100</v>
      </c>
      <c r="AG145" s="647"/>
      <c r="AH145" s="647"/>
      <c r="AI145" s="647" t="s">
        <v>69</v>
      </c>
      <c r="AJ145" s="647"/>
      <c r="AK145" s="647" t="s">
        <v>69</v>
      </c>
      <c r="AL145" s="647"/>
      <c r="AM145" s="647"/>
    </row>
    <row r="146" spans="1:39" ht="9.75" customHeight="1">
      <c r="A146" s="717"/>
      <c r="B146" s="718"/>
      <c r="C146" s="718"/>
      <c r="D146" s="718"/>
      <c r="E146" s="718"/>
      <c r="F146" s="719"/>
      <c r="G146" s="717"/>
      <c r="H146" s="718"/>
      <c r="I146" s="719"/>
      <c r="J146" s="717" t="s">
        <v>69</v>
      </c>
      <c r="K146" s="718"/>
      <c r="L146" s="719"/>
      <c r="M146" s="717"/>
      <c r="N146" s="719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1"/>
      <c r="B147" s="682"/>
      <c r="C147" s="682"/>
      <c r="D147" s="682"/>
      <c r="E147" s="682"/>
      <c r="F147" s="683"/>
      <c r="G147" s="681"/>
      <c r="H147" s="682"/>
      <c r="I147" s="683"/>
      <c r="J147" s="714">
        <f>'Date masura OD'!$AL$5</f>
        <v>45777</v>
      </c>
      <c r="K147" s="715"/>
      <c r="L147" s="716"/>
      <c r="M147" s="681"/>
      <c r="N147" s="683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78">
        <f>A145</f>
        <v>161192</v>
      </c>
      <c r="B148" s="679"/>
      <c r="C148" s="679"/>
      <c r="D148" s="679"/>
      <c r="E148" s="679"/>
      <c r="F148" s="680"/>
      <c r="G148" s="678" t="s">
        <v>696</v>
      </c>
      <c r="H148" s="679"/>
      <c r="I148" s="680"/>
      <c r="J148" s="655">
        <f t="shared" ref="J148:J153" si="7">J145</f>
        <v>45748</v>
      </c>
      <c r="K148" s="656"/>
      <c r="L148" s="657"/>
      <c r="M148" s="678" t="s">
        <v>720</v>
      </c>
      <c r="N148" s="680"/>
      <c r="O148" s="648">
        <f>O145</f>
        <v>1</v>
      </c>
      <c r="P148" s="648"/>
      <c r="Q148" s="648"/>
      <c r="R148" s="647" t="str">
        <f>VLOOKUP(AI140,'Date masura OD'!$G:$BB,22,FALSE)&amp;" ("&amp;VLOOKUP(AI140,'Date masura OD'!$G:$BB,19,FALSE)&amp;")"</f>
        <v>2634 (estimare)</v>
      </c>
      <c r="S148" s="647"/>
      <c r="T148" s="647"/>
      <c r="U148" s="647" t="str">
        <f>VLOOKUP(AI140,'Date masura OD'!$G:$BB,23,FALSE)&amp;" ("&amp;VLOOKUP(AI140,'Date masura OD'!$G:$BB,19,FALSE)&amp;")"</f>
        <v>2634 (estimare)</v>
      </c>
      <c r="V148" s="647"/>
      <c r="W148" s="647"/>
      <c r="X148" s="647" t="str">
        <f>VLOOKUP(AI140,'Date masura OD'!$G:$BB,27,FALSE)&amp;" ("&amp;VLOOKUP(AI140,'Date masura OD'!$G:$BB,19,FALSE)&amp;")"</f>
        <v>0 (estimare)</v>
      </c>
      <c r="Y148" s="647"/>
      <c r="Z148" s="647"/>
      <c r="AA148" s="647">
        <f>(-1)*VLOOKUP(AI140,'Date masura OD'!$G:$BB,27,FALSE)</f>
        <v>0</v>
      </c>
      <c r="AB148" s="647"/>
      <c r="AC148" s="647"/>
      <c r="AD148" s="647" t="s">
        <v>69</v>
      </c>
      <c r="AE148" s="647"/>
      <c r="AF148" s="647">
        <f>AA148</f>
        <v>0</v>
      </c>
      <c r="AG148" s="647"/>
      <c r="AH148" s="647"/>
      <c r="AI148" s="647" t="str">
        <f>AI145</f>
        <v>-</v>
      </c>
      <c r="AJ148" s="647"/>
      <c r="AK148" s="647" t="str">
        <f>AK145</f>
        <v>-</v>
      </c>
      <c r="AL148" s="647"/>
      <c r="AM148" s="647"/>
    </row>
    <row r="149" spans="1:39" ht="8.4499999999999993" customHeight="1">
      <c r="A149" s="717"/>
      <c r="B149" s="718"/>
      <c r="C149" s="718"/>
      <c r="D149" s="718"/>
      <c r="E149" s="718"/>
      <c r="F149" s="719"/>
      <c r="G149" s="717"/>
      <c r="H149" s="718"/>
      <c r="I149" s="719"/>
      <c r="J149" s="717" t="str">
        <f t="shared" si="7"/>
        <v>-</v>
      </c>
      <c r="K149" s="718"/>
      <c r="L149" s="719"/>
      <c r="M149" s="717"/>
      <c r="N149" s="719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1"/>
      <c r="B150" s="682"/>
      <c r="C150" s="682"/>
      <c r="D150" s="682"/>
      <c r="E150" s="682"/>
      <c r="F150" s="683"/>
      <c r="G150" s="681"/>
      <c r="H150" s="682"/>
      <c r="I150" s="683"/>
      <c r="J150" s="714">
        <f t="shared" si="7"/>
        <v>45777</v>
      </c>
      <c r="K150" s="715"/>
      <c r="L150" s="716"/>
      <c r="M150" s="681"/>
      <c r="N150" s="683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78">
        <f>A148</f>
        <v>161192</v>
      </c>
      <c r="B151" s="679"/>
      <c r="C151" s="679"/>
      <c r="D151" s="679"/>
      <c r="E151" s="679"/>
      <c r="F151" s="680"/>
      <c r="G151" s="678" t="s">
        <v>731</v>
      </c>
      <c r="H151" s="679"/>
      <c r="I151" s="680"/>
      <c r="J151" s="655">
        <f t="shared" si="7"/>
        <v>45748</v>
      </c>
      <c r="K151" s="656"/>
      <c r="L151" s="657"/>
      <c r="M151" s="678" t="s">
        <v>720</v>
      </c>
      <c r="N151" s="680"/>
      <c r="O151" s="648">
        <f>O148</f>
        <v>1</v>
      </c>
      <c r="P151" s="648"/>
      <c r="Q151" s="648"/>
      <c r="R151" s="647" t="str">
        <f>VLOOKUP(AI140,'Date masura OD'!$G:$BB,24,FALSE)&amp;" ("&amp;VLOOKUP(AI140,'Date masura OD'!$G:$BB,19,FALSE)&amp;")"</f>
        <v>8044 (estimare)</v>
      </c>
      <c r="S151" s="647"/>
      <c r="T151" s="647"/>
      <c r="U151" s="647" t="str">
        <f>VLOOKUP(AI140,'Date masura OD'!$G:$BB,25,FALSE)&amp;" ("&amp;VLOOKUP(AI140,'Date masura OD'!$G:$BB,19,FALSE)&amp;")"</f>
        <v>8044 (estimare)</v>
      </c>
      <c r="V151" s="647"/>
      <c r="W151" s="647"/>
      <c r="X151" s="647" t="str">
        <f>VLOOKUP(AI140,'Date masura OD'!$G:$BB,29,FALSE)&amp;" ("&amp;VLOOKUP(AI140,'Date masura OD'!$G:$BB,19,FALSE)&amp;")"</f>
        <v>0 (estimare)</v>
      </c>
      <c r="Y151" s="647"/>
      <c r="Z151" s="647"/>
      <c r="AA151" s="647">
        <f>(-1)*VLOOKUP(AI140,'Date masura OD'!$G:$BB,29,FALSE)</f>
        <v>0</v>
      </c>
      <c r="AB151" s="647"/>
      <c r="AC151" s="647"/>
      <c r="AD151" s="647" t="s">
        <v>69</v>
      </c>
      <c r="AE151" s="647"/>
      <c r="AF151" s="647">
        <f>AA151</f>
        <v>0</v>
      </c>
      <c r="AG151" s="647"/>
      <c r="AH151" s="647"/>
      <c r="AI151" s="647" t="str">
        <f>AI148</f>
        <v>-</v>
      </c>
      <c r="AJ151" s="647"/>
      <c r="AK151" s="647" t="str">
        <f>AK148</f>
        <v>-</v>
      </c>
      <c r="AL151" s="647"/>
      <c r="AM151" s="647"/>
    </row>
    <row r="152" spans="1:39" ht="8.4499999999999993" customHeight="1">
      <c r="A152" s="717"/>
      <c r="B152" s="718"/>
      <c r="C152" s="718"/>
      <c r="D152" s="718"/>
      <c r="E152" s="718"/>
      <c r="F152" s="719"/>
      <c r="G152" s="717"/>
      <c r="H152" s="718"/>
      <c r="I152" s="719"/>
      <c r="J152" s="717" t="str">
        <f t="shared" si="7"/>
        <v>-</v>
      </c>
      <c r="K152" s="718"/>
      <c r="L152" s="719"/>
      <c r="M152" s="717"/>
      <c r="N152" s="719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1"/>
      <c r="B153" s="682"/>
      <c r="C153" s="682"/>
      <c r="D153" s="682"/>
      <c r="E153" s="682"/>
      <c r="F153" s="683"/>
      <c r="G153" s="681"/>
      <c r="H153" s="682"/>
      <c r="I153" s="683"/>
      <c r="J153" s="714">
        <f t="shared" si="7"/>
        <v>45777</v>
      </c>
      <c r="K153" s="715"/>
      <c r="L153" s="716"/>
      <c r="M153" s="681"/>
      <c r="N153" s="683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78">
        <f>A151</f>
        <v>161192</v>
      </c>
      <c r="B154" s="679"/>
      <c r="C154" s="679"/>
      <c r="D154" s="679"/>
      <c r="E154" s="679"/>
      <c r="F154" s="680"/>
      <c r="G154" s="678" t="s">
        <v>730</v>
      </c>
      <c r="H154" s="679"/>
      <c r="I154" s="680"/>
      <c r="J154" s="655">
        <f>'Date masura OD'!$AK$5</f>
        <v>45748</v>
      </c>
      <c r="K154" s="656"/>
      <c r="L154" s="657"/>
      <c r="M154" s="678" t="s">
        <v>446</v>
      </c>
      <c r="N154" s="680"/>
      <c r="O154" s="648">
        <f>O151</f>
        <v>1</v>
      </c>
      <c r="P154" s="648"/>
      <c r="Q154" s="648"/>
      <c r="R154" s="647" t="str">
        <f>VLOOKUP(AI140,'Date masura OD'!$G:$BB,35,FALSE)&amp;" ("&amp;VLOOKUP(AI140,'Date masura OD'!$G:$BB,33,FALSE)&amp;")"</f>
        <v>55818 (citire)</v>
      </c>
      <c r="S154" s="647"/>
      <c r="T154" s="647"/>
      <c r="U154" s="647" t="str">
        <f>VLOOKUP(AI140,'Date masura OD'!$G:$BB,36,FALSE)&amp;" ("&amp;VLOOKUP(AI140,'Date masura OD'!$G:$BB,33,FALSE)&amp;")"</f>
        <v>55997 (citire)</v>
      </c>
      <c r="V154" s="647"/>
      <c r="W154" s="647"/>
      <c r="X154" s="647" t="str">
        <f>VLOOKUP(AI140,'Date masura OD'!$G:$BB,41,FALSE)&amp;" ("&amp;VLOOKUP(AI140,'Date masura OD'!$G:$BB,33,FALSE)&amp;")"</f>
        <v>179 (citire)</v>
      </c>
      <c r="Y154" s="647"/>
      <c r="Z154" s="647"/>
      <c r="AA154" s="647">
        <f>VLOOKUP(AI140,'Date masura OD'!$G:$BB,41,FALSE)</f>
        <v>179</v>
      </c>
      <c r="AB154" s="647"/>
      <c r="AC154" s="647"/>
      <c r="AD154" s="647" t="s">
        <v>69</v>
      </c>
      <c r="AE154" s="647"/>
      <c r="AF154" s="647">
        <f>AA154</f>
        <v>179</v>
      </c>
      <c r="AG154" s="647"/>
      <c r="AH154" s="647"/>
      <c r="AI154" s="647" t="str">
        <f>AI151</f>
        <v>-</v>
      </c>
      <c r="AJ154" s="647"/>
      <c r="AK154" s="647" t="str">
        <f>AK151</f>
        <v>-</v>
      </c>
      <c r="AL154" s="647"/>
      <c r="AM154" s="647"/>
    </row>
    <row r="155" spans="1:39" ht="8.4499999999999993" customHeight="1">
      <c r="A155" s="717"/>
      <c r="B155" s="718"/>
      <c r="C155" s="718"/>
      <c r="D155" s="718"/>
      <c r="E155" s="718"/>
      <c r="F155" s="719"/>
      <c r="G155" s="717"/>
      <c r="H155" s="718"/>
      <c r="I155" s="719"/>
      <c r="J155" s="717" t="s">
        <v>69</v>
      </c>
      <c r="K155" s="718"/>
      <c r="L155" s="719"/>
      <c r="M155" s="717"/>
      <c r="N155" s="719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1"/>
      <c r="B156" s="682"/>
      <c r="C156" s="682"/>
      <c r="D156" s="682"/>
      <c r="E156" s="682"/>
      <c r="F156" s="683"/>
      <c r="G156" s="681"/>
      <c r="H156" s="682"/>
      <c r="I156" s="683"/>
      <c r="J156" s="714">
        <f>'Date masura OD'!$AL$5</f>
        <v>45777</v>
      </c>
      <c r="K156" s="715"/>
      <c r="L156" s="716"/>
      <c r="M156" s="681"/>
      <c r="N156" s="683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78">
        <f>A154</f>
        <v>161192</v>
      </c>
      <c r="B157" s="679"/>
      <c r="C157" s="679"/>
      <c r="D157" s="679"/>
      <c r="E157" s="679"/>
      <c r="F157" s="680"/>
      <c r="G157" s="678" t="s">
        <v>696</v>
      </c>
      <c r="H157" s="679"/>
      <c r="I157" s="680"/>
      <c r="J157" s="655">
        <f t="shared" ref="J157:J162" si="8">J154</f>
        <v>45748</v>
      </c>
      <c r="K157" s="656"/>
      <c r="L157" s="657"/>
      <c r="M157" s="678" t="s">
        <v>720</v>
      </c>
      <c r="N157" s="680"/>
      <c r="O157" s="648">
        <f>O154</f>
        <v>1</v>
      </c>
      <c r="P157" s="648"/>
      <c r="Q157" s="648"/>
      <c r="R157" s="647" t="str">
        <f>VLOOKUP(AI140,'Date masura OD'!$G:$BB,37,FALSE)&amp;" ("&amp;VLOOKUP(AI140,'Date masura OD'!$G:$BB,33,FALSE)&amp;")"</f>
        <v>2634 (citire)</v>
      </c>
      <c r="S157" s="647"/>
      <c r="T157" s="647"/>
      <c r="U157" s="647" t="str">
        <f>VLOOKUP(AI140,'Date masura OD'!$G:$BB,38,FALSE)&amp;" ("&amp;VLOOKUP(AI140,'Date masura OD'!$G:$BB,33,FALSE)&amp;")"</f>
        <v>2634 (citire)</v>
      </c>
      <c r="V157" s="647"/>
      <c r="W157" s="647"/>
      <c r="X157" s="647" t="str">
        <f>VLOOKUP(AI140,'Date masura OD'!$G:$BB,42,FALSE)&amp;" ("&amp;VLOOKUP(AI140,'Date masura OD'!$G:$BB,33,FALSE)&amp;")"</f>
        <v>0 (citire)</v>
      </c>
      <c r="Y157" s="647"/>
      <c r="Z157" s="647"/>
      <c r="AA157" s="647">
        <f>VLOOKUP(AI140,'Date masura OD'!$G:$BB,42,FALSE)</f>
        <v>0</v>
      </c>
      <c r="AB157" s="647"/>
      <c r="AC157" s="647"/>
      <c r="AD157" s="647" t="s">
        <v>69</v>
      </c>
      <c r="AE157" s="647"/>
      <c r="AF157" s="647">
        <f>AA157</f>
        <v>0</v>
      </c>
      <c r="AG157" s="647"/>
      <c r="AH157" s="647"/>
      <c r="AI157" s="647" t="str">
        <f>AI154</f>
        <v>-</v>
      </c>
      <c r="AJ157" s="647"/>
      <c r="AK157" s="647" t="str">
        <f>AK154</f>
        <v>-</v>
      </c>
      <c r="AL157" s="647"/>
      <c r="AM157" s="647"/>
    </row>
    <row r="158" spans="1:39" ht="8.4499999999999993" customHeight="1">
      <c r="A158" s="717"/>
      <c r="B158" s="718"/>
      <c r="C158" s="718"/>
      <c r="D158" s="718"/>
      <c r="E158" s="718"/>
      <c r="F158" s="719"/>
      <c r="G158" s="717"/>
      <c r="H158" s="718"/>
      <c r="I158" s="719"/>
      <c r="J158" s="717" t="str">
        <f t="shared" si="8"/>
        <v>-</v>
      </c>
      <c r="K158" s="718"/>
      <c r="L158" s="719"/>
      <c r="M158" s="717"/>
      <c r="N158" s="719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1"/>
      <c r="B159" s="682"/>
      <c r="C159" s="682"/>
      <c r="D159" s="682"/>
      <c r="E159" s="682"/>
      <c r="F159" s="683"/>
      <c r="G159" s="681"/>
      <c r="H159" s="682"/>
      <c r="I159" s="683"/>
      <c r="J159" s="714">
        <f t="shared" si="8"/>
        <v>45777</v>
      </c>
      <c r="K159" s="715"/>
      <c r="L159" s="716"/>
      <c r="M159" s="681"/>
      <c r="N159" s="683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78">
        <f>A157</f>
        <v>161192</v>
      </c>
      <c r="B160" s="679"/>
      <c r="C160" s="679"/>
      <c r="D160" s="679"/>
      <c r="E160" s="679"/>
      <c r="F160" s="680"/>
      <c r="G160" s="678" t="s">
        <v>731</v>
      </c>
      <c r="H160" s="679"/>
      <c r="I160" s="680"/>
      <c r="J160" s="655">
        <f t="shared" si="8"/>
        <v>45748</v>
      </c>
      <c r="K160" s="656"/>
      <c r="L160" s="657"/>
      <c r="M160" s="678" t="s">
        <v>720</v>
      </c>
      <c r="N160" s="680"/>
      <c r="O160" s="648">
        <f>O157</f>
        <v>1</v>
      </c>
      <c r="P160" s="648"/>
      <c r="Q160" s="648"/>
      <c r="R160" s="647" t="str">
        <f>VLOOKUP(AI140,'Date masura OD'!$G:$BB,39,FALSE)&amp;" ("&amp;VLOOKUP(AI140,'Date masura OD'!$G:$BB,33,FALSE)&amp;")"</f>
        <v>8044 (citire)</v>
      </c>
      <c r="S160" s="647"/>
      <c r="T160" s="647"/>
      <c r="U160" s="647" t="str">
        <f>VLOOKUP(AI140,'Date masura OD'!$G:$BB,40,FALSE)&amp;" ("&amp;VLOOKUP(AI140,'Date masura OD'!$G:$BB,33,FALSE)&amp;")"</f>
        <v>8044 (citire)</v>
      </c>
      <c r="V160" s="647"/>
      <c r="W160" s="647"/>
      <c r="X160" s="647" t="str">
        <f>VLOOKUP(AI140,'Date masura OD'!$G:$BB,43,FALSE)&amp;" ("&amp;VLOOKUP(AI140,'Date masura OD'!$G:$BB,33,FALSE)&amp;")"</f>
        <v>0 (citire)</v>
      </c>
      <c r="Y160" s="647"/>
      <c r="Z160" s="647"/>
      <c r="AA160" s="647">
        <f>VLOOKUP(AI140,'Date masura OD'!$G:$BB,43,FALSE)</f>
        <v>0</v>
      </c>
      <c r="AB160" s="647"/>
      <c r="AC160" s="647"/>
      <c r="AD160" s="647" t="s">
        <v>69</v>
      </c>
      <c r="AE160" s="647"/>
      <c r="AF160" s="647">
        <f>AA160</f>
        <v>0</v>
      </c>
      <c r="AG160" s="647"/>
      <c r="AH160" s="647"/>
      <c r="AI160" s="647" t="str">
        <f>AI157</f>
        <v>-</v>
      </c>
      <c r="AJ160" s="647"/>
      <c r="AK160" s="647" t="str">
        <f>AK157</f>
        <v>-</v>
      </c>
      <c r="AL160" s="647"/>
      <c r="AM160" s="647"/>
    </row>
    <row r="161" spans="1:39" ht="8.4499999999999993" customHeight="1">
      <c r="A161" s="717"/>
      <c r="B161" s="718"/>
      <c r="C161" s="718"/>
      <c r="D161" s="718"/>
      <c r="E161" s="718"/>
      <c r="F161" s="719"/>
      <c r="G161" s="717"/>
      <c r="H161" s="718"/>
      <c r="I161" s="719"/>
      <c r="J161" s="717" t="str">
        <f t="shared" si="8"/>
        <v>-</v>
      </c>
      <c r="K161" s="718"/>
      <c r="L161" s="719"/>
      <c r="M161" s="717"/>
      <c r="N161" s="719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1"/>
      <c r="B162" s="682"/>
      <c r="C162" s="682"/>
      <c r="D162" s="682"/>
      <c r="E162" s="682"/>
      <c r="F162" s="683"/>
      <c r="G162" s="681"/>
      <c r="H162" s="682"/>
      <c r="I162" s="683"/>
      <c r="J162" s="714">
        <f t="shared" si="8"/>
        <v>45777</v>
      </c>
      <c r="K162" s="715"/>
      <c r="L162" s="716"/>
      <c r="M162" s="681"/>
      <c r="N162" s="683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78">
        <f>A160</f>
        <v>161192</v>
      </c>
      <c r="B163" s="679"/>
      <c r="C163" s="679"/>
      <c r="D163" s="679"/>
      <c r="E163" s="679"/>
      <c r="F163" s="680"/>
      <c r="G163" s="678" t="s">
        <v>730</v>
      </c>
      <c r="H163" s="679"/>
      <c r="I163" s="680"/>
      <c r="J163" s="655">
        <f>'Date masura OD'!$I$5</f>
        <v>45778</v>
      </c>
      <c r="K163" s="656"/>
      <c r="L163" s="657"/>
      <c r="M163" s="678" t="s">
        <v>446</v>
      </c>
      <c r="N163" s="680"/>
      <c r="O163" s="648">
        <f>O160</f>
        <v>1</v>
      </c>
      <c r="P163" s="648"/>
      <c r="Q163" s="648"/>
      <c r="R163" s="647" t="str">
        <f>U154</f>
        <v>55997 (citire)</v>
      </c>
      <c r="S163" s="647"/>
      <c r="T163" s="647"/>
      <c r="U163" s="647" t="str">
        <f>VLOOKUP(AI140,'Date masura OD'!$G:$BB,7,FALSE)&amp;" (estimat)"</f>
        <v>56097 (estimat)</v>
      </c>
      <c r="V163" s="647"/>
      <c r="W163" s="647"/>
      <c r="X163" s="647" t="str">
        <f>VLOOKUP(AI140,'Date masura OD'!$G:$BB,12,FALSE)&amp;" (estimat)"</f>
        <v>100 (estimat)</v>
      </c>
      <c r="Y163" s="647"/>
      <c r="Z163" s="647"/>
      <c r="AA163" s="647" t="s">
        <v>69</v>
      </c>
      <c r="AB163" s="647"/>
      <c r="AC163" s="647"/>
      <c r="AD163" s="647" t="s">
        <v>69</v>
      </c>
      <c r="AE163" s="647"/>
      <c r="AF163" s="647">
        <f>VLOOKUP(AI140,'Date masura OD'!$G:$BB,12,FALSE)</f>
        <v>100</v>
      </c>
      <c r="AG163" s="647"/>
      <c r="AH163" s="647"/>
      <c r="AI163" s="647">
        <f>J165-J163+1</f>
        <v>31</v>
      </c>
      <c r="AJ163" s="647"/>
      <c r="AK163" s="647">
        <f>ROUND(AF163/AI163,2)</f>
        <v>3.23</v>
      </c>
      <c r="AL163" s="647"/>
      <c r="AM163" s="647"/>
    </row>
    <row r="164" spans="1:39" ht="8.4499999999999993" customHeight="1">
      <c r="A164" s="717"/>
      <c r="B164" s="718"/>
      <c r="C164" s="718"/>
      <c r="D164" s="718"/>
      <c r="E164" s="718"/>
      <c r="F164" s="719"/>
      <c r="G164" s="717"/>
      <c r="H164" s="718"/>
      <c r="I164" s="719"/>
      <c r="J164" s="717" t="s">
        <v>69</v>
      </c>
      <c r="K164" s="718"/>
      <c r="L164" s="719"/>
      <c r="M164" s="717"/>
      <c r="N164" s="719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1"/>
      <c r="B165" s="682"/>
      <c r="C165" s="682"/>
      <c r="D165" s="682"/>
      <c r="E165" s="682"/>
      <c r="F165" s="683"/>
      <c r="G165" s="681"/>
      <c r="H165" s="682"/>
      <c r="I165" s="683"/>
      <c r="J165" s="714">
        <f>'Date masura OD'!$J$5</f>
        <v>45808</v>
      </c>
      <c r="K165" s="715"/>
      <c r="L165" s="716"/>
      <c r="M165" s="681"/>
      <c r="N165" s="683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78">
        <f>A163</f>
        <v>161192</v>
      </c>
      <c r="B166" s="679"/>
      <c r="C166" s="679"/>
      <c r="D166" s="679"/>
      <c r="E166" s="679"/>
      <c r="F166" s="680"/>
      <c r="G166" s="678" t="s">
        <v>696</v>
      </c>
      <c r="H166" s="679"/>
      <c r="I166" s="680"/>
      <c r="J166" s="655">
        <f t="shared" ref="J166:J171" si="9">J163</f>
        <v>45778</v>
      </c>
      <c r="K166" s="656"/>
      <c r="L166" s="657"/>
      <c r="M166" s="678" t="s">
        <v>720</v>
      </c>
      <c r="N166" s="680"/>
      <c r="O166" s="648">
        <f>O163</f>
        <v>1</v>
      </c>
      <c r="P166" s="648"/>
      <c r="Q166" s="648"/>
      <c r="R166" s="647" t="str">
        <f>U157</f>
        <v>2634 (citire)</v>
      </c>
      <c r="S166" s="647"/>
      <c r="T166" s="647"/>
      <c r="U166" s="647" t="str">
        <f>VLOOKUP(AI140,'Date masura OD'!$G:$BB,9,FALSE)&amp;" (estimat)"</f>
        <v>2634 (estimat)</v>
      </c>
      <c r="V166" s="647"/>
      <c r="W166" s="647"/>
      <c r="X166" s="647" t="str">
        <f>VLOOKUP(AI140,'Date masura OD'!$G:$BB,13,FALSE)&amp;" (estimat)"</f>
        <v>0 (estimat)</v>
      </c>
      <c r="Y166" s="647"/>
      <c r="Z166" s="647"/>
      <c r="AA166" s="647" t="s">
        <v>69</v>
      </c>
      <c r="AB166" s="647"/>
      <c r="AC166" s="647"/>
      <c r="AD166" s="647" t="s">
        <v>69</v>
      </c>
      <c r="AE166" s="647"/>
      <c r="AF166" s="647">
        <f>VLOOKUP(AI140,'Date masura OD'!$G:$BB,13,FALSE)</f>
        <v>0</v>
      </c>
      <c r="AG166" s="647"/>
      <c r="AH166" s="647"/>
      <c r="AI166" s="647">
        <f>AI163</f>
        <v>31</v>
      </c>
      <c r="AJ166" s="647"/>
      <c r="AK166" s="647">
        <f>ROUND(AF166/AI166,2)</f>
        <v>0</v>
      </c>
      <c r="AL166" s="647"/>
      <c r="AM166" s="647"/>
    </row>
    <row r="167" spans="1:39" ht="8.4499999999999993" customHeight="1">
      <c r="A167" s="717"/>
      <c r="B167" s="718"/>
      <c r="C167" s="718"/>
      <c r="D167" s="718"/>
      <c r="E167" s="718"/>
      <c r="F167" s="719"/>
      <c r="G167" s="717"/>
      <c r="H167" s="718"/>
      <c r="I167" s="719"/>
      <c r="J167" s="717" t="str">
        <f t="shared" si="9"/>
        <v>-</v>
      </c>
      <c r="K167" s="718"/>
      <c r="L167" s="719"/>
      <c r="M167" s="717"/>
      <c r="N167" s="719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1"/>
      <c r="B168" s="682"/>
      <c r="C168" s="682"/>
      <c r="D168" s="682"/>
      <c r="E168" s="682"/>
      <c r="F168" s="683"/>
      <c r="G168" s="681"/>
      <c r="H168" s="682"/>
      <c r="I168" s="683"/>
      <c r="J168" s="714">
        <f t="shared" si="9"/>
        <v>45808</v>
      </c>
      <c r="K168" s="715"/>
      <c r="L168" s="716"/>
      <c r="M168" s="681"/>
      <c r="N168" s="683"/>
      <c r="O168" s="648"/>
      <c r="P168" s="648"/>
      <c r="Q168" s="648"/>
      <c r="R168" s="647"/>
      <c r="S168" s="647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47"/>
      <c r="AL168" s="647"/>
      <c r="AM168" s="647"/>
    </row>
    <row r="169" spans="1:39" ht="14.1" customHeight="1">
      <c r="A169" s="678">
        <f>A166</f>
        <v>161192</v>
      </c>
      <c r="B169" s="679"/>
      <c r="C169" s="679"/>
      <c r="D169" s="679"/>
      <c r="E169" s="679"/>
      <c r="F169" s="680"/>
      <c r="G169" s="678" t="s">
        <v>731</v>
      </c>
      <c r="H169" s="679"/>
      <c r="I169" s="680"/>
      <c r="J169" s="655">
        <f t="shared" si="9"/>
        <v>45778</v>
      </c>
      <c r="K169" s="656"/>
      <c r="L169" s="657"/>
      <c r="M169" s="678" t="s">
        <v>720</v>
      </c>
      <c r="N169" s="680"/>
      <c r="O169" s="648">
        <f>O166</f>
        <v>1</v>
      </c>
      <c r="P169" s="648"/>
      <c r="Q169" s="648"/>
      <c r="R169" s="647" t="str">
        <f>U160</f>
        <v>8044 (citire)</v>
      </c>
      <c r="S169" s="647"/>
      <c r="T169" s="647"/>
      <c r="U169" s="647" t="str">
        <f>VLOOKUP(AI140,'Date masura OD'!$G:$BB,11,FALSE)&amp;" (estimat)"</f>
        <v>8044 (estimat)</v>
      </c>
      <c r="V169" s="647"/>
      <c r="W169" s="647"/>
      <c r="X169" s="647" t="str">
        <f>VLOOKUP(AI140,'Date masura OD'!$G:$BB,15,FALSE)&amp;" (estimat)"</f>
        <v>0 (estimat)</v>
      </c>
      <c r="Y169" s="647"/>
      <c r="Z169" s="647"/>
      <c r="AA169" s="647" t="s">
        <v>69</v>
      </c>
      <c r="AB169" s="647"/>
      <c r="AC169" s="647"/>
      <c r="AD169" s="647" t="s">
        <v>69</v>
      </c>
      <c r="AE169" s="647"/>
      <c r="AF169" s="647">
        <f>VLOOKUP(AI140,'Date masura OD'!$G:$BB,15,FALSE)</f>
        <v>0</v>
      </c>
      <c r="AG169" s="647"/>
      <c r="AH169" s="647"/>
      <c r="AI169" s="647">
        <f>AI166</f>
        <v>31</v>
      </c>
      <c r="AJ169" s="647"/>
      <c r="AK169" s="647">
        <f>ROUND(AF169/AI169,2)</f>
        <v>0</v>
      </c>
      <c r="AL169" s="647"/>
      <c r="AM169" s="647"/>
    </row>
    <row r="170" spans="1:39" ht="8.4499999999999993" customHeight="1">
      <c r="A170" s="717"/>
      <c r="B170" s="718"/>
      <c r="C170" s="718"/>
      <c r="D170" s="718"/>
      <c r="E170" s="718"/>
      <c r="F170" s="719"/>
      <c r="G170" s="717"/>
      <c r="H170" s="718"/>
      <c r="I170" s="719"/>
      <c r="J170" s="717" t="str">
        <f t="shared" si="9"/>
        <v>-</v>
      </c>
      <c r="K170" s="718"/>
      <c r="L170" s="719"/>
      <c r="M170" s="717"/>
      <c r="N170" s="719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81"/>
      <c r="B171" s="682"/>
      <c r="C171" s="682"/>
      <c r="D171" s="682"/>
      <c r="E171" s="682"/>
      <c r="F171" s="683"/>
      <c r="G171" s="681"/>
      <c r="H171" s="682"/>
      <c r="I171" s="683"/>
      <c r="J171" s="714">
        <f t="shared" si="9"/>
        <v>45808</v>
      </c>
      <c r="K171" s="715"/>
      <c r="L171" s="716"/>
      <c r="M171" s="681"/>
      <c r="N171" s="683"/>
      <c r="O171" s="648"/>
      <c r="P171" s="648"/>
      <c r="Q171" s="648"/>
      <c r="R171" s="647"/>
      <c r="S171" s="647"/>
      <c r="T171" s="647"/>
      <c r="U171" s="647"/>
      <c r="V171" s="647"/>
      <c r="W171" s="647"/>
      <c r="X171" s="647"/>
      <c r="Y171" s="647"/>
      <c r="Z171" s="647"/>
      <c r="AA171" s="647"/>
      <c r="AB171" s="647"/>
      <c r="AC171" s="647"/>
      <c r="AD171" s="647"/>
      <c r="AE171" s="647"/>
      <c r="AF171" s="647"/>
      <c r="AG171" s="647"/>
      <c r="AH171" s="647"/>
      <c r="AI171" s="647"/>
      <c r="AJ171" s="647"/>
      <c r="AK171" s="647"/>
      <c r="AL171" s="647"/>
      <c r="AM171" s="647"/>
    </row>
    <row r="172" spans="1:39" ht="14.1" customHeight="1"/>
    <row r="173" spans="1:39" ht="14.1" customHeight="1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</row>
    <row r="174" spans="1:39" ht="14.1" customHeight="1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</row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 ht="14.1" customHeight="1"/>
    <row r="187" spans="1:39" ht="15.95" customHeight="1">
      <c r="A187" s="624" t="str">
        <f>A28</f>
        <v>DETALII FACTURA FACTURA FISCALA SERIA …........ NR …................. din date de ….......06.2025</v>
      </c>
      <c r="B187" s="624"/>
      <c r="C187" s="624"/>
      <c r="D187" s="624"/>
      <c r="E187" s="624"/>
      <c r="F187" s="624"/>
      <c r="G187" s="624"/>
      <c r="H187" s="624"/>
      <c r="I187" s="624"/>
      <c r="J187" s="624"/>
      <c r="K187" s="624"/>
      <c r="L187" s="624"/>
      <c r="M187" s="624"/>
      <c r="N187" s="624"/>
      <c r="O187" s="624"/>
      <c r="P187" s="624"/>
      <c r="Q187" s="624"/>
      <c r="R187" s="624"/>
      <c r="S187" s="624"/>
      <c r="T187" s="624"/>
      <c r="U187" s="624"/>
      <c r="V187" s="624"/>
      <c r="W187" s="624"/>
      <c r="X187" s="624"/>
      <c r="Y187" s="624"/>
      <c r="Z187" s="624"/>
      <c r="AA187" s="624"/>
      <c r="AB187" s="624"/>
      <c r="AC187" s="624"/>
      <c r="AD187" s="624"/>
      <c r="AE187" s="624"/>
      <c r="AF187" s="624"/>
      <c r="AG187" s="624"/>
      <c r="AH187" s="624"/>
      <c r="AI187" s="624"/>
      <c r="AJ187" s="624"/>
      <c r="AK187" s="624"/>
      <c r="AL187" s="624"/>
      <c r="AM187" s="624"/>
    </row>
    <row r="189" spans="1:39" ht="36" customHeight="1">
      <c r="A189" s="66" t="s">
        <v>721</v>
      </c>
      <c r="B189" s="648" t="s">
        <v>95</v>
      </c>
      <c r="C189" s="648"/>
      <c r="D189" s="648"/>
      <c r="E189" s="648"/>
      <c r="F189" s="648"/>
      <c r="G189" s="648"/>
      <c r="H189" s="648"/>
      <c r="I189" s="648"/>
      <c r="J189" s="648"/>
      <c r="K189" s="648"/>
      <c r="L189" s="64" t="s">
        <v>709</v>
      </c>
      <c r="M189" s="69"/>
      <c r="N189" s="69"/>
      <c r="O189" s="64"/>
      <c r="P189" s="69"/>
      <c r="Q189" s="69"/>
      <c r="R189" s="647" t="s">
        <v>722</v>
      </c>
      <c r="S189" s="647"/>
      <c r="T189" s="647"/>
      <c r="U189" s="647"/>
      <c r="V189" s="648" t="s">
        <v>519</v>
      </c>
      <c r="W189" s="648"/>
      <c r="X189" s="647" t="s">
        <v>723</v>
      </c>
      <c r="Y189" s="647"/>
      <c r="Z189" s="647"/>
      <c r="AA189" s="647"/>
      <c r="AB189" s="647" t="s">
        <v>724</v>
      </c>
      <c r="AC189" s="647"/>
      <c r="AD189" s="647"/>
      <c r="AE189" s="647"/>
      <c r="AF189" s="647" t="s">
        <v>725</v>
      </c>
      <c r="AG189" s="647"/>
      <c r="AH189" s="647"/>
      <c r="AI189" s="647"/>
      <c r="AJ189" s="647" t="s">
        <v>726</v>
      </c>
      <c r="AK189" s="647"/>
      <c r="AL189" s="647"/>
      <c r="AM189" s="647"/>
    </row>
    <row r="190" spans="1:39" ht="15.95" customHeight="1">
      <c r="A190" s="65">
        <v>1</v>
      </c>
      <c r="B190" s="699" t="s">
        <v>71</v>
      </c>
      <c r="C190" s="700"/>
      <c r="D190" s="700"/>
      <c r="E190" s="700"/>
      <c r="F190" s="700"/>
      <c r="G190" s="700"/>
      <c r="H190" s="700"/>
      <c r="I190" s="700"/>
      <c r="J190" s="700"/>
      <c r="K190" s="701"/>
      <c r="L190" s="702">
        <f>'Date masura OD'!$I$5</f>
        <v>45778</v>
      </c>
      <c r="M190" s="702"/>
      <c r="N190" s="702"/>
      <c r="O190" s="702">
        <f>'Date masura OD'!$J$5</f>
        <v>45808</v>
      </c>
      <c r="P190" s="702"/>
      <c r="Q190" s="702"/>
      <c r="R190" s="690" cm="1">
        <f t="array" ref="R190">INDEX(verificare!$AT$4:$CC$26,VLOOKUP($AA$16,verificare!$AR$4:$AS$26,2,FALSE),A190)</f>
        <v>281445</v>
      </c>
      <c r="S190" s="690"/>
      <c r="T190" s="690"/>
      <c r="U190" s="690"/>
      <c r="V190" s="658" t="s">
        <v>446</v>
      </c>
      <c r="W190" s="658"/>
      <c r="X190" s="691">
        <f>HLOOKUP(VLOOKUP($AA$16,'Date SPV'!$B:$F,5,FALSE),'Preturi si tarife'!$C$2:$J$39,A190+2,FALSE)</f>
        <v>0.59499999999999997</v>
      </c>
      <c r="Y190" s="692"/>
      <c r="Z190" s="692"/>
      <c r="AA190" s="693"/>
      <c r="AB190" s="690">
        <f>ROUND(X190*R190,2)</f>
        <v>167459.78</v>
      </c>
      <c r="AC190" s="690"/>
      <c r="AD190" s="690"/>
      <c r="AE190" s="690"/>
      <c r="AF190" s="690">
        <f>ROUND(AB190*19%,2)</f>
        <v>31817.360000000001</v>
      </c>
      <c r="AG190" s="690"/>
      <c r="AH190" s="690"/>
      <c r="AI190" s="690"/>
      <c r="AJ190" s="690">
        <f>AB190+AF190</f>
        <v>199277.14</v>
      </c>
      <c r="AK190" s="690"/>
      <c r="AL190" s="690"/>
      <c r="AM190" s="690"/>
    </row>
    <row r="191" spans="1:39" ht="15.95" customHeight="1">
      <c r="A191" s="65">
        <f>A190+1</f>
        <v>2</v>
      </c>
      <c r="B191" s="699" t="s">
        <v>72</v>
      </c>
      <c r="C191" s="700"/>
      <c r="D191" s="700"/>
      <c r="E191" s="700"/>
      <c r="F191" s="700"/>
      <c r="G191" s="700"/>
      <c r="H191" s="700"/>
      <c r="I191" s="700"/>
      <c r="J191" s="700"/>
      <c r="K191" s="701"/>
      <c r="L191" s="702">
        <f>L190</f>
        <v>45778</v>
      </c>
      <c r="M191" s="702"/>
      <c r="N191" s="702"/>
      <c r="O191" s="702">
        <f>O190</f>
        <v>45808</v>
      </c>
      <c r="P191" s="702"/>
      <c r="Q191" s="702"/>
      <c r="R191" s="690" cm="1">
        <f t="array" ref="R191">INDEX(verificare!$AT$4:$CC$26,VLOOKUP($AA$16,verificare!$AR$4:$AS$26,2,FALSE),A191)</f>
        <v>0</v>
      </c>
      <c r="S191" s="690"/>
      <c r="T191" s="690"/>
      <c r="U191" s="690"/>
      <c r="V191" s="658" t="s">
        <v>727</v>
      </c>
      <c r="W191" s="658"/>
      <c r="X191" s="691">
        <f>HLOOKUP(VLOOKUP($AA$16,'Date SPV'!$B:$F,5,FALSE),'Preturi si tarife'!$C$2:$J$39,A191+2,FALSE)</f>
        <v>0.14649999999999999</v>
      </c>
      <c r="Y191" s="692"/>
      <c r="Z191" s="692"/>
      <c r="AA191" s="693"/>
      <c r="AB191" s="690">
        <f t="shared" ref="AB191:AB225" si="10">ROUND(X191*R191,2)</f>
        <v>0</v>
      </c>
      <c r="AC191" s="690"/>
      <c r="AD191" s="690"/>
      <c r="AE191" s="690"/>
      <c r="AF191" s="690">
        <f t="shared" ref="AF191:AF225" si="11">ROUND(AB191*19%,2)</f>
        <v>0</v>
      </c>
      <c r="AG191" s="690"/>
      <c r="AH191" s="690"/>
      <c r="AI191" s="690"/>
      <c r="AJ191" s="690">
        <f t="shared" ref="AJ191:AJ225" si="12">AB191+AF191</f>
        <v>0</v>
      </c>
      <c r="AK191" s="690"/>
      <c r="AL191" s="690"/>
      <c r="AM191" s="690"/>
    </row>
    <row r="192" spans="1:39" ht="15.95" customHeight="1">
      <c r="A192" s="65">
        <f t="shared" ref="A192:A227" si="13">A191+1</f>
        <v>3</v>
      </c>
      <c r="B192" s="699" t="s">
        <v>73</v>
      </c>
      <c r="C192" s="700"/>
      <c r="D192" s="700"/>
      <c r="E192" s="700"/>
      <c r="F192" s="700"/>
      <c r="G192" s="700"/>
      <c r="H192" s="700"/>
      <c r="I192" s="700"/>
      <c r="J192" s="700"/>
      <c r="K192" s="701"/>
      <c r="L192" s="702">
        <f t="shared" ref="L192:L200" si="14">L191</f>
        <v>45778</v>
      </c>
      <c r="M192" s="702"/>
      <c r="N192" s="702"/>
      <c r="O192" s="702">
        <f t="shared" ref="O192:O200" si="15">O191</f>
        <v>45808</v>
      </c>
      <c r="P192" s="702"/>
      <c r="Q192" s="702"/>
      <c r="R192" s="690" cm="1">
        <f t="array" ref="R192">INDEX(verificare!$AT$4:$CC$26,VLOOKUP($AA$16,verificare!$AR$4:$AS$26,2,FALSE),A192)</f>
        <v>0</v>
      </c>
      <c r="S192" s="690"/>
      <c r="T192" s="690"/>
      <c r="U192" s="690"/>
      <c r="V192" s="658" t="s">
        <v>727</v>
      </c>
      <c r="W192" s="658"/>
      <c r="X192" s="691">
        <f>HLOOKUP(VLOOKUP($AA$16,'Date SPV'!$B:$F,5,FALSE),'Preturi si tarife'!$C$2:$J$39,A192+2,FALSE)</f>
        <v>0.4395</v>
      </c>
      <c r="Y192" s="692"/>
      <c r="Z192" s="692"/>
      <c r="AA192" s="693"/>
      <c r="AB192" s="690">
        <f t="shared" si="10"/>
        <v>0</v>
      </c>
      <c r="AC192" s="690"/>
      <c r="AD192" s="690"/>
      <c r="AE192" s="690"/>
      <c r="AF192" s="690">
        <f t="shared" si="11"/>
        <v>0</v>
      </c>
      <c r="AG192" s="690"/>
      <c r="AH192" s="690"/>
      <c r="AI192" s="690"/>
      <c r="AJ192" s="690">
        <f t="shared" si="12"/>
        <v>0</v>
      </c>
      <c r="AK192" s="690"/>
      <c r="AL192" s="690"/>
      <c r="AM192" s="690"/>
    </row>
    <row r="193" spans="1:39" ht="15.95" customHeight="1">
      <c r="A193" s="65">
        <f t="shared" si="13"/>
        <v>4</v>
      </c>
      <c r="B193" s="699" t="s">
        <v>868</v>
      </c>
      <c r="C193" s="700"/>
      <c r="D193" s="700"/>
      <c r="E193" s="700"/>
      <c r="F193" s="700"/>
      <c r="G193" s="700"/>
      <c r="H193" s="700"/>
      <c r="I193" s="700"/>
      <c r="J193" s="700"/>
      <c r="K193" s="701"/>
      <c r="L193" s="702">
        <f t="shared" si="14"/>
        <v>45778</v>
      </c>
      <c r="M193" s="702"/>
      <c r="N193" s="702"/>
      <c r="O193" s="702">
        <f t="shared" si="15"/>
        <v>45808</v>
      </c>
      <c r="P193" s="702"/>
      <c r="Q193" s="702"/>
      <c r="R193" s="690" cm="1">
        <f t="array" ref="R193">INDEX(verificare!$AT$4:$CC$26,VLOOKUP($AA$16,verificare!$AR$4:$AS$26,2,FALSE),A193)</f>
        <v>281445</v>
      </c>
      <c r="S193" s="690"/>
      <c r="T193" s="690"/>
      <c r="U193" s="690"/>
      <c r="V193" s="658" t="s">
        <v>446</v>
      </c>
      <c r="W193" s="658"/>
      <c r="X193" s="691">
        <f>HLOOKUP(VLOOKUP($AA$16,'Date SPV'!$B:$F,5,FALSE),'Preturi si tarife'!$C$2:$J$39,A193+2,FALSE)</f>
        <v>0.13613999999999998</v>
      </c>
      <c r="Y193" s="692"/>
      <c r="Z193" s="692"/>
      <c r="AA193" s="693"/>
      <c r="AB193" s="690">
        <f t="shared" si="10"/>
        <v>38315.919999999998</v>
      </c>
      <c r="AC193" s="690"/>
      <c r="AD193" s="690"/>
      <c r="AE193" s="690"/>
      <c r="AF193" s="690">
        <f t="shared" si="11"/>
        <v>7280.02</v>
      </c>
      <c r="AG193" s="690"/>
      <c r="AH193" s="690"/>
      <c r="AI193" s="690"/>
      <c r="AJ193" s="690">
        <f t="shared" si="12"/>
        <v>45595.94</v>
      </c>
      <c r="AK193" s="690"/>
      <c r="AL193" s="690"/>
      <c r="AM193" s="690"/>
    </row>
    <row r="194" spans="1:39" ht="15.95" customHeight="1">
      <c r="A194" s="65">
        <f t="shared" si="13"/>
        <v>5</v>
      </c>
      <c r="B194" s="699" t="s">
        <v>757</v>
      </c>
      <c r="C194" s="700"/>
      <c r="D194" s="700"/>
      <c r="E194" s="700"/>
      <c r="F194" s="700"/>
      <c r="G194" s="700"/>
      <c r="H194" s="700"/>
      <c r="I194" s="700"/>
      <c r="J194" s="700"/>
      <c r="K194" s="701"/>
      <c r="L194" s="702">
        <f t="shared" si="14"/>
        <v>45778</v>
      </c>
      <c r="M194" s="702"/>
      <c r="N194" s="702"/>
      <c r="O194" s="702">
        <f t="shared" si="15"/>
        <v>45808</v>
      </c>
      <c r="P194" s="702"/>
      <c r="Q194" s="702"/>
      <c r="R194" s="690" cm="1">
        <f t="array" ref="R194">INDEX(verificare!$AT$4:$CC$26,VLOOKUP($AA$16,verificare!$AR$4:$AS$26,2,FALSE),A194)</f>
        <v>100</v>
      </c>
      <c r="S194" s="690"/>
      <c r="T194" s="690"/>
      <c r="U194" s="690"/>
      <c r="V194" s="658" t="s">
        <v>446</v>
      </c>
      <c r="W194" s="658"/>
      <c r="X194" s="691">
        <f>HLOOKUP(VLOOKUP($AA$16,'Date SPV'!$B:$F,5,FALSE),'Preturi si tarife'!$C$2:$J$39,A194+2,FALSE)</f>
        <v>0.22738999999999998</v>
      </c>
      <c r="Y194" s="692"/>
      <c r="Z194" s="692"/>
      <c r="AA194" s="693"/>
      <c r="AB194" s="690">
        <f t="shared" si="10"/>
        <v>22.74</v>
      </c>
      <c r="AC194" s="690"/>
      <c r="AD194" s="690"/>
      <c r="AE194" s="690"/>
      <c r="AF194" s="690">
        <f t="shared" si="11"/>
        <v>4.32</v>
      </c>
      <c r="AG194" s="690"/>
      <c r="AH194" s="690"/>
      <c r="AI194" s="690"/>
      <c r="AJ194" s="690">
        <f t="shared" si="12"/>
        <v>27.06</v>
      </c>
      <c r="AK194" s="690"/>
      <c r="AL194" s="690"/>
      <c r="AM194" s="690"/>
    </row>
    <row r="195" spans="1:39" ht="15.95" customHeight="1">
      <c r="A195" s="65">
        <f t="shared" si="13"/>
        <v>6</v>
      </c>
      <c r="B195" s="699" t="s">
        <v>74</v>
      </c>
      <c r="C195" s="700"/>
      <c r="D195" s="700"/>
      <c r="E195" s="700"/>
      <c r="F195" s="700"/>
      <c r="G195" s="700"/>
      <c r="H195" s="700"/>
      <c r="I195" s="700"/>
      <c r="J195" s="700"/>
      <c r="K195" s="701"/>
      <c r="L195" s="702">
        <f t="shared" si="14"/>
        <v>45778</v>
      </c>
      <c r="M195" s="702"/>
      <c r="N195" s="702"/>
      <c r="O195" s="702">
        <f t="shared" si="15"/>
        <v>45808</v>
      </c>
      <c r="P195" s="702"/>
      <c r="Q195" s="702"/>
      <c r="R195" s="690" cm="1">
        <f t="array" ref="R195">INDEX(verificare!$AT$4:$CC$26,VLOOKUP($AA$16,verificare!$AR$4:$AS$26,2,FALSE),A195)</f>
        <v>281445</v>
      </c>
      <c r="S195" s="690"/>
      <c r="T195" s="690"/>
      <c r="U195" s="690"/>
      <c r="V195" s="658" t="s">
        <v>446</v>
      </c>
      <c r="W195" s="658"/>
      <c r="X195" s="691">
        <f>HLOOKUP(VLOOKUP($AA$16,'Date SPV'!$B:$F,5,FALSE),'Preturi si tarife'!$C$2:$J$39,A195+2,FALSE)</f>
        <v>1.1509999999999999E-2</v>
      </c>
      <c r="Y195" s="692"/>
      <c r="Z195" s="692"/>
      <c r="AA195" s="693"/>
      <c r="AB195" s="690">
        <f t="shared" si="10"/>
        <v>3239.43</v>
      </c>
      <c r="AC195" s="690"/>
      <c r="AD195" s="690"/>
      <c r="AE195" s="690"/>
      <c r="AF195" s="690">
        <f t="shared" si="11"/>
        <v>615.49</v>
      </c>
      <c r="AG195" s="690"/>
      <c r="AH195" s="690"/>
      <c r="AI195" s="690"/>
      <c r="AJ195" s="690">
        <f t="shared" si="12"/>
        <v>3854.92</v>
      </c>
      <c r="AK195" s="690"/>
      <c r="AL195" s="690"/>
      <c r="AM195" s="690"/>
    </row>
    <row r="196" spans="1:39" ht="15.95" customHeight="1">
      <c r="A196" s="65">
        <f t="shared" si="13"/>
        <v>7</v>
      </c>
      <c r="B196" s="699" t="s">
        <v>75</v>
      </c>
      <c r="C196" s="700"/>
      <c r="D196" s="700"/>
      <c r="E196" s="700"/>
      <c r="F196" s="700"/>
      <c r="G196" s="700"/>
      <c r="H196" s="700"/>
      <c r="I196" s="700"/>
      <c r="J196" s="700"/>
      <c r="K196" s="701"/>
      <c r="L196" s="702">
        <f t="shared" si="14"/>
        <v>45778</v>
      </c>
      <c r="M196" s="702"/>
      <c r="N196" s="702"/>
      <c r="O196" s="702">
        <f t="shared" si="15"/>
        <v>45808</v>
      </c>
      <c r="P196" s="702"/>
      <c r="Q196" s="702"/>
      <c r="R196" s="690" cm="1">
        <f t="array" ref="R196">INDEX(verificare!$AT$4:$CC$26,VLOOKUP($AA$16,verificare!$AR$4:$AS$26,2,FALSE),A196)</f>
        <v>281445</v>
      </c>
      <c r="S196" s="690"/>
      <c r="T196" s="690"/>
      <c r="U196" s="690"/>
      <c r="V196" s="658" t="s">
        <v>446</v>
      </c>
      <c r="W196" s="658"/>
      <c r="X196" s="691">
        <f>HLOOKUP(VLOOKUP($AA$16,'Date SPV'!$B:$F,5,FALSE),'Preturi si tarife'!$C$2:$J$39,A196+2,FALSE)</f>
        <v>3.3030000000000004E-2</v>
      </c>
      <c r="Y196" s="692"/>
      <c r="Z196" s="692"/>
      <c r="AA196" s="693"/>
      <c r="AB196" s="690">
        <f t="shared" si="10"/>
        <v>9296.1299999999992</v>
      </c>
      <c r="AC196" s="690"/>
      <c r="AD196" s="690"/>
      <c r="AE196" s="690"/>
      <c r="AF196" s="690">
        <f t="shared" si="11"/>
        <v>1766.26</v>
      </c>
      <c r="AG196" s="690"/>
      <c r="AH196" s="690"/>
      <c r="AI196" s="690"/>
      <c r="AJ196" s="690">
        <f t="shared" si="12"/>
        <v>11062.39</v>
      </c>
      <c r="AK196" s="690"/>
      <c r="AL196" s="690"/>
      <c r="AM196" s="690"/>
    </row>
    <row r="197" spans="1:39" ht="15.95" customHeight="1">
      <c r="A197" s="65">
        <f t="shared" si="13"/>
        <v>8</v>
      </c>
      <c r="B197" s="699" t="s">
        <v>76</v>
      </c>
      <c r="C197" s="700"/>
      <c r="D197" s="700"/>
      <c r="E197" s="700"/>
      <c r="F197" s="700"/>
      <c r="G197" s="700"/>
      <c r="H197" s="700"/>
      <c r="I197" s="700"/>
      <c r="J197" s="700"/>
      <c r="K197" s="701"/>
      <c r="L197" s="702">
        <f t="shared" si="14"/>
        <v>45778</v>
      </c>
      <c r="M197" s="702"/>
      <c r="N197" s="702"/>
      <c r="O197" s="702">
        <f t="shared" si="15"/>
        <v>45808</v>
      </c>
      <c r="P197" s="702"/>
      <c r="Q197" s="702"/>
      <c r="R197" s="690" cm="1">
        <f t="array" ref="R197">INDEX(verificare!$AT$4:$CC$26,VLOOKUP($AA$16,verificare!$AR$4:$AS$26,2,FALSE),A197)</f>
        <v>281445</v>
      </c>
      <c r="S197" s="690"/>
      <c r="T197" s="690"/>
      <c r="U197" s="690"/>
      <c r="V197" s="658" t="s">
        <v>446</v>
      </c>
      <c r="W197" s="658"/>
      <c r="X197" s="691">
        <f>HLOOKUP(VLOOKUP($AA$16,'Date SPV'!$B:$F,5,FALSE),'Preturi si tarife'!$C$2:$J$39,A197+2,FALSE)</f>
        <v>3.29E-3</v>
      </c>
      <c r="Y197" s="692"/>
      <c r="Z197" s="692"/>
      <c r="AA197" s="693"/>
      <c r="AB197" s="690">
        <f t="shared" si="10"/>
        <v>925.95</v>
      </c>
      <c r="AC197" s="690"/>
      <c r="AD197" s="690"/>
      <c r="AE197" s="690"/>
      <c r="AF197" s="690">
        <f t="shared" si="11"/>
        <v>175.93</v>
      </c>
      <c r="AG197" s="690"/>
      <c r="AH197" s="690"/>
      <c r="AI197" s="690"/>
      <c r="AJ197" s="690">
        <f t="shared" si="12"/>
        <v>1101.8800000000001</v>
      </c>
      <c r="AK197" s="690"/>
      <c r="AL197" s="690"/>
      <c r="AM197" s="690"/>
    </row>
    <row r="198" spans="1:39" ht="15.95" customHeight="1">
      <c r="A198" s="65">
        <f t="shared" si="13"/>
        <v>9</v>
      </c>
      <c r="B198" s="699" t="s">
        <v>77</v>
      </c>
      <c r="C198" s="700"/>
      <c r="D198" s="700"/>
      <c r="E198" s="700"/>
      <c r="F198" s="700"/>
      <c r="G198" s="700"/>
      <c r="H198" s="700"/>
      <c r="I198" s="700"/>
      <c r="J198" s="700"/>
      <c r="K198" s="701"/>
      <c r="L198" s="702">
        <f t="shared" si="14"/>
        <v>45778</v>
      </c>
      <c r="M198" s="702"/>
      <c r="N198" s="702"/>
      <c r="O198" s="702">
        <f t="shared" si="15"/>
        <v>45808</v>
      </c>
      <c r="P198" s="702"/>
      <c r="Q198" s="702"/>
      <c r="R198" s="690" cm="1">
        <f t="array" ref="R198">INDEX(verificare!$AT$4:$CC$26,VLOOKUP($AA$16,verificare!$AR$4:$AS$26,2,FALSE),A198)</f>
        <v>281445</v>
      </c>
      <c r="S198" s="690"/>
      <c r="T198" s="690"/>
      <c r="U198" s="690"/>
      <c r="V198" s="658" t="s">
        <v>446</v>
      </c>
      <c r="W198" s="658"/>
      <c r="X198" s="691">
        <f>HLOOKUP(VLOOKUP($AA$16,'Date SPV'!$B:$F,5,FALSE),'Preturi si tarife'!$C$2:$J$39,A198+2,FALSE)</f>
        <v>3.5000000000000001E-3</v>
      </c>
      <c r="Y198" s="692"/>
      <c r="Z198" s="692"/>
      <c r="AA198" s="693"/>
      <c r="AB198" s="690">
        <f t="shared" si="10"/>
        <v>985.06</v>
      </c>
      <c r="AC198" s="690"/>
      <c r="AD198" s="690"/>
      <c r="AE198" s="690"/>
      <c r="AF198" s="690">
        <f t="shared" si="11"/>
        <v>187.16</v>
      </c>
      <c r="AG198" s="690"/>
      <c r="AH198" s="690"/>
      <c r="AI198" s="690"/>
      <c r="AJ198" s="690">
        <f t="shared" si="12"/>
        <v>1172.22</v>
      </c>
      <c r="AK198" s="690"/>
      <c r="AL198" s="690"/>
      <c r="AM198" s="690"/>
    </row>
    <row r="199" spans="1:39" ht="15.95" customHeight="1">
      <c r="A199" s="65">
        <f t="shared" si="13"/>
        <v>10</v>
      </c>
      <c r="B199" s="699" t="s">
        <v>78</v>
      </c>
      <c r="C199" s="700"/>
      <c r="D199" s="700"/>
      <c r="E199" s="700"/>
      <c r="F199" s="700"/>
      <c r="G199" s="700"/>
      <c r="H199" s="700"/>
      <c r="I199" s="700"/>
      <c r="J199" s="700"/>
      <c r="K199" s="701"/>
      <c r="L199" s="702">
        <f t="shared" si="14"/>
        <v>45778</v>
      </c>
      <c r="M199" s="702"/>
      <c r="N199" s="702"/>
      <c r="O199" s="702">
        <f t="shared" si="15"/>
        <v>45808</v>
      </c>
      <c r="P199" s="702"/>
      <c r="Q199" s="702"/>
      <c r="R199" s="690" cm="1">
        <f t="array" ref="R199">INDEX(verificare!$AT$4:$CC$26,VLOOKUP($AA$16,verificare!$AR$4:$AS$26,2,FALSE),A199)</f>
        <v>281445</v>
      </c>
      <c r="S199" s="690"/>
      <c r="T199" s="690"/>
      <c r="U199" s="690"/>
      <c r="V199" s="658" t="s">
        <v>446</v>
      </c>
      <c r="W199" s="658"/>
      <c r="X199" s="691">
        <f>HLOOKUP(VLOOKUP($AA$16,'Date SPV'!$B:$F,5,FALSE),'Preturi si tarife'!$C$2:$J$39,A199+2,FALSE)</f>
        <v>7.2541599999999998E-2</v>
      </c>
      <c r="Y199" s="692"/>
      <c r="Z199" s="692"/>
      <c r="AA199" s="693"/>
      <c r="AB199" s="690">
        <f t="shared" si="10"/>
        <v>20416.47</v>
      </c>
      <c r="AC199" s="690"/>
      <c r="AD199" s="690"/>
      <c r="AE199" s="690"/>
      <c r="AF199" s="690">
        <f t="shared" si="11"/>
        <v>3879.13</v>
      </c>
      <c r="AG199" s="690"/>
      <c r="AH199" s="690"/>
      <c r="AI199" s="690"/>
      <c r="AJ199" s="690">
        <f t="shared" si="12"/>
        <v>24295.600000000002</v>
      </c>
      <c r="AK199" s="690"/>
      <c r="AL199" s="690"/>
      <c r="AM199" s="690"/>
    </row>
    <row r="200" spans="1:39" ht="15.95" customHeight="1">
      <c r="A200" s="65">
        <f t="shared" si="13"/>
        <v>11</v>
      </c>
      <c r="B200" s="699" t="s">
        <v>1313</v>
      </c>
      <c r="C200" s="700"/>
      <c r="D200" s="700"/>
      <c r="E200" s="700"/>
      <c r="F200" s="700"/>
      <c r="G200" s="700"/>
      <c r="H200" s="700"/>
      <c r="I200" s="700"/>
      <c r="J200" s="700"/>
      <c r="K200" s="701"/>
      <c r="L200" s="702">
        <f t="shared" si="14"/>
        <v>45778</v>
      </c>
      <c r="M200" s="702"/>
      <c r="N200" s="702"/>
      <c r="O200" s="702">
        <f t="shared" si="15"/>
        <v>45808</v>
      </c>
      <c r="P200" s="702"/>
      <c r="Q200" s="702"/>
      <c r="R200" s="690" cm="1">
        <f t="array" ref="R200">INDEX(verificare!$AT$4:$CC$26,VLOOKUP($AA$16,verificare!$AR$4:$AS$26,2,FALSE),A200)</f>
        <v>281445</v>
      </c>
      <c r="S200" s="690"/>
      <c r="T200" s="690"/>
      <c r="U200" s="690"/>
      <c r="V200" s="658" t="s">
        <v>446</v>
      </c>
      <c r="W200" s="658"/>
      <c r="X200" s="691">
        <f>HLOOKUP(VLOOKUP($AA$16,'Date SPV'!$B:$F,5,FALSE),'Preturi si tarife'!$C$2:$J$39,A200+2,FALSE)</f>
        <v>2.0599999999999999E-4</v>
      </c>
      <c r="Y200" s="692"/>
      <c r="Z200" s="692"/>
      <c r="AA200" s="693"/>
      <c r="AB200" s="690">
        <f t="shared" si="10"/>
        <v>57.98</v>
      </c>
      <c r="AC200" s="690"/>
      <c r="AD200" s="690"/>
      <c r="AE200" s="690"/>
      <c r="AF200" s="690">
        <f t="shared" si="11"/>
        <v>11.02</v>
      </c>
      <c r="AG200" s="690"/>
      <c r="AH200" s="690"/>
      <c r="AI200" s="690"/>
      <c r="AJ200" s="690">
        <f t="shared" si="12"/>
        <v>69</v>
      </c>
      <c r="AK200" s="690"/>
      <c r="AL200" s="690"/>
      <c r="AM200" s="690"/>
    </row>
    <row r="201" spans="1:39" ht="15.95" customHeight="1">
      <c r="A201" s="65">
        <f t="shared" si="13"/>
        <v>12</v>
      </c>
      <c r="B201" s="699" t="s">
        <v>79</v>
      </c>
      <c r="C201" s="700"/>
      <c r="D201" s="700"/>
      <c r="E201" s="700"/>
      <c r="F201" s="700"/>
      <c r="G201" s="700"/>
      <c r="H201" s="700"/>
      <c r="I201" s="700"/>
      <c r="J201" s="700"/>
      <c r="K201" s="701"/>
      <c r="L201" s="702">
        <f>L199</f>
        <v>45778</v>
      </c>
      <c r="M201" s="702"/>
      <c r="N201" s="702"/>
      <c r="O201" s="702">
        <f>O199</f>
        <v>45808</v>
      </c>
      <c r="P201" s="702"/>
      <c r="Q201" s="702"/>
      <c r="R201" s="690" cm="1">
        <f t="array" ref="R201">INDEX(verificare!$AT$4:$CC$26,VLOOKUP($AA$16,verificare!$AR$4:$AS$26,2,FALSE),A201)</f>
        <v>281445</v>
      </c>
      <c r="S201" s="690"/>
      <c r="T201" s="690"/>
      <c r="U201" s="690"/>
      <c r="V201" s="658" t="s">
        <v>446</v>
      </c>
      <c r="W201" s="658"/>
      <c r="X201" s="691">
        <f>HLOOKUP(VLOOKUP($AA$16,'Date SPV'!$B:$F,5,FALSE),'Preturi si tarife'!$C$2:$J$39,A201+2,FALSE)</f>
        <v>0</v>
      </c>
      <c r="Y201" s="692"/>
      <c r="Z201" s="692"/>
      <c r="AA201" s="693"/>
      <c r="AB201" s="690">
        <f t="shared" si="10"/>
        <v>0</v>
      </c>
      <c r="AC201" s="690"/>
      <c r="AD201" s="690"/>
      <c r="AE201" s="690"/>
      <c r="AF201" s="690">
        <f t="shared" si="11"/>
        <v>0</v>
      </c>
      <c r="AG201" s="690"/>
      <c r="AH201" s="690"/>
      <c r="AI201" s="690"/>
      <c r="AJ201" s="690">
        <f t="shared" si="12"/>
        <v>0</v>
      </c>
      <c r="AK201" s="690"/>
      <c r="AL201" s="690"/>
      <c r="AM201" s="690"/>
    </row>
    <row r="202" spans="1:39" ht="15.95" customHeight="1">
      <c r="A202" s="65">
        <f t="shared" si="13"/>
        <v>13</v>
      </c>
      <c r="B202" s="699" t="s">
        <v>80</v>
      </c>
      <c r="C202" s="700"/>
      <c r="D202" s="700"/>
      <c r="E202" s="700"/>
      <c r="F202" s="700"/>
      <c r="G202" s="700"/>
      <c r="H202" s="700"/>
      <c r="I202" s="700"/>
      <c r="J202" s="700"/>
      <c r="K202" s="701"/>
      <c r="L202" s="702">
        <f t="shared" ref="L202:L207" si="16">L201</f>
        <v>45778</v>
      </c>
      <c r="M202" s="702"/>
      <c r="N202" s="702"/>
      <c r="O202" s="702">
        <f t="shared" ref="O202:O207" si="17">O201</f>
        <v>45808</v>
      </c>
      <c r="P202" s="702"/>
      <c r="Q202" s="702"/>
      <c r="R202" s="690" cm="1">
        <f t="array" ref="R202">INDEX(verificare!$AT$4:$CC$26,VLOOKUP($AA$16,verificare!$AR$4:$AS$26,2,FALSE),A202)</f>
        <v>281345</v>
      </c>
      <c r="S202" s="690"/>
      <c r="T202" s="690"/>
      <c r="U202" s="690"/>
      <c r="V202" s="658" t="s">
        <v>446</v>
      </c>
      <c r="W202" s="658"/>
      <c r="X202" s="691">
        <f>HLOOKUP(VLOOKUP($AA$16,'Date SPV'!$B:$F,5,FALSE),'Preturi si tarife'!$C$2:$J$39,A202+2,FALSE)</f>
        <v>1.7000000000000001E-2</v>
      </c>
      <c r="Y202" s="692"/>
      <c r="Z202" s="692"/>
      <c r="AA202" s="693"/>
      <c r="AB202" s="690">
        <f t="shared" si="10"/>
        <v>4782.87</v>
      </c>
      <c r="AC202" s="690"/>
      <c r="AD202" s="690"/>
      <c r="AE202" s="690"/>
      <c r="AF202" s="690">
        <f t="shared" si="11"/>
        <v>908.75</v>
      </c>
      <c r="AG202" s="690"/>
      <c r="AH202" s="690"/>
      <c r="AI202" s="690"/>
      <c r="AJ202" s="690">
        <f t="shared" si="12"/>
        <v>5691.62</v>
      </c>
      <c r="AK202" s="690"/>
      <c r="AL202" s="690"/>
      <c r="AM202" s="690"/>
    </row>
    <row r="203" spans="1:39" ht="15.95" customHeight="1">
      <c r="A203" s="65">
        <f t="shared" si="13"/>
        <v>14</v>
      </c>
      <c r="B203" s="699" t="s">
        <v>81</v>
      </c>
      <c r="C203" s="700"/>
      <c r="D203" s="700"/>
      <c r="E203" s="700"/>
      <c r="F203" s="700"/>
      <c r="G203" s="700"/>
      <c r="H203" s="700"/>
      <c r="I203" s="700"/>
      <c r="J203" s="700"/>
      <c r="K203" s="701"/>
      <c r="L203" s="702">
        <f t="shared" si="16"/>
        <v>45778</v>
      </c>
      <c r="M203" s="702"/>
      <c r="N203" s="702"/>
      <c r="O203" s="702">
        <f t="shared" si="17"/>
        <v>45808</v>
      </c>
      <c r="P203" s="702"/>
      <c r="Q203" s="702"/>
      <c r="R203" s="690" cm="1">
        <f t="array" ref="R203">INDEX(verificare!$AT$4:$CC$26,VLOOKUP($AA$16,verificare!$AR$4:$AS$26,2,FALSE),A203)</f>
        <v>281345</v>
      </c>
      <c r="S203" s="690"/>
      <c r="T203" s="690"/>
      <c r="U203" s="690"/>
      <c r="V203" s="658" t="s">
        <v>446</v>
      </c>
      <c r="W203" s="658"/>
      <c r="X203" s="691">
        <f>HLOOKUP(VLOOKUP($AA$16,'Date SPV'!$B:$F,5,FALSE),'Preturi si tarife'!$C$2:$J$39,A203+2,FALSE)</f>
        <v>0.10290000000000001</v>
      </c>
      <c r="Y203" s="692"/>
      <c r="Z203" s="692"/>
      <c r="AA203" s="693"/>
      <c r="AB203" s="690">
        <f t="shared" si="10"/>
        <v>28950.400000000001</v>
      </c>
      <c r="AC203" s="690"/>
      <c r="AD203" s="690"/>
      <c r="AE203" s="690"/>
      <c r="AF203" s="690">
        <f t="shared" si="11"/>
        <v>5500.58</v>
      </c>
      <c r="AG203" s="690"/>
      <c r="AH203" s="690"/>
      <c r="AI203" s="690"/>
      <c r="AJ203" s="690">
        <f t="shared" si="12"/>
        <v>34450.980000000003</v>
      </c>
      <c r="AK203" s="690"/>
      <c r="AL203" s="690"/>
      <c r="AM203" s="690"/>
    </row>
    <row r="204" spans="1:39" ht="15.95" customHeight="1">
      <c r="A204" s="65">
        <f t="shared" si="13"/>
        <v>15</v>
      </c>
      <c r="B204" s="699" t="s">
        <v>82</v>
      </c>
      <c r="C204" s="700"/>
      <c r="D204" s="700"/>
      <c r="E204" s="700"/>
      <c r="F204" s="700"/>
      <c r="G204" s="700"/>
      <c r="H204" s="700"/>
      <c r="I204" s="700"/>
      <c r="J204" s="700"/>
      <c r="K204" s="701"/>
      <c r="L204" s="702">
        <f t="shared" si="16"/>
        <v>45778</v>
      </c>
      <c r="M204" s="702"/>
      <c r="N204" s="702"/>
      <c r="O204" s="702">
        <f t="shared" si="17"/>
        <v>45808</v>
      </c>
      <c r="P204" s="702"/>
      <c r="Q204" s="702"/>
      <c r="R204" s="690" cm="1">
        <f t="array" ref="R204">INDEX(verificare!$AT$4:$CC$26,VLOOKUP($AA$16,verificare!$AR$4:$AS$26,2,FALSE),A204)</f>
        <v>111950</v>
      </c>
      <c r="S204" s="690"/>
      <c r="T204" s="690"/>
      <c r="U204" s="690"/>
      <c r="V204" s="658" t="s">
        <v>446</v>
      </c>
      <c r="W204" s="658"/>
      <c r="X204" s="691">
        <f>HLOOKUP(VLOOKUP($AA$16,'Date SPV'!$B:$F,5,FALSE),'Preturi si tarife'!$C$2:$J$39,A204+2,FALSE)</f>
        <v>0.97511760000000003</v>
      </c>
      <c r="Y204" s="692"/>
      <c r="Z204" s="692"/>
      <c r="AA204" s="693"/>
      <c r="AB204" s="690">
        <f t="shared" si="10"/>
        <v>109164.42</v>
      </c>
      <c r="AC204" s="690"/>
      <c r="AD204" s="690"/>
      <c r="AE204" s="690"/>
      <c r="AF204" s="690">
        <f t="shared" si="11"/>
        <v>20741.240000000002</v>
      </c>
      <c r="AG204" s="690"/>
      <c r="AH204" s="690"/>
      <c r="AI204" s="690"/>
      <c r="AJ204" s="690">
        <f t="shared" si="12"/>
        <v>129905.66</v>
      </c>
      <c r="AK204" s="690"/>
      <c r="AL204" s="690"/>
      <c r="AM204" s="690"/>
    </row>
    <row r="205" spans="1:39" ht="15.95" customHeight="1">
      <c r="A205" s="65">
        <f t="shared" si="13"/>
        <v>16</v>
      </c>
      <c r="B205" s="699" t="s">
        <v>83</v>
      </c>
      <c r="C205" s="700"/>
      <c r="D205" s="700"/>
      <c r="E205" s="700"/>
      <c r="F205" s="700"/>
      <c r="G205" s="700"/>
      <c r="H205" s="700"/>
      <c r="I205" s="700"/>
      <c r="J205" s="700"/>
      <c r="K205" s="701"/>
      <c r="L205" s="702">
        <f t="shared" si="16"/>
        <v>45778</v>
      </c>
      <c r="M205" s="702"/>
      <c r="N205" s="702"/>
      <c r="O205" s="702">
        <f t="shared" si="17"/>
        <v>45808</v>
      </c>
      <c r="P205" s="702"/>
      <c r="Q205" s="702"/>
      <c r="R205" s="690" cm="1">
        <f t="array" ref="R205">INDEX(verificare!$AT$4:$CC$26,VLOOKUP($AA$16,verificare!$AR$4:$AS$26,2,FALSE),A205)</f>
        <v>8083</v>
      </c>
      <c r="S205" s="690"/>
      <c r="T205" s="690"/>
      <c r="U205" s="690"/>
      <c r="V205" s="658" t="s">
        <v>446</v>
      </c>
      <c r="W205" s="658"/>
      <c r="X205" s="691">
        <f>HLOOKUP(VLOOKUP($AA$16,'Date SPV'!$B:$F,5,FALSE),'Preturi si tarife'!$C$2:$J$39,A205+2,FALSE)</f>
        <v>0.85521760000000002</v>
      </c>
      <c r="Y205" s="692"/>
      <c r="Z205" s="692"/>
      <c r="AA205" s="693"/>
      <c r="AB205" s="690">
        <f t="shared" si="10"/>
        <v>6912.72</v>
      </c>
      <c r="AC205" s="690"/>
      <c r="AD205" s="690"/>
      <c r="AE205" s="690"/>
      <c r="AF205" s="690">
        <f t="shared" si="11"/>
        <v>1313.42</v>
      </c>
      <c r="AG205" s="690"/>
      <c r="AH205" s="690"/>
      <c r="AI205" s="690"/>
      <c r="AJ205" s="690">
        <f t="shared" si="12"/>
        <v>8226.14</v>
      </c>
      <c r="AK205" s="690"/>
      <c r="AL205" s="690"/>
      <c r="AM205" s="690"/>
    </row>
    <row r="206" spans="1:39" ht="15.95" customHeight="1">
      <c r="A206" s="65">
        <f t="shared" si="13"/>
        <v>17</v>
      </c>
      <c r="B206" s="699" t="s">
        <v>1129</v>
      </c>
      <c r="C206" s="700"/>
      <c r="D206" s="700"/>
      <c r="E206" s="700"/>
      <c r="F206" s="700"/>
      <c r="G206" s="700"/>
      <c r="H206" s="700"/>
      <c r="I206" s="700"/>
      <c r="J206" s="700"/>
      <c r="K206" s="701"/>
      <c r="L206" s="702">
        <f t="shared" si="16"/>
        <v>45778</v>
      </c>
      <c r="M206" s="702"/>
      <c r="N206" s="702"/>
      <c r="O206" s="702">
        <f t="shared" si="17"/>
        <v>45808</v>
      </c>
      <c r="P206" s="702"/>
      <c r="Q206" s="702"/>
      <c r="R206" s="690" cm="1">
        <f t="array" ref="R206">INDEX(verificare!$AT$4:$CC$26,VLOOKUP($AA$16,verificare!$AR$4:$AS$26,2,FALSE),A206)</f>
        <v>8083</v>
      </c>
      <c r="S206" s="690"/>
      <c r="T206" s="690"/>
      <c r="U206" s="690"/>
      <c r="V206" s="658" t="s">
        <v>446</v>
      </c>
      <c r="W206" s="658"/>
      <c r="X206" s="691">
        <f>HLOOKUP(VLOOKUP($AA$16,'Date SPV'!$B:$F,5,FALSE),'Preturi si tarife'!$C$2:$J$39,A206+2,FALSE)</f>
        <v>1.7000000000000001E-2</v>
      </c>
      <c r="Y206" s="692"/>
      <c r="Z206" s="692"/>
      <c r="AA206" s="693"/>
      <c r="AB206" s="690">
        <f t="shared" si="10"/>
        <v>137.41</v>
      </c>
      <c r="AC206" s="690"/>
      <c r="AD206" s="690"/>
      <c r="AE206" s="690"/>
      <c r="AF206" s="690">
        <f t="shared" si="11"/>
        <v>26.11</v>
      </c>
      <c r="AG206" s="690"/>
      <c r="AH206" s="690"/>
      <c r="AI206" s="690"/>
      <c r="AJ206" s="690">
        <f t="shared" si="12"/>
        <v>163.51999999999998</v>
      </c>
      <c r="AK206" s="690"/>
      <c r="AL206" s="690"/>
      <c r="AM206" s="690"/>
    </row>
    <row r="207" spans="1:39" ht="15.95" customHeight="1">
      <c r="A207" s="65">
        <f t="shared" si="13"/>
        <v>18</v>
      </c>
      <c r="B207" s="699" t="s">
        <v>1130</v>
      </c>
      <c r="C207" s="700"/>
      <c r="D207" s="700"/>
      <c r="E207" s="700"/>
      <c r="F207" s="700"/>
      <c r="G207" s="700"/>
      <c r="H207" s="700"/>
      <c r="I207" s="700"/>
      <c r="J207" s="700"/>
      <c r="K207" s="701"/>
      <c r="L207" s="702">
        <f t="shared" si="16"/>
        <v>45778</v>
      </c>
      <c r="M207" s="702"/>
      <c r="N207" s="702"/>
      <c r="O207" s="702">
        <f t="shared" si="17"/>
        <v>45808</v>
      </c>
      <c r="P207" s="702"/>
      <c r="Q207" s="702"/>
      <c r="R207" s="690" cm="1">
        <f t="array" ref="R207">INDEX(verificare!$AT$4:$CC$26,VLOOKUP($AA$16,verificare!$AR$4:$AS$26,2,FALSE),A207)</f>
        <v>8083</v>
      </c>
      <c r="S207" s="690"/>
      <c r="T207" s="690"/>
      <c r="U207" s="690"/>
      <c r="V207" s="658" t="s">
        <v>446</v>
      </c>
      <c r="W207" s="658"/>
      <c r="X207" s="691">
        <f>HLOOKUP(VLOOKUP($AA$16,'Date SPV'!$B:$F,5,FALSE),'Preturi si tarife'!$C$2:$J$39,A207+2,FALSE)</f>
        <v>0.10290000000000001</v>
      </c>
      <c r="Y207" s="692"/>
      <c r="Z207" s="692"/>
      <c r="AA207" s="693"/>
      <c r="AB207" s="690">
        <f t="shared" si="10"/>
        <v>831.74</v>
      </c>
      <c r="AC207" s="690"/>
      <c r="AD207" s="690"/>
      <c r="AE207" s="690"/>
      <c r="AF207" s="690">
        <f t="shared" si="11"/>
        <v>158.03</v>
      </c>
      <c r="AG207" s="690"/>
      <c r="AH207" s="690"/>
      <c r="AI207" s="690"/>
      <c r="AJ207" s="690">
        <f t="shared" si="12"/>
        <v>989.77</v>
      </c>
      <c r="AK207" s="690"/>
      <c r="AL207" s="690"/>
      <c r="AM207" s="690"/>
    </row>
    <row r="208" spans="1:39" ht="15.95" customHeight="1">
      <c r="A208" s="65">
        <f t="shared" si="13"/>
        <v>19</v>
      </c>
      <c r="B208" s="699" t="s">
        <v>99</v>
      </c>
      <c r="C208" s="700"/>
      <c r="D208" s="700"/>
      <c r="E208" s="700"/>
      <c r="F208" s="700"/>
      <c r="G208" s="700"/>
      <c r="H208" s="700"/>
      <c r="I208" s="700"/>
      <c r="J208" s="700"/>
      <c r="K208" s="701"/>
      <c r="L208" s="702">
        <f>'Date masura OD'!$W$5</f>
        <v>45748</v>
      </c>
      <c r="M208" s="702"/>
      <c r="N208" s="702"/>
      <c r="O208" s="702">
        <f>'Date masura OD'!$X$5</f>
        <v>45777</v>
      </c>
      <c r="P208" s="702"/>
      <c r="Q208" s="702"/>
      <c r="R208" s="690" cm="1">
        <f t="array" ref="R208">INDEX(verificare!$AT$4:$CC$26,VLOOKUP($AA$16,verificare!$AR$4:$AS$26,2,FALSE),A208)</f>
        <v>79</v>
      </c>
      <c r="S208" s="690"/>
      <c r="T208" s="690"/>
      <c r="U208" s="690"/>
      <c r="V208" s="658" t="s">
        <v>446</v>
      </c>
      <c r="W208" s="658"/>
      <c r="X208" s="691">
        <f>HLOOKUP(VLOOKUP($AA$16,'Date SPV'!$B:$F,5,FALSE),'Preturi si tarife'!$C$2:$J$39,A208+2,FALSE)</f>
        <v>0.59499999999999997</v>
      </c>
      <c r="Y208" s="692"/>
      <c r="Z208" s="692"/>
      <c r="AA208" s="693"/>
      <c r="AB208" s="690">
        <f t="shared" si="10"/>
        <v>47.01</v>
      </c>
      <c r="AC208" s="690"/>
      <c r="AD208" s="690"/>
      <c r="AE208" s="690"/>
      <c r="AF208" s="690">
        <f t="shared" si="11"/>
        <v>8.93</v>
      </c>
      <c r="AG208" s="690"/>
      <c r="AH208" s="690"/>
      <c r="AI208" s="690"/>
      <c r="AJ208" s="690">
        <f t="shared" si="12"/>
        <v>55.94</v>
      </c>
      <c r="AK208" s="690"/>
      <c r="AL208" s="690"/>
      <c r="AM208" s="690"/>
    </row>
    <row r="209" spans="1:39" ht="15.95" customHeight="1">
      <c r="A209" s="65">
        <f t="shared" si="13"/>
        <v>20</v>
      </c>
      <c r="B209" s="699" t="s">
        <v>100</v>
      </c>
      <c r="C209" s="700"/>
      <c r="D209" s="700"/>
      <c r="E209" s="700"/>
      <c r="F209" s="700"/>
      <c r="G209" s="700"/>
      <c r="H209" s="700"/>
      <c r="I209" s="700"/>
      <c r="J209" s="700"/>
      <c r="K209" s="701"/>
      <c r="L209" s="702">
        <f>L208</f>
        <v>45748</v>
      </c>
      <c r="M209" s="702"/>
      <c r="N209" s="702"/>
      <c r="O209" s="702">
        <f t="shared" ref="O209:O218" si="18">O208</f>
        <v>45777</v>
      </c>
      <c r="P209" s="702"/>
      <c r="Q209" s="702"/>
      <c r="R209" s="690" cm="1">
        <f t="array" ref="R209">INDEX(verificare!$AT$4:$CC$26,VLOOKUP($AA$16,verificare!$AR$4:$AS$26,2,FALSE),A209)</f>
        <v>0</v>
      </c>
      <c r="S209" s="690"/>
      <c r="T209" s="690"/>
      <c r="U209" s="690"/>
      <c r="V209" s="658" t="s">
        <v>727</v>
      </c>
      <c r="W209" s="658"/>
      <c r="X209" s="691">
        <f>HLOOKUP(VLOOKUP($AA$16,'Date SPV'!$B:$F,5,FALSE),'Preturi si tarife'!$C$2:$J$39,A209+2,FALSE)</f>
        <v>0.14649999999999999</v>
      </c>
      <c r="Y209" s="692"/>
      <c r="Z209" s="692"/>
      <c r="AA209" s="693"/>
      <c r="AB209" s="690">
        <f t="shared" si="10"/>
        <v>0</v>
      </c>
      <c r="AC209" s="690"/>
      <c r="AD209" s="690"/>
      <c r="AE209" s="690"/>
      <c r="AF209" s="690">
        <f t="shared" si="11"/>
        <v>0</v>
      </c>
      <c r="AG209" s="690"/>
      <c r="AH209" s="690"/>
      <c r="AI209" s="690"/>
      <c r="AJ209" s="690">
        <f t="shared" si="12"/>
        <v>0</v>
      </c>
      <c r="AK209" s="690"/>
      <c r="AL209" s="690"/>
      <c r="AM209" s="690"/>
    </row>
    <row r="210" spans="1:39" ht="30.95" customHeight="1">
      <c r="A210" s="65">
        <f t="shared" si="13"/>
        <v>21</v>
      </c>
      <c r="B210" s="699" t="s">
        <v>101</v>
      </c>
      <c r="C210" s="700"/>
      <c r="D210" s="700"/>
      <c r="E210" s="700"/>
      <c r="F210" s="700"/>
      <c r="G210" s="700"/>
      <c r="H210" s="700"/>
      <c r="I210" s="700"/>
      <c r="J210" s="700"/>
      <c r="K210" s="701"/>
      <c r="L210" s="702">
        <f t="shared" ref="L210:L218" si="19">L209</f>
        <v>45748</v>
      </c>
      <c r="M210" s="702"/>
      <c r="N210" s="702"/>
      <c r="O210" s="702">
        <f t="shared" si="18"/>
        <v>45777</v>
      </c>
      <c r="P210" s="702"/>
      <c r="Q210" s="702"/>
      <c r="R210" s="690" cm="1">
        <f t="array" ref="R210">INDEX(verificare!$AT$4:$CC$26,VLOOKUP($AA$16,verificare!$AR$4:$AS$26,2,FALSE),A210)</f>
        <v>0</v>
      </c>
      <c r="S210" s="690"/>
      <c r="T210" s="690"/>
      <c r="U210" s="690"/>
      <c r="V210" s="658" t="s">
        <v>727</v>
      </c>
      <c r="W210" s="658"/>
      <c r="X210" s="691">
        <f>HLOOKUP(VLOOKUP($AA$16,'Date SPV'!$B:$F,5,FALSE),'Preturi si tarife'!$C$2:$J$39,A210+2,FALSE)</f>
        <v>0.4395</v>
      </c>
      <c r="Y210" s="692"/>
      <c r="Z210" s="692"/>
      <c r="AA210" s="693"/>
      <c r="AB210" s="690">
        <f t="shared" si="10"/>
        <v>0</v>
      </c>
      <c r="AC210" s="690"/>
      <c r="AD210" s="690"/>
      <c r="AE210" s="690"/>
      <c r="AF210" s="690">
        <f t="shared" si="11"/>
        <v>0</v>
      </c>
      <c r="AG210" s="690"/>
      <c r="AH210" s="690"/>
      <c r="AI210" s="690"/>
      <c r="AJ210" s="690">
        <f t="shared" si="12"/>
        <v>0</v>
      </c>
      <c r="AK210" s="690"/>
      <c r="AL210" s="690"/>
      <c r="AM210" s="690"/>
    </row>
    <row r="211" spans="1:39" ht="15.95" customHeight="1">
      <c r="A211" s="65">
        <f t="shared" si="13"/>
        <v>22</v>
      </c>
      <c r="B211" s="699" t="s">
        <v>869</v>
      </c>
      <c r="C211" s="700"/>
      <c r="D211" s="700"/>
      <c r="E211" s="700"/>
      <c r="F211" s="700"/>
      <c r="G211" s="700"/>
      <c r="H211" s="700"/>
      <c r="I211" s="700"/>
      <c r="J211" s="700"/>
      <c r="K211" s="701"/>
      <c r="L211" s="702">
        <f t="shared" si="19"/>
        <v>45748</v>
      </c>
      <c r="M211" s="702"/>
      <c r="N211" s="702"/>
      <c r="O211" s="702">
        <f t="shared" si="18"/>
        <v>45777</v>
      </c>
      <c r="P211" s="702"/>
      <c r="Q211" s="702"/>
      <c r="R211" s="690" cm="1">
        <f t="array" ref="R211">INDEX(verificare!$AT$4:$CC$26,VLOOKUP($AA$16,verificare!$AR$4:$AS$26,2,FALSE),A211)</f>
        <v>79</v>
      </c>
      <c r="S211" s="690"/>
      <c r="T211" s="690"/>
      <c r="U211" s="690"/>
      <c r="V211" s="658" t="s">
        <v>446</v>
      </c>
      <c r="W211" s="658"/>
      <c r="X211" s="691">
        <f>HLOOKUP(VLOOKUP($AA$16,'Date SPV'!$B:$F,5,FALSE),'Preturi si tarife'!$C$2:$J$39,A211+2,FALSE)</f>
        <v>0.13613999999999998</v>
      </c>
      <c r="Y211" s="692"/>
      <c r="Z211" s="692"/>
      <c r="AA211" s="693"/>
      <c r="AB211" s="690">
        <f t="shared" si="10"/>
        <v>10.76</v>
      </c>
      <c r="AC211" s="690"/>
      <c r="AD211" s="690"/>
      <c r="AE211" s="690"/>
      <c r="AF211" s="690">
        <f t="shared" si="11"/>
        <v>2.04</v>
      </c>
      <c r="AG211" s="690"/>
      <c r="AH211" s="690"/>
      <c r="AI211" s="690"/>
      <c r="AJ211" s="690">
        <f t="shared" si="12"/>
        <v>12.8</v>
      </c>
      <c r="AK211" s="690"/>
      <c r="AL211" s="690"/>
      <c r="AM211" s="690"/>
    </row>
    <row r="212" spans="1:39" ht="15.95" customHeight="1">
      <c r="A212" s="65">
        <f t="shared" si="13"/>
        <v>23</v>
      </c>
      <c r="B212" s="699" t="s">
        <v>758</v>
      </c>
      <c r="C212" s="700"/>
      <c r="D212" s="700"/>
      <c r="E212" s="700"/>
      <c r="F212" s="700"/>
      <c r="G212" s="700"/>
      <c r="H212" s="700"/>
      <c r="I212" s="700"/>
      <c r="J212" s="700"/>
      <c r="K212" s="701"/>
      <c r="L212" s="702">
        <f t="shared" si="19"/>
        <v>45748</v>
      </c>
      <c r="M212" s="702"/>
      <c r="N212" s="702"/>
      <c r="O212" s="702">
        <f t="shared" si="18"/>
        <v>45777</v>
      </c>
      <c r="P212" s="702"/>
      <c r="Q212" s="702"/>
      <c r="R212" s="690" cm="1">
        <f t="array" ref="R212">INDEX(verificare!$AT$4:$CC$26,VLOOKUP($AA$16,verificare!$AR$4:$AS$26,2,FALSE),A212)</f>
        <v>79</v>
      </c>
      <c r="S212" s="690"/>
      <c r="T212" s="690"/>
      <c r="U212" s="690"/>
      <c r="V212" s="658" t="s">
        <v>446</v>
      </c>
      <c r="W212" s="658"/>
      <c r="X212" s="691">
        <f>HLOOKUP(VLOOKUP($AA$16,'Date SPV'!$B:$F,5,FALSE),'Preturi si tarife'!$C$2:$J$39,A212+2,FALSE)</f>
        <v>0.22738999999999998</v>
      </c>
      <c r="Y212" s="692"/>
      <c r="Z212" s="692"/>
      <c r="AA212" s="693"/>
      <c r="AB212" s="690">
        <f t="shared" si="10"/>
        <v>17.96</v>
      </c>
      <c r="AC212" s="690"/>
      <c r="AD212" s="690"/>
      <c r="AE212" s="690"/>
      <c r="AF212" s="690">
        <f t="shared" si="11"/>
        <v>3.41</v>
      </c>
      <c r="AG212" s="690"/>
      <c r="AH212" s="690"/>
      <c r="AI212" s="690"/>
      <c r="AJ212" s="690">
        <f t="shared" si="12"/>
        <v>21.37</v>
      </c>
      <c r="AK212" s="690"/>
      <c r="AL212" s="690"/>
      <c r="AM212" s="690"/>
    </row>
    <row r="213" spans="1:39" ht="30.95" customHeight="1">
      <c r="A213" s="65">
        <f t="shared" si="13"/>
        <v>24</v>
      </c>
      <c r="B213" s="699" t="s">
        <v>102</v>
      </c>
      <c r="C213" s="700"/>
      <c r="D213" s="700"/>
      <c r="E213" s="700"/>
      <c r="F213" s="700"/>
      <c r="G213" s="700"/>
      <c r="H213" s="700"/>
      <c r="I213" s="700"/>
      <c r="J213" s="700"/>
      <c r="K213" s="701"/>
      <c r="L213" s="702">
        <f t="shared" si="19"/>
        <v>45748</v>
      </c>
      <c r="M213" s="702"/>
      <c r="N213" s="702"/>
      <c r="O213" s="702">
        <f t="shared" si="18"/>
        <v>45777</v>
      </c>
      <c r="P213" s="702"/>
      <c r="Q213" s="702"/>
      <c r="R213" s="690" cm="1">
        <f t="array" ref="R213">INDEX(verificare!$AT$4:$CC$26,VLOOKUP($AA$16,verificare!$AR$4:$AS$26,2,FALSE),A213)</f>
        <v>79</v>
      </c>
      <c r="S213" s="690"/>
      <c r="T213" s="690"/>
      <c r="U213" s="690"/>
      <c r="V213" s="658" t="s">
        <v>446</v>
      </c>
      <c r="W213" s="658"/>
      <c r="X213" s="691">
        <f>HLOOKUP(VLOOKUP($AA$16,'Date SPV'!$B:$F,5,FALSE),'Preturi si tarife'!$C$2:$J$39,A213+2,FALSE)</f>
        <v>1.1509999999999999E-2</v>
      </c>
      <c r="Y213" s="692"/>
      <c r="Z213" s="692"/>
      <c r="AA213" s="693"/>
      <c r="AB213" s="690">
        <f t="shared" si="10"/>
        <v>0.91</v>
      </c>
      <c r="AC213" s="690"/>
      <c r="AD213" s="690"/>
      <c r="AE213" s="690"/>
      <c r="AF213" s="690">
        <f t="shared" si="11"/>
        <v>0.17</v>
      </c>
      <c r="AG213" s="690"/>
      <c r="AH213" s="690"/>
      <c r="AI213" s="690"/>
      <c r="AJ213" s="690">
        <f t="shared" si="12"/>
        <v>1.08</v>
      </c>
      <c r="AK213" s="690"/>
      <c r="AL213" s="690"/>
      <c r="AM213" s="690"/>
    </row>
    <row r="214" spans="1:39" ht="30.95" customHeight="1">
      <c r="A214" s="65">
        <f t="shared" si="13"/>
        <v>25</v>
      </c>
      <c r="B214" s="699" t="s">
        <v>103</v>
      </c>
      <c r="C214" s="700"/>
      <c r="D214" s="700"/>
      <c r="E214" s="700"/>
      <c r="F214" s="700"/>
      <c r="G214" s="700"/>
      <c r="H214" s="700"/>
      <c r="I214" s="700"/>
      <c r="J214" s="700"/>
      <c r="K214" s="701"/>
      <c r="L214" s="702">
        <f t="shared" si="19"/>
        <v>45748</v>
      </c>
      <c r="M214" s="702"/>
      <c r="N214" s="702"/>
      <c r="O214" s="702">
        <f t="shared" si="18"/>
        <v>45777</v>
      </c>
      <c r="P214" s="702"/>
      <c r="Q214" s="702"/>
      <c r="R214" s="690" cm="1">
        <f t="array" ref="R214">INDEX(verificare!$AT$4:$CC$26,VLOOKUP($AA$16,verificare!$AR$4:$AS$26,2,FALSE),A214)</f>
        <v>79</v>
      </c>
      <c r="S214" s="690"/>
      <c r="T214" s="690"/>
      <c r="U214" s="690"/>
      <c r="V214" s="658" t="s">
        <v>446</v>
      </c>
      <c r="W214" s="658"/>
      <c r="X214" s="691">
        <f>HLOOKUP(VLOOKUP($AA$16,'Date SPV'!$B:$F,5,FALSE),'Preturi si tarife'!$C$2:$J$39,A214+2,FALSE)</f>
        <v>3.3030000000000004E-2</v>
      </c>
      <c r="Y214" s="692"/>
      <c r="Z214" s="692"/>
      <c r="AA214" s="693"/>
      <c r="AB214" s="690">
        <f t="shared" si="10"/>
        <v>2.61</v>
      </c>
      <c r="AC214" s="690"/>
      <c r="AD214" s="690"/>
      <c r="AE214" s="690"/>
      <c r="AF214" s="690">
        <f t="shared" si="11"/>
        <v>0.5</v>
      </c>
      <c r="AG214" s="690"/>
      <c r="AH214" s="690"/>
      <c r="AI214" s="690"/>
      <c r="AJ214" s="690">
        <f t="shared" si="12"/>
        <v>3.11</v>
      </c>
      <c r="AK214" s="690"/>
      <c r="AL214" s="690"/>
      <c r="AM214" s="690"/>
    </row>
    <row r="215" spans="1:39" ht="30.95" customHeight="1">
      <c r="A215" s="65">
        <f t="shared" si="13"/>
        <v>26</v>
      </c>
      <c r="B215" s="699" t="s">
        <v>104</v>
      </c>
      <c r="C215" s="700"/>
      <c r="D215" s="700"/>
      <c r="E215" s="700"/>
      <c r="F215" s="700"/>
      <c r="G215" s="700"/>
      <c r="H215" s="700"/>
      <c r="I215" s="700"/>
      <c r="J215" s="700"/>
      <c r="K215" s="701"/>
      <c r="L215" s="702">
        <f t="shared" si="19"/>
        <v>45748</v>
      </c>
      <c r="M215" s="702"/>
      <c r="N215" s="702"/>
      <c r="O215" s="702">
        <f t="shared" si="18"/>
        <v>45777</v>
      </c>
      <c r="P215" s="702"/>
      <c r="Q215" s="702"/>
      <c r="R215" s="690" cm="1">
        <f t="array" ref="R215">INDEX(verificare!$AT$4:$CC$26,VLOOKUP($AA$16,verificare!$AR$4:$AS$26,2,FALSE),A215)</f>
        <v>79</v>
      </c>
      <c r="S215" s="690"/>
      <c r="T215" s="690"/>
      <c r="U215" s="690"/>
      <c r="V215" s="658" t="s">
        <v>446</v>
      </c>
      <c r="W215" s="658"/>
      <c r="X215" s="691">
        <f>HLOOKUP(VLOOKUP($AA$16,'Date SPV'!$B:$F,5,FALSE),'Preturi si tarife'!$C$2:$J$39,A215+2,FALSE)</f>
        <v>3.29E-3</v>
      </c>
      <c r="Y215" s="692"/>
      <c r="Z215" s="692"/>
      <c r="AA215" s="693"/>
      <c r="AB215" s="690">
        <f t="shared" si="10"/>
        <v>0.26</v>
      </c>
      <c r="AC215" s="690"/>
      <c r="AD215" s="690"/>
      <c r="AE215" s="690"/>
      <c r="AF215" s="690">
        <f t="shared" si="11"/>
        <v>0.05</v>
      </c>
      <c r="AG215" s="690"/>
      <c r="AH215" s="690"/>
      <c r="AI215" s="690"/>
      <c r="AJ215" s="690">
        <f t="shared" si="12"/>
        <v>0.31</v>
      </c>
      <c r="AK215" s="690"/>
      <c r="AL215" s="690"/>
      <c r="AM215" s="690"/>
    </row>
    <row r="216" spans="1:39" ht="15.95" customHeight="1">
      <c r="A216" s="65">
        <f t="shared" si="13"/>
        <v>27</v>
      </c>
      <c r="B216" s="699" t="s">
        <v>105</v>
      </c>
      <c r="C216" s="700"/>
      <c r="D216" s="700"/>
      <c r="E216" s="700"/>
      <c r="F216" s="700"/>
      <c r="G216" s="700"/>
      <c r="H216" s="700"/>
      <c r="I216" s="700"/>
      <c r="J216" s="700"/>
      <c r="K216" s="701"/>
      <c r="L216" s="702">
        <f t="shared" si="19"/>
        <v>45748</v>
      </c>
      <c r="M216" s="702"/>
      <c r="N216" s="702"/>
      <c r="O216" s="702">
        <f t="shared" si="18"/>
        <v>45777</v>
      </c>
      <c r="P216" s="702"/>
      <c r="Q216" s="702"/>
      <c r="R216" s="690" cm="1">
        <f t="array" ref="R216">INDEX(verificare!$AT$4:$CC$26,VLOOKUP($AA$16,verificare!$AR$4:$AS$26,2,FALSE),A216)</f>
        <v>79</v>
      </c>
      <c r="S216" s="690"/>
      <c r="T216" s="690"/>
      <c r="U216" s="690"/>
      <c r="V216" s="658" t="s">
        <v>446</v>
      </c>
      <c r="W216" s="658"/>
      <c r="X216" s="691">
        <f>HLOOKUP(VLOOKUP($AA$16,'Date SPV'!$B:$F,5,FALSE),'Preturi si tarife'!$C$2:$J$39,A216+2,FALSE)</f>
        <v>3.5000000000000001E-3</v>
      </c>
      <c r="Y216" s="692"/>
      <c r="Z216" s="692"/>
      <c r="AA216" s="693"/>
      <c r="AB216" s="690">
        <f t="shared" si="10"/>
        <v>0.28000000000000003</v>
      </c>
      <c r="AC216" s="690"/>
      <c r="AD216" s="690"/>
      <c r="AE216" s="690"/>
      <c r="AF216" s="690">
        <f t="shared" si="11"/>
        <v>0.05</v>
      </c>
      <c r="AG216" s="690"/>
      <c r="AH216" s="690"/>
      <c r="AI216" s="690"/>
      <c r="AJ216" s="690">
        <f t="shared" si="12"/>
        <v>0.33</v>
      </c>
      <c r="AK216" s="690"/>
      <c r="AL216" s="690"/>
      <c r="AM216" s="690"/>
    </row>
    <row r="217" spans="1:39" ht="15.95" customHeight="1">
      <c r="A217" s="65">
        <f t="shared" si="13"/>
        <v>28</v>
      </c>
      <c r="B217" s="699" t="s">
        <v>106</v>
      </c>
      <c r="C217" s="700"/>
      <c r="D217" s="700"/>
      <c r="E217" s="700"/>
      <c r="F217" s="700"/>
      <c r="G217" s="700"/>
      <c r="H217" s="700"/>
      <c r="I217" s="700"/>
      <c r="J217" s="700"/>
      <c r="K217" s="701"/>
      <c r="L217" s="702">
        <f t="shared" si="19"/>
        <v>45748</v>
      </c>
      <c r="M217" s="702"/>
      <c r="N217" s="702"/>
      <c r="O217" s="702">
        <f t="shared" si="18"/>
        <v>45777</v>
      </c>
      <c r="P217" s="702"/>
      <c r="Q217" s="702"/>
      <c r="R217" s="690" cm="1">
        <f t="array" ref="R217">INDEX(verificare!$AT$4:$CC$26,VLOOKUP($AA$16,verificare!$AR$4:$AS$26,2,FALSE),A217)</f>
        <v>79</v>
      </c>
      <c r="S217" s="690"/>
      <c r="T217" s="690"/>
      <c r="U217" s="690"/>
      <c r="V217" s="658" t="s">
        <v>446</v>
      </c>
      <c r="W217" s="658"/>
      <c r="X217" s="691">
        <f>HLOOKUP(VLOOKUP($AA$16,'Date SPV'!$B:$F,5,FALSE),'Preturi si tarife'!$C$2:$J$39,A217+2,FALSE)</f>
        <v>7.2541599999999998E-2</v>
      </c>
      <c r="Y217" s="692"/>
      <c r="Z217" s="692"/>
      <c r="AA217" s="693"/>
      <c r="AB217" s="690">
        <f t="shared" si="10"/>
        <v>5.73</v>
      </c>
      <c r="AC217" s="690"/>
      <c r="AD217" s="690"/>
      <c r="AE217" s="690"/>
      <c r="AF217" s="690">
        <f t="shared" si="11"/>
        <v>1.0900000000000001</v>
      </c>
      <c r="AG217" s="690"/>
      <c r="AH217" s="690"/>
      <c r="AI217" s="690"/>
      <c r="AJ217" s="690">
        <f t="shared" si="12"/>
        <v>6.82</v>
      </c>
      <c r="AK217" s="690"/>
      <c r="AL217" s="690"/>
      <c r="AM217" s="690"/>
    </row>
    <row r="218" spans="1:39" ht="30.95" customHeight="1">
      <c r="A218" s="65">
        <f t="shared" si="13"/>
        <v>29</v>
      </c>
      <c r="B218" s="699" t="s">
        <v>1316</v>
      </c>
      <c r="C218" s="700"/>
      <c r="D218" s="700"/>
      <c r="E218" s="700"/>
      <c r="F218" s="700"/>
      <c r="G218" s="700"/>
      <c r="H218" s="700"/>
      <c r="I218" s="700"/>
      <c r="J218" s="700"/>
      <c r="K218" s="701"/>
      <c r="L218" s="702">
        <f t="shared" si="19"/>
        <v>45748</v>
      </c>
      <c r="M218" s="702"/>
      <c r="N218" s="702"/>
      <c r="O218" s="702">
        <f t="shared" si="18"/>
        <v>45777</v>
      </c>
      <c r="P218" s="702"/>
      <c r="Q218" s="702"/>
      <c r="R218" s="690" cm="1">
        <f t="array" ref="R218">INDEX(verificare!$AT$4:$CC$26,VLOOKUP($AA$16,verificare!$AR$4:$AS$26,2,FALSE),A218)</f>
        <v>79</v>
      </c>
      <c r="S218" s="690"/>
      <c r="T218" s="690"/>
      <c r="U218" s="690"/>
      <c r="V218" s="658" t="s">
        <v>446</v>
      </c>
      <c r="W218" s="658"/>
      <c r="X218" s="691">
        <f>HLOOKUP(VLOOKUP($AA$16,'Date SPV'!$B:$F,5,FALSE),'Preturi si tarife'!$C$2:$J$39,A218+2,FALSE)</f>
        <v>2.0599999999999999E-4</v>
      </c>
      <c r="Y218" s="692"/>
      <c r="Z218" s="692"/>
      <c r="AA218" s="693"/>
      <c r="AB218" s="690">
        <f t="shared" si="10"/>
        <v>0.02</v>
      </c>
      <c r="AC218" s="690"/>
      <c r="AD218" s="690"/>
      <c r="AE218" s="690"/>
      <c r="AF218" s="690">
        <f t="shared" si="11"/>
        <v>0</v>
      </c>
      <c r="AG218" s="690"/>
      <c r="AH218" s="690"/>
      <c r="AI218" s="690"/>
      <c r="AJ218" s="690">
        <f t="shared" si="12"/>
        <v>0.02</v>
      </c>
      <c r="AK218" s="690"/>
      <c r="AL218" s="690"/>
      <c r="AM218" s="690"/>
    </row>
    <row r="219" spans="1:39" ht="30.95" customHeight="1">
      <c r="A219" s="65">
        <f t="shared" si="13"/>
        <v>30</v>
      </c>
      <c r="B219" s="699" t="s">
        <v>107</v>
      </c>
      <c r="C219" s="700"/>
      <c r="D219" s="700"/>
      <c r="E219" s="700"/>
      <c r="F219" s="700"/>
      <c r="G219" s="700"/>
      <c r="H219" s="700"/>
      <c r="I219" s="700"/>
      <c r="J219" s="700"/>
      <c r="K219" s="701"/>
      <c r="L219" s="702">
        <f>L217</f>
        <v>45748</v>
      </c>
      <c r="M219" s="702"/>
      <c r="N219" s="702"/>
      <c r="O219" s="702">
        <f>O217</f>
        <v>45777</v>
      </c>
      <c r="P219" s="702"/>
      <c r="Q219" s="702"/>
      <c r="R219" s="690" cm="1">
        <f t="array" ref="R219">INDEX(verificare!$AT$4:$CC$26,VLOOKUP($AA$16,verificare!$AR$4:$AS$26,2,FALSE),A219)</f>
        <v>79</v>
      </c>
      <c r="S219" s="690"/>
      <c r="T219" s="690"/>
      <c r="U219" s="690"/>
      <c r="V219" s="658" t="s">
        <v>446</v>
      </c>
      <c r="W219" s="658"/>
      <c r="X219" s="691">
        <f>HLOOKUP(VLOOKUP($AA$16,'Date SPV'!$B:$F,5,FALSE),'Preturi si tarife'!$C$2:$J$39,A219+2,FALSE)</f>
        <v>0</v>
      </c>
      <c r="Y219" s="692"/>
      <c r="Z219" s="692"/>
      <c r="AA219" s="693"/>
      <c r="AB219" s="690">
        <f t="shared" si="10"/>
        <v>0</v>
      </c>
      <c r="AC219" s="690"/>
      <c r="AD219" s="690"/>
      <c r="AE219" s="690"/>
      <c r="AF219" s="690">
        <f t="shared" si="11"/>
        <v>0</v>
      </c>
      <c r="AG219" s="690"/>
      <c r="AH219" s="690"/>
      <c r="AI219" s="690"/>
      <c r="AJ219" s="690">
        <f t="shared" si="12"/>
        <v>0</v>
      </c>
      <c r="AK219" s="690"/>
      <c r="AL219" s="690"/>
      <c r="AM219" s="690"/>
    </row>
    <row r="220" spans="1:39" ht="15.95" customHeight="1">
      <c r="A220" s="65">
        <f t="shared" si="13"/>
        <v>31</v>
      </c>
      <c r="B220" s="699" t="s">
        <v>108</v>
      </c>
      <c r="C220" s="700"/>
      <c r="D220" s="700"/>
      <c r="E220" s="700"/>
      <c r="F220" s="700"/>
      <c r="G220" s="700"/>
      <c r="H220" s="700"/>
      <c r="I220" s="700"/>
      <c r="J220" s="700"/>
      <c r="K220" s="701"/>
      <c r="L220" s="702">
        <f t="shared" ref="L220:L225" si="20">L219</f>
        <v>45748</v>
      </c>
      <c r="M220" s="702"/>
      <c r="N220" s="702"/>
      <c r="O220" s="702">
        <f t="shared" ref="O220:O225" si="21">O219</f>
        <v>45777</v>
      </c>
      <c r="P220" s="702"/>
      <c r="Q220" s="702"/>
      <c r="R220" s="690" cm="1">
        <f t="array" ref="R220">INDEX(verificare!$AT$4:$CC$26,VLOOKUP($AA$16,verificare!$AR$4:$AS$26,2,FALSE),A220)</f>
        <v>0</v>
      </c>
      <c r="S220" s="690"/>
      <c r="T220" s="690"/>
      <c r="U220" s="690"/>
      <c r="V220" s="658" t="s">
        <v>446</v>
      </c>
      <c r="W220" s="658"/>
      <c r="X220" s="691">
        <f>HLOOKUP(VLOOKUP($AA$16,'Date SPV'!$B:$F,5,FALSE),'Preturi si tarife'!$C$2:$J$39,A220+2,FALSE)</f>
        <v>1.7000000000000001E-2</v>
      </c>
      <c r="Y220" s="692"/>
      <c r="Z220" s="692"/>
      <c r="AA220" s="693"/>
      <c r="AB220" s="690">
        <f t="shared" si="10"/>
        <v>0</v>
      </c>
      <c r="AC220" s="690"/>
      <c r="AD220" s="690"/>
      <c r="AE220" s="690"/>
      <c r="AF220" s="690">
        <f t="shared" si="11"/>
        <v>0</v>
      </c>
      <c r="AG220" s="690"/>
      <c r="AH220" s="690"/>
      <c r="AI220" s="690"/>
      <c r="AJ220" s="690">
        <f t="shared" si="12"/>
        <v>0</v>
      </c>
      <c r="AK220" s="690"/>
      <c r="AL220" s="690"/>
      <c r="AM220" s="690"/>
    </row>
    <row r="221" spans="1:39" ht="15.95" customHeight="1">
      <c r="A221" s="65">
        <f t="shared" si="13"/>
        <v>32</v>
      </c>
      <c r="B221" s="699" t="s">
        <v>109</v>
      </c>
      <c r="C221" s="700"/>
      <c r="D221" s="700"/>
      <c r="E221" s="700"/>
      <c r="F221" s="700"/>
      <c r="G221" s="700"/>
      <c r="H221" s="700"/>
      <c r="I221" s="700"/>
      <c r="J221" s="700"/>
      <c r="K221" s="701"/>
      <c r="L221" s="702">
        <f t="shared" si="20"/>
        <v>45748</v>
      </c>
      <c r="M221" s="702"/>
      <c r="N221" s="702"/>
      <c r="O221" s="702">
        <f t="shared" si="21"/>
        <v>45777</v>
      </c>
      <c r="P221" s="702"/>
      <c r="Q221" s="702"/>
      <c r="R221" s="690" cm="1">
        <f t="array" ref="R221">INDEX(verificare!$AT$4:$CC$26,VLOOKUP($AA$16,verificare!$AR$4:$AS$26,2,FALSE),A221)</f>
        <v>0</v>
      </c>
      <c r="S221" s="690"/>
      <c r="T221" s="690"/>
      <c r="U221" s="690"/>
      <c r="V221" s="724" t="s">
        <v>446</v>
      </c>
      <c r="W221" s="725"/>
      <c r="X221" s="691">
        <f>HLOOKUP(VLOOKUP($AA$16,'Date SPV'!$B:$F,5,FALSE),'Preturi si tarife'!$C$2:$J$39,A221+2,FALSE)</f>
        <v>0.10290000000000001</v>
      </c>
      <c r="Y221" s="692"/>
      <c r="Z221" s="692"/>
      <c r="AA221" s="693"/>
      <c r="AB221" s="690">
        <f t="shared" si="10"/>
        <v>0</v>
      </c>
      <c r="AC221" s="690"/>
      <c r="AD221" s="690"/>
      <c r="AE221" s="690"/>
      <c r="AF221" s="690">
        <f t="shared" si="11"/>
        <v>0</v>
      </c>
      <c r="AG221" s="690"/>
      <c r="AH221" s="690"/>
      <c r="AI221" s="690"/>
      <c r="AJ221" s="690">
        <f t="shared" si="12"/>
        <v>0</v>
      </c>
      <c r="AK221" s="690"/>
      <c r="AL221" s="690"/>
      <c r="AM221" s="690"/>
    </row>
    <row r="222" spans="1:39" ht="30.95" customHeight="1">
      <c r="A222" s="65">
        <f t="shared" si="13"/>
        <v>33</v>
      </c>
      <c r="B222" s="699" t="s">
        <v>110</v>
      </c>
      <c r="C222" s="700"/>
      <c r="D222" s="700"/>
      <c r="E222" s="700"/>
      <c r="F222" s="700"/>
      <c r="G222" s="700"/>
      <c r="H222" s="700"/>
      <c r="I222" s="700"/>
      <c r="J222" s="700"/>
      <c r="K222" s="701"/>
      <c r="L222" s="702">
        <f t="shared" si="20"/>
        <v>45748</v>
      </c>
      <c r="M222" s="702"/>
      <c r="N222" s="702"/>
      <c r="O222" s="702">
        <f t="shared" si="21"/>
        <v>45777</v>
      </c>
      <c r="P222" s="702"/>
      <c r="Q222" s="702"/>
      <c r="R222" s="690" cm="1">
        <f t="array" ref="R222">INDEX(verificare!$AT$4:$CC$26,VLOOKUP($AA$16,verificare!$AR$4:$AS$26,2,FALSE),A222)</f>
        <v>0</v>
      </c>
      <c r="S222" s="690"/>
      <c r="T222" s="690"/>
      <c r="U222" s="690"/>
      <c r="V222" s="658" t="s">
        <v>446</v>
      </c>
      <c r="W222" s="658"/>
      <c r="X222" s="691">
        <f>HLOOKUP(VLOOKUP($AA$16,'Date SPV'!$B:$F,5,FALSE),'Preturi si tarife'!$C$2:$J$39,A222+2,FALSE)</f>
        <v>0.97511760000000003</v>
      </c>
      <c r="Y222" s="692"/>
      <c r="Z222" s="692"/>
      <c r="AA222" s="693"/>
      <c r="AB222" s="690">
        <f t="shared" si="10"/>
        <v>0</v>
      </c>
      <c r="AC222" s="690"/>
      <c r="AD222" s="690"/>
      <c r="AE222" s="690"/>
      <c r="AF222" s="690">
        <f t="shared" si="11"/>
        <v>0</v>
      </c>
      <c r="AG222" s="690"/>
      <c r="AH222" s="690"/>
      <c r="AI222" s="690"/>
      <c r="AJ222" s="690">
        <f t="shared" si="12"/>
        <v>0</v>
      </c>
      <c r="AK222" s="690"/>
      <c r="AL222" s="690"/>
      <c r="AM222" s="690"/>
    </row>
    <row r="223" spans="1:39" ht="30.95" customHeight="1">
      <c r="A223" s="65">
        <f t="shared" si="13"/>
        <v>34</v>
      </c>
      <c r="B223" s="699" t="s">
        <v>111</v>
      </c>
      <c r="C223" s="700"/>
      <c r="D223" s="700"/>
      <c r="E223" s="700"/>
      <c r="F223" s="700"/>
      <c r="G223" s="700"/>
      <c r="H223" s="700"/>
      <c r="I223" s="700"/>
      <c r="J223" s="700"/>
      <c r="K223" s="701"/>
      <c r="L223" s="702">
        <f t="shared" si="20"/>
        <v>45748</v>
      </c>
      <c r="M223" s="702"/>
      <c r="N223" s="702"/>
      <c r="O223" s="702">
        <f t="shared" si="21"/>
        <v>45777</v>
      </c>
      <c r="P223" s="702"/>
      <c r="Q223" s="702"/>
      <c r="R223" s="690" cm="1">
        <f t="array" ref="R223">INDEX(verificare!$AT$4:$CC$26,VLOOKUP($AA$16,verificare!$AR$4:$AS$26,2,FALSE),A223)</f>
        <v>0</v>
      </c>
      <c r="S223" s="690"/>
      <c r="T223" s="690"/>
      <c r="U223" s="690"/>
      <c r="V223" s="658" t="s">
        <v>446</v>
      </c>
      <c r="W223" s="658"/>
      <c r="X223" s="691">
        <f>HLOOKUP(VLOOKUP($AA$16,'Date SPV'!$B:$F,5,FALSE),'Preturi si tarife'!$C$2:$J$39,A223+2,FALSE)</f>
        <v>0.85521760000000002</v>
      </c>
      <c r="Y223" s="692"/>
      <c r="Z223" s="692"/>
      <c r="AA223" s="693"/>
      <c r="AB223" s="690">
        <f t="shared" si="10"/>
        <v>0</v>
      </c>
      <c r="AC223" s="690"/>
      <c r="AD223" s="690"/>
      <c r="AE223" s="690"/>
      <c r="AF223" s="690">
        <f t="shared" si="11"/>
        <v>0</v>
      </c>
      <c r="AG223" s="690"/>
      <c r="AH223" s="690"/>
      <c r="AI223" s="690"/>
      <c r="AJ223" s="690">
        <f t="shared" si="12"/>
        <v>0</v>
      </c>
      <c r="AK223" s="690"/>
      <c r="AL223" s="690"/>
      <c r="AM223" s="690"/>
    </row>
    <row r="224" spans="1:39" ht="15.95" customHeight="1">
      <c r="A224" s="65">
        <f t="shared" si="13"/>
        <v>35</v>
      </c>
      <c r="B224" s="699" t="s">
        <v>112</v>
      </c>
      <c r="C224" s="700"/>
      <c r="D224" s="700"/>
      <c r="E224" s="700"/>
      <c r="F224" s="700"/>
      <c r="G224" s="700"/>
      <c r="H224" s="700"/>
      <c r="I224" s="700"/>
      <c r="J224" s="700"/>
      <c r="K224" s="701"/>
      <c r="L224" s="702">
        <f t="shared" si="20"/>
        <v>45748</v>
      </c>
      <c r="M224" s="702"/>
      <c r="N224" s="702"/>
      <c r="O224" s="702">
        <f t="shared" si="21"/>
        <v>45777</v>
      </c>
      <c r="P224" s="702"/>
      <c r="Q224" s="702"/>
      <c r="R224" s="690" cm="1">
        <f t="array" ref="R224">INDEX(verificare!$AT$4:$CC$26,VLOOKUP($AA$16,verificare!$AR$4:$AS$26,2,FALSE),A224)</f>
        <v>0</v>
      </c>
      <c r="S224" s="690"/>
      <c r="T224" s="690"/>
      <c r="U224" s="690"/>
      <c r="V224" s="724" t="s">
        <v>446</v>
      </c>
      <c r="W224" s="725"/>
      <c r="X224" s="691">
        <f>HLOOKUP(VLOOKUP($AA$16,'Date SPV'!$B:$F,5,FALSE),'Preturi si tarife'!$C$2:$J$39,A224+2,FALSE)</f>
        <v>1.7000000000000001E-2</v>
      </c>
      <c r="Y224" s="692"/>
      <c r="Z224" s="692"/>
      <c r="AA224" s="693"/>
      <c r="AB224" s="690">
        <f t="shared" si="10"/>
        <v>0</v>
      </c>
      <c r="AC224" s="690"/>
      <c r="AD224" s="690"/>
      <c r="AE224" s="690"/>
      <c r="AF224" s="690">
        <f t="shared" si="11"/>
        <v>0</v>
      </c>
      <c r="AG224" s="690"/>
      <c r="AH224" s="690"/>
      <c r="AI224" s="690"/>
      <c r="AJ224" s="690">
        <f t="shared" si="12"/>
        <v>0</v>
      </c>
      <c r="AK224" s="690"/>
      <c r="AL224" s="690"/>
      <c r="AM224" s="690"/>
    </row>
    <row r="225" spans="1:39" ht="15.95" customHeight="1">
      <c r="A225" s="65">
        <f t="shared" si="13"/>
        <v>36</v>
      </c>
      <c r="B225" s="699" t="s">
        <v>113</v>
      </c>
      <c r="C225" s="700"/>
      <c r="D225" s="700"/>
      <c r="E225" s="700"/>
      <c r="F225" s="700"/>
      <c r="G225" s="700"/>
      <c r="H225" s="700"/>
      <c r="I225" s="700"/>
      <c r="J225" s="700"/>
      <c r="K225" s="701"/>
      <c r="L225" s="702">
        <f t="shared" si="20"/>
        <v>45748</v>
      </c>
      <c r="M225" s="702"/>
      <c r="N225" s="702"/>
      <c r="O225" s="702">
        <f t="shared" si="21"/>
        <v>45777</v>
      </c>
      <c r="P225" s="702"/>
      <c r="Q225" s="702"/>
      <c r="R225" s="690" cm="1">
        <f t="array" ref="R225">INDEX(verificare!$AT$4:$CC$26,VLOOKUP($AA$16,verificare!$AR$4:$AS$26,2,FALSE),A225)</f>
        <v>0</v>
      </c>
      <c r="S225" s="690"/>
      <c r="T225" s="690"/>
      <c r="U225" s="690"/>
      <c r="V225" s="724" t="s">
        <v>446</v>
      </c>
      <c r="W225" s="725"/>
      <c r="X225" s="691">
        <f>HLOOKUP(VLOOKUP($AA$16,'Date SPV'!$B:$F,5,FALSE),'Preturi si tarife'!$C$2:$J$39,A225+2,FALSE)</f>
        <v>0.10290000000000001</v>
      </c>
      <c r="Y225" s="692"/>
      <c r="Z225" s="692"/>
      <c r="AA225" s="693"/>
      <c r="AB225" s="690">
        <f t="shared" si="10"/>
        <v>0</v>
      </c>
      <c r="AC225" s="690"/>
      <c r="AD225" s="690"/>
      <c r="AE225" s="690"/>
      <c r="AF225" s="690">
        <f t="shared" si="11"/>
        <v>0</v>
      </c>
      <c r="AG225" s="690"/>
      <c r="AH225" s="690"/>
      <c r="AI225" s="690"/>
      <c r="AJ225" s="690">
        <f t="shared" si="12"/>
        <v>0</v>
      </c>
      <c r="AK225" s="690"/>
      <c r="AL225" s="690"/>
      <c r="AM225" s="690"/>
    </row>
    <row r="226" spans="1:39" ht="15.95" customHeight="1">
      <c r="A226" s="65">
        <f t="shared" si="13"/>
        <v>37</v>
      </c>
      <c r="B226" s="699" t="s">
        <v>728</v>
      </c>
      <c r="C226" s="700"/>
      <c r="D226" s="700"/>
      <c r="E226" s="700"/>
      <c r="F226" s="700"/>
      <c r="G226" s="700"/>
      <c r="H226" s="700"/>
      <c r="I226" s="700"/>
      <c r="J226" s="700"/>
      <c r="K226" s="701"/>
      <c r="L226" s="702" t="s">
        <v>69</v>
      </c>
      <c r="M226" s="702"/>
      <c r="N226" s="702"/>
      <c r="O226" s="702" t="s">
        <v>69</v>
      </c>
      <c r="P226" s="702"/>
      <c r="Q226" s="702"/>
      <c r="R226" s="653">
        <v>0</v>
      </c>
      <c r="S226" s="653"/>
      <c r="T226" s="653"/>
      <c r="U226" s="653"/>
      <c r="V226" s="658" t="s">
        <v>69</v>
      </c>
      <c r="W226" s="658"/>
      <c r="X226" s="659" t="s">
        <v>69</v>
      </c>
      <c r="Y226" s="659"/>
      <c r="Z226" s="659"/>
      <c r="AA226" s="659"/>
      <c r="AB226" s="653">
        <v>0</v>
      </c>
      <c r="AC226" s="653"/>
      <c r="AD226" s="653"/>
      <c r="AE226" s="653"/>
      <c r="AF226" s="653">
        <f>ROUND(AB226*19%,2)</f>
        <v>0</v>
      </c>
      <c r="AG226" s="653"/>
      <c r="AH226" s="653"/>
      <c r="AI226" s="653"/>
      <c r="AJ226" s="653">
        <f>AB226+AF226</f>
        <v>0</v>
      </c>
      <c r="AK226" s="653"/>
      <c r="AL226" s="653"/>
      <c r="AM226" s="653"/>
    </row>
    <row r="227" spans="1:39">
      <c r="A227" s="65">
        <f t="shared" si="13"/>
        <v>38</v>
      </c>
      <c r="B227" s="699" t="s">
        <v>729</v>
      </c>
      <c r="C227" s="700"/>
      <c r="D227" s="700"/>
      <c r="E227" s="700"/>
      <c r="F227" s="700"/>
      <c r="G227" s="700"/>
      <c r="H227" s="700"/>
      <c r="I227" s="700"/>
      <c r="J227" s="700"/>
      <c r="K227" s="701"/>
      <c r="L227" s="702" t="s">
        <v>69</v>
      </c>
      <c r="M227" s="702"/>
      <c r="N227" s="702"/>
      <c r="O227" s="702" t="s">
        <v>69</v>
      </c>
      <c r="P227" s="702"/>
      <c r="Q227" s="702"/>
      <c r="R227" s="653">
        <v>0</v>
      </c>
      <c r="S227" s="653"/>
      <c r="T227" s="653"/>
      <c r="U227" s="653"/>
      <c r="V227" s="658" t="s">
        <v>69</v>
      </c>
      <c r="W227" s="658"/>
      <c r="X227" s="659" t="s">
        <v>69</v>
      </c>
      <c r="Y227" s="659"/>
      <c r="Z227" s="659"/>
      <c r="AA227" s="659"/>
      <c r="AB227" s="726">
        <f>SUM(AB190:AE226)</f>
        <v>391584.56</v>
      </c>
      <c r="AC227" s="726"/>
      <c r="AD227" s="726"/>
      <c r="AE227" s="726"/>
      <c r="AF227" s="726">
        <f>SUM(AF190:AI226)</f>
        <v>74401.06</v>
      </c>
      <c r="AG227" s="726"/>
      <c r="AH227" s="726"/>
      <c r="AI227" s="726"/>
      <c r="AJ227" s="726">
        <f>SUM(AJ190:AM226)</f>
        <v>465985.62000000011</v>
      </c>
      <c r="AK227" s="726"/>
      <c r="AL227" s="726"/>
      <c r="AM227" s="726"/>
    </row>
  </sheetData>
  <mergeCells count="968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R38:T40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AI50:AJ52"/>
    <mergeCell ref="A44:F46"/>
    <mergeCell ref="G44:I46"/>
    <mergeCell ref="J44:L44"/>
    <mergeCell ref="M44:N46"/>
    <mergeCell ref="O44:Q46"/>
    <mergeCell ref="R44:T46"/>
    <mergeCell ref="AD41:AE43"/>
    <mergeCell ref="AF41:AH43"/>
    <mergeCell ref="AI41:AJ43"/>
    <mergeCell ref="AI47:AJ49"/>
    <mergeCell ref="M50:N52"/>
    <mergeCell ref="A47:F49"/>
    <mergeCell ref="G47:I49"/>
    <mergeCell ref="AK47:AM49"/>
    <mergeCell ref="AK44:AM46"/>
    <mergeCell ref="J45:L45"/>
    <mergeCell ref="J46:L46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J48:L48"/>
    <mergeCell ref="J49:L49"/>
    <mergeCell ref="X47:Z49"/>
    <mergeCell ref="AA47:AC49"/>
    <mergeCell ref="AD47:AE49"/>
    <mergeCell ref="AF47:AH49"/>
    <mergeCell ref="R53:T55"/>
    <mergeCell ref="U53:W55"/>
    <mergeCell ref="X53:Z55"/>
    <mergeCell ref="AF50:AH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AI53:AJ55"/>
    <mergeCell ref="AK53:AM55"/>
    <mergeCell ref="J54:L54"/>
    <mergeCell ref="J55:L55"/>
    <mergeCell ref="AA53:AC55"/>
    <mergeCell ref="AD53:AE55"/>
    <mergeCell ref="AF53:AH55"/>
    <mergeCell ref="A50:F52"/>
    <mergeCell ref="G50:I52"/>
    <mergeCell ref="J50:L50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J60:L60"/>
    <mergeCell ref="J61:L61"/>
    <mergeCell ref="A56:F58"/>
    <mergeCell ref="G56:I58"/>
    <mergeCell ref="J56:L56"/>
    <mergeCell ref="M56:N58"/>
    <mergeCell ref="O56:Q58"/>
    <mergeCell ref="R56:T58"/>
    <mergeCell ref="X59:Z61"/>
    <mergeCell ref="AA59:AC61"/>
    <mergeCell ref="AD59:AE61"/>
    <mergeCell ref="AF62:AH64"/>
    <mergeCell ref="AI62:AJ64"/>
    <mergeCell ref="AF59:AH61"/>
    <mergeCell ref="AI59:AJ61"/>
    <mergeCell ref="AK59:AM61"/>
    <mergeCell ref="AK56:AM58"/>
    <mergeCell ref="X56:Z58"/>
    <mergeCell ref="AA56:AC58"/>
    <mergeCell ref="AD56:AE58"/>
    <mergeCell ref="AF56:AH58"/>
    <mergeCell ref="AI56:AJ58"/>
    <mergeCell ref="AK62:AM64"/>
    <mergeCell ref="U62:W64"/>
    <mergeCell ref="X62:Z64"/>
    <mergeCell ref="AA62:AC64"/>
    <mergeCell ref="AD62:AE64"/>
    <mergeCell ref="AI65:AJ67"/>
    <mergeCell ref="AK65:AM67"/>
    <mergeCell ref="J66:L66"/>
    <mergeCell ref="J67:L67"/>
    <mergeCell ref="A62:F64"/>
    <mergeCell ref="G62:I64"/>
    <mergeCell ref="J62:L62"/>
    <mergeCell ref="M62:N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A81:L81"/>
    <mergeCell ref="M81:AH81"/>
    <mergeCell ref="AI81:AM81"/>
    <mergeCell ref="R65:T67"/>
    <mergeCell ref="U65:W67"/>
    <mergeCell ref="X65:Z67"/>
    <mergeCell ref="AA65:AC67"/>
    <mergeCell ref="AD65:AE67"/>
    <mergeCell ref="AF65:AH67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K87:AM89"/>
    <mergeCell ref="J88:L88"/>
    <mergeCell ref="J89:L89"/>
    <mergeCell ref="AI84:AJ86"/>
    <mergeCell ref="AK84:AM86"/>
    <mergeCell ref="AA84:AC86"/>
    <mergeCell ref="AD84:AE86"/>
    <mergeCell ref="AF84:AH86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I96:AJ98"/>
    <mergeCell ref="A90:F92"/>
    <mergeCell ref="G90:I92"/>
    <mergeCell ref="J90:L90"/>
    <mergeCell ref="M90:N92"/>
    <mergeCell ref="O90:Q92"/>
    <mergeCell ref="R90:T92"/>
    <mergeCell ref="AA87:AC89"/>
    <mergeCell ref="AD87:AE89"/>
    <mergeCell ref="AF87:AH89"/>
    <mergeCell ref="A87:F89"/>
    <mergeCell ref="G87:I89"/>
    <mergeCell ref="AI87:AJ89"/>
    <mergeCell ref="AI93:AJ95"/>
    <mergeCell ref="M96:N98"/>
    <mergeCell ref="A93:F95"/>
    <mergeCell ref="G93:I95"/>
    <mergeCell ref="A96:F98"/>
    <mergeCell ref="G96:I98"/>
    <mergeCell ref="J96:L96"/>
    <mergeCell ref="AK93:AM95"/>
    <mergeCell ref="AK90:AM92"/>
    <mergeCell ref="J91:L91"/>
    <mergeCell ref="J92:L92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J94:L94"/>
    <mergeCell ref="J95:L95"/>
    <mergeCell ref="X93:Z95"/>
    <mergeCell ref="AA93:AC95"/>
    <mergeCell ref="AD93:AE95"/>
    <mergeCell ref="AF93:AH95"/>
    <mergeCell ref="R99:T101"/>
    <mergeCell ref="U99:W101"/>
    <mergeCell ref="X99:Z101"/>
    <mergeCell ref="AF96:AH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AI99:AJ101"/>
    <mergeCell ref="AK99:AM101"/>
    <mergeCell ref="J100:L100"/>
    <mergeCell ref="J101:L101"/>
    <mergeCell ref="AA99:AC101"/>
    <mergeCell ref="AD99:AE101"/>
    <mergeCell ref="U102:W104"/>
    <mergeCell ref="J106:L106"/>
    <mergeCell ref="J107:L107"/>
    <mergeCell ref="A102:F104"/>
    <mergeCell ref="G102:I104"/>
    <mergeCell ref="J102:L102"/>
    <mergeCell ref="M102:N104"/>
    <mergeCell ref="O102:Q104"/>
    <mergeCell ref="R102:T104"/>
    <mergeCell ref="J103:L103"/>
    <mergeCell ref="J104:L104"/>
    <mergeCell ref="A105:F107"/>
    <mergeCell ref="G105:I107"/>
    <mergeCell ref="J105:L105"/>
    <mergeCell ref="M105:N107"/>
    <mergeCell ref="AK105:AM107"/>
    <mergeCell ref="AK102:AM104"/>
    <mergeCell ref="X102:Z104"/>
    <mergeCell ref="AA102:AC104"/>
    <mergeCell ref="AD102:AE104"/>
    <mergeCell ref="AF102:AH104"/>
    <mergeCell ref="AI102:AJ104"/>
    <mergeCell ref="AK108:AM110"/>
    <mergeCell ref="AF99:AH101"/>
    <mergeCell ref="X105:Z107"/>
    <mergeCell ref="AA105:AC107"/>
    <mergeCell ref="J111:L111"/>
    <mergeCell ref="M111:N113"/>
    <mergeCell ref="O111:Q113"/>
    <mergeCell ref="O108:Q110"/>
    <mergeCell ref="R108:T110"/>
    <mergeCell ref="AD105:AE107"/>
    <mergeCell ref="AF108:AH110"/>
    <mergeCell ref="AI108:AJ110"/>
    <mergeCell ref="AF105:AH107"/>
    <mergeCell ref="AI105:AJ107"/>
    <mergeCell ref="O105:Q107"/>
    <mergeCell ref="R105:T107"/>
    <mergeCell ref="U105:W107"/>
    <mergeCell ref="AI116:AM116"/>
    <mergeCell ref="R111:T113"/>
    <mergeCell ref="U111:W113"/>
    <mergeCell ref="X111:Z113"/>
    <mergeCell ref="AA111:AC113"/>
    <mergeCell ref="AD111:AE113"/>
    <mergeCell ref="AF111:AH113"/>
    <mergeCell ref="A116:AH116"/>
    <mergeCell ref="U108:W110"/>
    <mergeCell ref="X108:Z110"/>
    <mergeCell ref="AA108:AC110"/>
    <mergeCell ref="AD108:AE110"/>
    <mergeCell ref="AI111:AJ113"/>
    <mergeCell ref="AK111:AM113"/>
    <mergeCell ref="J112:L112"/>
    <mergeCell ref="J113:L113"/>
    <mergeCell ref="A108:F110"/>
    <mergeCell ref="G108:I110"/>
    <mergeCell ref="J108:L108"/>
    <mergeCell ref="M108:N110"/>
    <mergeCell ref="J109:L109"/>
    <mergeCell ref="J110:L110"/>
    <mergeCell ref="A111:F113"/>
    <mergeCell ref="G111:I113"/>
    <mergeCell ref="A117:L117"/>
    <mergeCell ref="M117:AH117"/>
    <mergeCell ref="AI117:AM118"/>
    <mergeCell ref="A118:L118"/>
    <mergeCell ref="M118:AH118"/>
    <mergeCell ref="A119:F121"/>
    <mergeCell ref="G119:I121"/>
    <mergeCell ref="J119:L121"/>
    <mergeCell ref="M119:N121"/>
    <mergeCell ref="O119:Q121"/>
    <mergeCell ref="A122:F124"/>
    <mergeCell ref="G122:I124"/>
    <mergeCell ref="J122:L122"/>
    <mergeCell ref="M122:N124"/>
    <mergeCell ref="O122:Q124"/>
    <mergeCell ref="R122:T124"/>
    <mergeCell ref="U122:W124"/>
    <mergeCell ref="X122:Z124"/>
    <mergeCell ref="R119:T121"/>
    <mergeCell ref="U119:W121"/>
    <mergeCell ref="X119:Z121"/>
    <mergeCell ref="AA122:AC124"/>
    <mergeCell ref="AD122:AE124"/>
    <mergeCell ref="AF122:AH124"/>
    <mergeCell ref="AI122:AJ124"/>
    <mergeCell ref="AK122:AM124"/>
    <mergeCell ref="J123:L123"/>
    <mergeCell ref="J124:L124"/>
    <mergeCell ref="AI119:AJ121"/>
    <mergeCell ref="AK119:AM121"/>
    <mergeCell ref="AA119:AC121"/>
    <mergeCell ref="AD119:AE121"/>
    <mergeCell ref="AF119:AH121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R128:T130"/>
    <mergeCell ref="U128:W130"/>
    <mergeCell ref="U125:W127"/>
    <mergeCell ref="X125:Z127"/>
    <mergeCell ref="AA125:AC127"/>
    <mergeCell ref="AD125:AE127"/>
    <mergeCell ref="AF125:AH127"/>
    <mergeCell ref="AI125:AJ127"/>
    <mergeCell ref="A125:F127"/>
    <mergeCell ref="G125:I127"/>
    <mergeCell ref="J125:L125"/>
    <mergeCell ref="M125:N127"/>
    <mergeCell ref="O125:Q127"/>
    <mergeCell ref="R125:T127"/>
    <mergeCell ref="J129:L129"/>
    <mergeCell ref="J130:L130"/>
    <mergeCell ref="A187:AM187"/>
    <mergeCell ref="B189:K189"/>
    <mergeCell ref="R189:U189"/>
    <mergeCell ref="V189:W189"/>
    <mergeCell ref="X189:AA189"/>
    <mergeCell ref="AB189:AE189"/>
    <mergeCell ref="AF189:AI189"/>
    <mergeCell ref="AJ189:AM189"/>
    <mergeCell ref="X128:Z130"/>
    <mergeCell ref="AA128:AC130"/>
    <mergeCell ref="AD128:AE130"/>
    <mergeCell ref="AF128:AH130"/>
    <mergeCell ref="AI128:AJ130"/>
    <mergeCell ref="AK128:AM130"/>
    <mergeCell ref="A134:G135"/>
    <mergeCell ref="H134:AM135"/>
    <mergeCell ref="A136:G137"/>
    <mergeCell ref="H136:V137"/>
    <mergeCell ref="W136:Z137"/>
    <mergeCell ref="AA136:AM137"/>
    <mergeCell ref="AI139:AM139"/>
    <mergeCell ref="AI140:AM141"/>
    <mergeCell ref="AI145:AJ147"/>
    <mergeCell ref="AK145:AM147"/>
    <mergeCell ref="AB190:AE190"/>
    <mergeCell ref="AF190:AI190"/>
    <mergeCell ref="AJ190:AM190"/>
    <mergeCell ref="B191:K191"/>
    <mergeCell ref="L191:N191"/>
    <mergeCell ref="O191:Q191"/>
    <mergeCell ref="R191:U191"/>
    <mergeCell ref="V191:W191"/>
    <mergeCell ref="X191:AA191"/>
    <mergeCell ref="AB191:AE191"/>
    <mergeCell ref="B190:K190"/>
    <mergeCell ref="L190:N190"/>
    <mergeCell ref="O190:Q190"/>
    <mergeCell ref="R190:U190"/>
    <mergeCell ref="V190:W190"/>
    <mergeCell ref="X190:AA190"/>
    <mergeCell ref="AF191:AI191"/>
    <mergeCell ref="AJ191:AM191"/>
    <mergeCell ref="B192:K192"/>
    <mergeCell ref="L192:N192"/>
    <mergeCell ref="O192:Q192"/>
    <mergeCell ref="R192:U192"/>
    <mergeCell ref="V192:W192"/>
    <mergeCell ref="X192:AA192"/>
    <mergeCell ref="AB192:AE192"/>
    <mergeCell ref="AF192:AI192"/>
    <mergeCell ref="AJ192:AM192"/>
    <mergeCell ref="B193:K193"/>
    <mergeCell ref="L193:N193"/>
    <mergeCell ref="O193:Q193"/>
    <mergeCell ref="R193:U193"/>
    <mergeCell ref="V193:W193"/>
    <mergeCell ref="X193:AA193"/>
    <mergeCell ref="AB193:AE193"/>
    <mergeCell ref="AF193:AI193"/>
    <mergeCell ref="AJ193:AM193"/>
    <mergeCell ref="AB194:AE194"/>
    <mergeCell ref="AF194:AI194"/>
    <mergeCell ref="AJ194:AM194"/>
    <mergeCell ref="B195:K195"/>
    <mergeCell ref="L195:N195"/>
    <mergeCell ref="O195:Q195"/>
    <mergeCell ref="R195:U195"/>
    <mergeCell ref="V195:W195"/>
    <mergeCell ref="X195:AA195"/>
    <mergeCell ref="AB195:AE195"/>
    <mergeCell ref="B194:K194"/>
    <mergeCell ref="L194:N194"/>
    <mergeCell ref="O194:Q194"/>
    <mergeCell ref="R194:U194"/>
    <mergeCell ref="V194:W194"/>
    <mergeCell ref="X194:AA194"/>
    <mergeCell ref="AF195:AI195"/>
    <mergeCell ref="AJ195:AM195"/>
    <mergeCell ref="B196:K196"/>
    <mergeCell ref="L196:N196"/>
    <mergeCell ref="O196:Q196"/>
    <mergeCell ref="R196:U196"/>
    <mergeCell ref="V196:W196"/>
    <mergeCell ref="X196:AA196"/>
    <mergeCell ref="AB196:AE196"/>
    <mergeCell ref="AF196:AI196"/>
    <mergeCell ref="AJ196:AM196"/>
    <mergeCell ref="B197:K197"/>
    <mergeCell ref="L197:N197"/>
    <mergeCell ref="O197:Q197"/>
    <mergeCell ref="R197:U197"/>
    <mergeCell ref="V197:W197"/>
    <mergeCell ref="X197:AA197"/>
    <mergeCell ref="AB197:AE197"/>
    <mergeCell ref="AF197:AI197"/>
    <mergeCell ref="AJ197:AM197"/>
    <mergeCell ref="AB198:AE198"/>
    <mergeCell ref="AF198:AI198"/>
    <mergeCell ref="AJ198:AM198"/>
    <mergeCell ref="B199:K199"/>
    <mergeCell ref="L199:N199"/>
    <mergeCell ref="O199:Q199"/>
    <mergeCell ref="R199:U199"/>
    <mergeCell ref="V199:W199"/>
    <mergeCell ref="X199:AA199"/>
    <mergeCell ref="AB199:AE199"/>
    <mergeCell ref="B198:K198"/>
    <mergeCell ref="L198:N198"/>
    <mergeCell ref="O198:Q198"/>
    <mergeCell ref="R198:U198"/>
    <mergeCell ref="V198:W198"/>
    <mergeCell ref="X198:AA198"/>
    <mergeCell ref="AF199:AI199"/>
    <mergeCell ref="AJ199:AM199"/>
    <mergeCell ref="B200:K200"/>
    <mergeCell ref="L200:N200"/>
    <mergeCell ref="O200:Q200"/>
    <mergeCell ref="R200:U200"/>
    <mergeCell ref="V200:W200"/>
    <mergeCell ref="X200:AA200"/>
    <mergeCell ref="AB200:AE200"/>
    <mergeCell ref="AF200:AI200"/>
    <mergeCell ref="AJ200:AM200"/>
    <mergeCell ref="B201:K201"/>
    <mergeCell ref="L201:N201"/>
    <mergeCell ref="O201:Q201"/>
    <mergeCell ref="R201:U201"/>
    <mergeCell ref="V201:W201"/>
    <mergeCell ref="X201:AA201"/>
    <mergeCell ref="AB201:AE201"/>
    <mergeCell ref="AF201:AI201"/>
    <mergeCell ref="AJ201:AM201"/>
    <mergeCell ref="AB202:AE202"/>
    <mergeCell ref="AF202:AI202"/>
    <mergeCell ref="AJ202:AM202"/>
    <mergeCell ref="B203:K203"/>
    <mergeCell ref="L203:N203"/>
    <mergeCell ref="O203:Q203"/>
    <mergeCell ref="R203:U203"/>
    <mergeCell ref="V203:W203"/>
    <mergeCell ref="X203:AA203"/>
    <mergeCell ref="AB203:AE203"/>
    <mergeCell ref="B202:K202"/>
    <mergeCell ref="L202:N202"/>
    <mergeCell ref="O202:Q202"/>
    <mergeCell ref="R202:U202"/>
    <mergeCell ref="V202:W202"/>
    <mergeCell ref="X202:AA202"/>
    <mergeCell ref="AF203:AI203"/>
    <mergeCell ref="AJ203:AM203"/>
    <mergeCell ref="B204:K204"/>
    <mergeCell ref="L204:N204"/>
    <mergeCell ref="O204:Q204"/>
    <mergeCell ref="R204:U204"/>
    <mergeCell ref="V204:W204"/>
    <mergeCell ref="X204:AA204"/>
    <mergeCell ref="AB204:AE204"/>
    <mergeCell ref="AF204:AI204"/>
    <mergeCell ref="AJ204:AM204"/>
    <mergeCell ref="B205:K205"/>
    <mergeCell ref="L205:N205"/>
    <mergeCell ref="O205:Q205"/>
    <mergeCell ref="R205:U205"/>
    <mergeCell ref="V205:W205"/>
    <mergeCell ref="X205:AA205"/>
    <mergeCell ref="AB205:AE205"/>
    <mergeCell ref="AF205:AI205"/>
    <mergeCell ref="AJ205:AM205"/>
    <mergeCell ref="AB206:AE206"/>
    <mergeCell ref="AF206:AI206"/>
    <mergeCell ref="AJ206:AM206"/>
    <mergeCell ref="B207:K207"/>
    <mergeCell ref="L207:N207"/>
    <mergeCell ref="O207:Q207"/>
    <mergeCell ref="R207:U207"/>
    <mergeCell ref="V207:W207"/>
    <mergeCell ref="X207:AA207"/>
    <mergeCell ref="AB207:AE207"/>
    <mergeCell ref="B206:K206"/>
    <mergeCell ref="L206:N206"/>
    <mergeCell ref="O206:Q206"/>
    <mergeCell ref="R206:U206"/>
    <mergeCell ref="V206:W206"/>
    <mergeCell ref="X206:AA206"/>
    <mergeCell ref="AF207:AI207"/>
    <mergeCell ref="AJ207:AM207"/>
    <mergeCell ref="B208:K208"/>
    <mergeCell ref="L208:N208"/>
    <mergeCell ref="O208:Q208"/>
    <mergeCell ref="R208:U208"/>
    <mergeCell ref="V208:W208"/>
    <mergeCell ref="X208:AA208"/>
    <mergeCell ref="AB208:AE208"/>
    <mergeCell ref="AF208:AI208"/>
    <mergeCell ref="AJ208:AM208"/>
    <mergeCell ref="B209:K209"/>
    <mergeCell ref="L209:N209"/>
    <mergeCell ref="O209:Q209"/>
    <mergeCell ref="R209:U209"/>
    <mergeCell ref="V209:W209"/>
    <mergeCell ref="X209:AA209"/>
    <mergeCell ref="AB209:AE209"/>
    <mergeCell ref="AF209:AI209"/>
    <mergeCell ref="AJ209:AM209"/>
    <mergeCell ref="AB210:AE210"/>
    <mergeCell ref="AF210:AI210"/>
    <mergeCell ref="AJ210:AM210"/>
    <mergeCell ref="B211:K211"/>
    <mergeCell ref="L211:N211"/>
    <mergeCell ref="O211:Q211"/>
    <mergeCell ref="R211:U211"/>
    <mergeCell ref="V211:W211"/>
    <mergeCell ref="X211:AA211"/>
    <mergeCell ref="AB211:AE211"/>
    <mergeCell ref="B210:K210"/>
    <mergeCell ref="L210:N210"/>
    <mergeCell ref="O210:Q210"/>
    <mergeCell ref="R210:U210"/>
    <mergeCell ref="V210:W210"/>
    <mergeCell ref="X210:AA210"/>
    <mergeCell ref="AF211:AI211"/>
    <mergeCell ref="AJ211:AM211"/>
    <mergeCell ref="B212:K212"/>
    <mergeCell ref="L212:N212"/>
    <mergeCell ref="O212:Q212"/>
    <mergeCell ref="R212:U212"/>
    <mergeCell ref="V212:W212"/>
    <mergeCell ref="X212:AA212"/>
    <mergeCell ref="AB212:AE212"/>
    <mergeCell ref="AF212:AI212"/>
    <mergeCell ref="AJ212:AM212"/>
    <mergeCell ref="B213:K213"/>
    <mergeCell ref="L213:N213"/>
    <mergeCell ref="O213:Q213"/>
    <mergeCell ref="R213:U213"/>
    <mergeCell ref="V213:W213"/>
    <mergeCell ref="X213:AA213"/>
    <mergeCell ref="AB213:AE213"/>
    <mergeCell ref="AF213:AI213"/>
    <mergeCell ref="AJ213:AM213"/>
    <mergeCell ref="AB214:AE214"/>
    <mergeCell ref="AF214:AI214"/>
    <mergeCell ref="AJ214:AM214"/>
    <mergeCell ref="B215:K215"/>
    <mergeCell ref="L215:N215"/>
    <mergeCell ref="O215:Q215"/>
    <mergeCell ref="R215:U215"/>
    <mergeCell ref="V215:W215"/>
    <mergeCell ref="X215:AA215"/>
    <mergeCell ref="AB215:AE215"/>
    <mergeCell ref="B214:K214"/>
    <mergeCell ref="L214:N214"/>
    <mergeCell ref="O214:Q214"/>
    <mergeCell ref="R214:U214"/>
    <mergeCell ref="V214:W214"/>
    <mergeCell ref="X214:AA214"/>
    <mergeCell ref="AF215:AI215"/>
    <mergeCell ref="AJ215:AM215"/>
    <mergeCell ref="B216:K216"/>
    <mergeCell ref="L216:N216"/>
    <mergeCell ref="O216:Q216"/>
    <mergeCell ref="R216:U216"/>
    <mergeCell ref="V216:W216"/>
    <mergeCell ref="X216:AA216"/>
    <mergeCell ref="AB216:AE216"/>
    <mergeCell ref="AF216:AI216"/>
    <mergeCell ref="AJ216:AM216"/>
    <mergeCell ref="B217:K217"/>
    <mergeCell ref="L217:N217"/>
    <mergeCell ref="O217:Q217"/>
    <mergeCell ref="R217:U217"/>
    <mergeCell ref="V217:W217"/>
    <mergeCell ref="X217:AA217"/>
    <mergeCell ref="AB217:AE217"/>
    <mergeCell ref="AF217:AI217"/>
    <mergeCell ref="AJ217:AM217"/>
    <mergeCell ref="AB218:AE218"/>
    <mergeCell ref="AF218:AI218"/>
    <mergeCell ref="AJ218:AM218"/>
    <mergeCell ref="B219:K219"/>
    <mergeCell ref="L219:N219"/>
    <mergeCell ref="O219:Q219"/>
    <mergeCell ref="R219:U219"/>
    <mergeCell ref="V219:W219"/>
    <mergeCell ref="X219:AA219"/>
    <mergeCell ref="AB219:AE219"/>
    <mergeCell ref="B218:K218"/>
    <mergeCell ref="L218:N218"/>
    <mergeCell ref="O218:Q218"/>
    <mergeCell ref="R218:U218"/>
    <mergeCell ref="V218:W218"/>
    <mergeCell ref="X218:AA218"/>
    <mergeCell ref="AF219:AI219"/>
    <mergeCell ref="AJ219:AM219"/>
    <mergeCell ref="B220:K220"/>
    <mergeCell ref="L220:N220"/>
    <mergeCell ref="O220:Q220"/>
    <mergeCell ref="R220:U220"/>
    <mergeCell ref="V220:W220"/>
    <mergeCell ref="X220:AA220"/>
    <mergeCell ref="AB220:AE220"/>
    <mergeCell ref="AF220:AI220"/>
    <mergeCell ref="AJ220:AM220"/>
    <mergeCell ref="B221:K221"/>
    <mergeCell ref="L221:N221"/>
    <mergeCell ref="O221:Q221"/>
    <mergeCell ref="R221:U221"/>
    <mergeCell ref="V221:W221"/>
    <mergeCell ref="X221:AA221"/>
    <mergeCell ref="AB221:AE221"/>
    <mergeCell ref="AF221:AI221"/>
    <mergeCell ref="AJ221:AM221"/>
    <mergeCell ref="AB224:AE224"/>
    <mergeCell ref="AF224:AI224"/>
    <mergeCell ref="AB222:AE222"/>
    <mergeCell ref="AF222:AI222"/>
    <mergeCell ref="AJ222:AM222"/>
    <mergeCell ref="B223:K223"/>
    <mergeCell ref="L223:N223"/>
    <mergeCell ref="O223:Q223"/>
    <mergeCell ref="R223:U223"/>
    <mergeCell ref="V223:W223"/>
    <mergeCell ref="X223:AA223"/>
    <mergeCell ref="AB223:AE223"/>
    <mergeCell ref="B222:K222"/>
    <mergeCell ref="L222:N222"/>
    <mergeCell ref="O222:Q222"/>
    <mergeCell ref="R222:U222"/>
    <mergeCell ref="V222:W222"/>
    <mergeCell ref="X222:AA222"/>
    <mergeCell ref="AJ224:AM224"/>
    <mergeCell ref="AF223:AI223"/>
    <mergeCell ref="AJ223:AM223"/>
    <mergeCell ref="B224:K224"/>
    <mergeCell ref="L224:N224"/>
    <mergeCell ref="O224:Q224"/>
    <mergeCell ref="B225:K225"/>
    <mergeCell ref="L225:N225"/>
    <mergeCell ref="O225:Q225"/>
    <mergeCell ref="R225:U225"/>
    <mergeCell ref="V225:W225"/>
    <mergeCell ref="X225:AA225"/>
    <mergeCell ref="AB225:AE225"/>
    <mergeCell ref="AF225:AI225"/>
    <mergeCell ref="AJ225:AM225"/>
    <mergeCell ref="R224:U224"/>
    <mergeCell ref="V224:W224"/>
    <mergeCell ref="X224:AA224"/>
    <mergeCell ref="G142:I144"/>
    <mergeCell ref="J142:L144"/>
    <mergeCell ref="M142:N144"/>
    <mergeCell ref="O142:Q144"/>
    <mergeCell ref="R142:T144"/>
    <mergeCell ref="A139:L139"/>
    <mergeCell ref="M139:AH139"/>
    <mergeCell ref="A140:L140"/>
    <mergeCell ref="M140:AH140"/>
    <mergeCell ref="A141:L141"/>
    <mergeCell ref="M141:AH141"/>
    <mergeCell ref="R148:T150"/>
    <mergeCell ref="AD145:AE147"/>
    <mergeCell ref="AF145:AH147"/>
    <mergeCell ref="J146:L146"/>
    <mergeCell ref="J147:L147"/>
    <mergeCell ref="AF151:AH153"/>
    <mergeCell ref="J153:L153"/>
    <mergeCell ref="A154:F156"/>
    <mergeCell ref="G154:I156"/>
    <mergeCell ref="J154:L154"/>
    <mergeCell ref="AK142:AM144"/>
    <mergeCell ref="A145:F147"/>
    <mergeCell ref="G145:I147"/>
    <mergeCell ref="J145:L145"/>
    <mergeCell ref="M145:N147"/>
    <mergeCell ref="O145:Q147"/>
    <mergeCell ref="R145:T147"/>
    <mergeCell ref="U145:W147"/>
    <mergeCell ref="X145:Z147"/>
    <mergeCell ref="AA145:AC147"/>
    <mergeCell ref="U142:W144"/>
    <mergeCell ref="X142:Z144"/>
    <mergeCell ref="AA142:AC144"/>
    <mergeCell ref="AD142:AE144"/>
    <mergeCell ref="AF142:AH144"/>
    <mergeCell ref="AI142:AJ144"/>
    <mergeCell ref="A142:F144"/>
    <mergeCell ref="A151:F153"/>
    <mergeCell ref="G151:I153"/>
    <mergeCell ref="J151:L151"/>
    <mergeCell ref="M151:N153"/>
    <mergeCell ref="O151:Q153"/>
    <mergeCell ref="R151:T153"/>
    <mergeCell ref="U151:W153"/>
    <mergeCell ref="U148:W150"/>
    <mergeCell ref="X148:Z150"/>
    <mergeCell ref="A148:F150"/>
    <mergeCell ref="G148:I150"/>
    <mergeCell ref="J148:L148"/>
    <mergeCell ref="M148:N150"/>
    <mergeCell ref="O148:Q150"/>
    <mergeCell ref="J152:L152"/>
    <mergeCell ref="AI154:AJ156"/>
    <mergeCell ref="AK154:AM156"/>
    <mergeCell ref="J155:L155"/>
    <mergeCell ref="J156:L156"/>
    <mergeCell ref="AA154:AC156"/>
    <mergeCell ref="AD154:AE156"/>
    <mergeCell ref="AI151:AJ153"/>
    <mergeCell ref="AK151:AM153"/>
    <mergeCell ref="AK148:AM150"/>
    <mergeCell ref="J149:L149"/>
    <mergeCell ref="J150:L150"/>
    <mergeCell ref="AA148:AC150"/>
    <mergeCell ref="AD148:AE150"/>
    <mergeCell ref="AF148:AH150"/>
    <mergeCell ref="AI148:AJ150"/>
    <mergeCell ref="O154:Q156"/>
    <mergeCell ref="R154:T156"/>
    <mergeCell ref="U154:W156"/>
    <mergeCell ref="X154:Z156"/>
    <mergeCell ref="M154:N156"/>
    <mergeCell ref="X151:Z153"/>
    <mergeCell ref="AA151:AC153"/>
    <mergeCell ref="AD151:AE153"/>
    <mergeCell ref="AF154:AH156"/>
    <mergeCell ref="AI157:AJ159"/>
    <mergeCell ref="AK157:AM159"/>
    <mergeCell ref="J158:L158"/>
    <mergeCell ref="J159:L159"/>
    <mergeCell ref="A160:F162"/>
    <mergeCell ref="G160:I162"/>
    <mergeCell ref="J160:L160"/>
    <mergeCell ref="M160:N162"/>
    <mergeCell ref="O160:Q162"/>
    <mergeCell ref="R160:T162"/>
    <mergeCell ref="R157:T159"/>
    <mergeCell ref="U157:W159"/>
    <mergeCell ref="X157:Z159"/>
    <mergeCell ref="AA157:AC159"/>
    <mergeCell ref="AD157:AE159"/>
    <mergeCell ref="AF157:AH159"/>
    <mergeCell ref="A157:F159"/>
    <mergeCell ref="G157:I159"/>
    <mergeCell ref="J157:L157"/>
    <mergeCell ref="M157:N159"/>
    <mergeCell ref="O157:Q159"/>
    <mergeCell ref="AK163:AM165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R163:T165"/>
    <mergeCell ref="U163:W165"/>
    <mergeCell ref="U160:W162"/>
    <mergeCell ref="X160:Z162"/>
    <mergeCell ref="AA160:AC162"/>
    <mergeCell ref="AD160:AE162"/>
    <mergeCell ref="AF160:AH162"/>
    <mergeCell ref="AI160:AJ162"/>
    <mergeCell ref="J164:L164"/>
    <mergeCell ref="J165:L165"/>
    <mergeCell ref="A166:F168"/>
    <mergeCell ref="G166:I168"/>
    <mergeCell ref="J166:L166"/>
    <mergeCell ref="M166:N168"/>
    <mergeCell ref="X163:Z165"/>
    <mergeCell ref="AA163:AC165"/>
    <mergeCell ref="AD163:AE165"/>
    <mergeCell ref="AF166:AH168"/>
    <mergeCell ref="AI166:AJ168"/>
    <mergeCell ref="AF163:AH165"/>
    <mergeCell ref="AI163:AJ165"/>
    <mergeCell ref="AK166:AM168"/>
    <mergeCell ref="J167:L167"/>
    <mergeCell ref="J168:L168"/>
    <mergeCell ref="A169:F171"/>
    <mergeCell ref="G169:I171"/>
    <mergeCell ref="J169:L169"/>
    <mergeCell ref="M169:N171"/>
    <mergeCell ref="O169:Q171"/>
    <mergeCell ref="O166:Q168"/>
    <mergeCell ref="R166:T168"/>
    <mergeCell ref="U166:W168"/>
    <mergeCell ref="X166:Z168"/>
    <mergeCell ref="AA166:AC168"/>
    <mergeCell ref="AD166:AE168"/>
    <mergeCell ref="AI169:AJ171"/>
    <mergeCell ref="AK169:AM171"/>
    <mergeCell ref="J170:L170"/>
    <mergeCell ref="J171:L171"/>
    <mergeCell ref="R169:T171"/>
    <mergeCell ref="U169:W171"/>
    <mergeCell ref="X169:Z171"/>
    <mergeCell ref="AA169:AC171"/>
    <mergeCell ref="AD169:AE171"/>
    <mergeCell ref="AF169:AH171"/>
    <mergeCell ref="B226:K226"/>
    <mergeCell ref="L226:N226"/>
    <mergeCell ref="O226:Q226"/>
    <mergeCell ref="R226:U226"/>
    <mergeCell ref="V226:W226"/>
    <mergeCell ref="X226:AA226"/>
    <mergeCell ref="AB226:AE226"/>
    <mergeCell ref="AF226:AI226"/>
    <mergeCell ref="AJ226:AM226"/>
    <mergeCell ref="B227:K227"/>
    <mergeCell ref="L227:N227"/>
    <mergeCell ref="O227:Q227"/>
    <mergeCell ref="R227:U227"/>
    <mergeCell ref="V227:W227"/>
    <mergeCell ref="X227:AA227"/>
    <mergeCell ref="AB227:AE227"/>
    <mergeCell ref="AF227:AI227"/>
    <mergeCell ref="AJ227:AM227"/>
  </mergeCells>
  <hyperlinks>
    <hyperlink ref="G11" r:id="rId1" xr:uid="{9F28AA78-F3D5-4E40-BBA0-BA44645A1165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3E4F-4639-4A41-B928-797165A3FBFB}">
  <dimension ref="A1:AM274"/>
  <sheetViews>
    <sheetView view="pageLayout" zoomScale="140" zoomScaleNormal="100" zoomScalePageLayoutView="140" workbookViewId="0">
      <selection activeCell="AE29" sqref="AE29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Vulcan Value Centre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nr.33,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RO29563533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J40/496/2012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RO33 RZBR 0000 0600 1747 6192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10/22.12.2023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31/28.02.2024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14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AB274</f>
        <v>298137.46000000008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AF274</f>
        <v>56646.11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AJ274</f>
        <v>354783.56999999995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354783.56999999995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R237+R251+R252+R255</f>
        <v>331022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1.0717824495048667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VLOOKUP($AA$16,'Date SPV'!$B:$H,4,FALSE)</f>
        <v>Strada Mihail Sebastian, nr. 88D, Sector 5, Bucuresti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5000581171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_xlfn.CONCAT($AA$16,"_",1)</f>
        <v>RVUL_1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RO001E110054223/1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RVUL_1.1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1371514348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2381196 (citit)</v>
      </c>
      <c r="S41" s="647"/>
      <c r="T41" s="647"/>
      <c r="U41" s="647" t="str">
        <f>VLOOKUP(A41,Regularizare!$D:$U,4,FALSE)&amp;" ("&amp;VLOOKUP(A41,Regularizare!$D:$U,12,FALSE)&amp;")"</f>
        <v>2487127 (estimat)</v>
      </c>
      <c r="V41" s="647"/>
      <c r="W41" s="647"/>
      <c r="X41" s="647" t="str">
        <f>VLOOKUP(A41,Regularizare!$D:$Y,19,FALSE)&amp;" ("&amp;VLOOKUP(A41,Regularizare!$D:$U,12,FALSE)&amp;")"</f>
        <v>105931 (estimat)</v>
      </c>
      <c r="Y41" s="647"/>
      <c r="Z41" s="647"/>
      <c r="AA41" s="647">
        <f>(-1)*VLOOKUP(A41,Regularizare!$D:$Y,19,FALSE)</f>
        <v>-105931</v>
      </c>
      <c r="AB41" s="647"/>
      <c r="AC41" s="647"/>
      <c r="AD41" s="647" t="s">
        <v>69</v>
      </c>
      <c r="AE41" s="647"/>
      <c r="AF41" s="647">
        <f>AA41</f>
        <v>-105931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1371514348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156020 (citit)</v>
      </c>
      <c r="S44" s="647"/>
      <c r="T44" s="647"/>
      <c r="U44" s="647" t="str">
        <f>VLOOKUP(A44,Regularizare!$D:$U,8,FALSE)&amp;" ("&amp;VLOOKUP(A44,Regularizare!$D:$U,16,FALSE)&amp;")"</f>
        <v>156020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1371514348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18037 (citit)</v>
      </c>
      <c r="S47" s="647"/>
      <c r="T47" s="647"/>
      <c r="U47" s="647" t="str">
        <f>VLOOKUP(A47,Regularizare!$D:$U,10,FALSE)&amp;" ("&amp;VLOOKUP(A47,Regularizare!$D:$U,18,FALSE)&amp;")"</f>
        <v>18037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1371514348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2381196 (citit)</v>
      </c>
      <c r="S50" s="647"/>
      <c r="T50" s="647"/>
      <c r="U50" s="647" t="str">
        <f>VLOOKUP(A50,Regularizare!$D:$AX,25,FALSE)&amp;" ("&amp;VLOOKUP(A50,Regularizare!$D:$AX,26,FALSE)&amp;")"</f>
        <v>2487127 (citit)</v>
      </c>
      <c r="V50" s="647"/>
      <c r="W50" s="647"/>
      <c r="X50" s="647" t="str">
        <f>VLOOKUP(A50,Regularizare!$D:$AX,37,FALSE)&amp;" ("&amp;VLOOKUP(A50,Regularizare!$D:$AX,26,FALSE)&amp;")"</f>
        <v>105931 (citit)</v>
      </c>
      <c r="Y50" s="647"/>
      <c r="Z50" s="647"/>
      <c r="AA50" s="647">
        <f>VLOOKUP(A50,Regularizare!$D:$AX,37,FALSE)</f>
        <v>105931</v>
      </c>
      <c r="AB50" s="647"/>
      <c r="AC50" s="647"/>
      <c r="AD50" s="647" t="s">
        <v>69</v>
      </c>
      <c r="AE50" s="647"/>
      <c r="AF50" s="647">
        <f>AA50</f>
        <v>105931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1371514348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156020 (citit)</v>
      </c>
      <c r="S53" s="647"/>
      <c r="T53" s="647"/>
      <c r="U53" s="647" t="str">
        <f>VLOOKUP(A53,Regularizare!$D:$AX,31,FALSE)&amp;" ("&amp;VLOOKUP(A53,Regularizare!$D:$AX,32,FALSE)&amp;")"</f>
        <v>156020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1371514348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18037 (citit)</v>
      </c>
      <c r="S56" s="647"/>
      <c r="T56" s="647"/>
      <c r="U56" s="647" t="str">
        <f>VLOOKUP(A56,Regularizare!$D:$AX,35,FALSE)&amp;" ("&amp;VLOOKUP(A56,Regularizare!$D:$AX,36,FALSE)&amp;")"</f>
        <v>18037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1371514348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2487127 (citit)</v>
      </c>
      <c r="S59" s="647"/>
      <c r="T59" s="647"/>
      <c r="U59" s="647" t="str">
        <f>VLOOKUP(A59,'Incrementare indexe'!$D:$M,4,FALSE)&amp;" (estimat)"</f>
        <v>2597138 (estimat)</v>
      </c>
      <c r="V59" s="647"/>
      <c r="W59" s="647"/>
      <c r="X59" s="647" t="str">
        <f>VLOOKUP(A59,'Incrementare indexe'!$D:$Q,11,FALSE)&amp;" (estimat)"</f>
        <v>110011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110011</v>
      </c>
      <c r="AG59" s="647"/>
      <c r="AH59" s="647"/>
      <c r="AI59" s="647">
        <f>J61-J59+1</f>
        <v>31</v>
      </c>
      <c r="AJ59" s="647"/>
      <c r="AK59" s="647">
        <f>ROUND(AF59/AI59,2)</f>
        <v>3548.74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1371514348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156020 (citit)</v>
      </c>
      <c r="S62" s="647"/>
      <c r="T62" s="647"/>
      <c r="U62" s="647" t="str">
        <f>VLOOKUP(A62,'Incrementare indexe'!$D:$M,8,FALSE)&amp;" (estimat)"</f>
        <v>156020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1371514348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18037 (citit)</v>
      </c>
      <c r="S65" s="647"/>
      <c r="T65" s="647"/>
      <c r="U65" s="647" t="str">
        <f>VLOOKUP(A65,'Incrementare indexe'!$D:$M,10,FALSE)&amp;" (estimat)"</f>
        <v>18037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/>
    <row r="70" spans="1:39" ht="14.1" customHeight="1"/>
    <row r="71" spans="1:39" ht="14.1" customHeight="1"/>
    <row r="72" spans="1:39" ht="14.1" customHeight="1"/>
    <row r="73" spans="1:39" ht="14.1" customHeight="1"/>
    <row r="74" spans="1:39" ht="14.1" customHeight="1"/>
    <row r="75" spans="1:39" ht="14.1" customHeight="1"/>
    <row r="76" spans="1:39" ht="14.1" customHeight="1"/>
    <row r="77" spans="1:39" ht="14.1" customHeight="1"/>
    <row r="78" spans="1:39" ht="14.1" customHeight="1"/>
    <row r="79" spans="1:39" ht="14.1" customHeight="1"/>
    <row r="80" spans="1:39" ht="14.1" customHeight="1"/>
    <row r="81" spans="1:39" ht="14.1" customHeight="1">
      <c r="A81" s="721" t="s">
        <v>1196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_xlfn.CONCAT(AI36,"/PV1")</f>
        <v>RVUL_1.1/PV1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1371642424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1190620 (citit)</v>
      </c>
      <c r="S87" s="647"/>
      <c r="T87" s="647"/>
      <c r="U87" s="647" t="str">
        <f>VLOOKUP(AI82,'Incrementare indexe'!$B:$I,8,FALSE)&amp;" (citit)"</f>
        <v>1259495 (citit)</v>
      </c>
      <c r="V87" s="647"/>
      <c r="W87" s="647"/>
      <c r="X87" s="647" t="str">
        <f>(VLOOKUP(AI82,'Incrementare indexe'!$B:$I,8,FALSE)-VLOOKUP(AI82,'Incrementare indexe'!$B:$I,7,FALSE))&amp;" (citit)"</f>
        <v>68875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68875</v>
      </c>
      <c r="AG87" s="647"/>
      <c r="AH87" s="647"/>
      <c r="AI87" s="647">
        <f>J89-J87+1</f>
        <v>31</v>
      </c>
      <c r="AJ87" s="647"/>
      <c r="AK87" s="647">
        <f>ROUND(AF87/AI87,2)</f>
        <v>2221.77</v>
      </c>
      <c r="AL87" s="647"/>
      <c r="AM87" s="647"/>
    </row>
    <row r="88" spans="1:39" ht="14.1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1371642424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14.1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1371642424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14.1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/>
    <row r="97" spans="1:39" ht="14.1" customHeight="1"/>
    <row r="98" spans="1:39" ht="14.1" customHeight="1">
      <c r="A98" s="721" t="s">
        <v>1196</v>
      </c>
      <c r="B98" s="722"/>
      <c r="C98" s="722"/>
      <c r="D98" s="722"/>
      <c r="E98" s="722"/>
      <c r="F98" s="722"/>
      <c r="G98" s="722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3"/>
      <c r="AI98" s="650" t="s">
        <v>695</v>
      </c>
      <c r="AJ98" s="650"/>
      <c r="AK98" s="650"/>
      <c r="AL98" s="650"/>
      <c r="AM98" s="650"/>
    </row>
    <row r="99" spans="1:39" ht="14.1" customHeight="1">
      <c r="A99" s="649" t="s">
        <v>746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">
        <v>514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19" t="str">
        <f>_xlfn.CONCAT(AI36,"/PV2")</f>
        <v>RVUL_1.1/PV2</v>
      </c>
      <c r="AJ99" s="619"/>
      <c r="AK99" s="619"/>
      <c r="AL99" s="619"/>
      <c r="AM99" s="619"/>
    </row>
    <row r="100" spans="1:39" ht="14.1" customHeight="1">
      <c r="A100" s="649" t="s">
        <v>747</v>
      </c>
      <c r="B100" s="649"/>
      <c r="C100" s="649"/>
      <c r="D100" s="649"/>
      <c r="E100" s="649"/>
      <c r="F100" s="649"/>
      <c r="G100" s="649"/>
      <c r="H100" s="649"/>
      <c r="I100" s="649"/>
      <c r="J100" s="649"/>
      <c r="K100" s="649"/>
      <c r="L100" s="649"/>
      <c r="M100" s="650" t="s">
        <v>1087</v>
      </c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19"/>
      <c r="AJ100" s="619"/>
      <c r="AK100" s="619"/>
      <c r="AL100" s="619"/>
      <c r="AM100" s="619"/>
    </row>
    <row r="101" spans="1:39" ht="14.1" customHeight="1">
      <c r="A101" s="648" t="s">
        <v>697</v>
      </c>
      <c r="B101" s="648"/>
      <c r="C101" s="648"/>
      <c r="D101" s="648"/>
      <c r="E101" s="648"/>
      <c r="F101" s="648"/>
      <c r="G101" s="647" t="s">
        <v>713</v>
      </c>
      <c r="H101" s="647"/>
      <c r="I101" s="647"/>
      <c r="J101" s="647" t="s">
        <v>714</v>
      </c>
      <c r="K101" s="647"/>
      <c r="L101" s="647"/>
      <c r="M101" s="648" t="s">
        <v>519</v>
      </c>
      <c r="N101" s="648"/>
      <c r="O101" s="648" t="s">
        <v>715</v>
      </c>
      <c r="P101" s="648"/>
      <c r="Q101" s="648"/>
      <c r="R101" s="647" t="s">
        <v>732</v>
      </c>
      <c r="S101" s="647"/>
      <c r="T101" s="647"/>
      <c r="U101" s="647" t="s">
        <v>734</v>
      </c>
      <c r="V101" s="647"/>
      <c r="W101" s="647"/>
      <c r="X101" s="647" t="s">
        <v>1085</v>
      </c>
      <c r="Y101" s="647"/>
      <c r="Z101" s="647"/>
      <c r="AA101" s="647" t="s">
        <v>1086</v>
      </c>
      <c r="AB101" s="647"/>
      <c r="AC101" s="647"/>
      <c r="AD101" s="647" t="s">
        <v>717</v>
      </c>
      <c r="AE101" s="647"/>
      <c r="AF101" s="647" t="s">
        <v>718</v>
      </c>
      <c r="AG101" s="647"/>
      <c r="AH101" s="647"/>
      <c r="AI101" s="647" t="s">
        <v>719</v>
      </c>
      <c r="AJ101" s="647"/>
      <c r="AK101" s="647" t="s">
        <v>733</v>
      </c>
      <c r="AL101" s="647"/>
      <c r="AM101" s="647"/>
    </row>
    <row r="102" spans="1:39" ht="14.1" customHeight="1">
      <c r="A102" s="648"/>
      <c r="B102" s="648"/>
      <c r="C102" s="648"/>
      <c r="D102" s="648"/>
      <c r="E102" s="648"/>
      <c r="F102" s="648"/>
      <c r="G102" s="647"/>
      <c r="H102" s="647"/>
      <c r="I102" s="647"/>
      <c r="J102" s="647"/>
      <c r="K102" s="647"/>
      <c r="L102" s="647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48"/>
      <c r="B103" s="648"/>
      <c r="C103" s="648"/>
      <c r="D103" s="648"/>
      <c r="E103" s="648"/>
      <c r="F103" s="648"/>
      <c r="G103" s="647"/>
      <c r="H103" s="647"/>
      <c r="I103" s="647"/>
      <c r="J103" s="713"/>
      <c r="K103" s="713"/>
      <c r="L103" s="713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VLOOKUP(AI99,'Incrementare indexe'!$B:$I,3,FALSE)</f>
        <v>1371641399</v>
      </c>
      <c r="B104" s="679"/>
      <c r="C104" s="679"/>
      <c r="D104" s="679"/>
      <c r="E104" s="679"/>
      <c r="F104" s="680"/>
      <c r="G104" s="647" t="s">
        <v>1088</v>
      </c>
      <c r="H104" s="647"/>
      <c r="I104" s="675"/>
      <c r="J104" s="655">
        <f>'Date masura OD'!$I$5</f>
        <v>45778</v>
      </c>
      <c r="K104" s="656"/>
      <c r="L104" s="657"/>
      <c r="M104" s="720" t="s">
        <v>446</v>
      </c>
      <c r="N104" s="648"/>
      <c r="O104" s="648">
        <f>VLOOKUP(AI99,'Incrementare indexe'!$B:$I,4,FALSE)</f>
        <v>1</v>
      </c>
      <c r="P104" s="648"/>
      <c r="Q104" s="648"/>
      <c r="R104" s="647" t="str">
        <f>VLOOKUP(AI99,'Incrementare indexe'!$B:$I,7,FALSE)&amp;" (citit)"</f>
        <v>241099 (citit)</v>
      </c>
      <c r="S104" s="647"/>
      <c r="T104" s="647"/>
      <c r="U104" s="647" t="str">
        <f>VLOOKUP(AI99,'Incrementare indexe'!$B:$I,8,FALSE)&amp;" (citit)"</f>
        <v>255106 (citit)</v>
      </c>
      <c r="V104" s="647"/>
      <c r="W104" s="647"/>
      <c r="X104" s="647" t="str">
        <f>(VLOOKUP(AI99,'Incrementare indexe'!$B:$I,8,FALSE)-VLOOKUP(AI99,'Incrementare indexe'!$B:$I,7,FALSE))&amp;" (citit)"</f>
        <v>14007 (citit)</v>
      </c>
      <c r="Y104" s="647"/>
      <c r="Z104" s="647"/>
      <c r="AA104" s="647" t="s">
        <v>69</v>
      </c>
      <c r="AB104" s="647"/>
      <c r="AC104" s="647"/>
      <c r="AD104" s="647" t="s">
        <v>69</v>
      </c>
      <c r="AE104" s="647"/>
      <c r="AF104" s="647">
        <f>(VLOOKUP(AI99,'Incrementare indexe'!$B:$I,8,FALSE)-VLOOKUP(AI99,'Incrementare indexe'!$B:$I,7,FALSE))</f>
        <v>14007</v>
      </c>
      <c r="AG104" s="647"/>
      <c r="AH104" s="647"/>
      <c r="AI104" s="647">
        <f>J106-J104+1</f>
        <v>31</v>
      </c>
      <c r="AJ104" s="647"/>
      <c r="AK104" s="647">
        <f>ROUND(AF104/AI104,2)</f>
        <v>451.84</v>
      </c>
      <c r="AL104" s="647"/>
      <c r="AM104" s="647"/>
    </row>
    <row r="105" spans="1:39" ht="14.1" customHeight="1">
      <c r="A105" s="717"/>
      <c r="B105" s="718"/>
      <c r="C105" s="718"/>
      <c r="D105" s="718"/>
      <c r="E105" s="718"/>
      <c r="F105" s="719"/>
      <c r="G105" s="647"/>
      <c r="H105" s="647"/>
      <c r="I105" s="675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7"/>
      <c r="H106" s="647"/>
      <c r="I106" s="675"/>
      <c r="J106" s="714">
        <f>'Date masura OD'!$J$5</f>
        <v>45808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1371641399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4">J104</f>
        <v>45778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">
        <v>1089</v>
      </c>
      <c r="S107" s="647"/>
      <c r="T107" s="647"/>
      <c r="U107" s="647" t="s">
        <v>1089</v>
      </c>
      <c r="V107" s="647"/>
      <c r="W107" s="647"/>
      <c r="X107" s="647" t="s">
        <v>1089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v>0</v>
      </c>
      <c r="AG107" s="647"/>
      <c r="AH107" s="647"/>
      <c r="AI107" s="647">
        <f>AI104</f>
        <v>31</v>
      </c>
      <c r="AJ107" s="647"/>
      <c r="AK107" s="647">
        <f>ROUND(AF107/AI107,2)</f>
        <v>0</v>
      </c>
      <c r="AL107" s="647"/>
      <c r="AM107" s="647"/>
    </row>
    <row r="108" spans="1:39" ht="14.1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4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4"/>
        <v>45808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1371641399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4"/>
        <v>45778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">
        <v>1089</v>
      </c>
      <c r="S110" s="647"/>
      <c r="T110" s="647"/>
      <c r="U110" s="647" t="s">
        <v>1089</v>
      </c>
      <c r="V110" s="647"/>
      <c r="W110" s="647"/>
      <c r="X110" s="647" t="s">
        <v>1089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14.1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4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4"/>
        <v>45808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ht="14.1" customHeight="1"/>
    <row r="114" ht="14.1" customHeight="1"/>
    <row r="115" ht="14.1" customHeight="1"/>
    <row r="116" ht="14.1" customHeight="1"/>
    <row r="117" ht="14.1" customHeight="1"/>
    <row r="118" ht="14.1" customHeight="1"/>
    <row r="119" ht="14.1" customHeight="1"/>
    <row r="120" ht="14.1" customHeight="1"/>
    <row r="121" ht="14.1" customHeight="1"/>
    <row r="122" ht="14.1" customHeight="1"/>
    <row r="123" ht="14.1" customHeight="1"/>
    <row r="124" ht="14.1" customHeight="1"/>
    <row r="125" ht="14.1" customHeight="1"/>
    <row r="126" ht="14.1" customHeight="1"/>
    <row r="127" ht="14.1" customHeight="1"/>
    <row r="128" ht="14.1" customHeight="1"/>
    <row r="129" spans="1:39" ht="14.1" customHeight="1"/>
    <row r="130" spans="1:39" ht="14.1" customHeight="1"/>
    <row r="131" spans="1:39">
      <c r="A131" s="649" t="s">
        <v>748</v>
      </c>
      <c r="B131" s="649"/>
      <c r="C131" s="649"/>
      <c r="D131" s="649"/>
      <c r="E131" s="649"/>
      <c r="F131" s="649"/>
      <c r="G131" s="649"/>
      <c r="H131" s="649"/>
      <c r="I131" s="649"/>
      <c r="J131" s="649"/>
      <c r="K131" s="649"/>
      <c r="L131" s="649"/>
      <c r="M131" s="650" t="str">
        <f>VLOOKUP(AI132,'Contorizare in SDI'!$E:$I,4,FALSE)</f>
        <v>RO001E110054223/2</v>
      </c>
      <c r="N131" s="650"/>
      <c r="O131" s="650"/>
      <c r="P131" s="650"/>
      <c r="Q131" s="650"/>
      <c r="R131" s="650"/>
      <c r="S131" s="650"/>
      <c r="T131" s="650"/>
      <c r="U131" s="650"/>
      <c r="V131" s="650"/>
      <c r="W131" s="650"/>
      <c r="X131" s="650"/>
      <c r="Y131" s="650"/>
      <c r="Z131" s="650"/>
      <c r="AA131" s="650"/>
      <c r="AB131" s="650"/>
      <c r="AC131" s="650"/>
      <c r="AD131" s="650"/>
      <c r="AE131" s="650"/>
      <c r="AF131" s="650"/>
      <c r="AG131" s="650"/>
      <c r="AH131" s="650"/>
      <c r="AI131" s="650" t="s">
        <v>695</v>
      </c>
      <c r="AJ131" s="650"/>
      <c r="AK131" s="650"/>
      <c r="AL131" s="650"/>
      <c r="AM131" s="650"/>
    </row>
    <row r="132" spans="1:39">
      <c r="A132" s="649" t="s">
        <v>746</v>
      </c>
      <c r="B132" s="649"/>
      <c r="C132" s="649"/>
      <c r="D132" s="649"/>
      <c r="E132" s="649"/>
      <c r="F132" s="649"/>
      <c r="G132" s="649"/>
      <c r="H132" s="649"/>
      <c r="I132" s="649"/>
      <c r="J132" s="649"/>
      <c r="K132" s="649"/>
      <c r="L132" s="649"/>
      <c r="M132" s="650" t="str">
        <f>VLOOKUP(AI132,'Inchidere contur'!$G:$U,15,FALSE)</f>
        <v>JT_SDI</v>
      </c>
      <c r="N132" s="650"/>
      <c r="O132" s="650"/>
      <c r="P132" s="650"/>
      <c r="Q132" s="650"/>
      <c r="R132" s="650"/>
      <c r="S132" s="650"/>
      <c r="T132" s="650"/>
      <c r="U132" s="650"/>
      <c r="V132" s="650"/>
      <c r="W132" s="650"/>
      <c r="X132" s="650"/>
      <c r="Y132" s="650"/>
      <c r="Z132" s="650"/>
      <c r="AA132" s="650"/>
      <c r="AB132" s="650"/>
      <c r="AC132" s="650"/>
      <c r="AD132" s="650"/>
      <c r="AE132" s="650"/>
      <c r="AF132" s="650"/>
      <c r="AG132" s="650"/>
      <c r="AH132" s="650"/>
      <c r="AI132" s="619" t="str">
        <f>_xlfn.CONCAT(AA32,".",2)</f>
        <v>RVUL_1.2</v>
      </c>
      <c r="AJ132" s="619"/>
      <c r="AK132" s="619"/>
      <c r="AL132" s="619"/>
      <c r="AM132" s="619"/>
    </row>
    <row r="133" spans="1:39">
      <c r="A133" s="649" t="s">
        <v>747</v>
      </c>
      <c r="B133" s="649"/>
      <c r="C133" s="649"/>
      <c r="D133" s="649"/>
      <c r="E133" s="649"/>
      <c r="F133" s="649"/>
      <c r="G133" s="649"/>
      <c r="H133" s="649"/>
      <c r="I133" s="649"/>
      <c r="J133" s="649"/>
      <c r="K133" s="649"/>
      <c r="L133" s="649"/>
      <c r="M133" s="650" t="str">
        <f>IF(LEFT(M132,2)="JT","0.4kV",IF(LEFT(M132,2)="MT","20kV","-"))</f>
        <v>0.4kV</v>
      </c>
      <c r="N133" s="650"/>
      <c r="O133" s="650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0"/>
      <c r="AC133" s="650"/>
      <c r="AD133" s="650"/>
      <c r="AE133" s="650"/>
      <c r="AF133" s="650"/>
      <c r="AG133" s="650"/>
      <c r="AH133" s="650"/>
      <c r="AI133" s="619"/>
      <c r="AJ133" s="619"/>
      <c r="AK133" s="619"/>
      <c r="AL133" s="619"/>
      <c r="AM133" s="619"/>
    </row>
    <row r="134" spans="1:39" ht="15.95" customHeight="1">
      <c r="A134" s="648" t="s">
        <v>697</v>
      </c>
      <c r="B134" s="648"/>
      <c r="C134" s="648"/>
      <c r="D134" s="648"/>
      <c r="E134" s="648"/>
      <c r="F134" s="648"/>
      <c r="G134" s="647" t="s">
        <v>713</v>
      </c>
      <c r="H134" s="647"/>
      <c r="I134" s="647"/>
      <c r="J134" s="647" t="s">
        <v>714</v>
      </c>
      <c r="K134" s="647"/>
      <c r="L134" s="647"/>
      <c r="M134" s="648" t="s">
        <v>519</v>
      </c>
      <c r="N134" s="648"/>
      <c r="O134" s="648" t="s">
        <v>715</v>
      </c>
      <c r="P134" s="648"/>
      <c r="Q134" s="648"/>
      <c r="R134" s="647" t="s">
        <v>732</v>
      </c>
      <c r="S134" s="647"/>
      <c r="T134" s="647"/>
      <c r="U134" s="647" t="s">
        <v>734</v>
      </c>
      <c r="V134" s="647"/>
      <c r="W134" s="647"/>
      <c r="X134" s="647" t="s">
        <v>1085</v>
      </c>
      <c r="Y134" s="647"/>
      <c r="Z134" s="647"/>
      <c r="AA134" s="647" t="s">
        <v>1086</v>
      </c>
      <c r="AB134" s="647"/>
      <c r="AC134" s="647"/>
      <c r="AD134" s="647" t="s">
        <v>717</v>
      </c>
      <c r="AE134" s="647"/>
      <c r="AF134" s="647" t="s">
        <v>718</v>
      </c>
      <c r="AG134" s="647"/>
      <c r="AH134" s="647"/>
      <c r="AI134" s="647" t="s">
        <v>719</v>
      </c>
      <c r="AJ134" s="647"/>
      <c r="AK134" s="647" t="s">
        <v>733</v>
      </c>
      <c r="AL134" s="647"/>
      <c r="AM134" s="647"/>
    </row>
    <row r="135" spans="1:39">
      <c r="A135" s="648"/>
      <c r="B135" s="648"/>
      <c r="C135" s="648"/>
      <c r="D135" s="648"/>
      <c r="E135" s="648"/>
      <c r="F135" s="648"/>
      <c r="G135" s="647"/>
      <c r="H135" s="647"/>
      <c r="I135" s="647"/>
      <c r="J135" s="647"/>
      <c r="K135" s="647"/>
      <c r="L135" s="647"/>
      <c r="M135" s="648"/>
      <c r="N135" s="648"/>
      <c r="O135" s="648"/>
      <c r="P135" s="648"/>
      <c r="Q135" s="648"/>
      <c r="R135" s="647"/>
      <c r="S135" s="647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647"/>
      <c r="AL135" s="647"/>
      <c r="AM135" s="647"/>
    </row>
    <row r="136" spans="1:39">
      <c r="A136" s="648"/>
      <c r="B136" s="648"/>
      <c r="C136" s="648"/>
      <c r="D136" s="648"/>
      <c r="E136" s="648"/>
      <c r="F136" s="648"/>
      <c r="G136" s="647"/>
      <c r="H136" s="647"/>
      <c r="I136" s="647"/>
      <c r="J136" s="713"/>
      <c r="K136" s="713"/>
      <c r="L136" s="713"/>
      <c r="M136" s="648"/>
      <c r="N136" s="648"/>
      <c r="O136" s="648"/>
      <c r="P136" s="648"/>
      <c r="Q136" s="648"/>
      <c r="R136" s="647"/>
      <c r="S136" s="647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</row>
    <row r="137" spans="1:39" ht="14.1" customHeight="1">
      <c r="A137" s="678">
        <f>VLOOKUP(AI132,'Contorizare in SDI'!$E:$I,5,FALSE)</f>
        <v>1371513453</v>
      </c>
      <c r="B137" s="679"/>
      <c r="C137" s="679"/>
      <c r="D137" s="679"/>
      <c r="E137" s="679"/>
      <c r="F137" s="680"/>
      <c r="G137" s="648" t="s">
        <v>730</v>
      </c>
      <c r="H137" s="648"/>
      <c r="I137" s="673"/>
      <c r="J137" s="655">
        <f>'Date masura OD'!$AK$5</f>
        <v>45748</v>
      </c>
      <c r="K137" s="656"/>
      <c r="L137" s="657"/>
      <c r="M137" s="720" t="s">
        <v>446</v>
      </c>
      <c r="N137" s="648"/>
      <c r="O137" s="648">
        <f>VLOOKUP(AI132,'Incrementare indexe'!$B:$T,4,FALSE)</f>
        <v>1</v>
      </c>
      <c r="P137" s="648"/>
      <c r="Q137" s="648"/>
      <c r="R137" s="647" t="str">
        <f>VLOOKUP(A137,Regularizare!$D:$YN,3,FALSE)&amp;" ("&amp;VLOOKUP(A137,Regularizare!$D:$Y,11,FALSE)&amp;")"</f>
        <v>1954843 (citit)</v>
      </c>
      <c r="S137" s="647"/>
      <c r="T137" s="647"/>
      <c r="U137" s="647" t="str">
        <f>VLOOKUP(A137,Regularizare!$D:$U,4,FALSE)&amp;" ("&amp;VLOOKUP(A137,Regularizare!$D:$U,12,FALSE)&amp;")"</f>
        <v>2011361 (estimat)</v>
      </c>
      <c r="V137" s="647"/>
      <c r="W137" s="647"/>
      <c r="X137" s="647" t="str">
        <f>VLOOKUP(A137,Regularizare!$D:$Y,19,FALSE)&amp;" ("&amp;VLOOKUP(A137,Regularizare!$D:$U,12,FALSE)&amp;")"</f>
        <v>56518 (estimat)</v>
      </c>
      <c r="Y137" s="647"/>
      <c r="Z137" s="647"/>
      <c r="AA137" s="647">
        <f>(-1)*VLOOKUP(A137,Regularizare!$D:$Y,19,FALSE)</f>
        <v>-56518</v>
      </c>
      <c r="AB137" s="647"/>
      <c r="AC137" s="647"/>
      <c r="AD137" s="647" t="s">
        <v>69</v>
      </c>
      <c r="AE137" s="647"/>
      <c r="AF137" s="647">
        <f>AA137</f>
        <v>-56518</v>
      </c>
      <c r="AG137" s="647"/>
      <c r="AH137" s="647"/>
      <c r="AI137" s="647" t="s">
        <v>69</v>
      </c>
      <c r="AJ137" s="647"/>
      <c r="AK137" s="647" t="s">
        <v>69</v>
      </c>
      <c r="AL137" s="647"/>
      <c r="AM137" s="647"/>
    </row>
    <row r="138" spans="1:39" ht="9.75" customHeight="1">
      <c r="A138" s="717"/>
      <c r="B138" s="718"/>
      <c r="C138" s="718"/>
      <c r="D138" s="718"/>
      <c r="E138" s="718"/>
      <c r="F138" s="719"/>
      <c r="G138" s="648"/>
      <c r="H138" s="648"/>
      <c r="I138" s="673"/>
      <c r="J138" s="717" t="s">
        <v>69</v>
      </c>
      <c r="K138" s="718"/>
      <c r="L138" s="719"/>
      <c r="M138" s="720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81"/>
      <c r="B139" s="682"/>
      <c r="C139" s="682"/>
      <c r="D139" s="682"/>
      <c r="E139" s="682"/>
      <c r="F139" s="683"/>
      <c r="G139" s="648"/>
      <c r="H139" s="648"/>
      <c r="I139" s="673"/>
      <c r="J139" s="714">
        <f>'Date masura OD'!$AL$5</f>
        <v>45777</v>
      </c>
      <c r="K139" s="715"/>
      <c r="L139" s="716"/>
      <c r="M139" s="720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78">
        <f>A137</f>
        <v>1371513453</v>
      </c>
      <c r="B140" s="679"/>
      <c r="C140" s="679"/>
      <c r="D140" s="679"/>
      <c r="E140" s="679"/>
      <c r="F140" s="680"/>
      <c r="G140" s="648" t="s">
        <v>696</v>
      </c>
      <c r="H140" s="648"/>
      <c r="I140" s="648"/>
      <c r="J140" s="655">
        <f t="shared" ref="J140:J145" si="5">J137</f>
        <v>45748</v>
      </c>
      <c r="K140" s="656"/>
      <c r="L140" s="657"/>
      <c r="M140" s="648" t="s">
        <v>720</v>
      </c>
      <c r="N140" s="648"/>
      <c r="O140" s="648">
        <f>O137</f>
        <v>1</v>
      </c>
      <c r="P140" s="648"/>
      <c r="Q140" s="648"/>
      <c r="R140" s="647" t="str">
        <f>VLOOKUP(A140,Regularizare!$D:$U,7,FALSE)&amp;" ("&amp;VLOOKUP(A140,Regularizare!$D:$U,15,FALSE)&amp;")"</f>
        <v>124289 (citit)</v>
      </c>
      <c r="S140" s="647"/>
      <c r="T140" s="647"/>
      <c r="U140" s="647" t="str">
        <f>VLOOKUP(A140,Regularizare!$D:$U,8,FALSE)&amp;" ("&amp;VLOOKUP(A140,Regularizare!$D:$U,16,FALSE)&amp;")"</f>
        <v>124289 (estimat)</v>
      </c>
      <c r="V140" s="647"/>
      <c r="W140" s="647"/>
      <c r="X140" s="647" t="str">
        <f>_xlfn.CONCAT(VLOOKUP(A140,Regularizare!$D:$U,8,FALSE)-VLOOKUP(A140,Regularizare!$D:$U,7,FALSE)," (",VLOOKUP(A140,Regularizare!$D:$U,16,FALSE),")")</f>
        <v>0 (estimat)</v>
      </c>
      <c r="Y140" s="647"/>
      <c r="Z140" s="647"/>
      <c r="AA140" s="647">
        <f>IF(VLOOKUP(A140,Regularizare!$D:$Y,21,FALSE)=0,VLOOKUP(A140,Regularizare!$D:$Y,21,FALSE),(-1)*VLOOKUP(A140,Regularizare!$D:$Y,21,FALSE))</f>
        <v>0</v>
      </c>
      <c r="AB140" s="647"/>
      <c r="AC140" s="647"/>
      <c r="AD140" s="647" t="s">
        <v>69</v>
      </c>
      <c r="AE140" s="647"/>
      <c r="AF140" s="647">
        <f>AA140</f>
        <v>0</v>
      </c>
      <c r="AG140" s="647"/>
      <c r="AH140" s="647"/>
      <c r="AI140" s="647" t="str">
        <f>AI137</f>
        <v>-</v>
      </c>
      <c r="AJ140" s="647"/>
      <c r="AK140" s="647" t="str">
        <f>AK137</f>
        <v>-</v>
      </c>
      <c r="AL140" s="647"/>
      <c r="AM140" s="647"/>
    </row>
    <row r="141" spans="1:39" ht="8.4499999999999993" customHeight="1">
      <c r="A141" s="717"/>
      <c r="B141" s="718"/>
      <c r="C141" s="718"/>
      <c r="D141" s="718"/>
      <c r="E141" s="718"/>
      <c r="F141" s="719"/>
      <c r="G141" s="648"/>
      <c r="H141" s="648"/>
      <c r="I141" s="648"/>
      <c r="J141" s="717" t="str">
        <f t="shared" si="5"/>
        <v>-</v>
      </c>
      <c r="K141" s="718"/>
      <c r="L141" s="719"/>
      <c r="M141" s="648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1"/>
      <c r="B142" s="682"/>
      <c r="C142" s="682"/>
      <c r="D142" s="682"/>
      <c r="E142" s="682"/>
      <c r="F142" s="683"/>
      <c r="G142" s="648"/>
      <c r="H142" s="648"/>
      <c r="I142" s="648"/>
      <c r="J142" s="714">
        <f t="shared" si="5"/>
        <v>45777</v>
      </c>
      <c r="K142" s="715"/>
      <c r="L142" s="716"/>
      <c r="M142" s="648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1371513453</v>
      </c>
      <c r="B143" s="679"/>
      <c r="C143" s="679"/>
      <c r="D143" s="679"/>
      <c r="E143" s="679"/>
      <c r="F143" s="680"/>
      <c r="G143" s="648" t="s">
        <v>731</v>
      </c>
      <c r="H143" s="648"/>
      <c r="I143" s="648"/>
      <c r="J143" s="655">
        <f t="shared" si="5"/>
        <v>45748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tr">
        <f>VLOOKUP(A143,Regularizare!$D:$U,9,FALSE)&amp;" ("&amp;VLOOKUP(A143,Regularizare!$D:$U,17,FALSE)&amp;")"</f>
        <v>82816 (citit)</v>
      </c>
      <c r="S143" s="647"/>
      <c r="T143" s="647"/>
      <c r="U143" s="647" t="str">
        <f>VLOOKUP(A143,Regularizare!$D:$U,10,FALSE)&amp;" ("&amp;VLOOKUP(A143,Regularizare!$D:$U,18,FALSE)&amp;")"</f>
        <v>82816 (estimat)</v>
      </c>
      <c r="V143" s="647"/>
      <c r="W143" s="647"/>
      <c r="X143" s="647" t="str">
        <f>_xlfn.CONCAT(VLOOKUP(A143,Regularizare!$D:$U,10,FALSE)-VLOOKUP(A143,Regularizare!$D:$U,9,FALSE)," (",VLOOKUP(A143,Regularizare!$D:$U,18,FALSE),")")</f>
        <v>0 (estimat)</v>
      </c>
      <c r="Y143" s="647"/>
      <c r="Z143" s="647"/>
      <c r="AA143" s="647">
        <f>IF(VLOOKUP(A143,Regularizare!$D:$Y,22,FALSE)=0,VLOOKUP(A143,Regularizare!$D:$Y,22,FALSE),(-1)*VLOOKUP(A143,Regularizare!$D:$Y,22,FALSE))</f>
        <v>0</v>
      </c>
      <c r="AB143" s="647"/>
      <c r="AC143" s="647"/>
      <c r="AD143" s="647" t="s">
        <v>69</v>
      </c>
      <c r="AE143" s="647"/>
      <c r="AF143" s="647">
        <f>AA143</f>
        <v>0</v>
      </c>
      <c r="AG143" s="647"/>
      <c r="AH143" s="647"/>
      <c r="AI143" s="647" t="str">
        <f>AI140</f>
        <v>-</v>
      </c>
      <c r="AJ143" s="647"/>
      <c r="AK143" s="647" t="str">
        <f>AK140</f>
        <v>-</v>
      </c>
      <c r="AL143" s="647"/>
      <c r="AM143" s="647"/>
    </row>
    <row r="144" spans="1:39" ht="8.4499999999999993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5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5"/>
        <v>45777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1371513453</v>
      </c>
      <c r="B146" s="679"/>
      <c r="C146" s="679"/>
      <c r="D146" s="679"/>
      <c r="E146" s="679"/>
      <c r="F146" s="680"/>
      <c r="G146" s="648" t="s">
        <v>730</v>
      </c>
      <c r="H146" s="648"/>
      <c r="I146" s="673"/>
      <c r="J146" s="655">
        <f>'Date masura OD'!$AK$5</f>
        <v>45748</v>
      </c>
      <c r="K146" s="656"/>
      <c r="L146" s="657"/>
      <c r="M146" s="720" t="s">
        <v>446</v>
      </c>
      <c r="N146" s="648"/>
      <c r="O146" s="648">
        <f>O143</f>
        <v>1</v>
      </c>
      <c r="P146" s="648"/>
      <c r="Q146" s="648"/>
      <c r="R146" s="647" t="str">
        <f>VLOOKUP(A146,Regularizare!$D:$AX,23,FALSE)&amp;" ("&amp;VLOOKUP(A146,Regularizare!$D:$AX,24,FALSE)&amp;")"</f>
        <v>1954843 (citit)</v>
      </c>
      <c r="S146" s="647"/>
      <c r="T146" s="647"/>
      <c r="U146" s="647" t="str">
        <f>VLOOKUP(A146,Regularizare!$D:$AX,25,FALSE)&amp;" ("&amp;VLOOKUP(A146,Regularizare!$D:$AX,26,FALSE)&amp;")"</f>
        <v>2011361 (citit)</v>
      </c>
      <c r="V146" s="647"/>
      <c r="W146" s="647"/>
      <c r="X146" s="647" t="str">
        <f>VLOOKUP(A146,Regularizare!$D:$AX,37,FALSE)&amp;" ("&amp;VLOOKUP(A146,Regularizare!$D:$AX,26,FALSE)&amp;")"</f>
        <v>56518 (citit)</v>
      </c>
      <c r="Y146" s="647"/>
      <c r="Z146" s="647"/>
      <c r="AA146" s="647">
        <f>VLOOKUP(A146,Regularizare!$D:$AX,37,FALSE)</f>
        <v>56518</v>
      </c>
      <c r="AB146" s="647"/>
      <c r="AC146" s="647"/>
      <c r="AD146" s="647" t="s">
        <v>69</v>
      </c>
      <c r="AE146" s="647"/>
      <c r="AF146" s="647">
        <f>AA146</f>
        <v>56518</v>
      </c>
      <c r="AG146" s="647"/>
      <c r="AH146" s="647"/>
      <c r="AI146" s="647" t="str">
        <f>AI143</f>
        <v>-</v>
      </c>
      <c r="AJ146" s="647"/>
      <c r="AK146" s="647" t="str">
        <f>AK143</f>
        <v>-</v>
      </c>
      <c r="AL146" s="647"/>
      <c r="AM146" s="647"/>
    </row>
    <row r="147" spans="1:39" ht="8.4499999999999993" customHeight="1">
      <c r="A147" s="717"/>
      <c r="B147" s="718"/>
      <c r="C147" s="718"/>
      <c r="D147" s="718"/>
      <c r="E147" s="718"/>
      <c r="F147" s="719"/>
      <c r="G147" s="648"/>
      <c r="H147" s="648"/>
      <c r="I147" s="673"/>
      <c r="J147" s="717" t="s">
        <v>69</v>
      </c>
      <c r="K147" s="718"/>
      <c r="L147" s="719"/>
      <c r="M147" s="720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73"/>
      <c r="J148" s="714">
        <f>'Date masura OD'!$AL$5</f>
        <v>45777</v>
      </c>
      <c r="K148" s="715"/>
      <c r="L148" s="716"/>
      <c r="M148" s="720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78">
        <f>A146</f>
        <v>1371513453</v>
      </c>
      <c r="B149" s="679"/>
      <c r="C149" s="679"/>
      <c r="D149" s="679"/>
      <c r="E149" s="679"/>
      <c r="F149" s="680"/>
      <c r="G149" s="648" t="s">
        <v>696</v>
      </c>
      <c r="H149" s="648"/>
      <c r="I149" s="648"/>
      <c r="J149" s="655">
        <f t="shared" ref="J149:J154" si="6">J146</f>
        <v>45748</v>
      </c>
      <c r="K149" s="656"/>
      <c r="L149" s="657"/>
      <c r="M149" s="648" t="s">
        <v>720</v>
      </c>
      <c r="N149" s="648"/>
      <c r="O149" s="648">
        <f>O146</f>
        <v>1</v>
      </c>
      <c r="P149" s="648"/>
      <c r="Q149" s="648"/>
      <c r="R149" s="647" t="str">
        <f>VLOOKUP(A149,Regularizare!$D:$AX,29,FALSE)&amp;" ("&amp;VLOOKUP(A149,Regularizare!$D:$AX,30,FALSE)&amp;")"</f>
        <v>124289 (citit)</v>
      </c>
      <c r="S149" s="647"/>
      <c r="T149" s="647"/>
      <c r="U149" s="647" t="str">
        <f>VLOOKUP(A149,Regularizare!$D:$AX,31,FALSE)&amp;" ("&amp;VLOOKUP(A149,Regularizare!$D:$AX,32,FALSE)&amp;")"</f>
        <v>124289 (citit)</v>
      </c>
      <c r="V149" s="647"/>
      <c r="W149" s="647"/>
      <c r="X149" s="647" t="str">
        <f>VLOOKUP(A149,Regularizare!$D:$AX,39,FALSE)&amp;" ("&amp;VLOOKUP(A149,Regularizare!$D:$AX,32,FALSE)&amp;")"</f>
        <v>0 (citit)</v>
      </c>
      <c r="Y149" s="647"/>
      <c r="Z149" s="647"/>
      <c r="AA149" s="647">
        <f>VLOOKUP(A149,Regularizare!$D:$AX,44,FALSE)+VLOOKUP(A149,Regularizare!$D:$AX,45,FALSE)</f>
        <v>0</v>
      </c>
      <c r="AB149" s="647"/>
      <c r="AC149" s="647"/>
      <c r="AD149" s="647" t="s">
        <v>69</v>
      </c>
      <c r="AE149" s="647"/>
      <c r="AF149" s="647">
        <f>AA149</f>
        <v>0</v>
      </c>
      <c r="AG149" s="647"/>
      <c r="AH149" s="647"/>
      <c r="AI149" s="647" t="str">
        <f>AI146</f>
        <v>-</v>
      </c>
      <c r="AJ149" s="647"/>
      <c r="AK149" s="647" t="str">
        <f>AK146</f>
        <v>-</v>
      </c>
      <c r="AL149" s="647"/>
      <c r="AM149" s="647"/>
    </row>
    <row r="150" spans="1:39" ht="8.4499999999999993" customHeight="1">
      <c r="A150" s="717"/>
      <c r="B150" s="718"/>
      <c r="C150" s="718"/>
      <c r="D150" s="718"/>
      <c r="E150" s="718"/>
      <c r="F150" s="719"/>
      <c r="G150" s="648"/>
      <c r="H150" s="648"/>
      <c r="I150" s="648"/>
      <c r="J150" s="717" t="str">
        <f t="shared" si="6"/>
        <v>-</v>
      </c>
      <c r="K150" s="718"/>
      <c r="L150" s="719"/>
      <c r="M150" s="648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1"/>
      <c r="B151" s="682"/>
      <c r="C151" s="682"/>
      <c r="D151" s="682"/>
      <c r="E151" s="682"/>
      <c r="F151" s="683"/>
      <c r="G151" s="648"/>
      <c r="H151" s="648"/>
      <c r="I151" s="648"/>
      <c r="J151" s="714">
        <f t="shared" si="6"/>
        <v>45777</v>
      </c>
      <c r="K151" s="715"/>
      <c r="L151" s="716"/>
      <c r="M151" s="648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78">
        <f>A149</f>
        <v>1371513453</v>
      </c>
      <c r="B152" s="679"/>
      <c r="C152" s="679"/>
      <c r="D152" s="679"/>
      <c r="E152" s="679"/>
      <c r="F152" s="680"/>
      <c r="G152" s="648" t="s">
        <v>731</v>
      </c>
      <c r="H152" s="648"/>
      <c r="I152" s="648"/>
      <c r="J152" s="655">
        <f t="shared" si="6"/>
        <v>45748</v>
      </c>
      <c r="K152" s="656"/>
      <c r="L152" s="657"/>
      <c r="M152" s="648" t="s">
        <v>720</v>
      </c>
      <c r="N152" s="648"/>
      <c r="O152" s="648">
        <f>O149</f>
        <v>1</v>
      </c>
      <c r="P152" s="648"/>
      <c r="Q152" s="648"/>
      <c r="R152" s="647" t="str">
        <f>VLOOKUP(A152,Regularizare!$D:$AX,33,FALSE)&amp;" ("&amp;VLOOKUP(A152,Regularizare!$D:$AX,34,FALSE)&amp;")"</f>
        <v>82816 (citit)</v>
      </c>
      <c r="S152" s="647"/>
      <c r="T152" s="647"/>
      <c r="U152" s="647" t="str">
        <f>VLOOKUP(A152,Regularizare!$D:$AX,35,FALSE)&amp;" ("&amp;VLOOKUP(A152,Regularizare!$D:$AX,36,FALSE)&amp;")"</f>
        <v>82816 (citit)</v>
      </c>
      <c r="V152" s="647"/>
      <c r="W152" s="647"/>
      <c r="X152" s="647" t="str">
        <f>VLOOKUP(A152,Regularizare!$D:$AX,40,FALSE)&amp;" ("&amp;VLOOKUP(A152,Regularizare!$D:$AX,36,FALSE)&amp;")"</f>
        <v>0 (citit)</v>
      </c>
      <c r="Y152" s="647"/>
      <c r="Z152" s="647"/>
      <c r="AA152" s="647">
        <f>VLOOKUP(A152,Regularizare!$D:$AX,46,FALSE)+VLOOKUP(A152,Regularizare!$D:$AX,47,FALSE)</f>
        <v>0</v>
      </c>
      <c r="AB152" s="647"/>
      <c r="AC152" s="647"/>
      <c r="AD152" s="647" t="s">
        <v>69</v>
      </c>
      <c r="AE152" s="647"/>
      <c r="AF152" s="647">
        <f>AA152</f>
        <v>0</v>
      </c>
      <c r="AG152" s="647"/>
      <c r="AH152" s="647"/>
      <c r="AI152" s="647" t="str">
        <f>AI149</f>
        <v>-</v>
      </c>
      <c r="AJ152" s="647"/>
      <c r="AK152" s="647" t="str">
        <f>AK149</f>
        <v>-</v>
      </c>
      <c r="AL152" s="647"/>
      <c r="AM152" s="647"/>
    </row>
    <row r="153" spans="1:39" ht="8.4499999999999993" customHeight="1">
      <c r="A153" s="717"/>
      <c r="B153" s="718"/>
      <c r="C153" s="718"/>
      <c r="D153" s="718"/>
      <c r="E153" s="718"/>
      <c r="F153" s="719"/>
      <c r="G153" s="648"/>
      <c r="H153" s="648"/>
      <c r="I153" s="648"/>
      <c r="J153" s="717" t="str">
        <f t="shared" si="6"/>
        <v>-</v>
      </c>
      <c r="K153" s="718"/>
      <c r="L153" s="719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1"/>
      <c r="B154" s="682"/>
      <c r="C154" s="682"/>
      <c r="D154" s="682"/>
      <c r="E154" s="682"/>
      <c r="F154" s="683"/>
      <c r="G154" s="648"/>
      <c r="H154" s="648"/>
      <c r="I154" s="648"/>
      <c r="J154" s="714">
        <f t="shared" si="6"/>
        <v>45777</v>
      </c>
      <c r="K154" s="715"/>
      <c r="L154" s="716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78">
        <f>A152</f>
        <v>1371513453</v>
      </c>
      <c r="B155" s="679"/>
      <c r="C155" s="679"/>
      <c r="D155" s="679"/>
      <c r="E155" s="679"/>
      <c r="F155" s="680"/>
      <c r="G155" s="648" t="s">
        <v>730</v>
      </c>
      <c r="H155" s="648"/>
      <c r="I155" s="673"/>
      <c r="J155" s="655">
        <f>'Date masura OD'!$I$5</f>
        <v>45778</v>
      </c>
      <c r="K155" s="656"/>
      <c r="L155" s="657"/>
      <c r="M155" s="720" t="s">
        <v>446</v>
      </c>
      <c r="N155" s="648"/>
      <c r="O155" s="648">
        <f>O152</f>
        <v>1</v>
      </c>
      <c r="P155" s="648"/>
      <c r="Q155" s="648"/>
      <c r="R155" s="647" t="str">
        <f>U146</f>
        <v>2011361 (citit)</v>
      </c>
      <c r="S155" s="647"/>
      <c r="T155" s="647"/>
      <c r="U155" s="647" t="str">
        <f>VLOOKUP(A155,'Incrementare indexe'!$D:$M,4,FALSE)&amp;" (estimat)"</f>
        <v>2072756 (estimat)</v>
      </c>
      <c r="V155" s="647"/>
      <c r="W155" s="647"/>
      <c r="X155" s="647" t="str">
        <f>VLOOKUP(A155,'Incrementare indexe'!$D:$Q,11,FALSE)&amp;" (estimat)"</f>
        <v>61395 (estimat)</v>
      </c>
      <c r="Y155" s="647"/>
      <c r="Z155" s="647"/>
      <c r="AA155" s="647" t="s">
        <v>69</v>
      </c>
      <c r="AB155" s="647"/>
      <c r="AC155" s="647"/>
      <c r="AD155" s="647" t="s">
        <v>69</v>
      </c>
      <c r="AE155" s="647"/>
      <c r="AF155" s="647">
        <f>VLOOKUP(A155,'Incrementare indexe'!$D:$Q,11,FALSE)</f>
        <v>61395</v>
      </c>
      <c r="AG155" s="647"/>
      <c r="AH155" s="647"/>
      <c r="AI155" s="647">
        <f>J157-J155+1</f>
        <v>31</v>
      </c>
      <c r="AJ155" s="647"/>
      <c r="AK155" s="647">
        <f>ROUND(AF155/AI155,2)</f>
        <v>1980.48</v>
      </c>
      <c r="AL155" s="647"/>
      <c r="AM155" s="647"/>
    </row>
    <row r="156" spans="1:39" ht="8.4499999999999993" customHeight="1">
      <c r="A156" s="717"/>
      <c r="B156" s="718"/>
      <c r="C156" s="718"/>
      <c r="D156" s="718"/>
      <c r="E156" s="718"/>
      <c r="F156" s="719"/>
      <c r="G156" s="648"/>
      <c r="H156" s="648"/>
      <c r="I156" s="673"/>
      <c r="J156" s="717" t="s">
        <v>69</v>
      </c>
      <c r="K156" s="718"/>
      <c r="L156" s="719"/>
      <c r="M156" s="720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1"/>
      <c r="B157" s="682"/>
      <c r="C157" s="682"/>
      <c r="D157" s="682"/>
      <c r="E157" s="682"/>
      <c r="F157" s="683"/>
      <c r="G157" s="648"/>
      <c r="H157" s="648"/>
      <c r="I157" s="673"/>
      <c r="J157" s="714">
        <f>'Date masura OD'!$J$5</f>
        <v>45808</v>
      </c>
      <c r="K157" s="715"/>
      <c r="L157" s="716"/>
      <c r="M157" s="720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78">
        <f>A155</f>
        <v>1371513453</v>
      </c>
      <c r="B158" s="679"/>
      <c r="C158" s="679"/>
      <c r="D158" s="679"/>
      <c r="E158" s="679"/>
      <c r="F158" s="680"/>
      <c r="G158" s="648" t="s">
        <v>696</v>
      </c>
      <c r="H158" s="648"/>
      <c r="I158" s="648"/>
      <c r="J158" s="655">
        <f t="shared" ref="J158:J163" si="7">J155</f>
        <v>45778</v>
      </c>
      <c r="K158" s="656"/>
      <c r="L158" s="657"/>
      <c r="M158" s="648" t="s">
        <v>720</v>
      </c>
      <c r="N158" s="648"/>
      <c r="O158" s="648">
        <f>O155</f>
        <v>1</v>
      </c>
      <c r="P158" s="648"/>
      <c r="Q158" s="648"/>
      <c r="R158" s="647" t="str">
        <f>U149</f>
        <v>124289 (citit)</v>
      </c>
      <c r="S158" s="647"/>
      <c r="T158" s="647"/>
      <c r="U158" s="647" t="str">
        <f>VLOOKUP(A158,'Incrementare indexe'!$D:$M,8,FALSE)&amp;" (estimat)"</f>
        <v>124289 (estimat)</v>
      </c>
      <c r="V158" s="647"/>
      <c r="W158" s="647"/>
      <c r="X158" s="647" t="str">
        <f>VLOOKUP(A158,'Incrementare indexe'!$D:$Q,12,FALSE)&amp;" (estimat)"</f>
        <v>0 (estimat)</v>
      </c>
      <c r="Y158" s="647"/>
      <c r="Z158" s="647"/>
      <c r="AA158" s="647" t="s">
        <v>69</v>
      </c>
      <c r="AB158" s="647"/>
      <c r="AC158" s="647"/>
      <c r="AD158" s="647" t="s">
        <v>69</v>
      </c>
      <c r="AE158" s="647"/>
      <c r="AF158" s="647">
        <f>VLOOKUP(A158,'Incrementare indexe'!$D:$Q,12,FALSE)</f>
        <v>0</v>
      </c>
      <c r="AG158" s="647"/>
      <c r="AH158" s="647"/>
      <c r="AI158" s="647">
        <f>AI155</f>
        <v>31</v>
      </c>
      <c r="AJ158" s="647"/>
      <c r="AK158" s="647">
        <f>ROUND(AF158/AI158,2)</f>
        <v>0</v>
      </c>
      <c r="AL158" s="647"/>
      <c r="AM158" s="647"/>
    </row>
    <row r="159" spans="1:39" ht="8.4499999999999993" customHeight="1">
      <c r="A159" s="717"/>
      <c r="B159" s="718"/>
      <c r="C159" s="718"/>
      <c r="D159" s="718"/>
      <c r="E159" s="718"/>
      <c r="F159" s="719"/>
      <c r="G159" s="648"/>
      <c r="H159" s="648"/>
      <c r="I159" s="648"/>
      <c r="J159" s="717" t="str">
        <f t="shared" si="7"/>
        <v>-</v>
      </c>
      <c r="K159" s="718"/>
      <c r="L159" s="719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1"/>
      <c r="B160" s="682"/>
      <c r="C160" s="682"/>
      <c r="D160" s="682"/>
      <c r="E160" s="682"/>
      <c r="F160" s="683"/>
      <c r="G160" s="648"/>
      <c r="H160" s="648"/>
      <c r="I160" s="648"/>
      <c r="J160" s="714">
        <f t="shared" si="7"/>
        <v>45808</v>
      </c>
      <c r="K160" s="715"/>
      <c r="L160" s="716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78">
        <f>A158</f>
        <v>1371513453</v>
      </c>
      <c r="B161" s="679"/>
      <c r="C161" s="679"/>
      <c r="D161" s="679"/>
      <c r="E161" s="679"/>
      <c r="F161" s="680"/>
      <c r="G161" s="648" t="s">
        <v>731</v>
      </c>
      <c r="H161" s="648"/>
      <c r="I161" s="648"/>
      <c r="J161" s="655">
        <f t="shared" si="7"/>
        <v>45778</v>
      </c>
      <c r="K161" s="656"/>
      <c r="L161" s="657"/>
      <c r="M161" s="648" t="s">
        <v>720</v>
      </c>
      <c r="N161" s="648"/>
      <c r="O161" s="648">
        <f>O158</f>
        <v>1</v>
      </c>
      <c r="P161" s="648"/>
      <c r="Q161" s="648"/>
      <c r="R161" s="647" t="str">
        <f>U152</f>
        <v>82816 (citit)</v>
      </c>
      <c r="S161" s="647"/>
      <c r="T161" s="647"/>
      <c r="U161" s="647" t="str">
        <f>VLOOKUP(A161,'Incrementare indexe'!$D:$M,10,FALSE)&amp;" (estimat)"</f>
        <v>82816 (estimat)</v>
      </c>
      <c r="V161" s="647"/>
      <c r="W161" s="647"/>
      <c r="X161" s="647" t="str">
        <f>VLOOKUP(A161,'Incrementare indexe'!$D:$Q,13,FALSE)&amp;" (estimat)"</f>
        <v>0 (estimat)</v>
      </c>
      <c r="Y161" s="647"/>
      <c r="Z161" s="647"/>
      <c r="AA161" s="647" t="s">
        <v>69</v>
      </c>
      <c r="AB161" s="647"/>
      <c r="AC161" s="647"/>
      <c r="AD161" s="647" t="s">
        <v>69</v>
      </c>
      <c r="AE161" s="647"/>
      <c r="AF161" s="647">
        <f>VLOOKUP(A161,'Incrementare indexe'!$D:$Q,13,FALSE)</f>
        <v>0</v>
      </c>
      <c r="AG161" s="647"/>
      <c r="AH161" s="647"/>
      <c r="AI161" s="647">
        <f>AI158</f>
        <v>31</v>
      </c>
      <c r="AJ161" s="647"/>
      <c r="AK161" s="647">
        <f>ROUND(AF161/AI161,2)</f>
        <v>0</v>
      </c>
      <c r="AL161" s="647"/>
      <c r="AM161" s="647"/>
    </row>
    <row r="162" spans="1:39" ht="8.4499999999999993" customHeight="1">
      <c r="A162" s="717"/>
      <c r="B162" s="718"/>
      <c r="C162" s="718"/>
      <c r="D162" s="718"/>
      <c r="E162" s="718"/>
      <c r="F162" s="719"/>
      <c r="G162" s="648"/>
      <c r="H162" s="648"/>
      <c r="I162" s="648"/>
      <c r="J162" s="717" t="str">
        <f t="shared" si="7"/>
        <v>-</v>
      </c>
      <c r="K162" s="718"/>
      <c r="L162" s="719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1"/>
      <c r="B163" s="682"/>
      <c r="C163" s="682"/>
      <c r="D163" s="682"/>
      <c r="E163" s="682"/>
      <c r="F163" s="683"/>
      <c r="G163" s="648"/>
      <c r="H163" s="648"/>
      <c r="I163" s="648"/>
      <c r="J163" s="714">
        <f t="shared" si="7"/>
        <v>45808</v>
      </c>
      <c r="K163" s="715"/>
      <c r="L163" s="716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/>
    <row r="165" spans="1:39" ht="14.1" customHeight="1"/>
    <row r="166" spans="1:39" ht="14.1" customHeight="1">
      <c r="A166" s="721" t="s">
        <v>1196</v>
      </c>
      <c r="B166" s="722"/>
      <c r="C166" s="722"/>
      <c r="D166" s="722"/>
      <c r="E166" s="722"/>
      <c r="F166" s="722"/>
      <c r="G166" s="722"/>
      <c r="H166" s="722"/>
      <c r="I166" s="722"/>
      <c r="J166" s="722"/>
      <c r="K166" s="722"/>
      <c r="L166" s="722"/>
      <c r="M166" s="722"/>
      <c r="N166" s="722"/>
      <c r="O166" s="722"/>
      <c r="P166" s="722"/>
      <c r="Q166" s="722"/>
      <c r="R166" s="722"/>
      <c r="S166" s="722"/>
      <c r="T166" s="722"/>
      <c r="U166" s="722"/>
      <c r="V166" s="722"/>
      <c r="W166" s="722"/>
      <c r="X166" s="722"/>
      <c r="Y166" s="722"/>
      <c r="Z166" s="722"/>
      <c r="AA166" s="722"/>
      <c r="AB166" s="722"/>
      <c r="AC166" s="722"/>
      <c r="AD166" s="722"/>
      <c r="AE166" s="722"/>
      <c r="AF166" s="722"/>
      <c r="AG166" s="722"/>
      <c r="AH166" s="723"/>
      <c r="AI166" s="650" t="s">
        <v>695</v>
      </c>
      <c r="AJ166" s="650"/>
      <c r="AK166" s="650"/>
      <c r="AL166" s="650"/>
      <c r="AM166" s="650"/>
    </row>
    <row r="167" spans="1:39" ht="14.1" customHeight="1">
      <c r="A167" s="649" t="s">
        <v>746</v>
      </c>
      <c r="B167" s="649"/>
      <c r="C167" s="649"/>
      <c r="D167" s="649"/>
      <c r="E167" s="649"/>
      <c r="F167" s="649"/>
      <c r="G167" s="649"/>
      <c r="H167" s="649"/>
      <c r="I167" s="649"/>
      <c r="J167" s="649"/>
      <c r="K167" s="649"/>
      <c r="L167" s="649"/>
      <c r="M167" s="650" t="s">
        <v>514</v>
      </c>
      <c r="N167" s="650"/>
      <c r="O167" s="650"/>
      <c r="P167" s="650"/>
      <c r="Q167" s="650"/>
      <c r="R167" s="650"/>
      <c r="S167" s="650"/>
      <c r="T167" s="650"/>
      <c r="U167" s="650"/>
      <c r="V167" s="650"/>
      <c r="W167" s="650"/>
      <c r="X167" s="650"/>
      <c r="Y167" s="650"/>
      <c r="Z167" s="650"/>
      <c r="AA167" s="650"/>
      <c r="AB167" s="650"/>
      <c r="AC167" s="650"/>
      <c r="AD167" s="650"/>
      <c r="AE167" s="650"/>
      <c r="AF167" s="650"/>
      <c r="AG167" s="650"/>
      <c r="AH167" s="650"/>
      <c r="AI167" s="619" t="str">
        <f>_xlfn.CONCAT(AI132,"/PV")</f>
        <v>RVUL_1.2/PV</v>
      </c>
      <c r="AJ167" s="619"/>
      <c r="AK167" s="619"/>
      <c r="AL167" s="619"/>
      <c r="AM167" s="619"/>
    </row>
    <row r="168" spans="1:39" ht="14.1" customHeight="1">
      <c r="A168" s="649" t="s">
        <v>747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50" t="s">
        <v>1087</v>
      </c>
      <c r="N168" s="650"/>
      <c r="O168" s="650"/>
      <c r="P168" s="650"/>
      <c r="Q168" s="650"/>
      <c r="R168" s="650"/>
      <c r="S168" s="650"/>
      <c r="T168" s="650"/>
      <c r="U168" s="650"/>
      <c r="V168" s="650"/>
      <c r="W168" s="650"/>
      <c r="X168" s="650"/>
      <c r="Y168" s="650"/>
      <c r="Z168" s="650"/>
      <c r="AA168" s="650"/>
      <c r="AB168" s="650"/>
      <c r="AC168" s="650"/>
      <c r="AD168" s="650"/>
      <c r="AE168" s="650"/>
      <c r="AF168" s="650"/>
      <c r="AG168" s="650"/>
      <c r="AH168" s="650"/>
      <c r="AI168" s="619"/>
      <c r="AJ168" s="619"/>
      <c r="AK168" s="619"/>
      <c r="AL168" s="619"/>
      <c r="AM168" s="619"/>
    </row>
    <row r="169" spans="1:39" ht="14.1" customHeight="1">
      <c r="A169" s="648" t="s">
        <v>697</v>
      </c>
      <c r="B169" s="648"/>
      <c r="C169" s="648"/>
      <c r="D169" s="648"/>
      <c r="E169" s="648"/>
      <c r="F169" s="648"/>
      <c r="G169" s="647" t="s">
        <v>713</v>
      </c>
      <c r="H169" s="647"/>
      <c r="I169" s="647"/>
      <c r="J169" s="647" t="s">
        <v>714</v>
      </c>
      <c r="K169" s="647"/>
      <c r="L169" s="647"/>
      <c r="M169" s="648" t="s">
        <v>519</v>
      </c>
      <c r="N169" s="648"/>
      <c r="O169" s="648" t="s">
        <v>715</v>
      </c>
      <c r="P169" s="648"/>
      <c r="Q169" s="648"/>
      <c r="R169" s="647" t="s">
        <v>732</v>
      </c>
      <c r="S169" s="647"/>
      <c r="T169" s="647"/>
      <c r="U169" s="647" t="s">
        <v>734</v>
      </c>
      <c r="V169" s="647"/>
      <c r="W169" s="647"/>
      <c r="X169" s="647" t="s">
        <v>1085</v>
      </c>
      <c r="Y169" s="647"/>
      <c r="Z169" s="647"/>
      <c r="AA169" s="647" t="s">
        <v>1086</v>
      </c>
      <c r="AB169" s="647"/>
      <c r="AC169" s="647"/>
      <c r="AD169" s="647" t="s">
        <v>717</v>
      </c>
      <c r="AE169" s="647"/>
      <c r="AF169" s="647" t="s">
        <v>718</v>
      </c>
      <c r="AG169" s="647"/>
      <c r="AH169" s="647"/>
      <c r="AI169" s="647" t="s">
        <v>719</v>
      </c>
      <c r="AJ169" s="647"/>
      <c r="AK169" s="647" t="s">
        <v>733</v>
      </c>
      <c r="AL169" s="647"/>
      <c r="AM169" s="647"/>
    </row>
    <row r="170" spans="1:39" ht="14.1" customHeight="1">
      <c r="A170" s="648"/>
      <c r="B170" s="648"/>
      <c r="C170" s="648"/>
      <c r="D170" s="648"/>
      <c r="E170" s="648"/>
      <c r="F170" s="648"/>
      <c r="G170" s="647"/>
      <c r="H170" s="647"/>
      <c r="I170" s="647"/>
      <c r="J170" s="647"/>
      <c r="K170" s="647"/>
      <c r="L170" s="647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48"/>
      <c r="B171" s="648"/>
      <c r="C171" s="648"/>
      <c r="D171" s="648"/>
      <c r="E171" s="648"/>
      <c r="F171" s="648"/>
      <c r="G171" s="647"/>
      <c r="H171" s="647"/>
      <c r="I171" s="647"/>
      <c r="J171" s="713"/>
      <c r="K171" s="713"/>
      <c r="L171" s="713"/>
      <c r="M171" s="648"/>
      <c r="N171" s="648"/>
      <c r="O171" s="648"/>
      <c r="P171" s="648"/>
      <c r="Q171" s="648"/>
      <c r="R171" s="647"/>
      <c r="S171" s="647"/>
      <c r="T171" s="647"/>
      <c r="U171" s="647"/>
      <c r="V171" s="647"/>
      <c r="W171" s="647"/>
      <c r="X171" s="647"/>
      <c r="Y171" s="647"/>
      <c r="Z171" s="647"/>
      <c r="AA171" s="647"/>
      <c r="AB171" s="647"/>
      <c r="AC171" s="647"/>
      <c r="AD171" s="647"/>
      <c r="AE171" s="647"/>
      <c r="AF171" s="647"/>
      <c r="AG171" s="647"/>
      <c r="AH171" s="647"/>
      <c r="AI171" s="647"/>
      <c r="AJ171" s="647"/>
      <c r="AK171" s="647"/>
      <c r="AL171" s="647"/>
      <c r="AM171" s="647"/>
    </row>
    <row r="172" spans="1:39" ht="14.1" customHeight="1">
      <c r="A172" s="678">
        <f>VLOOKUP(AI167,'Incrementare indexe'!$B:$I,3,FALSE)</f>
        <v>1371641418</v>
      </c>
      <c r="B172" s="679"/>
      <c r="C172" s="679"/>
      <c r="D172" s="679"/>
      <c r="E172" s="679"/>
      <c r="F172" s="680"/>
      <c r="G172" s="647" t="s">
        <v>1088</v>
      </c>
      <c r="H172" s="647"/>
      <c r="I172" s="675"/>
      <c r="J172" s="655">
        <f>'Date masura OD'!$I$5</f>
        <v>45778</v>
      </c>
      <c r="K172" s="656"/>
      <c r="L172" s="657"/>
      <c r="M172" s="720" t="s">
        <v>446</v>
      </c>
      <c r="N172" s="648"/>
      <c r="O172" s="648">
        <f>VLOOKUP(AI167,'Incrementare indexe'!$B:$I,4,FALSE)</f>
        <v>1</v>
      </c>
      <c r="P172" s="648"/>
      <c r="Q172" s="648"/>
      <c r="R172" s="647" t="str">
        <f>VLOOKUP(AI167,'Incrementare indexe'!$B:$I,7,FALSE)&amp;" (citit)"</f>
        <v>1057582 (citit)</v>
      </c>
      <c r="S172" s="647"/>
      <c r="T172" s="647"/>
      <c r="U172" s="647" t="str">
        <f>VLOOKUP(AI167,'Incrementare indexe'!$B:$I,8,FALSE)&amp;" (citit)"</f>
        <v>1116602 (citit)</v>
      </c>
      <c r="V172" s="647"/>
      <c r="W172" s="647"/>
      <c r="X172" s="647" t="str">
        <f>(VLOOKUP(AI167,'Incrementare indexe'!$B:$I,8,FALSE)-VLOOKUP(AI167,'Incrementare indexe'!$B:$I,7,FALSE))&amp;" (citit)"</f>
        <v>59020 (citit)</v>
      </c>
      <c r="Y172" s="647"/>
      <c r="Z172" s="647"/>
      <c r="AA172" s="647" t="s">
        <v>69</v>
      </c>
      <c r="AB172" s="647"/>
      <c r="AC172" s="647"/>
      <c r="AD172" s="647" t="s">
        <v>69</v>
      </c>
      <c r="AE172" s="647"/>
      <c r="AF172" s="647">
        <f>(VLOOKUP(AI167,'Incrementare indexe'!$B:$I,8,FALSE)-VLOOKUP(AI167,'Incrementare indexe'!$B:$I,7,FALSE))</f>
        <v>59020</v>
      </c>
      <c r="AG172" s="647"/>
      <c r="AH172" s="647"/>
      <c r="AI172" s="647">
        <f>J174-J172+1</f>
        <v>31</v>
      </c>
      <c r="AJ172" s="647"/>
      <c r="AK172" s="647">
        <f>ROUND(AF172/AI172,2)</f>
        <v>1903.87</v>
      </c>
      <c r="AL172" s="647"/>
      <c r="AM172" s="647"/>
    </row>
    <row r="173" spans="1:39" ht="14.1" customHeight="1">
      <c r="A173" s="717"/>
      <c r="B173" s="718"/>
      <c r="C173" s="718"/>
      <c r="D173" s="718"/>
      <c r="E173" s="718"/>
      <c r="F173" s="719"/>
      <c r="G173" s="647"/>
      <c r="H173" s="647"/>
      <c r="I173" s="675"/>
      <c r="J173" s="717" t="s">
        <v>69</v>
      </c>
      <c r="K173" s="718"/>
      <c r="L173" s="719"/>
      <c r="M173" s="720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81"/>
      <c r="B174" s="682"/>
      <c r="C174" s="682"/>
      <c r="D174" s="682"/>
      <c r="E174" s="682"/>
      <c r="F174" s="683"/>
      <c r="G174" s="647"/>
      <c r="H174" s="647"/>
      <c r="I174" s="675"/>
      <c r="J174" s="714">
        <f>'Date masura OD'!$J$5</f>
        <v>45808</v>
      </c>
      <c r="K174" s="715"/>
      <c r="L174" s="716"/>
      <c r="M174" s="720"/>
      <c r="N174" s="648"/>
      <c r="O174" s="648"/>
      <c r="P174" s="648"/>
      <c r="Q174" s="648"/>
      <c r="R174" s="647"/>
      <c r="S174" s="647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647"/>
      <c r="AL174" s="647"/>
      <c r="AM174" s="647"/>
    </row>
    <row r="175" spans="1:39" ht="14.1" customHeight="1">
      <c r="A175" s="678">
        <f>A172</f>
        <v>1371641418</v>
      </c>
      <c r="B175" s="679"/>
      <c r="C175" s="679"/>
      <c r="D175" s="679"/>
      <c r="E175" s="679"/>
      <c r="F175" s="680"/>
      <c r="G175" s="648" t="s">
        <v>696</v>
      </c>
      <c r="H175" s="648"/>
      <c r="I175" s="648"/>
      <c r="J175" s="655">
        <f t="shared" ref="J175:J180" si="8">J172</f>
        <v>45778</v>
      </c>
      <c r="K175" s="656"/>
      <c r="L175" s="657"/>
      <c r="M175" s="648" t="s">
        <v>720</v>
      </c>
      <c r="N175" s="648"/>
      <c r="O175" s="648">
        <f>O172</f>
        <v>1</v>
      </c>
      <c r="P175" s="648"/>
      <c r="Q175" s="648"/>
      <c r="R175" s="647" t="s">
        <v>1089</v>
      </c>
      <c r="S175" s="647"/>
      <c r="T175" s="647"/>
      <c r="U175" s="647" t="s">
        <v>1089</v>
      </c>
      <c r="V175" s="647"/>
      <c r="W175" s="647"/>
      <c r="X175" s="647" t="s">
        <v>1089</v>
      </c>
      <c r="Y175" s="647"/>
      <c r="Z175" s="647"/>
      <c r="AA175" s="647" t="s">
        <v>69</v>
      </c>
      <c r="AB175" s="647"/>
      <c r="AC175" s="647"/>
      <c r="AD175" s="647" t="s">
        <v>69</v>
      </c>
      <c r="AE175" s="647"/>
      <c r="AF175" s="647">
        <v>0</v>
      </c>
      <c r="AG175" s="647"/>
      <c r="AH175" s="647"/>
      <c r="AI175" s="647">
        <f>AI172</f>
        <v>31</v>
      </c>
      <c r="AJ175" s="647"/>
      <c r="AK175" s="647">
        <f>ROUND(AF175/AI175,2)</f>
        <v>0</v>
      </c>
      <c r="AL175" s="647"/>
      <c r="AM175" s="647"/>
    </row>
    <row r="176" spans="1:39" ht="14.1" customHeight="1">
      <c r="A176" s="717"/>
      <c r="B176" s="718"/>
      <c r="C176" s="718"/>
      <c r="D176" s="718"/>
      <c r="E176" s="718"/>
      <c r="F176" s="719"/>
      <c r="G176" s="648"/>
      <c r="H176" s="648"/>
      <c r="I176" s="648"/>
      <c r="J176" s="717" t="str">
        <f t="shared" si="8"/>
        <v>-</v>
      </c>
      <c r="K176" s="718"/>
      <c r="L176" s="719"/>
      <c r="M176" s="648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1"/>
      <c r="B177" s="682"/>
      <c r="C177" s="682"/>
      <c r="D177" s="682"/>
      <c r="E177" s="682"/>
      <c r="F177" s="683"/>
      <c r="G177" s="648"/>
      <c r="H177" s="648"/>
      <c r="I177" s="648"/>
      <c r="J177" s="714">
        <f t="shared" si="8"/>
        <v>45808</v>
      </c>
      <c r="K177" s="715"/>
      <c r="L177" s="716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78">
        <f>A175</f>
        <v>1371641418</v>
      </c>
      <c r="B178" s="679"/>
      <c r="C178" s="679"/>
      <c r="D178" s="679"/>
      <c r="E178" s="679"/>
      <c r="F178" s="680"/>
      <c r="G178" s="648" t="s">
        <v>731</v>
      </c>
      <c r="H178" s="648"/>
      <c r="I178" s="648"/>
      <c r="J178" s="655">
        <f t="shared" si="8"/>
        <v>45778</v>
      </c>
      <c r="K178" s="656"/>
      <c r="L178" s="657"/>
      <c r="M178" s="648" t="s">
        <v>720</v>
      </c>
      <c r="N178" s="648"/>
      <c r="O178" s="648">
        <f>O175</f>
        <v>1</v>
      </c>
      <c r="P178" s="648"/>
      <c r="Q178" s="648"/>
      <c r="R178" s="647" t="s">
        <v>1089</v>
      </c>
      <c r="S178" s="647"/>
      <c r="T178" s="647"/>
      <c r="U178" s="647" t="s">
        <v>1089</v>
      </c>
      <c r="V178" s="647"/>
      <c r="W178" s="647"/>
      <c r="X178" s="647" t="s">
        <v>1089</v>
      </c>
      <c r="Y178" s="647"/>
      <c r="Z178" s="647"/>
      <c r="AA178" s="647" t="s">
        <v>69</v>
      </c>
      <c r="AB178" s="647"/>
      <c r="AC178" s="647"/>
      <c r="AD178" s="647" t="s">
        <v>69</v>
      </c>
      <c r="AE178" s="647"/>
      <c r="AF178" s="647">
        <v>0</v>
      </c>
      <c r="AG178" s="647"/>
      <c r="AH178" s="647"/>
      <c r="AI178" s="647">
        <f>AI175</f>
        <v>31</v>
      </c>
      <c r="AJ178" s="647"/>
      <c r="AK178" s="647">
        <f>ROUND(AF178/AI178,2)</f>
        <v>0</v>
      </c>
      <c r="AL178" s="647"/>
      <c r="AM178" s="647"/>
    </row>
    <row r="179" spans="1:39" ht="14.1" customHeight="1">
      <c r="A179" s="717"/>
      <c r="B179" s="718"/>
      <c r="C179" s="718"/>
      <c r="D179" s="718"/>
      <c r="E179" s="718"/>
      <c r="F179" s="719"/>
      <c r="G179" s="648"/>
      <c r="H179" s="648"/>
      <c r="I179" s="648"/>
      <c r="J179" s="717" t="str">
        <f t="shared" si="8"/>
        <v>-</v>
      </c>
      <c r="K179" s="718"/>
      <c r="L179" s="719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1"/>
      <c r="B180" s="682"/>
      <c r="C180" s="682"/>
      <c r="D180" s="682"/>
      <c r="E180" s="682"/>
      <c r="F180" s="683"/>
      <c r="G180" s="648"/>
      <c r="H180" s="648"/>
      <c r="I180" s="648"/>
      <c r="J180" s="714">
        <f t="shared" si="8"/>
        <v>45808</v>
      </c>
      <c r="K180" s="715"/>
      <c r="L180" s="716"/>
      <c r="M180" s="648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/>
    <row r="182" spans="1:39" ht="14.1" customHeight="1"/>
    <row r="183" spans="1:39" ht="14.1" customHeight="1"/>
    <row r="184" spans="1:39" ht="14.1" customHeight="1">
      <c r="A184" s="649" t="s">
        <v>748</v>
      </c>
      <c r="B184" s="649"/>
      <c r="C184" s="649"/>
      <c r="D184" s="649"/>
      <c r="E184" s="649"/>
      <c r="F184" s="649"/>
      <c r="G184" s="649"/>
      <c r="H184" s="649"/>
      <c r="I184" s="649"/>
      <c r="J184" s="649"/>
      <c r="K184" s="649"/>
      <c r="L184" s="649"/>
      <c r="M184" s="650" t="str">
        <f>VLOOKUP(AI185,'Contorizare in SDI'!$E:$I,4,FALSE)</f>
        <v>RO001E110054223/3</v>
      </c>
      <c r="N184" s="650"/>
      <c r="O184" s="650"/>
      <c r="P184" s="650"/>
      <c r="Q184" s="650"/>
      <c r="R184" s="650"/>
      <c r="S184" s="650"/>
      <c r="T184" s="650"/>
      <c r="U184" s="650"/>
      <c r="V184" s="650"/>
      <c r="W184" s="650"/>
      <c r="X184" s="650"/>
      <c r="Y184" s="650"/>
      <c r="Z184" s="650"/>
      <c r="AA184" s="650"/>
      <c r="AB184" s="650"/>
      <c r="AC184" s="650"/>
      <c r="AD184" s="650"/>
      <c r="AE184" s="650"/>
      <c r="AF184" s="650"/>
      <c r="AG184" s="650"/>
      <c r="AH184" s="650"/>
      <c r="AI184" s="650" t="s">
        <v>695</v>
      </c>
      <c r="AJ184" s="650"/>
      <c r="AK184" s="650"/>
      <c r="AL184" s="650"/>
      <c r="AM184" s="650"/>
    </row>
    <row r="185" spans="1:39" ht="14.1" customHeight="1">
      <c r="A185" s="649" t="s">
        <v>746</v>
      </c>
      <c r="B185" s="649"/>
      <c r="C185" s="649"/>
      <c r="D185" s="649"/>
      <c r="E185" s="649"/>
      <c r="F185" s="649"/>
      <c r="G185" s="649"/>
      <c r="H185" s="649"/>
      <c r="I185" s="649"/>
      <c r="J185" s="649"/>
      <c r="K185" s="649"/>
      <c r="L185" s="649"/>
      <c r="M185" s="650" t="str">
        <f>VLOOKUP(AI185,'Inchidere contur'!$G:$U,15,FALSE)</f>
        <v>JT_SDI</v>
      </c>
      <c r="N185" s="650"/>
      <c r="O185" s="650"/>
      <c r="P185" s="650"/>
      <c r="Q185" s="650"/>
      <c r="R185" s="650"/>
      <c r="S185" s="650"/>
      <c r="T185" s="650"/>
      <c r="U185" s="650"/>
      <c r="V185" s="650"/>
      <c r="W185" s="650"/>
      <c r="X185" s="650"/>
      <c r="Y185" s="650"/>
      <c r="Z185" s="650"/>
      <c r="AA185" s="650"/>
      <c r="AB185" s="650"/>
      <c r="AC185" s="650"/>
      <c r="AD185" s="650"/>
      <c r="AE185" s="650"/>
      <c r="AF185" s="650"/>
      <c r="AG185" s="650"/>
      <c r="AH185" s="650"/>
      <c r="AI185" s="619" t="str">
        <f>_xlfn.CONCAT(AA32,".",3)</f>
        <v>RVUL_1.3</v>
      </c>
      <c r="AJ185" s="619"/>
      <c r="AK185" s="619"/>
      <c r="AL185" s="619"/>
      <c r="AM185" s="619"/>
    </row>
    <row r="186" spans="1:39" ht="14.1" customHeight="1">
      <c r="A186" s="649" t="s">
        <v>747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50" t="str">
        <f>IF(LEFT(M185,2)="JT","0.4kV",IF(LEFT(M185,2)="MT","20kV","-"))</f>
        <v>0.4kV</v>
      </c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19"/>
      <c r="AJ186" s="619"/>
      <c r="AK186" s="619"/>
      <c r="AL186" s="619"/>
      <c r="AM186" s="619"/>
    </row>
    <row r="187" spans="1:39" ht="14.1" customHeight="1">
      <c r="A187" s="648" t="s">
        <v>697</v>
      </c>
      <c r="B187" s="648"/>
      <c r="C187" s="648"/>
      <c r="D187" s="648"/>
      <c r="E187" s="648"/>
      <c r="F187" s="648"/>
      <c r="G187" s="647" t="s">
        <v>713</v>
      </c>
      <c r="H187" s="647"/>
      <c r="I187" s="647"/>
      <c r="J187" s="647" t="s">
        <v>714</v>
      </c>
      <c r="K187" s="647"/>
      <c r="L187" s="647"/>
      <c r="M187" s="648" t="s">
        <v>519</v>
      </c>
      <c r="N187" s="648"/>
      <c r="O187" s="648" t="s">
        <v>715</v>
      </c>
      <c r="P187" s="648"/>
      <c r="Q187" s="648"/>
      <c r="R187" s="647" t="s">
        <v>732</v>
      </c>
      <c r="S187" s="647"/>
      <c r="T187" s="647"/>
      <c r="U187" s="647" t="s">
        <v>734</v>
      </c>
      <c r="V187" s="647"/>
      <c r="W187" s="647"/>
      <c r="X187" s="647" t="s">
        <v>1085</v>
      </c>
      <c r="Y187" s="647"/>
      <c r="Z187" s="647"/>
      <c r="AA187" s="647" t="s">
        <v>1086</v>
      </c>
      <c r="AB187" s="647"/>
      <c r="AC187" s="647"/>
      <c r="AD187" s="647" t="s">
        <v>717</v>
      </c>
      <c r="AE187" s="647"/>
      <c r="AF187" s="647" t="s">
        <v>718</v>
      </c>
      <c r="AG187" s="647"/>
      <c r="AH187" s="647"/>
      <c r="AI187" s="647" t="s">
        <v>719</v>
      </c>
      <c r="AJ187" s="647"/>
      <c r="AK187" s="647" t="s">
        <v>733</v>
      </c>
      <c r="AL187" s="647"/>
      <c r="AM187" s="647"/>
    </row>
    <row r="188" spans="1:39" ht="14.1" customHeight="1">
      <c r="A188" s="648"/>
      <c r="B188" s="648"/>
      <c r="C188" s="648"/>
      <c r="D188" s="648"/>
      <c r="E188" s="648"/>
      <c r="F188" s="648"/>
      <c r="G188" s="647"/>
      <c r="H188" s="647"/>
      <c r="I188" s="647"/>
      <c r="J188" s="647"/>
      <c r="K188" s="647"/>
      <c r="L188" s="647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>
      <c r="A189" s="648"/>
      <c r="B189" s="648"/>
      <c r="C189" s="648"/>
      <c r="D189" s="648"/>
      <c r="E189" s="648"/>
      <c r="F189" s="648"/>
      <c r="G189" s="647"/>
      <c r="H189" s="647"/>
      <c r="I189" s="647"/>
      <c r="J189" s="713"/>
      <c r="K189" s="713"/>
      <c r="L189" s="713"/>
      <c r="M189" s="648"/>
      <c r="N189" s="648"/>
      <c r="O189" s="648"/>
      <c r="P189" s="648"/>
      <c r="Q189" s="648"/>
      <c r="R189" s="647"/>
      <c r="S189" s="647"/>
      <c r="T189" s="647"/>
      <c r="U189" s="647"/>
      <c r="V189" s="647"/>
      <c r="W189" s="647"/>
      <c r="X189" s="647"/>
      <c r="Y189" s="647"/>
      <c r="Z189" s="647"/>
      <c r="AA189" s="647"/>
      <c r="AB189" s="647"/>
      <c r="AC189" s="647"/>
      <c r="AD189" s="647"/>
      <c r="AE189" s="647"/>
      <c r="AF189" s="647"/>
      <c r="AG189" s="647"/>
      <c r="AH189" s="647"/>
      <c r="AI189" s="647"/>
      <c r="AJ189" s="647"/>
      <c r="AK189" s="647"/>
      <c r="AL189" s="647"/>
      <c r="AM189" s="647"/>
    </row>
    <row r="190" spans="1:39" ht="14.1" customHeight="1">
      <c r="A190" s="678">
        <f>VLOOKUP(AI185,'Contorizare in SDI'!$E:$I,5,FALSE)</f>
        <v>1371511160</v>
      </c>
      <c r="B190" s="679"/>
      <c r="C190" s="679"/>
      <c r="D190" s="679"/>
      <c r="E190" s="679"/>
      <c r="F190" s="680"/>
      <c r="G190" s="648" t="s">
        <v>730</v>
      </c>
      <c r="H190" s="648"/>
      <c r="I190" s="673"/>
      <c r="J190" s="655">
        <f>'Date masura OD'!$AK$5</f>
        <v>45748</v>
      </c>
      <c r="K190" s="656"/>
      <c r="L190" s="657"/>
      <c r="M190" s="720" t="s">
        <v>446</v>
      </c>
      <c r="N190" s="648"/>
      <c r="O190" s="648">
        <f>VLOOKUP(AI185,'Incrementare indexe'!$B:$T,4,FALSE)</f>
        <v>1</v>
      </c>
      <c r="P190" s="648"/>
      <c r="Q190" s="648"/>
      <c r="R190" s="647" t="str">
        <f>ROUND(VLOOKUP(A190,Regularizare!$D:$YN,3,FALSE),2)&amp;" ("&amp;VLOOKUP(A190,Regularizare!$D:$Y,11,FALSE)&amp;")"</f>
        <v>539090 (citit)</v>
      </c>
      <c r="S190" s="647"/>
      <c r="T190" s="647"/>
      <c r="U190" s="647" t="str">
        <f>ROUND(VLOOKUP(A190,Regularizare!$D:$U,4,FALSE),2)&amp;" ("&amp;VLOOKUP(A190,Regularizare!$D:$U,12,FALSE)&amp;")"</f>
        <v>557093 (estimat)</v>
      </c>
      <c r="V190" s="647"/>
      <c r="W190" s="647"/>
      <c r="X190" s="647" t="str">
        <f>VLOOKUP(A190,Regularizare!$D:$Y,19,FALSE)&amp;" ("&amp;VLOOKUP(A190,Regularizare!$D:$U,12,FALSE)&amp;")"</f>
        <v>18003 (estimat)</v>
      </c>
      <c r="Y190" s="647"/>
      <c r="Z190" s="647"/>
      <c r="AA190" s="647">
        <f>(-1)*VLOOKUP(A190,Regularizare!$D:$Y,19,FALSE)</f>
        <v>-18003</v>
      </c>
      <c r="AB190" s="647"/>
      <c r="AC190" s="647"/>
      <c r="AD190" s="647" t="s">
        <v>69</v>
      </c>
      <c r="AE190" s="647"/>
      <c r="AF190" s="647">
        <f>AA190</f>
        <v>-18003</v>
      </c>
      <c r="AG190" s="647"/>
      <c r="AH190" s="647"/>
      <c r="AI190" s="647" t="s">
        <v>69</v>
      </c>
      <c r="AJ190" s="647"/>
      <c r="AK190" s="647" t="s">
        <v>69</v>
      </c>
      <c r="AL190" s="647"/>
      <c r="AM190" s="647"/>
    </row>
    <row r="191" spans="1:39" ht="14.1" customHeight="1">
      <c r="A191" s="717"/>
      <c r="B191" s="718"/>
      <c r="C191" s="718"/>
      <c r="D191" s="718"/>
      <c r="E191" s="718"/>
      <c r="F191" s="719"/>
      <c r="G191" s="648"/>
      <c r="H191" s="648"/>
      <c r="I191" s="673"/>
      <c r="J191" s="717" t="s">
        <v>69</v>
      </c>
      <c r="K191" s="718"/>
      <c r="L191" s="719"/>
      <c r="M191" s="720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81"/>
      <c r="B192" s="682"/>
      <c r="C192" s="682"/>
      <c r="D192" s="682"/>
      <c r="E192" s="682"/>
      <c r="F192" s="683"/>
      <c r="G192" s="648"/>
      <c r="H192" s="648"/>
      <c r="I192" s="673"/>
      <c r="J192" s="714">
        <f>'Date masura OD'!$AL$5</f>
        <v>45777</v>
      </c>
      <c r="K192" s="715"/>
      <c r="L192" s="716"/>
      <c r="M192" s="720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 ht="14.1" customHeight="1">
      <c r="A193" s="678">
        <f>A190</f>
        <v>1371511160</v>
      </c>
      <c r="B193" s="679"/>
      <c r="C193" s="679"/>
      <c r="D193" s="679"/>
      <c r="E193" s="679"/>
      <c r="F193" s="680"/>
      <c r="G193" s="648" t="s">
        <v>696</v>
      </c>
      <c r="H193" s="648"/>
      <c r="I193" s="648"/>
      <c r="J193" s="655">
        <f t="shared" ref="J193:J198" si="9">J190</f>
        <v>45748</v>
      </c>
      <c r="K193" s="656"/>
      <c r="L193" s="657"/>
      <c r="M193" s="648" t="s">
        <v>720</v>
      </c>
      <c r="N193" s="648"/>
      <c r="O193" s="648">
        <f>O190</f>
        <v>1</v>
      </c>
      <c r="P193" s="648"/>
      <c r="Q193" s="648"/>
      <c r="R193" s="647" t="str">
        <f>VLOOKUP(A193,Regularizare!$D:$U,7,FALSE)&amp;" ("&amp;VLOOKUP(A193,Regularizare!$D:$U,15,FALSE)&amp;")"</f>
        <v>53993 (citit)</v>
      </c>
      <c r="S193" s="647"/>
      <c r="T193" s="647"/>
      <c r="U193" s="647" t="str">
        <f>VLOOKUP(A193,Regularizare!$D:$U,8,FALSE)&amp;" ("&amp;VLOOKUP(A193,Regularizare!$D:$U,16,FALSE)&amp;")"</f>
        <v>53993 (estimat)</v>
      </c>
      <c r="V193" s="647"/>
      <c r="W193" s="647"/>
      <c r="X193" s="647" t="str">
        <f>_xlfn.CONCAT(VLOOKUP(A193,Regularizare!$D:$U,8,FALSE)-VLOOKUP(A193,Regularizare!$D:$U,7,FALSE)," (",VLOOKUP(A193,Regularizare!$D:$U,16,FALSE),")")</f>
        <v>0 (estimat)</v>
      </c>
      <c r="Y193" s="647"/>
      <c r="Z193" s="647"/>
      <c r="AA193" s="647">
        <f>IF(VLOOKUP(A193,Regularizare!$D:$Y,21,FALSE)=0,VLOOKUP(A193,Regularizare!$D:$Y,21,FALSE),(-1)*VLOOKUP(A193,Regularizare!$D:$Y,21,FALSE))</f>
        <v>0</v>
      </c>
      <c r="AB193" s="647"/>
      <c r="AC193" s="647"/>
      <c r="AD193" s="647" t="s">
        <v>69</v>
      </c>
      <c r="AE193" s="647"/>
      <c r="AF193" s="647">
        <f>AA193</f>
        <v>0</v>
      </c>
      <c r="AG193" s="647"/>
      <c r="AH193" s="647"/>
      <c r="AI193" s="647" t="str">
        <f>AI190</f>
        <v>-</v>
      </c>
      <c r="AJ193" s="647"/>
      <c r="AK193" s="647" t="str">
        <f>AK190</f>
        <v>-</v>
      </c>
      <c r="AL193" s="647"/>
      <c r="AM193" s="647"/>
    </row>
    <row r="194" spans="1:39" ht="14.1" customHeight="1">
      <c r="A194" s="717"/>
      <c r="B194" s="718"/>
      <c r="C194" s="718"/>
      <c r="D194" s="718"/>
      <c r="E194" s="718"/>
      <c r="F194" s="719"/>
      <c r="G194" s="648"/>
      <c r="H194" s="648"/>
      <c r="I194" s="648"/>
      <c r="J194" s="717" t="str">
        <f t="shared" si="9"/>
        <v>-</v>
      </c>
      <c r="K194" s="718"/>
      <c r="L194" s="719"/>
      <c r="M194" s="648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1"/>
      <c r="B195" s="682"/>
      <c r="C195" s="682"/>
      <c r="D195" s="682"/>
      <c r="E195" s="682"/>
      <c r="F195" s="683"/>
      <c r="G195" s="648"/>
      <c r="H195" s="648"/>
      <c r="I195" s="648"/>
      <c r="J195" s="714">
        <f t="shared" si="9"/>
        <v>45777</v>
      </c>
      <c r="K195" s="715"/>
      <c r="L195" s="716"/>
      <c r="M195" s="648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78">
        <f>A193</f>
        <v>1371511160</v>
      </c>
      <c r="B196" s="679"/>
      <c r="C196" s="679"/>
      <c r="D196" s="679"/>
      <c r="E196" s="679"/>
      <c r="F196" s="680"/>
      <c r="G196" s="648" t="s">
        <v>731</v>
      </c>
      <c r="H196" s="648"/>
      <c r="I196" s="648"/>
      <c r="J196" s="655">
        <f t="shared" si="9"/>
        <v>45748</v>
      </c>
      <c r="K196" s="656"/>
      <c r="L196" s="657"/>
      <c r="M196" s="648" t="s">
        <v>720</v>
      </c>
      <c r="N196" s="648"/>
      <c r="O196" s="648">
        <f>O193</f>
        <v>1</v>
      </c>
      <c r="P196" s="648"/>
      <c r="Q196" s="648"/>
      <c r="R196" s="647" t="str">
        <f>VLOOKUP(A196,Regularizare!$D:$U,9,FALSE)&amp;" ("&amp;VLOOKUP(A196,Regularizare!$D:$U,17,FALSE)&amp;")"</f>
        <v>13610 (citit)</v>
      </c>
      <c r="S196" s="647"/>
      <c r="T196" s="647"/>
      <c r="U196" s="647" t="str">
        <f>VLOOKUP(A196,Regularizare!$D:$U,10,FALSE)&amp;" ("&amp;VLOOKUP(A196,Regularizare!$D:$U,18,FALSE)&amp;")"</f>
        <v>13610 (estimat)</v>
      </c>
      <c r="V196" s="647"/>
      <c r="W196" s="647"/>
      <c r="X196" s="647" t="str">
        <f>_xlfn.CONCAT(VLOOKUP(A196,Regularizare!$D:$U,10,FALSE)-VLOOKUP(A196,Regularizare!$D:$U,9,FALSE)," (",VLOOKUP(A196,Regularizare!$D:$U,18,FALSE),")")</f>
        <v>0 (estimat)</v>
      </c>
      <c r="Y196" s="647"/>
      <c r="Z196" s="647"/>
      <c r="AA196" s="647">
        <f>IF(VLOOKUP(A196,Regularizare!$D:$Y,22,FALSE)=0,VLOOKUP(A196,Regularizare!$D:$Y,22,FALSE),(-1)*VLOOKUP(A196,Regularizare!$D:$Y,22,FALSE))</f>
        <v>0</v>
      </c>
      <c r="AB196" s="647"/>
      <c r="AC196" s="647"/>
      <c r="AD196" s="647" t="s">
        <v>69</v>
      </c>
      <c r="AE196" s="647"/>
      <c r="AF196" s="647">
        <f>AA196</f>
        <v>0</v>
      </c>
      <c r="AG196" s="647"/>
      <c r="AH196" s="647"/>
      <c r="AI196" s="647" t="str">
        <f>AI193</f>
        <v>-</v>
      </c>
      <c r="AJ196" s="647"/>
      <c r="AK196" s="647" t="str">
        <f>AK193</f>
        <v>-</v>
      </c>
      <c r="AL196" s="647"/>
      <c r="AM196" s="647"/>
    </row>
    <row r="197" spans="1:39" ht="14.1" customHeight="1">
      <c r="A197" s="717"/>
      <c r="B197" s="718"/>
      <c r="C197" s="718"/>
      <c r="D197" s="718"/>
      <c r="E197" s="718"/>
      <c r="F197" s="719"/>
      <c r="G197" s="648"/>
      <c r="H197" s="648"/>
      <c r="I197" s="648"/>
      <c r="J197" s="717" t="str">
        <f t="shared" si="9"/>
        <v>-</v>
      </c>
      <c r="K197" s="718"/>
      <c r="L197" s="719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1"/>
      <c r="B198" s="682"/>
      <c r="C198" s="682"/>
      <c r="D198" s="682"/>
      <c r="E198" s="682"/>
      <c r="F198" s="683"/>
      <c r="G198" s="648"/>
      <c r="H198" s="648"/>
      <c r="I198" s="648"/>
      <c r="J198" s="714">
        <f t="shared" si="9"/>
        <v>45777</v>
      </c>
      <c r="K198" s="715"/>
      <c r="L198" s="716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78">
        <f>A196</f>
        <v>1371511160</v>
      </c>
      <c r="B199" s="679"/>
      <c r="C199" s="679"/>
      <c r="D199" s="679"/>
      <c r="E199" s="679"/>
      <c r="F199" s="680"/>
      <c r="G199" s="648" t="s">
        <v>730</v>
      </c>
      <c r="H199" s="648"/>
      <c r="I199" s="673"/>
      <c r="J199" s="655">
        <f>'Date masura OD'!$AK$5</f>
        <v>45748</v>
      </c>
      <c r="K199" s="656"/>
      <c r="L199" s="657"/>
      <c r="M199" s="720" t="s">
        <v>446</v>
      </c>
      <c r="N199" s="648"/>
      <c r="O199" s="648">
        <f>O196</f>
        <v>1</v>
      </c>
      <c r="P199" s="648"/>
      <c r="Q199" s="648"/>
      <c r="R199" s="647" t="str">
        <f>ROUND(VLOOKUP(A199,Regularizare!$D:$AX,23,FALSE),2)&amp;" ("&amp;VLOOKUP(A199,Regularizare!$D:$AX,24,FALSE)&amp;")"</f>
        <v>539090 (citit)</v>
      </c>
      <c r="S199" s="647"/>
      <c r="T199" s="647"/>
      <c r="U199" s="647" t="str">
        <f>ROUND(VLOOKUP(A199,Regularizare!$D:$AX,25,FALSE),2)&amp;" ("&amp;VLOOKUP(A199,Regularizare!$D:$AX,26,FALSE)&amp;")"</f>
        <v>557093 (citit)</v>
      </c>
      <c r="V199" s="647"/>
      <c r="W199" s="647"/>
      <c r="X199" s="647" t="str">
        <f>VLOOKUP(A199,Regularizare!$D:$AX,37,FALSE)&amp;" ("&amp;VLOOKUP(A199,Regularizare!$D:$AX,26,FALSE)&amp;")"</f>
        <v>18003 (citit)</v>
      </c>
      <c r="Y199" s="647"/>
      <c r="Z199" s="647"/>
      <c r="AA199" s="647">
        <f>VLOOKUP(A199,Regularizare!$D:$AX,37,FALSE)</f>
        <v>18003</v>
      </c>
      <c r="AB199" s="647"/>
      <c r="AC199" s="647"/>
      <c r="AD199" s="647" t="s">
        <v>69</v>
      </c>
      <c r="AE199" s="647"/>
      <c r="AF199" s="647">
        <f>AA199</f>
        <v>18003</v>
      </c>
      <c r="AG199" s="647"/>
      <c r="AH199" s="647"/>
      <c r="AI199" s="647" t="str">
        <f>AI196</f>
        <v>-</v>
      </c>
      <c r="AJ199" s="647"/>
      <c r="AK199" s="647" t="str">
        <f>AK196</f>
        <v>-</v>
      </c>
      <c r="AL199" s="647"/>
      <c r="AM199" s="647"/>
    </row>
    <row r="200" spans="1:39" ht="14.1" customHeight="1">
      <c r="A200" s="717"/>
      <c r="B200" s="718"/>
      <c r="C200" s="718"/>
      <c r="D200" s="718"/>
      <c r="E200" s="718"/>
      <c r="F200" s="719"/>
      <c r="G200" s="648"/>
      <c r="H200" s="648"/>
      <c r="I200" s="673"/>
      <c r="J200" s="717" t="s">
        <v>69</v>
      </c>
      <c r="K200" s="718"/>
      <c r="L200" s="719"/>
      <c r="M200" s="720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1"/>
      <c r="B201" s="682"/>
      <c r="C201" s="682"/>
      <c r="D201" s="682"/>
      <c r="E201" s="682"/>
      <c r="F201" s="683"/>
      <c r="G201" s="648"/>
      <c r="H201" s="648"/>
      <c r="I201" s="673"/>
      <c r="J201" s="714">
        <f>'Date masura OD'!$AL$5</f>
        <v>45777</v>
      </c>
      <c r="K201" s="715"/>
      <c r="L201" s="716"/>
      <c r="M201" s="720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78">
        <f>A199</f>
        <v>1371511160</v>
      </c>
      <c r="B202" s="679"/>
      <c r="C202" s="679"/>
      <c r="D202" s="679"/>
      <c r="E202" s="679"/>
      <c r="F202" s="680"/>
      <c r="G202" s="648" t="s">
        <v>696</v>
      </c>
      <c r="H202" s="648"/>
      <c r="I202" s="648"/>
      <c r="J202" s="655">
        <f t="shared" ref="J202:J207" si="10">J199</f>
        <v>45748</v>
      </c>
      <c r="K202" s="656"/>
      <c r="L202" s="657"/>
      <c r="M202" s="648" t="s">
        <v>720</v>
      </c>
      <c r="N202" s="648"/>
      <c r="O202" s="648">
        <f>O199</f>
        <v>1</v>
      </c>
      <c r="P202" s="648"/>
      <c r="Q202" s="648"/>
      <c r="R202" s="647" t="str">
        <f>VLOOKUP(A202,Regularizare!$D:$AX,29,FALSE)&amp;" ("&amp;VLOOKUP(A202,Regularizare!$D:$AX,30,FALSE)&amp;")"</f>
        <v>53993 (citit)</v>
      </c>
      <c r="S202" s="647"/>
      <c r="T202" s="647"/>
      <c r="U202" s="647" t="str">
        <f>VLOOKUP(A202,Regularizare!$D:$AX,31,FALSE)&amp;" ("&amp;VLOOKUP(A202,Regularizare!$D:$AX,32,FALSE)&amp;")"</f>
        <v>53993 (citit)</v>
      </c>
      <c r="V202" s="647"/>
      <c r="W202" s="647"/>
      <c r="X202" s="647" t="str">
        <f>VLOOKUP(A202,Regularizare!$D:$AX,39,FALSE)&amp;" ("&amp;VLOOKUP(A202,Regularizare!$D:$AX,32,FALSE)&amp;")"</f>
        <v>0 (citit)</v>
      </c>
      <c r="Y202" s="647"/>
      <c r="Z202" s="647"/>
      <c r="AA202" s="647">
        <f>VLOOKUP(A202,Regularizare!$D:$AX,44,FALSE)+VLOOKUP(A202,Regularizare!$D:$AX,45,FALSE)</f>
        <v>0</v>
      </c>
      <c r="AB202" s="647"/>
      <c r="AC202" s="647"/>
      <c r="AD202" s="647" t="s">
        <v>69</v>
      </c>
      <c r="AE202" s="647"/>
      <c r="AF202" s="647">
        <f>AA202</f>
        <v>0</v>
      </c>
      <c r="AG202" s="647"/>
      <c r="AH202" s="647"/>
      <c r="AI202" s="647" t="str">
        <f>AI199</f>
        <v>-</v>
      </c>
      <c r="AJ202" s="647"/>
      <c r="AK202" s="647" t="str">
        <f>AK199</f>
        <v>-</v>
      </c>
      <c r="AL202" s="647"/>
      <c r="AM202" s="647"/>
    </row>
    <row r="203" spans="1:39" ht="14.1" customHeight="1">
      <c r="A203" s="717"/>
      <c r="B203" s="718"/>
      <c r="C203" s="718"/>
      <c r="D203" s="718"/>
      <c r="E203" s="718"/>
      <c r="F203" s="719"/>
      <c r="G203" s="648"/>
      <c r="H203" s="648"/>
      <c r="I203" s="648"/>
      <c r="J203" s="717" t="str">
        <f t="shared" si="10"/>
        <v>-</v>
      </c>
      <c r="K203" s="718"/>
      <c r="L203" s="719"/>
      <c r="M203" s="648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1"/>
      <c r="B204" s="682"/>
      <c r="C204" s="682"/>
      <c r="D204" s="682"/>
      <c r="E204" s="682"/>
      <c r="F204" s="683"/>
      <c r="G204" s="648"/>
      <c r="H204" s="648"/>
      <c r="I204" s="648"/>
      <c r="J204" s="714">
        <f t="shared" si="10"/>
        <v>45777</v>
      </c>
      <c r="K204" s="715"/>
      <c r="L204" s="716"/>
      <c r="M204" s="648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78">
        <f>A202</f>
        <v>1371511160</v>
      </c>
      <c r="B205" s="679"/>
      <c r="C205" s="679"/>
      <c r="D205" s="679"/>
      <c r="E205" s="679"/>
      <c r="F205" s="680"/>
      <c r="G205" s="648" t="s">
        <v>731</v>
      </c>
      <c r="H205" s="648"/>
      <c r="I205" s="648"/>
      <c r="J205" s="655">
        <f t="shared" si="10"/>
        <v>45748</v>
      </c>
      <c r="K205" s="656"/>
      <c r="L205" s="657"/>
      <c r="M205" s="648" t="s">
        <v>720</v>
      </c>
      <c r="N205" s="648"/>
      <c r="O205" s="648">
        <f>O202</f>
        <v>1</v>
      </c>
      <c r="P205" s="648"/>
      <c r="Q205" s="648"/>
      <c r="R205" s="647" t="str">
        <f>VLOOKUP(A205,Regularizare!$D:$AX,33,FALSE)&amp;" ("&amp;VLOOKUP(A205,Regularizare!$D:$AX,34,FALSE)&amp;")"</f>
        <v>13610 (citit)</v>
      </c>
      <c r="S205" s="647"/>
      <c r="T205" s="647"/>
      <c r="U205" s="647" t="str">
        <f>VLOOKUP(A205,Regularizare!$D:$AX,35,FALSE)&amp;" ("&amp;VLOOKUP(A205,Regularizare!$D:$AX,36,FALSE)&amp;")"</f>
        <v>13610 (citit)</v>
      </c>
      <c r="V205" s="647"/>
      <c r="W205" s="647"/>
      <c r="X205" s="647" t="str">
        <f>VLOOKUP(A205,Regularizare!$D:$AX,40,FALSE)&amp;" ("&amp;VLOOKUP(A205,Regularizare!$D:$AX,36,FALSE)&amp;")"</f>
        <v>0 (citit)</v>
      </c>
      <c r="Y205" s="647"/>
      <c r="Z205" s="647"/>
      <c r="AA205" s="647">
        <f>VLOOKUP(A205,Regularizare!$D:$AX,46,FALSE)+VLOOKUP(A205,Regularizare!$D:$AX,47,FALSE)</f>
        <v>0</v>
      </c>
      <c r="AB205" s="647"/>
      <c r="AC205" s="647"/>
      <c r="AD205" s="647" t="s">
        <v>69</v>
      </c>
      <c r="AE205" s="647"/>
      <c r="AF205" s="647">
        <f>AA205</f>
        <v>0</v>
      </c>
      <c r="AG205" s="647"/>
      <c r="AH205" s="647"/>
      <c r="AI205" s="647" t="str">
        <f>AI202</f>
        <v>-</v>
      </c>
      <c r="AJ205" s="647"/>
      <c r="AK205" s="647" t="str">
        <f>AK202</f>
        <v>-</v>
      </c>
      <c r="AL205" s="647"/>
      <c r="AM205" s="647"/>
    </row>
    <row r="206" spans="1:39" ht="14.1" customHeight="1">
      <c r="A206" s="717"/>
      <c r="B206" s="718"/>
      <c r="C206" s="718"/>
      <c r="D206" s="718"/>
      <c r="E206" s="718"/>
      <c r="F206" s="719"/>
      <c r="G206" s="648"/>
      <c r="H206" s="648"/>
      <c r="I206" s="648"/>
      <c r="J206" s="717" t="str">
        <f t="shared" si="10"/>
        <v>-</v>
      </c>
      <c r="K206" s="718"/>
      <c r="L206" s="719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1"/>
      <c r="B207" s="682"/>
      <c r="C207" s="682"/>
      <c r="D207" s="682"/>
      <c r="E207" s="682"/>
      <c r="F207" s="683"/>
      <c r="G207" s="648"/>
      <c r="H207" s="648"/>
      <c r="I207" s="648"/>
      <c r="J207" s="714">
        <f t="shared" si="10"/>
        <v>45777</v>
      </c>
      <c r="K207" s="715"/>
      <c r="L207" s="716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78">
        <f>A205</f>
        <v>1371511160</v>
      </c>
      <c r="B208" s="679"/>
      <c r="C208" s="679"/>
      <c r="D208" s="679"/>
      <c r="E208" s="679"/>
      <c r="F208" s="680"/>
      <c r="G208" s="648" t="s">
        <v>730</v>
      </c>
      <c r="H208" s="648"/>
      <c r="I208" s="673"/>
      <c r="J208" s="655">
        <f>'Date masura OD'!$I$5</f>
        <v>45778</v>
      </c>
      <c r="K208" s="656"/>
      <c r="L208" s="657"/>
      <c r="M208" s="720" t="s">
        <v>446</v>
      </c>
      <c r="N208" s="648"/>
      <c r="O208" s="648">
        <f>O205</f>
        <v>1</v>
      </c>
      <c r="P208" s="648"/>
      <c r="Q208" s="648"/>
      <c r="R208" s="647" t="str">
        <f>U199</f>
        <v>557093 (citit)</v>
      </c>
      <c r="S208" s="647"/>
      <c r="T208" s="647"/>
      <c r="U208" s="647" t="str">
        <f>ROUND(VLOOKUP(A208,'Incrementare indexe'!$D:$M,4,FALSE),2)&amp;" (estimat)"</f>
        <v>574807 (estimat)</v>
      </c>
      <c r="V208" s="647"/>
      <c r="W208" s="647"/>
      <c r="X208" s="647" t="str">
        <f>VLOOKUP(A208,'Incrementare indexe'!$D:$Q,11,FALSE)&amp;" (estimat)"</f>
        <v>17714 (estimat)</v>
      </c>
      <c r="Y208" s="647"/>
      <c r="Z208" s="647"/>
      <c r="AA208" s="647" t="s">
        <v>69</v>
      </c>
      <c r="AB208" s="647"/>
      <c r="AC208" s="647"/>
      <c r="AD208" s="647" t="s">
        <v>69</v>
      </c>
      <c r="AE208" s="647"/>
      <c r="AF208" s="647">
        <f>VLOOKUP(A208,'Incrementare indexe'!$D:$Q,11,FALSE)</f>
        <v>17714</v>
      </c>
      <c r="AG208" s="647"/>
      <c r="AH208" s="647"/>
      <c r="AI208" s="647">
        <f>J210-J208+1</f>
        <v>31</v>
      </c>
      <c r="AJ208" s="647"/>
      <c r="AK208" s="647">
        <f>ROUND(AF208/AI208,2)</f>
        <v>571.41999999999996</v>
      </c>
      <c r="AL208" s="647"/>
      <c r="AM208" s="647"/>
    </row>
    <row r="209" spans="1:39" ht="14.1" customHeight="1">
      <c r="A209" s="717"/>
      <c r="B209" s="718"/>
      <c r="C209" s="718"/>
      <c r="D209" s="718"/>
      <c r="E209" s="718"/>
      <c r="F209" s="719"/>
      <c r="G209" s="648"/>
      <c r="H209" s="648"/>
      <c r="I209" s="673"/>
      <c r="J209" s="717" t="s">
        <v>69</v>
      </c>
      <c r="K209" s="718"/>
      <c r="L209" s="719"/>
      <c r="M209" s="720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1"/>
      <c r="B210" s="682"/>
      <c r="C210" s="682"/>
      <c r="D210" s="682"/>
      <c r="E210" s="682"/>
      <c r="F210" s="683"/>
      <c r="G210" s="648"/>
      <c r="H210" s="648"/>
      <c r="I210" s="673"/>
      <c r="J210" s="714">
        <f>'Date masura OD'!$J$5</f>
        <v>45808</v>
      </c>
      <c r="K210" s="715"/>
      <c r="L210" s="716"/>
      <c r="M210" s="720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78">
        <f>A208</f>
        <v>1371511160</v>
      </c>
      <c r="B211" s="679"/>
      <c r="C211" s="679"/>
      <c r="D211" s="679"/>
      <c r="E211" s="679"/>
      <c r="F211" s="680"/>
      <c r="G211" s="648" t="s">
        <v>696</v>
      </c>
      <c r="H211" s="648"/>
      <c r="I211" s="648"/>
      <c r="J211" s="655">
        <f t="shared" ref="J211:J216" si="11">J208</f>
        <v>45778</v>
      </c>
      <c r="K211" s="656"/>
      <c r="L211" s="657"/>
      <c r="M211" s="648" t="s">
        <v>720</v>
      </c>
      <c r="N211" s="648"/>
      <c r="O211" s="648">
        <f>O208</f>
        <v>1</v>
      </c>
      <c r="P211" s="648"/>
      <c r="Q211" s="648"/>
      <c r="R211" s="647" t="str">
        <f>U202</f>
        <v>53993 (citit)</v>
      </c>
      <c r="S211" s="647"/>
      <c r="T211" s="647"/>
      <c r="U211" s="647" t="str">
        <f>VLOOKUP(A211,'Incrementare indexe'!$D:$M,8,FALSE)&amp;" (estimat)"</f>
        <v>53993 (estimat)</v>
      </c>
      <c r="V211" s="647"/>
      <c r="W211" s="647"/>
      <c r="X211" s="647" t="str">
        <f>VLOOKUP(A211,'Incrementare indexe'!$D:$Q,12,FALSE)&amp;" (estimat)"</f>
        <v>0 (estimat)</v>
      </c>
      <c r="Y211" s="647"/>
      <c r="Z211" s="647"/>
      <c r="AA211" s="647" t="s">
        <v>69</v>
      </c>
      <c r="AB211" s="647"/>
      <c r="AC211" s="647"/>
      <c r="AD211" s="647" t="s">
        <v>69</v>
      </c>
      <c r="AE211" s="647"/>
      <c r="AF211" s="647">
        <f>VLOOKUP(A211,'Incrementare indexe'!$D:$Q,12,FALSE)</f>
        <v>0</v>
      </c>
      <c r="AG211" s="647"/>
      <c r="AH211" s="647"/>
      <c r="AI211" s="647">
        <f>AI208</f>
        <v>31</v>
      </c>
      <c r="AJ211" s="647"/>
      <c r="AK211" s="647">
        <f>ROUND(AF211/AI211,2)</f>
        <v>0</v>
      </c>
      <c r="AL211" s="647"/>
      <c r="AM211" s="647"/>
    </row>
    <row r="212" spans="1:39" ht="14.1" customHeight="1">
      <c r="A212" s="717"/>
      <c r="B212" s="718"/>
      <c r="C212" s="718"/>
      <c r="D212" s="718"/>
      <c r="E212" s="718"/>
      <c r="F212" s="719"/>
      <c r="G212" s="648"/>
      <c r="H212" s="648"/>
      <c r="I212" s="648"/>
      <c r="J212" s="717" t="str">
        <f t="shared" si="11"/>
        <v>-</v>
      </c>
      <c r="K212" s="718"/>
      <c r="L212" s="719"/>
      <c r="M212" s="648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1"/>
      <c r="B213" s="682"/>
      <c r="C213" s="682"/>
      <c r="D213" s="682"/>
      <c r="E213" s="682"/>
      <c r="F213" s="683"/>
      <c r="G213" s="648"/>
      <c r="H213" s="648"/>
      <c r="I213" s="648"/>
      <c r="J213" s="714">
        <f t="shared" si="11"/>
        <v>45808</v>
      </c>
      <c r="K213" s="715"/>
      <c r="L213" s="716"/>
      <c r="M213" s="648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78">
        <f>A211</f>
        <v>1371511160</v>
      </c>
      <c r="B214" s="679"/>
      <c r="C214" s="679"/>
      <c r="D214" s="679"/>
      <c r="E214" s="679"/>
      <c r="F214" s="680"/>
      <c r="G214" s="648" t="s">
        <v>731</v>
      </c>
      <c r="H214" s="648"/>
      <c r="I214" s="648"/>
      <c r="J214" s="655">
        <f t="shared" si="11"/>
        <v>45778</v>
      </c>
      <c r="K214" s="656"/>
      <c r="L214" s="657"/>
      <c r="M214" s="648" t="s">
        <v>720</v>
      </c>
      <c r="N214" s="648"/>
      <c r="O214" s="648">
        <f>O211</f>
        <v>1</v>
      </c>
      <c r="P214" s="648"/>
      <c r="Q214" s="648"/>
      <c r="R214" s="647" t="str">
        <f>U205</f>
        <v>13610 (citit)</v>
      </c>
      <c r="S214" s="647"/>
      <c r="T214" s="647"/>
      <c r="U214" s="647" t="str">
        <f>VLOOKUP(A214,'Incrementare indexe'!$D:$M,10,FALSE)&amp;" (estimat)"</f>
        <v>13610 (estimat)</v>
      </c>
      <c r="V214" s="647"/>
      <c r="W214" s="647"/>
      <c r="X214" s="647" t="str">
        <f>VLOOKUP(A214,'Incrementare indexe'!$D:$Q,13,FALSE)&amp;" (estimat)"</f>
        <v>0 (estimat)</v>
      </c>
      <c r="Y214" s="647"/>
      <c r="Z214" s="647"/>
      <c r="AA214" s="647" t="s">
        <v>69</v>
      </c>
      <c r="AB214" s="647"/>
      <c r="AC214" s="647"/>
      <c r="AD214" s="647" t="s">
        <v>69</v>
      </c>
      <c r="AE214" s="647"/>
      <c r="AF214" s="647">
        <f>VLOOKUP(A214,'Incrementare indexe'!$D:$Q,13,FALSE)</f>
        <v>0</v>
      </c>
      <c r="AG214" s="647"/>
      <c r="AH214" s="647"/>
      <c r="AI214" s="647">
        <f>AI211</f>
        <v>31</v>
      </c>
      <c r="AJ214" s="647"/>
      <c r="AK214" s="647">
        <f>ROUND(AF214/AI214,2)</f>
        <v>0</v>
      </c>
      <c r="AL214" s="647"/>
      <c r="AM214" s="647"/>
    </row>
    <row r="215" spans="1:39" ht="14.1" customHeight="1">
      <c r="A215" s="717"/>
      <c r="B215" s="718"/>
      <c r="C215" s="718"/>
      <c r="D215" s="718"/>
      <c r="E215" s="718"/>
      <c r="F215" s="719"/>
      <c r="G215" s="648"/>
      <c r="H215" s="648"/>
      <c r="I215" s="648"/>
      <c r="J215" s="717" t="str">
        <f t="shared" si="11"/>
        <v>-</v>
      </c>
      <c r="K215" s="718"/>
      <c r="L215" s="719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1"/>
      <c r="B216" s="682"/>
      <c r="C216" s="682"/>
      <c r="D216" s="682"/>
      <c r="E216" s="682"/>
      <c r="F216" s="683"/>
      <c r="G216" s="648"/>
      <c r="H216" s="648"/>
      <c r="I216" s="648"/>
      <c r="J216" s="714">
        <f t="shared" si="11"/>
        <v>45808</v>
      </c>
      <c r="K216" s="715"/>
      <c r="L216" s="716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/>
    <row r="218" spans="1:39" ht="14.1" customHeight="1"/>
    <row r="219" spans="1:39" ht="14.1" customHeight="1"/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5.95" customHeight="1">
      <c r="A234" s="624" t="str">
        <f>A28</f>
        <v>DETALII FACTURA FACTURA FISCALA SERIA …........ NR …................. din date de ….......06.2025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24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24"/>
      <c r="AL234" s="624"/>
      <c r="AM234" s="624"/>
    </row>
    <row r="236" spans="1:39" ht="36" customHeight="1">
      <c r="A236" s="66" t="s">
        <v>721</v>
      </c>
      <c r="B236" s="648" t="s">
        <v>95</v>
      </c>
      <c r="C236" s="648"/>
      <c r="D236" s="648"/>
      <c r="E236" s="648"/>
      <c r="F236" s="648"/>
      <c r="G236" s="648"/>
      <c r="H236" s="648"/>
      <c r="I236" s="648"/>
      <c r="J236" s="648"/>
      <c r="K236" s="648"/>
      <c r="L236" s="64" t="s">
        <v>709</v>
      </c>
      <c r="M236" s="69"/>
      <c r="N236" s="69"/>
      <c r="O236" s="64"/>
      <c r="P236" s="69"/>
      <c r="Q236" s="69"/>
      <c r="R236" s="647" t="s">
        <v>722</v>
      </c>
      <c r="S236" s="647"/>
      <c r="T236" s="647"/>
      <c r="U236" s="647"/>
      <c r="V236" s="648" t="s">
        <v>519</v>
      </c>
      <c r="W236" s="648"/>
      <c r="X236" s="647" t="s">
        <v>723</v>
      </c>
      <c r="Y236" s="647"/>
      <c r="Z236" s="647"/>
      <c r="AA236" s="647"/>
      <c r="AB236" s="647" t="s">
        <v>724</v>
      </c>
      <c r="AC236" s="647"/>
      <c r="AD236" s="647"/>
      <c r="AE236" s="647"/>
      <c r="AF236" s="647" t="s">
        <v>725</v>
      </c>
      <c r="AG236" s="647"/>
      <c r="AH236" s="647"/>
      <c r="AI236" s="647"/>
      <c r="AJ236" s="647" t="s">
        <v>726</v>
      </c>
      <c r="AK236" s="647"/>
      <c r="AL236" s="647"/>
      <c r="AM236" s="647"/>
    </row>
    <row r="237" spans="1:39" ht="15.95" customHeight="1">
      <c r="A237" s="65">
        <v>1</v>
      </c>
      <c r="B237" s="699" t="s">
        <v>71</v>
      </c>
      <c r="C237" s="700"/>
      <c r="D237" s="700"/>
      <c r="E237" s="700"/>
      <c r="F237" s="700"/>
      <c r="G237" s="700"/>
      <c r="H237" s="700"/>
      <c r="I237" s="700"/>
      <c r="J237" s="700"/>
      <c r="K237" s="701"/>
      <c r="L237" s="763">
        <f>'Date masura OD'!$I$5</f>
        <v>45778</v>
      </c>
      <c r="M237" s="764"/>
      <c r="N237" s="765"/>
      <c r="O237" s="763">
        <f>'Date masura OD'!$J$5</f>
        <v>45808</v>
      </c>
      <c r="P237" s="764"/>
      <c r="Q237" s="765"/>
      <c r="R237" s="772" cm="1">
        <f t="array" ref="R237">INDEX(verificare!$AT$4:$CC$26,VLOOKUP($AA$16,verificare!$AR$4:$AS$26,2,FALSE),A237)</f>
        <v>189120</v>
      </c>
      <c r="S237" s="773"/>
      <c r="T237" s="773"/>
      <c r="U237" s="774"/>
      <c r="V237" s="724" t="s">
        <v>446</v>
      </c>
      <c r="W237" s="725"/>
      <c r="X237" s="691">
        <f>HLOOKUP(VLOOKUP($AA$16,'Date SPV'!$B:$F,5,FALSE),'Preturi si tarife'!$C$2:$J$39,A237+2,FALSE)</f>
        <v>0.59499999999999997</v>
      </c>
      <c r="Y237" s="692"/>
      <c r="Z237" s="692"/>
      <c r="AA237" s="693"/>
      <c r="AB237" s="772">
        <f>ROUND(X237*R237,2)</f>
        <v>112526.39999999999</v>
      </c>
      <c r="AC237" s="773"/>
      <c r="AD237" s="773"/>
      <c r="AE237" s="774"/>
      <c r="AF237" s="772">
        <f>ROUND(AB237*19%,2)</f>
        <v>21380.02</v>
      </c>
      <c r="AG237" s="773"/>
      <c r="AH237" s="773"/>
      <c r="AI237" s="774"/>
      <c r="AJ237" s="772">
        <f>AB237+AF237</f>
        <v>133906.41999999998</v>
      </c>
      <c r="AK237" s="773"/>
      <c r="AL237" s="773"/>
      <c r="AM237" s="774"/>
    </row>
    <row r="238" spans="1:39" ht="15.95" customHeight="1">
      <c r="A238" s="65">
        <f>A237+1</f>
        <v>2</v>
      </c>
      <c r="B238" s="699" t="s">
        <v>72</v>
      </c>
      <c r="C238" s="700"/>
      <c r="D238" s="700"/>
      <c r="E238" s="700"/>
      <c r="F238" s="700"/>
      <c r="G238" s="700"/>
      <c r="H238" s="700"/>
      <c r="I238" s="700"/>
      <c r="J238" s="700"/>
      <c r="K238" s="701"/>
      <c r="L238" s="763">
        <f>L237</f>
        <v>45778</v>
      </c>
      <c r="M238" s="764"/>
      <c r="N238" s="765"/>
      <c r="O238" s="763">
        <f>O237</f>
        <v>45808</v>
      </c>
      <c r="P238" s="764"/>
      <c r="Q238" s="765"/>
      <c r="R238" s="772" cm="1">
        <f t="array" ref="R238">INDEX(verificare!$AT$4:$CC$26,VLOOKUP($AA$16,verificare!$AR$4:$AS$26,2,FALSE),A238)</f>
        <v>0</v>
      </c>
      <c r="S238" s="773"/>
      <c r="T238" s="773"/>
      <c r="U238" s="774"/>
      <c r="V238" s="724" t="s">
        <v>727</v>
      </c>
      <c r="W238" s="725"/>
      <c r="X238" s="691">
        <f>HLOOKUP(VLOOKUP($AA$16,'Date SPV'!$B:$F,5,FALSE),'Preturi si tarife'!$C$2:$J$39,A238+2,FALSE)</f>
        <v>0.14660000000000001</v>
      </c>
      <c r="Y238" s="692"/>
      <c r="Z238" s="692"/>
      <c r="AA238" s="693"/>
      <c r="AB238" s="772">
        <f t="shared" ref="AB238:AB272" si="12">ROUND(X238*R238,2)</f>
        <v>0</v>
      </c>
      <c r="AC238" s="773"/>
      <c r="AD238" s="773"/>
      <c r="AE238" s="774"/>
      <c r="AF238" s="772">
        <f t="shared" ref="AF238:AF272" si="13">ROUND(AB238*19%,2)</f>
        <v>0</v>
      </c>
      <c r="AG238" s="773"/>
      <c r="AH238" s="773"/>
      <c r="AI238" s="774"/>
      <c r="AJ238" s="772">
        <f t="shared" ref="AJ238:AJ272" si="14">AB238+AF238</f>
        <v>0</v>
      </c>
      <c r="AK238" s="773"/>
      <c r="AL238" s="773"/>
      <c r="AM238" s="774"/>
    </row>
    <row r="239" spans="1:39" ht="15.95" customHeight="1">
      <c r="A239" s="65">
        <f t="shared" ref="A239:A274" si="15">A238+1</f>
        <v>3</v>
      </c>
      <c r="B239" s="699" t="s">
        <v>73</v>
      </c>
      <c r="C239" s="700"/>
      <c r="D239" s="700"/>
      <c r="E239" s="700"/>
      <c r="F239" s="700"/>
      <c r="G239" s="700"/>
      <c r="H239" s="700"/>
      <c r="I239" s="700"/>
      <c r="J239" s="700"/>
      <c r="K239" s="701"/>
      <c r="L239" s="763">
        <f t="shared" ref="L239:L247" si="16">L238</f>
        <v>45778</v>
      </c>
      <c r="M239" s="764"/>
      <c r="N239" s="765"/>
      <c r="O239" s="763">
        <f t="shared" ref="O239:O247" si="17">O238</f>
        <v>45808</v>
      </c>
      <c r="P239" s="764"/>
      <c r="Q239" s="765"/>
      <c r="R239" s="772" cm="1">
        <f t="array" ref="R239">INDEX(verificare!$AT$4:$CC$26,VLOOKUP($AA$16,verificare!$AR$4:$AS$26,2,FALSE),A239)</f>
        <v>0</v>
      </c>
      <c r="S239" s="773"/>
      <c r="T239" s="773"/>
      <c r="U239" s="774"/>
      <c r="V239" s="724" t="s">
        <v>727</v>
      </c>
      <c r="W239" s="725"/>
      <c r="X239" s="691">
        <f>HLOOKUP(VLOOKUP($AA$16,'Date SPV'!$B:$F,5,FALSE),'Preturi si tarife'!$C$2:$J$39,A239+2,FALSE)</f>
        <v>0.43980000000000002</v>
      </c>
      <c r="Y239" s="692"/>
      <c r="Z239" s="692"/>
      <c r="AA239" s="693"/>
      <c r="AB239" s="772">
        <f t="shared" si="12"/>
        <v>0</v>
      </c>
      <c r="AC239" s="773"/>
      <c r="AD239" s="773"/>
      <c r="AE239" s="774"/>
      <c r="AF239" s="772">
        <f t="shared" si="13"/>
        <v>0</v>
      </c>
      <c r="AG239" s="773"/>
      <c r="AH239" s="773"/>
      <c r="AI239" s="774"/>
      <c r="AJ239" s="772">
        <f t="shared" si="14"/>
        <v>0</v>
      </c>
      <c r="AK239" s="773"/>
      <c r="AL239" s="773"/>
      <c r="AM239" s="774"/>
    </row>
    <row r="240" spans="1:39" ht="15.95" customHeight="1">
      <c r="A240" s="65">
        <f t="shared" si="15"/>
        <v>4</v>
      </c>
      <c r="B240" s="699" t="s">
        <v>868</v>
      </c>
      <c r="C240" s="700"/>
      <c r="D240" s="700"/>
      <c r="E240" s="700"/>
      <c r="F240" s="700"/>
      <c r="G240" s="700"/>
      <c r="H240" s="700"/>
      <c r="I240" s="700"/>
      <c r="J240" s="700"/>
      <c r="K240" s="701"/>
      <c r="L240" s="763">
        <f t="shared" si="16"/>
        <v>45778</v>
      </c>
      <c r="M240" s="764"/>
      <c r="N240" s="765"/>
      <c r="O240" s="763">
        <f t="shared" si="17"/>
        <v>45808</v>
      </c>
      <c r="P240" s="764"/>
      <c r="Q240" s="765"/>
      <c r="R240" s="772" cm="1">
        <f t="array" ref="R240">INDEX(verificare!$AT$4:$CC$26,VLOOKUP($AA$16,verificare!$AR$4:$AS$26,2,FALSE),A240)</f>
        <v>189120</v>
      </c>
      <c r="S240" s="773"/>
      <c r="T240" s="773"/>
      <c r="U240" s="774"/>
      <c r="V240" s="724" t="s">
        <v>446</v>
      </c>
      <c r="W240" s="725"/>
      <c r="X240" s="691">
        <f>HLOOKUP(VLOOKUP($AA$16,'Date SPV'!$B:$F,5,FALSE),'Preturi si tarife'!$C$2:$J$39,A240+2,FALSE)</f>
        <v>8.6180000000000007E-2</v>
      </c>
      <c r="Y240" s="692"/>
      <c r="Z240" s="692"/>
      <c r="AA240" s="693"/>
      <c r="AB240" s="772">
        <f t="shared" si="12"/>
        <v>16298.36</v>
      </c>
      <c r="AC240" s="773"/>
      <c r="AD240" s="773"/>
      <c r="AE240" s="774"/>
      <c r="AF240" s="772">
        <f t="shared" si="13"/>
        <v>3096.69</v>
      </c>
      <c r="AG240" s="773"/>
      <c r="AH240" s="773"/>
      <c r="AI240" s="774"/>
      <c r="AJ240" s="772">
        <f t="shared" si="14"/>
        <v>19395.05</v>
      </c>
      <c r="AK240" s="773"/>
      <c r="AL240" s="773"/>
      <c r="AM240" s="774"/>
    </row>
    <row r="241" spans="1:39" ht="15.95" customHeight="1">
      <c r="A241" s="65">
        <f t="shared" si="15"/>
        <v>5</v>
      </c>
      <c r="B241" s="699" t="s">
        <v>757</v>
      </c>
      <c r="C241" s="700"/>
      <c r="D241" s="700"/>
      <c r="E241" s="700"/>
      <c r="F241" s="700"/>
      <c r="G241" s="700"/>
      <c r="H241" s="700"/>
      <c r="I241" s="700"/>
      <c r="J241" s="700"/>
      <c r="K241" s="701"/>
      <c r="L241" s="763">
        <f t="shared" si="16"/>
        <v>45778</v>
      </c>
      <c r="M241" s="764"/>
      <c r="N241" s="765"/>
      <c r="O241" s="763">
        <f t="shared" si="17"/>
        <v>45808</v>
      </c>
      <c r="P241" s="764"/>
      <c r="Q241" s="765"/>
      <c r="R241" s="772" cm="1">
        <f t="array" ref="R241">INDEX(verificare!$AT$4:$CC$26,VLOOKUP($AA$16,verificare!$AR$4:$AS$26,2,FALSE),A241)</f>
        <v>0</v>
      </c>
      <c r="S241" s="773"/>
      <c r="T241" s="773"/>
      <c r="U241" s="774"/>
      <c r="V241" s="724" t="s">
        <v>446</v>
      </c>
      <c r="W241" s="725"/>
      <c r="X241" s="691">
        <f>HLOOKUP(VLOOKUP($AA$16,'Date SPV'!$B:$F,5,FALSE),'Preturi si tarife'!$C$2:$J$39,A241+2,FALSE)</f>
        <v>0.2079</v>
      </c>
      <c r="Y241" s="692"/>
      <c r="Z241" s="692"/>
      <c r="AA241" s="693"/>
      <c r="AB241" s="772">
        <f t="shared" si="12"/>
        <v>0</v>
      </c>
      <c r="AC241" s="773"/>
      <c r="AD241" s="773"/>
      <c r="AE241" s="774"/>
      <c r="AF241" s="772">
        <f t="shared" si="13"/>
        <v>0</v>
      </c>
      <c r="AG241" s="773"/>
      <c r="AH241" s="773"/>
      <c r="AI241" s="774"/>
      <c r="AJ241" s="772">
        <f t="shared" si="14"/>
        <v>0</v>
      </c>
      <c r="AK241" s="773"/>
      <c r="AL241" s="773"/>
      <c r="AM241" s="774"/>
    </row>
    <row r="242" spans="1:39" ht="15.95" customHeight="1">
      <c r="A242" s="65">
        <f t="shared" si="15"/>
        <v>6</v>
      </c>
      <c r="B242" s="699" t="s">
        <v>74</v>
      </c>
      <c r="C242" s="700"/>
      <c r="D242" s="700"/>
      <c r="E242" s="700"/>
      <c r="F242" s="700"/>
      <c r="G242" s="700"/>
      <c r="H242" s="700"/>
      <c r="I242" s="700"/>
      <c r="J242" s="700"/>
      <c r="K242" s="701"/>
      <c r="L242" s="763">
        <f t="shared" si="16"/>
        <v>45778</v>
      </c>
      <c r="M242" s="764"/>
      <c r="N242" s="765"/>
      <c r="O242" s="763">
        <f t="shared" si="17"/>
        <v>45808</v>
      </c>
      <c r="P242" s="764"/>
      <c r="Q242" s="765"/>
      <c r="R242" s="772" cm="1">
        <f t="array" ref="R242">INDEX(verificare!$AT$4:$CC$26,VLOOKUP($AA$16,verificare!$AR$4:$AS$26,2,FALSE),A242)</f>
        <v>189120</v>
      </c>
      <c r="S242" s="773"/>
      <c r="T242" s="773"/>
      <c r="U242" s="774"/>
      <c r="V242" s="724" t="s">
        <v>446</v>
      </c>
      <c r="W242" s="725"/>
      <c r="X242" s="691">
        <f>HLOOKUP(VLOOKUP($AA$16,'Date SPV'!$B:$F,5,FALSE),'Preturi si tarife'!$C$2:$J$39,A242+2,FALSE)</f>
        <v>1.1509999999999999E-2</v>
      </c>
      <c r="Y242" s="692"/>
      <c r="Z242" s="692"/>
      <c r="AA242" s="693"/>
      <c r="AB242" s="772">
        <f t="shared" si="12"/>
        <v>2176.77</v>
      </c>
      <c r="AC242" s="773"/>
      <c r="AD242" s="773"/>
      <c r="AE242" s="774"/>
      <c r="AF242" s="772">
        <f t="shared" si="13"/>
        <v>413.59</v>
      </c>
      <c r="AG242" s="773"/>
      <c r="AH242" s="773"/>
      <c r="AI242" s="774"/>
      <c r="AJ242" s="772">
        <f t="shared" si="14"/>
        <v>2590.36</v>
      </c>
      <c r="AK242" s="773"/>
      <c r="AL242" s="773"/>
      <c r="AM242" s="774"/>
    </row>
    <row r="243" spans="1:39" ht="15.95" customHeight="1">
      <c r="A243" s="65">
        <f t="shared" si="15"/>
        <v>7</v>
      </c>
      <c r="B243" s="699" t="s">
        <v>75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63">
        <f t="shared" si="16"/>
        <v>45778</v>
      </c>
      <c r="M243" s="764"/>
      <c r="N243" s="765"/>
      <c r="O243" s="763">
        <f t="shared" si="17"/>
        <v>45808</v>
      </c>
      <c r="P243" s="764"/>
      <c r="Q243" s="765"/>
      <c r="R243" s="772" cm="1">
        <f t="array" ref="R243">INDEX(verificare!$AT$4:$CC$26,VLOOKUP($AA$16,verificare!$AR$4:$AS$26,2,FALSE),A243)</f>
        <v>189120</v>
      </c>
      <c r="S243" s="773"/>
      <c r="T243" s="773"/>
      <c r="U243" s="774"/>
      <c r="V243" s="724" t="s">
        <v>446</v>
      </c>
      <c r="W243" s="725"/>
      <c r="X243" s="691">
        <f>HLOOKUP(VLOOKUP($AA$16,'Date SPV'!$B:$F,5,FALSE),'Preturi si tarife'!$C$2:$J$39,A243+2,FALSE)</f>
        <v>3.3030000000000004E-2</v>
      </c>
      <c r="Y243" s="692"/>
      <c r="Z243" s="692"/>
      <c r="AA243" s="693"/>
      <c r="AB243" s="772">
        <f t="shared" si="12"/>
        <v>6246.63</v>
      </c>
      <c r="AC243" s="773"/>
      <c r="AD243" s="773"/>
      <c r="AE243" s="774"/>
      <c r="AF243" s="772">
        <f t="shared" si="13"/>
        <v>1186.8599999999999</v>
      </c>
      <c r="AG243" s="773"/>
      <c r="AH243" s="773"/>
      <c r="AI243" s="774"/>
      <c r="AJ243" s="772">
        <f t="shared" si="14"/>
        <v>7433.49</v>
      </c>
      <c r="AK243" s="773"/>
      <c r="AL243" s="773"/>
      <c r="AM243" s="774"/>
    </row>
    <row r="244" spans="1:39" ht="15.95" customHeight="1">
      <c r="A244" s="65">
        <f t="shared" si="15"/>
        <v>8</v>
      </c>
      <c r="B244" s="699" t="s">
        <v>76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63">
        <f t="shared" si="16"/>
        <v>45778</v>
      </c>
      <c r="M244" s="764"/>
      <c r="N244" s="765"/>
      <c r="O244" s="763">
        <f t="shared" si="17"/>
        <v>45808</v>
      </c>
      <c r="P244" s="764"/>
      <c r="Q244" s="765"/>
      <c r="R244" s="772" cm="1">
        <f t="array" ref="R244">INDEX(verificare!$AT$4:$CC$26,VLOOKUP($AA$16,verificare!$AR$4:$AS$26,2,FALSE),A244)</f>
        <v>189120</v>
      </c>
      <c r="S244" s="773"/>
      <c r="T244" s="773"/>
      <c r="U244" s="774"/>
      <c r="V244" s="724" t="s">
        <v>446</v>
      </c>
      <c r="W244" s="725"/>
      <c r="X244" s="691">
        <f>HLOOKUP(VLOOKUP($AA$16,'Date SPV'!$B:$F,5,FALSE),'Preturi si tarife'!$C$2:$J$39,A244+2,FALSE)</f>
        <v>3.29E-3</v>
      </c>
      <c r="Y244" s="692"/>
      <c r="Z244" s="692"/>
      <c r="AA244" s="693"/>
      <c r="AB244" s="772">
        <f t="shared" si="12"/>
        <v>622.20000000000005</v>
      </c>
      <c r="AC244" s="773"/>
      <c r="AD244" s="773"/>
      <c r="AE244" s="774"/>
      <c r="AF244" s="772">
        <f t="shared" si="13"/>
        <v>118.22</v>
      </c>
      <c r="AG244" s="773"/>
      <c r="AH244" s="773"/>
      <c r="AI244" s="774"/>
      <c r="AJ244" s="772">
        <f t="shared" si="14"/>
        <v>740.42000000000007</v>
      </c>
      <c r="AK244" s="773"/>
      <c r="AL244" s="773"/>
      <c r="AM244" s="774"/>
    </row>
    <row r="245" spans="1:39" ht="15.95" customHeight="1">
      <c r="A245" s="65">
        <f t="shared" si="15"/>
        <v>9</v>
      </c>
      <c r="B245" s="699" t="s">
        <v>77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63">
        <f t="shared" si="16"/>
        <v>45778</v>
      </c>
      <c r="M245" s="764"/>
      <c r="N245" s="765"/>
      <c r="O245" s="763">
        <f t="shared" si="17"/>
        <v>45808</v>
      </c>
      <c r="P245" s="764"/>
      <c r="Q245" s="765"/>
      <c r="R245" s="772" cm="1">
        <f t="array" ref="R245">INDEX(verificare!$AT$4:$CC$26,VLOOKUP($AA$16,verificare!$AR$4:$AS$26,2,FALSE),A245)</f>
        <v>189120</v>
      </c>
      <c r="S245" s="773"/>
      <c r="T245" s="773"/>
      <c r="U245" s="774"/>
      <c r="V245" s="724" t="s">
        <v>446</v>
      </c>
      <c r="W245" s="725"/>
      <c r="X245" s="691">
        <f>HLOOKUP(VLOOKUP($AA$16,'Date SPV'!$B:$F,5,FALSE),'Preturi si tarife'!$C$2:$J$39,A245+2,FALSE)</f>
        <v>3.5000000000000001E-3</v>
      </c>
      <c r="Y245" s="692"/>
      <c r="Z245" s="692"/>
      <c r="AA245" s="693"/>
      <c r="AB245" s="772">
        <f t="shared" si="12"/>
        <v>661.92</v>
      </c>
      <c r="AC245" s="773"/>
      <c r="AD245" s="773"/>
      <c r="AE245" s="774"/>
      <c r="AF245" s="772">
        <f t="shared" si="13"/>
        <v>125.76</v>
      </c>
      <c r="AG245" s="773"/>
      <c r="AH245" s="773"/>
      <c r="AI245" s="774"/>
      <c r="AJ245" s="772">
        <f t="shared" si="14"/>
        <v>787.68</v>
      </c>
      <c r="AK245" s="773"/>
      <c r="AL245" s="773"/>
      <c r="AM245" s="774"/>
    </row>
    <row r="246" spans="1:39" ht="15.95" customHeight="1">
      <c r="A246" s="65">
        <f t="shared" si="15"/>
        <v>10</v>
      </c>
      <c r="B246" s="699" t="s">
        <v>78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63">
        <f t="shared" si="16"/>
        <v>45778</v>
      </c>
      <c r="M246" s="764"/>
      <c r="N246" s="765"/>
      <c r="O246" s="763">
        <f t="shared" si="17"/>
        <v>45808</v>
      </c>
      <c r="P246" s="764"/>
      <c r="Q246" s="765"/>
      <c r="R246" s="772" cm="1">
        <f t="array" ref="R246">INDEX(verificare!$AT$4:$CC$26,VLOOKUP($AA$16,verificare!$AR$4:$AS$26,2,FALSE),A246)</f>
        <v>189120</v>
      </c>
      <c r="S246" s="773"/>
      <c r="T246" s="773"/>
      <c r="U246" s="774"/>
      <c r="V246" s="724" t="s">
        <v>446</v>
      </c>
      <c r="W246" s="725"/>
      <c r="X246" s="691">
        <f>HLOOKUP(VLOOKUP($AA$16,'Date SPV'!$B:$F,5,FALSE),'Preturi si tarife'!$C$2:$J$39,A246+2,FALSE)</f>
        <v>7.2541599999999998E-2</v>
      </c>
      <c r="Y246" s="692"/>
      <c r="Z246" s="692"/>
      <c r="AA246" s="693"/>
      <c r="AB246" s="772">
        <f t="shared" si="12"/>
        <v>13719.07</v>
      </c>
      <c r="AC246" s="773"/>
      <c r="AD246" s="773"/>
      <c r="AE246" s="774"/>
      <c r="AF246" s="772">
        <f t="shared" si="13"/>
        <v>2606.62</v>
      </c>
      <c r="AG246" s="773"/>
      <c r="AH246" s="773"/>
      <c r="AI246" s="774"/>
      <c r="AJ246" s="772">
        <f t="shared" si="14"/>
        <v>16325.689999999999</v>
      </c>
      <c r="AK246" s="773"/>
      <c r="AL246" s="773"/>
      <c r="AM246" s="774"/>
    </row>
    <row r="247" spans="1:39" ht="15.95" customHeight="1">
      <c r="A247" s="65">
        <f t="shared" si="15"/>
        <v>11</v>
      </c>
      <c r="B247" s="699" t="s">
        <v>1313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63">
        <f t="shared" si="16"/>
        <v>45778</v>
      </c>
      <c r="M247" s="764"/>
      <c r="N247" s="765"/>
      <c r="O247" s="763">
        <f t="shared" si="17"/>
        <v>45808</v>
      </c>
      <c r="P247" s="764"/>
      <c r="Q247" s="765"/>
      <c r="R247" s="772" cm="1">
        <f t="array" ref="R247">INDEX(verificare!$AT$4:$CC$26,VLOOKUP($AA$16,verificare!$AR$4:$AS$26,2,FALSE),A247)</f>
        <v>189120</v>
      </c>
      <c r="S247" s="773"/>
      <c r="T247" s="773"/>
      <c r="U247" s="774"/>
      <c r="V247" s="724" t="s">
        <v>446</v>
      </c>
      <c r="W247" s="725"/>
      <c r="X247" s="691">
        <f>HLOOKUP(VLOOKUP($AA$16,'Date SPV'!$B:$F,5,FALSE),'Preturi si tarife'!$C$2:$J$39,A247+2,FALSE)</f>
        <v>2.0599999999999999E-4</v>
      </c>
      <c r="Y247" s="692"/>
      <c r="Z247" s="692"/>
      <c r="AA247" s="693"/>
      <c r="AB247" s="772">
        <f t="shared" si="12"/>
        <v>38.96</v>
      </c>
      <c r="AC247" s="773"/>
      <c r="AD247" s="773"/>
      <c r="AE247" s="774"/>
      <c r="AF247" s="772">
        <f t="shared" si="13"/>
        <v>7.4</v>
      </c>
      <c r="AG247" s="773"/>
      <c r="AH247" s="773"/>
      <c r="AI247" s="774"/>
      <c r="AJ247" s="772">
        <f t="shared" si="14"/>
        <v>46.36</v>
      </c>
      <c r="AK247" s="773"/>
      <c r="AL247" s="773"/>
      <c r="AM247" s="774"/>
    </row>
    <row r="248" spans="1:39" ht="15.95" customHeight="1">
      <c r="A248" s="65">
        <f t="shared" si="15"/>
        <v>12</v>
      </c>
      <c r="B248" s="699" t="s">
        <v>79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63">
        <f>L246</f>
        <v>45778</v>
      </c>
      <c r="M248" s="764"/>
      <c r="N248" s="765"/>
      <c r="O248" s="763">
        <f>O246</f>
        <v>45808</v>
      </c>
      <c r="P248" s="764"/>
      <c r="Q248" s="765"/>
      <c r="R248" s="772" cm="1">
        <f t="array" ref="R248">INDEX(verificare!$AT$4:$CC$26,VLOOKUP($AA$16,verificare!$AR$4:$AS$26,2,FALSE),A248)</f>
        <v>189120</v>
      </c>
      <c r="S248" s="773"/>
      <c r="T248" s="773"/>
      <c r="U248" s="774"/>
      <c r="V248" s="724" t="s">
        <v>446</v>
      </c>
      <c r="W248" s="725"/>
      <c r="X248" s="691">
        <f>HLOOKUP(VLOOKUP($AA$16,'Date SPV'!$B:$F,5,FALSE),'Preturi si tarife'!$C$2:$J$39,A248+2,FALSE)</f>
        <v>0</v>
      </c>
      <c r="Y248" s="692"/>
      <c r="Z248" s="692"/>
      <c r="AA248" s="693"/>
      <c r="AB248" s="772">
        <f t="shared" si="12"/>
        <v>0</v>
      </c>
      <c r="AC248" s="773"/>
      <c r="AD248" s="773"/>
      <c r="AE248" s="774"/>
      <c r="AF248" s="772">
        <f t="shared" si="13"/>
        <v>0</v>
      </c>
      <c r="AG248" s="773"/>
      <c r="AH248" s="773"/>
      <c r="AI248" s="774"/>
      <c r="AJ248" s="772">
        <f t="shared" si="14"/>
        <v>0</v>
      </c>
      <c r="AK248" s="773"/>
      <c r="AL248" s="773"/>
      <c r="AM248" s="774"/>
    </row>
    <row r="249" spans="1:39" ht="15.95" customHeight="1">
      <c r="A249" s="65">
        <f t="shared" si="15"/>
        <v>13</v>
      </c>
      <c r="B249" s="699" t="s">
        <v>80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63">
        <f t="shared" ref="L249:L254" si="18">L248</f>
        <v>45778</v>
      </c>
      <c r="M249" s="764"/>
      <c r="N249" s="765"/>
      <c r="O249" s="763">
        <f t="shared" ref="O249:O254" si="19">O248</f>
        <v>45808</v>
      </c>
      <c r="P249" s="764"/>
      <c r="Q249" s="765"/>
      <c r="R249" s="772" cm="1">
        <f t="array" ref="R249">INDEX(verificare!$AT$4:$CC$26,VLOOKUP($AA$16,verificare!$AR$4:$AS$26,2,FALSE),A249)</f>
        <v>189120</v>
      </c>
      <c r="S249" s="773"/>
      <c r="T249" s="773"/>
      <c r="U249" s="774"/>
      <c r="V249" s="724" t="s">
        <v>446</v>
      </c>
      <c r="W249" s="725"/>
      <c r="X249" s="691">
        <f>HLOOKUP(VLOOKUP($AA$16,'Date SPV'!$B:$F,5,FALSE),'Preturi si tarife'!$C$2:$J$39,A249+2,FALSE)</f>
        <v>1.1300000000000001E-2</v>
      </c>
      <c r="Y249" s="692"/>
      <c r="Z249" s="692"/>
      <c r="AA249" s="693"/>
      <c r="AB249" s="772">
        <f t="shared" si="12"/>
        <v>2137.06</v>
      </c>
      <c r="AC249" s="773"/>
      <c r="AD249" s="773"/>
      <c r="AE249" s="774"/>
      <c r="AF249" s="772">
        <f t="shared" si="13"/>
        <v>406.04</v>
      </c>
      <c r="AG249" s="773"/>
      <c r="AH249" s="773"/>
      <c r="AI249" s="774"/>
      <c r="AJ249" s="772">
        <f t="shared" si="14"/>
        <v>2543.1</v>
      </c>
      <c r="AK249" s="773"/>
      <c r="AL249" s="773"/>
      <c r="AM249" s="774"/>
    </row>
    <row r="250" spans="1:39" ht="15.95" customHeight="1">
      <c r="A250" s="65">
        <f t="shared" si="15"/>
        <v>14</v>
      </c>
      <c r="B250" s="699" t="s">
        <v>81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63">
        <f t="shared" si="18"/>
        <v>45778</v>
      </c>
      <c r="M250" s="764"/>
      <c r="N250" s="765"/>
      <c r="O250" s="763">
        <f t="shared" si="19"/>
        <v>45808</v>
      </c>
      <c r="P250" s="764"/>
      <c r="Q250" s="765"/>
      <c r="R250" s="772" cm="1">
        <f t="array" ref="R250">INDEX(verificare!$AT$4:$CC$26,VLOOKUP($AA$16,verificare!$AR$4:$AS$26,2,FALSE),A250)</f>
        <v>189120</v>
      </c>
      <c r="S250" s="773"/>
      <c r="T250" s="773"/>
      <c r="U250" s="774"/>
      <c r="V250" s="724" t="s">
        <v>446</v>
      </c>
      <c r="W250" s="725"/>
      <c r="X250" s="691">
        <f>HLOOKUP(VLOOKUP($AA$16,'Date SPV'!$B:$F,5,FALSE),'Preturi si tarife'!$C$2:$J$39,A250+2,FALSE)</f>
        <v>8.4099999999999994E-2</v>
      </c>
      <c r="Y250" s="692"/>
      <c r="Z250" s="692"/>
      <c r="AA250" s="693"/>
      <c r="AB250" s="772">
        <f t="shared" si="12"/>
        <v>15904.99</v>
      </c>
      <c r="AC250" s="773"/>
      <c r="AD250" s="773"/>
      <c r="AE250" s="774"/>
      <c r="AF250" s="772">
        <f t="shared" si="13"/>
        <v>3021.95</v>
      </c>
      <c r="AG250" s="773"/>
      <c r="AH250" s="773"/>
      <c r="AI250" s="774"/>
      <c r="AJ250" s="772">
        <f t="shared" si="14"/>
        <v>18926.939999999999</v>
      </c>
      <c r="AK250" s="773"/>
      <c r="AL250" s="773"/>
      <c r="AM250" s="774"/>
    </row>
    <row r="251" spans="1:39" ht="15.95" customHeight="1">
      <c r="A251" s="65">
        <f t="shared" si="15"/>
        <v>15</v>
      </c>
      <c r="B251" s="699" t="s">
        <v>82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63">
        <f t="shared" si="18"/>
        <v>45778</v>
      </c>
      <c r="M251" s="764"/>
      <c r="N251" s="765"/>
      <c r="O251" s="763">
        <f t="shared" si="19"/>
        <v>45808</v>
      </c>
      <c r="P251" s="764"/>
      <c r="Q251" s="765"/>
      <c r="R251" s="772" cm="1">
        <f t="array" ref="R251">INDEX(verificare!$AT$4:$CC$26,VLOOKUP($AA$16,verificare!$AR$4:$AS$26,2,FALSE),A251)</f>
        <v>138160</v>
      </c>
      <c r="S251" s="773"/>
      <c r="T251" s="773"/>
      <c r="U251" s="774"/>
      <c r="V251" s="724" t="s">
        <v>446</v>
      </c>
      <c r="W251" s="725"/>
      <c r="X251" s="691">
        <f>HLOOKUP(VLOOKUP($AA$16,'Date SPV'!$B:$F,5,FALSE),'Preturi si tarife'!$C$2:$J$39,A251+2,FALSE)</f>
        <v>0.90065760000000006</v>
      </c>
      <c r="Y251" s="692"/>
      <c r="Z251" s="692"/>
      <c r="AA251" s="693"/>
      <c r="AB251" s="772">
        <f t="shared" si="12"/>
        <v>124434.85</v>
      </c>
      <c r="AC251" s="773"/>
      <c r="AD251" s="773"/>
      <c r="AE251" s="774"/>
      <c r="AF251" s="772">
        <f t="shared" si="13"/>
        <v>23642.62</v>
      </c>
      <c r="AG251" s="773"/>
      <c r="AH251" s="773"/>
      <c r="AI251" s="774"/>
      <c r="AJ251" s="772">
        <f t="shared" si="14"/>
        <v>148077.47</v>
      </c>
      <c r="AK251" s="773"/>
      <c r="AL251" s="773"/>
      <c r="AM251" s="774"/>
    </row>
    <row r="252" spans="1:39" ht="15.95" customHeight="1">
      <c r="A252" s="65">
        <f t="shared" si="15"/>
        <v>16</v>
      </c>
      <c r="B252" s="699" t="s">
        <v>83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63">
        <f t="shared" si="18"/>
        <v>45778</v>
      </c>
      <c r="M252" s="764"/>
      <c r="N252" s="765"/>
      <c r="O252" s="763">
        <f t="shared" si="19"/>
        <v>45808</v>
      </c>
      <c r="P252" s="764"/>
      <c r="Q252" s="765"/>
      <c r="R252" s="772" cm="1">
        <f t="array" ref="R252">INDEX(verificare!$AT$4:$CC$26,VLOOKUP($AA$16,verificare!$AR$4:$AS$26,2,FALSE),A252)</f>
        <v>3742</v>
      </c>
      <c r="S252" s="773"/>
      <c r="T252" s="773"/>
      <c r="U252" s="774"/>
      <c r="V252" s="724" t="s">
        <v>446</v>
      </c>
      <c r="W252" s="725"/>
      <c r="X252" s="691">
        <f>HLOOKUP(VLOOKUP($AA$16,'Date SPV'!$B:$F,5,FALSE),'Preturi si tarife'!$C$2:$J$39,A252+2,FALSE)</f>
        <v>0.80525760000000002</v>
      </c>
      <c r="Y252" s="692"/>
      <c r="Z252" s="692"/>
      <c r="AA252" s="693"/>
      <c r="AB252" s="772">
        <f t="shared" si="12"/>
        <v>3013.27</v>
      </c>
      <c r="AC252" s="773"/>
      <c r="AD252" s="773"/>
      <c r="AE252" s="774"/>
      <c r="AF252" s="772">
        <f t="shared" si="13"/>
        <v>572.52</v>
      </c>
      <c r="AG252" s="773"/>
      <c r="AH252" s="773"/>
      <c r="AI252" s="774"/>
      <c r="AJ252" s="772">
        <f t="shared" si="14"/>
        <v>3585.79</v>
      </c>
      <c r="AK252" s="773"/>
      <c r="AL252" s="773"/>
      <c r="AM252" s="774"/>
    </row>
    <row r="253" spans="1:39" ht="15.95" customHeight="1">
      <c r="A253" s="65">
        <f t="shared" si="15"/>
        <v>17</v>
      </c>
      <c r="B253" s="699" t="s">
        <v>1129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63">
        <f t="shared" si="18"/>
        <v>45778</v>
      </c>
      <c r="M253" s="764"/>
      <c r="N253" s="765"/>
      <c r="O253" s="763">
        <f t="shared" si="19"/>
        <v>45808</v>
      </c>
      <c r="P253" s="764"/>
      <c r="Q253" s="765"/>
      <c r="R253" s="772" cm="1">
        <f t="array" ref="R253">INDEX(verificare!$AT$4:$CC$26,VLOOKUP($AA$16,verificare!$AR$4:$AS$26,2,FALSE),A253)</f>
        <v>3742</v>
      </c>
      <c r="S253" s="773"/>
      <c r="T253" s="773"/>
      <c r="U253" s="774"/>
      <c r="V253" s="724" t="s">
        <v>446</v>
      </c>
      <c r="W253" s="725"/>
      <c r="X253" s="691">
        <f>HLOOKUP(VLOOKUP($AA$16,'Date SPV'!$B:$F,5,FALSE),'Preturi si tarife'!$C$2:$J$39,A253+2,FALSE)</f>
        <v>1.1300000000000001E-2</v>
      </c>
      <c r="Y253" s="692"/>
      <c r="Z253" s="692"/>
      <c r="AA253" s="693"/>
      <c r="AB253" s="772">
        <f t="shared" si="12"/>
        <v>42.28</v>
      </c>
      <c r="AC253" s="773"/>
      <c r="AD253" s="773"/>
      <c r="AE253" s="774"/>
      <c r="AF253" s="772">
        <f t="shared" si="13"/>
        <v>8.0299999999999994</v>
      </c>
      <c r="AG253" s="773"/>
      <c r="AH253" s="773"/>
      <c r="AI253" s="774"/>
      <c r="AJ253" s="772">
        <f t="shared" si="14"/>
        <v>50.31</v>
      </c>
      <c r="AK253" s="773"/>
      <c r="AL253" s="773"/>
      <c r="AM253" s="774"/>
    </row>
    <row r="254" spans="1:39" ht="15.95" customHeight="1">
      <c r="A254" s="65">
        <f t="shared" si="15"/>
        <v>18</v>
      </c>
      <c r="B254" s="699" t="s">
        <v>1130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63">
        <f t="shared" si="18"/>
        <v>45778</v>
      </c>
      <c r="M254" s="764"/>
      <c r="N254" s="765"/>
      <c r="O254" s="763">
        <f t="shared" si="19"/>
        <v>45808</v>
      </c>
      <c r="P254" s="764"/>
      <c r="Q254" s="765"/>
      <c r="R254" s="772" cm="1">
        <f t="array" ref="R254">INDEX(verificare!$AT$4:$CC$26,VLOOKUP($AA$16,verificare!$AR$4:$AS$26,2,FALSE),A254)</f>
        <v>3742</v>
      </c>
      <c r="S254" s="773"/>
      <c r="T254" s="773"/>
      <c r="U254" s="774"/>
      <c r="V254" s="724" t="s">
        <v>446</v>
      </c>
      <c r="W254" s="725"/>
      <c r="X254" s="691">
        <f>HLOOKUP(VLOOKUP($AA$16,'Date SPV'!$B:$F,5,FALSE),'Preturi si tarife'!$C$2:$J$39,A254+2,FALSE)</f>
        <v>8.4099999999999994E-2</v>
      </c>
      <c r="Y254" s="692"/>
      <c r="Z254" s="692"/>
      <c r="AA254" s="693"/>
      <c r="AB254" s="772">
        <f t="shared" si="12"/>
        <v>314.7</v>
      </c>
      <c r="AC254" s="773"/>
      <c r="AD254" s="773"/>
      <c r="AE254" s="774"/>
      <c r="AF254" s="772">
        <f t="shared" si="13"/>
        <v>59.79</v>
      </c>
      <c r="AG254" s="773"/>
      <c r="AH254" s="773"/>
      <c r="AI254" s="774"/>
      <c r="AJ254" s="772">
        <f t="shared" si="14"/>
        <v>374.49</v>
      </c>
      <c r="AK254" s="773"/>
      <c r="AL254" s="773"/>
      <c r="AM254" s="774"/>
    </row>
    <row r="255" spans="1:39" ht="15.95" customHeight="1">
      <c r="A255" s="65">
        <f t="shared" si="15"/>
        <v>19</v>
      </c>
      <c r="B255" s="699" t="s">
        <v>99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63">
        <f>'Date masura OD'!$W$5</f>
        <v>45748</v>
      </c>
      <c r="M255" s="764"/>
      <c r="N255" s="765"/>
      <c r="O255" s="763">
        <f>'Date masura OD'!$X$5</f>
        <v>45777</v>
      </c>
      <c r="P255" s="764"/>
      <c r="Q255" s="765"/>
      <c r="R255" s="772" cm="1">
        <f t="array" ref="R255">INDEX(verificare!$AT$4:$CC$26,VLOOKUP($AA$16,verificare!$AR$4:$AS$26,2,FALSE),A255)</f>
        <v>0</v>
      </c>
      <c r="S255" s="773"/>
      <c r="T255" s="773"/>
      <c r="U255" s="774"/>
      <c r="V255" s="724" t="s">
        <v>446</v>
      </c>
      <c r="W255" s="725"/>
      <c r="X255" s="691">
        <f>HLOOKUP(VLOOKUP($AA$16,'Date SPV'!$B:$F,5,FALSE),'Preturi si tarife'!$C$2:$J$39,A255+2,FALSE)</f>
        <v>0.59499999999999997</v>
      </c>
      <c r="Y255" s="692"/>
      <c r="Z255" s="692"/>
      <c r="AA255" s="693"/>
      <c r="AB255" s="772">
        <f t="shared" si="12"/>
        <v>0</v>
      </c>
      <c r="AC255" s="773"/>
      <c r="AD255" s="773"/>
      <c r="AE255" s="774"/>
      <c r="AF255" s="772">
        <f t="shared" si="13"/>
        <v>0</v>
      </c>
      <c r="AG255" s="773"/>
      <c r="AH255" s="773"/>
      <c r="AI255" s="774"/>
      <c r="AJ255" s="772">
        <f t="shared" si="14"/>
        <v>0</v>
      </c>
      <c r="AK255" s="773"/>
      <c r="AL255" s="773"/>
      <c r="AM255" s="774"/>
    </row>
    <row r="256" spans="1:39" ht="15.95" customHeight="1">
      <c r="A256" s="65">
        <f t="shared" si="15"/>
        <v>20</v>
      </c>
      <c r="B256" s="699" t="s">
        <v>100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63">
        <f>L255</f>
        <v>45748</v>
      </c>
      <c r="M256" s="764"/>
      <c r="N256" s="765"/>
      <c r="O256" s="763">
        <f t="shared" ref="O256:O265" si="20">O255</f>
        <v>45777</v>
      </c>
      <c r="P256" s="764"/>
      <c r="Q256" s="765"/>
      <c r="R256" s="772" cm="1">
        <f t="array" ref="R256">INDEX(verificare!$AT$4:$CC$26,VLOOKUP($AA$16,verificare!$AR$4:$AS$26,2,FALSE),A256)</f>
        <v>0</v>
      </c>
      <c r="S256" s="773"/>
      <c r="T256" s="773"/>
      <c r="U256" s="774"/>
      <c r="V256" s="724" t="s">
        <v>727</v>
      </c>
      <c r="W256" s="725"/>
      <c r="X256" s="691">
        <f>HLOOKUP(VLOOKUP($AA$16,'Date SPV'!$B:$F,5,FALSE),'Preturi si tarife'!$C$2:$J$39,A256+2,FALSE)</f>
        <v>0.14660000000000001</v>
      </c>
      <c r="Y256" s="692"/>
      <c r="Z256" s="692"/>
      <c r="AA256" s="693"/>
      <c r="AB256" s="772">
        <f t="shared" si="12"/>
        <v>0</v>
      </c>
      <c r="AC256" s="773"/>
      <c r="AD256" s="773"/>
      <c r="AE256" s="774"/>
      <c r="AF256" s="772">
        <f t="shared" si="13"/>
        <v>0</v>
      </c>
      <c r="AG256" s="773"/>
      <c r="AH256" s="773"/>
      <c r="AI256" s="774"/>
      <c r="AJ256" s="772">
        <f t="shared" si="14"/>
        <v>0</v>
      </c>
      <c r="AK256" s="773"/>
      <c r="AL256" s="773"/>
      <c r="AM256" s="774"/>
    </row>
    <row r="257" spans="1:39" ht="30.95" customHeight="1">
      <c r="A257" s="65">
        <f t="shared" si="15"/>
        <v>21</v>
      </c>
      <c r="B257" s="699" t="s">
        <v>101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63">
        <f t="shared" ref="L257:L265" si="21">L256</f>
        <v>45748</v>
      </c>
      <c r="M257" s="764"/>
      <c r="N257" s="765"/>
      <c r="O257" s="763">
        <f t="shared" si="20"/>
        <v>45777</v>
      </c>
      <c r="P257" s="764"/>
      <c r="Q257" s="765"/>
      <c r="R257" s="772" cm="1">
        <f t="array" ref="R257">INDEX(verificare!$AT$4:$CC$26,VLOOKUP($AA$16,verificare!$AR$4:$AS$26,2,FALSE),A257)</f>
        <v>0</v>
      </c>
      <c r="S257" s="773"/>
      <c r="T257" s="773"/>
      <c r="U257" s="774"/>
      <c r="V257" s="724" t="s">
        <v>727</v>
      </c>
      <c r="W257" s="725"/>
      <c r="X257" s="691">
        <f>HLOOKUP(VLOOKUP($AA$16,'Date SPV'!$B:$F,5,FALSE),'Preturi si tarife'!$C$2:$J$39,A257+2,FALSE)</f>
        <v>0.43980000000000002</v>
      </c>
      <c r="Y257" s="692"/>
      <c r="Z257" s="692"/>
      <c r="AA257" s="693"/>
      <c r="AB257" s="772">
        <f t="shared" si="12"/>
        <v>0</v>
      </c>
      <c r="AC257" s="773"/>
      <c r="AD257" s="773"/>
      <c r="AE257" s="774"/>
      <c r="AF257" s="772">
        <f t="shared" si="13"/>
        <v>0</v>
      </c>
      <c r="AG257" s="773"/>
      <c r="AH257" s="773"/>
      <c r="AI257" s="774"/>
      <c r="AJ257" s="772">
        <f t="shared" si="14"/>
        <v>0</v>
      </c>
      <c r="AK257" s="773"/>
      <c r="AL257" s="773"/>
      <c r="AM257" s="774"/>
    </row>
    <row r="258" spans="1:39" ht="15.95" customHeight="1">
      <c r="A258" s="65">
        <f t="shared" si="15"/>
        <v>22</v>
      </c>
      <c r="B258" s="699" t="s">
        <v>869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63">
        <f t="shared" si="21"/>
        <v>45748</v>
      </c>
      <c r="M258" s="764"/>
      <c r="N258" s="765"/>
      <c r="O258" s="763">
        <f t="shared" si="20"/>
        <v>45777</v>
      </c>
      <c r="P258" s="764"/>
      <c r="Q258" s="765"/>
      <c r="R258" s="772" cm="1">
        <f t="array" ref="R258">INDEX(verificare!$AT$4:$CC$26,VLOOKUP($AA$16,verificare!$AR$4:$AS$26,2,FALSE),A258)</f>
        <v>0</v>
      </c>
      <c r="S258" s="773"/>
      <c r="T258" s="773"/>
      <c r="U258" s="774"/>
      <c r="V258" s="724" t="s">
        <v>446</v>
      </c>
      <c r="W258" s="725"/>
      <c r="X258" s="691">
        <f>HLOOKUP(VLOOKUP($AA$16,'Date SPV'!$B:$F,5,FALSE),'Preturi si tarife'!$C$2:$J$39,A258+2,FALSE)</f>
        <v>8.6180000000000007E-2</v>
      </c>
      <c r="Y258" s="692"/>
      <c r="Z258" s="692"/>
      <c r="AA258" s="693"/>
      <c r="AB258" s="772">
        <f t="shared" si="12"/>
        <v>0</v>
      </c>
      <c r="AC258" s="773"/>
      <c r="AD258" s="773"/>
      <c r="AE258" s="774"/>
      <c r="AF258" s="772">
        <f t="shared" si="13"/>
        <v>0</v>
      </c>
      <c r="AG258" s="773"/>
      <c r="AH258" s="773"/>
      <c r="AI258" s="774"/>
      <c r="AJ258" s="772">
        <f t="shared" si="14"/>
        <v>0</v>
      </c>
      <c r="AK258" s="773"/>
      <c r="AL258" s="773"/>
      <c r="AM258" s="774"/>
    </row>
    <row r="259" spans="1:39" ht="15.95" customHeight="1">
      <c r="A259" s="65">
        <f t="shared" si="15"/>
        <v>23</v>
      </c>
      <c r="B259" s="699" t="s">
        <v>758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63">
        <f t="shared" si="21"/>
        <v>45748</v>
      </c>
      <c r="M259" s="764"/>
      <c r="N259" s="765"/>
      <c r="O259" s="763">
        <f t="shared" si="20"/>
        <v>45777</v>
      </c>
      <c r="P259" s="764"/>
      <c r="Q259" s="765"/>
      <c r="R259" s="772" cm="1">
        <f t="array" ref="R259">INDEX(verificare!$AT$4:$CC$26,VLOOKUP($AA$16,verificare!$AR$4:$AS$26,2,FALSE),A259)</f>
        <v>0</v>
      </c>
      <c r="S259" s="773"/>
      <c r="T259" s="773"/>
      <c r="U259" s="774"/>
      <c r="V259" s="724" t="s">
        <v>446</v>
      </c>
      <c r="W259" s="725"/>
      <c r="X259" s="691">
        <f>HLOOKUP(VLOOKUP($AA$16,'Date SPV'!$B:$F,5,FALSE),'Preturi si tarife'!$C$2:$J$39,A259+2,FALSE)</f>
        <v>0.2079</v>
      </c>
      <c r="Y259" s="692"/>
      <c r="Z259" s="692"/>
      <c r="AA259" s="693"/>
      <c r="AB259" s="772">
        <f t="shared" si="12"/>
        <v>0</v>
      </c>
      <c r="AC259" s="773"/>
      <c r="AD259" s="773"/>
      <c r="AE259" s="774"/>
      <c r="AF259" s="772">
        <f t="shared" si="13"/>
        <v>0</v>
      </c>
      <c r="AG259" s="773"/>
      <c r="AH259" s="773"/>
      <c r="AI259" s="774"/>
      <c r="AJ259" s="772">
        <f t="shared" si="14"/>
        <v>0</v>
      </c>
      <c r="AK259" s="773"/>
      <c r="AL259" s="773"/>
      <c r="AM259" s="774"/>
    </row>
    <row r="260" spans="1:39" ht="30.95" customHeight="1">
      <c r="A260" s="65">
        <f t="shared" si="15"/>
        <v>24</v>
      </c>
      <c r="B260" s="699" t="s">
        <v>102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63">
        <f t="shared" si="21"/>
        <v>45748</v>
      </c>
      <c r="M260" s="764"/>
      <c r="N260" s="765"/>
      <c r="O260" s="763">
        <f t="shared" si="20"/>
        <v>45777</v>
      </c>
      <c r="P260" s="764"/>
      <c r="Q260" s="765"/>
      <c r="R260" s="772" cm="1">
        <f t="array" ref="R260">INDEX(verificare!$AT$4:$CC$26,VLOOKUP($AA$16,verificare!$AR$4:$AS$26,2,FALSE),A260)</f>
        <v>0</v>
      </c>
      <c r="S260" s="773"/>
      <c r="T260" s="773"/>
      <c r="U260" s="774"/>
      <c r="V260" s="724" t="s">
        <v>446</v>
      </c>
      <c r="W260" s="725"/>
      <c r="X260" s="691">
        <f>HLOOKUP(VLOOKUP($AA$16,'Date SPV'!$B:$F,5,FALSE),'Preturi si tarife'!$C$2:$J$39,A260+2,FALSE)</f>
        <v>1.1509999999999999E-2</v>
      </c>
      <c r="Y260" s="692"/>
      <c r="Z260" s="692"/>
      <c r="AA260" s="693"/>
      <c r="AB260" s="772">
        <f t="shared" si="12"/>
        <v>0</v>
      </c>
      <c r="AC260" s="773"/>
      <c r="AD260" s="773"/>
      <c r="AE260" s="774"/>
      <c r="AF260" s="772">
        <f t="shared" si="13"/>
        <v>0</v>
      </c>
      <c r="AG260" s="773"/>
      <c r="AH260" s="773"/>
      <c r="AI260" s="774"/>
      <c r="AJ260" s="772">
        <f t="shared" si="14"/>
        <v>0</v>
      </c>
      <c r="AK260" s="773"/>
      <c r="AL260" s="773"/>
      <c r="AM260" s="774"/>
    </row>
    <row r="261" spans="1:39" ht="30.95" customHeight="1">
      <c r="A261" s="65">
        <f t="shared" si="15"/>
        <v>25</v>
      </c>
      <c r="B261" s="699" t="s">
        <v>103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63">
        <f t="shared" si="21"/>
        <v>45748</v>
      </c>
      <c r="M261" s="764"/>
      <c r="N261" s="765"/>
      <c r="O261" s="763">
        <f t="shared" si="20"/>
        <v>45777</v>
      </c>
      <c r="P261" s="764"/>
      <c r="Q261" s="765"/>
      <c r="R261" s="772" cm="1">
        <f t="array" ref="R261">INDEX(verificare!$AT$4:$CC$26,VLOOKUP($AA$16,verificare!$AR$4:$AS$26,2,FALSE),A261)</f>
        <v>0</v>
      </c>
      <c r="S261" s="773"/>
      <c r="T261" s="773"/>
      <c r="U261" s="774"/>
      <c r="V261" s="724" t="s">
        <v>446</v>
      </c>
      <c r="W261" s="725"/>
      <c r="X261" s="691">
        <f>HLOOKUP(VLOOKUP($AA$16,'Date SPV'!$B:$F,5,FALSE),'Preturi si tarife'!$C$2:$J$39,A261+2,FALSE)</f>
        <v>3.3030000000000004E-2</v>
      </c>
      <c r="Y261" s="692"/>
      <c r="Z261" s="692"/>
      <c r="AA261" s="693"/>
      <c r="AB261" s="772">
        <f t="shared" si="12"/>
        <v>0</v>
      </c>
      <c r="AC261" s="773"/>
      <c r="AD261" s="773"/>
      <c r="AE261" s="774"/>
      <c r="AF261" s="772">
        <f t="shared" si="13"/>
        <v>0</v>
      </c>
      <c r="AG261" s="773"/>
      <c r="AH261" s="773"/>
      <c r="AI261" s="774"/>
      <c r="AJ261" s="772">
        <f t="shared" si="14"/>
        <v>0</v>
      </c>
      <c r="AK261" s="773"/>
      <c r="AL261" s="773"/>
      <c r="AM261" s="774"/>
    </row>
    <row r="262" spans="1:39" ht="30.95" customHeight="1">
      <c r="A262" s="65">
        <f t="shared" si="15"/>
        <v>26</v>
      </c>
      <c r="B262" s="699" t="s">
        <v>104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63">
        <f t="shared" si="21"/>
        <v>45748</v>
      </c>
      <c r="M262" s="764"/>
      <c r="N262" s="765"/>
      <c r="O262" s="763">
        <f t="shared" si="20"/>
        <v>45777</v>
      </c>
      <c r="P262" s="764"/>
      <c r="Q262" s="765"/>
      <c r="R262" s="772" cm="1">
        <f t="array" ref="R262">INDEX(verificare!$AT$4:$CC$26,VLOOKUP($AA$16,verificare!$AR$4:$AS$26,2,FALSE),A262)</f>
        <v>0</v>
      </c>
      <c r="S262" s="773"/>
      <c r="T262" s="773"/>
      <c r="U262" s="774"/>
      <c r="V262" s="724" t="s">
        <v>446</v>
      </c>
      <c r="W262" s="725"/>
      <c r="X262" s="691">
        <f>HLOOKUP(VLOOKUP($AA$16,'Date SPV'!$B:$F,5,FALSE),'Preturi si tarife'!$C$2:$J$39,A262+2,FALSE)</f>
        <v>3.29E-3</v>
      </c>
      <c r="Y262" s="692"/>
      <c r="Z262" s="692"/>
      <c r="AA262" s="693"/>
      <c r="AB262" s="772">
        <f t="shared" si="12"/>
        <v>0</v>
      </c>
      <c r="AC262" s="773"/>
      <c r="AD262" s="773"/>
      <c r="AE262" s="774"/>
      <c r="AF262" s="772">
        <f t="shared" si="13"/>
        <v>0</v>
      </c>
      <c r="AG262" s="773"/>
      <c r="AH262" s="773"/>
      <c r="AI262" s="774"/>
      <c r="AJ262" s="772">
        <f t="shared" si="14"/>
        <v>0</v>
      </c>
      <c r="AK262" s="773"/>
      <c r="AL262" s="773"/>
      <c r="AM262" s="774"/>
    </row>
    <row r="263" spans="1:39" ht="15.95" customHeight="1">
      <c r="A263" s="65">
        <f t="shared" si="15"/>
        <v>27</v>
      </c>
      <c r="B263" s="699" t="s">
        <v>105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63">
        <f t="shared" si="21"/>
        <v>45748</v>
      </c>
      <c r="M263" s="764"/>
      <c r="N263" s="765"/>
      <c r="O263" s="763">
        <f t="shared" si="20"/>
        <v>45777</v>
      </c>
      <c r="P263" s="764"/>
      <c r="Q263" s="765"/>
      <c r="R263" s="772" cm="1">
        <f t="array" ref="R263">INDEX(verificare!$AT$4:$CC$26,VLOOKUP($AA$16,verificare!$AR$4:$AS$26,2,FALSE),A263)</f>
        <v>0</v>
      </c>
      <c r="S263" s="773"/>
      <c r="T263" s="773"/>
      <c r="U263" s="774"/>
      <c r="V263" s="724" t="s">
        <v>446</v>
      </c>
      <c r="W263" s="725"/>
      <c r="X263" s="691">
        <f>HLOOKUP(VLOOKUP($AA$16,'Date SPV'!$B:$F,5,FALSE),'Preturi si tarife'!$C$2:$J$39,A263+2,FALSE)</f>
        <v>3.5000000000000001E-3</v>
      </c>
      <c r="Y263" s="692"/>
      <c r="Z263" s="692"/>
      <c r="AA263" s="693"/>
      <c r="AB263" s="772">
        <f t="shared" si="12"/>
        <v>0</v>
      </c>
      <c r="AC263" s="773"/>
      <c r="AD263" s="773"/>
      <c r="AE263" s="774"/>
      <c r="AF263" s="772">
        <f t="shared" si="13"/>
        <v>0</v>
      </c>
      <c r="AG263" s="773"/>
      <c r="AH263" s="773"/>
      <c r="AI263" s="774"/>
      <c r="AJ263" s="772">
        <f t="shared" si="14"/>
        <v>0</v>
      </c>
      <c r="AK263" s="773"/>
      <c r="AL263" s="773"/>
      <c r="AM263" s="774"/>
    </row>
    <row r="264" spans="1:39" ht="15.95" customHeight="1">
      <c r="A264" s="65">
        <f t="shared" si="15"/>
        <v>28</v>
      </c>
      <c r="B264" s="699" t="s">
        <v>106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63">
        <f t="shared" si="21"/>
        <v>45748</v>
      </c>
      <c r="M264" s="764"/>
      <c r="N264" s="765"/>
      <c r="O264" s="763">
        <f t="shared" si="20"/>
        <v>45777</v>
      </c>
      <c r="P264" s="764"/>
      <c r="Q264" s="765"/>
      <c r="R264" s="772" cm="1">
        <f t="array" ref="R264">INDEX(verificare!$AT$4:$CC$26,VLOOKUP($AA$16,verificare!$AR$4:$AS$26,2,FALSE),A264)</f>
        <v>0</v>
      </c>
      <c r="S264" s="773"/>
      <c r="T264" s="773"/>
      <c r="U264" s="774"/>
      <c r="V264" s="724" t="s">
        <v>446</v>
      </c>
      <c r="W264" s="725"/>
      <c r="X264" s="691">
        <f>HLOOKUP(VLOOKUP($AA$16,'Date SPV'!$B:$F,5,FALSE),'Preturi si tarife'!$C$2:$J$39,A264+2,FALSE)</f>
        <v>7.2541599999999998E-2</v>
      </c>
      <c r="Y264" s="692"/>
      <c r="Z264" s="692"/>
      <c r="AA264" s="693"/>
      <c r="AB264" s="772">
        <f t="shared" si="12"/>
        <v>0</v>
      </c>
      <c r="AC264" s="773"/>
      <c r="AD264" s="773"/>
      <c r="AE264" s="774"/>
      <c r="AF264" s="772">
        <f t="shared" si="13"/>
        <v>0</v>
      </c>
      <c r="AG264" s="773"/>
      <c r="AH264" s="773"/>
      <c r="AI264" s="774"/>
      <c r="AJ264" s="772">
        <f t="shared" si="14"/>
        <v>0</v>
      </c>
      <c r="AK264" s="773"/>
      <c r="AL264" s="773"/>
      <c r="AM264" s="774"/>
    </row>
    <row r="265" spans="1:39" ht="30.95" customHeight="1">
      <c r="A265" s="65">
        <f t="shared" si="15"/>
        <v>29</v>
      </c>
      <c r="B265" s="699" t="s">
        <v>1316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63">
        <f t="shared" si="21"/>
        <v>45748</v>
      </c>
      <c r="M265" s="764"/>
      <c r="N265" s="765"/>
      <c r="O265" s="763">
        <f t="shared" si="20"/>
        <v>45777</v>
      </c>
      <c r="P265" s="764"/>
      <c r="Q265" s="765"/>
      <c r="R265" s="772" cm="1">
        <f t="array" ref="R265">INDEX(verificare!$AT$4:$CC$26,VLOOKUP($AA$16,verificare!$AR$4:$AS$26,2,FALSE),A265)</f>
        <v>0</v>
      </c>
      <c r="S265" s="773"/>
      <c r="T265" s="773"/>
      <c r="U265" s="774"/>
      <c r="V265" s="724" t="s">
        <v>446</v>
      </c>
      <c r="W265" s="725"/>
      <c r="X265" s="691">
        <f>HLOOKUP(VLOOKUP($AA$16,'Date SPV'!$B:$F,5,FALSE),'Preturi si tarife'!$C$2:$J$39,A265+2,FALSE)</f>
        <v>2.0599999999999999E-4</v>
      </c>
      <c r="Y265" s="692"/>
      <c r="Z265" s="692"/>
      <c r="AA265" s="693"/>
      <c r="AB265" s="772">
        <f t="shared" si="12"/>
        <v>0</v>
      </c>
      <c r="AC265" s="773"/>
      <c r="AD265" s="773"/>
      <c r="AE265" s="774"/>
      <c r="AF265" s="772">
        <f t="shared" si="13"/>
        <v>0</v>
      </c>
      <c r="AG265" s="773"/>
      <c r="AH265" s="773"/>
      <c r="AI265" s="774"/>
      <c r="AJ265" s="772">
        <f t="shared" si="14"/>
        <v>0</v>
      </c>
      <c r="AK265" s="773"/>
      <c r="AL265" s="773"/>
      <c r="AM265" s="774"/>
    </row>
    <row r="266" spans="1:39" ht="30.95" customHeight="1">
      <c r="A266" s="65">
        <f t="shared" si="15"/>
        <v>30</v>
      </c>
      <c r="B266" s="699" t="s">
        <v>107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63">
        <f>L264</f>
        <v>45748</v>
      </c>
      <c r="M266" s="764"/>
      <c r="N266" s="765"/>
      <c r="O266" s="763">
        <f>O264</f>
        <v>45777</v>
      </c>
      <c r="P266" s="764"/>
      <c r="Q266" s="765"/>
      <c r="R266" s="772" cm="1">
        <f t="array" ref="R266">INDEX(verificare!$AT$4:$CC$26,VLOOKUP($AA$16,verificare!$AR$4:$AS$26,2,FALSE),A266)</f>
        <v>0</v>
      </c>
      <c r="S266" s="773"/>
      <c r="T266" s="773"/>
      <c r="U266" s="774"/>
      <c r="V266" s="724" t="s">
        <v>446</v>
      </c>
      <c r="W266" s="725"/>
      <c r="X266" s="691">
        <f>HLOOKUP(VLOOKUP($AA$16,'Date SPV'!$B:$F,5,FALSE),'Preturi si tarife'!$C$2:$J$39,A266+2,FALSE)</f>
        <v>0</v>
      </c>
      <c r="Y266" s="692"/>
      <c r="Z266" s="692"/>
      <c r="AA266" s="693"/>
      <c r="AB266" s="772">
        <f t="shared" si="12"/>
        <v>0</v>
      </c>
      <c r="AC266" s="773"/>
      <c r="AD266" s="773"/>
      <c r="AE266" s="774"/>
      <c r="AF266" s="772">
        <f t="shared" si="13"/>
        <v>0</v>
      </c>
      <c r="AG266" s="773"/>
      <c r="AH266" s="773"/>
      <c r="AI266" s="774"/>
      <c r="AJ266" s="772">
        <f t="shared" si="14"/>
        <v>0</v>
      </c>
      <c r="AK266" s="773"/>
      <c r="AL266" s="773"/>
      <c r="AM266" s="774"/>
    </row>
    <row r="267" spans="1:39" ht="15.95" customHeight="1">
      <c r="A267" s="65">
        <f t="shared" si="15"/>
        <v>31</v>
      </c>
      <c r="B267" s="699" t="s">
        <v>108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63">
        <f t="shared" ref="L267:L272" si="22">L266</f>
        <v>45748</v>
      </c>
      <c r="M267" s="764"/>
      <c r="N267" s="765"/>
      <c r="O267" s="763">
        <f t="shared" ref="O267:O272" si="23">O266</f>
        <v>45777</v>
      </c>
      <c r="P267" s="764"/>
      <c r="Q267" s="765"/>
      <c r="R267" s="772" cm="1">
        <f t="array" ref="R267">INDEX(verificare!$AT$4:$CC$26,VLOOKUP($AA$16,verificare!$AR$4:$AS$26,2,FALSE),A267)</f>
        <v>0</v>
      </c>
      <c r="S267" s="773"/>
      <c r="T267" s="773"/>
      <c r="U267" s="774"/>
      <c r="V267" s="724" t="s">
        <v>446</v>
      </c>
      <c r="W267" s="725"/>
      <c r="X267" s="691">
        <f>HLOOKUP(VLOOKUP($AA$16,'Date SPV'!$B:$F,5,FALSE),'Preturi si tarife'!$C$2:$J$39,A267+2,FALSE)</f>
        <v>1.1300000000000001E-2</v>
      </c>
      <c r="Y267" s="692"/>
      <c r="Z267" s="692"/>
      <c r="AA267" s="693"/>
      <c r="AB267" s="772">
        <f t="shared" si="12"/>
        <v>0</v>
      </c>
      <c r="AC267" s="773"/>
      <c r="AD267" s="773"/>
      <c r="AE267" s="774"/>
      <c r="AF267" s="772">
        <f t="shared" si="13"/>
        <v>0</v>
      </c>
      <c r="AG267" s="773"/>
      <c r="AH267" s="773"/>
      <c r="AI267" s="774"/>
      <c r="AJ267" s="772">
        <f t="shared" si="14"/>
        <v>0</v>
      </c>
      <c r="AK267" s="773"/>
      <c r="AL267" s="773"/>
      <c r="AM267" s="774"/>
    </row>
    <row r="268" spans="1:39" ht="15.95" customHeight="1">
      <c r="A268" s="65">
        <f t="shared" si="15"/>
        <v>32</v>
      </c>
      <c r="B268" s="699" t="s">
        <v>109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63">
        <f t="shared" si="22"/>
        <v>45748</v>
      </c>
      <c r="M268" s="764"/>
      <c r="N268" s="765"/>
      <c r="O268" s="763">
        <f t="shared" si="23"/>
        <v>45777</v>
      </c>
      <c r="P268" s="764"/>
      <c r="Q268" s="765"/>
      <c r="R268" s="772" cm="1">
        <f t="array" ref="R268">INDEX(verificare!$AT$4:$CC$26,VLOOKUP($AA$16,verificare!$AR$4:$AS$26,2,FALSE),A268)</f>
        <v>0</v>
      </c>
      <c r="S268" s="773"/>
      <c r="T268" s="773"/>
      <c r="U268" s="774"/>
      <c r="V268" s="724" t="s">
        <v>446</v>
      </c>
      <c r="W268" s="725"/>
      <c r="X268" s="691">
        <f>HLOOKUP(VLOOKUP($AA$16,'Date SPV'!$B:$F,5,FALSE),'Preturi si tarife'!$C$2:$J$39,A268+2,FALSE)</f>
        <v>8.4099999999999994E-2</v>
      </c>
      <c r="Y268" s="692"/>
      <c r="Z268" s="692"/>
      <c r="AA268" s="693"/>
      <c r="AB268" s="772">
        <f t="shared" si="12"/>
        <v>0</v>
      </c>
      <c r="AC268" s="773"/>
      <c r="AD268" s="773"/>
      <c r="AE268" s="774"/>
      <c r="AF268" s="772">
        <f t="shared" si="13"/>
        <v>0</v>
      </c>
      <c r="AG268" s="773"/>
      <c r="AH268" s="773"/>
      <c r="AI268" s="774"/>
      <c r="AJ268" s="772">
        <f t="shared" si="14"/>
        <v>0</v>
      </c>
      <c r="AK268" s="773"/>
      <c r="AL268" s="773"/>
      <c r="AM268" s="774"/>
    </row>
    <row r="269" spans="1:39" ht="30.95" customHeight="1">
      <c r="A269" s="65">
        <f t="shared" si="15"/>
        <v>33</v>
      </c>
      <c r="B269" s="699" t="s">
        <v>110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63">
        <f t="shared" si="22"/>
        <v>45748</v>
      </c>
      <c r="M269" s="764"/>
      <c r="N269" s="765"/>
      <c r="O269" s="763">
        <f t="shared" si="23"/>
        <v>45777</v>
      </c>
      <c r="P269" s="764"/>
      <c r="Q269" s="765"/>
      <c r="R269" s="772" cm="1">
        <f t="array" ref="R269">INDEX(verificare!$AT$4:$CC$26,VLOOKUP($AA$16,verificare!$AR$4:$AS$26,2,FALSE),A269)</f>
        <v>0</v>
      </c>
      <c r="S269" s="773"/>
      <c r="T269" s="773"/>
      <c r="U269" s="774"/>
      <c r="V269" s="724" t="s">
        <v>446</v>
      </c>
      <c r="W269" s="725"/>
      <c r="X269" s="691">
        <f>HLOOKUP(VLOOKUP($AA$16,'Date SPV'!$B:$F,5,FALSE),'Preturi si tarife'!$C$2:$J$39,A269+2,FALSE)</f>
        <v>0.90065760000000006</v>
      </c>
      <c r="Y269" s="692"/>
      <c r="Z269" s="692"/>
      <c r="AA269" s="693"/>
      <c r="AB269" s="772">
        <f t="shared" si="12"/>
        <v>0</v>
      </c>
      <c r="AC269" s="773"/>
      <c r="AD269" s="773"/>
      <c r="AE269" s="774"/>
      <c r="AF269" s="772">
        <f t="shared" si="13"/>
        <v>0</v>
      </c>
      <c r="AG269" s="773"/>
      <c r="AH269" s="773"/>
      <c r="AI269" s="774"/>
      <c r="AJ269" s="772">
        <f t="shared" si="14"/>
        <v>0</v>
      </c>
      <c r="AK269" s="773"/>
      <c r="AL269" s="773"/>
      <c r="AM269" s="774"/>
    </row>
    <row r="270" spans="1:39" ht="30.95" customHeight="1">
      <c r="A270" s="65">
        <f t="shared" si="15"/>
        <v>34</v>
      </c>
      <c r="B270" s="699" t="s">
        <v>111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63">
        <f t="shared" si="22"/>
        <v>45748</v>
      </c>
      <c r="M270" s="764"/>
      <c r="N270" s="765"/>
      <c r="O270" s="763">
        <f t="shared" si="23"/>
        <v>45777</v>
      </c>
      <c r="P270" s="764"/>
      <c r="Q270" s="765"/>
      <c r="R270" s="772" cm="1">
        <f t="array" ref="R270">INDEX(verificare!$AT$4:$CC$26,VLOOKUP($AA$16,verificare!$AR$4:$AS$26,2,FALSE),A270)</f>
        <v>0</v>
      </c>
      <c r="S270" s="773"/>
      <c r="T270" s="773"/>
      <c r="U270" s="774"/>
      <c r="V270" s="724" t="s">
        <v>446</v>
      </c>
      <c r="W270" s="725"/>
      <c r="X270" s="691">
        <f>HLOOKUP(VLOOKUP($AA$16,'Date SPV'!$B:$F,5,FALSE),'Preturi si tarife'!$C$2:$J$39,A270+2,FALSE)</f>
        <v>0.80525760000000002</v>
      </c>
      <c r="Y270" s="692"/>
      <c r="Z270" s="692"/>
      <c r="AA270" s="693"/>
      <c r="AB270" s="772">
        <f t="shared" si="12"/>
        <v>0</v>
      </c>
      <c r="AC270" s="773"/>
      <c r="AD270" s="773"/>
      <c r="AE270" s="774"/>
      <c r="AF270" s="772">
        <f t="shared" si="13"/>
        <v>0</v>
      </c>
      <c r="AG270" s="773"/>
      <c r="AH270" s="773"/>
      <c r="AI270" s="774"/>
      <c r="AJ270" s="772">
        <f t="shared" si="14"/>
        <v>0</v>
      </c>
      <c r="AK270" s="773"/>
      <c r="AL270" s="773"/>
      <c r="AM270" s="774"/>
    </row>
    <row r="271" spans="1:39" ht="15.95" customHeight="1">
      <c r="A271" s="65">
        <f t="shared" si="15"/>
        <v>35</v>
      </c>
      <c r="B271" s="699" t="s">
        <v>112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63">
        <f t="shared" si="22"/>
        <v>45748</v>
      </c>
      <c r="M271" s="764"/>
      <c r="N271" s="765"/>
      <c r="O271" s="763">
        <f t="shared" si="23"/>
        <v>45777</v>
      </c>
      <c r="P271" s="764"/>
      <c r="Q271" s="765"/>
      <c r="R271" s="772" cm="1">
        <f t="array" ref="R271">INDEX(verificare!$AT$4:$CC$26,VLOOKUP($AA$16,verificare!$AR$4:$AS$26,2,FALSE),A271)</f>
        <v>0</v>
      </c>
      <c r="S271" s="773"/>
      <c r="T271" s="773"/>
      <c r="U271" s="774"/>
      <c r="V271" s="724" t="s">
        <v>446</v>
      </c>
      <c r="W271" s="725"/>
      <c r="X271" s="691">
        <f>HLOOKUP(VLOOKUP($AA$16,'Date SPV'!$B:$F,5,FALSE),'Preturi si tarife'!$C$2:$J$39,A271+2,FALSE)</f>
        <v>1.1300000000000001E-2</v>
      </c>
      <c r="Y271" s="692"/>
      <c r="Z271" s="692"/>
      <c r="AA271" s="693"/>
      <c r="AB271" s="772">
        <f t="shared" si="12"/>
        <v>0</v>
      </c>
      <c r="AC271" s="773"/>
      <c r="AD271" s="773"/>
      <c r="AE271" s="774"/>
      <c r="AF271" s="772">
        <f t="shared" si="13"/>
        <v>0</v>
      </c>
      <c r="AG271" s="773"/>
      <c r="AH271" s="773"/>
      <c r="AI271" s="774"/>
      <c r="AJ271" s="772">
        <f t="shared" si="14"/>
        <v>0</v>
      </c>
      <c r="AK271" s="773"/>
      <c r="AL271" s="773"/>
      <c r="AM271" s="774"/>
    </row>
    <row r="272" spans="1:39" ht="15.95" customHeight="1">
      <c r="A272" s="65">
        <f t="shared" si="15"/>
        <v>36</v>
      </c>
      <c r="B272" s="699" t="s">
        <v>113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63">
        <f t="shared" si="22"/>
        <v>45748</v>
      </c>
      <c r="M272" s="764"/>
      <c r="N272" s="765"/>
      <c r="O272" s="763">
        <f t="shared" si="23"/>
        <v>45777</v>
      </c>
      <c r="P272" s="764"/>
      <c r="Q272" s="765"/>
      <c r="R272" s="772" cm="1">
        <f t="array" ref="R272">INDEX(verificare!$AT$4:$CC$26,VLOOKUP($AA$16,verificare!$AR$4:$AS$26,2,FALSE),A272)</f>
        <v>0</v>
      </c>
      <c r="S272" s="773"/>
      <c r="T272" s="773"/>
      <c r="U272" s="774"/>
      <c r="V272" s="724" t="s">
        <v>446</v>
      </c>
      <c r="W272" s="725"/>
      <c r="X272" s="691">
        <f>HLOOKUP(VLOOKUP($AA$16,'Date SPV'!$B:$F,5,FALSE),'Preturi si tarife'!$C$2:$J$39,A272+2,FALSE)</f>
        <v>8.4099999999999994E-2</v>
      </c>
      <c r="Y272" s="692"/>
      <c r="Z272" s="692"/>
      <c r="AA272" s="693"/>
      <c r="AB272" s="772">
        <f t="shared" si="12"/>
        <v>0</v>
      </c>
      <c r="AC272" s="773"/>
      <c r="AD272" s="773"/>
      <c r="AE272" s="774"/>
      <c r="AF272" s="772">
        <f t="shared" si="13"/>
        <v>0</v>
      </c>
      <c r="AG272" s="773"/>
      <c r="AH272" s="773"/>
      <c r="AI272" s="774"/>
      <c r="AJ272" s="772">
        <f t="shared" si="14"/>
        <v>0</v>
      </c>
      <c r="AK272" s="773"/>
      <c r="AL272" s="773"/>
      <c r="AM272" s="774"/>
    </row>
    <row r="273" spans="1:39" ht="15.95" customHeight="1">
      <c r="A273" s="65">
        <f t="shared" si="15"/>
        <v>37</v>
      </c>
      <c r="B273" s="699" t="s">
        <v>728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63" t="s">
        <v>69</v>
      </c>
      <c r="M273" s="764"/>
      <c r="N273" s="765"/>
      <c r="O273" s="763" t="s">
        <v>69</v>
      </c>
      <c r="P273" s="764"/>
      <c r="Q273" s="765"/>
      <c r="R273" s="766">
        <v>0</v>
      </c>
      <c r="S273" s="767"/>
      <c r="T273" s="767"/>
      <c r="U273" s="768"/>
      <c r="V273" s="724" t="s">
        <v>69</v>
      </c>
      <c r="W273" s="725"/>
      <c r="X273" s="691" t="s">
        <v>69</v>
      </c>
      <c r="Y273" s="692"/>
      <c r="Z273" s="692"/>
      <c r="AA273" s="693"/>
      <c r="AB273" s="766">
        <v>0</v>
      </c>
      <c r="AC273" s="767"/>
      <c r="AD273" s="767"/>
      <c r="AE273" s="768"/>
      <c r="AF273" s="766">
        <f>ROUND(AB273*19%,2)</f>
        <v>0</v>
      </c>
      <c r="AG273" s="767"/>
      <c r="AH273" s="767"/>
      <c r="AI273" s="768"/>
      <c r="AJ273" s="766">
        <f>AB273+AF273</f>
        <v>0</v>
      </c>
      <c r="AK273" s="767"/>
      <c r="AL273" s="767"/>
      <c r="AM273" s="768"/>
    </row>
    <row r="274" spans="1:39" ht="15.95" customHeight="1">
      <c r="A274" s="65">
        <f t="shared" si="15"/>
        <v>38</v>
      </c>
      <c r="B274" s="699" t="s">
        <v>729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63" t="s">
        <v>69</v>
      </c>
      <c r="M274" s="764"/>
      <c r="N274" s="765"/>
      <c r="O274" s="763" t="s">
        <v>69</v>
      </c>
      <c r="P274" s="764"/>
      <c r="Q274" s="765"/>
      <c r="R274" s="766">
        <v>0</v>
      </c>
      <c r="S274" s="767"/>
      <c r="T274" s="767"/>
      <c r="U274" s="768"/>
      <c r="V274" s="724" t="s">
        <v>69</v>
      </c>
      <c r="W274" s="725"/>
      <c r="X274" s="691" t="s">
        <v>69</v>
      </c>
      <c r="Y274" s="692"/>
      <c r="Z274" s="692"/>
      <c r="AA274" s="693"/>
      <c r="AB274" s="769">
        <f>SUM(AB237:AE273)</f>
        <v>298137.46000000008</v>
      </c>
      <c r="AC274" s="770"/>
      <c r="AD274" s="770"/>
      <c r="AE274" s="771"/>
      <c r="AF274" s="769">
        <f>SUM(AF237:AI273)</f>
        <v>56646.11</v>
      </c>
      <c r="AG274" s="770"/>
      <c r="AH274" s="770"/>
      <c r="AI274" s="771"/>
      <c r="AJ274" s="769">
        <f>SUM(AJ237:AM273)</f>
        <v>354783.56999999995</v>
      </c>
      <c r="AK274" s="770"/>
      <c r="AL274" s="770"/>
      <c r="AM274" s="771"/>
    </row>
  </sheetData>
  <mergeCells count="1092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I65:AJ67"/>
    <mergeCell ref="AK65:AM67"/>
    <mergeCell ref="J66:L66"/>
    <mergeCell ref="J67:L67"/>
    <mergeCell ref="AI81:AM81"/>
    <mergeCell ref="R65:T67"/>
    <mergeCell ref="U65:W67"/>
    <mergeCell ref="X65:Z67"/>
    <mergeCell ref="AA65:AC67"/>
    <mergeCell ref="AD65:AE67"/>
    <mergeCell ref="AF65:AH67"/>
    <mergeCell ref="A81:AH81"/>
    <mergeCell ref="A90:F92"/>
    <mergeCell ref="G90:I92"/>
    <mergeCell ref="J90:L90"/>
    <mergeCell ref="M90:N92"/>
    <mergeCell ref="O90:Q92"/>
    <mergeCell ref="R90:T92"/>
    <mergeCell ref="AA87:AC89"/>
    <mergeCell ref="AD87:AE89"/>
    <mergeCell ref="AF87:AH89"/>
    <mergeCell ref="AI87:AJ89"/>
    <mergeCell ref="AK87:AM89"/>
    <mergeCell ref="J88:L88"/>
    <mergeCell ref="J89:L89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A84:AC86"/>
    <mergeCell ref="AD84:AE86"/>
    <mergeCell ref="AF84:AH86"/>
    <mergeCell ref="J94:L94"/>
    <mergeCell ref="J95:L95"/>
    <mergeCell ref="A131:L131"/>
    <mergeCell ref="M131:AH131"/>
    <mergeCell ref="AI131:AM131"/>
    <mergeCell ref="A132:L132"/>
    <mergeCell ref="M132:AH132"/>
    <mergeCell ref="AI132:AM133"/>
    <mergeCell ref="A133:L133"/>
    <mergeCell ref="M133:AH133"/>
    <mergeCell ref="X93:Z95"/>
    <mergeCell ref="AA93:AC95"/>
    <mergeCell ref="AD93:AE95"/>
    <mergeCell ref="AF93:AH95"/>
    <mergeCell ref="AI93:AJ95"/>
    <mergeCell ref="AK93:AM95"/>
    <mergeCell ref="AK90:AM92"/>
    <mergeCell ref="J91:L91"/>
    <mergeCell ref="J92:L92"/>
    <mergeCell ref="A93:F95"/>
    <mergeCell ref="G93:I95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AD137:AE139"/>
    <mergeCell ref="AF137:AH139"/>
    <mergeCell ref="AI137:AJ139"/>
    <mergeCell ref="AK137:AM139"/>
    <mergeCell ref="J138:L138"/>
    <mergeCell ref="J139:L139"/>
    <mergeCell ref="AK134:AM136"/>
    <mergeCell ref="A137:F139"/>
    <mergeCell ref="G137:I139"/>
    <mergeCell ref="J137:L137"/>
    <mergeCell ref="M137:N139"/>
    <mergeCell ref="O137:Q139"/>
    <mergeCell ref="R137:T139"/>
    <mergeCell ref="U137:W139"/>
    <mergeCell ref="X137:Z139"/>
    <mergeCell ref="AA137:AC139"/>
    <mergeCell ref="U134:W136"/>
    <mergeCell ref="X134:Z136"/>
    <mergeCell ref="AA134:AC136"/>
    <mergeCell ref="AD134:AE136"/>
    <mergeCell ref="AF134:AH136"/>
    <mergeCell ref="AI134:AJ136"/>
    <mergeCell ref="A134:F136"/>
    <mergeCell ref="G134:I136"/>
    <mergeCell ref="J134:L136"/>
    <mergeCell ref="M134:N136"/>
    <mergeCell ref="O134:Q136"/>
    <mergeCell ref="R134:T136"/>
    <mergeCell ref="AK140:AM142"/>
    <mergeCell ref="J141:L141"/>
    <mergeCell ref="J142:L142"/>
    <mergeCell ref="A143:F145"/>
    <mergeCell ref="G143:I145"/>
    <mergeCell ref="J143:L143"/>
    <mergeCell ref="M143:N145"/>
    <mergeCell ref="O143:Q145"/>
    <mergeCell ref="R143:T145"/>
    <mergeCell ref="U143:W145"/>
    <mergeCell ref="U140:W142"/>
    <mergeCell ref="X140:Z142"/>
    <mergeCell ref="AA140:AC142"/>
    <mergeCell ref="AD140:AE142"/>
    <mergeCell ref="AF140:AH142"/>
    <mergeCell ref="AI140:AJ142"/>
    <mergeCell ref="A140:F142"/>
    <mergeCell ref="G140:I142"/>
    <mergeCell ref="J140:L140"/>
    <mergeCell ref="M140:N142"/>
    <mergeCell ref="O140:Q142"/>
    <mergeCell ref="R140:T142"/>
    <mergeCell ref="AF146:AH148"/>
    <mergeCell ref="AI146:AJ148"/>
    <mergeCell ref="AK146:AM148"/>
    <mergeCell ref="J147:L147"/>
    <mergeCell ref="J148:L148"/>
    <mergeCell ref="A149:F151"/>
    <mergeCell ref="G149:I151"/>
    <mergeCell ref="J149:L149"/>
    <mergeCell ref="M149:N151"/>
    <mergeCell ref="O149:Q151"/>
    <mergeCell ref="O146:Q148"/>
    <mergeCell ref="R146:T148"/>
    <mergeCell ref="U146:W148"/>
    <mergeCell ref="X146:Z148"/>
    <mergeCell ref="AA146:AC148"/>
    <mergeCell ref="AD146:AE148"/>
    <mergeCell ref="J144:L144"/>
    <mergeCell ref="J145:L145"/>
    <mergeCell ref="A146:F148"/>
    <mergeCell ref="G146:I148"/>
    <mergeCell ref="J146:L146"/>
    <mergeCell ref="M146:N148"/>
    <mergeCell ref="X143:Z145"/>
    <mergeCell ref="AA143:AC145"/>
    <mergeCell ref="AD143:AE145"/>
    <mergeCell ref="AF143:AH145"/>
    <mergeCell ref="AI143:AJ145"/>
    <mergeCell ref="AK143:AM145"/>
    <mergeCell ref="AK152:AM154"/>
    <mergeCell ref="J153:L153"/>
    <mergeCell ref="J154:L154"/>
    <mergeCell ref="A155:F157"/>
    <mergeCell ref="G155:I157"/>
    <mergeCell ref="J155:L155"/>
    <mergeCell ref="M155:N157"/>
    <mergeCell ref="O155:Q157"/>
    <mergeCell ref="R155:T157"/>
    <mergeCell ref="U155:W157"/>
    <mergeCell ref="U152:W154"/>
    <mergeCell ref="X152:Z154"/>
    <mergeCell ref="AA152:AC154"/>
    <mergeCell ref="AD152:AE154"/>
    <mergeCell ref="AF152:AH154"/>
    <mergeCell ref="AI152:AJ154"/>
    <mergeCell ref="AI149:AJ151"/>
    <mergeCell ref="AK149:AM151"/>
    <mergeCell ref="J150:L150"/>
    <mergeCell ref="J151:L151"/>
    <mergeCell ref="A152:F154"/>
    <mergeCell ref="G152:I154"/>
    <mergeCell ref="J152:L152"/>
    <mergeCell ref="M152:N154"/>
    <mergeCell ref="O152:Q154"/>
    <mergeCell ref="R152:T154"/>
    <mergeCell ref="R149:T151"/>
    <mergeCell ref="U149:W151"/>
    <mergeCell ref="X149:Z151"/>
    <mergeCell ref="AA149:AC151"/>
    <mergeCell ref="AD149:AE151"/>
    <mergeCell ref="AF149:AH151"/>
    <mergeCell ref="AF158:AH160"/>
    <mergeCell ref="AI158:AJ160"/>
    <mergeCell ref="AK158:AM160"/>
    <mergeCell ref="J159:L159"/>
    <mergeCell ref="J160:L160"/>
    <mergeCell ref="A161:F163"/>
    <mergeCell ref="G161:I163"/>
    <mergeCell ref="J161:L161"/>
    <mergeCell ref="M161:N163"/>
    <mergeCell ref="O161:Q163"/>
    <mergeCell ref="O158:Q160"/>
    <mergeCell ref="R158:T160"/>
    <mergeCell ref="U158:W160"/>
    <mergeCell ref="X158:Z160"/>
    <mergeCell ref="AA158:AC160"/>
    <mergeCell ref="AD158:AE160"/>
    <mergeCell ref="J156:L156"/>
    <mergeCell ref="J157:L157"/>
    <mergeCell ref="A158:F160"/>
    <mergeCell ref="G158:I160"/>
    <mergeCell ref="J158:L158"/>
    <mergeCell ref="M158:N160"/>
    <mergeCell ref="X155:Z157"/>
    <mergeCell ref="AA155:AC157"/>
    <mergeCell ref="AD155:AE157"/>
    <mergeCell ref="AF155:AH157"/>
    <mergeCell ref="AI155:AJ157"/>
    <mergeCell ref="AK155:AM157"/>
    <mergeCell ref="A167:L167"/>
    <mergeCell ref="M167:AH167"/>
    <mergeCell ref="AI167:AM168"/>
    <mergeCell ref="A168:L168"/>
    <mergeCell ref="M168:AH168"/>
    <mergeCell ref="A169:F171"/>
    <mergeCell ref="G169:I171"/>
    <mergeCell ref="J169:L171"/>
    <mergeCell ref="M169:N171"/>
    <mergeCell ref="O169:Q171"/>
    <mergeCell ref="AI161:AJ163"/>
    <mergeCell ref="AK161:AM163"/>
    <mergeCell ref="J162:L162"/>
    <mergeCell ref="J163:L163"/>
    <mergeCell ref="AI166:AM166"/>
    <mergeCell ref="R161:T163"/>
    <mergeCell ref="U161:W163"/>
    <mergeCell ref="X161:Z163"/>
    <mergeCell ref="AA161:AC163"/>
    <mergeCell ref="AD161:AE163"/>
    <mergeCell ref="AF161:AH163"/>
    <mergeCell ref="A175:F177"/>
    <mergeCell ref="G175:I177"/>
    <mergeCell ref="J175:L175"/>
    <mergeCell ref="M175:N177"/>
    <mergeCell ref="O175:Q177"/>
    <mergeCell ref="R175:T177"/>
    <mergeCell ref="AA172:AC174"/>
    <mergeCell ref="AD172:AE174"/>
    <mergeCell ref="AF172:AH174"/>
    <mergeCell ref="AI172:AJ174"/>
    <mergeCell ref="AK172:AM174"/>
    <mergeCell ref="J173:L173"/>
    <mergeCell ref="J174:L174"/>
    <mergeCell ref="AI169:AJ171"/>
    <mergeCell ref="AK169:AM171"/>
    <mergeCell ref="A172:F174"/>
    <mergeCell ref="G172:I174"/>
    <mergeCell ref="J172:L172"/>
    <mergeCell ref="M172:N174"/>
    <mergeCell ref="O172:Q174"/>
    <mergeCell ref="R172:T174"/>
    <mergeCell ref="U172:W174"/>
    <mergeCell ref="X172:Z174"/>
    <mergeCell ref="R169:T171"/>
    <mergeCell ref="U169:W171"/>
    <mergeCell ref="X169:Z171"/>
    <mergeCell ref="AA169:AC171"/>
    <mergeCell ref="AD169:AE171"/>
    <mergeCell ref="AF169:AH171"/>
    <mergeCell ref="A184:L184"/>
    <mergeCell ref="M184:AH184"/>
    <mergeCell ref="AI184:AM184"/>
    <mergeCell ref="A185:L185"/>
    <mergeCell ref="M185:AH185"/>
    <mergeCell ref="AI185:AM186"/>
    <mergeCell ref="A186:L186"/>
    <mergeCell ref="M186:AH186"/>
    <mergeCell ref="J179:L179"/>
    <mergeCell ref="J180:L180"/>
    <mergeCell ref="X178:Z180"/>
    <mergeCell ref="AA178:AC180"/>
    <mergeCell ref="AD178:AE180"/>
    <mergeCell ref="AF178:AH180"/>
    <mergeCell ref="AI178:AJ180"/>
    <mergeCell ref="AK178:AM180"/>
    <mergeCell ref="AK175:AM177"/>
    <mergeCell ref="J176:L176"/>
    <mergeCell ref="J177:L177"/>
    <mergeCell ref="A178:F180"/>
    <mergeCell ref="G178:I180"/>
    <mergeCell ref="J178:L178"/>
    <mergeCell ref="M178:N180"/>
    <mergeCell ref="O178:Q180"/>
    <mergeCell ref="R178:T180"/>
    <mergeCell ref="U178:W180"/>
    <mergeCell ref="U175:W177"/>
    <mergeCell ref="X175:Z177"/>
    <mergeCell ref="AA175:AC177"/>
    <mergeCell ref="AD175:AE177"/>
    <mergeCell ref="AF175:AH177"/>
    <mergeCell ref="AI175:AJ177"/>
    <mergeCell ref="AD190:AE192"/>
    <mergeCell ref="AF190:AH192"/>
    <mergeCell ref="AI190:AJ192"/>
    <mergeCell ref="AK190:AM192"/>
    <mergeCell ref="J191:L191"/>
    <mergeCell ref="J192:L192"/>
    <mergeCell ref="AK187:AM189"/>
    <mergeCell ref="A190:F192"/>
    <mergeCell ref="G190:I192"/>
    <mergeCell ref="J190:L190"/>
    <mergeCell ref="M190:N192"/>
    <mergeCell ref="O190:Q192"/>
    <mergeCell ref="R190:T192"/>
    <mergeCell ref="U190:W192"/>
    <mergeCell ref="X190:Z192"/>
    <mergeCell ref="AA190:AC192"/>
    <mergeCell ref="U187:W189"/>
    <mergeCell ref="X187:Z189"/>
    <mergeCell ref="AA187:AC189"/>
    <mergeCell ref="AD187:AE189"/>
    <mergeCell ref="AF187:AH189"/>
    <mergeCell ref="AI187:AJ189"/>
    <mergeCell ref="A187:F189"/>
    <mergeCell ref="G187:I189"/>
    <mergeCell ref="J187:L189"/>
    <mergeCell ref="M187:N189"/>
    <mergeCell ref="O187:Q189"/>
    <mergeCell ref="R187:T189"/>
    <mergeCell ref="AK193:AM195"/>
    <mergeCell ref="J194:L194"/>
    <mergeCell ref="J195:L195"/>
    <mergeCell ref="A196:F198"/>
    <mergeCell ref="G196:I198"/>
    <mergeCell ref="J196:L196"/>
    <mergeCell ref="M196:N198"/>
    <mergeCell ref="O196:Q198"/>
    <mergeCell ref="R196:T198"/>
    <mergeCell ref="U196:W198"/>
    <mergeCell ref="U193:W195"/>
    <mergeCell ref="X193:Z195"/>
    <mergeCell ref="AA193:AC195"/>
    <mergeCell ref="AD193:AE195"/>
    <mergeCell ref="AF193:AH195"/>
    <mergeCell ref="AI193:AJ195"/>
    <mergeCell ref="A193:F195"/>
    <mergeCell ref="G193:I195"/>
    <mergeCell ref="J193:L193"/>
    <mergeCell ref="M193:N195"/>
    <mergeCell ref="O193:Q195"/>
    <mergeCell ref="R193:T195"/>
    <mergeCell ref="AF199:AH201"/>
    <mergeCell ref="AI199:AJ201"/>
    <mergeCell ref="AK199:AM201"/>
    <mergeCell ref="J200:L200"/>
    <mergeCell ref="J201:L201"/>
    <mergeCell ref="A202:F204"/>
    <mergeCell ref="G202:I204"/>
    <mergeCell ref="J202:L202"/>
    <mergeCell ref="M202:N204"/>
    <mergeCell ref="O202:Q204"/>
    <mergeCell ref="O199:Q201"/>
    <mergeCell ref="R199:T201"/>
    <mergeCell ref="U199:W201"/>
    <mergeCell ref="X199:Z201"/>
    <mergeCell ref="AA199:AC201"/>
    <mergeCell ref="AD199:AE201"/>
    <mergeCell ref="J197:L197"/>
    <mergeCell ref="J198:L198"/>
    <mergeCell ref="A199:F201"/>
    <mergeCell ref="G199:I201"/>
    <mergeCell ref="J199:L199"/>
    <mergeCell ref="M199:N201"/>
    <mergeCell ref="X196:Z198"/>
    <mergeCell ref="AA196:AC198"/>
    <mergeCell ref="AD196:AE198"/>
    <mergeCell ref="AF196:AH198"/>
    <mergeCell ref="AI196:AJ198"/>
    <mergeCell ref="AK196:AM198"/>
    <mergeCell ref="AK205:AM207"/>
    <mergeCell ref="J206:L206"/>
    <mergeCell ref="J207:L207"/>
    <mergeCell ref="A208:F210"/>
    <mergeCell ref="G208:I210"/>
    <mergeCell ref="J208:L208"/>
    <mergeCell ref="M208:N210"/>
    <mergeCell ref="O208:Q210"/>
    <mergeCell ref="R208:T210"/>
    <mergeCell ref="U208:W210"/>
    <mergeCell ref="U205:W207"/>
    <mergeCell ref="X205:Z207"/>
    <mergeCell ref="AA205:AC207"/>
    <mergeCell ref="AD205:AE207"/>
    <mergeCell ref="AF205:AH207"/>
    <mergeCell ref="AI205:AJ207"/>
    <mergeCell ref="AI202:AJ204"/>
    <mergeCell ref="AK202:AM204"/>
    <mergeCell ref="J203:L203"/>
    <mergeCell ref="J204:L204"/>
    <mergeCell ref="A205:F207"/>
    <mergeCell ref="G205:I207"/>
    <mergeCell ref="J205:L205"/>
    <mergeCell ref="M205:N207"/>
    <mergeCell ref="O205:Q207"/>
    <mergeCell ref="R205:T207"/>
    <mergeCell ref="R202:T204"/>
    <mergeCell ref="U202:W204"/>
    <mergeCell ref="X202:Z204"/>
    <mergeCell ref="AA202:AC204"/>
    <mergeCell ref="AD202:AE204"/>
    <mergeCell ref="AF202:AH204"/>
    <mergeCell ref="AF211:AH213"/>
    <mergeCell ref="AI211:AJ213"/>
    <mergeCell ref="AK211:AM213"/>
    <mergeCell ref="J212:L212"/>
    <mergeCell ref="J213:L213"/>
    <mergeCell ref="A214:F216"/>
    <mergeCell ref="G214:I216"/>
    <mergeCell ref="J214:L214"/>
    <mergeCell ref="M214:N216"/>
    <mergeCell ref="O214:Q216"/>
    <mergeCell ref="O211:Q213"/>
    <mergeCell ref="R211:T213"/>
    <mergeCell ref="U211:W213"/>
    <mergeCell ref="X211:Z213"/>
    <mergeCell ref="AA211:AC213"/>
    <mergeCell ref="AD211:AE213"/>
    <mergeCell ref="J209:L209"/>
    <mergeCell ref="J210:L210"/>
    <mergeCell ref="A211:F213"/>
    <mergeCell ref="G211:I213"/>
    <mergeCell ref="J211:L211"/>
    <mergeCell ref="M211:N213"/>
    <mergeCell ref="X208:Z210"/>
    <mergeCell ref="AA208:AC210"/>
    <mergeCell ref="AD208:AE210"/>
    <mergeCell ref="AF208:AH210"/>
    <mergeCell ref="AI208:AJ210"/>
    <mergeCell ref="AK208:AM210"/>
    <mergeCell ref="AF236:AI236"/>
    <mergeCell ref="AJ236:AM236"/>
    <mergeCell ref="B237:K237"/>
    <mergeCell ref="L237:N237"/>
    <mergeCell ref="O237:Q237"/>
    <mergeCell ref="R237:U237"/>
    <mergeCell ref="V237:W237"/>
    <mergeCell ref="X237:AA237"/>
    <mergeCell ref="AB237:AE237"/>
    <mergeCell ref="AF237:AI237"/>
    <mergeCell ref="A234:AM234"/>
    <mergeCell ref="B236:K236"/>
    <mergeCell ref="R236:U236"/>
    <mergeCell ref="V236:W236"/>
    <mergeCell ref="X236:AA236"/>
    <mergeCell ref="AB236:AE236"/>
    <mergeCell ref="AI214:AJ216"/>
    <mergeCell ref="AK214:AM216"/>
    <mergeCell ref="J215:L215"/>
    <mergeCell ref="J216:L216"/>
    <mergeCell ref="R214:T216"/>
    <mergeCell ref="U214:W216"/>
    <mergeCell ref="X214:Z216"/>
    <mergeCell ref="AA214:AC216"/>
    <mergeCell ref="AD214:AE216"/>
    <mergeCell ref="AF214:AH216"/>
    <mergeCell ref="AB239:AE239"/>
    <mergeCell ref="AF239:AI239"/>
    <mergeCell ref="AJ239:AM239"/>
    <mergeCell ref="B240:K240"/>
    <mergeCell ref="L240:N240"/>
    <mergeCell ref="O240:Q240"/>
    <mergeCell ref="R240:U240"/>
    <mergeCell ref="V240:W240"/>
    <mergeCell ref="X240:AA240"/>
    <mergeCell ref="AB240:AE240"/>
    <mergeCell ref="B239:K239"/>
    <mergeCell ref="L239:N239"/>
    <mergeCell ref="O239:Q239"/>
    <mergeCell ref="R239:U239"/>
    <mergeCell ref="V239:W239"/>
    <mergeCell ref="X239:AA239"/>
    <mergeCell ref="AJ237:AM237"/>
    <mergeCell ref="B238:K238"/>
    <mergeCell ref="L238:N238"/>
    <mergeCell ref="O238:Q238"/>
    <mergeCell ref="R238:U238"/>
    <mergeCell ref="V238:W238"/>
    <mergeCell ref="X238:AA238"/>
    <mergeCell ref="AB238:AE238"/>
    <mergeCell ref="AF238:AI238"/>
    <mergeCell ref="AJ238:AM238"/>
    <mergeCell ref="AJ241:AM241"/>
    <mergeCell ref="B242:K242"/>
    <mergeCell ref="L242:N242"/>
    <mergeCell ref="O242:Q242"/>
    <mergeCell ref="R242:U242"/>
    <mergeCell ref="V242:W242"/>
    <mergeCell ref="X242:AA242"/>
    <mergeCell ref="AB242:AE242"/>
    <mergeCell ref="AF242:AI242"/>
    <mergeCell ref="AJ242:AM242"/>
    <mergeCell ref="AF240:AI240"/>
    <mergeCell ref="AJ240:AM240"/>
    <mergeCell ref="B241:K241"/>
    <mergeCell ref="L241:N241"/>
    <mergeCell ref="O241:Q241"/>
    <mergeCell ref="R241:U241"/>
    <mergeCell ref="V241:W241"/>
    <mergeCell ref="X241:AA241"/>
    <mergeCell ref="AB241:AE241"/>
    <mergeCell ref="AF241:AI241"/>
    <mergeCell ref="AF244:AI244"/>
    <mergeCell ref="AJ244:AM244"/>
    <mergeCell ref="B245:K245"/>
    <mergeCell ref="L245:N245"/>
    <mergeCell ref="O245:Q245"/>
    <mergeCell ref="R245:U245"/>
    <mergeCell ref="V245:W245"/>
    <mergeCell ref="X245:AA245"/>
    <mergeCell ref="AB245:AE245"/>
    <mergeCell ref="AF245:AI245"/>
    <mergeCell ref="AB243:AE243"/>
    <mergeCell ref="AF243:AI243"/>
    <mergeCell ref="AJ243:AM243"/>
    <mergeCell ref="B244:K244"/>
    <mergeCell ref="L244:N244"/>
    <mergeCell ref="O244:Q244"/>
    <mergeCell ref="R244:U244"/>
    <mergeCell ref="V244:W244"/>
    <mergeCell ref="X244:AA244"/>
    <mergeCell ref="AB244:AE244"/>
    <mergeCell ref="B243:K243"/>
    <mergeCell ref="L243:N243"/>
    <mergeCell ref="O243:Q243"/>
    <mergeCell ref="R243:U243"/>
    <mergeCell ref="V243:W243"/>
    <mergeCell ref="X243:AA243"/>
    <mergeCell ref="AB247:AE247"/>
    <mergeCell ref="AF247:AI247"/>
    <mergeCell ref="AJ247:AM247"/>
    <mergeCell ref="B248:K248"/>
    <mergeCell ref="L248:N248"/>
    <mergeCell ref="O248:Q248"/>
    <mergeCell ref="R248:U248"/>
    <mergeCell ref="V248:W248"/>
    <mergeCell ref="X248:AA248"/>
    <mergeCell ref="AB248:AE248"/>
    <mergeCell ref="B247:K247"/>
    <mergeCell ref="L247:N247"/>
    <mergeCell ref="O247:Q247"/>
    <mergeCell ref="R247:U247"/>
    <mergeCell ref="V247:W247"/>
    <mergeCell ref="X247:AA247"/>
    <mergeCell ref="AJ245:AM245"/>
    <mergeCell ref="B246:K246"/>
    <mergeCell ref="L246:N246"/>
    <mergeCell ref="O246:Q246"/>
    <mergeCell ref="R246:U246"/>
    <mergeCell ref="V246:W246"/>
    <mergeCell ref="X246:AA246"/>
    <mergeCell ref="AB246:AE246"/>
    <mergeCell ref="AF246:AI246"/>
    <mergeCell ref="AJ246:AM246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AJ250:AM250"/>
    <mergeCell ref="AF248:AI248"/>
    <mergeCell ref="AJ248:AM248"/>
    <mergeCell ref="B249:K249"/>
    <mergeCell ref="L249:N249"/>
    <mergeCell ref="O249:Q249"/>
    <mergeCell ref="R249:U249"/>
    <mergeCell ref="V249:W249"/>
    <mergeCell ref="X249:AA249"/>
    <mergeCell ref="AB249:AE249"/>
    <mergeCell ref="AF249:AI249"/>
    <mergeCell ref="AF252:AI252"/>
    <mergeCell ref="AJ252:AM252"/>
    <mergeCell ref="B253:K253"/>
    <mergeCell ref="L253:N253"/>
    <mergeCell ref="O253:Q253"/>
    <mergeCell ref="R253:U253"/>
    <mergeCell ref="V253:W253"/>
    <mergeCell ref="X253:AA253"/>
    <mergeCell ref="AB253:AE253"/>
    <mergeCell ref="AF253:AI253"/>
    <mergeCell ref="AB251:AE251"/>
    <mergeCell ref="AF251:AI251"/>
    <mergeCell ref="AJ251:AM251"/>
    <mergeCell ref="B252:K252"/>
    <mergeCell ref="L252:N252"/>
    <mergeCell ref="O252:Q252"/>
    <mergeCell ref="R252:U252"/>
    <mergeCell ref="V252:W252"/>
    <mergeCell ref="X252:AA252"/>
    <mergeCell ref="AB252:AE252"/>
    <mergeCell ref="B251:K251"/>
    <mergeCell ref="L251:N251"/>
    <mergeCell ref="O251:Q251"/>
    <mergeCell ref="R251:U251"/>
    <mergeCell ref="V251:W251"/>
    <mergeCell ref="X251:AA251"/>
    <mergeCell ref="AB255:AE255"/>
    <mergeCell ref="AF255:AI255"/>
    <mergeCell ref="AJ255:AM255"/>
    <mergeCell ref="B256:K256"/>
    <mergeCell ref="L256:N256"/>
    <mergeCell ref="O256:Q256"/>
    <mergeCell ref="R256:U256"/>
    <mergeCell ref="V256:W256"/>
    <mergeCell ref="X256:AA256"/>
    <mergeCell ref="AB256:AE256"/>
    <mergeCell ref="B255:K255"/>
    <mergeCell ref="L255:N255"/>
    <mergeCell ref="O255:Q255"/>
    <mergeCell ref="R255:U255"/>
    <mergeCell ref="V255:W255"/>
    <mergeCell ref="X255:AA255"/>
    <mergeCell ref="AJ253:AM253"/>
    <mergeCell ref="B254:K254"/>
    <mergeCell ref="L254:N254"/>
    <mergeCell ref="O254:Q254"/>
    <mergeCell ref="R254:U254"/>
    <mergeCell ref="V254:W254"/>
    <mergeCell ref="X254:AA254"/>
    <mergeCell ref="AB254:AE254"/>
    <mergeCell ref="AF254:AI254"/>
    <mergeCell ref="AJ254:AM254"/>
    <mergeCell ref="AJ257:AM257"/>
    <mergeCell ref="B258:K258"/>
    <mergeCell ref="L258:N258"/>
    <mergeCell ref="O258:Q258"/>
    <mergeCell ref="R258:U258"/>
    <mergeCell ref="V258:W258"/>
    <mergeCell ref="X258:AA258"/>
    <mergeCell ref="AB258:AE258"/>
    <mergeCell ref="AF258:AI258"/>
    <mergeCell ref="AJ258:AM258"/>
    <mergeCell ref="AF256:AI256"/>
    <mergeCell ref="AJ256:AM256"/>
    <mergeCell ref="B257:K257"/>
    <mergeCell ref="L257:N257"/>
    <mergeCell ref="O257:Q257"/>
    <mergeCell ref="R257:U257"/>
    <mergeCell ref="V257:W257"/>
    <mergeCell ref="X257:AA257"/>
    <mergeCell ref="AB257:AE257"/>
    <mergeCell ref="AF257:AI257"/>
    <mergeCell ref="AF260:AI260"/>
    <mergeCell ref="AJ260:AM260"/>
    <mergeCell ref="B261:K261"/>
    <mergeCell ref="L261:N261"/>
    <mergeCell ref="O261:Q261"/>
    <mergeCell ref="R261:U261"/>
    <mergeCell ref="V261:W261"/>
    <mergeCell ref="X261:AA261"/>
    <mergeCell ref="AB261:AE261"/>
    <mergeCell ref="AF261:AI261"/>
    <mergeCell ref="AB259:AE259"/>
    <mergeCell ref="AF259:AI259"/>
    <mergeCell ref="AJ259:AM259"/>
    <mergeCell ref="B260:K260"/>
    <mergeCell ref="L260:N260"/>
    <mergeCell ref="O260:Q260"/>
    <mergeCell ref="R260:U260"/>
    <mergeCell ref="V260:W260"/>
    <mergeCell ref="X260:AA260"/>
    <mergeCell ref="AB260:AE260"/>
    <mergeCell ref="B259:K259"/>
    <mergeCell ref="L259:N259"/>
    <mergeCell ref="O259:Q259"/>
    <mergeCell ref="R259:U259"/>
    <mergeCell ref="V259:W259"/>
    <mergeCell ref="X259:AA259"/>
    <mergeCell ref="AB263:AE263"/>
    <mergeCell ref="AF263:AI263"/>
    <mergeCell ref="AJ263:AM263"/>
    <mergeCell ref="B264:K264"/>
    <mergeCell ref="L264:N264"/>
    <mergeCell ref="O264:Q264"/>
    <mergeCell ref="R264:U264"/>
    <mergeCell ref="V264:W264"/>
    <mergeCell ref="X264:AA264"/>
    <mergeCell ref="AB264:AE264"/>
    <mergeCell ref="B263:K263"/>
    <mergeCell ref="L263:N263"/>
    <mergeCell ref="O263:Q263"/>
    <mergeCell ref="R263:U263"/>
    <mergeCell ref="V263:W263"/>
    <mergeCell ref="X263:AA263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AF262:AI262"/>
    <mergeCell ref="AJ262:AM262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AF266:AI266"/>
    <mergeCell ref="AJ266:AM266"/>
    <mergeCell ref="AF264:AI264"/>
    <mergeCell ref="AJ264:AM264"/>
    <mergeCell ref="B265:K265"/>
    <mergeCell ref="L265:N265"/>
    <mergeCell ref="O265:Q265"/>
    <mergeCell ref="R265:U265"/>
    <mergeCell ref="V265:W265"/>
    <mergeCell ref="X265:AA265"/>
    <mergeCell ref="AB265:AE265"/>
    <mergeCell ref="AF265:AI265"/>
    <mergeCell ref="AF270:AI270"/>
    <mergeCell ref="AJ270:AM270"/>
    <mergeCell ref="AF268:AI268"/>
    <mergeCell ref="AJ268:AM268"/>
    <mergeCell ref="B269:K269"/>
    <mergeCell ref="L269:N269"/>
    <mergeCell ref="O269:Q269"/>
    <mergeCell ref="R269:U269"/>
    <mergeCell ref="V269:W269"/>
    <mergeCell ref="X269:AA269"/>
    <mergeCell ref="AB269:AE269"/>
    <mergeCell ref="AF269:AI269"/>
    <mergeCell ref="AB267:AE267"/>
    <mergeCell ref="AF267:AI267"/>
    <mergeCell ref="AJ267:AM267"/>
    <mergeCell ref="B268:K268"/>
    <mergeCell ref="L268:N268"/>
    <mergeCell ref="O268:Q268"/>
    <mergeCell ref="R268:U268"/>
    <mergeCell ref="V268:W268"/>
    <mergeCell ref="X268:AA268"/>
    <mergeCell ref="AB268:AE268"/>
    <mergeCell ref="B267:K267"/>
    <mergeCell ref="L267:N267"/>
    <mergeCell ref="O267:Q267"/>
    <mergeCell ref="R267:U267"/>
    <mergeCell ref="V267:W267"/>
    <mergeCell ref="X267:AA267"/>
    <mergeCell ref="AF272:AI272"/>
    <mergeCell ref="AJ272:AM272"/>
    <mergeCell ref="AI98:AM98"/>
    <mergeCell ref="A99:L99"/>
    <mergeCell ref="M99:AH99"/>
    <mergeCell ref="AI99:AM100"/>
    <mergeCell ref="A100:L100"/>
    <mergeCell ref="M100:AH100"/>
    <mergeCell ref="AB271:AE271"/>
    <mergeCell ref="AF271:AI271"/>
    <mergeCell ref="AJ271:AM271"/>
    <mergeCell ref="B272:K272"/>
    <mergeCell ref="L272:N272"/>
    <mergeCell ref="O272:Q272"/>
    <mergeCell ref="R272:U272"/>
    <mergeCell ref="V272:W272"/>
    <mergeCell ref="X272:AA272"/>
    <mergeCell ref="AB272:AE272"/>
    <mergeCell ref="B271:K271"/>
    <mergeCell ref="L271:N271"/>
    <mergeCell ref="O271:Q271"/>
    <mergeCell ref="R271:U271"/>
    <mergeCell ref="V271:W271"/>
    <mergeCell ref="X271:AA271"/>
    <mergeCell ref="AJ269:AM269"/>
    <mergeCell ref="B270:K270"/>
    <mergeCell ref="L270:N270"/>
    <mergeCell ref="O270:Q270"/>
    <mergeCell ref="R270:U270"/>
    <mergeCell ref="V270:W270"/>
    <mergeCell ref="X270:AA270"/>
    <mergeCell ref="AB270:AE270"/>
    <mergeCell ref="AD104:AE106"/>
    <mergeCell ref="AF104:AH106"/>
    <mergeCell ref="AI104:AJ106"/>
    <mergeCell ref="AK104:AM106"/>
    <mergeCell ref="J105:L105"/>
    <mergeCell ref="J106:L106"/>
    <mergeCell ref="AK101:AM103"/>
    <mergeCell ref="A104:F106"/>
    <mergeCell ref="G104:I106"/>
    <mergeCell ref="J104:L104"/>
    <mergeCell ref="M104:N106"/>
    <mergeCell ref="O104:Q106"/>
    <mergeCell ref="R104:T106"/>
    <mergeCell ref="U104:W106"/>
    <mergeCell ref="X104:Z106"/>
    <mergeCell ref="AA104:AC106"/>
    <mergeCell ref="U101:W103"/>
    <mergeCell ref="X101:Z103"/>
    <mergeCell ref="AA101:AC103"/>
    <mergeCell ref="AD101:AE103"/>
    <mergeCell ref="AF101:AH103"/>
    <mergeCell ref="AI101:AJ103"/>
    <mergeCell ref="A101:F103"/>
    <mergeCell ref="G101:I103"/>
    <mergeCell ref="J101:L103"/>
    <mergeCell ref="M101:N103"/>
    <mergeCell ref="O101:Q103"/>
    <mergeCell ref="R101:T103"/>
    <mergeCell ref="A98:AH98"/>
    <mergeCell ref="A166:AH166"/>
    <mergeCell ref="J111:L111"/>
    <mergeCell ref="J112:L112"/>
    <mergeCell ref="X110:Z112"/>
    <mergeCell ref="AA110:AC112"/>
    <mergeCell ref="AD110:AE112"/>
    <mergeCell ref="AF110:AH112"/>
    <mergeCell ref="AI110:AJ112"/>
    <mergeCell ref="AK110:AM112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R110:T112"/>
    <mergeCell ref="U110:W112"/>
    <mergeCell ref="U107:W109"/>
    <mergeCell ref="X107:Z109"/>
    <mergeCell ref="AA107:AC109"/>
    <mergeCell ref="AD107:AE109"/>
    <mergeCell ref="AF107:AH109"/>
    <mergeCell ref="AI107:AJ109"/>
    <mergeCell ref="A107:F109"/>
    <mergeCell ref="G107:I109"/>
    <mergeCell ref="J107:L107"/>
    <mergeCell ref="M107:N109"/>
    <mergeCell ref="O107:Q109"/>
    <mergeCell ref="R107:T109"/>
    <mergeCell ref="B273:K273"/>
    <mergeCell ref="L273:N273"/>
    <mergeCell ref="O273:Q273"/>
    <mergeCell ref="R273:U273"/>
    <mergeCell ref="V273:W273"/>
    <mergeCell ref="X273:AA273"/>
    <mergeCell ref="AB273:AE273"/>
    <mergeCell ref="AF273:AI273"/>
    <mergeCell ref="AJ273:AM273"/>
    <mergeCell ref="B274:K274"/>
    <mergeCell ref="L274:N274"/>
    <mergeCell ref="O274:Q274"/>
    <mergeCell ref="R274:U274"/>
    <mergeCell ref="V274:W274"/>
    <mergeCell ref="X274:AA274"/>
    <mergeCell ref="AB274:AE274"/>
    <mergeCell ref="AF274:AI274"/>
    <mergeCell ref="AJ274:AM274"/>
  </mergeCells>
  <hyperlinks>
    <hyperlink ref="G11" r:id="rId1" xr:uid="{4BE278EE-4C98-384D-BDB3-954122B4777D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4A82-FEAF-304B-8546-242D86A2554B}">
  <dimension ref="A1:AM600"/>
  <sheetViews>
    <sheetView view="pageLayout" zoomScale="140" zoomScaleNormal="100" zoomScalePageLayoutView="140" workbookViewId="0">
      <selection activeCell="AA27" sqref="AA27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Festival Shopping Center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nr.04,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RO24031527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J40/11313/2018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RO22 RZBR 0000 0600 1051 7610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11/22.12.2023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32/28.02.2024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19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AB599</f>
        <v>831302.98999999987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AF599</f>
        <v>157947.56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AJ599</f>
        <v>989250.54999999981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989250.54999999981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R562+R576+R577+R580</f>
        <v>914606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1.0816138861979911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VLOOKUP(AA15,'Date SPV'!$B:$H,4,FALSE)</f>
        <v>Strada Lector, nr. 1-3A, Sibiu, jud. Sibiu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5000290964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_xlfn.CONCAT($AA$15,"_",1)</f>
        <v>RFSC_1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594020200002317122/1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RFSC_1.1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775">
        <v>1369546436</v>
      </c>
      <c r="B41" s="776"/>
      <c r="C41" s="776"/>
      <c r="D41" s="776"/>
      <c r="E41" s="776"/>
      <c r="F41" s="777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7102761 (citit)</v>
      </c>
      <c r="S41" s="647"/>
      <c r="T41" s="647"/>
      <c r="U41" s="647" t="str">
        <f>VLOOKUP(A41,Regularizare!$D:$U,4,FALSE)&amp;" ("&amp;VLOOKUP(A41,Regularizare!$D:$U,12,FALSE)&amp;")"</f>
        <v>7206283 (estimat)</v>
      </c>
      <c r="V41" s="647"/>
      <c r="W41" s="647"/>
      <c r="X41" s="647" t="str">
        <f>VLOOKUP(A41,Regularizare!$D:$Y,19,FALSE)&amp;" ("&amp;VLOOKUP(A41,Regularizare!$D:$U,12,FALSE)&amp;")"</f>
        <v>103522 (estimat)</v>
      </c>
      <c r="Y41" s="647"/>
      <c r="Z41" s="647"/>
      <c r="AA41" s="647">
        <f>(-1)*VLOOKUP(A41,Regularizare!$D:$Y,19,FALSE)</f>
        <v>-103522</v>
      </c>
      <c r="AB41" s="647"/>
      <c r="AC41" s="647"/>
      <c r="AD41" s="647" t="s">
        <v>69</v>
      </c>
      <c r="AE41" s="647"/>
      <c r="AF41" s="647">
        <f>AA41</f>
        <v>-103522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78"/>
      <c r="B42" s="779"/>
      <c r="C42" s="779"/>
      <c r="D42" s="779"/>
      <c r="E42" s="779"/>
      <c r="F42" s="780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781"/>
      <c r="B43" s="782"/>
      <c r="C43" s="782"/>
      <c r="D43" s="782"/>
      <c r="E43" s="782"/>
      <c r="F43" s="7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775">
        <f>A41</f>
        <v>1369546436</v>
      </c>
      <c r="B44" s="776"/>
      <c r="C44" s="776"/>
      <c r="D44" s="776"/>
      <c r="E44" s="776"/>
      <c r="F44" s="777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351747 (citit)</v>
      </c>
      <c r="S44" s="647"/>
      <c r="T44" s="647"/>
      <c r="U44" s="647" t="str">
        <f>VLOOKUP(A44,Regularizare!$D:$U,8,FALSE)&amp;" ("&amp;VLOOKUP(A44,Regularizare!$D:$U,16,FALSE)&amp;")"</f>
        <v>351747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78"/>
      <c r="B45" s="779"/>
      <c r="C45" s="779"/>
      <c r="D45" s="779"/>
      <c r="E45" s="779"/>
      <c r="F45" s="780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781"/>
      <c r="B46" s="782"/>
      <c r="C46" s="782"/>
      <c r="D46" s="782"/>
      <c r="E46" s="782"/>
      <c r="F46" s="7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775">
        <f>A44</f>
        <v>1369546436</v>
      </c>
      <c r="B47" s="776"/>
      <c r="C47" s="776"/>
      <c r="D47" s="776"/>
      <c r="E47" s="776"/>
      <c r="F47" s="777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61101 (citit)</v>
      </c>
      <c r="S47" s="647"/>
      <c r="T47" s="647"/>
      <c r="U47" s="647" t="str">
        <f>VLOOKUP(A47,Regularizare!$D:$U,10,FALSE)&amp;" ("&amp;VLOOKUP(A47,Regularizare!$D:$U,18,FALSE)&amp;")"</f>
        <v>61101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78"/>
      <c r="B48" s="779"/>
      <c r="C48" s="779"/>
      <c r="D48" s="779"/>
      <c r="E48" s="779"/>
      <c r="F48" s="780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781"/>
      <c r="B49" s="782"/>
      <c r="C49" s="782"/>
      <c r="D49" s="782"/>
      <c r="E49" s="782"/>
      <c r="F49" s="7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775">
        <f>A47</f>
        <v>1369546436</v>
      </c>
      <c r="B50" s="776"/>
      <c r="C50" s="776"/>
      <c r="D50" s="776"/>
      <c r="E50" s="776"/>
      <c r="F50" s="777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7102761 (citit)</v>
      </c>
      <c r="S50" s="647"/>
      <c r="T50" s="647"/>
      <c r="U50" s="647" t="str">
        <f>VLOOKUP(A50,Regularizare!$D:$AX,25,FALSE)&amp;" ("&amp;VLOOKUP(A50,Regularizare!$D:$AX,26,FALSE)&amp;")"</f>
        <v>7206283 (citit)</v>
      </c>
      <c r="V50" s="647"/>
      <c r="W50" s="647"/>
      <c r="X50" s="647" t="str">
        <f>VLOOKUP(A50,Regularizare!$D:$AX,37,FALSE)&amp;" ("&amp;VLOOKUP(A50,Regularizare!$D:$AX,26,FALSE)&amp;")"</f>
        <v>103522 (citit)</v>
      </c>
      <c r="Y50" s="647"/>
      <c r="Z50" s="647"/>
      <c r="AA50" s="647">
        <f>VLOOKUP(A50,Regularizare!$D:$AX,37,FALSE)</f>
        <v>103522</v>
      </c>
      <c r="AB50" s="647"/>
      <c r="AC50" s="647"/>
      <c r="AD50" s="647" t="s">
        <v>69</v>
      </c>
      <c r="AE50" s="647"/>
      <c r="AF50" s="647">
        <f>AA50</f>
        <v>103522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78"/>
      <c r="B51" s="779"/>
      <c r="C51" s="779"/>
      <c r="D51" s="779"/>
      <c r="E51" s="779"/>
      <c r="F51" s="780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781"/>
      <c r="B52" s="782"/>
      <c r="C52" s="782"/>
      <c r="D52" s="782"/>
      <c r="E52" s="782"/>
      <c r="F52" s="7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775">
        <f>A50</f>
        <v>1369546436</v>
      </c>
      <c r="B53" s="776"/>
      <c r="C53" s="776"/>
      <c r="D53" s="776"/>
      <c r="E53" s="776"/>
      <c r="F53" s="777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351747 (citit)</v>
      </c>
      <c r="S53" s="647"/>
      <c r="T53" s="647"/>
      <c r="U53" s="647" t="str">
        <f>VLOOKUP(A53,Regularizare!$D:$AX,31,FALSE)&amp;" ("&amp;VLOOKUP(A53,Regularizare!$D:$AX,32,FALSE)&amp;")"</f>
        <v>351747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78"/>
      <c r="B54" s="779"/>
      <c r="C54" s="779"/>
      <c r="D54" s="779"/>
      <c r="E54" s="779"/>
      <c r="F54" s="780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781"/>
      <c r="B55" s="782"/>
      <c r="C55" s="782"/>
      <c r="D55" s="782"/>
      <c r="E55" s="782"/>
      <c r="F55" s="7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775">
        <f>A53</f>
        <v>1369546436</v>
      </c>
      <c r="B56" s="776"/>
      <c r="C56" s="776"/>
      <c r="D56" s="776"/>
      <c r="E56" s="776"/>
      <c r="F56" s="777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61101 (citit)</v>
      </c>
      <c r="S56" s="647"/>
      <c r="T56" s="647"/>
      <c r="U56" s="647" t="str">
        <f>VLOOKUP(A56,Regularizare!$D:$AX,35,FALSE)&amp;" ("&amp;VLOOKUP(A56,Regularizare!$D:$AX,36,FALSE)&amp;")"</f>
        <v>61101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78"/>
      <c r="B57" s="779"/>
      <c r="C57" s="779"/>
      <c r="D57" s="779"/>
      <c r="E57" s="779"/>
      <c r="F57" s="780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781"/>
      <c r="B58" s="782"/>
      <c r="C58" s="782"/>
      <c r="D58" s="782"/>
      <c r="E58" s="782"/>
      <c r="F58" s="7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775">
        <f>A56</f>
        <v>1369546436</v>
      </c>
      <c r="B59" s="776"/>
      <c r="C59" s="776"/>
      <c r="D59" s="776"/>
      <c r="E59" s="776"/>
      <c r="F59" s="777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7206283 (citit)</v>
      </c>
      <c r="S59" s="647"/>
      <c r="T59" s="647"/>
      <c r="U59" s="647" t="str">
        <f>VLOOKUP(A59,'Incrementare indexe'!$D:$M,4,FALSE)&amp;" (estimat)"</f>
        <v>7316003 (estimat)</v>
      </c>
      <c r="V59" s="647"/>
      <c r="W59" s="647"/>
      <c r="X59" s="647" t="str">
        <f>VLOOKUP(A59,'Incrementare indexe'!$D:$Q,11,FALSE)&amp;" (estimat)"</f>
        <v>109720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109720</v>
      </c>
      <c r="AG59" s="647"/>
      <c r="AH59" s="647"/>
      <c r="AI59" s="647">
        <f>J61-J59+1</f>
        <v>31</v>
      </c>
      <c r="AJ59" s="647"/>
      <c r="AK59" s="647">
        <f>ROUND(AF59/AI59,2)</f>
        <v>3539.35</v>
      </c>
      <c r="AL59" s="647"/>
      <c r="AM59" s="647"/>
    </row>
    <row r="60" spans="1:39" ht="8.4499999999999993" customHeight="1">
      <c r="A60" s="778"/>
      <c r="B60" s="779"/>
      <c r="C60" s="779"/>
      <c r="D60" s="779"/>
      <c r="E60" s="779"/>
      <c r="F60" s="780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781"/>
      <c r="B61" s="782"/>
      <c r="C61" s="782"/>
      <c r="D61" s="782"/>
      <c r="E61" s="782"/>
      <c r="F61" s="7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775">
        <f>A59</f>
        <v>1369546436</v>
      </c>
      <c r="B62" s="776"/>
      <c r="C62" s="776"/>
      <c r="D62" s="776"/>
      <c r="E62" s="776"/>
      <c r="F62" s="777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351747 (citit)</v>
      </c>
      <c r="S62" s="647"/>
      <c r="T62" s="647"/>
      <c r="U62" s="647" t="str">
        <f>VLOOKUP(A62,'Incrementare indexe'!$D:$M,8,FALSE)&amp;" (estimat)"</f>
        <v>351747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78"/>
      <c r="B63" s="779"/>
      <c r="C63" s="779"/>
      <c r="D63" s="779"/>
      <c r="E63" s="779"/>
      <c r="F63" s="780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781"/>
      <c r="B64" s="782"/>
      <c r="C64" s="782"/>
      <c r="D64" s="782"/>
      <c r="E64" s="782"/>
      <c r="F64" s="7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775">
        <f>A62</f>
        <v>1369546436</v>
      </c>
      <c r="B65" s="776"/>
      <c r="C65" s="776"/>
      <c r="D65" s="776"/>
      <c r="E65" s="776"/>
      <c r="F65" s="777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61101 (citit)</v>
      </c>
      <c r="S65" s="647"/>
      <c r="T65" s="647"/>
      <c r="U65" s="647" t="str">
        <f>VLOOKUP(A65,'Incrementare indexe'!$D:$M,10,FALSE)&amp;" (estimat)"</f>
        <v>61101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78"/>
      <c r="B66" s="779"/>
      <c r="C66" s="779"/>
      <c r="D66" s="779"/>
      <c r="E66" s="779"/>
      <c r="F66" s="780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781"/>
      <c r="B67" s="782"/>
      <c r="C67" s="782"/>
      <c r="D67" s="782"/>
      <c r="E67" s="782"/>
      <c r="F67" s="7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/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8.4499999999999993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>
      <c r="A81" s="649" t="s">
        <v>748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VLOOKUP(AI82,'Contorizare in SDI'!$E:$I,4,FALSE)</f>
        <v>594020200002317122/2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50" t="s">
        <v>695</v>
      </c>
      <c r="AJ81" s="650"/>
      <c r="AK81" s="650"/>
      <c r="AL81" s="650"/>
      <c r="AM81" s="650"/>
    </row>
    <row r="82" spans="1:39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VLOOKUP(AI82,'Inchidere contur'!$G:$U,15,FALSE)</f>
        <v>JT_SDI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_xlfn.CONCAT(AA32,".",2)</f>
        <v>RFSC_1.2</v>
      </c>
      <c r="AJ82" s="619"/>
      <c r="AK82" s="619"/>
      <c r="AL82" s="619"/>
      <c r="AM82" s="619"/>
    </row>
    <row r="83" spans="1:39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IF(LEFT(M82,2)="JT","0.4kV",IF(LEFT(M82,2)="MT","20kV","-"))</f>
        <v>0.4kV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5.95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775">
        <v>1369546423</v>
      </c>
      <c r="B87" s="776"/>
      <c r="C87" s="776"/>
      <c r="D87" s="776"/>
      <c r="E87" s="776"/>
      <c r="F87" s="777"/>
      <c r="G87" s="648" t="s">
        <v>730</v>
      </c>
      <c r="H87" s="648"/>
      <c r="I87" s="673"/>
      <c r="J87" s="655">
        <f>'Date masura OD'!$AK$5</f>
        <v>45748</v>
      </c>
      <c r="K87" s="656"/>
      <c r="L87" s="657"/>
      <c r="M87" s="720" t="s">
        <v>446</v>
      </c>
      <c r="N87" s="648"/>
      <c r="O87" s="648">
        <f>VLOOKUP(AI82,'Incrementare indexe'!$B:$T,4,FALSE)</f>
        <v>1</v>
      </c>
      <c r="P87" s="648"/>
      <c r="Q87" s="648"/>
      <c r="R87" s="647" t="str">
        <f>VLOOKUP(A87,Regularizare!$D:$YN,3,FALSE)&amp;" ("&amp;VLOOKUP(A87,Regularizare!$D:$Y,11,FALSE)&amp;")"</f>
        <v>5427255 (citit)</v>
      </c>
      <c r="S87" s="647"/>
      <c r="T87" s="647"/>
      <c r="U87" s="647" t="str">
        <f>VLOOKUP(A87,Regularizare!$D:$U,4,FALSE)&amp;" ("&amp;VLOOKUP(A87,Regularizare!$D:$U,12,FALSE)&amp;")"</f>
        <v>5510853 (estimat)</v>
      </c>
      <c r="V87" s="647"/>
      <c r="W87" s="647"/>
      <c r="X87" s="647" t="str">
        <f>VLOOKUP(A87,Regularizare!$D:$Y,19,FALSE)&amp;" ("&amp;VLOOKUP(A87,Regularizare!$D:$U,12,FALSE)&amp;")"</f>
        <v>83598 (estimat)</v>
      </c>
      <c r="Y87" s="647"/>
      <c r="Z87" s="647"/>
      <c r="AA87" s="647">
        <f>(-1)*VLOOKUP(A87,Regularizare!$D:$Y,19,FALSE)</f>
        <v>-83598</v>
      </c>
      <c r="AB87" s="647"/>
      <c r="AC87" s="647"/>
      <c r="AD87" s="647" t="s">
        <v>69</v>
      </c>
      <c r="AE87" s="647"/>
      <c r="AF87" s="647">
        <f>AA87</f>
        <v>-83598</v>
      </c>
      <c r="AG87" s="647"/>
      <c r="AH87" s="647"/>
      <c r="AI87" s="647" t="s">
        <v>69</v>
      </c>
      <c r="AJ87" s="647"/>
      <c r="AK87" s="647" t="s">
        <v>69</v>
      </c>
      <c r="AL87" s="647"/>
      <c r="AM87" s="647"/>
    </row>
    <row r="88" spans="1:39" ht="9.75" customHeight="1">
      <c r="A88" s="778"/>
      <c r="B88" s="779"/>
      <c r="C88" s="779"/>
      <c r="D88" s="779"/>
      <c r="E88" s="779"/>
      <c r="F88" s="780"/>
      <c r="G88" s="648"/>
      <c r="H88" s="648"/>
      <c r="I88" s="673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781"/>
      <c r="B89" s="782"/>
      <c r="C89" s="782"/>
      <c r="D89" s="782"/>
      <c r="E89" s="782"/>
      <c r="F89" s="783"/>
      <c r="G89" s="648"/>
      <c r="H89" s="648"/>
      <c r="I89" s="673"/>
      <c r="J89" s="714">
        <f>'Date masura OD'!$AL$5</f>
        <v>45777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775">
        <f>A87</f>
        <v>1369546423</v>
      </c>
      <c r="B90" s="776"/>
      <c r="C90" s="776"/>
      <c r="D90" s="776"/>
      <c r="E90" s="776"/>
      <c r="F90" s="777"/>
      <c r="G90" s="648" t="s">
        <v>696</v>
      </c>
      <c r="H90" s="648"/>
      <c r="I90" s="648"/>
      <c r="J90" s="655">
        <f t="shared" ref="J90:J95" si="3">J87</f>
        <v>45748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tr">
        <f>VLOOKUP(A90,Regularizare!$D:$U,7,FALSE)&amp;" ("&amp;VLOOKUP(A90,Regularizare!$D:$U,15,FALSE)&amp;")"</f>
        <v>328696 (citit)</v>
      </c>
      <c r="S90" s="647"/>
      <c r="T90" s="647"/>
      <c r="U90" s="647" t="str">
        <f>VLOOKUP(A90,Regularizare!$D:$U,8,FALSE)&amp;" ("&amp;VLOOKUP(A90,Regularizare!$D:$U,16,FALSE)&amp;")"</f>
        <v>328696 (estimat)</v>
      </c>
      <c r="V90" s="647"/>
      <c r="W90" s="647"/>
      <c r="X90" s="647" t="str">
        <f>_xlfn.CONCAT(VLOOKUP(A90,Regularizare!$D:$U,8,FALSE)-VLOOKUP(A90,Regularizare!$D:$U,7,FALSE)," (",VLOOKUP(A90,Regularizare!$D:$U,16,FALSE),")")</f>
        <v>0 (estimat)</v>
      </c>
      <c r="Y90" s="647"/>
      <c r="Z90" s="647"/>
      <c r="AA90" s="647">
        <f>IF(VLOOKUP(A90,Regularizare!$D:$Y,21,FALSE)=0,VLOOKUP(A90,Regularizare!$D:$Y,21,FALSE),(-1)*VLOOKUP(A90,Regularizare!$D:$Y,21,FALSE))</f>
        <v>0</v>
      </c>
      <c r="AB90" s="647"/>
      <c r="AC90" s="647"/>
      <c r="AD90" s="647" t="s">
        <v>69</v>
      </c>
      <c r="AE90" s="647"/>
      <c r="AF90" s="647">
        <f>AA90</f>
        <v>0</v>
      </c>
      <c r="AG90" s="647"/>
      <c r="AH90" s="647"/>
      <c r="AI90" s="647" t="str">
        <f>AI87</f>
        <v>-</v>
      </c>
      <c r="AJ90" s="647"/>
      <c r="AK90" s="647" t="str">
        <f>AK87</f>
        <v>-</v>
      </c>
      <c r="AL90" s="647"/>
      <c r="AM90" s="647"/>
    </row>
    <row r="91" spans="1:39" ht="8.4499999999999993" customHeight="1">
      <c r="A91" s="778"/>
      <c r="B91" s="779"/>
      <c r="C91" s="779"/>
      <c r="D91" s="779"/>
      <c r="E91" s="779"/>
      <c r="F91" s="780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781"/>
      <c r="B92" s="782"/>
      <c r="C92" s="782"/>
      <c r="D92" s="782"/>
      <c r="E92" s="782"/>
      <c r="F92" s="783"/>
      <c r="G92" s="648"/>
      <c r="H92" s="648"/>
      <c r="I92" s="648"/>
      <c r="J92" s="714">
        <f t="shared" si="3"/>
        <v>45777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775">
        <f>A90</f>
        <v>1369546423</v>
      </c>
      <c r="B93" s="776"/>
      <c r="C93" s="776"/>
      <c r="D93" s="776"/>
      <c r="E93" s="776"/>
      <c r="F93" s="777"/>
      <c r="G93" s="648" t="s">
        <v>731</v>
      </c>
      <c r="H93" s="648"/>
      <c r="I93" s="648"/>
      <c r="J93" s="655">
        <f t="shared" si="3"/>
        <v>45748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tr">
        <f>VLOOKUP(A93,Regularizare!$D:$U,9,FALSE)&amp;" ("&amp;VLOOKUP(A93,Regularizare!$D:$U,17,FALSE)&amp;")"</f>
        <v>69251 (citit)</v>
      </c>
      <c r="S93" s="647"/>
      <c r="T93" s="647"/>
      <c r="U93" s="647" t="str">
        <f>VLOOKUP(A93,Regularizare!$D:$U,10,FALSE)&amp;" ("&amp;VLOOKUP(A93,Regularizare!$D:$U,18,FALSE)&amp;")"</f>
        <v>69251 (estimat)</v>
      </c>
      <c r="V93" s="647"/>
      <c r="W93" s="647"/>
      <c r="X93" s="647" t="str">
        <f>_xlfn.CONCAT(VLOOKUP(A93,Regularizare!$D:$U,10,FALSE)-VLOOKUP(A93,Regularizare!$D:$U,9,FALSE)," (",VLOOKUP(A93,Regularizare!$D:$U,18,FALSE),")")</f>
        <v>0 (estimat)</v>
      </c>
      <c r="Y93" s="647"/>
      <c r="Z93" s="647"/>
      <c r="AA93" s="647">
        <f>IF(VLOOKUP(A93,Regularizare!$D:$Y,22,FALSE)=0,VLOOKUP(A93,Regularizare!$D:$Y,22,FALSE),(-1)*VLOOKUP(A93,Regularizare!$D:$Y,22,FALSE))</f>
        <v>0</v>
      </c>
      <c r="AB93" s="647"/>
      <c r="AC93" s="647"/>
      <c r="AD93" s="647" t="s">
        <v>69</v>
      </c>
      <c r="AE93" s="647"/>
      <c r="AF93" s="647">
        <f>AA93</f>
        <v>0</v>
      </c>
      <c r="AG93" s="647"/>
      <c r="AH93" s="647"/>
      <c r="AI93" s="647" t="str">
        <f>AI90</f>
        <v>-</v>
      </c>
      <c r="AJ93" s="647"/>
      <c r="AK93" s="647" t="str">
        <f>AK90</f>
        <v>-</v>
      </c>
      <c r="AL93" s="647"/>
      <c r="AM93" s="647"/>
    </row>
    <row r="94" spans="1:39" ht="8.4499999999999993" customHeight="1">
      <c r="A94" s="778"/>
      <c r="B94" s="779"/>
      <c r="C94" s="779"/>
      <c r="D94" s="779"/>
      <c r="E94" s="779"/>
      <c r="F94" s="780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781"/>
      <c r="B95" s="782"/>
      <c r="C95" s="782"/>
      <c r="D95" s="782"/>
      <c r="E95" s="782"/>
      <c r="F95" s="783"/>
      <c r="G95" s="648"/>
      <c r="H95" s="648"/>
      <c r="I95" s="648"/>
      <c r="J95" s="714">
        <f t="shared" si="3"/>
        <v>45777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775">
        <f>A93</f>
        <v>1369546423</v>
      </c>
      <c r="B96" s="776"/>
      <c r="C96" s="776"/>
      <c r="D96" s="776"/>
      <c r="E96" s="776"/>
      <c r="F96" s="777"/>
      <c r="G96" s="648" t="s">
        <v>730</v>
      </c>
      <c r="H96" s="648"/>
      <c r="I96" s="673"/>
      <c r="J96" s="655">
        <f>'Date masura OD'!$AK$5</f>
        <v>45748</v>
      </c>
      <c r="K96" s="656"/>
      <c r="L96" s="657"/>
      <c r="M96" s="720" t="s">
        <v>446</v>
      </c>
      <c r="N96" s="648"/>
      <c r="O96" s="648">
        <f>O93</f>
        <v>1</v>
      </c>
      <c r="P96" s="648"/>
      <c r="Q96" s="648"/>
      <c r="R96" s="647" t="str">
        <f>VLOOKUP(A96,Regularizare!$D:$AX,23,FALSE)&amp;" ("&amp;VLOOKUP(A96,Regularizare!$D:$AX,24,FALSE)&amp;")"</f>
        <v>5427255 (citit)</v>
      </c>
      <c r="S96" s="647"/>
      <c r="T96" s="647"/>
      <c r="U96" s="647" t="str">
        <f>VLOOKUP(A96,Regularizare!$D:$AX,25,FALSE)&amp;" ("&amp;VLOOKUP(A96,Regularizare!$D:$AX,26,FALSE)&amp;")"</f>
        <v>5510853 (citit)</v>
      </c>
      <c r="V96" s="647"/>
      <c r="W96" s="647"/>
      <c r="X96" s="647" t="str">
        <f>VLOOKUP(A96,Regularizare!$D:$AX,37,FALSE)&amp;" ("&amp;VLOOKUP(A96,Regularizare!$D:$AX,26,FALSE)&amp;")"</f>
        <v>83598 (citit)</v>
      </c>
      <c r="Y96" s="647"/>
      <c r="Z96" s="647"/>
      <c r="AA96" s="647">
        <f>VLOOKUP(A96,Regularizare!$D:$AX,37,FALSE)</f>
        <v>83598</v>
      </c>
      <c r="AB96" s="647"/>
      <c r="AC96" s="647"/>
      <c r="AD96" s="647" t="s">
        <v>69</v>
      </c>
      <c r="AE96" s="647"/>
      <c r="AF96" s="647">
        <f>AA96</f>
        <v>83598</v>
      </c>
      <c r="AG96" s="647"/>
      <c r="AH96" s="647"/>
      <c r="AI96" s="647" t="str">
        <f>AI93</f>
        <v>-</v>
      </c>
      <c r="AJ96" s="647"/>
      <c r="AK96" s="647" t="str">
        <f>AK93</f>
        <v>-</v>
      </c>
      <c r="AL96" s="647"/>
      <c r="AM96" s="647"/>
    </row>
    <row r="97" spans="1:39" ht="8.4499999999999993" customHeight="1">
      <c r="A97" s="778"/>
      <c r="B97" s="779"/>
      <c r="C97" s="779"/>
      <c r="D97" s="779"/>
      <c r="E97" s="779"/>
      <c r="F97" s="780"/>
      <c r="G97" s="648"/>
      <c r="H97" s="648"/>
      <c r="I97" s="673"/>
      <c r="J97" s="717" t="s">
        <v>69</v>
      </c>
      <c r="K97" s="718"/>
      <c r="L97" s="719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781"/>
      <c r="B98" s="782"/>
      <c r="C98" s="782"/>
      <c r="D98" s="782"/>
      <c r="E98" s="782"/>
      <c r="F98" s="783"/>
      <c r="G98" s="648"/>
      <c r="H98" s="648"/>
      <c r="I98" s="673"/>
      <c r="J98" s="714">
        <f>'Date masura OD'!$AL$5</f>
        <v>45777</v>
      </c>
      <c r="K98" s="715"/>
      <c r="L98" s="716"/>
      <c r="M98" s="720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775">
        <f>A96</f>
        <v>1369546423</v>
      </c>
      <c r="B99" s="776"/>
      <c r="C99" s="776"/>
      <c r="D99" s="776"/>
      <c r="E99" s="776"/>
      <c r="F99" s="777"/>
      <c r="G99" s="648" t="s">
        <v>696</v>
      </c>
      <c r="H99" s="648"/>
      <c r="I99" s="648"/>
      <c r="J99" s="655">
        <f t="shared" ref="J99:J104" si="4">J96</f>
        <v>45748</v>
      </c>
      <c r="K99" s="656"/>
      <c r="L99" s="657"/>
      <c r="M99" s="648" t="s">
        <v>720</v>
      </c>
      <c r="N99" s="648"/>
      <c r="O99" s="648">
        <f>O96</f>
        <v>1</v>
      </c>
      <c r="P99" s="648"/>
      <c r="Q99" s="648"/>
      <c r="R99" s="647" t="str">
        <f>VLOOKUP(A99,Regularizare!$D:$AX,29,FALSE)&amp;" ("&amp;VLOOKUP(A99,Regularizare!$D:$AX,30,FALSE)&amp;")"</f>
        <v>328696 (citit)</v>
      </c>
      <c r="S99" s="647"/>
      <c r="T99" s="647"/>
      <c r="U99" s="647" t="str">
        <f>VLOOKUP(A99,Regularizare!$D:$AX,31,FALSE)&amp;" ("&amp;VLOOKUP(A99,Regularizare!$D:$AX,32,FALSE)&amp;")"</f>
        <v>328696 (citit)</v>
      </c>
      <c r="V99" s="647"/>
      <c r="W99" s="647"/>
      <c r="X99" s="647" t="str">
        <f>VLOOKUP(A99,Regularizare!$D:$AX,39,FALSE)&amp;" ("&amp;VLOOKUP(A99,Regularizare!$D:$AX,32,FALSE)&amp;")"</f>
        <v>0 (citit)</v>
      </c>
      <c r="Y99" s="647"/>
      <c r="Z99" s="647"/>
      <c r="AA99" s="647">
        <f>VLOOKUP(A99,Regularizare!$D:$AX,44,FALSE)+VLOOKUP(A99,Regularizare!$D:$AX,45,FALSE)</f>
        <v>0</v>
      </c>
      <c r="AB99" s="647"/>
      <c r="AC99" s="647"/>
      <c r="AD99" s="647" t="s">
        <v>69</v>
      </c>
      <c r="AE99" s="647"/>
      <c r="AF99" s="647">
        <f>AA99</f>
        <v>0</v>
      </c>
      <c r="AG99" s="647"/>
      <c r="AH99" s="647"/>
      <c r="AI99" s="647" t="str">
        <f>AI96</f>
        <v>-</v>
      </c>
      <c r="AJ99" s="647"/>
      <c r="AK99" s="647" t="str">
        <f>AK96</f>
        <v>-</v>
      </c>
      <c r="AL99" s="647"/>
      <c r="AM99" s="647"/>
    </row>
    <row r="100" spans="1:39" ht="8.4499999999999993" customHeight="1">
      <c r="A100" s="778"/>
      <c r="B100" s="779"/>
      <c r="C100" s="779"/>
      <c r="D100" s="779"/>
      <c r="E100" s="779"/>
      <c r="F100" s="780"/>
      <c r="G100" s="648"/>
      <c r="H100" s="648"/>
      <c r="I100" s="648"/>
      <c r="J100" s="717" t="str">
        <f t="shared" si="4"/>
        <v>-</v>
      </c>
      <c r="K100" s="718"/>
      <c r="L100" s="719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781"/>
      <c r="B101" s="782"/>
      <c r="C101" s="782"/>
      <c r="D101" s="782"/>
      <c r="E101" s="782"/>
      <c r="F101" s="783"/>
      <c r="G101" s="648"/>
      <c r="H101" s="648"/>
      <c r="I101" s="648"/>
      <c r="J101" s="714">
        <f t="shared" si="4"/>
        <v>45777</v>
      </c>
      <c r="K101" s="715"/>
      <c r="L101" s="716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775">
        <f>A99</f>
        <v>1369546423</v>
      </c>
      <c r="B102" s="776"/>
      <c r="C102" s="776"/>
      <c r="D102" s="776"/>
      <c r="E102" s="776"/>
      <c r="F102" s="777"/>
      <c r="G102" s="648" t="s">
        <v>731</v>
      </c>
      <c r="H102" s="648"/>
      <c r="I102" s="648"/>
      <c r="J102" s="655">
        <f t="shared" si="4"/>
        <v>45748</v>
      </c>
      <c r="K102" s="656"/>
      <c r="L102" s="657"/>
      <c r="M102" s="648" t="s">
        <v>720</v>
      </c>
      <c r="N102" s="648"/>
      <c r="O102" s="648">
        <f>O99</f>
        <v>1</v>
      </c>
      <c r="P102" s="648"/>
      <c r="Q102" s="648"/>
      <c r="R102" s="647" t="str">
        <f>VLOOKUP(A102,Regularizare!$D:$AX,33,FALSE)&amp;" ("&amp;VLOOKUP(A102,Regularizare!$D:$AX,34,FALSE)&amp;")"</f>
        <v>69251 (citit)</v>
      </c>
      <c r="S102" s="647"/>
      <c r="T102" s="647"/>
      <c r="U102" s="647" t="str">
        <f>VLOOKUP(A102,Regularizare!$D:$AX,35,FALSE)&amp;" ("&amp;VLOOKUP(A102,Regularizare!$D:$AX,36,FALSE)&amp;")"</f>
        <v>69251 (citit)</v>
      </c>
      <c r="V102" s="647"/>
      <c r="W102" s="647"/>
      <c r="X102" s="647" t="str">
        <f>VLOOKUP(A102,Regularizare!$D:$AX,40,FALSE)&amp;" ("&amp;VLOOKUP(A102,Regularizare!$D:$AX,36,FALSE)&amp;")"</f>
        <v>0 (citit)</v>
      </c>
      <c r="Y102" s="647"/>
      <c r="Z102" s="647"/>
      <c r="AA102" s="647">
        <f>VLOOKUP(A102,Regularizare!$D:$AX,46,FALSE)+VLOOKUP(A102,Regularizare!$D:$AX,47,FALSE)</f>
        <v>0</v>
      </c>
      <c r="AB102" s="647"/>
      <c r="AC102" s="647"/>
      <c r="AD102" s="647" t="s">
        <v>69</v>
      </c>
      <c r="AE102" s="647"/>
      <c r="AF102" s="647">
        <f>AA102</f>
        <v>0</v>
      </c>
      <c r="AG102" s="647"/>
      <c r="AH102" s="647"/>
      <c r="AI102" s="647" t="str">
        <f>AI99</f>
        <v>-</v>
      </c>
      <c r="AJ102" s="647"/>
      <c r="AK102" s="647" t="str">
        <f>AK99</f>
        <v>-</v>
      </c>
      <c r="AL102" s="647"/>
      <c r="AM102" s="647"/>
    </row>
    <row r="103" spans="1:39" ht="8.4499999999999993" customHeight="1">
      <c r="A103" s="778"/>
      <c r="B103" s="779"/>
      <c r="C103" s="779"/>
      <c r="D103" s="779"/>
      <c r="E103" s="779"/>
      <c r="F103" s="780"/>
      <c r="G103" s="648"/>
      <c r="H103" s="648"/>
      <c r="I103" s="648"/>
      <c r="J103" s="717" t="str">
        <f t="shared" si="4"/>
        <v>-</v>
      </c>
      <c r="K103" s="718"/>
      <c r="L103" s="719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781"/>
      <c r="B104" s="782"/>
      <c r="C104" s="782"/>
      <c r="D104" s="782"/>
      <c r="E104" s="782"/>
      <c r="F104" s="783"/>
      <c r="G104" s="648"/>
      <c r="H104" s="648"/>
      <c r="I104" s="648"/>
      <c r="J104" s="714">
        <f t="shared" si="4"/>
        <v>45777</v>
      </c>
      <c r="K104" s="715"/>
      <c r="L104" s="716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775">
        <f>A102</f>
        <v>1369546423</v>
      </c>
      <c r="B105" s="776"/>
      <c r="C105" s="776"/>
      <c r="D105" s="776"/>
      <c r="E105" s="776"/>
      <c r="F105" s="777"/>
      <c r="G105" s="648" t="s">
        <v>730</v>
      </c>
      <c r="H105" s="648"/>
      <c r="I105" s="673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O102</f>
        <v>1</v>
      </c>
      <c r="P105" s="648"/>
      <c r="Q105" s="648"/>
      <c r="R105" s="647" t="str">
        <f>U96</f>
        <v>5510853 (citit)</v>
      </c>
      <c r="S105" s="647"/>
      <c r="T105" s="647"/>
      <c r="U105" s="647" t="str">
        <f>VLOOKUP(A105,'Incrementare indexe'!$D:$M,4,FALSE)&amp;" (estimat)"</f>
        <v>5597092 (estimat)</v>
      </c>
      <c r="V105" s="647"/>
      <c r="W105" s="647"/>
      <c r="X105" s="647" t="str">
        <f>VLOOKUP(A105,'Incrementare indexe'!$D:$Q,11,FALSE)&amp;" (estimat)"</f>
        <v>86239 (estimat)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VLOOKUP(A105,'Incrementare indexe'!$D:$Q,11,FALSE)</f>
        <v>86239</v>
      </c>
      <c r="AG105" s="647"/>
      <c r="AH105" s="647"/>
      <c r="AI105" s="647">
        <f>J107-J105+1</f>
        <v>31</v>
      </c>
      <c r="AJ105" s="647"/>
      <c r="AK105" s="647">
        <f>ROUND(AF105/AI105,2)</f>
        <v>2781.9</v>
      </c>
      <c r="AL105" s="647"/>
      <c r="AM105" s="647"/>
    </row>
    <row r="106" spans="1:39" ht="8.4499999999999993" customHeight="1">
      <c r="A106" s="778"/>
      <c r="B106" s="779"/>
      <c r="C106" s="779"/>
      <c r="D106" s="779"/>
      <c r="E106" s="779"/>
      <c r="F106" s="780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781"/>
      <c r="B107" s="782"/>
      <c r="C107" s="782"/>
      <c r="D107" s="782"/>
      <c r="E107" s="782"/>
      <c r="F107" s="783"/>
      <c r="G107" s="648"/>
      <c r="H107" s="648"/>
      <c r="I107" s="673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775">
        <f>A105</f>
        <v>1369546423</v>
      </c>
      <c r="B108" s="776"/>
      <c r="C108" s="776"/>
      <c r="D108" s="776"/>
      <c r="E108" s="776"/>
      <c r="F108" s="777"/>
      <c r="G108" s="648" t="s">
        <v>696</v>
      </c>
      <c r="H108" s="648"/>
      <c r="I108" s="648"/>
      <c r="J108" s="655">
        <f t="shared" ref="J108:J113" si="5">J105</f>
        <v>45778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U99</f>
        <v>328696 (citit)</v>
      </c>
      <c r="S108" s="647"/>
      <c r="T108" s="647"/>
      <c r="U108" s="647" t="str">
        <f>VLOOKUP(A108,'Incrementare indexe'!$D:$M,8,FALSE)&amp;" (estimat)"</f>
        <v>328696 (estimat)</v>
      </c>
      <c r="V108" s="647"/>
      <c r="W108" s="647"/>
      <c r="X108" s="647" t="str">
        <f>VLOOKUP(A108,'Incrementare indexe'!$D:$Q,12,FALSE)&amp;" (estimat)"</f>
        <v>0 (estimat)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f>VLOOKUP(A108,'Incrementare indexe'!$D:$Q,12,FALSE)</f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8.4499999999999993" customHeight="1">
      <c r="A109" s="778"/>
      <c r="B109" s="779"/>
      <c r="C109" s="779"/>
      <c r="D109" s="779"/>
      <c r="E109" s="779"/>
      <c r="F109" s="780"/>
      <c r="G109" s="648"/>
      <c r="H109" s="648"/>
      <c r="I109" s="648"/>
      <c r="J109" s="717" t="str">
        <f t="shared" si="5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781"/>
      <c r="B110" s="782"/>
      <c r="C110" s="782"/>
      <c r="D110" s="782"/>
      <c r="E110" s="782"/>
      <c r="F110" s="783"/>
      <c r="G110" s="648"/>
      <c r="H110" s="648"/>
      <c r="I110" s="648"/>
      <c r="J110" s="714">
        <f t="shared" si="5"/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775">
        <f>A108</f>
        <v>1369546423</v>
      </c>
      <c r="B111" s="776"/>
      <c r="C111" s="776"/>
      <c r="D111" s="776"/>
      <c r="E111" s="776"/>
      <c r="F111" s="777"/>
      <c r="G111" s="648" t="s">
        <v>731</v>
      </c>
      <c r="H111" s="648"/>
      <c r="I111" s="648"/>
      <c r="J111" s="655">
        <f t="shared" si="5"/>
        <v>45778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U102</f>
        <v>69251 (citit)</v>
      </c>
      <c r="S111" s="647"/>
      <c r="T111" s="647"/>
      <c r="U111" s="647" t="str">
        <f>VLOOKUP(A111,'Incrementare indexe'!$D:$M,10,FALSE)&amp;" (estimat)"</f>
        <v>69251 (estimat)</v>
      </c>
      <c r="V111" s="647"/>
      <c r="W111" s="647"/>
      <c r="X111" s="647" t="str">
        <f>VLOOKUP(A111,'Incrementare indexe'!$D:$Q,13,FALSE)&amp;" (estimat)"</f>
        <v>0 (estimat)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f>VLOOKUP(A111,'Incrementare indexe'!$D:$Q,13,FALSE)</f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8.4499999999999993" customHeight="1">
      <c r="A112" s="778"/>
      <c r="B112" s="779"/>
      <c r="C112" s="779"/>
      <c r="D112" s="779"/>
      <c r="E112" s="779"/>
      <c r="F112" s="780"/>
      <c r="G112" s="648"/>
      <c r="H112" s="648"/>
      <c r="I112" s="648"/>
      <c r="J112" s="717" t="str">
        <f t="shared" si="5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781"/>
      <c r="B113" s="782"/>
      <c r="C113" s="782"/>
      <c r="D113" s="782"/>
      <c r="E113" s="782"/>
      <c r="F113" s="783"/>
      <c r="G113" s="648"/>
      <c r="H113" s="648"/>
      <c r="I113" s="648"/>
      <c r="J113" s="714">
        <f t="shared" si="5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>
      <c r="A116" s="721" t="s">
        <v>1196</v>
      </c>
      <c r="B116" s="722"/>
      <c r="C116" s="722"/>
      <c r="D116" s="722"/>
      <c r="E116" s="722"/>
      <c r="F116" s="722"/>
      <c r="G116" s="722"/>
      <c r="H116" s="722"/>
      <c r="I116" s="722"/>
      <c r="J116" s="722"/>
      <c r="K116" s="722"/>
      <c r="L116" s="722"/>
      <c r="M116" s="722"/>
      <c r="N116" s="722"/>
      <c r="O116" s="722"/>
      <c r="P116" s="722"/>
      <c r="Q116" s="722"/>
      <c r="R116" s="722"/>
      <c r="S116" s="722"/>
      <c r="T116" s="722"/>
      <c r="U116" s="722"/>
      <c r="V116" s="722"/>
      <c r="W116" s="722"/>
      <c r="X116" s="722"/>
      <c r="Y116" s="722"/>
      <c r="Z116" s="722"/>
      <c r="AA116" s="722"/>
      <c r="AB116" s="722"/>
      <c r="AC116" s="722"/>
      <c r="AD116" s="722"/>
      <c r="AE116" s="722"/>
      <c r="AF116" s="722"/>
      <c r="AG116" s="722"/>
      <c r="AH116" s="723"/>
      <c r="AI116" s="650" t="s">
        <v>695</v>
      </c>
      <c r="AJ116" s="650"/>
      <c r="AK116" s="650"/>
      <c r="AL116" s="650"/>
      <c r="AM116" s="650"/>
    </row>
    <row r="117" spans="1:39" ht="14.1" customHeight="1">
      <c r="A117" s="649" t="s">
        <v>746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514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 t="str">
        <f>_xlfn.CONCAT(AI82,"/PV")</f>
        <v>RFSC_1.2/PV</v>
      </c>
      <c r="AJ117" s="619"/>
      <c r="AK117" s="619"/>
      <c r="AL117" s="619"/>
      <c r="AM117" s="619"/>
    </row>
    <row r="118" spans="1:39" ht="14.1" customHeight="1">
      <c r="A118" s="649" t="s">
        <v>747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1087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/>
      <c r="AJ118" s="619"/>
      <c r="AK118" s="619"/>
      <c r="AL118" s="619"/>
      <c r="AM118" s="619"/>
    </row>
    <row r="119" spans="1:39" ht="14.1" customHeight="1">
      <c r="A119" s="648" t="s">
        <v>697</v>
      </c>
      <c r="B119" s="648"/>
      <c r="C119" s="648"/>
      <c r="D119" s="648"/>
      <c r="E119" s="648"/>
      <c r="F119" s="648"/>
      <c r="G119" s="647" t="s">
        <v>713</v>
      </c>
      <c r="H119" s="647"/>
      <c r="I119" s="647"/>
      <c r="J119" s="647" t="s">
        <v>714</v>
      </c>
      <c r="K119" s="647"/>
      <c r="L119" s="647"/>
      <c r="M119" s="648" t="s">
        <v>519</v>
      </c>
      <c r="N119" s="648"/>
      <c r="O119" s="648" t="s">
        <v>715</v>
      </c>
      <c r="P119" s="648"/>
      <c r="Q119" s="648"/>
      <c r="R119" s="647" t="s">
        <v>732</v>
      </c>
      <c r="S119" s="647"/>
      <c r="T119" s="647"/>
      <c r="U119" s="647" t="s">
        <v>734</v>
      </c>
      <c r="V119" s="647"/>
      <c r="W119" s="647"/>
      <c r="X119" s="647" t="s">
        <v>1085</v>
      </c>
      <c r="Y119" s="647"/>
      <c r="Z119" s="647"/>
      <c r="AA119" s="647" t="s">
        <v>1086</v>
      </c>
      <c r="AB119" s="647"/>
      <c r="AC119" s="647"/>
      <c r="AD119" s="647" t="s">
        <v>717</v>
      </c>
      <c r="AE119" s="647"/>
      <c r="AF119" s="647" t="s">
        <v>718</v>
      </c>
      <c r="AG119" s="647"/>
      <c r="AH119" s="647"/>
      <c r="AI119" s="647" t="s">
        <v>719</v>
      </c>
      <c r="AJ119" s="647"/>
      <c r="AK119" s="647" t="s">
        <v>733</v>
      </c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647"/>
      <c r="K120" s="647"/>
      <c r="L120" s="647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713"/>
      <c r="K121" s="713"/>
      <c r="L121" s="713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775">
        <f>VLOOKUP(AI117,'Incrementare indexe'!$B:$I,3,FALSE)</f>
        <v>1371019871</v>
      </c>
      <c r="B122" s="776"/>
      <c r="C122" s="776"/>
      <c r="D122" s="776"/>
      <c r="E122" s="776"/>
      <c r="F122" s="777"/>
      <c r="G122" s="647" t="s">
        <v>1088</v>
      </c>
      <c r="H122" s="647"/>
      <c r="I122" s="675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VLOOKUP(AI117,'Incrementare indexe'!$B:$I,4,FALSE)</f>
        <v>1</v>
      </c>
      <c r="P122" s="648"/>
      <c r="Q122" s="648"/>
      <c r="R122" s="647" t="str">
        <f>VLOOKUP(AI117,'Incrementare indexe'!$B:$I,7,FALSE)&amp;" (citit)"</f>
        <v>813501 (citit)</v>
      </c>
      <c r="S122" s="647"/>
      <c r="T122" s="647"/>
      <c r="U122" s="647" t="str">
        <f>VLOOKUP(AI117,'Incrementare indexe'!$B:$I,8,FALSE)&amp;" (citit)"</f>
        <v>857604 (citit)</v>
      </c>
      <c r="V122" s="647"/>
      <c r="W122" s="647"/>
      <c r="X122" s="647" t="str">
        <f>(VLOOKUP(AI117,'Incrementare indexe'!$B:$I,8,FALSE)-VLOOKUP(AI117,'Incrementare indexe'!$B:$I,7,FALSE))&amp;" (citit)"</f>
        <v>44103 (citit)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(VLOOKUP(AI117,'Incrementare indexe'!$B:$I,8,FALSE)-VLOOKUP(AI117,'Incrementare indexe'!$B:$I,7,FALSE))</f>
        <v>44103</v>
      </c>
      <c r="AG122" s="647"/>
      <c r="AH122" s="647"/>
      <c r="AI122" s="647">
        <f>J124-J122+1</f>
        <v>31</v>
      </c>
      <c r="AJ122" s="647"/>
      <c r="AK122" s="647">
        <f>ROUND(AF122/AI122,2)</f>
        <v>1422.68</v>
      </c>
      <c r="AL122" s="647"/>
      <c r="AM122" s="647"/>
    </row>
    <row r="123" spans="1:39" ht="14.1" customHeight="1">
      <c r="A123" s="778"/>
      <c r="B123" s="779"/>
      <c r="C123" s="779"/>
      <c r="D123" s="779"/>
      <c r="E123" s="779"/>
      <c r="F123" s="780"/>
      <c r="G123" s="647"/>
      <c r="H123" s="647"/>
      <c r="I123" s="675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781"/>
      <c r="B124" s="782"/>
      <c r="C124" s="782"/>
      <c r="D124" s="782"/>
      <c r="E124" s="782"/>
      <c r="F124" s="783"/>
      <c r="G124" s="647"/>
      <c r="H124" s="647"/>
      <c r="I124" s="675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1371019871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">
        <v>1089</v>
      </c>
      <c r="S125" s="647"/>
      <c r="T125" s="647"/>
      <c r="U125" s="647" t="s">
        <v>1089</v>
      </c>
      <c r="V125" s="647"/>
      <c r="W125" s="647"/>
      <c r="X125" s="647" t="s">
        <v>1089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14.1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1371019871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">
        <v>1089</v>
      </c>
      <c r="S128" s="647"/>
      <c r="T128" s="647"/>
      <c r="U128" s="647" t="s">
        <v>1089</v>
      </c>
      <c r="V128" s="647"/>
      <c r="W128" s="647"/>
      <c r="X128" s="647" t="s">
        <v>1089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14.1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/>
    <row r="132" spans="1:39" ht="14.1" customHeight="1"/>
    <row r="133" spans="1:39" ht="14.1" customHeight="1"/>
    <row r="134" spans="1:39">
      <c r="A134" s="649" t="s">
        <v>748</v>
      </c>
      <c r="B134" s="649"/>
      <c r="C134" s="649"/>
      <c r="D134" s="649"/>
      <c r="E134" s="649"/>
      <c r="F134" s="649"/>
      <c r="G134" s="649"/>
      <c r="H134" s="649"/>
      <c r="I134" s="649"/>
      <c r="J134" s="649"/>
      <c r="K134" s="649"/>
      <c r="L134" s="649"/>
      <c r="M134" s="650" t="str">
        <f>VLOOKUP(AI135,'Contorizare in SDI'!$E:$I,4,FALSE)</f>
        <v>594020200002317122/3</v>
      </c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50" t="s">
        <v>695</v>
      </c>
      <c r="AJ134" s="650"/>
      <c r="AK134" s="650"/>
      <c r="AL134" s="650"/>
      <c r="AM134" s="650"/>
    </row>
    <row r="135" spans="1:39">
      <c r="A135" s="649" t="s">
        <v>746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VLOOKUP(AI135,'Inchidere contur'!$G:$U,15,FALSE)</f>
        <v>JT_SDI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 t="str">
        <f>_xlfn.CONCAT(AA32,".",3)</f>
        <v>RFSC_1.3</v>
      </c>
      <c r="AJ135" s="619"/>
      <c r="AK135" s="619"/>
      <c r="AL135" s="619"/>
      <c r="AM135" s="619"/>
    </row>
    <row r="136" spans="1:39">
      <c r="A136" s="649" t="s">
        <v>747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IF(LEFT(M135,2)="JT","0.4kV",IF(LEFT(M135,2)="MT","20kV","-"))</f>
        <v>0.4kV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/>
      <c r="AJ136" s="619"/>
      <c r="AK136" s="619"/>
      <c r="AL136" s="619"/>
      <c r="AM136" s="619"/>
    </row>
    <row r="137" spans="1:39" ht="15.95" customHeight="1">
      <c r="A137" s="648" t="s">
        <v>697</v>
      </c>
      <c r="B137" s="648"/>
      <c r="C137" s="648"/>
      <c r="D137" s="648"/>
      <c r="E137" s="648"/>
      <c r="F137" s="648"/>
      <c r="G137" s="647" t="s">
        <v>713</v>
      </c>
      <c r="H137" s="647"/>
      <c r="I137" s="647"/>
      <c r="J137" s="647" t="s">
        <v>714</v>
      </c>
      <c r="K137" s="647"/>
      <c r="L137" s="647"/>
      <c r="M137" s="648" t="s">
        <v>519</v>
      </c>
      <c r="N137" s="648"/>
      <c r="O137" s="648" t="s">
        <v>715</v>
      </c>
      <c r="P137" s="648"/>
      <c r="Q137" s="648"/>
      <c r="R137" s="647" t="s">
        <v>732</v>
      </c>
      <c r="S137" s="647"/>
      <c r="T137" s="647"/>
      <c r="U137" s="647" t="s">
        <v>734</v>
      </c>
      <c r="V137" s="647"/>
      <c r="W137" s="647"/>
      <c r="X137" s="647" t="s">
        <v>1085</v>
      </c>
      <c r="Y137" s="647"/>
      <c r="Z137" s="647"/>
      <c r="AA137" s="647" t="s">
        <v>1086</v>
      </c>
      <c r="AB137" s="647"/>
      <c r="AC137" s="647"/>
      <c r="AD137" s="647" t="s">
        <v>717</v>
      </c>
      <c r="AE137" s="647"/>
      <c r="AF137" s="647" t="s">
        <v>718</v>
      </c>
      <c r="AG137" s="647"/>
      <c r="AH137" s="647"/>
      <c r="AI137" s="647" t="s">
        <v>719</v>
      </c>
      <c r="AJ137" s="647"/>
      <c r="AK137" s="647" t="s">
        <v>733</v>
      </c>
      <c r="AL137" s="647"/>
      <c r="AM137" s="647"/>
    </row>
    <row r="138" spans="1:39">
      <c r="A138" s="648"/>
      <c r="B138" s="648"/>
      <c r="C138" s="648"/>
      <c r="D138" s="648"/>
      <c r="E138" s="648"/>
      <c r="F138" s="648"/>
      <c r="G138" s="647"/>
      <c r="H138" s="647"/>
      <c r="I138" s="647"/>
      <c r="J138" s="647"/>
      <c r="K138" s="647"/>
      <c r="L138" s="647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>
      <c r="A139" s="648"/>
      <c r="B139" s="648"/>
      <c r="C139" s="648"/>
      <c r="D139" s="648"/>
      <c r="E139" s="648"/>
      <c r="F139" s="648"/>
      <c r="G139" s="647"/>
      <c r="H139" s="647"/>
      <c r="I139" s="647"/>
      <c r="J139" s="713"/>
      <c r="K139" s="713"/>
      <c r="L139" s="713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775">
        <v>1369357831</v>
      </c>
      <c r="B140" s="776"/>
      <c r="C140" s="776"/>
      <c r="D140" s="776"/>
      <c r="E140" s="776"/>
      <c r="F140" s="777"/>
      <c r="G140" s="648" t="s">
        <v>730</v>
      </c>
      <c r="H140" s="648"/>
      <c r="I140" s="673"/>
      <c r="J140" s="655">
        <f>'Date masura OD'!$AK$5</f>
        <v>45748</v>
      </c>
      <c r="K140" s="656"/>
      <c r="L140" s="657"/>
      <c r="M140" s="720" t="s">
        <v>446</v>
      </c>
      <c r="N140" s="648"/>
      <c r="O140" s="648">
        <f>VLOOKUP(AI135,'Incrementare indexe'!$B:$T,4,FALSE)</f>
        <v>1</v>
      </c>
      <c r="P140" s="648"/>
      <c r="Q140" s="648"/>
      <c r="R140" s="647" t="str">
        <f>VLOOKUP(A140,Regularizare!$D:$YN,3,FALSE)&amp;" ("&amp;VLOOKUP(A140,Regularizare!$D:$Y,11,FALSE)&amp;")"</f>
        <v>4194097 (citit)</v>
      </c>
      <c r="S140" s="647"/>
      <c r="T140" s="647"/>
      <c r="U140" s="647" t="str">
        <f>VLOOKUP(A140,Regularizare!$D:$U,4,FALSE)&amp;" ("&amp;VLOOKUP(A140,Regularizare!$D:$U,12,FALSE)&amp;")"</f>
        <v>4253038 (estimat)</v>
      </c>
      <c r="V140" s="647"/>
      <c r="W140" s="647"/>
      <c r="X140" s="647" t="str">
        <f>VLOOKUP(A140,Regularizare!$D:$Y,19,FALSE)&amp;" ("&amp;VLOOKUP(A140,Regularizare!$D:$U,12,FALSE)&amp;")"</f>
        <v>58941 (estimat)</v>
      </c>
      <c r="Y140" s="647"/>
      <c r="Z140" s="647"/>
      <c r="AA140" s="647">
        <f>(-1)*VLOOKUP(A140,Regularizare!$D:$Y,19,FALSE)</f>
        <v>-58941</v>
      </c>
      <c r="AB140" s="647"/>
      <c r="AC140" s="647"/>
      <c r="AD140" s="647" t="s">
        <v>69</v>
      </c>
      <c r="AE140" s="647"/>
      <c r="AF140" s="647">
        <f>AA140</f>
        <v>-58941</v>
      </c>
      <c r="AG140" s="647"/>
      <c r="AH140" s="647"/>
      <c r="AI140" s="647" t="s">
        <v>69</v>
      </c>
      <c r="AJ140" s="647"/>
      <c r="AK140" s="647" t="s">
        <v>69</v>
      </c>
      <c r="AL140" s="647"/>
      <c r="AM140" s="647"/>
    </row>
    <row r="141" spans="1:39" ht="9.75" customHeight="1">
      <c r="A141" s="778"/>
      <c r="B141" s="779"/>
      <c r="C141" s="779"/>
      <c r="D141" s="779"/>
      <c r="E141" s="779"/>
      <c r="F141" s="780"/>
      <c r="G141" s="648"/>
      <c r="H141" s="648"/>
      <c r="I141" s="673"/>
      <c r="J141" s="717" t="s">
        <v>69</v>
      </c>
      <c r="K141" s="718"/>
      <c r="L141" s="719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781"/>
      <c r="B142" s="782"/>
      <c r="C142" s="782"/>
      <c r="D142" s="782"/>
      <c r="E142" s="782"/>
      <c r="F142" s="783"/>
      <c r="G142" s="648"/>
      <c r="H142" s="648"/>
      <c r="I142" s="673"/>
      <c r="J142" s="714">
        <f>'Date masura OD'!$AL$5</f>
        <v>45777</v>
      </c>
      <c r="K142" s="715"/>
      <c r="L142" s="716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1369357831</v>
      </c>
      <c r="B143" s="679"/>
      <c r="C143" s="679"/>
      <c r="D143" s="679"/>
      <c r="E143" s="679"/>
      <c r="F143" s="680"/>
      <c r="G143" s="648" t="s">
        <v>696</v>
      </c>
      <c r="H143" s="648"/>
      <c r="I143" s="648"/>
      <c r="J143" s="655">
        <f t="shared" ref="J143:J148" si="7">J140</f>
        <v>45748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tr">
        <f>VLOOKUP(A143,Regularizare!$D:$U,7,FALSE)&amp;" ("&amp;VLOOKUP(A143,Regularizare!$D:$U,15,FALSE)&amp;")"</f>
        <v>181116 (citit)</v>
      </c>
      <c r="S143" s="647"/>
      <c r="T143" s="647"/>
      <c r="U143" s="647" t="str">
        <f>VLOOKUP(A143,Regularizare!$D:$U,8,FALSE)&amp;" ("&amp;VLOOKUP(A143,Regularizare!$D:$U,16,FALSE)&amp;")"</f>
        <v>181116 (estimat)</v>
      </c>
      <c r="V143" s="647"/>
      <c r="W143" s="647"/>
      <c r="X143" s="647" t="str">
        <f>_xlfn.CONCAT(VLOOKUP(A143,Regularizare!$D:$U,8,FALSE)-VLOOKUP(A143,Regularizare!$D:$U,7,FALSE)," (",VLOOKUP(A143,Regularizare!$D:$U,16,FALSE),")")</f>
        <v>0 (estimat)</v>
      </c>
      <c r="Y143" s="647"/>
      <c r="Z143" s="647"/>
      <c r="AA143" s="647">
        <f>IF(VLOOKUP(A143,Regularizare!$D:$Y,21,FALSE)=0,VLOOKUP(A143,Regularizare!$D:$Y,21,FALSE),(-1)*VLOOKUP(A143,Regularizare!$D:$Y,21,FALSE))</f>
        <v>0</v>
      </c>
      <c r="AB143" s="647"/>
      <c r="AC143" s="647"/>
      <c r="AD143" s="647" t="s">
        <v>69</v>
      </c>
      <c r="AE143" s="647"/>
      <c r="AF143" s="647">
        <f>AA143</f>
        <v>0</v>
      </c>
      <c r="AG143" s="647"/>
      <c r="AH143" s="647"/>
      <c r="AI143" s="647" t="str">
        <f>AI140</f>
        <v>-</v>
      </c>
      <c r="AJ143" s="647"/>
      <c r="AK143" s="647" t="str">
        <f>AK140</f>
        <v>-</v>
      </c>
      <c r="AL143" s="647"/>
      <c r="AM143" s="647"/>
    </row>
    <row r="144" spans="1:39" ht="8.4499999999999993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7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7"/>
        <v>45777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1369357831</v>
      </c>
      <c r="B146" s="679"/>
      <c r="C146" s="679"/>
      <c r="D146" s="679"/>
      <c r="E146" s="679"/>
      <c r="F146" s="680"/>
      <c r="G146" s="648" t="s">
        <v>731</v>
      </c>
      <c r="H146" s="648"/>
      <c r="I146" s="648"/>
      <c r="J146" s="655">
        <f t="shared" si="7"/>
        <v>45748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tr">
        <f>VLOOKUP(A146,Regularizare!$D:$U,9,FALSE)&amp;" ("&amp;VLOOKUP(A146,Regularizare!$D:$U,17,FALSE)&amp;")"</f>
        <v>105944 (citit)</v>
      </c>
      <c r="S146" s="647"/>
      <c r="T146" s="647"/>
      <c r="U146" s="647" t="str">
        <f>VLOOKUP(A146,Regularizare!$D:$U,10,FALSE)&amp;" ("&amp;VLOOKUP(A146,Regularizare!$D:$U,18,FALSE)&amp;")"</f>
        <v>105944 (estimat)</v>
      </c>
      <c r="V146" s="647"/>
      <c r="W146" s="647"/>
      <c r="X146" s="647" t="str">
        <f>_xlfn.CONCAT(VLOOKUP(A146,Regularizare!$D:$U,10,FALSE)-VLOOKUP(A146,Regularizare!$D:$U,9,FALSE)," (",VLOOKUP(A146,Regularizare!$D:$U,18,FALSE),")")</f>
        <v>0 (estimat)</v>
      </c>
      <c r="Y146" s="647"/>
      <c r="Z146" s="647"/>
      <c r="AA146" s="647">
        <f>IF(VLOOKUP(A146,Regularizare!$D:$Y,22,FALSE)=0,VLOOKUP(A146,Regularizare!$D:$Y,22,FALSE),(-1)*VLOOKUP(A146,Regularizare!$D:$Y,22,FALSE))</f>
        <v>0</v>
      </c>
      <c r="AB146" s="647"/>
      <c r="AC146" s="647"/>
      <c r="AD146" s="647" t="s">
        <v>69</v>
      </c>
      <c r="AE146" s="647"/>
      <c r="AF146" s="647">
        <f>AA146</f>
        <v>0</v>
      </c>
      <c r="AG146" s="647"/>
      <c r="AH146" s="647"/>
      <c r="AI146" s="647" t="str">
        <f>AI143</f>
        <v>-</v>
      </c>
      <c r="AJ146" s="647"/>
      <c r="AK146" s="647" t="str">
        <f>AK143</f>
        <v>-</v>
      </c>
      <c r="AL146" s="647"/>
      <c r="AM146" s="647"/>
    </row>
    <row r="147" spans="1:39" ht="8.4499999999999993" customHeight="1">
      <c r="A147" s="717"/>
      <c r="B147" s="718"/>
      <c r="C147" s="718"/>
      <c r="D147" s="718"/>
      <c r="E147" s="718"/>
      <c r="F147" s="719"/>
      <c r="G147" s="648"/>
      <c r="H147" s="648"/>
      <c r="I147" s="648"/>
      <c r="J147" s="717" t="str">
        <f t="shared" si="7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48"/>
      <c r="J148" s="714">
        <f t="shared" si="7"/>
        <v>45777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78">
        <f>A146</f>
        <v>1369357831</v>
      </c>
      <c r="B149" s="679"/>
      <c r="C149" s="679"/>
      <c r="D149" s="679"/>
      <c r="E149" s="679"/>
      <c r="F149" s="680"/>
      <c r="G149" s="648" t="s">
        <v>730</v>
      </c>
      <c r="H149" s="648"/>
      <c r="I149" s="673"/>
      <c r="J149" s="655">
        <f>'Date masura OD'!$AK$5</f>
        <v>45748</v>
      </c>
      <c r="K149" s="656"/>
      <c r="L149" s="657"/>
      <c r="M149" s="720" t="s">
        <v>446</v>
      </c>
      <c r="N149" s="648"/>
      <c r="O149" s="648">
        <f>O146</f>
        <v>1</v>
      </c>
      <c r="P149" s="648"/>
      <c r="Q149" s="648"/>
      <c r="R149" s="647" t="str">
        <f>VLOOKUP(A149,Regularizare!$D:$AX,23,FALSE)&amp;" ("&amp;VLOOKUP(A149,Regularizare!$D:$AX,24,FALSE)&amp;")"</f>
        <v>4194097 (citit)</v>
      </c>
      <c r="S149" s="647"/>
      <c r="T149" s="647"/>
      <c r="U149" s="647" t="str">
        <f>VLOOKUP(A149,Regularizare!$D:$AX,25,FALSE)&amp;" ("&amp;VLOOKUP(A149,Regularizare!$D:$AX,26,FALSE)&amp;")"</f>
        <v>4253038 (citit)</v>
      </c>
      <c r="V149" s="647"/>
      <c r="W149" s="647"/>
      <c r="X149" s="647" t="str">
        <f>VLOOKUP(A149,Regularizare!$D:$AX,37,FALSE)&amp;" ("&amp;VLOOKUP(A149,Regularizare!$D:$AX,26,FALSE)&amp;")"</f>
        <v>58941 (citit)</v>
      </c>
      <c r="Y149" s="647"/>
      <c r="Z149" s="647"/>
      <c r="AA149" s="647">
        <f>VLOOKUP(A149,Regularizare!$D:$AX,37,FALSE)</f>
        <v>58941</v>
      </c>
      <c r="AB149" s="647"/>
      <c r="AC149" s="647"/>
      <c r="AD149" s="647" t="s">
        <v>69</v>
      </c>
      <c r="AE149" s="647"/>
      <c r="AF149" s="647">
        <f>AA149</f>
        <v>58941</v>
      </c>
      <c r="AG149" s="647"/>
      <c r="AH149" s="647"/>
      <c r="AI149" s="647" t="str">
        <f>AI146</f>
        <v>-</v>
      </c>
      <c r="AJ149" s="647"/>
      <c r="AK149" s="647" t="str">
        <f>AK146</f>
        <v>-</v>
      </c>
      <c r="AL149" s="647"/>
      <c r="AM149" s="647"/>
    </row>
    <row r="150" spans="1:39" ht="8.4499999999999993" customHeight="1">
      <c r="A150" s="717"/>
      <c r="B150" s="718"/>
      <c r="C150" s="718"/>
      <c r="D150" s="718"/>
      <c r="E150" s="718"/>
      <c r="F150" s="719"/>
      <c r="G150" s="648"/>
      <c r="H150" s="648"/>
      <c r="I150" s="673"/>
      <c r="J150" s="717" t="s">
        <v>69</v>
      </c>
      <c r="K150" s="718"/>
      <c r="L150" s="719"/>
      <c r="M150" s="720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1"/>
      <c r="B151" s="682"/>
      <c r="C151" s="682"/>
      <c r="D151" s="682"/>
      <c r="E151" s="682"/>
      <c r="F151" s="683"/>
      <c r="G151" s="648"/>
      <c r="H151" s="648"/>
      <c r="I151" s="673"/>
      <c r="J151" s="714">
        <f>'Date masura OD'!$AL$5</f>
        <v>45777</v>
      </c>
      <c r="K151" s="715"/>
      <c r="L151" s="716"/>
      <c r="M151" s="720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78">
        <f>A149</f>
        <v>1369357831</v>
      </c>
      <c r="B152" s="679"/>
      <c r="C152" s="679"/>
      <c r="D152" s="679"/>
      <c r="E152" s="679"/>
      <c r="F152" s="680"/>
      <c r="G152" s="648" t="s">
        <v>696</v>
      </c>
      <c r="H152" s="648"/>
      <c r="I152" s="648"/>
      <c r="J152" s="655">
        <f t="shared" ref="J152:J157" si="8">J149</f>
        <v>45748</v>
      </c>
      <c r="K152" s="656"/>
      <c r="L152" s="657"/>
      <c r="M152" s="648" t="s">
        <v>720</v>
      </c>
      <c r="N152" s="648"/>
      <c r="O152" s="648">
        <f>O149</f>
        <v>1</v>
      </c>
      <c r="P152" s="648"/>
      <c r="Q152" s="648"/>
      <c r="R152" s="647" t="str">
        <f>VLOOKUP(A152,Regularizare!$D:$AX,29,FALSE)&amp;" ("&amp;VLOOKUP(A152,Regularizare!$D:$AX,30,FALSE)&amp;")"</f>
        <v>181116 (citit)</v>
      </c>
      <c r="S152" s="647"/>
      <c r="T152" s="647"/>
      <c r="U152" s="647" t="str">
        <f>VLOOKUP(A152,Regularizare!$D:$AX,31,FALSE)&amp;" ("&amp;VLOOKUP(A152,Regularizare!$D:$AX,32,FALSE)&amp;")"</f>
        <v>181116 (citit)</v>
      </c>
      <c r="V152" s="647"/>
      <c r="W152" s="647"/>
      <c r="X152" s="647" t="str">
        <f>VLOOKUP(A152,Regularizare!$D:$AX,39,FALSE)&amp;" ("&amp;VLOOKUP(A152,Regularizare!$D:$AX,32,FALSE)&amp;")"</f>
        <v>0 (citit)</v>
      </c>
      <c r="Y152" s="647"/>
      <c r="Z152" s="647"/>
      <c r="AA152" s="647">
        <f>VLOOKUP(A152,Regularizare!$D:$AX,44,FALSE)+VLOOKUP(A152,Regularizare!$D:$AX,45,FALSE)</f>
        <v>0</v>
      </c>
      <c r="AB152" s="647"/>
      <c r="AC152" s="647"/>
      <c r="AD152" s="647" t="s">
        <v>69</v>
      </c>
      <c r="AE152" s="647"/>
      <c r="AF152" s="647">
        <f>AA152</f>
        <v>0</v>
      </c>
      <c r="AG152" s="647"/>
      <c r="AH152" s="647"/>
      <c r="AI152" s="647" t="str">
        <f>AI149</f>
        <v>-</v>
      </c>
      <c r="AJ152" s="647"/>
      <c r="AK152" s="647" t="str">
        <f>AK149</f>
        <v>-</v>
      </c>
      <c r="AL152" s="647"/>
      <c r="AM152" s="647"/>
    </row>
    <row r="153" spans="1:39" ht="8.4499999999999993" customHeight="1">
      <c r="A153" s="717"/>
      <c r="B153" s="718"/>
      <c r="C153" s="718"/>
      <c r="D153" s="718"/>
      <c r="E153" s="718"/>
      <c r="F153" s="719"/>
      <c r="G153" s="648"/>
      <c r="H153" s="648"/>
      <c r="I153" s="648"/>
      <c r="J153" s="717" t="str">
        <f t="shared" si="8"/>
        <v>-</v>
      </c>
      <c r="K153" s="718"/>
      <c r="L153" s="719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1"/>
      <c r="B154" s="682"/>
      <c r="C154" s="682"/>
      <c r="D154" s="682"/>
      <c r="E154" s="682"/>
      <c r="F154" s="683"/>
      <c r="G154" s="648"/>
      <c r="H154" s="648"/>
      <c r="I154" s="648"/>
      <c r="J154" s="714">
        <f t="shared" si="8"/>
        <v>45777</v>
      </c>
      <c r="K154" s="715"/>
      <c r="L154" s="716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78">
        <f>A152</f>
        <v>1369357831</v>
      </c>
      <c r="B155" s="679"/>
      <c r="C155" s="679"/>
      <c r="D155" s="679"/>
      <c r="E155" s="679"/>
      <c r="F155" s="680"/>
      <c r="G155" s="648" t="s">
        <v>731</v>
      </c>
      <c r="H155" s="648"/>
      <c r="I155" s="648"/>
      <c r="J155" s="655">
        <f t="shared" si="8"/>
        <v>45748</v>
      </c>
      <c r="K155" s="656"/>
      <c r="L155" s="657"/>
      <c r="M155" s="648" t="s">
        <v>720</v>
      </c>
      <c r="N155" s="648"/>
      <c r="O155" s="648">
        <f>O152</f>
        <v>1</v>
      </c>
      <c r="P155" s="648"/>
      <c r="Q155" s="648"/>
      <c r="R155" s="647" t="str">
        <f>VLOOKUP(A155,Regularizare!$D:$AX,33,FALSE)&amp;" ("&amp;VLOOKUP(A155,Regularizare!$D:$AX,34,FALSE)&amp;")"</f>
        <v>105944 (citit)</v>
      </c>
      <c r="S155" s="647"/>
      <c r="T155" s="647"/>
      <c r="U155" s="647" t="str">
        <f>VLOOKUP(A155,Regularizare!$D:$AX,35,FALSE)&amp;" ("&amp;VLOOKUP(A155,Regularizare!$D:$AX,36,FALSE)&amp;")"</f>
        <v>105944 (citit)</v>
      </c>
      <c r="V155" s="647"/>
      <c r="W155" s="647"/>
      <c r="X155" s="647" t="str">
        <f>VLOOKUP(A155,Regularizare!$D:$AX,40,FALSE)&amp;" ("&amp;VLOOKUP(A155,Regularizare!$D:$AX,36,FALSE)&amp;")"</f>
        <v>0 (citit)</v>
      </c>
      <c r="Y155" s="647"/>
      <c r="Z155" s="647"/>
      <c r="AA155" s="647">
        <f>VLOOKUP(A155,Regularizare!$D:$AX,46,FALSE)+VLOOKUP(A155,Regularizare!$D:$AX,47,FALSE)</f>
        <v>0</v>
      </c>
      <c r="AB155" s="647"/>
      <c r="AC155" s="647"/>
      <c r="AD155" s="647" t="s">
        <v>69</v>
      </c>
      <c r="AE155" s="647"/>
      <c r="AF155" s="647">
        <f>AA155</f>
        <v>0</v>
      </c>
      <c r="AG155" s="647"/>
      <c r="AH155" s="647"/>
      <c r="AI155" s="647" t="str">
        <f>AI152</f>
        <v>-</v>
      </c>
      <c r="AJ155" s="647"/>
      <c r="AK155" s="647" t="str">
        <f>AK152</f>
        <v>-</v>
      </c>
      <c r="AL155" s="647"/>
      <c r="AM155" s="647"/>
    </row>
    <row r="156" spans="1:39" ht="8.4499999999999993" customHeight="1">
      <c r="A156" s="717"/>
      <c r="B156" s="718"/>
      <c r="C156" s="718"/>
      <c r="D156" s="718"/>
      <c r="E156" s="718"/>
      <c r="F156" s="719"/>
      <c r="G156" s="648"/>
      <c r="H156" s="648"/>
      <c r="I156" s="648"/>
      <c r="J156" s="717" t="str">
        <f t="shared" si="8"/>
        <v>-</v>
      </c>
      <c r="K156" s="718"/>
      <c r="L156" s="719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1"/>
      <c r="B157" s="682"/>
      <c r="C157" s="682"/>
      <c r="D157" s="682"/>
      <c r="E157" s="682"/>
      <c r="F157" s="683"/>
      <c r="G157" s="648"/>
      <c r="H157" s="648"/>
      <c r="I157" s="648"/>
      <c r="J157" s="714">
        <f t="shared" si="8"/>
        <v>45777</v>
      </c>
      <c r="K157" s="715"/>
      <c r="L157" s="716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78">
        <f>A155</f>
        <v>1369357831</v>
      </c>
      <c r="B158" s="679"/>
      <c r="C158" s="679"/>
      <c r="D158" s="679"/>
      <c r="E158" s="679"/>
      <c r="F158" s="680"/>
      <c r="G158" s="648" t="s">
        <v>730</v>
      </c>
      <c r="H158" s="648"/>
      <c r="I158" s="673"/>
      <c r="J158" s="655">
        <f>'Date masura OD'!$I$5</f>
        <v>45778</v>
      </c>
      <c r="K158" s="656"/>
      <c r="L158" s="657"/>
      <c r="M158" s="720" t="s">
        <v>446</v>
      </c>
      <c r="N158" s="648"/>
      <c r="O158" s="648">
        <f>O155</f>
        <v>1</v>
      </c>
      <c r="P158" s="648"/>
      <c r="Q158" s="648"/>
      <c r="R158" s="647" t="str">
        <f>U149</f>
        <v>4253038 (citit)</v>
      </c>
      <c r="S158" s="647"/>
      <c r="T158" s="647"/>
      <c r="U158" s="647" t="str">
        <f>VLOOKUP(A158,'Incrementare indexe'!$D:$M,4,FALSE)&amp;" (estimat)"</f>
        <v>4311903 (estimat)</v>
      </c>
      <c r="V158" s="647"/>
      <c r="W158" s="647"/>
      <c r="X158" s="647" t="str">
        <f>VLOOKUP(A158,'Incrementare indexe'!$D:$Q,11,FALSE)&amp;" (estimat)"</f>
        <v>58865 (estimat)</v>
      </c>
      <c r="Y158" s="647"/>
      <c r="Z158" s="647"/>
      <c r="AA158" s="647" t="s">
        <v>69</v>
      </c>
      <c r="AB158" s="647"/>
      <c r="AC158" s="647"/>
      <c r="AD158" s="647" t="s">
        <v>69</v>
      </c>
      <c r="AE158" s="647"/>
      <c r="AF158" s="647">
        <f>VLOOKUP(A158,'Incrementare indexe'!$D:$Q,11,FALSE)</f>
        <v>58865</v>
      </c>
      <c r="AG158" s="647"/>
      <c r="AH158" s="647"/>
      <c r="AI158" s="647">
        <f>J160-J158+1</f>
        <v>31</v>
      </c>
      <c r="AJ158" s="647"/>
      <c r="AK158" s="647">
        <f>ROUND(AF158/AI158,2)</f>
        <v>1898.87</v>
      </c>
      <c r="AL158" s="647"/>
      <c r="AM158" s="647"/>
    </row>
    <row r="159" spans="1:39" ht="8.4499999999999993" customHeight="1">
      <c r="A159" s="717"/>
      <c r="B159" s="718"/>
      <c r="C159" s="718"/>
      <c r="D159" s="718"/>
      <c r="E159" s="718"/>
      <c r="F159" s="719"/>
      <c r="G159" s="648"/>
      <c r="H159" s="648"/>
      <c r="I159" s="673"/>
      <c r="J159" s="717" t="s">
        <v>69</v>
      </c>
      <c r="K159" s="718"/>
      <c r="L159" s="719"/>
      <c r="M159" s="720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1"/>
      <c r="B160" s="682"/>
      <c r="C160" s="682"/>
      <c r="D160" s="682"/>
      <c r="E160" s="682"/>
      <c r="F160" s="683"/>
      <c r="G160" s="648"/>
      <c r="H160" s="648"/>
      <c r="I160" s="673"/>
      <c r="J160" s="714">
        <f>'Date masura OD'!$J$5</f>
        <v>45808</v>
      </c>
      <c r="K160" s="715"/>
      <c r="L160" s="716"/>
      <c r="M160" s="720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78">
        <f>A158</f>
        <v>1369357831</v>
      </c>
      <c r="B161" s="679"/>
      <c r="C161" s="679"/>
      <c r="D161" s="679"/>
      <c r="E161" s="679"/>
      <c r="F161" s="680"/>
      <c r="G161" s="648" t="s">
        <v>696</v>
      </c>
      <c r="H161" s="648"/>
      <c r="I161" s="648"/>
      <c r="J161" s="655">
        <f t="shared" ref="J161:J166" si="9">J158</f>
        <v>45778</v>
      </c>
      <c r="K161" s="656"/>
      <c r="L161" s="657"/>
      <c r="M161" s="648" t="s">
        <v>720</v>
      </c>
      <c r="N161" s="648"/>
      <c r="O161" s="648">
        <f>O158</f>
        <v>1</v>
      </c>
      <c r="P161" s="648"/>
      <c r="Q161" s="648"/>
      <c r="R161" s="647" t="str">
        <f>U152</f>
        <v>181116 (citit)</v>
      </c>
      <c r="S161" s="647"/>
      <c r="T161" s="647"/>
      <c r="U161" s="647" t="str">
        <f>VLOOKUP(A161,'Incrementare indexe'!$D:$M,8,FALSE)&amp;" (estimat)"</f>
        <v>181116 (estimat)</v>
      </c>
      <c r="V161" s="647"/>
      <c r="W161" s="647"/>
      <c r="X161" s="647" t="str">
        <f>VLOOKUP(A161,'Incrementare indexe'!$D:$Q,12,FALSE)&amp;" (estimat)"</f>
        <v>0 (estimat)</v>
      </c>
      <c r="Y161" s="647"/>
      <c r="Z161" s="647"/>
      <c r="AA161" s="647" t="s">
        <v>69</v>
      </c>
      <c r="AB161" s="647"/>
      <c r="AC161" s="647"/>
      <c r="AD161" s="647" t="s">
        <v>69</v>
      </c>
      <c r="AE161" s="647"/>
      <c r="AF161" s="647">
        <f>VLOOKUP(A161,'Incrementare indexe'!$D:$Q,12,FALSE)</f>
        <v>0</v>
      </c>
      <c r="AG161" s="647"/>
      <c r="AH161" s="647"/>
      <c r="AI161" s="647">
        <f>AI158</f>
        <v>31</v>
      </c>
      <c r="AJ161" s="647"/>
      <c r="AK161" s="647">
        <f>ROUND(AF161/AI161,2)</f>
        <v>0</v>
      </c>
      <c r="AL161" s="647"/>
      <c r="AM161" s="647"/>
    </row>
    <row r="162" spans="1:39" ht="8.4499999999999993" customHeight="1">
      <c r="A162" s="717"/>
      <c r="B162" s="718"/>
      <c r="C162" s="718"/>
      <c r="D162" s="718"/>
      <c r="E162" s="718"/>
      <c r="F162" s="719"/>
      <c r="G162" s="648"/>
      <c r="H162" s="648"/>
      <c r="I162" s="648"/>
      <c r="J162" s="717" t="str">
        <f t="shared" si="9"/>
        <v>-</v>
      </c>
      <c r="K162" s="718"/>
      <c r="L162" s="719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1"/>
      <c r="B163" s="682"/>
      <c r="C163" s="682"/>
      <c r="D163" s="682"/>
      <c r="E163" s="682"/>
      <c r="F163" s="683"/>
      <c r="G163" s="648"/>
      <c r="H163" s="648"/>
      <c r="I163" s="648"/>
      <c r="J163" s="714">
        <f t="shared" si="9"/>
        <v>45808</v>
      </c>
      <c r="K163" s="715"/>
      <c r="L163" s="716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78">
        <f>A161</f>
        <v>1369357831</v>
      </c>
      <c r="B164" s="679"/>
      <c r="C164" s="679"/>
      <c r="D164" s="679"/>
      <c r="E164" s="679"/>
      <c r="F164" s="680"/>
      <c r="G164" s="648" t="s">
        <v>731</v>
      </c>
      <c r="H164" s="648"/>
      <c r="I164" s="648"/>
      <c r="J164" s="655">
        <f t="shared" si="9"/>
        <v>45778</v>
      </c>
      <c r="K164" s="656"/>
      <c r="L164" s="657"/>
      <c r="M164" s="648" t="s">
        <v>720</v>
      </c>
      <c r="N164" s="648"/>
      <c r="O164" s="648">
        <f>O161</f>
        <v>1</v>
      </c>
      <c r="P164" s="648"/>
      <c r="Q164" s="648"/>
      <c r="R164" s="647" t="str">
        <f>U155</f>
        <v>105944 (citit)</v>
      </c>
      <c r="S164" s="647"/>
      <c r="T164" s="647"/>
      <c r="U164" s="647" t="str">
        <f>VLOOKUP(A164,'Incrementare indexe'!$D:$M,10,FALSE)&amp;" (estimat)"</f>
        <v>105944 (estimat)</v>
      </c>
      <c r="V164" s="647"/>
      <c r="W164" s="647"/>
      <c r="X164" s="647" t="str">
        <f>VLOOKUP(A164,'Incrementare indexe'!$D:$Q,13,FALSE)&amp;" (estimat)"</f>
        <v>0 (estimat)</v>
      </c>
      <c r="Y164" s="647"/>
      <c r="Z164" s="647"/>
      <c r="AA164" s="647" t="s">
        <v>69</v>
      </c>
      <c r="AB164" s="647"/>
      <c r="AC164" s="647"/>
      <c r="AD164" s="647" t="s">
        <v>69</v>
      </c>
      <c r="AE164" s="647"/>
      <c r="AF164" s="647">
        <f>VLOOKUP(A164,'Incrementare indexe'!$D:$Q,13,FALSE)</f>
        <v>0</v>
      </c>
      <c r="AG164" s="647"/>
      <c r="AH164" s="647"/>
      <c r="AI164" s="647">
        <f>AI161</f>
        <v>31</v>
      </c>
      <c r="AJ164" s="647"/>
      <c r="AK164" s="647">
        <f>ROUND(AF164/AI164,2)</f>
        <v>0</v>
      </c>
      <c r="AL164" s="647"/>
      <c r="AM164" s="647"/>
    </row>
    <row r="165" spans="1:39" ht="8.4499999999999993" customHeight="1">
      <c r="A165" s="717"/>
      <c r="B165" s="718"/>
      <c r="C165" s="718"/>
      <c r="D165" s="718"/>
      <c r="E165" s="718"/>
      <c r="F165" s="719"/>
      <c r="G165" s="648"/>
      <c r="H165" s="648"/>
      <c r="I165" s="648"/>
      <c r="J165" s="717" t="str">
        <f t="shared" si="9"/>
        <v>-</v>
      </c>
      <c r="K165" s="718"/>
      <c r="L165" s="719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81"/>
      <c r="B166" s="682"/>
      <c r="C166" s="682"/>
      <c r="D166" s="682"/>
      <c r="E166" s="682"/>
      <c r="F166" s="683"/>
      <c r="G166" s="648"/>
      <c r="H166" s="648"/>
      <c r="I166" s="648"/>
      <c r="J166" s="714">
        <f t="shared" si="9"/>
        <v>45808</v>
      </c>
      <c r="K166" s="715"/>
      <c r="L166" s="716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/>
    <row r="168" spans="1:39" ht="14.1" customHeight="1"/>
    <row r="169" spans="1:39" ht="14.1" customHeight="1"/>
    <row r="170" spans="1:39" ht="14.1" customHeight="1"/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 ht="14.1" customHeight="1"/>
    <row r="187" spans="1:39">
      <c r="A187" s="649" t="s">
        <v>748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VLOOKUP(AI188,'Contorizare in SDI'!$E:$I,4,FALSE)</f>
        <v>594020200002317122/4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50" t="s">
        <v>695</v>
      </c>
      <c r="AJ187" s="650"/>
      <c r="AK187" s="650"/>
      <c r="AL187" s="650"/>
      <c r="AM187" s="650"/>
    </row>
    <row r="188" spans="1:39">
      <c r="A188" s="649" t="s">
        <v>746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VLOOKUP(AI188,'Inchidere contur'!$G:$U,15,FALSE)</f>
        <v>JT_SDI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 t="str">
        <f>_xlfn.CONCAT(AA32,".",4)</f>
        <v>RFSC_1.4</v>
      </c>
      <c r="AJ188" s="619"/>
      <c r="AK188" s="619"/>
      <c r="AL188" s="619"/>
      <c r="AM188" s="619"/>
    </row>
    <row r="189" spans="1:39">
      <c r="A189" s="649" t="s">
        <v>747</v>
      </c>
      <c r="B189" s="649"/>
      <c r="C189" s="649"/>
      <c r="D189" s="649"/>
      <c r="E189" s="649"/>
      <c r="F189" s="649"/>
      <c r="G189" s="649"/>
      <c r="H189" s="649"/>
      <c r="I189" s="649"/>
      <c r="J189" s="649"/>
      <c r="K189" s="649"/>
      <c r="L189" s="649"/>
      <c r="M189" s="650" t="str">
        <f>IF(LEFT(M188,2)="JT","0.4kV",IF(LEFT(M188,2)="MT","20kV","-"))</f>
        <v>0.4kV</v>
      </c>
      <c r="N189" s="650"/>
      <c r="O189" s="650"/>
      <c r="P189" s="650"/>
      <c r="Q189" s="650"/>
      <c r="R189" s="650"/>
      <c r="S189" s="650"/>
      <c r="T189" s="650"/>
      <c r="U189" s="650"/>
      <c r="V189" s="650"/>
      <c r="W189" s="650"/>
      <c r="X189" s="650"/>
      <c r="Y189" s="650"/>
      <c r="Z189" s="650"/>
      <c r="AA189" s="650"/>
      <c r="AB189" s="650"/>
      <c r="AC189" s="650"/>
      <c r="AD189" s="650"/>
      <c r="AE189" s="650"/>
      <c r="AF189" s="650"/>
      <c r="AG189" s="650"/>
      <c r="AH189" s="650"/>
      <c r="AI189" s="619"/>
      <c r="AJ189" s="619"/>
      <c r="AK189" s="619"/>
      <c r="AL189" s="619"/>
      <c r="AM189" s="619"/>
    </row>
    <row r="190" spans="1:39" ht="15.95" customHeight="1">
      <c r="A190" s="648" t="s">
        <v>697</v>
      </c>
      <c r="B190" s="648"/>
      <c r="C190" s="648"/>
      <c r="D190" s="648"/>
      <c r="E190" s="648"/>
      <c r="F190" s="648"/>
      <c r="G190" s="647" t="s">
        <v>713</v>
      </c>
      <c r="H190" s="647"/>
      <c r="I190" s="647"/>
      <c r="J190" s="647" t="s">
        <v>714</v>
      </c>
      <c r="K190" s="647"/>
      <c r="L190" s="647"/>
      <c r="M190" s="648" t="s">
        <v>519</v>
      </c>
      <c r="N190" s="648"/>
      <c r="O190" s="648" t="s">
        <v>715</v>
      </c>
      <c r="P190" s="648"/>
      <c r="Q190" s="648"/>
      <c r="R190" s="647" t="s">
        <v>732</v>
      </c>
      <c r="S190" s="647"/>
      <c r="T190" s="647"/>
      <c r="U190" s="647" t="s">
        <v>734</v>
      </c>
      <c r="V190" s="647"/>
      <c r="W190" s="647"/>
      <c r="X190" s="647" t="s">
        <v>1085</v>
      </c>
      <c r="Y190" s="647"/>
      <c r="Z190" s="647"/>
      <c r="AA190" s="647" t="s">
        <v>1086</v>
      </c>
      <c r="AB190" s="647"/>
      <c r="AC190" s="647"/>
      <c r="AD190" s="647" t="s">
        <v>717</v>
      </c>
      <c r="AE190" s="647"/>
      <c r="AF190" s="647" t="s">
        <v>718</v>
      </c>
      <c r="AG190" s="647"/>
      <c r="AH190" s="647"/>
      <c r="AI190" s="647" t="s">
        <v>719</v>
      </c>
      <c r="AJ190" s="647"/>
      <c r="AK190" s="647" t="s">
        <v>733</v>
      </c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647"/>
      <c r="K191" s="647"/>
      <c r="L191" s="647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>
      <c r="A192" s="648"/>
      <c r="B192" s="648"/>
      <c r="C192" s="648"/>
      <c r="D192" s="648"/>
      <c r="E192" s="648"/>
      <c r="F192" s="648"/>
      <c r="G192" s="647"/>
      <c r="H192" s="647"/>
      <c r="I192" s="647"/>
      <c r="J192" s="713"/>
      <c r="K192" s="713"/>
      <c r="L192" s="713"/>
      <c r="M192" s="648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 ht="14.1" customHeight="1">
      <c r="A193" s="678" t="s">
        <v>1018</v>
      </c>
      <c r="B193" s="679"/>
      <c r="C193" s="679"/>
      <c r="D193" s="679"/>
      <c r="E193" s="679"/>
      <c r="F193" s="680"/>
      <c r="G193" s="648" t="s">
        <v>730</v>
      </c>
      <c r="H193" s="648"/>
      <c r="I193" s="673"/>
      <c r="J193" s="655">
        <f>'Date masura OD'!$AK$5</f>
        <v>45748</v>
      </c>
      <c r="K193" s="656"/>
      <c r="L193" s="657"/>
      <c r="M193" s="720" t="s">
        <v>446</v>
      </c>
      <c r="N193" s="648"/>
      <c r="O193" s="648">
        <f>VLOOKUP(AI188,'Incrementare indexe'!$B:$T,4,FALSE)</f>
        <v>1</v>
      </c>
      <c r="P193" s="648"/>
      <c r="Q193" s="648"/>
      <c r="R193" s="647" t="str">
        <f>VLOOKUP(A193,Regularizare!$D:$YN,3,FALSE)&amp;" ("&amp;VLOOKUP(A193,Regularizare!$D:$Y,11,FALSE)&amp;")"</f>
        <v>2637662.5 (citit)</v>
      </c>
      <c r="S193" s="647"/>
      <c r="T193" s="647"/>
      <c r="U193" s="647" t="str">
        <f>VLOOKUP(A193,Regularizare!$D:$U,4,FALSE)&amp;" ("&amp;VLOOKUP(A193,Regularizare!$D:$U,12,FALSE)&amp;")"</f>
        <v>2949532.5 (estimat)</v>
      </c>
      <c r="V193" s="647"/>
      <c r="W193" s="647"/>
      <c r="X193" s="647" t="str">
        <f>VLOOKUP(A193,Regularizare!$D:$Y,19,FALSE)&amp;" ("&amp;VLOOKUP(A193,Regularizare!$D:$U,12,FALSE)&amp;")"</f>
        <v>311870 (estimat)</v>
      </c>
      <c r="Y193" s="647"/>
      <c r="Z193" s="647"/>
      <c r="AA193" s="647">
        <f>(-1)*VLOOKUP(A193,Regularizare!$D:$Y,19,FALSE)</f>
        <v>-311870</v>
      </c>
      <c r="AB193" s="647"/>
      <c r="AC193" s="647"/>
      <c r="AD193" s="647" t="s">
        <v>69</v>
      </c>
      <c r="AE193" s="647"/>
      <c r="AF193" s="647">
        <f>AA193</f>
        <v>-311870</v>
      </c>
      <c r="AG193" s="647"/>
      <c r="AH193" s="647"/>
      <c r="AI193" s="647" t="s">
        <v>69</v>
      </c>
      <c r="AJ193" s="647"/>
      <c r="AK193" s="647" t="s">
        <v>69</v>
      </c>
      <c r="AL193" s="647"/>
      <c r="AM193" s="647"/>
    </row>
    <row r="194" spans="1:39" ht="9.75" customHeight="1">
      <c r="A194" s="717"/>
      <c r="B194" s="718"/>
      <c r="C194" s="718"/>
      <c r="D194" s="718"/>
      <c r="E194" s="718"/>
      <c r="F194" s="719"/>
      <c r="G194" s="648"/>
      <c r="H194" s="648"/>
      <c r="I194" s="673"/>
      <c r="J194" s="717" t="s">
        <v>69</v>
      </c>
      <c r="K194" s="718"/>
      <c r="L194" s="719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1"/>
      <c r="B195" s="682"/>
      <c r="C195" s="682"/>
      <c r="D195" s="682"/>
      <c r="E195" s="682"/>
      <c r="F195" s="683"/>
      <c r="G195" s="648"/>
      <c r="H195" s="648"/>
      <c r="I195" s="673"/>
      <c r="J195" s="714">
        <f>'Date masura OD'!$AL$5</f>
        <v>45777</v>
      </c>
      <c r="K195" s="715"/>
      <c r="L195" s="716"/>
      <c r="M195" s="720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78" t="str">
        <f>A193</f>
        <v>V.2826354/4</v>
      </c>
      <c r="B196" s="679"/>
      <c r="C196" s="679"/>
      <c r="D196" s="679"/>
      <c r="E196" s="679"/>
      <c r="F196" s="680"/>
      <c r="G196" s="648" t="s">
        <v>696</v>
      </c>
      <c r="H196" s="648"/>
      <c r="I196" s="648"/>
      <c r="J196" s="655">
        <f t="shared" ref="J196:J201" si="10">J193</f>
        <v>45748</v>
      </c>
      <c r="K196" s="656"/>
      <c r="L196" s="657"/>
      <c r="M196" s="648" t="s">
        <v>720</v>
      </c>
      <c r="N196" s="648"/>
      <c r="O196" s="648">
        <f>O193</f>
        <v>1</v>
      </c>
      <c r="P196" s="648"/>
      <c r="Q196" s="648"/>
      <c r="R196" s="647" t="str">
        <f>VLOOKUP(A196,Regularizare!$D:$U,7,FALSE)&amp;" ("&amp;VLOOKUP(A196,Regularizare!$D:$U,15,FALSE)&amp;")"</f>
        <v>90050 (citit)</v>
      </c>
      <c r="S196" s="647"/>
      <c r="T196" s="647"/>
      <c r="U196" s="647" t="str">
        <f>VLOOKUP(A196,Regularizare!$D:$U,8,FALSE)&amp;" ("&amp;VLOOKUP(A196,Regularizare!$D:$U,16,FALSE)&amp;")"</f>
        <v>90050 (estimat)</v>
      </c>
      <c r="V196" s="647"/>
      <c r="W196" s="647"/>
      <c r="X196" s="647" t="str">
        <f>_xlfn.CONCAT(VLOOKUP(A196,Regularizare!$D:$U,8,FALSE)-VLOOKUP(A196,Regularizare!$D:$U,7,FALSE)," (",VLOOKUP(A196,Regularizare!$D:$U,16,FALSE),")")</f>
        <v>0 (estimat)</v>
      </c>
      <c r="Y196" s="647"/>
      <c r="Z196" s="647"/>
      <c r="AA196" s="647">
        <f>IF(VLOOKUP(A196,Regularizare!$D:$Y,21,FALSE)=0,VLOOKUP(A196,Regularizare!$D:$Y,21,FALSE),(-1)*VLOOKUP(A196,Regularizare!$D:$Y,21,FALSE))</f>
        <v>0</v>
      </c>
      <c r="AB196" s="647"/>
      <c r="AC196" s="647"/>
      <c r="AD196" s="647" t="s">
        <v>69</v>
      </c>
      <c r="AE196" s="647"/>
      <c r="AF196" s="647">
        <f>AA196</f>
        <v>0</v>
      </c>
      <c r="AG196" s="647"/>
      <c r="AH196" s="647"/>
      <c r="AI196" s="647" t="str">
        <f>AI193</f>
        <v>-</v>
      </c>
      <c r="AJ196" s="647"/>
      <c r="AK196" s="647" t="str">
        <f>AK193</f>
        <v>-</v>
      </c>
      <c r="AL196" s="647"/>
      <c r="AM196" s="647"/>
    </row>
    <row r="197" spans="1:39" ht="8.4499999999999993" customHeight="1">
      <c r="A197" s="717"/>
      <c r="B197" s="718"/>
      <c r="C197" s="718"/>
      <c r="D197" s="718"/>
      <c r="E197" s="718"/>
      <c r="F197" s="719"/>
      <c r="G197" s="648"/>
      <c r="H197" s="648"/>
      <c r="I197" s="648"/>
      <c r="J197" s="717" t="str">
        <f t="shared" si="10"/>
        <v>-</v>
      </c>
      <c r="K197" s="718"/>
      <c r="L197" s="719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1"/>
      <c r="B198" s="682"/>
      <c r="C198" s="682"/>
      <c r="D198" s="682"/>
      <c r="E198" s="682"/>
      <c r="F198" s="683"/>
      <c r="G198" s="648"/>
      <c r="H198" s="648"/>
      <c r="I198" s="648"/>
      <c r="J198" s="714">
        <f t="shared" si="10"/>
        <v>45777</v>
      </c>
      <c r="K198" s="715"/>
      <c r="L198" s="716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78" t="str">
        <f>A196</f>
        <v>V.2826354/4</v>
      </c>
      <c r="B199" s="679"/>
      <c r="C199" s="679"/>
      <c r="D199" s="679"/>
      <c r="E199" s="679"/>
      <c r="F199" s="680"/>
      <c r="G199" s="648" t="s">
        <v>731</v>
      </c>
      <c r="H199" s="648"/>
      <c r="I199" s="648"/>
      <c r="J199" s="655">
        <f t="shared" si="10"/>
        <v>45748</v>
      </c>
      <c r="K199" s="656"/>
      <c r="L199" s="657"/>
      <c r="M199" s="648" t="s">
        <v>720</v>
      </c>
      <c r="N199" s="648"/>
      <c r="O199" s="648">
        <f>O196</f>
        <v>1</v>
      </c>
      <c r="P199" s="648"/>
      <c r="Q199" s="648"/>
      <c r="R199" s="647" t="str">
        <f>VLOOKUP(A199,Regularizare!$D:$U,9,FALSE)&amp;" ("&amp;VLOOKUP(A199,Regularizare!$D:$U,17,FALSE)&amp;")"</f>
        <v>8952 (citit)</v>
      </c>
      <c r="S199" s="647"/>
      <c r="T199" s="647"/>
      <c r="U199" s="647" t="str">
        <f>VLOOKUP(A199,Regularizare!$D:$U,10,FALSE)&amp;" ("&amp;VLOOKUP(A199,Regularizare!$D:$U,18,FALSE)&amp;")"</f>
        <v>8952 (estimat)</v>
      </c>
      <c r="V199" s="647"/>
      <c r="W199" s="647"/>
      <c r="X199" s="647" t="str">
        <f>_xlfn.CONCAT(VLOOKUP(A199,Regularizare!$D:$U,10,FALSE)-VLOOKUP(A199,Regularizare!$D:$U,9,FALSE)," (",VLOOKUP(A199,Regularizare!$D:$U,18,FALSE),")")</f>
        <v>0 (estimat)</v>
      </c>
      <c r="Y199" s="647"/>
      <c r="Z199" s="647"/>
      <c r="AA199" s="647">
        <f>IF(VLOOKUP(A199,Regularizare!$D:$Y,22,FALSE)=0,VLOOKUP(A199,Regularizare!$D:$Y,22,FALSE),(-1)*VLOOKUP(A199,Regularizare!$D:$Y,22,FALSE))</f>
        <v>0</v>
      </c>
      <c r="AB199" s="647"/>
      <c r="AC199" s="647"/>
      <c r="AD199" s="647" t="s">
        <v>69</v>
      </c>
      <c r="AE199" s="647"/>
      <c r="AF199" s="647">
        <f>AA199</f>
        <v>0</v>
      </c>
      <c r="AG199" s="647"/>
      <c r="AH199" s="647"/>
      <c r="AI199" s="647" t="str">
        <f>AI196</f>
        <v>-</v>
      </c>
      <c r="AJ199" s="647"/>
      <c r="AK199" s="647" t="str">
        <f>AK196</f>
        <v>-</v>
      </c>
      <c r="AL199" s="647"/>
      <c r="AM199" s="647"/>
    </row>
    <row r="200" spans="1:39" ht="8.4499999999999993" customHeight="1">
      <c r="A200" s="717"/>
      <c r="B200" s="718"/>
      <c r="C200" s="718"/>
      <c r="D200" s="718"/>
      <c r="E200" s="718"/>
      <c r="F200" s="719"/>
      <c r="G200" s="648"/>
      <c r="H200" s="648"/>
      <c r="I200" s="648"/>
      <c r="J200" s="717" t="str">
        <f t="shared" si="10"/>
        <v>-</v>
      </c>
      <c r="K200" s="718"/>
      <c r="L200" s="719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1"/>
      <c r="B201" s="682"/>
      <c r="C201" s="682"/>
      <c r="D201" s="682"/>
      <c r="E201" s="682"/>
      <c r="F201" s="683"/>
      <c r="G201" s="648"/>
      <c r="H201" s="648"/>
      <c r="I201" s="648"/>
      <c r="J201" s="714">
        <f t="shared" si="10"/>
        <v>45777</v>
      </c>
      <c r="K201" s="715"/>
      <c r="L201" s="716"/>
      <c r="M201" s="648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78" t="str">
        <f>A199</f>
        <v>V.2826354/4</v>
      </c>
      <c r="B202" s="679"/>
      <c r="C202" s="679"/>
      <c r="D202" s="679"/>
      <c r="E202" s="679"/>
      <c r="F202" s="680"/>
      <c r="G202" s="648" t="s">
        <v>730</v>
      </c>
      <c r="H202" s="648"/>
      <c r="I202" s="673"/>
      <c r="J202" s="655">
        <f>'Date masura OD'!$AK$5</f>
        <v>45748</v>
      </c>
      <c r="K202" s="656"/>
      <c r="L202" s="657"/>
      <c r="M202" s="720" t="s">
        <v>446</v>
      </c>
      <c r="N202" s="648"/>
      <c r="O202" s="648">
        <f>O199</f>
        <v>1</v>
      </c>
      <c r="P202" s="648"/>
      <c r="Q202" s="648"/>
      <c r="R202" s="647" t="str">
        <f>VLOOKUP(A202,Regularizare!$D:$AX,23,FALSE)&amp;" ("&amp;VLOOKUP(A202,Regularizare!$D:$AX,24,FALSE)&amp;")"</f>
        <v>2637662.5 (citit)</v>
      </c>
      <c r="S202" s="647"/>
      <c r="T202" s="647"/>
      <c r="U202" s="647" t="str">
        <f>VLOOKUP(A202,Regularizare!$D:$AX,25,FALSE)&amp;" ("&amp;VLOOKUP(A202,Regularizare!$D:$AX,26,FALSE)&amp;")"</f>
        <v>2949532.5 (citit)</v>
      </c>
      <c r="V202" s="647"/>
      <c r="W202" s="647"/>
      <c r="X202" s="647" t="str">
        <f>VLOOKUP(A202,Regularizare!$D:$AX,37,FALSE)&amp;" ("&amp;VLOOKUP(A202,Regularizare!$D:$AX,26,FALSE)&amp;")"</f>
        <v>311870 (citit)</v>
      </c>
      <c r="Y202" s="647"/>
      <c r="Z202" s="647"/>
      <c r="AA202" s="647">
        <f>VLOOKUP(A202,Regularizare!$D:$AX,37,FALSE)</f>
        <v>311870</v>
      </c>
      <c r="AB202" s="647"/>
      <c r="AC202" s="647"/>
      <c r="AD202" s="647" t="s">
        <v>69</v>
      </c>
      <c r="AE202" s="647"/>
      <c r="AF202" s="647">
        <f>AA202</f>
        <v>311870</v>
      </c>
      <c r="AG202" s="647"/>
      <c r="AH202" s="647"/>
      <c r="AI202" s="647" t="str">
        <f>AI199</f>
        <v>-</v>
      </c>
      <c r="AJ202" s="647"/>
      <c r="AK202" s="647" t="str">
        <f>AK199</f>
        <v>-</v>
      </c>
      <c r="AL202" s="647"/>
      <c r="AM202" s="647"/>
    </row>
    <row r="203" spans="1:39" ht="8.4499999999999993" customHeight="1">
      <c r="A203" s="717"/>
      <c r="B203" s="718"/>
      <c r="C203" s="718"/>
      <c r="D203" s="718"/>
      <c r="E203" s="718"/>
      <c r="F203" s="719"/>
      <c r="G203" s="648"/>
      <c r="H203" s="648"/>
      <c r="I203" s="673"/>
      <c r="J203" s="717" t="s">
        <v>69</v>
      </c>
      <c r="K203" s="718"/>
      <c r="L203" s="719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1"/>
      <c r="B204" s="682"/>
      <c r="C204" s="682"/>
      <c r="D204" s="682"/>
      <c r="E204" s="682"/>
      <c r="F204" s="683"/>
      <c r="G204" s="648"/>
      <c r="H204" s="648"/>
      <c r="I204" s="673"/>
      <c r="J204" s="714">
        <f>'Date masura OD'!$AL$5</f>
        <v>45777</v>
      </c>
      <c r="K204" s="715"/>
      <c r="L204" s="716"/>
      <c r="M204" s="720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78" t="str">
        <f>A202</f>
        <v>V.2826354/4</v>
      </c>
      <c r="B205" s="679"/>
      <c r="C205" s="679"/>
      <c r="D205" s="679"/>
      <c r="E205" s="679"/>
      <c r="F205" s="680"/>
      <c r="G205" s="648" t="s">
        <v>696</v>
      </c>
      <c r="H205" s="648"/>
      <c r="I205" s="648"/>
      <c r="J205" s="655">
        <f t="shared" ref="J205:J210" si="11">J202</f>
        <v>45748</v>
      </c>
      <c r="K205" s="656"/>
      <c r="L205" s="657"/>
      <c r="M205" s="648" t="s">
        <v>720</v>
      </c>
      <c r="N205" s="648"/>
      <c r="O205" s="648">
        <f>O202</f>
        <v>1</v>
      </c>
      <c r="P205" s="648"/>
      <c r="Q205" s="648"/>
      <c r="R205" s="647" t="str">
        <f>VLOOKUP(A205,Regularizare!$D:$AX,29,FALSE)&amp;" ("&amp;VLOOKUP(A205,Regularizare!$D:$AX,30,FALSE)&amp;")"</f>
        <v>90050 (citit)</v>
      </c>
      <c r="S205" s="647"/>
      <c r="T205" s="647"/>
      <c r="U205" s="647" t="str">
        <f>VLOOKUP(A205,Regularizare!$D:$AX,31,FALSE)&amp;" ("&amp;VLOOKUP(A205,Regularizare!$D:$AX,32,FALSE)&amp;")"</f>
        <v>90050 (citit)</v>
      </c>
      <c r="V205" s="647"/>
      <c r="W205" s="647"/>
      <c r="X205" s="647" t="str">
        <f>VLOOKUP(A205,Regularizare!$D:$AX,39,FALSE)&amp;" ("&amp;VLOOKUP(A205,Regularizare!$D:$AX,32,FALSE)&amp;")"</f>
        <v>0 (citit)</v>
      </c>
      <c r="Y205" s="647"/>
      <c r="Z205" s="647"/>
      <c r="AA205" s="647">
        <f>VLOOKUP(A205,Regularizare!$D:$AX,44,FALSE)+VLOOKUP(A205,Regularizare!$D:$AX,45,FALSE)</f>
        <v>0</v>
      </c>
      <c r="AB205" s="647"/>
      <c r="AC205" s="647"/>
      <c r="AD205" s="647" t="s">
        <v>69</v>
      </c>
      <c r="AE205" s="647"/>
      <c r="AF205" s="647">
        <f>AA205</f>
        <v>0</v>
      </c>
      <c r="AG205" s="647"/>
      <c r="AH205" s="647"/>
      <c r="AI205" s="647" t="str">
        <f>AI202</f>
        <v>-</v>
      </c>
      <c r="AJ205" s="647"/>
      <c r="AK205" s="647" t="str">
        <f>AK202</f>
        <v>-</v>
      </c>
      <c r="AL205" s="647"/>
      <c r="AM205" s="647"/>
    </row>
    <row r="206" spans="1:39" ht="8.4499999999999993" customHeight="1">
      <c r="A206" s="717"/>
      <c r="B206" s="718"/>
      <c r="C206" s="718"/>
      <c r="D206" s="718"/>
      <c r="E206" s="718"/>
      <c r="F206" s="719"/>
      <c r="G206" s="648"/>
      <c r="H206" s="648"/>
      <c r="I206" s="648"/>
      <c r="J206" s="717" t="str">
        <f t="shared" si="11"/>
        <v>-</v>
      </c>
      <c r="K206" s="718"/>
      <c r="L206" s="719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1"/>
      <c r="B207" s="682"/>
      <c r="C207" s="682"/>
      <c r="D207" s="682"/>
      <c r="E207" s="682"/>
      <c r="F207" s="683"/>
      <c r="G207" s="648"/>
      <c r="H207" s="648"/>
      <c r="I207" s="648"/>
      <c r="J207" s="714">
        <f t="shared" si="11"/>
        <v>45777</v>
      </c>
      <c r="K207" s="715"/>
      <c r="L207" s="716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78" t="str">
        <f>A205</f>
        <v>V.2826354/4</v>
      </c>
      <c r="B208" s="679"/>
      <c r="C208" s="679"/>
      <c r="D208" s="679"/>
      <c r="E208" s="679"/>
      <c r="F208" s="680"/>
      <c r="G208" s="648" t="s">
        <v>731</v>
      </c>
      <c r="H208" s="648"/>
      <c r="I208" s="648"/>
      <c r="J208" s="655">
        <f t="shared" si="11"/>
        <v>45748</v>
      </c>
      <c r="K208" s="656"/>
      <c r="L208" s="657"/>
      <c r="M208" s="648" t="s">
        <v>720</v>
      </c>
      <c r="N208" s="648"/>
      <c r="O208" s="648">
        <f>O205</f>
        <v>1</v>
      </c>
      <c r="P208" s="648"/>
      <c r="Q208" s="648"/>
      <c r="R208" s="647" t="str">
        <f>VLOOKUP(A208,Regularizare!$D:$AX,33,FALSE)&amp;" ("&amp;VLOOKUP(A208,Regularizare!$D:$AX,34,FALSE)&amp;")"</f>
        <v>8952 (citit)</v>
      </c>
      <c r="S208" s="647"/>
      <c r="T208" s="647"/>
      <c r="U208" s="647" t="str">
        <f>VLOOKUP(A208,Regularizare!$D:$AX,35,FALSE)&amp;" ("&amp;VLOOKUP(A208,Regularizare!$D:$AX,36,FALSE)&amp;")"</f>
        <v>8952 (citit)</v>
      </c>
      <c r="V208" s="647"/>
      <c r="W208" s="647"/>
      <c r="X208" s="647" t="str">
        <f>VLOOKUP(A208,Regularizare!$D:$AX,40,FALSE)&amp;" ("&amp;VLOOKUP(A208,Regularizare!$D:$AX,36,FALSE)&amp;")"</f>
        <v>0 (citit)</v>
      </c>
      <c r="Y208" s="647"/>
      <c r="Z208" s="647"/>
      <c r="AA208" s="647">
        <f>VLOOKUP(A208,Regularizare!$D:$AX,46,FALSE)+VLOOKUP(A208,Regularizare!$D:$AX,47,FALSE)</f>
        <v>0</v>
      </c>
      <c r="AB208" s="647"/>
      <c r="AC208" s="647"/>
      <c r="AD208" s="647" t="s">
        <v>69</v>
      </c>
      <c r="AE208" s="647"/>
      <c r="AF208" s="647">
        <f>AA208</f>
        <v>0</v>
      </c>
      <c r="AG208" s="647"/>
      <c r="AH208" s="647"/>
      <c r="AI208" s="647" t="str">
        <f>AI205</f>
        <v>-</v>
      </c>
      <c r="AJ208" s="647"/>
      <c r="AK208" s="647" t="str">
        <f>AK205</f>
        <v>-</v>
      </c>
      <c r="AL208" s="647"/>
      <c r="AM208" s="647"/>
    </row>
    <row r="209" spans="1:39" ht="8.4499999999999993" customHeight="1">
      <c r="A209" s="717"/>
      <c r="B209" s="718"/>
      <c r="C209" s="718"/>
      <c r="D209" s="718"/>
      <c r="E209" s="718"/>
      <c r="F209" s="719"/>
      <c r="G209" s="648"/>
      <c r="H209" s="648"/>
      <c r="I209" s="648"/>
      <c r="J209" s="717" t="str">
        <f t="shared" si="11"/>
        <v>-</v>
      </c>
      <c r="K209" s="718"/>
      <c r="L209" s="719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1"/>
      <c r="B210" s="682"/>
      <c r="C210" s="682"/>
      <c r="D210" s="682"/>
      <c r="E210" s="682"/>
      <c r="F210" s="683"/>
      <c r="G210" s="648"/>
      <c r="H210" s="648"/>
      <c r="I210" s="648"/>
      <c r="J210" s="714">
        <f t="shared" si="11"/>
        <v>45777</v>
      </c>
      <c r="K210" s="715"/>
      <c r="L210" s="716"/>
      <c r="M210" s="648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78" t="str">
        <f>A208</f>
        <v>V.2826354/4</v>
      </c>
      <c r="B211" s="679"/>
      <c r="C211" s="679"/>
      <c r="D211" s="679"/>
      <c r="E211" s="679"/>
      <c r="F211" s="680"/>
      <c r="G211" s="648" t="s">
        <v>730</v>
      </c>
      <c r="H211" s="648"/>
      <c r="I211" s="673"/>
      <c r="J211" s="655">
        <f>'Date masura OD'!$I$5</f>
        <v>45778</v>
      </c>
      <c r="K211" s="656"/>
      <c r="L211" s="657"/>
      <c r="M211" s="720" t="s">
        <v>446</v>
      </c>
      <c r="N211" s="648"/>
      <c r="O211" s="648">
        <f>O208</f>
        <v>1</v>
      </c>
      <c r="P211" s="648"/>
      <c r="Q211" s="648"/>
      <c r="R211" s="647" t="str">
        <f>U202</f>
        <v>2949532.5 (citit)</v>
      </c>
      <c r="S211" s="647"/>
      <c r="T211" s="647"/>
      <c r="U211" s="647" t="str">
        <f>VLOOKUP(A211,'Incrementare indexe'!$D:$M,4,FALSE)&amp;" (estimat)"</f>
        <v>3266377.5 (estimat)</v>
      </c>
      <c r="V211" s="647"/>
      <c r="W211" s="647"/>
      <c r="X211" s="647" t="str">
        <f>VLOOKUP(A211,'Incrementare indexe'!$D:$Q,11,FALSE)&amp;" (estimat)"</f>
        <v>316845 (estimat)</v>
      </c>
      <c r="Y211" s="647"/>
      <c r="Z211" s="647"/>
      <c r="AA211" s="647" t="s">
        <v>69</v>
      </c>
      <c r="AB211" s="647"/>
      <c r="AC211" s="647"/>
      <c r="AD211" s="647" t="s">
        <v>69</v>
      </c>
      <c r="AE211" s="647"/>
      <c r="AF211" s="647">
        <f>VLOOKUP(A211,'Incrementare indexe'!$D:$Q,11,FALSE)</f>
        <v>316845</v>
      </c>
      <c r="AG211" s="647"/>
      <c r="AH211" s="647"/>
      <c r="AI211" s="647">
        <f>J213-J211+1</f>
        <v>31</v>
      </c>
      <c r="AJ211" s="647"/>
      <c r="AK211" s="647">
        <f>ROUND(AF211/AI211,2)</f>
        <v>10220.81</v>
      </c>
      <c r="AL211" s="647"/>
      <c r="AM211" s="647"/>
    </row>
    <row r="212" spans="1:39" ht="8.4499999999999993" customHeight="1">
      <c r="A212" s="717"/>
      <c r="B212" s="718"/>
      <c r="C212" s="718"/>
      <c r="D212" s="718"/>
      <c r="E212" s="718"/>
      <c r="F212" s="719"/>
      <c r="G212" s="648"/>
      <c r="H212" s="648"/>
      <c r="I212" s="673"/>
      <c r="J212" s="717" t="s">
        <v>69</v>
      </c>
      <c r="K212" s="718"/>
      <c r="L212" s="719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1"/>
      <c r="B213" s="682"/>
      <c r="C213" s="682"/>
      <c r="D213" s="682"/>
      <c r="E213" s="682"/>
      <c r="F213" s="683"/>
      <c r="G213" s="648"/>
      <c r="H213" s="648"/>
      <c r="I213" s="673"/>
      <c r="J213" s="714">
        <f>'Date masura OD'!$J$5</f>
        <v>45808</v>
      </c>
      <c r="K213" s="715"/>
      <c r="L213" s="716"/>
      <c r="M213" s="720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78" t="str">
        <f>A211</f>
        <v>V.2826354/4</v>
      </c>
      <c r="B214" s="679"/>
      <c r="C214" s="679"/>
      <c r="D214" s="679"/>
      <c r="E214" s="679"/>
      <c r="F214" s="680"/>
      <c r="G214" s="648" t="s">
        <v>696</v>
      </c>
      <c r="H214" s="648"/>
      <c r="I214" s="648"/>
      <c r="J214" s="655">
        <f t="shared" ref="J214:J219" si="12">J211</f>
        <v>45778</v>
      </c>
      <c r="K214" s="656"/>
      <c r="L214" s="657"/>
      <c r="M214" s="648" t="s">
        <v>720</v>
      </c>
      <c r="N214" s="648"/>
      <c r="O214" s="648">
        <f>O211</f>
        <v>1</v>
      </c>
      <c r="P214" s="648"/>
      <c r="Q214" s="648"/>
      <c r="R214" s="647" t="str">
        <f>U205</f>
        <v>90050 (citit)</v>
      </c>
      <c r="S214" s="647"/>
      <c r="T214" s="647"/>
      <c r="U214" s="647" t="str">
        <f>VLOOKUP(A214,'Incrementare indexe'!$D:$M,8,FALSE)&amp;" (estimat)"</f>
        <v>90050 (estimat)</v>
      </c>
      <c r="V214" s="647"/>
      <c r="W214" s="647"/>
      <c r="X214" s="647" t="str">
        <f>VLOOKUP(A214,'Incrementare indexe'!$D:$Q,12,FALSE)&amp;" (estimat)"</f>
        <v>0 (estimat)</v>
      </c>
      <c r="Y214" s="647"/>
      <c r="Z214" s="647"/>
      <c r="AA214" s="647" t="s">
        <v>69</v>
      </c>
      <c r="AB214" s="647"/>
      <c r="AC214" s="647"/>
      <c r="AD214" s="647" t="s">
        <v>69</v>
      </c>
      <c r="AE214" s="647"/>
      <c r="AF214" s="647">
        <f>VLOOKUP(A214,'Incrementare indexe'!$D:$Q,12,FALSE)</f>
        <v>0</v>
      </c>
      <c r="AG214" s="647"/>
      <c r="AH214" s="647"/>
      <c r="AI214" s="647">
        <f>AI211</f>
        <v>31</v>
      </c>
      <c r="AJ214" s="647"/>
      <c r="AK214" s="647">
        <f>ROUND(AF214/AI214,2)</f>
        <v>0</v>
      </c>
      <c r="AL214" s="647"/>
      <c r="AM214" s="647"/>
    </row>
    <row r="215" spans="1:39" ht="8.4499999999999993" customHeight="1">
      <c r="A215" s="717"/>
      <c r="B215" s="718"/>
      <c r="C215" s="718"/>
      <c r="D215" s="718"/>
      <c r="E215" s="718"/>
      <c r="F215" s="719"/>
      <c r="G215" s="648"/>
      <c r="H215" s="648"/>
      <c r="I215" s="648"/>
      <c r="J215" s="717" t="str">
        <f t="shared" si="12"/>
        <v>-</v>
      </c>
      <c r="K215" s="718"/>
      <c r="L215" s="719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1"/>
      <c r="B216" s="682"/>
      <c r="C216" s="682"/>
      <c r="D216" s="682"/>
      <c r="E216" s="682"/>
      <c r="F216" s="683"/>
      <c r="G216" s="648"/>
      <c r="H216" s="648"/>
      <c r="I216" s="648"/>
      <c r="J216" s="714">
        <f t="shared" si="12"/>
        <v>45808</v>
      </c>
      <c r="K216" s="715"/>
      <c r="L216" s="716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78" t="str">
        <f>A214</f>
        <v>V.2826354/4</v>
      </c>
      <c r="B217" s="679"/>
      <c r="C217" s="679"/>
      <c r="D217" s="679"/>
      <c r="E217" s="679"/>
      <c r="F217" s="680"/>
      <c r="G217" s="648" t="s">
        <v>731</v>
      </c>
      <c r="H217" s="648"/>
      <c r="I217" s="648"/>
      <c r="J217" s="655">
        <f t="shared" si="12"/>
        <v>45778</v>
      </c>
      <c r="K217" s="656"/>
      <c r="L217" s="657"/>
      <c r="M217" s="648" t="s">
        <v>720</v>
      </c>
      <c r="N217" s="648"/>
      <c r="O217" s="648">
        <f>O214</f>
        <v>1</v>
      </c>
      <c r="P217" s="648"/>
      <c r="Q217" s="648"/>
      <c r="R217" s="647" t="str">
        <f>U208</f>
        <v>8952 (citit)</v>
      </c>
      <c r="S217" s="647"/>
      <c r="T217" s="647"/>
      <c r="U217" s="647" t="str">
        <f>VLOOKUP(A217,'Incrementare indexe'!$D:$M,10,FALSE)&amp;" (estimat)"</f>
        <v>8952 (estimat)</v>
      </c>
      <c r="V217" s="647"/>
      <c r="W217" s="647"/>
      <c r="X217" s="647" t="str">
        <f>VLOOKUP(A217,'Incrementare indexe'!$D:$Q,13,FALSE)&amp;" (estimat)"</f>
        <v>0 (estimat)</v>
      </c>
      <c r="Y217" s="647"/>
      <c r="Z217" s="647"/>
      <c r="AA217" s="647" t="s">
        <v>69</v>
      </c>
      <c r="AB217" s="647"/>
      <c r="AC217" s="647"/>
      <c r="AD217" s="647" t="s">
        <v>69</v>
      </c>
      <c r="AE217" s="647"/>
      <c r="AF217" s="647">
        <f>VLOOKUP(A217,'Incrementare indexe'!$D:$Q,13,FALSE)</f>
        <v>0</v>
      </c>
      <c r="AG217" s="647"/>
      <c r="AH217" s="647"/>
      <c r="AI217" s="647">
        <f>AI214</f>
        <v>31</v>
      </c>
      <c r="AJ217" s="647"/>
      <c r="AK217" s="647">
        <f>ROUND(AF217/AI217,2)</f>
        <v>0</v>
      </c>
      <c r="AL217" s="647"/>
      <c r="AM217" s="647"/>
    </row>
    <row r="218" spans="1:39" ht="8.4499999999999993" customHeight="1">
      <c r="A218" s="717"/>
      <c r="B218" s="718"/>
      <c r="C218" s="718"/>
      <c r="D218" s="718"/>
      <c r="E218" s="718"/>
      <c r="F218" s="719"/>
      <c r="G218" s="648"/>
      <c r="H218" s="648"/>
      <c r="I218" s="648"/>
      <c r="J218" s="717" t="str">
        <f t="shared" si="12"/>
        <v>-</v>
      </c>
      <c r="K218" s="718"/>
      <c r="L218" s="719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>
      <c r="A219" s="681"/>
      <c r="B219" s="682"/>
      <c r="C219" s="682"/>
      <c r="D219" s="682"/>
      <c r="E219" s="682"/>
      <c r="F219" s="683"/>
      <c r="G219" s="648"/>
      <c r="H219" s="648"/>
      <c r="I219" s="648"/>
      <c r="J219" s="714">
        <f t="shared" si="12"/>
        <v>45808</v>
      </c>
      <c r="K219" s="715"/>
      <c r="L219" s="716"/>
      <c r="M219" s="648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 ht="14.1" customHeight="1"/>
    <row r="240" spans="1:39">
      <c r="A240" s="649" t="s">
        <v>748</v>
      </c>
      <c r="B240" s="649"/>
      <c r="C240" s="649"/>
      <c r="D240" s="649"/>
      <c r="E240" s="649"/>
      <c r="F240" s="649"/>
      <c r="G240" s="649"/>
      <c r="H240" s="649"/>
      <c r="I240" s="649"/>
      <c r="J240" s="649"/>
      <c r="K240" s="649"/>
      <c r="L240" s="649"/>
      <c r="M240" s="650" t="str">
        <f>VLOOKUP(AI241,'Contorizare in SDI'!$E:$I,4,FALSE)</f>
        <v>594020200002317122/5</v>
      </c>
      <c r="N240" s="650"/>
      <c r="O240" s="650"/>
      <c r="P240" s="650"/>
      <c r="Q240" s="650"/>
      <c r="R240" s="650"/>
      <c r="S240" s="650"/>
      <c r="T240" s="650"/>
      <c r="U240" s="650"/>
      <c r="V240" s="650"/>
      <c r="W240" s="650"/>
      <c r="X240" s="650"/>
      <c r="Y240" s="650"/>
      <c r="Z240" s="650"/>
      <c r="AA240" s="650"/>
      <c r="AB240" s="650"/>
      <c r="AC240" s="650"/>
      <c r="AD240" s="650"/>
      <c r="AE240" s="650"/>
      <c r="AF240" s="650"/>
      <c r="AG240" s="650"/>
      <c r="AH240" s="650"/>
      <c r="AI240" s="650" t="s">
        <v>695</v>
      </c>
      <c r="AJ240" s="650"/>
      <c r="AK240" s="650"/>
      <c r="AL240" s="650"/>
      <c r="AM240" s="650"/>
    </row>
    <row r="241" spans="1:39">
      <c r="A241" s="649" t="s">
        <v>746</v>
      </c>
      <c r="B241" s="649"/>
      <c r="C241" s="649"/>
      <c r="D241" s="649"/>
      <c r="E241" s="649"/>
      <c r="F241" s="649"/>
      <c r="G241" s="649"/>
      <c r="H241" s="649"/>
      <c r="I241" s="649"/>
      <c r="J241" s="649"/>
      <c r="K241" s="649"/>
      <c r="L241" s="649"/>
      <c r="M241" s="650" t="str">
        <f>VLOOKUP(AI241,'Inchidere contur'!$G:$U,15,FALSE)</f>
        <v>MT_SDI</v>
      </c>
      <c r="N241" s="650"/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0"/>
      <c r="Z241" s="650"/>
      <c r="AA241" s="650"/>
      <c r="AB241" s="650"/>
      <c r="AC241" s="650"/>
      <c r="AD241" s="650"/>
      <c r="AE241" s="650"/>
      <c r="AF241" s="650"/>
      <c r="AG241" s="650"/>
      <c r="AH241" s="650"/>
      <c r="AI241" s="619" t="str">
        <f>_xlfn.CONCAT(AA32,".",5)</f>
        <v>RFSC_1.5</v>
      </c>
      <c r="AJ241" s="619"/>
      <c r="AK241" s="619"/>
      <c r="AL241" s="619"/>
      <c r="AM241" s="619"/>
    </row>
    <row r="242" spans="1:39">
      <c r="A242" s="649" t="s">
        <v>747</v>
      </c>
      <c r="B242" s="649"/>
      <c r="C242" s="649"/>
      <c r="D242" s="649"/>
      <c r="E242" s="649"/>
      <c r="F242" s="649"/>
      <c r="G242" s="649"/>
      <c r="H242" s="649"/>
      <c r="I242" s="649"/>
      <c r="J242" s="649"/>
      <c r="K242" s="649"/>
      <c r="L242" s="649"/>
      <c r="M242" s="650" t="str">
        <f>IF(LEFT(M241,2)="JT","0.4kV",IF(LEFT(M241,2)="MT","20kV","-"))</f>
        <v>20kV</v>
      </c>
      <c r="N242" s="650"/>
      <c r="O242" s="650"/>
      <c r="P242" s="650"/>
      <c r="Q242" s="650"/>
      <c r="R242" s="650"/>
      <c r="S242" s="650"/>
      <c r="T242" s="650"/>
      <c r="U242" s="650"/>
      <c r="V242" s="650"/>
      <c r="W242" s="650"/>
      <c r="X242" s="650"/>
      <c r="Y242" s="650"/>
      <c r="Z242" s="650"/>
      <c r="AA242" s="650"/>
      <c r="AB242" s="650"/>
      <c r="AC242" s="650"/>
      <c r="AD242" s="650"/>
      <c r="AE242" s="650"/>
      <c r="AF242" s="650"/>
      <c r="AG242" s="650"/>
      <c r="AH242" s="650"/>
      <c r="AI242" s="619"/>
      <c r="AJ242" s="619"/>
      <c r="AK242" s="619"/>
      <c r="AL242" s="619"/>
      <c r="AM242" s="619"/>
    </row>
    <row r="243" spans="1:39" ht="15.95" customHeight="1">
      <c r="A243" s="648" t="s">
        <v>697</v>
      </c>
      <c r="B243" s="648"/>
      <c r="C243" s="648"/>
      <c r="D243" s="648"/>
      <c r="E243" s="648"/>
      <c r="F243" s="648"/>
      <c r="G243" s="647" t="s">
        <v>713</v>
      </c>
      <c r="H243" s="647"/>
      <c r="I243" s="647"/>
      <c r="J243" s="647" t="s">
        <v>714</v>
      </c>
      <c r="K243" s="647"/>
      <c r="L243" s="647"/>
      <c r="M243" s="648" t="s">
        <v>519</v>
      </c>
      <c r="N243" s="648"/>
      <c r="O243" s="648" t="s">
        <v>715</v>
      </c>
      <c r="P243" s="648"/>
      <c r="Q243" s="648"/>
      <c r="R243" s="647" t="s">
        <v>732</v>
      </c>
      <c r="S243" s="647"/>
      <c r="T243" s="647"/>
      <c r="U243" s="647" t="s">
        <v>734</v>
      </c>
      <c r="V243" s="647"/>
      <c r="W243" s="647"/>
      <c r="X243" s="647" t="s">
        <v>1085</v>
      </c>
      <c r="Y243" s="647"/>
      <c r="Z243" s="647"/>
      <c r="AA243" s="647" t="s">
        <v>1086</v>
      </c>
      <c r="AB243" s="647"/>
      <c r="AC243" s="647"/>
      <c r="AD243" s="647" t="s">
        <v>717</v>
      </c>
      <c r="AE243" s="647"/>
      <c r="AF243" s="647" t="s">
        <v>718</v>
      </c>
      <c r="AG243" s="647"/>
      <c r="AH243" s="647"/>
      <c r="AI243" s="647" t="s">
        <v>719</v>
      </c>
      <c r="AJ243" s="647"/>
      <c r="AK243" s="647" t="s">
        <v>733</v>
      </c>
      <c r="AL243" s="647"/>
      <c r="AM243" s="647"/>
    </row>
    <row r="244" spans="1:39">
      <c r="A244" s="648"/>
      <c r="B244" s="648"/>
      <c r="C244" s="648"/>
      <c r="D244" s="648"/>
      <c r="E244" s="648"/>
      <c r="F244" s="648"/>
      <c r="G244" s="647"/>
      <c r="H244" s="647"/>
      <c r="I244" s="647"/>
      <c r="J244" s="647"/>
      <c r="K244" s="647"/>
      <c r="L244" s="647"/>
      <c r="M244" s="648"/>
      <c r="N244" s="648"/>
      <c r="O244" s="648"/>
      <c r="P244" s="648"/>
      <c r="Q244" s="648"/>
      <c r="R244" s="647"/>
      <c r="S244" s="647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</row>
    <row r="245" spans="1:39">
      <c r="A245" s="648"/>
      <c r="B245" s="648"/>
      <c r="C245" s="648"/>
      <c r="D245" s="648"/>
      <c r="E245" s="648"/>
      <c r="F245" s="648"/>
      <c r="G245" s="647"/>
      <c r="H245" s="647"/>
      <c r="I245" s="647"/>
      <c r="J245" s="713"/>
      <c r="K245" s="713"/>
      <c r="L245" s="713"/>
      <c r="M245" s="648"/>
      <c r="N245" s="648"/>
      <c r="O245" s="648"/>
      <c r="P245" s="648"/>
      <c r="Q245" s="648"/>
      <c r="R245" s="647"/>
      <c r="S245" s="647"/>
      <c r="T245" s="647"/>
      <c r="U245" s="647"/>
      <c r="V245" s="647"/>
      <c r="W245" s="647"/>
      <c r="X245" s="647"/>
      <c r="Y245" s="647"/>
      <c r="Z245" s="647"/>
      <c r="AA245" s="647"/>
      <c r="AB245" s="647"/>
      <c r="AC245" s="647"/>
      <c r="AD245" s="647"/>
      <c r="AE245" s="647"/>
      <c r="AF245" s="647"/>
      <c r="AG245" s="647"/>
      <c r="AH245" s="647"/>
      <c r="AI245" s="647"/>
      <c r="AJ245" s="647"/>
      <c r="AK245" s="647"/>
      <c r="AL245" s="647"/>
      <c r="AM245" s="647"/>
    </row>
    <row r="246" spans="1:39" ht="14.1" customHeight="1">
      <c r="A246" s="678" t="s">
        <v>1017</v>
      </c>
      <c r="B246" s="679"/>
      <c r="C246" s="679"/>
      <c r="D246" s="679"/>
      <c r="E246" s="679"/>
      <c r="F246" s="680"/>
      <c r="G246" s="648" t="s">
        <v>730</v>
      </c>
      <c r="H246" s="648"/>
      <c r="I246" s="673"/>
      <c r="J246" s="655">
        <f>'Date masura OD'!$AK$5</f>
        <v>45748</v>
      </c>
      <c r="K246" s="656"/>
      <c r="L246" s="657"/>
      <c r="M246" s="720" t="s">
        <v>446</v>
      </c>
      <c r="N246" s="648"/>
      <c r="O246" s="648">
        <f>VLOOKUP(AI241,'Incrementare indexe'!$B:$T,4,FALSE)</f>
        <v>1</v>
      </c>
      <c r="P246" s="648"/>
      <c r="Q246" s="648"/>
      <c r="R246" s="647" t="str">
        <f>VLOOKUP(A246,Regularizare!$D:$YN,3,FALSE)&amp;" ("&amp;VLOOKUP(A246,Regularizare!$D:$Y,11,FALSE)&amp;")"</f>
        <v>2524022.5 (citit)</v>
      </c>
      <c r="S246" s="647"/>
      <c r="T246" s="647"/>
      <c r="U246" s="647" t="str">
        <f>VLOOKUP(A246,Regularizare!$D:$U,4,FALSE)&amp;" ("&amp;VLOOKUP(A246,Regularizare!$D:$U,12,FALSE)&amp;")"</f>
        <v>2818234.5 (estimat)</v>
      </c>
      <c r="V246" s="647"/>
      <c r="W246" s="647"/>
      <c r="X246" s="647" t="str">
        <f>VLOOKUP(A246,Regularizare!$D:$Y,19,FALSE)&amp;" ("&amp;VLOOKUP(A246,Regularizare!$D:$U,12,FALSE)&amp;")"</f>
        <v>294212 (estimat)</v>
      </c>
      <c r="Y246" s="647"/>
      <c r="Z246" s="647"/>
      <c r="AA246" s="647">
        <f>(-1)*VLOOKUP(A246,Regularizare!$D:$Y,19,FALSE)</f>
        <v>-294212</v>
      </c>
      <c r="AB246" s="647"/>
      <c r="AC246" s="647"/>
      <c r="AD246" s="647" t="s">
        <v>69</v>
      </c>
      <c r="AE246" s="647"/>
      <c r="AF246" s="647">
        <f>AA246</f>
        <v>-294212</v>
      </c>
      <c r="AG246" s="647"/>
      <c r="AH246" s="647"/>
      <c r="AI246" s="647" t="s">
        <v>69</v>
      </c>
      <c r="AJ246" s="647"/>
      <c r="AK246" s="647" t="s">
        <v>69</v>
      </c>
      <c r="AL246" s="647"/>
      <c r="AM246" s="647"/>
    </row>
    <row r="247" spans="1:39" ht="9.75" customHeight="1">
      <c r="A247" s="717"/>
      <c r="B247" s="718"/>
      <c r="C247" s="718"/>
      <c r="D247" s="718"/>
      <c r="E247" s="718"/>
      <c r="F247" s="719"/>
      <c r="G247" s="648"/>
      <c r="H247" s="648"/>
      <c r="I247" s="673"/>
      <c r="J247" s="717" t="s">
        <v>69</v>
      </c>
      <c r="K247" s="718"/>
      <c r="L247" s="719"/>
      <c r="M247" s="720"/>
      <c r="N247" s="648"/>
      <c r="O247" s="648"/>
      <c r="P247" s="648"/>
      <c r="Q247" s="648"/>
      <c r="R247" s="647"/>
      <c r="S247" s="647"/>
      <c r="T247" s="647"/>
      <c r="U247" s="647"/>
      <c r="V247" s="647"/>
      <c r="W247" s="647"/>
      <c r="X247" s="647"/>
      <c r="Y247" s="647"/>
      <c r="Z247" s="647"/>
      <c r="AA247" s="647"/>
      <c r="AB247" s="647"/>
      <c r="AC247" s="647"/>
      <c r="AD247" s="647"/>
      <c r="AE247" s="647"/>
      <c r="AF247" s="647"/>
      <c r="AG247" s="647"/>
      <c r="AH247" s="647"/>
      <c r="AI247" s="647"/>
      <c r="AJ247" s="647"/>
      <c r="AK247" s="647"/>
      <c r="AL247" s="647"/>
      <c r="AM247" s="647"/>
    </row>
    <row r="248" spans="1:39" ht="14.1" customHeight="1">
      <c r="A248" s="681"/>
      <c r="B248" s="682"/>
      <c r="C248" s="682"/>
      <c r="D248" s="682"/>
      <c r="E248" s="682"/>
      <c r="F248" s="683"/>
      <c r="G248" s="648"/>
      <c r="H248" s="648"/>
      <c r="I248" s="673"/>
      <c r="J248" s="714">
        <f>'Date masura OD'!$AL$5</f>
        <v>45777</v>
      </c>
      <c r="K248" s="715"/>
      <c r="L248" s="716"/>
      <c r="M248" s="720"/>
      <c r="N248" s="648"/>
      <c r="O248" s="648"/>
      <c r="P248" s="648"/>
      <c r="Q248" s="648"/>
      <c r="R248" s="647"/>
      <c r="S248" s="647"/>
      <c r="T248" s="647"/>
      <c r="U248" s="647"/>
      <c r="V248" s="647"/>
      <c r="W248" s="647"/>
      <c r="X248" s="647"/>
      <c r="Y248" s="647"/>
      <c r="Z248" s="647"/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</row>
    <row r="249" spans="1:39" ht="14.1" customHeight="1">
      <c r="A249" s="678" t="str">
        <f>A246</f>
        <v>V.2826354/5</v>
      </c>
      <c r="B249" s="679"/>
      <c r="C249" s="679"/>
      <c r="D249" s="679"/>
      <c r="E249" s="679"/>
      <c r="F249" s="680"/>
      <c r="G249" s="648" t="s">
        <v>696</v>
      </c>
      <c r="H249" s="648"/>
      <c r="I249" s="648"/>
      <c r="J249" s="655">
        <f t="shared" ref="J249:J254" si="13">J246</f>
        <v>45748</v>
      </c>
      <c r="K249" s="656"/>
      <c r="L249" s="657"/>
      <c r="M249" s="648" t="s">
        <v>720</v>
      </c>
      <c r="N249" s="648"/>
      <c r="O249" s="648">
        <f>O246</f>
        <v>1</v>
      </c>
      <c r="P249" s="648"/>
      <c r="Q249" s="648"/>
      <c r="R249" s="647" t="str">
        <f>VLOOKUP(A249,Regularizare!$D:$U,7,FALSE)&amp;" ("&amp;VLOOKUP(A249,Regularizare!$D:$U,15,FALSE)&amp;")"</f>
        <v>90098 (citit)</v>
      </c>
      <c r="S249" s="647"/>
      <c r="T249" s="647"/>
      <c r="U249" s="647" t="str">
        <f>VLOOKUP(A249,Regularizare!$D:$U,8,FALSE)&amp;" ("&amp;VLOOKUP(A249,Regularizare!$D:$U,16,FALSE)&amp;")"</f>
        <v>90098 (estimat)</v>
      </c>
      <c r="V249" s="647"/>
      <c r="W249" s="647"/>
      <c r="X249" s="647" t="str">
        <f>_xlfn.CONCAT(VLOOKUP(A249,Regularizare!$D:$U,8,FALSE)-VLOOKUP(A249,Regularizare!$D:$U,7,FALSE)," (",VLOOKUP(A249,Regularizare!$D:$U,16,FALSE),")")</f>
        <v>0 (estimat)</v>
      </c>
      <c r="Y249" s="647"/>
      <c r="Z249" s="647"/>
      <c r="AA249" s="647">
        <f>IF(VLOOKUP(A249,Regularizare!$D:$Y,21,FALSE)=0,VLOOKUP(A249,Regularizare!$D:$Y,21,FALSE),(-1)*VLOOKUP(A249,Regularizare!$D:$Y,21,FALSE))</f>
        <v>0</v>
      </c>
      <c r="AB249" s="647"/>
      <c r="AC249" s="647"/>
      <c r="AD249" s="647" t="s">
        <v>69</v>
      </c>
      <c r="AE249" s="647"/>
      <c r="AF249" s="647">
        <f>AA249</f>
        <v>0</v>
      </c>
      <c r="AG249" s="647"/>
      <c r="AH249" s="647"/>
      <c r="AI249" s="647" t="str">
        <f>AI246</f>
        <v>-</v>
      </c>
      <c r="AJ249" s="647"/>
      <c r="AK249" s="647" t="str">
        <f>AK246</f>
        <v>-</v>
      </c>
      <c r="AL249" s="647"/>
      <c r="AM249" s="647"/>
    </row>
    <row r="250" spans="1:39" ht="8.4499999999999993" customHeight="1">
      <c r="A250" s="717"/>
      <c r="B250" s="718"/>
      <c r="C250" s="718"/>
      <c r="D250" s="718"/>
      <c r="E250" s="718"/>
      <c r="F250" s="719"/>
      <c r="G250" s="648"/>
      <c r="H250" s="648"/>
      <c r="I250" s="648"/>
      <c r="J250" s="717" t="str">
        <f t="shared" si="13"/>
        <v>-</v>
      </c>
      <c r="K250" s="718"/>
      <c r="L250" s="719"/>
      <c r="M250" s="648"/>
      <c r="N250" s="648"/>
      <c r="O250" s="648"/>
      <c r="P250" s="648"/>
      <c r="Q250" s="648"/>
      <c r="R250" s="647"/>
      <c r="S250" s="647"/>
      <c r="T250" s="647"/>
      <c r="U250" s="647"/>
      <c r="V250" s="647"/>
      <c r="W250" s="647"/>
      <c r="X250" s="647"/>
      <c r="Y250" s="647"/>
      <c r="Z250" s="647"/>
      <c r="AA250" s="647"/>
      <c r="AB250" s="647"/>
      <c r="AC250" s="647"/>
      <c r="AD250" s="647"/>
      <c r="AE250" s="647"/>
      <c r="AF250" s="647"/>
      <c r="AG250" s="647"/>
      <c r="AH250" s="647"/>
      <c r="AI250" s="647"/>
      <c r="AJ250" s="647"/>
      <c r="AK250" s="647"/>
      <c r="AL250" s="647"/>
      <c r="AM250" s="647"/>
    </row>
    <row r="251" spans="1:39" ht="14.1" customHeight="1">
      <c r="A251" s="681"/>
      <c r="B251" s="682"/>
      <c r="C251" s="682"/>
      <c r="D251" s="682"/>
      <c r="E251" s="682"/>
      <c r="F251" s="683"/>
      <c r="G251" s="648"/>
      <c r="H251" s="648"/>
      <c r="I251" s="648"/>
      <c r="J251" s="714">
        <f t="shared" si="13"/>
        <v>45777</v>
      </c>
      <c r="K251" s="715"/>
      <c r="L251" s="716"/>
      <c r="M251" s="648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78" t="str">
        <f>A249</f>
        <v>V.2826354/5</v>
      </c>
      <c r="B252" s="679"/>
      <c r="C252" s="679"/>
      <c r="D252" s="679"/>
      <c r="E252" s="679"/>
      <c r="F252" s="680"/>
      <c r="G252" s="648" t="s">
        <v>731</v>
      </c>
      <c r="H252" s="648"/>
      <c r="I252" s="648"/>
      <c r="J252" s="655">
        <f t="shared" si="13"/>
        <v>45748</v>
      </c>
      <c r="K252" s="656"/>
      <c r="L252" s="657"/>
      <c r="M252" s="648" t="s">
        <v>720</v>
      </c>
      <c r="N252" s="648"/>
      <c r="O252" s="648">
        <f>O249</f>
        <v>1</v>
      </c>
      <c r="P252" s="648"/>
      <c r="Q252" s="648"/>
      <c r="R252" s="647" t="str">
        <f>VLOOKUP(A252,Regularizare!$D:$U,9,FALSE)&amp;" ("&amp;VLOOKUP(A252,Regularizare!$D:$U,17,FALSE)&amp;")"</f>
        <v>9000 (citit)</v>
      </c>
      <c r="S252" s="647"/>
      <c r="T252" s="647"/>
      <c r="U252" s="647" t="str">
        <f>VLOOKUP(A252,Regularizare!$D:$U,10,FALSE)&amp;" ("&amp;VLOOKUP(A252,Regularizare!$D:$U,18,FALSE)&amp;")"</f>
        <v>9000 (estimat)</v>
      </c>
      <c r="V252" s="647"/>
      <c r="W252" s="647"/>
      <c r="X252" s="647" t="str">
        <f>_xlfn.CONCAT(VLOOKUP(A252,Regularizare!$D:$U,10,FALSE)-VLOOKUP(A252,Regularizare!$D:$U,9,FALSE)," (",VLOOKUP(A252,Regularizare!$D:$U,18,FALSE),")")</f>
        <v>0 (estimat)</v>
      </c>
      <c r="Y252" s="647"/>
      <c r="Z252" s="647"/>
      <c r="AA252" s="647">
        <f>IF(VLOOKUP(A252,Regularizare!$D:$Y,22,FALSE)=0,VLOOKUP(A252,Regularizare!$D:$Y,22,FALSE),(-1)*VLOOKUP(A252,Regularizare!$D:$Y,22,FALSE))</f>
        <v>0</v>
      </c>
      <c r="AB252" s="647"/>
      <c r="AC252" s="647"/>
      <c r="AD252" s="647" t="s">
        <v>69</v>
      </c>
      <c r="AE252" s="647"/>
      <c r="AF252" s="647">
        <f>AA252</f>
        <v>0</v>
      </c>
      <c r="AG252" s="647"/>
      <c r="AH252" s="647"/>
      <c r="AI252" s="647" t="str">
        <f>AI249</f>
        <v>-</v>
      </c>
      <c r="AJ252" s="647"/>
      <c r="AK252" s="647" t="str">
        <f>AK249</f>
        <v>-</v>
      </c>
      <c r="AL252" s="647"/>
      <c r="AM252" s="647"/>
    </row>
    <row r="253" spans="1:39" ht="8.4499999999999993" customHeight="1">
      <c r="A253" s="717"/>
      <c r="B253" s="718"/>
      <c r="C253" s="718"/>
      <c r="D253" s="718"/>
      <c r="E253" s="718"/>
      <c r="F253" s="719"/>
      <c r="G253" s="648"/>
      <c r="H253" s="648"/>
      <c r="I253" s="648"/>
      <c r="J253" s="717" t="str">
        <f t="shared" si="13"/>
        <v>-</v>
      </c>
      <c r="K253" s="718"/>
      <c r="L253" s="719"/>
      <c r="M253" s="648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81"/>
      <c r="B254" s="682"/>
      <c r="C254" s="682"/>
      <c r="D254" s="682"/>
      <c r="E254" s="682"/>
      <c r="F254" s="683"/>
      <c r="G254" s="648"/>
      <c r="H254" s="648"/>
      <c r="I254" s="648"/>
      <c r="J254" s="714">
        <f t="shared" si="13"/>
        <v>45777</v>
      </c>
      <c r="K254" s="715"/>
      <c r="L254" s="716"/>
      <c r="M254" s="648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78" t="str">
        <f>A252</f>
        <v>V.2826354/5</v>
      </c>
      <c r="B255" s="679"/>
      <c r="C255" s="679"/>
      <c r="D255" s="679"/>
      <c r="E255" s="679"/>
      <c r="F255" s="680"/>
      <c r="G255" s="648" t="s">
        <v>730</v>
      </c>
      <c r="H255" s="648"/>
      <c r="I255" s="673"/>
      <c r="J255" s="655">
        <f>'Date masura OD'!$AK$5</f>
        <v>45748</v>
      </c>
      <c r="K255" s="656"/>
      <c r="L255" s="657"/>
      <c r="M255" s="720" t="s">
        <v>446</v>
      </c>
      <c r="N255" s="648"/>
      <c r="O255" s="648">
        <f>O252</f>
        <v>1</v>
      </c>
      <c r="P255" s="648"/>
      <c r="Q255" s="648"/>
      <c r="R255" s="647" t="str">
        <f>VLOOKUP(A255,Regularizare!$D:$AX,23,FALSE)&amp;" ("&amp;VLOOKUP(A255,Regularizare!$D:$AX,24,FALSE)&amp;")"</f>
        <v>2524022.5 (citit)</v>
      </c>
      <c r="S255" s="647"/>
      <c r="T255" s="647"/>
      <c r="U255" s="647" t="str">
        <f>VLOOKUP(A255,Regularizare!$D:$AX,25,FALSE)&amp;" ("&amp;VLOOKUP(A255,Regularizare!$D:$AX,26,FALSE)&amp;")"</f>
        <v>2818234.5 (citit)</v>
      </c>
      <c r="V255" s="647"/>
      <c r="W255" s="647"/>
      <c r="X255" s="647" t="str">
        <f>VLOOKUP(A255,Regularizare!$D:$AX,37,FALSE)&amp;" ("&amp;VLOOKUP(A255,Regularizare!$D:$AX,26,FALSE)&amp;")"</f>
        <v>294212 (citit)</v>
      </c>
      <c r="Y255" s="647"/>
      <c r="Z255" s="647"/>
      <c r="AA255" s="647">
        <f>VLOOKUP(A255,Regularizare!$D:$AX,37,FALSE)</f>
        <v>294212</v>
      </c>
      <c r="AB255" s="647"/>
      <c r="AC255" s="647"/>
      <c r="AD255" s="647" t="s">
        <v>69</v>
      </c>
      <c r="AE255" s="647"/>
      <c r="AF255" s="647">
        <f>AA255</f>
        <v>294212</v>
      </c>
      <c r="AG255" s="647"/>
      <c r="AH255" s="647"/>
      <c r="AI255" s="647" t="str">
        <f>AI252</f>
        <v>-</v>
      </c>
      <c r="AJ255" s="647"/>
      <c r="AK255" s="647" t="str">
        <f>AK252</f>
        <v>-</v>
      </c>
      <c r="AL255" s="647"/>
      <c r="AM255" s="647"/>
    </row>
    <row r="256" spans="1:39" ht="8.4499999999999993" customHeight="1">
      <c r="A256" s="717"/>
      <c r="B256" s="718"/>
      <c r="C256" s="718"/>
      <c r="D256" s="718"/>
      <c r="E256" s="718"/>
      <c r="F256" s="719"/>
      <c r="G256" s="648"/>
      <c r="H256" s="648"/>
      <c r="I256" s="673"/>
      <c r="J256" s="717" t="s">
        <v>69</v>
      </c>
      <c r="K256" s="718"/>
      <c r="L256" s="719"/>
      <c r="M256" s="720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1"/>
      <c r="B257" s="682"/>
      <c r="C257" s="682"/>
      <c r="D257" s="682"/>
      <c r="E257" s="682"/>
      <c r="F257" s="683"/>
      <c r="G257" s="648"/>
      <c r="H257" s="648"/>
      <c r="I257" s="673"/>
      <c r="J257" s="714">
        <f>'Date masura OD'!$AL$5</f>
        <v>45777</v>
      </c>
      <c r="K257" s="715"/>
      <c r="L257" s="716"/>
      <c r="M257" s="720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78" t="str">
        <f>A255</f>
        <v>V.2826354/5</v>
      </c>
      <c r="B258" s="679"/>
      <c r="C258" s="679"/>
      <c r="D258" s="679"/>
      <c r="E258" s="679"/>
      <c r="F258" s="680"/>
      <c r="G258" s="648" t="s">
        <v>696</v>
      </c>
      <c r="H258" s="648"/>
      <c r="I258" s="648"/>
      <c r="J258" s="655">
        <f t="shared" ref="J258:J263" si="14">J255</f>
        <v>45748</v>
      </c>
      <c r="K258" s="656"/>
      <c r="L258" s="657"/>
      <c r="M258" s="648" t="s">
        <v>720</v>
      </c>
      <c r="N258" s="648"/>
      <c r="O258" s="648">
        <f>O255</f>
        <v>1</v>
      </c>
      <c r="P258" s="648"/>
      <c r="Q258" s="648"/>
      <c r="R258" s="647" t="str">
        <f>VLOOKUP(A258,Regularizare!$D:$AX,29,FALSE)&amp;" ("&amp;VLOOKUP(A258,Regularizare!$D:$AX,30,FALSE)&amp;")"</f>
        <v>90098 (citit)</v>
      </c>
      <c r="S258" s="647"/>
      <c r="T258" s="647"/>
      <c r="U258" s="647" t="str">
        <f>VLOOKUP(A258,Regularizare!$D:$AX,31,FALSE)&amp;" ("&amp;VLOOKUP(A258,Regularizare!$D:$AX,32,FALSE)&amp;")"</f>
        <v>90098 (citit)</v>
      </c>
      <c r="V258" s="647"/>
      <c r="W258" s="647"/>
      <c r="X258" s="647" t="str">
        <f>VLOOKUP(A258,Regularizare!$D:$AX,39,FALSE)&amp;" ("&amp;VLOOKUP(A258,Regularizare!$D:$AX,32,FALSE)&amp;")"</f>
        <v>0 (citit)</v>
      </c>
      <c r="Y258" s="647"/>
      <c r="Z258" s="647"/>
      <c r="AA258" s="647">
        <f>VLOOKUP(A258,Regularizare!$D:$AX,44,FALSE)+VLOOKUP(A258,Regularizare!$D:$AX,45,FALSE)</f>
        <v>0</v>
      </c>
      <c r="AB258" s="647"/>
      <c r="AC258" s="647"/>
      <c r="AD258" s="647" t="s">
        <v>69</v>
      </c>
      <c r="AE258" s="647"/>
      <c r="AF258" s="647">
        <f>AA258</f>
        <v>0</v>
      </c>
      <c r="AG258" s="647"/>
      <c r="AH258" s="647"/>
      <c r="AI258" s="647" t="str">
        <f>AI255</f>
        <v>-</v>
      </c>
      <c r="AJ258" s="647"/>
      <c r="AK258" s="647" t="str">
        <f>AK255</f>
        <v>-</v>
      </c>
      <c r="AL258" s="647"/>
      <c r="AM258" s="647"/>
    </row>
    <row r="259" spans="1:39" ht="8.4499999999999993" customHeight="1">
      <c r="A259" s="717"/>
      <c r="B259" s="718"/>
      <c r="C259" s="718"/>
      <c r="D259" s="718"/>
      <c r="E259" s="718"/>
      <c r="F259" s="719"/>
      <c r="G259" s="648"/>
      <c r="H259" s="648"/>
      <c r="I259" s="648"/>
      <c r="J259" s="717" t="str">
        <f t="shared" si="14"/>
        <v>-</v>
      </c>
      <c r="K259" s="718"/>
      <c r="L259" s="719"/>
      <c r="M259" s="648"/>
      <c r="N259" s="648"/>
      <c r="O259" s="648"/>
      <c r="P259" s="648"/>
      <c r="Q259" s="648"/>
      <c r="R259" s="647"/>
      <c r="S259" s="647"/>
      <c r="T259" s="647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1"/>
      <c r="B260" s="682"/>
      <c r="C260" s="682"/>
      <c r="D260" s="682"/>
      <c r="E260" s="682"/>
      <c r="F260" s="683"/>
      <c r="G260" s="648"/>
      <c r="H260" s="648"/>
      <c r="I260" s="648"/>
      <c r="J260" s="714">
        <f t="shared" si="14"/>
        <v>45777</v>
      </c>
      <c r="K260" s="715"/>
      <c r="L260" s="716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78" t="str">
        <f>A258</f>
        <v>V.2826354/5</v>
      </c>
      <c r="B261" s="679"/>
      <c r="C261" s="679"/>
      <c r="D261" s="679"/>
      <c r="E261" s="679"/>
      <c r="F261" s="680"/>
      <c r="G261" s="648" t="s">
        <v>731</v>
      </c>
      <c r="H261" s="648"/>
      <c r="I261" s="648"/>
      <c r="J261" s="655">
        <f t="shared" si="14"/>
        <v>45748</v>
      </c>
      <c r="K261" s="656"/>
      <c r="L261" s="657"/>
      <c r="M261" s="648" t="s">
        <v>720</v>
      </c>
      <c r="N261" s="648"/>
      <c r="O261" s="648">
        <f>O258</f>
        <v>1</v>
      </c>
      <c r="P261" s="648"/>
      <c r="Q261" s="648"/>
      <c r="R261" s="647" t="str">
        <f>VLOOKUP(A261,Regularizare!$D:$AX,33,FALSE)&amp;" ("&amp;VLOOKUP(A261,Regularizare!$D:$AX,34,FALSE)&amp;")"</f>
        <v>9000 (citit)</v>
      </c>
      <c r="S261" s="647"/>
      <c r="T261" s="647"/>
      <c r="U261" s="647" t="str">
        <f>VLOOKUP(A261,Regularizare!$D:$AX,35,FALSE)&amp;" ("&amp;VLOOKUP(A261,Regularizare!$D:$AX,36,FALSE)&amp;")"</f>
        <v>9000 (citit)</v>
      </c>
      <c r="V261" s="647"/>
      <c r="W261" s="647"/>
      <c r="X261" s="647" t="str">
        <f>VLOOKUP(A261,Regularizare!$D:$AX,40,FALSE)&amp;" ("&amp;VLOOKUP(A261,Regularizare!$D:$AX,36,FALSE)&amp;")"</f>
        <v>0 (citit)</v>
      </c>
      <c r="Y261" s="647"/>
      <c r="Z261" s="647"/>
      <c r="AA261" s="647">
        <f>VLOOKUP(A261,Regularizare!$D:$AX,46,FALSE)+VLOOKUP(A261,Regularizare!$D:$AX,47,FALSE)</f>
        <v>0</v>
      </c>
      <c r="AB261" s="647"/>
      <c r="AC261" s="647"/>
      <c r="AD261" s="647" t="s">
        <v>69</v>
      </c>
      <c r="AE261" s="647"/>
      <c r="AF261" s="647">
        <f>AA261</f>
        <v>0</v>
      </c>
      <c r="AG261" s="647"/>
      <c r="AH261" s="647"/>
      <c r="AI261" s="647" t="str">
        <f>AI258</f>
        <v>-</v>
      </c>
      <c r="AJ261" s="647"/>
      <c r="AK261" s="647" t="str">
        <f>AK258</f>
        <v>-</v>
      </c>
      <c r="AL261" s="647"/>
      <c r="AM261" s="647"/>
    </row>
    <row r="262" spans="1:39" ht="8.4499999999999993" customHeight="1">
      <c r="A262" s="717"/>
      <c r="B262" s="718"/>
      <c r="C262" s="718"/>
      <c r="D262" s="718"/>
      <c r="E262" s="718"/>
      <c r="F262" s="719"/>
      <c r="G262" s="648"/>
      <c r="H262" s="648"/>
      <c r="I262" s="648"/>
      <c r="J262" s="717" t="str">
        <f t="shared" si="14"/>
        <v>-</v>
      </c>
      <c r="K262" s="718"/>
      <c r="L262" s="719"/>
      <c r="M262" s="648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1"/>
      <c r="B263" s="682"/>
      <c r="C263" s="682"/>
      <c r="D263" s="682"/>
      <c r="E263" s="682"/>
      <c r="F263" s="683"/>
      <c r="G263" s="648"/>
      <c r="H263" s="648"/>
      <c r="I263" s="648"/>
      <c r="J263" s="714">
        <f t="shared" si="14"/>
        <v>45777</v>
      </c>
      <c r="K263" s="715"/>
      <c r="L263" s="716"/>
      <c r="M263" s="648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78" t="str">
        <f>A261</f>
        <v>V.2826354/5</v>
      </c>
      <c r="B264" s="679"/>
      <c r="C264" s="679"/>
      <c r="D264" s="679"/>
      <c r="E264" s="679"/>
      <c r="F264" s="680"/>
      <c r="G264" s="648" t="s">
        <v>730</v>
      </c>
      <c r="H264" s="648"/>
      <c r="I264" s="673"/>
      <c r="J264" s="655">
        <f>'Date masura OD'!$I$5</f>
        <v>45778</v>
      </c>
      <c r="K264" s="656"/>
      <c r="L264" s="657"/>
      <c r="M264" s="720" t="s">
        <v>446</v>
      </c>
      <c r="N264" s="648"/>
      <c r="O264" s="648">
        <f>O261</f>
        <v>1</v>
      </c>
      <c r="P264" s="648"/>
      <c r="Q264" s="648"/>
      <c r="R264" s="647" t="str">
        <f>U255</f>
        <v>2818234.5 (citit)</v>
      </c>
      <c r="S264" s="647"/>
      <c r="T264" s="647"/>
      <c r="U264" s="647" t="str">
        <f>VLOOKUP(A264,'Incrementare indexe'!$D:$M,4,FALSE)&amp;" (estimat)"</f>
        <v>3117068.5 (estimat)</v>
      </c>
      <c r="V264" s="647"/>
      <c r="W264" s="647"/>
      <c r="X264" s="647" t="str">
        <f>VLOOKUP(A264,'Incrementare indexe'!$D:$Q,11,FALSE)&amp;" (estimat)"</f>
        <v>298834 (estimat)</v>
      </c>
      <c r="Y264" s="647"/>
      <c r="Z264" s="647"/>
      <c r="AA264" s="647" t="s">
        <v>69</v>
      </c>
      <c r="AB264" s="647"/>
      <c r="AC264" s="647"/>
      <c r="AD264" s="647" t="s">
        <v>69</v>
      </c>
      <c r="AE264" s="647"/>
      <c r="AF264" s="647">
        <f>VLOOKUP(A264,'Incrementare indexe'!$D:$Q,11,FALSE)</f>
        <v>298834</v>
      </c>
      <c r="AG264" s="647"/>
      <c r="AH264" s="647"/>
      <c r="AI264" s="647">
        <f>J266-J264+1</f>
        <v>31</v>
      </c>
      <c r="AJ264" s="647"/>
      <c r="AK264" s="647">
        <f>ROUND(AF264/AI264,2)</f>
        <v>9639.81</v>
      </c>
      <c r="AL264" s="647"/>
      <c r="AM264" s="647"/>
    </row>
    <row r="265" spans="1:39" ht="8.4499999999999993" customHeight="1">
      <c r="A265" s="717"/>
      <c r="B265" s="718"/>
      <c r="C265" s="718"/>
      <c r="D265" s="718"/>
      <c r="E265" s="718"/>
      <c r="F265" s="719"/>
      <c r="G265" s="648"/>
      <c r="H265" s="648"/>
      <c r="I265" s="673"/>
      <c r="J265" s="717" t="s">
        <v>69</v>
      </c>
      <c r="K265" s="718"/>
      <c r="L265" s="719"/>
      <c r="M265" s="720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1"/>
      <c r="B266" s="682"/>
      <c r="C266" s="682"/>
      <c r="D266" s="682"/>
      <c r="E266" s="682"/>
      <c r="F266" s="683"/>
      <c r="G266" s="648"/>
      <c r="H266" s="648"/>
      <c r="I266" s="673"/>
      <c r="J266" s="714">
        <f>'Date masura OD'!$J$5</f>
        <v>45808</v>
      </c>
      <c r="K266" s="715"/>
      <c r="L266" s="716"/>
      <c r="M266" s="720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78" t="str">
        <f>A264</f>
        <v>V.2826354/5</v>
      </c>
      <c r="B267" s="679"/>
      <c r="C267" s="679"/>
      <c r="D267" s="679"/>
      <c r="E267" s="679"/>
      <c r="F267" s="680"/>
      <c r="G267" s="648" t="s">
        <v>696</v>
      </c>
      <c r="H267" s="648"/>
      <c r="I267" s="648"/>
      <c r="J267" s="655">
        <f t="shared" ref="J267:J272" si="15">J264</f>
        <v>45778</v>
      </c>
      <c r="K267" s="656"/>
      <c r="L267" s="657"/>
      <c r="M267" s="648" t="s">
        <v>720</v>
      </c>
      <c r="N267" s="648"/>
      <c r="O267" s="648">
        <f>O264</f>
        <v>1</v>
      </c>
      <c r="P267" s="648"/>
      <c r="Q267" s="648"/>
      <c r="R267" s="647" t="str">
        <f>U258</f>
        <v>90098 (citit)</v>
      </c>
      <c r="S267" s="647"/>
      <c r="T267" s="647"/>
      <c r="U267" s="647" t="str">
        <f>VLOOKUP(A267,'Incrementare indexe'!$D:$M,8,FALSE)&amp;" (estimat)"</f>
        <v>90098 (estimat)</v>
      </c>
      <c r="V267" s="647"/>
      <c r="W267" s="647"/>
      <c r="X267" s="647" t="str">
        <f>VLOOKUP(A267,'Incrementare indexe'!$D:$Q,12,FALSE)&amp;" (estimat)"</f>
        <v>0 (estimat)</v>
      </c>
      <c r="Y267" s="647"/>
      <c r="Z267" s="647"/>
      <c r="AA267" s="647" t="s">
        <v>69</v>
      </c>
      <c r="AB267" s="647"/>
      <c r="AC267" s="647"/>
      <c r="AD267" s="647" t="s">
        <v>69</v>
      </c>
      <c r="AE267" s="647"/>
      <c r="AF267" s="647">
        <f>VLOOKUP(A267,'Incrementare indexe'!$D:$Q,12,FALSE)</f>
        <v>0</v>
      </c>
      <c r="AG267" s="647"/>
      <c r="AH267" s="647"/>
      <c r="AI267" s="647">
        <f>AI264</f>
        <v>31</v>
      </c>
      <c r="AJ267" s="647"/>
      <c r="AK267" s="647">
        <f>ROUND(AF267/AI267,2)</f>
        <v>0</v>
      </c>
      <c r="AL267" s="647"/>
      <c r="AM267" s="647"/>
    </row>
    <row r="268" spans="1:39" ht="8.4499999999999993" customHeight="1">
      <c r="A268" s="717"/>
      <c r="B268" s="718"/>
      <c r="C268" s="718"/>
      <c r="D268" s="718"/>
      <c r="E268" s="718"/>
      <c r="F268" s="719"/>
      <c r="G268" s="648"/>
      <c r="H268" s="648"/>
      <c r="I268" s="648"/>
      <c r="J268" s="717" t="str">
        <f t="shared" si="15"/>
        <v>-</v>
      </c>
      <c r="K268" s="718"/>
      <c r="L268" s="719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1"/>
      <c r="B269" s="682"/>
      <c r="C269" s="682"/>
      <c r="D269" s="682"/>
      <c r="E269" s="682"/>
      <c r="F269" s="683"/>
      <c r="G269" s="648"/>
      <c r="H269" s="648"/>
      <c r="I269" s="648"/>
      <c r="J269" s="714">
        <f t="shared" si="15"/>
        <v>45808</v>
      </c>
      <c r="K269" s="715"/>
      <c r="L269" s="716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78" t="str">
        <f>A267</f>
        <v>V.2826354/5</v>
      </c>
      <c r="B270" s="679"/>
      <c r="C270" s="679"/>
      <c r="D270" s="679"/>
      <c r="E270" s="679"/>
      <c r="F270" s="680"/>
      <c r="G270" s="648" t="s">
        <v>731</v>
      </c>
      <c r="H270" s="648"/>
      <c r="I270" s="648"/>
      <c r="J270" s="655">
        <f t="shared" si="15"/>
        <v>45778</v>
      </c>
      <c r="K270" s="656"/>
      <c r="L270" s="657"/>
      <c r="M270" s="648" t="s">
        <v>720</v>
      </c>
      <c r="N270" s="648"/>
      <c r="O270" s="648">
        <f>O267</f>
        <v>1</v>
      </c>
      <c r="P270" s="648"/>
      <c r="Q270" s="648"/>
      <c r="R270" s="647" t="str">
        <f>U261</f>
        <v>9000 (citit)</v>
      </c>
      <c r="S270" s="647"/>
      <c r="T270" s="647"/>
      <c r="U270" s="647" t="str">
        <f>VLOOKUP(A270,'Incrementare indexe'!$D:$M,10,FALSE)&amp;" (estimat)"</f>
        <v>9000 (estimat)</v>
      </c>
      <c r="V270" s="647"/>
      <c r="W270" s="647"/>
      <c r="X270" s="647" t="str">
        <f>VLOOKUP(A270,'Incrementare indexe'!$D:$Q,13,FALSE)&amp;" (estimat)"</f>
        <v>0 (estimat)</v>
      </c>
      <c r="Y270" s="647"/>
      <c r="Z270" s="647"/>
      <c r="AA270" s="647" t="s">
        <v>69</v>
      </c>
      <c r="AB270" s="647"/>
      <c r="AC270" s="647"/>
      <c r="AD270" s="647" t="s">
        <v>69</v>
      </c>
      <c r="AE270" s="647"/>
      <c r="AF270" s="647">
        <f>VLOOKUP(A270,'Incrementare indexe'!$D:$Q,13,FALSE)</f>
        <v>0</v>
      </c>
      <c r="AG270" s="647"/>
      <c r="AH270" s="647"/>
      <c r="AI270" s="647">
        <f>AI267</f>
        <v>31</v>
      </c>
      <c r="AJ270" s="647"/>
      <c r="AK270" s="647">
        <f>ROUND(AF270/AI270,2)</f>
        <v>0</v>
      </c>
      <c r="AL270" s="647"/>
      <c r="AM270" s="647"/>
    </row>
    <row r="271" spans="1:39" ht="8.4499999999999993" customHeight="1">
      <c r="A271" s="717"/>
      <c r="B271" s="718"/>
      <c r="C271" s="718"/>
      <c r="D271" s="718"/>
      <c r="E271" s="718"/>
      <c r="F271" s="719"/>
      <c r="G271" s="648"/>
      <c r="H271" s="648"/>
      <c r="I271" s="648"/>
      <c r="J271" s="717" t="str">
        <f t="shared" si="15"/>
        <v>-</v>
      </c>
      <c r="K271" s="718"/>
      <c r="L271" s="719"/>
      <c r="M271" s="648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>
      <c r="A272" s="681"/>
      <c r="B272" s="682"/>
      <c r="C272" s="682"/>
      <c r="D272" s="682"/>
      <c r="E272" s="682"/>
      <c r="F272" s="683"/>
      <c r="G272" s="648"/>
      <c r="H272" s="648"/>
      <c r="I272" s="648"/>
      <c r="J272" s="714">
        <f t="shared" si="15"/>
        <v>45808</v>
      </c>
      <c r="K272" s="715"/>
      <c r="L272" s="716"/>
      <c r="M272" s="648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ht="14.1" customHeight="1"/>
    <row r="274" ht="14.1" customHeight="1"/>
    <row r="275" ht="14.1" customHeight="1"/>
    <row r="276" ht="14.1" customHeight="1"/>
    <row r="277" ht="14.1" customHeight="1"/>
    <row r="278" ht="14.1" customHeight="1"/>
    <row r="279" ht="14.1" customHeight="1"/>
    <row r="280" ht="14.1" customHeight="1"/>
    <row r="281" ht="14.1" customHeight="1"/>
    <row r="282" ht="14.1" customHeight="1"/>
    <row r="283" ht="14.1" customHeight="1"/>
    <row r="284" ht="14.1" customHeight="1"/>
    <row r="285" ht="14.1" customHeight="1"/>
    <row r="286" ht="14.1" customHeight="1"/>
    <row r="287" ht="14.1" customHeight="1"/>
    <row r="288" ht="14.1" customHeight="1"/>
    <row r="289" spans="1:39" ht="14.1" customHeight="1"/>
    <row r="290" spans="1:39" ht="14.1" customHeight="1"/>
    <row r="291" spans="1:39" ht="14.1" customHeight="1"/>
    <row r="292" spans="1:39" ht="14.1" customHeight="1"/>
    <row r="293" spans="1:39" ht="14.1" customHeight="1">
      <c r="A293" s="695" t="s">
        <v>858</v>
      </c>
      <c r="B293" s="695"/>
      <c r="C293" s="695"/>
      <c r="D293" s="695"/>
      <c r="E293" s="695"/>
      <c r="F293" s="695"/>
      <c r="G293" s="695"/>
      <c r="H293" s="695" t="str">
        <f>VLOOKUP($AA$15,'Date SPV'!$B:$H,4,FALSE)</f>
        <v>Strada Lector, nr. 1-3A, Sibiu, jud. Sibiu</v>
      </c>
      <c r="I293" s="695"/>
      <c r="J293" s="695"/>
      <c r="K293" s="695"/>
      <c r="L293" s="695"/>
      <c r="M293" s="695"/>
      <c r="N293" s="695"/>
      <c r="O293" s="695"/>
      <c r="P293" s="695"/>
      <c r="Q293" s="695"/>
      <c r="R293" s="695"/>
      <c r="S293" s="695"/>
      <c r="T293" s="695"/>
      <c r="U293" s="695"/>
      <c r="V293" s="695"/>
      <c r="W293" s="695"/>
      <c r="X293" s="695"/>
      <c r="Y293" s="695"/>
      <c r="Z293" s="695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</row>
    <row r="294" spans="1:39" ht="14.1" customHeight="1">
      <c r="A294" s="695"/>
      <c r="B294" s="695"/>
      <c r="C294" s="695"/>
      <c r="D294" s="695"/>
      <c r="E294" s="695"/>
      <c r="F294" s="695"/>
      <c r="G294" s="695"/>
      <c r="H294" s="695"/>
      <c r="I294" s="695"/>
      <c r="J294" s="695"/>
      <c r="K294" s="695"/>
      <c r="L294" s="695"/>
      <c r="M294" s="695"/>
      <c r="N294" s="695"/>
      <c r="O294" s="695"/>
      <c r="P294" s="695"/>
      <c r="Q294" s="695"/>
      <c r="R294" s="695"/>
      <c r="S294" s="695"/>
      <c r="T294" s="695"/>
      <c r="U294" s="695"/>
      <c r="V294" s="695"/>
      <c r="W294" s="695"/>
      <c r="X294" s="695"/>
      <c r="Y294" s="695"/>
      <c r="Z294" s="695"/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</row>
    <row r="295" spans="1:39" ht="14.1" customHeight="1">
      <c r="A295" s="695" t="s">
        <v>859</v>
      </c>
      <c r="B295" s="695"/>
      <c r="C295" s="695"/>
      <c r="D295" s="695"/>
      <c r="E295" s="695"/>
      <c r="F295" s="695"/>
      <c r="G295" s="695"/>
      <c r="H295" s="712">
        <f>VLOOKUP(AA295,'Date masura OD'!$G:$BE,51,FALSE)</f>
        <v>5000290964</v>
      </c>
      <c r="I295" s="712"/>
      <c r="J295" s="712"/>
      <c r="K295" s="712"/>
      <c r="L295" s="712"/>
      <c r="M295" s="712"/>
      <c r="N295" s="712"/>
      <c r="O295" s="712"/>
      <c r="P295" s="712"/>
      <c r="Q295" s="712"/>
      <c r="R295" s="712"/>
      <c r="S295" s="712"/>
      <c r="T295" s="712"/>
      <c r="U295" s="712"/>
      <c r="V295" s="712"/>
      <c r="W295" s="712" t="s">
        <v>860</v>
      </c>
      <c r="X295" s="712"/>
      <c r="Y295" s="712"/>
      <c r="Z295" s="712"/>
      <c r="AA295" s="640" t="str">
        <f>_xlfn.CONCAT($AA$15,"_",2)</f>
        <v>RFSC_2</v>
      </c>
      <c r="AB295" s="640"/>
      <c r="AC295" s="640"/>
      <c r="AD295" s="640"/>
      <c r="AE295" s="640"/>
      <c r="AF295" s="640"/>
      <c r="AG295" s="640"/>
      <c r="AH295" s="640"/>
      <c r="AI295" s="640"/>
      <c r="AJ295" s="640"/>
      <c r="AK295" s="640"/>
      <c r="AL295" s="640"/>
      <c r="AM295" s="640"/>
    </row>
    <row r="296" spans="1:39" ht="14.1" customHeight="1">
      <c r="A296" s="695"/>
      <c r="B296" s="695"/>
      <c r="C296" s="695"/>
      <c r="D296" s="695"/>
      <c r="E296" s="695"/>
      <c r="F296" s="695"/>
      <c r="G296" s="695"/>
      <c r="H296" s="712"/>
      <c r="I296" s="712"/>
      <c r="J296" s="712"/>
      <c r="K296" s="712"/>
      <c r="L296" s="712"/>
      <c r="M296" s="712"/>
      <c r="N296" s="712"/>
      <c r="O296" s="712"/>
      <c r="P296" s="712"/>
      <c r="Q296" s="712"/>
      <c r="R296" s="712"/>
      <c r="S296" s="712"/>
      <c r="T296" s="712"/>
      <c r="U296" s="712"/>
      <c r="V296" s="712"/>
      <c r="W296" s="712"/>
      <c r="X296" s="712"/>
      <c r="Y296" s="712"/>
      <c r="Z296" s="712"/>
      <c r="AA296" s="640"/>
      <c r="AB296" s="640"/>
      <c r="AC296" s="640"/>
      <c r="AD296" s="640"/>
      <c r="AE296" s="640"/>
      <c r="AF296" s="640"/>
      <c r="AG296" s="640"/>
      <c r="AH296" s="640"/>
      <c r="AI296" s="640"/>
      <c r="AJ296" s="640"/>
      <c r="AK296" s="640"/>
      <c r="AL296" s="640"/>
      <c r="AM296" s="640"/>
    </row>
    <row r="298" spans="1:39">
      <c r="A298" s="649" t="s">
        <v>748</v>
      </c>
      <c r="B298" s="649"/>
      <c r="C298" s="649"/>
      <c r="D298" s="649"/>
      <c r="E298" s="649"/>
      <c r="F298" s="649"/>
      <c r="G298" s="649"/>
      <c r="H298" s="649"/>
      <c r="I298" s="649"/>
      <c r="J298" s="649"/>
      <c r="K298" s="649"/>
      <c r="L298" s="649"/>
      <c r="M298" s="650" t="str">
        <f>VLOOKUP(AI299,'Contorizare in SDI'!$E:$I,4,FALSE)</f>
        <v>594020200002317122/7</v>
      </c>
      <c r="N298" s="650"/>
      <c r="O298" s="650"/>
      <c r="P298" s="650"/>
      <c r="Q298" s="650"/>
      <c r="R298" s="650"/>
      <c r="S298" s="650"/>
      <c r="T298" s="650"/>
      <c r="U298" s="650"/>
      <c r="V298" s="650"/>
      <c r="W298" s="650"/>
      <c r="X298" s="650"/>
      <c r="Y298" s="650"/>
      <c r="Z298" s="650"/>
      <c r="AA298" s="650"/>
      <c r="AB298" s="650"/>
      <c r="AC298" s="650"/>
      <c r="AD298" s="650"/>
      <c r="AE298" s="650"/>
      <c r="AF298" s="650"/>
      <c r="AG298" s="650"/>
      <c r="AH298" s="650"/>
      <c r="AI298" s="650" t="s">
        <v>695</v>
      </c>
      <c r="AJ298" s="650"/>
      <c r="AK298" s="650"/>
      <c r="AL298" s="650"/>
      <c r="AM298" s="650"/>
    </row>
    <row r="299" spans="1:39">
      <c r="A299" s="649" t="s">
        <v>746</v>
      </c>
      <c r="B299" s="649"/>
      <c r="C299" s="649"/>
      <c r="D299" s="649"/>
      <c r="E299" s="649"/>
      <c r="F299" s="649"/>
      <c r="G299" s="649"/>
      <c r="H299" s="649"/>
      <c r="I299" s="649"/>
      <c r="J299" s="649"/>
      <c r="K299" s="649"/>
      <c r="L299" s="649"/>
      <c r="M299" s="650" t="str">
        <f>VLOOKUP(AI299,'Inchidere contur'!$G:$U,15,FALSE)</f>
        <v>JT_SDI</v>
      </c>
      <c r="N299" s="650"/>
      <c r="O299" s="650"/>
      <c r="P299" s="650"/>
      <c r="Q299" s="650"/>
      <c r="R299" s="650"/>
      <c r="S299" s="650"/>
      <c r="T299" s="650"/>
      <c r="U299" s="650"/>
      <c r="V299" s="650"/>
      <c r="W299" s="650"/>
      <c r="X299" s="650"/>
      <c r="Y299" s="650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19" t="str">
        <f>_xlfn.CONCAT(AA295,".",1)</f>
        <v>RFSC_2.1</v>
      </c>
      <c r="AJ299" s="619"/>
      <c r="AK299" s="619"/>
      <c r="AL299" s="619"/>
      <c r="AM299" s="619"/>
    </row>
    <row r="300" spans="1:39">
      <c r="A300" s="649" t="s">
        <v>747</v>
      </c>
      <c r="B300" s="649"/>
      <c r="C300" s="649"/>
      <c r="D300" s="649"/>
      <c r="E300" s="649"/>
      <c r="F300" s="649"/>
      <c r="G300" s="649"/>
      <c r="H300" s="649"/>
      <c r="I300" s="649"/>
      <c r="J300" s="649"/>
      <c r="K300" s="649"/>
      <c r="L300" s="649"/>
      <c r="M300" s="650" t="str">
        <f>IF(LEFT(M299,2)="JT","0.4kV",IF(LEFT(M299,2)="MT","20kV","-"))</f>
        <v>0.4kV</v>
      </c>
      <c r="N300" s="650"/>
      <c r="O300" s="650"/>
      <c r="P300" s="650"/>
      <c r="Q300" s="650"/>
      <c r="R300" s="650"/>
      <c r="S300" s="650"/>
      <c r="T300" s="650"/>
      <c r="U300" s="650"/>
      <c r="V300" s="650"/>
      <c r="W300" s="650"/>
      <c r="X300" s="650"/>
      <c r="Y300" s="65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19"/>
      <c r="AJ300" s="619"/>
      <c r="AK300" s="619"/>
      <c r="AL300" s="619"/>
      <c r="AM300" s="619"/>
    </row>
    <row r="301" spans="1:39" ht="15.95" customHeight="1">
      <c r="A301" s="648" t="s">
        <v>697</v>
      </c>
      <c r="B301" s="648"/>
      <c r="C301" s="648"/>
      <c r="D301" s="648"/>
      <c r="E301" s="648"/>
      <c r="F301" s="648"/>
      <c r="G301" s="647" t="s">
        <v>713</v>
      </c>
      <c r="H301" s="647"/>
      <c r="I301" s="647"/>
      <c r="J301" s="647" t="s">
        <v>714</v>
      </c>
      <c r="K301" s="647"/>
      <c r="L301" s="647"/>
      <c r="M301" s="648" t="s">
        <v>519</v>
      </c>
      <c r="N301" s="648"/>
      <c r="O301" s="648" t="s">
        <v>715</v>
      </c>
      <c r="P301" s="648"/>
      <c r="Q301" s="648"/>
      <c r="R301" s="647" t="s">
        <v>732</v>
      </c>
      <c r="S301" s="647"/>
      <c r="T301" s="647"/>
      <c r="U301" s="647" t="s">
        <v>734</v>
      </c>
      <c r="V301" s="647"/>
      <c r="W301" s="647"/>
      <c r="X301" s="647" t="s">
        <v>1085</v>
      </c>
      <c r="Y301" s="647"/>
      <c r="Z301" s="647"/>
      <c r="AA301" s="647" t="s">
        <v>1086</v>
      </c>
      <c r="AB301" s="647"/>
      <c r="AC301" s="647"/>
      <c r="AD301" s="647" t="s">
        <v>717</v>
      </c>
      <c r="AE301" s="647"/>
      <c r="AF301" s="647" t="s">
        <v>718</v>
      </c>
      <c r="AG301" s="647"/>
      <c r="AH301" s="647"/>
      <c r="AI301" s="647" t="s">
        <v>719</v>
      </c>
      <c r="AJ301" s="647"/>
      <c r="AK301" s="647" t="s">
        <v>733</v>
      </c>
      <c r="AL301" s="647"/>
      <c r="AM301" s="647"/>
    </row>
    <row r="302" spans="1:39">
      <c r="A302" s="648"/>
      <c r="B302" s="648"/>
      <c r="C302" s="648"/>
      <c r="D302" s="648"/>
      <c r="E302" s="648"/>
      <c r="F302" s="648"/>
      <c r="G302" s="647"/>
      <c r="H302" s="647"/>
      <c r="I302" s="647"/>
      <c r="J302" s="647"/>
      <c r="K302" s="647"/>
      <c r="L302" s="647"/>
      <c r="M302" s="648"/>
      <c r="N302" s="648"/>
      <c r="O302" s="648"/>
      <c r="P302" s="648"/>
      <c r="Q302" s="648"/>
      <c r="R302" s="647"/>
      <c r="S302" s="647"/>
      <c r="T302" s="647"/>
      <c r="U302" s="647"/>
      <c r="V302" s="647"/>
      <c r="W302" s="647"/>
      <c r="X302" s="647"/>
      <c r="Y302" s="647"/>
      <c r="Z302" s="647"/>
      <c r="AA302" s="647"/>
      <c r="AB302" s="647"/>
      <c r="AC302" s="647"/>
      <c r="AD302" s="647"/>
      <c r="AE302" s="647"/>
      <c r="AF302" s="647"/>
      <c r="AG302" s="647"/>
      <c r="AH302" s="647"/>
      <c r="AI302" s="647"/>
      <c r="AJ302" s="647"/>
      <c r="AK302" s="647"/>
      <c r="AL302" s="647"/>
      <c r="AM302" s="647"/>
    </row>
    <row r="303" spans="1:39">
      <c r="A303" s="648"/>
      <c r="B303" s="648"/>
      <c r="C303" s="648"/>
      <c r="D303" s="648"/>
      <c r="E303" s="648"/>
      <c r="F303" s="648"/>
      <c r="G303" s="647"/>
      <c r="H303" s="647"/>
      <c r="I303" s="647"/>
      <c r="J303" s="713"/>
      <c r="K303" s="713"/>
      <c r="L303" s="713"/>
      <c r="M303" s="648"/>
      <c r="N303" s="648"/>
      <c r="O303" s="648"/>
      <c r="P303" s="648"/>
      <c r="Q303" s="648"/>
      <c r="R303" s="647"/>
      <c r="S303" s="647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</row>
    <row r="304" spans="1:39" ht="14.1" customHeight="1">
      <c r="A304" s="784" t="s">
        <v>1325</v>
      </c>
      <c r="B304" s="785"/>
      <c r="C304" s="785"/>
      <c r="D304" s="785"/>
      <c r="E304" s="785"/>
      <c r="F304" s="786"/>
      <c r="G304" s="648" t="s">
        <v>730</v>
      </c>
      <c r="H304" s="648"/>
      <c r="I304" s="673"/>
      <c r="J304" s="655">
        <f>'Date masura OD'!$AK$5</f>
        <v>45748</v>
      </c>
      <c r="K304" s="656"/>
      <c r="L304" s="657"/>
      <c r="M304" s="720" t="s">
        <v>446</v>
      </c>
      <c r="N304" s="648"/>
      <c r="O304" s="648">
        <f>VLOOKUP(AI299,'Incrementare indexe'!$B:$T,4,FALSE)</f>
        <v>1</v>
      </c>
      <c r="P304" s="648"/>
      <c r="Q304" s="648"/>
      <c r="R304" s="647" t="str">
        <f>VLOOKUP(A304,Regularizare!$D:$YN,3,FALSE)&amp;" ("&amp;VLOOKUP(A304,Regularizare!$D:$Y,11,FALSE)&amp;")"</f>
        <v>0 (citit)</v>
      </c>
      <c r="S304" s="647"/>
      <c r="T304" s="647"/>
      <c r="U304" s="647" t="str">
        <f>VLOOKUP(A304,Regularizare!$D:$U,4,FALSE)&amp;" ("&amp;VLOOKUP(A304,Regularizare!$D:$U,12,FALSE)&amp;")"</f>
        <v>0 (estimat)</v>
      </c>
      <c r="V304" s="647"/>
      <c r="W304" s="647"/>
      <c r="X304" s="647" t="str">
        <f>VLOOKUP(A304,Regularizare!$D:$Y,19,FALSE)&amp;" ("&amp;VLOOKUP(A304,Regularizare!$D:$U,12,FALSE)&amp;")"</f>
        <v>0 (estimat)</v>
      </c>
      <c r="Y304" s="647"/>
      <c r="Z304" s="647"/>
      <c r="AA304" s="647">
        <f>(-1)*VLOOKUP(A304,Regularizare!$D:$Y,19,FALSE)</f>
        <v>0</v>
      </c>
      <c r="AB304" s="647"/>
      <c r="AC304" s="647"/>
      <c r="AD304" s="647" t="s">
        <v>69</v>
      </c>
      <c r="AE304" s="647"/>
      <c r="AF304" s="647">
        <f>AA304</f>
        <v>0</v>
      </c>
      <c r="AG304" s="647"/>
      <c r="AH304" s="647"/>
      <c r="AI304" s="647" t="s">
        <v>69</v>
      </c>
      <c r="AJ304" s="647"/>
      <c r="AK304" s="647" t="s">
        <v>69</v>
      </c>
      <c r="AL304" s="647"/>
      <c r="AM304" s="647"/>
    </row>
    <row r="305" spans="1:39" ht="9.75" customHeight="1">
      <c r="A305" s="787"/>
      <c r="B305" s="788"/>
      <c r="C305" s="788"/>
      <c r="D305" s="788"/>
      <c r="E305" s="788"/>
      <c r="F305" s="789"/>
      <c r="G305" s="648"/>
      <c r="H305" s="648"/>
      <c r="I305" s="673"/>
      <c r="J305" s="717" t="s">
        <v>69</v>
      </c>
      <c r="K305" s="718"/>
      <c r="L305" s="719"/>
      <c r="M305" s="720"/>
      <c r="N305" s="648"/>
      <c r="O305" s="648"/>
      <c r="P305" s="648"/>
      <c r="Q305" s="648"/>
      <c r="R305" s="647"/>
      <c r="S305" s="647"/>
      <c r="T305" s="647"/>
      <c r="U305" s="647"/>
      <c r="V305" s="647"/>
      <c r="W305" s="647"/>
      <c r="X305" s="647"/>
      <c r="Y305" s="647"/>
      <c r="Z305" s="647"/>
      <c r="AA305" s="647"/>
      <c r="AB305" s="647"/>
      <c r="AC305" s="647"/>
      <c r="AD305" s="647"/>
      <c r="AE305" s="647"/>
      <c r="AF305" s="647"/>
      <c r="AG305" s="647"/>
      <c r="AH305" s="647"/>
      <c r="AI305" s="647"/>
      <c r="AJ305" s="647"/>
      <c r="AK305" s="647"/>
      <c r="AL305" s="647"/>
      <c r="AM305" s="647"/>
    </row>
    <row r="306" spans="1:39" ht="14.1" customHeight="1">
      <c r="A306" s="790"/>
      <c r="B306" s="791"/>
      <c r="C306" s="791"/>
      <c r="D306" s="791"/>
      <c r="E306" s="791"/>
      <c r="F306" s="792"/>
      <c r="G306" s="648"/>
      <c r="H306" s="648"/>
      <c r="I306" s="673"/>
      <c r="J306" s="714">
        <f>'Date masura OD'!$AL$5</f>
        <v>45777</v>
      </c>
      <c r="K306" s="715"/>
      <c r="L306" s="716"/>
      <c r="M306" s="720"/>
      <c r="N306" s="648"/>
      <c r="O306" s="648"/>
      <c r="P306" s="648"/>
      <c r="Q306" s="648"/>
      <c r="R306" s="647"/>
      <c r="S306" s="647"/>
      <c r="T306" s="647"/>
      <c r="U306" s="647"/>
      <c r="V306" s="647"/>
      <c r="W306" s="647"/>
      <c r="X306" s="647"/>
      <c r="Y306" s="647"/>
      <c r="Z306" s="647"/>
      <c r="AA306" s="647"/>
      <c r="AB306" s="647"/>
      <c r="AC306" s="647"/>
      <c r="AD306" s="647"/>
      <c r="AE306" s="647"/>
      <c r="AF306" s="647"/>
      <c r="AG306" s="647"/>
      <c r="AH306" s="647"/>
      <c r="AI306" s="647"/>
      <c r="AJ306" s="647"/>
      <c r="AK306" s="647"/>
      <c r="AL306" s="647"/>
      <c r="AM306" s="647"/>
    </row>
    <row r="307" spans="1:39" ht="14.1" customHeight="1">
      <c r="A307" s="784" t="s">
        <v>1325</v>
      </c>
      <c r="B307" s="785"/>
      <c r="C307" s="785"/>
      <c r="D307" s="785"/>
      <c r="E307" s="785"/>
      <c r="F307" s="786"/>
      <c r="G307" s="648" t="s">
        <v>696</v>
      </c>
      <c r="H307" s="648"/>
      <c r="I307" s="648"/>
      <c r="J307" s="655">
        <f t="shared" ref="J307:J312" si="16">J304</f>
        <v>45748</v>
      </c>
      <c r="K307" s="656"/>
      <c r="L307" s="657"/>
      <c r="M307" s="648" t="s">
        <v>720</v>
      </c>
      <c r="N307" s="648"/>
      <c r="O307" s="648">
        <f>O304</f>
        <v>1</v>
      </c>
      <c r="P307" s="648"/>
      <c r="Q307" s="648"/>
      <c r="R307" s="647" t="str">
        <f>VLOOKUP(A307,Regularizare!$D:$U,7,FALSE)&amp;" ("&amp;VLOOKUP(A307,Regularizare!$D:$U,15,FALSE)&amp;")"</f>
        <v>0 (citit)</v>
      </c>
      <c r="S307" s="647"/>
      <c r="T307" s="647"/>
      <c r="U307" s="647" t="str">
        <f>VLOOKUP(A307,Regularizare!$D:$U,8,FALSE)&amp;" ("&amp;VLOOKUP(A307,Regularizare!$D:$U,16,FALSE)&amp;")"</f>
        <v>0 (estimat)</v>
      </c>
      <c r="V307" s="647"/>
      <c r="W307" s="647"/>
      <c r="X307" s="647" t="str">
        <f>_xlfn.CONCAT(VLOOKUP(A307,Regularizare!$D:$U,8,FALSE)-VLOOKUP(A307,Regularizare!$D:$U,7,FALSE)," (",VLOOKUP(A307,Regularizare!$D:$U,16,FALSE),")")</f>
        <v>0 (estimat)</v>
      </c>
      <c r="Y307" s="647"/>
      <c r="Z307" s="647"/>
      <c r="AA307" s="647">
        <f>IF(VLOOKUP(A307,Regularizare!$D:$Y,21,FALSE)=0,VLOOKUP(A307,Regularizare!$D:$Y,21,FALSE),(-1)*VLOOKUP(A307,Regularizare!$D:$Y,21,FALSE))</f>
        <v>0</v>
      </c>
      <c r="AB307" s="647"/>
      <c r="AC307" s="647"/>
      <c r="AD307" s="647" t="s">
        <v>69</v>
      </c>
      <c r="AE307" s="647"/>
      <c r="AF307" s="647">
        <f>AA307</f>
        <v>0</v>
      </c>
      <c r="AG307" s="647"/>
      <c r="AH307" s="647"/>
      <c r="AI307" s="647" t="str">
        <f>AI304</f>
        <v>-</v>
      </c>
      <c r="AJ307" s="647"/>
      <c r="AK307" s="647" t="str">
        <f>AK304</f>
        <v>-</v>
      </c>
      <c r="AL307" s="647"/>
      <c r="AM307" s="647"/>
    </row>
    <row r="308" spans="1:39" ht="8.4499999999999993" customHeight="1">
      <c r="A308" s="787"/>
      <c r="B308" s="788"/>
      <c r="C308" s="788"/>
      <c r="D308" s="788"/>
      <c r="E308" s="788"/>
      <c r="F308" s="789"/>
      <c r="G308" s="648"/>
      <c r="H308" s="648"/>
      <c r="I308" s="648"/>
      <c r="J308" s="717" t="str">
        <f t="shared" si="16"/>
        <v>-</v>
      </c>
      <c r="K308" s="718"/>
      <c r="L308" s="719"/>
      <c r="M308" s="648"/>
      <c r="N308" s="648"/>
      <c r="O308" s="648"/>
      <c r="P308" s="648"/>
      <c r="Q308" s="648"/>
      <c r="R308" s="647"/>
      <c r="S308" s="647"/>
      <c r="T308" s="647"/>
      <c r="U308" s="647"/>
      <c r="V308" s="647"/>
      <c r="W308" s="647"/>
      <c r="X308" s="647"/>
      <c r="Y308" s="647"/>
      <c r="Z308" s="647"/>
      <c r="AA308" s="647"/>
      <c r="AB308" s="647"/>
      <c r="AC308" s="647"/>
      <c r="AD308" s="647"/>
      <c r="AE308" s="647"/>
      <c r="AF308" s="647"/>
      <c r="AG308" s="647"/>
      <c r="AH308" s="647"/>
      <c r="AI308" s="647"/>
      <c r="AJ308" s="647"/>
      <c r="AK308" s="647"/>
      <c r="AL308" s="647"/>
      <c r="AM308" s="647"/>
    </row>
    <row r="309" spans="1:39" ht="14.1" customHeight="1">
      <c r="A309" s="790"/>
      <c r="B309" s="791"/>
      <c r="C309" s="791"/>
      <c r="D309" s="791"/>
      <c r="E309" s="791"/>
      <c r="F309" s="792"/>
      <c r="G309" s="648"/>
      <c r="H309" s="648"/>
      <c r="I309" s="648"/>
      <c r="J309" s="714">
        <f t="shared" si="16"/>
        <v>45777</v>
      </c>
      <c r="K309" s="715"/>
      <c r="L309" s="716"/>
      <c r="M309" s="648"/>
      <c r="N309" s="648"/>
      <c r="O309" s="648"/>
      <c r="P309" s="648"/>
      <c r="Q309" s="648"/>
      <c r="R309" s="647"/>
      <c r="S309" s="647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647"/>
      <c r="AL309" s="647"/>
      <c r="AM309" s="647"/>
    </row>
    <row r="310" spans="1:39" ht="14.1" customHeight="1">
      <c r="A310" s="784" t="s">
        <v>1325</v>
      </c>
      <c r="B310" s="785"/>
      <c r="C310" s="785"/>
      <c r="D310" s="785"/>
      <c r="E310" s="785"/>
      <c r="F310" s="786"/>
      <c r="G310" s="648" t="s">
        <v>731</v>
      </c>
      <c r="H310" s="648"/>
      <c r="I310" s="648"/>
      <c r="J310" s="655">
        <f t="shared" si="16"/>
        <v>45748</v>
      </c>
      <c r="K310" s="656"/>
      <c r="L310" s="657"/>
      <c r="M310" s="648" t="s">
        <v>720</v>
      </c>
      <c r="N310" s="648"/>
      <c r="O310" s="648">
        <f>O307</f>
        <v>1</v>
      </c>
      <c r="P310" s="648"/>
      <c r="Q310" s="648"/>
      <c r="R310" s="647" t="str">
        <f>VLOOKUP(A310,Regularizare!$D:$U,9,FALSE)&amp;" ("&amp;VLOOKUP(A310,Regularizare!$D:$U,17,FALSE)&amp;")"</f>
        <v>0 (citit)</v>
      </c>
      <c r="S310" s="647"/>
      <c r="T310" s="647"/>
      <c r="U310" s="647" t="str">
        <f>VLOOKUP(A310,Regularizare!$D:$U,10,FALSE)&amp;" ("&amp;VLOOKUP(A310,Regularizare!$D:$U,18,FALSE)&amp;")"</f>
        <v>0 (estimat)</v>
      </c>
      <c r="V310" s="647"/>
      <c r="W310" s="647"/>
      <c r="X310" s="647" t="str">
        <f>_xlfn.CONCAT(VLOOKUP(A310,Regularizare!$D:$U,10,FALSE)-VLOOKUP(A310,Regularizare!$D:$U,9,FALSE)," (",VLOOKUP(A310,Regularizare!$D:$U,18,FALSE),")")</f>
        <v>0 (estimat)</v>
      </c>
      <c r="Y310" s="647"/>
      <c r="Z310" s="647"/>
      <c r="AA310" s="647">
        <f>IF(VLOOKUP(A310,Regularizare!$D:$Y,22,FALSE)=0,VLOOKUP(A310,Regularizare!$D:$Y,22,FALSE),(-1)*VLOOKUP(A310,Regularizare!$D:$Y,22,FALSE))</f>
        <v>0</v>
      </c>
      <c r="AB310" s="647"/>
      <c r="AC310" s="647"/>
      <c r="AD310" s="647" t="s">
        <v>69</v>
      </c>
      <c r="AE310" s="647"/>
      <c r="AF310" s="647">
        <f>AA310</f>
        <v>0</v>
      </c>
      <c r="AG310" s="647"/>
      <c r="AH310" s="647"/>
      <c r="AI310" s="647" t="str">
        <f>AI307</f>
        <v>-</v>
      </c>
      <c r="AJ310" s="647"/>
      <c r="AK310" s="647" t="str">
        <f>AK307</f>
        <v>-</v>
      </c>
      <c r="AL310" s="647"/>
      <c r="AM310" s="647"/>
    </row>
    <row r="311" spans="1:39" ht="8.4499999999999993" customHeight="1">
      <c r="A311" s="787"/>
      <c r="B311" s="788"/>
      <c r="C311" s="788"/>
      <c r="D311" s="788"/>
      <c r="E311" s="788"/>
      <c r="F311" s="789"/>
      <c r="G311" s="648"/>
      <c r="H311" s="648"/>
      <c r="I311" s="648"/>
      <c r="J311" s="717" t="str">
        <f t="shared" si="16"/>
        <v>-</v>
      </c>
      <c r="K311" s="718"/>
      <c r="L311" s="719"/>
      <c r="M311" s="648"/>
      <c r="N311" s="648"/>
      <c r="O311" s="648"/>
      <c r="P311" s="648"/>
      <c r="Q311" s="648"/>
      <c r="R311" s="647"/>
      <c r="S311" s="647"/>
      <c r="T311" s="647"/>
      <c r="U311" s="647"/>
      <c r="V311" s="647"/>
      <c r="W311" s="647"/>
      <c r="X311" s="647"/>
      <c r="Y311" s="647"/>
      <c r="Z311" s="647"/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</row>
    <row r="312" spans="1:39" ht="14.1" customHeight="1">
      <c r="A312" s="790"/>
      <c r="B312" s="791"/>
      <c r="C312" s="791"/>
      <c r="D312" s="791"/>
      <c r="E312" s="791"/>
      <c r="F312" s="792"/>
      <c r="G312" s="648"/>
      <c r="H312" s="648"/>
      <c r="I312" s="648"/>
      <c r="J312" s="714">
        <f t="shared" si="16"/>
        <v>45777</v>
      </c>
      <c r="K312" s="715"/>
      <c r="L312" s="716"/>
      <c r="M312" s="648"/>
      <c r="N312" s="648"/>
      <c r="O312" s="648"/>
      <c r="P312" s="648"/>
      <c r="Q312" s="648"/>
      <c r="R312" s="647"/>
      <c r="S312" s="647"/>
      <c r="T312" s="647"/>
      <c r="U312" s="647"/>
      <c r="V312" s="647"/>
      <c r="W312" s="647"/>
      <c r="X312" s="647"/>
      <c r="Y312" s="647"/>
      <c r="Z312" s="647"/>
      <c r="AA312" s="647"/>
      <c r="AB312" s="647"/>
      <c r="AC312" s="647"/>
      <c r="AD312" s="647"/>
      <c r="AE312" s="647"/>
      <c r="AF312" s="647"/>
      <c r="AG312" s="647"/>
      <c r="AH312" s="647"/>
      <c r="AI312" s="647"/>
      <c r="AJ312" s="647"/>
      <c r="AK312" s="647"/>
      <c r="AL312" s="647"/>
      <c r="AM312" s="647"/>
    </row>
    <row r="313" spans="1:39" ht="14.1" customHeight="1">
      <c r="A313" s="784" t="s">
        <v>1325</v>
      </c>
      <c r="B313" s="785"/>
      <c r="C313" s="785"/>
      <c r="D313" s="785"/>
      <c r="E313" s="785"/>
      <c r="F313" s="786"/>
      <c r="G313" s="648" t="s">
        <v>730</v>
      </c>
      <c r="H313" s="648"/>
      <c r="I313" s="673"/>
      <c r="J313" s="655">
        <f>'Date masura OD'!$AK$5</f>
        <v>45748</v>
      </c>
      <c r="K313" s="656"/>
      <c r="L313" s="657"/>
      <c r="M313" s="720" t="s">
        <v>446</v>
      </c>
      <c r="N313" s="648"/>
      <c r="O313" s="648">
        <f>O310</f>
        <v>1</v>
      </c>
      <c r="P313" s="648"/>
      <c r="Q313" s="648"/>
      <c r="R313" s="647" t="str">
        <f>VLOOKUP(A313,Regularizare!$D:$AX,23,FALSE)&amp;" ("&amp;VLOOKUP(A313,Regularizare!$D:$AX,24,FALSE)&amp;")"</f>
        <v>0 (citit)</v>
      </c>
      <c r="S313" s="647"/>
      <c r="T313" s="647"/>
      <c r="U313" s="647" t="str">
        <f>VLOOKUP(A313,Regularizare!$D:$AX,25,FALSE)&amp;" ("&amp;VLOOKUP(A313,Regularizare!$D:$AX,26,FALSE)&amp;")"</f>
        <v>0 (citit)</v>
      </c>
      <c r="V313" s="647"/>
      <c r="W313" s="647"/>
      <c r="X313" s="647" t="str">
        <f>VLOOKUP(A313,Regularizare!$D:$AX,37,FALSE)&amp;" ("&amp;VLOOKUP(A313,Regularizare!$D:$AX,26,FALSE)&amp;")"</f>
        <v>0 (citit)</v>
      </c>
      <c r="Y313" s="647"/>
      <c r="Z313" s="647"/>
      <c r="AA313" s="647">
        <f>VLOOKUP(A313,Regularizare!$D:$AX,37,FALSE)</f>
        <v>0</v>
      </c>
      <c r="AB313" s="647"/>
      <c r="AC313" s="647"/>
      <c r="AD313" s="647" t="s">
        <v>69</v>
      </c>
      <c r="AE313" s="647"/>
      <c r="AF313" s="647">
        <f>AA313</f>
        <v>0</v>
      </c>
      <c r="AG313" s="647"/>
      <c r="AH313" s="647"/>
      <c r="AI313" s="647" t="str">
        <f>AI310</f>
        <v>-</v>
      </c>
      <c r="AJ313" s="647"/>
      <c r="AK313" s="647" t="str">
        <f>AK310</f>
        <v>-</v>
      </c>
      <c r="AL313" s="647"/>
      <c r="AM313" s="647"/>
    </row>
    <row r="314" spans="1:39" ht="8.4499999999999993" customHeight="1">
      <c r="A314" s="787"/>
      <c r="B314" s="788"/>
      <c r="C314" s="788"/>
      <c r="D314" s="788"/>
      <c r="E314" s="788"/>
      <c r="F314" s="789"/>
      <c r="G314" s="648"/>
      <c r="H314" s="648"/>
      <c r="I314" s="673"/>
      <c r="J314" s="717" t="s">
        <v>69</v>
      </c>
      <c r="K314" s="718"/>
      <c r="L314" s="719"/>
      <c r="M314" s="720"/>
      <c r="N314" s="648"/>
      <c r="O314" s="648"/>
      <c r="P314" s="648"/>
      <c r="Q314" s="648"/>
      <c r="R314" s="647"/>
      <c r="S314" s="647"/>
      <c r="T314" s="647"/>
      <c r="U314" s="647"/>
      <c r="V314" s="647"/>
      <c r="W314" s="647"/>
      <c r="X314" s="647"/>
      <c r="Y314" s="647"/>
      <c r="Z314" s="647"/>
      <c r="AA314" s="647"/>
      <c r="AB314" s="647"/>
      <c r="AC314" s="647"/>
      <c r="AD314" s="647"/>
      <c r="AE314" s="647"/>
      <c r="AF314" s="647"/>
      <c r="AG314" s="647"/>
      <c r="AH314" s="647"/>
      <c r="AI314" s="647"/>
      <c r="AJ314" s="647"/>
      <c r="AK314" s="647"/>
      <c r="AL314" s="647"/>
      <c r="AM314" s="647"/>
    </row>
    <row r="315" spans="1:39" ht="14.1" customHeight="1">
      <c r="A315" s="790"/>
      <c r="B315" s="791"/>
      <c r="C315" s="791"/>
      <c r="D315" s="791"/>
      <c r="E315" s="791"/>
      <c r="F315" s="792"/>
      <c r="G315" s="648"/>
      <c r="H315" s="648"/>
      <c r="I315" s="673"/>
      <c r="J315" s="714">
        <f>'Date masura OD'!$AL$5</f>
        <v>45777</v>
      </c>
      <c r="K315" s="715"/>
      <c r="L315" s="716"/>
      <c r="M315" s="720"/>
      <c r="N315" s="648"/>
      <c r="O315" s="648"/>
      <c r="P315" s="648"/>
      <c r="Q315" s="648"/>
      <c r="R315" s="647"/>
      <c r="S315" s="647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</row>
    <row r="316" spans="1:39" ht="14.1" customHeight="1">
      <c r="A316" s="784" t="s">
        <v>1325</v>
      </c>
      <c r="B316" s="785"/>
      <c r="C316" s="785"/>
      <c r="D316" s="785"/>
      <c r="E316" s="785"/>
      <c r="F316" s="786"/>
      <c r="G316" s="648" t="s">
        <v>696</v>
      </c>
      <c r="H316" s="648"/>
      <c r="I316" s="648"/>
      <c r="J316" s="655">
        <f t="shared" ref="J316:J321" si="17">J313</f>
        <v>45748</v>
      </c>
      <c r="K316" s="656"/>
      <c r="L316" s="657"/>
      <c r="M316" s="648" t="s">
        <v>720</v>
      </c>
      <c r="N316" s="648"/>
      <c r="O316" s="648">
        <f>O313</f>
        <v>1</v>
      </c>
      <c r="P316" s="648"/>
      <c r="Q316" s="648"/>
      <c r="R316" s="647" t="str">
        <f>VLOOKUP(A316,Regularizare!$D:$AX,29,FALSE)&amp;" ("&amp;VLOOKUP(A316,Regularizare!$D:$AX,30,FALSE)&amp;")"</f>
        <v>0 (citit)</v>
      </c>
      <c r="S316" s="647"/>
      <c r="T316" s="647"/>
      <c r="U316" s="647" t="str">
        <f>VLOOKUP(A316,Regularizare!$D:$AX,31,FALSE)&amp;" ("&amp;VLOOKUP(A316,Regularizare!$D:$AX,32,FALSE)&amp;")"</f>
        <v>0 (citit)</v>
      </c>
      <c r="V316" s="647"/>
      <c r="W316" s="647"/>
      <c r="X316" s="647" t="str">
        <f>VLOOKUP(A316,Regularizare!$D:$AX,39,FALSE)&amp;" ("&amp;VLOOKUP(A316,Regularizare!$D:$AX,32,FALSE)&amp;")"</f>
        <v>0 (citit)</v>
      </c>
      <c r="Y316" s="647"/>
      <c r="Z316" s="647"/>
      <c r="AA316" s="647">
        <f>VLOOKUP(A316,Regularizare!$D:$AX,44,FALSE)+VLOOKUP(A316,Regularizare!$D:$AX,45,FALSE)</f>
        <v>0</v>
      </c>
      <c r="AB316" s="647"/>
      <c r="AC316" s="647"/>
      <c r="AD316" s="647" t="s">
        <v>69</v>
      </c>
      <c r="AE316" s="647"/>
      <c r="AF316" s="647">
        <f>AA316</f>
        <v>0</v>
      </c>
      <c r="AG316" s="647"/>
      <c r="AH316" s="647"/>
      <c r="AI316" s="647" t="str">
        <f>AI313</f>
        <v>-</v>
      </c>
      <c r="AJ316" s="647"/>
      <c r="AK316" s="647" t="str">
        <f>AK313</f>
        <v>-</v>
      </c>
      <c r="AL316" s="647"/>
      <c r="AM316" s="647"/>
    </row>
    <row r="317" spans="1:39" ht="8.4499999999999993" customHeight="1">
      <c r="A317" s="787"/>
      <c r="B317" s="788"/>
      <c r="C317" s="788"/>
      <c r="D317" s="788"/>
      <c r="E317" s="788"/>
      <c r="F317" s="789"/>
      <c r="G317" s="648"/>
      <c r="H317" s="648"/>
      <c r="I317" s="648"/>
      <c r="J317" s="717" t="str">
        <f t="shared" si="17"/>
        <v>-</v>
      </c>
      <c r="K317" s="718"/>
      <c r="L317" s="719"/>
      <c r="M317" s="648"/>
      <c r="N317" s="648"/>
      <c r="O317" s="648"/>
      <c r="P317" s="648"/>
      <c r="Q317" s="648"/>
      <c r="R317" s="647"/>
      <c r="S317" s="647"/>
      <c r="T317" s="647"/>
      <c r="U317" s="647"/>
      <c r="V317" s="647"/>
      <c r="W317" s="647"/>
      <c r="X317" s="647"/>
      <c r="Y317" s="647"/>
      <c r="Z317" s="647"/>
      <c r="AA317" s="647"/>
      <c r="AB317" s="647"/>
      <c r="AC317" s="647"/>
      <c r="AD317" s="647"/>
      <c r="AE317" s="647"/>
      <c r="AF317" s="647"/>
      <c r="AG317" s="647"/>
      <c r="AH317" s="647"/>
      <c r="AI317" s="647"/>
      <c r="AJ317" s="647"/>
      <c r="AK317" s="647"/>
      <c r="AL317" s="647"/>
      <c r="AM317" s="647"/>
    </row>
    <row r="318" spans="1:39" ht="14.1" customHeight="1">
      <c r="A318" s="790"/>
      <c r="B318" s="791"/>
      <c r="C318" s="791"/>
      <c r="D318" s="791"/>
      <c r="E318" s="791"/>
      <c r="F318" s="792"/>
      <c r="G318" s="648"/>
      <c r="H318" s="648"/>
      <c r="I318" s="648"/>
      <c r="J318" s="714">
        <f t="shared" si="17"/>
        <v>45777</v>
      </c>
      <c r="K318" s="715"/>
      <c r="L318" s="716"/>
      <c r="M318" s="648"/>
      <c r="N318" s="648"/>
      <c r="O318" s="648"/>
      <c r="P318" s="648"/>
      <c r="Q318" s="648"/>
      <c r="R318" s="647"/>
      <c r="S318" s="647"/>
      <c r="T318" s="647"/>
      <c r="U318" s="647"/>
      <c r="V318" s="647"/>
      <c r="W318" s="647"/>
      <c r="X318" s="647"/>
      <c r="Y318" s="647"/>
      <c r="Z318" s="647"/>
      <c r="AA318" s="647"/>
      <c r="AB318" s="647"/>
      <c r="AC318" s="647"/>
      <c r="AD318" s="647"/>
      <c r="AE318" s="647"/>
      <c r="AF318" s="647"/>
      <c r="AG318" s="647"/>
      <c r="AH318" s="647"/>
      <c r="AI318" s="647"/>
      <c r="AJ318" s="647"/>
      <c r="AK318" s="647"/>
      <c r="AL318" s="647"/>
      <c r="AM318" s="647"/>
    </row>
    <row r="319" spans="1:39" ht="14.1" customHeight="1">
      <c r="A319" s="784" t="s">
        <v>1325</v>
      </c>
      <c r="B319" s="785"/>
      <c r="C319" s="785"/>
      <c r="D319" s="785"/>
      <c r="E319" s="785"/>
      <c r="F319" s="786"/>
      <c r="G319" s="648" t="s">
        <v>731</v>
      </c>
      <c r="H319" s="648"/>
      <c r="I319" s="648"/>
      <c r="J319" s="655">
        <f t="shared" si="17"/>
        <v>45748</v>
      </c>
      <c r="K319" s="656"/>
      <c r="L319" s="657"/>
      <c r="M319" s="648" t="s">
        <v>720</v>
      </c>
      <c r="N319" s="648"/>
      <c r="O319" s="648">
        <f>O316</f>
        <v>1</v>
      </c>
      <c r="P319" s="648"/>
      <c r="Q319" s="648"/>
      <c r="R319" s="647" t="str">
        <f>VLOOKUP(A319,Regularizare!$D:$AX,33,FALSE)&amp;" ("&amp;VLOOKUP(A319,Regularizare!$D:$AX,34,FALSE)&amp;")"</f>
        <v>0 (citit)</v>
      </c>
      <c r="S319" s="647"/>
      <c r="T319" s="647"/>
      <c r="U319" s="647" t="str">
        <f>VLOOKUP(A319,Regularizare!$D:$AX,35,FALSE)&amp;" ("&amp;VLOOKUP(A319,Regularizare!$D:$AX,36,FALSE)&amp;")"</f>
        <v>0 (citit)</v>
      </c>
      <c r="V319" s="647"/>
      <c r="W319" s="647"/>
      <c r="X319" s="647" t="str">
        <f>VLOOKUP(A319,Regularizare!$D:$AX,40,FALSE)&amp;" ("&amp;VLOOKUP(A319,Regularizare!$D:$AX,36,FALSE)&amp;")"</f>
        <v>0 (citit)</v>
      </c>
      <c r="Y319" s="647"/>
      <c r="Z319" s="647"/>
      <c r="AA319" s="647">
        <f>VLOOKUP(A319,Regularizare!$D:$AX,46,FALSE)+VLOOKUP(A319,Regularizare!$D:$AX,47,FALSE)</f>
        <v>0</v>
      </c>
      <c r="AB319" s="647"/>
      <c r="AC319" s="647"/>
      <c r="AD319" s="647" t="s">
        <v>69</v>
      </c>
      <c r="AE319" s="647"/>
      <c r="AF319" s="647">
        <f>AA319</f>
        <v>0</v>
      </c>
      <c r="AG319" s="647"/>
      <c r="AH319" s="647"/>
      <c r="AI319" s="647" t="str">
        <f>AI316</f>
        <v>-</v>
      </c>
      <c r="AJ319" s="647"/>
      <c r="AK319" s="647" t="str">
        <f>AK316</f>
        <v>-</v>
      </c>
      <c r="AL319" s="647"/>
      <c r="AM319" s="647"/>
    </row>
    <row r="320" spans="1:39" ht="8.4499999999999993" customHeight="1">
      <c r="A320" s="787"/>
      <c r="B320" s="788"/>
      <c r="C320" s="788"/>
      <c r="D320" s="788"/>
      <c r="E320" s="788"/>
      <c r="F320" s="789"/>
      <c r="G320" s="648"/>
      <c r="H320" s="648"/>
      <c r="I320" s="648"/>
      <c r="J320" s="717" t="str">
        <f t="shared" si="17"/>
        <v>-</v>
      </c>
      <c r="K320" s="718"/>
      <c r="L320" s="719"/>
      <c r="M320" s="648"/>
      <c r="N320" s="648"/>
      <c r="O320" s="648"/>
      <c r="P320" s="648"/>
      <c r="Q320" s="648"/>
      <c r="R320" s="647"/>
      <c r="S320" s="647"/>
      <c r="T320" s="647"/>
      <c r="U320" s="647"/>
      <c r="V320" s="647"/>
      <c r="W320" s="647"/>
      <c r="X320" s="647"/>
      <c r="Y320" s="647"/>
      <c r="Z320" s="647"/>
      <c r="AA320" s="647"/>
      <c r="AB320" s="647"/>
      <c r="AC320" s="647"/>
      <c r="AD320" s="647"/>
      <c r="AE320" s="647"/>
      <c r="AF320" s="647"/>
      <c r="AG320" s="647"/>
      <c r="AH320" s="647"/>
      <c r="AI320" s="647"/>
      <c r="AJ320" s="647"/>
      <c r="AK320" s="647"/>
      <c r="AL320" s="647"/>
      <c r="AM320" s="647"/>
    </row>
    <row r="321" spans="1:39" ht="14.1" customHeight="1">
      <c r="A321" s="790"/>
      <c r="B321" s="791"/>
      <c r="C321" s="791"/>
      <c r="D321" s="791"/>
      <c r="E321" s="791"/>
      <c r="F321" s="792"/>
      <c r="G321" s="648"/>
      <c r="H321" s="648"/>
      <c r="I321" s="648"/>
      <c r="J321" s="714">
        <f t="shared" si="17"/>
        <v>45777</v>
      </c>
      <c r="K321" s="715"/>
      <c r="L321" s="716"/>
      <c r="M321" s="648"/>
      <c r="N321" s="648"/>
      <c r="O321" s="648"/>
      <c r="P321" s="648"/>
      <c r="Q321" s="648"/>
      <c r="R321" s="647"/>
      <c r="S321" s="647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647"/>
      <c r="AL321" s="647"/>
      <c r="AM321" s="647"/>
    </row>
    <row r="322" spans="1:39" ht="14.1" customHeight="1">
      <c r="A322" s="784" t="s">
        <v>1325</v>
      </c>
      <c r="B322" s="785"/>
      <c r="C322" s="785"/>
      <c r="D322" s="785"/>
      <c r="E322" s="785"/>
      <c r="F322" s="786"/>
      <c r="G322" s="648" t="s">
        <v>730</v>
      </c>
      <c r="H322" s="648"/>
      <c r="I322" s="673"/>
      <c r="J322" s="655">
        <f>'Date masura OD'!$I$5</f>
        <v>45778</v>
      </c>
      <c r="K322" s="656"/>
      <c r="L322" s="657"/>
      <c r="M322" s="720" t="s">
        <v>446</v>
      </c>
      <c r="N322" s="648"/>
      <c r="O322" s="648">
        <f>O319</f>
        <v>1</v>
      </c>
      <c r="P322" s="648"/>
      <c r="Q322" s="648"/>
      <c r="R322" s="647" t="str">
        <f>U313</f>
        <v>0 (citit)</v>
      </c>
      <c r="S322" s="647"/>
      <c r="T322" s="647"/>
      <c r="U322" s="647" t="str">
        <f>VLOOKUP(A322,Regularizare!$D:$AX,25,FALSE)&amp;" ("&amp;VLOOKUP(A322,Regularizare!$D:$AX,26,FALSE)&amp;")"</f>
        <v>0 (citit)</v>
      </c>
      <c r="V322" s="647"/>
      <c r="W322" s="647"/>
      <c r="X322" s="647" t="str">
        <f>VLOOKUP(A322,Regularizare!$D:$AX,37,FALSE)&amp;" ("&amp;VLOOKUP(A322,Regularizare!$D:$AX,26,FALSE)&amp;")"</f>
        <v>0 (citit)</v>
      </c>
      <c r="Y322" s="647"/>
      <c r="Z322" s="647"/>
      <c r="AA322" s="647">
        <f>VLOOKUP(A322,Regularizare!$D:$AX,37,FALSE)</f>
        <v>0</v>
      </c>
      <c r="AB322" s="647"/>
      <c r="AC322" s="647"/>
      <c r="AD322" s="647" t="s">
        <v>69</v>
      </c>
      <c r="AE322" s="647"/>
      <c r="AF322" s="647">
        <f>AA322</f>
        <v>0</v>
      </c>
      <c r="AG322" s="647"/>
      <c r="AH322" s="647"/>
      <c r="AI322" s="647" t="str">
        <f>AI319</f>
        <v>-</v>
      </c>
      <c r="AJ322" s="647"/>
      <c r="AK322" s="647" t="str">
        <f>AK319</f>
        <v>-</v>
      </c>
      <c r="AL322" s="647"/>
      <c r="AM322" s="647"/>
    </row>
    <row r="323" spans="1:39" ht="8.4499999999999993" customHeight="1">
      <c r="A323" s="787"/>
      <c r="B323" s="788"/>
      <c r="C323" s="788"/>
      <c r="D323" s="788"/>
      <c r="E323" s="788"/>
      <c r="F323" s="789"/>
      <c r="G323" s="648"/>
      <c r="H323" s="648"/>
      <c r="I323" s="673"/>
      <c r="J323" s="717" t="s">
        <v>69</v>
      </c>
      <c r="K323" s="718"/>
      <c r="L323" s="719"/>
      <c r="M323" s="720"/>
      <c r="N323" s="648"/>
      <c r="O323" s="648"/>
      <c r="P323" s="648"/>
      <c r="Q323" s="648"/>
      <c r="R323" s="647"/>
      <c r="S323" s="647"/>
      <c r="T323" s="647"/>
      <c r="U323" s="647"/>
      <c r="V323" s="647"/>
      <c r="W323" s="647"/>
      <c r="X323" s="647"/>
      <c r="Y323" s="647"/>
      <c r="Z323" s="647"/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</row>
    <row r="324" spans="1:39" ht="14.1" customHeight="1">
      <c r="A324" s="790"/>
      <c r="B324" s="791"/>
      <c r="C324" s="791"/>
      <c r="D324" s="791"/>
      <c r="E324" s="791"/>
      <c r="F324" s="792"/>
      <c r="G324" s="648"/>
      <c r="H324" s="648"/>
      <c r="I324" s="673"/>
      <c r="J324" s="714">
        <f>'Date masura OD'!$J$5</f>
        <v>45808</v>
      </c>
      <c r="K324" s="715"/>
      <c r="L324" s="716"/>
      <c r="M324" s="720"/>
      <c r="N324" s="648"/>
      <c r="O324" s="648"/>
      <c r="P324" s="648"/>
      <c r="Q324" s="648"/>
      <c r="R324" s="647"/>
      <c r="S324" s="647"/>
      <c r="T324" s="647"/>
      <c r="U324" s="647"/>
      <c r="V324" s="647"/>
      <c r="W324" s="647"/>
      <c r="X324" s="647"/>
      <c r="Y324" s="647"/>
      <c r="Z324" s="647"/>
      <c r="AA324" s="647"/>
      <c r="AB324" s="647"/>
      <c r="AC324" s="647"/>
      <c r="AD324" s="647"/>
      <c r="AE324" s="647"/>
      <c r="AF324" s="647"/>
      <c r="AG324" s="647"/>
      <c r="AH324" s="647"/>
      <c r="AI324" s="647"/>
      <c r="AJ324" s="647"/>
      <c r="AK324" s="647"/>
      <c r="AL324" s="647"/>
      <c r="AM324" s="647"/>
    </row>
    <row r="325" spans="1:39" ht="14.1" customHeight="1">
      <c r="A325" s="784" t="s">
        <v>1325</v>
      </c>
      <c r="B325" s="785"/>
      <c r="C325" s="785"/>
      <c r="D325" s="785"/>
      <c r="E325" s="785"/>
      <c r="F325" s="786"/>
      <c r="G325" s="648" t="s">
        <v>696</v>
      </c>
      <c r="H325" s="648"/>
      <c r="I325" s="648"/>
      <c r="J325" s="655">
        <f t="shared" ref="J325:J330" si="18">J322</f>
        <v>45778</v>
      </c>
      <c r="K325" s="656"/>
      <c r="L325" s="657"/>
      <c r="M325" s="648" t="s">
        <v>720</v>
      </c>
      <c r="N325" s="648"/>
      <c r="O325" s="648">
        <f>O322</f>
        <v>1</v>
      </c>
      <c r="P325" s="648"/>
      <c r="Q325" s="648"/>
      <c r="R325" s="647" t="str">
        <f>U316</f>
        <v>0 (citit)</v>
      </c>
      <c r="S325" s="647"/>
      <c r="T325" s="647"/>
      <c r="U325" s="647" t="str">
        <f>VLOOKUP(A325,Regularizare!$D:$AX,31,FALSE)&amp;" ("&amp;VLOOKUP(A325,Regularizare!$D:$AX,32,FALSE)&amp;")"</f>
        <v>0 (citit)</v>
      </c>
      <c r="V325" s="647"/>
      <c r="W325" s="647"/>
      <c r="X325" s="647" t="str">
        <f>VLOOKUP(A325,Regularizare!$D:$AX,39,FALSE)&amp;" ("&amp;VLOOKUP(A325,Regularizare!$D:$AX,32,FALSE)&amp;")"</f>
        <v>0 (citit)</v>
      </c>
      <c r="Y325" s="647"/>
      <c r="Z325" s="647"/>
      <c r="AA325" s="647">
        <f>VLOOKUP(A325,Regularizare!$D:$AX,44,FALSE)+VLOOKUP(A325,Regularizare!$D:$AX,45,FALSE)</f>
        <v>0</v>
      </c>
      <c r="AB325" s="647"/>
      <c r="AC325" s="647"/>
      <c r="AD325" s="647" t="s">
        <v>69</v>
      </c>
      <c r="AE325" s="647"/>
      <c r="AF325" s="647">
        <f>AA325</f>
        <v>0</v>
      </c>
      <c r="AG325" s="647"/>
      <c r="AH325" s="647"/>
      <c r="AI325" s="647" t="str">
        <f>AI322</f>
        <v>-</v>
      </c>
      <c r="AJ325" s="647"/>
      <c r="AK325" s="647" t="str">
        <f>AK322</f>
        <v>-</v>
      </c>
      <c r="AL325" s="647"/>
      <c r="AM325" s="647"/>
    </row>
    <row r="326" spans="1:39" ht="8.4499999999999993" customHeight="1">
      <c r="A326" s="787"/>
      <c r="B326" s="788"/>
      <c r="C326" s="788"/>
      <c r="D326" s="788"/>
      <c r="E326" s="788"/>
      <c r="F326" s="789"/>
      <c r="G326" s="648"/>
      <c r="H326" s="648"/>
      <c r="I326" s="648"/>
      <c r="J326" s="717" t="str">
        <f t="shared" si="18"/>
        <v>-</v>
      </c>
      <c r="K326" s="718"/>
      <c r="L326" s="719"/>
      <c r="M326" s="648"/>
      <c r="N326" s="648"/>
      <c r="O326" s="648"/>
      <c r="P326" s="648"/>
      <c r="Q326" s="648"/>
      <c r="R326" s="647"/>
      <c r="S326" s="647"/>
      <c r="T326" s="647"/>
      <c r="U326" s="647"/>
      <c r="V326" s="647"/>
      <c r="W326" s="647"/>
      <c r="X326" s="647"/>
      <c r="Y326" s="647"/>
      <c r="Z326" s="647"/>
      <c r="AA326" s="647"/>
      <c r="AB326" s="647"/>
      <c r="AC326" s="647"/>
      <c r="AD326" s="647"/>
      <c r="AE326" s="647"/>
      <c r="AF326" s="647"/>
      <c r="AG326" s="647"/>
      <c r="AH326" s="647"/>
      <c r="AI326" s="647"/>
      <c r="AJ326" s="647"/>
      <c r="AK326" s="647"/>
      <c r="AL326" s="647"/>
      <c r="AM326" s="647"/>
    </row>
    <row r="327" spans="1:39" ht="14.1" customHeight="1">
      <c r="A327" s="790"/>
      <c r="B327" s="791"/>
      <c r="C327" s="791"/>
      <c r="D327" s="791"/>
      <c r="E327" s="791"/>
      <c r="F327" s="792"/>
      <c r="G327" s="648"/>
      <c r="H327" s="648"/>
      <c r="I327" s="648"/>
      <c r="J327" s="714">
        <f t="shared" si="18"/>
        <v>45808</v>
      </c>
      <c r="K327" s="715"/>
      <c r="L327" s="716"/>
      <c r="M327" s="648"/>
      <c r="N327" s="648"/>
      <c r="O327" s="648"/>
      <c r="P327" s="648"/>
      <c r="Q327" s="648"/>
      <c r="R327" s="647"/>
      <c r="S327" s="647"/>
      <c r="T327" s="647"/>
      <c r="U327" s="647"/>
      <c r="V327" s="647"/>
      <c r="W327" s="647"/>
      <c r="X327" s="647"/>
      <c r="Y327" s="647"/>
      <c r="Z327" s="647"/>
      <c r="AA327" s="647"/>
      <c r="AB327" s="647"/>
      <c r="AC327" s="647"/>
      <c r="AD327" s="647"/>
      <c r="AE327" s="647"/>
      <c r="AF327" s="647"/>
      <c r="AG327" s="647"/>
      <c r="AH327" s="647"/>
      <c r="AI327" s="647"/>
      <c r="AJ327" s="647"/>
      <c r="AK327" s="647"/>
      <c r="AL327" s="647"/>
      <c r="AM327" s="647"/>
    </row>
    <row r="328" spans="1:39" ht="14.1" customHeight="1">
      <c r="A328" s="784" t="s">
        <v>1325</v>
      </c>
      <c r="B328" s="785"/>
      <c r="C328" s="785"/>
      <c r="D328" s="785"/>
      <c r="E328" s="785"/>
      <c r="F328" s="786"/>
      <c r="G328" s="648" t="s">
        <v>731</v>
      </c>
      <c r="H328" s="648"/>
      <c r="I328" s="648"/>
      <c r="J328" s="655">
        <f t="shared" si="18"/>
        <v>45778</v>
      </c>
      <c r="K328" s="656"/>
      <c r="L328" s="657"/>
      <c r="M328" s="648" t="s">
        <v>720</v>
      </c>
      <c r="N328" s="648"/>
      <c r="O328" s="648">
        <f>O325</f>
        <v>1</v>
      </c>
      <c r="P328" s="648"/>
      <c r="Q328" s="648"/>
      <c r="R328" s="647" t="str">
        <f>U319</f>
        <v>0 (citit)</v>
      </c>
      <c r="S328" s="647"/>
      <c r="T328" s="647"/>
      <c r="U328" s="647" t="str">
        <f>VLOOKUP(A328,Regularizare!$D:$AX,35,FALSE)&amp;" ("&amp;VLOOKUP(A328,Regularizare!$D:$AX,36,FALSE)&amp;")"</f>
        <v>0 (citit)</v>
      </c>
      <c r="V328" s="647"/>
      <c r="W328" s="647"/>
      <c r="X328" s="647" t="str">
        <f>VLOOKUP(A328,Regularizare!$D:$AX,40,FALSE)&amp;" ("&amp;VLOOKUP(A328,Regularizare!$D:$AX,36,FALSE)&amp;")"</f>
        <v>0 (citit)</v>
      </c>
      <c r="Y328" s="647"/>
      <c r="Z328" s="647"/>
      <c r="AA328" s="647">
        <f>VLOOKUP(A328,Regularizare!$D:$AX,46,FALSE)+VLOOKUP(A328,Regularizare!$D:$AX,47,FALSE)</f>
        <v>0</v>
      </c>
      <c r="AB328" s="647"/>
      <c r="AC328" s="647"/>
      <c r="AD328" s="647" t="s">
        <v>69</v>
      </c>
      <c r="AE328" s="647"/>
      <c r="AF328" s="647">
        <f>AA328</f>
        <v>0</v>
      </c>
      <c r="AG328" s="647"/>
      <c r="AH328" s="647"/>
      <c r="AI328" s="647" t="str">
        <f>AI325</f>
        <v>-</v>
      </c>
      <c r="AJ328" s="647"/>
      <c r="AK328" s="647" t="str">
        <f>AK325</f>
        <v>-</v>
      </c>
      <c r="AL328" s="647"/>
      <c r="AM328" s="647"/>
    </row>
    <row r="329" spans="1:39" ht="8.4499999999999993" customHeight="1">
      <c r="A329" s="787"/>
      <c r="B329" s="788"/>
      <c r="C329" s="788"/>
      <c r="D329" s="788"/>
      <c r="E329" s="788"/>
      <c r="F329" s="789"/>
      <c r="G329" s="648"/>
      <c r="H329" s="648"/>
      <c r="I329" s="648"/>
      <c r="J329" s="717" t="str">
        <f t="shared" si="18"/>
        <v>-</v>
      </c>
      <c r="K329" s="718"/>
      <c r="L329" s="719"/>
      <c r="M329" s="648"/>
      <c r="N329" s="648"/>
      <c r="O329" s="648"/>
      <c r="P329" s="648"/>
      <c r="Q329" s="648"/>
      <c r="R329" s="647"/>
      <c r="S329" s="647"/>
      <c r="T329" s="647"/>
      <c r="U329" s="647"/>
      <c r="V329" s="647"/>
      <c r="W329" s="647"/>
      <c r="X329" s="647"/>
      <c r="Y329" s="647"/>
      <c r="Z329" s="647"/>
      <c r="AA329" s="647"/>
      <c r="AB329" s="647"/>
      <c r="AC329" s="647"/>
      <c r="AD329" s="647"/>
      <c r="AE329" s="647"/>
      <c r="AF329" s="647"/>
      <c r="AG329" s="647"/>
      <c r="AH329" s="647"/>
      <c r="AI329" s="647"/>
      <c r="AJ329" s="647"/>
      <c r="AK329" s="647"/>
      <c r="AL329" s="647"/>
      <c r="AM329" s="647"/>
    </row>
    <row r="330" spans="1:39" ht="14.1" customHeight="1">
      <c r="A330" s="790"/>
      <c r="B330" s="791"/>
      <c r="C330" s="791"/>
      <c r="D330" s="791"/>
      <c r="E330" s="791"/>
      <c r="F330" s="792"/>
      <c r="G330" s="648"/>
      <c r="H330" s="648"/>
      <c r="I330" s="648"/>
      <c r="J330" s="714">
        <f t="shared" si="18"/>
        <v>45808</v>
      </c>
      <c r="K330" s="715"/>
      <c r="L330" s="716"/>
      <c r="M330" s="648"/>
      <c r="N330" s="648"/>
      <c r="O330" s="648"/>
      <c r="P330" s="648"/>
      <c r="Q330" s="648"/>
      <c r="R330" s="647"/>
      <c r="S330" s="647"/>
      <c r="T330" s="647"/>
      <c r="U330" s="647"/>
      <c r="V330" s="647"/>
      <c r="W330" s="647"/>
      <c r="X330" s="647"/>
      <c r="Y330" s="647"/>
      <c r="Z330" s="647"/>
      <c r="AA330" s="647"/>
      <c r="AB330" s="647"/>
      <c r="AC330" s="647"/>
      <c r="AD330" s="647"/>
      <c r="AE330" s="647"/>
      <c r="AF330" s="647"/>
      <c r="AG330" s="647"/>
      <c r="AH330" s="647"/>
      <c r="AI330" s="647"/>
      <c r="AJ330" s="647"/>
      <c r="AK330" s="647"/>
      <c r="AL330" s="647"/>
      <c r="AM330" s="647"/>
    </row>
    <row r="331" spans="1:39" ht="14.1" customHeight="1"/>
    <row r="332" spans="1:39" ht="14.1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</row>
    <row r="333" spans="1:39" ht="14.1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</row>
    <row r="334" spans="1:39" ht="14.1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</row>
    <row r="335" spans="1:39" ht="14.1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</row>
    <row r="336" spans="1:39" ht="14.1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</row>
    <row r="337" spans="1:39" ht="14.1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</row>
    <row r="338" spans="1:39" ht="14.1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</row>
    <row r="339" spans="1:39" ht="8.4499999999999993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</row>
    <row r="340" spans="1:39" ht="14.1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</row>
    <row r="341" spans="1:39" ht="14.1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</row>
    <row r="342" spans="1:39" ht="8.4499999999999993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</row>
    <row r="343" spans="1:39" ht="14.1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</row>
    <row r="344" spans="1:39" ht="14.1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</row>
    <row r="345" spans="1:39" ht="8.4499999999999993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</row>
    <row r="346" spans="1:39" ht="14.1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</row>
    <row r="347" spans="1:39">
      <c r="A347" s="649" t="s">
        <v>748</v>
      </c>
      <c r="B347" s="649"/>
      <c r="C347" s="649"/>
      <c r="D347" s="649"/>
      <c r="E347" s="649"/>
      <c r="F347" s="649"/>
      <c r="G347" s="649"/>
      <c r="H347" s="649"/>
      <c r="I347" s="649"/>
      <c r="J347" s="649"/>
      <c r="K347" s="649"/>
      <c r="L347" s="649"/>
      <c r="M347" s="650" t="str">
        <f>VLOOKUP(AI348,'Contorizare in SDI'!$E:$I,4,FALSE)</f>
        <v>594020200002317122/8</v>
      </c>
      <c r="N347" s="650"/>
      <c r="O347" s="650"/>
      <c r="P347" s="650"/>
      <c r="Q347" s="650"/>
      <c r="R347" s="650"/>
      <c r="S347" s="650"/>
      <c r="T347" s="650"/>
      <c r="U347" s="650"/>
      <c r="V347" s="650"/>
      <c r="W347" s="650"/>
      <c r="X347" s="650"/>
      <c r="Y347" s="650"/>
      <c r="Z347" s="650"/>
      <c r="AA347" s="650"/>
      <c r="AB347" s="650"/>
      <c r="AC347" s="650"/>
      <c r="AD347" s="650"/>
      <c r="AE347" s="650"/>
      <c r="AF347" s="650"/>
      <c r="AG347" s="650"/>
      <c r="AH347" s="650"/>
      <c r="AI347" s="650" t="s">
        <v>695</v>
      </c>
      <c r="AJ347" s="650"/>
      <c r="AK347" s="650"/>
      <c r="AL347" s="650"/>
      <c r="AM347" s="650"/>
    </row>
    <row r="348" spans="1:39">
      <c r="A348" s="649" t="s">
        <v>746</v>
      </c>
      <c r="B348" s="649"/>
      <c r="C348" s="649"/>
      <c r="D348" s="649"/>
      <c r="E348" s="649"/>
      <c r="F348" s="649"/>
      <c r="G348" s="649"/>
      <c r="H348" s="649"/>
      <c r="I348" s="649"/>
      <c r="J348" s="649"/>
      <c r="K348" s="649"/>
      <c r="L348" s="649"/>
      <c r="M348" s="650" t="str">
        <f>VLOOKUP(AI348,'Inchidere contur'!$G:$U,15,FALSE)</f>
        <v>JT_SDI</v>
      </c>
      <c r="N348" s="650"/>
      <c r="O348" s="650"/>
      <c r="P348" s="650"/>
      <c r="Q348" s="650"/>
      <c r="R348" s="650"/>
      <c r="S348" s="650"/>
      <c r="T348" s="650"/>
      <c r="U348" s="650"/>
      <c r="V348" s="650"/>
      <c r="W348" s="650"/>
      <c r="X348" s="650"/>
      <c r="Y348" s="650"/>
      <c r="Z348" s="650"/>
      <c r="AA348" s="650"/>
      <c r="AB348" s="650"/>
      <c r="AC348" s="650"/>
      <c r="AD348" s="650"/>
      <c r="AE348" s="650"/>
      <c r="AF348" s="650"/>
      <c r="AG348" s="650"/>
      <c r="AH348" s="650"/>
      <c r="AI348" s="619" t="str">
        <f>_xlfn.CONCAT(AA295,".",2)</f>
        <v>RFSC_2.2</v>
      </c>
      <c r="AJ348" s="619"/>
      <c r="AK348" s="619"/>
      <c r="AL348" s="619"/>
      <c r="AM348" s="619"/>
    </row>
    <row r="349" spans="1:39">
      <c r="A349" s="649" t="s">
        <v>747</v>
      </c>
      <c r="B349" s="649"/>
      <c r="C349" s="649"/>
      <c r="D349" s="649"/>
      <c r="E349" s="649"/>
      <c r="F349" s="649"/>
      <c r="G349" s="649"/>
      <c r="H349" s="649"/>
      <c r="I349" s="649"/>
      <c r="J349" s="649"/>
      <c r="K349" s="649"/>
      <c r="L349" s="649"/>
      <c r="M349" s="650" t="str">
        <f>IF(LEFT(M348,2)="JT","0.4kV",IF(LEFT(M348,2)="MT","20kV","-"))</f>
        <v>0.4kV</v>
      </c>
      <c r="N349" s="650"/>
      <c r="O349" s="650"/>
      <c r="P349" s="650"/>
      <c r="Q349" s="650"/>
      <c r="R349" s="650"/>
      <c r="S349" s="650"/>
      <c r="T349" s="650"/>
      <c r="U349" s="650"/>
      <c r="V349" s="650"/>
      <c r="W349" s="650"/>
      <c r="X349" s="650"/>
      <c r="Y349" s="650"/>
      <c r="Z349" s="650"/>
      <c r="AA349" s="650"/>
      <c r="AB349" s="650"/>
      <c r="AC349" s="650"/>
      <c r="AD349" s="650"/>
      <c r="AE349" s="650"/>
      <c r="AF349" s="650"/>
      <c r="AG349" s="650"/>
      <c r="AH349" s="650"/>
      <c r="AI349" s="619"/>
      <c r="AJ349" s="619"/>
      <c r="AK349" s="619"/>
      <c r="AL349" s="619"/>
      <c r="AM349" s="619"/>
    </row>
    <row r="350" spans="1:39" ht="15.95" customHeight="1">
      <c r="A350" s="648" t="s">
        <v>697</v>
      </c>
      <c r="B350" s="648"/>
      <c r="C350" s="648"/>
      <c r="D350" s="648"/>
      <c r="E350" s="648"/>
      <c r="F350" s="648"/>
      <c r="G350" s="647" t="s">
        <v>713</v>
      </c>
      <c r="H350" s="647"/>
      <c r="I350" s="647"/>
      <c r="J350" s="647" t="s">
        <v>714</v>
      </c>
      <c r="K350" s="647"/>
      <c r="L350" s="647"/>
      <c r="M350" s="648" t="s">
        <v>519</v>
      </c>
      <c r="N350" s="648"/>
      <c r="O350" s="648" t="s">
        <v>715</v>
      </c>
      <c r="P350" s="648"/>
      <c r="Q350" s="648"/>
      <c r="R350" s="647" t="s">
        <v>732</v>
      </c>
      <c r="S350" s="647"/>
      <c r="T350" s="647"/>
      <c r="U350" s="647" t="s">
        <v>734</v>
      </c>
      <c r="V350" s="647"/>
      <c r="W350" s="647"/>
      <c r="X350" s="647" t="s">
        <v>1085</v>
      </c>
      <c r="Y350" s="647"/>
      <c r="Z350" s="647"/>
      <c r="AA350" s="647" t="s">
        <v>1086</v>
      </c>
      <c r="AB350" s="647"/>
      <c r="AC350" s="647"/>
      <c r="AD350" s="647" t="s">
        <v>717</v>
      </c>
      <c r="AE350" s="647"/>
      <c r="AF350" s="647" t="s">
        <v>718</v>
      </c>
      <c r="AG350" s="647"/>
      <c r="AH350" s="647"/>
      <c r="AI350" s="647" t="s">
        <v>719</v>
      </c>
      <c r="AJ350" s="647"/>
      <c r="AK350" s="647" t="s">
        <v>733</v>
      </c>
      <c r="AL350" s="647"/>
      <c r="AM350" s="647"/>
    </row>
    <row r="351" spans="1:39">
      <c r="A351" s="648"/>
      <c r="B351" s="648"/>
      <c r="C351" s="648"/>
      <c r="D351" s="648"/>
      <c r="E351" s="648"/>
      <c r="F351" s="648"/>
      <c r="G351" s="647"/>
      <c r="H351" s="647"/>
      <c r="I351" s="647"/>
      <c r="J351" s="647"/>
      <c r="K351" s="647"/>
      <c r="L351" s="647"/>
      <c r="M351" s="648"/>
      <c r="N351" s="648"/>
      <c r="O351" s="648"/>
      <c r="P351" s="648"/>
      <c r="Q351" s="648"/>
      <c r="R351" s="647"/>
      <c r="S351" s="647"/>
      <c r="T351" s="647"/>
      <c r="U351" s="647"/>
      <c r="V351" s="647"/>
      <c r="W351" s="647"/>
      <c r="X351" s="647"/>
      <c r="Y351" s="647"/>
      <c r="Z351" s="647"/>
      <c r="AA351" s="647"/>
      <c r="AB351" s="647"/>
      <c r="AC351" s="647"/>
      <c r="AD351" s="647"/>
      <c r="AE351" s="647"/>
      <c r="AF351" s="647"/>
      <c r="AG351" s="647"/>
      <c r="AH351" s="647"/>
      <c r="AI351" s="647"/>
      <c r="AJ351" s="647"/>
      <c r="AK351" s="647"/>
      <c r="AL351" s="647"/>
      <c r="AM351" s="647"/>
    </row>
    <row r="352" spans="1:39">
      <c r="A352" s="648"/>
      <c r="B352" s="648"/>
      <c r="C352" s="648"/>
      <c r="D352" s="648"/>
      <c r="E352" s="648"/>
      <c r="F352" s="648"/>
      <c r="G352" s="647"/>
      <c r="H352" s="647"/>
      <c r="I352" s="647"/>
      <c r="J352" s="713"/>
      <c r="K352" s="713"/>
      <c r="L352" s="713"/>
      <c r="M352" s="648"/>
      <c r="N352" s="648"/>
      <c r="O352" s="648"/>
      <c r="P352" s="648"/>
      <c r="Q352" s="648"/>
      <c r="R352" s="647"/>
      <c r="S352" s="647"/>
      <c r="T352" s="647"/>
      <c r="U352" s="647"/>
      <c r="V352" s="647"/>
      <c r="W352" s="647"/>
      <c r="X352" s="647"/>
      <c r="Y352" s="647"/>
      <c r="Z352" s="647"/>
      <c r="AA352" s="647"/>
      <c r="AB352" s="647"/>
      <c r="AC352" s="647"/>
      <c r="AD352" s="647"/>
      <c r="AE352" s="647"/>
      <c r="AF352" s="647"/>
      <c r="AG352" s="647"/>
      <c r="AH352" s="647"/>
      <c r="AI352" s="647"/>
      <c r="AJ352" s="647"/>
      <c r="AK352" s="647"/>
      <c r="AL352" s="647"/>
      <c r="AM352" s="647"/>
    </row>
    <row r="353" spans="1:39" ht="14.1" customHeight="1">
      <c r="A353" s="784" t="s">
        <v>1326</v>
      </c>
      <c r="B353" s="785"/>
      <c r="C353" s="785"/>
      <c r="D353" s="785"/>
      <c r="E353" s="785"/>
      <c r="F353" s="786"/>
      <c r="G353" s="648" t="s">
        <v>730</v>
      </c>
      <c r="H353" s="648"/>
      <c r="I353" s="673"/>
      <c r="J353" s="655">
        <f>'Date masura OD'!$AK$5</f>
        <v>45748</v>
      </c>
      <c r="K353" s="656"/>
      <c r="L353" s="657"/>
      <c r="M353" s="720" t="s">
        <v>446</v>
      </c>
      <c r="N353" s="648"/>
      <c r="O353" s="648">
        <f>VLOOKUP(AI348,'Incrementare indexe'!$B:$T,4,FALSE)</f>
        <v>1</v>
      </c>
      <c r="P353" s="648"/>
      <c r="Q353" s="648"/>
      <c r="R353" s="647" t="str">
        <f>VLOOKUP(A353,Regularizare!$D:$YN,3,FALSE)&amp;" ("&amp;VLOOKUP(A353,Regularizare!$D:$Y,11,FALSE)&amp;")"</f>
        <v>0 (citit)</v>
      </c>
      <c r="S353" s="647"/>
      <c r="T353" s="647"/>
      <c r="U353" s="647" t="str">
        <f>VLOOKUP(A353,Regularizare!$D:$U,4,FALSE)&amp;" ("&amp;VLOOKUP(A353,Regularizare!$D:$U,12,FALSE)&amp;")"</f>
        <v>0 (estimat)</v>
      </c>
      <c r="V353" s="647"/>
      <c r="W353" s="647"/>
      <c r="X353" s="647" t="str">
        <f>VLOOKUP(A353,Regularizare!$D:$Y,19,FALSE)&amp;" ("&amp;VLOOKUP(A353,Regularizare!$D:$U,12,FALSE)&amp;")"</f>
        <v>0 (estimat)</v>
      </c>
      <c r="Y353" s="647"/>
      <c r="Z353" s="647"/>
      <c r="AA353" s="647">
        <f>(-1)*VLOOKUP(A353,Regularizare!$D:$Y,19,FALSE)</f>
        <v>0</v>
      </c>
      <c r="AB353" s="647"/>
      <c r="AC353" s="647"/>
      <c r="AD353" s="647" t="s">
        <v>69</v>
      </c>
      <c r="AE353" s="647"/>
      <c r="AF353" s="647">
        <f>AA353</f>
        <v>0</v>
      </c>
      <c r="AG353" s="647"/>
      <c r="AH353" s="647"/>
      <c r="AI353" s="647" t="s">
        <v>69</v>
      </c>
      <c r="AJ353" s="647"/>
      <c r="AK353" s="647" t="s">
        <v>69</v>
      </c>
      <c r="AL353" s="647"/>
      <c r="AM353" s="647"/>
    </row>
    <row r="354" spans="1:39" ht="9.75" customHeight="1">
      <c r="A354" s="787"/>
      <c r="B354" s="788"/>
      <c r="C354" s="788"/>
      <c r="D354" s="788"/>
      <c r="E354" s="788"/>
      <c r="F354" s="789"/>
      <c r="G354" s="648"/>
      <c r="H354" s="648"/>
      <c r="I354" s="673"/>
      <c r="J354" s="717" t="s">
        <v>69</v>
      </c>
      <c r="K354" s="718"/>
      <c r="L354" s="719"/>
      <c r="M354" s="720"/>
      <c r="N354" s="648"/>
      <c r="O354" s="648"/>
      <c r="P354" s="648"/>
      <c r="Q354" s="648"/>
      <c r="R354" s="647"/>
      <c r="S354" s="647"/>
      <c r="T354" s="647"/>
      <c r="U354" s="647"/>
      <c r="V354" s="647"/>
      <c r="W354" s="647"/>
      <c r="X354" s="647"/>
      <c r="Y354" s="647"/>
      <c r="Z354" s="647"/>
      <c r="AA354" s="647"/>
      <c r="AB354" s="647"/>
      <c r="AC354" s="647"/>
      <c r="AD354" s="647"/>
      <c r="AE354" s="647"/>
      <c r="AF354" s="647"/>
      <c r="AG354" s="647"/>
      <c r="AH354" s="647"/>
      <c r="AI354" s="647"/>
      <c r="AJ354" s="647"/>
      <c r="AK354" s="647"/>
      <c r="AL354" s="647"/>
      <c r="AM354" s="647"/>
    </row>
    <row r="355" spans="1:39" ht="14.1" customHeight="1">
      <c r="A355" s="790"/>
      <c r="B355" s="791"/>
      <c r="C355" s="791"/>
      <c r="D355" s="791"/>
      <c r="E355" s="791"/>
      <c r="F355" s="792"/>
      <c r="G355" s="648"/>
      <c r="H355" s="648"/>
      <c r="I355" s="673"/>
      <c r="J355" s="714">
        <f>'Date masura OD'!$AL$5</f>
        <v>45777</v>
      </c>
      <c r="K355" s="715"/>
      <c r="L355" s="716"/>
      <c r="M355" s="720"/>
      <c r="N355" s="648"/>
      <c r="O355" s="648"/>
      <c r="P355" s="648"/>
      <c r="Q355" s="648"/>
      <c r="R355" s="647"/>
      <c r="S355" s="647"/>
      <c r="T355" s="647"/>
      <c r="U355" s="647"/>
      <c r="V355" s="647"/>
      <c r="W355" s="647"/>
      <c r="X355" s="647"/>
      <c r="Y355" s="647"/>
      <c r="Z355" s="647"/>
      <c r="AA355" s="647"/>
      <c r="AB355" s="647"/>
      <c r="AC355" s="647"/>
      <c r="AD355" s="647"/>
      <c r="AE355" s="647"/>
      <c r="AF355" s="647"/>
      <c r="AG355" s="647"/>
      <c r="AH355" s="647"/>
      <c r="AI355" s="647"/>
      <c r="AJ355" s="647"/>
      <c r="AK355" s="647"/>
      <c r="AL355" s="647"/>
      <c r="AM355" s="647"/>
    </row>
    <row r="356" spans="1:39" ht="14.1" customHeight="1">
      <c r="A356" s="784" t="str">
        <f>A353</f>
        <v>V.1369546423</v>
      </c>
      <c r="B356" s="785"/>
      <c r="C356" s="785"/>
      <c r="D356" s="785"/>
      <c r="E356" s="785"/>
      <c r="F356" s="786"/>
      <c r="G356" s="648" t="s">
        <v>696</v>
      </c>
      <c r="H356" s="648"/>
      <c r="I356" s="648"/>
      <c r="J356" s="655">
        <f t="shared" ref="J356:J361" si="19">J353</f>
        <v>45748</v>
      </c>
      <c r="K356" s="656"/>
      <c r="L356" s="657"/>
      <c r="M356" s="648" t="s">
        <v>720</v>
      </c>
      <c r="N356" s="648"/>
      <c r="O356" s="648">
        <f>O353</f>
        <v>1</v>
      </c>
      <c r="P356" s="648"/>
      <c r="Q356" s="648"/>
      <c r="R356" s="647" t="str">
        <f>VLOOKUP(A356,Regularizare!$D:$U,7,FALSE)&amp;" ("&amp;VLOOKUP(A356,Regularizare!$D:$U,15,FALSE)&amp;")"</f>
        <v>0 (citit)</v>
      </c>
      <c r="S356" s="647"/>
      <c r="T356" s="647"/>
      <c r="U356" s="647" t="str">
        <f>VLOOKUP(A356,Regularizare!$D:$U,8,FALSE)&amp;" ("&amp;VLOOKUP(A356,Regularizare!$D:$U,16,FALSE)&amp;")"</f>
        <v>0 (estimat)</v>
      </c>
      <c r="V356" s="647"/>
      <c r="W356" s="647"/>
      <c r="X356" s="647" t="str">
        <f>_xlfn.CONCAT(VLOOKUP(A356,Regularizare!$D:$U,8,FALSE)-VLOOKUP(A356,Regularizare!$D:$U,7,FALSE)," (",VLOOKUP(A356,Regularizare!$D:$U,16,FALSE),")")</f>
        <v>0 (estimat)</v>
      </c>
      <c r="Y356" s="647"/>
      <c r="Z356" s="647"/>
      <c r="AA356" s="647">
        <f>IF(VLOOKUP(A356,Regularizare!$D:$Y,21,FALSE)=0,VLOOKUP(A356,Regularizare!$D:$Y,21,FALSE),(-1)*VLOOKUP(A356,Regularizare!$D:$Y,21,FALSE))</f>
        <v>0</v>
      </c>
      <c r="AB356" s="647"/>
      <c r="AC356" s="647"/>
      <c r="AD356" s="647" t="s">
        <v>69</v>
      </c>
      <c r="AE356" s="647"/>
      <c r="AF356" s="647">
        <f>AA356</f>
        <v>0</v>
      </c>
      <c r="AG356" s="647"/>
      <c r="AH356" s="647"/>
      <c r="AI356" s="647" t="str">
        <f>AI353</f>
        <v>-</v>
      </c>
      <c r="AJ356" s="647"/>
      <c r="AK356" s="647" t="str">
        <f>AK353</f>
        <v>-</v>
      </c>
      <c r="AL356" s="647"/>
      <c r="AM356" s="647"/>
    </row>
    <row r="357" spans="1:39" ht="8.4499999999999993" customHeight="1">
      <c r="A357" s="787"/>
      <c r="B357" s="788"/>
      <c r="C357" s="788"/>
      <c r="D357" s="788"/>
      <c r="E357" s="788"/>
      <c r="F357" s="789"/>
      <c r="G357" s="648"/>
      <c r="H357" s="648"/>
      <c r="I357" s="648"/>
      <c r="J357" s="717" t="str">
        <f t="shared" si="19"/>
        <v>-</v>
      </c>
      <c r="K357" s="718"/>
      <c r="L357" s="719"/>
      <c r="M357" s="648"/>
      <c r="N357" s="648"/>
      <c r="O357" s="648"/>
      <c r="P357" s="648"/>
      <c r="Q357" s="648"/>
      <c r="R357" s="647"/>
      <c r="S357" s="647"/>
      <c r="T357" s="647"/>
      <c r="U357" s="647"/>
      <c r="V357" s="647"/>
      <c r="W357" s="647"/>
      <c r="X357" s="647"/>
      <c r="Y357" s="647"/>
      <c r="Z357" s="647"/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</row>
    <row r="358" spans="1:39" ht="14.1" customHeight="1">
      <c r="A358" s="790"/>
      <c r="B358" s="791"/>
      <c r="C358" s="791"/>
      <c r="D358" s="791"/>
      <c r="E358" s="791"/>
      <c r="F358" s="792"/>
      <c r="G358" s="648"/>
      <c r="H358" s="648"/>
      <c r="I358" s="648"/>
      <c r="J358" s="714">
        <f t="shared" si="19"/>
        <v>45777</v>
      </c>
      <c r="K358" s="715"/>
      <c r="L358" s="716"/>
      <c r="M358" s="648"/>
      <c r="N358" s="648"/>
      <c r="O358" s="648"/>
      <c r="P358" s="648"/>
      <c r="Q358" s="648"/>
      <c r="R358" s="647"/>
      <c r="S358" s="647"/>
      <c r="T358" s="647"/>
      <c r="U358" s="647"/>
      <c r="V358" s="647"/>
      <c r="W358" s="647"/>
      <c r="X358" s="647"/>
      <c r="Y358" s="647"/>
      <c r="Z358" s="647"/>
      <c r="AA358" s="647"/>
      <c r="AB358" s="647"/>
      <c r="AC358" s="647"/>
      <c r="AD358" s="647"/>
      <c r="AE358" s="647"/>
      <c r="AF358" s="647"/>
      <c r="AG358" s="647"/>
      <c r="AH358" s="647"/>
      <c r="AI358" s="647"/>
      <c r="AJ358" s="647"/>
      <c r="AK358" s="647"/>
      <c r="AL358" s="647"/>
      <c r="AM358" s="647"/>
    </row>
    <row r="359" spans="1:39" ht="14.1" customHeight="1">
      <c r="A359" s="784" t="str">
        <f>A356</f>
        <v>V.1369546423</v>
      </c>
      <c r="B359" s="785"/>
      <c r="C359" s="785"/>
      <c r="D359" s="785"/>
      <c r="E359" s="785"/>
      <c r="F359" s="786"/>
      <c r="G359" s="648" t="s">
        <v>731</v>
      </c>
      <c r="H359" s="648"/>
      <c r="I359" s="648"/>
      <c r="J359" s="655">
        <f t="shared" si="19"/>
        <v>45748</v>
      </c>
      <c r="K359" s="656"/>
      <c r="L359" s="657"/>
      <c r="M359" s="648" t="s">
        <v>720</v>
      </c>
      <c r="N359" s="648"/>
      <c r="O359" s="648">
        <f>O356</f>
        <v>1</v>
      </c>
      <c r="P359" s="648"/>
      <c r="Q359" s="648"/>
      <c r="R359" s="647" t="str">
        <f>VLOOKUP(A359,Regularizare!$D:$U,9,FALSE)&amp;" ("&amp;VLOOKUP(A359,Regularizare!$D:$U,17,FALSE)&amp;")"</f>
        <v>0 (citit)</v>
      </c>
      <c r="S359" s="647"/>
      <c r="T359" s="647"/>
      <c r="U359" s="647" t="str">
        <f>VLOOKUP(A359,Regularizare!$D:$U,10,FALSE)&amp;" ("&amp;VLOOKUP(A359,Regularizare!$D:$U,18,FALSE)&amp;")"</f>
        <v>0 (estimat)</v>
      </c>
      <c r="V359" s="647"/>
      <c r="W359" s="647"/>
      <c r="X359" s="647" t="str">
        <f>_xlfn.CONCAT(VLOOKUP(A359,Regularizare!$D:$U,10,FALSE)-VLOOKUP(A359,Regularizare!$D:$U,9,FALSE)," (",VLOOKUP(A359,Regularizare!$D:$U,18,FALSE),")")</f>
        <v>0 (estimat)</v>
      </c>
      <c r="Y359" s="647"/>
      <c r="Z359" s="647"/>
      <c r="AA359" s="647">
        <f>IF(VLOOKUP(A359,Regularizare!$D:$Y,22,FALSE)=0,VLOOKUP(A359,Regularizare!$D:$Y,22,FALSE),(-1)*VLOOKUP(A359,Regularizare!$D:$Y,22,FALSE))</f>
        <v>0</v>
      </c>
      <c r="AB359" s="647"/>
      <c r="AC359" s="647"/>
      <c r="AD359" s="647" t="s">
        <v>69</v>
      </c>
      <c r="AE359" s="647"/>
      <c r="AF359" s="647">
        <f>AA359</f>
        <v>0</v>
      </c>
      <c r="AG359" s="647"/>
      <c r="AH359" s="647"/>
      <c r="AI359" s="647" t="str">
        <f>AI356</f>
        <v>-</v>
      </c>
      <c r="AJ359" s="647"/>
      <c r="AK359" s="647" t="str">
        <f>AK356</f>
        <v>-</v>
      </c>
      <c r="AL359" s="647"/>
      <c r="AM359" s="647"/>
    </row>
    <row r="360" spans="1:39" ht="8.4499999999999993" customHeight="1">
      <c r="A360" s="787"/>
      <c r="B360" s="788"/>
      <c r="C360" s="788"/>
      <c r="D360" s="788"/>
      <c r="E360" s="788"/>
      <c r="F360" s="789"/>
      <c r="G360" s="648"/>
      <c r="H360" s="648"/>
      <c r="I360" s="648"/>
      <c r="J360" s="717" t="str">
        <f t="shared" si="19"/>
        <v>-</v>
      </c>
      <c r="K360" s="718"/>
      <c r="L360" s="719"/>
      <c r="M360" s="648"/>
      <c r="N360" s="648"/>
      <c r="O360" s="648"/>
      <c r="P360" s="648"/>
      <c r="Q360" s="648"/>
      <c r="R360" s="647"/>
      <c r="S360" s="647"/>
      <c r="T360" s="647"/>
      <c r="U360" s="647"/>
      <c r="V360" s="647"/>
      <c r="W360" s="647"/>
      <c r="X360" s="647"/>
      <c r="Y360" s="647"/>
      <c r="Z360" s="647"/>
      <c r="AA360" s="647"/>
      <c r="AB360" s="647"/>
      <c r="AC360" s="647"/>
      <c r="AD360" s="647"/>
      <c r="AE360" s="647"/>
      <c r="AF360" s="647"/>
      <c r="AG360" s="647"/>
      <c r="AH360" s="647"/>
      <c r="AI360" s="647"/>
      <c r="AJ360" s="647"/>
      <c r="AK360" s="647"/>
      <c r="AL360" s="647"/>
      <c r="AM360" s="647"/>
    </row>
    <row r="361" spans="1:39" ht="14.1" customHeight="1">
      <c r="A361" s="790"/>
      <c r="B361" s="791"/>
      <c r="C361" s="791"/>
      <c r="D361" s="791"/>
      <c r="E361" s="791"/>
      <c r="F361" s="792"/>
      <c r="G361" s="648"/>
      <c r="H361" s="648"/>
      <c r="I361" s="648"/>
      <c r="J361" s="714">
        <f t="shared" si="19"/>
        <v>45777</v>
      </c>
      <c r="K361" s="715"/>
      <c r="L361" s="716"/>
      <c r="M361" s="648"/>
      <c r="N361" s="648"/>
      <c r="O361" s="648"/>
      <c r="P361" s="648"/>
      <c r="Q361" s="648"/>
      <c r="R361" s="647"/>
      <c r="S361" s="647"/>
      <c r="T361" s="647"/>
      <c r="U361" s="647"/>
      <c r="V361" s="647"/>
      <c r="W361" s="647"/>
      <c r="X361" s="647"/>
      <c r="Y361" s="647"/>
      <c r="Z361" s="647"/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</row>
    <row r="362" spans="1:39" ht="14.1" customHeight="1">
      <c r="A362" s="784" t="str">
        <f>A359</f>
        <v>V.1369546423</v>
      </c>
      <c r="B362" s="785"/>
      <c r="C362" s="785"/>
      <c r="D362" s="785"/>
      <c r="E362" s="785"/>
      <c r="F362" s="786"/>
      <c r="G362" s="648" t="s">
        <v>730</v>
      </c>
      <c r="H362" s="648"/>
      <c r="I362" s="673"/>
      <c r="J362" s="655">
        <f>'Date masura OD'!$AK$5</f>
        <v>45748</v>
      </c>
      <c r="K362" s="656"/>
      <c r="L362" s="657"/>
      <c r="M362" s="720" t="s">
        <v>446</v>
      </c>
      <c r="N362" s="648"/>
      <c r="O362" s="648">
        <f>O359</f>
        <v>1</v>
      </c>
      <c r="P362" s="648"/>
      <c r="Q362" s="648"/>
      <c r="R362" s="647" t="str">
        <f>VLOOKUP(A362,Regularizare!$D:$YN,3,FALSE)&amp;" ("&amp;VLOOKUP(A362,Regularizare!$D:$Y,11,FALSE)&amp;")"</f>
        <v>0 (citit)</v>
      </c>
      <c r="S362" s="647"/>
      <c r="T362" s="647"/>
      <c r="U362" s="647" t="str">
        <f>VLOOKUP(A362,Regularizare!$D:$U,4,FALSE)&amp;" ("&amp;VLOOKUP(A362,Regularizare!$D:$U,12,FALSE)&amp;")"</f>
        <v>0 (estimat)</v>
      </c>
      <c r="V362" s="647"/>
      <c r="W362" s="647"/>
      <c r="X362" s="647" t="str">
        <f>VLOOKUP(A362,Regularizare!$D:$Y,19,FALSE)&amp;" ("&amp;VLOOKUP(A362,Regularizare!$D:$U,12,FALSE)&amp;")"</f>
        <v>0 (estimat)</v>
      </c>
      <c r="Y362" s="647"/>
      <c r="Z362" s="647"/>
      <c r="AA362" s="647">
        <f>(-1)*VLOOKUP(A362,Regularizare!$D:$Y,19,FALSE)</f>
        <v>0</v>
      </c>
      <c r="AB362" s="647"/>
      <c r="AC362" s="647"/>
      <c r="AD362" s="647" t="s">
        <v>69</v>
      </c>
      <c r="AE362" s="647"/>
      <c r="AF362" s="647">
        <f>AA362</f>
        <v>0</v>
      </c>
      <c r="AG362" s="647"/>
      <c r="AH362" s="647"/>
      <c r="AI362" s="647" t="s">
        <v>69</v>
      </c>
      <c r="AJ362" s="647"/>
      <c r="AK362" s="647" t="s">
        <v>69</v>
      </c>
      <c r="AL362" s="647"/>
      <c r="AM362" s="647"/>
    </row>
    <row r="363" spans="1:39" ht="8.4499999999999993" customHeight="1">
      <c r="A363" s="787"/>
      <c r="B363" s="788"/>
      <c r="C363" s="788"/>
      <c r="D363" s="788"/>
      <c r="E363" s="788"/>
      <c r="F363" s="789"/>
      <c r="G363" s="648"/>
      <c r="H363" s="648"/>
      <c r="I363" s="673"/>
      <c r="J363" s="717" t="s">
        <v>69</v>
      </c>
      <c r="K363" s="718"/>
      <c r="L363" s="719"/>
      <c r="M363" s="720"/>
      <c r="N363" s="648"/>
      <c r="O363" s="648"/>
      <c r="P363" s="648"/>
      <c r="Q363" s="648"/>
      <c r="R363" s="647"/>
      <c r="S363" s="647"/>
      <c r="T363" s="647"/>
      <c r="U363" s="647"/>
      <c r="V363" s="647"/>
      <c r="W363" s="647"/>
      <c r="X363" s="647"/>
      <c r="Y363" s="647"/>
      <c r="Z363" s="647"/>
      <c r="AA363" s="647"/>
      <c r="AB363" s="647"/>
      <c r="AC363" s="647"/>
      <c r="AD363" s="647"/>
      <c r="AE363" s="647"/>
      <c r="AF363" s="647"/>
      <c r="AG363" s="647"/>
      <c r="AH363" s="647"/>
      <c r="AI363" s="647"/>
      <c r="AJ363" s="647"/>
      <c r="AK363" s="647"/>
      <c r="AL363" s="647"/>
      <c r="AM363" s="647"/>
    </row>
    <row r="364" spans="1:39" ht="14.1" customHeight="1">
      <c r="A364" s="790"/>
      <c r="B364" s="791"/>
      <c r="C364" s="791"/>
      <c r="D364" s="791"/>
      <c r="E364" s="791"/>
      <c r="F364" s="792"/>
      <c r="G364" s="648"/>
      <c r="H364" s="648"/>
      <c r="I364" s="673"/>
      <c r="J364" s="714">
        <f>'Date masura OD'!$AL$5</f>
        <v>45777</v>
      </c>
      <c r="K364" s="715"/>
      <c r="L364" s="716"/>
      <c r="M364" s="720"/>
      <c r="N364" s="648"/>
      <c r="O364" s="648"/>
      <c r="P364" s="648"/>
      <c r="Q364" s="648"/>
      <c r="R364" s="647"/>
      <c r="S364" s="647"/>
      <c r="T364" s="647"/>
      <c r="U364" s="647"/>
      <c r="V364" s="647"/>
      <c r="W364" s="647"/>
      <c r="X364" s="647"/>
      <c r="Y364" s="647"/>
      <c r="Z364" s="647"/>
      <c r="AA364" s="647"/>
      <c r="AB364" s="647"/>
      <c r="AC364" s="647"/>
      <c r="AD364" s="647"/>
      <c r="AE364" s="647"/>
      <c r="AF364" s="647"/>
      <c r="AG364" s="647"/>
      <c r="AH364" s="647"/>
      <c r="AI364" s="647"/>
      <c r="AJ364" s="647"/>
      <c r="AK364" s="647"/>
      <c r="AL364" s="647"/>
      <c r="AM364" s="647"/>
    </row>
    <row r="365" spans="1:39" ht="14.1" customHeight="1">
      <c r="A365" s="784" t="str">
        <f>A362</f>
        <v>V.1369546423</v>
      </c>
      <c r="B365" s="785"/>
      <c r="C365" s="785"/>
      <c r="D365" s="785"/>
      <c r="E365" s="785"/>
      <c r="F365" s="786"/>
      <c r="G365" s="648" t="s">
        <v>696</v>
      </c>
      <c r="H365" s="648"/>
      <c r="I365" s="648"/>
      <c r="J365" s="655">
        <f t="shared" ref="J365:J370" si="20">J362</f>
        <v>45748</v>
      </c>
      <c r="K365" s="656"/>
      <c r="L365" s="657"/>
      <c r="M365" s="648" t="s">
        <v>720</v>
      </c>
      <c r="N365" s="648"/>
      <c r="O365" s="648">
        <f>O362</f>
        <v>1</v>
      </c>
      <c r="P365" s="648"/>
      <c r="Q365" s="648"/>
      <c r="R365" s="647" t="str">
        <f>VLOOKUP(A365,Regularizare!$D:$U,7,FALSE)&amp;" ("&amp;VLOOKUP(A365,Regularizare!$D:$U,15,FALSE)&amp;")"</f>
        <v>0 (citit)</v>
      </c>
      <c r="S365" s="647"/>
      <c r="T365" s="647"/>
      <c r="U365" s="647" t="str">
        <f>VLOOKUP(A365,Regularizare!$D:$U,8,FALSE)&amp;" ("&amp;VLOOKUP(A365,Regularizare!$D:$U,16,FALSE)&amp;")"</f>
        <v>0 (estimat)</v>
      </c>
      <c r="V365" s="647"/>
      <c r="W365" s="647"/>
      <c r="X365" s="647" t="str">
        <f>_xlfn.CONCAT(VLOOKUP(A365,Regularizare!$D:$U,8,FALSE)-VLOOKUP(A365,Regularizare!$D:$U,7,FALSE)," (",VLOOKUP(A365,Regularizare!$D:$U,16,FALSE),")")</f>
        <v>0 (estimat)</v>
      </c>
      <c r="Y365" s="647"/>
      <c r="Z365" s="647"/>
      <c r="AA365" s="647">
        <f>IF(VLOOKUP(A365,Regularizare!$D:$Y,21,FALSE)=0,VLOOKUP(A365,Regularizare!$D:$Y,21,FALSE),(-1)*VLOOKUP(A365,Regularizare!$D:$Y,21,FALSE))</f>
        <v>0</v>
      </c>
      <c r="AB365" s="647"/>
      <c r="AC365" s="647"/>
      <c r="AD365" s="647" t="s">
        <v>69</v>
      </c>
      <c r="AE365" s="647"/>
      <c r="AF365" s="647">
        <f>AA365</f>
        <v>0</v>
      </c>
      <c r="AG365" s="647"/>
      <c r="AH365" s="647"/>
      <c r="AI365" s="647" t="str">
        <f>AI362</f>
        <v>-</v>
      </c>
      <c r="AJ365" s="647"/>
      <c r="AK365" s="647" t="str">
        <f>AK362</f>
        <v>-</v>
      </c>
      <c r="AL365" s="647"/>
      <c r="AM365" s="647"/>
    </row>
    <row r="366" spans="1:39" ht="8.4499999999999993" customHeight="1">
      <c r="A366" s="787"/>
      <c r="B366" s="788"/>
      <c r="C366" s="788"/>
      <c r="D366" s="788"/>
      <c r="E366" s="788"/>
      <c r="F366" s="789"/>
      <c r="G366" s="648"/>
      <c r="H366" s="648"/>
      <c r="I366" s="648"/>
      <c r="J366" s="717" t="str">
        <f t="shared" si="20"/>
        <v>-</v>
      </c>
      <c r="K366" s="718"/>
      <c r="L366" s="719"/>
      <c r="M366" s="648"/>
      <c r="N366" s="648"/>
      <c r="O366" s="648"/>
      <c r="P366" s="648"/>
      <c r="Q366" s="648"/>
      <c r="R366" s="647"/>
      <c r="S366" s="647"/>
      <c r="T366" s="647"/>
      <c r="U366" s="647"/>
      <c r="V366" s="647"/>
      <c r="W366" s="647"/>
      <c r="X366" s="647"/>
      <c r="Y366" s="647"/>
      <c r="Z366" s="647"/>
      <c r="AA366" s="647"/>
      <c r="AB366" s="647"/>
      <c r="AC366" s="647"/>
      <c r="AD366" s="647"/>
      <c r="AE366" s="647"/>
      <c r="AF366" s="647"/>
      <c r="AG366" s="647"/>
      <c r="AH366" s="647"/>
      <c r="AI366" s="647"/>
      <c r="AJ366" s="647"/>
      <c r="AK366" s="647"/>
      <c r="AL366" s="647"/>
      <c r="AM366" s="647"/>
    </row>
    <row r="367" spans="1:39" ht="14.1" customHeight="1">
      <c r="A367" s="790"/>
      <c r="B367" s="791"/>
      <c r="C367" s="791"/>
      <c r="D367" s="791"/>
      <c r="E367" s="791"/>
      <c r="F367" s="792"/>
      <c r="G367" s="648"/>
      <c r="H367" s="648"/>
      <c r="I367" s="648"/>
      <c r="J367" s="714">
        <f t="shared" si="20"/>
        <v>45777</v>
      </c>
      <c r="K367" s="715"/>
      <c r="L367" s="716"/>
      <c r="M367" s="648"/>
      <c r="N367" s="648"/>
      <c r="O367" s="648"/>
      <c r="P367" s="648"/>
      <c r="Q367" s="648"/>
      <c r="R367" s="647"/>
      <c r="S367" s="647"/>
      <c r="T367" s="647"/>
      <c r="U367" s="647"/>
      <c r="V367" s="647"/>
      <c r="W367" s="647"/>
      <c r="X367" s="647"/>
      <c r="Y367" s="647"/>
      <c r="Z367" s="647"/>
      <c r="AA367" s="647"/>
      <c r="AB367" s="647"/>
      <c r="AC367" s="647"/>
      <c r="AD367" s="647"/>
      <c r="AE367" s="647"/>
      <c r="AF367" s="647"/>
      <c r="AG367" s="647"/>
      <c r="AH367" s="647"/>
      <c r="AI367" s="647"/>
      <c r="AJ367" s="647"/>
      <c r="AK367" s="647"/>
      <c r="AL367" s="647"/>
      <c r="AM367" s="647"/>
    </row>
    <row r="368" spans="1:39" ht="14.1" customHeight="1">
      <c r="A368" s="784" t="str">
        <f>A365</f>
        <v>V.1369546423</v>
      </c>
      <c r="B368" s="785"/>
      <c r="C368" s="785"/>
      <c r="D368" s="785"/>
      <c r="E368" s="785"/>
      <c r="F368" s="786"/>
      <c r="G368" s="648" t="s">
        <v>731</v>
      </c>
      <c r="H368" s="648"/>
      <c r="I368" s="648"/>
      <c r="J368" s="655">
        <f t="shared" si="20"/>
        <v>45748</v>
      </c>
      <c r="K368" s="656"/>
      <c r="L368" s="657"/>
      <c r="M368" s="648" t="s">
        <v>720</v>
      </c>
      <c r="N368" s="648"/>
      <c r="O368" s="648">
        <f>O365</f>
        <v>1</v>
      </c>
      <c r="P368" s="648"/>
      <c r="Q368" s="648"/>
      <c r="R368" s="647" t="str">
        <f>VLOOKUP(A368,Regularizare!$D:$U,9,FALSE)&amp;" ("&amp;VLOOKUP(A368,Regularizare!$D:$U,17,FALSE)&amp;")"</f>
        <v>0 (citit)</v>
      </c>
      <c r="S368" s="647"/>
      <c r="T368" s="647"/>
      <c r="U368" s="647" t="str">
        <f>VLOOKUP(A368,Regularizare!$D:$U,10,FALSE)&amp;" ("&amp;VLOOKUP(A368,Regularizare!$D:$U,18,FALSE)&amp;")"</f>
        <v>0 (estimat)</v>
      </c>
      <c r="V368" s="647"/>
      <c r="W368" s="647"/>
      <c r="X368" s="647" t="str">
        <f>_xlfn.CONCAT(VLOOKUP(A368,Regularizare!$D:$U,10,FALSE)-VLOOKUP(A368,Regularizare!$D:$U,9,FALSE)," (",VLOOKUP(A368,Regularizare!$D:$U,18,FALSE),")")</f>
        <v>0 (estimat)</v>
      </c>
      <c r="Y368" s="647"/>
      <c r="Z368" s="647"/>
      <c r="AA368" s="647">
        <f>IF(VLOOKUP(A368,Regularizare!$D:$Y,22,FALSE)=0,VLOOKUP(A368,Regularizare!$D:$Y,22,FALSE),(-1)*VLOOKUP(A368,Regularizare!$D:$Y,22,FALSE))</f>
        <v>0</v>
      </c>
      <c r="AB368" s="647"/>
      <c r="AC368" s="647"/>
      <c r="AD368" s="647" t="s">
        <v>69</v>
      </c>
      <c r="AE368" s="647"/>
      <c r="AF368" s="647">
        <f>AA368</f>
        <v>0</v>
      </c>
      <c r="AG368" s="647"/>
      <c r="AH368" s="647"/>
      <c r="AI368" s="647" t="str">
        <f>AI365</f>
        <v>-</v>
      </c>
      <c r="AJ368" s="647"/>
      <c r="AK368" s="647" t="str">
        <f>AK365</f>
        <v>-</v>
      </c>
      <c r="AL368" s="647"/>
      <c r="AM368" s="647"/>
    </row>
    <row r="369" spans="1:39" ht="8.4499999999999993" customHeight="1">
      <c r="A369" s="787"/>
      <c r="B369" s="788"/>
      <c r="C369" s="788"/>
      <c r="D369" s="788"/>
      <c r="E369" s="788"/>
      <c r="F369" s="789"/>
      <c r="G369" s="648"/>
      <c r="H369" s="648"/>
      <c r="I369" s="648"/>
      <c r="J369" s="717" t="str">
        <f t="shared" si="20"/>
        <v>-</v>
      </c>
      <c r="K369" s="718"/>
      <c r="L369" s="719"/>
      <c r="M369" s="648"/>
      <c r="N369" s="648"/>
      <c r="O369" s="648"/>
      <c r="P369" s="648"/>
      <c r="Q369" s="648"/>
      <c r="R369" s="647"/>
      <c r="S369" s="647"/>
      <c r="T369" s="647"/>
      <c r="U369" s="647"/>
      <c r="V369" s="647"/>
      <c r="W369" s="647"/>
      <c r="X369" s="647"/>
      <c r="Y369" s="647"/>
      <c r="Z369" s="647"/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647"/>
      <c r="AK369" s="647"/>
      <c r="AL369" s="647"/>
      <c r="AM369" s="647"/>
    </row>
    <row r="370" spans="1:39" ht="14.1" customHeight="1">
      <c r="A370" s="790"/>
      <c r="B370" s="791"/>
      <c r="C370" s="791"/>
      <c r="D370" s="791"/>
      <c r="E370" s="791"/>
      <c r="F370" s="792"/>
      <c r="G370" s="648"/>
      <c r="H370" s="648"/>
      <c r="I370" s="648"/>
      <c r="J370" s="714">
        <f t="shared" si="20"/>
        <v>45777</v>
      </c>
      <c r="K370" s="715"/>
      <c r="L370" s="716"/>
      <c r="M370" s="648"/>
      <c r="N370" s="648"/>
      <c r="O370" s="648"/>
      <c r="P370" s="648"/>
      <c r="Q370" s="648"/>
      <c r="R370" s="647"/>
      <c r="S370" s="647"/>
      <c r="T370" s="647"/>
      <c r="U370" s="647"/>
      <c r="V370" s="647"/>
      <c r="W370" s="647"/>
      <c r="X370" s="647"/>
      <c r="Y370" s="647"/>
      <c r="Z370" s="647"/>
      <c r="AA370" s="647"/>
      <c r="AB370" s="647"/>
      <c r="AC370" s="647"/>
      <c r="AD370" s="647"/>
      <c r="AE370" s="647"/>
      <c r="AF370" s="647"/>
      <c r="AG370" s="647"/>
      <c r="AH370" s="647"/>
      <c r="AI370" s="647"/>
      <c r="AJ370" s="647"/>
      <c r="AK370" s="647"/>
      <c r="AL370" s="647"/>
      <c r="AM370" s="647"/>
    </row>
    <row r="371" spans="1:39" ht="14.1" customHeight="1">
      <c r="A371" s="784" t="str">
        <f>A368</f>
        <v>V.1369546423</v>
      </c>
      <c r="B371" s="785"/>
      <c r="C371" s="785"/>
      <c r="D371" s="785"/>
      <c r="E371" s="785"/>
      <c r="F371" s="786"/>
      <c r="G371" s="648" t="s">
        <v>730</v>
      </c>
      <c r="H371" s="648"/>
      <c r="I371" s="673"/>
      <c r="J371" s="655">
        <f>'Date masura OD'!$I$5</f>
        <v>45778</v>
      </c>
      <c r="K371" s="656"/>
      <c r="L371" s="657"/>
      <c r="M371" s="720" t="s">
        <v>446</v>
      </c>
      <c r="N371" s="648"/>
      <c r="O371" s="648">
        <f>O368</f>
        <v>1</v>
      </c>
      <c r="P371" s="648"/>
      <c r="Q371" s="648"/>
      <c r="R371" s="647" t="str">
        <f>U362</f>
        <v>0 (estimat)</v>
      </c>
      <c r="S371" s="647"/>
      <c r="T371" s="647"/>
      <c r="U371" s="647" t="str">
        <f>VLOOKUP(A371,'Incrementare indexe'!$D:$M,4,FALSE)&amp;" (estimat)"</f>
        <v>0 (estimat)</v>
      </c>
      <c r="V371" s="647"/>
      <c r="W371" s="647"/>
      <c r="X371" s="647" t="str">
        <f>VLOOKUP(A371,'Incrementare indexe'!$D:$Q,11,FALSE)&amp;" (estimat)"</f>
        <v>0 (estimat)</v>
      </c>
      <c r="Y371" s="647"/>
      <c r="Z371" s="647"/>
      <c r="AA371" s="647" t="s">
        <v>69</v>
      </c>
      <c r="AB371" s="647"/>
      <c r="AC371" s="647"/>
      <c r="AD371" s="647" t="s">
        <v>69</v>
      </c>
      <c r="AE371" s="647"/>
      <c r="AF371" s="647">
        <f>VLOOKUP(A371,'Incrementare indexe'!$D:$Q,11,FALSE)</f>
        <v>0</v>
      </c>
      <c r="AG371" s="647"/>
      <c r="AH371" s="647"/>
      <c r="AI371" s="647">
        <f>J373-J371+1</f>
        <v>31</v>
      </c>
      <c r="AJ371" s="647"/>
      <c r="AK371" s="647">
        <f>ROUND(AF371/AI371,2)</f>
        <v>0</v>
      </c>
      <c r="AL371" s="647"/>
      <c r="AM371" s="647"/>
    </row>
    <row r="372" spans="1:39" ht="8.4499999999999993" customHeight="1">
      <c r="A372" s="787"/>
      <c r="B372" s="788"/>
      <c r="C372" s="788"/>
      <c r="D372" s="788"/>
      <c r="E372" s="788"/>
      <c r="F372" s="789"/>
      <c r="G372" s="648"/>
      <c r="H372" s="648"/>
      <c r="I372" s="673"/>
      <c r="J372" s="717" t="s">
        <v>69</v>
      </c>
      <c r="K372" s="718"/>
      <c r="L372" s="719"/>
      <c r="M372" s="720"/>
      <c r="N372" s="648"/>
      <c r="O372" s="648"/>
      <c r="P372" s="648"/>
      <c r="Q372" s="648"/>
      <c r="R372" s="647"/>
      <c r="S372" s="647"/>
      <c r="T372" s="647"/>
      <c r="U372" s="647"/>
      <c r="V372" s="647"/>
      <c r="W372" s="647"/>
      <c r="X372" s="647"/>
      <c r="Y372" s="647"/>
      <c r="Z372" s="647"/>
      <c r="AA372" s="647"/>
      <c r="AB372" s="647"/>
      <c r="AC372" s="647"/>
      <c r="AD372" s="647"/>
      <c r="AE372" s="647"/>
      <c r="AF372" s="647"/>
      <c r="AG372" s="647"/>
      <c r="AH372" s="647"/>
      <c r="AI372" s="647"/>
      <c r="AJ372" s="647"/>
      <c r="AK372" s="647"/>
      <c r="AL372" s="647"/>
      <c r="AM372" s="647"/>
    </row>
    <row r="373" spans="1:39" ht="14.1" customHeight="1">
      <c r="A373" s="790"/>
      <c r="B373" s="791"/>
      <c r="C373" s="791"/>
      <c r="D373" s="791"/>
      <c r="E373" s="791"/>
      <c r="F373" s="792"/>
      <c r="G373" s="648"/>
      <c r="H373" s="648"/>
      <c r="I373" s="673"/>
      <c r="J373" s="714">
        <f>'Date masura OD'!$J$5</f>
        <v>45808</v>
      </c>
      <c r="K373" s="715"/>
      <c r="L373" s="716"/>
      <c r="M373" s="720"/>
      <c r="N373" s="648"/>
      <c r="O373" s="648"/>
      <c r="P373" s="648"/>
      <c r="Q373" s="648"/>
      <c r="R373" s="647"/>
      <c r="S373" s="647"/>
      <c r="T373" s="647"/>
      <c r="U373" s="647"/>
      <c r="V373" s="647"/>
      <c r="W373" s="647"/>
      <c r="X373" s="647"/>
      <c r="Y373" s="647"/>
      <c r="Z373" s="647"/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</row>
    <row r="374" spans="1:39" ht="14.1" customHeight="1">
      <c r="A374" s="784" t="str">
        <f>A371</f>
        <v>V.1369546423</v>
      </c>
      <c r="B374" s="785"/>
      <c r="C374" s="785"/>
      <c r="D374" s="785"/>
      <c r="E374" s="785"/>
      <c r="F374" s="786"/>
      <c r="G374" s="648" t="s">
        <v>696</v>
      </c>
      <c r="H374" s="648"/>
      <c r="I374" s="648"/>
      <c r="J374" s="655">
        <f t="shared" ref="J374:J379" si="21">J371</f>
        <v>45778</v>
      </c>
      <c r="K374" s="656"/>
      <c r="L374" s="657"/>
      <c r="M374" s="648" t="s">
        <v>720</v>
      </c>
      <c r="N374" s="648"/>
      <c r="O374" s="648">
        <f>O371</f>
        <v>1</v>
      </c>
      <c r="P374" s="648"/>
      <c r="Q374" s="648"/>
      <c r="R374" s="647" t="str">
        <f>U365</f>
        <v>0 (estimat)</v>
      </c>
      <c r="S374" s="647"/>
      <c r="T374" s="647"/>
      <c r="U374" s="647" t="str">
        <f>VLOOKUP(A374,'Incrementare indexe'!$D:$M,8,FALSE)&amp;" (estimat)"</f>
        <v>0 (estimat)</v>
      </c>
      <c r="V374" s="647"/>
      <c r="W374" s="647"/>
      <c r="X374" s="647" t="str">
        <f>VLOOKUP(A374,'Incrementare indexe'!$D:$Q,12,FALSE)&amp;" (estimat)"</f>
        <v>0 (estimat)</v>
      </c>
      <c r="Y374" s="647"/>
      <c r="Z374" s="647"/>
      <c r="AA374" s="647" t="s">
        <v>69</v>
      </c>
      <c r="AB374" s="647"/>
      <c r="AC374" s="647"/>
      <c r="AD374" s="647" t="s">
        <v>69</v>
      </c>
      <c r="AE374" s="647"/>
      <c r="AF374" s="647">
        <f>VLOOKUP(A374,'Incrementare indexe'!$D:$Q,12,FALSE)</f>
        <v>0</v>
      </c>
      <c r="AG374" s="647"/>
      <c r="AH374" s="647"/>
      <c r="AI374" s="647">
        <f>AI371</f>
        <v>31</v>
      </c>
      <c r="AJ374" s="647"/>
      <c r="AK374" s="647">
        <f>ROUND(AF374/AI374,2)</f>
        <v>0</v>
      </c>
      <c r="AL374" s="647"/>
      <c r="AM374" s="647"/>
    </row>
    <row r="375" spans="1:39" ht="8.4499999999999993" customHeight="1">
      <c r="A375" s="787"/>
      <c r="B375" s="788"/>
      <c r="C375" s="788"/>
      <c r="D375" s="788"/>
      <c r="E375" s="788"/>
      <c r="F375" s="789"/>
      <c r="G375" s="648"/>
      <c r="H375" s="648"/>
      <c r="I375" s="648"/>
      <c r="J375" s="717" t="str">
        <f t="shared" si="21"/>
        <v>-</v>
      </c>
      <c r="K375" s="718"/>
      <c r="L375" s="719"/>
      <c r="M375" s="648"/>
      <c r="N375" s="648"/>
      <c r="O375" s="648"/>
      <c r="P375" s="648"/>
      <c r="Q375" s="648"/>
      <c r="R375" s="647"/>
      <c r="S375" s="647"/>
      <c r="T375" s="647"/>
      <c r="U375" s="647"/>
      <c r="V375" s="647"/>
      <c r="W375" s="647"/>
      <c r="X375" s="647"/>
      <c r="Y375" s="647"/>
      <c r="Z375" s="647"/>
      <c r="AA375" s="647"/>
      <c r="AB375" s="647"/>
      <c r="AC375" s="647"/>
      <c r="AD375" s="647"/>
      <c r="AE375" s="647"/>
      <c r="AF375" s="647"/>
      <c r="AG375" s="647"/>
      <c r="AH375" s="647"/>
      <c r="AI375" s="647"/>
      <c r="AJ375" s="647"/>
      <c r="AK375" s="647"/>
      <c r="AL375" s="647"/>
      <c r="AM375" s="647"/>
    </row>
    <row r="376" spans="1:39" ht="14.1" customHeight="1">
      <c r="A376" s="790"/>
      <c r="B376" s="791"/>
      <c r="C376" s="791"/>
      <c r="D376" s="791"/>
      <c r="E376" s="791"/>
      <c r="F376" s="792"/>
      <c r="G376" s="648"/>
      <c r="H376" s="648"/>
      <c r="I376" s="648"/>
      <c r="J376" s="714">
        <f t="shared" si="21"/>
        <v>45808</v>
      </c>
      <c r="K376" s="715"/>
      <c r="L376" s="716"/>
      <c r="M376" s="648"/>
      <c r="N376" s="648"/>
      <c r="O376" s="648"/>
      <c r="P376" s="648"/>
      <c r="Q376" s="648"/>
      <c r="R376" s="647"/>
      <c r="S376" s="647"/>
      <c r="T376" s="647"/>
      <c r="U376" s="647"/>
      <c r="V376" s="647"/>
      <c r="W376" s="647"/>
      <c r="X376" s="647"/>
      <c r="Y376" s="647"/>
      <c r="Z376" s="647"/>
      <c r="AA376" s="647"/>
      <c r="AB376" s="647"/>
      <c r="AC376" s="647"/>
      <c r="AD376" s="647"/>
      <c r="AE376" s="647"/>
      <c r="AF376" s="647"/>
      <c r="AG376" s="647"/>
      <c r="AH376" s="647"/>
      <c r="AI376" s="647"/>
      <c r="AJ376" s="647"/>
      <c r="AK376" s="647"/>
      <c r="AL376" s="647"/>
      <c r="AM376" s="647"/>
    </row>
    <row r="377" spans="1:39" ht="14.1" customHeight="1">
      <c r="A377" s="784" t="str">
        <f>A374</f>
        <v>V.1369546423</v>
      </c>
      <c r="B377" s="785"/>
      <c r="C377" s="785"/>
      <c r="D377" s="785"/>
      <c r="E377" s="785"/>
      <c r="F377" s="786"/>
      <c r="G377" s="648" t="s">
        <v>731</v>
      </c>
      <c r="H377" s="648"/>
      <c r="I377" s="648"/>
      <c r="J377" s="655">
        <f t="shared" si="21"/>
        <v>45778</v>
      </c>
      <c r="K377" s="656"/>
      <c r="L377" s="657"/>
      <c r="M377" s="648" t="s">
        <v>720</v>
      </c>
      <c r="N377" s="648"/>
      <c r="O377" s="648">
        <f>O374</f>
        <v>1</v>
      </c>
      <c r="P377" s="648"/>
      <c r="Q377" s="648"/>
      <c r="R377" s="647" t="str">
        <f>U368</f>
        <v>0 (estimat)</v>
      </c>
      <c r="S377" s="647"/>
      <c r="T377" s="647"/>
      <c r="U377" s="647" t="str">
        <f>VLOOKUP(A377,'Incrementare indexe'!$D:$M,10,FALSE)&amp;" (estimat)"</f>
        <v>0 (estimat)</v>
      </c>
      <c r="V377" s="647"/>
      <c r="W377" s="647"/>
      <c r="X377" s="647" t="str">
        <f>VLOOKUP(A377,'Incrementare indexe'!$D:$Q,13,FALSE)&amp;" (estimat)"</f>
        <v>0 (estimat)</v>
      </c>
      <c r="Y377" s="647"/>
      <c r="Z377" s="647"/>
      <c r="AA377" s="647" t="s">
        <v>69</v>
      </c>
      <c r="AB377" s="647"/>
      <c r="AC377" s="647"/>
      <c r="AD377" s="647" t="s">
        <v>69</v>
      </c>
      <c r="AE377" s="647"/>
      <c r="AF377" s="647">
        <f>VLOOKUP(A377,'Incrementare indexe'!$D:$Q,13,FALSE)</f>
        <v>0</v>
      </c>
      <c r="AG377" s="647"/>
      <c r="AH377" s="647"/>
      <c r="AI377" s="647">
        <f>AI374</f>
        <v>31</v>
      </c>
      <c r="AJ377" s="647"/>
      <c r="AK377" s="647">
        <f>ROUND(AF377/AI377,2)</f>
        <v>0</v>
      </c>
      <c r="AL377" s="647"/>
      <c r="AM377" s="647"/>
    </row>
    <row r="378" spans="1:39" ht="8.4499999999999993" customHeight="1">
      <c r="A378" s="787"/>
      <c r="B378" s="788"/>
      <c r="C378" s="788"/>
      <c r="D378" s="788"/>
      <c r="E378" s="788"/>
      <c r="F378" s="789"/>
      <c r="G378" s="648"/>
      <c r="H378" s="648"/>
      <c r="I378" s="648"/>
      <c r="J378" s="717" t="str">
        <f t="shared" si="21"/>
        <v>-</v>
      </c>
      <c r="K378" s="718"/>
      <c r="L378" s="719"/>
      <c r="M378" s="648"/>
      <c r="N378" s="648"/>
      <c r="O378" s="648"/>
      <c r="P378" s="648"/>
      <c r="Q378" s="648"/>
      <c r="R378" s="647"/>
      <c r="S378" s="647"/>
      <c r="T378" s="647"/>
      <c r="U378" s="647"/>
      <c r="V378" s="647"/>
      <c r="W378" s="647"/>
      <c r="X378" s="647"/>
      <c r="Y378" s="647"/>
      <c r="Z378" s="647"/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</row>
    <row r="379" spans="1:39" ht="14.1" customHeight="1">
      <c r="A379" s="790"/>
      <c r="B379" s="791"/>
      <c r="C379" s="791"/>
      <c r="D379" s="791"/>
      <c r="E379" s="791"/>
      <c r="F379" s="792"/>
      <c r="G379" s="648"/>
      <c r="H379" s="648"/>
      <c r="I379" s="648"/>
      <c r="J379" s="714">
        <f t="shared" si="21"/>
        <v>45808</v>
      </c>
      <c r="K379" s="715"/>
      <c r="L379" s="716"/>
      <c r="M379" s="648"/>
      <c r="N379" s="648"/>
      <c r="O379" s="648"/>
      <c r="P379" s="648"/>
      <c r="Q379" s="648"/>
      <c r="R379" s="647"/>
      <c r="S379" s="647"/>
      <c r="T379" s="647"/>
      <c r="U379" s="647"/>
      <c r="V379" s="647"/>
      <c r="W379" s="647"/>
      <c r="X379" s="647"/>
      <c r="Y379" s="647"/>
      <c r="Z379" s="647"/>
      <c r="AA379" s="647"/>
      <c r="AB379" s="647"/>
      <c r="AC379" s="647"/>
      <c r="AD379" s="647"/>
      <c r="AE379" s="647"/>
      <c r="AF379" s="647"/>
      <c r="AG379" s="647"/>
      <c r="AH379" s="647"/>
      <c r="AI379" s="647"/>
      <c r="AJ379" s="647"/>
      <c r="AK379" s="647"/>
      <c r="AL379" s="647"/>
      <c r="AM379" s="647"/>
    </row>
    <row r="380" spans="1:39" ht="14.1" customHeight="1"/>
    <row r="381" spans="1:39" ht="14.1" customHeight="1"/>
    <row r="382" spans="1:39" ht="14.1" customHeight="1"/>
    <row r="383" spans="1:39" ht="14.1" customHeight="1"/>
    <row r="384" spans="1:39" ht="14.1" customHeight="1"/>
    <row r="385" spans="1:39" ht="14.1" customHeight="1"/>
    <row r="386" spans="1:39" ht="14.1" customHeight="1"/>
    <row r="387" spans="1:39" ht="14.1" customHeight="1"/>
    <row r="388" spans="1:39" ht="14.1" customHeight="1"/>
    <row r="389" spans="1:39" ht="14.1" customHeight="1"/>
    <row r="390" spans="1:39" ht="14.1" customHeight="1"/>
    <row r="391" spans="1:39" ht="14.1" customHeight="1"/>
    <row r="392" spans="1:39" ht="14.1" customHeight="1"/>
    <row r="393" spans="1:39" ht="14.1" customHeight="1"/>
    <row r="394" spans="1:39" ht="14.1" customHeight="1"/>
    <row r="395" spans="1:39" ht="14.1" customHeight="1"/>
    <row r="396" spans="1:39" ht="14.1" customHeight="1"/>
    <row r="397" spans="1:39" ht="14.1" customHeight="1"/>
    <row r="398" spans="1:39" ht="14.1" customHeight="1"/>
    <row r="399" spans="1:39" ht="14.1" customHeight="1"/>
    <row r="400" spans="1:39">
      <c r="A400" s="649" t="s">
        <v>748</v>
      </c>
      <c r="B400" s="649"/>
      <c r="C400" s="649"/>
      <c r="D400" s="649"/>
      <c r="E400" s="649"/>
      <c r="F400" s="649"/>
      <c r="G400" s="649"/>
      <c r="H400" s="649"/>
      <c r="I400" s="649"/>
      <c r="J400" s="649"/>
      <c r="K400" s="649"/>
      <c r="L400" s="649"/>
      <c r="M400" s="650" t="str">
        <f>VLOOKUP(AI401,'Contorizare in SDI'!$E:$I,4,FALSE)</f>
        <v>594020200002317122/9</v>
      </c>
      <c r="N400" s="650"/>
      <c r="O400" s="650"/>
      <c r="P400" s="650"/>
      <c r="Q400" s="650"/>
      <c r="R400" s="650"/>
      <c r="S400" s="650"/>
      <c r="T400" s="650"/>
      <c r="U400" s="650"/>
      <c r="V400" s="650"/>
      <c r="W400" s="650"/>
      <c r="X400" s="650"/>
      <c r="Y400" s="650"/>
      <c r="Z400" s="650"/>
      <c r="AA400" s="650"/>
      <c r="AB400" s="650"/>
      <c r="AC400" s="650"/>
      <c r="AD400" s="650"/>
      <c r="AE400" s="650"/>
      <c r="AF400" s="650"/>
      <c r="AG400" s="650"/>
      <c r="AH400" s="650"/>
      <c r="AI400" s="650" t="s">
        <v>695</v>
      </c>
      <c r="AJ400" s="650"/>
      <c r="AK400" s="650"/>
      <c r="AL400" s="650"/>
      <c r="AM400" s="650"/>
    </row>
    <row r="401" spans="1:39">
      <c r="A401" s="649" t="s">
        <v>746</v>
      </c>
      <c r="B401" s="649"/>
      <c r="C401" s="649"/>
      <c r="D401" s="649"/>
      <c r="E401" s="649"/>
      <c r="F401" s="649"/>
      <c r="G401" s="649"/>
      <c r="H401" s="649"/>
      <c r="I401" s="649"/>
      <c r="J401" s="649"/>
      <c r="K401" s="649"/>
      <c r="L401" s="649"/>
      <c r="M401" s="650" t="str">
        <f>VLOOKUP(AI401,'Inchidere contur'!$G:$U,15,FALSE)</f>
        <v>JT_SDI</v>
      </c>
      <c r="N401" s="650"/>
      <c r="O401" s="650"/>
      <c r="P401" s="650"/>
      <c r="Q401" s="650"/>
      <c r="R401" s="650"/>
      <c r="S401" s="650"/>
      <c r="T401" s="650"/>
      <c r="U401" s="650"/>
      <c r="V401" s="650"/>
      <c r="W401" s="650"/>
      <c r="X401" s="650"/>
      <c r="Y401" s="650"/>
      <c r="Z401" s="650"/>
      <c r="AA401" s="650"/>
      <c r="AB401" s="650"/>
      <c r="AC401" s="650"/>
      <c r="AD401" s="650"/>
      <c r="AE401" s="650"/>
      <c r="AF401" s="650"/>
      <c r="AG401" s="650"/>
      <c r="AH401" s="650"/>
      <c r="AI401" s="619" t="str">
        <f>_xlfn.CONCAT(AA295,".",3)</f>
        <v>RFSC_2.3</v>
      </c>
      <c r="AJ401" s="619"/>
      <c r="AK401" s="619"/>
      <c r="AL401" s="619"/>
      <c r="AM401" s="619"/>
    </row>
    <row r="402" spans="1:39">
      <c r="A402" s="649" t="s">
        <v>747</v>
      </c>
      <c r="B402" s="649"/>
      <c r="C402" s="649"/>
      <c r="D402" s="649"/>
      <c r="E402" s="649"/>
      <c r="F402" s="649"/>
      <c r="G402" s="649"/>
      <c r="H402" s="649"/>
      <c r="I402" s="649"/>
      <c r="J402" s="649"/>
      <c r="K402" s="649"/>
      <c r="L402" s="649"/>
      <c r="M402" s="650" t="str">
        <f>IF(LEFT(M401,2)="JT","0.4kV",IF(LEFT(M401,2)="MT","20kV","-"))</f>
        <v>0.4kV</v>
      </c>
      <c r="N402" s="650"/>
      <c r="O402" s="650"/>
      <c r="P402" s="650"/>
      <c r="Q402" s="650"/>
      <c r="R402" s="650"/>
      <c r="S402" s="650"/>
      <c r="T402" s="650"/>
      <c r="U402" s="650"/>
      <c r="V402" s="650"/>
      <c r="W402" s="650"/>
      <c r="X402" s="650"/>
      <c r="Y402" s="650"/>
      <c r="Z402" s="650"/>
      <c r="AA402" s="650"/>
      <c r="AB402" s="650"/>
      <c r="AC402" s="650"/>
      <c r="AD402" s="650"/>
      <c r="AE402" s="650"/>
      <c r="AF402" s="650"/>
      <c r="AG402" s="650"/>
      <c r="AH402" s="650"/>
      <c r="AI402" s="619"/>
      <c r="AJ402" s="619"/>
      <c r="AK402" s="619"/>
      <c r="AL402" s="619"/>
      <c r="AM402" s="619"/>
    </row>
    <row r="403" spans="1:39" ht="15.95" customHeight="1">
      <c r="A403" s="648" t="s">
        <v>697</v>
      </c>
      <c r="B403" s="648"/>
      <c r="C403" s="648"/>
      <c r="D403" s="648"/>
      <c r="E403" s="648"/>
      <c r="F403" s="648"/>
      <c r="G403" s="647" t="s">
        <v>713</v>
      </c>
      <c r="H403" s="647"/>
      <c r="I403" s="647"/>
      <c r="J403" s="647" t="s">
        <v>714</v>
      </c>
      <c r="K403" s="647"/>
      <c r="L403" s="647"/>
      <c r="M403" s="648" t="s">
        <v>519</v>
      </c>
      <c r="N403" s="648"/>
      <c r="O403" s="648" t="s">
        <v>715</v>
      </c>
      <c r="P403" s="648"/>
      <c r="Q403" s="648"/>
      <c r="R403" s="647" t="s">
        <v>732</v>
      </c>
      <c r="S403" s="647"/>
      <c r="T403" s="647"/>
      <c r="U403" s="647" t="s">
        <v>734</v>
      </c>
      <c r="V403" s="647"/>
      <c r="W403" s="647"/>
      <c r="X403" s="647" t="s">
        <v>1085</v>
      </c>
      <c r="Y403" s="647"/>
      <c r="Z403" s="647"/>
      <c r="AA403" s="647" t="s">
        <v>1086</v>
      </c>
      <c r="AB403" s="647"/>
      <c r="AC403" s="647"/>
      <c r="AD403" s="647" t="s">
        <v>717</v>
      </c>
      <c r="AE403" s="647"/>
      <c r="AF403" s="647" t="s">
        <v>718</v>
      </c>
      <c r="AG403" s="647"/>
      <c r="AH403" s="647"/>
      <c r="AI403" s="647" t="s">
        <v>719</v>
      </c>
      <c r="AJ403" s="647"/>
      <c r="AK403" s="647" t="s">
        <v>733</v>
      </c>
      <c r="AL403" s="647"/>
      <c r="AM403" s="647"/>
    </row>
    <row r="404" spans="1:39">
      <c r="A404" s="648"/>
      <c r="B404" s="648"/>
      <c r="C404" s="648"/>
      <c r="D404" s="648"/>
      <c r="E404" s="648"/>
      <c r="F404" s="648"/>
      <c r="G404" s="647"/>
      <c r="H404" s="647"/>
      <c r="I404" s="647"/>
      <c r="J404" s="647"/>
      <c r="K404" s="647"/>
      <c r="L404" s="647"/>
      <c r="M404" s="648"/>
      <c r="N404" s="648"/>
      <c r="O404" s="648"/>
      <c r="P404" s="648"/>
      <c r="Q404" s="648"/>
      <c r="R404" s="647"/>
      <c r="S404" s="647"/>
      <c r="T404" s="647"/>
      <c r="U404" s="647"/>
      <c r="V404" s="647"/>
      <c r="W404" s="647"/>
      <c r="X404" s="647"/>
      <c r="Y404" s="647"/>
      <c r="Z404" s="647"/>
      <c r="AA404" s="647"/>
      <c r="AB404" s="647"/>
      <c r="AC404" s="647"/>
      <c r="AD404" s="647"/>
      <c r="AE404" s="647"/>
      <c r="AF404" s="647"/>
      <c r="AG404" s="647"/>
      <c r="AH404" s="647"/>
      <c r="AI404" s="647"/>
      <c r="AJ404" s="647"/>
      <c r="AK404" s="647"/>
      <c r="AL404" s="647"/>
      <c r="AM404" s="647"/>
    </row>
    <row r="405" spans="1:39">
      <c r="A405" s="648"/>
      <c r="B405" s="648"/>
      <c r="C405" s="648"/>
      <c r="D405" s="648"/>
      <c r="E405" s="648"/>
      <c r="F405" s="648"/>
      <c r="G405" s="647"/>
      <c r="H405" s="647"/>
      <c r="I405" s="647"/>
      <c r="J405" s="713"/>
      <c r="K405" s="713"/>
      <c r="L405" s="713"/>
      <c r="M405" s="648"/>
      <c r="N405" s="648"/>
      <c r="O405" s="648"/>
      <c r="P405" s="648"/>
      <c r="Q405" s="648"/>
      <c r="R405" s="647"/>
      <c r="S405" s="647"/>
      <c r="T405" s="647"/>
      <c r="U405" s="647"/>
      <c r="V405" s="647"/>
      <c r="W405" s="647"/>
      <c r="X405" s="647"/>
      <c r="Y405" s="647"/>
      <c r="Z405" s="647"/>
      <c r="AA405" s="647"/>
      <c r="AB405" s="647"/>
      <c r="AC405" s="647"/>
      <c r="AD405" s="647"/>
      <c r="AE405" s="647"/>
      <c r="AF405" s="647"/>
      <c r="AG405" s="647"/>
      <c r="AH405" s="647"/>
      <c r="AI405" s="647"/>
      <c r="AJ405" s="647"/>
      <c r="AK405" s="647"/>
      <c r="AL405" s="647"/>
      <c r="AM405" s="647"/>
    </row>
    <row r="406" spans="1:39" ht="14.1" customHeight="1">
      <c r="A406" s="784" t="s">
        <v>1327</v>
      </c>
      <c r="B406" s="785"/>
      <c r="C406" s="785"/>
      <c r="D406" s="785"/>
      <c r="E406" s="785"/>
      <c r="F406" s="786"/>
      <c r="G406" s="648" t="s">
        <v>730</v>
      </c>
      <c r="H406" s="648"/>
      <c r="I406" s="673"/>
      <c r="J406" s="655">
        <f>'Date masura OD'!$AK$5</f>
        <v>45748</v>
      </c>
      <c r="K406" s="656"/>
      <c r="L406" s="657"/>
      <c r="M406" s="720" t="s">
        <v>446</v>
      </c>
      <c r="N406" s="648"/>
      <c r="O406" s="648">
        <f>VLOOKUP(AI401,'Incrementare indexe'!$B:$T,4,FALSE)</f>
        <v>1</v>
      </c>
      <c r="P406" s="648"/>
      <c r="Q406" s="648"/>
      <c r="R406" s="647" t="str">
        <f>VLOOKUP(A406,Regularizare!$D:$YN,3,FALSE)&amp;" ("&amp;VLOOKUP(A406,Regularizare!$D:$Y,11,FALSE)&amp;")"</f>
        <v>0 (citit)</v>
      </c>
      <c r="S406" s="647"/>
      <c r="T406" s="647"/>
      <c r="U406" s="647" t="str">
        <f>VLOOKUP(A406,Regularizare!$D:$U,4,FALSE)&amp;" ("&amp;VLOOKUP(A406,Regularizare!$D:$U,12,FALSE)&amp;")"</f>
        <v>0 (estimat)</v>
      </c>
      <c r="V406" s="647"/>
      <c r="W406" s="647"/>
      <c r="X406" s="647" t="str">
        <f>VLOOKUP(A406,Regularizare!$D:$Y,19,FALSE)&amp;" ("&amp;VLOOKUP(A406,Regularizare!$D:$U,12,FALSE)&amp;")"</f>
        <v>0 (estimat)</v>
      </c>
      <c r="Y406" s="647"/>
      <c r="Z406" s="647"/>
      <c r="AA406" s="647">
        <f>(-1)*VLOOKUP(A406,Regularizare!$D:$Y,19,FALSE)</f>
        <v>0</v>
      </c>
      <c r="AB406" s="647"/>
      <c r="AC406" s="647"/>
      <c r="AD406" s="647" t="s">
        <v>69</v>
      </c>
      <c r="AE406" s="647"/>
      <c r="AF406" s="647">
        <f>AA406</f>
        <v>0</v>
      </c>
      <c r="AG406" s="647"/>
      <c r="AH406" s="647"/>
      <c r="AI406" s="647" t="s">
        <v>69</v>
      </c>
      <c r="AJ406" s="647"/>
      <c r="AK406" s="647" t="s">
        <v>69</v>
      </c>
      <c r="AL406" s="647"/>
      <c r="AM406" s="647"/>
    </row>
    <row r="407" spans="1:39" ht="9.75" customHeight="1">
      <c r="A407" s="787"/>
      <c r="B407" s="788"/>
      <c r="C407" s="788"/>
      <c r="D407" s="788"/>
      <c r="E407" s="788"/>
      <c r="F407" s="789"/>
      <c r="G407" s="648"/>
      <c r="H407" s="648"/>
      <c r="I407" s="673"/>
      <c r="J407" s="717" t="s">
        <v>69</v>
      </c>
      <c r="K407" s="718"/>
      <c r="L407" s="719"/>
      <c r="M407" s="720"/>
      <c r="N407" s="648"/>
      <c r="O407" s="648"/>
      <c r="P407" s="648"/>
      <c r="Q407" s="648"/>
      <c r="R407" s="647"/>
      <c r="S407" s="647"/>
      <c r="T407" s="647"/>
      <c r="U407" s="647"/>
      <c r="V407" s="647"/>
      <c r="W407" s="647"/>
      <c r="X407" s="647"/>
      <c r="Y407" s="647"/>
      <c r="Z407" s="647"/>
      <c r="AA407" s="647"/>
      <c r="AB407" s="647"/>
      <c r="AC407" s="647"/>
      <c r="AD407" s="647"/>
      <c r="AE407" s="647"/>
      <c r="AF407" s="647"/>
      <c r="AG407" s="647"/>
      <c r="AH407" s="647"/>
      <c r="AI407" s="647"/>
      <c r="AJ407" s="647"/>
      <c r="AK407" s="647"/>
      <c r="AL407" s="647"/>
      <c r="AM407" s="647"/>
    </row>
    <row r="408" spans="1:39" ht="14.1" customHeight="1">
      <c r="A408" s="790"/>
      <c r="B408" s="791"/>
      <c r="C408" s="791"/>
      <c r="D408" s="791"/>
      <c r="E408" s="791"/>
      <c r="F408" s="792"/>
      <c r="G408" s="648"/>
      <c r="H408" s="648"/>
      <c r="I408" s="673"/>
      <c r="J408" s="714">
        <f>'Date masura OD'!$AL$5</f>
        <v>45777</v>
      </c>
      <c r="K408" s="715"/>
      <c r="L408" s="716"/>
      <c r="M408" s="720"/>
      <c r="N408" s="648"/>
      <c r="O408" s="648"/>
      <c r="P408" s="648"/>
      <c r="Q408" s="648"/>
      <c r="R408" s="647"/>
      <c r="S408" s="647"/>
      <c r="T408" s="647"/>
      <c r="U408" s="647"/>
      <c r="V408" s="647"/>
      <c r="W408" s="647"/>
      <c r="X408" s="647"/>
      <c r="Y408" s="647"/>
      <c r="Z408" s="647"/>
      <c r="AA408" s="647"/>
      <c r="AB408" s="647"/>
      <c r="AC408" s="647"/>
      <c r="AD408" s="647"/>
      <c r="AE408" s="647"/>
      <c r="AF408" s="647"/>
      <c r="AG408" s="647"/>
      <c r="AH408" s="647"/>
      <c r="AI408" s="647"/>
      <c r="AJ408" s="647"/>
      <c r="AK408" s="647"/>
      <c r="AL408" s="647"/>
      <c r="AM408" s="647"/>
    </row>
    <row r="409" spans="1:39" ht="14.1" customHeight="1">
      <c r="A409" s="784" t="s">
        <v>1327</v>
      </c>
      <c r="B409" s="785"/>
      <c r="C409" s="785"/>
      <c r="D409" s="785"/>
      <c r="E409" s="785"/>
      <c r="F409" s="786"/>
      <c r="G409" s="648" t="s">
        <v>696</v>
      </c>
      <c r="H409" s="648"/>
      <c r="I409" s="648"/>
      <c r="J409" s="655">
        <f t="shared" ref="J409:J414" si="22">J406</f>
        <v>45748</v>
      </c>
      <c r="K409" s="656"/>
      <c r="L409" s="657"/>
      <c r="M409" s="648" t="s">
        <v>720</v>
      </c>
      <c r="N409" s="648"/>
      <c r="O409" s="648">
        <f>O406</f>
        <v>1</v>
      </c>
      <c r="P409" s="648"/>
      <c r="Q409" s="648"/>
      <c r="R409" s="647" t="str">
        <f>VLOOKUP(A409,Regularizare!$D:$U,7,FALSE)&amp;" ("&amp;VLOOKUP(A409,Regularizare!$D:$U,15,FALSE)&amp;")"</f>
        <v>0 (citit)</v>
      </c>
      <c r="S409" s="647"/>
      <c r="T409" s="647"/>
      <c r="U409" s="647" t="str">
        <f>VLOOKUP(A409,Regularizare!$D:$U,8,FALSE)&amp;" ("&amp;VLOOKUP(A409,Regularizare!$D:$U,16,FALSE)&amp;")"</f>
        <v>0 (estimat)</v>
      </c>
      <c r="V409" s="647"/>
      <c r="W409" s="647"/>
      <c r="X409" s="647" t="str">
        <f>_xlfn.CONCAT(VLOOKUP(A409,Regularizare!$D:$U,8,FALSE)-VLOOKUP(A409,Regularizare!$D:$U,7,FALSE)," (",VLOOKUP(A409,Regularizare!$D:$U,16,FALSE),")")</f>
        <v>0 (estimat)</v>
      </c>
      <c r="Y409" s="647"/>
      <c r="Z409" s="647"/>
      <c r="AA409" s="647">
        <f>IF(VLOOKUP(A409,Regularizare!$D:$Y,21,FALSE)=0,VLOOKUP(A409,Regularizare!$D:$Y,21,FALSE),(-1)*VLOOKUP(A409,Regularizare!$D:$Y,21,FALSE))</f>
        <v>0</v>
      </c>
      <c r="AB409" s="647"/>
      <c r="AC409" s="647"/>
      <c r="AD409" s="647" t="s">
        <v>69</v>
      </c>
      <c r="AE409" s="647"/>
      <c r="AF409" s="647">
        <f>AA409</f>
        <v>0</v>
      </c>
      <c r="AG409" s="647"/>
      <c r="AH409" s="647"/>
      <c r="AI409" s="647" t="str">
        <f>AI406</f>
        <v>-</v>
      </c>
      <c r="AJ409" s="647"/>
      <c r="AK409" s="647" t="str">
        <f>AK406</f>
        <v>-</v>
      </c>
      <c r="AL409" s="647"/>
      <c r="AM409" s="647"/>
    </row>
    <row r="410" spans="1:39" ht="8.4499999999999993" customHeight="1">
      <c r="A410" s="787"/>
      <c r="B410" s="788"/>
      <c r="C410" s="788"/>
      <c r="D410" s="788"/>
      <c r="E410" s="788"/>
      <c r="F410" s="789"/>
      <c r="G410" s="648"/>
      <c r="H410" s="648"/>
      <c r="I410" s="648"/>
      <c r="J410" s="717" t="str">
        <f t="shared" si="22"/>
        <v>-</v>
      </c>
      <c r="K410" s="718"/>
      <c r="L410" s="719"/>
      <c r="M410" s="648"/>
      <c r="N410" s="648"/>
      <c r="O410" s="648"/>
      <c r="P410" s="648"/>
      <c r="Q410" s="648"/>
      <c r="R410" s="647"/>
      <c r="S410" s="647"/>
      <c r="T410" s="647"/>
      <c r="U410" s="647"/>
      <c r="V410" s="647"/>
      <c r="W410" s="647"/>
      <c r="X410" s="647"/>
      <c r="Y410" s="647"/>
      <c r="Z410" s="647"/>
      <c r="AA410" s="647"/>
      <c r="AB410" s="647"/>
      <c r="AC410" s="647"/>
      <c r="AD410" s="647"/>
      <c r="AE410" s="647"/>
      <c r="AF410" s="647"/>
      <c r="AG410" s="647"/>
      <c r="AH410" s="647"/>
      <c r="AI410" s="647"/>
      <c r="AJ410" s="647"/>
      <c r="AK410" s="647"/>
      <c r="AL410" s="647"/>
      <c r="AM410" s="647"/>
    </row>
    <row r="411" spans="1:39" ht="14.1" customHeight="1">
      <c r="A411" s="790"/>
      <c r="B411" s="791"/>
      <c r="C411" s="791"/>
      <c r="D411" s="791"/>
      <c r="E411" s="791"/>
      <c r="F411" s="792"/>
      <c r="G411" s="648"/>
      <c r="H411" s="648"/>
      <c r="I411" s="648"/>
      <c r="J411" s="714">
        <f t="shared" si="22"/>
        <v>45777</v>
      </c>
      <c r="K411" s="715"/>
      <c r="L411" s="716"/>
      <c r="M411" s="648"/>
      <c r="N411" s="648"/>
      <c r="O411" s="648"/>
      <c r="P411" s="648"/>
      <c r="Q411" s="648"/>
      <c r="R411" s="647"/>
      <c r="S411" s="647"/>
      <c r="T411" s="647"/>
      <c r="U411" s="647"/>
      <c r="V411" s="647"/>
      <c r="W411" s="647"/>
      <c r="X411" s="647"/>
      <c r="Y411" s="647"/>
      <c r="Z411" s="647"/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</row>
    <row r="412" spans="1:39" ht="14.1" customHeight="1">
      <c r="A412" s="784" t="s">
        <v>1327</v>
      </c>
      <c r="B412" s="785"/>
      <c r="C412" s="785"/>
      <c r="D412" s="785"/>
      <c r="E412" s="785"/>
      <c r="F412" s="786"/>
      <c r="G412" s="648" t="s">
        <v>731</v>
      </c>
      <c r="H412" s="648"/>
      <c r="I412" s="648"/>
      <c r="J412" s="655">
        <f t="shared" si="22"/>
        <v>45748</v>
      </c>
      <c r="K412" s="656"/>
      <c r="L412" s="657"/>
      <c r="M412" s="648" t="s">
        <v>720</v>
      </c>
      <c r="N412" s="648"/>
      <c r="O412" s="648">
        <f>O409</f>
        <v>1</v>
      </c>
      <c r="P412" s="648"/>
      <c r="Q412" s="648"/>
      <c r="R412" s="647" t="str">
        <f>VLOOKUP(A412,Regularizare!$D:$U,9,FALSE)&amp;" ("&amp;VLOOKUP(A412,Regularizare!$D:$U,17,FALSE)&amp;")"</f>
        <v>0 (citit)</v>
      </c>
      <c r="S412" s="647"/>
      <c r="T412" s="647"/>
      <c r="U412" s="647" t="str">
        <f>VLOOKUP(A412,Regularizare!$D:$U,10,FALSE)&amp;" ("&amp;VLOOKUP(A412,Regularizare!$D:$U,18,FALSE)&amp;")"</f>
        <v>0 (estimat)</v>
      </c>
      <c r="V412" s="647"/>
      <c r="W412" s="647"/>
      <c r="X412" s="647" t="str">
        <f>_xlfn.CONCAT(VLOOKUP(A412,Regularizare!$D:$U,10,FALSE)-VLOOKUP(A412,Regularizare!$D:$U,9,FALSE)," (",VLOOKUP(A412,Regularizare!$D:$U,18,FALSE),")")</f>
        <v>0 (estimat)</v>
      </c>
      <c r="Y412" s="647"/>
      <c r="Z412" s="647"/>
      <c r="AA412" s="647">
        <f>IF(VLOOKUP(A412,Regularizare!$D:$Y,22,FALSE)=0,VLOOKUP(A412,Regularizare!$D:$Y,22,FALSE),(-1)*VLOOKUP(A412,Regularizare!$D:$Y,22,FALSE))</f>
        <v>0</v>
      </c>
      <c r="AB412" s="647"/>
      <c r="AC412" s="647"/>
      <c r="AD412" s="647" t="s">
        <v>69</v>
      </c>
      <c r="AE412" s="647"/>
      <c r="AF412" s="647">
        <f>AA412</f>
        <v>0</v>
      </c>
      <c r="AG412" s="647"/>
      <c r="AH412" s="647"/>
      <c r="AI412" s="647" t="str">
        <f>AI409</f>
        <v>-</v>
      </c>
      <c r="AJ412" s="647"/>
      <c r="AK412" s="647" t="str">
        <f>AK409</f>
        <v>-</v>
      </c>
      <c r="AL412" s="647"/>
      <c r="AM412" s="647"/>
    </row>
    <row r="413" spans="1:39" ht="8.4499999999999993" customHeight="1">
      <c r="A413" s="787"/>
      <c r="B413" s="788"/>
      <c r="C413" s="788"/>
      <c r="D413" s="788"/>
      <c r="E413" s="788"/>
      <c r="F413" s="789"/>
      <c r="G413" s="648"/>
      <c r="H413" s="648"/>
      <c r="I413" s="648"/>
      <c r="J413" s="717" t="str">
        <f t="shared" si="22"/>
        <v>-</v>
      </c>
      <c r="K413" s="718"/>
      <c r="L413" s="719"/>
      <c r="M413" s="648"/>
      <c r="N413" s="648"/>
      <c r="O413" s="648"/>
      <c r="P413" s="648"/>
      <c r="Q413" s="648"/>
      <c r="R413" s="647"/>
      <c r="S413" s="647"/>
      <c r="T413" s="647"/>
      <c r="U413" s="647"/>
      <c r="V413" s="647"/>
      <c r="W413" s="647"/>
      <c r="X413" s="647"/>
      <c r="Y413" s="647"/>
      <c r="Z413" s="647"/>
      <c r="AA413" s="647"/>
      <c r="AB413" s="647"/>
      <c r="AC413" s="647"/>
      <c r="AD413" s="647"/>
      <c r="AE413" s="647"/>
      <c r="AF413" s="647"/>
      <c r="AG413" s="647"/>
      <c r="AH413" s="647"/>
      <c r="AI413" s="647"/>
      <c r="AJ413" s="647"/>
      <c r="AK413" s="647"/>
      <c r="AL413" s="647"/>
      <c r="AM413" s="647"/>
    </row>
    <row r="414" spans="1:39" ht="14.1" customHeight="1">
      <c r="A414" s="790"/>
      <c r="B414" s="791"/>
      <c r="C414" s="791"/>
      <c r="D414" s="791"/>
      <c r="E414" s="791"/>
      <c r="F414" s="792"/>
      <c r="G414" s="648"/>
      <c r="H414" s="648"/>
      <c r="I414" s="648"/>
      <c r="J414" s="714">
        <f t="shared" si="22"/>
        <v>45777</v>
      </c>
      <c r="K414" s="715"/>
      <c r="L414" s="716"/>
      <c r="M414" s="648"/>
      <c r="N414" s="648"/>
      <c r="O414" s="648"/>
      <c r="P414" s="648"/>
      <c r="Q414" s="648"/>
      <c r="R414" s="647"/>
      <c r="S414" s="647"/>
      <c r="T414" s="647"/>
      <c r="U414" s="647"/>
      <c r="V414" s="647"/>
      <c r="W414" s="647"/>
      <c r="X414" s="647"/>
      <c r="Y414" s="647"/>
      <c r="Z414" s="647"/>
      <c r="AA414" s="647"/>
      <c r="AB414" s="647"/>
      <c r="AC414" s="647"/>
      <c r="AD414" s="647"/>
      <c r="AE414" s="647"/>
      <c r="AF414" s="647"/>
      <c r="AG414" s="647"/>
      <c r="AH414" s="647"/>
      <c r="AI414" s="647"/>
      <c r="AJ414" s="647"/>
      <c r="AK414" s="647"/>
      <c r="AL414" s="647"/>
      <c r="AM414" s="647"/>
    </row>
    <row r="415" spans="1:39" ht="14.1" customHeight="1">
      <c r="A415" s="784" t="s">
        <v>1327</v>
      </c>
      <c r="B415" s="785"/>
      <c r="C415" s="785"/>
      <c r="D415" s="785"/>
      <c r="E415" s="785"/>
      <c r="F415" s="786"/>
      <c r="G415" s="648" t="s">
        <v>730</v>
      </c>
      <c r="H415" s="648"/>
      <c r="I415" s="673"/>
      <c r="J415" s="655">
        <f>'Date masura OD'!$AK$5</f>
        <v>45748</v>
      </c>
      <c r="K415" s="656"/>
      <c r="L415" s="657"/>
      <c r="M415" s="720" t="s">
        <v>446</v>
      </c>
      <c r="N415" s="648"/>
      <c r="O415" s="648">
        <f>O412</f>
        <v>1</v>
      </c>
      <c r="P415" s="648"/>
      <c r="Q415" s="648"/>
      <c r="R415" s="647" t="str">
        <f>VLOOKUP(A415,Regularizare!$D:$YN,3,FALSE)&amp;" ("&amp;VLOOKUP(A415,Regularizare!$D:$Y,11,FALSE)&amp;")"</f>
        <v>0 (citit)</v>
      </c>
      <c r="S415" s="647"/>
      <c r="T415" s="647"/>
      <c r="U415" s="647" t="str">
        <f>VLOOKUP(A415,Regularizare!$D:$U,4,FALSE)&amp;" ("&amp;VLOOKUP(A415,Regularizare!$D:$U,12,FALSE)&amp;")"</f>
        <v>0 (estimat)</v>
      </c>
      <c r="V415" s="647"/>
      <c r="W415" s="647"/>
      <c r="X415" s="647" t="str">
        <f>VLOOKUP(A415,Regularizare!$D:$Y,19,FALSE)&amp;" ("&amp;VLOOKUP(A415,Regularizare!$D:$U,12,FALSE)&amp;")"</f>
        <v>0 (estimat)</v>
      </c>
      <c r="Y415" s="647"/>
      <c r="Z415" s="647"/>
      <c r="AA415" s="647">
        <f>(-1)*VLOOKUP(A415,Regularizare!$D:$Y,19,FALSE)</f>
        <v>0</v>
      </c>
      <c r="AB415" s="647"/>
      <c r="AC415" s="647"/>
      <c r="AD415" s="647" t="s">
        <v>69</v>
      </c>
      <c r="AE415" s="647"/>
      <c r="AF415" s="647">
        <f>AA415</f>
        <v>0</v>
      </c>
      <c r="AG415" s="647"/>
      <c r="AH415" s="647"/>
      <c r="AI415" s="647" t="s">
        <v>69</v>
      </c>
      <c r="AJ415" s="647"/>
      <c r="AK415" s="647" t="s">
        <v>69</v>
      </c>
      <c r="AL415" s="647"/>
      <c r="AM415" s="647"/>
    </row>
    <row r="416" spans="1:39" ht="8.4499999999999993" customHeight="1">
      <c r="A416" s="787"/>
      <c r="B416" s="788"/>
      <c r="C416" s="788"/>
      <c r="D416" s="788"/>
      <c r="E416" s="788"/>
      <c r="F416" s="789"/>
      <c r="G416" s="648"/>
      <c r="H416" s="648"/>
      <c r="I416" s="673"/>
      <c r="J416" s="717" t="s">
        <v>69</v>
      </c>
      <c r="K416" s="718"/>
      <c r="L416" s="719"/>
      <c r="M416" s="720"/>
      <c r="N416" s="648"/>
      <c r="O416" s="648"/>
      <c r="P416" s="648"/>
      <c r="Q416" s="648"/>
      <c r="R416" s="647"/>
      <c r="S416" s="647"/>
      <c r="T416" s="647"/>
      <c r="U416" s="647"/>
      <c r="V416" s="647"/>
      <c r="W416" s="647"/>
      <c r="X416" s="647"/>
      <c r="Y416" s="647"/>
      <c r="Z416" s="647"/>
      <c r="AA416" s="647"/>
      <c r="AB416" s="647"/>
      <c r="AC416" s="647"/>
      <c r="AD416" s="647"/>
      <c r="AE416" s="647"/>
      <c r="AF416" s="647"/>
      <c r="AG416" s="647"/>
      <c r="AH416" s="647"/>
      <c r="AI416" s="647"/>
      <c r="AJ416" s="647"/>
      <c r="AK416" s="647"/>
      <c r="AL416" s="647"/>
      <c r="AM416" s="647"/>
    </row>
    <row r="417" spans="1:39" ht="14.1" customHeight="1">
      <c r="A417" s="790"/>
      <c r="B417" s="791"/>
      <c r="C417" s="791"/>
      <c r="D417" s="791"/>
      <c r="E417" s="791"/>
      <c r="F417" s="792"/>
      <c r="G417" s="648"/>
      <c r="H417" s="648"/>
      <c r="I417" s="673"/>
      <c r="J417" s="714">
        <f>'Date masura OD'!$AL$5</f>
        <v>45777</v>
      </c>
      <c r="K417" s="715"/>
      <c r="L417" s="716"/>
      <c r="M417" s="720"/>
      <c r="N417" s="648"/>
      <c r="O417" s="648"/>
      <c r="P417" s="648"/>
      <c r="Q417" s="648"/>
      <c r="R417" s="647"/>
      <c r="S417" s="647"/>
      <c r="T417" s="647"/>
      <c r="U417" s="647"/>
      <c r="V417" s="647"/>
      <c r="W417" s="647"/>
      <c r="X417" s="647"/>
      <c r="Y417" s="647"/>
      <c r="Z417" s="647"/>
      <c r="AA417" s="647"/>
      <c r="AB417" s="647"/>
      <c r="AC417" s="647"/>
      <c r="AD417" s="647"/>
      <c r="AE417" s="647"/>
      <c r="AF417" s="647"/>
      <c r="AG417" s="647"/>
      <c r="AH417" s="647"/>
      <c r="AI417" s="647"/>
      <c r="AJ417" s="647"/>
      <c r="AK417" s="647"/>
      <c r="AL417" s="647"/>
      <c r="AM417" s="647"/>
    </row>
    <row r="418" spans="1:39" ht="14.1" customHeight="1">
      <c r="A418" s="784" t="s">
        <v>1327</v>
      </c>
      <c r="B418" s="785"/>
      <c r="C418" s="785"/>
      <c r="D418" s="785"/>
      <c r="E418" s="785"/>
      <c r="F418" s="786"/>
      <c r="G418" s="648" t="s">
        <v>696</v>
      </c>
      <c r="H418" s="648"/>
      <c r="I418" s="648"/>
      <c r="J418" s="655">
        <f t="shared" ref="J418:J423" si="23">J415</f>
        <v>45748</v>
      </c>
      <c r="K418" s="656"/>
      <c r="L418" s="657"/>
      <c r="M418" s="648" t="s">
        <v>720</v>
      </c>
      <c r="N418" s="648"/>
      <c r="O418" s="648">
        <f>O415</f>
        <v>1</v>
      </c>
      <c r="P418" s="648"/>
      <c r="Q418" s="648"/>
      <c r="R418" s="647" t="str">
        <f>VLOOKUP(A418,Regularizare!$D:$U,7,FALSE)&amp;" ("&amp;VLOOKUP(A418,Regularizare!$D:$U,15,FALSE)&amp;")"</f>
        <v>0 (citit)</v>
      </c>
      <c r="S418" s="647"/>
      <c r="T418" s="647"/>
      <c r="U418" s="647" t="str">
        <f>VLOOKUP(A418,Regularizare!$D:$U,8,FALSE)&amp;" ("&amp;VLOOKUP(A418,Regularizare!$D:$U,16,FALSE)&amp;")"</f>
        <v>0 (estimat)</v>
      </c>
      <c r="V418" s="647"/>
      <c r="W418" s="647"/>
      <c r="X418" s="647" t="str">
        <f>_xlfn.CONCAT(VLOOKUP(A418,Regularizare!$D:$U,8,FALSE)-VLOOKUP(A418,Regularizare!$D:$U,7,FALSE)," (",VLOOKUP(A418,Regularizare!$D:$U,16,FALSE),")")</f>
        <v>0 (estimat)</v>
      </c>
      <c r="Y418" s="647"/>
      <c r="Z418" s="647"/>
      <c r="AA418" s="647">
        <f>IF(VLOOKUP(A418,Regularizare!$D:$Y,21,FALSE)=0,VLOOKUP(A418,Regularizare!$D:$Y,21,FALSE),(-1)*VLOOKUP(A418,Regularizare!$D:$Y,21,FALSE))</f>
        <v>0</v>
      </c>
      <c r="AB418" s="647"/>
      <c r="AC418" s="647"/>
      <c r="AD418" s="647" t="s">
        <v>69</v>
      </c>
      <c r="AE418" s="647"/>
      <c r="AF418" s="647">
        <f>AA418</f>
        <v>0</v>
      </c>
      <c r="AG418" s="647"/>
      <c r="AH418" s="647"/>
      <c r="AI418" s="647" t="str">
        <f>AI415</f>
        <v>-</v>
      </c>
      <c r="AJ418" s="647"/>
      <c r="AK418" s="647" t="str">
        <f>AK415</f>
        <v>-</v>
      </c>
      <c r="AL418" s="647"/>
      <c r="AM418" s="647"/>
    </row>
    <row r="419" spans="1:39" ht="8.4499999999999993" customHeight="1">
      <c r="A419" s="787"/>
      <c r="B419" s="788"/>
      <c r="C419" s="788"/>
      <c r="D419" s="788"/>
      <c r="E419" s="788"/>
      <c r="F419" s="789"/>
      <c r="G419" s="648"/>
      <c r="H419" s="648"/>
      <c r="I419" s="648"/>
      <c r="J419" s="717" t="str">
        <f t="shared" si="23"/>
        <v>-</v>
      </c>
      <c r="K419" s="718"/>
      <c r="L419" s="719"/>
      <c r="M419" s="648"/>
      <c r="N419" s="648"/>
      <c r="O419" s="648"/>
      <c r="P419" s="648"/>
      <c r="Q419" s="648"/>
      <c r="R419" s="647"/>
      <c r="S419" s="647"/>
      <c r="T419" s="647"/>
      <c r="U419" s="647"/>
      <c r="V419" s="647"/>
      <c r="W419" s="647"/>
      <c r="X419" s="647"/>
      <c r="Y419" s="647"/>
      <c r="Z419" s="647"/>
      <c r="AA419" s="647"/>
      <c r="AB419" s="647"/>
      <c r="AC419" s="647"/>
      <c r="AD419" s="647"/>
      <c r="AE419" s="647"/>
      <c r="AF419" s="647"/>
      <c r="AG419" s="647"/>
      <c r="AH419" s="647"/>
      <c r="AI419" s="647"/>
      <c r="AJ419" s="647"/>
      <c r="AK419" s="647"/>
      <c r="AL419" s="647"/>
      <c r="AM419" s="647"/>
    </row>
    <row r="420" spans="1:39" ht="14.1" customHeight="1">
      <c r="A420" s="790"/>
      <c r="B420" s="791"/>
      <c r="C420" s="791"/>
      <c r="D420" s="791"/>
      <c r="E420" s="791"/>
      <c r="F420" s="792"/>
      <c r="G420" s="648"/>
      <c r="H420" s="648"/>
      <c r="I420" s="648"/>
      <c r="J420" s="714">
        <f t="shared" si="23"/>
        <v>45777</v>
      </c>
      <c r="K420" s="715"/>
      <c r="L420" s="716"/>
      <c r="M420" s="648"/>
      <c r="N420" s="648"/>
      <c r="O420" s="648"/>
      <c r="P420" s="648"/>
      <c r="Q420" s="648"/>
      <c r="R420" s="647"/>
      <c r="S420" s="647"/>
      <c r="T420" s="647"/>
      <c r="U420" s="647"/>
      <c r="V420" s="647"/>
      <c r="W420" s="647"/>
      <c r="X420" s="647"/>
      <c r="Y420" s="647"/>
      <c r="Z420" s="647"/>
      <c r="AA420" s="647"/>
      <c r="AB420" s="647"/>
      <c r="AC420" s="647"/>
      <c r="AD420" s="647"/>
      <c r="AE420" s="647"/>
      <c r="AF420" s="647"/>
      <c r="AG420" s="647"/>
      <c r="AH420" s="647"/>
      <c r="AI420" s="647"/>
      <c r="AJ420" s="647"/>
      <c r="AK420" s="647"/>
      <c r="AL420" s="647"/>
      <c r="AM420" s="647"/>
    </row>
    <row r="421" spans="1:39" ht="14.1" customHeight="1">
      <c r="A421" s="784" t="s">
        <v>1327</v>
      </c>
      <c r="B421" s="785"/>
      <c r="C421" s="785"/>
      <c r="D421" s="785"/>
      <c r="E421" s="785"/>
      <c r="F421" s="786"/>
      <c r="G421" s="648" t="s">
        <v>731</v>
      </c>
      <c r="H421" s="648"/>
      <c r="I421" s="648"/>
      <c r="J421" s="655">
        <f t="shared" si="23"/>
        <v>45748</v>
      </c>
      <c r="K421" s="656"/>
      <c r="L421" s="657"/>
      <c r="M421" s="648" t="s">
        <v>720</v>
      </c>
      <c r="N421" s="648"/>
      <c r="O421" s="648">
        <f>O418</f>
        <v>1</v>
      </c>
      <c r="P421" s="648"/>
      <c r="Q421" s="648"/>
      <c r="R421" s="647" t="str">
        <f>VLOOKUP(A421,Regularizare!$D:$U,9,FALSE)&amp;" ("&amp;VLOOKUP(A421,Regularizare!$D:$U,17,FALSE)&amp;")"</f>
        <v>0 (citit)</v>
      </c>
      <c r="S421" s="647"/>
      <c r="T421" s="647"/>
      <c r="U421" s="647" t="str">
        <f>VLOOKUP(A421,Regularizare!$D:$U,10,FALSE)&amp;" ("&amp;VLOOKUP(A421,Regularizare!$D:$U,18,FALSE)&amp;")"</f>
        <v>0 (estimat)</v>
      </c>
      <c r="V421" s="647"/>
      <c r="W421" s="647"/>
      <c r="X421" s="647" t="str">
        <f>_xlfn.CONCAT(VLOOKUP(A421,Regularizare!$D:$U,10,FALSE)-VLOOKUP(A421,Regularizare!$D:$U,9,FALSE)," (",VLOOKUP(A421,Regularizare!$D:$U,18,FALSE),")")</f>
        <v>0 (estimat)</v>
      </c>
      <c r="Y421" s="647"/>
      <c r="Z421" s="647"/>
      <c r="AA421" s="647">
        <f>IF(VLOOKUP(A421,Regularizare!$D:$Y,22,FALSE)=0,VLOOKUP(A421,Regularizare!$D:$Y,22,FALSE),(-1)*VLOOKUP(A421,Regularizare!$D:$Y,22,FALSE))</f>
        <v>0</v>
      </c>
      <c r="AB421" s="647"/>
      <c r="AC421" s="647"/>
      <c r="AD421" s="647" t="s">
        <v>69</v>
      </c>
      <c r="AE421" s="647"/>
      <c r="AF421" s="647">
        <f>AA421</f>
        <v>0</v>
      </c>
      <c r="AG421" s="647"/>
      <c r="AH421" s="647"/>
      <c r="AI421" s="647" t="str">
        <f>AI418</f>
        <v>-</v>
      </c>
      <c r="AJ421" s="647"/>
      <c r="AK421" s="647" t="str">
        <f>AK418</f>
        <v>-</v>
      </c>
      <c r="AL421" s="647"/>
      <c r="AM421" s="647"/>
    </row>
    <row r="422" spans="1:39" ht="8.4499999999999993" customHeight="1">
      <c r="A422" s="787"/>
      <c r="B422" s="788"/>
      <c r="C422" s="788"/>
      <c r="D422" s="788"/>
      <c r="E422" s="788"/>
      <c r="F422" s="789"/>
      <c r="G422" s="648"/>
      <c r="H422" s="648"/>
      <c r="I422" s="648"/>
      <c r="J422" s="717" t="str">
        <f t="shared" si="23"/>
        <v>-</v>
      </c>
      <c r="K422" s="718"/>
      <c r="L422" s="719"/>
      <c r="M422" s="648"/>
      <c r="N422" s="648"/>
      <c r="O422" s="648"/>
      <c r="P422" s="648"/>
      <c r="Q422" s="648"/>
      <c r="R422" s="647"/>
      <c r="S422" s="647"/>
      <c r="T422" s="647"/>
      <c r="U422" s="647"/>
      <c r="V422" s="647"/>
      <c r="W422" s="647"/>
      <c r="X422" s="647"/>
      <c r="Y422" s="647"/>
      <c r="Z422" s="647"/>
      <c r="AA422" s="647"/>
      <c r="AB422" s="647"/>
      <c r="AC422" s="647"/>
      <c r="AD422" s="647"/>
      <c r="AE422" s="647"/>
      <c r="AF422" s="647"/>
      <c r="AG422" s="647"/>
      <c r="AH422" s="647"/>
      <c r="AI422" s="647"/>
      <c r="AJ422" s="647"/>
      <c r="AK422" s="647"/>
      <c r="AL422" s="647"/>
      <c r="AM422" s="647"/>
    </row>
    <row r="423" spans="1:39" ht="14.1" customHeight="1">
      <c r="A423" s="790"/>
      <c r="B423" s="791"/>
      <c r="C423" s="791"/>
      <c r="D423" s="791"/>
      <c r="E423" s="791"/>
      <c r="F423" s="792"/>
      <c r="G423" s="648"/>
      <c r="H423" s="648"/>
      <c r="I423" s="648"/>
      <c r="J423" s="714">
        <f t="shared" si="23"/>
        <v>45777</v>
      </c>
      <c r="K423" s="715"/>
      <c r="L423" s="716"/>
      <c r="M423" s="648"/>
      <c r="N423" s="648"/>
      <c r="O423" s="648"/>
      <c r="P423" s="648"/>
      <c r="Q423" s="648"/>
      <c r="R423" s="647"/>
      <c r="S423" s="647"/>
      <c r="T423" s="647"/>
      <c r="U423" s="647"/>
      <c r="V423" s="647"/>
      <c r="W423" s="647"/>
      <c r="X423" s="647"/>
      <c r="Y423" s="647"/>
      <c r="Z423" s="647"/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</row>
    <row r="424" spans="1:39" ht="14.1" customHeight="1">
      <c r="A424" s="784" t="s">
        <v>1327</v>
      </c>
      <c r="B424" s="785"/>
      <c r="C424" s="785"/>
      <c r="D424" s="785"/>
      <c r="E424" s="785"/>
      <c r="F424" s="786"/>
      <c r="G424" s="648" t="s">
        <v>730</v>
      </c>
      <c r="H424" s="648"/>
      <c r="I424" s="673"/>
      <c r="J424" s="655">
        <f>'Date masura OD'!$I$5</f>
        <v>45778</v>
      </c>
      <c r="K424" s="656"/>
      <c r="L424" s="657"/>
      <c r="M424" s="720" t="s">
        <v>446</v>
      </c>
      <c r="N424" s="648"/>
      <c r="O424" s="648">
        <f>O421</f>
        <v>1</v>
      </c>
      <c r="P424" s="648"/>
      <c r="Q424" s="648"/>
      <c r="R424" s="647" t="str">
        <f>U415</f>
        <v>0 (estimat)</v>
      </c>
      <c r="S424" s="647"/>
      <c r="T424" s="647"/>
      <c r="U424" s="647" t="str">
        <f>VLOOKUP(A424,'Incrementare indexe'!$D:$M,4,FALSE)&amp;" (estimat)"</f>
        <v>0 (estimat)</v>
      </c>
      <c r="V424" s="647"/>
      <c r="W424" s="647"/>
      <c r="X424" s="647" t="str">
        <f>VLOOKUP(A424,'Incrementare indexe'!$D:$Q,11,FALSE)&amp;" (estimat)"</f>
        <v>0 (estimat)</v>
      </c>
      <c r="Y424" s="647"/>
      <c r="Z424" s="647"/>
      <c r="AA424" s="647" t="s">
        <v>69</v>
      </c>
      <c r="AB424" s="647"/>
      <c r="AC424" s="647"/>
      <c r="AD424" s="647" t="s">
        <v>69</v>
      </c>
      <c r="AE424" s="647"/>
      <c r="AF424" s="647">
        <f>VLOOKUP(A424,'Incrementare indexe'!$D:$Q,11,FALSE)</f>
        <v>0</v>
      </c>
      <c r="AG424" s="647"/>
      <c r="AH424" s="647"/>
      <c r="AI424" s="647">
        <f>J426-J424+1</f>
        <v>31</v>
      </c>
      <c r="AJ424" s="647"/>
      <c r="AK424" s="647">
        <f>ROUND(AF424/AI424,2)</f>
        <v>0</v>
      </c>
      <c r="AL424" s="647"/>
      <c r="AM424" s="647"/>
    </row>
    <row r="425" spans="1:39" ht="8.4499999999999993" customHeight="1">
      <c r="A425" s="787"/>
      <c r="B425" s="788"/>
      <c r="C425" s="788"/>
      <c r="D425" s="788"/>
      <c r="E425" s="788"/>
      <c r="F425" s="789"/>
      <c r="G425" s="648"/>
      <c r="H425" s="648"/>
      <c r="I425" s="673"/>
      <c r="J425" s="717" t="s">
        <v>69</v>
      </c>
      <c r="K425" s="718"/>
      <c r="L425" s="719"/>
      <c r="M425" s="720"/>
      <c r="N425" s="648"/>
      <c r="O425" s="648"/>
      <c r="P425" s="648"/>
      <c r="Q425" s="648"/>
      <c r="R425" s="647"/>
      <c r="S425" s="647"/>
      <c r="T425" s="647"/>
      <c r="U425" s="647"/>
      <c r="V425" s="647"/>
      <c r="W425" s="647"/>
      <c r="X425" s="647"/>
      <c r="Y425" s="647"/>
      <c r="Z425" s="647"/>
      <c r="AA425" s="647"/>
      <c r="AB425" s="647"/>
      <c r="AC425" s="647"/>
      <c r="AD425" s="647"/>
      <c r="AE425" s="647"/>
      <c r="AF425" s="647"/>
      <c r="AG425" s="647"/>
      <c r="AH425" s="647"/>
      <c r="AI425" s="647"/>
      <c r="AJ425" s="647"/>
      <c r="AK425" s="647"/>
      <c r="AL425" s="647"/>
      <c r="AM425" s="647"/>
    </row>
    <row r="426" spans="1:39" ht="14.1" customHeight="1">
      <c r="A426" s="790"/>
      <c r="B426" s="791"/>
      <c r="C426" s="791"/>
      <c r="D426" s="791"/>
      <c r="E426" s="791"/>
      <c r="F426" s="792"/>
      <c r="G426" s="648"/>
      <c r="H426" s="648"/>
      <c r="I426" s="673"/>
      <c r="J426" s="714">
        <f>'Date masura OD'!$J$5</f>
        <v>45808</v>
      </c>
      <c r="K426" s="715"/>
      <c r="L426" s="716"/>
      <c r="M426" s="720"/>
      <c r="N426" s="648"/>
      <c r="O426" s="648"/>
      <c r="P426" s="648"/>
      <c r="Q426" s="648"/>
      <c r="R426" s="647"/>
      <c r="S426" s="647"/>
      <c r="T426" s="647"/>
      <c r="U426" s="647"/>
      <c r="V426" s="647"/>
      <c r="W426" s="647"/>
      <c r="X426" s="647"/>
      <c r="Y426" s="647"/>
      <c r="Z426" s="647"/>
      <c r="AA426" s="647"/>
      <c r="AB426" s="647"/>
      <c r="AC426" s="647"/>
      <c r="AD426" s="647"/>
      <c r="AE426" s="647"/>
      <c r="AF426" s="647"/>
      <c r="AG426" s="647"/>
      <c r="AH426" s="647"/>
      <c r="AI426" s="647"/>
      <c r="AJ426" s="647"/>
      <c r="AK426" s="647"/>
      <c r="AL426" s="647"/>
      <c r="AM426" s="647"/>
    </row>
    <row r="427" spans="1:39" ht="14.1" customHeight="1">
      <c r="A427" s="784" t="s">
        <v>1327</v>
      </c>
      <c r="B427" s="785"/>
      <c r="C427" s="785"/>
      <c r="D427" s="785"/>
      <c r="E427" s="785"/>
      <c r="F427" s="786"/>
      <c r="G427" s="648" t="s">
        <v>696</v>
      </c>
      <c r="H427" s="648"/>
      <c r="I427" s="648"/>
      <c r="J427" s="655">
        <f t="shared" ref="J427:J432" si="24">J424</f>
        <v>45778</v>
      </c>
      <c r="K427" s="656"/>
      <c r="L427" s="657"/>
      <c r="M427" s="648" t="s">
        <v>720</v>
      </c>
      <c r="N427" s="648"/>
      <c r="O427" s="648">
        <f>O424</f>
        <v>1</v>
      </c>
      <c r="P427" s="648"/>
      <c r="Q427" s="648"/>
      <c r="R427" s="647" t="str">
        <f>U418</f>
        <v>0 (estimat)</v>
      </c>
      <c r="S427" s="647"/>
      <c r="T427" s="647"/>
      <c r="U427" s="647" t="str">
        <f>VLOOKUP(A427,'Incrementare indexe'!$D:$M,8,FALSE)&amp;" (estimat)"</f>
        <v>0 (estimat)</v>
      </c>
      <c r="V427" s="647"/>
      <c r="W427" s="647"/>
      <c r="X427" s="647" t="str">
        <f>VLOOKUP(A427,'Incrementare indexe'!$D:$Q,12,FALSE)&amp;" (estimat)"</f>
        <v>0 (estimat)</v>
      </c>
      <c r="Y427" s="647"/>
      <c r="Z427" s="647"/>
      <c r="AA427" s="647" t="s">
        <v>69</v>
      </c>
      <c r="AB427" s="647"/>
      <c r="AC427" s="647"/>
      <c r="AD427" s="647" t="s">
        <v>69</v>
      </c>
      <c r="AE427" s="647"/>
      <c r="AF427" s="647">
        <f>VLOOKUP(A427,'Incrementare indexe'!$D:$Q,12,FALSE)</f>
        <v>0</v>
      </c>
      <c r="AG427" s="647"/>
      <c r="AH427" s="647"/>
      <c r="AI427" s="647">
        <f>AI424</f>
        <v>31</v>
      </c>
      <c r="AJ427" s="647"/>
      <c r="AK427" s="647">
        <f>ROUND(AF427/AI427,2)</f>
        <v>0</v>
      </c>
      <c r="AL427" s="647"/>
      <c r="AM427" s="647"/>
    </row>
    <row r="428" spans="1:39" ht="8.4499999999999993" customHeight="1">
      <c r="A428" s="787"/>
      <c r="B428" s="788"/>
      <c r="C428" s="788"/>
      <c r="D428" s="788"/>
      <c r="E428" s="788"/>
      <c r="F428" s="789"/>
      <c r="G428" s="648"/>
      <c r="H428" s="648"/>
      <c r="I428" s="648"/>
      <c r="J428" s="717" t="str">
        <f t="shared" si="24"/>
        <v>-</v>
      </c>
      <c r="K428" s="718"/>
      <c r="L428" s="719"/>
      <c r="M428" s="648"/>
      <c r="N428" s="648"/>
      <c r="O428" s="648"/>
      <c r="P428" s="648"/>
      <c r="Q428" s="648"/>
      <c r="R428" s="647"/>
      <c r="S428" s="647"/>
      <c r="T428" s="647"/>
      <c r="U428" s="647"/>
      <c r="V428" s="647"/>
      <c r="W428" s="647"/>
      <c r="X428" s="647"/>
      <c r="Y428" s="647"/>
      <c r="Z428" s="647"/>
      <c r="AA428" s="647"/>
      <c r="AB428" s="647"/>
      <c r="AC428" s="647"/>
      <c r="AD428" s="647"/>
      <c r="AE428" s="647"/>
      <c r="AF428" s="647"/>
      <c r="AG428" s="647"/>
      <c r="AH428" s="647"/>
      <c r="AI428" s="647"/>
      <c r="AJ428" s="647"/>
      <c r="AK428" s="647"/>
      <c r="AL428" s="647"/>
      <c r="AM428" s="647"/>
    </row>
    <row r="429" spans="1:39" ht="14.1" customHeight="1">
      <c r="A429" s="790"/>
      <c r="B429" s="791"/>
      <c r="C429" s="791"/>
      <c r="D429" s="791"/>
      <c r="E429" s="791"/>
      <c r="F429" s="792"/>
      <c r="G429" s="648"/>
      <c r="H429" s="648"/>
      <c r="I429" s="648"/>
      <c r="J429" s="714">
        <f t="shared" si="24"/>
        <v>45808</v>
      </c>
      <c r="K429" s="715"/>
      <c r="L429" s="716"/>
      <c r="M429" s="648"/>
      <c r="N429" s="648"/>
      <c r="O429" s="648"/>
      <c r="P429" s="648"/>
      <c r="Q429" s="648"/>
      <c r="R429" s="647"/>
      <c r="S429" s="647"/>
      <c r="T429" s="647"/>
      <c r="U429" s="647"/>
      <c r="V429" s="647"/>
      <c r="W429" s="647"/>
      <c r="X429" s="647"/>
      <c r="Y429" s="647"/>
      <c r="Z429" s="647"/>
      <c r="AA429" s="647"/>
      <c r="AB429" s="647"/>
      <c r="AC429" s="647"/>
      <c r="AD429" s="647"/>
      <c r="AE429" s="647"/>
      <c r="AF429" s="647"/>
      <c r="AG429" s="647"/>
      <c r="AH429" s="647"/>
      <c r="AI429" s="647"/>
      <c r="AJ429" s="647"/>
      <c r="AK429" s="647"/>
      <c r="AL429" s="647"/>
      <c r="AM429" s="647"/>
    </row>
    <row r="430" spans="1:39" ht="14.1" customHeight="1">
      <c r="A430" s="784" t="s">
        <v>1327</v>
      </c>
      <c r="B430" s="785"/>
      <c r="C430" s="785"/>
      <c r="D430" s="785"/>
      <c r="E430" s="785"/>
      <c r="F430" s="786"/>
      <c r="G430" s="648" t="s">
        <v>731</v>
      </c>
      <c r="H430" s="648"/>
      <c r="I430" s="648"/>
      <c r="J430" s="655">
        <f t="shared" si="24"/>
        <v>45778</v>
      </c>
      <c r="K430" s="656"/>
      <c r="L430" s="657"/>
      <c r="M430" s="648" t="s">
        <v>720</v>
      </c>
      <c r="N430" s="648"/>
      <c r="O430" s="648">
        <f>O427</f>
        <v>1</v>
      </c>
      <c r="P430" s="648"/>
      <c r="Q430" s="648"/>
      <c r="R430" s="647" t="str">
        <f>U421</f>
        <v>0 (estimat)</v>
      </c>
      <c r="S430" s="647"/>
      <c r="T430" s="647"/>
      <c r="U430" s="647" t="str">
        <f>VLOOKUP(A430,'Incrementare indexe'!$D:$M,10,FALSE)&amp;" (estimat)"</f>
        <v>0 (estimat)</v>
      </c>
      <c r="V430" s="647"/>
      <c r="W430" s="647"/>
      <c r="X430" s="647" t="str">
        <f>VLOOKUP(A430,'Incrementare indexe'!$D:$Q,13,FALSE)&amp;" (estimat)"</f>
        <v>0 (estimat)</v>
      </c>
      <c r="Y430" s="647"/>
      <c r="Z430" s="647"/>
      <c r="AA430" s="647" t="s">
        <v>69</v>
      </c>
      <c r="AB430" s="647"/>
      <c r="AC430" s="647"/>
      <c r="AD430" s="647" t="s">
        <v>69</v>
      </c>
      <c r="AE430" s="647"/>
      <c r="AF430" s="647">
        <f>VLOOKUP(A430,'Incrementare indexe'!$D:$Q,13,FALSE)</f>
        <v>0</v>
      </c>
      <c r="AG430" s="647"/>
      <c r="AH430" s="647"/>
      <c r="AI430" s="647">
        <f>AI427</f>
        <v>31</v>
      </c>
      <c r="AJ430" s="647"/>
      <c r="AK430" s="647">
        <f>ROUND(AF430/AI430,2)</f>
        <v>0</v>
      </c>
      <c r="AL430" s="647"/>
      <c r="AM430" s="647"/>
    </row>
    <row r="431" spans="1:39" ht="8.4499999999999993" customHeight="1">
      <c r="A431" s="787"/>
      <c r="B431" s="788"/>
      <c r="C431" s="788"/>
      <c r="D431" s="788"/>
      <c r="E431" s="788"/>
      <c r="F431" s="789"/>
      <c r="G431" s="648"/>
      <c r="H431" s="648"/>
      <c r="I431" s="648"/>
      <c r="J431" s="717" t="str">
        <f t="shared" si="24"/>
        <v>-</v>
      </c>
      <c r="K431" s="718"/>
      <c r="L431" s="719"/>
      <c r="M431" s="648"/>
      <c r="N431" s="648"/>
      <c r="O431" s="648"/>
      <c r="P431" s="648"/>
      <c r="Q431" s="648"/>
      <c r="R431" s="647"/>
      <c r="S431" s="647"/>
      <c r="T431" s="647"/>
      <c r="U431" s="647"/>
      <c r="V431" s="647"/>
      <c r="W431" s="647"/>
      <c r="X431" s="647"/>
      <c r="Y431" s="647"/>
      <c r="Z431" s="647"/>
      <c r="AA431" s="647"/>
      <c r="AB431" s="647"/>
      <c r="AC431" s="647"/>
      <c r="AD431" s="647"/>
      <c r="AE431" s="647"/>
      <c r="AF431" s="647"/>
      <c r="AG431" s="647"/>
      <c r="AH431" s="647"/>
      <c r="AI431" s="647"/>
      <c r="AJ431" s="647"/>
      <c r="AK431" s="647"/>
      <c r="AL431" s="647"/>
      <c r="AM431" s="647"/>
    </row>
    <row r="432" spans="1:39" ht="14.1" customHeight="1">
      <c r="A432" s="790"/>
      <c r="B432" s="791"/>
      <c r="C432" s="791"/>
      <c r="D432" s="791"/>
      <c r="E432" s="791"/>
      <c r="F432" s="792"/>
      <c r="G432" s="648"/>
      <c r="H432" s="648"/>
      <c r="I432" s="648"/>
      <c r="J432" s="714">
        <f t="shared" si="24"/>
        <v>45808</v>
      </c>
      <c r="K432" s="715"/>
      <c r="L432" s="716"/>
      <c r="M432" s="648"/>
      <c r="N432" s="648"/>
      <c r="O432" s="648"/>
      <c r="P432" s="648"/>
      <c r="Q432" s="648"/>
      <c r="R432" s="647"/>
      <c r="S432" s="647"/>
      <c r="T432" s="647"/>
      <c r="U432" s="647"/>
      <c r="V432" s="647"/>
      <c r="W432" s="647"/>
      <c r="X432" s="647"/>
      <c r="Y432" s="647"/>
      <c r="Z432" s="647"/>
      <c r="AA432" s="647"/>
      <c r="AB432" s="647"/>
      <c r="AC432" s="647"/>
      <c r="AD432" s="647"/>
      <c r="AE432" s="647"/>
      <c r="AF432" s="647"/>
      <c r="AG432" s="647"/>
      <c r="AH432" s="647"/>
      <c r="AI432" s="647"/>
      <c r="AJ432" s="647"/>
      <c r="AK432" s="647"/>
      <c r="AL432" s="647"/>
      <c r="AM432" s="647"/>
    </row>
    <row r="433" ht="14.1" customHeight="1"/>
    <row r="434" ht="14.1" customHeight="1"/>
    <row r="435" ht="14.1" customHeight="1"/>
    <row r="436" ht="14.1" customHeight="1"/>
    <row r="437" ht="14.1" customHeight="1"/>
    <row r="438" ht="14.1" customHeight="1"/>
    <row r="439" ht="14.1" customHeight="1"/>
    <row r="440" ht="14.1" customHeight="1"/>
    <row r="441" ht="14.1" customHeight="1"/>
    <row r="442" ht="14.1" customHeight="1"/>
    <row r="443" ht="14.1" customHeight="1"/>
    <row r="444" ht="14.1" customHeight="1"/>
    <row r="445" ht="14.1" customHeight="1"/>
    <row r="446" ht="14.1" customHeight="1"/>
    <row r="447" ht="14.1" customHeight="1"/>
    <row r="448" ht="14.1" customHeight="1"/>
    <row r="449" spans="1:39" ht="14.1" customHeight="1"/>
    <row r="450" spans="1:39" ht="14.1" customHeight="1"/>
    <row r="451" spans="1:39" ht="14.1" customHeight="1"/>
    <row r="452" spans="1:39" ht="14.1" customHeight="1"/>
    <row r="453" spans="1:39">
      <c r="A453" s="649" t="s">
        <v>748</v>
      </c>
      <c r="B453" s="649"/>
      <c r="C453" s="649"/>
      <c r="D453" s="649"/>
      <c r="E453" s="649"/>
      <c r="F453" s="649"/>
      <c r="G453" s="649"/>
      <c r="H453" s="649"/>
      <c r="I453" s="649"/>
      <c r="J453" s="649"/>
      <c r="K453" s="649"/>
      <c r="L453" s="649"/>
      <c r="M453" s="650" t="str">
        <f>VLOOKUP(AI454,'Contorizare in SDI'!$E:$I,4,FALSE)</f>
        <v>594020200002317122/10</v>
      </c>
      <c r="N453" s="650"/>
      <c r="O453" s="650"/>
      <c r="P453" s="650"/>
      <c r="Q453" s="650"/>
      <c r="R453" s="650"/>
      <c r="S453" s="650"/>
      <c r="T453" s="650"/>
      <c r="U453" s="650"/>
      <c r="V453" s="650"/>
      <c r="W453" s="650"/>
      <c r="X453" s="650"/>
      <c r="Y453" s="650"/>
      <c r="Z453" s="650"/>
      <c r="AA453" s="650"/>
      <c r="AB453" s="650"/>
      <c r="AC453" s="650"/>
      <c r="AD453" s="650"/>
      <c r="AE453" s="650"/>
      <c r="AF453" s="650"/>
      <c r="AG453" s="650"/>
      <c r="AH453" s="650"/>
      <c r="AI453" s="650" t="s">
        <v>695</v>
      </c>
      <c r="AJ453" s="650"/>
      <c r="AK453" s="650"/>
      <c r="AL453" s="650"/>
      <c r="AM453" s="650"/>
    </row>
    <row r="454" spans="1:39">
      <c r="A454" s="649" t="s">
        <v>746</v>
      </c>
      <c r="B454" s="649"/>
      <c r="C454" s="649"/>
      <c r="D454" s="649"/>
      <c r="E454" s="649"/>
      <c r="F454" s="649"/>
      <c r="G454" s="649"/>
      <c r="H454" s="649"/>
      <c r="I454" s="649"/>
      <c r="J454" s="649"/>
      <c r="K454" s="649"/>
      <c r="L454" s="649"/>
      <c r="M454" s="650" t="str">
        <f>VLOOKUP(AI454,'Inchidere contur'!$G:$U,15,FALSE)</f>
        <v>JT_SDI</v>
      </c>
      <c r="N454" s="650"/>
      <c r="O454" s="650"/>
      <c r="P454" s="650"/>
      <c r="Q454" s="650"/>
      <c r="R454" s="650"/>
      <c r="S454" s="650"/>
      <c r="T454" s="650"/>
      <c r="U454" s="650"/>
      <c r="V454" s="650"/>
      <c r="W454" s="650"/>
      <c r="X454" s="650"/>
      <c r="Y454" s="650"/>
      <c r="Z454" s="650"/>
      <c r="AA454" s="650"/>
      <c r="AB454" s="650"/>
      <c r="AC454" s="650"/>
      <c r="AD454" s="650"/>
      <c r="AE454" s="650"/>
      <c r="AF454" s="650"/>
      <c r="AG454" s="650"/>
      <c r="AH454" s="650"/>
      <c r="AI454" s="619" t="str">
        <f>_xlfn.CONCAT(AA295,".",4)</f>
        <v>RFSC_2.4</v>
      </c>
      <c r="AJ454" s="619"/>
      <c r="AK454" s="619"/>
      <c r="AL454" s="619"/>
      <c r="AM454" s="619"/>
    </row>
    <row r="455" spans="1:39">
      <c r="A455" s="649" t="s">
        <v>747</v>
      </c>
      <c r="B455" s="649"/>
      <c r="C455" s="649"/>
      <c r="D455" s="649"/>
      <c r="E455" s="649"/>
      <c r="F455" s="649"/>
      <c r="G455" s="649"/>
      <c r="H455" s="649"/>
      <c r="I455" s="649"/>
      <c r="J455" s="649"/>
      <c r="K455" s="649"/>
      <c r="L455" s="649"/>
      <c r="M455" s="650" t="str">
        <f>IF(LEFT(M454,2)="JT","0.4kV",IF(LEFT(M454,2)="MT","20kV","-"))</f>
        <v>0.4kV</v>
      </c>
      <c r="N455" s="650"/>
      <c r="O455" s="650"/>
      <c r="P455" s="650"/>
      <c r="Q455" s="650"/>
      <c r="R455" s="650"/>
      <c r="S455" s="650"/>
      <c r="T455" s="650"/>
      <c r="U455" s="650"/>
      <c r="V455" s="650"/>
      <c r="W455" s="650"/>
      <c r="X455" s="650"/>
      <c r="Y455" s="650"/>
      <c r="Z455" s="650"/>
      <c r="AA455" s="650"/>
      <c r="AB455" s="650"/>
      <c r="AC455" s="650"/>
      <c r="AD455" s="650"/>
      <c r="AE455" s="650"/>
      <c r="AF455" s="650"/>
      <c r="AG455" s="650"/>
      <c r="AH455" s="650"/>
      <c r="AI455" s="619"/>
      <c r="AJ455" s="619"/>
      <c r="AK455" s="619"/>
      <c r="AL455" s="619"/>
      <c r="AM455" s="619"/>
    </row>
    <row r="456" spans="1:39" ht="15.95" customHeight="1">
      <c r="A456" s="648" t="s">
        <v>697</v>
      </c>
      <c r="B456" s="648"/>
      <c r="C456" s="648"/>
      <c r="D456" s="648"/>
      <c r="E456" s="648"/>
      <c r="F456" s="648"/>
      <c r="G456" s="647" t="s">
        <v>713</v>
      </c>
      <c r="H456" s="647"/>
      <c r="I456" s="647"/>
      <c r="J456" s="647" t="s">
        <v>714</v>
      </c>
      <c r="K456" s="647"/>
      <c r="L456" s="647"/>
      <c r="M456" s="648" t="s">
        <v>519</v>
      </c>
      <c r="N456" s="648"/>
      <c r="O456" s="648" t="s">
        <v>715</v>
      </c>
      <c r="P456" s="648"/>
      <c r="Q456" s="648"/>
      <c r="R456" s="647" t="s">
        <v>732</v>
      </c>
      <c r="S456" s="647"/>
      <c r="T456" s="647"/>
      <c r="U456" s="647" t="s">
        <v>734</v>
      </c>
      <c r="V456" s="647"/>
      <c r="W456" s="647"/>
      <c r="X456" s="647" t="s">
        <v>1085</v>
      </c>
      <c r="Y456" s="647"/>
      <c r="Z456" s="647"/>
      <c r="AA456" s="647" t="s">
        <v>1086</v>
      </c>
      <c r="AB456" s="647"/>
      <c r="AC456" s="647"/>
      <c r="AD456" s="647" t="s">
        <v>717</v>
      </c>
      <c r="AE456" s="647"/>
      <c r="AF456" s="647" t="s">
        <v>718</v>
      </c>
      <c r="AG456" s="647"/>
      <c r="AH456" s="647"/>
      <c r="AI456" s="647" t="s">
        <v>719</v>
      </c>
      <c r="AJ456" s="647"/>
      <c r="AK456" s="647" t="s">
        <v>733</v>
      </c>
      <c r="AL456" s="647"/>
      <c r="AM456" s="647"/>
    </row>
    <row r="457" spans="1:39">
      <c r="A457" s="648"/>
      <c r="B457" s="648"/>
      <c r="C457" s="648"/>
      <c r="D457" s="648"/>
      <c r="E457" s="648"/>
      <c r="F457" s="648"/>
      <c r="G457" s="647"/>
      <c r="H457" s="647"/>
      <c r="I457" s="647"/>
      <c r="J457" s="647"/>
      <c r="K457" s="647"/>
      <c r="L457" s="647"/>
      <c r="M457" s="648"/>
      <c r="N457" s="648"/>
      <c r="O457" s="648"/>
      <c r="P457" s="648"/>
      <c r="Q457" s="648"/>
      <c r="R457" s="647"/>
      <c r="S457" s="647"/>
      <c r="T457" s="647"/>
      <c r="U457" s="647"/>
      <c r="V457" s="647"/>
      <c r="W457" s="647"/>
      <c r="X457" s="647"/>
      <c r="Y457" s="647"/>
      <c r="Z457" s="647"/>
      <c r="AA457" s="647"/>
      <c r="AB457" s="647"/>
      <c r="AC457" s="647"/>
      <c r="AD457" s="647"/>
      <c r="AE457" s="647"/>
      <c r="AF457" s="647"/>
      <c r="AG457" s="647"/>
      <c r="AH457" s="647"/>
      <c r="AI457" s="647"/>
      <c r="AJ457" s="647"/>
      <c r="AK457" s="647"/>
      <c r="AL457" s="647"/>
      <c r="AM457" s="647"/>
    </row>
    <row r="458" spans="1:39">
      <c r="A458" s="648"/>
      <c r="B458" s="648"/>
      <c r="C458" s="648"/>
      <c r="D458" s="648"/>
      <c r="E458" s="648"/>
      <c r="F458" s="648"/>
      <c r="G458" s="647"/>
      <c r="H458" s="647"/>
      <c r="I458" s="647"/>
      <c r="J458" s="713"/>
      <c r="K458" s="713"/>
      <c r="L458" s="713"/>
      <c r="M458" s="648"/>
      <c r="N458" s="648"/>
      <c r="O458" s="648"/>
      <c r="P458" s="648"/>
      <c r="Q458" s="648"/>
      <c r="R458" s="647"/>
      <c r="S458" s="647"/>
      <c r="T458" s="647"/>
      <c r="U458" s="647"/>
      <c r="V458" s="647"/>
      <c r="W458" s="647"/>
      <c r="X458" s="647"/>
      <c r="Y458" s="647"/>
      <c r="Z458" s="647"/>
      <c r="AA458" s="647"/>
      <c r="AB458" s="647"/>
      <c r="AC458" s="647"/>
      <c r="AD458" s="647"/>
      <c r="AE458" s="647"/>
      <c r="AF458" s="647"/>
      <c r="AG458" s="647"/>
      <c r="AH458" s="647"/>
      <c r="AI458" s="647"/>
      <c r="AJ458" s="647"/>
      <c r="AK458" s="647"/>
      <c r="AL458" s="647"/>
      <c r="AM458" s="647"/>
    </row>
    <row r="459" spans="1:39" ht="14.1" customHeight="1">
      <c r="A459" s="678" t="s">
        <v>1096</v>
      </c>
      <c r="B459" s="679"/>
      <c r="C459" s="679"/>
      <c r="D459" s="679"/>
      <c r="E459" s="679"/>
      <c r="F459" s="680"/>
      <c r="G459" s="648" t="s">
        <v>730</v>
      </c>
      <c r="H459" s="648"/>
      <c r="I459" s="673"/>
      <c r="J459" s="655">
        <f>'Date masura OD'!$AK$5</f>
        <v>45748</v>
      </c>
      <c r="K459" s="656"/>
      <c r="L459" s="657"/>
      <c r="M459" s="720" t="s">
        <v>446</v>
      </c>
      <c r="N459" s="648"/>
      <c r="O459" s="648">
        <f>VLOOKUP(AI454,'Incrementare indexe'!$B:$T,4,FALSE)</f>
        <v>1</v>
      </c>
      <c r="P459" s="648"/>
      <c r="Q459" s="648"/>
      <c r="R459" s="647" t="str">
        <f>VLOOKUP(A459,Regularizare!$D:$YN,3,FALSE)&amp;" ("&amp;VLOOKUP(A459,Regularizare!$D:$Y,11,FALSE)&amp;")"</f>
        <v>0 (citit)</v>
      </c>
      <c r="S459" s="647"/>
      <c r="T459" s="647"/>
      <c r="U459" s="647" t="str">
        <f>VLOOKUP(A459,Regularizare!$D:$U,4,FALSE)&amp;" ("&amp;VLOOKUP(A459,Regularizare!$D:$U,12,FALSE)&amp;")"</f>
        <v>0 (estimat)</v>
      </c>
      <c r="V459" s="647"/>
      <c r="W459" s="647"/>
      <c r="X459" s="647" t="str">
        <f>VLOOKUP(A459,Regularizare!$D:$Y,19,FALSE)&amp;" ("&amp;VLOOKUP(A459,Regularizare!$D:$U,12,FALSE)&amp;")"</f>
        <v>0 (estimat)</v>
      </c>
      <c r="Y459" s="647"/>
      <c r="Z459" s="647"/>
      <c r="AA459" s="647">
        <f>(-1)*VLOOKUP(A459,Regularizare!$D:$Y,19,FALSE)</f>
        <v>0</v>
      </c>
      <c r="AB459" s="647"/>
      <c r="AC459" s="647"/>
      <c r="AD459" s="647" t="s">
        <v>69</v>
      </c>
      <c r="AE459" s="647"/>
      <c r="AF459" s="647">
        <f>AA459</f>
        <v>0</v>
      </c>
      <c r="AG459" s="647"/>
      <c r="AH459" s="647"/>
      <c r="AI459" s="647" t="s">
        <v>69</v>
      </c>
      <c r="AJ459" s="647"/>
      <c r="AK459" s="647" t="s">
        <v>69</v>
      </c>
      <c r="AL459" s="647"/>
      <c r="AM459" s="647"/>
    </row>
    <row r="460" spans="1:39" ht="9.75" customHeight="1">
      <c r="A460" s="717"/>
      <c r="B460" s="718"/>
      <c r="C460" s="718"/>
      <c r="D460" s="718"/>
      <c r="E460" s="718"/>
      <c r="F460" s="719"/>
      <c r="G460" s="648"/>
      <c r="H460" s="648"/>
      <c r="I460" s="673"/>
      <c r="J460" s="717" t="s">
        <v>69</v>
      </c>
      <c r="K460" s="718"/>
      <c r="L460" s="719"/>
      <c r="M460" s="720"/>
      <c r="N460" s="648"/>
      <c r="O460" s="648"/>
      <c r="P460" s="648"/>
      <c r="Q460" s="648"/>
      <c r="R460" s="647"/>
      <c r="S460" s="647"/>
      <c r="T460" s="647"/>
      <c r="U460" s="647"/>
      <c r="V460" s="647"/>
      <c r="W460" s="647"/>
      <c r="X460" s="647"/>
      <c r="Y460" s="647"/>
      <c r="Z460" s="647"/>
      <c r="AA460" s="647"/>
      <c r="AB460" s="647"/>
      <c r="AC460" s="647"/>
      <c r="AD460" s="647"/>
      <c r="AE460" s="647"/>
      <c r="AF460" s="647"/>
      <c r="AG460" s="647"/>
      <c r="AH460" s="647"/>
      <c r="AI460" s="647"/>
      <c r="AJ460" s="647"/>
      <c r="AK460" s="647"/>
      <c r="AL460" s="647"/>
      <c r="AM460" s="647"/>
    </row>
    <row r="461" spans="1:39" ht="14.1" customHeight="1">
      <c r="A461" s="681"/>
      <c r="B461" s="682"/>
      <c r="C461" s="682"/>
      <c r="D461" s="682"/>
      <c r="E461" s="682"/>
      <c r="F461" s="683"/>
      <c r="G461" s="648"/>
      <c r="H461" s="648"/>
      <c r="I461" s="673"/>
      <c r="J461" s="714">
        <f>'Date masura OD'!$AL$5</f>
        <v>45777</v>
      </c>
      <c r="K461" s="715"/>
      <c r="L461" s="716"/>
      <c r="M461" s="720"/>
      <c r="N461" s="648"/>
      <c r="O461" s="648"/>
      <c r="P461" s="648"/>
      <c r="Q461" s="648"/>
      <c r="R461" s="647"/>
      <c r="S461" s="647"/>
      <c r="T461" s="647"/>
      <c r="U461" s="647"/>
      <c r="V461" s="647"/>
      <c r="W461" s="647"/>
      <c r="X461" s="647"/>
      <c r="Y461" s="647"/>
      <c r="Z461" s="647"/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</row>
    <row r="462" spans="1:39" ht="14.1" customHeight="1">
      <c r="A462" s="678" t="s">
        <v>1096</v>
      </c>
      <c r="B462" s="679"/>
      <c r="C462" s="679"/>
      <c r="D462" s="679"/>
      <c r="E462" s="679"/>
      <c r="F462" s="680"/>
      <c r="G462" s="648" t="s">
        <v>696</v>
      </c>
      <c r="H462" s="648"/>
      <c r="I462" s="648"/>
      <c r="J462" s="655">
        <f t="shared" ref="J462:J467" si="25">J459</f>
        <v>45748</v>
      </c>
      <c r="K462" s="656"/>
      <c r="L462" s="657"/>
      <c r="M462" s="648" t="s">
        <v>720</v>
      </c>
      <c r="N462" s="648"/>
      <c r="O462" s="648">
        <f>O459</f>
        <v>1</v>
      </c>
      <c r="P462" s="648"/>
      <c r="Q462" s="648"/>
      <c r="R462" s="647" t="str">
        <f>VLOOKUP(A462,Regularizare!$D:$U,7,FALSE)&amp;" ("&amp;VLOOKUP(A462,Regularizare!$D:$U,15,FALSE)&amp;")"</f>
        <v>0 (citit)</v>
      </c>
      <c r="S462" s="647"/>
      <c r="T462" s="647"/>
      <c r="U462" s="647" t="str">
        <f>VLOOKUP(A462,Regularizare!$D:$U,8,FALSE)&amp;" ("&amp;VLOOKUP(A462,Regularizare!$D:$U,16,FALSE)&amp;")"</f>
        <v>0 (estimat)</v>
      </c>
      <c r="V462" s="647"/>
      <c r="W462" s="647"/>
      <c r="X462" s="647" t="str">
        <f>_xlfn.CONCAT(VLOOKUP(A462,Regularizare!$D:$U,8,FALSE)-VLOOKUP(A462,Regularizare!$D:$U,7,FALSE)," (",VLOOKUP(A462,Regularizare!$D:$U,16,FALSE),")")</f>
        <v>0 (estimat)</v>
      </c>
      <c r="Y462" s="647"/>
      <c r="Z462" s="647"/>
      <c r="AA462" s="647">
        <f>IF(VLOOKUP(A462,Regularizare!$D:$Y,21,FALSE)=0,VLOOKUP(A462,Regularizare!$D:$Y,21,FALSE),(-1)*VLOOKUP(A462,Regularizare!$D:$Y,21,FALSE))</f>
        <v>0</v>
      </c>
      <c r="AB462" s="647"/>
      <c r="AC462" s="647"/>
      <c r="AD462" s="647" t="s">
        <v>69</v>
      </c>
      <c r="AE462" s="647"/>
      <c r="AF462" s="647">
        <f>AA462</f>
        <v>0</v>
      </c>
      <c r="AG462" s="647"/>
      <c r="AH462" s="647"/>
      <c r="AI462" s="647" t="str">
        <f>AI459</f>
        <v>-</v>
      </c>
      <c r="AJ462" s="647"/>
      <c r="AK462" s="647" t="str">
        <f>AK459</f>
        <v>-</v>
      </c>
      <c r="AL462" s="647"/>
      <c r="AM462" s="647"/>
    </row>
    <row r="463" spans="1:39" ht="8.4499999999999993" customHeight="1">
      <c r="A463" s="717"/>
      <c r="B463" s="718"/>
      <c r="C463" s="718"/>
      <c r="D463" s="718"/>
      <c r="E463" s="718"/>
      <c r="F463" s="719"/>
      <c r="G463" s="648"/>
      <c r="H463" s="648"/>
      <c r="I463" s="648"/>
      <c r="J463" s="717" t="str">
        <f t="shared" si="25"/>
        <v>-</v>
      </c>
      <c r="K463" s="718"/>
      <c r="L463" s="719"/>
      <c r="M463" s="648"/>
      <c r="N463" s="648"/>
      <c r="O463" s="648"/>
      <c r="P463" s="648"/>
      <c r="Q463" s="648"/>
      <c r="R463" s="647"/>
      <c r="S463" s="647"/>
      <c r="T463" s="647"/>
      <c r="U463" s="647"/>
      <c r="V463" s="647"/>
      <c r="W463" s="647"/>
      <c r="X463" s="647"/>
      <c r="Y463" s="647"/>
      <c r="Z463" s="647"/>
      <c r="AA463" s="647"/>
      <c r="AB463" s="647"/>
      <c r="AC463" s="647"/>
      <c r="AD463" s="647"/>
      <c r="AE463" s="647"/>
      <c r="AF463" s="647"/>
      <c r="AG463" s="647"/>
      <c r="AH463" s="647"/>
      <c r="AI463" s="647"/>
      <c r="AJ463" s="647"/>
      <c r="AK463" s="647"/>
      <c r="AL463" s="647"/>
      <c r="AM463" s="647"/>
    </row>
    <row r="464" spans="1:39" ht="14.1" customHeight="1">
      <c r="A464" s="681"/>
      <c r="B464" s="682"/>
      <c r="C464" s="682"/>
      <c r="D464" s="682"/>
      <c r="E464" s="682"/>
      <c r="F464" s="683"/>
      <c r="G464" s="648"/>
      <c r="H464" s="648"/>
      <c r="I464" s="648"/>
      <c r="J464" s="714">
        <f t="shared" si="25"/>
        <v>45777</v>
      </c>
      <c r="K464" s="715"/>
      <c r="L464" s="716"/>
      <c r="M464" s="648"/>
      <c r="N464" s="648"/>
      <c r="O464" s="648"/>
      <c r="P464" s="648"/>
      <c r="Q464" s="648"/>
      <c r="R464" s="647"/>
      <c r="S464" s="647"/>
      <c r="T464" s="647"/>
      <c r="U464" s="647"/>
      <c r="V464" s="647"/>
      <c r="W464" s="647"/>
      <c r="X464" s="647"/>
      <c r="Y464" s="647"/>
      <c r="Z464" s="647"/>
      <c r="AA464" s="647"/>
      <c r="AB464" s="647"/>
      <c r="AC464" s="647"/>
      <c r="AD464" s="647"/>
      <c r="AE464" s="647"/>
      <c r="AF464" s="647"/>
      <c r="AG464" s="647"/>
      <c r="AH464" s="647"/>
      <c r="AI464" s="647"/>
      <c r="AJ464" s="647"/>
      <c r="AK464" s="647"/>
      <c r="AL464" s="647"/>
      <c r="AM464" s="647"/>
    </row>
    <row r="465" spans="1:39" ht="14.1" customHeight="1">
      <c r="A465" s="678" t="s">
        <v>1096</v>
      </c>
      <c r="B465" s="679"/>
      <c r="C465" s="679"/>
      <c r="D465" s="679"/>
      <c r="E465" s="679"/>
      <c r="F465" s="680"/>
      <c r="G465" s="648" t="s">
        <v>731</v>
      </c>
      <c r="H465" s="648"/>
      <c r="I465" s="648"/>
      <c r="J465" s="655">
        <f t="shared" si="25"/>
        <v>45748</v>
      </c>
      <c r="K465" s="656"/>
      <c r="L465" s="657"/>
      <c r="M465" s="648" t="s">
        <v>720</v>
      </c>
      <c r="N465" s="648"/>
      <c r="O465" s="648">
        <f>O462</f>
        <v>1</v>
      </c>
      <c r="P465" s="648"/>
      <c r="Q465" s="648"/>
      <c r="R465" s="647" t="str">
        <f>VLOOKUP(A465,Regularizare!$D:$U,9,FALSE)&amp;" ("&amp;VLOOKUP(A465,Regularizare!$D:$U,17,FALSE)&amp;")"</f>
        <v>0 (citit)</v>
      </c>
      <c r="S465" s="647"/>
      <c r="T465" s="647"/>
      <c r="U465" s="647" t="str">
        <f>VLOOKUP(A465,Regularizare!$D:$U,10,FALSE)&amp;" ("&amp;VLOOKUP(A465,Regularizare!$D:$U,18,FALSE)&amp;")"</f>
        <v>0 (estimat)</v>
      </c>
      <c r="V465" s="647"/>
      <c r="W465" s="647"/>
      <c r="X465" s="647" t="str">
        <f>_xlfn.CONCAT(VLOOKUP(A465,Regularizare!$D:$U,10,FALSE)-VLOOKUP(A465,Regularizare!$D:$U,9,FALSE)," (",VLOOKUP(A465,Regularizare!$D:$U,18,FALSE),")")</f>
        <v>0 (estimat)</v>
      </c>
      <c r="Y465" s="647"/>
      <c r="Z465" s="647"/>
      <c r="AA465" s="647">
        <f>IF(VLOOKUP(A465,Regularizare!$D:$Y,22,FALSE)=0,VLOOKUP(A465,Regularizare!$D:$Y,22,FALSE),(-1)*VLOOKUP(A465,Regularizare!$D:$Y,22,FALSE))</f>
        <v>0</v>
      </c>
      <c r="AB465" s="647"/>
      <c r="AC465" s="647"/>
      <c r="AD465" s="647" t="s">
        <v>69</v>
      </c>
      <c r="AE465" s="647"/>
      <c r="AF465" s="647">
        <f>AA465</f>
        <v>0</v>
      </c>
      <c r="AG465" s="647"/>
      <c r="AH465" s="647"/>
      <c r="AI465" s="647" t="str">
        <f>AI462</f>
        <v>-</v>
      </c>
      <c r="AJ465" s="647"/>
      <c r="AK465" s="647" t="str">
        <f>AK462</f>
        <v>-</v>
      </c>
      <c r="AL465" s="647"/>
      <c r="AM465" s="647"/>
    </row>
    <row r="466" spans="1:39" ht="8.4499999999999993" customHeight="1">
      <c r="A466" s="717"/>
      <c r="B466" s="718"/>
      <c r="C466" s="718"/>
      <c r="D466" s="718"/>
      <c r="E466" s="718"/>
      <c r="F466" s="719"/>
      <c r="G466" s="648"/>
      <c r="H466" s="648"/>
      <c r="I466" s="648"/>
      <c r="J466" s="717" t="str">
        <f t="shared" si="25"/>
        <v>-</v>
      </c>
      <c r="K466" s="718"/>
      <c r="L466" s="719"/>
      <c r="M466" s="648"/>
      <c r="N466" s="648"/>
      <c r="O466" s="648"/>
      <c r="P466" s="648"/>
      <c r="Q466" s="648"/>
      <c r="R466" s="647"/>
      <c r="S466" s="647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647"/>
      <c r="AL466" s="647"/>
      <c r="AM466" s="647"/>
    </row>
    <row r="467" spans="1:39" ht="14.1" customHeight="1">
      <c r="A467" s="681"/>
      <c r="B467" s="682"/>
      <c r="C467" s="682"/>
      <c r="D467" s="682"/>
      <c r="E467" s="682"/>
      <c r="F467" s="683"/>
      <c r="G467" s="648"/>
      <c r="H467" s="648"/>
      <c r="I467" s="648"/>
      <c r="J467" s="714">
        <f t="shared" si="25"/>
        <v>45777</v>
      </c>
      <c r="K467" s="715"/>
      <c r="L467" s="716"/>
      <c r="M467" s="648"/>
      <c r="N467" s="648"/>
      <c r="O467" s="648"/>
      <c r="P467" s="648"/>
      <c r="Q467" s="648"/>
      <c r="R467" s="647"/>
      <c r="S467" s="647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647"/>
      <c r="AL467" s="647"/>
      <c r="AM467" s="647"/>
    </row>
    <row r="468" spans="1:39" ht="14.1" customHeight="1">
      <c r="A468" s="678" t="s">
        <v>1096</v>
      </c>
      <c r="B468" s="679"/>
      <c r="C468" s="679"/>
      <c r="D468" s="679"/>
      <c r="E468" s="679"/>
      <c r="F468" s="680"/>
      <c r="G468" s="648" t="s">
        <v>730</v>
      </c>
      <c r="H468" s="648"/>
      <c r="I468" s="673"/>
      <c r="J468" s="655">
        <f>'Date masura OD'!$AK$5</f>
        <v>45748</v>
      </c>
      <c r="K468" s="656"/>
      <c r="L468" s="657"/>
      <c r="M468" s="720" t="s">
        <v>446</v>
      </c>
      <c r="N468" s="648"/>
      <c r="O468" s="648">
        <f>O465</f>
        <v>1</v>
      </c>
      <c r="P468" s="648"/>
      <c r="Q468" s="648"/>
      <c r="R468" s="647" t="str">
        <f>VLOOKUP(A468,Regularizare!$D:$YN,3,FALSE)&amp;" ("&amp;VLOOKUP(A468,Regularizare!$D:$Y,11,FALSE)&amp;")"</f>
        <v>0 (citit)</v>
      </c>
      <c r="S468" s="647"/>
      <c r="T468" s="647"/>
      <c r="U468" s="647" t="str">
        <f>VLOOKUP(A468,Regularizare!$D:$U,4,FALSE)&amp;" ("&amp;VLOOKUP(A468,Regularizare!$D:$U,12,FALSE)&amp;")"</f>
        <v>0 (estimat)</v>
      </c>
      <c r="V468" s="647"/>
      <c r="W468" s="647"/>
      <c r="X468" s="647" t="str">
        <f>VLOOKUP(A468,Regularizare!$D:$Y,19,FALSE)&amp;" ("&amp;VLOOKUP(A468,Regularizare!$D:$U,12,FALSE)&amp;")"</f>
        <v>0 (estimat)</v>
      </c>
      <c r="Y468" s="647"/>
      <c r="Z468" s="647"/>
      <c r="AA468" s="647">
        <f>(-1)*VLOOKUP(A468,Regularizare!$D:$Y,19,FALSE)</f>
        <v>0</v>
      </c>
      <c r="AB468" s="647"/>
      <c r="AC468" s="647"/>
      <c r="AD468" s="647" t="s">
        <v>69</v>
      </c>
      <c r="AE468" s="647"/>
      <c r="AF468" s="647">
        <f>AA468</f>
        <v>0</v>
      </c>
      <c r="AG468" s="647"/>
      <c r="AH468" s="647"/>
      <c r="AI468" s="647" t="s">
        <v>69</v>
      </c>
      <c r="AJ468" s="647"/>
      <c r="AK468" s="647" t="s">
        <v>69</v>
      </c>
      <c r="AL468" s="647"/>
      <c r="AM468" s="647"/>
    </row>
    <row r="469" spans="1:39" ht="8.4499999999999993" customHeight="1">
      <c r="A469" s="717"/>
      <c r="B469" s="718"/>
      <c r="C469" s="718"/>
      <c r="D469" s="718"/>
      <c r="E469" s="718"/>
      <c r="F469" s="719"/>
      <c r="G469" s="648"/>
      <c r="H469" s="648"/>
      <c r="I469" s="673"/>
      <c r="J469" s="717" t="s">
        <v>69</v>
      </c>
      <c r="K469" s="718"/>
      <c r="L469" s="719"/>
      <c r="M469" s="720"/>
      <c r="N469" s="648"/>
      <c r="O469" s="648"/>
      <c r="P469" s="648"/>
      <c r="Q469" s="648"/>
      <c r="R469" s="647"/>
      <c r="S469" s="647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647"/>
      <c r="AL469" s="647"/>
      <c r="AM469" s="647"/>
    </row>
    <row r="470" spans="1:39" ht="14.1" customHeight="1">
      <c r="A470" s="681"/>
      <c r="B470" s="682"/>
      <c r="C470" s="682"/>
      <c r="D470" s="682"/>
      <c r="E470" s="682"/>
      <c r="F470" s="683"/>
      <c r="G470" s="648"/>
      <c r="H470" s="648"/>
      <c r="I470" s="673"/>
      <c r="J470" s="714">
        <f>'Date masura OD'!$AL$5</f>
        <v>45777</v>
      </c>
      <c r="K470" s="715"/>
      <c r="L470" s="716"/>
      <c r="M470" s="720"/>
      <c r="N470" s="648"/>
      <c r="O470" s="648"/>
      <c r="P470" s="648"/>
      <c r="Q470" s="648"/>
      <c r="R470" s="647"/>
      <c r="S470" s="647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647"/>
      <c r="AL470" s="647"/>
      <c r="AM470" s="647"/>
    </row>
    <row r="471" spans="1:39" ht="14.1" customHeight="1">
      <c r="A471" s="678" t="s">
        <v>1096</v>
      </c>
      <c r="B471" s="679"/>
      <c r="C471" s="679"/>
      <c r="D471" s="679"/>
      <c r="E471" s="679"/>
      <c r="F471" s="680"/>
      <c r="G471" s="648" t="s">
        <v>696</v>
      </c>
      <c r="H471" s="648"/>
      <c r="I471" s="648"/>
      <c r="J471" s="655">
        <f t="shared" ref="J471:J476" si="26">J468</f>
        <v>45748</v>
      </c>
      <c r="K471" s="656"/>
      <c r="L471" s="657"/>
      <c r="M471" s="648" t="s">
        <v>720</v>
      </c>
      <c r="N471" s="648"/>
      <c r="O471" s="648">
        <f>O468</f>
        <v>1</v>
      </c>
      <c r="P471" s="648"/>
      <c r="Q471" s="648"/>
      <c r="R471" s="647" t="str">
        <f>VLOOKUP(A471,Regularizare!$D:$U,7,FALSE)&amp;" ("&amp;VLOOKUP(A471,Regularizare!$D:$U,15,FALSE)&amp;")"</f>
        <v>0 (citit)</v>
      </c>
      <c r="S471" s="647"/>
      <c r="T471" s="647"/>
      <c r="U471" s="647" t="str">
        <f>VLOOKUP(A471,Regularizare!$D:$U,8,FALSE)&amp;" ("&amp;VLOOKUP(A471,Regularizare!$D:$U,16,FALSE)&amp;")"</f>
        <v>0 (estimat)</v>
      </c>
      <c r="V471" s="647"/>
      <c r="W471" s="647"/>
      <c r="X471" s="647" t="str">
        <f>_xlfn.CONCAT(VLOOKUP(A471,Regularizare!$D:$U,8,FALSE)-VLOOKUP(A471,Regularizare!$D:$U,7,FALSE)," (",VLOOKUP(A471,Regularizare!$D:$U,16,FALSE),")")</f>
        <v>0 (estimat)</v>
      </c>
      <c r="Y471" s="647"/>
      <c r="Z471" s="647"/>
      <c r="AA471" s="647">
        <f>IF(VLOOKUP(A471,Regularizare!$D:$Y,21,FALSE)=0,VLOOKUP(A471,Regularizare!$D:$Y,21,FALSE),(-1)*VLOOKUP(A471,Regularizare!$D:$Y,21,FALSE))</f>
        <v>0</v>
      </c>
      <c r="AB471" s="647"/>
      <c r="AC471" s="647"/>
      <c r="AD471" s="647" t="s">
        <v>69</v>
      </c>
      <c r="AE471" s="647"/>
      <c r="AF471" s="647">
        <f>AA471</f>
        <v>0</v>
      </c>
      <c r="AG471" s="647"/>
      <c r="AH471" s="647"/>
      <c r="AI471" s="647" t="str">
        <f>AI468</f>
        <v>-</v>
      </c>
      <c r="AJ471" s="647"/>
      <c r="AK471" s="647" t="str">
        <f>AK468</f>
        <v>-</v>
      </c>
      <c r="AL471" s="647"/>
      <c r="AM471" s="647"/>
    </row>
    <row r="472" spans="1:39" ht="8.4499999999999993" customHeight="1">
      <c r="A472" s="717"/>
      <c r="B472" s="718"/>
      <c r="C472" s="718"/>
      <c r="D472" s="718"/>
      <c r="E472" s="718"/>
      <c r="F472" s="719"/>
      <c r="G472" s="648"/>
      <c r="H472" s="648"/>
      <c r="I472" s="648"/>
      <c r="J472" s="717" t="str">
        <f t="shared" si="26"/>
        <v>-</v>
      </c>
      <c r="K472" s="718"/>
      <c r="L472" s="719"/>
      <c r="M472" s="648"/>
      <c r="N472" s="648"/>
      <c r="O472" s="648"/>
      <c r="P472" s="648"/>
      <c r="Q472" s="648"/>
      <c r="R472" s="647"/>
      <c r="S472" s="647"/>
      <c r="T472" s="647"/>
      <c r="U472" s="647"/>
      <c r="V472" s="647"/>
      <c r="W472" s="647"/>
      <c r="X472" s="647"/>
      <c r="Y472" s="647"/>
      <c r="Z472" s="647"/>
      <c r="AA472" s="647"/>
      <c r="AB472" s="647"/>
      <c r="AC472" s="647"/>
      <c r="AD472" s="647"/>
      <c r="AE472" s="647"/>
      <c r="AF472" s="647"/>
      <c r="AG472" s="647"/>
      <c r="AH472" s="647"/>
      <c r="AI472" s="647"/>
      <c r="AJ472" s="647"/>
      <c r="AK472" s="647"/>
      <c r="AL472" s="647"/>
      <c r="AM472" s="647"/>
    </row>
    <row r="473" spans="1:39" ht="14.1" customHeight="1">
      <c r="A473" s="681"/>
      <c r="B473" s="682"/>
      <c r="C473" s="682"/>
      <c r="D473" s="682"/>
      <c r="E473" s="682"/>
      <c r="F473" s="683"/>
      <c r="G473" s="648"/>
      <c r="H473" s="648"/>
      <c r="I473" s="648"/>
      <c r="J473" s="714">
        <f t="shared" si="26"/>
        <v>45777</v>
      </c>
      <c r="K473" s="715"/>
      <c r="L473" s="716"/>
      <c r="M473" s="648"/>
      <c r="N473" s="648"/>
      <c r="O473" s="648"/>
      <c r="P473" s="648"/>
      <c r="Q473" s="648"/>
      <c r="R473" s="647"/>
      <c r="S473" s="647"/>
      <c r="T473" s="647"/>
      <c r="U473" s="647"/>
      <c r="V473" s="647"/>
      <c r="W473" s="647"/>
      <c r="X473" s="647"/>
      <c r="Y473" s="647"/>
      <c r="Z473" s="647"/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</row>
    <row r="474" spans="1:39" ht="14.1" customHeight="1">
      <c r="A474" s="678" t="s">
        <v>1096</v>
      </c>
      <c r="B474" s="679"/>
      <c r="C474" s="679"/>
      <c r="D474" s="679"/>
      <c r="E474" s="679"/>
      <c r="F474" s="680"/>
      <c r="G474" s="648" t="s">
        <v>731</v>
      </c>
      <c r="H474" s="648"/>
      <c r="I474" s="648"/>
      <c r="J474" s="655">
        <f t="shared" si="26"/>
        <v>45748</v>
      </c>
      <c r="K474" s="656"/>
      <c r="L474" s="657"/>
      <c r="M474" s="648" t="s">
        <v>720</v>
      </c>
      <c r="N474" s="648"/>
      <c r="O474" s="648">
        <f>O471</f>
        <v>1</v>
      </c>
      <c r="P474" s="648"/>
      <c r="Q474" s="648"/>
      <c r="R474" s="647" t="str">
        <f>VLOOKUP(A474,Regularizare!$D:$U,9,FALSE)&amp;" ("&amp;VLOOKUP(A474,Regularizare!$D:$U,17,FALSE)&amp;")"</f>
        <v>0 (citit)</v>
      </c>
      <c r="S474" s="647"/>
      <c r="T474" s="647"/>
      <c r="U474" s="647" t="str">
        <f>VLOOKUP(A474,Regularizare!$D:$U,10,FALSE)&amp;" ("&amp;VLOOKUP(A474,Regularizare!$D:$U,18,FALSE)&amp;")"</f>
        <v>0 (estimat)</v>
      </c>
      <c r="V474" s="647"/>
      <c r="W474" s="647"/>
      <c r="X474" s="647" t="str">
        <f>_xlfn.CONCAT(VLOOKUP(A474,Regularizare!$D:$U,10,FALSE)-VLOOKUP(A474,Regularizare!$D:$U,9,FALSE)," (",VLOOKUP(A474,Regularizare!$D:$U,18,FALSE),")")</f>
        <v>0 (estimat)</v>
      </c>
      <c r="Y474" s="647"/>
      <c r="Z474" s="647"/>
      <c r="AA474" s="647">
        <f>IF(VLOOKUP(A474,Regularizare!$D:$Y,22,FALSE)=0,VLOOKUP(A474,Regularizare!$D:$Y,22,FALSE),(-1)*VLOOKUP(A474,Regularizare!$D:$Y,22,FALSE))</f>
        <v>0</v>
      </c>
      <c r="AB474" s="647"/>
      <c r="AC474" s="647"/>
      <c r="AD474" s="647" t="s">
        <v>69</v>
      </c>
      <c r="AE474" s="647"/>
      <c r="AF474" s="647">
        <f>AA474</f>
        <v>0</v>
      </c>
      <c r="AG474" s="647"/>
      <c r="AH474" s="647"/>
      <c r="AI474" s="647" t="str">
        <f>AI471</f>
        <v>-</v>
      </c>
      <c r="AJ474" s="647"/>
      <c r="AK474" s="647" t="str">
        <f>AK471</f>
        <v>-</v>
      </c>
      <c r="AL474" s="647"/>
      <c r="AM474" s="647"/>
    </row>
    <row r="475" spans="1:39" ht="8.4499999999999993" customHeight="1">
      <c r="A475" s="717"/>
      <c r="B475" s="718"/>
      <c r="C475" s="718"/>
      <c r="D475" s="718"/>
      <c r="E475" s="718"/>
      <c r="F475" s="719"/>
      <c r="G475" s="648"/>
      <c r="H475" s="648"/>
      <c r="I475" s="648"/>
      <c r="J475" s="717" t="str">
        <f t="shared" si="26"/>
        <v>-</v>
      </c>
      <c r="K475" s="718"/>
      <c r="L475" s="719"/>
      <c r="M475" s="648"/>
      <c r="N475" s="648"/>
      <c r="O475" s="648"/>
      <c r="P475" s="648"/>
      <c r="Q475" s="648"/>
      <c r="R475" s="647"/>
      <c r="S475" s="647"/>
      <c r="T475" s="647"/>
      <c r="U475" s="647"/>
      <c r="V475" s="647"/>
      <c r="W475" s="647"/>
      <c r="X475" s="647"/>
      <c r="Y475" s="647"/>
      <c r="Z475" s="647"/>
      <c r="AA475" s="647"/>
      <c r="AB475" s="647"/>
      <c r="AC475" s="647"/>
      <c r="AD475" s="647"/>
      <c r="AE475" s="647"/>
      <c r="AF475" s="647"/>
      <c r="AG475" s="647"/>
      <c r="AH475" s="647"/>
      <c r="AI475" s="647"/>
      <c r="AJ475" s="647"/>
      <c r="AK475" s="647"/>
      <c r="AL475" s="647"/>
      <c r="AM475" s="647"/>
    </row>
    <row r="476" spans="1:39" ht="14.1" customHeight="1">
      <c r="A476" s="681"/>
      <c r="B476" s="682"/>
      <c r="C476" s="682"/>
      <c r="D476" s="682"/>
      <c r="E476" s="682"/>
      <c r="F476" s="683"/>
      <c r="G476" s="648"/>
      <c r="H476" s="648"/>
      <c r="I476" s="648"/>
      <c r="J476" s="714">
        <f t="shared" si="26"/>
        <v>45777</v>
      </c>
      <c r="K476" s="715"/>
      <c r="L476" s="716"/>
      <c r="M476" s="648"/>
      <c r="N476" s="648"/>
      <c r="O476" s="648"/>
      <c r="P476" s="648"/>
      <c r="Q476" s="648"/>
      <c r="R476" s="647"/>
      <c r="S476" s="647"/>
      <c r="T476" s="647"/>
      <c r="U476" s="647"/>
      <c r="V476" s="647"/>
      <c r="W476" s="647"/>
      <c r="X476" s="647"/>
      <c r="Y476" s="647"/>
      <c r="Z476" s="647"/>
      <c r="AA476" s="647"/>
      <c r="AB476" s="647"/>
      <c r="AC476" s="647"/>
      <c r="AD476" s="647"/>
      <c r="AE476" s="647"/>
      <c r="AF476" s="647"/>
      <c r="AG476" s="647"/>
      <c r="AH476" s="647"/>
      <c r="AI476" s="647"/>
      <c r="AJ476" s="647"/>
      <c r="AK476" s="647"/>
      <c r="AL476" s="647"/>
      <c r="AM476" s="647"/>
    </row>
    <row r="477" spans="1:39" ht="14.1" customHeight="1">
      <c r="A477" s="678" t="s">
        <v>1096</v>
      </c>
      <c r="B477" s="679"/>
      <c r="C477" s="679"/>
      <c r="D477" s="679"/>
      <c r="E477" s="679"/>
      <c r="F477" s="680"/>
      <c r="G477" s="648" t="s">
        <v>730</v>
      </c>
      <c r="H477" s="648"/>
      <c r="I477" s="673"/>
      <c r="J477" s="655">
        <f>'Date masura OD'!$I$5</f>
        <v>45778</v>
      </c>
      <c r="K477" s="656"/>
      <c r="L477" s="657"/>
      <c r="M477" s="720" t="s">
        <v>446</v>
      </c>
      <c r="N477" s="648"/>
      <c r="O477" s="648">
        <f>O474</f>
        <v>1</v>
      </c>
      <c r="P477" s="648"/>
      <c r="Q477" s="648"/>
      <c r="R477" s="647" t="str">
        <f>U468</f>
        <v>0 (estimat)</v>
      </c>
      <c r="S477" s="647"/>
      <c r="T477" s="647"/>
      <c r="U477" s="647" t="str">
        <f>VLOOKUP(A477,'Incrementare indexe'!$D:$M,4,FALSE)&amp;" (estimat)"</f>
        <v>0 (estimat)</v>
      </c>
      <c r="V477" s="647"/>
      <c r="W477" s="647"/>
      <c r="X477" s="647" t="str">
        <f>VLOOKUP(A477,'Incrementare indexe'!$D:$Q,11,FALSE)&amp;" (estimat)"</f>
        <v>0 (estimat)</v>
      </c>
      <c r="Y477" s="647"/>
      <c r="Z477" s="647"/>
      <c r="AA477" s="647" t="s">
        <v>69</v>
      </c>
      <c r="AB477" s="647"/>
      <c r="AC477" s="647"/>
      <c r="AD477" s="647" t="s">
        <v>69</v>
      </c>
      <c r="AE477" s="647"/>
      <c r="AF477" s="647">
        <f>VLOOKUP(A477,'Incrementare indexe'!$D:$Q,11,FALSE)</f>
        <v>0</v>
      </c>
      <c r="AG477" s="647"/>
      <c r="AH477" s="647"/>
      <c r="AI477" s="647">
        <f>J479-J477+1</f>
        <v>31</v>
      </c>
      <c r="AJ477" s="647"/>
      <c r="AK477" s="647">
        <f>ROUND(AF477/AI477,2)</f>
        <v>0</v>
      </c>
      <c r="AL477" s="647"/>
      <c r="AM477" s="647"/>
    </row>
    <row r="478" spans="1:39" ht="8.4499999999999993" customHeight="1">
      <c r="A478" s="717"/>
      <c r="B478" s="718"/>
      <c r="C478" s="718"/>
      <c r="D478" s="718"/>
      <c r="E478" s="718"/>
      <c r="F478" s="719"/>
      <c r="G478" s="648"/>
      <c r="H478" s="648"/>
      <c r="I478" s="673"/>
      <c r="J478" s="717" t="s">
        <v>69</v>
      </c>
      <c r="K478" s="718"/>
      <c r="L478" s="719"/>
      <c r="M478" s="720"/>
      <c r="N478" s="648"/>
      <c r="O478" s="648"/>
      <c r="P478" s="648"/>
      <c r="Q478" s="648"/>
      <c r="R478" s="647"/>
      <c r="S478" s="647"/>
      <c r="T478" s="647"/>
      <c r="U478" s="647"/>
      <c r="V478" s="647"/>
      <c r="W478" s="647"/>
      <c r="X478" s="647"/>
      <c r="Y478" s="647"/>
      <c r="Z478" s="647"/>
      <c r="AA478" s="647"/>
      <c r="AB478" s="647"/>
      <c r="AC478" s="647"/>
      <c r="AD478" s="647"/>
      <c r="AE478" s="647"/>
      <c r="AF478" s="647"/>
      <c r="AG478" s="647"/>
      <c r="AH478" s="647"/>
      <c r="AI478" s="647"/>
      <c r="AJ478" s="647"/>
      <c r="AK478" s="647"/>
      <c r="AL478" s="647"/>
      <c r="AM478" s="647"/>
    </row>
    <row r="479" spans="1:39" ht="14.1" customHeight="1">
      <c r="A479" s="681"/>
      <c r="B479" s="682"/>
      <c r="C479" s="682"/>
      <c r="D479" s="682"/>
      <c r="E479" s="682"/>
      <c r="F479" s="683"/>
      <c r="G479" s="648"/>
      <c r="H479" s="648"/>
      <c r="I479" s="673"/>
      <c r="J479" s="714">
        <f>'Date masura OD'!$J$5</f>
        <v>45808</v>
      </c>
      <c r="K479" s="715"/>
      <c r="L479" s="716"/>
      <c r="M479" s="720"/>
      <c r="N479" s="648"/>
      <c r="O479" s="648"/>
      <c r="P479" s="648"/>
      <c r="Q479" s="648"/>
      <c r="R479" s="647"/>
      <c r="S479" s="647"/>
      <c r="T479" s="647"/>
      <c r="U479" s="647"/>
      <c r="V479" s="647"/>
      <c r="W479" s="647"/>
      <c r="X479" s="647"/>
      <c r="Y479" s="647"/>
      <c r="Z479" s="647"/>
      <c r="AA479" s="647"/>
      <c r="AB479" s="647"/>
      <c r="AC479" s="647"/>
      <c r="AD479" s="647"/>
      <c r="AE479" s="647"/>
      <c r="AF479" s="647"/>
      <c r="AG479" s="647"/>
      <c r="AH479" s="647"/>
      <c r="AI479" s="647"/>
      <c r="AJ479" s="647"/>
      <c r="AK479" s="647"/>
      <c r="AL479" s="647"/>
      <c r="AM479" s="647"/>
    </row>
    <row r="480" spans="1:39" ht="14.1" customHeight="1">
      <c r="A480" s="678" t="s">
        <v>1096</v>
      </c>
      <c r="B480" s="679"/>
      <c r="C480" s="679"/>
      <c r="D480" s="679"/>
      <c r="E480" s="679"/>
      <c r="F480" s="680"/>
      <c r="G480" s="648" t="s">
        <v>696</v>
      </c>
      <c r="H480" s="648"/>
      <c r="I480" s="648"/>
      <c r="J480" s="655">
        <f t="shared" ref="J480:J485" si="27">J477</f>
        <v>45778</v>
      </c>
      <c r="K480" s="656"/>
      <c r="L480" s="657"/>
      <c r="M480" s="648" t="s">
        <v>720</v>
      </c>
      <c r="N480" s="648"/>
      <c r="O480" s="648">
        <f>O477</f>
        <v>1</v>
      </c>
      <c r="P480" s="648"/>
      <c r="Q480" s="648"/>
      <c r="R480" s="647" t="str">
        <f>U471</f>
        <v>0 (estimat)</v>
      </c>
      <c r="S480" s="647"/>
      <c r="T480" s="647"/>
      <c r="U480" s="647" t="str">
        <f>VLOOKUP(A480,'Incrementare indexe'!$D:$M,8,FALSE)&amp;" (estimat)"</f>
        <v>0 (estimat)</v>
      </c>
      <c r="V480" s="647"/>
      <c r="W480" s="647"/>
      <c r="X480" s="647" t="str">
        <f>VLOOKUP(A480,'Incrementare indexe'!$D:$Q,12,FALSE)&amp;" (estimat)"</f>
        <v>0 (estimat)</v>
      </c>
      <c r="Y480" s="647"/>
      <c r="Z480" s="647"/>
      <c r="AA480" s="647" t="s">
        <v>69</v>
      </c>
      <c r="AB480" s="647"/>
      <c r="AC480" s="647"/>
      <c r="AD480" s="647" t="s">
        <v>69</v>
      </c>
      <c r="AE480" s="647"/>
      <c r="AF480" s="647">
        <f>VLOOKUP(A480,'Incrementare indexe'!$D:$Q,12,FALSE)</f>
        <v>0</v>
      </c>
      <c r="AG480" s="647"/>
      <c r="AH480" s="647"/>
      <c r="AI480" s="647">
        <f>AI477</f>
        <v>31</v>
      </c>
      <c r="AJ480" s="647"/>
      <c r="AK480" s="647">
        <f>ROUND(AF480/AI480,2)</f>
        <v>0</v>
      </c>
      <c r="AL480" s="647"/>
      <c r="AM480" s="647"/>
    </row>
    <row r="481" spans="1:39" ht="8.4499999999999993" customHeight="1">
      <c r="A481" s="717"/>
      <c r="B481" s="718"/>
      <c r="C481" s="718"/>
      <c r="D481" s="718"/>
      <c r="E481" s="718"/>
      <c r="F481" s="719"/>
      <c r="G481" s="648"/>
      <c r="H481" s="648"/>
      <c r="I481" s="648"/>
      <c r="J481" s="717" t="str">
        <f t="shared" si="27"/>
        <v>-</v>
      </c>
      <c r="K481" s="718"/>
      <c r="L481" s="719"/>
      <c r="M481" s="648"/>
      <c r="N481" s="648"/>
      <c r="O481" s="648"/>
      <c r="P481" s="648"/>
      <c r="Q481" s="648"/>
      <c r="R481" s="647"/>
      <c r="S481" s="647"/>
      <c r="T481" s="647"/>
      <c r="U481" s="647"/>
      <c r="V481" s="647"/>
      <c r="W481" s="647"/>
      <c r="X481" s="647"/>
      <c r="Y481" s="647"/>
      <c r="Z481" s="647"/>
      <c r="AA481" s="647"/>
      <c r="AB481" s="647"/>
      <c r="AC481" s="647"/>
      <c r="AD481" s="647"/>
      <c r="AE481" s="647"/>
      <c r="AF481" s="647"/>
      <c r="AG481" s="647"/>
      <c r="AH481" s="647"/>
      <c r="AI481" s="647"/>
      <c r="AJ481" s="647"/>
      <c r="AK481" s="647"/>
      <c r="AL481" s="647"/>
      <c r="AM481" s="647"/>
    </row>
    <row r="482" spans="1:39" ht="14.1" customHeight="1">
      <c r="A482" s="681"/>
      <c r="B482" s="682"/>
      <c r="C482" s="682"/>
      <c r="D482" s="682"/>
      <c r="E482" s="682"/>
      <c r="F482" s="683"/>
      <c r="G482" s="648"/>
      <c r="H482" s="648"/>
      <c r="I482" s="648"/>
      <c r="J482" s="714">
        <f t="shared" si="27"/>
        <v>45808</v>
      </c>
      <c r="K482" s="715"/>
      <c r="L482" s="716"/>
      <c r="M482" s="648"/>
      <c r="N482" s="648"/>
      <c r="O482" s="648"/>
      <c r="P482" s="648"/>
      <c r="Q482" s="648"/>
      <c r="R482" s="647"/>
      <c r="S482" s="647"/>
      <c r="T482" s="647"/>
      <c r="U482" s="647"/>
      <c r="V482" s="647"/>
      <c r="W482" s="647"/>
      <c r="X482" s="647"/>
      <c r="Y482" s="647"/>
      <c r="Z482" s="647"/>
      <c r="AA482" s="647"/>
      <c r="AB482" s="647"/>
      <c r="AC482" s="647"/>
      <c r="AD482" s="647"/>
      <c r="AE482" s="647"/>
      <c r="AF482" s="647"/>
      <c r="AG482" s="647"/>
      <c r="AH482" s="647"/>
      <c r="AI482" s="647"/>
      <c r="AJ482" s="647"/>
      <c r="AK482" s="647"/>
      <c r="AL482" s="647"/>
      <c r="AM482" s="647"/>
    </row>
    <row r="483" spans="1:39" ht="14.1" customHeight="1">
      <c r="A483" s="678" t="s">
        <v>1096</v>
      </c>
      <c r="B483" s="679"/>
      <c r="C483" s="679"/>
      <c r="D483" s="679"/>
      <c r="E483" s="679"/>
      <c r="F483" s="680"/>
      <c r="G483" s="648" t="s">
        <v>731</v>
      </c>
      <c r="H483" s="648"/>
      <c r="I483" s="648"/>
      <c r="J483" s="655">
        <f t="shared" si="27"/>
        <v>45778</v>
      </c>
      <c r="K483" s="656"/>
      <c r="L483" s="657"/>
      <c r="M483" s="648" t="s">
        <v>720</v>
      </c>
      <c r="N483" s="648"/>
      <c r="O483" s="648">
        <f>O480</f>
        <v>1</v>
      </c>
      <c r="P483" s="648"/>
      <c r="Q483" s="648"/>
      <c r="R483" s="647" t="str">
        <f>U474</f>
        <v>0 (estimat)</v>
      </c>
      <c r="S483" s="647"/>
      <c r="T483" s="647"/>
      <c r="U483" s="647" t="str">
        <f>VLOOKUP(A483,'Incrementare indexe'!$D:$M,10,FALSE)&amp;" (estimat)"</f>
        <v>0 (estimat)</v>
      </c>
      <c r="V483" s="647"/>
      <c r="W483" s="647"/>
      <c r="X483" s="647" t="str">
        <f>VLOOKUP(A483,'Incrementare indexe'!$D:$Q,13,FALSE)&amp;" (estimat)"</f>
        <v>0 (estimat)</v>
      </c>
      <c r="Y483" s="647"/>
      <c r="Z483" s="647"/>
      <c r="AA483" s="647" t="s">
        <v>69</v>
      </c>
      <c r="AB483" s="647"/>
      <c r="AC483" s="647"/>
      <c r="AD483" s="647" t="s">
        <v>69</v>
      </c>
      <c r="AE483" s="647"/>
      <c r="AF483" s="647">
        <f>VLOOKUP(A483,'Incrementare indexe'!$D:$Q,13,FALSE)</f>
        <v>0</v>
      </c>
      <c r="AG483" s="647"/>
      <c r="AH483" s="647"/>
      <c r="AI483" s="647">
        <f>AI480</f>
        <v>31</v>
      </c>
      <c r="AJ483" s="647"/>
      <c r="AK483" s="647">
        <f>ROUND(AF483/AI483,2)</f>
        <v>0</v>
      </c>
      <c r="AL483" s="647"/>
      <c r="AM483" s="647"/>
    </row>
    <row r="484" spans="1:39" ht="8.4499999999999993" customHeight="1">
      <c r="A484" s="717"/>
      <c r="B484" s="718"/>
      <c r="C484" s="718"/>
      <c r="D484" s="718"/>
      <c r="E484" s="718"/>
      <c r="F484" s="719"/>
      <c r="G484" s="648"/>
      <c r="H484" s="648"/>
      <c r="I484" s="648"/>
      <c r="J484" s="717" t="str">
        <f t="shared" si="27"/>
        <v>-</v>
      </c>
      <c r="K484" s="718"/>
      <c r="L484" s="719"/>
      <c r="M484" s="648"/>
      <c r="N484" s="648"/>
      <c r="O484" s="648"/>
      <c r="P484" s="648"/>
      <c r="Q484" s="648"/>
      <c r="R484" s="647"/>
      <c r="S484" s="647"/>
      <c r="T484" s="647"/>
      <c r="U484" s="647"/>
      <c r="V484" s="647"/>
      <c r="W484" s="647"/>
      <c r="X484" s="647"/>
      <c r="Y484" s="647"/>
      <c r="Z484" s="647"/>
      <c r="AA484" s="647"/>
      <c r="AB484" s="647"/>
      <c r="AC484" s="647"/>
      <c r="AD484" s="647"/>
      <c r="AE484" s="647"/>
      <c r="AF484" s="647"/>
      <c r="AG484" s="647"/>
      <c r="AH484" s="647"/>
      <c r="AI484" s="647"/>
      <c r="AJ484" s="647"/>
      <c r="AK484" s="647"/>
      <c r="AL484" s="647"/>
      <c r="AM484" s="647"/>
    </row>
    <row r="485" spans="1:39" ht="14.1" customHeight="1">
      <c r="A485" s="681"/>
      <c r="B485" s="682"/>
      <c r="C485" s="682"/>
      <c r="D485" s="682"/>
      <c r="E485" s="682"/>
      <c r="F485" s="683"/>
      <c r="G485" s="648"/>
      <c r="H485" s="648"/>
      <c r="I485" s="648"/>
      <c r="J485" s="714">
        <f t="shared" si="27"/>
        <v>45808</v>
      </c>
      <c r="K485" s="715"/>
      <c r="L485" s="716"/>
      <c r="M485" s="648"/>
      <c r="N485" s="648"/>
      <c r="O485" s="648"/>
      <c r="P485" s="648"/>
      <c r="Q485" s="648"/>
      <c r="R485" s="647"/>
      <c r="S485" s="647"/>
      <c r="T485" s="647"/>
      <c r="U485" s="647"/>
      <c r="V485" s="647"/>
      <c r="W485" s="647"/>
      <c r="X485" s="647"/>
      <c r="Y485" s="647"/>
      <c r="Z485" s="647"/>
      <c r="AA485" s="647"/>
      <c r="AB485" s="647"/>
      <c r="AC485" s="647"/>
      <c r="AD485" s="647"/>
      <c r="AE485" s="647"/>
      <c r="AF485" s="647"/>
      <c r="AG485" s="647"/>
      <c r="AH485" s="647"/>
      <c r="AI485" s="647"/>
      <c r="AJ485" s="647"/>
      <c r="AK485" s="647"/>
      <c r="AL485" s="647"/>
      <c r="AM485" s="647"/>
    </row>
    <row r="486" spans="1:39" ht="14.1" customHeight="1"/>
    <row r="487" spans="1:39" ht="14.1" customHeight="1"/>
    <row r="488" spans="1:39" ht="14.1" customHeight="1"/>
    <row r="489" spans="1:39" ht="14.1" customHeight="1"/>
    <row r="490" spans="1:39" ht="14.1" customHeight="1"/>
    <row r="491" spans="1:39" ht="14.1" customHeight="1"/>
    <row r="492" spans="1:39" ht="14.1" customHeight="1"/>
    <row r="493" spans="1:39" ht="14.1" customHeight="1"/>
    <row r="494" spans="1:39" ht="14.1" customHeight="1"/>
    <row r="495" spans="1:39" ht="14.1" customHeight="1"/>
    <row r="496" spans="1:39" ht="14.1" customHeight="1"/>
    <row r="497" spans="1:39" ht="14.1" customHeight="1"/>
    <row r="498" spans="1:39" ht="14.1" customHeight="1"/>
    <row r="499" spans="1:39" ht="14.1" customHeight="1"/>
    <row r="500" spans="1:39" ht="14.1" customHeight="1"/>
    <row r="501" spans="1:39" ht="14.1" customHeight="1"/>
    <row r="502" spans="1:39" ht="14.1" customHeight="1"/>
    <row r="503" spans="1:39" ht="14.1" customHeight="1"/>
    <row r="504" spans="1:39" ht="14.1" customHeight="1"/>
    <row r="505" spans="1:39" ht="14.1" customHeight="1"/>
    <row r="506" spans="1:39">
      <c r="A506" s="649" t="s">
        <v>748</v>
      </c>
      <c r="B506" s="649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50" t="str">
        <f>VLOOKUP(AI507,'Contorizare in SDI'!$E:$I,4,FALSE)</f>
        <v>594020200002317122/11</v>
      </c>
      <c r="N506" s="650"/>
      <c r="O506" s="650"/>
      <c r="P506" s="650"/>
      <c r="Q506" s="650"/>
      <c r="R506" s="650"/>
      <c r="S506" s="650"/>
      <c r="T506" s="650"/>
      <c r="U506" s="650"/>
      <c r="V506" s="650"/>
      <c r="W506" s="650"/>
      <c r="X506" s="650"/>
      <c r="Y506" s="650"/>
      <c r="Z506" s="650"/>
      <c r="AA506" s="650"/>
      <c r="AB506" s="650"/>
      <c r="AC506" s="650"/>
      <c r="AD506" s="650"/>
      <c r="AE506" s="650"/>
      <c r="AF506" s="650"/>
      <c r="AG506" s="650"/>
      <c r="AH506" s="650"/>
      <c r="AI506" s="650" t="s">
        <v>695</v>
      </c>
      <c r="AJ506" s="650"/>
      <c r="AK506" s="650"/>
      <c r="AL506" s="650"/>
      <c r="AM506" s="650"/>
    </row>
    <row r="507" spans="1:39">
      <c r="A507" s="649" t="s">
        <v>746</v>
      </c>
      <c r="B507" s="649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50" t="str">
        <f>VLOOKUP(AI507,'Inchidere contur'!$G:$U,15,FALSE)</f>
        <v>MT_SDI</v>
      </c>
      <c r="N507" s="650"/>
      <c r="O507" s="650"/>
      <c r="P507" s="650"/>
      <c r="Q507" s="650"/>
      <c r="R507" s="650"/>
      <c r="S507" s="650"/>
      <c r="T507" s="650"/>
      <c r="U507" s="650"/>
      <c r="V507" s="650"/>
      <c r="W507" s="650"/>
      <c r="X507" s="650"/>
      <c r="Y507" s="650"/>
      <c r="Z507" s="650"/>
      <c r="AA507" s="650"/>
      <c r="AB507" s="650"/>
      <c r="AC507" s="650"/>
      <c r="AD507" s="650"/>
      <c r="AE507" s="650"/>
      <c r="AF507" s="650"/>
      <c r="AG507" s="650"/>
      <c r="AH507" s="650"/>
      <c r="AI507" s="619" t="str">
        <f>_xlfn.CONCAT(AA295,".",5)</f>
        <v>RFSC_2.5</v>
      </c>
      <c r="AJ507" s="619"/>
      <c r="AK507" s="619"/>
      <c r="AL507" s="619"/>
      <c r="AM507" s="619"/>
    </row>
    <row r="508" spans="1:39">
      <c r="A508" s="649" t="s">
        <v>747</v>
      </c>
      <c r="B508" s="649"/>
      <c r="C508" s="649"/>
      <c r="D508" s="649"/>
      <c r="E508" s="649"/>
      <c r="F508" s="649"/>
      <c r="G508" s="649"/>
      <c r="H508" s="649"/>
      <c r="I508" s="649"/>
      <c r="J508" s="649"/>
      <c r="K508" s="649"/>
      <c r="L508" s="649"/>
      <c r="M508" s="650" t="str">
        <f>IF(LEFT(M507,2)="JT","0.4kV",IF(LEFT(M507,2)="MT","20kV","-"))</f>
        <v>20kV</v>
      </c>
      <c r="N508" s="650"/>
      <c r="O508" s="650"/>
      <c r="P508" s="650"/>
      <c r="Q508" s="650"/>
      <c r="R508" s="650"/>
      <c r="S508" s="650"/>
      <c r="T508" s="650"/>
      <c r="U508" s="650"/>
      <c r="V508" s="650"/>
      <c r="W508" s="650"/>
      <c r="X508" s="650"/>
      <c r="Y508" s="650"/>
      <c r="Z508" s="650"/>
      <c r="AA508" s="650"/>
      <c r="AB508" s="650"/>
      <c r="AC508" s="650"/>
      <c r="AD508" s="650"/>
      <c r="AE508" s="650"/>
      <c r="AF508" s="650"/>
      <c r="AG508" s="650"/>
      <c r="AH508" s="650"/>
      <c r="AI508" s="619"/>
      <c r="AJ508" s="619"/>
      <c r="AK508" s="619"/>
      <c r="AL508" s="619"/>
      <c r="AM508" s="619"/>
    </row>
    <row r="509" spans="1:39" ht="15.95" customHeight="1">
      <c r="A509" s="648" t="s">
        <v>697</v>
      </c>
      <c r="B509" s="648"/>
      <c r="C509" s="648"/>
      <c r="D509" s="648"/>
      <c r="E509" s="648"/>
      <c r="F509" s="648"/>
      <c r="G509" s="647" t="s">
        <v>713</v>
      </c>
      <c r="H509" s="647"/>
      <c r="I509" s="647"/>
      <c r="J509" s="647" t="s">
        <v>714</v>
      </c>
      <c r="K509" s="647"/>
      <c r="L509" s="647"/>
      <c r="M509" s="648" t="s">
        <v>519</v>
      </c>
      <c r="N509" s="648"/>
      <c r="O509" s="648" t="s">
        <v>715</v>
      </c>
      <c r="P509" s="648"/>
      <c r="Q509" s="648"/>
      <c r="R509" s="647" t="s">
        <v>732</v>
      </c>
      <c r="S509" s="647"/>
      <c r="T509" s="647"/>
      <c r="U509" s="647" t="s">
        <v>734</v>
      </c>
      <c r="V509" s="647"/>
      <c r="W509" s="647"/>
      <c r="X509" s="647" t="s">
        <v>1085</v>
      </c>
      <c r="Y509" s="647"/>
      <c r="Z509" s="647"/>
      <c r="AA509" s="647" t="s">
        <v>1086</v>
      </c>
      <c r="AB509" s="647"/>
      <c r="AC509" s="647"/>
      <c r="AD509" s="647" t="s">
        <v>717</v>
      </c>
      <c r="AE509" s="647"/>
      <c r="AF509" s="647" t="s">
        <v>718</v>
      </c>
      <c r="AG509" s="647"/>
      <c r="AH509" s="647"/>
      <c r="AI509" s="647" t="s">
        <v>719</v>
      </c>
      <c r="AJ509" s="647"/>
      <c r="AK509" s="647" t="s">
        <v>733</v>
      </c>
      <c r="AL509" s="647"/>
      <c r="AM509" s="647"/>
    </row>
    <row r="510" spans="1:39">
      <c r="A510" s="648"/>
      <c r="B510" s="648"/>
      <c r="C510" s="648"/>
      <c r="D510" s="648"/>
      <c r="E510" s="648"/>
      <c r="F510" s="648"/>
      <c r="G510" s="647"/>
      <c r="H510" s="647"/>
      <c r="I510" s="647"/>
      <c r="J510" s="647"/>
      <c r="K510" s="647"/>
      <c r="L510" s="647"/>
      <c r="M510" s="648"/>
      <c r="N510" s="648"/>
      <c r="O510" s="648"/>
      <c r="P510" s="648"/>
      <c r="Q510" s="648"/>
      <c r="R510" s="647"/>
      <c r="S510" s="647"/>
      <c r="T510" s="647"/>
      <c r="U510" s="647"/>
      <c r="V510" s="647"/>
      <c r="W510" s="647"/>
      <c r="X510" s="647"/>
      <c r="Y510" s="647"/>
      <c r="Z510" s="647"/>
      <c r="AA510" s="647"/>
      <c r="AB510" s="647"/>
      <c r="AC510" s="647"/>
      <c r="AD510" s="647"/>
      <c r="AE510" s="647"/>
      <c r="AF510" s="647"/>
      <c r="AG510" s="647"/>
      <c r="AH510" s="647"/>
      <c r="AI510" s="647"/>
      <c r="AJ510" s="647"/>
      <c r="AK510" s="647"/>
      <c r="AL510" s="647"/>
      <c r="AM510" s="647"/>
    </row>
    <row r="511" spans="1:39">
      <c r="A511" s="648"/>
      <c r="B511" s="648"/>
      <c r="C511" s="648"/>
      <c r="D511" s="648"/>
      <c r="E511" s="648"/>
      <c r="F511" s="648"/>
      <c r="G511" s="647"/>
      <c r="H511" s="647"/>
      <c r="I511" s="647"/>
      <c r="J511" s="713"/>
      <c r="K511" s="713"/>
      <c r="L511" s="713"/>
      <c r="M511" s="648"/>
      <c r="N511" s="648"/>
      <c r="O511" s="648"/>
      <c r="P511" s="648"/>
      <c r="Q511" s="648"/>
      <c r="R511" s="647"/>
      <c r="S511" s="647"/>
      <c r="T511" s="647"/>
      <c r="U511" s="647"/>
      <c r="V511" s="647"/>
      <c r="W511" s="647"/>
      <c r="X511" s="647"/>
      <c r="Y511" s="647"/>
      <c r="Z511" s="647"/>
      <c r="AA511" s="647"/>
      <c r="AB511" s="647"/>
      <c r="AC511" s="647"/>
      <c r="AD511" s="647"/>
      <c r="AE511" s="647"/>
      <c r="AF511" s="647"/>
      <c r="AG511" s="647"/>
      <c r="AH511" s="647"/>
      <c r="AI511" s="647"/>
      <c r="AJ511" s="647"/>
      <c r="AK511" s="647"/>
      <c r="AL511" s="647"/>
      <c r="AM511" s="647"/>
    </row>
    <row r="512" spans="1:39" ht="14.1" customHeight="1">
      <c r="A512" s="678" t="s">
        <v>1097</v>
      </c>
      <c r="B512" s="679"/>
      <c r="C512" s="679"/>
      <c r="D512" s="679"/>
      <c r="E512" s="679"/>
      <c r="F512" s="680"/>
      <c r="G512" s="648" t="s">
        <v>730</v>
      </c>
      <c r="H512" s="648"/>
      <c r="I512" s="673"/>
      <c r="J512" s="655">
        <f>'Date masura OD'!$AK$5</f>
        <v>45748</v>
      </c>
      <c r="K512" s="656"/>
      <c r="L512" s="657"/>
      <c r="M512" s="720" t="s">
        <v>446</v>
      </c>
      <c r="N512" s="648"/>
      <c r="O512" s="648">
        <f>VLOOKUP(AI507,'Incrementare indexe'!$B:$T,4,FALSE)</f>
        <v>1</v>
      </c>
      <c r="P512" s="648"/>
      <c r="Q512" s="648"/>
      <c r="R512" s="647" t="str">
        <f>VLOOKUP(A512,Regularizare!$D:$YN,3,FALSE)&amp;" ("&amp;VLOOKUP(A512,Regularizare!$D:$Y,11,FALSE)&amp;")"</f>
        <v>0 (citit)</v>
      </c>
      <c r="S512" s="647"/>
      <c r="T512" s="647"/>
      <c r="U512" s="647" t="str">
        <f>VLOOKUP(A512,Regularizare!$D:$U,4,FALSE)&amp;" ("&amp;VLOOKUP(A512,Regularizare!$D:$U,12,FALSE)&amp;")"</f>
        <v>0 (estimat)</v>
      </c>
      <c r="V512" s="647"/>
      <c r="W512" s="647"/>
      <c r="X512" s="647" t="str">
        <f>VLOOKUP(A512,Regularizare!$D:$Y,19,FALSE)&amp;" ("&amp;VLOOKUP(A512,Regularizare!$D:$U,12,FALSE)&amp;")"</f>
        <v>0 (estimat)</v>
      </c>
      <c r="Y512" s="647"/>
      <c r="Z512" s="647"/>
      <c r="AA512" s="647">
        <f>(-1)*VLOOKUP(A512,Regularizare!$D:$Y,19,FALSE)</f>
        <v>0</v>
      </c>
      <c r="AB512" s="647"/>
      <c r="AC512" s="647"/>
      <c r="AD512" s="647" t="s">
        <v>69</v>
      </c>
      <c r="AE512" s="647"/>
      <c r="AF512" s="647">
        <f>AA512</f>
        <v>0</v>
      </c>
      <c r="AG512" s="647"/>
      <c r="AH512" s="647"/>
      <c r="AI512" s="647" t="s">
        <v>69</v>
      </c>
      <c r="AJ512" s="647"/>
      <c r="AK512" s="647" t="s">
        <v>69</v>
      </c>
      <c r="AL512" s="647"/>
      <c r="AM512" s="647"/>
    </row>
    <row r="513" spans="1:39" ht="9.75" customHeight="1">
      <c r="A513" s="717"/>
      <c r="B513" s="718"/>
      <c r="C513" s="718"/>
      <c r="D513" s="718"/>
      <c r="E513" s="718"/>
      <c r="F513" s="719"/>
      <c r="G513" s="648"/>
      <c r="H513" s="648"/>
      <c r="I513" s="673"/>
      <c r="J513" s="717" t="s">
        <v>69</v>
      </c>
      <c r="K513" s="718"/>
      <c r="L513" s="719"/>
      <c r="M513" s="720"/>
      <c r="N513" s="648"/>
      <c r="O513" s="648"/>
      <c r="P513" s="648"/>
      <c r="Q513" s="648"/>
      <c r="R513" s="647"/>
      <c r="S513" s="647"/>
      <c r="T513" s="647"/>
      <c r="U513" s="647"/>
      <c r="V513" s="647"/>
      <c r="W513" s="647"/>
      <c r="X513" s="647"/>
      <c r="Y513" s="647"/>
      <c r="Z513" s="647"/>
      <c r="AA513" s="647"/>
      <c r="AB513" s="647"/>
      <c r="AC513" s="647"/>
      <c r="AD513" s="647"/>
      <c r="AE513" s="647"/>
      <c r="AF513" s="647"/>
      <c r="AG513" s="647"/>
      <c r="AH513" s="647"/>
      <c r="AI513" s="647"/>
      <c r="AJ513" s="647"/>
      <c r="AK513" s="647"/>
      <c r="AL513" s="647"/>
      <c r="AM513" s="647"/>
    </row>
    <row r="514" spans="1:39" ht="14.1" customHeight="1">
      <c r="A514" s="681"/>
      <c r="B514" s="682"/>
      <c r="C514" s="682"/>
      <c r="D514" s="682"/>
      <c r="E514" s="682"/>
      <c r="F514" s="683"/>
      <c r="G514" s="648"/>
      <c r="H514" s="648"/>
      <c r="I514" s="673"/>
      <c r="J514" s="714">
        <f>'Date masura OD'!$AL$5</f>
        <v>45777</v>
      </c>
      <c r="K514" s="715"/>
      <c r="L514" s="716"/>
      <c r="M514" s="720"/>
      <c r="N514" s="648"/>
      <c r="O514" s="648"/>
      <c r="P514" s="648"/>
      <c r="Q514" s="648"/>
      <c r="R514" s="647"/>
      <c r="S514" s="647"/>
      <c r="T514" s="647"/>
      <c r="U514" s="647"/>
      <c r="V514" s="647"/>
      <c r="W514" s="647"/>
      <c r="X514" s="647"/>
      <c r="Y514" s="647"/>
      <c r="Z514" s="647"/>
      <c r="AA514" s="647"/>
      <c r="AB514" s="647"/>
      <c r="AC514" s="647"/>
      <c r="AD514" s="647"/>
      <c r="AE514" s="647"/>
      <c r="AF514" s="647"/>
      <c r="AG514" s="647"/>
      <c r="AH514" s="647"/>
      <c r="AI514" s="647"/>
      <c r="AJ514" s="647"/>
      <c r="AK514" s="647"/>
      <c r="AL514" s="647"/>
      <c r="AM514" s="647"/>
    </row>
    <row r="515" spans="1:39" ht="14.1" customHeight="1">
      <c r="A515" s="678" t="str">
        <f>A512</f>
        <v>V.2758754/5.2</v>
      </c>
      <c r="B515" s="679"/>
      <c r="C515" s="679"/>
      <c r="D515" s="679"/>
      <c r="E515" s="679"/>
      <c r="F515" s="680"/>
      <c r="G515" s="648" t="s">
        <v>696</v>
      </c>
      <c r="H515" s="648"/>
      <c r="I515" s="648"/>
      <c r="J515" s="655">
        <f t="shared" ref="J515:J520" si="28">J512</f>
        <v>45748</v>
      </c>
      <c r="K515" s="656"/>
      <c r="L515" s="657"/>
      <c r="M515" s="648" t="s">
        <v>720</v>
      </c>
      <c r="N515" s="648"/>
      <c r="O515" s="648">
        <f>O512</f>
        <v>1</v>
      </c>
      <c r="P515" s="648"/>
      <c r="Q515" s="648"/>
      <c r="R515" s="647" t="str">
        <f>VLOOKUP(A515,Regularizare!$D:$U,7,FALSE)&amp;" ("&amp;VLOOKUP(A515,Regularizare!$D:$U,15,FALSE)&amp;")"</f>
        <v>48 (citit)</v>
      </c>
      <c r="S515" s="647"/>
      <c r="T515" s="647"/>
      <c r="U515" s="647" t="str">
        <f>VLOOKUP(A515,Regularizare!$D:$U,8,FALSE)&amp;" ("&amp;VLOOKUP(A515,Regularizare!$D:$U,16,FALSE)&amp;")"</f>
        <v>48 (estimat)</v>
      </c>
      <c r="V515" s="647"/>
      <c r="W515" s="647"/>
      <c r="X515" s="647" t="str">
        <f>_xlfn.CONCAT(VLOOKUP(A515,Regularizare!$D:$U,8,FALSE)-VLOOKUP(A515,Regularizare!$D:$U,7,FALSE)," (",VLOOKUP(A515,Regularizare!$D:$U,16,FALSE),")")</f>
        <v>0 (estimat)</v>
      </c>
      <c r="Y515" s="647"/>
      <c r="Z515" s="647"/>
      <c r="AA515" s="647">
        <f>IF(VLOOKUP(A515,Regularizare!$D:$Y,21,FALSE)=0,VLOOKUP(A515,Regularizare!$D:$Y,21,FALSE),(-1)*VLOOKUP(A515,Regularizare!$D:$Y,21,FALSE))</f>
        <v>0</v>
      </c>
      <c r="AB515" s="647"/>
      <c r="AC515" s="647"/>
      <c r="AD515" s="647" t="s">
        <v>69</v>
      </c>
      <c r="AE515" s="647"/>
      <c r="AF515" s="647">
        <f>AA515</f>
        <v>0</v>
      </c>
      <c r="AG515" s="647"/>
      <c r="AH515" s="647"/>
      <c r="AI515" s="647" t="str">
        <f>AI512</f>
        <v>-</v>
      </c>
      <c r="AJ515" s="647"/>
      <c r="AK515" s="647" t="str">
        <f>AK512</f>
        <v>-</v>
      </c>
      <c r="AL515" s="647"/>
      <c r="AM515" s="647"/>
    </row>
    <row r="516" spans="1:39" ht="8.4499999999999993" customHeight="1">
      <c r="A516" s="717"/>
      <c r="B516" s="718"/>
      <c r="C516" s="718"/>
      <c r="D516" s="718"/>
      <c r="E516" s="718"/>
      <c r="F516" s="719"/>
      <c r="G516" s="648"/>
      <c r="H516" s="648"/>
      <c r="I516" s="648"/>
      <c r="J516" s="717" t="str">
        <f t="shared" si="28"/>
        <v>-</v>
      </c>
      <c r="K516" s="718"/>
      <c r="L516" s="719"/>
      <c r="M516" s="648"/>
      <c r="N516" s="648"/>
      <c r="O516" s="648"/>
      <c r="P516" s="648"/>
      <c r="Q516" s="648"/>
      <c r="R516" s="647"/>
      <c r="S516" s="647"/>
      <c r="T516" s="647"/>
      <c r="U516" s="647"/>
      <c r="V516" s="647"/>
      <c r="W516" s="647"/>
      <c r="X516" s="647"/>
      <c r="Y516" s="647"/>
      <c r="Z516" s="647"/>
      <c r="AA516" s="647"/>
      <c r="AB516" s="647"/>
      <c r="AC516" s="647"/>
      <c r="AD516" s="647"/>
      <c r="AE516" s="647"/>
      <c r="AF516" s="647"/>
      <c r="AG516" s="647"/>
      <c r="AH516" s="647"/>
      <c r="AI516" s="647"/>
      <c r="AJ516" s="647"/>
      <c r="AK516" s="647"/>
      <c r="AL516" s="647"/>
      <c r="AM516" s="647"/>
    </row>
    <row r="517" spans="1:39" ht="14.1" customHeight="1">
      <c r="A517" s="681"/>
      <c r="B517" s="682"/>
      <c r="C517" s="682"/>
      <c r="D517" s="682"/>
      <c r="E517" s="682"/>
      <c r="F517" s="683"/>
      <c r="G517" s="648"/>
      <c r="H517" s="648"/>
      <c r="I517" s="648"/>
      <c r="J517" s="714">
        <f t="shared" si="28"/>
        <v>45777</v>
      </c>
      <c r="K517" s="715"/>
      <c r="L517" s="716"/>
      <c r="M517" s="648"/>
      <c r="N517" s="648"/>
      <c r="O517" s="648"/>
      <c r="P517" s="648"/>
      <c r="Q517" s="648"/>
      <c r="R517" s="647"/>
      <c r="S517" s="647"/>
      <c r="T517" s="647"/>
      <c r="U517" s="647"/>
      <c r="V517" s="647"/>
      <c r="W517" s="647"/>
      <c r="X517" s="647"/>
      <c r="Y517" s="647"/>
      <c r="Z517" s="647"/>
      <c r="AA517" s="647"/>
      <c r="AB517" s="647"/>
      <c r="AC517" s="647"/>
      <c r="AD517" s="647"/>
      <c r="AE517" s="647"/>
      <c r="AF517" s="647"/>
      <c r="AG517" s="647"/>
      <c r="AH517" s="647"/>
      <c r="AI517" s="647"/>
      <c r="AJ517" s="647"/>
      <c r="AK517" s="647"/>
      <c r="AL517" s="647"/>
      <c r="AM517" s="647"/>
    </row>
    <row r="518" spans="1:39" ht="14.1" customHeight="1">
      <c r="A518" s="678" t="str">
        <f>A515</f>
        <v>V.2758754/5.2</v>
      </c>
      <c r="B518" s="679"/>
      <c r="C518" s="679"/>
      <c r="D518" s="679"/>
      <c r="E518" s="679"/>
      <c r="F518" s="680"/>
      <c r="G518" s="648" t="s">
        <v>731</v>
      </c>
      <c r="H518" s="648"/>
      <c r="I518" s="648"/>
      <c r="J518" s="655">
        <f t="shared" si="28"/>
        <v>45748</v>
      </c>
      <c r="K518" s="656"/>
      <c r="L518" s="657"/>
      <c r="M518" s="648" t="s">
        <v>720</v>
      </c>
      <c r="N518" s="648"/>
      <c r="O518" s="648">
        <f>O515</f>
        <v>1</v>
      </c>
      <c r="P518" s="648"/>
      <c r="Q518" s="648"/>
      <c r="R518" s="647" t="str">
        <f>VLOOKUP(A518,Regularizare!$D:$U,9,FALSE)&amp;" ("&amp;VLOOKUP(A518,Regularizare!$D:$U,17,FALSE)&amp;")"</f>
        <v>48 (citit)</v>
      </c>
      <c r="S518" s="647"/>
      <c r="T518" s="647"/>
      <c r="U518" s="647" t="str">
        <f>VLOOKUP(A518,Regularizare!$D:$U,10,FALSE)&amp;" ("&amp;VLOOKUP(A518,Regularizare!$D:$U,18,FALSE)&amp;")"</f>
        <v>48 (estimat)</v>
      </c>
      <c r="V518" s="647"/>
      <c r="W518" s="647"/>
      <c r="X518" s="647" t="str">
        <f>_xlfn.CONCAT(VLOOKUP(A518,Regularizare!$D:$U,10,FALSE)-VLOOKUP(A518,Regularizare!$D:$U,9,FALSE)," (",VLOOKUP(A518,Regularizare!$D:$U,18,FALSE),")")</f>
        <v>0 (estimat)</v>
      </c>
      <c r="Y518" s="647"/>
      <c r="Z518" s="647"/>
      <c r="AA518" s="647">
        <f>IF(VLOOKUP(A518,Regularizare!$D:$Y,22,FALSE)=0,VLOOKUP(A518,Regularizare!$D:$Y,22,FALSE),(-1)*VLOOKUP(A518,Regularizare!$D:$Y,22,FALSE))</f>
        <v>0</v>
      </c>
      <c r="AB518" s="647"/>
      <c r="AC518" s="647"/>
      <c r="AD518" s="647" t="s">
        <v>69</v>
      </c>
      <c r="AE518" s="647"/>
      <c r="AF518" s="647">
        <f>AA518</f>
        <v>0</v>
      </c>
      <c r="AG518" s="647"/>
      <c r="AH518" s="647"/>
      <c r="AI518" s="647" t="str">
        <f>AI515</f>
        <v>-</v>
      </c>
      <c r="AJ518" s="647"/>
      <c r="AK518" s="647" t="str">
        <f>AK515</f>
        <v>-</v>
      </c>
      <c r="AL518" s="647"/>
      <c r="AM518" s="647"/>
    </row>
    <row r="519" spans="1:39" ht="8.4499999999999993" customHeight="1">
      <c r="A519" s="717"/>
      <c r="B519" s="718"/>
      <c r="C519" s="718"/>
      <c r="D519" s="718"/>
      <c r="E519" s="718"/>
      <c r="F519" s="719"/>
      <c r="G519" s="648"/>
      <c r="H519" s="648"/>
      <c r="I519" s="648"/>
      <c r="J519" s="717" t="str">
        <f t="shared" si="28"/>
        <v>-</v>
      </c>
      <c r="K519" s="718"/>
      <c r="L519" s="719"/>
      <c r="M519" s="648"/>
      <c r="N519" s="648"/>
      <c r="O519" s="648"/>
      <c r="P519" s="648"/>
      <c r="Q519" s="648"/>
      <c r="R519" s="647"/>
      <c r="S519" s="647"/>
      <c r="T519" s="647"/>
      <c r="U519" s="647"/>
      <c r="V519" s="647"/>
      <c r="W519" s="647"/>
      <c r="X519" s="647"/>
      <c r="Y519" s="647"/>
      <c r="Z519" s="647"/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</row>
    <row r="520" spans="1:39" ht="14.1" customHeight="1">
      <c r="A520" s="681"/>
      <c r="B520" s="682"/>
      <c r="C520" s="682"/>
      <c r="D520" s="682"/>
      <c r="E520" s="682"/>
      <c r="F520" s="683"/>
      <c r="G520" s="648"/>
      <c r="H520" s="648"/>
      <c r="I520" s="648"/>
      <c r="J520" s="714">
        <f t="shared" si="28"/>
        <v>45777</v>
      </c>
      <c r="K520" s="715"/>
      <c r="L520" s="716"/>
      <c r="M520" s="648"/>
      <c r="N520" s="648"/>
      <c r="O520" s="648"/>
      <c r="P520" s="648"/>
      <c r="Q520" s="648"/>
      <c r="R520" s="647"/>
      <c r="S520" s="647"/>
      <c r="T520" s="647"/>
      <c r="U520" s="647"/>
      <c r="V520" s="647"/>
      <c r="W520" s="647"/>
      <c r="X520" s="647"/>
      <c r="Y520" s="647"/>
      <c r="Z520" s="647"/>
      <c r="AA520" s="647"/>
      <c r="AB520" s="647"/>
      <c r="AC520" s="647"/>
      <c r="AD520" s="647"/>
      <c r="AE520" s="647"/>
      <c r="AF520" s="647"/>
      <c r="AG520" s="647"/>
      <c r="AH520" s="647"/>
      <c r="AI520" s="647"/>
      <c r="AJ520" s="647"/>
      <c r="AK520" s="647"/>
      <c r="AL520" s="647"/>
      <c r="AM520" s="647"/>
    </row>
    <row r="521" spans="1:39" ht="14.1" customHeight="1">
      <c r="A521" s="678" t="str">
        <f>A518</f>
        <v>V.2758754/5.2</v>
      </c>
      <c r="B521" s="679"/>
      <c r="C521" s="679"/>
      <c r="D521" s="679"/>
      <c r="E521" s="679"/>
      <c r="F521" s="680"/>
      <c r="G521" s="648" t="s">
        <v>730</v>
      </c>
      <c r="H521" s="648"/>
      <c r="I521" s="673"/>
      <c r="J521" s="655">
        <f>'Date masura OD'!$AK$5</f>
        <v>45748</v>
      </c>
      <c r="K521" s="656"/>
      <c r="L521" s="657"/>
      <c r="M521" s="720" t="s">
        <v>446</v>
      </c>
      <c r="N521" s="648"/>
      <c r="O521" s="648">
        <f>O518</f>
        <v>1</v>
      </c>
      <c r="P521" s="648"/>
      <c r="Q521" s="648"/>
      <c r="R521" s="647" t="str">
        <f>VLOOKUP(A521,Regularizare!$D:$YN,3,FALSE)&amp;" ("&amp;VLOOKUP(A521,Regularizare!$D:$Y,11,FALSE)&amp;")"</f>
        <v>0 (citit)</v>
      </c>
      <c r="S521" s="647"/>
      <c r="T521" s="647"/>
      <c r="U521" s="647" t="str">
        <f>VLOOKUP(A521,Regularizare!$D:$U,4,FALSE)&amp;" ("&amp;VLOOKUP(A521,Regularizare!$D:$U,12,FALSE)&amp;")"</f>
        <v>0 (estimat)</v>
      </c>
      <c r="V521" s="647"/>
      <c r="W521" s="647"/>
      <c r="X521" s="647" t="str">
        <f>VLOOKUP(A521,Regularizare!$D:$Y,19,FALSE)&amp;" ("&amp;VLOOKUP(A521,Regularizare!$D:$U,12,FALSE)&amp;")"</f>
        <v>0 (estimat)</v>
      </c>
      <c r="Y521" s="647"/>
      <c r="Z521" s="647"/>
      <c r="AA521" s="647">
        <f>(-1)*VLOOKUP(A521,Regularizare!$D:$Y,19,FALSE)</f>
        <v>0</v>
      </c>
      <c r="AB521" s="647"/>
      <c r="AC521" s="647"/>
      <c r="AD521" s="647" t="s">
        <v>69</v>
      </c>
      <c r="AE521" s="647"/>
      <c r="AF521" s="647">
        <f>AA521</f>
        <v>0</v>
      </c>
      <c r="AG521" s="647"/>
      <c r="AH521" s="647"/>
      <c r="AI521" s="647" t="s">
        <v>69</v>
      </c>
      <c r="AJ521" s="647"/>
      <c r="AK521" s="647" t="s">
        <v>69</v>
      </c>
      <c r="AL521" s="647"/>
      <c r="AM521" s="647"/>
    </row>
    <row r="522" spans="1:39" ht="8.4499999999999993" customHeight="1">
      <c r="A522" s="717"/>
      <c r="B522" s="718"/>
      <c r="C522" s="718"/>
      <c r="D522" s="718"/>
      <c r="E522" s="718"/>
      <c r="F522" s="719"/>
      <c r="G522" s="648"/>
      <c r="H522" s="648"/>
      <c r="I522" s="673"/>
      <c r="J522" s="717" t="s">
        <v>69</v>
      </c>
      <c r="K522" s="718"/>
      <c r="L522" s="719"/>
      <c r="M522" s="720"/>
      <c r="N522" s="648"/>
      <c r="O522" s="648"/>
      <c r="P522" s="648"/>
      <c r="Q522" s="648"/>
      <c r="R522" s="647"/>
      <c r="S522" s="647"/>
      <c r="T522" s="647"/>
      <c r="U522" s="647"/>
      <c r="V522" s="647"/>
      <c r="W522" s="647"/>
      <c r="X522" s="647"/>
      <c r="Y522" s="647"/>
      <c r="Z522" s="647"/>
      <c r="AA522" s="647"/>
      <c r="AB522" s="647"/>
      <c r="AC522" s="647"/>
      <c r="AD522" s="647"/>
      <c r="AE522" s="647"/>
      <c r="AF522" s="647"/>
      <c r="AG522" s="647"/>
      <c r="AH522" s="647"/>
      <c r="AI522" s="647"/>
      <c r="AJ522" s="647"/>
      <c r="AK522" s="647"/>
      <c r="AL522" s="647"/>
      <c r="AM522" s="647"/>
    </row>
    <row r="523" spans="1:39" ht="14.1" customHeight="1">
      <c r="A523" s="681"/>
      <c r="B523" s="682"/>
      <c r="C523" s="682"/>
      <c r="D523" s="682"/>
      <c r="E523" s="682"/>
      <c r="F523" s="683"/>
      <c r="G523" s="648"/>
      <c r="H523" s="648"/>
      <c r="I523" s="673"/>
      <c r="J523" s="714">
        <f>'Date masura OD'!$AL$5</f>
        <v>45777</v>
      </c>
      <c r="K523" s="715"/>
      <c r="L523" s="716"/>
      <c r="M523" s="720"/>
      <c r="N523" s="648"/>
      <c r="O523" s="648"/>
      <c r="P523" s="648"/>
      <c r="Q523" s="648"/>
      <c r="R523" s="647"/>
      <c r="S523" s="647"/>
      <c r="T523" s="647"/>
      <c r="U523" s="647"/>
      <c r="V523" s="647"/>
      <c r="W523" s="647"/>
      <c r="X523" s="647"/>
      <c r="Y523" s="647"/>
      <c r="Z523" s="647"/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</row>
    <row r="524" spans="1:39" ht="14.1" customHeight="1">
      <c r="A524" s="678" t="str">
        <f>A521</f>
        <v>V.2758754/5.2</v>
      </c>
      <c r="B524" s="679"/>
      <c r="C524" s="679"/>
      <c r="D524" s="679"/>
      <c r="E524" s="679"/>
      <c r="F524" s="680"/>
      <c r="G524" s="648" t="s">
        <v>696</v>
      </c>
      <c r="H524" s="648"/>
      <c r="I524" s="648"/>
      <c r="J524" s="655">
        <f t="shared" ref="J524:J529" si="29">J521</f>
        <v>45748</v>
      </c>
      <c r="K524" s="656"/>
      <c r="L524" s="657"/>
      <c r="M524" s="648" t="s">
        <v>720</v>
      </c>
      <c r="N524" s="648"/>
      <c r="O524" s="648">
        <f>O521</f>
        <v>1</v>
      </c>
      <c r="P524" s="648"/>
      <c r="Q524" s="648"/>
      <c r="R524" s="647" t="str">
        <f>VLOOKUP(A524,Regularizare!$D:$U,7,FALSE)&amp;" ("&amp;VLOOKUP(A524,Regularizare!$D:$U,15,FALSE)&amp;")"</f>
        <v>48 (citit)</v>
      </c>
      <c r="S524" s="647"/>
      <c r="T524" s="647"/>
      <c r="U524" s="647" t="str">
        <f>VLOOKUP(A524,Regularizare!$D:$U,8,FALSE)&amp;" ("&amp;VLOOKUP(A524,Regularizare!$D:$U,16,FALSE)&amp;")"</f>
        <v>48 (estimat)</v>
      </c>
      <c r="V524" s="647"/>
      <c r="W524" s="647"/>
      <c r="X524" s="647" t="str">
        <f>_xlfn.CONCAT(VLOOKUP(A524,Regularizare!$D:$U,8,FALSE)-VLOOKUP(A524,Regularizare!$D:$U,7,FALSE)," (",VLOOKUP(A524,Regularizare!$D:$U,16,FALSE),")")</f>
        <v>0 (estimat)</v>
      </c>
      <c r="Y524" s="647"/>
      <c r="Z524" s="647"/>
      <c r="AA524" s="647">
        <f>IF(VLOOKUP(A524,Regularizare!$D:$Y,21,FALSE)=0,VLOOKUP(A524,Regularizare!$D:$Y,21,FALSE),(-1)*VLOOKUP(A524,Regularizare!$D:$Y,21,FALSE))</f>
        <v>0</v>
      </c>
      <c r="AB524" s="647"/>
      <c r="AC524" s="647"/>
      <c r="AD524" s="647" t="s">
        <v>69</v>
      </c>
      <c r="AE524" s="647"/>
      <c r="AF524" s="647">
        <f>AA524</f>
        <v>0</v>
      </c>
      <c r="AG524" s="647"/>
      <c r="AH524" s="647"/>
      <c r="AI524" s="647" t="str">
        <f>AI521</f>
        <v>-</v>
      </c>
      <c r="AJ524" s="647"/>
      <c r="AK524" s="647" t="str">
        <f>AK521</f>
        <v>-</v>
      </c>
      <c r="AL524" s="647"/>
      <c r="AM524" s="647"/>
    </row>
    <row r="525" spans="1:39" ht="8.4499999999999993" customHeight="1">
      <c r="A525" s="717"/>
      <c r="B525" s="718"/>
      <c r="C525" s="718"/>
      <c r="D525" s="718"/>
      <c r="E525" s="718"/>
      <c r="F525" s="719"/>
      <c r="G525" s="648"/>
      <c r="H525" s="648"/>
      <c r="I525" s="648"/>
      <c r="J525" s="717" t="str">
        <f t="shared" si="29"/>
        <v>-</v>
      </c>
      <c r="K525" s="718"/>
      <c r="L525" s="719"/>
      <c r="M525" s="648"/>
      <c r="N525" s="648"/>
      <c r="O525" s="648"/>
      <c r="P525" s="648"/>
      <c r="Q525" s="648"/>
      <c r="R525" s="647"/>
      <c r="S525" s="647"/>
      <c r="T525" s="647"/>
      <c r="U525" s="647"/>
      <c r="V525" s="647"/>
      <c r="W525" s="647"/>
      <c r="X525" s="647"/>
      <c r="Y525" s="647"/>
      <c r="Z525" s="647"/>
      <c r="AA525" s="647"/>
      <c r="AB525" s="647"/>
      <c r="AC525" s="647"/>
      <c r="AD525" s="647"/>
      <c r="AE525" s="647"/>
      <c r="AF525" s="647"/>
      <c r="AG525" s="647"/>
      <c r="AH525" s="647"/>
      <c r="AI525" s="647"/>
      <c r="AJ525" s="647"/>
      <c r="AK525" s="647"/>
      <c r="AL525" s="647"/>
      <c r="AM525" s="647"/>
    </row>
    <row r="526" spans="1:39" ht="14.1" customHeight="1">
      <c r="A526" s="681"/>
      <c r="B526" s="682"/>
      <c r="C526" s="682"/>
      <c r="D526" s="682"/>
      <c r="E526" s="682"/>
      <c r="F526" s="683"/>
      <c r="G526" s="648"/>
      <c r="H526" s="648"/>
      <c r="I526" s="648"/>
      <c r="J526" s="714">
        <f t="shared" si="29"/>
        <v>45777</v>
      </c>
      <c r="K526" s="715"/>
      <c r="L526" s="716"/>
      <c r="M526" s="648"/>
      <c r="N526" s="648"/>
      <c r="O526" s="648"/>
      <c r="P526" s="648"/>
      <c r="Q526" s="648"/>
      <c r="R526" s="647"/>
      <c r="S526" s="647"/>
      <c r="T526" s="647"/>
      <c r="U526" s="647"/>
      <c r="V526" s="647"/>
      <c r="W526" s="647"/>
      <c r="X526" s="647"/>
      <c r="Y526" s="647"/>
      <c r="Z526" s="647"/>
      <c r="AA526" s="647"/>
      <c r="AB526" s="647"/>
      <c r="AC526" s="647"/>
      <c r="AD526" s="647"/>
      <c r="AE526" s="647"/>
      <c r="AF526" s="647"/>
      <c r="AG526" s="647"/>
      <c r="AH526" s="647"/>
      <c r="AI526" s="647"/>
      <c r="AJ526" s="647"/>
      <c r="AK526" s="647"/>
      <c r="AL526" s="647"/>
      <c r="AM526" s="647"/>
    </row>
    <row r="527" spans="1:39" ht="14.1" customHeight="1">
      <c r="A527" s="678" t="str">
        <f>A524</f>
        <v>V.2758754/5.2</v>
      </c>
      <c r="B527" s="679"/>
      <c r="C527" s="679"/>
      <c r="D527" s="679"/>
      <c r="E527" s="679"/>
      <c r="F527" s="680"/>
      <c r="G527" s="648" t="s">
        <v>731</v>
      </c>
      <c r="H527" s="648"/>
      <c r="I527" s="648"/>
      <c r="J527" s="655">
        <f t="shared" si="29"/>
        <v>45748</v>
      </c>
      <c r="K527" s="656"/>
      <c r="L527" s="657"/>
      <c r="M527" s="648" t="s">
        <v>720</v>
      </c>
      <c r="N527" s="648"/>
      <c r="O527" s="648">
        <f>O524</f>
        <v>1</v>
      </c>
      <c r="P527" s="648"/>
      <c r="Q527" s="648"/>
      <c r="R527" s="647" t="str">
        <f>VLOOKUP(A527,Regularizare!$D:$U,9,FALSE)&amp;" ("&amp;VLOOKUP(A527,Regularizare!$D:$U,17,FALSE)&amp;")"</f>
        <v>48 (citit)</v>
      </c>
      <c r="S527" s="647"/>
      <c r="T527" s="647"/>
      <c r="U527" s="647" t="str">
        <f>VLOOKUP(A527,Regularizare!$D:$U,10,FALSE)&amp;" ("&amp;VLOOKUP(A527,Regularizare!$D:$U,18,FALSE)&amp;")"</f>
        <v>48 (estimat)</v>
      </c>
      <c r="V527" s="647"/>
      <c r="W527" s="647"/>
      <c r="X527" s="647" t="str">
        <f>_xlfn.CONCAT(VLOOKUP(A527,Regularizare!$D:$U,10,FALSE)-VLOOKUP(A527,Regularizare!$D:$U,9,FALSE)," (",VLOOKUP(A527,Regularizare!$D:$U,18,FALSE),")")</f>
        <v>0 (estimat)</v>
      </c>
      <c r="Y527" s="647"/>
      <c r="Z527" s="647"/>
      <c r="AA527" s="647">
        <f>IF(VLOOKUP(A527,Regularizare!$D:$Y,22,FALSE)=0,VLOOKUP(A527,Regularizare!$D:$Y,22,FALSE),(-1)*VLOOKUP(A527,Regularizare!$D:$Y,22,FALSE))</f>
        <v>0</v>
      </c>
      <c r="AB527" s="647"/>
      <c r="AC527" s="647"/>
      <c r="AD527" s="647" t="s">
        <v>69</v>
      </c>
      <c r="AE527" s="647"/>
      <c r="AF527" s="647">
        <f>AA527</f>
        <v>0</v>
      </c>
      <c r="AG527" s="647"/>
      <c r="AH527" s="647"/>
      <c r="AI527" s="647" t="str">
        <f>AI524</f>
        <v>-</v>
      </c>
      <c r="AJ527" s="647"/>
      <c r="AK527" s="647" t="str">
        <f>AK524</f>
        <v>-</v>
      </c>
      <c r="AL527" s="647"/>
      <c r="AM527" s="647"/>
    </row>
    <row r="528" spans="1:39" ht="8.4499999999999993" customHeight="1">
      <c r="A528" s="717"/>
      <c r="B528" s="718"/>
      <c r="C528" s="718"/>
      <c r="D528" s="718"/>
      <c r="E528" s="718"/>
      <c r="F528" s="719"/>
      <c r="G528" s="648"/>
      <c r="H528" s="648"/>
      <c r="I528" s="648"/>
      <c r="J528" s="717" t="str">
        <f t="shared" si="29"/>
        <v>-</v>
      </c>
      <c r="K528" s="718"/>
      <c r="L528" s="719"/>
      <c r="M528" s="648"/>
      <c r="N528" s="648"/>
      <c r="O528" s="648"/>
      <c r="P528" s="648"/>
      <c r="Q528" s="648"/>
      <c r="R528" s="647"/>
      <c r="S528" s="647"/>
      <c r="T528" s="647"/>
      <c r="U528" s="647"/>
      <c r="V528" s="647"/>
      <c r="W528" s="647"/>
      <c r="X528" s="647"/>
      <c r="Y528" s="647"/>
      <c r="Z528" s="647"/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</row>
    <row r="529" spans="1:39" ht="14.1" customHeight="1">
      <c r="A529" s="681"/>
      <c r="B529" s="682"/>
      <c r="C529" s="682"/>
      <c r="D529" s="682"/>
      <c r="E529" s="682"/>
      <c r="F529" s="683"/>
      <c r="G529" s="648"/>
      <c r="H529" s="648"/>
      <c r="I529" s="648"/>
      <c r="J529" s="714">
        <f t="shared" si="29"/>
        <v>45777</v>
      </c>
      <c r="K529" s="715"/>
      <c r="L529" s="716"/>
      <c r="M529" s="648"/>
      <c r="N529" s="648"/>
      <c r="O529" s="648"/>
      <c r="P529" s="648"/>
      <c r="Q529" s="648"/>
      <c r="R529" s="647"/>
      <c r="S529" s="647"/>
      <c r="T529" s="647"/>
      <c r="U529" s="647"/>
      <c r="V529" s="647"/>
      <c r="W529" s="647"/>
      <c r="X529" s="647"/>
      <c r="Y529" s="647"/>
      <c r="Z529" s="647"/>
      <c r="AA529" s="647"/>
      <c r="AB529" s="647"/>
      <c r="AC529" s="647"/>
      <c r="AD529" s="647"/>
      <c r="AE529" s="647"/>
      <c r="AF529" s="647"/>
      <c r="AG529" s="647"/>
      <c r="AH529" s="647"/>
      <c r="AI529" s="647"/>
      <c r="AJ529" s="647"/>
      <c r="AK529" s="647"/>
      <c r="AL529" s="647"/>
      <c r="AM529" s="647"/>
    </row>
    <row r="530" spans="1:39" ht="14.1" customHeight="1">
      <c r="A530" s="678" t="str">
        <f>A527</f>
        <v>V.2758754/5.2</v>
      </c>
      <c r="B530" s="679"/>
      <c r="C530" s="679"/>
      <c r="D530" s="679"/>
      <c r="E530" s="679"/>
      <c r="F530" s="680"/>
      <c r="G530" s="648" t="s">
        <v>730</v>
      </c>
      <c r="H530" s="648"/>
      <c r="I530" s="673"/>
      <c r="J530" s="655">
        <f>'Date masura OD'!$I$5</f>
        <v>45778</v>
      </c>
      <c r="K530" s="656"/>
      <c r="L530" s="657"/>
      <c r="M530" s="720" t="s">
        <v>446</v>
      </c>
      <c r="N530" s="648"/>
      <c r="O530" s="648">
        <f>O527</f>
        <v>1</v>
      </c>
      <c r="P530" s="648"/>
      <c r="Q530" s="648"/>
      <c r="R530" s="647" t="str">
        <f>U521</f>
        <v>0 (estimat)</v>
      </c>
      <c r="S530" s="647"/>
      <c r="T530" s="647"/>
      <c r="U530" s="647" t="str">
        <f>VLOOKUP(A530,'Incrementare indexe'!$D:$M,4,FALSE)&amp;" (estimat)"</f>
        <v>0 (estimat)</v>
      </c>
      <c r="V530" s="647"/>
      <c r="W530" s="647"/>
      <c r="X530" s="647" t="str">
        <f>VLOOKUP(A530,'Incrementare indexe'!$D:$Q,11,FALSE)&amp;" (estimat)"</f>
        <v>0 (estimat)</v>
      </c>
      <c r="Y530" s="647"/>
      <c r="Z530" s="647"/>
      <c r="AA530" s="647" t="s">
        <v>69</v>
      </c>
      <c r="AB530" s="647"/>
      <c r="AC530" s="647"/>
      <c r="AD530" s="647" t="s">
        <v>69</v>
      </c>
      <c r="AE530" s="647"/>
      <c r="AF530" s="647">
        <f>VLOOKUP(A530,'Incrementare indexe'!$D:$Q,11,FALSE)</f>
        <v>0</v>
      </c>
      <c r="AG530" s="647"/>
      <c r="AH530" s="647"/>
      <c r="AI530" s="647">
        <f>J532-J530+1</f>
        <v>31</v>
      </c>
      <c r="AJ530" s="647"/>
      <c r="AK530" s="647">
        <f>ROUND(AF530/AI530,2)</f>
        <v>0</v>
      </c>
      <c r="AL530" s="647"/>
      <c r="AM530" s="647"/>
    </row>
    <row r="531" spans="1:39" ht="8.4499999999999993" customHeight="1">
      <c r="A531" s="717"/>
      <c r="B531" s="718"/>
      <c r="C531" s="718"/>
      <c r="D531" s="718"/>
      <c r="E531" s="718"/>
      <c r="F531" s="719"/>
      <c r="G531" s="648"/>
      <c r="H531" s="648"/>
      <c r="I531" s="673"/>
      <c r="J531" s="717" t="s">
        <v>69</v>
      </c>
      <c r="K531" s="718"/>
      <c r="L531" s="719"/>
      <c r="M531" s="720"/>
      <c r="N531" s="648"/>
      <c r="O531" s="648"/>
      <c r="P531" s="648"/>
      <c r="Q531" s="648"/>
      <c r="R531" s="647"/>
      <c r="S531" s="647"/>
      <c r="T531" s="647"/>
      <c r="U531" s="647"/>
      <c r="V531" s="647"/>
      <c r="W531" s="647"/>
      <c r="X531" s="647"/>
      <c r="Y531" s="647"/>
      <c r="Z531" s="647"/>
      <c r="AA531" s="647"/>
      <c r="AB531" s="647"/>
      <c r="AC531" s="647"/>
      <c r="AD531" s="647"/>
      <c r="AE531" s="647"/>
      <c r="AF531" s="647"/>
      <c r="AG531" s="647"/>
      <c r="AH531" s="647"/>
      <c r="AI531" s="647"/>
      <c r="AJ531" s="647"/>
      <c r="AK531" s="647"/>
      <c r="AL531" s="647"/>
      <c r="AM531" s="647"/>
    </row>
    <row r="532" spans="1:39" ht="14.1" customHeight="1">
      <c r="A532" s="681"/>
      <c r="B532" s="682"/>
      <c r="C532" s="682"/>
      <c r="D532" s="682"/>
      <c r="E532" s="682"/>
      <c r="F532" s="683"/>
      <c r="G532" s="648"/>
      <c r="H532" s="648"/>
      <c r="I532" s="673"/>
      <c r="J532" s="714">
        <f>'Date masura OD'!$J$5</f>
        <v>45808</v>
      </c>
      <c r="K532" s="715"/>
      <c r="L532" s="716"/>
      <c r="M532" s="720"/>
      <c r="N532" s="648"/>
      <c r="O532" s="648"/>
      <c r="P532" s="648"/>
      <c r="Q532" s="648"/>
      <c r="R532" s="647"/>
      <c r="S532" s="647"/>
      <c r="T532" s="647"/>
      <c r="U532" s="647"/>
      <c r="V532" s="647"/>
      <c r="W532" s="647"/>
      <c r="X532" s="647"/>
      <c r="Y532" s="647"/>
      <c r="Z532" s="647"/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</row>
    <row r="533" spans="1:39" ht="14.1" customHeight="1">
      <c r="A533" s="678" t="str">
        <f>A530</f>
        <v>V.2758754/5.2</v>
      </c>
      <c r="B533" s="679"/>
      <c r="C533" s="679"/>
      <c r="D533" s="679"/>
      <c r="E533" s="679"/>
      <c r="F533" s="680"/>
      <c r="G533" s="648" t="s">
        <v>696</v>
      </c>
      <c r="H533" s="648"/>
      <c r="I533" s="648"/>
      <c r="J533" s="655">
        <f t="shared" ref="J533:J538" si="30">J530</f>
        <v>45778</v>
      </c>
      <c r="K533" s="656"/>
      <c r="L533" s="657"/>
      <c r="M533" s="648" t="s">
        <v>720</v>
      </c>
      <c r="N533" s="648"/>
      <c r="O533" s="648">
        <f>O530</f>
        <v>1</v>
      </c>
      <c r="P533" s="648"/>
      <c r="Q533" s="648"/>
      <c r="R533" s="647" t="str">
        <f>U524</f>
        <v>48 (estimat)</v>
      </c>
      <c r="S533" s="647"/>
      <c r="T533" s="647"/>
      <c r="U533" s="647" t="str">
        <f>VLOOKUP(A533,'Incrementare indexe'!$D:$M,8,FALSE)&amp;" (estimat)"</f>
        <v>48 (estimat)</v>
      </c>
      <c r="V533" s="647"/>
      <c r="W533" s="647"/>
      <c r="X533" s="647" t="str">
        <f>VLOOKUP(A533,'Incrementare indexe'!$D:$Q,12,FALSE)&amp;" (estimat)"</f>
        <v>0 (estimat)</v>
      </c>
      <c r="Y533" s="647"/>
      <c r="Z533" s="647"/>
      <c r="AA533" s="647" t="s">
        <v>69</v>
      </c>
      <c r="AB533" s="647"/>
      <c r="AC533" s="647"/>
      <c r="AD533" s="647" t="s">
        <v>69</v>
      </c>
      <c r="AE533" s="647"/>
      <c r="AF533" s="647">
        <f>VLOOKUP(A533,'Incrementare indexe'!$D:$Q,12,FALSE)</f>
        <v>0</v>
      </c>
      <c r="AG533" s="647"/>
      <c r="AH533" s="647"/>
      <c r="AI533" s="647">
        <f>AI530</f>
        <v>31</v>
      </c>
      <c r="AJ533" s="647"/>
      <c r="AK533" s="647">
        <f>ROUND(AF533/AI533,2)</f>
        <v>0</v>
      </c>
      <c r="AL533" s="647"/>
      <c r="AM533" s="647"/>
    </row>
    <row r="534" spans="1:39" ht="8.4499999999999993" customHeight="1">
      <c r="A534" s="717"/>
      <c r="B534" s="718"/>
      <c r="C534" s="718"/>
      <c r="D534" s="718"/>
      <c r="E534" s="718"/>
      <c r="F534" s="719"/>
      <c r="G534" s="648"/>
      <c r="H534" s="648"/>
      <c r="I534" s="648"/>
      <c r="J534" s="717" t="str">
        <f t="shared" si="30"/>
        <v>-</v>
      </c>
      <c r="K534" s="718"/>
      <c r="L534" s="719"/>
      <c r="M534" s="648"/>
      <c r="N534" s="648"/>
      <c r="O534" s="648"/>
      <c r="P534" s="648"/>
      <c r="Q534" s="648"/>
      <c r="R534" s="647"/>
      <c r="S534" s="647"/>
      <c r="T534" s="647"/>
      <c r="U534" s="647"/>
      <c r="V534" s="647"/>
      <c r="W534" s="647"/>
      <c r="X534" s="647"/>
      <c r="Y534" s="647"/>
      <c r="Z534" s="647"/>
      <c r="AA534" s="647"/>
      <c r="AB534" s="647"/>
      <c r="AC534" s="647"/>
      <c r="AD534" s="647"/>
      <c r="AE534" s="647"/>
      <c r="AF534" s="647"/>
      <c r="AG534" s="647"/>
      <c r="AH534" s="647"/>
      <c r="AI534" s="647"/>
      <c r="AJ534" s="647"/>
      <c r="AK534" s="647"/>
      <c r="AL534" s="647"/>
      <c r="AM534" s="647"/>
    </row>
    <row r="535" spans="1:39" ht="14.1" customHeight="1">
      <c r="A535" s="681"/>
      <c r="B535" s="682"/>
      <c r="C535" s="682"/>
      <c r="D535" s="682"/>
      <c r="E535" s="682"/>
      <c r="F535" s="683"/>
      <c r="G535" s="648"/>
      <c r="H535" s="648"/>
      <c r="I535" s="648"/>
      <c r="J535" s="714">
        <f t="shared" si="30"/>
        <v>45808</v>
      </c>
      <c r="K535" s="715"/>
      <c r="L535" s="716"/>
      <c r="M535" s="648"/>
      <c r="N535" s="648"/>
      <c r="O535" s="648"/>
      <c r="P535" s="648"/>
      <c r="Q535" s="648"/>
      <c r="R535" s="647"/>
      <c r="S535" s="647"/>
      <c r="T535" s="647"/>
      <c r="U535" s="647"/>
      <c r="V535" s="647"/>
      <c r="W535" s="647"/>
      <c r="X535" s="647"/>
      <c r="Y535" s="647"/>
      <c r="Z535" s="647"/>
      <c r="AA535" s="647"/>
      <c r="AB535" s="647"/>
      <c r="AC535" s="647"/>
      <c r="AD535" s="647"/>
      <c r="AE535" s="647"/>
      <c r="AF535" s="647"/>
      <c r="AG535" s="647"/>
      <c r="AH535" s="647"/>
      <c r="AI535" s="647"/>
      <c r="AJ535" s="647"/>
      <c r="AK535" s="647"/>
      <c r="AL535" s="647"/>
      <c r="AM535" s="647"/>
    </row>
    <row r="536" spans="1:39" ht="14.1" customHeight="1">
      <c r="A536" s="678" t="str">
        <f>A533</f>
        <v>V.2758754/5.2</v>
      </c>
      <c r="B536" s="679"/>
      <c r="C536" s="679"/>
      <c r="D536" s="679"/>
      <c r="E536" s="679"/>
      <c r="F536" s="680"/>
      <c r="G536" s="648" t="s">
        <v>731</v>
      </c>
      <c r="H536" s="648"/>
      <c r="I536" s="648"/>
      <c r="J536" s="655">
        <f t="shared" si="30"/>
        <v>45778</v>
      </c>
      <c r="K536" s="656"/>
      <c r="L536" s="657"/>
      <c r="M536" s="648" t="s">
        <v>720</v>
      </c>
      <c r="N536" s="648"/>
      <c r="O536" s="648">
        <f>O533</f>
        <v>1</v>
      </c>
      <c r="P536" s="648"/>
      <c r="Q536" s="648"/>
      <c r="R536" s="647" t="str">
        <f>U527</f>
        <v>48 (estimat)</v>
      </c>
      <c r="S536" s="647"/>
      <c r="T536" s="647"/>
      <c r="U536" s="647" t="str">
        <f>VLOOKUP(A536,'Incrementare indexe'!$D:$M,10,FALSE)&amp;" (estimat)"</f>
        <v>48 (estimat)</v>
      </c>
      <c r="V536" s="647"/>
      <c r="W536" s="647"/>
      <c r="X536" s="647" t="str">
        <f>VLOOKUP(A536,'Incrementare indexe'!$D:$Q,13,FALSE)&amp;" (estimat)"</f>
        <v>0 (estimat)</v>
      </c>
      <c r="Y536" s="647"/>
      <c r="Z536" s="647"/>
      <c r="AA536" s="647" t="s">
        <v>69</v>
      </c>
      <c r="AB536" s="647"/>
      <c r="AC536" s="647"/>
      <c r="AD536" s="647" t="s">
        <v>69</v>
      </c>
      <c r="AE536" s="647"/>
      <c r="AF536" s="647">
        <f>VLOOKUP(A536,'Incrementare indexe'!$D:$Q,13,FALSE)</f>
        <v>0</v>
      </c>
      <c r="AG536" s="647"/>
      <c r="AH536" s="647"/>
      <c r="AI536" s="647">
        <f>AI533</f>
        <v>31</v>
      </c>
      <c r="AJ536" s="647"/>
      <c r="AK536" s="647">
        <f>ROUND(AF536/AI536,2)</f>
        <v>0</v>
      </c>
      <c r="AL536" s="647"/>
      <c r="AM536" s="647"/>
    </row>
    <row r="537" spans="1:39" ht="8.4499999999999993" customHeight="1">
      <c r="A537" s="717"/>
      <c r="B537" s="718"/>
      <c r="C537" s="718"/>
      <c r="D537" s="718"/>
      <c r="E537" s="718"/>
      <c r="F537" s="719"/>
      <c r="G537" s="648"/>
      <c r="H537" s="648"/>
      <c r="I537" s="648"/>
      <c r="J537" s="717" t="str">
        <f t="shared" si="30"/>
        <v>-</v>
      </c>
      <c r="K537" s="718"/>
      <c r="L537" s="719"/>
      <c r="M537" s="648"/>
      <c r="N537" s="648"/>
      <c r="O537" s="648"/>
      <c r="P537" s="648"/>
      <c r="Q537" s="648"/>
      <c r="R537" s="647"/>
      <c r="S537" s="647"/>
      <c r="T537" s="647"/>
      <c r="U537" s="647"/>
      <c r="V537" s="647"/>
      <c r="W537" s="647"/>
      <c r="X537" s="647"/>
      <c r="Y537" s="647"/>
      <c r="Z537" s="647"/>
      <c r="AA537" s="647"/>
      <c r="AB537" s="647"/>
      <c r="AC537" s="647"/>
      <c r="AD537" s="647"/>
      <c r="AE537" s="647"/>
      <c r="AF537" s="647"/>
      <c r="AG537" s="647"/>
      <c r="AH537" s="647"/>
      <c r="AI537" s="647"/>
      <c r="AJ537" s="647"/>
      <c r="AK537" s="647"/>
      <c r="AL537" s="647"/>
      <c r="AM537" s="647"/>
    </row>
    <row r="538" spans="1:39" ht="14.1" customHeight="1">
      <c r="A538" s="681"/>
      <c r="B538" s="682"/>
      <c r="C538" s="682"/>
      <c r="D538" s="682"/>
      <c r="E538" s="682"/>
      <c r="F538" s="683"/>
      <c r="G538" s="648"/>
      <c r="H538" s="648"/>
      <c r="I538" s="648"/>
      <c r="J538" s="714">
        <f t="shared" si="30"/>
        <v>45808</v>
      </c>
      <c r="K538" s="715"/>
      <c r="L538" s="716"/>
      <c r="M538" s="648"/>
      <c r="N538" s="648"/>
      <c r="O538" s="648"/>
      <c r="P538" s="648"/>
      <c r="Q538" s="648"/>
      <c r="R538" s="647"/>
      <c r="S538" s="647"/>
      <c r="T538" s="647"/>
      <c r="U538" s="647"/>
      <c r="V538" s="647"/>
      <c r="W538" s="647"/>
      <c r="X538" s="647"/>
      <c r="Y538" s="647"/>
      <c r="Z538" s="647"/>
      <c r="AA538" s="647"/>
      <c r="AB538" s="647"/>
      <c r="AC538" s="647"/>
      <c r="AD538" s="647"/>
      <c r="AE538" s="647"/>
      <c r="AF538" s="647"/>
      <c r="AG538" s="647"/>
      <c r="AH538" s="647"/>
      <c r="AI538" s="647"/>
      <c r="AJ538" s="647"/>
      <c r="AK538" s="647"/>
      <c r="AL538" s="647"/>
      <c r="AM538" s="647"/>
    </row>
    <row r="539" spans="1:39" ht="14.1" customHeight="1"/>
    <row r="540" spans="1:39" ht="14.1" customHeight="1"/>
    <row r="541" spans="1:39" ht="14.1" customHeight="1"/>
    <row r="542" spans="1:39" ht="14.1" customHeight="1"/>
    <row r="543" spans="1:39" ht="14.1" customHeight="1"/>
    <row r="544" spans="1:39" ht="14.1" customHeight="1"/>
    <row r="545" spans="1:39" ht="14.1" customHeight="1"/>
    <row r="546" spans="1:39" ht="14.1" customHeight="1"/>
    <row r="547" spans="1:39" ht="14.1" customHeight="1"/>
    <row r="548" spans="1:39" ht="14.1" customHeight="1"/>
    <row r="549" spans="1:39" ht="14.1" customHeight="1"/>
    <row r="550" spans="1:39" ht="14.1" customHeight="1"/>
    <row r="551" spans="1:39" ht="14.1" customHeight="1"/>
    <row r="552" spans="1:39" ht="14.1" customHeight="1"/>
    <row r="553" spans="1:39" ht="14.1" customHeight="1"/>
    <row r="554" spans="1:39" ht="14.1" customHeight="1"/>
    <row r="555" spans="1:39" ht="14.1" customHeight="1"/>
    <row r="556" spans="1:39" ht="14.1" customHeight="1"/>
    <row r="557" spans="1:39" ht="14.1" customHeight="1"/>
    <row r="558" spans="1:39" ht="14.1" customHeight="1"/>
    <row r="559" spans="1:39" ht="15.95" customHeight="1">
      <c r="A559" s="624" t="str">
        <f>A28</f>
        <v>DETALII FACTURA FACTURA FISCALA SERIA …........ NR …................. din date de ….......06.2025</v>
      </c>
      <c r="B559" s="624"/>
      <c r="C559" s="624"/>
      <c r="D559" s="624"/>
      <c r="E559" s="624"/>
      <c r="F559" s="624"/>
      <c r="G559" s="624"/>
      <c r="H559" s="624"/>
      <c r="I559" s="624"/>
      <c r="J559" s="624"/>
      <c r="K559" s="624"/>
      <c r="L559" s="624"/>
      <c r="M559" s="624"/>
      <c r="N559" s="624"/>
      <c r="O559" s="624"/>
      <c r="P559" s="624"/>
      <c r="Q559" s="624"/>
      <c r="R559" s="624"/>
      <c r="S559" s="624"/>
      <c r="T559" s="624"/>
      <c r="U559" s="624"/>
      <c r="V559" s="624"/>
      <c r="W559" s="624"/>
      <c r="X559" s="624"/>
      <c r="Y559" s="624"/>
      <c r="Z559" s="624"/>
      <c r="AA559" s="624"/>
      <c r="AB559" s="624"/>
      <c r="AC559" s="624"/>
      <c r="AD559" s="624"/>
      <c r="AE559" s="624"/>
      <c r="AF559" s="624"/>
      <c r="AG559" s="624"/>
      <c r="AH559" s="624"/>
      <c r="AI559" s="624"/>
      <c r="AJ559" s="624"/>
      <c r="AK559" s="624"/>
      <c r="AL559" s="624"/>
      <c r="AM559" s="624"/>
    </row>
    <row r="561" spans="1:39" ht="36" customHeight="1">
      <c r="A561" s="66" t="s">
        <v>721</v>
      </c>
      <c r="B561" s="648" t="s">
        <v>95</v>
      </c>
      <c r="C561" s="648"/>
      <c r="D561" s="648"/>
      <c r="E561" s="648"/>
      <c r="F561" s="648"/>
      <c r="G561" s="648"/>
      <c r="H561" s="648"/>
      <c r="I561" s="648"/>
      <c r="J561" s="648"/>
      <c r="K561" s="648"/>
      <c r="L561" s="64" t="s">
        <v>709</v>
      </c>
      <c r="M561" s="69"/>
      <c r="N561" s="69"/>
      <c r="O561" s="64"/>
      <c r="P561" s="69"/>
      <c r="Q561" s="69"/>
      <c r="R561" s="647" t="s">
        <v>722</v>
      </c>
      <c r="S561" s="647"/>
      <c r="T561" s="647"/>
      <c r="U561" s="647"/>
      <c r="V561" s="648" t="s">
        <v>519</v>
      </c>
      <c r="W561" s="648"/>
      <c r="X561" s="647" t="s">
        <v>723</v>
      </c>
      <c r="Y561" s="647"/>
      <c r="Z561" s="647"/>
      <c r="AA561" s="647"/>
      <c r="AB561" s="647" t="s">
        <v>724</v>
      </c>
      <c r="AC561" s="647"/>
      <c r="AD561" s="647"/>
      <c r="AE561" s="647"/>
      <c r="AF561" s="647" t="s">
        <v>725</v>
      </c>
      <c r="AG561" s="647"/>
      <c r="AH561" s="647"/>
      <c r="AI561" s="647"/>
      <c r="AJ561" s="647" t="s">
        <v>726</v>
      </c>
      <c r="AK561" s="647"/>
      <c r="AL561" s="647"/>
      <c r="AM561" s="647"/>
    </row>
    <row r="562" spans="1:39" ht="15.95" customHeight="1">
      <c r="A562" s="65">
        <v>1</v>
      </c>
      <c r="B562" s="699" t="s">
        <v>71</v>
      </c>
      <c r="C562" s="700"/>
      <c r="D562" s="700"/>
      <c r="E562" s="700"/>
      <c r="F562" s="700"/>
      <c r="G562" s="700"/>
      <c r="H562" s="700"/>
      <c r="I562" s="700"/>
      <c r="J562" s="700"/>
      <c r="K562" s="701"/>
      <c r="L562" s="763">
        <f>'Date masura OD'!$I$5</f>
        <v>45778</v>
      </c>
      <c r="M562" s="764"/>
      <c r="N562" s="765"/>
      <c r="O562" s="763">
        <f>'Date masura OD'!$J$5</f>
        <v>45808</v>
      </c>
      <c r="P562" s="764"/>
      <c r="Q562" s="765"/>
      <c r="R562" s="772" cm="1">
        <f t="array" ref="R562">INDEX(verificare!$AT$4:$CC$26,VLOOKUP($AA$15,verificare!$AR$4:$AS$26,2,FALSE),A562)</f>
        <v>870503</v>
      </c>
      <c r="S562" s="773"/>
      <c r="T562" s="773"/>
      <c r="U562" s="774"/>
      <c r="V562" s="724" t="s">
        <v>446</v>
      </c>
      <c r="W562" s="725"/>
      <c r="X562" s="691">
        <f>HLOOKUP(VLOOKUP($AA$15,'Date SPV'!$B:$F,5,FALSE),'Preturi si tarife'!$C$2:$J$39,A562+2,FALSE)</f>
        <v>0.59499999999999997</v>
      </c>
      <c r="Y562" s="692"/>
      <c r="Z562" s="692"/>
      <c r="AA562" s="693"/>
      <c r="AB562" s="772">
        <f>ROUND(X562*R562,2)</f>
        <v>517949.29</v>
      </c>
      <c r="AC562" s="773"/>
      <c r="AD562" s="773"/>
      <c r="AE562" s="774"/>
      <c r="AF562" s="772">
        <f>ROUND(AB562*19%,2)</f>
        <v>98410.37</v>
      </c>
      <c r="AG562" s="773"/>
      <c r="AH562" s="773"/>
      <c r="AI562" s="774"/>
      <c r="AJ562" s="772">
        <f>AB562+AF562</f>
        <v>616359.65999999992</v>
      </c>
      <c r="AK562" s="773"/>
      <c r="AL562" s="773"/>
      <c r="AM562" s="774"/>
    </row>
    <row r="563" spans="1:39" ht="15.95" customHeight="1">
      <c r="A563" s="65">
        <f>A562+1</f>
        <v>2</v>
      </c>
      <c r="B563" s="699" t="s">
        <v>72</v>
      </c>
      <c r="C563" s="700"/>
      <c r="D563" s="700"/>
      <c r="E563" s="700"/>
      <c r="F563" s="700"/>
      <c r="G563" s="700"/>
      <c r="H563" s="700"/>
      <c r="I563" s="700"/>
      <c r="J563" s="700"/>
      <c r="K563" s="701"/>
      <c r="L563" s="763">
        <f>L562</f>
        <v>45778</v>
      </c>
      <c r="M563" s="764"/>
      <c r="N563" s="765"/>
      <c r="O563" s="763">
        <f>O562</f>
        <v>45808</v>
      </c>
      <c r="P563" s="764"/>
      <c r="Q563" s="765"/>
      <c r="R563" s="772" cm="1">
        <f t="array" ref="R563">INDEX(verificare!$AT$4:$CC$26,VLOOKUP($AA$15,verificare!$AR$4:$AS$26,2,FALSE),A563)</f>
        <v>0</v>
      </c>
      <c r="S563" s="773"/>
      <c r="T563" s="773"/>
      <c r="U563" s="774"/>
      <c r="V563" s="724" t="s">
        <v>727</v>
      </c>
      <c r="W563" s="725"/>
      <c r="X563" s="691">
        <f>HLOOKUP(VLOOKUP($AA$15,'Date SPV'!$B:$F,5,FALSE),'Preturi si tarife'!$C$2:$J$39,A563+2,FALSE)</f>
        <v>0.14649999999999999</v>
      </c>
      <c r="Y563" s="692"/>
      <c r="Z563" s="692"/>
      <c r="AA563" s="693"/>
      <c r="AB563" s="772">
        <f t="shared" ref="AB563:AB597" si="31">ROUND(X563*R563,2)</f>
        <v>0</v>
      </c>
      <c r="AC563" s="773"/>
      <c r="AD563" s="773"/>
      <c r="AE563" s="774"/>
      <c r="AF563" s="772">
        <f t="shared" ref="AF563:AF598" si="32">ROUND(AB563*19%,2)</f>
        <v>0</v>
      </c>
      <c r="AG563" s="773"/>
      <c r="AH563" s="773"/>
      <c r="AI563" s="774"/>
      <c r="AJ563" s="772">
        <f t="shared" ref="AJ563:AJ598" si="33">AB563+AF563</f>
        <v>0</v>
      </c>
      <c r="AK563" s="773"/>
      <c r="AL563" s="773"/>
      <c r="AM563" s="774"/>
    </row>
    <row r="564" spans="1:39" ht="15.95" customHeight="1">
      <c r="A564" s="65">
        <f t="shared" ref="A564:A598" si="34">A563+1</f>
        <v>3</v>
      </c>
      <c r="B564" s="699" t="s">
        <v>73</v>
      </c>
      <c r="C564" s="700"/>
      <c r="D564" s="700"/>
      <c r="E564" s="700"/>
      <c r="F564" s="700"/>
      <c r="G564" s="700"/>
      <c r="H564" s="700"/>
      <c r="I564" s="700"/>
      <c r="J564" s="700"/>
      <c r="K564" s="701"/>
      <c r="L564" s="763">
        <f t="shared" ref="L564:L579" si="35">L563</f>
        <v>45778</v>
      </c>
      <c r="M564" s="764"/>
      <c r="N564" s="765"/>
      <c r="O564" s="763">
        <f t="shared" ref="O564:O579" si="36">O563</f>
        <v>45808</v>
      </c>
      <c r="P564" s="764"/>
      <c r="Q564" s="765"/>
      <c r="R564" s="772" cm="1">
        <f t="array" ref="R564">INDEX(verificare!$AT$4:$CC$26,VLOOKUP($AA$15,verificare!$AR$4:$AS$26,2,FALSE),A564)</f>
        <v>0</v>
      </c>
      <c r="S564" s="773"/>
      <c r="T564" s="773"/>
      <c r="U564" s="774"/>
      <c r="V564" s="724" t="s">
        <v>727</v>
      </c>
      <c r="W564" s="725"/>
      <c r="X564" s="691">
        <f>HLOOKUP(VLOOKUP($AA$15,'Date SPV'!$B:$F,5,FALSE),'Preturi si tarife'!$C$2:$J$39,A564+2,FALSE)</f>
        <v>0.4395</v>
      </c>
      <c r="Y564" s="692"/>
      <c r="Z564" s="692"/>
      <c r="AA564" s="693"/>
      <c r="AB564" s="772">
        <f t="shared" si="31"/>
        <v>0</v>
      </c>
      <c r="AC564" s="773"/>
      <c r="AD564" s="773"/>
      <c r="AE564" s="774"/>
      <c r="AF564" s="772">
        <f t="shared" si="32"/>
        <v>0</v>
      </c>
      <c r="AG564" s="773"/>
      <c r="AH564" s="773"/>
      <c r="AI564" s="774"/>
      <c r="AJ564" s="772">
        <f t="shared" si="33"/>
        <v>0</v>
      </c>
      <c r="AK564" s="773"/>
      <c r="AL564" s="773"/>
      <c r="AM564" s="774"/>
    </row>
    <row r="565" spans="1:39" ht="15.95" customHeight="1">
      <c r="A565" s="65">
        <f t="shared" si="34"/>
        <v>4</v>
      </c>
      <c r="B565" s="699" t="s">
        <v>868</v>
      </c>
      <c r="C565" s="700"/>
      <c r="D565" s="700"/>
      <c r="E565" s="700"/>
      <c r="F565" s="700"/>
      <c r="G565" s="700"/>
      <c r="H565" s="700"/>
      <c r="I565" s="700"/>
      <c r="J565" s="700"/>
      <c r="K565" s="701"/>
      <c r="L565" s="763">
        <f t="shared" si="35"/>
        <v>45778</v>
      </c>
      <c r="M565" s="764"/>
      <c r="N565" s="765"/>
      <c r="O565" s="763">
        <f t="shared" si="36"/>
        <v>45808</v>
      </c>
      <c r="P565" s="764"/>
      <c r="Q565" s="765"/>
      <c r="R565" s="772" cm="1">
        <f t="array" ref="R565">INDEX(verificare!$AT$4:$CC$26,VLOOKUP($AA$15,verificare!$AR$4:$AS$26,2,FALSE),A565)</f>
        <v>870503</v>
      </c>
      <c r="S565" s="773"/>
      <c r="T565" s="773"/>
      <c r="U565" s="774"/>
      <c r="V565" s="724" t="s">
        <v>446</v>
      </c>
      <c r="W565" s="725"/>
      <c r="X565" s="691">
        <f>HLOOKUP(VLOOKUP($AA$15,'Date SPV'!$B:$F,5,FALSE),'Preturi si tarife'!$C$2:$J$39,A565+2,FALSE)</f>
        <v>0.11483</v>
      </c>
      <c r="Y565" s="692"/>
      <c r="Z565" s="692"/>
      <c r="AA565" s="693"/>
      <c r="AB565" s="772">
        <f t="shared" si="31"/>
        <v>99959.86</v>
      </c>
      <c r="AC565" s="773"/>
      <c r="AD565" s="773"/>
      <c r="AE565" s="774"/>
      <c r="AF565" s="772">
        <f t="shared" si="32"/>
        <v>18992.37</v>
      </c>
      <c r="AG565" s="773"/>
      <c r="AH565" s="773"/>
      <c r="AI565" s="774"/>
      <c r="AJ565" s="772">
        <f t="shared" si="33"/>
        <v>118952.23</v>
      </c>
      <c r="AK565" s="773"/>
      <c r="AL565" s="773"/>
      <c r="AM565" s="774"/>
    </row>
    <row r="566" spans="1:39" ht="15.95" customHeight="1">
      <c r="A566" s="65">
        <f t="shared" si="34"/>
        <v>5</v>
      </c>
      <c r="B566" s="699" t="s">
        <v>757</v>
      </c>
      <c r="C566" s="700"/>
      <c r="D566" s="700"/>
      <c r="E566" s="700"/>
      <c r="F566" s="700"/>
      <c r="G566" s="700"/>
      <c r="H566" s="700"/>
      <c r="I566" s="700"/>
      <c r="J566" s="700"/>
      <c r="K566" s="701"/>
      <c r="L566" s="763">
        <f t="shared" si="35"/>
        <v>45778</v>
      </c>
      <c r="M566" s="764"/>
      <c r="N566" s="765"/>
      <c r="O566" s="763">
        <f t="shared" si="36"/>
        <v>45808</v>
      </c>
      <c r="P566" s="764"/>
      <c r="Q566" s="765"/>
      <c r="R566" s="772" cm="1">
        <f t="array" ref="R566">INDEX(verificare!$AT$4:$CC$26,VLOOKUP($AA$15,verificare!$AR$4:$AS$26,2,FALSE),A566)</f>
        <v>0</v>
      </c>
      <c r="S566" s="773"/>
      <c r="T566" s="773"/>
      <c r="U566" s="774"/>
      <c r="V566" s="724" t="s">
        <v>446</v>
      </c>
      <c r="W566" s="725"/>
      <c r="X566" s="691">
        <f>HLOOKUP(VLOOKUP($AA$15,'Date SPV'!$B:$F,5,FALSE),'Preturi si tarife'!$C$2:$J$39,A566+2,FALSE)</f>
        <v>0.2361</v>
      </c>
      <c r="Y566" s="692"/>
      <c r="Z566" s="692"/>
      <c r="AA566" s="693"/>
      <c r="AB566" s="772">
        <f t="shared" si="31"/>
        <v>0</v>
      </c>
      <c r="AC566" s="773"/>
      <c r="AD566" s="773"/>
      <c r="AE566" s="774"/>
      <c r="AF566" s="772">
        <f t="shared" si="32"/>
        <v>0</v>
      </c>
      <c r="AG566" s="773"/>
      <c r="AH566" s="773"/>
      <c r="AI566" s="774"/>
      <c r="AJ566" s="772">
        <f t="shared" si="33"/>
        <v>0</v>
      </c>
      <c r="AK566" s="773"/>
      <c r="AL566" s="773"/>
      <c r="AM566" s="774"/>
    </row>
    <row r="567" spans="1:39" ht="15.95" customHeight="1">
      <c r="A567" s="65">
        <f t="shared" si="34"/>
        <v>6</v>
      </c>
      <c r="B567" s="699" t="s">
        <v>74</v>
      </c>
      <c r="C567" s="700"/>
      <c r="D567" s="700"/>
      <c r="E567" s="700"/>
      <c r="F567" s="700"/>
      <c r="G567" s="700"/>
      <c r="H567" s="700"/>
      <c r="I567" s="700"/>
      <c r="J567" s="700"/>
      <c r="K567" s="701"/>
      <c r="L567" s="763">
        <f t="shared" si="35"/>
        <v>45778</v>
      </c>
      <c r="M567" s="764"/>
      <c r="N567" s="765"/>
      <c r="O567" s="763">
        <f t="shared" si="36"/>
        <v>45808</v>
      </c>
      <c r="P567" s="764"/>
      <c r="Q567" s="765"/>
      <c r="R567" s="772" cm="1">
        <f t="array" ref="R567">INDEX(verificare!$AT$4:$CC$26,VLOOKUP($AA$15,verificare!$AR$4:$AS$26,2,FALSE),A567)</f>
        <v>870503</v>
      </c>
      <c r="S567" s="773"/>
      <c r="T567" s="773"/>
      <c r="U567" s="774"/>
      <c r="V567" s="724" t="s">
        <v>446</v>
      </c>
      <c r="W567" s="725"/>
      <c r="X567" s="691">
        <f>HLOOKUP(VLOOKUP($AA$15,'Date SPV'!$B:$F,5,FALSE),'Preturi si tarife'!$C$2:$J$39,A567+2,FALSE)</f>
        <v>1.1509999999999999E-2</v>
      </c>
      <c r="Y567" s="692"/>
      <c r="Z567" s="692"/>
      <c r="AA567" s="693"/>
      <c r="AB567" s="772">
        <f t="shared" si="31"/>
        <v>10019.49</v>
      </c>
      <c r="AC567" s="773"/>
      <c r="AD567" s="773"/>
      <c r="AE567" s="774"/>
      <c r="AF567" s="772">
        <f t="shared" si="32"/>
        <v>1903.7</v>
      </c>
      <c r="AG567" s="773"/>
      <c r="AH567" s="773"/>
      <c r="AI567" s="774"/>
      <c r="AJ567" s="772">
        <f t="shared" si="33"/>
        <v>11923.19</v>
      </c>
      <c r="AK567" s="773"/>
      <c r="AL567" s="773"/>
      <c r="AM567" s="774"/>
    </row>
    <row r="568" spans="1:39" ht="15.95" customHeight="1">
      <c r="A568" s="65">
        <f t="shared" si="34"/>
        <v>7</v>
      </c>
      <c r="B568" s="699" t="s">
        <v>75</v>
      </c>
      <c r="C568" s="700"/>
      <c r="D568" s="700"/>
      <c r="E568" s="700"/>
      <c r="F568" s="700"/>
      <c r="G568" s="700"/>
      <c r="H568" s="700"/>
      <c r="I568" s="700"/>
      <c r="J568" s="700"/>
      <c r="K568" s="701"/>
      <c r="L568" s="763">
        <f t="shared" si="35"/>
        <v>45778</v>
      </c>
      <c r="M568" s="764"/>
      <c r="N568" s="765"/>
      <c r="O568" s="763">
        <f t="shared" si="36"/>
        <v>45808</v>
      </c>
      <c r="P568" s="764"/>
      <c r="Q568" s="765"/>
      <c r="R568" s="772" cm="1">
        <f t="array" ref="R568">INDEX(verificare!$AT$4:$CC$26,VLOOKUP($AA$15,verificare!$AR$4:$AS$26,2,FALSE),A568)</f>
        <v>870503</v>
      </c>
      <c r="S568" s="773"/>
      <c r="T568" s="773"/>
      <c r="U568" s="774"/>
      <c r="V568" s="724" t="s">
        <v>446</v>
      </c>
      <c r="W568" s="725"/>
      <c r="X568" s="691">
        <f>HLOOKUP(VLOOKUP($AA$15,'Date SPV'!$B:$F,5,FALSE),'Preturi si tarife'!$C$2:$J$39,A568+2,FALSE)</f>
        <v>3.3030000000000004E-2</v>
      </c>
      <c r="Y568" s="692"/>
      <c r="Z568" s="692"/>
      <c r="AA568" s="693"/>
      <c r="AB568" s="772">
        <f t="shared" si="31"/>
        <v>28752.71</v>
      </c>
      <c r="AC568" s="773"/>
      <c r="AD568" s="773"/>
      <c r="AE568" s="774"/>
      <c r="AF568" s="772">
        <f t="shared" si="32"/>
        <v>5463.01</v>
      </c>
      <c r="AG568" s="773"/>
      <c r="AH568" s="773"/>
      <c r="AI568" s="774"/>
      <c r="AJ568" s="772">
        <f t="shared" si="33"/>
        <v>34215.72</v>
      </c>
      <c r="AK568" s="773"/>
      <c r="AL568" s="773"/>
      <c r="AM568" s="774"/>
    </row>
    <row r="569" spans="1:39" ht="15.95" customHeight="1">
      <c r="A569" s="65">
        <f t="shared" si="34"/>
        <v>8</v>
      </c>
      <c r="B569" s="699" t="s">
        <v>76</v>
      </c>
      <c r="C569" s="700"/>
      <c r="D569" s="700"/>
      <c r="E569" s="700"/>
      <c r="F569" s="700"/>
      <c r="G569" s="700"/>
      <c r="H569" s="700"/>
      <c r="I569" s="700"/>
      <c r="J569" s="700"/>
      <c r="K569" s="701"/>
      <c r="L569" s="763">
        <f t="shared" si="35"/>
        <v>45778</v>
      </c>
      <c r="M569" s="764"/>
      <c r="N569" s="765"/>
      <c r="O569" s="763">
        <f t="shared" si="36"/>
        <v>45808</v>
      </c>
      <c r="P569" s="764"/>
      <c r="Q569" s="765"/>
      <c r="R569" s="772" cm="1">
        <f t="array" ref="R569">INDEX(verificare!$AT$4:$CC$26,VLOOKUP($AA$15,verificare!$AR$4:$AS$26,2,FALSE),A569)</f>
        <v>870503</v>
      </c>
      <c r="S569" s="773"/>
      <c r="T569" s="773"/>
      <c r="U569" s="774"/>
      <c r="V569" s="724" t="s">
        <v>446</v>
      </c>
      <c r="W569" s="725"/>
      <c r="X569" s="691">
        <f>HLOOKUP(VLOOKUP($AA$15,'Date SPV'!$B:$F,5,FALSE),'Preturi si tarife'!$C$2:$J$39,A569+2,FALSE)</f>
        <v>3.29E-3</v>
      </c>
      <c r="Y569" s="692"/>
      <c r="Z569" s="692"/>
      <c r="AA569" s="693"/>
      <c r="AB569" s="772">
        <f t="shared" si="31"/>
        <v>2863.95</v>
      </c>
      <c r="AC569" s="773"/>
      <c r="AD569" s="773"/>
      <c r="AE569" s="774"/>
      <c r="AF569" s="772">
        <f t="shared" si="32"/>
        <v>544.15</v>
      </c>
      <c r="AG569" s="773"/>
      <c r="AH569" s="773"/>
      <c r="AI569" s="774"/>
      <c r="AJ569" s="772">
        <f t="shared" si="33"/>
        <v>3408.1</v>
      </c>
      <c r="AK569" s="773"/>
      <c r="AL569" s="773"/>
      <c r="AM569" s="774"/>
    </row>
    <row r="570" spans="1:39" ht="15.95" customHeight="1">
      <c r="A570" s="65">
        <f t="shared" si="34"/>
        <v>9</v>
      </c>
      <c r="B570" s="699" t="s">
        <v>77</v>
      </c>
      <c r="C570" s="700"/>
      <c r="D570" s="700"/>
      <c r="E570" s="700"/>
      <c r="F570" s="700"/>
      <c r="G570" s="700"/>
      <c r="H570" s="700"/>
      <c r="I570" s="700"/>
      <c r="J570" s="700"/>
      <c r="K570" s="701"/>
      <c r="L570" s="763">
        <f t="shared" si="35"/>
        <v>45778</v>
      </c>
      <c r="M570" s="764"/>
      <c r="N570" s="765"/>
      <c r="O570" s="763">
        <f t="shared" si="36"/>
        <v>45808</v>
      </c>
      <c r="P570" s="764"/>
      <c r="Q570" s="765"/>
      <c r="R570" s="772" cm="1">
        <f t="array" ref="R570">INDEX(verificare!$AT$4:$CC$26,VLOOKUP($AA$15,verificare!$AR$4:$AS$26,2,FALSE),A570)</f>
        <v>870503</v>
      </c>
      <c r="S570" s="773"/>
      <c r="T570" s="773"/>
      <c r="U570" s="774"/>
      <c r="V570" s="724" t="s">
        <v>446</v>
      </c>
      <c r="W570" s="725"/>
      <c r="X570" s="691">
        <f>HLOOKUP(VLOOKUP($AA$15,'Date SPV'!$B:$F,5,FALSE),'Preturi si tarife'!$C$2:$J$39,A570+2,FALSE)</f>
        <v>3.5000000000000001E-3</v>
      </c>
      <c r="Y570" s="692"/>
      <c r="Z570" s="692"/>
      <c r="AA570" s="693"/>
      <c r="AB570" s="772">
        <f t="shared" si="31"/>
        <v>3046.76</v>
      </c>
      <c r="AC570" s="773"/>
      <c r="AD570" s="773"/>
      <c r="AE570" s="774"/>
      <c r="AF570" s="772">
        <f t="shared" si="32"/>
        <v>578.88</v>
      </c>
      <c r="AG570" s="773"/>
      <c r="AH570" s="773"/>
      <c r="AI570" s="774"/>
      <c r="AJ570" s="772">
        <f t="shared" si="33"/>
        <v>3625.6400000000003</v>
      </c>
      <c r="AK570" s="773"/>
      <c r="AL570" s="773"/>
      <c r="AM570" s="774"/>
    </row>
    <row r="571" spans="1:39" ht="15.95" customHeight="1">
      <c r="A571" s="65">
        <f t="shared" si="34"/>
        <v>10</v>
      </c>
      <c r="B571" s="699" t="s">
        <v>78</v>
      </c>
      <c r="C571" s="700"/>
      <c r="D571" s="700"/>
      <c r="E571" s="700"/>
      <c r="F571" s="700"/>
      <c r="G571" s="700"/>
      <c r="H571" s="700"/>
      <c r="I571" s="700"/>
      <c r="J571" s="700"/>
      <c r="K571" s="701"/>
      <c r="L571" s="763">
        <f t="shared" si="35"/>
        <v>45778</v>
      </c>
      <c r="M571" s="764"/>
      <c r="N571" s="765"/>
      <c r="O571" s="763">
        <f t="shared" si="36"/>
        <v>45808</v>
      </c>
      <c r="P571" s="764"/>
      <c r="Q571" s="765"/>
      <c r="R571" s="772" cm="1">
        <f t="array" ref="R571">INDEX(verificare!$AT$4:$CC$26,VLOOKUP($AA$15,verificare!$AR$4:$AS$26,2,FALSE),A571)</f>
        <v>870503</v>
      </c>
      <c r="S571" s="773"/>
      <c r="T571" s="773"/>
      <c r="U571" s="774"/>
      <c r="V571" s="724" t="s">
        <v>446</v>
      </c>
      <c r="W571" s="725"/>
      <c r="X571" s="691">
        <f>HLOOKUP(VLOOKUP($AA$15,'Date SPV'!$B:$F,5,FALSE),'Preturi si tarife'!$C$2:$J$39,A571+2,FALSE)</f>
        <v>7.2541599999999998E-2</v>
      </c>
      <c r="Y571" s="692"/>
      <c r="Z571" s="692"/>
      <c r="AA571" s="693"/>
      <c r="AB571" s="772">
        <f t="shared" si="31"/>
        <v>63147.68</v>
      </c>
      <c r="AC571" s="773"/>
      <c r="AD571" s="773"/>
      <c r="AE571" s="774"/>
      <c r="AF571" s="772">
        <f t="shared" si="32"/>
        <v>11998.06</v>
      </c>
      <c r="AG571" s="773"/>
      <c r="AH571" s="773"/>
      <c r="AI571" s="774"/>
      <c r="AJ571" s="772">
        <f t="shared" si="33"/>
        <v>75145.740000000005</v>
      </c>
      <c r="AK571" s="773"/>
      <c r="AL571" s="773"/>
      <c r="AM571" s="774"/>
    </row>
    <row r="572" spans="1:39" ht="15.95" customHeight="1">
      <c r="A572" s="65">
        <f t="shared" si="34"/>
        <v>11</v>
      </c>
      <c r="B572" s="699" t="s">
        <v>1313</v>
      </c>
      <c r="C572" s="700"/>
      <c r="D572" s="700"/>
      <c r="E572" s="700"/>
      <c r="F572" s="700"/>
      <c r="G572" s="700"/>
      <c r="H572" s="700"/>
      <c r="I572" s="700"/>
      <c r="J572" s="700"/>
      <c r="K572" s="701"/>
      <c r="L572" s="763">
        <f t="shared" si="35"/>
        <v>45778</v>
      </c>
      <c r="M572" s="764"/>
      <c r="N572" s="765"/>
      <c r="O572" s="763">
        <f t="shared" si="36"/>
        <v>45808</v>
      </c>
      <c r="P572" s="764"/>
      <c r="Q572" s="765"/>
      <c r="R572" s="772" cm="1">
        <f t="array" ref="R572">INDEX(verificare!$AT$4:$CC$26,VLOOKUP($AA$15,verificare!$AR$4:$AS$26,2,FALSE),A572)</f>
        <v>870503</v>
      </c>
      <c r="S572" s="773"/>
      <c r="T572" s="773"/>
      <c r="U572" s="774"/>
      <c r="V572" s="724" t="s">
        <v>446</v>
      </c>
      <c r="W572" s="725"/>
      <c r="X572" s="691">
        <f>HLOOKUP(VLOOKUP($AA$15,'Date SPV'!$B:$F,5,FALSE),'Preturi si tarife'!$C$2:$J$39,A572+2,FALSE)</f>
        <v>2.0599999999999999E-4</v>
      </c>
      <c r="Y572" s="692"/>
      <c r="Z572" s="692"/>
      <c r="AA572" s="693"/>
      <c r="AB572" s="772">
        <f t="shared" si="31"/>
        <v>179.32</v>
      </c>
      <c r="AC572" s="773"/>
      <c r="AD572" s="773"/>
      <c r="AE572" s="774"/>
      <c r="AF572" s="772">
        <f t="shared" si="32"/>
        <v>34.07</v>
      </c>
      <c r="AG572" s="773"/>
      <c r="AH572" s="773"/>
      <c r="AI572" s="774"/>
      <c r="AJ572" s="772">
        <f t="shared" si="33"/>
        <v>213.39</v>
      </c>
      <c r="AK572" s="773"/>
      <c r="AL572" s="773"/>
      <c r="AM572" s="774"/>
    </row>
    <row r="573" spans="1:39" ht="15.95" customHeight="1">
      <c r="A573" s="65">
        <f t="shared" si="34"/>
        <v>12</v>
      </c>
      <c r="B573" s="699" t="s">
        <v>79</v>
      </c>
      <c r="C573" s="700"/>
      <c r="D573" s="700"/>
      <c r="E573" s="700"/>
      <c r="F573" s="700"/>
      <c r="G573" s="700"/>
      <c r="H573" s="700"/>
      <c r="I573" s="700"/>
      <c r="J573" s="700"/>
      <c r="K573" s="701"/>
      <c r="L573" s="763">
        <f>L571</f>
        <v>45778</v>
      </c>
      <c r="M573" s="764"/>
      <c r="N573" s="765"/>
      <c r="O573" s="763">
        <f>O571</f>
        <v>45808</v>
      </c>
      <c r="P573" s="764"/>
      <c r="Q573" s="765"/>
      <c r="R573" s="772" cm="1">
        <f t="array" ref="R573">INDEX(verificare!$AT$4:$CC$26,VLOOKUP($AA$15,verificare!$AR$4:$AS$26,2,FALSE),A573)</f>
        <v>870503</v>
      </c>
      <c r="S573" s="773"/>
      <c r="T573" s="773"/>
      <c r="U573" s="774"/>
      <c r="V573" s="724" t="s">
        <v>446</v>
      </c>
      <c r="W573" s="725"/>
      <c r="X573" s="691">
        <f>HLOOKUP(VLOOKUP($AA$15,'Date SPV'!$B:$F,5,FALSE),'Preturi si tarife'!$C$2:$J$39,A573+2,FALSE)</f>
        <v>0</v>
      </c>
      <c r="Y573" s="692"/>
      <c r="Z573" s="692"/>
      <c r="AA573" s="693"/>
      <c r="AB573" s="772">
        <f t="shared" si="31"/>
        <v>0</v>
      </c>
      <c r="AC573" s="773"/>
      <c r="AD573" s="773"/>
      <c r="AE573" s="774"/>
      <c r="AF573" s="772">
        <f t="shared" si="32"/>
        <v>0</v>
      </c>
      <c r="AG573" s="773"/>
      <c r="AH573" s="773"/>
      <c r="AI573" s="774"/>
      <c r="AJ573" s="772">
        <f t="shared" si="33"/>
        <v>0</v>
      </c>
      <c r="AK573" s="773"/>
      <c r="AL573" s="773"/>
      <c r="AM573" s="774"/>
    </row>
    <row r="574" spans="1:39" ht="15.95" customHeight="1">
      <c r="A574" s="65">
        <f t="shared" si="34"/>
        <v>13</v>
      </c>
      <c r="B574" s="699" t="s">
        <v>80</v>
      </c>
      <c r="C574" s="700"/>
      <c r="D574" s="700"/>
      <c r="E574" s="700"/>
      <c r="F574" s="700"/>
      <c r="G574" s="700"/>
      <c r="H574" s="700"/>
      <c r="I574" s="700"/>
      <c r="J574" s="700"/>
      <c r="K574" s="701"/>
      <c r="L574" s="763">
        <f t="shared" si="35"/>
        <v>45778</v>
      </c>
      <c r="M574" s="764"/>
      <c r="N574" s="765"/>
      <c r="O574" s="763">
        <f t="shared" si="36"/>
        <v>45808</v>
      </c>
      <c r="P574" s="764"/>
      <c r="Q574" s="765"/>
      <c r="R574" s="772" cm="1">
        <f t="array" ref="R574">INDEX(verificare!$AT$4:$CC$26,VLOOKUP($AA$15,verificare!$AR$4:$AS$26,2,FALSE),A574)</f>
        <v>870503</v>
      </c>
      <c r="S574" s="773"/>
      <c r="T574" s="773"/>
      <c r="U574" s="774"/>
      <c r="V574" s="724" t="s">
        <v>446</v>
      </c>
      <c r="W574" s="725"/>
      <c r="X574" s="691">
        <f>HLOOKUP(VLOOKUP($AA$15,'Date SPV'!$B:$F,5,FALSE),'Preturi si tarife'!$C$2:$J$39,A574+2,FALSE)</f>
        <v>1.26E-2</v>
      </c>
      <c r="Y574" s="692"/>
      <c r="Z574" s="692"/>
      <c r="AA574" s="693"/>
      <c r="AB574" s="772">
        <f t="shared" si="31"/>
        <v>10968.34</v>
      </c>
      <c r="AC574" s="773"/>
      <c r="AD574" s="773"/>
      <c r="AE574" s="774"/>
      <c r="AF574" s="772">
        <f t="shared" si="32"/>
        <v>2083.98</v>
      </c>
      <c r="AG574" s="773"/>
      <c r="AH574" s="773"/>
      <c r="AI574" s="774"/>
      <c r="AJ574" s="772">
        <f t="shared" si="33"/>
        <v>13052.32</v>
      </c>
      <c r="AK574" s="773"/>
      <c r="AL574" s="773"/>
      <c r="AM574" s="774"/>
    </row>
    <row r="575" spans="1:39" ht="15.95" customHeight="1">
      <c r="A575" s="65">
        <f t="shared" si="34"/>
        <v>14</v>
      </c>
      <c r="B575" s="699" t="s">
        <v>81</v>
      </c>
      <c r="C575" s="700"/>
      <c r="D575" s="700"/>
      <c r="E575" s="700"/>
      <c r="F575" s="700"/>
      <c r="G575" s="700"/>
      <c r="H575" s="700"/>
      <c r="I575" s="700"/>
      <c r="J575" s="700"/>
      <c r="K575" s="701"/>
      <c r="L575" s="763">
        <f t="shared" si="35"/>
        <v>45778</v>
      </c>
      <c r="M575" s="764"/>
      <c r="N575" s="765"/>
      <c r="O575" s="763">
        <f t="shared" si="36"/>
        <v>45808</v>
      </c>
      <c r="P575" s="764"/>
      <c r="Q575" s="765"/>
      <c r="R575" s="772" cm="1">
        <f t="array" ref="R575">INDEX(verificare!$AT$4:$CC$26,VLOOKUP($AA$15,verificare!$AR$4:$AS$26,2,FALSE),A575)</f>
        <v>571669</v>
      </c>
      <c r="S575" s="773"/>
      <c r="T575" s="773"/>
      <c r="U575" s="774"/>
      <c r="V575" s="724" t="s">
        <v>446</v>
      </c>
      <c r="W575" s="725"/>
      <c r="X575" s="691">
        <f>HLOOKUP(VLOOKUP($AA$15,'Date SPV'!$B:$F,5,FALSE),'Preturi si tarife'!$C$2:$J$39,A575+2,FALSE)</f>
        <v>9.2700000000000005E-2</v>
      </c>
      <c r="Y575" s="692"/>
      <c r="Z575" s="692"/>
      <c r="AA575" s="693"/>
      <c r="AB575" s="772">
        <f t="shared" si="31"/>
        <v>52993.72</v>
      </c>
      <c r="AC575" s="773"/>
      <c r="AD575" s="773"/>
      <c r="AE575" s="774"/>
      <c r="AF575" s="772">
        <f t="shared" si="32"/>
        <v>10068.81</v>
      </c>
      <c r="AG575" s="773"/>
      <c r="AH575" s="773"/>
      <c r="AI575" s="774"/>
      <c r="AJ575" s="772">
        <f t="shared" si="33"/>
        <v>63062.53</v>
      </c>
      <c r="AK575" s="773"/>
      <c r="AL575" s="773"/>
      <c r="AM575" s="774"/>
    </row>
    <row r="576" spans="1:39" ht="15.95" customHeight="1">
      <c r="A576" s="65">
        <f t="shared" si="34"/>
        <v>15</v>
      </c>
      <c r="B576" s="699" t="s">
        <v>82</v>
      </c>
      <c r="C576" s="700"/>
      <c r="D576" s="700"/>
      <c r="E576" s="700"/>
      <c r="F576" s="700"/>
      <c r="G576" s="700"/>
      <c r="H576" s="700"/>
      <c r="I576" s="700"/>
      <c r="J576" s="700"/>
      <c r="K576" s="701"/>
      <c r="L576" s="763">
        <f t="shared" si="35"/>
        <v>45778</v>
      </c>
      <c r="M576" s="764"/>
      <c r="N576" s="765"/>
      <c r="O576" s="763">
        <f t="shared" si="36"/>
        <v>45808</v>
      </c>
      <c r="P576" s="764"/>
      <c r="Q576" s="765"/>
      <c r="R576" s="772" cm="1">
        <f t="array" ref="R576">INDEX(verificare!$AT$4:$CC$26,VLOOKUP($AA$15,verificare!$AR$4:$AS$26,2,FALSE),A576)</f>
        <v>44103</v>
      </c>
      <c r="S576" s="773"/>
      <c r="T576" s="773"/>
      <c r="U576" s="774"/>
      <c r="V576" s="724" t="s">
        <v>446</v>
      </c>
      <c r="W576" s="725"/>
      <c r="X576" s="691">
        <f>HLOOKUP(VLOOKUP($AA$15,'Date SPV'!$B:$F,5,FALSE),'Preturi si tarife'!$C$2:$J$39,A576+2,FALSE)</f>
        <v>0.93920760000000003</v>
      </c>
      <c r="Y576" s="692"/>
      <c r="Z576" s="692"/>
      <c r="AA576" s="693"/>
      <c r="AB576" s="772">
        <f t="shared" si="31"/>
        <v>41421.870000000003</v>
      </c>
      <c r="AC576" s="773"/>
      <c r="AD576" s="773"/>
      <c r="AE576" s="774"/>
      <c r="AF576" s="772">
        <f t="shared" si="32"/>
        <v>7870.16</v>
      </c>
      <c r="AG576" s="773"/>
      <c r="AH576" s="773"/>
      <c r="AI576" s="774"/>
      <c r="AJ576" s="772">
        <f t="shared" si="33"/>
        <v>49292.03</v>
      </c>
      <c r="AK576" s="773"/>
      <c r="AL576" s="773"/>
      <c r="AM576" s="774"/>
    </row>
    <row r="577" spans="1:39" ht="15.95" customHeight="1">
      <c r="A577" s="65">
        <f t="shared" si="34"/>
        <v>16</v>
      </c>
      <c r="B577" s="699" t="s">
        <v>83</v>
      </c>
      <c r="C577" s="700"/>
      <c r="D577" s="700"/>
      <c r="E577" s="700"/>
      <c r="F577" s="700"/>
      <c r="G577" s="700"/>
      <c r="H577" s="700"/>
      <c r="I577" s="700"/>
      <c r="J577" s="700"/>
      <c r="K577" s="701"/>
      <c r="L577" s="763">
        <f t="shared" si="35"/>
        <v>45778</v>
      </c>
      <c r="M577" s="764"/>
      <c r="N577" s="765"/>
      <c r="O577" s="763">
        <f t="shared" si="36"/>
        <v>45808</v>
      </c>
      <c r="P577" s="764"/>
      <c r="Q577" s="765"/>
      <c r="R577" s="772" cm="1">
        <f t="array" ref="R577">INDEX(verificare!$AT$4:$CC$26,VLOOKUP($AA$15,verificare!$AR$4:$AS$26,2,FALSE),A577)</f>
        <v>0</v>
      </c>
      <c r="S577" s="773"/>
      <c r="T577" s="773"/>
      <c r="U577" s="774"/>
      <c r="V577" s="724" t="s">
        <v>446</v>
      </c>
      <c r="W577" s="725"/>
      <c r="X577" s="691">
        <f>HLOOKUP(VLOOKUP($AA$15,'Date SPV'!$B:$F,5,FALSE),'Preturi si tarife'!$C$2:$J$39,A577+2,FALSE)</f>
        <v>0.83390760000000008</v>
      </c>
      <c r="Y577" s="692"/>
      <c r="Z577" s="692"/>
      <c r="AA577" s="693"/>
      <c r="AB577" s="772">
        <f t="shared" si="31"/>
        <v>0</v>
      </c>
      <c r="AC577" s="773"/>
      <c r="AD577" s="773"/>
      <c r="AE577" s="774"/>
      <c r="AF577" s="772">
        <f t="shared" si="32"/>
        <v>0</v>
      </c>
      <c r="AG577" s="773"/>
      <c r="AH577" s="773"/>
      <c r="AI577" s="774"/>
      <c r="AJ577" s="772">
        <f t="shared" si="33"/>
        <v>0</v>
      </c>
      <c r="AK577" s="773"/>
      <c r="AL577" s="773"/>
      <c r="AM577" s="774"/>
    </row>
    <row r="578" spans="1:39" ht="15.95" customHeight="1">
      <c r="A578" s="65">
        <f t="shared" si="34"/>
        <v>17</v>
      </c>
      <c r="B578" s="699" t="s">
        <v>1129</v>
      </c>
      <c r="C578" s="700"/>
      <c r="D578" s="700"/>
      <c r="E578" s="700"/>
      <c r="F578" s="700"/>
      <c r="G578" s="700"/>
      <c r="H578" s="700"/>
      <c r="I578" s="700"/>
      <c r="J578" s="700"/>
      <c r="K578" s="701"/>
      <c r="L578" s="763">
        <f t="shared" si="35"/>
        <v>45778</v>
      </c>
      <c r="M578" s="764"/>
      <c r="N578" s="765"/>
      <c r="O578" s="763">
        <f t="shared" si="36"/>
        <v>45808</v>
      </c>
      <c r="P578" s="764"/>
      <c r="Q578" s="765"/>
      <c r="R578" s="772" cm="1">
        <f t="array" ref="R578">INDEX(verificare!$AT$4:$CC$26,VLOOKUP($AA$15,verificare!$AR$4:$AS$26,2,FALSE),A578)</f>
        <v>0</v>
      </c>
      <c r="S578" s="773"/>
      <c r="T578" s="773"/>
      <c r="U578" s="774"/>
      <c r="V578" s="724" t="s">
        <v>446</v>
      </c>
      <c r="W578" s="725"/>
      <c r="X578" s="691">
        <f>HLOOKUP(VLOOKUP($AA$15,'Date SPV'!$B:$F,5,FALSE),'Preturi si tarife'!$C$2:$J$39,A578+2,FALSE)</f>
        <v>1.26E-2</v>
      </c>
      <c r="Y578" s="692"/>
      <c r="Z578" s="692"/>
      <c r="AA578" s="693"/>
      <c r="AB578" s="772">
        <f t="shared" si="31"/>
        <v>0</v>
      </c>
      <c r="AC578" s="773"/>
      <c r="AD578" s="773"/>
      <c r="AE578" s="774"/>
      <c r="AF578" s="772">
        <f t="shared" si="32"/>
        <v>0</v>
      </c>
      <c r="AG578" s="773"/>
      <c r="AH578" s="773"/>
      <c r="AI578" s="774"/>
      <c r="AJ578" s="772">
        <f t="shared" si="33"/>
        <v>0</v>
      </c>
      <c r="AK578" s="773"/>
      <c r="AL578" s="773"/>
      <c r="AM578" s="774"/>
    </row>
    <row r="579" spans="1:39" ht="15.95" customHeight="1">
      <c r="A579" s="65">
        <f t="shared" si="34"/>
        <v>18</v>
      </c>
      <c r="B579" s="699" t="s">
        <v>1130</v>
      </c>
      <c r="C579" s="700"/>
      <c r="D579" s="700"/>
      <c r="E579" s="700"/>
      <c r="F579" s="700"/>
      <c r="G579" s="700"/>
      <c r="H579" s="700"/>
      <c r="I579" s="700"/>
      <c r="J579" s="700"/>
      <c r="K579" s="701"/>
      <c r="L579" s="763">
        <f t="shared" si="35"/>
        <v>45778</v>
      </c>
      <c r="M579" s="764"/>
      <c r="N579" s="765"/>
      <c r="O579" s="763">
        <f t="shared" si="36"/>
        <v>45808</v>
      </c>
      <c r="P579" s="764"/>
      <c r="Q579" s="765"/>
      <c r="R579" s="772" cm="1">
        <f t="array" ref="R579">INDEX(verificare!$AT$4:$CC$26,VLOOKUP($AA$15,verificare!$AR$4:$AS$26,2,FALSE),A579)</f>
        <v>0</v>
      </c>
      <c r="S579" s="773"/>
      <c r="T579" s="773"/>
      <c r="U579" s="774"/>
      <c r="V579" s="724" t="s">
        <v>446</v>
      </c>
      <c r="W579" s="725"/>
      <c r="X579" s="691">
        <f>HLOOKUP(VLOOKUP($AA$15,'Date SPV'!$B:$F,5,FALSE),'Preturi si tarife'!$C$2:$J$39,A579+2,FALSE)</f>
        <v>9.2700000000000005E-2</v>
      </c>
      <c r="Y579" s="692"/>
      <c r="Z579" s="692"/>
      <c r="AA579" s="693"/>
      <c r="AB579" s="772">
        <f t="shared" si="31"/>
        <v>0</v>
      </c>
      <c r="AC579" s="773"/>
      <c r="AD579" s="773"/>
      <c r="AE579" s="774"/>
      <c r="AF579" s="772">
        <f t="shared" si="32"/>
        <v>0</v>
      </c>
      <c r="AG579" s="773"/>
      <c r="AH579" s="773"/>
      <c r="AI579" s="774"/>
      <c r="AJ579" s="772">
        <f t="shared" si="33"/>
        <v>0</v>
      </c>
      <c r="AK579" s="773"/>
      <c r="AL579" s="773"/>
      <c r="AM579" s="774"/>
    </row>
    <row r="580" spans="1:39" ht="15.95" customHeight="1">
      <c r="A580" s="65">
        <f t="shared" si="34"/>
        <v>19</v>
      </c>
      <c r="B580" s="699" t="s">
        <v>99</v>
      </c>
      <c r="C580" s="700"/>
      <c r="D580" s="700"/>
      <c r="E580" s="700"/>
      <c r="F580" s="700"/>
      <c r="G580" s="700"/>
      <c r="H580" s="700"/>
      <c r="I580" s="700"/>
      <c r="J580" s="700"/>
      <c r="K580" s="701"/>
      <c r="L580" s="763">
        <f>'Date masura OD'!$W$5</f>
        <v>45748</v>
      </c>
      <c r="M580" s="764"/>
      <c r="N580" s="765"/>
      <c r="O580" s="763">
        <f>'Date masura OD'!$X$5</f>
        <v>45777</v>
      </c>
      <c r="P580" s="764"/>
      <c r="Q580" s="765"/>
      <c r="R580" s="772" cm="1">
        <f t="array" ref="R580">INDEX(verificare!$AT$4:$CC$26,VLOOKUP($AA$15,verificare!$AR$4:$AS$26,2,FALSE),A580)</f>
        <v>0</v>
      </c>
      <c r="S580" s="773"/>
      <c r="T580" s="773"/>
      <c r="U580" s="774"/>
      <c r="V580" s="724" t="s">
        <v>446</v>
      </c>
      <c r="W580" s="725"/>
      <c r="X580" s="691">
        <f>HLOOKUP(VLOOKUP($AA$15,'Date SPV'!$B:$F,5,FALSE),'Preturi si tarife'!$C$2:$J$39,A580+2,FALSE)</f>
        <v>0.59499999999999997</v>
      </c>
      <c r="Y580" s="692"/>
      <c r="Z580" s="692"/>
      <c r="AA580" s="693"/>
      <c r="AB580" s="772">
        <f t="shared" si="31"/>
        <v>0</v>
      </c>
      <c r="AC580" s="773"/>
      <c r="AD580" s="773"/>
      <c r="AE580" s="774"/>
      <c r="AF580" s="772">
        <f t="shared" si="32"/>
        <v>0</v>
      </c>
      <c r="AG580" s="773"/>
      <c r="AH580" s="773"/>
      <c r="AI580" s="774"/>
      <c r="AJ580" s="772">
        <f t="shared" si="33"/>
        <v>0</v>
      </c>
      <c r="AK580" s="773"/>
      <c r="AL580" s="773"/>
      <c r="AM580" s="774"/>
    </row>
    <row r="581" spans="1:39" ht="15.95" customHeight="1">
      <c r="A581" s="65">
        <f t="shared" si="34"/>
        <v>20</v>
      </c>
      <c r="B581" s="699" t="s">
        <v>100</v>
      </c>
      <c r="C581" s="700"/>
      <c r="D581" s="700"/>
      <c r="E581" s="700"/>
      <c r="F581" s="700"/>
      <c r="G581" s="700"/>
      <c r="H581" s="700"/>
      <c r="I581" s="700"/>
      <c r="J581" s="700"/>
      <c r="K581" s="701"/>
      <c r="L581" s="763">
        <f>L580</f>
        <v>45748</v>
      </c>
      <c r="M581" s="764"/>
      <c r="N581" s="765"/>
      <c r="O581" s="763">
        <f t="shared" ref="O581:O597" si="37">O580</f>
        <v>45777</v>
      </c>
      <c r="P581" s="764"/>
      <c r="Q581" s="765"/>
      <c r="R581" s="772" cm="1">
        <f t="array" ref="R581">INDEX(verificare!$AT$4:$CC$26,VLOOKUP($AA$15,verificare!$AR$4:$AS$26,2,FALSE),A581)</f>
        <v>0</v>
      </c>
      <c r="S581" s="773"/>
      <c r="T581" s="773"/>
      <c r="U581" s="774"/>
      <c r="V581" s="724" t="s">
        <v>727</v>
      </c>
      <c r="W581" s="725"/>
      <c r="X581" s="691">
        <f>HLOOKUP(VLOOKUP($AA$15,'Date SPV'!$B:$F,5,FALSE),'Preturi si tarife'!$C$2:$J$39,A581+2,FALSE)</f>
        <v>0.14649999999999999</v>
      </c>
      <c r="Y581" s="692"/>
      <c r="Z581" s="692"/>
      <c r="AA581" s="693"/>
      <c r="AB581" s="772">
        <f t="shared" si="31"/>
        <v>0</v>
      </c>
      <c r="AC581" s="773"/>
      <c r="AD581" s="773"/>
      <c r="AE581" s="774"/>
      <c r="AF581" s="772">
        <f t="shared" si="32"/>
        <v>0</v>
      </c>
      <c r="AG581" s="773"/>
      <c r="AH581" s="773"/>
      <c r="AI581" s="774"/>
      <c r="AJ581" s="772">
        <f t="shared" si="33"/>
        <v>0</v>
      </c>
      <c r="AK581" s="773"/>
      <c r="AL581" s="773"/>
      <c r="AM581" s="774"/>
    </row>
    <row r="582" spans="1:39" ht="15.95" customHeight="1">
      <c r="A582" s="65">
        <f t="shared" si="34"/>
        <v>21</v>
      </c>
      <c r="B582" s="699" t="s">
        <v>101</v>
      </c>
      <c r="C582" s="700"/>
      <c r="D582" s="700"/>
      <c r="E582" s="700"/>
      <c r="F582" s="700"/>
      <c r="G582" s="700"/>
      <c r="H582" s="700"/>
      <c r="I582" s="700"/>
      <c r="J582" s="700"/>
      <c r="K582" s="701"/>
      <c r="L582" s="763">
        <f t="shared" ref="L582:L597" si="38">L581</f>
        <v>45748</v>
      </c>
      <c r="M582" s="764"/>
      <c r="N582" s="765"/>
      <c r="O582" s="763">
        <f t="shared" si="37"/>
        <v>45777</v>
      </c>
      <c r="P582" s="764"/>
      <c r="Q582" s="765"/>
      <c r="R582" s="772" cm="1">
        <f t="array" ref="R582">INDEX(verificare!$AT$4:$CC$26,VLOOKUP($AA$15,verificare!$AR$4:$AS$26,2,FALSE),A582)</f>
        <v>0</v>
      </c>
      <c r="S582" s="773"/>
      <c r="T582" s="773"/>
      <c r="U582" s="774"/>
      <c r="V582" s="724" t="s">
        <v>727</v>
      </c>
      <c r="W582" s="725"/>
      <c r="X582" s="691">
        <f>HLOOKUP(VLOOKUP($AA$15,'Date SPV'!$B:$F,5,FALSE),'Preturi si tarife'!$C$2:$J$39,A582+2,FALSE)</f>
        <v>0.4395</v>
      </c>
      <c r="Y582" s="692"/>
      <c r="Z582" s="692"/>
      <c r="AA582" s="693"/>
      <c r="AB582" s="772">
        <f t="shared" si="31"/>
        <v>0</v>
      </c>
      <c r="AC582" s="773"/>
      <c r="AD582" s="773"/>
      <c r="AE582" s="774"/>
      <c r="AF582" s="772">
        <f t="shared" si="32"/>
        <v>0</v>
      </c>
      <c r="AG582" s="773"/>
      <c r="AH582" s="773"/>
      <c r="AI582" s="774"/>
      <c r="AJ582" s="772">
        <f t="shared" si="33"/>
        <v>0</v>
      </c>
      <c r="AK582" s="773"/>
      <c r="AL582" s="773"/>
      <c r="AM582" s="774"/>
    </row>
    <row r="583" spans="1:39" ht="30.95" customHeight="1">
      <c r="A583" s="65">
        <f t="shared" si="34"/>
        <v>22</v>
      </c>
      <c r="B583" s="699" t="s">
        <v>869</v>
      </c>
      <c r="C583" s="700"/>
      <c r="D583" s="700"/>
      <c r="E583" s="700"/>
      <c r="F583" s="700"/>
      <c r="G583" s="700"/>
      <c r="H583" s="700"/>
      <c r="I583" s="700"/>
      <c r="J583" s="700"/>
      <c r="K583" s="701"/>
      <c r="L583" s="763">
        <f t="shared" si="38"/>
        <v>45748</v>
      </c>
      <c r="M583" s="764"/>
      <c r="N583" s="765"/>
      <c r="O583" s="763">
        <f t="shared" si="37"/>
        <v>45777</v>
      </c>
      <c r="P583" s="764"/>
      <c r="Q583" s="765"/>
      <c r="R583" s="772" cm="1">
        <f t="array" ref="R583">INDEX(verificare!$AT$4:$CC$26,VLOOKUP($AA$15,verificare!$AR$4:$AS$26,2,FALSE),A583)</f>
        <v>0</v>
      </c>
      <c r="S583" s="773"/>
      <c r="T583" s="773"/>
      <c r="U583" s="774"/>
      <c r="V583" s="724" t="s">
        <v>446</v>
      </c>
      <c r="W583" s="725"/>
      <c r="X583" s="691">
        <f>HLOOKUP(VLOOKUP($AA$15,'Date SPV'!$B:$F,5,FALSE),'Preturi si tarife'!$C$2:$J$39,A583+2,FALSE)</f>
        <v>0.11483</v>
      </c>
      <c r="Y583" s="692"/>
      <c r="Z583" s="692"/>
      <c r="AA583" s="693"/>
      <c r="AB583" s="772">
        <f t="shared" si="31"/>
        <v>0</v>
      </c>
      <c r="AC583" s="773"/>
      <c r="AD583" s="773"/>
      <c r="AE583" s="774"/>
      <c r="AF583" s="772">
        <f t="shared" si="32"/>
        <v>0</v>
      </c>
      <c r="AG583" s="773"/>
      <c r="AH583" s="773"/>
      <c r="AI583" s="774"/>
      <c r="AJ583" s="772">
        <f t="shared" si="33"/>
        <v>0</v>
      </c>
      <c r="AK583" s="773"/>
      <c r="AL583" s="773"/>
      <c r="AM583" s="774"/>
    </row>
    <row r="584" spans="1:39" ht="15.95" customHeight="1">
      <c r="A584" s="65">
        <f t="shared" si="34"/>
        <v>23</v>
      </c>
      <c r="B584" s="699" t="s">
        <v>758</v>
      </c>
      <c r="C584" s="700"/>
      <c r="D584" s="700"/>
      <c r="E584" s="700"/>
      <c r="F584" s="700"/>
      <c r="G584" s="700"/>
      <c r="H584" s="700"/>
      <c r="I584" s="700"/>
      <c r="J584" s="700"/>
      <c r="K584" s="701"/>
      <c r="L584" s="763">
        <f t="shared" si="38"/>
        <v>45748</v>
      </c>
      <c r="M584" s="764"/>
      <c r="N584" s="765"/>
      <c r="O584" s="763">
        <f t="shared" si="37"/>
        <v>45777</v>
      </c>
      <c r="P584" s="764"/>
      <c r="Q584" s="765"/>
      <c r="R584" s="772" cm="1">
        <f t="array" ref="R584">INDEX(verificare!$AT$4:$CC$26,VLOOKUP($AA$15,verificare!$AR$4:$AS$26,2,FALSE),A584)</f>
        <v>0</v>
      </c>
      <c r="S584" s="773"/>
      <c r="T584" s="773"/>
      <c r="U584" s="774"/>
      <c r="V584" s="724" t="s">
        <v>446</v>
      </c>
      <c r="W584" s="725"/>
      <c r="X584" s="691">
        <f>HLOOKUP(VLOOKUP($AA$15,'Date SPV'!$B:$F,5,FALSE),'Preturi si tarife'!$C$2:$J$39,A584+2,FALSE)</f>
        <v>0.2361</v>
      </c>
      <c r="Y584" s="692"/>
      <c r="Z584" s="692"/>
      <c r="AA584" s="693"/>
      <c r="AB584" s="772">
        <f t="shared" si="31"/>
        <v>0</v>
      </c>
      <c r="AC584" s="773"/>
      <c r="AD584" s="773"/>
      <c r="AE584" s="774"/>
      <c r="AF584" s="772">
        <f t="shared" si="32"/>
        <v>0</v>
      </c>
      <c r="AG584" s="773"/>
      <c r="AH584" s="773"/>
      <c r="AI584" s="774"/>
      <c r="AJ584" s="772">
        <f t="shared" si="33"/>
        <v>0</v>
      </c>
      <c r="AK584" s="773"/>
      <c r="AL584" s="773"/>
      <c r="AM584" s="774"/>
    </row>
    <row r="585" spans="1:39" ht="15.95" customHeight="1">
      <c r="A585" s="65">
        <f t="shared" si="34"/>
        <v>24</v>
      </c>
      <c r="B585" s="699" t="s">
        <v>102</v>
      </c>
      <c r="C585" s="700"/>
      <c r="D585" s="700"/>
      <c r="E585" s="700"/>
      <c r="F585" s="700"/>
      <c r="G585" s="700"/>
      <c r="H585" s="700"/>
      <c r="I585" s="700"/>
      <c r="J585" s="700"/>
      <c r="K585" s="701"/>
      <c r="L585" s="763">
        <f t="shared" si="38"/>
        <v>45748</v>
      </c>
      <c r="M585" s="764"/>
      <c r="N585" s="765"/>
      <c r="O585" s="763">
        <f t="shared" si="37"/>
        <v>45777</v>
      </c>
      <c r="P585" s="764"/>
      <c r="Q585" s="765"/>
      <c r="R585" s="772" cm="1">
        <f t="array" ref="R585">INDEX(verificare!$AT$4:$CC$26,VLOOKUP($AA$15,verificare!$AR$4:$AS$26,2,FALSE),A585)</f>
        <v>0</v>
      </c>
      <c r="S585" s="773"/>
      <c r="T585" s="773"/>
      <c r="U585" s="774"/>
      <c r="V585" s="724" t="s">
        <v>446</v>
      </c>
      <c r="W585" s="725"/>
      <c r="X585" s="691">
        <f>HLOOKUP(VLOOKUP($AA$15,'Date SPV'!$B:$F,5,FALSE),'Preturi si tarife'!$C$2:$J$39,A585+2,FALSE)</f>
        <v>1.1509999999999999E-2</v>
      </c>
      <c r="Y585" s="692"/>
      <c r="Z585" s="692"/>
      <c r="AA585" s="693"/>
      <c r="AB585" s="772">
        <f t="shared" si="31"/>
        <v>0</v>
      </c>
      <c r="AC585" s="773"/>
      <c r="AD585" s="773"/>
      <c r="AE585" s="774"/>
      <c r="AF585" s="772">
        <f t="shared" si="32"/>
        <v>0</v>
      </c>
      <c r="AG585" s="773"/>
      <c r="AH585" s="773"/>
      <c r="AI585" s="774"/>
      <c r="AJ585" s="772">
        <f t="shared" si="33"/>
        <v>0</v>
      </c>
      <c r="AK585" s="773"/>
      <c r="AL585" s="773"/>
      <c r="AM585" s="774"/>
    </row>
    <row r="586" spans="1:39" ht="30.95" customHeight="1">
      <c r="A586" s="65">
        <f t="shared" si="34"/>
        <v>25</v>
      </c>
      <c r="B586" s="699" t="s">
        <v>103</v>
      </c>
      <c r="C586" s="700"/>
      <c r="D586" s="700"/>
      <c r="E586" s="700"/>
      <c r="F586" s="700"/>
      <c r="G586" s="700"/>
      <c r="H586" s="700"/>
      <c r="I586" s="700"/>
      <c r="J586" s="700"/>
      <c r="K586" s="701"/>
      <c r="L586" s="763">
        <f t="shared" si="38"/>
        <v>45748</v>
      </c>
      <c r="M586" s="764"/>
      <c r="N586" s="765"/>
      <c r="O586" s="763">
        <f t="shared" si="37"/>
        <v>45777</v>
      </c>
      <c r="P586" s="764"/>
      <c r="Q586" s="765"/>
      <c r="R586" s="772" cm="1">
        <f t="array" ref="R586">INDEX(verificare!$AT$4:$CC$26,VLOOKUP($AA$15,verificare!$AR$4:$AS$26,2,FALSE),A586)</f>
        <v>0</v>
      </c>
      <c r="S586" s="773"/>
      <c r="T586" s="773"/>
      <c r="U586" s="774"/>
      <c r="V586" s="724" t="s">
        <v>446</v>
      </c>
      <c r="W586" s="725"/>
      <c r="X586" s="691">
        <f>HLOOKUP(VLOOKUP($AA$15,'Date SPV'!$B:$F,5,FALSE),'Preturi si tarife'!$C$2:$J$39,A586+2,FALSE)</f>
        <v>3.3030000000000004E-2</v>
      </c>
      <c r="Y586" s="692"/>
      <c r="Z586" s="692"/>
      <c r="AA586" s="693"/>
      <c r="AB586" s="772">
        <f t="shared" si="31"/>
        <v>0</v>
      </c>
      <c r="AC586" s="773"/>
      <c r="AD586" s="773"/>
      <c r="AE586" s="774"/>
      <c r="AF586" s="772">
        <f t="shared" si="32"/>
        <v>0</v>
      </c>
      <c r="AG586" s="773"/>
      <c r="AH586" s="773"/>
      <c r="AI586" s="774"/>
      <c r="AJ586" s="772">
        <f t="shared" si="33"/>
        <v>0</v>
      </c>
      <c r="AK586" s="773"/>
      <c r="AL586" s="773"/>
      <c r="AM586" s="774"/>
    </row>
    <row r="587" spans="1:39" ht="30.95" customHeight="1">
      <c r="A587" s="65">
        <f t="shared" si="34"/>
        <v>26</v>
      </c>
      <c r="B587" s="699" t="s">
        <v>104</v>
      </c>
      <c r="C587" s="700"/>
      <c r="D587" s="700"/>
      <c r="E587" s="700"/>
      <c r="F587" s="700"/>
      <c r="G587" s="700"/>
      <c r="H587" s="700"/>
      <c r="I587" s="700"/>
      <c r="J587" s="700"/>
      <c r="K587" s="701"/>
      <c r="L587" s="763">
        <f t="shared" si="38"/>
        <v>45748</v>
      </c>
      <c r="M587" s="764"/>
      <c r="N587" s="765"/>
      <c r="O587" s="763">
        <f t="shared" si="37"/>
        <v>45777</v>
      </c>
      <c r="P587" s="764"/>
      <c r="Q587" s="765"/>
      <c r="R587" s="772" cm="1">
        <f t="array" ref="R587">INDEX(verificare!$AT$4:$CC$26,VLOOKUP($AA$15,verificare!$AR$4:$AS$26,2,FALSE),A587)</f>
        <v>0</v>
      </c>
      <c r="S587" s="773"/>
      <c r="T587" s="773"/>
      <c r="U587" s="774"/>
      <c r="V587" s="724" t="s">
        <v>446</v>
      </c>
      <c r="W587" s="725"/>
      <c r="X587" s="691">
        <f>HLOOKUP(VLOOKUP($AA$15,'Date SPV'!$B:$F,5,FALSE),'Preturi si tarife'!$C$2:$J$39,A587+2,FALSE)</f>
        <v>3.29E-3</v>
      </c>
      <c r="Y587" s="692"/>
      <c r="Z587" s="692"/>
      <c r="AA587" s="693"/>
      <c r="AB587" s="772">
        <f t="shared" si="31"/>
        <v>0</v>
      </c>
      <c r="AC587" s="773"/>
      <c r="AD587" s="773"/>
      <c r="AE587" s="774"/>
      <c r="AF587" s="772">
        <f t="shared" si="32"/>
        <v>0</v>
      </c>
      <c r="AG587" s="773"/>
      <c r="AH587" s="773"/>
      <c r="AI587" s="774"/>
      <c r="AJ587" s="772">
        <f t="shared" si="33"/>
        <v>0</v>
      </c>
      <c r="AK587" s="773"/>
      <c r="AL587" s="773"/>
      <c r="AM587" s="774"/>
    </row>
    <row r="588" spans="1:39" ht="30.95" customHeight="1">
      <c r="A588" s="65">
        <f t="shared" si="34"/>
        <v>27</v>
      </c>
      <c r="B588" s="699" t="s">
        <v>105</v>
      </c>
      <c r="C588" s="700"/>
      <c r="D588" s="700"/>
      <c r="E588" s="700"/>
      <c r="F588" s="700"/>
      <c r="G588" s="700"/>
      <c r="H588" s="700"/>
      <c r="I588" s="700"/>
      <c r="J588" s="700"/>
      <c r="K588" s="701"/>
      <c r="L588" s="763">
        <f t="shared" si="38"/>
        <v>45748</v>
      </c>
      <c r="M588" s="764"/>
      <c r="N588" s="765"/>
      <c r="O588" s="763">
        <f t="shared" si="37"/>
        <v>45777</v>
      </c>
      <c r="P588" s="764"/>
      <c r="Q588" s="765"/>
      <c r="R588" s="772" cm="1">
        <f t="array" ref="R588">INDEX(verificare!$AT$4:$CC$26,VLOOKUP($AA$15,verificare!$AR$4:$AS$26,2,FALSE),A588)</f>
        <v>0</v>
      </c>
      <c r="S588" s="773"/>
      <c r="T588" s="773"/>
      <c r="U588" s="774"/>
      <c r="V588" s="724" t="s">
        <v>446</v>
      </c>
      <c r="W588" s="725"/>
      <c r="X588" s="691">
        <f>HLOOKUP(VLOOKUP($AA$15,'Date SPV'!$B:$F,5,FALSE),'Preturi si tarife'!$C$2:$J$39,A588+2,FALSE)</f>
        <v>3.5000000000000001E-3</v>
      </c>
      <c r="Y588" s="692"/>
      <c r="Z588" s="692"/>
      <c r="AA588" s="693"/>
      <c r="AB588" s="772">
        <f t="shared" si="31"/>
        <v>0</v>
      </c>
      <c r="AC588" s="773"/>
      <c r="AD588" s="773"/>
      <c r="AE588" s="774"/>
      <c r="AF588" s="772">
        <f t="shared" si="32"/>
        <v>0</v>
      </c>
      <c r="AG588" s="773"/>
      <c r="AH588" s="773"/>
      <c r="AI588" s="774"/>
      <c r="AJ588" s="772">
        <f t="shared" si="33"/>
        <v>0</v>
      </c>
      <c r="AK588" s="773"/>
      <c r="AL588" s="773"/>
      <c r="AM588" s="774"/>
    </row>
    <row r="589" spans="1:39" ht="15.95" customHeight="1">
      <c r="A589" s="65">
        <f t="shared" si="34"/>
        <v>28</v>
      </c>
      <c r="B589" s="699" t="s">
        <v>106</v>
      </c>
      <c r="C589" s="700"/>
      <c r="D589" s="700"/>
      <c r="E589" s="700"/>
      <c r="F589" s="700"/>
      <c r="G589" s="700"/>
      <c r="H589" s="700"/>
      <c r="I589" s="700"/>
      <c r="J589" s="700"/>
      <c r="K589" s="701"/>
      <c r="L589" s="763">
        <f t="shared" si="38"/>
        <v>45748</v>
      </c>
      <c r="M589" s="764"/>
      <c r="N589" s="765"/>
      <c r="O589" s="763">
        <f t="shared" si="37"/>
        <v>45777</v>
      </c>
      <c r="P589" s="764"/>
      <c r="Q589" s="765"/>
      <c r="R589" s="772" cm="1">
        <f t="array" ref="R589">INDEX(verificare!$AT$4:$CC$26,VLOOKUP($AA$15,verificare!$AR$4:$AS$26,2,FALSE),A589)</f>
        <v>0</v>
      </c>
      <c r="S589" s="773"/>
      <c r="T589" s="773"/>
      <c r="U589" s="774"/>
      <c r="V589" s="724" t="s">
        <v>446</v>
      </c>
      <c r="W589" s="725"/>
      <c r="X589" s="691">
        <f>HLOOKUP(VLOOKUP($AA$15,'Date SPV'!$B:$F,5,FALSE),'Preturi si tarife'!$C$2:$J$39,A589+2,FALSE)</f>
        <v>7.2541599999999998E-2</v>
      </c>
      <c r="Y589" s="692"/>
      <c r="Z589" s="692"/>
      <c r="AA589" s="693"/>
      <c r="AB589" s="772">
        <f t="shared" si="31"/>
        <v>0</v>
      </c>
      <c r="AC589" s="773"/>
      <c r="AD589" s="773"/>
      <c r="AE589" s="774"/>
      <c r="AF589" s="772">
        <f t="shared" si="32"/>
        <v>0</v>
      </c>
      <c r="AG589" s="773"/>
      <c r="AH589" s="773"/>
      <c r="AI589" s="774"/>
      <c r="AJ589" s="772">
        <f t="shared" si="33"/>
        <v>0</v>
      </c>
      <c r="AK589" s="773"/>
      <c r="AL589" s="773"/>
      <c r="AM589" s="774"/>
    </row>
    <row r="590" spans="1:39" ht="30.95" customHeight="1">
      <c r="A590" s="65">
        <f t="shared" si="34"/>
        <v>29</v>
      </c>
      <c r="B590" s="699" t="s">
        <v>1416</v>
      </c>
      <c r="C590" s="700"/>
      <c r="D590" s="700"/>
      <c r="E590" s="700"/>
      <c r="F590" s="700"/>
      <c r="G590" s="700"/>
      <c r="H590" s="700"/>
      <c r="I590" s="700"/>
      <c r="J590" s="700"/>
      <c r="K590" s="701"/>
      <c r="L590" s="763">
        <f>L588</f>
        <v>45748</v>
      </c>
      <c r="M590" s="764"/>
      <c r="N590" s="765"/>
      <c r="O590" s="763">
        <f>O588</f>
        <v>45777</v>
      </c>
      <c r="P590" s="764"/>
      <c r="Q590" s="765"/>
      <c r="R590" s="772" cm="1">
        <f t="array" ref="R590">INDEX(verificare!$AT$4:$CC$26,VLOOKUP($AA$15,verificare!$AR$4:$AS$26,2,FALSE),A590)</f>
        <v>0</v>
      </c>
      <c r="S590" s="773"/>
      <c r="T590" s="773"/>
      <c r="U590" s="774"/>
      <c r="V590" s="724" t="s">
        <v>446</v>
      </c>
      <c r="W590" s="725"/>
      <c r="X590" s="691">
        <f>HLOOKUP(VLOOKUP($AA$15,'Date SPV'!$B:$F,5,FALSE),'Preturi si tarife'!$C$2:$J$39,A590+2,FALSE)</f>
        <v>2.0599999999999999E-4</v>
      </c>
      <c r="Y590" s="692"/>
      <c r="Z590" s="692"/>
      <c r="AA590" s="693"/>
      <c r="AB590" s="772">
        <f t="shared" si="31"/>
        <v>0</v>
      </c>
      <c r="AC590" s="773"/>
      <c r="AD590" s="773"/>
      <c r="AE590" s="774"/>
      <c r="AF590" s="772">
        <f t="shared" si="32"/>
        <v>0</v>
      </c>
      <c r="AG590" s="773"/>
      <c r="AH590" s="773"/>
      <c r="AI590" s="774"/>
      <c r="AJ590" s="772">
        <f t="shared" si="33"/>
        <v>0</v>
      </c>
      <c r="AK590" s="773"/>
      <c r="AL590" s="773"/>
      <c r="AM590" s="774"/>
    </row>
    <row r="591" spans="1:39" ht="15.95" customHeight="1">
      <c r="A591" s="65">
        <f t="shared" si="34"/>
        <v>30</v>
      </c>
      <c r="B591" s="699" t="s">
        <v>107</v>
      </c>
      <c r="C591" s="700"/>
      <c r="D591" s="700"/>
      <c r="E591" s="700"/>
      <c r="F591" s="700"/>
      <c r="G591" s="700"/>
      <c r="H591" s="700"/>
      <c r="I591" s="700"/>
      <c r="J591" s="700"/>
      <c r="K591" s="701"/>
      <c r="L591" s="763">
        <f>L589</f>
        <v>45748</v>
      </c>
      <c r="M591" s="764"/>
      <c r="N591" s="765"/>
      <c r="O591" s="763">
        <f>O589</f>
        <v>45777</v>
      </c>
      <c r="P591" s="764"/>
      <c r="Q591" s="765"/>
      <c r="R591" s="772" cm="1">
        <f t="array" ref="R591">INDEX(verificare!$AT$4:$CC$26,VLOOKUP($AA$15,verificare!$AR$4:$AS$26,2,FALSE),A591)</f>
        <v>0</v>
      </c>
      <c r="S591" s="773"/>
      <c r="T591" s="773"/>
      <c r="U591" s="774"/>
      <c r="V591" s="724" t="s">
        <v>446</v>
      </c>
      <c r="W591" s="725"/>
      <c r="X591" s="691">
        <f>HLOOKUP(VLOOKUP($AA$15,'Date SPV'!$B:$F,5,FALSE),'Preturi si tarife'!$C$2:$J$39,A591+2,FALSE)</f>
        <v>0</v>
      </c>
      <c r="Y591" s="692"/>
      <c r="Z591" s="692"/>
      <c r="AA591" s="693"/>
      <c r="AB591" s="772">
        <f t="shared" si="31"/>
        <v>0</v>
      </c>
      <c r="AC591" s="773"/>
      <c r="AD591" s="773"/>
      <c r="AE591" s="774"/>
      <c r="AF591" s="772">
        <f t="shared" si="32"/>
        <v>0</v>
      </c>
      <c r="AG591" s="773"/>
      <c r="AH591" s="773"/>
      <c r="AI591" s="774"/>
      <c r="AJ591" s="772">
        <f t="shared" si="33"/>
        <v>0</v>
      </c>
      <c r="AK591" s="773"/>
      <c r="AL591" s="773"/>
      <c r="AM591" s="774"/>
    </row>
    <row r="592" spans="1:39" ht="30.95" customHeight="1">
      <c r="A592" s="65">
        <f t="shared" si="34"/>
        <v>31</v>
      </c>
      <c r="B592" s="699" t="s">
        <v>108</v>
      </c>
      <c r="C592" s="700"/>
      <c r="D592" s="700"/>
      <c r="E592" s="700"/>
      <c r="F592" s="700"/>
      <c r="G592" s="700"/>
      <c r="H592" s="700"/>
      <c r="I592" s="700"/>
      <c r="J592" s="700"/>
      <c r="K592" s="701"/>
      <c r="L592" s="763">
        <f t="shared" si="38"/>
        <v>45748</v>
      </c>
      <c r="M592" s="764"/>
      <c r="N592" s="765"/>
      <c r="O592" s="763">
        <f t="shared" si="37"/>
        <v>45777</v>
      </c>
      <c r="P592" s="764"/>
      <c r="Q592" s="765"/>
      <c r="R592" s="772" cm="1">
        <f t="array" ref="R592">INDEX(verificare!$AT$4:$CC$26,VLOOKUP($AA$15,verificare!$AR$4:$AS$26,2,FALSE),A592)</f>
        <v>0</v>
      </c>
      <c r="S592" s="773"/>
      <c r="T592" s="773"/>
      <c r="U592" s="774"/>
      <c r="V592" s="724" t="s">
        <v>446</v>
      </c>
      <c r="W592" s="725"/>
      <c r="X592" s="691">
        <f>HLOOKUP(VLOOKUP($AA$15,'Date SPV'!$B:$F,5,FALSE),'Preturi si tarife'!$C$2:$J$39,A592+2,FALSE)</f>
        <v>1.26E-2</v>
      </c>
      <c r="Y592" s="692"/>
      <c r="Z592" s="692"/>
      <c r="AA592" s="693"/>
      <c r="AB592" s="772">
        <f t="shared" si="31"/>
        <v>0</v>
      </c>
      <c r="AC592" s="773"/>
      <c r="AD592" s="773"/>
      <c r="AE592" s="774"/>
      <c r="AF592" s="772">
        <f t="shared" si="32"/>
        <v>0</v>
      </c>
      <c r="AG592" s="773"/>
      <c r="AH592" s="773"/>
      <c r="AI592" s="774"/>
      <c r="AJ592" s="772">
        <f t="shared" si="33"/>
        <v>0</v>
      </c>
      <c r="AK592" s="773"/>
      <c r="AL592" s="773"/>
      <c r="AM592" s="774"/>
    </row>
    <row r="593" spans="1:39" ht="30.95" customHeight="1">
      <c r="A593" s="65">
        <f t="shared" si="34"/>
        <v>32</v>
      </c>
      <c r="B593" s="699" t="s">
        <v>109</v>
      </c>
      <c r="C593" s="700"/>
      <c r="D593" s="700"/>
      <c r="E593" s="700"/>
      <c r="F593" s="700"/>
      <c r="G593" s="700"/>
      <c r="H593" s="700"/>
      <c r="I593" s="700"/>
      <c r="J593" s="700"/>
      <c r="K593" s="701"/>
      <c r="L593" s="763">
        <f t="shared" si="38"/>
        <v>45748</v>
      </c>
      <c r="M593" s="764"/>
      <c r="N593" s="765"/>
      <c r="O593" s="763">
        <f t="shared" si="37"/>
        <v>45777</v>
      </c>
      <c r="P593" s="764"/>
      <c r="Q593" s="765"/>
      <c r="R593" s="772" cm="1">
        <f t="array" ref="R593">INDEX(verificare!$AT$4:$CC$26,VLOOKUP($AA$15,verificare!$AR$4:$AS$26,2,FALSE),A593)</f>
        <v>0</v>
      </c>
      <c r="S593" s="773"/>
      <c r="T593" s="773"/>
      <c r="U593" s="774"/>
      <c r="V593" s="724" t="s">
        <v>446</v>
      </c>
      <c r="W593" s="725"/>
      <c r="X593" s="691">
        <f>HLOOKUP(VLOOKUP($AA$15,'Date SPV'!$B:$F,5,FALSE),'Preturi si tarife'!$C$2:$J$39,A593+2,FALSE)</f>
        <v>9.2700000000000005E-2</v>
      </c>
      <c r="Y593" s="692"/>
      <c r="Z593" s="692"/>
      <c r="AA593" s="693"/>
      <c r="AB593" s="772">
        <f t="shared" si="31"/>
        <v>0</v>
      </c>
      <c r="AC593" s="773"/>
      <c r="AD593" s="773"/>
      <c r="AE593" s="774"/>
      <c r="AF593" s="772">
        <f t="shared" si="32"/>
        <v>0</v>
      </c>
      <c r="AG593" s="773"/>
      <c r="AH593" s="773"/>
      <c r="AI593" s="774"/>
      <c r="AJ593" s="772">
        <f t="shared" si="33"/>
        <v>0</v>
      </c>
      <c r="AK593" s="773"/>
      <c r="AL593" s="773"/>
      <c r="AM593" s="774"/>
    </row>
    <row r="594" spans="1:39" ht="15.95" customHeight="1">
      <c r="A594" s="65">
        <f t="shared" si="34"/>
        <v>33</v>
      </c>
      <c r="B594" s="699" t="s">
        <v>110</v>
      </c>
      <c r="C594" s="700"/>
      <c r="D594" s="700"/>
      <c r="E594" s="700"/>
      <c r="F594" s="700"/>
      <c r="G594" s="700"/>
      <c r="H594" s="700"/>
      <c r="I594" s="700"/>
      <c r="J594" s="700"/>
      <c r="K594" s="701"/>
      <c r="L594" s="763">
        <f t="shared" si="38"/>
        <v>45748</v>
      </c>
      <c r="M594" s="764"/>
      <c r="N594" s="765"/>
      <c r="O594" s="763">
        <f t="shared" si="37"/>
        <v>45777</v>
      </c>
      <c r="P594" s="764"/>
      <c r="Q594" s="765"/>
      <c r="R594" s="772" cm="1">
        <f t="array" ref="R594">INDEX(verificare!$AT$4:$CC$26,VLOOKUP($AA$15,verificare!$AR$4:$AS$26,2,FALSE),A594)</f>
        <v>0</v>
      </c>
      <c r="S594" s="773"/>
      <c r="T594" s="773"/>
      <c r="U594" s="774"/>
      <c r="V594" s="724" t="s">
        <v>446</v>
      </c>
      <c r="W594" s="725"/>
      <c r="X594" s="691">
        <f>HLOOKUP(VLOOKUP($AA$15,'Date SPV'!$B:$F,5,FALSE),'Preturi si tarife'!$C$2:$J$39,A594+2,FALSE)</f>
        <v>0.93920760000000003</v>
      </c>
      <c r="Y594" s="692"/>
      <c r="Z594" s="692"/>
      <c r="AA594" s="693"/>
      <c r="AB594" s="772">
        <f t="shared" si="31"/>
        <v>0</v>
      </c>
      <c r="AC594" s="773"/>
      <c r="AD594" s="773"/>
      <c r="AE594" s="774"/>
      <c r="AF594" s="772">
        <f t="shared" si="32"/>
        <v>0</v>
      </c>
      <c r="AG594" s="773"/>
      <c r="AH594" s="773"/>
      <c r="AI594" s="774"/>
      <c r="AJ594" s="772">
        <f t="shared" si="33"/>
        <v>0</v>
      </c>
      <c r="AK594" s="773"/>
      <c r="AL594" s="773"/>
      <c r="AM594" s="774"/>
    </row>
    <row r="595" spans="1:39" ht="15.95" customHeight="1">
      <c r="A595" s="65">
        <f t="shared" si="34"/>
        <v>34</v>
      </c>
      <c r="B595" s="699" t="s">
        <v>111</v>
      </c>
      <c r="C595" s="700"/>
      <c r="D595" s="700"/>
      <c r="E595" s="700"/>
      <c r="F595" s="700"/>
      <c r="G595" s="700"/>
      <c r="H595" s="700"/>
      <c r="I595" s="700"/>
      <c r="J595" s="700"/>
      <c r="K595" s="701"/>
      <c r="L595" s="763">
        <f t="shared" si="38"/>
        <v>45748</v>
      </c>
      <c r="M595" s="764"/>
      <c r="N595" s="765"/>
      <c r="O595" s="763">
        <f t="shared" si="37"/>
        <v>45777</v>
      </c>
      <c r="P595" s="764"/>
      <c r="Q595" s="765"/>
      <c r="R595" s="772" cm="1">
        <f t="array" ref="R595">INDEX(verificare!$AT$4:$CC$26,VLOOKUP($AA$15,verificare!$AR$4:$AS$26,2,FALSE),A595)</f>
        <v>0</v>
      </c>
      <c r="S595" s="773"/>
      <c r="T595" s="773"/>
      <c r="U595" s="774"/>
      <c r="V595" s="724" t="s">
        <v>446</v>
      </c>
      <c r="W595" s="725"/>
      <c r="X595" s="691">
        <f>HLOOKUP(VLOOKUP($AA$15,'Date SPV'!$B:$F,5,FALSE),'Preturi si tarife'!$C$2:$J$39,A595+2,FALSE)</f>
        <v>0.83390760000000008</v>
      </c>
      <c r="Y595" s="692"/>
      <c r="Z595" s="692"/>
      <c r="AA595" s="693"/>
      <c r="AB595" s="772">
        <f t="shared" si="31"/>
        <v>0</v>
      </c>
      <c r="AC595" s="773"/>
      <c r="AD595" s="773"/>
      <c r="AE595" s="774"/>
      <c r="AF595" s="772">
        <f t="shared" si="32"/>
        <v>0</v>
      </c>
      <c r="AG595" s="773"/>
      <c r="AH595" s="773"/>
      <c r="AI595" s="774"/>
      <c r="AJ595" s="772">
        <f t="shared" si="33"/>
        <v>0</v>
      </c>
      <c r="AK595" s="773"/>
      <c r="AL595" s="773"/>
      <c r="AM595" s="774"/>
    </row>
    <row r="596" spans="1:39" ht="30.95" customHeight="1">
      <c r="A596" s="65">
        <f t="shared" si="34"/>
        <v>35</v>
      </c>
      <c r="B596" s="699" t="s">
        <v>112</v>
      </c>
      <c r="C596" s="700"/>
      <c r="D596" s="700"/>
      <c r="E596" s="700"/>
      <c r="F596" s="700"/>
      <c r="G596" s="700"/>
      <c r="H596" s="700"/>
      <c r="I596" s="700"/>
      <c r="J596" s="700"/>
      <c r="K596" s="701"/>
      <c r="L596" s="763">
        <f t="shared" si="38"/>
        <v>45748</v>
      </c>
      <c r="M596" s="764"/>
      <c r="N596" s="765"/>
      <c r="O596" s="763">
        <f t="shared" si="37"/>
        <v>45777</v>
      </c>
      <c r="P596" s="764"/>
      <c r="Q596" s="765"/>
      <c r="R596" s="772" cm="1">
        <f t="array" ref="R596">INDEX(verificare!$AT$4:$CC$26,VLOOKUP($AA$15,verificare!$AR$4:$AS$26,2,FALSE),A596)</f>
        <v>0</v>
      </c>
      <c r="S596" s="773"/>
      <c r="T596" s="773"/>
      <c r="U596" s="774"/>
      <c r="V596" s="724" t="s">
        <v>446</v>
      </c>
      <c r="W596" s="725"/>
      <c r="X596" s="691">
        <f>HLOOKUP(VLOOKUP($AA$15,'Date SPV'!$B:$F,5,FALSE),'Preturi si tarife'!$C$2:$J$39,A596+2,FALSE)</f>
        <v>1.26E-2</v>
      </c>
      <c r="Y596" s="692"/>
      <c r="Z596" s="692"/>
      <c r="AA596" s="693"/>
      <c r="AB596" s="772">
        <f t="shared" si="31"/>
        <v>0</v>
      </c>
      <c r="AC596" s="773"/>
      <c r="AD596" s="773"/>
      <c r="AE596" s="774"/>
      <c r="AF596" s="772">
        <f t="shared" si="32"/>
        <v>0</v>
      </c>
      <c r="AG596" s="773"/>
      <c r="AH596" s="773"/>
      <c r="AI596" s="774"/>
      <c r="AJ596" s="772">
        <f t="shared" si="33"/>
        <v>0</v>
      </c>
      <c r="AK596" s="773"/>
      <c r="AL596" s="773"/>
      <c r="AM596" s="774"/>
    </row>
    <row r="597" spans="1:39" ht="30.95" customHeight="1">
      <c r="A597" s="65">
        <f t="shared" si="34"/>
        <v>36</v>
      </c>
      <c r="B597" s="699" t="s">
        <v>113</v>
      </c>
      <c r="C597" s="700"/>
      <c r="D597" s="700"/>
      <c r="E597" s="700"/>
      <c r="F597" s="700"/>
      <c r="G597" s="700"/>
      <c r="H597" s="700"/>
      <c r="I597" s="700"/>
      <c r="J597" s="700"/>
      <c r="K597" s="701"/>
      <c r="L597" s="763">
        <f t="shared" si="38"/>
        <v>45748</v>
      </c>
      <c r="M597" s="764"/>
      <c r="N597" s="765"/>
      <c r="O597" s="763">
        <f t="shared" si="37"/>
        <v>45777</v>
      </c>
      <c r="P597" s="764"/>
      <c r="Q597" s="765"/>
      <c r="R597" s="772" cm="1">
        <f t="array" ref="R597">INDEX(verificare!$AT$4:$CC$26,VLOOKUP($AA$15,verificare!$AR$4:$AS$26,2,FALSE),A597)</f>
        <v>0</v>
      </c>
      <c r="S597" s="773"/>
      <c r="T597" s="773"/>
      <c r="U597" s="774"/>
      <c r="V597" s="724" t="s">
        <v>446</v>
      </c>
      <c r="W597" s="725"/>
      <c r="X597" s="691">
        <f>HLOOKUP(VLOOKUP($AA$15,'Date SPV'!$B:$F,5,FALSE),'Preturi si tarife'!$C$2:$J$39,A597+2,FALSE)</f>
        <v>9.2700000000000005E-2</v>
      </c>
      <c r="Y597" s="692"/>
      <c r="Z597" s="692"/>
      <c r="AA597" s="693"/>
      <c r="AB597" s="772">
        <f t="shared" si="31"/>
        <v>0</v>
      </c>
      <c r="AC597" s="773"/>
      <c r="AD597" s="773"/>
      <c r="AE597" s="774"/>
      <c r="AF597" s="772">
        <f t="shared" si="32"/>
        <v>0</v>
      </c>
      <c r="AG597" s="773"/>
      <c r="AH597" s="773"/>
      <c r="AI597" s="774"/>
      <c r="AJ597" s="772">
        <f t="shared" si="33"/>
        <v>0</v>
      </c>
      <c r="AK597" s="773"/>
      <c r="AL597" s="773"/>
      <c r="AM597" s="774"/>
    </row>
    <row r="598" spans="1:39" ht="15.95" customHeight="1">
      <c r="A598" s="65">
        <f t="shared" si="34"/>
        <v>37</v>
      </c>
      <c r="B598" s="699" t="s">
        <v>728</v>
      </c>
      <c r="C598" s="700"/>
      <c r="D598" s="700"/>
      <c r="E598" s="700"/>
      <c r="F598" s="700"/>
      <c r="G598" s="700"/>
      <c r="H598" s="700"/>
      <c r="I598" s="700"/>
      <c r="J598" s="700"/>
      <c r="K598" s="701"/>
      <c r="L598" s="763" t="s">
        <v>69</v>
      </c>
      <c r="M598" s="764"/>
      <c r="N598" s="765"/>
      <c r="O598" s="763" t="s">
        <v>69</v>
      </c>
      <c r="P598" s="764"/>
      <c r="Q598" s="765"/>
      <c r="R598" s="772">
        <v>0</v>
      </c>
      <c r="S598" s="773"/>
      <c r="T598" s="773"/>
      <c r="U598" s="774"/>
      <c r="V598" s="724" t="s">
        <v>69</v>
      </c>
      <c r="W598" s="725"/>
      <c r="X598" s="691" t="s">
        <v>69</v>
      </c>
      <c r="Y598" s="692"/>
      <c r="Z598" s="692"/>
      <c r="AA598" s="693"/>
      <c r="AB598" s="766">
        <v>0</v>
      </c>
      <c r="AC598" s="767"/>
      <c r="AD598" s="767"/>
      <c r="AE598" s="768"/>
      <c r="AF598" s="766">
        <f t="shared" si="32"/>
        <v>0</v>
      </c>
      <c r="AG598" s="767"/>
      <c r="AH598" s="767"/>
      <c r="AI598" s="768"/>
      <c r="AJ598" s="766">
        <f t="shared" si="33"/>
        <v>0</v>
      </c>
      <c r="AK598" s="767"/>
      <c r="AL598" s="767"/>
      <c r="AM598" s="768"/>
    </row>
    <row r="599" spans="1:39" ht="15.95" customHeight="1">
      <c r="A599" s="65">
        <f>A598+1</f>
        <v>38</v>
      </c>
      <c r="B599" s="699" t="s">
        <v>729</v>
      </c>
      <c r="C599" s="700"/>
      <c r="D599" s="700"/>
      <c r="E599" s="700"/>
      <c r="F599" s="700"/>
      <c r="G599" s="700"/>
      <c r="H599" s="700"/>
      <c r="I599" s="700"/>
      <c r="J599" s="700"/>
      <c r="K599" s="701"/>
      <c r="L599" s="763" t="s">
        <v>69</v>
      </c>
      <c r="M599" s="764"/>
      <c r="N599" s="765"/>
      <c r="O599" s="763" t="s">
        <v>69</v>
      </c>
      <c r="P599" s="764"/>
      <c r="Q599" s="765"/>
      <c r="R599" s="772">
        <v>0</v>
      </c>
      <c r="S599" s="773"/>
      <c r="T599" s="773"/>
      <c r="U599" s="774"/>
      <c r="V599" s="724" t="s">
        <v>69</v>
      </c>
      <c r="W599" s="725"/>
      <c r="X599" s="691" t="s">
        <v>69</v>
      </c>
      <c r="Y599" s="692"/>
      <c r="Z599" s="692"/>
      <c r="AA599" s="693"/>
      <c r="AB599" s="769">
        <f>SUM(AB562:AE598)</f>
        <v>831302.98999999987</v>
      </c>
      <c r="AC599" s="770"/>
      <c r="AD599" s="770"/>
      <c r="AE599" s="771"/>
      <c r="AF599" s="769">
        <f>SUM(AF562:AI598)</f>
        <v>157947.56</v>
      </c>
      <c r="AG599" s="770"/>
      <c r="AH599" s="770"/>
      <c r="AI599" s="771"/>
      <c r="AJ599" s="769">
        <f>SUM(AJ562:AM598)</f>
        <v>989250.54999999981</v>
      </c>
      <c r="AK599" s="770"/>
      <c r="AL599" s="770"/>
      <c r="AM599" s="771"/>
    </row>
    <row r="600" spans="1:39" ht="15.95" customHeight="1"/>
  </sheetData>
  <mergeCells count="2060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82:L82"/>
    <mergeCell ref="M82:AH82"/>
    <mergeCell ref="AI82:AM83"/>
    <mergeCell ref="A83:L83"/>
    <mergeCell ref="M83:AH83"/>
    <mergeCell ref="A84:F86"/>
    <mergeCell ref="G84:I86"/>
    <mergeCell ref="J84:L86"/>
    <mergeCell ref="M84:N86"/>
    <mergeCell ref="O84:Q86"/>
    <mergeCell ref="AI65:AJ67"/>
    <mergeCell ref="AK65:AM67"/>
    <mergeCell ref="J66:L66"/>
    <mergeCell ref="J67:L67"/>
    <mergeCell ref="A81:L81"/>
    <mergeCell ref="M81:AH81"/>
    <mergeCell ref="AI81:AM81"/>
    <mergeCell ref="R65:T67"/>
    <mergeCell ref="U65:W67"/>
    <mergeCell ref="X65:Z67"/>
    <mergeCell ref="AA65:AC67"/>
    <mergeCell ref="AD65:AE67"/>
    <mergeCell ref="AF65:AH67"/>
    <mergeCell ref="AA87:AC89"/>
    <mergeCell ref="AD87:AE89"/>
    <mergeCell ref="AF87:AH89"/>
    <mergeCell ref="AI87:AJ89"/>
    <mergeCell ref="AK87:AM89"/>
    <mergeCell ref="J88:L88"/>
    <mergeCell ref="J89:L89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X87:Z89"/>
    <mergeCell ref="R84:T86"/>
    <mergeCell ref="U84:W86"/>
    <mergeCell ref="X84:Z86"/>
    <mergeCell ref="AA84:AC86"/>
    <mergeCell ref="AD84:AE86"/>
    <mergeCell ref="AF84:AH86"/>
    <mergeCell ref="AK90:AM92"/>
    <mergeCell ref="J91:L91"/>
    <mergeCell ref="J92:L92"/>
    <mergeCell ref="A93:F95"/>
    <mergeCell ref="G93:I95"/>
    <mergeCell ref="J93:L93"/>
    <mergeCell ref="M93:N95"/>
    <mergeCell ref="O93:Q95"/>
    <mergeCell ref="R93:T95"/>
    <mergeCell ref="U93:W95"/>
    <mergeCell ref="U90:W92"/>
    <mergeCell ref="X90:Z92"/>
    <mergeCell ref="AA90:AC92"/>
    <mergeCell ref="AD90:AE92"/>
    <mergeCell ref="AF90:AH92"/>
    <mergeCell ref="AI90:AJ92"/>
    <mergeCell ref="A90:F92"/>
    <mergeCell ref="G90:I92"/>
    <mergeCell ref="J90:L90"/>
    <mergeCell ref="M90:N92"/>
    <mergeCell ref="O90:Q92"/>
    <mergeCell ref="R90:T92"/>
    <mergeCell ref="AF96:AH98"/>
    <mergeCell ref="AI96:AJ98"/>
    <mergeCell ref="AK96:AM98"/>
    <mergeCell ref="J97:L97"/>
    <mergeCell ref="J98:L98"/>
    <mergeCell ref="A99:F101"/>
    <mergeCell ref="G99:I101"/>
    <mergeCell ref="J99:L99"/>
    <mergeCell ref="M99:N101"/>
    <mergeCell ref="O99:Q101"/>
    <mergeCell ref="O96:Q98"/>
    <mergeCell ref="R96:T98"/>
    <mergeCell ref="U96:W98"/>
    <mergeCell ref="X96:Z98"/>
    <mergeCell ref="AA96:AC98"/>
    <mergeCell ref="AD96:AE98"/>
    <mergeCell ref="J94:L94"/>
    <mergeCell ref="J95:L95"/>
    <mergeCell ref="A96:F98"/>
    <mergeCell ref="G96:I98"/>
    <mergeCell ref="J96:L96"/>
    <mergeCell ref="M96:N98"/>
    <mergeCell ref="X93:Z95"/>
    <mergeCell ref="AA93:AC95"/>
    <mergeCell ref="AD93:AE95"/>
    <mergeCell ref="AF93:AH95"/>
    <mergeCell ref="AI93:AJ95"/>
    <mergeCell ref="AK93:AM95"/>
    <mergeCell ref="AK102:AM104"/>
    <mergeCell ref="J103:L103"/>
    <mergeCell ref="J104:L104"/>
    <mergeCell ref="A105:F107"/>
    <mergeCell ref="G105:I107"/>
    <mergeCell ref="J105:L105"/>
    <mergeCell ref="M105:N107"/>
    <mergeCell ref="O105:Q107"/>
    <mergeCell ref="R105:T107"/>
    <mergeCell ref="U105:W107"/>
    <mergeCell ref="U102:W104"/>
    <mergeCell ref="X102:Z104"/>
    <mergeCell ref="AA102:AC104"/>
    <mergeCell ref="AD102:AE104"/>
    <mergeCell ref="AF102:AH104"/>
    <mergeCell ref="AI102:AJ104"/>
    <mergeCell ref="AI99:AJ101"/>
    <mergeCell ref="AK99:AM101"/>
    <mergeCell ref="J100:L100"/>
    <mergeCell ref="J101:L101"/>
    <mergeCell ref="A102:F104"/>
    <mergeCell ref="G102:I104"/>
    <mergeCell ref="J102:L102"/>
    <mergeCell ref="M102:N104"/>
    <mergeCell ref="O102:Q104"/>
    <mergeCell ref="R102:T104"/>
    <mergeCell ref="R99:T101"/>
    <mergeCell ref="U99:W101"/>
    <mergeCell ref="X99:Z101"/>
    <mergeCell ref="AA99:AC101"/>
    <mergeCell ref="AD99:AE101"/>
    <mergeCell ref="AF99:AH101"/>
    <mergeCell ref="AF108:AH110"/>
    <mergeCell ref="AI108:AJ110"/>
    <mergeCell ref="AK108:AM110"/>
    <mergeCell ref="J109:L109"/>
    <mergeCell ref="J110:L110"/>
    <mergeCell ref="A111:F113"/>
    <mergeCell ref="G111:I113"/>
    <mergeCell ref="J111:L111"/>
    <mergeCell ref="M111:N113"/>
    <mergeCell ref="O111:Q113"/>
    <mergeCell ref="O108:Q110"/>
    <mergeCell ref="R108:T110"/>
    <mergeCell ref="U108:W110"/>
    <mergeCell ref="X108:Z110"/>
    <mergeCell ref="AA108:AC110"/>
    <mergeCell ref="AD108:AE110"/>
    <mergeCell ref="J106:L106"/>
    <mergeCell ref="J107:L107"/>
    <mergeCell ref="A108:F110"/>
    <mergeCell ref="G108:I110"/>
    <mergeCell ref="J108:L108"/>
    <mergeCell ref="M108:N110"/>
    <mergeCell ref="X105:Z107"/>
    <mergeCell ref="AA105:AC107"/>
    <mergeCell ref="AD105:AE107"/>
    <mergeCell ref="AF105:AH107"/>
    <mergeCell ref="AI105:AJ107"/>
    <mergeCell ref="AK105:AM107"/>
    <mergeCell ref="A135:L135"/>
    <mergeCell ref="M135:AH135"/>
    <mergeCell ref="AI135:AM136"/>
    <mergeCell ref="A136:L136"/>
    <mergeCell ref="M136:AH136"/>
    <mergeCell ref="A137:F139"/>
    <mergeCell ref="G137:I139"/>
    <mergeCell ref="J137:L139"/>
    <mergeCell ref="M137:N139"/>
    <mergeCell ref="O137:Q139"/>
    <mergeCell ref="AI111:AJ113"/>
    <mergeCell ref="AK111:AM113"/>
    <mergeCell ref="J112:L112"/>
    <mergeCell ref="J113:L113"/>
    <mergeCell ref="A134:L134"/>
    <mergeCell ref="M134:AH134"/>
    <mergeCell ref="AI134:AM134"/>
    <mergeCell ref="A119:F121"/>
    <mergeCell ref="G119:I121"/>
    <mergeCell ref="J119:L121"/>
    <mergeCell ref="R111:T113"/>
    <mergeCell ref="U111:W113"/>
    <mergeCell ref="X111:Z113"/>
    <mergeCell ref="AA111:AC113"/>
    <mergeCell ref="AD111:AE113"/>
    <mergeCell ref="AF111:AH113"/>
    <mergeCell ref="AK122:AM124"/>
    <mergeCell ref="J123:L123"/>
    <mergeCell ref="J124:L124"/>
    <mergeCell ref="A125:F127"/>
    <mergeCell ref="G125:I127"/>
    <mergeCell ref="J125:L125"/>
    <mergeCell ref="AA140:AC142"/>
    <mergeCell ref="AD140:AE142"/>
    <mergeCell ref="AF140:AH142"/>
    <mergeCell ref="AI140:AJ142"/>
    <mergeCell ref="AK140:AM142"/>
    <mergeCell ref="J141:L141"/>
    <mergeCell ref="J142:L142"/>
    <mergeCell ref="AI137:AJ139"/>
    <mergeCell ref="AK137:AM139"/>
    <mergeCell ref="A140:F142"/>
    <mergeCell ref="G140:I142"/>
    <mergeCell ref="J140:L140"/>
    <mergeCell ref="M140:N142"/>
    <mergeCell ref="O140:Q142"/>
    <mergeCell ref="R140:T142"/>
    <mergeCell ref="U140:W142"/>
    <mergeCell ref="X140:Z142"/>
    <mergeCell ref="R137:T139"/>
    <mergeCell ref="U137:W139"/>
    <mergeCell ref="X137:Z139"/>
    <mergeCell ref="AA137:AC139"/>
    <mergeCell ref="AD137:AE139"/>
    <mergeCell ref="AF137:AH139"/>
    <mergeCell ref="AK143:AM145"/>
    <mergeCell ref="J144:L144"/>
    <mergeCell ref="J145:L145"/>
    <mergeCell ref="A146:F148"/>
    <mergeCell ref="G146:I148"/>
    <mergeCell ref="J146:L146"/>
    <mergeCell ref="M146:N148"/>
    <mergeCell ref="O146:Q148"/>
    <mergeCell ref="R146:T148"/>
    <mergeCell ref="U146:W148"/>
    <mergeCell ref="U143:W145"/>
    <mergeCell ref="X143:Z145"/>
    <mergeCell ref="AA143:AC145"/>
    <mergeCell ref="AD143:AE145"/>
    <mergeCell ref="AF143:AH145"/>
    <mergeCell ref="AI143:AJ145"/>
    <mergeCell ref="A143:F145"/>
    <mergeCell ref="G143:I145"/>
    <mergeCell ref="J143:L143"/>
    <mergeCell ref="M143:N145"/>
    <mergeCell ref="O143:Q145"/>
    <mergeCell ref="R143:T145"/>
    <mergeCell ref="AF149:AH151"/>
    <mergeCell ref="AI149:AJ151"/>
    <mergeCell ref="AK149:AM151"/>
    <mergeCell ref="J150:L150"/>
    <mergeCell ref="J151:L151"/>
    <mergeCell ref="A152:F154"/>
    <mergeCell ref="G152:I154"/>
    <mergeCell ref="J152:L152"/>
    <mergeCell ref="M152:N154"/>
    <mergeCell ref="O152:Q154"/>
    <mergeCell ref="O149:Q151"/>
    <mergeCell ref="R149:T151"/>
    <mergeCell ref="U149:W151"/>
    <mergeCell ref="X149:Z151"/>
    <mergeCell ref="AA149:AC151"/>
    <mergeCell ref="AD149:AE151"/>
    <mergeCell ref="J147:L147"/>
    <mergeCell ref="J148:L148"/>
    <mergeCell ref="A149:F151"/>
    <mergeCell ref="G149:I151"/>
    <mergeCell ref="J149:L149"/>
    <mergeCell ref="M149:N151"/>
    <mergeCell ref="X146:Z148"/>
    <mergeCell ref="AA146:AC148"/>
    <mergeCell ref="AD146:AE148"/>
    <mergeCell ref="AF146:AH148"/>
    <mergeCell ref="AI146:AJ148"/>
    <mergeCell ref="AK146:AM148"/>
    <mergeCell ref="AK155:AM157"/>
    <mergeCell ref="J156:L156"/>
    <mergeCell ref="J157:L157"/>
    <mergeCell ref="A158:F160"/>
    <mergeCell ref="G158:I160"/>
    <mergeCell ref="J158:L158"/>
    <mergeCell ref="M158:N160"/>
    <mergeCell ref="O158:Q160"/>
    <mergeCell ref="R158:T160"/>
    <mergeCell ref="U158:W160"/>
    <mergeCell ref="U155:W157"/>
    <mergeCell ref="X155:Z157"/>
    <mergeCell ref="AA155:AC157"/>
    <mergeCell ref="AD155:AE157"/>
    <mergeCell ref="AF155:AH157"/>
    <mergeCell ref="AI155:AJ157"/>
    <mergeCell ref="AI152:AJ154"/>
    <mergeCell ref="AK152:AM154"/>
    <mergeCell ref="J153:L153"/>
    <mergeCell ref="J154:L154"/>
    <mergeCell ref="A155:F157"/>
    <mergeCell ref="G155:I157"/>
    <mergeCell ref="J155:L155"/>
    <mergeCell ref="M155:N157"/>
    <mergeCell ref="O155:Q157"/>
    <mergeCell ref="R155:T157"/>
    <mergeCell ref="R152:T154"/>
    <mergeCell ref="U152:W154"/>
    <mergeCell ref="X152:Z154"/>
    <mergeCell ref="AA152:AC154"/>
    <mergeCell ref="AD152:AE154"/>
    <mergeCell ref="AF152:AH154"/>
    <mergeCell ref="AF161:AH163"/>
    <mergeCell ref="AI161:AJ163"/>
    <mergeCell ref="AK161:AM163"/>
    <mergeCell ref="J162:L162"/>
    <mergeCell ref="J163:L163"/>
    <mergeCell ref="A164:F166"/>
    <mergeCell ref="G164:I166"/>
    <mergeCell ref="J164:L164"/>
    <mergeCell ref="M164:N166"/>
    <mergeCell ref="O164:Q166"/>
    <mergeCell ref="O161:Q163"/>
    <mergeCell ref="R161:T163"/>
    <mergeCell ref="U161:W163"/>
    <mergeCell ref="X161:Z163"/>
    <mergeCell ref="AA161:AC163"/>
    <mergeCell ref="AD161:AE163"/>
    <mergeCell ref="J159:L159"/>
    <mergeCell ref="J160:L160"/>
    <mergeCell ref="A161:F163"/>
    <mergeCell ref="G161:I163"/>
    <mergeCell ref="J161:L161"/>
    <mergeCell ref="M161:N163"/>
    <mergeCell ref="X158:Z160"/>
    <mergeCell ref="AA158:AC160"/>
    <mergeCell ref="AD158:AE160"/>
    <mergeCell ref="AF158:AH160"/>
    <mergeCell ref="AI158:AJ160"/>
    <mergeCell ref="AK158:AM160"/>
    <mergeCell ref="A187:L187"/>
    <mergeCell ref="M187:AH187"/>
    <mergeCell ref="AI187:AM187"/>
    <mergeCell ref="A188:L188"/>
    <mergeCell ref="M188:AH188"/>
    <mergeCell ref="AI188:AM189"/>
    <mergeCell ref="A189:L189"/>
    <mergeCell ref="M189:AH189"/>
    <mergeCell ref="AI164:AJ166"/>
    <mergeCell ref="AK164:AM166"/>
    <mergeCell ref="J165:L165"/>
    <mergeCell ref="J166:L166"/>
    <mergeCell ref="R164:T166"/>
    <mergeCell ref="U164:W166"/>
    <mergeCell ref="X164:Z166"/>
    <mergeCell ref="AA164:AC166"/>
    <mergeCell ref="AD164:AE166"/>
    <mergeCell ref="AF164:AH166"/>
    <mergeCell ref="AD193:AE195"/>
    <mergeCell ref="AF193:AH195"/>
    <mergeCell ref="AI193:AJ195"/>
    <mergeCell ref="AK193:AM195"/>
    <mergeCell ref="J194:L194"/>
    <mergeCell ref="J195:L195"/>
    <mergeCell ref="AK190:AM192"/>
    <mergeCell ref="A193:F195"/>
    <mergeCell ref="G193:I195"/>
    <mergeCell ref="J193:L193"/>
    <mergeCell ref="M193:N195"/>
    <mergeCell ref="O193:Q195"/>
    <mergeCell ref="R193:T195"/>
    <mergeCell ref="U193:W195"/>
    <mergeCell ref="X193:Z195"/>
    <mergeCell ref="AA193:AC195"/>
    <mergeCell ref="U190:W192"/>
    <mergeCell ref="X190:Z192"/>
    <mergeCell ref="AA190:AC192"/>
    <mergeCell ref="AD190:AE192"/>
    <mergeCell ref="AF190:AH192"/>
    <mergeCell ref="AI190:AJ192"/>
    <mergeCell ref="A190:F192"/>
    <mergeCell ref="G190:I192"/>
    <mergeCell ref="J190:L192"/>
    <mergeCell ref="M190:N192"/>
    <mergeCell ref="O190:Q192"/>
    <mergeCell ref="R190:T192"/>
    <mergeCell ref="AK196:AM198"/>
    <mergeCell ref="J197:L197"/>
    <mergeCell ref="J198:L198"/>
    <mergeCell ref="A199:F201"/>
    <mergeCell ref="G199:I201"/>
    <mergeCell ref="J199:L199"/>
    <mergeCell ref="M199:N201"/>
    <mergeCell ref="O199:Q201"/>
    <mergeCell ref="R199:T201"/>
    <mergeCell ref="U199:W201"/>
    <mergeCell ref="U196:W198"/>
    <mergeCell ref="X196:Z198"/>
    <mergeCell ref="AA196:AC198"/>
    <mergeCell ref="AD196:AE198"/>
    <mergeCell ref="AF196:AH198"/>
    <mergeCell ref="AI196:AJ198"/>
    <mergeCell ref="A196:F198"/>
    <mergeCell ref="G196:I198"/>
    <mergeCell ref="J196:L196"/>
    <mergeCell ref="M196:N198"/>
    <mergeCell ref="O196:Q198"/>
    <mergeCell ref="R196:T198"/>
    <mergeCell ref="AF202:AH204"/>
    <mergeCell ref="AI202:AJ204"/>
    <mergeCell ref="AK202:AM204"/>
    <mergeCell ref="J203:L203"/>
    <mergeCell ref="J204:L204"/>
    <mergeCell ref="A205:F207"/>
    <mergeCell ref="G205:I207"/>
    <mergeCell ref="J205:L205"/>
    <mergeCell ref="M205:N207"/>
    <mergeCell ref="O205:Q207"/>
    <mergeCell ref="O202:Q204"/>
    <mergeCell ref="R202:T204"/>
    <mergeCell ref="U202:W204"/>
    <mergeCell ref="X202:Z204"/>
    <mergeCell ref="AA202:AC204"/>
    <mergeCell ref="AD202:AE204"/>
    <mergeCell ref="J200:L200"/>
    <mergeCell ref="J201:L201"/>
    <mergeCell ref="A202:F204"/>
    <mergeCell ref="G202:I204"/>
    <mergeCell ref="J202:L202"/>
    <mergeCell ref="M202:N204"/>
    <mergeCell ref="X199:Z201"/>
    <mergeCell ref="AA199:AC201"/>
    <mergeCell ref="AD199:AE201"/>
    <mergeCell ref="AF199:AH201"/>
    <mergeCell ref="AI199:AJ201"/>
    <mergeCell ref="AK199:AM201"/>
    <mergeCell ref="AK208:AM210"/>
    <mergeCell ref="J209:L209"/>
    <mergeCell ref="J210:L210"/>
    <mergeCell ref="A211:F213"/>
    <mergeCell ref="G211:I213"/>
    <mergeCell ref="J211:L211"/>
    <mergeCell ref="M211:N213"/>
    <mergeCell ref="O211:Q213"/>
    <mergeCell ref="R211:T213"/>
    <mergeCell ref="U211:W213"/>
    <mergeCell ref="U208:W210"/>
    <mergeCell ref="X208:Z210"/>
    <mergeCell ref="AA208:AC210"/>
    <mergeCell ref="AD208:AE210"/>
    <mergeCell ref="AF208:AH210"/>
    <mergeCell ref="AI208:AJ210"/>
    <mergeCell ref="AI205:AJ207"/>
    <mergeCell ref="AK205:AM207"/>
    <mergeCell ref="J206:L206"/>
    <mergeCell ref="J207:L207"/>
    <mergeCell ref="A208:F210"/>
    <mergeCell ref="G208:I210"/>
    <mergeCell ref="J208:L208"/>
    <mergeCell ref="M208:N210"/>
    <mergeCell ref="O208:Q210"/>
    <mergeCell ref="R208:T210"/>
    <mergeCell ref="R205:T207"/>
    <mergeCell ref="U205:W207"/>
    <mergeCell ref="X205:Z207"/>
    <mergeCell ref="AA205:AC207"/>
    <mergeCell ref="AD205:AE207"/>
    <mergeCell ref="AF205:AH207"/>
    <mergeCell ref="AF214:AH216"/>
    <mergeCell ref="AI214:AJ216"/>
    <mergeCell ref="AK214:AM216"/>
    <mergeCell ref="J215:L215"/>
    <mergeCell ref="J216:L216"/>
    <mergeCell ref="A217:F219"/>
    <mergeCell ref="G217:I219"/>
    <mergeCell ref="J217:L217"/>
    <mergeCell ref="M217:N219"/>
    <mergeCell ref="O217:Q219"/>
    <mergeCell ref="O214:Q216"/>
    <mergeCell ref="R214:T216"/>
    <mergeCell ref="U214:W216"/>
    <mergeCell ref="X214:Z216"/>
    <mergeCell ref="AA214:AC216"/>
    <mergeCell ref="AD214:AE216"/>
    <mergeCell ref="J212:L212"/>
    <mergeCell ref="J213:L213"/>
    <mergeCell ref="A214:F216"/>
    <mergeCell ref="G214:I216"/>
    <mergeCell ref="J214:L214"/>
    <mergeCell ref="M214:N216"/>
    <mergeCell ref="X211:Z213"/>
    <mergeCell ref="AA211:AC213"/>
    <mergeCell ref="AD211:AE213"/>
    <mergeCell ref="AF211:AH213"/>
    <mergeCell ref="AI211:AJ213"/>
    <mergeCell ref="AK211:AM213"/>
    <mergeCell ref="A241:L241"/>
    <mergeCell ref="M241:AH241"/>
    <mergeCell ref="AI241:AM242"/>
    <mergeCell ref="A242:L242"/>
    <mergeCell ref="M242:AH242"/>
    <mergeCell ref="A243:F245"/>
    <mergeCell ref="G243:I245"/>
    <mergeCell ref="J243:L245"/>
    <mergeCell ref="M243:N245"/>
    <mergeCell ref="O243:Q245"/>
    <mergeCell ref="AI217:AJ219"/>
    <mergeCell ref="AK217:AM219"/>
    <mergeCell ref="J218:L218"/>
    <mergeCell ref="J219:L219"/>
    <mergeCell ref="A240:L240"/>
    <mergeCell ref="M240:AH240"/>
    <mergeCell ref="AI240:AM240"/>
    <mergeCell ref="R217:T219"/>
    <mergeCell ref="U217:W219"/>
    <mergeCell ref="X217:Z219"/>
    <mergeCell ref="AA217:AC219"/>
    <mergeCell ref="AD217:AE219"/>
    <mergeCell ref="AF217:AH219"/>
    <mergeCell ref="O249:Q251"/>
    <mergeCell ref="R249:T251"/>
    <mergeCell ref="AA246:AC248"/>
    <mergeCell ref="AD246:AE248"/>
    <mergeCell ref="AF246:AH248"/>
    <mergeCell ref="AI246:AJ248"/>
    <mergeCell ref="AK246:AM248"/>
    <mergeCell ref="J247:L247"/>
    <mergeCell ref="J248:L248"/>
    <mergeCell ref="AI243:AJ245"/>
    <mergeCell ref="AK243:AM245"/>
    <mergeCell ref="A246:F248"/>
    <mergeCell ref="G246:I248"/>
    <mergeCell ref="J246:L246"/>
    <mergeCell ref="M246:N248"/>
    <mergeCell ref="O246:Q248"/>
    <mergeCell ref="R246:T248"/>
    <mergeCell ref="U246:W248"/>
    <mergeCell ref="X246:Z248"/>
    <mergeCell ref="R243:T245"/>
    <mergeCell ref="U243:W245"/>
    <mergeCell ref="X243:Z245"/>
    <mergeCell ref="AA243:AC245"/>
    <mergeCell ref="AD243:AE245"/>
    <mergeCell ref="AF243:AH245"/>
    <mergeCell ref="J253:L253"/>
    <mergeCell ref="J254:L254"/>
    <mergeCell ref="A255:F257"/>
    <mergeCell ref="G255:I257"/>
    <mergeCell ref="J255:L255"/>
    <mergeCell ref="M255:N257"/>
    <mergeCell ref="X252:Z254"/>
    <mergeCell ref="AA252:AC254"/>
    <mergeCell ref="AD252:AE254"/>
    <mergeCell ref="AF252:AH254"/>
    <mergeCell ref="AI252:AJ254"/>
    <mergeCell ref="AK252:AM254"/>
    <mergeCell ref="AK249:AM251"/>
    <mergeCell ref="J250:L250"/>
    <mergeCell ref="J251:L251"/>
    <mergeCell ref="A252:F254"/>
    <mergeCell ref="G252:I254"/>
    <mergeCell ref="J252:L252"/>
    <mergeCell ref="M252:N254"/>
    <mergeCell ref="O252:Q254"/>
    <mergeCell ref="R252:T254"/>
    <mergeCell ref="U252:W254"/>
    <mergeCell ref="U249:W251"/>
    <mergeCell ref="X249:Z251"/>
    <mergeCell ref="AA249:AC251"/>
    <mergeCell ref="AD249:AE251"/>
    <mergeCell ref="AF249:AH251"/>
    <mergeCell ref="AI249:AJ251"/>
    <mergeCell ref="A249:F251"/>
    <mergeCell ref="G249:I251"/>
    <mergeCell ref="J249:L249"/>
    <mergeCell ref="M249:N251"/>
    <mergeCell ref="AI258:AJ260"/>
    <mergeCell ref="AK258:AM260"/>
    <mergeCell ref="J259:L259"/>
    <mergeCell ref="J260:L260"/>
    <mergeCell ref="A261:F263"/>
    <mergeCell ref="G261:I263"/>
    <mergeCell ref="J261:L261"/>
    <mergeCell ref="M261:N263"/>
    <mergeCell ref="O261:Q263"/>
    <mergeCell ref="R261:T263"/>
    <mergeCell ref="R258:T260"/>
    <mergeCell ref="U258:W260"/>
    <mergeCell ref="X258:Z260"/>
    <mergeCell ref="AA258:AC260"/>
    <mergeCell ref="AD258:AE260"/>
    <mergeCell ref="AF258:AH260"/>
    <mergeCell ref="AF255:AH257"/>
    <mergeCell ref="AI255:AJ257"/>
    <mergeCell ref="AK255:AM257"/>
    <mergeCell ref="J256:L256"/>
    <mergeCell ref="J257:L257"/>
    <mergeCell ref="A258:F260"/>
    <mergeCell ref="G258:I260"/>
    <mergeCell ref="J258:L258"/>
    <mergeCell ref="M258:N260"/>
    <mergeCell ref="O258:Q260"/>
    <mergeCell ref="O255:Q257"/>
    <mergeCell ref="R255:T257"/>
    <mergeCell ref="U255:W257"/>
    <mergeCell ref="X255:Z257"/>
    <mergeCell ref="AA255:AC257"/>
    <mergeCell ref="AD255:AE257"/>
    <mergeCell ref="J265:L265"/>
    <mergeCell ref="J266:L266"/>
    <mergeCell ref="A267:F269"/>
    <mergeCell ref="G267:I269"/>
    <mergeCell ref="J267:L267"/>
    <mergeCell ref="M267:N269"/>
    <mergeCell ref="X264:Z266"/>
    <mergeCell ref="AA264:AC266"/>
    <mergeCell ref="AD264:AE266"/>
    <mergeCell ref="AF264:AH266"/>
    <mergeCell ref="AI264:AJ266"/>
    <mergeCell ref="AK264:AM266"/>
    <mergeCell ref="AK261:AM263"/>
    <mergeCell ref="J262:L262"/>
    <mergeCell ref="J263:L263"/>
    <mergeCell ref="A264:F266"/>
    <mergeCell ref="G264:I266"/>
    <mergeCell ref="J264:L264"/>
    <mergeCell ref="M264:N266"/>
    <mergeCell ref="O264:Q266"/>
    <mergeCell ref="R264:T266"/>
    <mergeCell ref="U264:W266"/>
    <mergeCell ref="U261:W263"/>
    <mergeCell ref="X261:Z263"/>
    <mergeCell ref="AA261:AC263"/>
    <mergeCell ref="AD261:AE263"/>
    <mergeCell ref="AF261:AH263"/>
    <mergeCell ref="AI261:AJ263"/>
    <mergeCell ref="AI270:AJ272"/>
    <mergeCell ref="AK270:AM272"/>
    <mergeCell ref="J271:L271"/>
    <mergeCell ref="J272:L272"/>
    <mergeCell ref="A293:G294"/>
    <mergeCell ref="H293:AM294"/>
    <mergeCell ref="R270:T272"/>
    <mergeCell ref="U270:W272"/>
    <mergeCell ref="X270:Z272"/>
    <mergeCell ref="AA270:AC272"/>
    <mergeCell ref="AD270:AE272"/>
    <mergeCell ref="AF270:AH272"/>
    <mergeCell ref="AF267:AH269"/>
    <mergeCell ref="AI267:AJ269"/>
    <mergeCell ref="AK267:AM269"/>
    <mergeCell ref="J268:L268"/>
    <mergeCell ref="J269:L269"/>
    <mergeCell ref="A270:F272"/>
    <mergeCell ref="G270:I272"/>
    <mergeCell ref="J270:L270"/>
    <mergeCell ref="M270:N272"/>
    <mergeCell ref="O270:Q272"/>
    <mergeCell ref="O267:Q269"/>
    <mergeCell ref="R267:T269"/>
    <mergeCell ref="U267:W269"/>
    <mergeCell ref="X267:Z269"/>
    <mergeCell ref="AA267:AC269"/>
    <mergeCell ref="AD267:AE269"/>
    <mergeCell ref="A299:L299"/>
    <mergeCell ref="M299:AH299"/>
    <mergeCell ref="AI299:AM300"/>
    <mergeCell ref="A300:L300"/>
    <mergeCell ref="M300:AH300"/>
    <mergeCell ref="A301:F303"/>
    <mergeCell ref="G301:I303"/>
    <mergeCell ref="J301:L303"/>
    <mergeCell ref="M301:N303"/>
    <mergeCell ref="O301:Q303"/>
    <mergeCell ref="A295:G296"/>
    <mergeCell ref="H295:V296"/>
    <mergeCell ref="W295:Z296"/>
    <mergeCell ref="AA295:AM296"/>
    <mergeCell ref="A298:L298"/>
    <mergeCell ref="M298:AH298"/>
    <mergeCell ref="AI298:AM298"/>
    <mergeCell ref="AA304:AC306"/>
    <mergeCell ref="AD304:AE306"/>
    <mergeCell ref="AF304:AH306"/>
    <mergeCell ref="AI304:AJ306"/>
    <mergeCell ref="AK304:AM306"/>
    <mergeCell ref="J305:L305"/>
    <mergeCell ref="J306:L306"/>
    <mergeCell ref="AI301:AJ303"/>
    <mergeCell ref="AK301:AM303"/>
    <mergeCell ref="A304:F306"/>
    <mergeCell ref="G304:I306"/>
    <mergeCell ref="J304:L304"/>
    <mergeCell ref="M304:N306"/>
    <mergeCell ref="O304:Q306"/>
    <mergeCell ref="R304:T306"/>
    <mergeCell ref="U304:W306"/>
    <mergeCell ref="X304:Z306"/>
    <mergeCell ref="R301:T303"/>
    <mergeCell ref="U301:W303"/>
    <mergeCell ref="X301:Z303"/>
    <mergeCell ref="AA301:AC303"/>
    <mergeCell ref="AD301:AE303"/>
    <mergeCell ref="AF301:AH303"/>
    <mergeCell ref="AK307:AM309"/>
    <mergeCell ref="J308:L308"/>
    <mergeCell ref="J309:L309"/>
    <mergeCell ref="A310:F312"/>
    <mergeCell ref="G310:I312"/>
    <mergeCell ref="J310:L310"/>
    <mergeCell ref="M310:N312"/>
    <mergeCell ref="O310:Q312"/>
    <mergeCell ref="R310:T312"/>
    <mergeCell ref="U310:W312"/>
    <mergeCell ref="U307:W309"/>
    <mergeCell ref="X307:Z309"/>
    <mergeCell ref="AA307:AC309"/>
    <mergeCell ref="AD307:AE309"/>
    <mergeCell ref="AF307:AH309"/>
    <mergeCell ref="AI307:AJ309"/>
    <mergeCell ref="A307:F309"/>
    <mergeCell ref="G307:I309"/>
    <mergeCell ref="J307:L307"/>
    <mergeCell ref="M307:N309"/>
    <mergeCell ref="O307:Q309"/>
    <mergeCell ref="R307:T309"/>
    <mergeCell ref="AF313:AH315"/>
    <mergeCell ref="AI313:AJ315"/>
    <mergeCell ref="AK313:AM315"/>
    <mergeCell ref="J314:L314"/>
    <mergeCell ref="J315:L315"/>
    <mergeCell ref="A316:F318"/>
    <mergeCell ref="G316:I318"/>
    <mergeCell ref="J316:L316"/>
    <mergeCell ref="M316:N318"/>
    <mergeCell ref="O316:Q318"/>
    <mergeCell ref="O313:Q315"/>
    <mergeCell ref="R313:T315"/>
    <mergeCell ref="U313:W315"/>
    <mergeCell ref="X313:Z315"/>
    <mergeCell ref="AA313:AC315"/>
    <mergeCell ref="AD313:AE315"/>
    <mergeCell ref="J311:L311"/>
    <mergeCell ref="J312:L312"/>
    <mergeCell ref="A313:F315"/>
    <mergeCell ref="G313:I315"/>
    <mergeCell ref="J313:L313"/>
    <mergeCell ref="M313:N315"/>
    <mergeCell ref="X310:Z312"/>
    <mergeCell ref="AA310:AC312"/>
    <mergeCell ref="AD310:AE312"/>
    <mergeCell ref="AF310:AH312"/>
    <mergeCell ref="AI310:AJ312"/>
    <mergeCell ref="AK310:AM312"/>
    <mergeCell ref="AK319:AM321"/>
    <mergeCell ref="J320:L320"/>
    <mergeCell ref="J321:L321"/>
    <mergeCell ref="A322:F324"/>
    <mergeCell ref="G322:I324"/>
    <mergeCell ref="J322:L322"/>
    <mergeCell ref="M322:N324"/>
    <mergeCell ref="O322:Q324"/>
    <mergeCell ref="R322:T324"/>
    <mergeCell ref="U322:W324"/>
    <mergeCell ref="U319:W321"/>
    <mergeCell ref="X319:Z321"/>
    <mergeCell ref="AA319:AC321"/>
    <mergeCell ref="AD319:AE321"/>
    <mergeCell ref="AF319:AH321"/>
    <mergeCell ref="AI319:AJ321"/>
    <mergeCell ref="AI316:AJ318"/>
    <mergeCell ref="AK316:AM318"/>
    <mergeCell ref="J317:L317"/>
    <mergeCell ref="J318:L318"/>
    <mergeCell ref="A319:F321"/>
    <mergeCell ref="G319:I321"/>
    <mergeCell ref="J319:L319"/>
    <mergeCell ref="M319:N321"/>
    <mergeCell ref="O319:Q321"/>
    <mergeCell ref="R319:T321"/>
    <mergeCell ref="R316:T318"/>
    <mergeCell ref="U316:W318"/>
    <mergeCell ref="X316:Z318"/>
    <mergeCell ref="AA316:AC318"/>
    <mergeCell ref="AD316:AE318"/>
    <mergeCell ref="AF316:AH318"/>
    <mergeCell ref="AF325:AH327"/>
    <mergeCell ref="AI325:AJ327"/>
    <mergeCell ref="AK325:AM327"/>
    <mergeCell ref="J326:L326"/>
    <mergeCell ref="J327:L327"/>
    <mergeCell ref="A328:F330"/>
    <mergeCell ref="G328:I330"/>
    <mergeCell ref="J328:L328"/>
    <mergeCell ref="M328:N330"/>
    <mergeCell ref="O328:Q330"/>
    <mergeCell ref="O325:Q327"/>
    <mergeCell ref="R325:T327"/>
    <mergeCell ref="U325:W327"/>
    <mergeCell ref="X325:Z327"/>
    <mergeCell ref="AA325:AC327"/>
    <mergeCell ref="AD325:AE327"/>
    <mergeCell ref="J323:L323"/>
    <mergeCell ref="J324:L324"/>
    <mergeCell ref="A325:F327"/>
    <mergeCell ref="G325:I327"/>
    <mergeCell ref="J325:L325"/>
    <mergeCell ref="M325:N327"/>
    <mergeCell ref="X322:Z324"/>
    <mergeCell ref="AA322:AC324"/>
    <mergeCell ref="AD322:AE324"/>
    <mergeCell ref="AF322:AH324"/>
    <mergeCell ref="AI322:AJ324"/>
    <mergeCell ref="AK322:AM324"/>
    <mergeCell ref="A348:L348"/>
    <mergeCell ref="M348:AH348"/>
    <mergeCell ref="AI348:AM349"/>
    <mergeCell ref="A349:L349"/>
    <mergeCell ref="M349:AH349"/>
    <mergeCell ref="A350:F352"/>
    <mergeCell ref="G350:I352"/>
    <mergeCell ref="J350:L352"/>
    <mergeCell ref="M350:N352"/>
    <mergeCell ref="O350:Q352"/>
    <mergeCell ref="AI328:AJ330"/>
    <mergeCell ref="AK328:AM330"/>
    <mergeCell ref="J329:L329"/>
    <mergeCell ref="J330:L330"/>
    <mergeCell ref="A347:L347"/>
    <mergeCell ref="M347:AH347"/>
    <mergeCell ref="AI347:AM347"/>
    <mergeCell ref="R328:T330"/>
    <mergeCell ref="U328:W330"/>
    <mergeCell ref="X328:Z330"/>
    <mergeCell ref="AA328:AC330"/>
    <mergeCell ref="AD328:AE330"/>
    <mergeCell ref="AF328:AH330"/>
    <mergeCell ref="AA353:AC355"/>
    <mergeCell ref="AD353:AE355"/>
    <mergeCell ref="AF353:AH355"/>
    <mergeCell ref="AI353:AJ355"/>
    <mergeCell ref="AK353:AM355"/>
    <mergeCell ref="J354:L354"/>
    <mergeCell ref="J355:L355"/>
    <mergeCell ref="AI350:AJ352"/>
    <mergeCell ref="AK350:AM352"/>
    <mergeCell ref="A353:F355"/>
    <mergeCell ref="G353:I355"/>
    <mergeCell ref="J353:L353"/>
    <mergeCell ref="M353:N355"/>
    <mergeCell ref="O353:Q355"/>
    <mergeCell ref="R353:T355"/>
    <mergeCell ref="U353:W355"/>
    <mergeCell ref="X353:Z355"/>
    <mergeCell ref="R350:T352"/>
    <mergeCell ref="U350:W352"/>
    <mergeCell ref="X350:Z352"/>
    <mergeCell ref="AA350:AC352"/>
    <mergeCell ref="AD350:AE352"/>
    <mergeCell ref="AF350:AH352"/>
    <mergeCell ref="AK356:AM358"/>
    <mergeCell ref="J357:L357"/>
    <mergeCell ref="J358:L358"/>
    <mergeCell ref="A359:F361"/>
    <mergeCell ref="G359:I361"/>
    <mergeCell ref="J359:L359"/>
    <mergeCell ref="M359:N361"/>
    <mergeCell ref="O359:Q361"/>
    <mergeCell ref="R359:T361"/>
    <mergeCell ref="U359:W361"/>
    <mergeCell ref="U356:W358"/>
    <mergeCell ref="X356:Z358"/>
    <mergeCell ref="AA356:AC358"/>
    <mergeCell ref="AD356:AE358"/>
    <mergeCell ref="AF356:AH358"/>
    <mergeCell ref="AI356:AJ358"/>
    <mergeCell ref="A356:F358"/>
    <mergeCell ref="G356:I358"/>
    <mergeCell ref="J356:L356"/>
    <mergeCell ref="M356:N358"/>
    <mergeCell ref="O356:Q358"/>
    <mergeCell ref="R356:T358"/>
    <mergeCell ref="AF362:AH364"/>
    <mergeCell ref="AI362:AJ364"/>
    <mergeCell ref="AK362:AM364"/>
    <mergeCell ref="J363:L363"/>
    <mergeCell ref="J364:L364"/>
    <mergeCell ref="A365:F367"/>
    <mergeCell ref="G365:I367"/>
    <mergeCell ref="J365:L365"/>
    <mergeCell ref="M365:N367"/>
    <mergeCell ref="O365:Q367"/>
    <mergeCell ref="O362:Q364"/>
    <mergeCell ref="R362:T364"/>
    <mergeCell ref="U362:W364"/>
    <mergeCell ref="X362:Z364"/>
    <mergeCell ref="AA362:AC364"/>
    <mergeCell ref="AD362:AE364"/>
    <mergeCell ref="J360:L360"/>
    <mergeCell ref="J361:L361"/>
    <mergeCell ref="A362:F364"/>
    <mergeCell ref="G362:I364"/>
    <mergeCell ref="J362:L362"/>
    <mergeCell ref="M362:N364"/>
    <mergeCell ref="X359:Z361"/>
    <mergeCell ref="AA359:AC361"/>
    <mergeCell ref="AD359:AE361"/>
    <mergeCell ref="AF359:AH361"/>
    <mergeCell ref="AI359:AJ361"/>
    <mergeCell ref="AK359:AM361"/>
    <mergeCell ref="AK368:AM370"/>
    <mergeCell ref="J369:L369"/>
    <mergeCell ref="J370:L370"/>
    <mergeCell ref="A371:F373"/>
    <mergeCell ref="G371:I373"/>
    <mergeCell ref="J371:L371"/>
    <mergeCell ref="M371:N373"/>
    <mergeCell ref="O371:Q373"/>
    <mergeCell ref="R371:T373"/>
    <mergeCell ref="U371:W373"/>
    <mergeCell ref="U368:W370"/>
    <mergeCell ref="X368:Z370"/>
    <mergeCell ref="AA368:AC370"/>
    <mergeCell ref="AD368:AE370"/>
    <mergeCell ref="AF368:AH370"/>
    <mergeCell ref="AI368:AJ370"/>
    <mergeCell ref="AI365:AJ367"/>
    <mergeCell ref="AK365:AM367"/>
    <mergeCell ref="J366:L366"/>
    <mergeCell ref="J367:L367"/>
    <mergeCell ref="A368:F370"/>
    <mergeCell ref="G368:I370"/>
    <mergeCell ref="J368:L368"/>
    <mergeCell ref="M368:N370"/>
    <mergeCell ref="O368:Q370"/>
    <mergeCell ref="R368:T370"/>
    <mergeCell ref="R365:T367"/>
    <mergeCell ref="U365:W367"/>
    <mergeCell ref="X365:Z367"/>
    <mergeCell ref="AA365:AC367"/>
    <mergeCell ref="AD365:AE367"/>
    <mergeCell ref="AF365:AH367"/>
    <mergeCell ref="AF374:AH376"/>
    <mergeCell ref="AI374:AJ376"/>
    <mergeCell ref="AK374:AM376"/>
    <mergeCell ref="J375:L375"/>
    <mergeCell ref="J376:L376"/>
    <mergeCell ref="A377:F379"/>
    <mergeCell ref="G377:I379"/>
    <mergeCell ref="J377:L377"/>
    <mergeCell ref="M377:N379"/>
    <mergeCell ref="O377:Q379"/>
    <mergeCell ref="O374:Q376"/>
    <mergeCell ref="R374:T376"/>
    <mergeCell ref="U374:W376"/>
    <mergeCell ref="X374:Z376"/>
    <mergeCell ref="AA374:AC376"/>
    <mergeCell ref="AD374:AE376"/>
    <mergeCell ref="J372:L372"/>
    <mergeCell ref="J373:L373"/>
    <mergeCell ref="A374:F376"/>
    <mergeCell ref="G374:I376"/>
    <mergeCell ref="J374:L374"/>
    <mergeCell ref="M374:N376"/>
    <mergeCell ref="X371:Z373"/>
    <mergeCell ref="AA371:AC373"/>
    <mergeCell ref="AD371:AE373"/>
    <mergeCell ref="AF371:AH373"/>
    <mergeCell ref="AI371:AJ373"/>
    <mergeCell ref="AK371:AM373"/>
    <mergeCell ref="A401:L401"/>
    <mergeCell ref="M401:AH401"/>
    <mergeCell ref="AI401:AM402"/>
    <mergeCell ref="A402:L402"/>
    <mergeCell ref="M402:AH402"/>
    <mergeCell ref="A403:F405"/>
    <mergeCell ref="G403:I405"/>
    <mergeCell ref="J403:L405"/>
    <mergeCell ref="M403:N405"/>
    <mergeCell ref="O403:Q405"/>
    <mergeCell ref="AI377:AJ379"/>
    <mergeCell ref="AK377:AM379"/>
    <mergeCell ref="J378:L378"/>
    <mergeCell ref="J379:L379"/>
    <mergeCell ref="A400:L400"/>
    <mergeCell ref="M400:AH400"/>
    <mergeCell ref="AI400:AM400"/>
    <mergeCell ref="R377:T379"/>
    <mergeCell ref="U377:W379"/>
    <mergeCell ref="X377:Z379"/>
    <mergeCell ref="AA377:AC379"/>
    <mergeCell ref="AD377:AE379"/>
    <mergeCell ref="AF377:AH379"/>
    <mergeCell ref="AA406:AC408"/>
    <mergeCell ref="AD406:AE408"/>
    <mergeCell ref="AF406:AH408"/>
    <mergeCell ref="AI406:AJ408"/>
    <mergeCell ref="AK406:AM408"/>
    <mergeCell ref="J407:L407"/>
    <mergeCell ref="J408:L408"/>
    <mergeCell ref="AI403:AJ405"/>
    <mergeCell ref="AK403:AM405"/>
    <mergeCell ref="A406:F408"/>
    <mergeCell ref="G406:I408"/>
    <mergeCell ref="J406:L406"/>
    <mergeCell ref="M406:N408"/>
    <mergeCell ref="O406:Q408"/>
    <mergeCell ref="R406:T408"/>
    <mergeCell ref="U406:W408"/>
    <mergeCell ref="X406:Z408"/>
    <mergeCell ref="R403:T405"/>
    <mergeCell ref="U403:W405"/>
    <mergeCell ref="X403:Z405"/>
    <mergeCell ref="AA403:AC405"/>
    <mergeCell ref="AD403:AE405"/>
    <mergeCell ref="AF403:AH405"/>
    <mergeCell ref="AK409:AM411"/>
    <mergeCell ref="J410:L410"/>
    <mergeCell ref="J411:L411"/>
    <mergeCell ref="A412:F414"/>
    <mergeCell ref="G412:I414"/>
    <mergeCell ref="J412:L412"/>
    <mergeCell ref="M412:N414"/>
    <mergeCell ref="O412:Q414"/>
    <mergeCell ref="R412:T414"/>
    <mergeCell ref="U412:W414"/>
    <mergeCell ref="U409:W411"/>
    <mergeCell ref="X409:Z411"/>
    <mergeCell ref="AA409:AC411"/>
    <mergeCell ref="AD409:AE411"/>
    <mergeCell ref="AF409:AH411"/>
    <mergeCell ref="AI409:AJ411"/>
    <mergeCell ref="A409:F411"/>
    <mergeCell ref="G409:I411"/>
    <mergeCell ref="J409:L409"/>
    <mergeCell ref="M409:N411"/>
    <mergeCell ref="O409:Q411"/>
    <mergeCell ref="R409:T411"/>
    <mergeCell ref="AF415:AH417"/>
    <mergeCell ref="AI415:AJ417"/>
    <mergeCell ref="AK415:AM417"/>
    <mergeCell ref="J416:L416"/>
    <mergeCell ref="J417:L417"/>
    <mergeCell ref="A418:F420"/>
    <mergeCell ref="G418:I420"/>
    <mergeCell ref="J418:L418"/>
    <mergeCell ref="M418:N420"/>
    <mergeCell ref="O418:Q420"/>
    <mergeCell ref="O415:Q417"/>
    <mergeCell ref="R415:T417"/>
    <mergeCell ref="U415:W417"/>
    <mergeCell ref="X415:Z417"/>
    <mergeCell ref="AA415:AC417"/>
    <mergeCell ref="AD415:AE417"/>
    <mergeCell ref="J413:L413"/>
    <mergeCell ref="J414:L414"/>
    <mergeCell ref="A415:F417"/>
    <mergeCell ref="G415:I417"/>
    <mergeCell ref="J415:L415"/>
    <mergeCell ref="M415:N417"/>
    <mergeCell ref="X412:Z414"/>
    <mergeCell ref="AA412:AC414"/>
    <mergeCell ref="AD412:AE414"/>
    <mergeCell ref="AF412:AH414"/>
    <mergeCell ref="AI412:AJ414"/>
    <mergeCell ref="AK412:AM414"/>
    <mergeCell ref="AK421:AM423"/>
    <mergeCell ref="J422:L422"/>
    <mergeCell ref="J423:L423"/>
    <mergeCell ref="A424:F426"/>
    <mergeCell ref="G424:I426"/>
    <mergeCell ref="J424:L424"/>
    <mergeCell ref="M424:N426"/>
    <mergeCell ref="O424:Q426"/>
    <mergeCell ref="R424:T426"/>
    <mergeCell ref="U424:W426"/>
    <mergeCell ref="U421:W423"/>
    <mergeCell ref="X421:Z423"/>
    <mergeCell ref="AA421:AC423"/>
    <mergeCell ref="AD421:AE423"/>
    <mergeCell ref="AF421:AH423"/>
    <mergeCell ref="AI421:AJ423"/>
    <mergeCell ref="AI418:AJ420"/>
    <mergeCell ref="AK418:AM420"/>
    <mergeCell ref="J419:L419"/>
    <mergeCell ref="J420:L420"/>
    <mergeCell ref="A421:F423"/>
    <mergeCell ref="G421:I423"/>
    <mergeCell ref="J421:L421"/>
    <mergeCell ref="M421:N423"/>
    <mergeCell ref="O421:Q423"/>
    <mergeCell ref="R421:T423"/>
    <mergeCell ref="R418:T420"/>
    <mergeCell ref="U418:W420"/>
    <mergeCell ref="X418:Z420"/>
    <mergeCell ref="AA418:AC420"/>
    <mergeCell ref="AD418:AE420"/>
    <mergeCell ref="AF418:AH420"/>
    <mergeCell ref="AF427:AH429"/>
    <mergeCell ref="AI427:AJ429"/>
    <mergeCell ref="AK427:AM429"/>
    <mergeCell ref="J428:L428"/>
    <mergeCell ref="J429:L429"/>
    <mergeCell ref="A430:F432"/>
    <mergeCell ref="G430:I432"/>
    <mergeCell ref="J430:L430"/>
    <mergeCell ref="M430:N432"/>
    <mergeCell ref="O430:Q432"/>
    <mergeCell ref="O427:Q429"/>
    <mergeCell ref="R427:T429"/>
    <mergeCell ref="U427:W429"/>
    <mergeCell ref="X427:Z429"/>
    <mergeCell ref="AA427:AC429"/>
    <mergeCell ref="AD427:AE429"/>
    <mergeCell ref="J425:L425"/>
    <mergeCell ref="J426:L426"/>
    <mergeCell ref="A427:F429"/>
    <mergeCell ref="G427:I429"/>
    <mergeCell ref="J427:L427"/>
    <mergeCell ref="M427:N429"/>
    <mergeCell ref="X424:Z426"/>
    <mergeCell ref="AA424:AC426"/>
    <mergeCell ref="AD424:AE426"/>
    <mergeCell ref="AF424:AH426"/>
    <mergeCell ref="AI424:AJ426"/>
    <mergeCell ref="AK424:AM426"/>
    <mergeCell ref="A453:L453"/>
    <mergeCell ref="M453:AH453"/>
    <mergeCell ref="AI453:AM453"/>
    <mergeCell ref="A454:L454"/>
    <mergeCell ref="M454:AH454"/>
    <mergeCell ref="AI454:AM455"/>
    <mergeCell ref="A455:L455"/>
    <mergeCell ref="M455:AH455"/>
    <mergeCell ref="AI430:AJ432"/>
    <mergeCell ref="AK430:AM432"/>
    <mergeCell ref="J431:L431"/>
    <mergeCell ref="J432:L432"/>
    <mergeCell ref="R430:T432"/>
    <mergeCell ref="U430:W432"/>
    <mergeCell ref="X430:Z432"/>
    <mergeCell ref="AA430:AC432"/>
    <mergeCell ref="AD430:AE432"/>
    <mergeCell ref="AF430:AH432"/>
    <mergeCell ref="AD459:AE461"/>
    <mergeCell ref="AF459:AH461"/>
    <mergeCell ref="AI459:AJ461"/>
    <mergeCell ref="AK459:AM461"/>
    <mergeCell ref="J460:L460"/>
    <mergeCell ref="J461:L461"/>
    <mergeCell ref="AK456:AM458"/>
    <mergeCell ref="A459:F461"/>
    <mergeCell ref="G459:I461"/>
    <mergeCell ref="J459:L459"/>
    <mergeCell ref="M459:N461"/>
    <mergeCell ref="O459:Q461"/>
    <mergeCell ref="R459:T461"/>
    <mergeCell ref="U459:W461"/>
    <mergeCell ref="X459:Z461"/>
    <mergeCell ref="AA459:AC461"/>
    <mergeCell ref="U456:W458"/>
    <mergeCell ref="X456:Z458"/>
    <mergeCell ref="AA456:AC458"/>
    <mergeCell ref="AD456:AE458"/>
    <mergeCell ref="AF456:AH458"/>
    <mergeCell ref="AI456:AJ458"/>
    <mergeCell ref="A456:F458"/>
    <mergeCell ref="G456:I458"/>
    <mergeCell ref="J456:L458"/>
    <mergeCell ref="M456:N458"/>
    <mergeCell ref="O456:Q458"/>
    <mergeCell ref="R456:T458"/>
    <mergeCell ref="AK462:AM464"/>
    <mergeCell ref="J463:L463"/>
    <mergeCell ref="J464:L464"/>
    <mergeCell ref="A465:F467"/>
    <mergeCell ref="G465:I467"/>
    <mergeCell ref="J465:L465"/>
    <mergeCell ref="M465:N467"/>
    <mergeCell ref="O465:Q467"/>
    <mergeCell ref="R465:T467"/>
    <mergeCell ref="U465:W467"/>
    <mergeCell ref="U462:W464"/>
    <mergeCell ref="X462:Z464"/>
    <mergeCell ref="AA462:AC464"/>
    <mergeCell ref="AD462:AE464"/>
    <mergeCell ref="AF462:AH464"/>
    <mergeCell ref="AI462:AJ464"/>
    <mergeCell ref="A462:F464"/>
    <mergeCell ref="G462:I464"/>
    <mergeCell ref="J462:L462"/>
    <mergeCell ref="M462:N464"/>
    <mergeCell ref="O462:Q464"/>
    <mergeCell ref="R462:T464"/>
    <mergeCell ref="AF468:AH470"/>
    <mergeCell ref="AI468:AJ470"/>
    <mergeCell ref="AK468:AM470"/>
    <mergeCell ref="J469:L469"/>
    <mergeCell ref="J470:L470"/>
    <mergeCell ref="A471:F473"/>
    <mergeCell ref="G471:I473"/>
    <mergeCell ref="J471:L471"/>
    <mergeCell ref="M471:N473"/>
    <mergeCell ref="O471:Q473"/>
    <mergeCell ref="O468:Q470"/>
    <mergeCell ref="R468:T470"/>
    <mergeCell ref="U468:W470"/>
    <mergeCell ref="X468:Z470"/>
    <mergeCell ref="AA468:AC470"/>
    <mergeCell ref="AD468:AE470"/>
    <mergeCell ref="J466:L466"/>
    <mergeCell ref="J467:L467"/>
    <mergeCell ref="A468:F470"/>
    <mergeCell ref="G468:I470"/>
    <mergeCell ref="J468:L468"/>
    <mergeCell ref="M468:N470"/>
    <mergeCell ref="X465:Z467"/>
    <mergeCell ref="AA465:AC467"/>
    <mergeCell ref="AD465:AE467"/>
    <mergeCell ref="AF465:AH467"/>
    <mergeCell ref="AI465:AJ467"/>
    <mergeCell ref="AK465:AM467"/>
    <mergeCell ref="AK474:AM476"/>
    <mergeCell ref="J475:L475"/>
    <mergeCell ref="J476:L476"/>
    <mergeCell ref="A477:F479"/>
    <mergeCell ref="G477:I479"/>
    <mergeCell ref="J477:L477"/>
    <mergeCell ref="M477:N479"/>
    <mergeCell ref="O477:Q479"/>
    <mergeCell ref="R477:T479"/>
    <mergeCell ref="U477:W479"/>
    <mergeCell ref="U474:W476"/>
    <mergeCell ref="X474:Z476"/>
    <mergeCell ref="AA474:AC476"/>
    <mergeCell ref="AD474:AE476"/>
    <mergeCell ref="AF474:AH476"/>
    <mergeCell ref="AI474:AJ476"/>
    <mergeCell ref="AI471:AJ473"/>
    <mergeCell ref="AK471:AM473"/>
    <mergeCell ref="J472:L472"/>
    <mergeCell ref="J473:L473"/>
    <mergeCell ref="A474:F476"/>
    <mergeCell ref="G474:I476"/>
    <mergeCell ref="J474:L474"/>
    <mergeCell ref="M474:N476"/>
    <mergeCell ref="O474:Q476"/>
    <mergeCell ref="R474:T476"/>
    <mergeCell ref="R471:T473"/>
    <mergeCell ref="U471:W473"/>
    <mergeCell ref="X471:Z473"/>
    <mergeCell ref="AA471:AC473"/>
    <mergeCell ref="AD471:AE473"/>
    <mergeCell ref="AF471:AH473"/>
    <mergeCell ref="AF480:AH482"/>
    <mergeCell ref="AI480:AJ482"/>
    <mergeCell ref="AK480:AM482"/>
    <mergeCell ref="J481:L481"/>
    <mergeCell ref="J482:L482"/>
    <mergeCell ref="A483:F485"/>
    <mergeCell ref="G483:I485"/>
    <mergeCell ref="J483:L483"/>
    <mergeCell ref="M483:N485"/>
    <mergeCell ref="O483:Q485"/>
    <mergeCell ref="O480:Q482"/>
    <mergeCell ref="R480:T482"/>
    <mergeCell ref="U480:W482"/>
    <mergeCell ref="X480:Z482"/>
    <mergeCell ref="AA480:AC482"/>
    <mergeCell ref="AD480:AE482"/>
    <mergeCell ref="J478:L478"/>
    <mergeCell ref="J479:L479"/>
    <mergeCell ref="A480:F482"/>
    <mergeCell ref="G480:I482"/>
    <mergeCell ref="J480:L480"/>
    <mergeCell ref="M480:N482"/>
    <mergeCell ref="X477:Z479"/>
    <mergeCell ref="AA477:AC479"/>
    <mergeCell ref="AD477:AE479"/>
    <mergeCell ref="AF477:AH479"/>
    <mergeCell ref="AI477:AJ479"/>
    <mergeCell ref="AK477:AM479"/>
    <mergeCell ref="A507:L507"/>
    <mergeCell ref="M507:AH507"/>
    <mergeCell ref="AI507:AM508"/>
    <mergeCell ref="A508:L508"/>
    <mergeCell ref="M508:AH508"/>
    <mergeCell ref="A509:F511"/>
    <mergeCell ref="G509:I511"/>
    <mergeCell ref="J509:L511"/>
    <mergeCell ref="M509:N511"/>
    <mergeCell ref="O509:Q511"/>
    <mergeCell ref="AI483:AJ485"/>
    <mergeCell ref="AK483:AM485"/>
    <mergeCell ref="J484:L484"/>
    <mergeCell ref="J485:L485"/>
    <mergeCell ref="A506:L506"/>
    <mergeCell ref="M506:AH506"/>
    <mergeCell ref="AI506:AM506"/>
    <mergeCell ref="R483:T485"/>
    <mergeCell ref="U483:W485"/>
    <mergeCell ref="X483:Z485"/>
    <mergeCell ref="AA483:AC485"/>
    <mergeCell ref="AD483:AE485"/>
    <mergeCell ref="AF483:AH485"/>
    <mergeCell ref="O515:Q517"/>
    <mergeCell ref="R515:T517"/>
    <mergeCell ref="AA512:AC514"/>
    <mergeCell ref="AD512:AE514"/>
    <mergeCell ref="AF512:AH514"/>
    <mergeCell ref="AI512:AJ514"/>
    <mergeCell ref="AK512:AM514"/>
    <mergeCell ref="J513:L513"/>
    <mergeCell ref="J514:L514"/>
    <mergeCell ref="AI509:AJ511"/>
    <mergeCell ref="AK509:AM511"/>
    <mergeCell ref="A512:F514"/>
    <mergeCell ref="G512:I514"/>
    <mergeCell ref="J512:L512"/>
    <mergeCell ref="M512:N514"/>
    <mergeCell ref="O512:Q514"/>
    <mergeCell ref="R512:T514"/>
    <mergeCell ref="U512:W514"/>
    <mergeCell ref="X512:Z514"/>
    <mergeCell ref="R509:T511"/>
    <mergeCell ref="U509:W511"/>
    <mergeCell ref="X509:Z511"/>
    <mergeCell ref="AA509:AC511"/>
    <mergeCell ref="AD509:AE511"/>
    <mergeCell ref="AF509:AH511"/>
    <mergeCell ref="J519:L519"/>
    <mergeCell ref="J520:L520"/>
    <mergeCell ref="A521:F523"/>
    <mergeCell ref="G521:I523"/>
    <mergeCell ref="J521:L521"/>
    <mergeCell ref="M521:N523"/>
    <mergeCell ref="X518:Z520"/>
    <mergeCell ref="AA518:AC520"/>
    <mergeCell ref="AD518:AE520"/>
    <mergeCell ref="AF518:AH520"/>
    <mergeCell ref="AI518:AJ520"/>
    <mergeCell ref="AK518:AM520"/>
    <mergeCell ref="AK515:AM517"/>
    <mergeCell ref="J516:L516"/>
    <mergeCell ref="J517:L517"/>
    <mergeCell ref="A518:F520"/>
    <mergeCell ref="G518:I520"/>
    <mergeCell ref="J518:L518"/>
    <mergeCell ref="M518:N520"/>
    <mergeCell ref="O518:Q520"/>
    <mergeCell ref="R518:T520"/>
    <mergeCell ref="U518:W520"/>
    <mergeCell ref="U515:W517"/>
    <mergeCell ref="X515:Z517"/>
    <mergeCell ref="AA515:AC517"/>
    <mergeCell ref="AD515:AE517"/>
    <mergeCell ref="AF515:AH517"/>
    <mergeCell ref="AI515:AJ517"/>
    <mergeCell ref="A515:F517"/>
    <mergeCell ref="G515:I517"/>
    <mergeCell ref="J515:L515"/>
    <mergeCell ref="M515:N517"/>
    <mergeCell ref="AI524:AJ526"/>
    <mergeCell ref="AK524:AM526"/>
    <mergeCell ref="J525:L525"/>
    <mergeCell ref="J526:L526"/>
    <mergeCell ref="A527:F529"/>
    <mergeCell ref="G527:I529"/>
    <mergeCell ref="J527:L527"/>
    <mergeCell ref="M527:N529"/>
    <mergeCell ref="O527:Q529"/>
    <mergeCell ref="R527:T529"/>
    <mergeCell ref="R524:T526"/>
    <mergeCell ref="U524:W526"/>
    <mergeCell ref="X524:Z526"/>
    <mergeCell ref="AA524:AC526"/>
    <mergeCell ref="AD524:AE526"/>
    <mergeCell ref="AF524:AH526"/>
    <mergeCell ref="AF521:AH523"/>
    <mergeCell ref="AI521:AJ523"/>
    <mergeCell ref="AK521:AM523"/>
    <mergeCell ref="J522:L522"/>
    <mergeCell ref="J523:L523"/>
    <mergeCell ref="A524:F526"/>
    <mergeCell ref="G524:I526"/>
    <mergeCell ref="J524:L524"/>
    <mergeCell ref="M524:N526"/>
    <mergeCell ref="O524:Q526"/>
    <mergeCell ref="O521:Q523"/>
    <mergeCell ref="R521:T523"/>
    <mergeCell ref="U521:W523"/>
    <mergeCell ref="X521:Z523"/>
    <mergeCell ref="AA521:AC523"/>
    <mergeCell ref="AD521:AE523"/>
    <mergeCell ref="J531:L531"/>
    <mergeCell ref="J532:L532"/>
    <mergeCell ref="A533:F535"/>
    <mergeCell ref="G533:I535"/>
    <mergeCell ref="J533:L533"/>
    <mergeCell ref="M533:N535"/>
    <mergeCell ref="X530:Z532"/>
    <mergeCell ref="AA530:AC532"/>
    <mergeCell ref="AD530:AE532"/>
    <mergeCell ref="AF530:AH532"/>
    <mergeCell ref="AI530:AJ532"/>
    <mergeCell ref="AK530:AM532"/>
    <mergeCell ref="AK527:AM529"/>
    <mergeCell ref="J528:L528"/>
    <mergeCell ref="J529:L529"/>
    <mergeCell ref="A530:F532"/>
    <mergeCell ref="G530:I532"/>
    <mergeCell ref="J530:L530"/>
    <mergeCell ref="M530:N532"/>
    <mergeCell ref="O530:Q532"/>
    <mergeCell ref="R530:T532"/>
    <mergeCell ref="U530:W532"/>
    <mergeCell ref="U527:W529"/>
    <mergeCell ref="X527:Z529"/>
    <mergeCell ref="AA527:AC529"/>
    <mergeCell ref="AD527:AE529"/>
    <mergeCell ref="AF527:AH529"/>
    <mergeCell ref="AI527:AJ529"/>
    <mergeCell ref="AI536:AJ538"/>
    <mergeCell ref="AK536:AM538"/>
    <mergeCell ref="J537:L537"/>
    <mergeCell ref="J538:L538"/>
    <mergeCell ref="A559:AM559"/>
    <mergeCell ref="B561:K561"/>
    <mergeCell ref="R561:U561"/>
    <mergeCell ref="V561:W561"/>
    <mergeCell ref="X561:AA561"/>
    <mergeCell ref="AB561:AE561"/>
    <mergeCell ref="R536:T538"/>
    <mergeCell ref="U536:W538"/>
    <mergeCell ref="X536:Z538"/>
    <mergeCell ref="AA536:AC538"/>
    <mergeCell ref="AD536:AE538"/>
    <mergeCell ref="AF536:AH538"/>
    <mergeCell ref="AF533:AH535"/>
    <mergeCell ref="AI533:AJ535"/>
    <mergeCell ref="AK533:AM535"/>
    <mergeCell ref="J534:L534"/>
    <mergeCell ref="J535:L535"/>
    <mergeCell ref="A536:F538"/>
    <mergeCell ref="G536:I538"/>
    <mergeCell ref="J536:L536"/>
    <mergeCell ref="M536:N538"/>
    <mergeCell ref="O536:Q538"/>
    <mergeCell ref="O533:Q535"/>
    <mergeCell ref="R533:T535"/>
    <mergeCell ref="U533:W535"/>
    <mergeCell ref="X533:Z535"/>
    <mergeCell ref="AA533:AC535"/>
    <mergeCell ref="AD533:AE535"/>
    <mergeCell ref="AJ562:AM562"/>
    <mergeCell ref="B563:K563"/>
    <mergeCell ref="L563:N563"/>
    <mergeCell ref="O563:Q563"/>
    <mergeCell ref="R563:U563"/>
    <mergeCell ref="V563:W563"/>
    <mergeCell ref="X563:AA563"/>
    <mergeCell ref="AB563:AE563"/>
    <mergeCell ref="AF563:AI563"/>
    <mergeCell ref="AJ563:AM563"/>
    <mergeCell ref="AF561:AI561"/>
    <mergeCell ref="AJ561:AM561"/>
    <mergeCell ref="B562:K562"/>
    <mergeCell ref="L562:N562"/>
    <mergeCell ref="O562:Q562"/>
    <mergeCell ref="R562:U562"/>
    <mergeCell ref="V562:W562"/>
    <mergeCell ref="X562:AA562"/>
    <mergeCell ref="AB562:AE562"/>
    <mergeCell ref="AF562:AI562"/>
    <mergeCell ref="AF565:AI565"/>
    <mergeCell ref="AJ565:AM565"/>
    <mergeCell ref="B566:K566"/>
    <mergeCell ref="L566:N566"/>
    <mergeCell ref="O566:Q566"/>
    <mergeCell ref="R566:U566"/>
    <mergeCell ref="V566:W566"/>
    <mergeCell ref="X566:AA566"/>
    <mergeCell ref="AB566:AE566"/>
    <mergeCell ref="AF566:AI566"/>
    <mergeCell ref="AB564:AE564"/>
    <mergeCell ref="AF564:AI564"/>
    <mergeCell ref="AJ564:AM564"/>
    <mergeCell ref="B565:K565"/>
    <mergeCell ref="L565:N565"/>
    <mergeCell ref="O565:Q565"/>
    <mergeCell ref="R565:U565"/>
    <mergeCell ref="V565:W565"/>
    <mergeCell ref="X565:AA565"/>
    <mergeCell ref="AB565:AE565"/>
    <mergeCell ref="B564:K564"/>
    <mergeCell ref="L564:N564"/>
    <mergeCell ref="O564:Q564"/>
    <mergeCell ref="R564:U564"/>
    <mergeCell ref="V564:W564"/>
    <mergeCell ref="X564:AA564"/>
    <mergeCell ref="AB568:AE568"/>
    <mergeCell ref="AF568:AI568"/>
    <mergeCell ref="AJ568:AM568"/>
    <mergeCell ref="B569:K569"/>
    <mergeCell ref="L569:N569"/>
    <mergeCell ref="O569:Q569"/>
    <mergeCell ref="R569:U569"/>
    <mergeCell ref="V569:W569"/>
    <mergeCell ref="X569:AA569"/>
    <mergeCell ref="AB569:AE569"/>
    <mergeCell ref="B568:K568"/>
    <mergeCell ref="L568:N568"/>
    <mergeCell ref="O568:Q568"/>
    <mergeCell ref="R568:U568"/>
    <mergeCell ref="V568:W568"/>
    <mergeCell ref="X568:AA568"/>
    <mergeCell ref="AJ566:AM566"/>
    <mergeCell ref="B567:K567"/>
    <mergeCell ref="L567:N567"/>
    <mergeCell ref="O567:Q567"/>
    <mergeCell ref="R567:U567"/>
    <mergeCell ref="V567:W567"/>
    <mergeCell ref="X567:AA567"/>
    <mergeCell ref="AB567:AE567"/>
    <mergeCell ref="AF567:AI567"/>
    <mergeCell ref="AJ567:AM567"/>
    <mergeCell ref="AJ570:AM570"/>
    <mergeCell ref="B571:K571"/>
    <mergeCell ref="L571:N571"/>
    <mergeCell ref="O571:Q571"/>
    <mergeCell ref="R571:U571"/>
    <mergeCell ref="V571:W571"/>
    <mergeCell ref="X571:AA571"/>
    <mergeCell ref="AB571:AE571"/>
    <mergeCell ref="AF571:AI571"/>
    <mergeCell ref="AJ571:AM571"/>
    <mergeCell ref="B572:K572"/>
    <mergeCell ref="L572:N572"/>
    <mergeCell ref="O572:Q572"/>
    <mergeCell ref="R572:U572"/>
    <mergeCell ref="V572:W572"/>
    <mergeCell ref="X572:AA572"/>
    <mergeCell ref="AF569:AI569"/>
    <mergeCell ref="AJ569:AM569"/>
    <mergeCell ref="B570:K570"/>
    <mergeCell ref="L570:N570"/>
    <mergeCell ref="O570:Q570"/>
    <mergeCell ref="R570:U570"/>
    <mergeCell ref="V570:W570"/>
    <mergeCell ref="X570:AA570"/>
    <mergeCell ref="AB570:AE570"/>
    <mergeCell ref="AF570:AI570"/>
    <mergeCell ref="AB572:AE572"/>
    <mergeCell ref="AF572:AI572"/>
    <mergeCell ref="AJ572:AM572"/>
    <mergeCell ref="AF574:AI574"/>
    <mergeCell ref="AJ574:AM574"/>
    <mergeCell ref="B575:K575"/>
    <mergeCell ref="L575:N575"/>
    <mergeCell ref="O575:Q575"/>
    <mergeCell ref="R575:U575"/>
    <mergeCell ref="V575:W575"/>
    <mergeCell ref="X575:AA575"/>
    <mergeCell ref="AB575:AE575"/>
    <mergeCell ref="AF575:AI575"/>
    <mergeCell ref="AB573:AE573"/>
    <mergeCell ref="AF573:AI573"/>
    <mergeCell ref="AJ573:AM573"/>
    <mergeCell ref="B574:K574"/>
    <mergeCell ref="L574:N574"/>
    <mergeCell ref="O574:Q574"/>
    <mergeCell ref="R574:U574"/>
    <mergeCell ref="V574:W574"/>
    <mergeCell ref="X574:AA574"/>
    <mergeCell ref="AB574:AE574"/>
    <mergeCell ref="B573:K573"/>
    <mergeCell ref="L573:N573"/>
    <mergeCell ref="O573:Q573"/>
    <mergeCell ref="R573:U573"/>
    <mergeCell ref="V573:W573"/>
    <mergeCell ref="X573:AA573"/>
    <mergeCell ref="AB577:AE577"/>
    <mergeCell ref="AF577:AI577"/>
    <mergeCell ref="AJ577:AM577"/>
    <mergeCell ref="B578:K578"/>
    <mergeCell ref="L578:N578"/>
    <mergeCell ref="O578:Q578"/>
    <mergeCell ref="R578:U578"/>
    <mergeCell ref="V578:W578"/>
    <mergeCell ref="X578:AA578"/>
    <mergeCell ref="AB578:AE578"/>
    <mergeCell ref="B577:K577"/>
    <mergeCell ref="L577:N577"/>
    <mergeCell ref="O577:Q577"/>
    <mergeCell ref="R577:U577"/>
    <mergeCell ref="V577:W577"/>
    <mergeCell ref="X577:AA577"/>
    <mergeCell ref="AJ575:AM575"/>
    <mergeCell ref="B576:K576"/>
    <mergeCell ref="L576:N576"/>
    <mergeCell ref="O576:Q576"/>
    <mergeCell ref="R576:U576"/>
    <mergeCell ref="V576:W576"/>
    <mergeCell ref="X576:AA576"/>
    <mergeCell ref="AB576:AE576"/>
    <mergeCell ref="AF576:AI576"/>
    <mergeCell ref="AJ576:AM576"/>
    <mergeCell ref="AJ579:AM579"/>
    <mergeCell ref="B580:K580"/>
    <mergeCell ref="L580:N580"/>
    <mergeCell ref="O580:Q580"/>
    <mergeCell ref="R580:U580"/>
    <mergeCell ref="V580:W580"/>
    <mergeCell ref="X580:AA580"/>
    <mergeCell ref="AB580:AE580"/>
    <mergeCell ref="AF580:AI580"/>
    <mergeCell ref="AJ580:AM580"/>
    <mergeCell ref="AF578:AI578"/>
    <mergeCell ref="AJ578:AM578"/>
    <mergeCell ref="B579:K579"/>
    <mergeCell ref="L579:N579"/>
    <mergeCell ref="O579:Q579"/>
    <mergeCell ref="R579:U579"/>
    <mergeCell ref="V579:W579"/>
    <mergeCell ref="X579:AA579"/>
    <mergeCell ref="AB579:AE579"/>
    <mergeCell ref="AF579:AI579"/>
    <mergeCell ref="AF582:AI582"/>
    <mergeCell ref="AJ582:AM582"/>
    <mergeCell ref="B583:K583"/>
    <mergeCell ref="L583:N583"/>
    <mergeCell ref="O583:Q583"/>
    <mergeCell ref="R583:U583"/>
    <mergeCell ref="V583:W583"/>
    <mergeCell ref="X583:AA583"/>
    <mergeCell ref="AB583:AE583"/>
    <mergeCell ref="AF583:AI583"/>
    <mergeCell ref="AB581:AE581"/>
    <mergeCell ref="AF581:AI581"/>
    <mergeCell ref="AJ581:AM581"/>
    <mergeCell ref="B582:K582"/>
    <mergeCell ref="L582:N582"/>
    <mergeCell ref="O582:Q582"/>
    <mergeCell ref="R582:U582"/>
    <mergeCell ref="V582:W582"/>
    <mergeCell ref="X582:AA582"/>
    <mergeCell ref="AB582:AE582"/>
    <mergeCell ref="B581:K581"/>
    <mergeCell ref="L581:N581"/>
    <mergeCell ref="O581:Q581"/>
    <mergeCell ref="R581:U581"/>
    <mergeCell ref="V581:W581"/>
    <mergeCell ref="X581:AA581"/>
    <mergeCell ref="AB585:AE585"/>
    <mergeCell ref="AF585:AI585"/>
    <mergeCell ref="AJ585:AM585"/>
    <mergeCell ref="B586:K586"/>
    <mergeCell ref="L586:N586"/>
    <mergeCell ref="O586:Q586"/>
    <mergeCell ref="R586:U586"/>
    <mergeCell ref="V586:W586"/>
    <mergeCell ref="X586:AA586"/>
    <mergeCell ref="AB586:AE586"/>
    <mergeCell ref="B585:K585"/>
    <mergeCell ref="L585:N585"/>
    <mergeCell ref="O585:Q585"/>
    <mergeCell ref="R585:U585"/>
    <mergeCell ref="V585:W585"/>
    <mergeCell ref="X585:AA585"/>
    <mergeCell ref="AJ583:AM583"/>
    <mergeCell ref="B584:K584"/>
    <mergeCell ref="L584:N584"/>
    <mergeCell ref="O584:Q584"/>
    <mergeCell ref="R584:U584"/>
    <mergeCell ref="V584:W584"/>
    <mergeCell ref="X584:AA584"/>
    <mergeCell ref="AB584:AE584"/>
    <mergeCell ref="AF584:AI584"/>
    <mergeCell ref="AJ584:AM584"/>
    <mergeCell ref="AJ587:AM587"/>
    <mergeCell ref="B588:K588"/>
    <mergeCell ref="L588:N588"/>
    <mergeCell ref="O588:Q588"/>
    <mergeCell ref="R588:U588"/>
    <mergeCell ref="V588:W588"/>
    <mergeCell ref="X588:AA588"/>
    <mergeCell ref="AB588:AE588"/>
    <mergeCell ref="AF588:AI588"/>
    <mergeCell ref="AJ588:AM588"/>
    <mergeCell ref="AF586:AI586"/>
    <mergeCell ref="AJ586:AM586"/>
    <mergeCell ref="B587:K587"/>
    <mergeCell ref="L587:N587"/>
    <mergeCell ref="O587:Q587"/>
    <mergeCell ref="R587:U587"/>
    <mergeCell ref="V587:W587"/>
    <mergeCell ref="X587:AA587"/>
    <mergeCell ref="AB587:AE587"/>
    <mergeCell ref="AF587:AI587"/>
    <mergeCell ref="AB589:AE589"/>
    <mergeCell ref="AF589:AI589"/>
    <mergeCell ref="AJ589:AM589"/>
    <mergeCell ref="B591:K591"/>
    <mergeCell ref="L591:N591"/>
    <mergeCell ref="O591:Q591"/>
    <mergeCell ref="R591:U591"/>
    <mergeCell ref="V591:W591"/>
    <mergeCell ref="X591:AA591"/>
    <mergeCell ref="AB591:AE591"/>
    <mergeCell ref="B589:K589"/>
    <mergeCell ref="L589:N589"/>
    <mergeCell ref="O589:Q589"/>
    <mergeCell ref="R589:U589"/>
    <mergeCell ref="V589:W589"/>
    <mergeCell ref="X589:AA589"/>
    <mergeCell ref="B590:K590"/>
    <mergeCell ref="L590:N590"/>
    <mergeCell ref="O590:Q590"/>
    <mergeCell ref="R590:U590"/>
    <mergeCell ref="V590:W590"/>
    <mergeCell ref="X590:AA590"/>
    <mergeCell ref="AB590:AE590"/>
    <mergeCell ref="AF590:AI590"/>
    <mergeCell ref="AJ590:AM590"/>
    <mergeCell ref="AJ592:AM592"/>
    <mergeCell ref="B593:K593"/>
    <mergeCell ref="L593:N593"/>
    <mergeCell ref="O593:Q593"/>
    <mergeCell ref="R593:U593"/>
    <mergeCell ref="V593:W593"/>
    <mergeCell ref="X593:AA593"/>
    <mergeCell ref="AB593:AE593"/>
    <mergeCell ref="AF593:AI593"/>
    <mergeCell ref="AJ593:AM593"/>
    <mergeCell ref="AF591:AI591"/>
    <mergeCell ref="AJ591:AM591"/>
    <mergeCell ref="B592:K592"/>
    <mergeCell ref="L592:N592"/>
    <mergeCell ref="O592:Q592"/>
    <mergeCell ref="R592:U592"/>
    <mergeCell ref="V592:W592"/>
    <mergeCell ref="X592:AA592"/>
    <mergeCell ref="AB592:AE592"/>
    <mergeCell ref="AF592:AI592"/>
    <mergeCell ref="AF597:AI597"/>
    <mergeCell ref="AJ597:AM597"/>
    <mergeCell ref="AF595:AI595"/>
    <mergeCell ref="AJ595:AM595"/>
    <mergeCell ref="B596:K596"/>
    <mergeCell ref="L596:N596"/>
    <mergeCell ref="O596:Q596"/>
    <mergeCell ref="R596:U596"/>
    <mergeCell ref="V596:W596"/>
    <mergeCell ref="X596:AA596"/>
    <mergeCell ref="AB596:AE596"/>
    <mergeCell ref="AF596:AI596"/>
    <mergeCell ref="AB594:AE594"/>
    <mergeCell ref="AF594:AI594"/>
    <mergeCell ref="AJ594:AM594"/>
    <mergeCell ref="B595:K595"/>
    <mergeCell ref="L595:N595"/>
    <mergeCell ref="O595:Q595"/>
    <mergeCell ref="R595:U595"/>
    <mergeCell ref="V595:W595"/>
    <mergeCell ref="X595:AA595"/>
    <mergeCell ref="AB595:AE595"/>
    <mergeCell ref="B594:K594"/>
    <mergeCell ref="L594:N594"/>
    <mergeCell ref="O594:Q594"/>
    <mergeCell ref="R594:U594"/>
    <mergeCell ref="V594:W594"/>
    <mergeCell ref="X594:AA594"/>
    <mergeCell ref="AF599:AI599"/>
    <mergeCell ref="AJ599:AM599"/>
    <mergeCell ref="AI116:AM116"/>
    <mergeCell ref="A117:L117"/>
    <mergeCell ref="M117:AH117"/>
    <mergeCell ref="AI117:AM118"/>
    <mergeCell ref="A118:L118"/>
    <mergeCell ref="M118:AH118"/>
    <mergeCell ref="AB598:AE598"/>
    <mergeCell ref="AF598:AI598"/>
    <mergeCell ref="AJ598:AM598"/>
    <mergeCell ref="B599:K599"/>
    <mergeCell ref="L599:N599"/>
    <mergeCell ref="O599:Q599"/>
    <mergeCell ref="R599:U599"/>
    <mergeCell ref="V599:W599"/>
    <mergeCell ref="X599:AA599"/>
    <mergeCell ref="AB599:AE599"/>
    <mergeCell ref="B598:K598"/>
    <mergeCell ref="L598:N598"/>
    <mergeCell ref="O598:Q598"/>
    <mergeCell ref="R598:U598"/>
    <mergeCell ref="V598:W598"/>
    <mergeCell ref="X598:AA598"/>
    <mergeCell ref="AJ596:AM596"/>
    <mergeCell ref="B597:K597"/>
    <mergeCell ref="L597:N597"/>
    <mergeCell ref="O597:Q597"/>
    <mergeCell ref="R597:U597"/>
    <mergeCell ref="V597:W597"/>
    <mergeCell ref="X597:AA597"/>
    <mergeCell ref="AB597:AE597"/>
    <mergeCell ref="AF122:AH124"/>
    <mergeCell ref="AI122:AJ124"/>
    <mergeCell ref="AD119:AE121"/>
    <mergeCell ref="AF119:AH121"/>
    <mergeCell ref="AI119:AJ121"/>
    <mergeCell ref="AK119:AM121"/>
    <mergeCell ref="A122:F124"/>
    <mergeCell ref="G122:I124"/>
    <mergeCell ref="J122:L122"/>
    <mergeCell ref="M122:N124"/>
    <mergeCell ref="O122:Q124"/>
    <mergeCell ref="R122:T124"/>
    <mergeCell ref="M119:N121"/>
    <mergeCell ref="O119:Q121"/>
    <mergeCell ref="R119:T121"/>
    <mergeCell ref="U119:W121"/>
    <mergeCell ref="X119:Z121"/>
    <mergeCell ref="AA119:AC121"/>
    <mergeCell ref="A116:AH116"/>
    <mergeCell ref="AF128:AH130"/>
    <mergeCell ref="AI128:AJ130"/>
    <mergeCell ref="AK128:AM130"/>
    <mergeCell ref="J129:L129"/>
    <mergeCell ref="J130:L130"/>
    <mergeCell ref="O128:Q130"/>
    <mergeCell ref="R128:T130"/>
    <mergeCell ref="U128:W130"/>
    <mergeCell ref="X128:Z130"/>
    <mergeCell ref="AA128:AC130"/>
    <mergeCell ref="AD128:AE130"/>
    <mergeCell ref="J126:L126"/>
    <mergeCell ref="J127:L127"/>
    <mergeCell ref="A128:F130"/>
    <mergeCell ref="G128:I130"/>
    <mergeCell ref="J128:L128"/>
    <mergeCell ref="M128:N130"/>
    <mergeCell ref="X125:Z127"/>
    <mergeCell ref="AA125:AC127"/>
    <mergeCell ref="AD125:AE127"/>
    <mergeCell ref="AF125:AH127"/>
    <mergeCell ref="AI125:AJ127"/>
    <mergeCell ref="AK125:AM127"/>
    <mergeCell ref="M125:N127"/>
    <mergeCell ref="O125:Q127"/>
    <mergeCell ref="R125:T127"/>
    <mergeCell ref="U125:W127"/>
    <mergeCell ref="U122:W124"/>
    <mergeCell ref="X122:Z124"/>
    <mergeCell ref="AA122:AC124"/>
    <mergeCell ref="AD122:AE124"/>
  </mergeCells>
  <phoneticPr fontId="9" type="noConversion"/>
  <hyperlinks>
    <hyperlink ref="G11" r:id="rId1" xr:uid="{EF738777-E93F-8544-A009-626E93EEC895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CF0F5-861A-9F42-B188-167241CD55C2}">
  <dimension ref="A1:AM440"/>
  <sheetViews>
    <sheetView view="pageLayout" zoomScale="145" zoomScaleNormal="100" zoomScalePageLayoutView="145" workbookViewId="0">
      <selection activeCell="AC29" sqref="AC29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Promenada Mall Bucuresti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 43,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RO18020418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J40/16882/2005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RO22 RZBR 0000 0600 1530 3493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12/31.01.2024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33/28.02.2024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4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AB439</f>
        <v>1305195.7299999997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AF439</f>
        <v>247987.18999999997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AJ439</f>
        <v>1553182.92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1553182.92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R402+R416+R417+R420</f>
        <v>1455351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1.0672222164962266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VLOOKUP(AA15,'Date SPV'!$B:$H,4,FALSE)</f>
        <v>Calea Floreasca, nr. 224-246, Sector 1, Bucuresti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5000375963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_xlfn.CONCAT($AA$15,"_",1)</f>
        <v>RPMB_1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RO001E110523303/1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RPMB_1.1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1370137686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8894409 (citit)</v>
      </c>
      <c r="S41" s="647"/>
      <c r="T41" s="647"/>
      <c r="U41" s="647" t="str">
        <f>VLOOKUP(A41,Regularizare!$D:$U,4,FALSE)&amp;" ("&amp;VLOOKUP(A41,Regularizare!$D:$U,12,FALSE)&amp;")"</f>
        <v>9185124 (estimat)</v>
      </c>
      <c r="V41" s="647"/>
      <c r="W41" s="647"/>
      <c r="X41" s="647" t="str">
        <f>VLOOKUP(A41,Regularizare!$D:$Y,19,FALSE)&amp;" ("&amp;VLOOKUP(A41,Regularizare!$D:$U,12,FALSE)&amp;")"</f>
        <v>290715 (estimat)</v>
      </c>
      <c r="Y41" s="647"/>
      <c r="Z41" s="647"/>
      <c r="AA41" s="647">
        <f>(-1)*VLOOKUP(A41,Regularizare!$D:$Y,19,FALSE)</f>
        <v>-290715</v>
      </c>
      <c r="AB41" s="647"/>
      <c r="AC41" s="647"/>
      <c r="AD41" s="647" t="s">
        <v>69</v>
      </c>
      <c r="AE41" s="647"/>
      <c r="AF41" s="647">
        <f>AA41</f>
        <v>-290715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1370137686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466472 (citit)</v>
      </c>
      <c r="S44" s="647"/>
      <c r="T44" s="647"/>
      <c r="U44" s="647" t="str">
        <f>VLOOKUP(A44,Regularizare!$D:$U,8,FALSE)&amp;" ("&amp;VLOOKUP(A44,Regularizare!$D:$U,16,FALSE)&amp;")"</f>
        <v>466472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1370137686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12437 (citit)</v>
      </c>
      <c r="S47" s="647"/>
      <c r="T47" s="647"/>
      <c r="U47" s="647" t="str">
        <f>VLOOKUP(A47,Regularizare!$D:$U,10,FALSE)&amp;" ("&amp;VLOOKUP(A47,Regularizare!$D:$U,18,FALSE)&amp;")"</f>
        <v>12437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1370137686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8894409 (citit)</v>
      </c>
      <c r="S50" s="647"/>
      <c r="T50" s="647"/>
      <c r="U50" s="647" t="str">
        <f>VLOOKUP(A50,Regularizare!$D:$AX,25,FALSE)&amp;" ("&amp;VLOOKUP(A50,Regularizare!$D:$AX,26,FALSE)&amp;")"</f>
        <v>9185124 (citit)</v>
      </c>
      <c r="V50" s="647"/>
      <c r="W50" s="647"/>
      <c r="X50" s="647" t="str">
        <f>VLOOKUP(A50,Regularizare!$D:$AX,37,FALSE)&amp;" ("&amp;VLOOKUP(A50,Regularizare!$D:$AX,26,FALSE)&amp;")"</f>
        <v>290715 (citit)</v>
      </c>
      <c r="Y50" s="647"/>
      <c r="Z50" s="647"/>
      <c r="AA50" s="647">
        <f>VLOOKUP(A50,Regularizare!$D:$AX,37,FALSE)</f>
        <v>290715</v>
      </c>
      <c r="AB50" s="647"/>
      <c r="AC50" s="647"/>
      <c r="AD50" s="647" t="s">
        <v>69</v>
      </c>
      <c r="AE50" s="647"/>
      <c r="AF50" s="647">
        <f>AA50</f>
        <v>290715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1370137686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466472 (citit)</v>
      </c>
      <c r="S53" s="647"/>
      <c r="T53" s="647"/>
      <c r="U53" s="647" t="str">
        <f>VLOOKUP(A53,Regularizare!$D:$AX,31,FALSE)&amp;" ("&amp;VLOOKUP(A53,Regularizare!$D:$AX,32,FALSE)&amp;")"</f>
        <v>466472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1370137686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12437 (citit)</v>
      </c>
      <c r="S56" s="647"/>
      <c r="T56" s="647"/>
      <c r="U56" s="647" t="str">
        <f>VLOOKUP(A56,Regularizare!$D:$AX,35,FALSE)&amp;" ("&amp;VLOOKUP(A56,Regularizare!$D:$AX,36,FALSE)&amp;")"</f>
        <v>12437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1370137686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9185124 (citit)</v>
      </c>
      <c r="S59" s="647"/>
      <c r="T59" s="647"/>
      <c r="U59" s="647" t="str">
        <f>VLOOKUP(A59,'Incrementare indexe'!$D:$M,4,FALSE)&amp;" (estimat)"</f>
        <v>9483138 (estimat)</v>
      </c>
      <c r="V59" s="647"/>
      <c r="W59" s="647"/>
      <c r="X59" s="647" t="str">
        <f>VLOOKUP(A59,'Incrementare indexe'!$D:$Q,11,FALSE)&amp;" (estimat)"</f>
        <v>298014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298014</v>
      </c>
      <c r="AG59" s="647"/>
      <c r="AH59" s="647"/>
      <c r="AI59" s="647">
        <f>J61-J59+1</f>
        <v>31</v>
      </c>
      <c r="AJ59" s="647"/>
      <c r="AK59" s="647">
        <f>ROUND(AF59/AI59,2)</f>
        <v>9613.35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1370137686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466472 (citit)</v>
      </c>
      <c r="S62" s="647"/>
      <c r="T62" s="647"/>
      <c r="U62" s="647" t="str">
        <f>VLOOKUP(A62,'Incrementare indexe'!$D:$M,8,FALSE)&amp;" (estimat)"</f>
        <v>466472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1370137686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12437 (citit)</v>
      </c>
      <c r="S65" s="647"/>
      <c r="T65" s="647"/>
      <c r="U65" s="647" t="str">
        <f>VLOOKUP(A65,'Incrementare indexe'!$D:$M,10,FALSE)&amp;" (estimat)"</f>
        <v>12437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196"/>
      <c r="B79" s="196"/>
      <c r="C79" s="196"/>
      <c r="D79" s="196"/>
      <c r="E79" s="196"/>
      <c r="F79" s="196"/>
      <c r="G79" s="196"/>
      <c r="H79" s="196"/>
      <c r="I79" s="196"/>
      <c r="J79" s="197"/>
      <c r="K79" s="197"/>
      <c r="L79" s="197"/>
      <c r="M79" s="196"/>
      <c r="N79" s="196"/>
      <c r="O79" s="196"/>
      <c r="P79" s="196"/>
      <c r="Q79" s="196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</row>
    <row r="80" spans="1:39" ht="14.1" customHeight="1">
      <c r="A80" s="196"/>
      <c r="B80" s="196"/>
      <c r="C80" s="196"/>
      <c r="D80" s="196"/>
      <c r="E80" s="196"/>
      <c r="F80" s="196"/>
      <c r="G80" s="196"/>
      <c r="H80" s="196"/>
      <c r="I80" s="196"/>
      <c r="J80" s="197"/>
      <c r="K80" s="197"/>
      <c r="L80" s="197"/>
      <c r="M80" s="196"/>
      <c r="N80" s="196"/>
      <c r="O80" s="196"/>
      <c r="P80" s="196"/>
      <c r="Q80" s="196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</row>
    <row r="81" spans="1:39" ht="14.1" customHeight="1">
      <c r="A81" s="721" t="s">
        <v>1196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_xlfn.CONCAT(AI36,"/PV")</f>
        <v>RPMB_1.1/PV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1371022952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1087371 (citit)</v>
      </c>
      <c r="S87" s="647"/>
      <c r="T87" s="647"/>
      <c r="U87" s="647" t="str">
        <f>VLOOKUP(AI82,'Incrementare indexe'!$B:$I,8,FALSE)&amp;" (citit)"</f>
        <v>1151999 (citit)</v>
      </c>
      <c r="V87" s="647"/>
      <c r="W87" s="647"/>
      <c r="X87" s="647" t="str">
        <f>(VLOOKUP(AI82,'Incrementare indexe'!$B:$I,8,FALSE)-VLOOKUP(AI82,'Incrementare indexe'!$B:$I,7,FALSE))&amp;" (citit)"</f>
        <v>64628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64628</v>
      </c>
      <c r="AG87" s="647"/>
      <c r="AH87" s="647"/>
      <c r="AI87" s="647">
        <f>J89-J87+1</f>
        <v>31</v>
      </c>
      <c r="AJ87" s="647"/>
      <c r="AK87" s="647">
        <f>ROUND(AF87/AI87,2)</f>
        <v>2084.77</v>
      </c>
      <c r="AL87" s="647"/>
      <c r="AM87" s="647"/>
    </row>
    <row r="88" spans="1:39" ht="14.1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1371022952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14.1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1371022952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14.1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/>
    <row r="97" spans="1:39">
      <c r="A97" s="649" t="s">
        <v>748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50" t="str">
        <f>VLOOKUP(AI98,'Contorizare in SDI'!$E:$I,4,FALSE)</f>
        <v>RO001E110523303/2</v>
      </c>
      <c r="N97" s="650"/>
      <c r="O97" s="650"/>
      <c r="P97" s="650"/>
      <c r="Q97" s="650"/>
      <c r="R97" s="650"/>
      <c r="S97" s="650"/>
      <c r="T97" s="650"/>
      <c r="U97" s="650"/>
      <c r="V97" s="650"/>
      <c r="W97" s="650"/>
      <c r="X97" s="650"/>
      <c r="Y97" s="650"/>
      <c r="Z97" s="650"/>
      <c r="AA97" s="650"/>
      <c r="AB97" s="650"/>
      <c r="AC97" s="650"/>
      <c r="AD97" s="650"/>
      <c r="AE97" s="650"/>
      <c r="AF97" s="650"/>
      <c r="AG97" s="650"/>
      <c r="AH97" s="650"/>
      <c r="AI97" s="650" t="s">
        <v>695</v>
      </c>
      <c r="AJ97" s="650"/>
      <c r="AK97" s="650"/>
      <c r="AL97" s="650"/>
      <c r="AM97" s="650"/>
    </row>
    <row r="98" spans="1:39">
      <c r="A98" s="649" t="s">
        <v>746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50" t="str">
        <f>VLOOKUP(AI98,'Inchidere contur'!$G:$U,15,FALSE)</f>
        <v>JT_SDI</v>
      </c>
      <c r="N98" s="650"/>
      <c r="O98" s="650"/>
      <c r="P98" s="650"/>
      <c r="Q98" s="650"/>
      <c r="R98" s="650"/>
      <c r="S98" s="650"/>
      <c r="T98" s="650"/>
      <c r="U98" s="650"/>
      <c r="V98" s="650"/>
      <c r="W98" s="650"/>
      <c r="X98" s="650"/>
      <c r="Y98" s="650"/>
      <c r="Z98" s="650"/>
      <c r="AA98" s="650"/>
      <c r="AB98" s="650"/>
      <c r="AC98" s="650"/>
      <c r="AD98" s="650"/>
      <c r="AE98" s="650"/>
      <c r="AF98" s="650"/>
      <c r="AG98" s="650"/>
      <c r="AH98" s="650"/>
      <c r="AI98" s="619" t="str">
        <f>_xlfn.CONCAT(AA32,".",2)</f>
        <v>RPMB_1.2</v>
      </c>
      <c r="AJ98" s="619"/>
      <c r="AK98" s="619"/>
      <c r="AL98" s="619"/>
      <c r="AM98" s="619"/>
    </row>
    <row r="99" spans="1:39">
      <c r="A99" s="649" t="s">
        <v>747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tr">
        <f>IF(LEFT(M98,2)="JT","0.4kV",IF(LEFT(M98,2)="MT","20kV","-"))</f>
        <v>0.4kV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19"/>
      <c r="AJ99" s="619"/>
      <c r="AK99" s="619"/>
      <c r="AL99" s="619"/>
      <c r="AM99" s="619"/>
    </row>
    <row r="100" spans="1:39" ht="15.95" customHeight="1">
      <c r="A100" s="648" t="s">
        <v>697</v>
      </c>
      <c r="B100" s="648"/>
      <c r="C100" s="648"/>
      <c r="D100" s="648"/>
      <c r="E100" s="648"/>
      <c r="F100" s="648"/>
      <c r="G100" s="647" t="s">
        <v>713</v>
      </c>
      <c r="H100" s="647"/>
      <c r="I100" s="647"/>
      <c r="J100" s="647" t="s">
        <v>714</v>
      </c>
      <c r="K100" s="647"/>
      <c r="L100" s="647"/>
      <c r="M100" s="648" t="s">
        <v>519</v>
      </c>
      <c r="N100" s="648"/>
      <c r="O100" s="648" t="s">
        <v>715</v>
      </c>
      <c r="P100" s="648"/>
      <c r="Q100" s="648"/>
      <c r="R100" s="647" t="s">
        <v>732</v>
      </c>
      <c r="S100" s="647"/>
      <c r="T100" s="647"/>
      <c r="U100" s="647" t="s">
        <v>734</v>
      </c>
      <c r="V100" s="647"/>
      <c r="W100" s="647"/>
      <c r="X100" s="647" t="s">
        <v>1085</v>
      </c>
      <c r="Y100" s="647"/>
      <c r="Z100" s="647"/>
      <c r="AA100" s="647" t="s">
        <v>1086</v>
      </c>
      <c r="AB100" s="647"/>
      <c r="AC100" s="647"/>
      <c r="AD100" s="647" t="s">
        <v>717</v>
      </c>
      <c r="AE100" s="647"/>
      <c r="AF100" s="647" t="s">
        <v>718</v>
      </c>
      <c r="AG100" s="647"/>
      <c r="AH100" s="647"/>
      <c r="AI100" s="647" t="s">
        <v>719</v>
      </c>
      <c r="AJ100" s="647"/>
      <c r="AK100" s="647" t="s">
        <v>733</v>
      </c>
      <c r="AL100" s="647"/>
      <c r="AM100" s="647"/>
    </row>
    <row r="101" spans="1:39">
      <c r="A101" s="648"/>
      <c r="B101" s="648"/>
      <c r="C101" s="648"/>
      <c r="D101" s="648"/>
      <c r="E101" s="648"/>
      <c r="F101" s="648"/>
      <c r="G101" s="647"/>
      <c r="H101" s="647"/>
      <c r="I101" s="647"/>
      <c r="J101" s="647"/>
      <c r="K101" s="647"/>
      <c r="L101" s="647"/>
      <c r="M101" s="648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>
      <c r="A102" s="648"/>
      <c r="B102" s="648"/>
      <c r="C102" s="648"/>
      <c r="D102" s="648"/>
      <c r="E102" s="648"/>
      <c r="F102" s="648"/>
      <c r="G102" s="647"/>
      <c r="H102" s="647"/>
      <c r="I102" s="647"/>
      <c r="J102" s="713"/>
      <c r="K102" s="713"/>
      <c r="L102" s="713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78">
        <f>VLOOKUP(AI98,'Contorizare in SDI'!$E:$I,5,FALSE)</f>
        <v>1370137899</v>
      </c>
      <c r="B103" s="679"/>
      <c r="C103" s="679"/>
      <c r="D103" s="679"/>
      <c r="E103" s="679"/>
      <c r="F103" s="680"/>
      <c r="G103" s="648" t="s">
        <v>730</v>
      </c>
      <c r="H103" s="648"/>
      <c r="I103" s="673"/>
      <c r="J103" s="655">
        <f>'Date masura OD'!$AK$5</f>
        <v>45748</v>
      </c>
      <c r="K103" s="656"/>
      <c r="L103" s="657"/>
      <c r="M103" s="720" t="s">
        <v>446</v>
      </c>
      <c r="N103" s="648"/>
      <c r="O103" s="648">
        <f>VLOOKUP(AI98,'Incrementare indexe'!$B:$T,4,FALSE)</f>
        <v>1</v>
      </c>
      <c r="P103" s="648"/>
      <c r="Q103" s="648"/>
      <c r="R103" s="647" t="str">
        <f>VLOOKUP(A103,Regularizare!$D:$YN,3,FALSE)&amp;" ("&amp;VLOOKUP(A103,Regularizare!$D:$Y,11,FALSE)&amp;")"</f>
        <v>9141435 (citit)</v>
      </c>
      <c r="S103" s="647"/>
      <c r="T103" s="647"/>
      <c r="U103" s="647" t="str">
        <f>VLOOKUP(A103,Regularizare!$D:$U,4,FALSE)&amp;" ("&amp;VLOOKUP(A103,Regularizare!$D:$U,12,FALSE)&amp;")"</f>
        <v>9443349 (estimat)</v>
      </c>
      <c r="V103" s="647"/>
      <c r="W103" s="647"/>
      <c r="X103" s="647" t="str">
        <f>VLOOKUP(A103,Regularizare!$D:$Y,19,FALSE)&amp;" ("&amp;VLOOKUP(A103,Regularizare!$D:$U,12,FALSE)&amp;")"</f>
        <v>301914 (estimat)</v>
      </c>
      <c r="Y103" s="647"/>
      <c r="Z103" s="647"/>
      <c r="AA103" s="647">
        <f>(-1)*VLOOKUP(A103,Regularizare!$D:$Y,19,FALSE)</f>
        <v>-301914</v>
      </c>
      <c r="AB103" s="647"/>
      <c r="AC103" s="647"/>
      <c r="AD103" s="647" t="s">
        <v>69</v>
      </c>
      <c r="AE103" s="647"/>
      <c r="AF103" s="647">
        <f>AA103</f>
        <v>-301914</v>
      </c>
      <c r="AG103" s="647"/>
      <c r="AH103" s="647"/>
      <c r="AI103" s="647" t="s">
        <v>69</v>
      </c>
      <c r="AJ103" s="647"/>
      <c r="AK103" s="647" t="s">
        <v>69</v>
      </c>
      <c r="AL103" s="647"/>
      <c r="AM103" s="647"/>
    </row>
    <row r="104" spans="1:39" ht="9.75" customHeight="1">
      <c r="A104" s="717"/>
      <c r="B104" s="718"/>
      <c r="C104" s="718"/>
      <c r="D104" s="718"/>
      <c r="E104" s="718"/>
      <c r="F104" s="719"/>
      <c r="G104" s="648"/>
      <c r="H104" s="648"/>
      <c r="I104" s="673"/>
      <c r="J104" s="717" t="s">
        <v>69</v>
      </c>
      <c r="K104" s="718"/>
      <c r="L104" s="719"/>
      <c r="M104" s="720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1"/>
      <c r="B105" s="682"/>
      <c r="C105" s="682"/>
      <c r="D105" s="682"/>
      <c r="E105" s="682"/>
      <c r="F105" s="683"/>
      <c r="G105" s="648"/>
      <c r="H105" s="648"/>
      <c r="I105" s="673"/>
      <c r="J105" s="714">
        <f>'Date masura OD'!$AL$5</f>
        <v>45777</v>
      </c>
      <c r="K105" s="715"/>
      <c r="L105" s="716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78">
        <f>A103</f>
        <v>1370137899</v>
      </c>
      <c r="B106" s="679"/>
      <c r="C106" s="679"/>
      <c r="D106" s="679"/>
      <c r="E106" s="679"/>
      <c r="F106" s="680"/>
      <c r="G106" s="648" t="s">
        <v>696</v>
      </c>
      <c r="H106" s="648"/>
      <c r="I106" s="648"/>
      <c r="J106" s="655">
        <f t="shared" ref="J106:J111" si="4">J103</f>
        <v>45748</v>
      </c>
      <c r="K106" s="656"/>
      <c r="L106" s="657"/>
      <c r="M106" s="648" t="s">
        <v>720</v>
      </c>
      <c r="N106" s="648"/>
      <c r="O106" s="648">
        <f>O103</f>
        <v>1</v>
      </c>
      <c r="P106" s="648"/>
      <c r="Q106" s="648"/>
      <c r="R106" s="647" t="str">
        <f>VLOOKUP(A106,Regularizare!$D:$U,7,FALSE)&amp;" ("&amp;VLOOKUP(A106,Regularizare!$D:$U,15,FALSE)&amp;")"</f>
        <v>452306 (citit)</v>
      </c>
      <c r="S106" s="647"/>
      <c r="T106" s="647"/>
      <c r="U106" s="647" t="str">
        <f>VLOOKUP(A106,Regularizare!$D:$U,8,FALSE)&amp;" ("&amp;VLOOKUP(A106,Regularizare!$D:$U,16,FALSE)&amp;")"</f>
        <v>452306 (estimat)</v>
      </c>
      <c r="V106" s="647"/>
      <c r="W106" s="647"/>
      <c r="X106" s="647" t="str">
        <f>_xlfn.CONCAT(VLOOKUP(A106,Regularizare!$D:$U,8,FALSE)-VLOOKUP(A106,Regularizare!$D:$U,7,FALSE)," (",VLOOKUP(A106,Regularizare!$D:$U,16,FALSE),")")</f>
        <v>0 (estimat)</v>
      </c>
      <c r="Y106" s="647"/>
      <c r="Z106" s="647"/>
      <c r="AA106" s="647">
        <f>IF(VLOOKUP(A106,Regularizare!$D:$Y,21,FALSE)=0,VLOOKUP(A106,Regularizare!$D:$Y,21,FALSE),(-1)*VLOOKUP(A106,Regularizare!$D:$Y,21,FALSE))</f>
        <v>0</v>
      </c>
      <c r="AB106" s="647"/>
      <c r="AC106" s="647"/>
      <c r="AD106" s="647" t="s">
        <v>69</v>
      </c>
      <c r="AE106" s="647"/>
      <c r="AF106" s="647">
        <f>AA106</f>
        <v>0</v>
      </c>
      <c r="AG106" s="647"/>
      <c r="AH106" s="647"/>
      <c r="AI106" s="647" t="str">
        <f>AI103</f>
        <v>-</v>
      </c>
      <c r="AJ106" s="647"/>
      <c r="AK106" s="647" t="str">
        <f>AK103</f>
        <v>-</v>
      </c>
      <c r="AL106" s="647"/>
      <c r="AM106" s="647"/>
    </row>
    <row r="107" spans="1:39" ht="8.4499999999999993" customHeight="1">
      <c r="A107" s="717"/>
      <c r="B107" s="718"/>
      <c r="C107" s="718"/>
      <c r="D107" s="718"/>
      <c r="E107" s="718"/>
      <c r="F107" s="719"/>
      <c r="G107" s="648"/>
      <c r="H107" s="648"/>
      <c r="I107" s="648"/>
      <c r="J107" s="717" t="str">
        <f t="shared" si="4"/>
        <v>-</v>
      </c>
      <c r="K107" s="718"/>
      <c r="L107" s="719"/>
      <c r="M107" s="648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1"/>
      <c r="B108" s="682"/>
      <c r="C108" s="682"/>
      <c r="D108" s="682"/>
      <c r="E108" s="682"/>
      <c r="F108" s="683"/>
      <c r="G108" s="648"/>
      <c r="H108" s="648"/>
      <c r="I108" s="648"/>
      <c r="J108" s="714">
        <f t="shared" si="4"/>
        <v>45777</v>
      </c>
      <c r="K108" s="715"/>
      <c r="L108" s="716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78">
        <f>A106</f>
        <v>1370137899</v>
      </c>
      <c r="B109" s="679"/>
      <c r="C109" s="679"/>
      <c r="D109" s="679"/>
      <c r="E109" s="679"/>
      <c r="F109" s="680"/>
      <c r="G109" s="648" t="s">
        <v>731</v>
      </c>
      <c r="H109" s="648"/>
      <c r="I109" s="648"/>
      <c r="J109" s="655">
        <f t="shared" si="4"/>
        <v>45748</v>
      </c>
      <c r="K109" s="656"/>
      <c r="L109" s="657"/>
      <c r="M109" s="648" t="s">
        <v>720</v>
      </c>
      <c r="N109" s="648"/>
      <c r="O109" s="648">
        <f>O106</f>
        <v>1</v>
      </c>
      <c r="P109" s="648"/>
      <c r="Q109" s="648"/>
      <c r="R109" s="647" t="str">
        <f>VLOOKUP(A109,Regularizare!$D:$U,9,FALSE)&amp;" ("&amp;VLOOKUP(A109,Regularizare!$D:$U,17,FALSE)&amp;")"</f>
        <v>83484 (citit)</v>
      </c>
      <c r="S109" s="647"/>
      <c r="T109" s="647"/>
      <c r="U109" s="647" t="str">
        <f>VLOOKUP(A109,Regularizare!$D:$U,10,FALSE)&amp;" ("&amp;VLOOKUP(A109,Regularizare!$D:$U,18,FALSE)&amp;")"</f>
        <v>83484 (estimat)</v>
      </c>
      <c r="V109" s="647"/>
      <c r="W109" s="647"/>
      <c r="X109" s="647" t="str">
        <f>_xlfn.CONCAT(VLOOKUP(A109,Regularizare!$D:$U,10,FALSE)-VLOOKUP(A109,Regularizare!$D:$U,9,FALSE)," (",VLOOKUP(A109,Regularizare!$D:$U,18,FALSE),")")</f>
        <v>0 (estimat)</v>
      </c>
      <c r="Y109" s="647"/>
      <c r="Z109" s="647"/>
      <c r="AA109" s="647">
        <f>IF(VLOOKUP(A109,Regularizare!$D:$Y,22,FALSE)=0,VLOOKUP(A109,Regularizare!$D:$Y,22,FALSE),(-1)*VLOOKUP(A109,Regularizare!$D:$Y,22,FALSE))</f>
        <v>0</v>
      </c>
      <c r="AB109" s="647"/>
      <c r="AC109" s="647"/>
      <c r="AD109" s="647" t="s">
        <v>69</v>
      </c>
      <c r="AE109" s="647"/>
      <c r="AF109" s="647">
        <f>AA109</f>
        <v>0</v>
      </c>
      <c r="AG109" s="647"/>
      <c r="AH109" s="647"/>
      <c r="AI109" s="647" t="str">
        <f>AI106</f>
        <v>-</v>
      </c>
      <c r="AJ109" s="647"/>
      <c r="AK109" s="647" t="str">
        <f>AK106</f>
        <v>-</v>
      </c>
      <c r="AL109" s="647"/>
      <c r="AM109" s="647"/>
    </row>
    <row r="110" spans="1:39" ht="8.4499999999999993" customHeight="1">
      <c r="A110" s="717"/>
      <c r="B110" s="718"/>
      <c r="C110" s="718"/>
      <c r="D110" s="718"/>
      <c r="E110" s="718"/>
      <c r="F110" s="719"/>
      <c r="G110" s="648"/>
      <c r="H110" s="648"/>
      <c r="I110" s="648"/>
      <c r="J110" s="717" t="str">
        <f t="shared" si="4"/>
        <v>-</v>
      </c>
      <c r="K110" s="718"/>
      <c r="L110" s="719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81"/>
      <c r="B111" s="682"/>
      <c r="C111" s="682"/>
      <c r="D111" s="682"/>
      <c r="E111" s="682"/>
      <c r="F111" s="683"/>
      <c r="G111" s="648"/>
      <c r="H111" s="648"/>
      <c r="I111" s="648"/>
      <c r="J111" s="714">
        <f t="shared" si="4"/>
        <v>45777</v>
      </c>
      <c r="K111" s="715"/>
      <c r="L111" s="716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78">
        <f>A109</f>
        <v>1370137899</v>
      </c>
      <c r="B112" s="679"/>
      <c r="C112" s="679"/>
      <c r="D112" s="679"/>
      <c r="E112" s="679"/>
      <c r="F112" s="680"/>
      <c r="G112" s="648" t="s">
        <v>730</v>
      </c>
      <c r="H112" s="648"/>
      <c r="I112" s="673"/>
      <c r="J112" s="655">
        <f>'Date masura OD'!$AK$5</f>
        <v>45748</v>
      </c>
      <c r="K112" s="656"/>
      <c r="L112" s="657"/>
      <c r="M112" s="720" t="s">
        <v>446</v>
      </c>
      <c r="N112" s="648"/>
      <c r="O112" s="648">
        <f>O109</f>
        <v>1</v>
      </c>
      <c r="P112" s="648"/>
      <c r="Q112" s="648"/>
      <c r="R112" s="647" t="str">
        <f>VLOOKUP(A112,Regularizare!$D:$AX,23,FALSE)&amp;" ("&amp;VLOOKUP(A112,Regularizare!$D:$AX,24,FALSE)&amp;")"</f>
        <v>9141435 (citit)</v>
      </c>
      <c r="S112" s="647"/>
      <c r="T112" s="647"/>
      <c r="U112" s="647" t="str">
        <f>VLOOKUP(A112,Regularizare!$D:$AX,25,FALSE)&amp;" ("&amp;VLOOKUP(A112,Regularizare!$D:$AX,26,FALSE)&amp;")"</f>
        <v>9443349 (citit)</v>
      </c>
      <c r="V112" s="647"/>
      <c r="W112" s="647"/>
      <c r="X112" s="647" t="str">
        <f>VLOOKUP(A112,Regularizare!$D:$AX,37,FALSE)&amp;" ("&amp;VLOOKUP(A112,Regularizare!$D:$AX,26,FALSE)&amp;")"</f>
        <v>301914 (citit)</v>
      </c>
      <c r="Y112" s="647"/>
      <c r="Z112" s="647"/>
      <c r="AA112" s="647">
        <f>VLOOKUP(A112,Regularizare!$D:$AX,37,FALSE)</f>
        <v>301914</v>
      </c>
      <c r="AB112" s="647"/>
      <c r="AC112" s="647"/>
      <c r="AD112" s="647" t="s">
        <v>69</v>
      </c>
      <c r="AE112" s="647"/>
      <c r="AF112" s="647">
        <f>AA112</f>
        <v>301914</v>
      </c>
      <c r="AG112" s="647"/>
      <c r="AH112" s="647"/>
      <c r="AI112" s="647" t="str">
        <f>AI109</f>
        <v>-</v>
      </c>
      <c r="AJ112" s="647"/>
      <c r="AK112" s="647" t="str">
        <f>AK109</f>
        <v>-</v>
      </c>
      <c r="AL112" s="647"/>
      <c r="AM112" s="647"/>
    </row>
    <row r="113" spans="1:39" ht="8.4499999999999993" customHeight="1">
      <c r="A113" s="717"/>
      <c r="B113" s="718"/>
      <c r="C113" s="718"/>
      <c r="D113" s="718"/>
      <c r="E113" s="718"/>
      <c r="F113" s="719"/>
      <c r="G113" s="648"/>
      <c r="H113" s="648"/>
      <c r="I113" s="673"/>
      <c r="J113" s="717" t="s">
        <v>69</v>
      </c>
      <c r="K113" s="718"/>
      <c r="L113" s="719"/>
      <c r="M113" s="720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81"/>
      <c r="B114" s="682"/>
      <c r="C114" s="682"/>
      <c r="D114" s="682"/>
      <c r="E114" s="682"/>
      <c r="F114" s="683"/>
      <c r="G114" s="648"/>
      <c r="H114" s="648"/>
      <c r="I114" s="673"/>
      <c r="J114" s="714">
        <f>'Date masura OD'!$AL$5</f>
        <v>45777</v>
      </c>
      <c r="K114" s="715"/>
      <c r="L114" s="716"/>
      <c r="M114" s="720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78">
        <f>A112</f>
        <v>1370137899</v>
      </c>
      <c r="B115" s="679"/>
      <c r="C115" s="679"/>
      <c r="D115" s="679"/>
      <c r="E115" s="679"/>
      <c r="F115" s="680"/>
      <c r="G115" s="648" t="s">
        <v>696</v>
      </c>
      <c r="H115" s="648"/>
      <c r="I115" s="648"/>
      <c r="J115" s="655">
        <f t="shared" ref="J115:J120" si="5">J112</f>
        <v>45748</v>
      </c>
      <c r="K115" s="656"/>
      <c r="L115" s="657"/>
      <c r="M115" s="648" t="s">
        <v>720</v>
      </c>
      <c r="N115" s="648"/>
      <c r="O115" s="648">
        <f>O112</f>
        <v>1</v>
      </c>
      <c r="P115" s="648"/>
      <c r="Q115" s="648"/>
      <c r="R115" s="647" t="str">
        <f>VLOOKUP(A115,Regularizare!$D:$AX,29,FALSE)&amp;" ("&amp;VLOOKUP(A115,Regularizare!$D:$AX,30,FALSE)&amp;")"</f>
        <v>452306 (citit)</v>
      </c>
      <c r="S115" s="647"/>
      <c r="T115" s="647"/>
      <c r="U115" s="647" t="str">
        <f>VLOOKUP(A115,Regularizare!$D:$AX,31,FALSE)&amp;" ("&amp;VLOOKUP(A115,Regularizare!$D:$AX,32,FALSE)&amp;")"</f>
        <v>452306 (citit)</v>
      </c>
      <c r="V115" s="647"/>
      <c r="W115" s="647"/>
      <c r="X115" s="647" t="str">
        <f>VLOOKUP(A115,Regularizare!$D:$AX,39,FALSE)&amp;" ("&amp;VLOOKUP(A115,Regularizare!$D:$AX,32,FALSE)&amp;")"</f>
        <v>0 (citit)</v>
      </c>
      <c r="Y115" s="647"/>
      <c r="Z115" s="647"/>
      <c r="AA115" s="647">
        <f>VLOOKUP(A115,Regularizare!$D:$AX,44,FALSE)+VLOOKUP(A115,Regularizare!$D:$AX,45,FALSE)</f>
        <v>0</v>
      </c>
      <c r="AB115" s="647"/>
      <c r="AC115" s="647"/>
      <c r="AD115" s="647" t="s">
        <v>69</v>
      </c>
      <c r="AE115" s="647"/>
      <c r="AF115" s="647">
        <f>AA115</f>
        <v>0</v>
      </c>
      <c r="AG115" s="647"/>
      <c r="AH115" s="647"/>
      <c r="AI115" s="647" t="str">
        <f>AI112</f>
        <v>-</v>
      </c>
      <c r="AJ115" s="647"/>
      <c r="AK115" s="647" t="str">
        <f>AK112</f>
        <v>-</v>
      </c>
      <c r="AL115" s="647"/>
      <c r="AM115" s="647"/>
    </row>
    <row r="116" spans="1:39" ht="8.4499999999999993" customHeight="1">
      <c r="A116" s="717"/>
      <c r="B116" s="718"/>
      <c r="C116" s="718"/>
      <c r="D116" s="718"/>
      <c r="E116" s="718"/>
      <c r="F116" s="719"/>
      <c r="G116" s="648"/>
      <c r="H116" s="648"/>
      <c r="I116" s="648"/>
      <c r="J116" s="717" t="str">
        <f t="shared" si="5"/>
        <v>-</v>
      </c>
      <c r="K116" s="718"/>
      <c r="L116" s="719"/>
      <c r="M116" s="648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81"/>
      <c r="B117" s="682"/>
      <c r="C117" s="682"/>
      <c r="D117" s="682"/>
      <c r="E117" s="682"/>
      <c r="F117" s="683"/>
      <c r="G117" s="648"/>
      <c r="H117" s="648"/>
      <c r="I117" s="648"/>
      <c r="J117" s="714">
        <f t="shared" si="5"/>
        <v>45777</v>
      </c>
      <c r="K117" s="715"/>
      <c r="L117" s="716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78">
        <f>A115</f>
        <v>1370137899</v>
      </c>
      <c r="B118" s="679"/>
      <c r="C118" s="679"/>
      <c r="D118" s="679"/>
      <c r="E118" s="679"/>
      <c r="F118" s="680"/>
      <c r="G118" s="648" t="s">
        <v>731</v>
      </c>
      <c r="H118" s="648"/>
      <c r="I118" s="648"/>
      <c r="J118" s="655">
        <f t="shared" si="5"/>
        <v>45748</v>
      </c>
      <c r="K118" s="656"/>
      <c r="L118" s="657"/>
      <c r="M118" s="648" t="s">
        <v>720</v>
      </c>
      <c r="N118" s="648"/>
      <c r="O118" s="648">
        <f>O115</f>
        <v>1</v>
      </c>
      <c r="P118" s="648"/>
      <c r="Q118" s="648"/>
      <c r="R118" s="647" t="str">
        <f>VLOOKUP(A118,Regularizare!$D:$AX,33,FALSE)&amp;" ("&amp;VLOOKUP(A118,Regularizare!$D:$AX,34,FALSE)&amp;")"</f>
        <v>83484 (citit)</v>
      </c>
      <c r="S118" s="647"/>
      <c r="T118" s="647"/>
      <c r="U118" s="647" t="str">
        <f>VLOOKUP(A118,Regularizare!$D:$AX,35,FALSE)&amp;" ("&amp;VLOOKUP(A118,Regularizare!$D:$AX,36,FALSE)&amp;")"</f>
        <v>83484 (citit)</v>
      </c>
      <c r="V118" s="647"/>
      <c r="W118" s="647"/>
      <c r="X118" s="647" t="str">
        <f>VLOOKUP(A118,Regularizare!$D:$AX,40,FALSE)&amp;" ("&amp;VLOOKUP(A118,Regularizare!$D:$AX,36,FALSE)&amp;")"</f>
        <v>0 (citit)</v>
      </c>
      <c r="Y118" s="647"/>
      <c r="Z118" s="647"/>
      <c r="AA118" s="647">
        <f>VLOOKUP(A118,Regularizare!$D:$AX,46,FALSE)+VLOOKUP(A118,Regularizare!$D:$AX,47,FALSE)</f>
        <v>0</v>
      </c>
      <c r="AB118" s="647"/>
      <c r="AC118" s="647"/>
      <c r="AD118" s="647" t="s">
        <v>69</v>
      </c>
      <c r="AE118" s="647"/>
      <c r="AF118" s="647">
        <f>AA118</f>
        <v>0</v>
      </c>
      <c r="AG118" s="647"/>
      <c r="AH118" s="647"/>
      <c r="AI118" s="647" t="str">
        <f>AI115</f>
        <v>-</v>
      </c>
      <c r="AJ118" s="647"/>
      <c r="AK118" s="647" t="str">
        <f>AK115</f>
        <v>-</v>
      </c>
      <c r="AL118" s="647"/>
      <c r="AM118" s="647"/>
    </row>
    <row r="119" spans="1:39" ht="8.4499999999999993" customHeight="1">
      <c r="A119" s="717"/>
      <c r="B119" s="718"/>
      <c r="C119" s="718"/>
      <c r="D119" s="718"/>
      <c r="E119" s="718"/>
      <c r="F119" s="719"/>
      <c r="G119" s="648"/>
      <c r="H119" s="648"/>
      <c r="I119" s="648"/>
      <c r="J119" s="717" t="str">
        <f t="shared" si="5"/>
        <v>-</v>
      </c>
      <c r="K119" s="718"/>
      <c r="L119" s="719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81"/>
      <c r="B120" s="682"/>
      <c r="C120" s="682"/>
      <c r="D120" s="682"/>
      <c r="E120" s="682"/>
      <c r="F120" s="683"/>
      <c r="G120" s="648"/>
      <c r="H120" s="648"/>
      <c r="I120" s="648"/>
      <c r="J120" s="714">
        <f t="shared" si="5"/>
        <v>45777</v>
      </c>
      <c r="K120" s="715"/>
      <c r="L120" s="716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78">
        <f>A118</f>
        <v>1370137899</v>
      </c>
      <c r="B121" s="679"/>
      <c r="C121" s="679"/>
      <c r="D121" s="679"/>
      <c r="E121" s="679"/>
      <c r="F121" s="680"/>
      <c r="G121" s="648" t="s">
        <v>730</v>
      </c>
      <c r="H121" s="648"/>
      <c r="I121" s="673"/>
      <c r="J121" s="655">
        <f>'Date masura OD'!$I$5</f>
        <v>45778</v>
      </c>
      <c r="K121" s="656"/>
      <c r="L121" s="657"/>
      <c r="M121" s="720" t="s">
        <v>446</v>
      </c>
      <c r="N121" s="648"/>
      <c r="O121" s="648">
        <f>O118</f>
        <v>1</v>
      </c>
      <c r="P121" s="648"/>
      <c r="Q121" s="648"/>
      <c r="R121" s="647" t="str">
        <f>U112</f>
        <v>9443349 (citit)</v>
      </c>
      <c r="S121" s="647"/>
      <c r="T121" s="647"/>
      <c r="U121" s="647" t="str">
        <f>VLOOKUP(A121,'Incrementare indexe'!$D:$M,4,FALSE)&amp;" (estimat)"</f>
        <v>9765697 (estimat)</v>
      </c>
      <c r="V121" s="647"/>
      <c r="W121" s="647"/>
      <c r="X121" s="647" t="str">
        <f>VLOOKUP(A121,'Incrementare indexe'!$D:$Q,11,FALSE)&amp;" (estimat)"</f>
        <v>322348 (estimat)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VLOOKUP(A121,'Incrementare indexe'!$D:$Q,11,FALSE)</f>
        <v>322348</v>
      </c>
      <c r="AG121" s="647"/>
      <c r="AH121" s="647"/>
      <c r="AI121" s="647">
        <f>J123-J121+1</f>
        <v>31</v>
      </c>
      <c r="AJ121" s="647"/>
      <c r="AK121" s="647">
        <f>ROUND(AF121/AI121,2)</f>
        <v>10398.32</v>
      </c>
      <c r="AL121" s="647"/>
      <c r="AM121" s="647"/>
    </row>
    <row r="122" spans="1:39" ht="8.4499999999999993" customHeight="1">
      <c r="A122" s="717"/>
      <c r="B122" s="718"/>
      <c r="C122" s="718"/>
      <c r="D122" s="718"/>
      <c r="E122" s="718"/>
      <c r="F122" s="719"/>
      <c r="G122" s="648"/>
      <c r="H122" s="648"/>
      <c r="I122" s="673"/>
      <c r="J122" s="717" t="s">
        <v>69</v>
      </c>
      <c r="K122" s="718"/>
      <c r="L122" s="719"/>
      <c r="M122" s="720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1"/>
      <c r="B123" s="682"/>
      <c r="C123" s="682"/>
      <c r="D123" s="682"/>
      <c r="E123" s="682"/>
      <c r="F123" s="683"/>
      <c r="G123" s="648"/>
      <c r="H123" s="648"/>
      <c r="I123" s="673"/>
      <c r="J123" s="714">
        <f>'Date masura OD'!$J$5</f>
        <v>45808</v>
      </c>
      <c r="K123" s="715"/>
      <c r="L123" s="716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78">
        <f>A121</f>
        <v>1370137899</v>
      </c>
      <c r="B124" s="679"/>
      <c r="C124" s="679"/>
      <c r="D124" s="679"/>
      <c r="E124" s="679"/>
      <c r="F124" s="680"/>
      <c r="G124" s="648" t="s">
        <v>696</v>
      </c>
      <c r="H124" s="648"/>
      <c r="I124" s="648"/>
      <c r="J124" s="655">
        <f t="shared" ref="J124:J129" si="6">J121</f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tr">
        <f>U115</f>
        <v>452306 (citit)</v>
      </c>
      <c r="S124" s="647"/>
      <c r="T124" s="647"/>
      <c r="U124" s="647" t="str">
        <f>VLOOKUP(A124,'Incrementare indexe'!$D:$M,8,FALSE)&amp;" (estimat)"</f>
        <v>452306 (estimat)</v>
      </c>
      <c r="V124" s="647"/>
      <c r="W124" s="647"/>
      <c r="X124" s="647" t="str">
        <f>VLOOKUP(A124,'Incrementare indexe'!$D:$Q,12,FALSE)&amp;" (estimat)"</f>
        <v>0 (estimat)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f>VLOOKUP(A124,'Incrementare indexe'!$D:$Q,12,FALSE)</f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8.4499999999999993" customHeight="1">
      <c r="A125" s="717"/>
      <c r="B125" s="718"/>
      <c r="C125" s="718"/>
      <c r="D125" s="718"/>
      <c r="E125" s="718"/>
      <c r="F125" s="719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1"/>
      <c r="B126" s="682"/>
      <c r="C126" s="682"/>
      <c r="D126" s="682"/>
      <c r="E126" s="682"/>
      <c r="F126" s="683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A124</f>
        <v>1370137899</v>
      </c>
      <c r="B127" s="679"/>
      <c r="C127" s="679"/>
      <c r="D127" s="679"/>
      <c r="E127" s="679"/>
      <c r="F127" s="680"/>
      <c r="G127" s="648" t="s">
        <v>731</v>
      </c>
      <c r="H127" s="648"/>
      <c r="I127" s="648"/>
      <c r="J127" s="655">
        <f t="shared" si="6"/>
        <v>45778</v>
      </c>
      <c r="K127" s="656"/>
      <c r="L127" s="657"/>
      <c r="M127" s="648" t="s">
        <v>720</v>
      </c>
      <c r="N127" s="648"/>
      <c r="O127" s="648">
        <f>O124</f>
        <v>1</v>
      </c>
      <c r="P127" s="648"/>
      <c r="Q127" s="648"/>
      <c r="R127" s="647" t="str">
        <f>U118</f>
        <v>83484 (citit)</v>
      </c>
      <c r="S127" s="647"/>
      <c r="T127" s="647"/>
      <c r="U127" s="647" t="str">
        <f>VLOOKUP(A127,'Incrementare indexe'!$D:$M,10,FALSE)&amp;" (estimat)"</f>
        <v>83484 (estimat)</v>
      </c>
      <c r="V127" s="647"/>
      <c r="W127" s="647"/>
      <c r="X127" s="647" t="str">
        <f>VLOOKUP(A127,'Incrementare indexe'!$D:$Q,13,FALSE)&amp;" (estimat)"</f>
        <v>0 (estimat)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f>VLOOKUP(A127,'Incrementare indexe'!$D:$Q,13,FALSE)</f>
        <v>0</v>
      </c>
      <c r="AG127" s="647"/>
      <c r="AH127" s="647"/>
      <c r="AI127" s="647">
        <f>AI124</f>
        <v>31</v>
      </c>
      <c r="AJ127" s="647"/>
      <c r="AK127" s="647">
        <f>ROUND(AF127/AI127,2)</f>
        <v>0</v>
      </c>
      <c r="AL127" s="647"/>
      <c r="AM127" s="647"/>
    </row>
    <row r="128" spans="1:39" ht="8.4499999999999993" customHeight="1">
      <c r="A128" s="717"/>
      <c r="B128" s="718"/>
      <c r="C128" s="718"/>
      <c r="D128" s="718"/>
      <c r="E128" s="718"/>
      <c r="F128" s="719"/>
      <c r="G128" s="648"/>
      <c r="H128" s="648"/>
      <c r="I128" s="648"/>
      <c r="J128" s="717" t="str">
        <f t="shared" si="6"/>
        <v>-</v>
      </c>
      <c r="K128" s="718"/>
      <c r="L128" s="719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8"/>
      <c r="H129" s="648"/>
      <c r="I129" s="648"/>
      <c r="J129" s="714">
        <f t="shared" si="6"/>
        <v>45808</v>
      </c>
      <c r="K129" s="715"/>
      <c r="L129" s="716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/>
    <row r="131" spans="1:39" ht="14.1" customHeight="1"/>
    <row r="132" spans="1:39" ht="14.1" customHeight="1"/>
    <row r="133" spans="1:39" ht="14.1" customHeight="1"/>
    <row r="134" spans="1:39" ht="14.1" customHeight="1"/>
    <row r="135" spans="1:39">
      <c r="A135" s="649" t="s">
        <v>748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VLOOKUP(AI136,'Contorizare in SDI'!$E:$I,4,FALSE)</f>
        <v>RO001E110523303/3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50" t="s">
        <v>695</v>
      </c>
      <c r="AJ135" s="650"/>
      <c r="AK135" s="650"/>
      <c r="AL135" s="650"/>
      <c r="AM135" s="650"/>
    </row>
    <row r="136" spans="1:39">
      <c r="A136" s="649" t="s">
        <v>746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VLOOKUP(AI136,'Inchidere contur'!$G:$U,15,FALSE)</f>
        <v>JT_SDI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 t="str">
        <f>_xlfn.CONCAT(AA32,".",3)</f>
        <v>RPMB_1.3</v>
      </c>
      <c r="AJ136" s="619"/>
      <c r="AK136" s="619"/>
      <c r="AL136" s="619"/>
      <c r="AM136" s="619"/>
    </row>
    <row r="137" spans="1:39">
      <c r="A137" s="649" t="s">
        <v>747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tr">
        <f>IF(LEFT(M136,2)="JT","0.4kV",IF(LEFT(M136,2)="MT","20kV","-"))</f>
        <v>0.4kV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19"/>
      <c r="AJ137" s="619"/>
      <c r="AK137" s="619"/>
      <c r="AL137" s="619"/>
      <c r="AM137" s="619"/>
    </row>
    <row r="138" spans="1:39" ht="15.95" customHeight="1">
      <c r="A138" s="648" t="s">
        <v>697</v>
      </c>
      <c r="B138" s="648"/>
      <c r="C138" s="648"/>
      <c r="D138" s="648"/>
      <c r="E138" s="648"/>
      <c r="F138" s="648"/>
      <c r="G138" s="647" t="s">
        <v>713</v>
      </c>
      <c r="H138" s="647"/>
      <c r="I138" s="647"/>
      <c r="J138" s="647" t="s">
        <v>714</v>
      </c>
      <c r="K138" s="647"/>
      <c r="L138" s="647"/>
      <c r="M138" s="648" t="s">
        <v>519</v>
      </c>
      <c r="N138" s="648"/>
      <c r="O138" s="648" t="s">
        <v>715</v>
      </c>
      <c r="P138" s="648"/>
      <c r="Q138" s="648"/>
      <c r="R138" s="647" t="s">
        <v>732</v>
      </c>
      <c r="S138" s="647"/>
      <c r="T138" s="647"/>
      <c r="U138" s="647" t="s">
        <v>734</v>
      </c>
      <c r="V138" s="647"/>
      <c r="W138" s="647"/>
      <c r="X138" s="647" t="s">
        <v>1085</v>
      </c>
      <c r="Y138" s="647"/>
      <c r="Z138" s="647"/>
      <c r="AA138" s="647" t="s">
        <v>1086</v>
      </c>
      <c r="AB138" s="647"/>
      <c r="AC138" s="647"/>
      <c r="AD138" s="647" t="s">
        <v>717</v>
      </c>
      <c r="AE138" s="647"/>
      <c r="AF138" s="647" t="s">
        <v>718</v>
      </c>
      <c r="AG138" s="647"/>
      <c r="AH138" s="647"/>
      <c r="AI138" s="647" t="s">
        <v>719</v>
      </c>
      <c r="AJ138" s="647"/>
      <c r="AK138" s="647" t="s">
        <v>733</v>
      </c>
      <c r="AL138" s="647"/>
      <c r="AM138" s="647"/>
    </row>
    <row r="139" spans="1:39">
      <c r="A139" s="648"/>
      <c r="B139" s="648"/>
      <c r="C139" s="648"/>
      <c r="D139" s="648"/>
      <c r="E139" s="648"/>
      <c r="F139" s="648"/>
      <c r="G139" s="647"/>
      <c r="H139" s="647"/>
      <c r="I139" s="647"/>
      <c r="J139" s="647"/>
      <c r="K139" s="647"/>
      <c r="L139" s="647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>
      <c r="A140" s="648"/>
      <c r="B140" s="648"/>
      <c r="C140" s="648"/>
      <c r="D140" s="648"/>
      <c r="E140" s="648"/>
      <c r="F140" s="648"/>
      <c r="G140" s="647"/>
      <c r="H140" s="647"/>
      <c r="I140" s="647"/>
      <c r="J140" s="713"/>
      <c r="K140" s="713"/>
      <c r="L140" s="713"/>
      <c r="M140" s="648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78">
        <f>VLOOKUP(AI136,'Contorizare in SDI'!$E:$I,5,FALSE)</f>
        <v>1370139991</v>
      </c>
      <c r="B141" s="679"/>
      <c r="C141" s="679"/>
      <c r="D141" s="679"/>
      <c r="E141" s="679"/>
      <c r="F141" s="680"/>
      <c r="G141" s="648" t="s">
        <v>730</v>
      </c>
      <c r="H141" s="648"/>
      <c r="I141" s="673"/>
      <c r="J141" s="655">
        <f>'Date masura OD'!$AK$5</f>
        <v>45748</v>
      </c>
      <c r="K141" s="656"/>
      <c r="L141" s="657"/>
      <c r="M141" s="720" t="s">
        <v>446</v>
      </c>
      <c r="N141" s="648"/>
      <c r="O141" s="648">
        <f>VLOOKUP(AI136,'Incrementare indexe'!$B:$T,4,FALSE)</f>
        <v>1</v>
      </c>
      <c r="P141" s="648"/>
      <c r="Q141" s="648"/>
      <c r="R141" s="647" t="str">
        <f>VLOOKUP(A141,Regularizare!$D:$YN,3,FALSE)&amp;" ("&amp;VLOOKUP(A141,Regularizare!$D:$Y,11,FALSE)&amp;")"</f>
        <v>10826637 (citit)</v>
      </c>
      <c r="S141" s="647"/>
      <c r="T141" s="647"/>
      <c r="U141" s="647" t="str">
        <f>VLOOKUP(A141,Regularizare!$D:$U,4,FALSE)&amp;" ("&amp;VLOOKUP(A141,Regularizare!$D:$U,12,FALSE)&amp;")"</f>
        <v>11215682 (estimat)</v>
      </c>
      <c r="V141" s="647"/>
      <c r="W141" s="647"/>
      <c r="X141" s="647" t="str">
        <f>VLOOKUP(A141,Regularizare!$D:$Y,19,FALSE)&amp;" ("&amp;VLOOKUP(A141,Regularizare!$D:$U,12,FALSE)&amp;")"</f>
        <v>389045 (estimat)</v>
      </c>
      <c r="Y141" s="647"/>
      <c r="Z141" s="647"/>
      <c r="AA141" s="647">
        <f>(-1)*VLOOKUP(A141,Regularizare!$D:$Y,19,FALSE)</f>
        <v>-389045</v>
      </c>
      <c r="AB141" s="647"/>
      <c r="AC141" s="647"/>
      <c r="AD141" s="647" t="s">
        <v>69</v>
      </c>
      <c r="AE141" s="647"/>
      <c r="AF141" s="647">
        <f>AA141</f>
        <v>-389045</v>
      </c>
      <c r="AG141" s="647"/>
      <c r="AH141" s="647"/>
      <c r="AI141" s="647" t="s">
        <v>69</v>
      </c>
      <c r="AJ141" s="647"/>
      <c r="AK141" s="647" t="s">
        <v>69</v>
      </c>
      <c r="AL141" s="647"/>
      <c r="AM141" s="647"/>
    </row>
    <row r="142" spans="1:39" ht="9.75" customHeight="1">
      <c r="A142" s="717"/>
      <c r="B142" s="718"/>
      <c r="C142" s="718"/>
      <c r="D142" s="718"/>
      <c r="E142" s="718"/>
      <c r="F142" s="719"/>
      <c r="G142" s="648"/>
      <c r="H142" s="648"/>
      <c r="I142" s="673"/>
      <c r="J142" s="717" t="s">
        <v>69</v>
      </c>
      <c r="K142" s="718"/>
      <c r="L142" s="719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81"/>
      <c r="B143" s="682"/>
      <c r="C143" s="682"/>
      <c r="D143" s="682"/>
      <c r="E143" s="682"/>
      <c r="F143" s="683"/>
      <c r="G143" s="648"/>
      <c r="H143" s="648"/>
      <c r="I143" s="673"/>
      <c r="J143" s="714">
        <f>'Date masura OD'!$AL$5</f>
        <v>45777</v>
      </c>
      <c r="K143" s="715"/>
      <c r="L143" s="716"/>
      <c r="M143" s="720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78">
        <f>A141</f>
        <v>1370139991</v>
      </c>
      <c r="B144" s="679"/>
      <c r="C144" s="679"/>
      <c r="D144" s="679"/>
      <c r="E144" s="679"/>
      <c r="F144" s="680"/>
      <c r="G144" s="648" t="s">
        <v>696</v>
      </c>
      <c r="H144" s="648"/>
      <c r="I144" s="648"/>
      <c r="J144" s="655">
        <f t="shared" ref="J144:J149" si="7">J141</f>
        <v>45748</v>
      </c>
      <c r="K144" s="656"/>
      <c r="L144" s="657"/>
      <c r="M144" s="648" t="s">
        <v>720</v>
      </c>
      <c r="N144" s="648"/>
      <c r="O144" s="648">
        <f>O141</f>
        <v>1</v>
      </c>
      <c r="P144" s="648"/>
      <c r="Q144" s="648"/>
      <c r="R144" s="647" t="str">
        <f>VLOOKUP(A144,Regularizare!$D:$U,7,FALSE)&amp;" ("&amp;VLOOKUP(A144,Regularizare!$D:$U,15,FALSE)&amp;")"</f>
        <v>270522 (citit)</v>
      </c>
      <c r="S144" s="647"/>
      <c r="T144" s="647"/>
      <c r="U144" s="647" t="str">
        <f>VLOOKUP(A144,Regularizare!$D:$U,8,FALSE)&amp;" ("&amp;VLOOKUP(A144,Regularizare!$D:$U,16,FALSE)&amp;")"</f>
        <v>270522 (estimat)</v>
      </c>
      <c r="V144" s="647"/>
      <c r="W144" s="647"/>
      <c r="X144" s="647" t="str">
        <f>_xlfn.CONCAT(VLOOKUP(A144,Regularizare!$D:$U,8,FALSE)-VLOOKUP(A144,Regularizare!$D:$U,7,FALSE)," (",VLOOKUP(A144,Regularizare!$D:$U,16,FALSE),")")</f>
        <v>0 (estimat)</v>
      </c>
      <c r="Y144" s="647"/>
      <c r="Z144" s="647"/>
      <c r="AA144" s="647">
        <f>IF(VLOOKUP(A144,Regularizare!$D:$Y,21,FALSE)=0,VLOOKUP(A144,Regularizare!$D:$Y,21,FALSE),(-1)*VLOOKUP(A144,Regularizare!$D:$Y,21,FALSE))</f>
        <v>0</v>
      </c>
      <c r="AB144" s="647"/>
      <c r="AC144" s="647"/>
      <c r="AD144" s="647" t="s">
        <v>69</v>
      </c>
      <c r="AE144" s="647"/>
      <c r="AF144" s="647">
        <f>AA144</f>
        <v>0</v>
      </c>
      <c r="AG144" s="647"/>
      <c r="AH144" s="647"/>
      <c r="AI144" s="647" t="str">
        <f>AI141</f>
        <v>-</v>
      </c>
      <c r="AJ144" s="647"/>
      <c r="AK144" s="647" t="str">
        <f>AK141</f>
        <v>-</v>
      </c>
      <c r="AL144" s="647"/>
      <c r="AM144" s="647"/>
    </row>
    <row r="145" spans="1:39" ht="8.4499999999999993" customHeight="1">
      <c r="A145" s="717"/>
      <c r="B145" s="718"/>
      <c r="C145" s="718"/>
      <c r="D145" s="718"/>
      <c r="E145" s="718"/>
      <c r="F145" s="719"/>
      <c r="G145" s="648"/>
      <c r="H145" s="648"/>
      <c r="I145" s="648"/>
      <c r="J145" s="717" t="str">
        <f t="shared" si="7"/>
        <v>-</v>
      </c>
      <c r="K145" s="718"/>
      <c r="L145" s="719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1"/>
      <c r="B146" s="682"/>
      <c r="C146" s="682"/>
      <c r="D146" s="682"/>
      <c r="E146" s="682"/>
      <c r="F146" s="683"/>
      <c r="G146" s="648"/>
      <c r="H146" s="648"/>
      <c r="I146" s="648"/>
      <c r="J146" s="714">
        <f t="shared" si="7"/>
        <v>45777</v>
      </c>
      <c r="K146" s="715"/>
      <c r="L146" s="716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78">
        <f>A144</f>
        <v>1370139991</v>
      </c>
      <c r="B147" s="679"/>
      <c r="C147" s="679"/>
      <c r="D147" s="679"/>
      <c r="E147" s="679"/>
      <c r="F147" s="680"/>
      <c r="G147" s="648" t="s">
        <v>731</v>
      </c>
      <c r="H147" s="648"/>
      <c r="I147" s="648"/>
      <c r="J147" s="655">
        <f t="shared" si="7"/>
        <v>45748</v>
      </c>
      <c r="K147" s="656"/>
      <c r="L147" s="657"/>
      <c r="M147" s="648" t="s">
        <v>720</v>
      </c>
      <c r="N147" s="648"/>
      <c r="O147" s="648">
        <f>O144</f>
        <v>1</v>
      </c>
      <c r="P147" s="648"/>
      <c r="Q147" s="648"/>
      <c r="R147" s="647" t="str">
        <f>VLOOKUP(A147,Regularizare!$D:$U,9,FALSE)&amp;" ("&amp;VLOOKUP(A147,Regularizare!$D:$U,17,FALSE)&amp;")"</f>
        <v>97 (citit)</v>
      </c>
      <c r="S147" s="647"/>
      <c r="T147" s="647"/>
      <c r="U147" s="647" t="str">
        <f>VLOOKUP(A147,Regularizare!$D:$U,10,FALSE)&amp;" ("&amp;VLOOKUP(A147,Regularizare!$D:$U,18,FALSE)&amp;")"</f>
        <v>97 (estimat)</v>
      </c>
      <c r="V147" s="647"/>
      <c r="W147" s="647"/>
      <c r="X147" s="647" t="str">
        <f>_xlfn.CONCAT(VLOOKUP(A147,Regularizare!$D:$U,10,FALSE)-VLOOKUP(A147,Regularizare!$D:$U,9,FALSE)," (",VLOOKUP(A147,Regularizare!$D:$U,18,FALSE),")")</f>
        <v>0 (estimat)</v>
      </c>
      <c r="Y147" s="647"/>
      <c r="Z147" s="647"/>
      <c r="AA147" s="647">
        <f>IF(VLOOKUP(A147,Regularizare!$D:$Y,22,FALSE)=0,VLOOKUP(A147,Regularizare!$D:$Y,22,FALSE),(-1)*VLOOKUP(A147,Regularizare!$D:$Y,22,FALSE))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8.4499999999999993" customHeight="1">
      <c r="A148" s="717"/>
      <c r="B148" s="718"/>
      <c r="C148" s="718"/>
      <c r="D148" s="718"/>
      <c r="E148" s="718"/>
      <c r="F148" s="719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1"/>
      <c r="B149" s="682"/>
      <c r="C149" s="682"/>
      <c r="D149" s="682"/>
      <c r="E149" s="682"/>
      <c r="F149" s="683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78">
        <f>A147</f>
        <v>1370139991</v>
      </c>
      <c r="B150" s="679"/>
      <c r="C150" s="679"/>
      <c r="D150" s="679"/>
      <c r="E150" s="679"/>
      <c r="F150" s="680"/>
      <c r="G150" s="648" t="s">
        <v>730</v>
      </c>
      <c r="H150" s="648"/>
      <c r="I150" s="673"/>
      <c r="J150" s="655">
        <f>'Date masura OD'!$AK$5</f>
        <v>45748</v>
      </c>
      <c r="K150" s="656"/>
      <c r="L150" s="657"/>
      <c r="M150" s="720" t="s">
        <v>446</v>
      </c>
      <c r="N150" s="648"/>
      <c r="O150" s="648">
        <f>O147</f>
        <v>1</v>
      </c>
      <c r="P150" s="648"/>
      <c r="Q150" s="648"/>
      <c r="R150" s="647" t="str">
        <f>VLOOKUP(A150,Regularizare!$D:$AX,23,FALSE)&amp;" ("&amp;VLOOKUP(A150,Regularizare!$D:$AX,24,FALSE)&amp;")"</f>
        <v>10826637 (citit)</v>
      </c>
      <c r="S150" s="647"/>
      <c r="T150" s="647"/>
      <c r="U150" s="647" t="str">
        <f>VLOOKUP(A150,Regularizare!$D:$AX,25,FALSE)&amp;" ("&amp;VLOOKUP(A150,Regularizare!$D:$AX,26,FALSE)&amp;")"</f>
        <v>11215682 (citit)</v>
      </c>
      <c r="V150" s="647"/>
      <c r="W150" s="647"/>
      <c r="X150" s="647" t="str">
        <f>VLOOKUP(A150,Regularizare!$D:$AX,37,FALSE)&amp;" ("&amp;VLOOKUP(A150,Regularizare!$D:$AX,26,FALSE)&amp;")"</f>
        <v>389045 (citit)</v>
      </c>
      <c r="Y150" s="647"/>
      <c r="Z150" s="647"/>
      <c r="AA150" s="647">
        <f>VLOOKUP(A150,Regularizare!$D:$AX,37,FALSE)</f>
        <v>389045</v>
      </c>
      <c r="AB150" s="647"/>
      <c r="AC150" s="647"/>
      <c r="AD150" s="647" t="s">
        <v>69</v>
      </c>
      <c r="AE150" s="647"/>
      <c r="AF150" s="647">
        <f>AA150</f>
        <v>389045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8.4499999999999993" customHeight="1">
      <c r="A151" s="717"/>
      <c r="B151" s="718"/>
      <c r="C151" s="718"/>
      <c r="D151" s="718"/>
      <c r="E151" s="718"/>
      <c r="F151" s="719"/>
      <c r="G151" s="648"/>
      <c r="H151" s="648"/>
      <c r="I151" s="673"/>
      <c r="J151" s="717" t="s">
        <v>69</v>
      </c>
      <c r="K151" s="718"/>
      <c r="L151" s="719"/>
      <c r="M151" s="720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1"/>
      <c r="B152" s="682"/>
      <c r="C152" s="682"/>
      <c r="D152" s="682"/>
      <c r="E152" s="682"/>
      <c r="F152" s="683"/>
      <c r="G152" s="648"/>
      <c r="H152" s="648"/>
      <c r="I152" s="673"/>
      <c r="J152" s="714">
        <f>'Date masura OD'!$AL$5</f>
        <v>45777</v>
      </c>
      <c r="K152" s="715"/>
      <c r="L152" s="716"/>
      <c r="M152" s="720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78">
        <f>A150</f>
        <v>1370139991</v>
      </c>
      <c r="B153" s="679"/>
      <c r="C153" s="679"/>
      <c r="D153" s="679"/>
      <c r="E153" s="679"/>
      <c r="F153" s="680"/>
      <c r="G153" s="648" t="s">
        <v>696</v>
      </c>
      <c r="H153" s="648"/>
      <c r="I153" s="648"/>
      <c r="J153" s="655">
        <f t="shared" ref="J153:J158" si="8">J150</f>
        <v>45748</v>
      </c>
      <c r="K153" s="656"/>
      <c r="L153" s="657"/>
      <c r="M153" s="648" t="s">
        <v>720</v>
      </c>
      <c r="N153" s="648"/>
      <c r="O153" s="648">
        <f>O150</f>
        <v>1</v>
      </c>
      <c r="P153" s="648"/>
      <c r="Q153" s="648"/>
      <c r="R153" s="647" t="str">
        <f>VLOOKUP(A153,Regularizare!$D:$AX,29,FALSE)&amp;" ("&amp;VLOOKUP(A153,Regularizare!$D:$AX,30,FALSE)&amp;")"</f>
        <v>270522 (citit)</v>
      </c>
      <c r="S153" s="647"/>
      <c r="T153" s="647"/>
      <c r="U153" s="647" t="str">
        <f>VLOOKUP(A153,Regularizare!$D:$AX,31,FALSE)&amp;" ("&amp;VLOOKUP(A153,Regularizare!$D:$AX,32,FALSE)&amp;")"</f>
        <v>270522 (citit)</v>
      </c>
      <c r="V153" s="647"/>
      <c r="W153" s="647"/>
      <c r="X153" s="647" t="str">
        <f>VLOOKUP(A153,Regularizare!$D:$AX,39,FALSE)&amp;" ("&amp;VLOOKUP(A153,Regularizare!$D:$AX,32,FALSE)&amp;")"</f>
        <v>0 (citit)</v>
      </c>
      <c r="Y153" s="647"/>
      <c r="Z153" s="647"/>
      <c r="AA153" s="647">
        <f>VLOOKUP(A153,Regularizare!$D:$AX,44,FALSE)+VLOOKUP(A153,Regularizare!$D:$AX,45,FALSE)</f>
        <v>0</v>
      </c>
      <c r="AB153" s="647"/>
      <c r="AC153" s="647"/>
      <c r="AD153" s="647" t="s">
        <v>69</v>
      </c>
      <c r="AE153" s="647"/>
      <c r="AF153" s="647">
        <f>AA153</f>
        <v>0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8.4499999999999993" customHeight="1">
      <c r="A154" s="717"/>
      <c r="B154" s="718"/>
      <c r="C154" s="718"/>
      <c r="D154" s="718"/>
      <c r="E154" s="718"/>
      <c r="F154" s="719"/>
      <c r="G154" s="648"/>
      <c r="H154" s="648"/>
      <c r="I154" s="648"/>
      <c r="J154" s="717" t="str">
        <f t="shared" si="8"/>
        <v>-</v>
      </c>
      <c r="K154" s="718"/>
      <c r="L154" s="719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1"/>
      <c r="B155" s="682"/>
      <c r="C155" s="682"/>
      <c r="D155" s="682"/>
      <c r="E155" s="682"/>
      <c r="F155" s="683"/>
      <c r="G155" s="648"/>
      <c r="H155" s="648"/>
      <c r="I155" s="648"/>
      <c r="J155" s="714">
        <f t="shared" si="8"/>
        <v>45777</v>
      </c>
      <c r="K155" s="715"/>
      <c r="L155" s="716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78">
        <f>A153</f>
        <v>1370139991</v>
      </c>
      <c r="B156" s="679"/>
      <c r="C156" s="679"/>
      <c r="D156" s="679"/>
      <c r="E156" s="679"/>
      <c r="F156" s="680"/>
      <c r="G156" s="648" t="s">
        <v>731</v>
      </c>
      <c r="H156" s="648"/>
      <c r="I156" s="648"/>
      <c r="J156" s="655">
        <f t="shared" si="8"/>
        <v>45748</v>
      </c>
      <c r="K156" s="656"/>
      <c r="L156" s="657"/>
      <c r="M156" s="648" t="s">
        <v>720</v>
      </c>
      <c r="N156" s="648"/>
      <c r="O156" s="648">
        <f>O153</f>
        <v>1</v>
      </c>
      <c r="P156" s="648"/>
      <c r="Q156" s="648"/>
      <c r="R156" s="647" t="str">
        <f>VLOOKUP(A156,Regularizare!$D:$AX,33,FALSE)&amp;" ("&amp;VLOOKUP(A156,Regularizare!$D:$AX,34,FALSE)&amp;")"</f>
        <v>97 (citit)</v>
      </c>
      <c r="S156" s="647"/>
      <c r="T156" s="647"/>
      <c r="U156" s="647" t="str">
        <f>VLOOKUP(A156,Regularizare!$D:$AX,35,FALSE)&amp;" ("&amp;VLOOKUP(A156,Regularizare!$D:$AX,36,FALSE)&amp;")"</f>
        <v>97 (citit)</v>
      </c>
      <c r="V156" s="647"/>
      <c r="W156" s="647"/>
      <c r="X156" s="647" t="str">
        <f>VLOOKUP(A156,Regularizare!$D:$AX,40,FALSE)&amp;" ("&amp;VLOOKUP(A156,Regularizare!$D:$AX,36,FALSE)&amp;")"</f>
        <v>0 (citit)</v>
      </c>
      <c r="Y156" s="647"/>
      <c r="Z156" s="647"/>
      <c r="AA156" s="647">
        <f>VLOOKUP(A156,Regularizare!$D:$AX,46,FALSE)+VLOOKUP(A156,Regularizare!$D:$AX,47,FALSE)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8.4499999999999993" customHeight="1">
      <c r="A157" s="717"/>
      <c r="B157" s="718"/>
      <c r="C157" s="718"/>
      <c r="D157" s="718"/>
      <c r="E157" s="718"/>
      <c r="F157" s="719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1"/>
      <c r="B158" s="682"/>
      <c r="C158" s="682"/>
      <c r="D158" s="682"/>
      <c r="E158" s="682"/>
      <c r="F158" s="683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78">
        <f>A156</f>
        <v>1370139991</v>
      </c>
      <c r="B159" s="679"/>
      <c r="C159" s="679"/>
      <c r="D159" s="679"/>
      <c r="E159" s="679"/>
      <c r="F159" s="680"/>
      <c r="G159" s="648" t="s">
        <v>730</v>
      </c>
      <c r="H159" s="648"/>
      <c r="I159" s="673"/>
      <c r="J159" s="655">
        <f>'Date masura OD'!$I$5</f>
        <v>45778</v>
      </c>
      <c r="K159" s="656"/>
      <c r="L159" s="657"/>
      <c r="M159" s="720" t="s">
        <v>446</v>
      </c>
      <c r="N159" s="648"/>
      <c r="O159" s="648">
        <f>O156</f>
        <v>1</v>
      </c>
      <c r="P159" s="648"/>
      <c r="Q159" s="648"/>
      <c r="R159" s="647" t="str">
        <f>U150</f>
        <v>11215682 (citit)</v>
      </c>
      <c r="S159" s="647"/>
      <c r="T159" s="647"/>
      <c r="U159" s="647" t="str">
        <f>VLOOKUP(A159,'Incrementare indexe'!$D:$M,4,FALSE)&amp;" (estimat)"</f>
        <v>11656976 (estimat)</v>
      </c>
      <c r="V159" s="647"/>
      <c r="W159" s="647"/>
      <c r="X159" s="647" t="str">
        <f>VLOOKUP(A159,'Incrementare indexe'!$D:$Q,11,FALSE)&amp;" (estimat)"</f>
        <v>441294 (estimat)</v>
      </c>
      <c r="Y159" s="647"/>
      <c r="Z159" s="647"/>
      <c r="AA159" s="647" t="s">
        <v>69</v>
      </c>
      <c r="AB159" s="647"/>
      <c r="AC159" s="647"/>
      <c r="AD159" s="647" t="s">
        <v>69</v>
      </c>
      <c r="AE159" s="647"/>
      <c r="AF159" s="647">
        <f>VLOOKUP(A159,'Incrementare indexe'!$D:$Q,11,FALSE)</f>
        <v>441294</v>
      </c>
      <c r="AG159" s="647"/>
      <c r="AH159" s="647"/>
      <c r="AI159" s="647">
        <f>J161-J159+1</f>
        <v>31</v>
      </c>
      <c r="AJ159" s="647"/>
      <c r="AK159" s="647">
        <f>ROUND(AF159/AI159,2)</f>
        <v>14235.29</v>
      </c>
      <c r="AL159" s="647"/>
      <c r="AM159" s="647"/>
    </row>
    <row r="160" spans="1:39" ht="8.4499999999999993" customHeight="1">
      <c r="A160" s="717"/>
      <c r="B160" s="718"/>
      <c r="C160" s="718"/>
      <c r="D160" s="718"/>
      <c r="E160" s="718"/>
      <c r="F160" s="719"/>
      <c r="G160" s="648"/>
      <c r="H160" s="648"/>
      <c r="I160" s="673"/>
      <c r="J160" s="717" t="s">
        <v>69</v>
      </c>
      <c r="K160" s="718"/>
      <c r="L160" s="719"/>
      <c r="M160" s="720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1"/>
      <c r="B161" s="682"/>
      <c r="C161" s="682"/>
      <c r="D161" s="682"/>
      <c r="E161" s="682"/>
      <c r="F161" s="683"/>
      <c r="G161" s="648"/>
      <c r="H161" s="648"/>
      <c r="I161" s="673"/>
      <c r="J161" s="714">
        <f>'Date masura OD'!$J$5</f>
        <v>45808</v>
      </c>
      <c r="K161" s="715"/>
      <c r="L161" s="716"/>
      <c r="M161" s="720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78">
        <f>A159</f>
        <v>1370139991</v>
      </c>
      <c r="B162" s="679"/>
      <c r="C162" s="679"/>
      <c r="D162" s="679"/>
      <c r="E162" s="679"/>
      <c r="F162" s="680"/>
      <c r="G162" s="648" t="s">
        <v>696</v>
      </c>
      <c r="H162" s="648"/>
      <c r="I162" s="648"/>
      <c r="J162" s="655">
        <f t="shared" ref="J162:J167" si="9">J159</f>
        <v>45778</v>
      </c>
      <c r="K162" s="656"/>
      <c r="L162" s="657"/>
      <c r="M162" s="648" t="s">
        <v>720</v>
      </c>
      <c r="N162" s="648"/>
      <c r="O162" s="648">
        <f>O159</f>
        <v>1</v>
      </c>
      <c r="P162" s="648"/>
      <c r="Q162" s="648"/>
      <c r="R162" s="647" t="str">
        <f>U153</f>
        <v>270522 (citit)</v>
      </c>
      <c r="S162" s="647"/>
      <c r="T162" s="647"/>
      <c r="U162" s="647" t="str">
        <f>VLOOKUP(A162,'Incrementare indexe'!$D:$M,8,FALSE)&amp;" (estimat)"</f>
        <v>270522 (estimat)</v>
      </c>
      <c r="V162" s="647"/>
      <c r="W162" s="647"/>
      <c r="X162" s="647" t="str">
        <f>VLOOKUP(A162,'Incrementare indexe'!$D:$Q,12,FALSE)&amp;" (estimat)"</f>
        <v>0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indexe'!$D:$Q,12,FALSE)</f>
        <v>0</v>
      </c>
      <c r="AG162" s="647"/>
      <c r="AH162" s="647"/>
      <c r="AI162" s="647">
        <f>AI159</f>
        <v>31</v>
      </c>
      <c r="AJ162" s="647"/>
      <c r="AK162" s="647">
        <f>ROUND(AF162/AI162,2)</f>
        <v>0</v>
      </c>
      <c r="AL162" s="647"/>
      <c r="AM162" s="647"/>
    </row>
    <row r="163" spans="1:39" ht="8.4499999999999993" customHeight="1">
      <c r="A163" s="717"/>
      <c r="B163" s="718"/>
      <c r="C163" s="718"/>
      <c r="D163" s="718"/>
      <c r="E163" s="718"/>
      <c r="F163" s="719"/>
      <c r="G163" s="648"/>
      <c r="H163" s="648"/>
      <c r="I163" s="648"/>
      <c r="J163" s="717" t="str">
        <f t="shared" si="9"/>
        <v>-</v>
      </c>
      <c r="K163" s="718"/>
      <c r="L163" s="719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1"/>
      <c r="B164" s="682"/>
      <c r="C164" s="682"/>
      <c r="D164" s="682"/>
      <c r="E164" s="682"/>
      <c r="F164" s="683"/>
      <c r="G164" s="648"/>
      <c r="H164" s="648"/>
      <c r="I164" s="648"/>
      <c r="J164" s="714">
        <f t="shared" si="9"/>
        <v>45808</v>
      </c>
      <c r="K164" s="715"/>
      <c r="L164" s="716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78">
        <f>A162</f>
        <v>1370139991</v>
      </c>
      <c r="B165" s="679"/>
      <c r="C165" s="679"/>
      <c r="D165" s="679"/>
      <c r="E165" s="679"/>
      <c r="F165" s="680"/>
      <c r="G165" s="648" t="s">
        <v>731</v>
      </c>
      <c r="H165" s="648"/>
      <c r="I165" s="648"/>
      <c r="J165" s="655">
        <f t="shared" si="9"/>
        <v>45778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U156</f>
        <v>97 (citit)</v>
      </c>
      <c r="S165" s="647"/>
      <c r="T165" s="647"/>
      <c r="U165" s="647" t="str">
        <f>VLOOKUP(A165,'Incrementare indexe'!$D:$M,10,FALSE)&amp;" (estimat)"</f>
        <v>97 (estimat)</v>
      </c>
      <c r="V165" s="647"/>
      <c r="W165" s="647"/>
      <c r="X165" s="647" t="str">
        <f>VLOOKUP(A165,'Incrementare indexe'!$D:$Q,13,FALSE)&amp;"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indexe'!$D:$Q,13,FALSE)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8.4499999999999993" customHeight="1">
      <c r="A166" s="717"/>
      <c r="B166" s="718"/>
      <c r="C166" s="718"/>
      <c r="D166" s="718"/>
      <c r="E166" s="718"/>
      <c r="F166" s="719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1"/>
      <c r="B167" s="682"/>
      <c r="C167" s="682"/>
      <c r="D167" s="682"/>
      <c r="E167" s="682"/>
      <c r="F167" s="683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/>
    <row r="169" spans="1:39" ht="14.1" customHeight="1"/>
    <row r="170" spans="1:39" ht="14.1" customHeight="1"/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 ht="14.1" customHeight="1"/>
    <row r="187" spans="1:39" ht="14.1" customHeight="1"/>
    <row r="188" spans="1:39">
      <c r="A188" s="649" t="s">
        <v>748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VLOOKUP(AI189,'Contorizare in SDI'!$E:$I,4,FALSE)</f>
        <v>RO001E110523303/4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50" t="s">
        <v>695</v>
      </c>
      <c r="AJ188" s="650"/>
      <c r="AK188" s="650"/>
      <c r="AL188" s="650"/>
      <c r="AM188" s="650"/>
    </row>
    <row r="189" spans="1:39">
      <c r="A189" s="649" t="s">
        <v>746</v>
      </c>
      <c r="B189" s="649"/>
      <c r="C189" s="649"/>
      <c r="D189" s="649"/>
      <c r="E189" s="649"/>
      <c r="F189" s="649"/>
      <c r="G189" s="649"/>
      <c r="H189" s="649"/>
      <c r="I189" s="649"/>
      <c r="J189" s="649"/>
      <c r="K189" s="649"/>
      <c r="L189" s="649"/>
      <c r="M189" s="650" t="str">
        <f>VLOOKUP(AI189,'Inchidere contur'!$G:$U,15,FALSE)</f>
        <v>JT_SDI</v>
      </c>
      <c r="N189" s="650"/>
      <c r="O189" s="650"/>
      <c r="P189" s="650"/>
      <c r="Q189" s="650"/>
      <c r="R189" s="650"/>
      <c r="S189" s="650"/>
      <c r="T189" s="650"/>
      <c r="U189" s="650"/>
      <c r="V189" s="650"/>
      <c r="W189" s="650"/>
      <c r="X189" s="650"/>
      <c r="Y189" s="650"/>
      <c r="Z189" s="650"/>
      <c r="AA189" s="650"/>
      <c r="AB189" s="650"/>
      <c r="AC189" s="650"/>
      <c r="AD189" s="650"/>
      <c r="AE189" s="650"/>
      <c r="AF189" s="650"/>
      <c r="AG189" s="650"/>
      <c r="AH189" s="650"/>
      <c r="AI189" s="619" t="str">
        <f>_xlfn.CONCAT(AA32,".",4)</f>
        <v>RPMB_1.4</v>
      </c>
      <c r="AJ189" s="619"/>
      <c r="AK189" s="619"/>
      <c r="AL189" s="619"/>
      <c r="AM189" s="619"/>
    </row>
    <row r="190" spans="1:39">
      <c r="A190" s="649" t="s">
        <v>747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50" t="str">
        <f>IF(LEFT(M189,2)="JT","0.4kV",IF(LEFT(M189,2)="MT","20kV","-"))</f>
        <v>0.4kV</v>
      </c>
      <c r="N190" s="650"/>
      <c r="O190" s="650"/>
      <c r="P190" s="650"/>
      <c r="Q190" s="650"/>
      <c r="R190" s="650"/>
      <c r="S190" s="650"/>
      <c r="T190" s="650"/>
      <c r="U190" s="650"/>
      <c r="V190" s="650"/>
      <c r="W190" s="650"/>
      <c r="X190" s="650"/>
      <c r="Y190" s="650"/>
      <c r="Z190" s="650"/>
      <c r="AA190" s="650"/>
      <c r="AB190" s="650"/>
      <c r="AC190" s="650"/>
      <c r="AD190" s="650"/>
      <c r="AE190" s="650"/>
      <c r="AF190" s="650"/>
      <c r="AG190" s="650"/>
      <c r="AH190" s="650"/>
      <c r="AI190" s="619"/>
      <c r="AJ190" s="619"/>
      <c r="AK190" s="619"/>
      <c r="AL190" s="619"/>
      <c r="AM190" s="619"/>
    </row>
    <row r="191" spans="1:39" ht="15.95" customHeight="1">
      <c r="A191" s="648" t="s">
        <v>697</v>
      </c>
      <c r="B191" s="648"/>
      <c r="C191" s="648"/>
      <c r="D191" s="648"/>
      <c r="E191" s="648"/>
      <c r="F191" s="648"/>
      <c r="G191" s="647" t="s">
        <v>713</v>
      </c>
      <c r="H191" s="647"/>
      <c r="I191" s="647"/>
      <c r="J191" s="647" t="s">
        <v>714</v>
      </c>
      <c r="K191" s="647"/>
      <c r="L191" s="647"/>
      <c r="M191" s="648" t="s">
        <v>519</v>
      </c>
      <c r="N191" s="648"/>
      <c r="O191" s="648" t="s">
        <v>715</v>
      </c>
      <c r="P191" s="648"/>
      <c r="Q191" s="648"/>
      <c r="R191" s="647" t="s">
        <v>732</v>
      </c>
      <c r="S191" s="647"/>
      <c r="T191" s="647"/>
      <c r="U191" s="647" t="s">
        <v>734</v>
      </c>
      <c r="V191" s="647"/>
      <c r="W191" s="647"/>
      <c r="X191" s="647" t="s">
        <v>1085</v>
      </c>
      <c r="Y191" s="647"/>
      <c r="Z191" s="647"/>
      <c r="AA191" s="647" t="s">
        <v>1086</v>
      </c>
      <c r="AB191" s="647"/>
      <c r="AC191" s="647"/>
      <c r="AD191" s="647" t="s">
        <v>717</v>
      </c>
      <c r="AE191" s="647"/>
      <c r="AF191" s="647" t="s">
        <v>718</v>
      </c>
      <c r="AG191" s="647"/>
      <c r="AH191" s="647"/>
      <c r="AI191" s="647" t="s">
        <v>719</v>
      </c>
      <c r="AJ191" s="647"/>
      <c r="AK191" s="647" t="s">
        <v>733</v>
      </c>
      <c r="AL191" s="647"/>
      <c r="AM191" s="647"/>
    </row>
    <row r="192" spans="1:39">
      <c r="A192" s="648"/>
      <c r="B192" s="648"/>
      <c r="C192" s="648"/>
      <c r="D192" s="648"/>
      <c r="E192" s="648"/>
      <c r="F192" s="648"/>
      <c r="G192" s="647"/>
      <c r="H192" s="647"/>
      <c r="I192" s="647"/>
      <c r="J192" s="647"/>
      <c r="K192" s="647"/>
      <c r="L192" s="647"/>
      <c r="M192" s="648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>
      <c r="A193" s="648"/>
      <c r="B193" s="648"/>
      <c r="C193" s="648"/>
      <c r="D193" s="648"/>
      <c r="E193" s="648"/>
      <c r="F193" s="648"/>
      <c r="G193" s="647"/>
      <c r="H193" s="647"/>
      <c r="I193" s="647"/>
      <c r="J193" s="713"/>
      <c r="K193" s="713"/>
      <c r="L193" s="713"/>
      <c r="M193" s="648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78">
        <f>VLOOKUP(AI189,'Contorizare in SDI'!$E:$I,5,FALSE)</f>
        <v>1370139975</v>
      </c>
      <c r="B194" s="679"/>
      <c r="C194" s="679"/>
      <c r="D194" s="679"/>
      <c r="E194" s="679"/>
      <c r="F194" s="680"/>
      <c r="G194" s="648" t="s">
        <v>730</v>
      </c>
      <c r="H194" s="648"/>
      <c r="I194" s="673"/>
      <c r="J194" s="655">
        <f>'Date masura OD'!$AK$5</f>
        <v>45748</v>
      </c>
      <c r="K194" s="656"/>
      <c r="L194" s="657"/>
      <c r="M194" s="720" t="s">
        <v>446</v>
      </c>
      <c r="N194" s="648"/>
      <c r="O194" s="648">
        <f>VLOOKUP(AI189,'Incrementare indexe'!$B:$T,4,FALSE)</f>
        <v>1</v>
      </c>
      <c r="P194" s="648"/>
      <c r="Q194" s="648"/>
      <c r="R194" s="647" t="str">
        <f>VLOOKUP(A194,Regularizare!$D:$YN,3,FALSE)&amp;" ("&amp;VLOOKUP(A194,Regularizare!$D:$Y,11,FALSE)&amp;")"</f>
        <v>8421363 (citit)</v>
      </c>
      <c r="S194" s="647"/>
      <c r="T194" s="647"/>
      <c r="U194" s="647" t="str">
        <f>VLOOKUP(A194,Regularizare!$D:$U,4,FALSE)&amp;" ("&amp;VLOOKUP(A194,Regularizare!$D:$U,12,FALSE)&amp;")"</f>
        <v>8665029 (estimat)</v>
      </c>
      <c r="V194" s="647"/>
      <c r="W194" s="647"/>
      <c r="X194" s="647" t="str">
        <f>VLOOKUP(A194,Regularizare!$D:$Y,19,FALSE)&amp;" ("&amp;VLOOKUP(A194,Regularizare!$D:$U,12,FALSE)&amp;")"</f>
        <v>243666 (estimat)</v>
      </c>
      <c r="Y194" s="647"/>
      <c r="Z194" s="647"/>
      <c r="AA194" s="647">
        <f>(-1)*VLOOKUP(A194,Regularizare!$D:$Y,19,FALSE)</f>
        <v>-243666</v>
      </c>
      <c r="AB194" s="647"/>
      <c r="AC194" s="647"/>
      <c r="AD194" s="647" t="s">
        <v>69</v>
      </c>
      <c r="AE194" s="647"/>
      <c r="AF194" s="647">
        <f>AA194</f>
        <v>-243666</v>
      </c>
      <c r="AG194" s="647"/>
      <c r="AH194" s="647"/>
      <c r="AI194" s="647" t="s">
        <v>69</v>
      </c>
      <c r="AJ194" s="647"/>
      <c r="AK194" s="647" t="s">
        <v>69</v>
      </c>
      <c r="AL194" s="647"/>
      <c r="AM194" s="647"/>
    </row>
    <row r="195" spans="1:39" ht="9.75" customHeight="1">
      <c r="A195" s="717"/>
      <c r="B195" s="718"/>
      <c r="C195" s="718"/>
      <c r="D195" s="718"/>
      <c r="E195" s="718"/>
      <c r="F195" s="719"/>
      <c r="G195" s="648"/>
      <c r="H195" s="648"/>
      <c r="I195" s="673"/>
      <c r="J195" s="717" t="s">
        <v>69</v>
      </c>
      <c r="K195" s="718"/>
      <c r="L195" s="719"/>
      <c r="M195" s="720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81"/>
      <c r="B196" s="682"/>
      <c r="C196" s="682"/>
      <c r="D196" s="682"/>
      <c r="E196" s="682"/>
      <c r="F196" s="683"/>
      <c r="G196" s="648"/>
      <c r="H196" s="648"/>
      <c r="I196" s="673"/>
      <c r="J196" s="714">
        <f>'Date masura OD'!$AL$5</f>
        <v>45777</v>
      </c>
      <c r="K196" s="715"/>
      <c r="L196" s="716"/>
      <c r="M196" s="720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78">
        <f>A194</f>
        <v>1370139975</v>
      </c>
      <c r="B197" s="679"/>
      <c r="C197" s="679"/>
      <c r="D197" s="679"/>
      <c r="E197" s="679"/>
      <c r="F197" s="680"/>
      <c r="G197" s="648" t="s">
        <v>696</v>
      </c>
      <c r="H197" s="648"/>
      <c r="I197" s="648"/>
      <c r="J197" s="655">
        <f t="shared" ref="J197:J202" si="10">J194</f>
        <v>45748</v>
      </c>
      <c r="K197" s="656"/>
      <c r="L197" s="657"/>
      <c r="M197" s="648" t="s">
        <v>720</v>
      </c>
      <c r="N197" s="648"/>
      <c r="O197" s="648">
        <f>O194</f>
        <v>1</v>
      </c>
      <c r="P197" s="648"/>
      <c r="Q197" s="648"/>
      <c r="R197" s="647" t="str">
        <f>VLOOKUP(A197,Regularizare!$D:$U,7,FALSE)&amp;" ("&amp;VLOOKUP(A197,Regularizare!$D:$U,15,FALSE)&amp;")"</f>
        <v>960029 (citit)</v>
      </c>
      <c r="S197" s="647"/>
      <c r="T197" s="647"/>
      <c r="U197" s="647" t="str">
        <f>VLOOKUP(A197,Regularizare!$D:$U,8,FALSE)&amp;" ("&amp;VLOOKUP(A197,Regularizare!$D:$U,16,FALSE)&amp;")"</f>
        <v>960029 (estimat)</v>
      </c>
      <c r="V197" s="647"/>
      <c r="W197" s="647"/>
      <c r="X197" s="647" t="str">
        <f>_xlfn.CONCAT(VLOOKUP(A197,Regularizare!$D:$U,8,FALSE)-VLOOKUP(A197,Regularizare!$D:$U,7,FALSE)," (",VLOOKUP(A197,Regularizare!$D:$U,16,FALSE),")")</f>
        <v>0 (estimat)</v>
      </c>
      <c r="Y197" s="647"/>
      <c r="Z197" s="647"/>
      <c r="AA197" s="647">
        <f>IF(VLOOKUP(A197,Regularizare!$D:$Y,21,FALSE)=0,VLOOKUP(A197,Regularizare!$D:$Y,21,FALSE),(-1)*VLOOKUP(A197,Regularizare!$D:$Y,21,FALSE))</f>
        <v>0</v>
      </c>
      <c r="AB197" s="647"/>
      <c r="AC197" s="647"/>
      <c r="AD197" s="647" t="s">
        <v>69</v>
      </c>
      <c r="AE197" s="647"/>
      <c r="AF197" s="647">
        <f>AA197</f>
        <v>0</v>
      </c>
      <c r="AG197" s="647"/>
      <c r="AH197" s="647"/>
      <c r="AI197" s="647" t="str">
        <f>AI194</f>
        <v>-</v>
      </c>
      <c r="AJ197" s="647"/>
      <c r="AK197" s="647" t="str">
        <f>AK194</f>
        <v>-</v>
      </c>
      <c r="AL197" s="647"/>
      <c r="AM197" s="647"/>
    </row>
    <row r="198" spans="1:39" ht="8.4499999999999993" customHeight="1">
      <c r="A198" s="717"/>
      <c r="B198" s="718"/>
      <c r="C198" s="718"/>
      <c r="D198" s="718"/>
      <c r="E198" s="718"/>
      <c r="F198" s="719"/>
      <c r="G198" s="648"/>
      <c r="H198" s="648"/>
      <c r="I198" s="648"/>
      <c r="J198" s="717" t="str">
        <f t="shared" si="10"/>
        <v>-</v>
      </c>
      <c r="K198" s="718"/>
      <c r="L198" s="719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81"/>
      <c r="B199" s="682"/>
      <c r="C199" s="682"/>
      <c r="D199" s="682"/>
      <c r="E199" s="682"/>
      <c r="F199" s="683"/>
      <c r="G199" s="648"/>
      <c r="H199" s="648"/>
      <c r="I199" s="648"/>
      <c r="J199" s="714">
        <f t="shared" si="10"/>
        <v>45777</v>
      </c>
      <c r="K199" s="715"/>
      <c r="L199" s="716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78">
        <f>A197</f>
        <v>1370139975</v>
      </c>
      <c r="B200" s="679"/>
      <c r="C200" s="679"/>
      <c r="D200" s="679"/>
      <c r="E200" s="679"/>
      <c r="F200" s="680"/>
      <c r="G200" s="648" t="s">
        <v>731</v>
      </c>
      <c r="H200" s="648"/>
      <c r="I200" s="648"/>
      <c r="J200" s="655">
        <f t="shared" si="10"/>
        <v>45748</v>
      </c>
      <c r="K200" s="656"/>
      <c r="L200" s="657"/>
      <c r="M200" s="648" t="s">
        <v>720</v>
      </c>
      <c r="N200" s="648"/>
      <c r="O200" s="648">
        <f>O197</f>
        <v>1</v>
      </c>
      <c r="P200" s="648"/>
      <c r="Q200" s="648"/>
      <c r="R200" s="647" t="str">
        <f>VLOOKUP(A200,Regularizare!$D:$U,9,FALSE)&amp;" ("&amp;VLOOKUP(A200,Regularizare!$D:$U,17,FALSE)&amp;")"</f>
        <v>17479 (citit)</v>
      </c>
      <c r="S200" s="647"/>
      <c r="T200" s="647"/>
      <c r="U200" s="647" t="str">
        <f>VLOOKUP(A200,Regularizare!$D:$U,10,FALSE)&amp;" ("&amp;VLOOKUP(A200,Regularizare!$D:$U,18,FALSE)&amp;")"</f>
        <v>17479 (estimat)</v>
      </c>
      <c r="V200" s="647"/>
      <c r="W200" s="647"/>
      <c r="X200" s="647" t="str">
        <f>_xlfn.CONCAT(VLOOKUP(A200,Regularizare!$D:$U,10,FALSE)-VLOOKUP(A200,Regularizare!$D:$U,9,FALSE)," (",VLOOKUP(A200,Regularizare!$D:$U,18,FALSE),")")</f>
        <v>0 (estimat)</v>
      </c>
      <c r="Y200" s="647"/>
      <c r="Z200" s="647"/>
      <c r="AA200" s="647">
        <f>IF(VLOOKUP(A200,Regularizare!$D:$Y,22,FALSE)=0,VLOOKUP(A200,Regularizare!$D:$Y,22,FALSE),(-1)*VLOOKUP(A200,Regularizare!$D:$Y,22,FALSE))</f>
        <v>0</v>
      </c>
      <c r="AB200" s="647"/>
      <c r="AC200" s="647"/>
      <c r="AD200" s="647" t="s">
        <v>69</v>
      </c>
      <c r="AE200" s="647"/>
      <c r="AF200" s="647">
        <f>AA200</f>
        <v>0</v>
      </c>
      <c r="AG200" s="647"/>
      <c r="AH200" s="647"/>
      <c r="AI200" s="647" t="str">
        <f>AI197</f>
        <v>-</v>
      </c>
      <c r="AJ200" s="647"/>
      <c r="AK200" s="647" t="str">
        <f>AK197</f>
        <v>-</v>
      </c>
      <c r="AL200" s="647"/>
      <c r="AM200" s="647"/>
    </row>
    <row r="201" spans="1:39" ht="8.4499999999999993" customHeight="1">
      <c r="A201" s="717"/>
      <c r="B201" s="718"/>
      <c r="C201" s="718"/>
      <c r="D201" s="718"/>
      <c r="E201" s="718"/>
      <c r="F201" s="719"/>
      <c r="G201" s="648"/>
      <c r="H201" s="648"/>
      <c r="I201" s="648"/>
      <c r="J201" s="717" t="str">
        <f t="shared" si="10"/>
        <v>-</v>
      </c>
      <c r="K201" s="718"/>
      <c r="L201" s="719"/>
      <c r="M201" s="648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81"/>
      <c r="B202" s="682"/>
      <c r="C202" s="682"/>
      <c r="D202" s="682"/>
      <c r="E202" s="682"/>
      <c r="F202" s="683"/>
      <c r="G202" s="648"/>
      <c r="H202" s="648"/>
      <c r="I202" s="648"/>
      <c r="J202" s="714">
        <f t="shared" si="10"/>
        <v>45777</v>
      </c>
      <c r="K202" s="715"/>
      <c r="L202" s="716"/>
      <c r="M202" s="648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78">
        <f>A200</f>
        <v>1370139975</v>
      </c>
      <c r="B203" s="679"/>
      <c r="C203" s="679"/>
      <c r="D203" s="679"/>
      <c r="E203" s="679"/>
      <c r="F203" s="680"/>
      <c r="G203" s="648" t="s">
        <v>730</v>
      </c>
      <c r="H203" s="648"/>
      <c r="I203" s="673"/>
      <c r="J203" s="655">
        <f>'Date masura OD'!$AK$5</f>
        <v>45748</v>
      </c>
      <c r="K203" s="656"/>
      <c r="L203" s="657"/>
      <c r="M203" s="720" t="s">
        <v>446</v>
      </c>
      <c r="N203" s="648"/>
      <c r="O203" s="648">
        <f>O200</f>
        <v>1</v>
      </c>
      <c r="P203" s="648"/>
      <c r="Q203" s="648"/>
      <c r="R203" s="647" t="str">
        <f>VLOOKUP(A203,Regularizare!$D:$AX,23,FALSE)&amp;" ("&amp;VLOOKUP(A203,Regularizare!$D:$AX,24,FALSE)&amp;")"</f>
        <v>8421363 (citit)</v>
      </c>
      <c r="S203" s="647"/>
      <c r="T203" s="647"/>
      <c r="U203" s="647" t="str">
        <f>VLOOKUP(A203,Regularizare!$D:$AX,25,FALSE)&amp;" ("&amp;VLOOKUP(A203,Regularizare!$D:$AX,26,FALSE)&amp;")"</f>
        <v>8665029 (citit)</v>
      </c>
      <c r="V203" s="647"/>
      <c r="W203" s="647"/>
      <c r="X203" s="647" t="str">
        <f>VLOOKUP(A203,Regularizare!$D:$AX,37,FALSE)&amp;" ("&amp;VLOOKUP(A203,Regularizare!$D:$AX,26,FALSE)&amp;")"</f>
        <v>243666 (citit)</v>
      </c>
      <c r="Y203" s="647"/>
      <c r="Z203" s="647"/>
      <c r="AA203" s="647">
        <f>VLOOKUP(A203,Regularizare!$D:$AX,37,FALSE)</f>
        <v>243666</v>
      </c>
      <c r="AB203" s="647"/>
      <c r="AC203" s="647"/>
      <c r="AD203" s="647" t="s">
        <v>69</v>
      </c>
      <c r="AE203" s="647"/>
      <c r="AF203" s="647">
        <f>AA203</f>
        <v>243666</v>
      </c>
      <c r="AG203" s="647"/>
      <c r="AH203" s="647"/>
      <c r="AI203" s="647" t="str">
        <f>AI200</f>
        <v>-</v>
      </c>
      <c r="AJ203" s="647"/>
      <c r="AK203" s="647" t="str">
        <f>AK200</f>
        <v>-</v>
      </c>
      <c r="AL203" s="647"/>
      <c r="AM203" s="647"/>
    </row>
    <row r="204" spans="1:39" ht="8.4499999999999993" customHeight="1">
      <c r="A204" s="717"/>
      <c r="B204" s="718"/>
      <c r="C204" s="718"/>
      <c r="D204" s="718"/>
      <c r="E204" s="718"/>
      <c r="F204" s="719"/>
      <c r="G204" s="648"/>
      <c r="H204" s="648"/>
      <c r="I204" s="673"/>
      <c r="J204" s="717" t="s">
        <v>69</v>
      </c>
      <c r="K204" s="718"/>
      <c r="L204" s="719"/>
      <c r="M204" s="720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1"/>
      <c r="B205" s="682"/>
      <c r="C205" s="682"/>
      <c r="D205" s="682"/>
      <c r="E205" s="682"/>
      <c r="F205" s="683"/>
      <c r="G205" s="648"/>
      <c r="H205" s="648"/>
      <c r="I205" s="673"/>
      <c r="J205" s="714">
        <f>'Date masura OD'!$AL$5</f>
        <v>45777</v>
      </c>
      <c r="K205" s="715"/>
      <c r="L205" s="716"/>
      <c r="M205" s="720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78">
        <f>A203</f>
        <v>1370139975</v>
      </c>
      <c r="B206" s="679"/>
      <c r="C206" s="679"/>
      <c r="D206" s="679"/>
      <c r="E206" s="679"/>
      <c r="F206" s="680"/>
      <c r="G206" s="648" t="s">
        <v>696</v>
      </c>
      <c r="H206" s="648"/>
      <c r="I206" s="648"/>
      <c r="J206" s="655">
        <f t="shared" ref="J206:J211" si="11">J203</f>
        <v>45748</v>
      </c>
      <c r="K206" s="656"/>
      <c r="L206" s="657"/>
      <c r="M206" s="648" t="s">
        <v>720</v>
      </c>
      <c r="N206" s="648"/>
      <c r="O206" s="648">
        <f>O203</f>
        <v>1</v>
      </c>
      <c r="P206" s="648"/>
      <c r="Q206" s="648"/>
      <c r="R206" s="647" t="str">
        <f>VLOOKUP(A206,Regularizare!$D:$AX,29,FALSE)&amp;" ("&amp;VLOOKUP(A206,Regularizare!$D:$AX,30,FALSE)&amp;")"</f>
        <v>960029 (citit)</v>
      </c>
      <c r="S206" s="647"/>
      <c r="T206" s="647"/>
      <c r="U206" s="647" t="str">
        <f>VLOOKUP(A206,Regularizare!$D:$AX,31,FALSE)&amp;" ("&amp;VLOOKUP(A206,Regularizare!$D:$AX,32,FALSE)&amp;")"</f>
        <v>960029 (citit)</v>
      </c>
      <c r="V206" s="647"/>
      <c r="W206" s="647"/>
      <c r="X206" s="647" t="str">
        <f>VLOOKUP(A206,Regularizare!$D:$AX,39,FALSE)&amp;" ("&amp;VLOOKUP(A206,Regularizare!$D:$AX,32,FALSE)&amp;")"</f>
        <v>0 (citit)</v>
      </c>
      <c r="Y206" s="647"/>
      <c r="Z206" s="647"/>
      <c r="AA206" s="647">
        <f>VLOOKUP(A206,Regularizare!$D:$AX,44,FALSE)+VLOOKUP(A206,Regularizare!$D:$AX,45,FALSE)</f>
        <v>0</v>
      </c>
      <c r="AB206" s="647"/>
      <c r="AC206" s="647"/>
      <c r="AD206" s="647" t="s">
        <v>69</v>
      </c>
      <c r="AE206" s="647"/>
      <c r="AF206" s="647">
        <f>AA206</f>
        <v>0</v>
      </c>
      <c r="AG206" s="647"/>
      <c r="AH206" s="647"/>
      <c r="AI206" s="647" t="str">
        <f>AI203</f>
        <v>-</v>
      </c>
      <c r="AJ206" s="647"/>
      <c r="AK206" s="647" t="str">
        <f>AK203</f>
        <v>-</v>
      </c>
      <c r="AL206" s="647"/>
      <c r="AM206" s="647"/>
    </row>
    <row r="207" spans="1:39" ht="8.4499999999999993" customHeight="1">
      <c r="A207" s="717"/>
      <c r="B207" s="718"/>
      <c r="C207" s="718"/>
      <c r="D207" s="718"/>
      <c r="E207" s="718"/>
      <c r="F207" s="719"/>
      <c r="G207" s="648"/>
      <c r="H207" s="648"/>
      <c r="I207" s="648"/>
      <c r="J207" s="717" t="str">
        <f t="shared" si="11"/>
        <v>-</v>
      </c>
      <c r="K207" s="718"/>
      <c r="L207" s="719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81"/>
      <c r="B208" s="682"/>
      <c r="C208" s="682"/>
      <c r="D208" s="682"/>
      <c r="E208" s="682"/>
      <c r="F208" s="683"/>
      <c r="G208" s="648"/>
      <c r="H208" s="648"/>
      <c r="I208" s="648"/>
      <c r="J208" s="714">
        <f t="shared" si="11"/>
        <v>45777</v>
      </c>
      <c r="K208" s="715"/>
      <c r="L208" s="716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78">
        <f>A206</f>
        <v>1370139975</v>
      </c>
      <c r="B209" s="679"/>
      <c r="C209" s="679"/>
      <c r="D209" s="679"/>
      <c r="E209" s="679"/>
      <c r="F209" s="680"/>
      <c r="G209" s="648" t="s">
        <v>731</v>
      </c>
      <c r="H209" s="648"/>
      <c r="I209" s="648"/>
      <c r="J209" s="655">
        <f t="shared" si="11"/>
        <v>45748</v>
      </c>
      <c r="K209" s="656"/>
      <c r="L209" s="657"/>
      <c r="M209" s="648" t="s">
        <v>720</v>
      </c>
      <c r="N209" s="648"/>
      <c r="O209" s="648">
        <f>O206</f>
        <v>1</v>
      </c>
      <c r="P209" s="648"/>
      <c r="Q209" s="648"/>
      <c r="R209" s="647" t="str">
        <f>VLOOKUP(A209,Regularizare!$D:$AX,33,FALSE)&amp;" ("&amp;VLOOKUP(A209,Regularizare!$D:$AX,34,FALSE)&amp;")"</f>
        <v>17479 (citit)</v>
      </c>
      <c r="S209" s="647"/>
      <c r="T209" s="647"/>
      <c r="U209" s="647" t="str">
        <f>VLOOKUP(A209,Regularizare!$D:$AX,35,FALSE)&amp;" ("&amp;VLOOKUP(A209,Regularizare!$D:$AX,36,FALSE)&amp;")"</f>
        <v>17479 (citit)</v>
      </c>
      <c r="V209" s="647"/>
      <c r="W209" s="647"/>
      <c r="X209" s="647" t="str">
        <f>VLOOKUP(A209,Regularizare!$D:$AX,40,FALSE)&amp;" ("&amp;VLOOKUP(A209,Regularizare!$D:$AX,36,FALSE)&amp;")"</f>
        <v>0 (citit)</v>
      </c>
      <c r="Y209" s="647"/>
      <c r="Z209" s="647"/>
      <c r="AA209" s="647">
        <f>VLOOKUP(A209,Regularizare!$D:$AX,46,FALSE)+VLOOKUP(A209,Regularizare!$D:$AX,47,FALSE)</f>
        <v>0</v>
      </c>
      <c r="AB209" s="647"/>
      <c r="AC209" s="647"/>
      <c r="AD209" s="647" t="s">
        <v>69</v>
      </c>
      <c r="AE209" s="647"/>
      <c r="AF209" s="647">
        <f>AA209</f>
        <v>0</v>
      </c>
      <c r="AG209" s="647"/>
      <c r="AH209" s="647"/>
      <c r="AI209" s="647" t="str">
        <f>AI206</f>
        <v>-</v>
      </c>
      <c r="AJ209" s="647"/>
      <c r="AK209" s="647" t="str">
        <f>AK206</f>
        <v>-</v>
      </c>
      <c r="AL209" s="647"/>
      <c r="AM209" s="647"/>
    </row>
    <row r="210" spans="1:39" ht="8.4499999999999993" customHeight="1">
      <c r="A210" s="717"/>
      <c r="B210" s="718"/>
      <c r="C210" s="718"/>
      <c r="D210" s="718"/>
      <c r="E210" s="718"/>
      <c r="F210" s="719"/>
      <c r="G210" s="648"/>
      <c r="H210" s="648"/>
      <c r="I210" s="648"/>
      <c r="J210" s="717" t="str">
        <f t="shared" si="11"/>
        <v>-</v>
      </c>
      <c r="K210" s="718"/>
      <c r="L210" s="719"/>
      <c r="M210" s="648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81"/>
      <c r="B211" s="682"/>
      <c r="C211" s="682"/>
      <c r="D211" s="682"/>
      <c r="E211" s="682"/>
      <c r="F211" s="683"/>
      <c r="G211" s="648"/>
      <c r="H211" s="648"/>
      <c r="I211" s="648"/>
      <c r="J211" s="714">
        <f t="shared" si="11"/>
        <v>45777</v>
      </c>
      <c r="K211" s="715"/>
      <c r="L211" s="716"/>
      <c r="M211" s="648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78">
        <f>A209</f>
        <v>1370139975</v>
      </c>
      <c r="B212" s="679"/>
      <c r="C212" s="679"/>
      <c r="D212" s="679"/>
      <c r="E212" s="679"/>
      <c r="F212" s="680"/>
      <c r="G212" s="648" t="s">
        <v>730</v>
      </c>
      <c r="H212" s="648"/>
      <c r="I212" s="673"/>
      <c r="J212" s="655">
        <f>'Date masura OD'!$I$5</f>
        <v>45778</v>
      </c>
      <c r="K212" s="656"/>
      <c r="L212" s="657"/>
      <c r="M212" s="720" t="s">
        <v>446</v>
      </c>
      <c r="N212" s="648"/>
      <c r="O212" s="648">
        <f>O209</f>
        <v>1</v>
      </c>
      <c r="P212" s="648"/>
      <c r="Q212" s="648"/>
      <c r="R212" s="647" t="str">
        <f>U203</f>
        <v>8665029 (citit)</v>
      </c>
      <c r="S212" s="647"/>
      <c r="T212" s="647"/>
      <c r="U212" s="647" t="str">
        <f>VLOOKUP(A212,'Incrementare indexe'!$D:$M,4,FALSE)&amp;" (estimat)"</f>
        <v>8926582 (estimat)</v>
      </c>
      <c r="V212" s="647"/>
      <c r="W212" s="647"/>
      <c r="X212" s="647" t="str">
        <f>VLOOKUP(A212,'Incrementare indexe'!$D:$Q,11,FALSE)&amp;" (estimat)"</f>
        <v>261553 (estimat)</v>
      </c>
      <c r="Y212" s="647"/>
      <c r="Z212" s="647"/>
      <c r="AA212" s="647" t="s">
        <v>69</v>
      </c>
      <c r="AB212" s="647"/>
      <c r="AC212" s="647"/>
      <c r="AD212" s="647" t="s">
        <v>69</v>
      </c>
      <c r="AE212" s="647"/>
      <c r="AF212" s="647">
        <f>VLOOKUP(A212,'Incrementare indexe'!$D:$Q,11,FALSE)</f>
        <v>261553</v>
      </c>
      <c r="AG212" s="647"/>
      <c r="AH212" s="647"/>
      <c r="AI212" s="647">
        <f>J214-J212+1</f>
        <v>31</v>
      </c>
      <c r="AJ212" s="647"/>
      <c r="AK212" s="647">
        <f>ROUND(AF212/AI212,2)</f>
        <v>8437.19</v>
      </c>
      <c r="AL212" s="647"/>
      <c r="AM212" s="647"/>
    </row>
    <row r="213" spans="1:39" ht="8.4499999999999993" customHeight="1">
      <c r="A213" s="717"/>
      <c r="B213" s="718"/>
      <c r="C213" s="718"/>
      <c r="D213" s="718"/>
      <c r="E213" s="718"/>
      <c r="F213" s="719"/>
      <c r="G213" s="648"/>
      <c r="H213" s="648"/>
      <c r="I213" s="673"/>
      <c r="J213" s="717" t="s">
        <v>69</v>
      </c>
      <c r="K213" s="718"/>
      <c r="L213" s="719"/>
      <c r="M213" s="720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81"/>
      <c r="B214" s="682"/>
      <c r="C214" s="682"/>
      <c r="D214" s="682"/>
      <c r="E214" s="682"/>
      <c r="F214" s="683"/>
      <c r="G214" s="648"/>
      <c r="H214" s="648"/>
      <c r="I214" s="673"/>
      <c r="J214" s="714">
        <f>'Date masura OD'!$J$5</f>
        <v>45808</v>
      </c>
      <c r="K214" s="715"/>
      <c r="L214" s="716"/>
      <c r="M214" s="720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78">
        <f>A212</f>
        <v>1370139975</v>
      </c>
      <c r="B215" s="679"/>
      <c r="C215" s="679"/>
      <c r="D215" s="679"/>
      <c r="E215" s="679"/>
      <c r="F215" s="680"/>
      <c r="G215" s="648" t="s">
        <v>696</v>
      </c>
      <c r="H215" s="648"/>
      <c r="I215" s="648"/>
      <c r="J215" s="655">
        <f t="shared" ref="J215:J220" si="12">J212</f>
        <v>45778</v>
      </c>
      <c r="K215" s="656"/>
      <c r="L215" s="657"/>
      <c r="M215" s="648" t="s">
        <v>720</v>
      </c>
      <c r="N215" s="648"/>
      <c r="O215" s="648">
        <f>O212</f>
        <v>1</v>
      </c>
      <c r="P215" s="648"/>
      <c r="Q215" s="648"/>
      <c r="R215" s="647" t="str">
        <f>U206</f>
        <v>960029 (citit)</v>
      </c>
      <c r="S215" s="647"/>
      <c r="T215" s="647"/>
      <c r="U215" s="647" t="str">
        <f>VLOOKUP(A215,'Incrementare indexe'!$D:$M,8,FALSE)&amp;" (estimat)"</f>
        <v>960029 (estimat)</v>
      </c>
      <c r="V215" s="647"/>
      <c r="W215" s="647"/>
      <c r="X215" s="647" t="str">
        <f>VLOOKUP(A215,'Incrementare indexe'!$D:$Q,12,FALSE)&amp;" (estimat)"</f>
        <v>0 (estimat)</v>
      </c>
      <c r="Y215" s="647"/>
      <c r="Z215" s="647"/>
      <c r="AA215" s="647" t="s">
        <v>69</v>
      </c>
      <c r="AB215" s="647"/>
      <c r="AC215" s="647"/>
      <c r="AD215" s="647" t="s">
        <v>69</v>
      </c>
      <c r="AE215" s="647"/>
      <c r="AF215" s="647">
        <f>VLOOKUP(A215,'Incrementare indexe'!$D:$Q,12,FALSE)</f>
        <v>0</v>
      </c>
      <c r="AG215" s="647"/>
      <c r="AH215" s="647"/>
      <c r="AI215" s="647">
        <f>AI212</f>
        <v>31</v>
      </c>
      <c r="AJ215" s="647"/>
      <c r="AK215" s="647">
        <f>ROUND(AF215/AI215,2)</f>
        <v>0</v>
      </c>
      <c r="AL215" s="647"/>
      <c r="AM215" s="647"/>
    </row>
    <row r="216" spans="1:39" ht="8.4499999999999993" customHeight="1">
      <c r="A216" s="717"/>
      <c r="B216" s="718"/>
      <c r="C216" s="718"/>
      <c r="D216" s="718"/>
      <c r="E216" s="718"/>
      <c r="F216" s="719"/>
      <c r="G216" s="648"/>
      <c r="H216" s="648"/>
      <c r="I216" s="648"/>
      <c r="J216" s="717" t="str">
        <f t="shared" si="12"/>
        <v>-</v>
      </c>
      <c r="K216" s="718"/>
      <c r="L216" s="719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81"/>
      <c r="B217" s="682"/>
      <c r="C217" s="682"/>
      <c r="D217" s="682"/>
      <c r="E217" s="682"/>
      <c r="F217" s="683"/>
      <c r="G217" s="648"/>
      <c r="H217" s="648"/>
      <c r="I217" s="648"/>
      <c r="J217" s="714">
        <f t="shared" si="12"/>
        <v>45808</v>
      </c>
      <c r="K217" s="715"/>
      <c r="L217" s="716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78">
        <f>A215</f>
        <v>1370139975</v>
      </c>
      <c r="B218" s="679"/>
      <c r="C218" s="679"/>
      <c r="D218" s="679"/>
      <c r="E218" s="679"/>
      <c r="F218" s="680"/>
      <c r="G218" s="648" t="s">
        <v>731</v>
      </c>
      <c r="H218" s="648"/>
      <c r="I218" s="648"/>
      <c r="J218" s="655">
        <f t="shared" si="12"/>
        <v>45778</v>
      </c>
      <c r="K218" s="656"/>
      <c r="L218" s="657"/>
      <c r="M218" s="648" t="s">
        <v>720</v>
      </c>
      <c r="N218" s="648"/>
      <c r="O218" s="648">
        <f>O215</f>
        <v>1</v>
      </c>
      <c r="P218" s="648"/>
      <c r="Q218" s="648"/>
      <c r="R218" s="647" t="str">
        <f>U209</f>
        <v>17479 (citit)</v>
      </c>
      <c r="S218" s="647"/>
      <c r="T218" s="647"/>
      <c r="U218" s="647" t="str">
        <f>VLOOKUP(A218,'Incrementare indexe'!$D:$M,10,FALSE)&amp;" (estimat)"</f>
        <v>17479 (estimat)</v>
      </c>
      <c r="V218" s="647"/>
      <c r="W218" s="647"/>
      <c r="X218" s="647" t="str">
        <f>VLOOKUP(A218,'Incrementare indexe'!$D:$Q,13,FALSE)&amp;" (estimat)"</f>
        <v>0 (estimat)</v>
      </c>
      <c r="Y218" s="647"/>
      <c r="Z218" s="647"/>
      <c r="AA218" s="647" t="s">
        <v>69</v>
      </c>
      <c r="AB218" s="647"/>
      <c r="AC218" s="647"/>
      <c r="AD218" s="647" t="s">
        <v>69</v>
      </c>
      <c r="AE218" s="647"/>
      <c r="AF218" s="647">
        <f>VLOOKUP(A218,'Incrementare indexe'!$D:$Q,13,FALSE)</f>
        <v>0</v>
      </c>
      <c r="AG218" s="647"/>
      <c r="AH218" s="647"/>
      <c r="AI218" s="647">
        <f>AI215</f>
        <v>31</v>
      </c>
      <c r="AJ218" s="647"/>
      <c r="AK218" s="647">
        <f>ROUND(AF218/AI218,2)</f>
        <v>0</v>
      </c>
      <c r="AL218" s="647"/>
      <c r="AM218" s="647"/>
    </row>
    <row r="219" spans="1:39" ht="8.4499999999999993" customHeight="1">
      <c r="A219" s="717"/>
      <c r="B219" s="718"/>
      <c r="C219" s="718"/>
      <c r="D219" s="718"/>
      <c r="E219" s="718"/>
      <c r="F219" s="719"/>
      <c r="G219" s="648"/>
      <c r="H219" s="648"/>
      <c r="I219" s="648"/>
      <c r="J219" s="717" t="str">
        <f t="shared" si="12"/>
        <v>-</v>
      </c>
      <c r="K219" s="718"/>
      <c r="L219" s="719"/>
      <c r="M219" s="648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>
      <c r="A220" s="681"/>
      <c r="B220" s="682"/>
      <c r="C220" s="682"/>
      <c r="D220" s="682"/>
      <c r="E220" s="682"/>
      <c r="F220" s="683"/>
      <c r="G220" s="648"/>
      <c r="H220" s="648"/>
      <c r="I220" s="648"/>
      <c r="J220" s="714">
        <f t="shared" si="12"/>
        <v>45808</v>
      </c>
      <c r="K220" s="715"/>
      <c r="L220" s="716"/>
      <c r="M220" s="648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/>
    <row r="222" spans="1:39" ht="14.1" customHeight="1"/>
    <row r="223" spans="1:39" ht="14.1" customHeight="1"/>
    <row r="224" spans="1:39" ht="14.1" customHeight="1"/>
    <row r="225" ht="14.1" customHeight="1"/>
    <row r="226" ht="14.1" customHeight="1"/>
    <row r="227" ht="14.1" customHeight="1"/>
    <row r="228" ht="14.1" customHeight="1"/>
    <row r="229" ht="14.1" customHeight="1"/>
    <row r="230" ht="14.1" customHeight="1"/>
    <row r="231" ht="14.1" customHeight="1"/>
    <row r="232" ht="14.1" customHeight="1"/>
    <row r="233" ht="14.1" customHeight="1"/>
    <row r="234" ht="14.1" customHeight="1"/>
    <row r="235" ht="14.1" customHeight="1"/>
    <row r="236" ht="14.1" customHeight="1"/>
    <row r="237" ht="14.1" customHeight="1"/>
    <row r="238" ht="14.1" customHeight="1"/>
    <row r="239" ht="14.1" customHeight="1"/>
    <row r="240" ht="14.1" customHeight="1"/>
    <row r="241" spans="1:39" ht="14.1" customHeight="1">
      <c r="A241" s="695" t="s">
        <v>858</v>
      </c>
      <c r="B241" s="695"/>
      <c r="C241" s="695"/>
      <c r="D241" s="695"/>
      <c r="E241" s="695"/>
      <c r="F241" s="695"/>
      <c r="G241" s="695"/>
      <c r="H241" s="695" t="str">
        <f>VLOOKUP($AA$15,'Date SPV'!$B:$H,4,FALSE)</f>
        <v>Calea Floreasca, nr. 224-246, Sector 1, Bucuresti</v>
      </c>
      <c r="I241" s="695"/>
      <c r="J241" s="695"/>
      <c r="K241" s="695"/>
      <c r="L241" s="695"/>
      <c r="M241" s="695"/>
      <c r="N241" s="695"/>
      <c r="O241" s="695"/>
      <c r="P241" s="695"/>
      <c r="Q241" s="695"/>
      <c r="R241" s="695"/>
      <c r="S241" s="695"/>
      <c r="T241" s="695"/>
      <c r="U241" s="695"/>
      <c r="V241" s="695"/>
      <c r="W241" s="695"/>
      <c r="X241" s="695"/>
      <c r="Y241" s="695"/>
      <c r="Z241" s="695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</row>
    <row r="242" spans="1:39" ht="14.1" customHeight="1">
      <c r="A242" s="695"/>
      <c r="B242" s="695"/>
      <c r="C242" s="695"/>
      <c r="D242" s="695"/>
      <c r="E242" s="695"/>
      <c r="F242" s="695"/>
      <c r="G242" s="695"/>
      <c r="H242" s="695"/>
      <c r="I242" s="695"/>
      <c r="J242" s="695"/>
      <c r="K242" s="695"/>
      <c r="L242" s="695"/>
      <c r="M242" s="695"/>
      <c r="N242" s="695"/>
      <c r="O242" s="695"/>
      <c r="P242" s="695"/>
      <c r="Q242" s="695"/>
      <c r="R242" s="695"/>
      <c r="S242" s="695"/>
      <c r="T242" s="695"/>
      <c r="U242" s="695"/>
      <c r="V242" s="695"/>
      <c r="W242" s="695"/>
      <c r="X242" s="695"/>
      <c r="Y242" s="695"/>
      <c r="Z242" s="695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</row>
    <row r="243" spans="1:39" ht="14.1" customHeight="1">
      <c r="A243" s="695" t="s">
        <v>859</v>
      </c>
      <c r="B243" s="695"/>
      <c r="C243" s="695"/>
      <c r="D243" s="695"/>
      <c r="E243" s="695"/>
      <c r="F243" s="695"/>
      <c r="G243" s="695"/>
      <c r="H243" s="712">
        <f>VLOOKUP(AA243,'Date masura OD'!$G:$BE,51,FALSE)</f>
        <v>5000375972</v>
      </c>
      <c r="I243" s="712"/>
      <c r="J243" s="712"/>
      <c r="K243" s="712"/>
      <c r="L243" s="712"/>
      <c r="M243" s="712"/>
      <c r="N243" s="712"/>
      <c r="O243" s="712"/>
      <c r="P243" s="712"/>
      <c r="Q243" s="712"/>
      <c r="R243" s="712"/>
      <c r="S243" s="712"/>
      <c r="T243" s="712"/>
      <c r="U243" s="712"/>
      <c r="V243" s="712"/>
      <c r="W243" s="712" t="s">
        <v>860</v>
      </c>
      <c r="X243" s="712"/>
      <c r="Y243" s="712"/>
      <c r="Z243" s="712"/>
      <c r="AA243" s="640" t="str">
        <f>_xlfn.CONCAT($AA$15,"_",2)</f>
        <v>RPMB_2</v>
      </c>
      <c r="AB243" s="640"/>
      <c r="AC243" s="640"/>
      <c r="AD243" s="640"/>
      <c r="AE243" s="640"/>
      <c r="AF243" s="640"/>
      <c r="AG243" s="640"/>
      <c r="AH243" s="640"/>
      <c r="AI243" s="640"/>
      <c r="AJ243" s="640"/>
      <c r="AK243" s="640"/>
      <c r="AL243" s="640"/>
      <c r="AM243" s="640"/>
    </row>
    <row r="244" spans="1:39" ht="14.1" customHeight="1">
      <c r="A244" s="695"/>
      <c r="B244" s="695"/>
      <c r="C244" s="695"/>
      <c r="D244" s="695"/>
      <c r="E244" s="695"/>
      <c r="F244" s="695"/>
      <c r="G244" s="695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712"/>
      <c r="S244" s="712"/>
      <c r="T244" s="712"/>
      <c r="U244" s="712"/>
      <c r="V244" s="712"/>
      <c r="W244" s="712"/>
      <c r="X244" s="712"/>
      <c r="Y244" s="712"/>
      <c r="Z244" s="712"/>
      <c r="AA244" s="640"/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0"/>
    </row>
    <row r="246" spans="1:39">
      <c r="A246" s="649" t="s">
        <v>748</v>
      </c>
      <c r="B246" s="649"/>
      <c r="C246" s="649"/>
      <c r="D246" s="649"/>
      <c r="E246" s="649"/>
      <c r="F246" s="649"/>
      <c r="G246" s="649"/>
      <c r="H246" s="649"/>
      <c r="I246" s="649"/>
      <c r="J246" s="649"/>
      <c r="K246" s="649"/>
      <c r="L246" s="649"/>
      <c r="M246" s="650" t="str">
        <f>VLOOKUP(AI247,'Contorizare in SDI'!$E:$I,4,FALSE)</f>
        <v>RO001E111222805</v>
      </c>
      <c r="N246" s="650"/>
      <c r="O246" s="650"/>
      <c r="P246" s="650"/>
      <c r="Q246" s="650"/>
      <c r="R246" s="650"/>
      <c r="S246" s="650"/>
      <c r="T246" s="650"/>
      <c r="U246" s="650"/>
      <c r="V246" s="650"/>
      <c r="W246" s="650"/>
      <c r="X246" s="650"/>
      <c r="Y246" s="650"/>
      <c r="Z246" s="650"/>
      <c r="AA246" s="650"/>
      <c r="AB246" s="650"/>
      <c r="AC246" s="650"/>
      <c r="AD246" s="650"/>
      <c r="AE246" s="650"/>
      <c r="AF246" s="650"/>
      <c r="AG246" s="650"/>
      <c r="AH246" s="650"/>
      <c r="AI246" s="650" t="s">
        <v>695</v>
      </c>
      <c r="AJ246" s="650"/>
      <c r="AK246" s="650"/>
      <c r="AL246" s="650"/>
      <c r="AM246" s="650"/>
    </row>
    <row r="247" spans="1:39">
      <c r="A247" s="649" t="s">
        <v>746</v>
      </c>
      <c r="B247" s="649"/>
      <c r="C247" s="649"/>
      <c r="D247" s="649"/>
      <c r="E247" s="649"/>
      <c r="F247" s="649"/>
      <c r="G247" s="649"/>
      <c r="H247" s="649"/>
      <c r="I247" s="649"/>
      <c r="J247" s="649"/>
      <c r="K247" s="649"/>
      <c r="L247" s="649"/>
      <c r="M247" s="650" t="str">
        <f>VLOOKUP(AI247,'Inchidere contur'!$G:$U,15,FALSE)</f>
        <v>MT_OD</v>
      </c>
      <c r="N247" s="650"/>
      <c r="O247" s="650"/>
      <c r="P247" s="650"/>
      <c r="Q247" s="650"/>
      <c r="R247" s="650"/>
      <c r="S247" s="650"/>
      <c r="T247" s="650"/>
      <c r="U247" s="650"/>
      <c r="V247" s="650"/>
      <c r="W247" s="650"/>
      <c r="X247" s="650"/>
      <c r="Y247" s="650"/>
      <c r="Z247" s="650"/>
      <c r="AA247" s="650"/>
      <c r="AB247" s="650"/>
      <c r="AC247" s="650"/>
      <c r="AD247" s="650"/>
      <c r="AE247" s="650"/>
      <c r="AF247" s="650"/>
      <c r="AG247" s="650"/>
      <c r="AH247" s="650"/>
      <c r="AI247" s="619" t="str">
        <f>_xlfn.CONCAT(AA243,)</f>
        <v>RPMB_2</v>
      </c>
      <c r="AJ247" s="619"/>
      <c r="AK247" s="619"/>
      <c r="AL247" s="619"/>
      <c r="AM247" s="619"/>
    </row>
    <row r="248" spans="1:39">
      <c r="A248" s="649" t="s">
        <v>747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50" t="str">
        <f>IF(LEFT(M247,2)="JT","0.4kV",IF(LEFT(M247,2)="MT","20kV","-"))</f>
        <v>20kV</v>
      </c>
      <c r="N248" s="650"/>
      <c r="O248" s="650"/>
      <c r="P248" s="650"/>
      <c r="Q248" s="650"/>
      <c r="R248" s="650"/>
      <c r="S248" s="650"/>
      <c r="T248" s="650"/>
      <c r="U248" s="650"/>
      <c r="V248" s="650"/>
      <c r="W248" s="650"/>
      <c r="X248" s="650"/>
      <c r="Y248" s="650"/>
      <c r="Z248" s="650"/>
      <c r="AA248" s="650"/>
      <c r="AB248" s="650"/>
      <c r="AC248" s="650"/>
      <c r="AD248" s="650"/>
      <c r="AE248" s="650"/>
      <c r="AF248" s="650"/>
      <c r="AG248" s="650"/>
      <c r="AH248" s="650"/>
      <c r="AI248" s="619"/>
      <c r="AJ248" s="619"/>
      <c r="AK248" s="619"/>
      <c r="AL248" s="619"/>
      <c r="AM248" s="619"/>
    </row>
    <row r="249" spans="1:39" ht="15.95" customHeight="1">
      <c r="A249" s="648" t="s">
        <v>697</v>
      </c>
      <c r="B249" s="648"/>
      <c r="C249" s="648"/>
      <c r="D249" s="648"/>
      <c r="E249" s="648"/>
      <c r="F249" s="648"/>
      <c r="G249" s="647" t="s">
        <v>713</v>
      </c>
      <c r="H249" s="647"/>
      <c r="I249" s="647"/>
      <c r="J249" s="647" t="s">
        <v>714</v>
      </c>
      <c r="K249" s="647"/>
      <c r="L249" s="647"/>
      <c r="M249" s="648" t="s">
        <v>519</v>
      </c>
      <c r="N249" s="648"/>
      <c r="O249" s="648" t="s">
        <v>715</v>
      </c>
      <c r="P249" s="648"/>
      <c r="Q249" s="648"/>
      <c r="R249" s="647" t="s">
        <v>732</v>
      </c>
      <c r="S249" s="647"/>
      <c r="T249" s="647"/>
      <c r="U249" s="647" t="s">
        <v>734</v>
      </c>
      <c r="V249" s="647"/>
      <c r="W249" s="647"/>
      <c r="X249" s="647" t="s">
        <v>1085</v>
      </c>
      <c r="Y249" s="647"/>
      <c r="Z249" s="647"/>
      <c r="AA249" s="647" t="s">
        <v>1086</v>
      </c>
      <c r="AB249" s="647"/>
      <c r="AC249" s="647"/>
      <c r="AD249" s="647" t="s">
        <v>717</v>
      </c>
      <c r="AE249" s="647"/>
      <c r="AF249" s="647" t="s">
        <v>718</v>
      </c>
      <c r="AG249" s="647"/>
      <c r="AH249" s="647"/>
      <c r="AI249" s="647" t="s">
        <v>719</v>
      </c>
      <c r="AJ249" s="647"/>
      <c r="AK249" s="647" t="s">
        <v>733</v>
      </c>
      <c r="AL249" s="647"/>
      <c r="AM249" s="647"/>
    </row>
    <row r="250" spans="1:39">
      <c r="A250" s="648"/>
      <c r="B250" s="648"/>
      <c r="C250" s="648"/>
      <c r="D250" s="648"/>
      <c r="E250" s="648"/>
      <c r="F250" s="648"/>
      <c r="G250" s="647"/>
      <c r="H250" s="647"/>
      <c r="I250" s="647"/>
      <c r="J250" s="647"/>
      <c r="K250" s="647"/>
      <c r="L250" s="647"/>
      <c r="M250" s="648"/>
      <c r="N250" s="648"/>
      <c r="O250" s="648"/>
      <c r="P250" s="648"/>
      <c r="Q250" s="648"/>
      <c r="R250" s="647"/>
      <c r="S250" s="647"/>
      <c r="T250" s="647"/>
      <c r="U250" s="647"/>
      <c r="V250" s="647"/>
      <c r="W250" s="647"/>
      <c r="X250" s="647"/>
      <c r="Y250" s="647"/>
      <c r="Z250" s="647"/>
      <c r="AA250" s="647"/>
      <c r="AB250" s="647"/>
      <c r="AC250" s="647"/>
      <c r="AD250" s="647"/>
      <c r="AE250" s="647"/>
      <c r="AF250" s="647"/>
      <c r="AG250" s="647"/>
      <c r="AH250" s="647"/>
      <c r="AI250" s="647"/>
      <c r="AJ250" s="647"/>
      <c r="AK250" s="647"/>
      <c r="AL250" s="647"/>
      <c r="AM250" s="647"/>
    </row>
    <row r="251" spans="1:39">
      <c r="A251" s="648"/>
      <c r="B251" s="648"/>
      <c r="C251" s="648"/>
      <c r="D251" s="648"/>
      <c r="E251" s="648"/>
      <c r="F251" s="648"/>
      <c r="G251" s="647"/>
      <c r="H251" s="647"/>
      <c r="I251" s="647"/>
      <c r="J251" s="713"/>
      <c r="K251" s="713"/>
      <c r="L251" s="713"/>
      <c r="M251" s="648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78" t="str">
        <f>VLOOKUP(AI247,'Contorizare in SDI'!$E:$I,5,FALSE)</f>
        <v>20G90290210096408</v>
      </c>
      <c r="B252" s="679"/>
      <c r="C252" s="679"/>
      <c r="D252" s="679"/>
      <c r="E252" s="679"/>
      <c r="F252" s="680"/>
      <c r="G252" s="648" t="s">
        <v>730</v>
      </c>
      <c r="H252" s="648"/>
      <c r="I252" s="673"/>
      <c r="J252" s="655">
        <f>'Date masura OD'!$AK$5</f>
        <v>45748</v>
      </c>
      <c r="K252" s="656"/>
      <c r="L252" s="657"/>
      <c r="M252" s="720" t="s">
        <v>446</v>
      </c>
      <c r="N252" s="648"/>
      <c r="O252" s="648">
        <f>VLOOKUP(AI247,'Date masura OD'!$G:$BB,2,FALSE)</f>
        <v>16000</v>
      </c>
      <c r="P252" s="648"/>
      <c r="Q252" s="648"/>
      <c r="R252" s="647" t="str">
        <f>VLOOKUP(AI247,'Date masura OD'!$G:$BB,20,FALSE)&amp;" ("&amp;VLOOKUP(AI247,'Date masura OD'!$G:$BB,19,FALSE)&amp;")"</f>
        <v>113.19 (estimare)</v>
      </c>
      <c r="S252" s="647"/>
      <c r="T252" s="647"/>
      <c r="U252" s="647" t="str">
        <f>VLOOKUP(AI247,'Date masura OD'!$G:$BB,21,FALSE)&amp;" ("&amp;VLOOKUP(AI247,'Date masura OD'!$G:$BB,19,FALSE)&amp;")"</f>
        <v>116.38 (estimare)</v>
      </c>
      <c r="V252" s="647"/>
      <c r="W252" s="647"/>
      <c r="X252" s="647" t="str">
        <f>VLOOKUP(AI247,'Date masura OD'!$G:$BB,26,FALSE)&amp;" ("&amp;VLOOKUP(AI247,'Date masura OD'!$G:$BB,19,FALSE)&amp;")"</f>
        <v>51040 (estimare)</v>
      </c>
      <c r="Y252" s="647"/>
      <c r="Z252" s="647"/>
      <c r="AA252" s="647">
        <f>(-1)*VLOOKUP(AI247,'Date masura OD'!$G:$BB,26,FALSE)</f>
        <v>-51040</v>
      </c>
      <c r="AB252" s="647"/>
      <c r="AC252" s="647"/>
      <c r="AD252" s="647" t="s">
        <v>69</v>
      </c>
      <c r="AE252" s="647"/>
      <c r="AF252" s="647">
        <f>AA252</f>
        <v>-51040</v>
      </c>
      <c r="AG252" s="647"/>
      <c r="AH252" s="647"/>
      <c r="AI252" s="647" t="s">
        <v>69</v>
      </c>
      <c r="AJ252" s="647"/>
      <c r="AK252" s="647" t="s">
        <v>69</v>
      </c>
      <c r="AL252" s="647"/>
      <c r="AM252" s="647"/>
    </row>
    <row r="253" spans="1:39" ht="9.75" customHeight="1">
      <c r="A253" s="717"/>
      <c r="B253" s="718"/>
      <c r="C253" s="718"/>
      <c r="D253" s="718"/>
      <c r="E253" s="718"/>
      <c r="F253" s="719"/>
      <c r="G253" s="648"/>
      <c r="H253" s="648"/>
      <c r="I253" s="673"/>
      <c r="J253" s="717" t="s">
        <v>69</v>
      </c>
      <c r="K253" s="718"/>
      <c r="L253" s="719"/>
      <c r="M253" s="720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81"/>
      <c r="B254" s="682"/>
      <c r="C254" s="682"/>
      <c r="D254" s="682"/>
      <c r="E254" s="682"/>
      <c r="F254" s="683"/>
      <c r="G254" s="648"/>
      <c r="H254" s="648"/>
      <c r="I254" s="673"/>
      <c r="J254" s="714">
        <f>'Date masura OD'!$AL$5</f>
        <v>45777</v>
      </c>
      <c r="K254" s="715"/>
      <c r="L254" s="716"/>
      <c r="M254" s="720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78" t="str">
        <f>A252</f>
        <v>20G90290210096408</v>
      </c>
      <c r="B255" s="679"/>
      <c r="C255" s="679"/>
      <c r="D255" s="679"/>
      <c r="E255" s="679"/>
      <c r="F255" s="680"/>
      <c r="G255" s="648" t="s">
        <v>696</v>
      </c>
      <c r="H255" s="648"/>
      <c r="I255" s="648"/>
      <c r="J255" s="655">
        <f t="shared" ref="J255:J260" si="13">J252</f>
        <v>45748</v>
      </c>
      <c r="K255" s="656"/>
      <c r="L255" s="657"/>
      <c r="M255" s="648" t="s">
        <v>720</v>
      </c>
      <c r="N255" s="648"/>
      <c r="O255" s="648">
        <f>O252</f>
        <v>16000</v>
      </c>
      <c r="P255" s="648"/>
      <c r="Q255" s="648"/>
      <c r="R255" s="647" t="str">
        <f>VLOOKUP(AI247,'Date masura OD'!$G:$BB,22,FALSE)&amp;" ("&amp;VLOOKUP(AI247,'Date masura OD'!$G:$BB,19,FALSE)&amp;")"</f>
        <v>26.99 (estimare)</v>
      </c>
      <c r="S255" s="647"/>
      <c r="T255" s="647"/>
      <c r="U255" s="647" t="str">
        <f>VLOOKUP(AI247,'Date masura OD'!$G:$BB,23,FALSE)&amp;" ("&amp;VLOOKUP(AI247,'Date masura OD'!$G:$BB,19,FALSE)&amp;")"</f>
        <v>26.99 (estimare)</v>
      </c>
      <c r="V255" s="647"/>
      <c r="W255" s="647"/>
      <c r="X255" s="647" t="str">
        <f>VLOOKUP(AI247,'Date masura OD'!$G:$BB,27,FALSE)&amp;" ("&amp;VLOOKUP(AI247,'Date masura OD'!$G:$BB,19,FALSE)&amp;")"</f>
        <v>0 (estimare)</v>
      </c>
      <c r="Y255" s="647"/>
      <c r="Z255" s="647"/>
      <c r="AA255" s="647">
        <f>(-1)*VLOOKUP(AI247,'Date masura OD'!$G:$BB,27,FALSE)</f>
        <v>0</v>
      </c>
      <c r="AB255" s="647"/>
      <c r="AC255" s="647"/>
      <c r="AD255" s="647" t="s">
        <v>69</v>
      </c>
      <c r="AE255" s="647"/>
      <c r="AF255" s="647">
        <f>AA255</f>
        <v>0</v>
      </c>
      <c r="AG255" s="647"/>
      <c r="AH255" s="647"/>
      <c r="AI255" s="647" t="str">
        <f>AI252</f>
        <v>-</v>
      </c>
      <c r="AJ255" s="647"/>
      <c r="AK255" s="647" t="str">
        <f>AK252</f>
        <v>-</v>
      </c>
      <c r="AL255" s="647"/>
      <c r="AM255" s="647"/>
    </row>
    <row r="256" spans="1:39" ht="8.4499999999999993" customHeight="1">
      <c r="A256" s="717"/>
      <c r="B256" s="718"/>
      <c r="C256" s="718"/>
      <c r="D256" s="718"/>
      <c r="E256" s="718"/>
      <c r="F256" s="719"/>
      <c r="G256" s="648"/>
      <c r="H256" s="648"/>
      <c r="I256" s="648"/>
      <c r="J256" s="717" t="str">
        <f t="shared" si="13"/>
        <v>-</v>
      </c>
      <c r="K256" s="718"/>
      <c r="L256" s="719"/>
      <c r="M256" s="648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1"/>
      <c r="B257" s="682"/>
      <c r="C257" s="682"/>
      <c r="D257" s="682"/>
      <c r="E257" s="682"/>
      <c r="F257" s="683"/>
      <c r="G257" s="648"/>
      <c r="H257" s="648"/>
      <c r="I257" s="648"/>
      <c r="J257" s="714">
        <f t="shared" si="13"/>
        <v>45777</v>
      </c>
      <c r="K257" s="715"/>
      <c r="L257" s="716"/>
      <c r="M257" s="648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78" t="str">
        <f>A255</f>
        <v>20G90290210096408</v>
      </c>
      <c r="B258" s="679"/>
      <c r="C258" s="679"/>
      <c r="D258" s="679"/>
      <c r="E258" s="679"/>
      <c r="F258" s="680"/>
      <c r="G258" s="648" t="s">
        <v>731</v>
      </c>
      <c r="H258" s="648"/>
      <c r="I258" s="648"/>
      <c r="J258" s="655">
        <f t="shared" si="13"/>
        <v>45748</v>
      </c>
      <c r="K258" s="656"/>
      <c r="L258" s="657"/>
      <c r="M258" s="648" t="s">
        <v>720</v>
      </c>
      <c r="N258" s="648"/>
      <c r="O258" s="648">
        <f>O255</f>
        <v>16000</v>
      </c>
      <c r="P258" s="648"/>
      <c r="Q258" s="648"/>
      <c r="R258" s="647" t="str">
        <f>VLOOKUP(AI247,'Date masura OD'!$G:$BB,24,FALSE)&amp;" ("&amp;VLOOKUP(AI247,'Date masura OD'!$G:$BB,19,FALSE)&amp;")"</f>
        <v>12.34 (estimare)</v>
      </c>
      <c r="S258" s="647"/>
      <c r="T258" s="647"/>
      <c r="U258" s="647" t="str">
        <f>VLOOKUP(AI247,'Date masura OD'!$G:$BB,25,FALSE)&amp;" ("&amp;VLOOKUP(AI247,'Date masura OD'!$G:$BB,19,FALSE)&amp;")"</f>
        <v>12.34 (estimare)</v>
      </c>
      <c r="V258" s="647"/>
      <c r="W258" s="647"/>
      <c r="X258" s="647" t="str">
        <f>VLOOKUP(AI247,'Date masura OD'!$G:$BB,29,FALSE)&amp;" ("&amp;VLOOKUP(AI247,'Date masura OD'!$G:$BB,19,FALSE)&amp;")"</f>
        <v>0 (estimare)</v>
      </c>
      <c r="Y258" s="647"/>
      <c r="Z258" s="647"/>
      <c r="AA258" s="647">
        <f>(-1)*VLOOKUP(AI247,'Date masura OD'!$G:$BB,29,FALSE)</f>
        <v>0</v>
      </c>
      <c r="AB258" s="647"/>
      <c r="AC258" s="647"/>
      <c r="AD258" s="647" t="s">
        <v>69</v>
      </c>
      <c r="AE258" s="647"/>
      <c r="AF258" s="647">
        <f>AA258</f>
        <v>0</v>
      </c>
      <c r="AG258" s="647"/>
      <c r="AH258" s="647"/>
      <c r="AI258" s="647" t="str">
        <f>AI255</f>
        <v>-</v>
      </c>
      <c r="AJ258" s="647"/>
      <c r="AK258" s="647" t="str">
        <f>AK255</f>
        <v>-</v>
      </c>
      <c r="AL258" s="647"/>
      <c r="AM258" s="647"/>
    </row>
    <row r="259" spans="1:39" ht="8.4499999999999993" customHeight="1">
      <c r="A259" s="717"/>
      <c r="B259" s="718"/>
      <c r="C259" s="718"/>
      <c r="D259" s="718"/>
      <c r="E259" s="718"/>
      <c r="F259" s="719"/>
      <c r="G259" s="648"/>
      <c r="H259" s="648"/>
      <c r="I259" s="648"/>
      <c r="J259" s="717" t="str">
        <f t="shared" si="13"/>
        <v>-</v>
      </c>
      <c r="K259" s="718"/>
      <c r="L259" s="719"/>
      <c r="M259" s="648"/>
      <c r="N259" s="648"/>
      <c r="O259" s="648"/>
      <c r="P259" s="648"/>
      <c r="Q259" s="648"/>
      <c r="R259" s="647"/>
      <c r="S259" s="647"/>
      <c r="T259" s="647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1"/>
      <c r="B260" s="682"/>
      <c r="C260" s="682"/>
      <c r="D260" s="682"/>
      <c r="E260" s="682"/>
      <c r="F260" s="683"/>
      <c r="G260" s="648"/>
      <c r="H260" s="648"/>
      <c r="I260" s="648"/>
      <c r="J260" s="714">
        <f t="shared" si="13"/>
        <v>45777</v>
      </c>
      <c r="K260" s="715"/>
      <c r="L260" s="716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78" t="str">
        <f>A258</f>
        <v>20G90290210096408</v>
      </c>
      <c r="B261" s="679"/>
      <c r="C261" s="679"/>
      <c r="D261" s="679"/>
      <c r="E261" s="679"/>
      <c r="F261" s="680"/>
      <c r="G261" s="648" t="s">
        <v>730</v>
      </c>
      <c r="H261" s="648"/>
      <c r="I261" s="673"/>
      <c r="J261" s="655">
        <f>'Date masura OD'!$AK$5</f>
        <v>45748</v>
      </c>
      <c r="K261" s="656"/>
      <c r="L261" s="657"/>
      <c r="M261" s="720" t="s">
        <v>446</v>
      </c>
      <c r="N261" s="648"/>
      <c r="O261" s="648">
        <f>O258</f>
        <v>16000</v>
      </c>
      <c r="P261" s="648"/>
      <c r="Q261" s="648"/>
      <c r="R261" s="647" t="str">
        <f>VLOOKUP(AI247,'Date masura OD'!$G:$BB,35,FALSE)&amp;" ("&amp;VLOOKUP(AI247,'Date masura OD'!$G:$BB,33,FALSE)&amp;")"</f>
        <v>113.19 (citire)</v>
      </c>
      <c r="S261" s="647"/>
      <c r="T261" s="647"/>
      <c r="U261" s="647" t="str">
        <f>VLOOKUP(AI247,'Date masura OD'!$G:$BB,36,FALSE)&amp;" ("&amp;VLOOKUP(AI247,'Date masura OD'!$G:$BB,33,FALSE)&amp;")"</f>
        <v>116.38 (citire)</v>
      </c>
      <c r="V261" s="647"/>
      <c r="W261" s="647"/>
      <c r="X261" s="647" t="str">
        <f>VLOOKUP(AI247,'Date masura OD'!$G:$BB,41,FALSE)&amp;" ("&amp;VLOOKUP(AI247,'Date masura OD'!$G:$BB,33,FALSE)&amp;")"</f>
        <v>51040 (citire)</v>
      </c>
      <c r="Y261" s="647"/>
      <c r="Z261" s="647"/>
      <c r="AA261" s="647">
        <f>VLOOKUP(AI247,'Date masura OD'!$G:$BB,41,FALSE)</f>
        <v>51040</v>
      </c>
      <c r="AB261" s="647"/>
      <c r="AC261" s="647"/>
      <c r="AD261" s="647" t="s">
        <v>69</v>
      </c>
      <c r="AE261" s="647"/>
      <c r="AF261" s="647">
        <f>AA261</f>
        <v>51040</v>
      </c>
      <c r="AG261" s="647"/>
      <c r="AH261" s="647"/>
      <c r="AI261" s="647" t="str">
        <f>AI258</f>
        <v>-</v>
      </c>
      <c r="AJ261" s="647"/>
      <c r="AK261" s="647" t="str">
        <f>AK258</f>
        <v>-</v>
      </c>
      <c r="AL261" s="647"/>
      <c r="AM261" s="647"/>
    </row>
    <row r="262" spans="1:39" ht="8.4499999999999993" customHeight="1">
      <c r="A262" s="717"/>
      <c r="B262" s="718"/>
      <c r="C262" s="718"/>
      <c r="D262" s="718"/>
      <c r="E262" s="718"/>
      <c r="F262" s="719"/>
      <c r="G262" s="648"/>
      <c r="H262" s="648"/>
      <c r="I262" s="673"/>
      <c r="J262" s="717" t="s">
        <v>69</v>
      </c>
      <c r="K262" s="718"/>
      <c r="L262" s="719"/>
      <c r="M262" s="720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1"/>
      <c r="B263" s="682"/>
      <c r="C263" s="682"/>
      <c r="D263" s="682"/>
      <c r="E263" s="682"/>
      <c r="F263" s="683"/>
      <c r="G263" s="648"/>
      <c r="H263" s="648"/>
      <c r="I263" s="673"/>
      <c r="J263" s="714">
        <f>'Date masura OD'!$AL$5</f>
        <v>45777</v>
      </c>
      <c r="K263" s="715"/>
      <c r="L263" s="716"/>
      <c r="M263" s="720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78" t="str">
        <f>A261</f>
        <v>20G90290210096408</v>
      </c>
      <c r="B264" s="679"/>
      <c r="C264" s="679"/>
      <c r="D264" s="679"/>
      <c r="E264" s="679"/>
      <c r="F264" s="680"/>
      <c r="G264" s="648" t="s">
        <v>696</v>
      </c>
      <c r="H264" s="648"/>
      <c r="I264" s="648"/>
      <c r="J264" s="655">
        <f t="shared" ref="J264:J269" si="14">J261</f>
        <v>45748</v>
      </c>
      <c r="K264" s="656"/>
      <c r="L264" s="657"/>
      <c r="M264" s="648" t="s">
        <v>720</v>
      </c>
      <c r="N264" s="648"/>
      <c r="O264" s="648">
        <f>O261</f>
        <v>16000</v>
      </c>
      <c r="P264" s="648"/>
      <c r="Q264" s="648"/>
      <c r="R264" s="647" t="str">
        <f>VLOOKUP(AI247,'Date masura OD'!$G:$BB,37,FALSE)&amp;" ("&amp;VLOOKUP(AI247,'Date masura OD'!$G:$BB,33,FALSE)&amp;")"</f>
        <v>26.99 (citire)</v>
      </c>
      <c r="S264" s="647"/>
      <c r="T264" s="647"/>
      <c r="U264" s="647" t="str">
        <f>VLOOKUP(AI247,'Date masura OD'!$G:$BB,38,FALSE)&amp;" ("&amp;VLOOKUP(AI247,'Date masura OD'!$G:$BB,33,FALSE)&amp;")"</f>
        <v>27 (citire)</v>
      </c>
      <c r="V264" s="647"/>
      <c r="W264" s="647"/>
      <c r="X264" s="647" t="str">
        <f>VLOOKUP(AI247,'Date masura OD'!$G:$BB,42,FALSE)&amp;" ("&amp;VLOOKUP(AI247,'Date masura OD'!$G:$BB,33,FALSE)&amp;")"</f>
        <v>160 (citire)</v>
      </c>
      <c r="Y264" s="647"/>
      <c r="Z264" s="647"/>
      <c r="AA264" s="647">
        <f>VLOOKUP(AI247,'Date masura OD'!$G:$BB,42,FALSE)</f>
        <v>160</v>
      </c>
      <c r="AB264" s="647"/>
      <c r="AC264" s="647"/>
      <c r="AD264" s="647" t="s">
        <v>69</v>
      </c>
      <c r="AE264" s="647"/>
      <c r="AF264" s="647">
        <f>AA264</f>
        <v>160</v>
      </c>
      <c r="AG264" s="647"/>
      <c r="AH264" s="647"/>
      <c r="AI264" s="647" t="str">
        <f>AI261</f>
        <v>-</v>
      </c>
      <c r="AJ264" s="647"/>
      <c r="AK264" s="647" t="str">
        <f>AK261</f>
        <v>-</v>
      </c>
      <c r="AL264" s="647"/>
      <c r="AM264" s="647"/>
    </row>
    <row r="265" spans="1:39" ht="8.4499999999999993" customHeight="1">
      <c r="A265" s="717"/>
      <c r="B265" s="718"/>
      <c r="C265" s="718"/>
      <c r="D265" s="718"/>
      <c r="E265" s="718"/>
      <c r="F265" s="719"/>
      <c r="G265" s="648"/>
      <c r="H265" s="648"/>
      <c r="I265" s="648"/>
      <c r="J265" s="717" t="str">
        <f t="shared" si="14"/>
        <v>-</v>
      </c>
      <c r="K265" s="718"/>
      <c r="L265" s="719"/>
      <c r="M265" s="648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1"/>
      <c r="B266" s="682"/>
      <c r="C266" s="682"/>
      <c r="D266" s="682"/>
      <c r="E266" s="682"/>
      <c r="F266" s="683"/>
      <c r="G266" s="648"/>
      <c r="H266" s="648"/>
      <c r="I266" s="648"/>
      <c r="J266" s="714">
        <f t="shared" si="14"/>
        <v>45777</v>
      </c>
      <c r="K266" s="715"/>
      <c r="L266" s="716"/>
      <c r="M266" s="648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78" t="str">
        <f>A264</f>
        <v>20G90290210096408</v>
      </c>
      <c r="B267" s="679"/>
      <c r="C267" s="679"/>
      <c r="D267" s="679"/>
      <c r="E267" s="679"/>
      <c r="F267" s="680"/>
      <c r="G267" s="648" t="s">
        <v>731</v>
      </c>
      <c r="H267" s="648"/>
      <c r="I267" s="648"/>
      <c r="J267" s="655">
        <f t="shared" si="14"/>
        <v>45748</v>
      </c>
      <c r="K267" s="656"/>
      <c r="L267" s="657"/>
      <c r="M267" s="648" t="s">
        <v>720</v>
      </c>
      <c r="N267" s="648"/>
      <c r="O267" s="648">
        <f>O264</f>
        <v>16000</v>
      </c>
      <c r="P267" s="648"/>
      <c r="Q267" s="648"/>
      <c r="R267" s="647" t="str">
        <f>VLOOKUP(AI247,'Date masura OD'!$G:$BB,39,FALSE)&amp;" ("&amp;VLOOKUP(AI247,'Date masura OD'!$G:$BB,33,FALSE)&amp;")"</f>
        <v>12.34 (citire)</v>
      </c>
      <c r="S267" s="647"/>
      <c r="T267" s="647"/>
      <c r="U267" s="647" t="str">
        <f>VLOOKUP(AI247,'Date masura OD'!$G:$BB,40,FALSE)&amp;" ("&amp;VLOOKUP(AI247,'Date masura OD'!$G:$BB,33,FALSE)&amp;")"</f>
        <v>12.92 (citire)</v>
      </c>
      <c r="V267" s="647"/>
      <c r="W267" s="647"/>
      <c r="X267" s="647" t="str">
        <f>VLOOKUP(AI247,'Date masura OD'!$G:$BB,43,FALSE)&amp;" ("&amp;VLOOKUP(AI247,'Date masura OD'!$G:$BB,33,FALSE)&amp;")"</f>
        <v>9280 (citire)</v>
      </c>
      <c r="Y267" s="647"/>
      <c r="Z267" s="647"/>
      <c r="AA267" s="647">
        <f>VLOOKUP(AI247,'Date masura OD'!$G:$BB,43,FALSE)</f>
        <v>9280</v>
      </c>
      <c r="AB267" s="647"/>
      <c r="AC267" s="647"/>
      <c r="AD267" s="647" t="s">
        <v>69</v>
      </c>
      <c r="AE267" s="647"/>
      <c r="AF267" s="647">
        <f>AA267</f>
        <v>9280</v>
      </c>
      <c r="AG267" s="647"/>
      <c r="AH267" s="647"/>
      <c r="AI267" s="647" t="str">
        <f>AI264</f>
        <v>-</v>
      </c>
      <c r="AJ267" s="647"/>
      <c r="AK267" s="647" t="str">
        <f>AK264</f>
        <v>-</v>
      </c>
      <c r="AL267" s="647"/>
      <c r="AM267" s="647"/>
    </row>
    <row r="268" spans="1:39" ht="8.4499999999999993" customHeight="1">
      <c r="A268" s="717"/>
      <c r="B268" s="718"/>
      <c r="C268" s="718"/>
      <c r="D268" s="718"/>
      <c r="E268" s="718"/>
      <c r="F268" s="719"/>
      <c r="G268" s="648"/>
      <c r="H268" s="648"/>
      <c r="I268" s="648"/>
      <c r="J268" s="717" t="str">
        <f t="shared" si="14"/>
        <v>-</v>
      </c>
      <c r="K268" s="718"/>
      <c r="L268" s="719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1"/>
      <c r="B269" s="682"/>
      <c r="C269" s="682"/>
      <c r="D269" s="682"/>
      <c r="E269" s="682"/>
      <c r="F269" s="683"/>
      <c r="G269" s="648"/>
      <c r="H269" s="648"/>
      <c r="I269" s="648"/>
      <c r="J269" s="714">
        <f t="shared" si="14"/>
        <v>45777</v>
      </c>
      <c r="K269" s="715"/>
      <c r="L269" s="716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78" t="str">
        <f>A267</f>
        <v>20G90290210096408</v>
      </c>
      <c r="B270" s="679"/>
      <c r="C270" s="679"/>
      <c r="D270" s="679"/>
      <c r="E270" s="679"/>
      <c r="F270" s="680"/>
      <c r="G270" s="648" t="s">
        <v>730</v>
      </c>
      <c r="H270" s="648"/>
      <c r="I270" s="673"/>
      <c r="J270" s="655">
        <f>'Date masura OD'!$I$5</f>
        <v>45778</v>
      </c>
      <c r="K270" s="656"/>
      <c r="L270" s="657"/>
      <c r="M270" s="720" t="s">
        <v>446</v>
      </c>
      <c r="N270" s="648"/>
      <c r="O270" s="648">
        <f>O267</f>
        <v>16000</v>
      </c>
      <c r="P270" s="648"/>
      <c r="Q270" s="648"/>
      <c r="R270" s="647" t="str">
        <f>U261</f>
        <v>116.38 (citire)</v>
      </c>
      <c r="S270" s="647"/>
      <c r="T270" s="647"/>
      <c r="U270" s="647" t="str">
        <f>VLOOKUP(AI247,'Date masura OD'!$G:$BB,7,FALSE)&amp;" (estimat)"</f>
        <v>120.34 (estimat)</v>
      </c>
      <c r="V270" s="647"/>
      <c r="W270" s="647"/>
      <c r="X270" s="647" t="str">
        <f>VLOOKUP(AI247,'Date masura OD'!$G:$BB,12,FALSE)&amp;" (estimat)"</f>
        <v>63360 (estimat)</v>
      </c>
      <c r="Y270" s="647"/>
      <c r="Z270" s="647"/>
      <c r="AA270" s="647" t="s">
        <v>69</v>
      </c>
      <c r="AB270" s="647"/>
      <c r="AC270" s="647"/>
      <c r="AD270" s="647" t="s">
        <v>69</v>
      </c>
      <c r="AE270" s="647"/>
      <c r="AF270" s="647">
        <f>VLOOKUP(AI247,'Date masura OD'!$G:$BB,12,FALSE)</f>
        <v>63360</v>
      </c>
      <c r="AG270" s="647"/>
      <c r="AH270" s="647"/>
      <c r="AI270" s="647">
        <f>J272-J270+1</f>
        <v>31</v>
      </c>
      <c r="AJ270" s="647"/>
      <c r="AK270" s="647">
        <f>ROUND(AF270/AI270,2)</f>
        <v>2043.87</v>
      </c>
      <c r="AL270" s="647"/>
      <c r="AM270" s="647"/>
    </row>
    <row r="271" spans="1:39" ht="8.4499999999999993" customHeight="1">
      <c r="A271" s="717"/>
      <c r="B271" s="718"/>
      <c r="C271" s="718"/>
      <c r="D271" s="718"/>
      <c r="E271" s="718"/>
      <c r="F271" s="719"/>
      <c r="G271" s="648"/>
      <c r="H271" s="648"/>
      <c r="I271" s="673"/>
      <c r="J271" s="717" t="s">
        <v>69</v>
      </c>
      <c r="K271" s="718"/>
      <c r="L271" s="719"/>
      <c r="M271" s="720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>
      <c r="A272" s="681"/>
      <c r="B272" s="682"/>
      <c r="C272" s="682"/>
      <c r="D272" s="682"/>
      <c r="E272" s="682"/>
      <c r="F272" s="683"/>
      <c r="G272" s="648"/>
      <c r="H272" s="648"/>
      <c r="I272" s="673"/>
      <c r="J272" s="714">
        <f>'Date masura OD'!$J$5</f>
        <v>45808</v>
      </c>
      <c r="K272" s="715"/>
      <c r="L272" s="716"/>
      <c r="M272" s="720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spans="1:39" ht="14.1" customHeight="1">
      <c r="A273" s="678" t="str">
        <f>A270</f>
        <v>20G90290210096408</v>
      </c>
      <c r="B273" s="679"/>
      <c r="C273" s="679"/>
      <c r="D273" s="679"/>
      <c r="E273" s="679"/>
      <c r="F273" s="680"/>
      <c r="G273" s="648" t="s">
        <v>696</v>
      </c>
      <c r="H273" s="648"/>
      <c r="I273" s="648"/>
      <c r="J273" s="655">
        <f t="shared" ref="J273:J278" si="15">J270</f>
        <v>45778</v>
      </c>
      <c r="K273" s="656"/>
      <c r="L273" s="657"/>
      <c r="M273" s="648" t="s">
        <v>720</v>
      </c>
      <c r="N273" s="648"/>
      <c r="O273" s="648">
        <f>O270</f>
        <v>16000</v>
      </c>
      <c r="P273" s="648"/>
      <c r="Q273" s="648"/>
      <c r="R273" s="647" t="str">
        <f>U264</f>
        <v>27 (citire)</v>
      </c>
      <c r="S273" s="647"/>
      <c r="T273" s="647"/>
      <c r="U273" s="647" t="str">
        <f>VLOOKUP(AI247,'Date masura OD'!$G:$BB,9,FALSE)&amp;" (estimat)"</f>
        <v>27 (estimat)</v>
      </c>
      <c r="V273" s="647"/>
      <c r="W273" s="647"/>
      <c r="X273" s="647" t="str">
        <f>VLOOKUP(AI247,'Date masura OD'!$G:$BB,13,FALSE)&amp;" (estimat)"</f>
        <v>0 (estimat)</v>
      </c>
      <c r="Y273" s="647"/>
      <c r="Z273" s="647"/>
      <c r="AA273" s="647" t="s">
        <v>69</v>
      </c>
      <c r="AB273" s="647"/>
      <c r="AC273" s="647"/>
      <c r="AD273" s="647" t="s">
        <v>69</v>
      </c>
      <c r="AE273" s="647"/>
      <c r="AF273" s="647">
        <f>VLOOKUP(AI247,'Date masura OD'!$G:$BB,13,FALSE)</f>
        <v>0</v>
      </c>
      <c r="AG273" s="647"/>
      <c r="AH273" s="647"/>
      <c r="AI273" s="647">
        <f>AI270</f>
        <v>31</v>
      </c>
      <c r="AJ273" s="647"/>
      <c r="AK273" s="647">
        <f>ROUND(AF273/AI273,2)</f>
        <v>0</v>
      </c>
      <c r="AL273" s="647"/>
      <c r="AM273" s="647"/>
    </row>
    <row r="274" spans="1:39" ht="8.4499999999999993" customHeight="1">
      <c r="A274" s="717"/>
      <c r="B274" s="718"/>
      <c r="C274" s="718"/>
      <c r="D274" s="718"/>
      <c r="E274" s="718"/>
      <c r="F274" s="719"/>
      <c r="G274" s="648"/>
      <c r="H274" s="648"/>
      <c r="I274" s="648"/>
      <c r="J274" s="717" t="str">
        <f t="shared" si="15"/>
        <v>-</v>
      </c>
      <c r="K274" s="718"/>
      <c r="L274" s="719"/>
      <c r="M274" s="648"/>
      <c r="N274" s="648"/>
      <c r="O274" s="648"/>
      <c r="P274" s="648"/>
      <c r="Q274" s="648"/>
      <c r="R274" s="647"/>
      <c r="S274" s="647"/>
      <c r="T274" s="647"/>
      <c r="U274" s="647"/>
      <c r="V274" s="647"/>
      <c r="W274" s="647"/>
      <c r="X274" s="647"/>
      <c r="Y274" s="647"/>
      <c r="Z274" s="647"/>
      <c r="AA274" s="647"/>
      <c r="AB274" s="647"/>
      <c r="AC274" s="647"/>
      <c r="AD274" s="647"/>
      <c r="AE274" s="647"/>
      <c r="AF274" s="647"/>
      <c r="AG274" s="647"/>
      <c r="AH274" s="647"/>
      <c r="AI274" s="647"/>
      <c r="AJ274" s="647"/>
      <c r="AK274" s="647"/>
      <c r="AL274" s="647"/>
      <c r="AM274" s="647"/>
    </row>
    <row r="275" spans="1:39" ht="14.1" customHeight="1">
      <c r="A275" s="681"/>
      <c r="B275" s="682"/>
      <c r="C275" s="682"/>
      <c r="D275" s="682"/>
      <c r="E275" s="682"/>
      <c r="F275" s="683"/>
      <c r="G275" s="648"/>
      <c r="H275" s="648"/>
      <c r="I275" s="648"/>
      <c r="J275" s="714">
        <f t="shared" si="15"/>
        <v>45808</v>
      </c>
      <c r="K275" s="715"/>
      <c r="L275" s="716"/>
      <c r="M275" s="648"/>
      <c r="N275" s="648"/>
      <c r="O275" s="648"/>
      <c r="P275" s="648"/>
      <c r="Q275" s="648"/>
      <c r="R275" s="647"/>
      <c r="S275" s="647"/>
      <c r="T275" s="647"/>
      <c r="U275" s="647"/>
      <c r="V275" s="647"/>
      <c r="W275" s="647"/>
      <c r="X275" s="647"/>
      <c r="Y275" s="647"/>
      <c r="Z275" s="647"/>
      <c r="AA275" s="647"/>
      <c r="AB275" s="647"/>
      <c r="AC275" s="647"/>
      <c r="AD275" s="647"/>
      <c r="AE275" s="647"/>
      <c r="AF275" s="647"/>
      <c r="AG275" s="647"/>
      <c r="AH275" s="647"/>
      <c r="AI275" s="647"/>
      <c r="AJ275" s="647"/>
      <c r="AK275" s="647"/>
      <c r="AL275" s="647"/>
      <c r="AM275" s="647"/>
    </row>
    <row r="276" spans="1:39" ht="14.1" customHeight="1">
      <c r="A276" s="678" t="str">
        <f>A273</f>
        <v>20G90290210096408</v>
      </c>
      <c r="B276" s="679"/>
      <c r="C276" s="679"/>
      <c r="D276" s="679"/>
      <c r="E276" s="679"/>
      <c r="F276" s="680"/>
      <c r="G276" s="648" t="s">
        <v>731</v>
      </c>
      <c r="H276" s="648"/>
      <c r="I276" s="648"/>
      <c r="J276" s="655">
        <f t="shared" si="15"/>
        <v>45778</v>
      </c>
      <c r="K276" s="656"/>
      <c r="L276" s="657"/>
      <c r="M276" s="648" t="s">
        <v>720</v>
      </c>
      <c r="N276" s="648"/>
      <c r="O276" s="648">
        <f>O273</f>
        <v>16000</v>
      </c>
      <c r="P276" s="648"/>
      <c r="Q276" s="648"/>
      <c r="R276" s="647" t="str">
        <f>U267</f>
        <v>12.92 (citire)</v>
      </c>
      <c r="S276" s="647"/>
      <c r="T276" s="647"/>
      <c r="U276" s="647" t="str">
        <f>VLOOKUP(AI247,'Date masura OD'!$G:$BB,11,FALSE)&amp;" (estimat)"</f>
        <v>12.92 (estimat)</v>
      </c>
      <c r="V276" s="647"/>
      <c r="W276" s="647"/>
      <c r="X276" s="647" t="str">
        <f>VLOOKUP(AI247,'Date masura OD'!$G:$BB,15,FALSE)&amp;" (estimat)"</f>
        <v>0 (estimat)</v>
      </c>
      <c r="Y276" s="647"/>
      <c r="Z276" s="647"/>
      <c r="AA276" s="647" t="s">
        <v>69</v>
      </c>
      <c r="AB276" s="647"/>
      <c r="AC276" s="647"/>
      <c r="AD276" s="647" t="s">
        <v>69</v>
      </c>
      <c r="AE276" s="647"/>
      <c r="AF276" s="647">
        <f>VLOOKUP(AI247,'Date masura OD'!$G:$BB,15,FALSE)</f>
        <v>0</v>
      </c>
      <c r="AG276" s="647"/>
      <c r="AH276" s="647"/>
      <c r="AI276" s="647">
        <f>AI273</f>
        <v>31</v>
      </c>
      <c r="AJ276" s="647"/>
      <c r="AK276" s="647">
        <f>ROUND(AF276/AI276,2)</f>
        <v>0</v>
      </c>
      <c r="AL276" s="647"/>
      <c r="AM276" s="647"/>
    </row>
    <row r="277" spans="1:39" ht="8.4499999999999993" customHeight="1">
      <c r="A277" s="717"/>
      <c r="B277" s="718"/>
      <c r="C277" s="718"/>
      <c r="D277" s="718"/>
      <c r="E277" s="718"/>
      <c r="F277" s="719"/>
      <c r="G277" s="648"/>
      <c r="H277" s="648"/>
      <c r="I277" s="648"/>
      <c r="J277" s="717" t="str">
        <f t="shared" si="15"/>
        <v>-</v>
      </c>
      <c r="K277" s="718"/>
      <c r="L277" s="719"/>
      <c r="M277" s="648"/>
      <c r="N277" s="648"/>
      <c r="O277" s="648"/>
      <c r="P277" s="648"/>
      <c r="Q277" s="648"/>
      <c r="R277" s="647"/>
      <c r="S277" s="647"/>
      <c r="T277" s="647"/>
      <c r="U277" s="647"/>
      <c r="V277" s="647"/>
      <c r="W277" s="647"/>
      <c r="X277" s="647"/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647"/>
      <c r="AL277" s="647"/>
      <c r="AM277" s="647"/>
    </row>
    <row r="278" spans="1:39" ht="14.1" customHeight="1">
      <c r="A278" s="681"/>
      <c r="B278" s="682"/>
      <c r="C278" s="682"/>
      <c r="D278" s="682"/>
      <c r="E278" s="682"/>
      <c r="F278" s="683"/>
      <c r="G278" s="648"/>
      <c r="H278" s="648"/>
      <c r="I278" s="648"/>
      <c r="J278" s="714">
        <f t="shared" si="15"/>
        <v>45808</v>
      </c>
      <c r="K278" s="715"/>
      <c r="L278" s="716"/>
      <c r="M278" s="648"/>
      <c r="N278" s="648"/>
      <c r="O278" s="648"/>
      <c r="P278" s="648"/>
      <c r="Q278" s="648"/>
      <c r="R278" s="647"/>
      <c r="S278" s="647"/>
      <c r="T278" s="647"/>
      <c r="U278" s="647"/>
      <c r="V278" s="647"/>
      <c r="W278" s="647"/>
      <c r="X278" s="647"/>
      <c r="Y278" s="647"/>
      <c r="Z278" s="647"/>
      <c r="AA278" s="647"/>
      <c r="AB278" s="647"/>
      <c r="AC278" s="647"/>
      <c r="AD278" s="647"/>
      <c r="AE278" s="647"/>
      <c r="AF278" s="647"/>
      <c r="AG278" s="647"/>
      <c r="AH278" s="647"/>
      <c r="AI278" s="647"/>
      <c r="AJ278" s="647"/>
      <c r="AK278" s="647"/>
      <c r="AL278" s="647"/>
      <c r="AM278" s="647"/>
    </row>
    <row r="279" spans="1:39" ht="14.1" customHeight="1"/>
    <row r="280" spans="1:39" ht="14.1" customHeight="1"/>
    <row r="281" spans="1:39" ht="14.1" customHeight="1"/>
    <row r="282" spans="1:39" ht="14.1" customHeight="1"/>
    <row r="283" spans="1:39" ht="14.1" customHeight="1"/>
    <row r="284" spans="1:39" ht="14.1" customHeight="1"/>
    <row r="285" spans="1:39" ht="14.1" customHeight="1"/>
    <row r="286" spans="1:39" ht="14.1" customHeight="1"/>
    <row r="287" spans="1:39" ht="14.1" customHeight="1"/>
    <row r="288" spans="1:39" ht="14.1" customHeight="1"/>
    <row r="289" spans="1:39" ht="14.1" customHeight="1"/>
    <row r="290" spans="1:39" ht="14.1" customHeight="1"/>
    <row r="291" spans="1:39" ht="14.1" customHeight="1"/>
    <row r="292" spans="1:39" ht="14.1" customHeight="1"/>
    <row r="293" spans="1:39" ht="14.1" customHeight="1"/>
    <row r="294" spans="1:39" ht="14.1" customHeight="1">
      <c r="A294" s="695" t="s">
        <v>858</v>
      </c>
      <c r="B294" s="695"/>
      <c r="C294" s="695"/>
      <c r="D294" s="695"/>
      <c r="E294" s="695"/>
      <c r="F294" s="695"/>
      <c r="G294" s="695"/>
      <c r="H294" s="695" t="str">
        <f>VLOOKUP($AA$15,'Date SPV'!$B:$H,4,FALSE)</f>
        <v>Calea Floreasca, nr. 224-246, Sector 1, Bucuresti</v>
      </c>
      <c r="I294" s="695"/>
      <c r="J294" s="695"/>
      <c r="K294" s="695"/>
      <c r="L294" s="695"/>
      <c r="M294" s="695"/>
      <c r="N294" s="695"/>
      <c r="O294" s="695"/>
      <c r="P294" s="695"/>
      <c r="Q294" s="695"/>
      <c r="R294" s="695"/>
      <c r="S294" s="695"/>
      <c r="T294" s="695"/>
      <c r="U294" s="695"/>
      <c r="V294" s="695"/>
      <c r="W294" s="695"/>
      <c r="X294" s="695"/>
      <c r="Y294" s="695"/>
      <c r="Z294" s="695"/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</row>
    <row r="295" spans="1:39" ht="14.1" customHeight="1">
      <c r="A295" s="695"/>
      <c r="B295" s="695"/>
      <c r="C295" s="695"/>
      <c r="D295" s="695"/>
      <c r="E295" s="695"/>
      <c r="F295" s="695"/>
      <c r="G295" s="695"/>
      <c r="H295" s="695"/>
      <c r="I295" s="695"/>
      <c r="J295" s="695"/>
      <c r="K295" s="695"/>
      <c r="L295" s="695"/>
      <c r="M295" s="695"/>
      <c r="N295" s="695"/>
      <c r="O295" s="695"/>
      <c r="P295" s="695"/>
      <c r="Q295" s="695"/>
      <c r="R295" s="695"/>
      <c r="S295" s="695"/>
      <c r="T295" s="695"/>
      <c r="U295" s="695"/>
      <c r="V295" s="695"/>
      <c r="W295" s="695"/>
      <c r="X295" s="695"/>
      <c r="Y295" s="695"/>
      <c r="Z295" s="695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</row>
    <row r="296" spans="1:39" ht="14.1" customHeight="1">
      <c r="A296" s="695" t="s">
        <v>859</v>
      </c>
      <c r="B296" s="695"/>
      <c r="C296" s="695"/>
      <c r="D296" s="695"/>
      <c r="E296" s="695"/>
      <c r="F296" s="695"/>
      <c r="G296" s="695"/>
      <c r="H296" s="712">
        <f>VLOOKUP(AA296,'Date masura OD'!$G:$BE,51,FALSE)</f>
        <v>5000581240</v>
      </c>
      <c r="I296" s="712"/>
      <c r="J296" s="712"/>
      <c r="K296" s="712"/>
      <c r="L296" s="712"/>
      <c r="M296" s="712"/>
      <c r="N296" s="712"/>
      <c r="O296" s="712"/>
      <c r="P296" s="712"/>
      <c r="Q296" s="712"/>
      <c r="R296" s="712"/>
      <c r="S296" s="712"/>
      <c r="T296" s="712"/>
      <c r="U296" s="712"/>
      <c r="V296" s="712"/>
      <c r="W296" s="712" t="s">
        <v>860</v>
      </c>
      <c r="X296" s="712"/>
      <c r="Y296" s="712"/>
      <c r="Z296" s="712"/>
      <c r="AA296" s="640" t="str">
        <f>_xlfn.CONCAT($AA$15,"_",3)</f>
        <v>RPMB_3</v>
      </c>
      <c r="AB296" s="640"/>
      <c r="AC296" s="640"/>
      <c r="AD296" s="640"/>
      <c r="AE296" s="640"/>
      <c r="AF296" s="640"/>
      <c r="AG296" s="640"/>
      <c r="AH296" s="640"/>
      <c r="AI296" s="640"/>
      <c r="AJ296" s="640"/>
      <c r="AK296" s="640"/>
      <c r="AL296" s="640"/>
      <c r="AM296" s="640"/>
    </row>
    <row r="297" spans="1:39" ht="14.1" customHeight="1">
      <c r="A297" s="695"/>
      <c r="B297" s="695"/>
      <c r="C297" s="695"/>
      <c r="D297" s="695"/>
      <c r="E297" s="695"/>
      <c r="F297" s="695"/>
      <c r="G297" s="695"/>
      <c r="H297" s="712"/>
      <c r="I297" s="712"/>
      <c r="J297" s="712"/>
      <c r="K297" s="712"/>
      <c r="L297" s="712"/>
      <c r="M297" s="712"/>
      <c r="N297" s="712"/>
      <c r="O297" s="712"/>
      <c r="P297" s="712"/>
      <c r="Q297" s="712"/>
      <c r="R297" s="712"/>
      <c r="S297" s="712"/>
      <c r="T297" s="712"/>
      <c r="U297" s="712"/>
      <c r="V297" s="712"/>
      <c r="W297" s="712"/>
      <c r="X297" s="712"/>
      <c r="Y297" s="712"/>
      <c r="Z297" s="712"/>
      <c r="AA297" s="640"/>
      <c r="AB297" s="640"/>
      <c r="AC297" s="640"/>
      <c r="AD297" s="640"/>
      <c r="AE297" s="640"/>
      <c r="AF297" s="640"/>
      <c r="AG297" s="640"/>
      <c r="AH297" s="640"/>
      <c r="AI297" s="640"/>
      <c r="AJ297" s="640"/>
      <c r="AK297" s="640"/>
      <c r="AL297" s="640"/>
      <c r="AM297" s="640"/>
    </row>
    <row r="299" spans="1:39">
      <c r="A299" s="649" t="s">
        <v>748</v>
      </c>
      <c r="B299" s="649"/>
      <c r="C299" s="649"/>
      <c r="D299" s="649"/>
      <c r="E299" s="649"/>
      <c r="F299" s="649"/>
      <c r="G299" s="649"/>
      <c r="H299" s="649"/>
      <c r="I299" s="649"/>
      <c r="J299" s="649"/>
      <c r="K299" s="649"/>
      <c r="L299" s="649"/>
      <c r="M299" s="650" t="str">
        <f>VLOOKUP(AI300,'Contorizare in SDI'!$E:$I,4,FALSE)</f>
        <v>RO001E110785943</v>
      </c>
      <c r="N299" s="650"/>
      <c r="O299" s="650"/>
      <c r="P299" s="650"/>
      <c r="Q299" s="650"/>
      <c r="R299" s="650"/>
      <c r="S299" s="650"/>
      <c r="T299" s="650"/>
      <c r="U299" s="650"/>
      <c r="V299" s="650"/>
      <c r="W299" s="650"/>
      <c r="X299" s="650"/>
      <c r="Y299" s="650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50" t="s">
        <v>695</v>
      </c>
      <c r="AJ299" s="650"/>
      <c r="AK299" s="650"/>
      <c r="AL299" s="650"/>
      <c r="AM299" s="650"/>
    </row>
    <row r="300" spans="1:39">
      <c r="A300" s="649" t="s">
        <v>746</v>
      </c>
      <c r="B300" s="649"/>
      <c r="C300" s="649"/>
      <c r="D300" s="649"/>
      <c r="E300" s="649"/>
      <c r="F300" s="649"/>
      <c r="G300" s="649"/>
      <c r="H300" s="649"/>
      <c r="I300" s="649"/>
      <c r="J300" s="649"/>
      <c r="K300" s="649"/>
      <c r="L300" s="649"/>
      <c r="M300" s="650" t="str">
        <f>VLOOKUP(AI300,'Inchidere contur'!$G:$U,15,FALSE)</f>
        <v>JT_OD</v>
      </c>
      <c r="N300" s="650"/>
      <c r="O300" s="650"/>
      <c r="P300" s="650"/>
      <c r="Q300" s="650"/>
      <c r="R300" s="650"/>
      <c r="S300" s="650"/>
      <c r="T300" s="650"/>
      <c r="U300" s="650"/>
      <c r="V300" s="650"/>
      <c r="W300" s="650"/>
      <c r="X300" s="650"/>
      <c r="Y300" s="650"/>
      <c r="Z300" s="650"/>
      <c r="AA300" s="650"/>
      <c r="AB300" s="650"/>
      <c r="AC300" s="650"/>
      <c r="AD300" s="650"/>
      <c r="AE300" s="650"/>
      <c r="AF300" s="650"/>
      <c r="AG300" s="650"/>
      <c r="AH300" s="650"/>
      <c r="AI300" s="619" t="str">
        <f>_xlfn.CONCAT(AA296)</f>
        <v>RPMB_3</v>
      </c>
      <c r="AJ300" s="619"/>
      <c r="AK300" s="619"/>
      <c r="AL300" s="619"/>
      <c r="AM300" s="619"/>
    </row>
    <row r="301" spans="1:39">
      <c r="A301" s="649" t="s">
        <v>747</v>
      </c>
      <c r="B301" s="649"/>
      <c r="C301" s="649"/>
      <c r="D301" s="649"/>
      <c r="E301" s="649"/>
      <c r="F301" s="649"/>
      <c r="G301" s="649"/>
      <c r="H301" s="649"/>
      <c r="I301" s="649"/>
      <c r="J301" s="649"/>
      <c r="K301" s="649"/>
      <c r="L301" s="649"/>
      <c r="M301" s="650" t="str">
        <f>IF(LEFT(M300,2)="JT","0.4kV",IF(LEFT(M300,2)="MT","20kV","-"))</f>
        <v>0.4kV</v>
      </c>
      <c r="N301" s="650"/>
      <c r="O301" s="650"/>
      <c r="P301" s="650"/>
      <c r="Q301" s="650"/>
      <c r="R301" s="650"/>
      <c r="S301" s="650"/>
      <c r="T301" s="650"/>
      <c r="U301" s="650"/>
      <c r="V301" s="650"/>
      <c r="W301" s="650"/>
      <c r="X301" s="650"/>
      <c r="Y301" s="650"/>
      <c r="Z301" s="650"/>
      <c r="AA301" s="650"/>
      <c r="AB301" s="650"/>
      <c r="AC301" s="650"/>
      <c r="AD301" s="650"/>
      <c r="AE301" s="650"/>
      <c r="AF301" s="650"/>
      <c r="AG301" s="650"/>
      <c r="AH301" s="650"/>
      <c r="AI301" s="619"/>
      <c r="AJ301" s="619"/>
      <c r="AK301" s="619"/>
      <c r="AL301" s="619"/>
      <c r="AM301" s="619"/>
    </row>
    <row r="302" spans="1:39" ht="15.95" customHeight="1">
      <c r="A302" s="648" t="s">
        <v>697</v>
      </c>
      <c r="B302" s="648"/>
      <c r="C302" s="648"/>
      <c r="D302" s="648"/>
      <c r="E302" s="648"/>
      <c r="F302" s="648"/>
      <c r="G302" s="647" t="s">
        <v>713</v>
      </c>
      <c r="H302" s="647"/>
      <c r="I302" s="647"/>
      <c r="J302" s="647" t="s">
        <v>714</v>
      </c>
      <c r="K302" s="647"/>
      <c r="L302" s="647"/>
      <c r="M302" s="648" t="s">
        <v>519</v>
      </c>
      <c r="N302" s="648"/>
      <c r="O302" s="648" t="s">
        <v>715</v>
      </c>
      <c r="P302" s="648"/>
      <c r="Q302" s="648"/>
      <c r="R302" s="647" t="s">
        <v>732</v>
      </c>
      <c r="S302" s="647"/>
      <c r="T302" s="647"/>
      <c r="U302" s="647" t="s">
        <v>734</v>
      </c>
      <c r="V302" s="647"/>
      <c r="W302" s="647"/>
      <c r="X302" s="647" t="s">
        <v>1085</v>
      </c>
      <c r="Y302" s="647"/>
      <c r="Z302" s="647"/>
      <c r="AA302" s="647" t="s">
        <v>1086</v>
      </c>
      <c r="AB302" s="647"/>
      <c r="AC302" s="647"/>
      <c r="AD302" s="647" t="s">
        <v>717</v>
      </c>
      <c r="AE302" s="647"/>
      <c r="AF302" s="647" t="s">
        <v>718</v>
      </c>
      <c r="AG302" s="647"/>
      <c r="AH302" s="647"/>
      <c r="AI302" s="647" t="s">
        <v>719</v>
      </c>
      <c r="AJ302" s="647"/>
      <c r="AK302" s="647" t="s">
        <v>733</v>
      </c>
      <c r="AL302" s="647"/>
      <c r="AM302" s="647"/>
    </row>
    <row r="303" spans="1:39">
      <c r="A303" s="648"/>
      <c r="B303" s="648"/>
      <c r="C303" s="648"/>
      <c r="D303" s="648"/>
      <c r="E303" s="648"/>
      <c r="F303" s="648"/>
      <c r="G303" s="647"/>
      <c r="H303" s="647"/>
      <c r="I303" s="647"/>
      <c r="J303" s="647"/>
      <c r="K303" s="647"/>
      <c r="L303" s="647"/>
      <c r="M303" s="648"/>
      <c r="N303" s="648"/>
      <c r="O303" s="648"/>
      <c r="P303" s="648"/>
      <c r="Q303" s="648"/>
      <c r="R303" s="647"/>
      <c r="S303" s="647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</row>
    <row r="304" spans="1:39">
      <c r="A304" s="648"/>
      <c r="B304" s="648"/>
      <c r="C304" s="648"/>
      <c r="D304" s="648"/>
      <c r="E304" s="648"/>
      <c r="F304" s="648"/>
      <c r="G304" s="647"/>
      <c r="H304" s="647"/>
      <c r="I304" s="647"/>
      <c r="J304" s="713"/>
      <c r="K304" s="713"/>
      <c r="L304" s="713"/>
      <c r="M304" s="648"/>
      <c r="N304" s="648"/>
      <c r="O304" s="648"/>
      <c r="P304" s="648"/>
      <c r="Q304" s="648"/>
      <c r="R304" s="647"/>
      <c r="S304" s="647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647"/>
      <c r="AG304" s="647"/>
      <c r="AH304" s="647"/>
      <c r="AI304" s="647"/>
      <c r="AJ304" s="647"/>
      <c r="AK304" s="647"/>
      <c r="AL304" s="647"/>
      <c r="AM304" s="647"/>
    </row>
    <row r="305" spans="1:39" ht="14.1" customHeight="1">
      <c r="A305" s="678" t="str">
        <f>VLOOKUP(AI300,'Contorizare in SDI'!$E:$I,5,FALSE)</f>
        <v>UCEUEDN18 510058547</v>
      </c>
      <c r="B305" s="679"/>
      <c r="C305" s="679"/>
      <c r="D305" s="679"/>
      <c r="E305" s="679"/>
      <c r="F305" s="680"/>
      <c r="G305" s="648" t="s">
        <v>730</v>
      </c>
      <c r="H305" s="648"/>
      <c r="I305" s="673"/>
      <c r="J305" s="655">
        <f>'Date masura OD'!$AK$5</f>
        <v>45748</v>
      </c>
      <c r="K305" s="656"/>
      <c r="L305" s="657"/>
      <c r="M305" s="720" t="s">
        <v>446</v>
      </c>
      <c r="N305" s="648"/>
      <c r="O305" s="648">
        <f>VLOOKUP(AI300,'Date masura OD'!$G:$BB,2,FALSE)</f>
        <v>1</v>
      </c>
      <c r="P305" s="648"/>
      <c r="Q305" s="648"/>
      <c r="R305" s="647" t="str">
        <f>VLOOKUP(AI300,'Date masura OD'!$G:$BB,20,FALSE)&amp;" ("&amp;VLOOKUP(AI300,'Date masura OD'!$G:$BB,19,FALSE)&amp;")"</f>
        <v>39578 (estimare)</v>
      </c>
      <c r="S305" s="647"/>
      <c r="T305" s="647"/>
      <c r="U305" s="647" t="str">
        <f>VLOOKUP(AI300,'Date masura OD'!$G:$BB,21,FALSE)&amp;" ("&amp;VLOOKUP(AI300,'Date masura OD'!$G:$BB,19,FALSE)&amp;")"</f>
        <v>40186 (estimare)</v>
      </c>
      <c r="V305" s="647"/>
      <c r="W305" s="647"/>
      <c r="X305" s="647" t="str">
        <f>VLOOKUP(AI300,'Date masura OD'!$G:$BB,26,FALSE)&amp;" ("&amp;VLOOKUP(AI300,'Date masura OD'!$G:$BB,19,FALSE)&amp;")"</f>
        <v>608 (estimare)</v>
      </c>
      <c r="Y305" s="647"/>
      <c r="Z305" s="647"/>
      <c r="AA305" s="647">
        <f>(-1)*VLOOKUP(AI300,'Date masura OD'!$G:$BB,26,FALSE)</f>
        <v>-608</v>
      </c>
      <c r="AB305" s="647"/>
      <c r="AC305" s="647"/>
      <c r="AD305" s="647" t="s">
        <v>69</v>
      </c>
      <c r="AE305" s="647"/>
      <c r="AF305" s="647">
        <f>AA305</f>
        <v>-608</v>
      </c>
      <c r="AG305" s="647"/>
      <c r="AH305" s="647"/>
      <c r="AI305" s="647" t="s">
        <v>69</v>
      </c>
      <c r="AJ305" s="647"/>
      <c r="AK305" s="647" t="s">
        <v>69</v>
      </c>
      <c r="AL305" s="647"/>
      <c r="AM305" s="647"/>
    </row>
    <row r="306" spans="1:39" ht="9.75" customHeight="1">
      <c r="A306" s="717"/>
      <c r="B306" s="718"/>
      <c r="C306" s="718"/>
      <c r="D306" s="718"/>
      <c r="E306" s="718"/>
      <c r="F306" s="719"/>
      <c r="G306" s="648"/>
      <c r="H306" s="648"/>
      <c r="I306" s="673"/>
      <c r="J306" s="717" t="s">
        <v>69</v>
      </c>
      <c r="K306" s="718"/>
      <c r="L306" s="719"/>
      <c r="M306" s="720"/>
      <c r="N306" s="648"/>
      <c r="O306" s="648"/>
      <c r="P306" s="648"/>
      <c r="Q306" s="648"/>
      <c r="R306" s="647"/>
      <c r="S306" s="647"/>
      <c r="T306" s="647"/>
      <c r="U306" s="647"/>
      <c r="V306" s="647"/>
      <c r="W306" s="647"/>
      <c r="X306" s="647"/>
      <c r="Y306" s="647"/>
      <c r="Z306" s="647"/>
      <c r="AA306" s="647"/>
      <c r="AB306" s="647"/>
      <c r="AC306" s="647"/>
      <c r="AD306" s="647"/>
      <c r="AE306" s="647"/>
      <c r="AF306" s="647"/>
      <c r="AG306" s="647"/>
      <c r="AH306" s="647"/>
      <c r="AI306" s="647"/>
      <c r="AJ306" s="647"/>
      <c r="AK306" s="647"/>
      <c r="AL306" s="647"/>
      <c r="AM306" s="647"/>
    </row>
    <row r="307" spans="1:39" ht="14.1" customHeight="1">
      <c r="A307" s="681"/>
      <c r="B307" s="682"/>
      <c r="C307" s="682"/>
      <c r="D307" s="682"/>
      <c r="E307" s="682"/>
      <c r="F307" s="683"/>
      <c r="G307" s="648"/>
      <c r="H307" s="648"/>
      <c r="I307" s="673"/>
      <c r="J307" s="714">
        <f>'Date masura OD'!$AL$5</f>
        <v>45777</v>
      </c>
      <c r="K307" s="715"/>
      <c r="L307" s="716"/>
      <c r="M307" s="720"/>
      <c r="N307" s="648"/>
      <c r="O307" s="648"/>
      <c r="P307" s="648"/>
      <c r="Q307" s="648"/>
      <c r="R307" s="647"/>
      <c r="S307" s="647"/>
      <c r="T307" s="647"/>
      <c r="U307" s="647"/>
      <c r="V307" s="647"/>
      <c r="W307" s="647"/>
      <c r="X307" s="647"/>
      <c r="Y307" s="647"/>
      <c r="Z307" s="647"/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</row>
    <row r="308" spans="1:39" ht="14.1" customHeight="1">
      <c r="A308" s="678" t="str">
        <f>A305</f>
        <v>UCEUEDN18 510058547</v>
      </c>
      <c r="B308" s="679"/>
      <c r="C308" s="679"/>
      <c r="D308" s="679"/>
      <c r="E308" s="679"/>
      <c r="F308" s="680"/>
      <c r="G308" s="648" t="s">
        <v>696</v>
      </c>
      <c r="H308" s="648"/>
      <c r="I308" s="648"/>
      <c r="J308" s="655">
        <f t="shared" ref="J308:J313" si="16">J305</f>
        <v>45748</v>
      </c>
      <c r="K308" s="656"/>
      <c r="L308" s="657"/>
      <c r="M308" s="648" t="s">
        <v>720</v>
      </c>
      <c r="N308" s="648"/>
      <c r="O308" s="648">
        <f>O305</f>
        <v>1</v>
      </c>
      <c r="P308" s="648"/>
      <c r="Q308" s="648"/>
      <c r="R308" s="647" t="str">
        <f>VLOOKUP(AI300,'Date masura OD'!$G:$BB,22,FALSE)&amp;" ("&amp;VLOOKUP(AI300,'Date masura OD'!$G:$BB,19,FALSE)&amp;")"</f>
        <v>110 (estimare)</v>
      </c>
      <c r="S308" s="647"/>
      <c r="T308" s="647"/>
      <c r="U308" s="647" t="str">
        <f>VLOOKUP(AI300,'Date masura OD'!$G:$BB,23,FALSE)&amp;" ("&amp;VLOOKUP(AI300,'Date masura OD'!$G:$BB,19,FALSE)&amp;")"</f>
        <v>110 (estimare)</v>
      </c>
      <c r="V308" s="647"/>
      <c r="W308" s="647"/>
      <c r="X308" s="647" t="str">
        <f>VLOOKUP(AI300,'Date masura OD'!$G:$BB,27,FALSE)&amp;" ("&amp;VLOOKUP(AI300,'Date masura OD'!$G:$BB,19,FALSE)&amp;")"</f>
        <v>0 (estimare)</v>
      </c>
      <c r="Y308" s="647"/>
      <c r="Z308" s="647"/>
      <c r="AA308" s="647">
        <f>(-1)*VLOOKUP(AI300,'Date masura OD'!$G:$BB,27,FALSE)</f>
        <v>0</v>
      </c>
      <c r="AB308" s="647"/>
      <c r="AC308" s="647"/>
      <c r="AD308" s="647" t="s">
        <v>69</v>
      </c>
      <c r="AE308" s="647"/>
      <c r="AF308" s="647">
        <f>AA308</f>
        <v>0</v>
      </c>
      <c r="AG308" s="647"/>
      <c r="AH308" s="647"/>
      <c r="AI308" s="647" t="str">
        <f>AI305</f>
        <v>-</v>
      </c>
      <c r="AJ308" s="647"/>
      <c r="AK308" s="647" t="str">
        <f>AK305</f>
        <v>-</v>
      </c>
      <c r="AL308" s="647"/>
      <c r="AM308" s="647"/>
    </row>
    <row r="309" spans="1:39" ht="8.4499999999999993" customHeight="1">
      <c r="A309" s="717"/>
      <c r="B309" s="718"/>
      <c r="C309" s="718"/>
      <c r="D309" s="718"/>
      <c r="E309" s="718"/>
      <c r="F309" s="719"/>
      <c r="G309" s="648"/>
      <c r="H309" s="648"/>
      <c r="I309" s="648"/>
      <c r="J309" s="717" t="str">
        <f t="shared" si="16"/>
        <v>-</v>
      </c>
      <c r="K309" s="718"/>
      <c r="L309" s="719"/>
      <c r="M309" s="648"/>
      <c r="N309" s="648"/>
      <c r="O309" s="648"/>
      <c r="P309" s="648"/>
      <c r="Q309" s="648"/>
      <c r="R309" s="647"/>
      <c r="S309" s="647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647"/>
      <c r="AL309" s="647"/>
      <c r="AM309" s="647"/>
    </row>
    <row r="310" spans="1:39" ht="14.1" customHeight="1">
      <c r="A310" s="681"/>
      <c r="B310" s="682"/>
      <c r="C310" s="682"/>
      <c r="D310" s="682"/>
      <c r="E310" s="682"/>
      <c r="F310" s="683"/>
      <c r="G310" s="648"/>
      <c r="H310" s="648"/>
      <c r="I310" s="648"/>
      <c r="J310" s="714">
        <f t="shared" si="16"/>
        <v>45777</v>
      </c>
      <c r="K310" s="715"/>
      <c r="L310" s="716"/>
      <c r="M310" s="648"/>
      <c r="N310" s="648"/>
      <c r="O310" s="648"/>
      <c r="P310" s="648"/>
      <c r="Q310" s="648"/>
      <c r="R310" s="647"/>
      <c r="S310" s="647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647"/>
      <c r="AL310" s="647"/>
      <c r="AM310" s="647"/>
    </row>
    <row r="311" spans="1:39" ht="14.1" customHeight="1">
      <c r="A311" s="678" t="str">
        <f>A308</f>
        <v>UCEUEDN18 510058547</v>
      </c>
      <c r="B311" s="679"/>
      <c r="C311" s="679"/>
      <c r="D311" s="679"/>
      <c r="E311" s="679"/>
      <c r="F311" s="680"/>
      <c r="G311" s="648" t="s">
        <v>731</v>
      </c>
      <c r="H311" s="648"/>
      <c r="I311" s="648"/>
      <c r="J311" s="655">
        <f t="shared" si="16"/>
        <v>45748</v>
      </c>
      <c r="K311" s="656"/>
      <c r="L311" s="657"/>
      <c r="M311" s="648" t="s">
        <v>720</v>
      </c>
      <c r="N311" s="648"/>
      <c r="O311" s="648">
        <f>O308</f>
        <v>1</v>
      </c>
      <c r="P311" s="648"/>
      <c r="Q311" s="648"/>
      <c r="R311" s="647" t="str">
        <f>VLOOKUP(AI300,'Date masura OD'!$G:$BB,24,FALSE)&amp;" ("&amp;VLOOKUP(AI300,'Date masura OD'!$G:$BB,19,FALSE)&amp;")"</f>
        <v>10052 (estimare)</v>
      </c>
      <c r="S311" s="647"/>
      <c r="T311" s="647"/>
      <c r="U311" s="647" t="str">
        <f>VLOOKUP(AI300,'Date masura OD'!$G:$BB,25,FALSE)&amp;" ("&amp;VLOOKUP(AI300,'Date masura OD'!$G:$BB,19,FALSE)&amp;")"</f>
        <v>10052 (estimare)</v>
      </c>
      <c r="V311" s="647"/>
      <c r="W311" s="647"/>
      <c r="X311" s="647" t="str">
        <f>VLOOKUP(AI300,'Date masura OD'!$G:$BB,29,FALSE)&amp;" ("&amp;VLOOKUP(AI300,'Date masura OD'!$G:$BB,19,FALSE)&amp;")"</f>
        <v>0 (estimare)</v>
      </c>
      <c r="Y311" s="647"/>
      <c r="Z311" s="647"/>
      <c r="AA311" s="647">
        <f>(-1)*VLOOKUP(AI300,'Date masura OD'!$G:$BB,29,FALSE)</f>
        <v>0</v>
      </c>
      <c r="AB311" s="647"/>
      <c r="AC311" s="647"/>
      <c r="AD311" s="647" t="s">
        <v>69</v>
      </c>
      <c r="AE311" s="647"/>
      <c r="AF311" s="647">
        <f>AA311</f>
        <v>0</v>
      </c>
      <c r="AG311" s="647"/>
      <c r="AH311" s="647"/>
      <c r="AI311" s="647" t="str">
        <f>AI308</f>
        <v>-</v>
      </c>
      <c r="AJ311" s="647"/>
      <c r="AK311" s="647" t="str">
        <f>AK308</f>
        <v>-</v>
      </c>
      <c r="AL311" s="647"/>
      <c r="AM311" s="647"/>
    </row>
    <row r="312" spans="1:39" ht="8.4499999999999993" customHeight="1">
      <c r="A312" s="717"/>
      <c r="B312" s="718"/>
      <c r="C312" s="718"/>
      <c r="D312" s="718"/>
      <c r="E312" s="718"/>
      <c r="F312" s="719"/>
      <c r="G312" s="648"/>
      <c r="H312" s="648"/>
      <c r="I312" s="648"/>
      <c r="J312" s="717" t="str">
        <f t="shared" si="16"/>
        <v>-</v>
      </c>
      <c r="K312" s="718"/>
      <c r="L312" s="719"/>
      <c r="M312" s="648"/>
      <c r="N312" s="648"/>
      <c r="O312" s="648"/>
      <c r="P312" s="648"/>
      <c r="Q312" s="648"/>
      <c r="R312" s="647"/>
      <c r="S312" s="647"/>
      <c r="T312" s="647"/>
      <c r="U312" s="647"/>
      <c r="V312" s="647"/>
      <c r="W312" s="647"/>
      <c r="X312" s="647"/>
      <c r="Y312" s="647"/>
      <c r="Z312" s="647"/>
      <c r="AA312" s="647"/>
      <c r="AB312" s="647"/>
      <c r="AC312" s="647"/>
      <c r="AD312" s="647"/>
      <c r="AE312" s="647"/>
      <c r="AF312" s="647"/>
      <c r="AG312" s="647"/>
      <c r="AH312" s="647"/>
      <c r="AI312" s="647"/>
      <c r="AJ312" s="647"/>
      <c r="AK312" s="647"/>
      <c r="AL312" s="647"/>
      <c r="AM312" s="647"/>
    </row>
    <row r="313" spans="1:39" ht="14.1" customHeight="1">
      <c r="A313" s="681"/>
      <c r="B313" s="682"/>
      <c r="C313" s="682"/>
      <c r="D313" s="682"/>
      <c r="E313" s="682"/>
      <c r="F313" s="683"/>
      <c r="G313" s="648"/>
      <c r="H313" s="648"/>
      <c r="I313" s="648"/>
      <c r="J313" s="714">
        <f t="shared" si="16"/>
        <v>45777</v>
      </c>
      <c r="K313" s="715"/>
      <c r="L313" s="716"/>
      <c r="M313" s="648"/>
      <c r="N313" s="648"/>
      <c r="O313" s="648"/>
      <c r="P313" s="648"/>
      <c r="Q313" s="648"/>
      <c r="R313" s="647"/>
      <c r="S313" s="647"/>
      <c r="T313" s="647"/>
      <c r="U313" s="647"/>
      <c r="V313" s="647"/>
      <c r="W313" s="647"/>
      <c r="X313" s="647"/>
      <c r="Y313" s="647"/>
      <c r="Z313" s="647"/>
      <c r="AA313" s="647"/>
      <c r="AB313" s="647"/>
      <c r="AC313" s="647"/>
      <c r="AD313" s="647"/>
      <c r="AE313" s="647"/>
      <c r="AF313" s="647"/>
      <c r="AG313" s="647"/>
      <c r="AH313" s="647"/>
      <c r="AI313" s="647"/>
      <c r="AJ313" s="647"/>
      <c r="AK313" s="647"/>
      <c r="AL313" s="647"/>
      <c r="AM313" s="647"/>
    </row>
    <row r="314" spans="1:39" ht="14.1" customHeight="1">
      <c r="A314" s="678" t="str">
        <f>A311</f>
        <v>UCEUEDN18 510058547</v>
      </c>
      <c r="B314" s="679"/>
      <c r="C314" s="679"/>
      <c r="D314" s="679"/>
      <c r="E314" s="679"/>
      <c r="F314" s="680"/>
      <c r="G314" s="648" t="s">
        <v>730</v>
      </c>
      <c r="H314" s="648"/>
      <c r="I314" s="673"/>
      <c r="J314" s="655">
        <f>'Date masura OD'!$AK$5</f>
        <v>45748</v>
      </c>
      <c r="K314" s="656"/>
      <c r="L314" s="657"/>
      <c r="M314" s="720" t="s">
        <v>446</v>
      </c>
      <c r="N314" s="648"/>
      <c r="O314" s="648">
        <f>O311</f>
        <v>1</v>
      </c>
      <c r="P314" s="648"/>
      <c r="Q314" s="648"/>
      <c r="R314" s="647" t="str">
        <f>VLOOKUP(AI300,'Date masura OD'!$G:$BB,35,FALSE)&amp;" ("&amp;VLOOKUP(AI300,'Date masura OD'!$G:$BB,33,FALSE)&amp;")"</f>
        <v>39578 (citire)</v>
      </c>
      <c r="S314" s="647"/>
      <c r="T314" s="647"/>
      <c r="U314" s="647" t="str">
        <f>VLOOKUP(AI300,'Date masura OD'!$G:$BB,36,FALSE)&amp;" ("&amp;VLOOKUP(AI300,'Date masura OD'!$G:$BB,33,FALSE)&amp;")"</f>
        <v>40186 (citire)</v>
      </c>
      <c r="V314" s="647"/>
      <c r="W314" s="647"/>
      <c r="X314" s="647" t="str">
        <f>VLOOKUP(AI300,'Date masura OD'!$G:$BB,41,FALSE)&amp;" ("&amp;VLOOKUP(AI300,'Date masura OD'!$G:$BB,33,FALSE)&amp;")"</f>
        <v>608 (citire)</v>
      </c>
      <c r="Y314" s="647"/>
      <c r="Z314" s="647"/>
      <c r="AA314" s="647">
        <f>VLOOKUP(AI300,'Date masura OD'!$G:$BB,41,FALSE)</f>
        <v>608</v>
      </c>
      <c r="AB314" s="647"/>
      <c r="AC314" s="647"/>
      <c r="AD314" s="647" t="s">
        <v>69</v>
      </c>
      <c r="AE314" s="647"/>
      <c r="AF314" s="647">
        <f>AA314</f>
        <v>608</v>
      </c>
      <c r="AG314" s="647"/>
      <c r="AH314" s="647"/>
      <c r="AI314" s="647" t="str">
        <f>AI311</f>
        <v>-</v>
      </c>
      <c r="AJ314" s="647"/>
      <c r="AK314" s="647" t="str">
        <f>AK311</f>
        <v>-</v>
      </c>
      <c r="AL314" s="647"/>
      <c r="AM314" s="647"/>
    </row>
    <row r="315" spans="1:39" ht="8.4499999999999993" customHeight="1">
      <c r="A315" s="717"/>
      <c r="B315" s="718"/>
      <c r="C315" s="718"/>
      <c r="D315" s="718"/>
      <c r="E315" s="718"/>
      <c r="F315" s="719"/>
      <c r="G315" s="648"/>
      <c r="H315" s="648"/>
      <c r="I315" s="673"/>
      <c r="J315" s="717" t="s">
        <v>69</v>
      </c>
      <c r="K315" s="718"/>
      <c r="L315" s="719"/>
      <c r="M315" s="720"/>
      <c r="N315" s="648"/>
      <c r="O315" s="648"/>
      <c r="P315" s="648"/>
      <c r="Q315" s="648"/>
      <c r="R315" s="647"/>
      <c r="S315" s="647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</row>
    <row r="316" spans="1:39" ht="14.1" customHeight="1">
      <c r="A316" s="681"/>
      <c r="B316" s="682"/>
      <c r="C316" s="682"/>
      <c r="D316" s="682"/>
      <c r="E316" s="682"/>
      <c r="F316" s="683"/>
      <c r="G316" s="648"/>
      <c r="H316" s="648"/>
      <c r="I316" s="673"/>
      <c r="J316" s="714">
        <f>'Date masura OD'!$AL$5</f>
        <v>45777</v>
      </c>
      <c r="K316" s="715"/>
      <c r="L316" s="716"/>
      <c r="M316" s="720"/>
      <c r="N316" s="648"/>
      <c r="O316" s="648"/>
      <c r="P316" s="648"/>
      <c r="Q316" s="648"/>
      <c r="R316" s="647"/>
      <c r="S316" s="647"/>
      <c r="T316" s="647"/>
      <c r="U316" s="647"/>
      <c r="V316" s="647"/>
      <c r="W316" s="647"/>
      <c r="X316" s="647"/>
      <c r="Y316" s="647"/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647"/>
      <c r="AL316" s="647"/>
      <c r="AM316" s="647"/>
    </row>
    <row r="317" spans="1:39" ht="14.1" customHeight="1">
      <c r="A317" s="678" t="str">
        <f>A314</f>
        <v>UCEUEDN18 510058547</v>
      </c>
      <c r="B317" s="679"/>
      <c r="C317" s="679"/>
      <c r="D317" s="679"/>
      <c r="E317" s="679"/>
      <c r="F317" s="680"/>
      <c r="G317" s="648" t="s">
        <v>696</v>
      </c>
      <c r="H317" s="648"/>
      <c r="I317" s="648"/>
      <c r="J317" s="655">
        <f t="shared" ref="J317:J322" si="17">J314</f>
        <v>45748</v>
      </c>
      <c r="K317" s="656"/>
      <c r="L317" s="657"/>
      <c r="M317" s="648" t="s">
        <v>720</v>
      </c>
      <c r="N317" s="648"/>
      <c r="O317" s="648">
        <f>O314</f>
        <v>1</v>
      </c>
      <c r="P317" s="648"/>
      <c r="Q317" s="648"/>
      <c r="R317" s="647" t="str">
        <f>VLOOKUP(AI300,'Date masura OD'!$G:$BB,37,FALSE)&amp;" ("&amp;VLOOKUP(AI300,'Date masura OD'!$G:$BB,33,FALSE)&amp;")"</f>
        <v>110 (citire)</v>
      </c>
      <c r="S317" s="647"/>
      <c r="T317" s="647"/>
      <c r="U317" s="647" t="str">
        <f>VLOOKUP(AI300,'Date masura OD'!$G:$BB,38,FALSE)&amp;" ("&amp;VLOOKUP(AI300,'Date masura OD'!$G:$BB,33,FALSE)&amp;")"</f>
        <v>110 (citire)</v>
      </c>
      <c r="V317" s="647"/>
      <c r="W317" s="647"/>
      <c r="X317" s="647" t="str">
        <f>VLOOKUP(AI300,'Date masura OD'!$G:$BB,42,FALSE)&amp;" ("&amp;VLOOKUP(AI300,'Date masura OD'!$G:$BB,33,FALSE)&amp;")"</f>
        <v>0 (citire)</v>
      </c>
      <c r="Y317" s="647"/>
      <c r="Z317" s="647"/>
      <c r="AA317" s="647">
        <f>VLOOKUP(AI300,'Date masura OD'!$G:$BB,42,FALSE)</f>
        <v>0</v>
      </c>
      <c r="AB317" s="647"/>
      <c r="AC317" s="647"/>
      <c r="AD317" s="647" t="s">
        <v>69</v>
      </c>
      <c r="AE317" s="647"/>
      <c r="AF317" s="647">
        <f>AA317</f>
        <v>0</v>
      </c>
      <c r="AG317" s="647"/>
      <c r="AH317" s="647"/>
      <c r="AI317" s="647" t="str">
        <f>AI314</f>
        <v>-</v>
      </c>
      <c r="AJ317" s="647"/>
      <c r="AK317" s="647" t="str">
        <f>AK314</f>
        <v>-</v>
      </c>
      <c r="AL317" s="647"/>
      <c r="AM317" s="647"/>
    </row>
    <row r="318" spans="1:39" ht="8.4499999999999993" customHeight="1">
      <c r="A318" s="717"/>
      <c r="B318" s="718"/>
      <c r="C318" s="718"/>
      <c r="D318" s="718"/>
      <c r="E318" s="718"/>
      <c r="F318" s="719"/>
      <c r="G318" s="648"/>
      <c r="H318" s="648"/>
      <c r="I318" s="648"/>
      <c r="J318" s="717" t="str">
        <f t="shared" si="17"/>
        <v>-</v>
      </c>
      <c r="K318" s="718"/>
      <c r="L318" s="719"/>
      <c r="M318" s="648"/>
      <c r="N318" s="648"/>
      <c r="O318" s="648"/>
      <c r="P318" s="648"/>
      <c r="Q318" s="648"/>
      <c r="R318" s="647"/>
      <c r="S318" s="647"/>
      <c r="T318" s="647"/>
      <c r="U318" s="647"/>
      <c r="V318" s="647"/>
      <c r="W318" s="647"/>
      <c r="X318" s="647"/>
      <c r="Y318" s="647"/>
      <c r="Z318" s="647"/>
      <c r="AA318" s="647"/>
      <c r="AB318" s="647"/>
      <c r="AC318" s="647"/>
      <c r="AD318" s="647"/>
      <c r="AE318" s="647"/>
      <c r="AF318" s="647"/>
      <c r="AG318" s="647"/>
      <c r="AH318" s="647"/>
      <c r="AI318" s="647"/>
      <c r="AJ318" s="647"/>
      <c r="AK318" s="647"/>
      <c r="AL318" s="647"/>
      <c r="AM318" s="647"/>
    </row>
    <row r="319" spans="1:39" ht="14.1" customHeight="1">
      <c r="A319" s="681"/>
      <c r="B319" s="682"/>
      <c r="C319" s="682"/>
      <c r="D319" s="682"/>
      <c r="E319" s="682"/>
      <c r="F319" s="683"/>
      <c r="G319" s="648"/>
      <c r="H319" s="648"/>
      <c r="I319" s="648"/>
      <c r="J319" s="714">
        <f t="shared" si="17"/>
        <v>45777</v>
      </c>
      <c r="K319" s="715"/>
      <c r="L319" s="716"/>
      <c r="M319" s="648"/>
      <c r="N319" s="648"/>
      <c r="O319" s="648"/>
      <c r="P319" s="648"/>
      <c r="Q319" s="648"/>
      <c r="R319" s="647"/>
      <c r="S319" s="647"/>
      <c r="T319" s="647"/>
      <c r="U319" s="647"/>
      <c r="V319" s="647"/>
      <c r="W319" s="647"/>
      <c r="X319" s="647"/>
      <c r="Y319" s="647"/>
      <c r="Z319" s="647"/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</row>
    <row r="320" spans="1:39" ht="14.1" customHeight="1">
      <c r="A320" s="678" t="str">
        <f>A317</f>
        <v>UCEUEDN18 510058547</v>
      </c>
      <c r="B320" s="679"/>
      <c r="C320" s="679"/>
      <c r="D320" s="679"/>
      <c r="E320" s="679"/>
      <c r="F320" s="680"/>
      <c r="G320" s="648" t="s">
        <v>731</v>
      </c>
      <c r="H320" s="648"/>
      <c r="I320" s="648"/>
      <c r="J320" s="655">
        <f t="shared" si="17"/>
        <v>45748</v>
      </c>
      <c r="K320" s="656"/>
      <c r="L320" s="657"/>
      <c r="M320" s="648" t="s">
        <v>720</v>
      </c>
      <c r="N320" s="648"/>
      <c r="O320" s="648">
        <f>O317</f>
        <v>1</v>
      </c>
      <c r="P320" s="648"/>
      <c r="Q320" s="648"/>
      <c r="R320" s="647" t="str">
        <f>VLOOKUP(AI300,'Date masura OD'!$G:$BB,39,FALSE)&amp;" ("&amp;VLOOKUP(AI300,'Date masura OD'!$G:$BB,33,FALSE)&amp;")"</f>
        <v>10052 (citire)</v>
      </c>
      <c r="S320" s="647"/>
      <c r="T320" s="647"/>
      <c r="U320" s="647" t="str">
        <f>VLOOKUP(AI300,'Date masura OD'!$G:$BB,40,FALSE)&amp;" ("&amp;VLOOKUP(AI300,'Date masura OD'!$G:$BB,33,FALSE)&amp;")"</f>
        <v>10233 (citire)</v>
      </c>
      <c r="V320" s="647"/>
      <c r="W320" s="647"/>
      <c r="X320" s="647" t="str">
        <f>VLOOKUP(AI300,'Date masura OD'!$G:$BB,43,FALSE)&amp;" ("&amp;VLOOKUP(AI300,'Date masura OD'!$G:$BB,33,FALSE)&amp;")"</f>
        <v>181 (citire)</v>
      </c>
      <c r="Y320" s="647"/>
      <c r="Z320" s="647"/>
      <c r="AA320" s="647">
        <f>VLOOKUP(AI300,'Date masura OD'!$G:$BB,43,FALSE)</f>
        <v>181</v>
      </c>
      <c r="AB320" s="647"/>
      <c r="AC320" s="647"/>
      <c r="AD320" s="647" t="s">
        <v>69</v>
      </c>
      <c r="AE320" s="647"/>
      <c r="AF320" s="647">
        <f>AA320</f>
        <v>181</v>
      </c>
      <c r="AG320" s="647"/>
      <c r="AH320" s="647"/>
      <c r="AI320" s="647" t="str">
        <f>AI317</f>
        <v>-</v>
      </c>
      <c r="AJ320" s="647"/>
      <c r="AK320" s="647" t="str">
        <f>AK317</f>
        <v>-</v>
      </c>
      <c r="AL320" s="647"/>
      <c r="AM320" s="647"/>
    </row>
    <row r="321" spans="1:39" ht="8.4499999999999993" customHeight="1">
      <c r="A321" s="717"/>
      <c r="B321" s="718"/>
      <c r="C321" s="718"/>
      <c r="D321" s="718"/>
      <c r="E321" s="718"/>
      <c r="F321" s="719"/>
      <c r="G321" s="648"/>
      <c r="H321" s="648"/>
      <c r="I321" s="648"/>
      <c r="J321" s="717" t="str">
        <f t="shared" si="17"/>
        <v>-</v>
      </c>
      <c r="K321" s="718"/>
      <c r="L321" s="719"/>
      <c r="M321" s="648"/>
      <c r="N321" s="648"/>
      <c r="O321" s="648"/>
      <c r="P321" s="648"/>
      <c r="Q321" s="648"/>
      <c r="R321" s="647"/>
      <c r="S321" s="647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647"/>
      <c r="AL321" s="647"/>
      <c r="AM321" s="647"/>
    </row>
    <row r="322" spans="1:39" ht="14.1" customHeight="1">
      <c r="A322" s="681"/>
      <c r="B322" s="682"/>
      <c r="C322" s="682"/>
      <c r="D322" s="682"/>
      <c r="E322" s="682"/>
      <c r="F322" s="683"/>
      <c r="G322" s="648"/>
      <c r="H322" s="648"/>
      <c r="I322" s="648"/>
      <c r="J322" s="714">
        <f t="shared" si="17"/>
        <v>45777</v>
      </c>
      <c r="K322" s="715"/>
      <c r="L322" s="716"/>
      <c r="M322" s="648"/>
      <c r="N322" s="648"/>
      <c r="O322" s="648"/>
      <c r="P322" s="648"/>
      <c r="Q322" s="648"/>
      <c r="R322" s="647"/>
      <c r="S322" s="647"/>
      <c r="T322" s="647"/>
      <c r="U322" s="647"/>
      <c r="V322" s="647"/>
      <c r="W322" s="647"/>
      <c r="X322" s="647"/>
      <c r="Y322" s="647"/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647"/>
      <c r="AL322" s="647"/>
      <c r="AM322" s="647"/>
    </row>
    <row r="323" spans="1:39" ht="14.1" customHeight="1">
      <c r="A323" s="678" t="str">
        <f>A320</f>
        <v>UCEUEDN18 510058547</v>
      </c>
      <c r="B323" s="679"/>
      <c r="C323" s="679"/>
      <c r="D323" s="679"/>
      <c r="E323" s="679"/>
      <c r="F323" s="680"/>
      <c r="G323" s="648" t="s">
        <v>730</v>
      </c>
      <c r="H323" s="648"/>
      <c r="I323" s="673"/>
      <c r="J323" s="655">
        <f>'Date masura OD'!$I$5</f>
        <v>45778</v>
      </c>
      <c r="K323" s="656"/>
      <c r="L323" s="657"/>
      <c r="M323" s="720" t="s">
        <v>446</v>
      </c>
      <c r="N323" s="648"/>
      <c r="O323" s="648">
        <f>O320</f>
        <v>1</v>
      </c>
      <c r="P323" s="648"/>
      <c r="Q323" s="648"/>
      <c r="R323" s="647" t="str">
        <f>U314</f>
        <v>40186 (citire)</v>
      </c>
      <c r="S323" s="647"/>
      <c r="T323" s="647"/>
      <c r="U323" s="647" t="str">
        <f>VLOOKUP(AI300,'Date masura OD'!$G:$BB,7,FALSE)&amp;" (estimat)"</f>
        <v>40797 (estimat)</v>
      </c>
      <c r="V323" s="647"/>
      <c r="W323" s="647"/>
      <c r="X323" s="647" t="str">
        <f>VLOOKUP(AI300,'Date masura OD'!$G:$BB,12,FALSE)&amp;" (estimat)"</f>
        <v>611 (estimat)</v>
      </c>
      <c r="Y323" s="647"/>
      <c r="Z323" s="647"/>
      <c r="AA323" s="647" t="s">
        <v>69</v>
      </c>
      <c r="AB323" s="647"/>
      <c r="AC323" s="647"/>
      <c r="AD323" s="647" t="s">
        <v>69</v>
      </c>
      <c r="AE323" s="647"/>
      <c r="AF323" s="647">
        <f>VLOOKUP(AI300,'Date masura OD'!$G:$BB,12,FALSE)</f>
        <v>611</v>
      </c>
      <c r="AG323" s="647"/>
      <c r="AH323" s="647"/>
      <c r="AI323" s="647">
        <f>J325-J323+1</f>
        <v>31</v>
      </c>
      <c r="AJ323" s="647"/>
      <c r="AK323" s="647">
        <f>ROUND(AF323/AI323,2)</f>
        <v>19.71</v>
      </c>
      <c r="AL323" s="647"/>
      <c r="AM323" s="647"/>
    </row>
    <row r="324" spans="1:39" ht="8.4499999999999993" customHeight="1">
      <c r="A324" s="717"/>
      <c r="B324" s="718"/>
      <c r="C324" s="718"/>
      <c r="D324" s="718"/>
      <c r="E324" s="718"/>
      <c r="F324" s="719"/>
      <c r="G324" s="648"/>
      <c r="H324" s="648"/>
      <c r="I324" s="673"/>
      <c r="J324" s="717" t="s">
        <v>69</v>
      </c>
      <c r="K324" s="718"/>
      <c r="L324" s="719"/>
      <c r="M324" s="720"/>
      <c r="N324" s="648"/>
      <c r="O324" s="648"/>
      <c r="P324" s="648"/>
      <c r="Q324" s="648"/>
      <c r="R324" s="647"/>
      <c r="S324" s="647"/>
      <c r="T324" s="647"/>
      <c r="U324" s="647"/>
      <c r="V324" s="647"/>
      <c r="W324" s="647"/>
      <c r="X324" s="647"/>
      <c r="Y324" s="647"/>
      <c r="Z324" s="647"/>
      <c r="AA324" s="647"/>
      <c r="AB324" s="647"/>
      <c r="AC324" s="647"/>
      <c r="AD324" s="647"/>
      <c r="AE324" s="647"/>
      <c r="AF324" s="647"/>
      <c r="AG324" s="647"/>
      <c r="AH324" s="647"/>
      <c r="AI324" s="647"/>
      <c r="AJ324" s="647"/>
      <c r="AK324" s="647"/>
      <c r="AL324" s="647"/>
      <c r="AM324" s="647"/>
    </row>
    <row r="325" spans="1:39" ht="14.1" customHeight="1">
      <c r="A325" s="681"/>
      <c r="B325" s="682"/>
      <c r="C325" s="682"/>
      <c r="D325" s="682"/>
      <c r="E325" s="682"/>
      <c r="F325" s="683"/>
      <c r="G325" s="648"/>
      <c r="H325" s="648"/>
      <c r="I325" s="673"/>
      <c r="J325" s="714">
        <f>'Date masura OD'!$J$5</f>
        <v>45808</v>
      </c>
      <c r="K325" s="715"/>
      <c r="L325" s="716"/>
      <c r="M325" s="720"/>
      <c r="N325" s="648"/>
      <c r="O325" s="648"/>
      <c r="P325" s="648"/>
      <c r="Q325" s="648"/>
      <c r="R325" s="647"/>
      <c r="S325" s="647"/>
      <c r="T325" s="647"/>
      <c r="U325" s="647"/>
      <c r="V325" s="647"/>
      <c r="W325" s="647"/>
      <c r="X325" s="647"/>
      <c r="Y325" s="647"/>
      <c r="Z325" s="647"/>
      <c r="AA325" s="647"/>
      <c r="AB325" s="647"/>
      <c r="AC325" s="647"/>
      <c r="AD325" s="647"/>
      <c r="AE325" s="647"/>
      <c r="AF325" s="647"/>
      <c r="AG325" s="647"/>
      <c r="AH325" s="647"/>
      <c r="AI325" s="647"/>
      <c r="AJ325" s="647"/>
      <c r="AK325" s="647"/>
      <c r="AL325" s="647"/>
      <c r="AM325" s="647"/>
    </row>
    <row r="326" spans="1:39" ht="14.1" customHeight="1">
      <c r="A326" s="678" t="str">
        <f>A323</f>
        <v>UCEUEDN18 510058547</v>
      </c>
      <c r="B326" s="679"/>
      <c r="C326" s="679"/>
      <c r="D326" s="679"/>
      <c r="E326" s="679"/>
      <c r="F326" s="680"/>
      <c r="G326" s="648" t="s">
        <v>696</v>
      </c>
      <c r="H326" s="648"/>
      <c r="I326" s="648"/>
      <c r="J326" s="655">
        <f t="shared" ref="J326:J331" si="18">J323</f>
        <v>45778</v>
      </c>
      <c r="K326" s="656"/>
      <c r="L326" s="657"/>
      <c r="M326" s="648" t="s">
        <v>720</v>
      </c>
      <c r="N326" s="648"/>
      <c r="O326" s="648">
        <f>O323</f>
        <v>1</v>
      </c>
      <c r="P326" s="648"/>
      <c r="Q326" s="648"/>
      <c r="R326" s="647" t="str">
        <f>U317</f>
        <v>110 (citire)</v>
      </c>
      <c r="S326" s="647"/>
      <c r="T326" s="647"/>
      <c r="U326" s="647" t="str">
        <f>VLOOKUP(AI300,'Date masura OD'!$G:$BB,9,FALSE)&amp;" (estimat)"</f>
        <v>110 (estimat)</v>
      </c>
      <c r="V326" s="647"/>
      <c r="W326" s="647"/>
      <c r="X326" s="647" t="str">
        <f>VLOOKUP(AI300,'Date masura OD'!$G:$BB,13,FALSE)&amp;" (estimat)"</f>
        <v>0 (estimat)</v>
      </c>
      <c r="Y326" s="647"/>
      <c r="Z326" s="647"/>
      <c r="AA326" s="647" t="s">
        <v>69</v>
      </c>
      <c r="AB326" s="647"/>
      <c r="AC326" s="647"/>
      <c r="AD326" s="647" t="s">
        <v>69</v>
      </c>
      <c r="AE326" s="647"/>
      <c r="AF326" s="647">
        <f>VLOOKUP(AI300,'Date masura OD'!$G:$BB,13,FALSE)</f>
        <v>0</v>
      </c>
      <c r="AG326" s="647"/>
      <c r="AH326" s="647"/>
      <c r="AI326" s="647">
        <f>AI323</f>
        <v>31</v>
      </c>
      <c r="AJ326" s="647"/>
      <c r="AK326" s="647">
        <f>ROUND(AF326/AI326,2)</f>
        <v>0</v>
      </c>
      <c r="AL326" s="647"/>
      <c r="AM326" s="647"/>
    </row>
    <row r="327" spans="1:39" ht="8.4499999999999993" customHeight="1">
      <c r="A327" s="717"/>
      <c r="B327" s="718"/>
      <c r="C327" s="718"/>
      <c r="D327" s="718"/>
      <c r="E327" s="718"/>
      <c r="F327" s="719"/>
      <c r="G327" s="648"/>
      <c r="H327" s="648"/>
      <c r="I327" s="648"/>
      <c r="J327" s="717" t="str">
        <f t="shared" si="18"/>
        <v>-</v>
      </c>
      <c r="K327" s="718"/>
      <c r="L327" s="719"/>
      <c r="M327" s="648"/>
      <c r="N327" s="648"/>
      <c r="O327" s="648"/>
      <c r="P327" s="648"/>
      <c r="Q327" s="648"/>
      <c r="R327" s="647"/>
      <c r="S327" s="647"/>
      <c r="T327" s="647"/>
      <c r="U327" s="647"/>
      <c r="V327" s="647"/>
      <c r="W327" s="647"/>
      <c r="X327" s="647"/>
      <c r="Y327" s="647"/>
      <c r="Z327" s="647"/>
      <c r="AA327" s="647"/>
      <c r="AB327" s="647"/>
      <c r="AC327" s="647"/>
      <c r="AD327" s="647"/>
      <c r="AE327" s="647"/>
      <c r="AF327" s="647"/>
      <c r="AG327" s="647"/>
      <c r="AH327" s="647"/>
      <c r="AI327" s="647"/>
      <c r="AJ327" s="647"/>
      <c r="AK327" s="647"/>
      <c r="AL327" s="647"/>
      <c r="AM327" s="647"/>
    </row>
    <row r="328" spans="1:39" ht="14.1" customHeight="1">
      <c r="A328" s="681"/>
      <c r="B328" s="682"/>
      <c r="C328" s="682"/>
      <c r="D328" s="682"/>
      <c r="E328" s="682"/>
      <c r="F328" s="683"/>
      <c r="G328" s="648"/>
      <c r="H328" s="648"/>
      <c r="I328" s="648"/>
      <c r="J328" s="714">
        <f t="shared" si="18"/>
        <v>45808</v>
      </c>
      <c r="K328" s="715"/>
      <c r="L328" s="716"/>
      <c r="M328" s="648"/>
      <c r="N328" s="648"/>
      <c r="O328" s="648"/>
      <c r="P328" s="648"/>
      <c r="Q328" s="648"/>
      <c r="R328" s="647"/>
      <c r="S328" s="647"/>
      <c r="T328" s="647"/>
      <c r="U328" s="647"/>
      <c r="V328" s="647"/>
      <c r="W328" s="647"/>
      <c r="X328" s="647"/>
      <c r="Y328" s="647"/>
      <c r="Z328" s="647"/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</row>
    <row r="329" spans="1:39" ht="14.1" customHeight="1">
      <c r="A329" s="678" t="str">
        <f>A326</f>
        <v>UCEUEDN18 510058547</v>
      </c>
      <c r="B329" s="679"/>
      <c r="C329" s="679"/>
      <c r="D329" s="679"/>
      <c r="E329" s="679"/>
      <c r="F329" s="680"/>
      <c r="G329" s="648" t="s">
        <v>731</v>
      </c>
      <c r="H329" s="648"/>
      <c r="I329" s="648"/>
      <c r="J329" s="655">
        <f t="shared" si="18"/>
        <v>45778</v>
      </c>
      <c r="K329" s="656"/>
      <c r="L329" s="657"/>
      <c r="M329" s="648" t="s">
        <v>720</v>
      </c>
      <c r="N329" s="648"/>
      <c r="O329" s="648">
        <f>O326</f>
        <v>1</v>
      </c>
      <c r="P329" s="648"/>
      <c r="Q329" s="648"/>
      <c r="R329" s="647" t="str">
        <f>U320</f>
        <v>10233 (citire)</v>
      </c>
      <c r="S329" s="647"/>
      <c r="T329" s="647"/>
      <c r="U329" s="647" t="str">
        <f>VLOOKUP(AI300,'Date masura OD'!$G:$BB,11,FALSE)&amp;" (estimat)"</f>
        <v>10233 (estimat)</v>
      </c>
      <c r="V329" s="647"/>
      <c r="W329" s="647"/>
      <c r="X329" s="647" t="str">
        <f>VLOOKUP(AI300,'Date masura OD'!$G:$BB,15,FALSE)&amp;" (estimat)"</f>
        <v>0 (estimat)</v>
      </c>
      <c r="Y329" s="647"/>
      <c r="Z329" s="647"/>
      <c r="AA329" s="647" t="s">
        <v>69</v>
      </c>
      <c r="AB329" s="647"/>
      <c r="AC329" s="647"/>
      <c r="AD329" s="647" t="s">
        <v>69</v>
      </c>
      <c r="AE329" s="647"/>
      <c r="AF329" s="647">
        <f>VLOOKUP(AI300,'Date masura OD'!$G:$BB,15,FALSE)</f>
        <v>0</v>
      </c>
      <c r="AG329" s="647"/>
      <c r="AH329" s="647"/>
      <c r="AI329" s="647">
        <f>AI326</f>
        <v>31</v>
      </c>
      <c r="AJ329" s="647"/>
      <c r="AK329" s="647">
        <f>ROUND(AF329/AI329,2)</f>
        <v>0</v>
      </c>
      <c r="AL329" s="647"/>
      <c r="AM329" s="647"/>
    </row>
    <row r="330" spans="1:39" ht="8.4499999999999993" customHeight="1">
      <c r="A330" s="717"/>
      <c r="B330" s="718"/>
      <c r="C330" s="718"/>
      <c r="D330" s="718"/>
      <c r="E330" s="718"/>
      <c r="F330" s="719"/>
      <c r="G330" s="648"/>
      <c r="H330" s="648"/>
      <c r="I330" s="648"/>
      <c r="J330" s="717" t="str">
        <f t="shared" si="18"/>
        <v>-</v>
      </c>
      <c r="K330" s="718"/>
      <c r="L330" s="719"/>
      <c r="M330" s="648"/>
      <c r="N330" s="648"/>
      <c r="O330" s="648"/>
      <c r="P330" s="648"/>
      <c r="Q330" s="648"/>
      <c r="R330" s="647"/>
      <c r="S330" s="647"/>
      <c r="T330" s="647"/>
      <c r="U330" s="647"/>
      <c r="V330" s="647"/>
      <c r="W330" s="647"/>
      <c r="X330" s="647"/>
      <c r="Y330" s="647"/>
      <c r="Z330" s="647"/>
      <c r="AA330" s="647"/>
      <c r="AB330" s="647"/>
      <c r="AC330" s="647"/>
      <c r="AD330" s="647"/>
      <c r="AE330" s="647"/>
      <c r="AF330" s="647"/>
      <c r="AG330" s="647"/>
      <c r="AH330" s="647"/>
      <c r="AI330" s="647"/>
      <c r="AJ330" s="647"/>
      <c r="AK330" s="647"/>
      <c r="AL330" s="647"/>
      <c r="AM330" s="647"/>
    </row>
    <row r="331" spans="1:39" ht="14.1" customHeight="1">
      <c r="A331" s="681"/>
      <c r="B331" s="682"/>
      <c r="C331" s="682"/>
      <c r="D331" s="682"/>
      <c r="E331" s="682"/>
      <c r="F331" s="683"/>
      <c r="G331" s="648"/>
      <c r="H331" s="648"/>
      <c r="I331" s="648"/>
      <c r="J331" s="714">
        <f t="shared" si="18"/>
        <v>45808</v>
      </c>
      <c r="K331" s="715"/>
      <c r="L331" s="716"/>
      <c r="M331" s="648"/>
      <c r="N331" s="648"/>
      <c r="O331" s="648"/>
      <c r="P331" s="648"/>
      <c r="Q331" s="648"/>
      <c r="R331" s="647"/>
      <c r="S331" s="647"/>
      <c r="T331" s="647"/>
      <c r="U331" s="647"/>
      <c r="V331" s="647"/>
      <c r="W331" s="647"/>
      <c r="X331" s="647"/>
      <c r="Y331" s="647"/>
      <c r="Z331" s="647"/>
      <c r="AA331" s="647"/>
      <c r="AB331" s="647"/>
      <c r="AC331" s="647"/>
      <c r="AD331" s="647"/>
      <c r="AE331" s="647"/>
      <c r="AF331" s="647"/>
      <c r="AG331" s="647"/>
      <c r="AH331" s="647"/>
      <c r="AI331" s="647"/>
      <c r="AJ331" s="647"/>
      <c r="AK331" s="647"/>
      <c r="AL331" s="647"/>
      <c r="AM331" s="647"/>
    </row>
    <row r="332" spans="1:39" ht="14.1" customHeight="1"/>
    <row r="333" spans="1:39" ht="14.1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</row>
    <row r="334" spans="1:39" ht="14.1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</row>
    <row r="335" spans="1:39" ht="14.1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</row>
    <row r="336" spans="1:39" ht="14.1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</row>
    <row r="337" spans="1:39" ht="14.1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</row>
    <row r="338" spans="1:39" ht="14.1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</row>
    <row r="339" spans="1:39" ht="14.1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</row>
    <row r="340" spans="1:39" ht="8.4499999999999993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</row>
    <row r="341" spans="1:39" ht="14.1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</row>
    <row r="342" spans="1:39" ht="14.1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</row>
    <row r="343" spans="1:39" ht="8.4499999999999993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</row>
    <row r="344" spans="1:39" ht="14.1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</row>
    <row r="345" spans="1:39" ht="14.1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</row>
    <row r="346" spans="1:39" ht="8.4499999999999993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</row>
    <row r="347" spans="1:39" ht="14.1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</row>
    <row r="348" spans="1:39" ht="14.1" customHeight="1">
      <c r="A348" s="695" t="s">
        <v>858</v>
      </c>
      <c r="B348" s="695"/>
      <c r="C348" s="695"/>
      <c r="D348" s="695"/>
      <c r="E348" s="695"/>
      <c r="F348" s="695"/>
      <c r="G348" s="695"/>
      <c r="H348" s="695" t="str">
        <f>VLOOKUP($AA$15,'Date SPV'!$B:$H,4,FALSE)</f>
        <v>Calea Floreasca, nr. 224-246, Sector 1, Bucuresti</v>
      </c>
      <c r="I348" s="695"/>
      <c r="J348" s="695"/>
      <c r="K348" s="695"/>
      <c r="L348" s="695"/>
      <c r="M348" s="695"/>
      <c r="N348" s="695"/>
      <c r="O348" s="695"/>
      <c r="P348" s="695"/>
      <c r="Q348" s="695"/>
      <c r="R348" s="695"/>
      <c r="S348" s="695"/>
      <c r="T348" s="695"/>
      <c r="U348" s="695"/>
      <c r="V348" s="695"/>
      <c r="W348" s="695"/>
      <c r="X348" s="695"/>
      <c r="Y348" s="695"/>
      <c r="Z348" s="695"/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</row>
    <row r="349" spans="1:39" ht="14.1" customHeight="1">
      <c r="A349" s="695"/>
      <c r="B349" s="695"/>
      <c r="C349" s="695"/>
      <c r="D349" s="695"/>
      <c r="E349" s="695"/>
      <c r="F349" s="695"/>
      <c r="G349" s="695"/>
      <c r="H349" s="695"/>
      <c r="I349" s="695"/>
      <c r="J349" s="695"/>
      <c r="K349" s="695"/>
      <c r="L349" s="695"/>
      <c r="M349" s="695"/>
      <c r="N349" s="695"/>
      <c r="O349" s="695"/>
      <c r="P349" s="695"/>
      <c r="Q349" s="695"/>
      <c r="R349" s="695"/>
      <c r="S349" s="695"/>
      <c r="T349" s="695"/>
      <c r="U349" s="695"/>
      <c r="V349" s="695"/>
      <c r="W349" s="695"/>
      <c r="X349" s="695"/>
      <c r="Y349" s="695"/>
      <c r="Z349" s="695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</row>
    <row r="350" spans="1:39" ht="14.1" customHeight="1">
      <c r="A350" s="695" t="s">
        <v>859</v>
      </c>
      <c r="B350" s="695"/>
      <c r="C350" s="695"/>
      <c r="D350" s="695"/>
      <c r="E350" s="695"/>
      <c r="F350" s="695"/>
      <c r="G350" s="695"/>
      <c r="H350" s="712">
        <f>VLOOKUP(AA350,'Date masura OD'!$G:$BE,51,FALSE)</f>
        <v>5000581069</v>
      </c>
      <c r="I350" s="712"/>
      <c r="J350" s="712"/>
      <c r="K350" s="712"/>
      <c r="L350" s="712"/>
      <c r="M350" s="712"/>
      <c r="N350" s="712"/>
      <c r="O350" s="712"/>
      <c r="P350" s="712"/>
      <c r="Q350" s="712"/>
      <c r="R350" s="712"/>
      <c r="S350" s="712"/>
      <c r="T350" s="712"/>
      <c r="U350" s="712"/>
      <c r="V350" s="712"/>
      <c r="W350" s="712" t="s">
        <v>860</v>
      </c>
      <c r="X350" s="712"/>
      <c r="Y350" s="712"/>
      <c r="Z350" s="712"/>
      <c r="AA350" s="640" t="str">
        <f>_xlfn.CONCAT($AA$15,"_",4)</f>
        <v>RPMB_4</v>
      </c>
      <c r="AB350" s="640"/>
      <c r="AC350" s="640"/>
      <c r="AD350" s="640"/>
      <c r="AE350" s="640"/>
      <c r="AF350" s="640"/>
      <c r="AG350" s="640"/>
      <c r="AH350" s="640"/>
      <c r="AI350" s="640"/>
      <c r="AJ350" s="640"/>
      <c r="AK350" s="640"/>
      <c r="AL350" s="640"/>
      <c r="AM350" s="640"/>
    </row>
    <row r="351" spans="1:39" ht="14.1" customHeight="1">
      <c r="A351" s="695"/>
      <c r="B351" s="695"/>
      <c r="C351" s="695"/>
      <c r="D351" s="695"/>
      <c r="E351" s="695"/>
      <c r="F351" s="695"/>
      <c r="G351" s="695"/>
      <c r="H351" s="712"/>
      <c r="I351" s="712"/>
      <c r="J351" s="712"/>
      <c r="K351" s="712"/>
      <c r="L351" s="712"/>
      <c r="M351" s="712"/>
      <c r="N351" s="712"/>
      <c r="O351" s="712"/>
      <c r="P351" s="712"/>
      <c r="Q351" s="712"/>
      <c r="R351" s="712"/>
      <c r="S351" s="712"/>
      <c r="T351" s="712"/>
      <c r="U351" s="712"/>
      <c r="V351" s="712"/>
      <c r="W351" s="712"/>
      <c r="X351" s="712"/>
      <c r="Y351" s="712"/>
      <c r="Z351" s="712"/>
      <c r="AA351" s="640"/>
      <c r="AB351" s="640"/>
      <c r="AC351" s="640"/>
      <c r="AD351" s="640"/>
      <c r="AE351" s="640"/>
      <c r="AF351" s="640"/>
      <c r="AG351" s="640"/>
      <c r="AH351" s="640"/>
      <c r="AI351" s="640"/>
      <c r="AJ351" s="640"/>
      <c r="AK351" s="640"/>
      <c r="AL351" s="640"/>
      <c r="AM351" s="640"/>
    </row>
    <row r="353" spans="1:39">
      <c r="A353" s="649" t="s">
        <v>748</v>
      </c>
      <c r="B353" s="649"/>
      <c r="C353" s="649"/>
      <c r="D353" s="649"/>
      <c r="E353" s="649"/>
      <c r="F353" s="649"/>
      <c r="G353" s="649"/>
      <c r="H353" s="649"/>
      <c r="I353" s="649"/>
      <c r="J353" s="649"/>
      <c r="K353" s="649"/>
      <c r="L353" s="649"/>
      <c r="M353" s="650" t="str">
        <f>VLOOKUP(AI354,'Contorizare in SDI'!$E:$I,4,FALSE)</f>
        <v>RO001E108898767</v>
      </c>
      <c r="N353" s="650"/>
      <c r="O353" s="650"/>
      <c r="P353" s="650"/>
      <c r="Q353" s="650"/>
      <c r="R353" s="650"/>
      <c r="S353" s="650"/>
      <c r="T353" s="650"/>
      <c r="U353" s="650"/>
      <c r="V353" s="650"/>
      <c r="W353" s="650"/>
      <c r="X353" s="650"/>
      <c r="Y353" s="650"/>
      <c r="Z353" s="650"/>
      <c r="AA353" s="650"/>
      <c r="AB353" s="650"/>
      <c r="AC353" s="650"/>
      <c r="AD353" s="650"/>
      <c r="AE353" s="650"/>
      <c r="AF353" s="650"/>
      <c r="AG353" s="650"/>
      <c r="AH353" s="650"/>
      <c r="AI353" s="650" t="s">
        <v>695</v>
      </c>
      <c r="AJ353" s="650"/>
      <c r="AK353" s="650"/>
      <c r="AL353" s="650"/>
      <c r="AM353" s="650"/>
    </row>
    <row r="354" spans="1:39">
      <c r="A354" s="649" t="s">
        <v>746</v>
      </c>
      <c r="B354" s="649"/>
      <c r="C354" s="649"/>
      <c r="D354" s="649"/>
      <c r="E354" s="649"/>
      <c r="F354" s="649"/>
      <c r="G354" s="649"/>
      <c r="H354" s="649"/>
      <c r="I354" s="649"/>
      <c r="J354" s="649"/>
      <c r="K354" s="649"/>
      <c r="L354" s="649"/>
      <c r="M354" s="650" t="str">
        <f>VLOOKUP(AI354,'Inchidere contur'!$G:$U,15,FALSE)</f>
        <v>JT_OD</v>
      </c>
      <c r="N354" s="650"/>
      <c r="O354" s="650"/>
      <c r="P354" s="650"/>
      <c r="Q354" s="650"/>
      <c r="R354" s="650"/>
      <c r="S354" s="650"/>
      <c r="T354" s="650"/>
      <c r="U354" s="650"/>
      <c r="V354" s="650"/>
      <c r="W354" s="650"/>
      <c r="X354" s="650"/>
      <c r="Y354" s="650"/>
      <c r="Z354" s="650"/>
      <c r="AA354" s="650"/>
      <c r="AB354" s="650"/>
      <c r="AC354" s="650"/>
      <c r="AD354" s="650"/>
      <c r="AE354" s="650"/>
      <c r="AF354" s="650"/>
      <c r="AG354" s="650"/>
      <c r="AH354" s="650"/>
      <c r="AI354" s="619" t="str">
        <f>_xlfn.CONCAT(AA350)</f>
        <v>RPMB_4</v>
      </c>
      <c r="AJ354" s="619"/>
      <c r="AK354" s="619"/>
      <c r="AL354" s="619"/>
      <c r="AM354" s="619"/>
    </row>
    <row r="355" spans="1:39">
      <c r="A355" s="649" t="s">
        <v>747</v>
      </c>
      <c r="B355" s="649"/>
      <c r="C355" s="649"/>
      <c r="D355" s="649"/>
      <c r="E355" s="649"/>
      <c r="F355" s="649"/>
      <c r="G355" s="649"/>
      <c r="H355" s="649"/>
      <c r="I355" s="649"/>
      <c r="J355" s="649"/>
      <c r="K355" s="649"/>
      <c r="L355" s="649"/>
      <c r="M355" s="650" t="str">
        <f>IF(LEFT(M354,2)="JT","0.4kV",IF(LEFT(M354,2)="MT","20kV","-"))</f>
        <v>0.4kV</v>
      </c>
      <c r="N355" s="650"/>
      <c r="O355" s="650"/>
      <c r="P355" s="650"/>
      <c r="Q355" s="650"/>
      <c r="R355" s="650"/>
      <c r="S355" s="650"/>
      <c r="T355" s="650"/>
      <c r="U355" s="650"/>
      <c r="V355" s="650"/>
      <c r="W355" s="650"/>
      <c r="X355" s="650"/>
      <c r="Y355" s="650"/>
      <c r="Z355" s="650"/>
      <c r="AA355" s="650"/>
      <c r="AB355" s="650"/>
      <c r="AC355" s="650"/>
      <c r="AD355" s="650"/>
      <c r="AE355" s="650"/>
      <c r="AF355" s="650"/>
      <c r="AG355" s="650"/>
      <c r="AH355" s="650"/>
      <c r="AI355" s="619"/>
      <c r="AJ355" s="619"/>
      <c r="AK355" s="619"/>
      <c r="AL355" s="619"/>
      <c r="AM355" s="619"/>
    </row>
    <row r="356" spans="1:39" ht="15.95" customHeight="1">
      <c r="A356" s="648" t="s">
        <v>697</v>
      </c>
      <c r="B356" s="648"/>
      <c r="C356" s="648"/>
      <c r="D356" s="648"/>
      <c r="E356" s="648"/>
      <c r="F356" s="648"/>
      <c r="G356" s="647" t="s">
        <v>713</v>
      </c>
      <c r="H356" s="647"/>
      <c r="I356" s="647"/>
      <c r="J356" s="647" t="s">
        <v>714</v>
      </c>
      <c r="K356" s="647"/>
      <c r="L356" s="647"/>
      <c r="M356" s="648" t="s">
        <v>519</v>
      </c>
      <c r="N356" s="648"/>
      <c r="O356" s="648" t="s">
        <v>715</v>
      </c>
      <c r="P356" s="648"/>
      <c r="Q356" s="648"/>
      <c r="R356" s="647" t="s">
        <v>732</v>
      </c>
      <c r="S356" s="647"/>
      <c r="T356" s="647"/>
      <c r="U356" s="647" t="s">
        <v>734</v>
      </c>
      <c r="V356" s="647"/>
      <c r="W356" s="647"/>
      <c r="X356" s="647" t="s">
        <v>1085</v>
      </c>
      <c r="Y356" s="647"/>
      <c r="Z356" s="647"/>
      <c r="AA356" s="647" t="s">
        <v>1086</v>
      </c>
      <c r="AB356" s="647"/>
      <c r="AC356" s="647"/>
      <c r="AD356" s="647" t="s">
        <v>717</v>
      </c>
      <c r="AE356" s="647"/>
      <c r="AF356" s="647" t="s">
        <v>718</v>
      </c>
      <c r="AG356" s="647"/>
      <c r="AH356" s="647"/>
      <c r="AI356" s="647" t="s">
        <v>719</v>
      </c>
      <c r="AJ356" s="647"/>
      <c r="AK356" s="647" t="s">
        <v>733</v>
      </c>
      <c r="AL356" s="647"/>
      <c r="AM356" s="647"/>
    </row>
    <row r="357" spans="1:39">
      <c r="A357" s="648"/>
      <c r="B357" s="648"/>
      <c r="C357" s="648"/>
      <c r="D357" s="648"/>
      <c r="E357" s="648"/>
      <c r="F357" s="648"/>
      <c r="G357" s="647"/>
      <c r="H357" s="647"/>
      <c r="I357" s="647"/>
      <c r="J357" s="647"/>
      <c r="K357" s="647"/>
      <c r="L357" s="647"/>
      <c r="M357" s="648"/>
      <c r="N357" s="648"/>
      <c r="O357" s="648"/>
      <c r="P357" s="648"/>
      <c r="Q357" s="648"/>
      <c r="R357" s="647"/>
      <c r="S357" s="647"/>
      <c r="T357" s="647"/>
      <c r="U357" s="647"/>
      <c r="V357" s="647"/>
      <c r="W357" s="647"/>
      <c r="X357" s="647"/>
      <c r="Y357" s="647"/>
      <c r="Z357" s="647"/>
      <c r="AA357" s="647"/>
      <c r="AB357" s="647"/>
      <c r="AC357" s="647"/>
      <c r="AD357" s="647"/>
      <c r="AE357" s="647"/>
      <c r="AF357" s="647"/>
      <c r="AG357" s="647"/>
      <c r="AH357" s="647"/>
      <c r="AI357" s="647"/>
      <c r="AJ357" s="647"/>
      <c r="AK357" s="647"/>
      <c r="AL357" s="647"/>
      <c r="AM357" s="647"/>
    </row>
    <row r="358" spans="1:39">
      <c r="A358" s="648"/>
      <c r="B358" s="648"/>
      <c r="C358" s="648"/>
      <c r="D358" s="648"/>
      <c r="E358" s="648"/>
      <c r="F358" s="648"/>
      <c r="G358" s="647"/>
      <c r="H358" s="647"/>
      <c r="I358" s="647"/>
      <c r="J358" s="713"/>
      <c r="K358" s="713"/>
      <c r="L358" s="713"/>
      <c r="M358" s="648"/>
      <c r="N358" s="648"/>
      <c r="O358" s="648"/>
      <c r="P358" s="648"/>
      <c r="Q358" s="648"/>
      <c r="R358" s="647"/>
      <c r="S358" s="647"/>
      <c r="T358" s="647"/>
      <c r="U358" s="647"/>
      <c r="V358" s="647"/>
      <c r="W358" s="647"/>
      <c r="X358" s="647"/>
      <c r="Y358" s="647"/>
      <c r="Z358" s="647"/>
      <c r="AA358" s="647"/>
      <c r="AB358" s="647"/>
      <c r="AC358" s="647"/>
      <c r="AD358" s="647"/>
      <c r="AE358" s="647"/>
      <c r="AF358" s="647"/>
      <c r="AG358" s="647"/>
      <c r="AH358" s="647"/>
      <c r="AI358" s="647"/>
      <c r="AJ358" s="647"/>
      <c r="AK358" s="647"/>
      <c r="AL358" s="647"/>
      <c r="AM358" s="647"/>
    </row>
    <row r="359" spans="1:39" ht="14.1" customHeight="1">
      <c r="A359" s="678" t="str">
        <f>VLOOKUP(AI354,'Contorizare in SDI'!$E:$I,5,FALSE)</f>
        <v>15G1457011065883</v>
      </c>
      <c r="B359" s="679"/>
      <c r="C359" s="679"/>
      <c r="D359" s="679"/>
      <c r="E359" s="679"/>
      <c r="F359" s="680"/>
      <c r="G359" s="648" t="s">
        <v>730</v>
      </c>
      <c r="H359" s="648"/>
      <c r="I359" s="673"/>
      <c r="J359" s="655">
        <f>'Date masura OD'!$AK$5</f>
        <v>45748</v>
      </c>
      <c r="K359" s="656"/>
      <c r="L359" s="657"/>
      <c r="M359" s="720" t="s">
        <v>446</v>
      </c>
      <c r="N359" s="648"/>
      <c r="O359" s="648">
        <f>VLOOKUP(AI354,'Date masura OD'!$G:$BB,2,FALSE)</f>
        <v>30</v>
      </c>
      <c r="P359" s="648"/>
      <c r="Q359" s="648"/>
      <c r="R359" s="647" t="str">
        <f>VLOOKUP(AI354,'Date masura OD'!$G:$BB,20,FALSE)&amp;" ("&amp;VLOOKUP(AI354,'Date masura OD'!$G:$BB,19,FALSE)&amp;")"</f>
        <v>32164.1 (estimare)</v>
      </c>
      <c r="S359" s="647"/>
      <c r="T359" s="647"/>
      <c r="U359" s="647" t="str">
        <f>VLOOKUP(AI354,'Date masura OD'!$G:$BB,21,FALSE)&amp;" ("&amp;VLOOKUP(AI354,'Date masura OD'!$G:$BB,19,FALSE)&amp;")"</f>
        <v>32401.5 (estimare)</v>
      </c>
      <c r="V359" s="647"/>
      <c r="W359" s="647"/>
      <c r="X359" s="647" t="str">
        <f>VLOOKUP(AI354,'Date masura OD'!$G:$BB,26,FALSE)&amp;" ("&amp;VLOOKUP(AI354,'Date masura OD'!$G:$BB,19,FALSE)&amp;")"</f>
        <v>7122 (estimare)</v>
      </c>
      <c r="Y359" s="647"/>
      <c r="Z359" s="647"/>
      <c r="AA359" s="647">
        <f>(-1)*VLOOKUP(AI354,'Date masura OD'!$G:$BB,26,FALSE)</f>
        <v>-7122</v>
      </c>
      <c r="AB359" s="647"/>
      <c r="AC359" s="647"/>
      <c r="AD359" s="647" t="s">
        <v>69</v>
      </c>
      <c r="AE359" s="647"/>
      <c r="AF359" s="647">
        <f>AA359</f>
        <v>-7122</v>
      </c>
      <c r="AG359" s="647"/>
      <c r="AH359" s="647"/>
      <c r="AI359" s="647" t="s">
        <v>69</v>
      </c>
      <c r="AJ359" s="647"/>
      <c r="AK359" s="647" t="s">
        <v>69</v>
      </c>
      <c r="AL359" s="647"/>
      <c r="AM359" s="647"/>
    </row>
    <row r="360" spans="1:39" ht="9.75" customHeight="1">
      <c r="A360" s="717"/>
      <c r="B360" s="718"/>
      <c r="C360" s="718"/>
      <c r="D360" s="718"/>
      <c r="E360" s="718"/>
      <c r="F360" s="719"/>
      <c r="G360" s="648"/>
      <c r="H360" s="648"/>
      <c r="I360" s="673"/>
      <c r="J360" s="717" t="s">
        <v>69</v>
      </c>
      <c r="K360" s="718"/>
      <c r="L360" s="719"/>
      <c r="M360" s="720"/>
      <c r="N360" s="648"/>
      <c r="O360" s="648"/>
      <c r="P360" s="648"/>
      <c r="Q360" s="648"/>
      <c r="R360" s="647"/>
      <c r="S360" s="647"/>
      <c r="T360" s="647"/>
      <c r="U360" s="647"/>
      <c r="V360" s="647"/>
      <c r="W360" s="647"/>
      <c r="X360" s="647"/>
      <c r="Y360" s="647"/>
      <c r="Z360" s="647"/>
      <c r="AA360" s="647"/>
      <c r="AB360" s="647"/>
      <c r="AC360" s="647"/>
      <c r="AD360" s="647"/>
      <c r="AE360" s="647"/>
      <c r="AF360" s="647"/>
      <c r="AG360" s="647"/>
      <c r="AH360" s="647"/>
      <c r="AI360" s="647"/>
      <c r="AJ360" s="647"/>
      <c r="AK360" s="647"/>
      <c r="AL360" s="647"/>
      <c r="AM360" s="647"/>
    </row>
    <row r="361" spans="1:39" ht="14.1" customHeight="1">
      <c r="A361" s="681"/>
      <c r="B361" s="682"/>
      <c r="C361" s="682"/>
      <c r="D361" s="682"/>
      <c r="E361" s="682"/>
      <c r="F361" s="683"/>
      <c r="G361" s="648"/>
      <c r="H361" s="648"/>
      <c r="I361" s="673"/>
      <c r="J361" s="714">
        <f>'Date masura OD'!$AL$5</f>
        <v>45777</v>
      </c>
      <c r="K361" s="715"/>
      <c r="L361" s="716"/>
      <c r="M361" s="720"/>
      <c r="N361" s="648"/>
      <c r="O361" s="648"/>
      <c r="P361" s="648"/>
      <c r="Q361" s="648"/>
      <c r="R361" s="647"/>
      <c r="S361" s="647"/>
      <c r="T361" s="647"/>
      <c r="U361" s="647"/>
      <c r="V361" s="647"/>
      <c r="W361" s="647"/>
      <c r="X361" s="647"/>
      <c r="Y361" s="647"/>
      <c r="Z361" s="647"/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</row>
    <row r="362" spans="1:39" ht="14.1" customHeight="1">
      <c r="A362" s="678" t="str">
        <f>A359</f>
        <v>15G1457011065883</v>
      </c>
      <c r="B362" s="679"/>
      <c r="C362" s="679"/>
      <c r="D362" s="679"/>
      <c r="E362" s="679"/>
      <c r="F362" s="680"/>
      <c r="G362" s="648" t="s">
        <v>696</v>
      </c>
      <c r="H362" s="648"/>
      <c r="I362" s="648"/>
      <c r="J362" s="655">
        <f t="shared" ref="J362:J367" si="19">J359</f>
        <v>45748</v>
      </c>
      <c r="K362" s="656"/>
      <c r="L362" s="657"/>
      <c r="M362" s="648" t="s">
        <v>720</v>
      </c>
      <c r="N362" s="648"/>
      <c r="O362" s="648">
        <f>O359</f>
        <v>30</v>
      </c>
      <c r="P362" s="648"/>
      <c r="Q362" s="648"/>
      <c r="R362" s="647" t="str">
        <f>VLOOKUP(AI354,'Date masura OD'!$G:$BB,22,FALSE)&amp;" ("&amp;VLOOKUP(AI354,'Date masura OD'!$G:$BB,19,FALSE)&amp;")"</f>
        <v>3702.5 (estimare)</v>
      </c>
      <c r="S362" s="647"/>
      <c r="T362" s="647"/>
      <c r="U362" s="647" t="str">
        <f>VLOOKUP(AI354,'Date masura OD'!$G:$BB,23,FALSE)&amp;" ("&amp;VLOOKUP(AI354,'Date masura OD'!$G:$BB,19,FALSE)&amp;")"</f>
        <v>3702.5 (estimare)</v>
      </c>
      <c r="V362" s="647"/>
      <c r="W362" s="647"/>
      <c r="X362" s="647" t="str">
        <f>VLOOKUP(AI354,'Date masura OD'!$G:$BB,27,FALSE)&amp;" ("&amp;VLOOKUP(AI354,'Date masura OD'!$G:$BB,19,FALSE)&amp;")"</f>
        <v>0 (estimare)</v>
      </c>
      <c r="Y362" s="647"/>
      <c r="Z362" s="647"/>
      <c r="AA362" s="647">
        <f>(-1)*VLOOKUP(AI354,'Date masura OD'!$G:$BB,27,FALSE)</f>
        <v>0</v>
      </c>
      <c r="AB362" s="647"/>
      <c r="AC362" s="647"/>
      <c r="AD362" s="647" t="s">
        <v>69</v>
      </c>
      <c r="AE362" s="647"/>
      <c r="AF362" s="647">
        <f>AA362</f>
        <v>0</v>
      </c>
      <c r="AG362" s="647"/>
      <c r="AH362" s="647"/>
      <c r="AI362" s="647" t="str">
        <f>AI359</f>
        <v>-</v>
      </c>
      <c r="AJ362" s="647"/>
      <c r="AK362" s="647" t="str">
        <f>AK359</f>
        <v>-</v>
      </c>
      <c r="AL362" s="647"/>
      <c r="AM362" s="647"/>
    </row>
    <row r="363" spans="1:39" ht="8.4499999999999993" customHeight="1">
      <c r="A363" s="717"/>
      <c r="B363" s="718"/>
      <c r="C363" s="718"/>
      <c r="D363" s="718"/>
      <c r="E363" s="718"/>
      <c r="F363" s="719"/>
      <c r="G363" s="648"/>
      <c r="H363" s="648"/>
      <c r="I363" s="648"/>
      <c r="J363" s="717" t="str">
        <f t="shared" si="19"/>
        <v>-</v>
      </c>
      <c r="K363" s="718"/>
      <c r="L363" s="719"/>
      <c r="M363" s="648"/>
      <c r="N363" s="648"/>
      <c r="O363" s="648"/>
      <c r="P363" s="648"/>
      <c r="Q363" s="648"/>
      <c r="R363" s="647"/>
      <c r="S363" s="647"/>
      <c r="T363" s="647"/>
      <c r="U363" s="647"/>
      <c r="V363" s="647"/>
      <c r="W363" s="647"/>
      <c r="X363" s="647"/>
      <c r="Y363" s="647"/>
      <c r="Z363" s="647"/>
      <c r="AA363" s="647"/>
      <c r="AB363" s="647"/>
      <c r="AC363" s="647"/>
      <c r="AD363" s="647"/>
      <c r="AE363" s="647"/>
      <c r="AF363" s="647"/>
      <c r="AG363" s="647"/>
      <c r="AH363" s="647"/>
      <c r="AI363" s="647"/>
      <c r="AJ363" s="647"/>
      <c r="AK363" s="647"/>
      <c r="AL363" s="647"/>
      <c r="AM363" s="647"/>
    </row>
    <row r="364" spans="1:39" ht="14.1" customHeight="1">
      <c r="A364" s="681"/>
      <c r="B364" s="682"/>
      <c r="C364" s="682"/>
      <c r="D364" s="682"/>
      <c r="E364" s="682"/>
      <c r="F364" s="683"/>
      <c r="G364" s="648"/>
      <c r="H364" s="648"/>
      <c r="I364" s="648"/>
      <c r="J364" s="714">
        <f t="shared" si="19"/>
        <v>45777</v>
      </c>
      <c r="K364" s="715"/>
      <c r="L364" s="716"/>
      <c r="M364" s="648"/>
      <c r="N364" s="648"/>
      <c r="O364" s="648"/>
      <c r="P364" s="648"/>
      <c r="Q364" s="648"/>
      <c r="R364" s="647"/>
      <c r="S364" s="647"/>
      <c r="T364" s="647"/>
      <c r="U364" s="647"/>
      <c r="V364" s="647"/>
      <c r="W364" s="647"/>
      <c r="X364" s="647"/>
      <c r="Y364" s="647"/>
      <c r="Z364" s="647"/>
      <c r="AA364" s="647"/>
      <c r="AB364" s="647"/>
      <c r="AC364" s="647"/>
      <c r="AD364" s="647"/>
      <c r="AE364" s="647"/>
      <c r="AF364" s="647"/>
      <c r="AG364" s="647"/>
      <c r="AH364" s="647"/>
      <c r="AI364" s="647"/>
      <c r="AJ364" s="647"/>
      <c r="AK364" s="647"/>
      <c r="AL364" s="647"/>
      <c r="AM364" s="647"/>
    </row>
    <row r="365" spans="1:39" ht="14.1" customHeight="1">
      <c r="A365" s="678" t="str">
        <f>A362</f>
        <v>15G1457011065883</v>
      </c>
      <c r="B365" s="679"/>
      <c r="C365" s="679"/>
      <c r="D365" s="679"/>
      <c r="E365" s="679"/>
      <c r="F365" s="680"/>
      <c r="G365" s="648" t="s">
        <v>731</v>
      </c>
      <c r="H365" s="648"/>
      <c r="I365" s="648"/>
      <c r="J365" s="655">
        <f t="shared" si="19"/>
        <v>45748</v>
      </c>
      <c r="K365" s="656"/>
      <c r="L365" s="657"/>
      <c r="M365" s="648" t="s">
        <v>720</v>
      </c>
      <c r="N365" s="648"/>
      <c r="O365" s="648">
        <f>O362</f>
        <v>30</v>
      </c>
      <c r="P365" s="648"/>
      <c r="Q365" s="648"/>
      <c r="R365" s="647" t="str">
        <f>VLOOKUP(AI354,'Date masura OD'!$G:$BB,24,FALSE)&amp;" ("&amp;VLOOKUP(AI354,'Date masura OD'!$G:$BB,19,FALSE)&amp;")"</f>
        <v>1397.2 (estimare)</v>
      </c>
      <c r="S365" s="647"/>
      <c r="T365" s="647"/>
      <c r="U365" s="647" t="str">
        <f>VLOOKUP(AI354,'Date masura OD'!$G:$BB,25,FALSE)&amp;" ("&amp;VLOOKUP(AI354,'Date masura OD'!$G:$BB,19,FALSE)&amp;")"</f>
        <v>1397.2 (estimare)</v>
      </c>
      <c r="V365" s="647"/>
      <c r="W365" s="647"/>
      <c r="X365" s="647" t="str">
        <f>VLOOKUP(AI354,'Date masura OD'!$G:$BB,29,FALSE)&amp;" ("&amp;VLOOKUP(AI354,'Date masura OD'!$G:$BB,19,FALSE)&amp;")"</f>
        <v>0 (estimare)</v>
      </c>
      <c r="Y365" s="647"/>
      <c r="Z365" s="647"/>
      <c r="AA365" s="647">
        <f>(-1)*VLOOKUP(AI354,'Date masura OD'!$G:$BB,29,FALSE)</f>
        <v>0</v>
      </c>
      <c r="AB365" s="647"/>
      <c r="AC365" s="647"/>
      <c r="AD365" s="647" t="s">
        <v>69</v>
      </c>
      <c r="AE365" s="647"/>
      <c r="AF365" s="647">
        <f>AA365</f>
        <v>0</v>
      </c>
      <c r="AG365" s="647"/>
      <c r="AH365" s="647"/>
      <c r="AI365" s="647" t="str">
        <f>AI362</f>
        <v>-</v>
      </c>
      <c r="AJ365" s="647"/>
      <c r="AK365" s="647" t="str">
        <f>AK362</f>
        <v>-</v>
      </c>
      <c r="AL365" s="647"/>
      <c r="AM365" s="647"/>
    </row>
    <row r="366" spans="1:39" ht="8.4499999999999993" customHeight="1">
      <c r="A366" s="717"/>
      <c r="B366" s="718"/>
      <c r="C366" s="718"/>
      <c r="D366" s="718"/>
      <c r="E366" s="718"/>
      <c r="F366" s="719"/>
      <c r="G366" s="648"/>
      <c r="H366" s="648"/>
      <c r="I366" s="648"/>
      <c r="J366" s="717" t="str">
        <f t="shared" si="19"/>
        <v>-</v>
      </c>
      <c r="K366" s="718"/>
      <c r="L366" s="719"/>
      <c r="M366" s="648"/>
      <c r="N366" s="648"/>
      <c r="O366" s="648"/>
      <c r="P366" s="648"/>
      <c r="Q366" s="648"/>
      <c r="R366" s="647"/>
      <c r="S366" s="647"/>
      <c r="T366" s="647"/>
      <c r="U366" s="647"/>
      <c r="V366" s="647"/>
      <c r="W366" s="647"/>
      <c r="X366" s="647"/>
      <c r="Y366" s="647"/>
      <c r="Z366" s="647"/>
      <c r="AA366" s="647"/>
      <c r="AB366" s="647"/>
      <c r="AC366" s="647"/>
      <c r="AD366" s="647"/>
      <c r="AE366" s="647"/>
      <c r="AF366" s="647"/>
      <c r="AG366" s="647"/>
      <c r="AH366" s="647"/>
      <c r="AI366" s="647"/>
      <c r="AJ366" s="647"/>
      <c r="AK366" s="647"/>
      <c r="AL366" s="647"/>
      <c r="AM366" s="647"/>
    </row>
    <row r="367" spans="1:39" ht="14.1" customHeight="1">
      <c r="A367" s="681"/>
      <c r="B367" s="682"/>
      <c r="C367" s="682"/>
      <c r="D367" s="682"/>
      <c r="E367" s="682"/>
      <c r="F367" s="683"/>
      <c r="G367" s="648"/>
      <c r="H367" s="648"/>
      <c r="I367" s="648"/>
      <c r="J367" s="714">
        <f t="shared" si="19"/>
        <v>45777</v>
      </c>
      <c r="K367" s="715"/>
      <c r="L367" s="716"/>
      <c r="M367" s="648"/>
      <c r="N367" s="648"/>
      <c r="O367" s="648"/>
      <c r="P367" s="648"/>
      <c r="Q367" s="648"/>
      <c r="R367" s="647"/>
      <c r="S367" s="647"/>
      <c r="T367" s="647"/>
      <c r="U367" s="647"/>
      <c r="V367" s="647"/>
      <c r="W367" s="647"/>
      <c r="X367" s="647"/>
      <c r="Y367" s="647"/>
      <c r="Z367" s="647"/>
      <c r="AA367" s="647"/>
      <c r="AB367" s="647"/>
      <c r="AC367" s="647"/>
      <c r="AD367" s="647"/>
      <c r="AE367" s="647"/>
      <c r="AF367" s="647"/>
      <c r="AG367" s="647"/>
      <c r="AH367" s="647"/>
      <c r="AI367" s="647"/>
      <c r="AJ367" s="647"/>
      <c r="AK367" s="647"/>
      <c r="AL367" s="647"/>
      <c r="AM367" s="647"/>
    </row>
    <row r="368" spans="1:39" ht="14.1" customHeight="1">
      <c r="A368" s="678" t="str">
        <f>A365</f>
        <v>15G1457011065883</v>
      </c>
      <c r="B368" s="679"/>
      <c r="C368" s="679"/>
      <c r="D368" s="679"/>
      <c r="E368" s="679"/>
      <c r="F368" s="680"/>
      <c r="G368" s="648" t="s">
        <v>730</v>
      </c>
      <c r="H368" s="648"/>
      <c r="I368" s="673"/>
      <c r="J368" s="655">
        <f>'Date masura OD'!$AK$5</f>
        <v>45748</v>
      </c>
      <c r="K368" s="656"/>
      <c r="L368" s="657"/>
      <c r="M368" s="720" t="s">
        <v>446</v>
      </c>
      <c r="N368" s="648"/>
      <c r="O368" s="648">
        <f>O365</f>
        <v>30</v>
      </c>
      <c r="P368" s="648"/>
      <c r="Q368" s="648"/>
      <c r="R368" s="647" t="str">
        <f>VLOOKUP(AI354,'Date masura OD'!$G:$BB,35,FALSE)&amp;" ("&amp;VLOOKUP(AI354,'Date masura OD'!$G:$BB,33,FALSE)&amp;")"</f>
        <v>32164.1 (citire)</v>
      </c>
      <c r="S368" s="647"/>
      <c r="T368" s="647"/>
      <c r="U368" s="647" t="str">
        <f>VLOOKUP(AI354,'Date masura OD'!$G:$BB,36,FALSE)&amp;" ("&amp;VLOOKUP(AI354,'Date masura OD'!$G:$BB,33,FALSE)&amp;")"</f>
        <v>32401.5 (citire)</v>
      </c>
      <c r="V368" s="647"/>
      <c r="W368" s="647"/>
      <c r="X368" s="647" t="str">
        <f>VLOOKUP(AI354,'Date masura OD'!$G:$BB,41,FALSE)&amp;" ("&amp;VLOOKUP(AI354,'Date masura OD'!$G:$BB,33,FALSE)&amp;")"</f>
        <v>7122 (citire)</v>
      </c>
      <c r="Y368" s="647"/>
      <c r="Z368" s="647"/>
      <c r="AA368" s="647">
        <f>VLOOKUP(AI354,'Date masura OD'!$G:$BB,41,FALSE)</f>
        <v>7122</v>
      </c>
      <c r="AB368" s="647"/>
      <c r="AC368" s="647"/>
      <c r="AD368" s="647" t="s">
        <v>69</v>
      </c>
      <c r="AE368" s="647"/>
      <c r="AF368" s="647">
        <f>AA368</f>
        <v>7122</v>
      </c>
      <c r="AG368" s="647"/>
      <c r="AH368" s="647"/>
      <c r="AI368" s="647" t="str">
        <f>AI365</f>
        <v>-</v>
      </c>
      <c r="AJ368" s="647"/>
      <c r="AK368" s="647" t="str">
        <f>AK365</f>
        <v>-</v>
      </c>
      <c r="AL368" s="647"/>
      <c r="AM368" s="647"/>
    </row>
    <row r="369" spans="1:39" ht="8.4499999999999993" customHeight="1">
      <c r="A369" s="717"/>
      <c r="B369" s="718"/>
      <c r="C369" s="718"/>
      <c r="D369" s="718"/>
      <c r="E369" s="718"/>
      <c r="F369" s="719"/>
      <c r="G369" s="648"/>
      <c r="H369" s="648"/>
      <c r="I369" s="673"/>
      <c r="J369" s="717" t="s">
        <v>69</v>
      </c>
      <c r="K369" s="718"/>
      <c r="L369" s="719"/>
      <c r="M369" s="720"/>
      <c r="N369" s="648"/>
      <c r="O369" s="648"/>
      <c r="P369" s="648"/>
      <c r="Q369" s="648"/>
      <c r="R369" s="647"/>
      <c r="S369" s="647"/>
      <c r="T369" s="647"/>
      <c r="U369" s="647"/>
      <c r="V369" s="647"/>
      <c r="W369" s="647"/>
      <c r="X369" s="647"/>
      <c r="Y369" s="647"/>
      <c r="Z369" s="647"/>
      <c r="AA369" s="647"/>
      <c r="AB369" s="647"/>
      <c r="AC369" s="647"/>
      <c r="AD369" s="647"/>
      <c r="AE369" s="647"/>
      <c r="AF369" s="647"/>
      <c r="AG369" s="647"/>
      <c r="AH369" s="647"/>
      <c r="AI369" s="647"/>
      <c r="AJ369" s="647"/>
      <c r="AK369" s="647"/>
      <c r="AL369" s="647"/>
      <c r="AM369" s="647"/>
    </row>
    <row r="370" spans="1:39" ht="14.1" customHeight="1">
      <c r="A370" s="681"/>
      <c r="B370" s="682"/>
      <c r="C370" s="682"/>
      <c r="D370" s="682"/>
      <c r="E370" s="682"/>
      <c r="F370" s="683"/>
      <c r="G370" s="648"/>
      <c r="H370" s="648"/>
      <c r="I370" s="673"/>
      <c r="J370" s="714">
        <f>'Date masura OD'!$AL$5</f>
        <v>45777</v>
      </c>
      <c r="K370" s="715"/>
      <c r="L370" s="716"/>
      <c r="M370" s="720"/>
      <c r="N370" s="648"/>
      <c r="O370" s="648"/>
      <c r="P370" s="648"/>
      <c r="Q370" s="648"/>
      <c r="R370" s="647"/>
      <c r="S370" s="647"/>
      <c r="T370" s="647"/>
      <c r="U370" s="647"/>
      <c r="V370" s="647"/>
      <c r="W370" s="647"/>
      <c r="X370" s="647"/>
      <c r="Y370" s="647"/>
      <c r="Z370" s="647"/>
      <c r="AA370" s="647"/>
      <c r="AB370" s="647"/>
      <c r="AC370" s="647"/>
      <c r="AD370" s="647"/>
      <c r="AE370" s="647"/>
      <c r="AF370" s="647"/>
      <c r="AG370" s="647"/>
      <c r="AH370" s="647"/>
      <c r="AI370" s="647"/>
      <c r="AJ370" s="647"/>
      <c r="AK370" s="647"/>
      <c r="AL370" s="647"/>
      <c r="AM370" s="647"/>
    </row>
    <row r="371" spans="1:39" ht="14.1" customHeight="1">
      <c r="A371" s="678" t="str">
        <f>A368</f>
        <v>15G1457011065883</v>
      </c>
      <c r="B371" s="679"/>
      <c r="C371" s="679"/>
      <c r="D371" s="679"/>
      <c r="E371" s="679"/>
      <c r="F371" s="680"/>
      <c r="G371" s="648" t="s">
        <v>696</v>
      </c>
      <c r="H371" s="648"/>
      <c r="I371" s="648"/>
      <c r="J371" s="655">
        <f t="shared" ref="J371:J376" si="20">J368</f>
        <v>45748</v>
      </c>
      <c r="K371" s="656"/>
      <c r="L371" s="657"/>
      <c r="M371" s="648" t="s">
        <v>720</v>
      </c>
      <c r="N371" s="648"/>
      <c r="O371" s="648">
        <f>O368</f>
        <v>30</v>
      </c>
      <c r="P371" s="648"/>
      <c r="Q371" s="648"/>
      <c r="R371" s="647" t="str">
        <f>VLOOKUP(AI354,'Date masura OD'!$G:$BB,37,FALSE)&amp;" ("&amp;VLOOKUP(AI354,'Date masura OD'!$G:$BB,33,FALSE)&amp;")"</f>
        <v>3702.5 (citire)</v>
      </c>
      <c r="S371" s="647"/>
      <c r="T371" s="647"/>
      <c r="U371" s="647" t="str">
        <f>VLOOKUP(AI354,'Date masura OD'!$G:$BB,38,FALSE)&amp;" ("&amp;VLOOKUP(AI354,'Date masura OD'!$G:$BB,33,FALSE)&amp;")"</f>
        <v>3704.1 (citire)</v>
      </c>
      <c r="V371" s="647"/>
      <c r="W371" s="647"/>
      <c r="X371" s="647" t="str">
        <f>VLOOKUP(AI354,'Date masura OD'!$G:$BB,42,FALSE)&amp;" ("&amp;VLOOKUP(AI354,'Date masura OD'!$G:$BB,33,FALSE)&amp;")"</f>
        <v>48 (citire)</v>
      </c>
      <c r="Y371" s="647"/>
      <c r="Z371" s="647"/>
      <c r="AA371" s="647">
        <f>VLOOKUP(AI354,'Date masura OD'!$G:$BB,42,FALSE)</f>
        <v>48</v>
      </c>
      <c r="AB371" s="647"/>
      <c r="AC371" s="647"/>
      <c r="AD371" s="647" t="s">
        <v>69</v>
      </c>
      <c r="AE371" s="647"/>
      <c r="AF371" s="647">
        <f>AA371</f>
        <v>48</v>
      </c>
      <c r="AG371" s="647"/>
      <c r="AH371" s="647"/>
      <c r="AI371" s="647" t="str">
        <f>AI368</f>
        <v>-</v>
      </c>
      <c r="AJ371" s="647"/>
      <c r="AK371" s="647" t="str">
        <f>AK368</f>
        <v>-</v>
      </c>
      <c r="AL371" s="647"/>
      <c r="AM371" s="647"/>
    </row>
    <row r="372" spans="1:39" ht="8.4499999999999993" customHeight="1">
      <c r="A372" s="717"/>
      <c r="B372" s="718"/>
      <c r="C372" s="718"/>
      <c r="D372" s="718"/>
      <c r="E372" s="718"/>
      <c r="F372" s="719"/>
      <c r="G372" s="648"/>
      <c r="H372" s="648"/>
      <c r="I372" s="648"/>
      <c r="J372" s="717" t="str">
        <f t="shared" si="20"/>
        <v>-</v>
      </c>
      <c r="K372" s="718"/>
      <c r="L372" s="719"/>
      <c r="M372" s="648"/>
      <c r="N372" s="648"/>
      <c r="O372" s="648"/>
      <c r="P372" s="648"/>
      <c r="Q372" s="648"/>
      <c r="R372" s="647"/>
      <c r="S372" s="647"/>
      <c r="T372" s="647"/>
      <c r="U372" s="647"/>
      <c r="V372" s="647"/>
      <c r="W372" s="647"/>
      <c r="X372" s="647"/>
      <c r="Y372" s="647"/>
      <c r="Z372" s="647"/>
      <c r="AA372" s="647"/>
      <c r="AB372" s="647"/>
      <c r="AC372" s="647"/>
      <c r="AD372" s="647"/>
      <c r="AE372" s="647"/>
      <c r="AF372" s="647"/>
      <c r="AG372" s="647"/>
      <c r="AH372" s="647"/>
      <c r="AI372" s="647"/>
      <c r="AJ372" s="647"/>
      <c r="AK372" s="647"/>
      <c r="AL372" s="647"/>
      <c r="AM372" s="647"/>
    </row>
    <row r="373" spans="1:39" ht="14.1" customHeight="1">
      <c r="A373" s="681"/>
      <c r="B373" s="682"/>
      <c r="C373" s="682"/>
      <c r="D373" s="682"/>
      <c r="E373" s="682"/>
      <c r="F373" s="683"/>
      <c r="G373" s="648"/>
      <c r="H373" s="648"/>
      <c r="I373" s="648"/>
      <c r="J373" s="714">
        <f t="shared" si="20"/>
        <v>45777</v>
      </c>
      <c r="K373" s="715"/>
      <c r="L373" s="716"/>
      <c r="M373" s="648"/>
      <c r="N373" s="648"/>
      <c r="O373" s="648"/>
      <c r="P373" s="648"/>
      <c r="Q373" s="648"/>
      <c r="R373" s="647"/>
      <c r="S373" s="647"/>
      <c r="T373" s="647"/>
      <c r="U373" s="647"/>
      <c r="V373" s="647"/>
      <c r="W373" s="647"/>
      <c r="X373" s="647"/>
      <c r="Y373" s="647"/>
      <c r="Z373" s="647"/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</row>
    <row r="374" spans="1:39" ht="14.1" customHeight="1">
      <c r="A374" s="678" t="str">
        <f>A371</f>
        <v>15G1457011065883</v>
      </c>
      <c r="B374" s="679"/>
      <c r="C374" s="679"/>
      <c r="D374" s="679"/>
      <c r="E374" s="679"/>
      <c r="F374" s="680"/>
      <c r="G374" s="648" t="s">
        <v>731</v>
      </c>
      <c r="H374" s="648"/>
      <c r="I374" s="648"/>
      <c r="J374" s="655">
        <f t="shared" si="20"/>
        <v>45748</v>
      </c>
      <c r="K374" s="656"/>
      <c r="L374" s="657"/>
      <c r="M374" s="648" t="s">
        <v>720</v>
      </c>
      <c r="N374" s="648"/>
      <c r="O374" s="648">
        <f>O371</f>
        <v>30</v>
      </c>
      <c r="P374" s="648"/>
      <c r="Q374" s="648"/>
      <c r="R374" s="647" t="str">
        <f>VLOOKUP(AI354,'Date masura OD'!$G:$BB,39,FALSE)&amp;" ("&amp;VLOOKUP(AI354,'Date masura OD'!$G:$BB,33,FALSE)&amp;")"</f>
        <v>1397.2 (citire)</v>
      </c>
      <c r="S374" s="647"/>
      <c r="T374" s="647"/>
      <c r="U374" s="647" t="str">
        <f>VLOOKUP(AI354,'Date masura OD'!$G:$BB,40,FALSE)&amp;" ("&amp;VLOOKUP(AI354,'Date masura OD'!$G:$BB,33,FALSE)&amp;")"</f>
        <v>1403.2 (citire)</v>
      </c>
      <c r="V374" s="647"/>
      <c r="W374" s="647"/>
      <c r="X374" s="647" t="str">
        <f>VLOOKUP(AI354,'Date masura OD'!$G:$BB,43,FALSE)&amp;" ("&amp;VLOOKUP(AI354,'Date masura OD'!$G:$BB,33,FALSE)&amp;")"</f>
        <v>180 (citire)</v>
      </c>
      <c r="Y374" s="647"/>
      <c r="Z374" s="647"/>
      <c r="AA374" s="647">
        <f>VLOOKUP(AI354,'Date masura OD'!$G:$BB,43,FALSE)</f>
        <v>180</v>
      </c>
      <c r="AB374" s="647"/>
      <c r="AC374" s="647"/>
      <c r="AD374" s="647" t="s">
        <v>69</v>
      </c>
      <c r="AE374" s="647"/>
      <c r="AF374" s="647">
        <f>AA374</f>
        <v>180</v>
      </c>
      <c r="AG374" s="647"/>
      <c r="AH374" s="647"/>
      <c r="AI374" s="647" t="str">
        <f>AI371</f>
        <v>-</v>
      </c>
      <c r="AJ374" s="647"/>
      <c r="AK374" s="647" t="str">
        <f>AK371</f>
        <v>-</v>
      </c>
      <c r="AL374" s="647"/>
      <c r="AM374" s="647"/>
    </row>
    <row r="375" spans="1:39" ht="8.4499999999999993" customHeight="1">
      <c r="A375" s="717"/>
      <c r="B375" s="718"/>
      <c r="C375" s="718"/>
      <c r="D375" s="718"/>
      <c r="E375" s="718"/>
      <c r="F375" s="719"/>
      <c r="G375" s="648"/>
      <c r="H375" s="648"/>
      <c r="I375" s="648"/>
      <c r="J375" s="717" t="str">
        <f t="shared" si="20"/>
        <v>-</v>
      </c>
      <c r="K375" s="718"/>
      <c r="L375" s="719"/>
      <c r="M375" s="648"/>
      <c r="N375" s="648"/>
      <c r="O375" s="648"/>
      <c r="P375" s="648"/>
      <c r="Q375" s="648"/>
      <c r="R375" s="647"/>
      <c r="S375" s="647"/>
      <c r="T375" s="647"/>
      <c r="U375" s="647"/>
      <c r="V375" s="647"/>
      <c r="W375" s="647"/>
      <c r="X375" s="647"/>
      <c r="Y375" s="647"/>
      <c r="Z375" s="647"/>
      <c r="AA375" s="647"/>
      <c r="AB375" s="647"/>
      <c r="AC375" s="647"/>
      <c r="AD375" s="647"/>
      <c r="AE375" s="647"/>
      <c r="AF375" s="647"/>
      <c r="AG375" s="647"/>
      <c r="AH375" s="647"/>
      <c r="AI375" s="647"/>
      <c r="AJ375" s="647"/>
      <c r="AK375" s="647"/>
      <c r="AL375" s="647"/>
      <c r="AM375" s="647"/>
    </row>
    <row r="376" spans="1:39" ht="14.1" customHeight="1">
      <c r="A376" s="681"/>
      <c r="B376" s="682"/>
      <c r="C376" s="682"/>
      <c r="D376" s="682"/>
      <c r="E376" s="682"/>
      <c r="F376" s="683"/>
      <c r="G376" s="648"/>
      <c r="H376" s="648"/>
      <c r="I376" s="648"/>
      <c r="J376" s="714">
        <f t="shared" si="20"/>
        <v>45777</v>
      </c>
      <c r="K376" s="715"/>
      <c r="L376" s="716"/>
      <c r="M376" s="648"/>
      <c r="N376" s="648"/>
      <c r="O376" s="648"/>
      <c r="P376" s="648"/>
      <c r="Q376" s="648"/>
      <c r="R376" s="647"/>
      <c r="S376" s="647"/>
      <c r="T376" s="647"/>
      <c r="U376" s="647"/>
      <c r="V376" s="647"/>
      <c r="W376" s="647"/>
      <c r="X376" s="647"/>
      <c r="Y376" s="647"/>
      <c r="Z376" s="647"/>
      <c r="AA376" s="647"/>
      <c r="AB376" s="647"/>
      <c r="AC376" s="647"/>
      <c r="AD376" s="647"/>
      <c r="AE376" s="647"/>
      <c r="AF376" s="647"/>
      <c r="AG376" s="647"/>
      <c r="AH376" s="647"/>
      <c r="AI376" s="647"/>
      <c r="AJ376" s="647"/>
      <c r="AK376" s="647"/>
      <c r="AL376" s="647"/>
      <c r="AM376" s="647"/>
    </row>
    <row r="377" spans="1:39" ht="14.1" customHeight="1">
      <c r="A377" s="678" t="str">
        <f>A374</f>
        <v>15G1457011065883</v>
      </c>
      <c r="B377" s="679"/>
      <c r="C377" s="679"/>
      <c r="D377" s="679"/>
      <c r="E377" s="679"/>
      <c r="F377" s="680"/>
      <c r="G377" s="648" t="s">
        <v>730</v>
      </c>
      <c r="H377" s="648"/>
      <c r="I377" s="673"/>
      <c r="J377" s="655">
        <f>'Date masura OD'!$I$5</f>
        <v>45778</v>
      </c>
      <c r="K377" s="656"/>
      <c r="L377" s="657"/>
      <c r="M377" s="720" t="s">
        <v>446</v>
      </c>
      <c r="N377" s="648"/>
      <c r="O377" s="648">
        <f>O374</f>
        <v>30</v>
      </c>
      <c r="P377" s="648"/>
      <c r="Q377" s="648"/>
      <c r="R377" s="647" t="str">
        <f>U368</f>
        <v>32401.5 (citire)</v>
      </c>
      <c r="S377" s="647"/>
      <c r="T377" s="647"/>
      <c r="U377" s="647" t="str">
        <f>VLOOKUP(AI354,'Date masura OD'!$G:$BB,7,FALSE)&amp;" (estimat)"</f>
        <v>32519.6 (estimat)</v>
      </c>
      <c r="V377" s="647"/>
      <c r="W377" s="647"/>
      <c r="X377" s="647" t="str">
        <f>VLOOKUP(AI354,'Date masura OD'!$G:$BB,12,FALSE)&amp;" (estimat)"</f>
        <v>3543 (estimat)</v>
      </c>
      <c r="Y377" s="647"/>
      <c r="Z377" s="647"/>
      <c r="AA377" s="647" t="s">
        <v>69</v>
      </c>
      <c r="AB377" s="647"/>
      <c r="AC377" s="647"/>
      <c r="AD377" s="647" t="s">
        <v>69</v>
      </c>
      <c r="AE377" s="647"/>
      <c r="AF377" s="647">
        <f>VLOOKUP(AI354,'Date masura OD'!$G:$BB,12,FALSE)</f>
        <v>3543</v>
      </c>
      <c r="AG377" s="647"/>
      <c r="AH377" s="647"/>
      <c r="AI377" s="647">
        <f>J379-J377+1</f>
        <v>31</v>
      </c>
      <c r="AJ377" s="647"/>
      <c r="AK377" s="647">
        <f>ROUND(AF377/AI377,2)</f>
        <v>114.29</v>
      </c>
      <c r="AL377" s="647"/>
      <c r="AM377" s="647"/>
    </row>
    <row r="378" spans="1:39" ht="8.4499999999999993" customHeight="1">
      <c r="A378" s="717"/>
      <c r="B378" s="718"/>
      <c r="C378" s="718"/>
      <c r="D378" s="718"/>
      <c r="E378" s="718"/>
      <c r="F378" s="719"/>
      <c r="G378" s="648"/>
      <c r="H378" s="648"/>
      <c r="I378" s="673"/>
      <c r="J378" s="717" t="s">
        <v>69</v>
      </c>
      <c r="K378" s="718"/>
      <c r="L378" s="719"/>
      <c r="M378" s="720"/>
      <c r="N378" s="648"/>
      <c r="O378" s="648"/>
      <c r="P378" s="648"/>
      <c r="Q378" s="648"/>
      <c r="R378" s="647"/>
      <c r="S378" s="647"/>
      <c r="T378" s="647"/>
      <c r="U378" s="647"/>
      <c r="V378" s="647"/>
      <c r="W378" s="647"/>
      <c r="X378" s="647"/>
      <c r="Y378" s="647"/>
      <c r="Z378" s="647"/>
      <c r="AA378" s="647"/>
      <c r="AB378" s="647"/>
      <c r="AC378" s="647"/>
      <c r="AD378" s="647"/>
      <c r="AE378" s="647"/>
      <c r="AF378" s="647"/>
      <c r="AG378" s="647"/>
      <c r="AH378" s="647"/>
      <c r="AI378" s="647"/>
      <c r="AJ378" s="647"/>
      <c r="AK378" s="647"/>
      <c r="AL378" s="647"/>
      <c r="AM378" s="647"/>
    </row>
    <row r="379" spans="1:39" ht="14.1" customHeight="1">
      <c r="A379" s="681"/>
      <c r="B379" s="682"/>
      <c r="C379" s="682"/>
      <c r="D379" s="682"/>
      <c r="E379" s="682"/>
      <c r="F379" s="683"/>
      <c r="G379" s="648"/>
      <c r="H379" s="648"/>
      <c r="I379" s="673"/>
      <c r="J379" s="714">
        <f>'Date masura OD'!$J$5</f>
        <v>45808</v>
      </c>
      <c r="K379" s="715"/>
      <c r="L379" s="716"/>
      <c r="M379" s="720"/>
      <c r="N379" s="648"/>
      <c r="O379" s="648"/>
      <c r="P379" s="648"/>
      <c r="Q379" s="648"/>
      <c r="R379" s="647"/>
      <c r="S379" s="647"/>
      <c r="T379" s="647"/>
      <c r="U379" s="647"/>
      <c r="V379" s="647"/>
      <c r="W379" s="647"/>
      <c r="X379" s="647"/>
      <c r="Y379" s="647"/>
      <c r="Z379" s="647"/>
      <c r="AA379" s="647"/>
      <c r="AB379" s="647"/>
      <c r="AC379" s="647"/>
      <c r="AD379" s="647"/>
      <c r="AE379" s="647"/>
      <c r="AF379" s="647"/>
      <c r="AG379" s="647"/>
      <c r="AH379" s="647"/>
      <c r="AI379" s="647"/>
      <c r="AJ379" s="647"/>
      <c r="AK379" s="647"/>
      <c r="AL379" s="647"/>
      <c r="AM379" s="647"/>
    </row>
    <row r="380" spans="1:39" ht="14.1" customHeight="1">
      <c r="A380" s="678" t="str">
        <f>A377</f>
        <v>15G1457011065883</v>
      </c>
      <c r="B380" s="679"/>
      <c r="C380" s="679"/>
      <c r="D380" s="679"/>
      <c r="E380" s="679"/>
      <c r="F380" s="680"/>
      <c r="G380" s="648" t="s">
        <v>696</v>
      </c>
      <c r="H380" s="648"/>
      <c r="I380" s="648"/>
      <c r="J380" s="655">
        <f t="shared" ref="J380:J385" si="21">J377</f>
        <v>45778</v>
      </c>
      <c r="K380" s="656"/>
      <c r="L380" s="657"/>
      <c r="M380" s="648" t="s">
        <v>720</v>
      </c>
      <c r="N380" s="648"/>
      <c r="O380" s="648">
        <f>O377</f>
        <v>30</v>
      </c>
      <c r="P380" s="648"/>
      <c r="Q380" s="648"/>
      <c r="R380" s="647" t="str">
        <f>U371</f>
        <v>3704.1 (citire)</v>
      </c>
      <c r="S380" s="647"/>
      <c r="T380" s="647"/>
      <c r="U380" s="647" t="str">
        <f>VLOOKUP(AI354,'Date masura OD'!$G:$BB,9,FALSE)&amp;" (estimat)"</f>
        <v>3704.1 (estimat)</v>
      </c>
      <c r="V380" s="647"/>
      <c r="W380" s="647"/>
      <c r="X380" s="647" t="str">
        <f>VLOOKUP(AI354,'Date masura OD'!$G:$BB,13,FALSE)&amp;" (estimat)"</f>
        <v>0 (estimat)</v>
      </c>
      <c r="Y380" s="647"/>
      <c r="Z380" s="647"/>
      <c r="AA380" s="647" t="s">
        <v>69</v>
      </c>
      <c r="AB380" s="647"/>
      <c r="AC380" s="647"/>
      <c r="AD380" s="647" t="s">
        <v>69</v>
      </c>
      <c r="AE380" s="647"/>
      <c r="AF380" s="647">
        <f>VLOOKUP(AI354,'Date masura OD'!$G:$BB,13,FALSE)</f>
        <v>0</v>
      </c>
      <c r="AG380" s="647"/>
      <c r="AH380" s="647"/>
      <c r="AI380" s="647">
        <f>AI377</f>
        <v>31</v>
      </c>
      <c r="AJ380" s="647"/>
      <c r="AK380" s="647">
        <f>ROUND(AF380/AI380,2)</f>
        <v>0</v>
      </c>
      <c r="AL380" s="647"/>
      <c r="AM380" s="647"/>
    </row>
    <row r="381" spans="1:39" ht="8.4499999999999993" customHeight="1">
      <c r="A381" s="717"/>
      <c r="B381" s="718"/>
      <c r="C381" s="718"/>
      <c r="D381" s="718"/>
      <c r="E381" s="718"/>
      <c r="F381" s="719"/>
      <c r="G381" s="648"/>
      <c r="H381" s="648"/>
      <c r="I381" s="648"/>
      <c r="J381" s="717" t="str">
        <f t="shared" si="21"/>
        <v>-</v>
      </c>
      <c r="K381" s="718"/>
      <c r="L381" s="719"/>
      <c r="M381" s="648"/>
      <c r="N381" s="648"/>
      <c r="O381" s="648"/>
      <c r="P381" s="648"/>
      <c r="Q381" s="648"/>
      <c r="R381" s="647"/>
      <c r="S381" s="647"/>
      <c r="T381" s="647"/>
      <c r="U381" s="647"/>
      <c r="V381" s="647"/>
      <c r="W381" s="647"/>
      <c r="X381" s="647"/>
      <c r="Y381" s="647"/>
      <c r="Z381" s="647"/>
      <c r="AA381" s="647"/>
      <c r="AB381" s="647"/>
      <c r="AC381" s="647"/>
      <c r="AD381" s="647"/>
      <c r="AE381" s="647"/>
      <c r="AF381" s="647"/>
      <c r="AG381" s="647"/>
      <c r="AH381" s="647"/>
      <c r="AI381" s="647"/>
      <c r="AJ381" s="647"/>
      <c r="AK381" s="647"/>
      <c r="AL381" s="647"/>
      <c r="AM381" s="647"/>
    </row>
    <row r="382" spans="1:39" ht="14.1" customHeight="1">
      <c r="A382" s="681"/>
      <c r="B382" s="682"/>
      <c r="C382" s="682"/>
      <c r="D382" s="682"/>
      <c r="E382" s="682"/>
      <c r="F382" s="683"/>
      <c r="G382" s="648"/>
      <c r="H382" s="648"/>
      <c r="I382" s="648"/>
      <c r="J382" s="714">
        <f t="shared" si="21"/>
        <v>45808</v>
      </c>
      <c r="K382" s="715"/>
      <c r="L382" s="716"/>
      <c r="M382" s="648"/>
      <c r="N382" s="648"/>
      <c r="O382" s="648"/>
      <c r="P382" s="648"/>
      <c r="Q382" s="648"/>
      <c r="R382" s="647"/>
      <c r="S382" s="647"/>
      <c r="T382" s="647"/>
      <c r="U382" s="647"/>
      <c r="V382" s="647"/>
      <c r="W382" s="647"/>
      <c r="X382" s="647"/>
      <c r="Y382" s="647"/>
      <c r="Z382" s="647"/>
      <c r="AA382" s="647"/>
      <c r="AB382" s="647"/>
      <c r="AC382" s="647"/>
      <c r="AD382" s="647"/>
      <c r="AE382" s="647"/>
      <c r="AF382" s="647"/>
      <c r="AG382" s="647"/>
      <c r="AH382" s="647"/>
      <c r="AI382" s="647"/>
      <c r="AJ382" s="647"/>
      <c r="AK382" s="647"/>
      <c r="AL382" s="647"/>
      <c r="AM382" s="647"/>
    </row>
    <row r="383" spans="1:39" ht="14.1" customHeight="1">
      <c r="A383" s="678" t="str">
        <f>A380</f>
        <v>15G1457011065883</v>
      </c>
      <c r="B383" s="679"/>
      <c r="C383" s="679"/>
      <c r="D383" s="679"/>
      <c r="E383" s="679"/>
      <c r="F383" s="680"/>
      <c r="G383" s="648" t="s">
        <v>731</v>
      </c>
      <c r="H383" s="648"/>
      <c r="I383" s="648"/>
      <c r="J383" s="655">
        <f t="shared" si="21"/>
        <v>45778</v>
      </c>
      <c r="K383" s="656"/>
      <c r="L383" s="657"/>
      <c r="M383" s="648" t="s">
        <v>720</v>
      </c>
      <c r="N383" s="648"/>
      <c r="O383" s="648">
        <f>O380</f>
        <v>30</v>
      </c>
      <c r="P383" s="648"/>
      <c r="Q383" s="648"/>
      <c r="R383" s="647" t="str">
        <f>U374</f>
        <v>1403.2 (citire)</v>
      </c>
      <c r="S383" s="647"/>
      <c r="T383" s="647"/>
      <c r="U383" s="647" t="str">
        <f>VLOOKUP(AI354,'Date masura OD'!$G:$BB,11,FALSE)&amp;" (estimat)"</f>
        <v>1403.2 (estimat)</v>
      </c>
      <c r="V383" s="647"/>
      <c r="W383" s="647"/>
      <c r="X383" s="647" t="str">
        <f>VLOOKUP(AI354,'Date masura OD'!$G:$BB,15,FALSE)&amp;" (estimat)"</f>
        <v>0 (estimat)</v>
      </c>
      <c r="Y383" s="647"/>
      <c r="Z383" s="647"/>
      <c r="AA383" s="647" t="s">
        <v>69</v>
      </c>
      <c r="AB383" s="647"/>
      <c r="AC383" s="647"/>
      <c r="AD383" s="647" t="s">
        <v>69</v>
      </c>
      <c r="AE383" s="647"/>
      <c r="AF383" s="647">
        <f>VLOOKUP(AI354,'Date masura OD'!$G:$BB,15,FALSE)</f>
        <v>0</v>
      </c>
      <c r="AG383" s="647"/>
      <c r="AH383" s="647"/>
      <c r="AI383" s="647">
        <f>AI380</f>
        <v>31</v>
      </c>
      <c r="AJ383" s="647"/>
      <c r="AK383" s="647">
        <f>ROUND(AF383/AI383,2)</f>
        <v>0</v>
      </c>
      <c r="AL383" s="647"/>
      <c r="AM383" s="647"/>
    </row>
    <row r="384" spans="1:39" ht="8.4499999999999993" customHeight="1">
      <c r="A384" s="717"/>
      <c r="B384" s="718"/>
      <c r="C384" s="718"/>
      <c r="D384" s="718"/>
      <c r="E384" s="718"/>
      <c r="F384" s="719"/>
      <c r="G384" s="648"/>
      <c r="H384" s="648"/>
      <c r="I384" s="648"/>
      <c r="J384" s="717" t="str">
        <f t="shared" si="21"/>
        <v>-</v>
      </c>
      <c r="K384" s="718"/>
      <c r="L384" s="719"/>
      <c r="M384" s="648"/>
      <c r="N384" s="648"/>
      <c r="O384" s="648"/>
      <c r="P384" s="648"/>
      <c r="Q384" s="648"/>
      <c r="R384" s="647"/>
      <c r="S384" s="647"/>
      <c r="T384" s="647"/>
      <c r="U384" s="647"/>
      <c r="V384" s="647"/>
      <c r="W384" s="647"/>
      <c r="X384" s="647"/>
      <c r="Y384" s="647"/>
      <c r="Z384" s="647"/>
      <c r="AA384" s="647"/>
      <c r="AB384" s="647"/>
      <c r="AC384" s="647"/>
      <c r="AD384" s="647"/>
      <c r="AE384" s="647"/>
      <c r="AF384" s="647"/>
      <c r="AG384" s="647"/>
      <c r="AH384" s="647"/>
      <c r="AI384" s="647"/>
      <c r="AJ384" s="647"/>
      <c r="AK384" s="647"/>
      <c r="AL384" s="647"/>
      <c r="AM384" s="647"/>
    </row>
    <row r="385" spans="1:39" ht="14.1" customHeight="1">
      <c r="A385" s="681"/>
      <c r="B385" s="682"/>
      <c r="C385" s="682"/>
      <c r="D385" s="682"/>
      <c r="E385" s="682"/>
      <c r="F385" s="683"/>
      <c r="G385" s="648"/>
      <c r="H385" s="648"/>
      <c r="I385" s="648"/>
      <c r="J385" s="714">
        <f t="shared" si="21"/>
        <v>45808</v>
      </c>
      <c r="K385" s="715"/>
      <c r="L385" s="716"/>
      <c r="M385" s="648"/>
      <c r="N385" s="648"/>
      <c r="O385" s="648"/>
      <c r="P385" s="648"/>
      <c r="Q385" s="648"/>
      <c r="R385" s="647"/>
      <c r="S385" s="647"/>
      <c r="T385" s="647"/>
      <c r="U385" s="647"/>
      <c r="V385" s="647"/>
      <c r="W385" s="647"/>
      <c r="X385" s="647"/>
      <c r="Y385" s="647"/>
      <c r="Z385" s="647"/>
      <c r="AA385" s="647"/>
      <c r="AB385" s="647"/>
      <c r="AC385" s="647"/>
      <c r="AD385" s="647"/>
      <c r="AE385" s="647"/>
      <c r="AF385" s="647"/>
      <c r="AG385" s="647"/>
      <c r="AH385" s="647"/>
      <c r="AI385" s="647"/>
      <c r="AJ385" s="647"/>
      <c r="AK385" s="647"/>
      <c r="AL385" s="647"/>
      <c r="AM385" s="647"/>
    </row>
    <row r="386" spans="1:39" ht="14.1" customHeight="1"/>
    <row r="387" spans="1:39" ht="14.1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1:39" ht="14.1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1:39" ht="14.1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1:39" ht="14.1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1:39" ht="14.1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1:39" ht="14.1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1:39" ht="14.1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1:39" ht="14.1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1:39" ht="14.1" customHeight="1"/>
    <row r="396" spans="1:39" ht="14.1" customHeight="1"/>
    <row r="397" spans="1:39" ht="14.1" customHeight="1"/>
    <row r="398" spans="1:39" ht="14.1" customHeight="1"/>
    <row r="399" spans="1:39" ht="15.95" customHeight="1">
      <c r="A399" s="624" t="str">
        <f>A28</f>
        <v>DETALII FACTURA FACTURA FISCALA SERIA …........ NR …................. din date de ….......06.2025</v>
      </c>
      <c r="B399" s="624"/>
      <c r="C399" s="624"/>
      <c r="D399" s="624"/>
      <c r="E399" s="624"/>
      <c r="F399" s="624"/>
      <c r="G399" s="624"/>
      <c r="H399" s="624"/>
      <c r="I399" s="624"/>
      <c r="J399" s="624"/>
      <c r="K399" s="624"/>
      <c r="L399" s="624"/>
      <c r="M399" s="624"/>
      <c r="N399" s="624"/>
      <c r="O399" s="624"/>
      <c r="P399" s="624"/>
      <c r="Q399" s="624"/>
      <c r="R399" s="624"/>
      <c r="S399" s="624"/>
      <c r="T399" s="624"/>
      <c r="U399" s="624"/>
      <c r="V399" s="624"/>
      <c r="W399" s="624"/>
      <c r="X399" s="624"/>
      <c r="Y399" s="624"/>
      <c r="Z399" s="624"/>
      <c r="AA399" s="624"/>
      <c r="AB399" s="624"/>
      <c r="AC399" s="624"/>
      <c r="AD399" s="624"/>
      <c r="AE399" s="624"/>
      <c r="AF399" s="624"/>
      <c r="AG399" s="624"/>
      <c r="AH399" s="624"/>
      <c r="AI399" s="624"/>
      <c r="AJ399" s="624"/>
      <c r="AK399" s="624"/>
      <c r="AL399" s="624"/>
      <c r="AM399" s="624"/>
    </row>
    <row r="401" spans="1:39" ht="36" customHeight="1">
      <c r="A401" s="66" t="s">
        <v>721</v>
      </c>
      <c r="B401" s="648" t="s">
        <v>95</v>
      </c>
      <c r="C401" s="648"/>
      <c r="D401" s="648"/>
      <c r="E401" s="648"/>
      <c r="F401" s="648"/>
      <c r="G401" s="648"/>
      <c r="H401" s="648"/>
      <c r="I401" s="648"/>
      <c r="J401" s="648"/>
      <c r="K401" s="648"/>
      <c r="L401" s="64" t="s">
        <v>709</v>
      </c>
      <c r="M401" s="69"/>
      <c r="N401" s="69"/>
      <c r="O401" s="64"/>
      <c r="P401" s="69"/>
      <c r="Q401" s="69"/>
      <c r="R401" s="647" t="s">
        <v>722</v>
      </c>
      <c r="S401" s="647"/>
      <c r="T401" s="647"/>
      <c r="U401" s="647"/>
      <c r="V401" s="648" t="s">
        <v>519</v>
      </c>
      <c r="W401" s="648"/>
      <c r="X401" s="647" t="s">
        <v>723</v>
      </c>
      <c r="Y401" s="647"/>
      <c r="Z401" s="647"/>
      <c r="AA401" s="647"/>
      <c r="AB401" s="647" t="s">
        <v>724</v>
      </c>
      <c r="AC401" s="647"/>
      <c r="AD401" s="647"/>
      <c r="AE401" s="647"/>
      <c r="AF401" s="647" t="s">
        <v>725</v>
      </c>
      <c r="AG401" s="647"/>
      <c r="AH401" s="647"/>
      <c r="AI401" s="647"/>
      <c r="AJ401" s="647" t="s">
        <v>726</v>
      </c>
      <c r="AK401" s="647"/>
      <c r="AL401" s="647"/>
      <c r="AM401" s="647"/>
    </row>
    <row r="402" spans="1:39" ht="15.95" customHeight="1">
      <c r="A402" s="65">
        <v>1</v>
      </c>
      <c r="B402" s="699" t="s">
        <v>71</v>
      </c>
      <c r="C402" s="700"/>
      <c r="D402" s="700"/>
      <c r="E402" s="700"/>
      <c r="F402" s="700"/>
      <c r="G402" s="700"/>
      <c r="H402" s="700"/>
      <c r="I402" s="700"/>
      <c r="J402" s="700"/>
      <c r="K402" s="701"/>
      <c r="L402" s="702">
        <f>'Date masura OD'!$I$5</f>
        <v>45778</v>
      </c>
      <c r="M402" s="702"/>
      <c r="N402" s="702"/>
      <c r="O402" s="702">
        <f>'Date masura OD'!$J$5</f>
        <v>45808</v>
      </c>
      <c r="P402" s="702"/>
      <c r="Q402" s="702"/>
      <c r="R402" s="690" cm="1">
        <f t="array" ref="R402">INDEX(verificare!$AT$4:$CC$26,VLOOKUP($AA$15,verificare!$AR$4:$AS$26,2,FALSE),A402)</f>
        <v>1390723</v>
      </c>
      <c r="S402" s="690"/>
      <c r="T402" s="690"/>
      <c r="U402" s="690"/>
      <c r="V402" s="658" t="s">
        <v>446</v>
      </c>
      <c r="W402" s="658"/>
      <c r="X402" s="691">
        <f>HLOOKUP(VLOOKUP($AA$15,'Date SPV'!$B:$F,5,FALSE),'Preturi si tarife'!$C$2:$J$39,A402+2,FALSE)</f>
        <v>0.59499999999999997</v>
      </c>
      <c r="Y402" s="692"/>
      <c r="Z402" s="692"/>
      <c r="AA402" s="693"/>
      <c r="AB402" s="690">
        <f>ROUND(X402*R402,2)</f>
        <v>827480.19</v>
      </c>
      <c r="AC402" s="690"/>
      <c r="AD402" s="690"/>
      <c r="AE402" s="690"/>
      <c r="AF402" s="690">
        <f>ROUND(AB402*19%,2)</f>
        <v>157221.24</v>
      </c>
      <c r="AG402" s="690"/>
      <c r="AH402" s="690"/>
      <c r="AI402" s="690"/>
      <c r="AJ402" s="690">
        <f>AB402+AF402</f>
        <v>984701.42999999993</v>
      </c>
      <c r="AK402" s="690"/>
      <c r="AL402" s="690"/>
      <c r="AM402" s="690"/>
    </row>
    <row r="403" spans="1:39">
      <c r="A403" s="65">
        <f>A402+1</f>
        <v>2</v>
      </c>
      <c r="B403" s="699" t="s">
        <v>72</v>
      </c>
      <c r="C403" s="700"/>
      <c r="D403" s="700"/>
      <c r="E403" s="700"/>
      <c r="F403" s="700"/>
      <c r="G403" s="700"/>
      <c r="H403" s="700"/>
      <c r="I403" s="700"/>
      <c r="J403" s="700"/>
      <c r="K403" s="701"/>
      <c r="L403" s="702">
        <f>L402</f>
        <v>45778</v>
      </c>
      <c r="M403" s="702"/>
      <c r="N403" s="702"/>
      <c r="O403" s="702">
        <f>O402</f>
        <v>45808</v>
      </c>
      <c r="P403" s="702"/>
      <c r="Q403" s="702"/>
      <c r="R403" s="772" cm="1">
        <f t="array" ref="R403">INDEX(verificare!$AT$4:$CC$26,VLOOKUP($AA$15,verificare!$AR$4:$AS$26,2,FALSE),A403)</f>
        <v>0</v>
      </c>
      <c r="S403" s="773"/>
      <c r="T403" s="773"/>
      <c r="U403" s="774"/>
      <c r="V403" s="658" t="s">
        <v>727</v>
      </c>
      <c r="W403" s="658"/>
      <c r="X403" s="691">
        <f>HLOOKUP(VLOOKUP($AA$15,'Date SPV'!$B:$F,5,FALSE),'Preturi si tarife'!$C$2:$J$39,A403+2,FALSE)</f>
        <v>0.14660000000000001</v>
      </c>
      <c r="Y403" s="692"/>
      <c r="Z403" s="692"/>
      <c r="AA403" s="693"/>
      <c r="AB403" s="690">
        <f t="shared" ref="AB403:AB437" si="22">ROUND(X403*R403,2)</f>
        <v>0</v>
      </c>
      <c r="AC403" s="690"/>
      <c r="AD403" s="690"/>
      <c r="AE403" s="690"/>
      <c r="AF403" s="690">
        <f t="shared" ref="AF403:AF438" si="23">ROUND(AB403*19%,2)</f>
        <v>0</v>
      </c>
      <c r="AG403" s="690"/>
      <c r="AH403" s="690"/>
      <c r="AI403" s="690"/>
      <c r="AJ403" s="690">
        <f t="shared" ref="AJ403:AJ438" si="24">AB403+AF403</f>
        <v>0</v>
      </c>
      <c r="AK403" s="690"/>
      <c r="AL403" s="690"/>
      <c r="AM403" s="690"/>
    </row>
    <row r="404" spans="1:39">
      <c r="A404" s="65">
        <f t="shared" ref="A404:A438" si="25">A403+1</f>
        <v>3</v>
      </c>
      <c r="B404" s="699" t="s">
        <v>73</v>
      </c>
      <c r="C404" s="700"/>
      <c r="D404" s="700"/>
      <c r="E404" s="700"/>
      <c r="F404" s="700"/>
      <c r="G404" s="700"/>
      <c r="H404" s="700"/>
      <c r="I404" s="700"/>
      <c r="J404" s="700"/>
      <c r="K404" s="701"/>
      <c r="L404" s="702">
        <f t="shared" ref="L404:L419" si="26">L403</f>
        <v>45778</v>
      </c>
      <c r="M404" s="702"/>
      <c r="N404" s="702"/>
      <c r="O404" s="702">
        <f t="shared" ref="O404:O419" si="27">O403</f>
        <v>45808</v>
      </c>
      <c r="P404" s="702"/>
      <c r="Q404" s="702"/>
      <c r="R404" s="772" cm="1">
        <f t="array" ref="R404">INDEX(verificare!$AT$4:$CC$26,VLOOKUP($AA$15,verificare!$AR$4:$AS$26,2,FALSE),A404)</f>
        <v>0</v>
      </c>
      <c r="S404" s="773"/>
      <c r="T404" s="773"/>
      <c r="U404" s="774"/>
      <c r="V404" s="658" t="s">
        <v>727</v>
      </c>
      <c r="W404" s="658"/>
      <c r="X404" s="691">
        <f>HLOOKUP(VLOOKUP($AA$15,'Date SPV'!$B:$F,5,FALSE),'Preturi si tarife'!$C$2:$J$39,A404+2,FALSE)</f>
        <v>0.43980000000000002</v>
      </c>
      <c r="Y404" s="692"/>
      <c r="Z404" s="692"/>
      <c r="AA404" s="693"/>
      <c r="AB404" s="690">
        <f t="shared" si="22"/>
        <v>0</v>
      </c>
      <c r="AC404" s="690"/>
      <c r="AD404" s="690"/>
      <c r="AE404" s="690"/>
      <c r="AF404" s="690">
        <f t="shared" si="23"/>
        <v>0</v>
      </c>
      <c r="AG404" s="690"/>
      <c r="AH404" s="690"/>
      <c r="AI404" s="690"/>
      <c r="AJ404" s="690">
        <f t="shared" si="24"/>
        <v>0</v>
      </c>
      <c r="AK404" s="690"/>
      <c r="AL404" s="690"/>
      <c r="AM404" s="690"/>
    </row>
    <row r="405" spans="1:39" ht="15.95" customHeight="1">
      <c r="A405" s="65">
        <f t="shared" si="25"/>
        <v>4</v>
      </c>
      <c r="B405" s="699" t="s">
        <v>868</v>
      </c>
      <c r="C405" s="700"/>
      <c r="D405" s="700"/>
      <c r="E405" s="700"/>
      <c r="F405" s="700"/>
      <c r="G405" s="700"/>
      <c r="H405" s="700"/>
      <c r="I405" s="700"/>
      <c r="J405" s="700"/>
      <c r="K405" s="701"/>
      <c r="L405" s="702">
        <f t="shared" si="26"/>
        <v>45778</v>
      </c>
      <c r="M405" s="702"/>
      <c r="N405" s="702"/>
      <c r="O405" s="702">
        <f t="shared" si="27"/>
        <v>45808</v>
      </c>
      <c r="P405" s="702"/>
      <c r="Q405" s="702"/>
      <c r="R405" s="772" cm="1">
        <f t="array" ref="R405">INDEX(verificare!$AT$4:$CC$26,VLOOKUP($AA$15,verificare!$AR$4:$AS$26,2,FALSE),A405)</f>
        <v>1390723</v>
      </c>
      <c r="S405" s="773"/>
      <c r="T405" s="773"/>
      <c r="U405" s="774"/>
      <c r="V405" s="658" t="s">
        <v>446</v>
      </c>
      <c r="W405" s="658"/>
      <c r="X405" s="691">
        <f>HLOOKUP(VLOOKUP($AA$15,'Date SPV'!$B:$F,5,FALSE),'Preturi si tarife'!$C$2:$J$39,A405+2,FALSE)</f>
        <v>8.6180000000000007E-2</v>
      </c>
      <c r="Y405" s="692"/>
      <c r="Z405" s="692"/>
      <c r="AA405" s="693"/>
      <c r="AB405" s="690">
        <f t="shared" si="22"/>
        <v>119852.51</v>
      </c>
      <c r="AC405" s="690"/>
      <c r="AD405" s="690"/>
      <c r="AE405" s="690"/>
      <c r="AF405" s="690">
        <f t="shared" si="23"/>
        <v>22771.98</v>
      </c>
      <c r="AG405" s="690"/>
      <c r="AH405" s="690"/>
      <c r="AI405" s="690"/>
      <c r="AJ405" s="690">
        <f t="shared" si="24"/>
        <v>142624.49</v>
      </c>
      <c r="AK405" s="690"/>
      <c r="AL405" s="690"/>
      <c r="AM405" s="690"/>
    </row>
    <row r="406" spans="1:39">
      <c r="A406" s="65">
        <f t="shared" si="25"/>
        <v>5</v>
      </c>
      <c r="B406" s="699" t="s">
        <v>757</v>
      </c>
      <c r="C406" s="700"/>
      <c r="D406" s="700"/>
      <c r="E406" s="700"/>
      <c r="F406" s="700"/>
      <c r="G406" s="700"/>
      <c r="H406" s="700"/>
      <c r="I406" s="700"/>
      <c r="J406" s="700"/>
      <c r="K406" s="701"/>
      <c r="L406" s="702">
        <f t="shared" si="26"/>
        <v>45778</v>
      </c>
      <c r="M406" s="702"/>
      <c r="N406" s="702"/>
      <c r="O406" s="702">
        <f t="shared" si="27"/>
        <v>45808</v>
      </c>
      <c r="P406" s="702"/>
      <c r="Q406" s="702"/>
      <c r="R406" s="772" cm="1">
        <f t="array" ref="R406">INDEX(verificare!$AT$4:$CC$26,VLOOKUP($AA$15,verificare!$AR$4:$AS$26,2,FALSE),A406)</f>
        <v>4154</v>
      </c>
      <c r="S406" s="773"/>
      <c r="T406" s="773"/>
      <c r="U406" s="774"/>
      <c r="V406" s="658" t="s">
        <v>446</v>
      </c>
      <c r="W406" s="658"/>
      <c r="X406" s="691">
        <f>HLOOKUP(VLOOKUP($AA$15,'Date SPV'!$B:$F,5,FALSE),'Preturi si tarife'!$C$2:$J$39,A406+2,FALSE)</f>
        <v>0.2079</v>
      </c>
      <c r="Y406" s="692"/>
      <c r="Z406" s="692"/>
      <c r="AA406" s="693"/>
      <c r="AB406" s="690">
        <f t="shared" si="22"/>
        <v>863.62</v>
      </c>
      <c r="AC406" s="690"/>
      <c r="AD406" s="690"/>
      <c r="AE406" s="690"/>
      <c r="AF406" s="690">
        <f t="shared" si="23"/>
        <v>164.09</v>
      </c>
      <c r="AG406" s="690"/>
      <c r="AH406" s="690"/>
      <c r="AI406" s="690"/>
      <c r="AJ406" s="690">
        <f t="shared" si="24"/>
        <v>1027.71</v>
      </c>
      <c r="AK406" s="690"/>
      <c r="AL406" s="690"/>
      <c r="AM406" s="690"/>
    </row>
    <row r="407" spans="1:39" ht="15.95" customHeight="1">
      <c r="A407" s="65">
        <f t="shared" si="25"/>
        <v>6</v>
      </c>
      <c r="B407" s="699" t="s">
        <v>74</v>
      </c>
      <c r="C407" s="700"/>
      <c r="D407" s="700"/>
      <c r="E407" s="700"/>
      <c r="F407" s="700"/>
      <c r="G407" s="700"/>
      <c r="H407" s="700"/>
      <c r="I407" s="700"/>
      <c r="J407" s="700"/>
      <c r="K407" s="701"/>
      <c r="L407" s="702">
        <f t="shared" si="26"/>
        <v>45778</v>
      </c>
      <c r="M407" s="702"/>
      <c r="N407" s="702"/>
      <c r="O407" s="702">
        <f t="shared" si="27"/>
        <v>45808</v>
      </c>
      <c r="P407" s="702"/>
      <c r="Q407" s="702"/>
      <c r="R407" s="772" cm="1">
        <f t="array" ref="R407">INDEX(verificare!$AT$4:$CC$26,VLOOKUP($AA$15,verificare!$AR$4:$AS$26,2,FALSE),A407)</f>
        <v>1390723</v>
      </c>
      <c r="S407" s="773"/>
      <c r="T407" s="773"/>
      <c r="U407" s="774"/>
      <c r="V407" s="658" t="s">
        <v>446</v>
      </c>
      <c r="W407" s="658"/>
      <c r="X407" s="691">
        <f>HLOOKUP(VLOOKUP($AA$15,'Date SPV'!$B:$F,5,FALSE),'Preturi si tarife'!$C$2:$J$39,A407+2,FALSE)</f>
        <v>1.1509999999999999E-2</v>
      </c>
      <c r="Y407" s="692"/>
      <c r="Z407" s="692"/>
      <c r="AA407" s="693"/>
      <c r="AB407" s="690">
        <f t="shared" si="22"/>
        <v>16007.22</v>
      </c>
      <c r="AC407" s="690"/>
      <c r="AD407" s="690"/>
      <c r="AE407" s="690"/>
      <c r="AF407" s="690">
        <f t="shared" si="23"/>
        <v>3041.37</v>
      </c>
      <c r="AG407" s="690"/>
      <c r="AH407" s="690"/>
      <c r="AI407" s="690"/>
      <c r="AJ407" s="690">
        <f t="shared" si="24"/>
        <v>19048.59</v>
      </c>
      <c r="AK407" s="690"/>
      <c r="AL407" s="690"/>
      <c r="AM407" s="690"/>
    </row>
    <row r="408" spans="1:39" ht="15.95" customHeight="1">
      <c r="A408" s="65">
        <f t="shared" si="25"/>
        <v>7</v>
      </c>
      <c r="B408" s="699" t="s">
        <v>75</v>
      </c>
      <c r="C408" s="700"/>
      <c r="D408" s="700"/>
      <c r="E408" s="700"/>
      <c r="F408" s="700"/>
      <c r="G408" s="700"/>
      <c r="H408" s="700"/>
      <c r="I408" s="700"/>
      <c r="J408" s="700"/>
      <c r="K408" s="701"/>
      <c r="L408" s="702">
        <f t="shared" si="26"/>
        <v>45778</v>
      </c>
      <c r="M408" s="702"/>
      <c r="N408" s="702"/>
      <c r="O408" s="702">
        <f t="shared" si="27"/>
        <v>45808</v>
      </c>
      <c r="P408" s="702"/>
      <c r="Q408" s="702"/>
      <c r="R408" s="772" cm="1">
        <f t="array" ref="R408">INDEX(verificare!$AT$4:$CC$26,VLOOKUP($AA$15,verificare!$AR$4:$AS$26,2,FALSE),A408)</f>
        <v>1390723</v>
      </c>
      <c r="S408" s="773"/>
      <c r="T408" s="773"/>
      <c r="U408" s="774"/>
      <c r="V408" s="658" t="s">
        <v>446</v>
      </c>
      <c r="W408" s="658"/>
      <c r="X408" s="691">
        <f>HLOOKUP(VLOOKUP($AA$15,'Date SPV'!$B:$F,5,FALSE),'Preturi si tarife'!$C$2:$J$39,A408+2,FALSE)</f>
        <v>3.3030000000000004E-2</v>
      </c>
      <c r="Y408" s="692"/>
      <c r="Z408" s="692"/>
      <c r="AA408" s="693"/>
      <c r="AB408" s="690">
        <f t="shared" si="22"/>
        <v>45935.58</v>
      </c>
      <c r="AC408" s="690"/>
      <c r="AD408" s="690"/>
      <c r="AE408" s="690"/>
      <c r="AF408" s="690">
        <f t="shared" si="23"/>
        <v>8727.76</v>
      </c>
      <c r="AG408" s="690"/>
      <c r="AH408" s="690"/>
      <c r="AI408" s="690"/>
      <c r="AJ408" s="690">
        <f t="shared" si="24"/>
        <v>54663.340000000004</v>
      </c>
      <c r="AK408" s="690"/>
      <c r="AL408" s="690"/>
      <c r="AM408" s="690"/>
    </row>
    <row r="409" spans="1:39" ht="15.95" customHeight="1">
      <c r="A409" s="65">
        <f t="shared" si="25"/>
        <v>8</v>
      </c>
      <c r="B409" s="699" t="s">
        <v>76</v>
      </c>
      <c r="C409" s="700"/>
      <c r="D409" s="700"/>
      <c r="E409" s="700"/>
      <c r="F409" s="700"/>
      <c r="G409" s="700"/>
      <c r="H409" s="700"/>
      <c r="I409" s="700"/>
      <c r="J409" s="700"/>
      <c r="K409" s="701"/>
      <c r="L409" s="702">
        <f t="shared" si="26"/>
        <v>45778</v>
      </c>
      <c r="M409" s="702"/>
      <c r="N409" s="702"/>
      <c r="O409" s="702">
        <f t="shared" si="27"/>
        <v>45808</v>
      </c>
      <c r="P409" s="702"/>
      <c r="Q409" s="702"/>
      <c r="R409" s="772" cm="1">
        <f t="array" ref="R409">INDEX(verificare!$AT$4:$CC$26,VLOOKUP($AA$15,verificare!$AR$4:$AS$26,2,FALSE),A409)</f>
        <v>1390723</v>
      </c>
      <c r="S409" s="773"/>
      <c r="T409" s="773"/>
      <c r="U409" s="774"/>
      <c r="V409" s="658" t="s">
        <v>446</v>
      </c>
      <c r="W409" s="658"/>
      <c r="X409" s="691">
        <f>HLOOKUP(VLOOKUP($AA$15,'Date SPV'!$B:$F,5,FALSE),'Preturi si tarife'!$C$2:$J$39,A409+2,FALSE)</f>
        <v>3.29E-3</v>
      </c>
      <c r="Y409" s="692"/>
      <c r="Z409" s="692"/>
      <c r="AA409" s="693"/>
      <c r="AB409" s="690">
        <f t="shared" si="22"/>
        <v>4575.4799999999996</v>
      </c>
      <c r="AC409" s="690"/>
      <c r="AD409" s="690"/>
      <c r="AE409" s="690"/>
      <c r="AF409" s="690">
        <f t="shared" si="23"/>
        <v>869.34</v>
      </c>
      <c r="AG409" s="690"/>
      <c r="AH409" s="690"/>
      <c r="AI409" s="690"/>
      <c r="AJ409" s="690">
        <f t="shared" si="24"/>
        <v>5444.82</v>
      </c>
      <c r="AK409" s="690"/>
      <c r="AL409" s="690"/>
      <c r="AM409" s="690"/>
    </row>
    <row r="410" spans="1:39" ht="15.95" customHeight="1">
      <c r="A410" s="65">
        <f t="shared" si="25"/>
        <v>9</v>
      </c>
      <c r="B410" s="699" t="s">
        <v>77</v>
      </c>
      <c r="C410" s="700"/>
      <c r="D410" s="700"/>
      <c r="E410" s="700"/>
      <c r="F410" s="700"/>
      <c r="G410" s="700"/>
      <c r="H410" s="700"/>
      <c r="I410" s="700"/>
      <c r="J410" s="700"/>
      <c r="K410" s="701"/>
      <c r="L410" s="702">
        <f t="shared" si="26"/>
        <v>45778</v>
      </c>
      <c r="M410" s="702"/>
      <c r="N410" s="702"/>
      <c r="O410" s="702">
        <f t="shared" si="27"/>
        <v>45808</v>
      </c>
      <c r="P410" s="702"/>
      <c r="Q410" s="702"/>
      <c r="R410" s="772" cm="1">
        <f t="array" ref="R410">INDEX(verificare!$AT$4:$CC$26,VLOOKUP($AA$15,verificare!$AR$4:$AS$26,2,FALSE),A410)</f>
        <v>1390723</v>
      </c>
      <c r="S410" s="773"/>
      <c r="T410" s="773"/>
      <c r="U410" s="774"/>
      <c r="V410" s="658" t="s">
        <v>446</v>
      </c>
      <c r="W410" s="658"/>
      <c r="X410" s="691">
        <f>HLOOKUP(VLOOKUP($AA$15,'Date SPV'!$B:$F,5,FALSE),'Preturi si tarife'!$C$2:$J$39,A410+2,FALSE)</f>
        <v>3.5000000000000001E-3</v>
      </c>
      <c r="Y410" s="692"/>
      <c r="Z410" s="692"/>
      <c r="AA410" s="693"/>
      <c r="AB410" s="690">
        <f t="shared" si="22"/>
        <v>4867.53</v>
      </c>
      <c r="AC410" s="690"/>
      <c r="AD410" s="690"/>
      <c r="AE410" s="690"/>
      <c r="AF410" s="690">
        <f t="shared" si="23"/>
        <v>924.83</v>
      </c>
      <c r="AG410" s="690"/>
      <c r="AH410" s="690"/>
      <c r="AI410" s="690"/>
      <c r="AJ410" s="690">
        <f t="shared" si="24"/>
        <v>5792.36</v>
      </c>
      <c r="AK410" s="690"/>
      <c r="AL410" s="690"/>
      <c r="AM410" s="690"/>
    </row>
    <row r="411" spans="1:39" ht="15.95" customHeight="1">
      <c r="A411" s="65">
        <f t="shared" si="25"/>
        <v>10</v>
      </c>
      <c r="B411" s="699" t="s">
        <v>78</v>
      </c>
      <c r="C411" s="700"/>
      <c r="D411" s="700"/>
      <c r="E411" s="700"/>
      <c r="F411" s="700"/>
      <c r="G411" s="700"/>
      <c r="H411" s="700"/>
      <c r="I411" s="700"/>
      <c r="J411" s="700"/>
      <c r="K411" s="701"/>
      <c r="L411" s="702">
        <f t="shared" si="26"/>
        <v>45778</v>
      </c>
      <c r="M411" s="702"/>
      <c r="N411" s="702"/>
      <c r="O411" s="702">
        <f t="shared" si="27"/>
        <v>45808</v>
      </c>
      <c r="P411" s="702"/>
      <c r="Q411" s="702"/>
      <c r="R411" s="772" cm="1">
        <f t="array" ref="R411">INDEX(verificare!$AT$4:$CC$26,VLOOKUP($AA$15,verificare!$AR$4:$AS$26,2,FALSE),A411)</f>
        <v>1390723</v>
      </c>
      <c r="S411" s="773"/>
      <c r="T411" s="773"/>
      <c r="U411" s="774"/>
      <c r="V411" s="658" t="s">
        <v>446</v>
      </c>
      <c r="W411" s="658"/>
      <c r="X411" s="691">
        <f>HLOOKUP(VLOOKUP($AA$15,'Date SPV'!$B:$F,5,FALSE),'Preturi si tarife'!$C$2:$J$39,A411+2,FALSE)</f>
        <v>7.2541599999999998E-2</v>
      </c>
      <c r="Y411" s="692"/>
      <c r="Z411" s="692"/>
      <c r="AA411" s="693"/>
      <c r="AB411" s="690">
        <f t="shared" si="22"/>
        <v>100885.27</v>
      </c>
      <c r="AC411" s="690"/>
      <c r="AD411" s="690"/>
      <c r="AE411" s="690"/>
      <c r="AF411" s="690">
        <f t="shared" si="23"/>
        <v>19168.2</v>
      </c>
      <c r="AG411" s="690"/>
      <c r="AH411" s="690"/>
      <c r="AI411" s="690"/>
      <c r="AJ411" s="690">
        <f t="shared" si="24"/>
        <v>120053.47</v>
      </c>
      <c r="AK411" s="690"/>
      <c r="AL411" s="690"/>
      <c r="AM411" s="690"/>
    </row>
    <row r="412" spans="1:39" ht="15.95" customHeight="1">
      <c r="A412" s="65">
        <f t="shared" si="25"/>
        <v>11</v>
      </c>
      <c r="B412" s="699" t="s">
        <v>1313</v>
      </c>
      <c r="C412" s="700"/>
      <c r="D412" s="700"/>
      <c r="E412" s="700"/>
      <c r="F412" s="700"/>
      <c r="G412" s="700"/>
      <c r="H412" s="700"/>
      <c r="I412" s="700"/>
      <c r="J412" s="700"/>
      <c r="K412" s="701"/>
      <c r="L412" s="702">
        <f t="shared" si="26"/>
        <v>45778</v>
      </c>
      <c r="M412" s="702"/>
      <c r="N412" s="702"/>
      <c r="O412" s="702">
        <f t="shared" si="27"/>
        <v>45808</v>
      </c>
      <c r="P412" s="702"/>
      <c r="Q412" s="702"/>
      <c r="R412" s="772" cm="1">
        <f t="array" ref="R412">INDEX(verificare!$AT$4:$CC$26,VLOOKUP($AA$15,verificare!$AR$4:$AS$26,2,FALSE),A412)</f>
        <v>1390723</v>
      </c>
      <c r="S412" s="773"/>
      <c r="T412" s="773"/>
      <c r="U412" s="774"/>
      <c r="V412" s="658" t="s">
        <v>446</v>
      </c>
      <c r="W412" s="658"/>
      <c r="X412" s="691">
        <f>HLOOKUP(VLOOKUP($AA$15,'Date SPV'!$B:$F,5,FALSE),'Preturi si tarife'!$C$2:$J$39,A412+2,FALSE)</f>
        <v>2.0599999999999999E-4</v>
      </c>
      <c r="Y412" s="692"/>
      <c r="Z412" s="692"/>
      <c r="AA412" s="693"/>
      <c r="AB412" s="690">
        <f t="shared" si="22"/>
        <v>286.49</v>
      </c>
      <c r="AC412" s="690"/>
      <c r="AD412" s="690"/>
      <c r="AE412" s="690"/>
      <c r="AF412" s="690">
        <f t="shared" si="23"/>
        <v>54.43</v>
      </c>
      <c r="AG412" s="690"/>
      <c r="AH412" s="690"/>
      <c r="AI412" s="690"/>
      <c r="AJ412" s="690">
        <f t="shared" si="24"/>
        <v>340.92</v>
      </c>
      <c r="AK412" s="690"/>
      <c r="AL412" s="690"/>
      <c r="AM412" s="690"/>
    </row>
    <row r="413" spans="1:39" ht="15.95" customHeight="1">
      <c r="A413" s="65">
        <f t="shared" si="25"/>
        <v>12</v>
      </c>
      <c r="B413" s="699" t="s">
        <v>79</v>
      </c>
      <c r="C413" s="700"/>
      <c r="D413" s="700"/>
      <c r="E413" s="700"/>
      <c r="F413" s="700"/>
      <c r="G413" s="700"/>
      <c r="H413" s="700"/>
      <c r="I413" s="700"/>
      <c r="J413" s="700"/>
      <c r="K413" s="701"/>
      <c r="L413" s="763">
        <f t="shared" si="26"/>
        <v>45778</v>
      </c>
      <c r="M413" s="764"/>
      <c r="N413" s="765"/>
      <c r="O413" s="763">
        <f t="shared" si="27"/>
        <v>45808</v>
      </c>
      <c r="P413" s="764"/>
      <c r="Q413" s="765"/>
      <c r="R413" s="772" cm="1">
        <f t="array" ref="R413">INDEX(verificare!$AT$4:$CC$26,VLOOKUP($AA$15,verificare!$AR$4:$AS$26,2,FALSE),A413)</f>
        <v>1390723</v>
      </c>
      <c r="S413" s="773"/>
      <c r="T413" s="773"/>
      <c r="U413" s="774"/>
      <c r="V413" s="724" t="s">
        <v>446</v>
      </c>
      <c r="W413" s="725"/>
      <c r="X413" s="691">
        <f>HLOOKUP(VLOOKUP($AA$15,'Date SPV'!$B:$F,5,FALSE),'Preturi si tarife'!$C$2:$J$39,A413+2,FALSE)</f>
        <v>0</v>
      </c>
      <c r="Y413" s="692"/>
      <c r="Z413" s="692"/>
      <c r="AA413" s="693"/>
      <c r="AB413" s="772">
        <f t="shared" si="22"/>
        <v>0</v>
      </c>
      <c r="AC413" s="773"/>
      <c r="AD413" s="773"/>
      <c r="AE413" s="774"/>
      <c r="AF413" s="772">
        <f t="shared" si="23"/>
        <v>0</v>
      </c>
      <c r="AG413" s="773"/>
      <c r="AH413" s="773"/>
      <c r="AI413" s="774"/>
      <c r="AJ413" s="772">
        <f t="shared" si="24"/>
        <v>0</v>
      </c>
      <c r="AK413" s="773"/>
      <c r="AL413" s="773"/>
      <c r="AM413" s="774"/>
    </row>
    <row r="414" spans="1:39" ht="15.95" customHeight="1">
      <c r="A414" s="65">
        <f t="shared" si="25"/>
        <v>13</v>
      </c>
      <c r="B414" s="699" t="s">
        <v>80</v>
      </c>
      <c r="C414" s="700"/>
      <c r="D414" s="700"/>
      <c r="E414" s="700"/>
      <c r="F414" s="700"/>
      <c r="G414" s="700"/>
      <c r="H414" s="700"/>
      <c r="I414" s="700"/>
      <c r="J414" s="700"/>
      <c r="K414" s="701"/>
      <c r="L414" s="702">
        <f>L412</f>
        <v>45778</v>
      </c>
      <c r="M414" s="702"/>
      <c r="N414" s="702"/>
      <c r="O414" s="702">
        <f>O412</f>
        <v>45808</v>
      </c>
      <c r="P414" s="702"/>
      <c r="Q414" s="702"/>
      <c r="R414" s="772" cm="1">
        <f t="array" ref="R414">INDEX(verificare!$AT$4:$CC$26,VLOOKUP($AA$15,verificare!$AR$4:$AS$26,2,FALSE),A414)</f>
        <v>1323209</v>
      </c>
      <c r="S414" s="773"/>
      <c r="T414" s="773"/>
      <c r="U414" s="774"/>
      <c r="V414" s="658" t="s">
        <v>446</v>
      </c>
      <c r="W414" s="658"/>
      <c r="X414" s="691">
        <f>HLOOKUP(VLOOKUP($AA$15,'Date SPV'!$B:$F,5,FALSE),'Preturi si tarife'!$C$2:$J$39,A414+2,FALSE)</f>
        <v>1.1300000000000001E-2</v>
      </c>
      <c r="Y414" s="692"/>
      <c r="Z414" s="692"/>
      <c r="AA414" s="693"/>
      <c r="AB414" s="690">
        <f t="shared" si="22"/>
        <v>14952.26</v>
      </c>
      <c r="AC414" s="690"/>
      <c r="AD414" s="690"/>
      <c r="AE414" s="690"/>
      <c r="AF414" s="690">
        <f t="shared" si="23"/>
        <v>2840.93</v>
      </c>
      <c r="AG414" s="690"/>
      <c r="AH414" s="690"/>
      <c r="AI414" s="690"/>
      <c r="AJ414" s="690">
        <f t="shared" si="24"/>
        <v>17793.189999999999</v>
      </c>
      <c r="AK414" s="690"/>
      <c r="AL414" s="690"/>
      <c r="AM414" s="690"/>
    </row>
    <row r="415" spans="1:39">
      <c r="A415" s="65">
        <f t="shared" si="25"/>
        <v>14</v>
      </c>
      <c r="B415" s="699" t="s">
        <v>81</v>
      </c>
      <c r="C415" s="700"/>
      <c r="D415" s="700"/>
      <c r="E415" s="700"/>
      <c r="F415" s="700"/>
      <c r="G415" s="700"/>
      <c r="H415" s="700"/>
      <c r="I415" s="700"/>
      <c r="J415" s="700"/>
      <c r="K415" s="701"/>
      <c r="L415" s="702">
        <f t="shared" si="26"/>
        <v>45778</v>
      </c>
      <c r="M415" s="702"/>
      <c r="N415" s="702"/>
      <c r="O415" s="702">
        <f t="shared" si="27"/>
        <v>45808</v>
      </c>
      <c r="P415" s="702"/>
      <c r="Q415" s="702"/>
      <c r="R415" s="772" cm="1">
        <f t="array" ref="R415">INDEX(verificare!$AT$4:$CC$26,VLOOKUP($AA$15,verificare!$AR$4:$AS$26,2,FALSE),A415)</f>
        <v>1323209</v>
      </c>
      <c r="S415" s="773"/>
      <c r="T415" s="773"/>
      <c r="U415" s="774"/>
      <c r="V415" s="658" t="s">
        <v>446</v>
      </c>
      <c r="W415" s="658"/>
      <c r="X415" s="691">
        <f>HLOOKUP(VLOOKUP($AA$15,'Date SPV'!$B:$F,5,FALSE),'Preturi si tarife'!$C$2:$J$39,A415+2,FALSE)</f>
        <v>8.4099999999999994E-2</v>
      </c>
      <c r="Y415" s="692"/>
      <c r="Z415" s="692"/>
      <c r="AA415" s="693"/>
      <c r="AB415" s="690">
        <f t="shared" si="22"/>
        <v>111281.88</v>
      </c>
      <c r="AC415" s="690"/>
      <c r="AD415" s="690"/>
      <c r="AE415" s="690"/>
      <c r="AF415" s="690">
        <f t="shared" si="23"/>
        <v>21143.56</v>
      </c>
      <c r="AG415" s="690"/>
      <c r="AH415" s="690"/>
      <c r="AI415" s="690"/>
      <c r="AJ415" s="690">
        <f t="shared" si="24"/>
        <v>132425.44</v>
      </c>
      <c r="AK415" s="690"/>
      <c r="AL415" s="690"/>
      <c r="AM415" s="690"/>
    </row>
    <row r="416" spans="1:39">
      <c r="A416" s="65">
        <f t="shared" si="25"/>
        <v>15</v>
      </c>
      <c r="B416" s="699" t="s">
        <v>82</v>
      </c>
      <c r="C416" s="700"/>
      <c r="D416" s="700"/>
      <c r="E416" s="700"/>
      <c r="F416" s="700"/>
      <c r="G416" s="700"/>
      <c r="H416" s="700"/>
      <c r="I416" s="700"/>
      <c r="J416" s="700"/>
      <c r="K416" s="701"/>
      <c r="L416" s="702">
        <f t="shared" si="26"/>
        <v>45778</v>
      </c>
      <c r="M416" s="702"/>
      <c r="N416" s="702"/>
      <c r="O416" s="702">
        <f t="shared" si="27"/>
        <v>45808</v>
      </c>
      <c r="P416" s="702"/>
      <c r="Q416" s="702"/>
      <c r="R416" s="690" cm="1">
        <f t="array" ref="R416">INDEX(verificare!$AT$4:$CC$26,VLOOKUP($AA$15,verificare!$AR$4:$AS$26,2,FALSE),A416)</f>
        <v>64628</v>
      </c>
      <c r="S416" s="690"/>
      <c r="T416" s="690"/>
      <c r="U416" s="690"/>
      <c r="V416" s="658" t="s">
        <v>446</v>
      </c>
      <c r="W416" s="658"/>
      <c r="X416" s="691">
        <f>HLOOKUP(VLOOKUP($AA$15,'Date SPV'!$B:$F,5,FALSE),'Preturi si tarife'!$C$2:$J$39,A416+2,FALSE)</f>
        <v>0.90065760000000006</v>
      </c>
      <c r="Y416" s="692"/>
      <c r="Z416" s="692"/>
      <c r="AA416" s="693"/>
      <c r="AB416" s="690">
        <f t="shared" si="22"/>
        <v>58207.7</v>
      </c>
      <c r="AC416" s="690"/>
      <c r="AD416" s="690"/>
      <c r="AE416" s="690"/>
      <c r="AF416" s="690">
        <f t="shared" si="23"/>
        <v>11059.46</v>
      </c>
      <c r="AG416" s="690"/>
      <c r="AH416" s="690"/>
      <c r="AI416" s="690"/>
      <c r="AJ416" s="690">
        <f t="shared" si="24"/>
        <v>69267.16</v>
      </c>
      <c r="AK416" s="690"/>
      <c r="AL416" s="690"/>
      <c r="AM416" s="690"/>
    </row>
    <row r="417" spans="1:39" ht="15.95" customHeight="1">
      <c r="A417" s="65">
        <f t="shared" si="25"/>
        <v>16</v>
      </c>
      <c r="B417" s="699" t="s">
        <v>83</v>
      </c>
      <c r="C417" s="700"/>
      <c r="D417" s="700"/>
      <c r="E417" s="700"/>
      <c r="F417" s="700"/>
      <c r="G417" s="700"/>
      <c r="H417" s="700"/>
      <c r="I417" s="700"/>
      <c r="J417" s="700"/>
      <c r="K417" s="701"/>
      <c r="L417" s="702">
        <f t="shared" si="26"/>
        <v>45778</v>
      </c>
      <c r="M417" s="702"/>
      <c r="N417" s="702"/>
      <c r="O417" s="702">
        <f t="shared" si="27"/>
        <v>45808</v>
      </c>
      <c r="P417" s="702"/>
      <c r="Q417" s="702"/>
      <c r="R417" s="690" cm="1">
        <f t="array" ref="R417">INDEX(verificare!$AT$4:$CC$26,VLOOKUP($AA$15,verificare!$AR$4:$AS$26,2,FALSE),A417)</f>
        <v>0</v>
      </c>
      <c r="S417" s="690"/>
      <c r="T417" s="690"/>
      <c r="U417" s="690"/>
      <c r="V417" s="658" t="s">
        <v>446</v>
      </c>
      <c r="W417" s="658"/>
      <c r="X417" s="691">
        <f>HLOOKUP(VLOOKUP($AA$15,'Date SPV'!$B:$F,5,FALSE),'Preturi si tarife'!$C$2:$J$39,A417+2,FALSE)</f>
        <v>0.80525760000000002</v>
      </c>
      <c r="Y417" s="692"/>
      <c r="Z417" s="692"/>
      <c r="AA417" s="693"/>
      <c r="AB417" s="690">
        <f t="shared" si="22"/>
        <v>0</v>
      </c>
      <c r="AC417" s="690"/>
      <c r="AD417" s="690"/>
      <c r="AE417" s="690"/>
      <c r="AF417" s="690">
        <f t="shared" si="23"/>
        <v>0</v>
      </c>
      <c r="AG417" s="690"/>
      <c r="AH417" s="690"/>
      <c r="AI417" s="690"/>
      <c r="AJ417" s="690">
        <f t="shared" si="24"/>
        <v>0</v>
      </c>
      <c r="AK417" s="690"/>
      <c r="AL417" s="690"/>
      <c r="AM417" s="690"/>
    </row>
    <row r="418" spans="1:39" ht="15.95" customHeight="1">
      <c r="A418" s="65">
        <f t="shared" si="25"/>
        <v>17</v>
      </c>
      <c r="B418" s="699" t="s">
        <v>1129</v>
      </c>
      <c r="C418" s="700"/>
      <c r="D418" s="700"/>
      <c r="E418" s="700"/>
      <c r="F418" s="700"/>
      <c r="G418" s="700"/>
      <c r="H418" s="700"/>
      <c r="I418" s="700"/>
      <c r="J418" s="700"/>
      <c r="K418" s="701"/>
      <c r="L418" s="702">
        <f t="shared" si="26"/>
        <v>45778</v>
      </c>
      <c r="M418" s="702"/>
      <c r="N418" s="702"/>
      <c r="O418" s="702">
        <f t="shared" si="27"/>
        <v>45808</v>
      </c>
      <c r="P418" s="702"/>
      <c r="Q418" s="702"/>
      <c r="R418" s="690" cm="1">
        <f t="array" ref="R418">INDEX(verificare!$AT$4:$CC$26,VLOOKUP($AA$15,verificare!$AR$4:$AS$26,2,FALSE),A418)</f>
        <v>0</v>
      </c>
      <c r="S418" s="690"/>
      <c r="T418" s="690"/>
      <c r="U418" s="690"/>
      <c r="V418" s="658" t="s">
        <v>446</v>
      </c>
      <c r="W418" s="658"/>
      <c r="X418" s="691">
        <f>HLOOKUP(VLOOKUP($AA$15,'Date SPV'!$B:$F,5,FALSE),'Preturi si tarife'!$C$2:$J$39,A418+2,FALSE)</f>
        <v>1.1300000000000001E-2</v>
      </c>
      <c r="Y418" s="692"/>
      <c r="Z418" s="692"/>
      <c r="AA418" s="693"/>
      <c r="AB418" s="690">
        <f t="shared" si="22"/>
        <v>0</v>
      </c>
      <c r="AC418" s="690"/>
      <c r="AD418" s="690"/>
      <c r="AE418" s="690"/>
      <c r="AF418" s="690">
        <f t="shared" si="23"/>
        <v>0</v>
      </c>
      <c r="AG418" s="690"/>
      <c r="AH418" s="690"/>
      <c r="AI418" s="690"/>
      <c r="AJ418" s="690">
        <f t="shared" si="24"/>
        <v>0</v>
      </c>
      <c r="AK418" s="690"/>
      <c r="AL418" s="690"/>
      <c r="AM418" s="690"/>
    </row>
    <row r="419" spans="1:39" ht="15.95" customHeight="1">
      <c r="A419" s="65">
        <f t="shared" si="25"/>
        <v>18</v>
      </c>
      <c r="B419" s="699" t="s">
        <v>1130</v>
      </c>
      <c r="C419" s="700"/>
      <c r="D419" s="700"/>
      <c r="E419" s="700"/>
      <c r="F419" s="700"/>
      <c r="G419" s="700"/>
      <c r="H419" s="700"/>
      <c r="I419" s="700"/>
      <c r="J419" s="700"/>
      <c r="K419" s="701"/>
      <c r="L419" s="702">
        <f t="shared" si="26"/>
        <v>45778</v>
      </c>
      <c r="M419" s="702"/>
      <c r="N419" s="702"/>
      <c r="O419" s="702">
        <f t="shared" si="27"/>
        <v>45808</v>
      </c>
      <c r="P419" s="702"/>
      <c r="Q419" s="702"/>
      <c r="R419" s="690" cm="1">
        <f t="array" ref="R419">INDEX(verificare!$AT$4:$CC$26,VLOOKUP($AA$15,verificare!$AR$4:$AS$26,2,FALSE),A419)</f>
        <v>0</v>
      </c>
      <c r="S419" s="690"/>
      <c r="T419" s="690"/>
      <c r="U419" s="690"/>
      <c r="V419" s="658" t="s">
        <v>446</v>
      </c>
      <c r="W419" s="658"/>
      <c r="X419" s="691">
        <f>HLOOKUP(VLOOKUP($AA$15,'Date SPV'!$B:$F,5,FALSE),'Preturi si tarife'!$C$2:$J$39,A419+2,FALSE)</f>
        <v>8.4099999999999994E-2</v>
      </c>
      <c r="Y419" s="692"/>
      <c r="Z419" s="692"/>
      <c r="AA419" s="693"/>
      <c r="AB419" s="690">
        <f t="shared" si="22"/>
        <v>0</v>
      </c>
      <c r="AC419" s="690"/>
      <c r="AD419" s="690"/>
      <c r="AE419" s="690"/>
      <c r="AF419" s="690">
        <f t="shared" si="23"/>
        <v>0</v>
      </c>
      <c r="AG419" s="690"/>
      <c r="AH419" s="690"/>
      <c r="AI419" s="690"/>
      <c r="AJ419" s="690">
        <f t="shared" si="24"/>
        <v>0</v>
      </c>
      <c r="AK419" s="690"/>
      <c r="AL419" s="690"/>
      <c r="AM419" s="690"/>
    </row>
    <row r="420" spans="1:39">
      <c r="A420" s="65">
        <f t="shared" si="25"/>
        <v>19</v>
      </c>
      <c r="B420" s="699" t="s">
        <v>99</v>
      </c>
      <c r="C420" s="700"/>
      <c r="D420" s="700"/>
      <c r="E420" s="700"/>
      <c r="F420" s="700"/>
      <c r="G420" s="700"/>
      <c r="H420" s="700"/>
      <c r="I420" s="700"/>
      <c r="J420" s="700"/>
      <c r="K420" s="701"/>
      <c r="L420" s="702">
        <f>'Date masura OD'!$W$5</f>
        <v>45748</v>
      </c>
      <c r="M420" s="702"/>
      <c r="N420" s="702"/>
      <c r="O420" s="702">
        <f>'Date masura OD'!$X$5</f>
        <v>45777</v>
      </c>
      <c r="P420" s="702"/>
      <c r="Q420" s="702"/>
      <c r="R420" s="690" cm="1">
        <f t="array" ref="R420">INDEX(verificare!$AT$4:$CC$26,VLOOKUP($AA$15,verificare!$AR$4:$AS$26,2,FALSE),A420)</f>
        <v>0</v>
      </c>
      <c r="S420" s="690"/>
      <c r="T420" s="690"/>
      <c r="U420" s="690"/>
      <c r="V420" s="658" t="s">
        <v>446</v>
      </c>
      <c r="W420" s="658"/>
      <c r="X420" s="691">
        <f>HLOOKUP(VLOOKUP($AA$15,'Date SPV'!$B:$F,5,FALSE),'Preturi si tarife'!$C$2:$J$39,A420+2,FALSE)</f>
        <v>0.59499999999999997</v>
      </c>
      <c r="Y420" s="692"/>
      <c r="Z420" s="692"/>
      <c r="AA420" s="693"/>
      <c r="AB420" s="690">
        <f t="shared" si="22"/>
        <v>0</v>
      </c>
      <c r="AC420" s="690"/>
      <c r="AD420" s="690"/>
      <c r="AE420" s="690"/>
      <c r="AF420" s="690">
        <f t="shared" si="23"/>
        <v>0</v>
      </c>
      <c r="AG420" s="690"/>
      <c r="AH420" s="690"/>
      <c r="AI420" s="690"/>
      <c r="AJ420" s="690">
        <f t="shared" si="24"/>
        <v>0</v>
      </c>
      <c r="AK420" s="690"/>
      <c r="AL420" s="690"/>
      <c r="AM420" s="690"/>
    </row>
    <row r="421" spans="1:39">
      <c r="A421" s="65">
        <f t="shared" si="25"/>
        <v>20</v>
      </c>
      <c r="B421" s="699" t="s">
        <v>100</v>
      </c>
      <c r="C421" s="700"/>
      <c r="D421" s="700"/>
      <c r="E421" s="700"/>
      <c r="F421" s="700"/>
      <c r="G421" s="700"/>
      <c r="H421" s="700"/>
      <c r="I421" s="700"/>
      <c r="J421" s="700"/>
      <c r="K421" s="701"/>
      <c r="L421" s="702">
        <f>L420</f>
        <v>45748</v>
      </c>
      <c r="M421" s="702"/>
      <c r="N421" s="702"/>
      <c r="O421" s="702">
        <f t="shared" ref="O421:O437" si="28">O420</f>
        <v>45777</v>
      </c>
      <c r="P421" s="702"/>
      <c r="Q421" s="702"/>
      <c r="R421" s="690" cm="1">
        <f t="array" ref="R421">INDEX(verificare!$AT$4:$CC$26,VLOOKUP($AA$15,verificare!$AR$4:$AS$26,2,FALSE),A421)</f>
        <v>0</v>
      </c>
      <c r="S421" s="690"/>
      <c r="T421" s="690"/>
      <c r="U421" s="690"/>
      <c r="V421" s="658" t="s">
        <v>727</v>
      </c>
      <c r="W421" s="658"/>
      <c r="X421" s="691">
        <f>HLOOKUP(VLOOKUP($AA$15,'Date SPV'!$B:$F,5,FALSE),'Preturi si tarife'!$C$2:$J$39,A421+2,FALSE)</f>
        <v>0.14660000000000001</v>
      </c>
      <c r="Y421" s="692"/>
      <c r="Z421" s="692"/>
      <c r="AA421" s="693"/>
      <c r="AB421" s="690">
        <f t="shared" si="22"/>
        <v>0</v>
      </c>
      <c r="AC421" s="690"/>
      <c r="AD421" s="690"/>
      <c r="AE421" s="690"/>
      <c r="AF421" s="690">
        <f t="shared" si="23"/>
        <v>0</v>
      </c>
      <c r="AG421" s="690"/>
      <c r="AH421" s="690"/>
      <c r="AI421" s="690"/>
      <c r="AJ421" s="690">
        <f t="shared" si="24"/>
        <v>0</v>
      </c>
      <c r="AK421" s="690"/>
      <c r="AL421" s="690"/>
      <c r="AM421" s="690"/>
    </row>
    <row r="422" spans="1:39">
      <c r="A422" s="65">
        <f t="shared" si="25"/>
        <v>21</v>
      </c>
      <c r="B422" s="699" t="s">
        <v>101</v>
      </c>
      <c r="C422" s="700"/>
      <c r="D422" s="700"/>
      <c r="E422" s="700"/>
      <c r="F422" s="700"/>
      <c r="G422" s="700"/>
      <c r="H422" s="700"/>
      <c r="I422" s="700"/>
      <c r="J422" s="700"/>
      <c r="K422" s="701"/>
      <c r="L422" s="702">
        <f t="shared" ref="L422:L437" si="29">L421</f>
        <v>45748</v>
      </c>
      <c r="M422" s="702"/>
      <c r="N422" s="702"/>
      <c r="O422" s="702">
        <f t="shared" si="28"/>
        <v>45777</v>
      </c>
      <c r="P422" s="702"/>
      <c r="Q422" s="702"/>
      <c r="R422" s="690" cm="1">
        <f t="array" ref="R422">INDEX(verificare!$AT$4:$CC$26,VLOOKUP($AA$15,verificare!$AR$4:$AS$26,2,FALSE),A422)</f>
        <v>0</v>
      </c>
      <c r="S422" s="690"/>
      <c r="T422" s="690"/>
      <c r="U422" s="690"/>
      <c r="V422" s="658" t="s">
        <v>727</v>
      </c>
      <c r="W422" s="658"/>
      <c r="X422" s="691">
        <f>HLOOKUP(VLOOKUP($AA$15,'Date SPV'!$B:$F,5,FALSE),'Preturi si tarife'!$C$2:$J$39,A422+2,FALSE)</f>
        <v>0.43980000000000002</v>
      </c>
      <c r="Y422" s="692"/>
      <c r="Z422" s="692"/>
      <c r="AA422" s="693"/>
      <c r="AB422" s="690">
        <f t="shared" si="22"/>
        <v>0</v>
      </c>
      <c r="AC422" s="690"/>
      <c r="AD422" s="690"/>
      <c r="AE422" s="690"/>
      <c r="AF422" s="690">
        <f t="shared" si="23"/>
        <v>0</v>
      </c>
      <c r="AG422" s="690"/>
      <c r="AH422" s="690"/>
      <c r="AI422" s="690"/>
      <c r="AJ422" s="690">
        <f t="shared" si="24"/>
        <v>0</v>
      </c>
      <c r="AK422" s="690"/>
      <c r="AL422" s="690"/>
      <c r="AM422" s="690"/>
    </row>
    <row r="423" spans="1:39" ht="30.95" customHeight="1">
      <c r="A423" s="65">
        <f t="shared" si="25"/>
        <v>22</v>
      </c>
      <c r="B423" s="699" t="s">
        <v>869</v>
      </c>
      <c r="C423" s="700"/>
      <c r="D423" s="700"/>
      <c r="E423" s="700"/>
      <c r="F423" s="700"/>
      <c r="G423" s="700"/>
      <c r="H423" s="700"/>
      <c r="I423" s="700"/>
      <c r="J423" s="700"/>
      <c r="K423" s="701"/>
      <c r="L423" s="702">
        <f t="shared" si="29"/>
        <v>45748</v>
      </c>
      <c r="M423" s="702"/>
      <c r="N423" s="702"/>
      <c r="O423" s="702">
        <f t="shared" si="28"/>
        <v>45777</v>
      </c>
      <c r="P423" s="702"/>
      <c r="Q423" s="702"/>
      <c r="R423" s="690" cm="1">
        <f t="array" ref="R423">INDEX(verificare!$AT$4:$CC$26,VLOOKUP($AA$15,verificare!$AR$4:$AS$26,2,FALSE),A423)</f>
        <v>0</v>
      </c>
      <c r="S423" s="690"/>
      <c r="T423" s="690"/>
      <c r="U423" s="690"/>
      <c r="V423" s="658" t="s">
        <v>446</v>
      </c>
      <c r="W423" s="658"/>
      <c r="X423" s="691">
        <f>HLOOKUP(VLOOKUP($AA$15,'Date SPV'!$B:$F,5,FALSE),'Preturi si tarife'!$C$2:$J$39,A423+2,FALSE)</f>
        <v>8.6180000000000007E-2</v>
      </c>
      <c r="Y423" s="692"/>
      <c r="Z423" s="692"/>
      <c r="AA423" s="693"/>
      <c r="AB423" s="690">
        <f t="shared" si="22"/>
        <v>0</v>
      </c>
      <c r="AC423" s="690"/>
      <c r="AD423" s="690"/>
      <c r="AE423" s="690"/>
      <c r="AF423" s="690">
        <f t="shared" si="23"/>
        <v>0</v>
      </c>
      <c r="AG423" s="690"/>
      <c r="AH423" s="690"/>
      <c r="AI423" s="690"/>
      <c r="AJ423" s="690">
        <f t="shared" si="24"/>
        <v>0</v>
      </c>
      <c r="AK423" s="690"/>
      <c r="AL423" s="690"/>
      <c r="AM423" s="690"/>
    </row>
    <row r="424" spans="1:39" ht="15.95" customHeight="1">
      <c r="A424" s="65">
        <f t="shared" si="25"/>
        <v>23</v>
      </c>
      <c r="B424" s="699" t="s">
        <v>758</v>
      </c>
      <c r="C424" s="700"/>
      <c r="D424" s="700"/>
      <c r="E424" s="700"/>
      <c r="F424" s="700"/>
      <c r="G424" s="700"/>
      <c r="H424" s="700"/>
      <c r="I424" s="700"/>
      <c r="J424" s="700"/>
      <c r="K424" s="701"/>
      <c r="L424" s="702">
        <f t="shared" si="29"/>
        <v>45748</v>
      </c>
      <c r="M424" s="702"/>
      <c r="N424" s="702"/>
      <c r="O424" s="702">
        <f t="shared" si="28"/>
        <v>45777</v>
      </c>
      <c r="P424" s="702"/>
      <c r="Q424" s="702"/>
      <c r="R424" s="690" cm="1">
        <f t="array" ref="R424">INDEX(verificare!$AT$4:$CC$26,VLOOKUP($AA$15,verificare!$AR$4:$AS$26,2,FALSE),A424)</f>
        <v>0</v>
      </c>
      <c r="S424" s="690"/>
      <c r="T424" s="690"/>
      <c r="U424" s="690"/>
      <c r="V424" s="658" t="s">
        <v>446</v>
      </c>
      <c r="W424" s="658"/>
      <c r="X424" s="691">
        <f>HLOOKUP(VLOOKUP($AA$15,'Date SPV'!$B:$F,5,FALSE),'Preturi si tarife'!$C$2:$J$39,A424+2,FALSE)</f>
        <v>0.2079</v>
      </c>
      <c r="Y424" s="692"/>
      <c r="Z424" s="692"/>
      <c r="AA424" s="693"/>
      <c r="AB424" s="690">
        <f t="shared" si="22"/>
        <v>0</v>
      </c>
      <c r="AC424" s="690"/>
      <c r="AD424" s="690"/>
      <c r="AE424" s="690"/>
      <c r="AF424" s="690">
        <f t="shared" si="23"/>
        <v>0</v>
      </c>
      <c r="AG424" s="690"/>
      <c r="AH424" s="690"/>
      <c r="AI424" s="690"/>
      <c r="AJ424" s="690">
        <f t="shared" si="24"/>
        <v>0</v>
      </c>
      <c r="AK424" s="690"/>
      <c r="AL424" s="690"/>
      <c r="AM424" s="690"/>
    </row>
    <row r="425" spans="1:39">
      <c r="A425" s="65">
        <f t="shared" si="25"/>
        <v>24</v>
      </c>
      <c r="B425" s="699" t="s">
        <v>102</v>
      </c>
      <c r="C425" s="700"/>
      <c r="D425" s="700"/>
      <c r="E425" s="700"/>
      <c r="F425" s="700"/>
      <c r="G425" s="700"/>
      <c r="H425" s="700"/>
      <c r="I425" s="700"/>
      <c r="J425" s="700"/>
      <c r="K425" s="701"/>
      <c r="L425" s="702">
        <f t="shared" si="29"/>
        <v>45748</v>
      </c>
      <c r="M425" s="702"/>
      <c r="N425" s="702"/>
      <c r="O425" s="702">
        <f t="shared" si="28"/>
        <v>45777</v>
      </c>
      <c r="P425" s="702"/>
      <c r="Q425" s="702"/>
      <c r="R425" s="690" cm="1">
        <f t="array" ref="R425">INDEX(verificare!$AT$4:$CC$26,VLOOKUP($AA$15,verificare!$AR$4:$AS$26,2,FALSE),A425)</f>
        <v>0</v>
      </c>
      <c r="S425" s="690"/>
      <c r="T425" s="690"/>
      <c r="U425" s="690"/>
      <c r="V425" s="658" t="s">
        <v>446</v>
      </c>
      <c r="W425" s="658"/>
      <c r="X425" s="691">
        <f>HLOOKUP(VLOOKUP($AA$15,'Date SPV'!$B:$F,5,FALSE),'Preturi si tarife'!$C$2:$J$39,A425+2,FALSE)</f>
        <v>1.1509999999999999E-2</v>
      </c>
      <c r="Y425" s="692"/>
      <c r="Z425" s="692"/>
      <c r="AA425" s="693"/>
      <c r="AB425" s="690">
        <f t="shared" si="22"/>
        <v>0</v>
      </c>
      <c r="AC425" s="690"/>
      <c r="AD425" s="690"/>
      <c r="AE425" s="690"/>
      <c r="AF425" s="690">
        <f t="shared" si="23"/>
        <v>0</v>
      </c>
      <c r="AG425" s="690"/>
      <c r="AH425" s="690"/>
      <c r="AI425" s="690"/>
      <c r="AJ425" s="690">
        <f t="shared" si="24"/>
        <v>0</v>
      </c>
      <c r="AK425" s="690"/>
      <c r="AL425" s="690"/>
      <c r="AM425" s="690"/>
    </row>
    <row r="426" spans="1:39" ht="30.95" customHeight="1">
      <c r="A426" s="65">
        <f t="shared" si="25"/>
        <v>25</v>
      </c>
      <c r="B426" s="699" t="s">
        <v>103</v>
      </c>
      <c r="C426" s="700"/>
      <c r="D426" s="700"/>
      <c r="E426" s="700"/>
      <c r="F426" s="700"/>
      <c r="G426" s="700"/>
      <c r="H426" s="700"/>
      <c r="I426" s="700"/>
      <c r="J426" s="700"/>
      <c r="K426" s="701"/>
      <c r="L426" s="702">
        <f t="shared" si="29"/>
        <v>45748</v>
      </c>
      <c r="M426" s="702"/>
      <c r="N426" s="702"/>
      <c r="O426" s="702">
        <f t="shared" si="28"/>
        <v>45777</v>
      </c>
      <c r="P426" s="702"/>
      <c r="Q426" s="702"/>
      <c r="R426" s="690" cm="1">
        <f t="array" ref="R426">INDEX(verificare!$AT$4:$CC$26,VLOOKUP($AA$15,verificare!$AR$4:$AS$26,2,FALSE),A426)</f>
        <v>0</v>
      </c>
      <c r="S426" s="690"/>
      <c r="T426" s="690"/>
      <c r="U426" s="690"/>
      <c r="V426" s="658" t="s">
        <v>446</v>
      </c>
      <c r="W426" s="658"/>
      <c r="X426" s="691">
        <f>HLOOKUP(VLOOKUP($AA$15,'Date SPV'!$B:$F,5,FALSE),'Preturi si tarife'!$C$2:$J$39,A426+2,FALSE)</f>
        <v>3.3030000000000004E-2</v>
      </c>
      <c r="Y426" s="692"/>
      <c r="Z426" s="692"/>
      <c r="AA426" s="693"/>
      <c r="AB426" s="690">
        <f t="shared" si="22"/>
        <v>0</v>
      </c>
      <c r="AC426" s="690"/>
      <c r="AD426" s="690"/>
      <c r="AE426" s="690"/>
      <c r="AF426" s="690">
        <f t="shared" si="23"/>
        <v>0</v>
      </c>
      <c r="AG426" s="690"/>
      <c r="AH426" s="690"/>
      <c r="AI426" s="690"/>
      <c r="AJ426" s="690">
        <f t="shared" si="24"/>
        <v>0</v>
      </c>
      <c r="AK426" s="690"/>
      <c r="AL426" s="690"/>
      <c r="AM426" s="690"/>
    </row>
    <row r="427" spans="1:39" ht="30.95" customHeight="1">
      <c r="A427" s="65">
        <f t="shared" si="25"/>
        <v>26</v>
      </c>
      <c r="B427" s="699" t="s">
        <v>104</v>
      </c>
      <c r="C427" s="700"/>
      <c r="D427" s="700"/>
      <c r="E427" s="700"/>
      <c r="F427" s="700"/>
      <c r="G427" s="700"/>
      <c r="H427" s="700"/>
      <c r="I427" s="700"/>
      <c r="J427" s="700"/>
      <c r="K427" s="701"/>
      <c r="L427" s="702">
        <f t="shared" si="29"/>
        <v>45748</v>
      </c>
      <c r="M427" s="702"/>
      <c r="N427" s="702"/>
      <c r="O427" s="702">
        <f t="shared" si="28"/>
        <v>45777</v>
      </c>
      <c r="P427" s="702"/>
      <c r="Q427" s="702"/>
      <c r="R427" s="690" cm="1">
        <f t="array" ref="R427">INDEX(verificare!$AT$4:$CC$26,VLOOKUP($AA$15,verificare!$AR$4:$AS$26,2,FALSE),A427)</f>
        <v>0</v>
      </c>
      <c r="S427" s="690"/>
      <c r="T427" s="690"/>
      <c r="U427" s="690"/>
      <c r="V427" s="658" t="s">
        <v>446</v>
      </c>
      <c r="W427" s="658"/>
      <c r="X427" s="691">
        <f>HLOOKUP(VLOOKUP($AA$15,'Date SPV'!$B:$F,5,FALSE),'Preturi si tarife'!$C$2:$J$39,A427+2,FALSE)</f>
        <v>3.29E-3</v>
      </c>
      <c r="Y427" s="692"/>
      <c r="Z427" s="692"/>
      <c r="AA427" s="693"/>
      <c r="AB427" s="690">
        <f t="shared" si="22"/>
        <v>0</v>
      </c>
      <c r="AC427" s="690"/>
      <c r="AD427" s="690"/>
      <c r="AE427" s="690"/>
      <c r="AF427" s="690">
        <f t="shared" si="23"/>
        <v>0</v>
      </c>
      <c r="AG427" s="690"/>
      <c r="AH427" s="690"/>
      <c r="AI427" s="690"/>
      <c r="AJ427" s="690">
        <f t="shared" si="24"/>
        <v>0</v>
      </c>
      <c r="AK427" s="690"/>
      <c r="AL427" s="690"/>
      <c r="AM427" s="690"/>
    </row>
    <row r="428" spans="1:39" ht="30.95" customHeight="1">
      <c r="A428" s="65">
        <f t="shared" si="25"/>
        <v>27</v>
      </c>
      <c r="B428" s="699" t="s">
        <v>105</v>
      </c>
      <c r="C428" s="700"/>
      <c r="D428" s="700"/>
      <c r="E428" s="700"/>
      <c r="F428" s="700"/>
      <c r="G428" s="700"/>
      <c r="H428" s="700"/>
      <c r="I428" s="700"/>
      <c r="J428" s="700"/>
      <c r="K428" s="701"/>
      <c r="L428" s="702">
        <f t="shared" si="29"/>
        <v>45748</v>
      </c>
      <c r="M428" s="702"/>
      <c r="N428" s="702"/>
      <c r="O428" s="702">
        <f t="shared" si="28"/>
        <v>45777</v>
      </c>
      <c r="P428" s="702"/>
      <c r="Q428" s="702"/>
      <c r="R428" s="690" cm="1">
        <f t="array" ref="R428">INDEX(verificare!$AT$4:$CC$26,VLOOKUP($AA$15,verificare!$AR$4:$AS$26,2,FALSE),A428)</f>
        <v>0</v>
      </c>
      <c r="S428" s="690"/>
      <c r="T428" s="690"/>
      <c r="U428" s="690"/>
      <c r="V428" s="658" t="s">
        <v>446</v>
      </c>
      <c r="W428" s="658"/>
      <c r="X428" s="691">
        <f>HLOOKUP(VLOOKUP($AA$15,'Date SPV'!$B:$F,5,FALSE),'Preturi si tarife'!$C$2:$J$39,A428+2,FALSE)</f>
        <v>3.5000000000000001E-3</v>
      </c>
      <c r="Y428" s="692"/>
      <c r="Z428" s="692"/>
      <c r="AA428" s="693"/>
      <c r="AB428" s="690">
        <f t="shared" si="22"/>
        <v>0</v>
      </c>
      <c r="AC428" s="690"/>
      <c r="AD428" s="690"/>
      <c r="AE428" s="690"/>
      <c r="AF428" s="690">
        <f t="shared" si="23"/>
        <v>0</v>
      </c>
      <c r="AG428" s="690"/>
      <c r="AH428" s="690"/>
      <c r="AI428" s="690"/>
      <c r="AJ428" s="690">
        <f t="shared" si="24"/>
        <v>0</v>
      </c>
      <c r="AK428" s="690"/>
      <c r="AL428" s="690"/>
      <c r="AM428" s="690"/>
    </row>
    <row r="429" spans="1:39">
      <c r="A429" s="65">
        <f t="shared" si="25"/>
        <v>28</v>
      </c>
      <c r="B429" s="699" t="s">
        <v>106</v>
      </c>
      <c r="C429" s="700"/>
      <c r="D429" s="700"/>
      <c r="E429" s="700"/>
      <c r="F429" s="700"/>
      <c r="G429" s="700"/>
      <c r="H429" s="700"/>
      <c r="I429" s="700"/>
      <c r="J429" s="700"/>
      <c r="K429" s="701"/>
      <c r="L429" s="702">
        <f t="shared" si="29"/>
        <v>45748</v>
      </c>
      <c r="M429" s="702"/>
      <c r="N429" s="702"/>
      <c r="O429" s="702">
        <f t="shared" si="28"/>
        <v>45777</v>
      </c>
      <c r="P429" s="702"/>
      <c r="Q429" s="702"/>
      <c r="R429" s="690" cm="1">
        <f t="array" ref="R429">INDEX(verificare!$AT$4:$CC$26,VLOOKUP($AA$15,verificare!$AR$4:$AS$26,2,FALSE),A429)</f>
        <v>0</v>
      </c>
      <c r="S429" s="690"/>
      <c r="T429" s="690"/>
      <c r="U429" s="690"/>
      <c r="V429" s="658" t="s">
        <v>446</v>
      </c>
      <c r="W429" s="658"/>
      <c r="X429" s="691">
        <f>HLOOKUP(VLOOKUP($AA$15,'Date SPV'!$B:$F,5,FALSE),'Preturi si tarife'!$C$2:$J$39,A429+2,FALSE)</f>
        <v>7.2541599999999998E-2</v>
      </c>
      <c r="Y429" s="692"/>
      <c r="Z429" s="692"/>
      <c r="AA429" s="693"/>
      <c r="AB429" s="690">
        <f t="shared" si="22"/>
        <v>0</v>
      </c>
      <c r="AC429" s="690"/>
      <c r="AD429" s="690"/>
      <c r="AE429" s="690"/>
      <c r="AF429" s="690">
        <f t="shared" si="23"/>
        <v>0</v>
      </c>
      <c r="AG429" s="690"/>
      <c r="AH429" s="690"/>
      <c r="AI429" s="690"/>
      <c r="AJ429" s="690">
        <f t="shared" si="24"/>
        <v>0</v>
      </c>
      <c r="AK429" s="690"/>
      <c r="AL429" s="690"/>
      <c r="AM429" s="690"/>
    </row>
    <row r="430" spans="1:39" ht="30.95" customHeight="1">
      <c r="A430" s="65">
        <f t="shared" si="25"/>
        <v>29</v>
      </c>
      <c r="B430" s="699" t="s">
        <v>1316</v>
      </c>
      <c r="C430" s="700"/>
      <c r="D430" s="700"/>
      <c r="E430" s="700"/>
      <c r="F430" s="700"/>
      <c r="G430" s="700"/>
      <c r="H430" s="700"/>
      <c r="I430" s="700"/>
      <c r="J430" s="700"/>
      <c r="K430" s="701"/>
      <c r="L430" s="763">
        <f>L432</f>
        <v>45748</v>
      </c>
      <c r="M430" s="764"/>
      <c r="N430" s="765"/>
      <c r="O430" s="763">
        <f>O432</f>
        <v>45777</v>
      </c>
      <c r="P430" s="764"/>
      <c r="Q430" s="765"/>
      <c r="R430" s="690" cm="1">
        <f t="array" ref="R430">INDEX(verificare!$AT$4:$CC$26,VLOOKUP($AA$15,verificare!$AR$4:$AS$26,2,FALSE),A430)</f>
        <v>0</v>
      </c>
      <c r="S430" s="690"/>
      <c r="T430" s="690"/>
      <c r="U430" s="690"/>
      <c r="V430" s="724" t="s">
        <v>446</v>
      </c>
      <c r="W430" s="725"/>
      <c r="X430" s="691">
        <f>HLOOKUP(VLOOKUP($AA$15,'Date SPV'!$B:$F,5,FALSE),'Preturi si tarife'!$C$2:$J$39,A430+2,FALSE)</f>
        <v>2.0599999999999999E-4</v>
      </c>
      <c r="Y430" s="692"/>
      <c r="Z430" s="692"/>
      <c r="AA430" s="693"/>
      <c r="AB430" s="772">
        <f>ROUND(X430*R430,2)</f>
        <v>0</v>
      </c>
      <c r="AC430" s="773"/>
      <c r="AD430" s="773"/>
      <c r="AE430" s="774"/>
      <c r="AF430" s="772">
        <f>ROUND(AB430*19%,2)</f>
        <v>0</v>
      </c>
      <c r="AG430" s="773"/>
      <c r="AH430" s="773"/>
      <c r="AI430" s="774"/>
      <c r="AJ430" s="772">
        <f>AB430+AF430</f>
        <v>0</v>
      </c>
      <c r="AK430" s="773"/>
      <c r="AL430" s="773"/>
      <c r="AM430" s="774"/>
    </row>
    <row r="431" spans="1:39" ht="15.95" customHeight="1">
      <c r="A431" s="65">
        <f t="shared" si="25"/>
        <v>30</v>
      </c>
      <c r="B431" s="699" t="s">
        <v>107</v>
      </c>
      <c r="C431" s="700"/>
      <c r="D431" s="700"/>
      <c r="E431" s="700"/>
      <c r="F431" s="700"/>
      <c r="G431" s="700"/>
      <c r="H431" s="700"/>
      <c r="I431" s="700"/>
      <c r="J431" s="700"/>
      <c r="K431" s="701"/>
      <c r="L431" s="702">
        <f>L429</f>
        <v>45748</v>
      </c>
      <c r="M431" s="702"/>
      <c r="N431" s="702"/>
      <c r="O431" s="702">
        <f>O429</f>
        <v>45777</v>
      </c>
      <c r="P431" s="702"/>
      <c r="Q431" s="702"/>
      <c r="R431" s="690" cm="1">
        <f t="array" ref="R431">INDEX(verificare!$AT$4:$CC$26,VLOOKUP($AA$15,verificare!$AR$4:$AS$26,2,FALSE),A431)</f>
        <v>0</v>
      </c>
      <c r="S431" s="690"/>
      <c r="T431" s="690"/>
      <c r="U431" s="690"/>
      <c r="V431" s="658" t="s">
        <v>446</v>
      </c>
      <c r="W431" s="658"/>
      <c r="X431" s="691">
        <f>HLOOKUP(VLOOKUP($AA$15,'Date SPV'!$B:$F,5,FALSE),'Preturi si tarife'!$C$2:$J$39,A431+2,FALSE)</f>
        <v>0</v>
      </c>
      <c r="Y431" s="692"/>
      <c r="Z431" s="692"/>
      <c r="AA431" s="693"/>
      <c r="AB431" s="690">
        <f t="shared" si="22"/>
        <v>0</v>
      </c>
      <c r="AC431" s="690"/>
      <c r="AD431" s="690"/>
      <c r="AE431" s="690"/>
      <c r="AF431" s="690">
        <f t="shared" si="23"/>
        <v>0</v>
      </c>
      <c r="AG431" s="690"/>
      <c r="AH431" s="690"/>
      <c r="AI431" s="690"/>
      <c r="AJ431" s="690">
        <f t="shared" si="24"/>
        <v>0</v>
      </c>
      <c r="AK431" s="690"/>
      <c r="AL431" s="690"/>
      <c r="AM431" s="690"/>
    </row>
    <row r="432" spans="1:39" ht="30.95" customHeight="1">
      <c r="A432" s="65">
        <f t="shared" si="25"/>
        <v>31</v>
      </c>
      <c r="B432" s="699" t="s">
        <v>108</v>
      </c>
      <c r="C432" s="700"/>
      <c r="D432" s="700"/>
      <c r="E432" s="700"/>
      <c r="F432" s="700"/>
      <c r="G432" s="700"/>
      <c r="H432" s="700"/>
      <c r="I432" s="700"/>
      <c r="J432" s="700"/>
      <c r="K432" s="701"/>
      <c r="L432" s="702">
        <f t="shared" si="29"/>
        <v>45748</v>
      </c>
      <c r="M432" s="702"/>
      <c r="N432" s="702"/>
      <c r="O432" s="702">
        <f t="shared" si="28"/>
        <v>45777</v>
      </c>
      <c r="P432" s="702"/>
      <c r="Q432" s="702"/>
      <c r="R432" s="690" cm="1">
        <f t="array" ref="R432">INDEX(verificare!$AT$4:$CC$26,VLOOKUP($AA$15,verificare!$AR$4:$AS$26,2,FALSE),A432)</f>
        <v>0</v>
      </c>
      <c r="S432" s="690"/>
      <c r="T432" s="690"/>
      <c r="U432" s="690"/>
      <c r="V432" s="658" t="s">
        <v>446</v>
      </c>
      <c r="W432" s="658"/>
      <c r="X432" s="691">
        <f>HLOOKUP(VLOOKUP($AA$15,'Date SPV'!$B:$F,5,FALSE),'Preturi si tarife'!$C$2:$J$39,A432+2,FALSE)</f>
        <v>1.1300000000000001E-2</v>
      </c>
      <c r="Y432" s="692"/>
      <c r="Z432" s="692"/>
      <c r="AA432" s="693"/>
      <c r="AB432" s="690">
        <f t="shared" si="22"/>
        <v>0</v>
      </c>
      <c r="AC432" s="690"/>
      <c r="AD432" s="690"/>
      <c r="AE432" s="690"/>
      <c r="AF432" s="690">
        <f t="shared" si="23"/>
        <v>0</v>
      </c>
      <c r="AG432" s="690"/>
      <c r="AH432" s="690"/>
      <c r="AI432" s="690"/>
      <c r="AJ432" s="690">
        <f t="shared" si="24"/>
        <v>0</v>
      </c>
      <c r="AK432" s="690"/>
      <c r="AL432" s="690"/>
      <c r="AM432" s="690"/>
    </row>
    <row r="433" spans="1:39" ht="30.95" customHeight="1">
      <c r="A433" s="65">
        <f t="shared" si="25"/>
        <v>32</v>
      </c>
      <c r="B433" s="699" t="s">
        <v>109</v>
      </c>
      <c r="C433" s="700"/>
      <c r="D433" s="700"/>
      <c r="E433" s="700"/>
      <c r="F433" s="700"/>
      <c r="G433" s="700"/>
      <c r="H433" s="700"/>
      <c r="I433" s="700"/>
      <c r="J433" s="700"/>
      <c r="K433" s="701"/>
      <c r="L433" s="763">
        <f>L432</f>
        <v>45748</v>
      </c>
      <c r="M433" s="764"/>
      <c r="N433" s="765"/>
      <c r="O433" s="763">
        <f>O432</f>
        <v>45777</v>
      </c>
      <c r="P433" s="764"/>
      <c r="Q433" s="765"/>
      <c r="R433" s="690" cm="1">
        <f t="array" ref="R433">INDEX(verificare!$AT$4:$CC$26,VLOOKUP($AA$15,verificare!$AR$4:$AS$26,2,FALSE),A433)</f>
        <v>0</v>
      </c>
      <c r="S433" s="690"/>
      <c r="T433" s="690"/>
      <c r="U433" s="690"/>
      <c r="V433" s="724" t="s">
        <v>446</v>
      </c>
      <c r="W433" s="725"/>
      <c r="X433" s="691">
        <f>HLOOKUP(VLOOKUP($AA$15,'Date SPV'!$B:$F,5,FALSE),'Preturi si tarife'!$C$2:$J$39,A433+2,FALSE)</f>
        <v>8.4099999999999994E-2</v>
      </c>
      <c r="Y433" s="692"/>
      <c r="Z433" s="692"/>
      <c r="AA433" s="693"/>
      <c r="AB433" s="690">
        <f t="shared" si="22"/>
        <v>0</v>
      </c>
      <c r="AC433" s="690"/>
      <c r="AD433" s="690"/>
      <c r="AE433" s="690"/>
      <c r="AF433" s="690">
        <f t="shared" si="23"/>
        <v>0</v>
      </c>
      <c r="AG433" s="690"/>
      <c r="AH433" s="690"/>
      <c r="AI433" s="690"/>
      <c r="AJ433" s="690">
        <f t="shared" si="24"/>
        <v>0</v>
      </c>
      <c r="AK433" s="690"/>
      <c r="AL433" s="690"/>
      <c r="AM433" s="690"/>
    </row>
    <row r="434" spans="1:39" ht="15.95" customHeight="1">
      <c r="A434" s="65">
        <f t="shared" si="25"/>
        <v>33</v>
      </c>
      <c r="B434" s="699" t="s">
        <v>110</v>
      </c>
      <c r="C434" s="700"/>
      <c r="D434" s="700"/>
      <c r="E434" s="700"/>
      <c r="F434" s="700"/>
      <c r="G434" s="700"/>
      <c r="H434" s="700"/>
      <c r="I434" s="700"/>
      <c r="J434" s="700"/>
      <c r="K434" s="701"/>
      <c r="L434" s="702">
        <f t="shared" si="29"/>
        <v>45748</v>
      </c>
      <c r="M434" s="702"/>
      <c r="N434" s="702"/>
      <c r="O434" s="702">
        <f t="shared" si="28"/>
        <v>45777</v>
      </c>
      <c r="P434" s="702"/>
      <c r="Q434" s="702"/>
      <c r="R434" s="690" cm="1">
        <f t="array" ref="R434">INDEX(verificare!$AT$4:$CC$26,VLOOKUP($AA$15,verificare!$AR$4:$AS$26,2,FALSE),A434)</f>
        <v>0</v>
      </c>
      <c r="S434" s="690"/>
      <c r="T434" s="690"/>
      <c r="U434" s="690"/>
      <c r="V434" s="658" t="s">
        <v>446</v>
      </c>
      <c r="W434" s="658"/>
      <c r="X434" s="691">
        <f>HLOOKUP(VLOOKUP($AA$15,'Date SPV'!$B:$F,5,FALSE),'Preturi si tarife'!$C$2:$J$39,A434+2,FALSE)</f>
        <v>0.90065760000000006</v>
      </c>
      <c r="Y434" s="692"/>
      <c r="Z434" s="692"/>
      <c r="AA434" s="693"/>
      <c r="AB434" s="690">
        <f t="shared" si="22"/>
        <v>0</v>
      </c>
      <c r="AC434" s="690"/>
      <c r="AD434" s="690"/>
      <c r="AE434" s="690"/>
      <c r="AF434" s="690">
        <f t="shared" si="23"/>
        <v>0</v>
      </c>
      <c r="AG434" s="690"/>
      <c r="AH434" s="690"/>
      <c r="AI434" s="690"/>
      <c r="AJ434" s="690">
        <f t="shared" si="24"/>
        <v>0</v>
      </c>
      <c r="AK434" s="690"/>
      <c r="AL434" s="690"/>
      <c r="AM434" s="690"/>
    </row>
    <row r="435" spans="1:39">
      <c r="A435" s="65">
        <f t="shared" si="25"/>
        <v>34</v>
      </c>
      <c r="B435" s="699" t="s">
        <v>111</v>
      </c>
      <c r="C435" s="700"/>
      <c r="D435" s="700"/>
      <c r="E435" s="700"/>
      <c r="F435" s="700"/>
      <c r="G435" s="700"/>
      <c r="H435" s="700"/>
      <c r="I435" s="700"/>
      <c r="J435" s="700"/>
      <c r="K435" s="701"/>
      <c r="L435" s="702">
        <f t="shared" si="29"/>
        <v>45748</v>
      </c>
      <c r="M435" s="702"/>
      <c r="N435" s="702"/>
      <c r="O435" s="702">
        <f t="shared" si="28"/>
        <v>45777</v>
      </c>
      <c r="P435" s="702"/>
      <c r="Q435" s="702"/>
      <c r="R435" s="690" cm="1">
        <f t="array" ref="R435">INDEX(verificare!$AT$4:$CC$26,VLOOKUP($AA$15,verificare!$AR$4:$AS$26,2,FALSE),A435)</f>
        <v>0</v>
      </c>
      <c r="S435" s="690"/>
      <c r="T435" s="690"/>
      <c r="U435" s="690"/>
      <c r="V435" s="658" t="s">
        <v>446</v>
      </c>
      <c r="W435" s="658"/>
      <c r="X435" s="691">
        <f>HLOOKUP(VLOOKUP($AA$15,'Date SPV'!$B:$F,5,FALSE),'Preturi si tarife'!$C$2:$J$39,A435+2,FALSE)</f>
        <v>0.80525760000000002</v>
      </c>
      <c r="Y435" s="692"/>
      <c r="Z435" s="692"/>
      <c r="AA435" s="693"/>
      <c r="AB435" s="690">
        <f t="shared" si="22"/>
        <v>0</v>
      </c>
      <c r="AC435" s="690"/>
      <c r="AD435" s="690"/>
      <c r="AE435" s="690"/>
      <c r="AF435" s="690">
        <f t="shared" si="23"/>
        <v>0</v>
      </c>
      <c r="AG435" s="690"/>
      <c r="AH435" s="690"/>
      <c r="AI435" s="690"/>
      <c r="AJ435" s="690">
        <f t="shared" si="24"/>
        <v>0</v>
      </c>
      <c r="AK435" s="690"/>
      <c r="AL435" s="690"/>
      <c r="AM435" s="690"/>
    </row>
    <row r="436" spans="1:39" ht="30.95" customHeight="1">
      <c r="A436" s="65">
        <f t="shared" si="25"/>
        <v>35</v>
      </c>
      <c r="B436" s="699" t="s">
        <v>112</v>
      </c>
      <c r="C436" s="700"/>
      <c r="D436" s="700"/>
      <c r="E436" s="700"/>
      <c r="F436" s="700"/>
      <c r="G436" s="700"/>
      <c r="H436" s="700"/>
      <c r="I436" s="700"/>
      <c r="J436" s="700"/>
      <c r="K436" s="701"/>
      <c r="L436" s="763">
        <f t="shared" si="29"/>
        <v>45748</v>
      </c>
      <c r="M436" s="764"/>
      <c r="N436" s="765"/>
      <c r="O436" s="763">
        <f t="shared" si="28"/>
        <v>45777</v>
      </c>
      <c r="P436" s="764"/>
      <c r="Q436" s="765"/>
      <c r="R436" s="772" cm="1">
        <f t="array" ref="R436">INDEX(verificare!$AT$4:$CC$26,VLOOKUP($AA$15,verificare!$AR$4:$AS$26,2,FALSE),A436)</f>
        <v>0</v>
      </c>
      <c r="S436" s="773"/>
      <c r="T436" s="773"/>
      <c r="U436" s="774"/>
      <c r="V436" s="724" t="s">
        <v>446</v>
      </c>
      <c r="W436" s="725"/>
      <c r="X436" s="691">
        <f>HLOOKUP(VLOOKUP($AA$15,'Date SPV'!$B:$F,5,FALSE),'Preturi si tarife'!$C$2:$J$39,A436+2,FALSE)</f>
        <v>1.1300000000000001E-2</v>
      </c>
      <c r="Y436" s="692"/>
      <c r="Z436" s="692"/>
      <c r="AA436" s="693"/>
      <c r="AB436" s="690">
        <f t="shared" si="22"/>
        <v>0</v>
      </c>
      <c r="AC436" s="690"/>
      <c r="AD436" s="690"/>
      <c r="AE436" s="690"/>
      <c r="AF436" s="690">
        <f t="shared" si="23"/>
        <v>0</v>
      </c>
      <c r="AG436" s="690"/>
      <c r="AH436" s="690"/>
      <c r="AI436" s="690"/>
      <c r="AJ436" s="690">
        <f t="shared" si="24"/>
        <v>0</v>
      </c>
      <c r="AK436" s="690"/>
      <c r="AL436" s="690"/>
      <c r="AM436" s="690"/>
    </row>
    <row r="437" spans="1:39" ht="30.95" customHeight="1">
      <c r="A437" s="65">
        <f t="shared" si="25"/>
        <v>36</v>
      </c>
      <c r="B437" s="699" t="s">
        <v>113</v>
      </c>
      <c r="C437" s="700"/>
      <c r="D437" s="700"/>
      <c r="E437" s="700"/>
      <c r="F437" s="700"/>
      <c r="G437" s="700"/>
      <c r="H437" s="700"/>
      <c r="I437" s="700"/>
      <c r="J437" s="700"/>
      <c r="K437" s="701"/>
      <c r="L437" s="763">
        <f t="shared" si="29"/>
        <v>45748</v>
      </c>
      <c r="M437" s="764"/>
      <c r="N437" s="765"/>
      <c r="O437" s="763">
        <f t="shared" si="28"/>
        <v>45777</v>
      </c>
      <c r="P437" s="764"/>
      <c r="Q437" s="765"/>
      <c r="R437" s="772" cm="1">
        <f t="array" ref="R437">INDEX(verificare!$AT$4:$CC$26,VLOOKUP($AA$15,verificare!$AR$4:$AS$26,2,FALSE),A437)</f>
        <v>0</v>
      </c>
      <c r="S437" s="773"/>
      <c r="T437" s="773"/>
      <c r="U437" s="774"/>
      <c r="V437" s="724" t="s">
        <v>446</v>
      </c>
      <c r="W437" s="725"/>
      <c r="X437" s="691">
        <f>HLOOKUP(VLOOKUP($AA$15,'Date SPV'!$B:$F,5,FALSE),'Preturi si tarife'!$C$2:$J$39,A437+2,FALSE)</f>
        <v>8.4099999999999994E-2</v>
      </c>
      <c r="Y437" s="692"/>
      <c r="Z437" s="692"/>
      <c r="AA437" s="693"/>
      <c r="AB437" s="690">
        <f t="shared" si="22"/>
        <v>0</v>
      </c>
      <c r="AC437" s="690"/>
      <c r="AD437" s="690"/>
      <c r="AE437" s="690"/>
      <c r="AF437" s="690">
        <f t="shared" si="23"/>
        <v>0</v>
      </c>
      <c r="AG437" s="690"/>
      <c r="AH437" s="690"/>
      <c r="AI437" s="690"/>
      <c r="AJ437" s="690">
        <f t="shared" si="24"/>
        <v>0</v>
      </c>
      <c r="AK437" s="690"/>
      <c r="AL437" s="690"/>
      <c r="AM437" s="690"/>
    </row>
    <row r="438" spans="1:39">
      <c r="A438" s="65">
        <f t="shared" si="25"/>
        <v>37</v>
      </c>
      <c r="B438" s="699" t="s">
        <v>728</v>
      </c>
      <c r="C438" s="700"/>
      <c r="D438" s="700"/>
      <c r="E438" s="700"/>
      <c r="F438" s="700"/>
      <c r="G438" s="700"/>
      <c r="H438" s="700"/>
      <c r="I438" s="700"/>
      <c r="J438" s="700"/>
      <c r="K438" s="701"/>
      <c r="L438" s="702" t="s">
        <v>69</v>
      </c>
      <c r="M438" s="702"/>
      <c r="N438" s="702"/>
      <c r="O438" s="702" t="s">
        <v>69</v>
      </c>
      <c r="P438" s="702"/>
      <c r="Q438" s="702"/>
      <c r="R438" s="690">
        <v>0</v>
      </c>
      <c r="S438" s="690"/>
      <c r="T438" s="690"/>
      <c r="U438" s="690"/>
      <c r="V438" s="658" t="s">
        <v>69</v>
      </c>
      <c r="W438" s="658"/>
      <c r="X438" s="659" t="s">
        <v>69</v>
      </c>
      <c r="Y438" s="659"/>
      <c r="Z438" s="659"/>
      <c r="AA438" s="659"/>
      <c r="AB438" s="653">
        <v>0</v>
      </c>
      <c r="AC438" s="653"/>
      <c r="AD438" s="653"/>
      <c r="AE438" s="653"/>
      <c r="AF438" s="653">
        <f t="shared" si="23"/>
        <v>0</v>
      </c>
      <c r="AG438" s="653"/>
      <c r="AH438" s="653"/>
      <c r="AI438" s="653"/>
      <c r="AJ438" s="653">
        <f t="shared" si="24"/>
        <v>0</v>
      </c>
      <c r="AK438" s="653"/>
      <c r="AL438" s="653"/>
      <c r="AM438" s="653"/>
    </row>
    <row r="439" spans="1:39">
      <c r="A439" s="65">
        <f>A438+1</f>
        <v>38</v>
      </c>
      <c r="B439" s="699" t="s">
        <v>729</v>
      </c>
      <c r="C439" s="700"/>
      <c r="D439" s="700"/>
      <c r="E439" s="700"/>
      <c r="F439" s="700"/>
      <c r="G439" s="700"/>
      <c r="H439" s="700"/>
      <c r="I439" s="700"/>
      <c r="J439" s="700"/>
      <c r="K439" s="701"/>
      <c r="L439" s="702" t="s">
        <v>69</v>
      </c>
      <c r="M439" s="702"/>
      <c r="N439" s="702"/>
      <c r="O439" s="702" t="s">
        <v>69</v>
      </c>
      <c r="P439" s="702"/>
      <c r="Q439" s="702"/>
      <c r="R439" s="690">
        <v>0</v>
      </c>
      <c r="S439" s="690"/>
      <c r="T439" s="690"/>
      <c r="U439" s="690"/>
      <c r="V439" s="658" t="s">
        <v>69</v>
      </c>
      <c r="W439" s="658"/>
      <c r="X439" s="659" t="s">
        <v>69</v>
      </c>
      <c r="Y439" s="659"/>
      <c r="Z439" s="659"/>
      <c r="AA439" s="659"/>
      <c r="AB439" s="726">
        <f>SUM(AB402:AE438)</f>
        <v>1305195.7299999997</v>
      </c>
      <c r="AC439" s="726"/>
      <c r="AD439" s="726"/>
      <c r="AE439" s="726"/>
      <c r="AF439" s="726">
        <f>SUM(AF402:AI438)</f>
        <v>247987.18999999997</v>
      </c>
      <c r="AG439" s="726"/>
      <c r="AH439" s="726"/>
      <c r="AI439" s="726"/>
      <c r="AJ439" s="726">
        <f>SUM(AJ402:AM438)</f>
        <v>1553182.92</v>
      </c>
      <c r="AK439" s="726"/>
      <c r="AL439" s="726"/>
      <c r="AM439" s="726"/>
    </row>
    <row r="440" spans="1:39" ht="15.95" customHeight="1"/>
  </sheetData>
  <mergeCells count="1604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98:L98"/>
    <mergeCell ref="M98:AH98"/>
    <mergeCell ref="AI98:AM99"/>
    <mergeCell ref="A99:L99"/>
    <mergeCell ref="M99:AH99"/>
    <mergeCell ref="A100:F102"/>
    <mergeCell ref="G100:I102"/>
    <mergeCell ref="J100:L102"/>
    <mergeCell ref="M100:N102"/>
    <mergeCell ref="O100:Q102"/>
    <mergeCell ref="AI65:AJ67"/>
    <mergeCell ref="AK65:AM67"/>
    <mergeCell ref="J66:L66"/>
    <mergeCell ref="J67:L67"/>
    <mergeCell ref="A97:L97"/>
    <mergeCell ref="M97:AH97"/>
    <mergeCell ref="AI97:AM97"/>
    <mergeCell ref="A84:F86"/>
    <mergeCell ref="G84:I86"/>
    <mergeCell ref="J84:L86"/>
    <mergeCell ref="R65:T67"/>
    <mergeCell ref="U65:W67"/>
    <mergeCell ref="X65:Z67"/>
    <mergeCell ref="AA65:AC67"/>
    <mergeCell ref="AD65:AE67"/>
    <mergeCell ref="AF65:AH67"/>
    <mergeCell ref="AI81:AM81"/>
    <mergeCell ref="A82:L82"/>
    <mergeCell ref="M82:AH82"/>
    <mergeCell ref="AI82:AM83"/>
    <mergeCell ref="A83:L83"/>
    <mergeCell ref="M83:AH83"/>
    <mergeCell ref="AA103:AC105"/>
    <mergeCell ref="AD103:AE105"/>
    <mergeCell ref="AF103:AH105"/>
    <mergeCell ref="AI103:AJ105"/>
    <mergeCell ref="AK103:AM105"/>
    <mergeCell ref="J104:L104"/>
    <mergeCell ref="J105:L105"/>
    <mergeCell ref="AI100:AJ102"/>
    <mergeCell ref="AK100:AM102"/>
    <mergeCell ref="A103:F105"/>
    <mergeCell ref="G103:I105"/>
    <mergeCell ref="J103:L103"/>
    <mergeCell ref="M103:N105"/>
    <mergeCell ref="O103:Q105"/>
    <mergeCell ref="R103:T105"/>
    <mergeCell ref="U103:W105"/>
    <mergeCell ref="X103:Z105"/>
    <mergeCell ref="R100:T102"/>
    <mergeCell ref="U100:W102"/>
    <mergeCell ref="X100:Z102"/>
    <mergeCell ref="AA100:AC102"/>
    <mergeCell ref="AD100:AE102"/>
    <mergeCell ref="AF100:AH102"/>
    <mergeCell ref="AK106:AM108"/>
    <mergeCell ref="J107:L107"/>
    <mergeCell ref="J108:L108"/>
    <mergeCell ref="A109:F111"/>
    <mergeCell ref="G109:I111"/>
    <mergeCell ref="J109:L109"/>
    <mergeCell ref="M109:N111"/>
    <mergeCell ref="O109:Q111"/>
    <mergeCell ref="R109:T111"/>
    <mergeCell ref="U109:W111"/>
    <mergeCell ref="U106:W108"/>
    <mergeCell ref="X106:Z108"/>
    <mergeCell ref="AA106:AC108"/>
    <mergeCell ref="AD106:AE108"/>
    <mergeCell ref="AF106:AH108"/>
    <mergeCell ref="AI106:AJ108"/>
    <mergeCell ref="A106:F108"/>
    <mergeCell ref="G106:I108"/>
    <mergeCell ref="J106:L106"/>
    <mergeCell ref="M106:N108"/>
    <mergeCell ref="O106:Q108"/>
    <mergeCell ref="R106:T108"/>
    <mergeCell ref="AF112:AH114"/>
    <mergeCell ref="AI112:AJ114"/>
    <mergeCell ref="AK112:AM114"/>
    <mergeCell ref="J113:L113"/>
    <mergeCell ref="J114:L114"/>
    <mergeCell ref="A115:F117"/>
    <mergeCell ref="G115:I117"/>
    <mergeCell ref="J115:L115"/>
    <mergeCell ref="M115:N117"/>
    <mergeCell ref="O115:Q117"/>
    <mergeCell ref="O112:Q114"/>
    <mergeCell ref="R112:T114"/>
    <mergeCell ref="U112:W114"/>
    <mergeCell ref="X112:Z114"/>
    <mergeCell ref="AA112:AC114"/>
    <mergeCell ref="AD112:AE114"/>
    <mergeCell ref="J110:L110"/>
    <mergeCell ref="J111:L111"/>
    <mergeCell ref="A112:F114"/>
    <mergeCell ref="G112:I114"/>
    <mergeCell ref="J112:L112"/>
    <mergeCell ref="M112:N114"/>
    <mergeCell ref="X109:Z111"/>
    <mergeCell ref="AA109:AC111"/>
    <mergeCell ref="AD109:AE111"/>
    <mergeCell ref="AF109:AH111"/>
    <mergeCell ref="AI109:AJ111"/>
    <mergeCell ref="AK109:AM111"/>
    <mergeCell ref="AK118:AM120"/>
    <mergeCell ref="J119:L119"/>
    <mergeCell ref="J120:L120"/>
    <mergeCell ref="A121:F123"/>
    <mergeCell ref="G121:I123"/>
    <mergeCell ref="J121:L121"/>
    <mergeCell ref="M121:N123"/>
    <mergeCell ref="O121:Q123"/>
    <mergeCell ref="R121:T123"/>
    <mergeCell ref="U121:W123"/>
    <mergeCell ref="U118:W120"/>
    <mergeCell ref="X118:Z120"/>
    <mergeCell ref="AA118:AC120"/>
    <mergeCell ref="AD118:AE120"/>
    <mergeCell ref="AF118:AH120"/>
    <mergeCell ref="AI118:AJ120"/>
    <mergeCell ref="AI115:AJ117"/>
    <mergeCell ref="AK115:AM117"/>
    <mergeCell ref="J116:L116"/>
    <mergeCell ref="J117:L117"/>
    <mergeCell ref="A118:F120"/>
    <mergeCell ref="G118:I120"/>
    <mergeCell ref="J118:L118"/>
    <mergeCell ref="M118:N120"/>
    <mergeCell ref="O118:Q120"/>
    <mergeCell ref="R118:T120"/>
    <mergeCell ref="R115:T117"/>
    <mergeCell ref="U115:W117"/>
    <mergeCell ref="X115:Z117"/>
    <mergeCell ref="AA115:AC117"/>
    <mergeCell ref="AD115:AE117"/>
    <mergeCell ref="AF115:AH117"/>
    <mergeCell ref="AF124:AH126"/>
    <mergeCell ref="AI124:AJ126"/>
    <mergeCell ref="AK124:AM126"/>
    <mergeCell ref="J125:L125"/>
    <mergeCell ref="J126:L126"/>
    <mergeCell ref="A127:F129"/>
    <mergeCell ref="G127:I129"/>
    <mergeCell ref="J127:L127"/>
    <mergeCell ref="M127:N129"/>
    <mergeCell ref="O127:Q129"/>
    <mergeCell ref="O124:Q126"/>
    <mergeCell ref="R124:T126"/>
    <mergeCell ref="U124:W126"/>
    <mergeCell ref="X124:Z126"/>
    <mergeCell ref="AA124:AC126"/>
    <mergeCell ref="AD124:AE126"/>
    <mergeCell ref="J122:L122"/>
    <mergeCell ref="J123:L123"/>
    <mergeCell ref="A124:F126"/>
    <mergeCell ref="G124:I126"/>
    <mergeCell ref="J124:L124"/>
    <mergeCell ref="M124:N126"/>
    <mergeCell ref="X121:Z123"/>
    <mergeCell ref="AA121:AC123"/>
    <mergeCell ref="AD121:AE123"/>
    <mergeCell ref="AF121:AH123"/>
    <mergeCell ref="AI121:AJ123"/>
    <mergeCell ref="AK121:AM123"/>
    <mergeCell ref="A136:L136"/>
    <mergeCell ref="M136:AH136"/>
    <mergeCell ref="AI136:AM137"/>
    <mergeCell ref="A137:L137"/>
    <mergeCell ref="M137:AH137"/>
    <mergeCell ref="A138:F140"/>
    <mergeCell ref="G138:I140"/>
    <mergeCell ref="J138:L140"/>
    <mergeCell ref="M138:N140"/>
    <mergeCell ref="O138:Q140"/>
    <mergeCell ref="AI127:AJ129"/>
    <mergeCell ref="AK127:AM129"/>
    <mergeCell ref="J128:L128"/>
    <mergeCell ref="J129:L129"/>
    <mergeCell ref="A135:L135"/>
    <mergeCell ref="M135:AH135"/>
    <mergeCell ref="AI135:AM135"/>
    <mergeCell ref="R127:T129"/>
    <mergeCell ref="U127:W129"/>
    <mergeCell ref="X127:Z129"/>
    <mergeCell ref="AA127:AC129"/>
    <mergeCell ref="AD127:AE129"/>
    <mergeCell ref="AF127:AH129"/>
    <mergeCell ref="AA141:AC143"/>
    <mergeCell ref="AD141:AE143"/>
    <mergeCell ref="AF141:AH143"/>
    <mergeCell ref="AI141:AJ143"/>
    <mergeCell ref="AK141:AM143"/>
    <mergeCell ref="J142:L142"/>
    <mergeCell ref="J143:L143"/>
    <mergeCell ref="AI138:AJ140"/>
    <mergeCell ref="AK138:AM140"/>
    <mergeCell ref="A141:F143"/>
    <mergeCell ref="G141:I143"/>
    <mergeCell ref="J141:L141"/>
    <mergeCell ref="M141:N143"/>
    <mergeCell ref="O141:Q143"/>
    <mergeCell ref="R141:T143"/>
    <mergeCell ref="U141:W143"/>
    <mergeCell ref="X141:Z143"/>
    <mergeCell ref="R138:T140"/>
    <mergeCell ref="U138:W140"/>
    <mergeCell ref="X138:Z140"/>
    <mergeCell ref="AA138:AC140"/>
    <mergeCell ref="AD138:AE140"/>
    <mergeCell ref="AF138:AH140"/>
    <mergeCell ref="AK144:AM146"/>
    <mergeCell ref="J145:L145"/>
    <mergeCell ref="J146:L146"/>
    <mergeCell ref="A147:F149"/>
    <mergeCell ref="G147:I149"/>
    <mergeCell ref="J147:L147"/>
    <mergeCell ref="M147:N149"/>
    <mergeCell ref="O147:Q149"/>
    <mergeCell ref="R147:T149"/>
    <mergeCell ref="U147:W149"/>
    <mergeCell ref="U144:W146"/>
    <mergeCell ref="X144:Z146"/>
    <mergeCell ref="AA144:AC146"/>
    <mergeCell ref="AD144:AE146"/>
    <mergeCell ref="AF144:AH146"/>
    <mergeCell ref="AI144:AJ146"/>
    <mergeCell ref="A144:F146"/>
    <mergeCell ref="G144:I146"/>
    <mergeCell ref="J144:L144"/>
    <mergeCell ref="M144:N146"/>
    <mergeCell ref="O144:Q146"/>
    <mergeCell ref="R144:T146"/>
    <mergeCell ref="AF150:AH152"/>
    <mergeCell ref="AI150:AJ152"/>
    <mergeCell ref="AK150:AM152"/>
    <mergeCell ref="J151:L151"/>
    <mergeCell ref="J152:L152"/>
    <mergeCell ref="A153:F155"/>
    <mergeCell ref="G153:I155"/>
    <mergeCell ref="J153:L153"/>
    <mergeCell ref="M153:N155"/>
    <mergeCell ref="O153:Q155"/>
    <mergeCell ref="O150:Q152"/>
    <mergeCell ref="R150:T152"/>
    <mergeCell ref="U150:W152"/>
    <mergeCell ref="X150:Z152"/>
    <mergeCell ref="AA150:AC152"/>
    <mergeCell ref="AD150:AE152"/>
    <mergeCell ref="J148:L148"/>
    <mergeCell ref="J149:L149"/>
    <mergeCell ref="A150:F152"/>
    <mergeCell ref="G150:I152"/>
    <mergeCell ref="J150:L150"/>
    <mergeCell ref="M150:N152"/>
    <mergeCell ref="X147:Z149"/>
    <mergeCell ref="AA147:AC149"/>
    <mergeCell ref="AD147:AE149"/>
    <mergeCell ref="AF147:AH149"/>
    <mergeCell ref="AI147:AJ149"/>
    <mergeCell ref="AK147:AM149"/>
    <mergeCell ref="AK156:AM158"/>
    <mergeCell ref="J157:L157"/>
    <mergeCell ref="J158:L158"/>
    <mergeCell ref="A159:F161"/>
    <mergeCell ref="G159:I161"/>
    <mergeCell ref="J159:L159"/>
    <mergeCell ref="M159:N161"/>
    <mergeCell ref="O159:Q161"/>
    <mergeCell ref="R159:T161"/>
    <mergeCell ref="U159:W161"/>
    <mergeCell ref="U156:W158"/>
    <mergeCell ref="X156:Z158"/>
    <mergeCell ref="AA156:AC158"/>
    <mergeCell ref="AD156:AE158"/>
    <mergeCell ref="AF156:AH158"/>
    <mergeCell ref="AI156:AJ158"/>
    <mergeCell ref="AI153:AJ155"/>
    <mergeCell ref="AK153:AM155"/>
    <mergeCell ref="J154:L154"/>
    <mergeCell ref="J155:L155"/>
    <mergeCell ref="A156:F158"/>
    <mergeCell ref="G156:I158"/>
    <mergeCell ref="J156:L156"/>
    <mergeCell ref="M156:N158"/>
    <mergeCell ref="O156:Q158"/>
    <mergeCell ref="R156:T158"/>
    <mergeCell ref="R153:T155"/>
    <mergeCell ref="U153:W155"/>
    <mergeCell ref="X153:Z155"/>
    <mergeCell ref="AA153:AC155"/>
    <mergeCell ref="AD153:AE155"/>
    <mergeCell ref="AF153:AH155"/>
    <mergeCell ref="AF162:AH164"/>
    <mergeCell ref="AI162:AJ164"/>
    <mergeCell ref="AK162:AM164"/>
    <mergeCell ref="J163:L163"/>
    <mergeCell ref="J164:L164"/>
    <mergeCell ref="A165:F167"/>
    <mergeCell ref="G165:I167"/>
    <mergeCell ref="J165:L165"/>
    <mergeCell ref="M165:N167"/>
    <mergeCell ref="O165:Q167"/>
    <mergeCell ref="O162:Q164"/>
    <mergeCell ref="R162:T164"/>
    <mergeCell ref="U162:W164"/>
    <mergeCell ref="X162:Z164"/>
    <mergeCell ref="AA162:AC164"/>
    <mergeCell ref="AD162:AE164"/>
    <mergeCell ref="J160:L160"/>
    <mergeCell ref="J161:L161"/>
    <mergeCell ref="A162:F164"/>
    <mergeCell ref="G162:I164"/>
    <mergeCell ref="J162:L162"/>
    <mergeCell ref="M162:N164"/>
    <mergeCell ref="X159:Z161"/>
    <mergeCell ref="AA159:AC161"/>
    <mergeCell ref="AD159:AE161"/>
    <mergeCell ref="AF159:AH161"/>
    <mergeCell ref="AI159:AJ161"/>
    <mergeCell ref="AK159:AM161"/>
    <mergeCell ref="A188:L188"/>
    <mergeCell ref="M188:AH188"/>
    <mergeCell ref="AI188:AM188"/>
    <mergeCell ref="A189:L189"/>
    <mergeCell ref="M189:AH189"/>
    <mergeCell ref="AI189:AM190"/>
    <mergeCell ref="A190:L190"/>
    <mergeCell ref="M190:AH190"/>
    <mergeCell ref="AI165:AJ167"/>
    <mergeCell ref="AK165:AM167"/>
    <mergeCell ref="J166:L166"/>
    <mergeCell ref="J167:L167"/>
    <mergeCell ref="R165:T167"/>
    <mergeCell ref="U165:W167"/>
    <mergeCell ref="X165:Z167"/>
    <mergeCell ref="AA165:AC167"/>
    <mergeCell ref="AD165:AE167"/>
    <mergeCell ref="AF165:AH167"/>
    <mergeCell ref="O197:Q199"/>
    <mergeCell ref="R197:T199"/>
    <mergeCell ref="AD194:AE196"/>
    <mergeCell ref="AF194:AH196"/>
    <mergeCell ref="AI194:AJ196"/>
    <mergeCell ref="AK194:AM196"/>
    <mergeCell ref="J195:L195"/>
    <mergeCell ref="J196:L196"/>
    <mergeCell ref="AK191:AM193"/>
    <mergeCell ref="A194:F196"/>
    <mergeCell ref="G194:I196"/>
    <mergeCell ref="J194:L194"/>
    <mergeCell ref="M194:N196"/>
    <mergeCell ref="O194:Q196"/>
    <mergeCell ref="R194:T196"/>
    <mergeCell ref="U194:W196"/>
    <mergeCell ref="X194:Z196"/>
    <mergeCell ref="AA194:AC196"/>
    <mergeCell ref="U191:W193"/>
    <mergeCell ref="X191:Z193"/>
    <mergeCell ref="AA191:AC193"/>
    <mergeCell ref="AD191:AE193"/>
    <mergeCell ref="AF191:AH193"/>
    <mergeCell ref="AI191:AJ193"/>
    <mergeCell ref="A191:F193"/>
    <mergeCell ref="G191:I193"/>
    <mergeCell ref="J191:L193"/>
    <mergeCell ref="M191:N193"/>
    <mergeCell ref="O191:Q193"/>
    <mergeCell ref="R191:T193"/>
    <mergeCell ref="J201:L201"/>
    <mergeCell ref="J202:L202"/>
    <mergeCell ref="A203:F205"/>
    <mergeCell ref="G203:I205"/>
    <mergeCell ref="J203:L203"/>
    <mergeCell ref="M203:N205"/>
    <mergeCell ref="X200:Z202"/>
    <mergeCell ref="AA200:AC202"/>
    <mergeCell ref="AD200:AE202"/>
    <mergeCell ref="AF200:AH202"/>
    <mergeCell ref="AI200:AJ202"/>
    <mergeCell ref="AK200:AM202"/>
    <mergeCell ref="AK197:AM199"/>
    <mergeCell ref="J198:L198"/>
    <mergeCell ref="J199:L199"/>
    <mergeCell ref="A200:F202"/>
    <mergeCell ref="G200:I202"/>
    <mergeCell ref="J200:L200"/>
    <mergeCell ref="M200:N202"/>
    <mergeCell ref="O200:Q202"/>
    <mergeCell ref="R200:T202"/>
    <mergeCell ref="U200:W202"/>
    <mergeCell ref="U197:W199"/>
    <mergeCell ref="X197:Z199"/>
    <mergeCell ref="AA197:AC199"/>
    <mergeCell ref="AD197:AE199"/>
    <mergeCell ref="AF197:AH199"/>
    <mergeCell ref="AI197:AJ199"/>
    <mergeCell ref="A197:F199"/>
    <mergeCell ref="G197:I199"/>
    <mergeCell ref="J197:L197"/>
    <mergeCell ref="M197:N199"/>
    <mergeCell ref="AI206:AJ208"/>
    <mergeCell ref="AK206:AM208"/>
    <mergeCell ref="J207:L207"/>
    <mergeCell ref="J208:L208"/>
    <mergeCell ref="A209:F211"/>
    <mergeCell ref="G209:I211"/>
    <mergeCell ref="J209:L209"/>
    <mergeCell ref="M209:N211"/>
    <mergeCell ref="O209:Q211"/>
    <mergeCell ref="R209:T211"/>
    <mergeCell ref="R206:T208"/>
    <mergeCell ref="U206:W208"/>
    <mergeCell ref="X206:Z208"/>
    <mergeCell ref="AA206:AC208"/>
    <mergeCell ref="AD206:AE208"/>
    <mergeCell ref="AF206:AH208"/>
    <mergeCell ref="AF203:AH205"/>
    <mergeCell ref="AI203:AJ205"/>
    <mergeCell ref="AK203:AM205"/>
    <mergeCell ref="J204:L204"/>
    <mergeCell ref="J205:L205"/>
    <mergeCell ref="A206:F208"/>
    <mergeCell ref="G206:I208"/>
    <mergeCell ref="J206:L206"/>
    <mergeCell ref="M206:N208"/>
    <mergeCell ref="O206:Q208"/>
    <mergeCell ref="O203:Q205"/>
    <mergeCell ref="R203:T205"/>
    <mergeCell ref="U203:W205"/>
    <mergeCell ref="X203:Z205"/>
    <mergeCell ref="AA203:AC205"/>
    <mergeCell ref="AD203:AE205"/>
    <mergeCell ref="AF212:AH214"/>
    <mergeCell ref="AI212:AJ214"/>
    <mergeCell ref="AK212:AM214"/>
    <mergeCell ref="AK209:AM211"/>
    <mergeCell ref="J210:L210"/>
    <mergeCell ref="J211:L211"/>
    <mergeCell ref="A212:F214"/>
    <mergeCell ref="G212:I214"/>
    <mergeCell ref="J212:L212"/>
    <mergeCell ref="M212:N214"/>
    <mergeCell ref="O212:Q214"/>
    <mergeCell ref="R212:T214"/>
    <mergeCell ref="U212:W214"/>
    <mergeCell ref="U209:W211"/>
    <mergeCell ref="X209:Z211"/>
    <mergeCell ref="AA209:AC211"/>
    <mergeCell ref="AD209:AE211"/>
    <mergeCell ref="AF209:AH211"/>
    <mergeCell ref="AI209:AJ211"/>
    <mergeCell ref="A218:F220"/>
    <mergeCell ref="G218:I220"/>
    <mergeCell ref="J218:L218"/>
    <mergeCell ref="M218:N220"/>
    <mergeCell ref="O218:Q220"/>
    <mergeCell ref="O215:Q217"/>
    <mergeCell ref="R215:T217"/>
    <mergeCell ref="U215:W217"/>
    <mergeCell ref="X215:Z217"/>
    <mergeCell ref="AA215:AC217"/>
    <mergeCell ref="AD215:AE217"/>
    <mergeCell ref="J213:L213"/>
    <mergeCell ref="J214:L214"/>
    <mergeCell ref="A215:F217"/>
    <mergeCell ref="G215:I217"/>
    <mergeCell ref="J215:L215"/>
    <mergeCell ref="M215:N217"/>
    <mergeCell ref="X212:Z214"/>
    <mergeCell ref="AA212:AC214"/>
    <mergeCell ref="AD212:AE214"/>
    <mergeCell ref="AI258:AJ260"/>
    <mergeCell ref="AK258:AM260"/>
    <mergeCell ref="AI218:AJ220"/>
    <mergeCell ref="AK218:AM220"/>
    <mergeCell ref="J219:L219"/>
    <mergeCell ref="J220:L220"/>
    <mergeCell ref="R218:T220"/>
    <mergeCell ref="U218:W220"/>
    <mergeCell ref="X218:Z220"/>
    <mergeCell ref="AA218:AC220"/>
    <mergeCell ref="AD218:AE220"/>
    <mergeCell ref="AF218:AH220"/>
    <mergeCell ref="AF215:AH217"/>
    <mergeCell ref="AI215:AJ217"/>
    <mergeCell ref="AK215:AM217"/>
    <mergeCell ref="J216:L216"/>
    <mergeCell ref="J217:L217"/>
    <mergeCell ref="O255:Q257"/>
    <mergeCell ref="R255:T257"/>
    <mergeCell ref="U255:W257"/>
    <mergeCell ref="X255:Z257"/>
    <mergeCell ref="J255:L255"/>
    <mergeCell ref="J256:L256"/>
    <mergeCell ref="J257:L257"/>
    <mergeCell ref="AK249:AM251"/>
    <mergeCell ref="A255:F257"/>
    <mergeCell ref="G255:I257"/>
    <mergeCell ref="M255:N257"/>
    <mergeCell ref="AF252:AH254"/>
    <mergeCell ref="AI252:AJ254"/>
    <mergeCell ref="AK252:AM254"/>
    <mergeCell ref="AA255:AC257"/>
    <mergeCell ref="J252:L252"/>
    <mergeCell ref="J253:L253"/>
    <mergeCell ref="J254:L254"/>
    <mergeCell ref="A294:G295"/>
    <mergeCell ref="H294:AM295"/>
    <mergeCell ref="J275:L275"/>
    <mergeCell ref="X270:Z272"/>
    <mergeCell ref="AA270:AC272"/>
    <mergeCell ref="AD270:AE272"/>
    <mergeCell ref="AF270:AH272"/>
    <mergeCell ref="J270:L270"/>
    <mergeCell ref="J271:L271"/>
    <mergeCell ref="J272:L272"/>
    <mergeCell ref="O267:Q269"/>
    <mergeCell ref="R267:T269"/>
    <mergeCell ref="U267:W269"/>
    <mergeCell ref="X267:Z269"/>
    <mergeCell ref="J267:L267"/>
    <mergeCell ref="J268:L268"/>
    <mergeCell ref="J269:L269"/>
    <mergeCell ref="A267:F269"/>
    <mergeCell ref="G267:I269"/>
    <mergeCell ref="M267:N269"/>
    <mergeCell ref="AA267:AC269"/>
    <mergeCell ref="AD267:AE269"/>
    <mergeCell ref="AF267:AH269"/>
    <mergeCell ref="AI267:AJ269"/>
    <mergeCell ref="AK267:AM269"/>
    <mergeCell ref="A270:F272"/>
    <mergeCell ref="G270:I272"/>
    <mergeCell ref="M270:N272"/>
    <mergeCell ref="O270:Q272"/>
    <mergeCell ref="R270:T272"/>
    <mergeCell ref="U270:W272"/>
    <mergeCell ref="U273:W275"/>
    <mergeCell ref="A300:L300"/>
    <mergeCell ref="M300:AH300"/>
    <mergeCell ref="AI300:AM301"/>
    <mergeCell ref="A301:L301"/>
    <mergeCell ref="M301:AH301"/>
    <mergeCell ref="A302:F304"/>
    <mergeCell ref="G302:I304"/>
    <mergeCell ref="J302:L304"/>
    <mergeCell ref="M302:N304"/>
    <mergeCell ref="O302:Q304"/>
    <mergeCell ref="A296:G297"/>
    <mergeCell ref="H296:V297"/>
    <mergeCell ref="W296:Z297"/>
    <mergeCell ref="AA296:AM297"/>
    <mergeCell ref="A299:L299"/>
    <mergeCell ref="M299:AH299"/>
    <mergeCell ref="AI299:AM299"/>
    <mergeCell ref="X273:Z275"/>
    <mergeCell ref="AA273:AC275"/>
    <mergeCell ref="J276:L276"/>
    <mergeCell ref="J277:L277"/>
    <mergeCell ref="AA305:AC307"/>
    <mergeCell ref="AD305:AE307"/>
    <mergeCell ref="AF305:AH307"/>
    <mergeCell ref="AI305:AJ307"/>
    <mergeCell ref="AK305:AM307"/>
    <mergeCell ref="J306:L306"/>
    <mergeCell ref="J307:L307"/>
    <mergeCell ref="AI302:AJ304"/>
    <mergeCell ref="AK302:AM304"/>
    <mergeCell ref="A305:F307"/>
    <mergeCell ref="G305:I307"/>
    <mergeCell ref="J305:L305"/>
    <mergeCell ref="M305:N307"/>
    <mergeCell ref="O305:Q307"/>
    <mergeCell ref="R305:T307"/>
    <mergeCell ref="U305:W307"/>
    <mergeCell ref="X305:Z307"/>
    <mergeCell ref="R302:T304"/>
    <mergeCell ref="U302:W304"/>
    <mergeCell ref="X302:Z304"/>
    <mergeCell ref="AA302:AC304"/>
    <mergeCell ref="AD302:AE304"/>
    <mergeCell ref="AF302:AH304"/>
    <mergeCell ref="AK308:AM310"/>
    <mergeCell ref="J309:L309"/>
    <mergeCell ref="J310:L310"/>
    <mergeCell ref="A311:F313"/>
    <mergeCell ref="G311:I313"/>
    <mergeCell ref="J311:L311"/>
    <mergeCell ref="M311:N313"/>
    <mergeCell ref="O311:Q313"/>
    <mergeCell ref="R311:T313"/>
    <mergeCell ref="U311:W313"/>
    <mergeCell ref="U308:W310"/>
    <mergeCell ref="X308:Z310"/>
    <mergeCell ref="AA308:AC310"/>
    <mergeCell ref="AD308:AE310"/>
    <mergeCell ref="AF308:AH310"/>
    <mergeCell ref="AI308:AJ310"/>
    <mergeCell ref="A308:F310"/>
    <mergeCell ref="G308:I310"/>
    <mergeCell ref="J308:L308"/>
    <mergeCell ref="M308:N310"/>
    <mergeCell ref="O308:Q310"/>
    <mergeCell ref="R308:T310"/>
    <mergeCell ref="AF314:AH316"/>
    <mergeCell ref="AI314:AJ316"/>
    <mergeCell ref="AK314:AM316"/>
    <mergeCell ref="J315:L315"/>
    <mergeCell ref="J316:L316"/>
    <mergeCell ref="A317:F319"/>
    <mergeCell ref="G317:I319"/>
    <mergeCell ref="J317:L317"/>
    <mergeCell ref="M317:N319"/>
    <mergeCell ref="O317:Q319"/>
    <mergeCell ref="O314:Q316"/>
    <mergeCell ref="R314:T316"/>
    <mergeCell ref="U314:W316"/>
    <mergeCell ref="X314:Z316"/>
    <mergeCell ref="AA314:AC316"/>
    <mergeCell ref="AD314:AE316"/>
    <mergeCell ref="J312:L312"/>
    <mergeCell ref="J313:L313"/>
    <mergeCell ref="A314:F316"/>
    <mergeCell ref="G314:I316"/>
    <mergeCell ref="J314:L314"/>
    <mergeCell ref="M314:N316"/>
    <mergeCell ref="X311:Z313"/>
    <mergeCell ref="AA311:AC313"/>
    <mergeCell ref="AD311:AE313"/>
    <mergeCell ref="AF311:AH313"/>
    <mergeCell ref="AI311:AJ313"/>
    <mergeCell ref="AK311:AM313"/>
    <mergeCell ref="AK320:AM322"/>
    <mergeCell ref="J321:L321"/>
    <mergeCell ref="J322:L322"/>
    <mergeCell ref="A323:F325"/>
    <mergeCell ref="G323:I325"/>
    <mergeCell ref="J323:L323"/>
    <mergeCell ref="M323:N325"/>
    <mergeCell ref="O323:Q325"/>
    <mergeCell ref="R323:T325"/>
    <mergeCell ref="U323:W325"/>
    <mergeCell ref="U320:W322"/>
    <mergeCell ref="X320:Z322"/>
    <mergeCell ref="AA320:AC322"/>
    <mergeCell ref="AD320:AE322"/>
    <mergeCell ref="AF320:AH322"/>
    <mergeCell ref="AI320:AJ322"/>
    <mergeCell ref="AI317:AJ319"/>
    <mergeCell ref="AK317:AM319"/>
    <mergeCell ref="J318:L318"/>
    <mergeCell ref="J319:L319"/>
    <mergeCell ref="A320:F322"/>
    <mergeCell ref="G320:I322"/>
    <mergeCell ref="J320:L320"/>
    <mergeCell ref="M320:N322"/>
    <mergeCell ref="O320:Q322"/>
    <mergeCell ref="R320:T322"/>
    <mergeCell ref="R317:T319"/>
    <mergeCell ref="U317:W319"/>
    <mergeCell ref="X317:Z319"/>
    <mergeCell ref="AA317:AC319"/>
    <mergeCell ref="AD317:AE319"/>
    <mergeCell ref="AF317:AH319"/>
    <mergeCell ref="AI326:AJ328"/>
    <mergeCell ref="AK326:AM328"/>
    <mergeCell ref="J327:L327"/>
    <mergeCell ref="J328:L328"/>
    <mergeCell ref="A329:F331"/>
    <mergeCell ref="G329:I331"/>
    <mergeCell ref="J329:L329"/>
    <mergeCell ref="M329:N331"/>
    <mergeCell ref="O329:Q331"/>
    <mergeCell ref="O326:Q328"/>
    <mergeCell ref="R326:T328"/>
    <mergeCell ref="U326:W328"/>
    <mergeCell ref="X326:Z328"/>
    <mergeCell ref="AA326:AC328"/>
    <mergeCell ref="AD326:AE328"/>
    <mergeCell ref="J324:L324"/>
    <mergeCell ref="J325:L325"/>
    <mergeCell ref="A326:F328"/>
    <mergeCell ref="G326:I328"/>
    <mergeCell ref="J326:L326"/>
    <mergeCell ref="M326:N328"/>
    <mergeCell ref="X323:Z325"/>
    <mergeCell ref="AA323:AC325"/>
    <mergeCell ref="AD323:AE325"/>
    <mergeCell ref="AF323:AH325"/>
    <mergeCell ref="AI323:AJ325"/>
    <mergeCell ref="AK323:AM325"/>
    <mergeCell ref="AI329:AJ331"/>
    <mergeCell ref="AK329:AM331"/>
    <mergeCell ref="J330:L330"/>
    <mergeCell ref="J331:L331"/>
    <mergeCell ref="A362:F364"/>
    <mergeCell ref="G362:I364"/>
    <mergeCell ref="M362:N364"/>
    <mergeCell ref="AF359:AH361"/>
    <mergeCell ref="AI359:AJ361"/>
    <mergeCell ref="AK359:AM361"/>
    <mergeCell ref="AA362:AC364"/>
    <mergeCell ref="J359:L359"/>
    <mergeCell ref="J360:L360"/>
    <mergeCell ref="AA356:AC358"/>
    <mergeCell ref="AD356:AE358"/>
    <mergeCell ref="AF356:AH358"/>
    <mergeCell ref="AI356:AJ358"/>
    <mergeCell ref="A354:L354"/>
    <mergeCell ref="M354:AH354"/>
    <mergeCell ref="AI354:AM355"/>
    <mergeCell ref="AD362:AE364"/>
    <mergeCell ref="AF362:AH364"/>
    <mergeCell ref="AI362:AJ364"/>
    <mergeCell ref="AK362:AM364"/>
    <mergeCell ref="A355:L355"/>
    <mergeCell ref="M355:AH355"/>
    <mergeCell ref="A356:F358"/>
    <mergeCell ref="G356:I358"/>
    <mergeCell ref="J356:L358"/>
    <mergeCell ref="M356:N358"/>
    <mergeCell ref="O356:Q358"/>
    <mergeCell ref="R356:T358"/>
    <mergeCell ref="U356:W358"/>
    <mergeCell ref="X356:Z358"/>
    <mergeCell ref="J364:L364"/>
    <mergeCell ref="A399:AM399"/>
    <mergeCell ref="B401:K401"/>
    <mergeCell ref="R401:U401"/>
    <mergeCell ref="V401:W401"/>
    <mergeCell ref="X401:AA401"/>
    <mergeCell ref="AB401:AE401"/>
    <mergeCell ref="J379:L379"/>
    <mergeCell ref="J380:L380"/>
    <mergeCell ref="X377:Z379"/>
    <mergeCell ref="AA377:AC379"/>
    <mergeCell ref="AD377:AE379"/>
    <mergeCell ref="AF377:AH379"/>
    <mergeCell ref="AD380:AE382"/>
    <mergeCell ref="AF380:AH382"/>
    <mergeCell ref="J376:L376"/>
    <mergeCell ref="J377:L377"/>
    <mergeCell ref="J378:L378"/>
    <mergeCell ref="O374:Q376"/>
    <mergeCell ref="R374:T376"/>
    <mergeCell ref="U374:W376"/>
    <mergeCell ref="X374:Z376"/>
    <mergeCell ref="J374:L374"/>
    <mergeCell ref="J375:L375"/>
    <mergeCell ref="A374:F376"/>
    <mergeCell ref="G374:I376"/>
    <mergeCell ref="M374:N376"/>
    <mergeCell ref="AA374:AC376"/>
    <mergeCell ref="AI377:AJ379"/>
    <mergeCell ref="AK377:AM379"/>
    <mergeCell ref="A380:F382"/>
    <mergeCell ref="G380:I382"/>
    <mergeCell ref="M380:N382"/>
    <mergeCell ref="AJ402:AM402"/>
    <mergeCell ref="B403:K403"/>
    <mergeCell ref="L403:N403"/>
    <mergeCell ref="O403:Q403"/>
    <mergeCell ref="R403:U403"/>
    <mergeCell ref="V403:W403"/>
    <mergeCell ref="X403:AA403"/>
    <mergeCell ref="AB403:AE403"/>
    <mergeCell ref="AF403:AI403"/>
    <mergeCell ref="AJ403:AM403"/>
    <mergeCell ref="AF401:AI401"/>
    <mergeCell ref="AJ401:AM401"/>
    <mergeCell ref="B402:K402"/>
    <mergeCell ref="L402:N402"/>
    <mergeCell ref="O402:Q402"/>
    <mergeCell ref="R402:U402"/>
    <mergeCell ref="V402:W402"/>
    <mergeCell ref="X402:AA402"/>
    <mergeCell ref="AB402:AE402"/>
    <mergeCell ref="AF402:AI402"/>
    <mergeCell ref="AF405:AI405"/>
    <mergeCell ref="AJ405:AM405"/>
    <mergeCell ref="B406:K406"/>
    <mergeCell ref="L406:N406"/>
    <mergeCell ref="O406:Q406"/>
    <mergeCell ref="R406:U406"/>
    <mergeCell ref="V406:W406"/>
    <mergeCell ref="X406:AA406"/>
    <mergeCell ref="AB406:AE406"/>
    <mergeCell ref="AF406:AI406"/>
    <mergeCell ref="AB404:AE404"/>
    <mergeCell ref="AF404:AI404"/>
    <mergeCell ref="AJ404:AM404"/>
    <mergeCell ref="B405:K405"/>
    <mergeCell ref="L405:N405"/>
    <mergeCell ref="O405:Q405"/>
    <mergeCell ref="R405:U405"/>
    <mergeCell ref="V405:W405"/>
    <mergeCell ref="X405:AA405"/>
    <mergeCell ref="AB405:AE405"/>
    <mergeCell ref="B404:K404"/>
    <mergeCell ref="L404:N404"/>
    <mergeCell ref="O404:Q404"/>
    <mergeCell ref="R404:U404"/>
    <mergeCell ref="V404:W404"/>
    <mergeCell ref="X404:AA404"/>
    <mergeCell ref="AB408:AE408"/>
    <mergeCell ref="AF408:AI408"/>
    <mergeCell ref="AJ408:AM408"/>
    <mergeCell ref="B409:K409"/>
    <mergeCell ref="L409:N409"/>
    <mergeCell ref="O409:Q409"/>
    <mergeCell ref="R409:U409"/>
    <mergeCell ref="V409:W409"/>
    <mergeCell ref="X409:AA409"/>
    <mergeCell ref="AB409:AE409"/>
    <mergeCell ref="B408:K408"/>
    <mergeCell ref="L408:N408"/>
    <mergeCell ref="O408:Q408"/>
    <mergeCell ref="R408:U408"/>
    <mergeCell ref="V408:W408"/>
    <mergeCell ref="X408:AA408"/>
    <mergeCell ref="AJ406:AM406"/>
    <mergeCell ref="B407:K407"/>
    <mergeCell ref="L407:N407"/>
    <mergeCell ref="O407:Q407"/>
    <mergeCell ref="R407:U407"/>
    <mergeCell ref="V407:W407"/>
    <mergeCell ref="X407:AA407"/>
    <mergeCell ref="AB407:AE407"/>
    <mergeCell ref="AF407:AI407"/>
    <mergeCell ref="AJ407:AM407"/>
    <mergeCell ref="AJ410:AM410"/>
    <mergeCell ref="B411:K411"/>
    <mergeCell ref="L411:N411"/>
    <mergeCell ref="O411:Q411"/>
    <mergeCell ref="R411:U411"/>
    <mergeCell ref="V411:W411"/>
    <mergeCell ref="X411:AA411"/>
    <mergeCell ref="AB411:AE411"/>
    <mergeCell ref="AF411:AI411"/>
    <mergeCell ref="AJ411:AM411"/>
    <mergeCell ref="AF409:AI409"/>
    <mergeCell ref="AJ409:AM409"/>
    <mergeCell ref="B410:K410"/>
    <mergeCell ref="L410:N410"/>
    <mergeCell ref="O410:Q410"/>
    <mergeCell ref="R410:U410"/>
    <mergeCell ref="V410:W410"/>
    <mergeCell ref="X410:AA410"/>
    <mergeCell ref="AB410:AE410"/>
    <mergeCell ref="AF410:AI410"/>
    <mergeCell ref="AF414:AI414"/>
    <mergeCell ref="AJ414:AM414"/>
    <mergeCell ref="B415:K415"/>
    <mergeCell ref="L415:N415"/>
    <mergeCell ref="O415:Q415"/>
    <mergeCell ref="R415:U415"/>
    <mergeCell ref="V415:W415"/>
    <mergeCell ref="X415:AA415"/>
    <mergeCell ref="AB415:AE415"/>
    <mergeCell ref="AF415:AI415"/>
    <mergeCell ref="AB412:AE412"/>
    <mergeCell ref="AF412:AI412"/>
    <mergeCell ref="AJ412:AM412"/>
    <mergeCell ref="B414:K414"/>
    <mergeCell ref="L414:N414"/>
    <mergeCell ref="O414:Q414"/>
    <mergeCell ref="R414:U414"/>
    <mergeCell ref="V414:W414"/>
    <mergeCell ref="X414:AA414"/>
    <mergeCell ref="AB414:AE414"/>
    <mergeCell ref="B412:K412"/>
    <mergeCell ref="L412:N412"/>
    <mergeCell ref="O412:Q412"/>
    <mergeCell ref="R412:U412"/>
    <mergeCell ref="V412:W412"/>
    <mergeCell ref="X412:AA412"/>
    <mergeCell ref="B413:K413"/>
    <mergeCell ref="L413:N413"/>
    <mergeCell ref="O413:Q413"/>
    <mergeCell ref="R413:U413"/>
    <mergeCell ref="V413:W413"/>
    <mergeCell ref="X413:AA413"/>
    <mergeCell ref="AB417:AE417"/>
    <mergeCell ref="AF417:AI417"/>
    <mergeCell ref="AJ417:AM417"/>
    <mergeCell ref="B418:K418"/>
    <mergeCell ref="L418:N418"/>
    <mergeCell ref="O418:Q418"/>
    <mergeCell ref="R418:U418"/>
    <mergeCell ref="V418:W418"/>
    <mergeCell ref="X418:AA418"/>
    <mergeCell ref="AB418:AE418"/>
    <mergeCell ref="B417:K417"/>
    <mergeCell ref="L417:N417"/>
    <mergeCell ref="O417:Q417"/>
    <mergeCell ref="R417:U417"/>
    <mergeCell ref="V417:W417"/>
    <mergeCell ref="X417:AA417"/>
    <mergeCell ref="AJ415:AM415"/>
    <mergeCell ref="B416:K416"/>
    <mergeCell ref="L416:N416"/>
    <mergeCell ref="O416:Q416"/>
    <mergeCell ref="R416:U416"/>
    <mergeCell ref="V416:W416"/>
    <mergeCell ref="X416:AA416"/>
    <mergeCell ref="AB416:AE416"/>
    <mergeCell ref="AF416:AI416"/>
    <mergeCell ref="AJ416:AM416"/>
    <mergeCell ref="AJ419:AM419"/>
    <mergeCell ref="B420:K420"/>
    <mergeCell ref="L420:N420"/>
    <mergeCell ref="O420:Q420"/>
    <mergeCell ref="R420:U420"/>
    <mergeCell ref="V420:W420"/>
    <mergeCell ref="X420:AA420"/>
    <mergeCell ref="AB420:AE420"/>
    <mergeCell ref="AF420:AI420"/>
    <mergeCell ref="AJ420:AM420"/>
    <mergeCell ref="AF418:AI418"/>
    <mergeCell ref="AJ418:AM418"/>
    <mergeCell ref="B419:K419"/>
    <mergeCell ref="L419:N419"/>
    <mergeCell ref="O419:Q419"/>
    <mergeCell ref="R419:U419"/>
    <mergeCell ref="V419:W419"/>
    <mergeCell ref="X419:AA419"/>
    <mergeCell ref="AB419:AE419"/>
    <mergeCell ref="AF419:AI419"/>
    <mergeCell ref="AF422:AI422"/>
    <mergeCell ref="AJ422:AM422"/>
    <mergeCell ref="B423:K423"/>
    <mergeCell ref="L423:N423"/>
    <mergeCell ref="O423:Q423"/>
    <mergeCell ref="R423:U423"/>
    <mergeCell ref="V423:W423"/>
    <mergeCell ref="X423:AA423"/>
    <mergeCell ref="AB423:AE423"/>
    <mergeCell ref="AF423:AI423"/>
    <mergeCell ref="AB421:AE421"/>
    <mergeCell ref="AF421:AI421"/>
    <mergeCell ref="AJ421:AM421"/>
    <mergeCell ref="B422:K422"/>
    <mergeCell ref="L422:N422"/>
    <mergeCell ref="O422:Q422"/>
    <mergeCell ref="R422:U422"/>
    <mergeCell ref="V422:W422"/>
    <mergeCell ref="X422:AA422"/>
    <mergeCell ref="AB422:AE422"/>
    <mergeCell ref="B421:K421"/>
    <mergeCell ref="L421:N421"/>
    <mergeCell ref="O421:Q421"/>
    <mergeCell ref="R421:U421"/>
    <mergeCell ref="V421:W421"/>
    <mergeCell ref="X421:AA421"/>
    <mergeCell ref="AB425:AE425"/>
    <mergeCell ref="AF425:AI425"/>
    <mergeCell ref="AJ425:AM425"/>
    <mergeCell ref="B426:K426"/>
    <mergeCell ref="L426:N426"/>
    <mergeCell ref="O426:Q426"/>
    <mergeCell ref="R426:U426"/>
    <mergeCell ref="V426:W426"/>
    <mergeCell ref="X426:AA426"/>
    <mergeCell ref="AB426:AE426"/>
    <mergeCell ref="B425:K425"/>
    <mergeCell ref="L425:N425"/>
    <mergeCell ref="O425:Q425"/>
    <mergeCell ref="R425:U425"/>
    <mergeCell ref="V425:W425"/>
    <mergeCell ref="X425:AA425"/>
    <mergeCell ref="AJ423:AM423"/>
    <mergeCell ref="B424:K424"/>
    <mergeCell ref="L424:N424"/>
    <mergeCell ref="O424:Q424"/>
    <mergeCell ref="R424:U424"/>
    <mergeCell ref="V424:W424"/>
    <mergeCell ref="X424:AA424"/>
    <mergeCell ref="AB424:AE424"/>
    <mergeCell ref="AF424:AI424"/>
    <mergeCell ref="AJ424:AM424"/>
    <mergeCell ref="AJ427:AM427"/>
    <mergeCell ref="B428:K428"/>
    <mergeCell ref="L428:N428"/>
    <mergeCell ref="O428:Q428"/>
    <mergeCell ref="R428:U428"/>
    <mergeCell ref="V428:W428"/>
    <mergeCell ref="X428:AA428"/>
    <mergeCell ref="AB428:AE428"/>
    <mergeCell ref="AF428:AI428"/>
    <mergeCell ref="AJ428:AM428"/>
    <mergeCell ref="AF426:AI426"/>
    <mergeCell ref="AJ426:AM426"/>
    <mergeCell ref="B427:K427"/>
    <mergeCell ref="L427:N427"/>
    <mergeCell ref="O427:Q427"/>
    <mergeCell ref="R427:U427"/>
    <mergeCell ref="V427:W427"/>
    <mergeCell ref="X427:AA427"/>
    <mergeCell ref="AB427:AE427"/>
    <mergeCell ref="AF427:AI427"/>
    <mergeCell ref="AF431:AI431"/>
    <mergeCell ref="AJ431:AM431"/>
    <mergeCell ref="B432:K432"/>
    <mergeCell ref="L432:N432"/>
    <mergeCell ref="O432:Q432"/>
    <mergeCell ref="R432:U432"/>
    <mergeCell ref="V432:W432"/>
    <mergeCell ref="X432:AA432"/>
    <mergeCell ref="AB432:AE432"/>
    <mergeCell ref="AF432:AI432"/>
    <mergeCell ref="AB429:AE429"/>
    <mergeCell ref="AF429:AI429"/>
    <mergeCell ref="AJ429:AM429"/>
    <mergeCell ref="B431:K431"/>
    <mergeCell ref="L431:N431"/>
    <mergeCell ref="O431:Q431"/>
    <mergeCell ref="R431:U431"/>
    <mergeCell ref="V431:W431"/>
    <mergeCell ref="X431:AA431"/>
    <mergeCell ref="AB431:AE431"/>
    <mergeCell ref="B429:K429"/>
    <mergeCell ref="L429:N429"/>
    <mergeCell ref="O429:Q429"/>
    <mergeCell ref="R429:U429"/>
    <mergeCell ref="V429:W429"/>
    <mergeCell ref="X429:AA429"/>
    <mergeCell ref="R435:U435"/>
    <mergeCell ref="V435:W435"/>
    <mergeCell ref="X435:AA435"/>
    <mergeCell ref="AB435:AE435"/>
    <mergeCell ref="B434:K434"/>
    <mergeCell ref="L434:N434"/>
    <mergeCell ref="O434:Q434"/>
    <mergeCell ref="R434:U434"/>
    <mergeCell ref="V434:W434"/>
    <mergeCell ref="X434:AA434"/>
    <mergeCell ref="AJ432:AM432"/>
    <mergeCell ref="B433:K433"/>
    <mergeCell ref="L433:N433"/>
    <mergeCell ref="O433:Q433"/>
    <mergeCell ref="R433:U433"/>
    <mergeCell ref="V433:W433"/>
    <mergeCell ref="X433:AA433"/>
    <mergeCell ref="AB433:AE433"/>
    <mergeCell ref="AF433:AI433"/>
    <mergeCell ref="AJ433:AM433"/>
    <mergeCell ref="AB438:AE438"/>
    <mergeCell ref="AF438:AI438"/>
    <mergeCell ref="AJ438:AM438"/>
    <mergeCell ref="B439:K439"/>
    <mergeCell ref="L439:N439"/>
    <mergeCell ref="O439:Q439"/>
    <mergeCell ref="R439:U439"/>
    <mergeCell ref="V439:W439"/>
    <mergeCell ref="X439:AA439"/>
    <mergeCell ref="AB439:AE439"/>
    <mergeCell ref="B438:K438"/>
    <mergeCell ref="L438:N438"/>
    <mergeCell ref="O438:Q438"/>
    <mergeCell ref="R438:U438"/>
    <mergeCell ref="V438:W438"/>
    <mergeCell ref="X438:AA438"/>
    <mergeCell ref="AJ436:AM436"/>
    <mergeCell ref="B437:K437"/>
    <mergeCell ref="L437:N437"/>
    <mergeCell ref="O437:Q437"/>
    <mergeCell ref="R437:U437"/>
    <mergeCell ref="V437:W437"/>
    <mergeCell ref="X437:AA437"/>
    <mergeCell ref="AB437:AE437"/>
    <mergeCell ref="AD84:AE86"/>
    <mergeCell ref="AF84:AH86"/>
    <mergeCell ref="AI84:AJ86"/>
    <mergeCell ref="AK84:AM86"/>
    <mergeCell ref="A87:F89"/>
    <mergeCell ref="G87:I89"/>
    <mergeCell ref="M84:N86"/>
    <mergeCell ref="O84:Q86"/>
    <mergeCell ref="R84:T86"/>
    <mergeCell ref="U84:W86"/>
    <mergeCell ref="X84:Z86"/>
    <mergeCell ref="AA84:AC86"/>
    <mergeCell ref="AF439:AI439"/>
    <mergeCell ref="AJ439:AM439"/>
    <mergeCell ref="AF437:AI437"/>
    <mergeCell ref="AJ437:AM437"/>
    <mergeCell ref="AF435:AI435"/>
    <mergeCell ref="AJ435:AM435"/>
    <mergeCell ref="B436:K436"/>
    <mergeCell ref="L436:N436"/>
    <mergeCell ref="O436:Q436"/>
    <mergeCell ref="R436:U436"/>
    <mergeCell ref="V436:W436"/>
    <mergeCell ref="X436:AA436"/>
    <mergeCell ref="AB436:AE436"/>
    <mergeCell ref="AF436:AI436"/>
    <mergeCell ref="AB434:AE434"/>
    <mergeCell ref="AF434:AI434"/>
    <mergeCell ref="J91:L91"/>
    <mergeCell ref="J92:L92"/>
    <mergeCell ref="A93:F95"/>
    <mergeCell ref="G93:I95"/>
    <mergeCell ref="J93:L93"/>
    <mergeCell ref="M93:N95"/>
    <mergeCell ref="AJ434:AM434"/>
    <mergeCell ref="B435:K435"/>
    <mergeCell ref="L435:N435"/>
    <mergeCell ref="O435:Q435"/>
    <mergeCell ref="X90:Z92"/>
    <mergeCell ref="AA90:AC92"/>
    <mergeCell ref="AD90:AE92"/>
    <mergeCell ref="AF90:AH92"/>
    <mergeCell ref="AI90:AJ92"/>
    <mergeCell ref="AK90:AM92"/>
    <mergeCell ref="AK87:AM89"/>
    <mergeCell ref="J88:L88"/>
    <mergeCell ref="J89:L89"/>
    <mergeCell ref="A90:F92"/>
    <mergeCell ref="G90:I92"/>
    <mergeCell ref="J90:L90"/>
    <mergeCell ref="M90:N92"/>
    <mergeCell ref="O90:Q92"/>
    <mergeCell ref="R90:T92"/>
    <mergeCell ref="U90:W92"/>
    <mergeCell ref="U87:W89"/>
    <mergeCell ref="X87:Z89"/>
    <mergeCell ref="AA87:AC89"/>
    <mergeCell ref="AD87:AE89"/>
    <mergeCell ref="AF87:AH89"/>
    <mergeCell ref="AI87:AJ89"/>
    <mergeCell ref="J87:L87"/>
    <mergeCell ref="M87:N89"/>
    <mergeCell ref="O87:Q89"/>
    <mergeCell ref="R87:T89"/>
    <mergeCell ref="A241:G242"/>
    <mergeCell ref="H241:AM242"/>
    <mergeCell ref="A243:G244"/>
    <mergeCell ref="H243:V244"/>
    <mergeCell ref="W243:Z244"/>
    <mergeCell ref="AD273:AE275"/>
    <mergeCell ref="AA276:AC278"/>
    <mergeCell ref="AD276:AE278"/>
    <mergeCell ref="A246:L246"/>
    <mergeCell ref="M246:AH246"/>
    <mergeCell ref="A247:L247"/>
    <mergeCell ref="M247:AH247"/>
    <mergeCell ref="AA243:AM244"/>
    <mergeCell ref="AF93:AH95"/>
    <mergeCell ref="AI93:AJ95"/>
    <mergeCell ref="AK93:AM95"/>
    <mergeCell ref="J94:L94"/>
    <mergeCell ref="J95:L95"/>
    <mergeCell ref="O93:Q95"/>
    <mergeCell ref="R93:T95"/>
    <mergeCell ref="U93:W95"/>
    <mergeCell ref="X93:Z95"/>
    <mergeCell ref="AA93:AC95"/>
    <mergeCell ref="AD93:AE95"/>
    <mergeCell ref="J273:L273"/>
    <mergeCell ref="J274:L274"/>
    <mergeCell ref="AF264:AH266"/>
    <mergeCell ref="AI264:AJ266"/>
    <mergeCell ref="AK264:AM266"/>
    <mergeCell ref="J264:L264"/>
    <mergeCell ref="J265:L265"/>
    <mergeCell ref="J266:L266"/>
    <mergeCell ref="A252:F254"/>
    <mergeCell ref="G252:I254"/>
    <mergeCell ref="M252:N254"/>
    <mergeCell ref="O252:Q254"/>
    <mergeCell ref="R252:T254"/>
    <mergeCell ref="U252:W254"/>
    <mergeCell ref="X252:Z254"/>
    <mergeCell ref="AA252:AC254"/>
    <mergeCell ref="AD252:AE254"/>
    <mergeCell ref="AI246:AM246"/>
    <mergeCell ref="AI247:AM248"/>
    <mergeCell ref="A248:L248"/>
    <mergeCell ref="M248:AH248"/>
    <mergeCell ref="A249:F251"/>
    <mergeCell ref="G249:I251"/>
    <mergeCell ref="J249:L251"/>
    <mergeCell ref="M249:N251"/>
    <mergeCell ref="O249:Q251"/>
    <mergeCell ref="R249:T251"/>
    <mergeCell ref="U249:W251"/>
    <mergeCell ref="X249:Z251"/>
    <mergeCell ref="AA249:AC251"/>
    <mergeCell ref="AD249:AE251"/>
    <mergeCell ref="AF249:AH251"/>
    <mergeCell ref="AI249:AJ251"/>
    <mergeCell ref="A261:F263"/>
    <mergeCell ref="G261:I263"/>
    <mergeCell ref="M261:N263"/>
    <mergeCell ref="O261:Q263"/>
    <mergeCell ref="R261:T263"/>
    <mergeCell ref="U261:W263"/>
    <mergeCell ref="X261:Z263"/>
    <mergeCell ref="AA261:AC263"/>
    <mergeCell ref="AD255:AE257"/>
    <mergeCell ref="AF255:AH257"/>
    <mergeCell ref="AI255:AJ257"/>
    <mergeCell ref="AK255:AM257"/>
    <mergeCell ref="A258:F260"/>
    <mergeCell ref="G258:I260"/>
    <mergeCell ref="M258:N260"/>
    <mergeCell ref="O258:Q260"/>
    <mergeCell ref="R258:T260"/>
    <mergeCell ref="U258:W260"/>
    <mergeCell ref="AD261:AE263"/>
    <mergeCell ref="AF261:AH263"/>
    <mergeCell ref="AI261:AJ263"/>
    <mergeCell ref="J261:L261"/>
    <mergeCell ref="J262:L262"/>
    <mergeCell ref="J263:L263"/>
    <mergeCell ref="X258:Z260"/>
    <mergeCell ref="AA258:AC260"/>
    <mergeCell ref="AD258:AE260"/>
    <mergeCell ref="AF258:AH260"/>
    <mergeCell ref="J258:L258"/>
    <mergeCell ref="J259:L259"/>
    <mergeCell ref="AK261:AM263"/>
    <mergeCell ref="J260:L260"/>
    <mergeCell ref="A264:F266"/>
    <mergeCell ref="G264:I266"/>
    <mergeCell ref="M264:N266"/>
    <mergeCell ref="O264:Q266"/>
    <mergeCell ref="R264:T266"/>
    <mergeCell ref="U264:W266"/>
    <mergeCell ref="X264:Z266"/>
    <mergeCell ref="AA264:AC266"/>
    <mergeCell ref="AD264:AE266"/>
    <mergeCell ref="AF276:AH278"/>
    <mergeCell ref="AI276:AJ278"/>
    <mergeCell ref="AK276:AM278"/>
    <mergeCell ref="J278:L278"/>
    <mergeCell ref="A348:G349"/>
    <mergeCell ref="H348:AM349"/>
    <mergeCell ref="AF273:AH275"/>
    <mergeCell ref="AI273:AJ275"/>
    <mergeCell ref="AK273:AM275"/>
    <mergeCell ref="A276:F278"/>
    <mergeCell ref="G276:I278"/>
    <mergeCell ref="M276:N278"/>
    <mergeCell ref="O276:Q278"/>
    <mergeCell ref="R276:T278"/>
    <mergeCell ref="U276:W278"/>
    <mergeCell ref="X276:Z278"/>
    <mergeCell ref="AI270:AJ272"/>
    <mergeCell ref="AK270:AM272"/>
    <mergeCell ref="A273:F275"/>
    <mergeCell ref="G273:I275"/>
    <mergeCell ref="M273:N275"/>
    <mergeCell ref="O273:Q275"/>
    <mergeCell ref="R273:T275"/>
    <mergeCell ref="A350:G351"/>
    <mergeCell ref="H350:V351"/>
    <mergeCell ref="W350:Z351"/>
    <mergeCell ref="AA350:AM351"/>
    <mergeCell ref="A353:L353"/>
    <mergeCell ref="M353:AH353"/>
    <mergeCell ref="AI353:AM353"/>
    <mergeCell ref="R329:T331"/>
    <mergeCell ref="U329:W331"/>
    <mergeCell ref="X329:Z331"/>
    <mergeCell ref="AA329:AC331"/>
    <mergeCell ref="AD329:AE331"/>
    <mergeCell ref="AF329:AH331"/>
    <mergeCell ref="AF326:AH328"/>
    <mergeCell ref="J368:L368"/>
    <mergeCell ref="J369:L369"/>
    <mergeCell ref="A365:F367"/>
    <mergeCell ref="G365:I367"/>
    <mergeCell ref="M365:N367"/>
    <mergeCell ref="O365:Q367"/>
    <mergeCell ref="R365:T367"/>
    <mergeCell ref="U365:W367"/>
    <mergeCell ref="AK356:AM358"/>
    <mergeCell ref="A359:F361"/>
    <mergeCell ref="G359:I361"/>
    <mergeCell ref="M359:N361"/>
    <mergeCell ref="O359:Q361"/>
    <mergeCell ref="R359:T361"/>
    <mergeCell ref="U359:W361"/>
    <mergeCell ref="X359:Z361"/>
    <mergeCell ref="AA359:AC361"/>
    <mergeCell ref="AD359:AE361"/>
    <mergeCell ref="AK371:AM373"/>
    <mergeCell ref="J370:L370"/>
    <mergeCell ref="J371:L371"/>
    <mergeCell ref="J372:L372"/>
    <mergeCell ref="AD368:AE370"/>
    <mergeCell ref="AF368:AH370"/>
    <mergeCell ref="AI368:AJ370"/>
    <mergeCell ref="J365:L365"/>
    <mergeCell ref="J366:L366"/>
    <mergeCell ref="O362:Q364"/>
    <mergeCell ref="R362:T364"/>
    <mergeCell ref="U362:W364"/>
    <mergeCell ref="X362:Z364"/>
    <mergeCell ref="J361:L361"/>
    <mergeCell ref="J362:L362"/>
    <mergeCell ref="J383:L383"/>
    <mergeCell ref="M383:N385"/>
    <mergeCell ref="AK368:AM370"/>
    <mergeCell ref="O383:Q385"/>
    <mergeCell ref="R383:T385"/>
    <mergeCell ref="O380:Q382"/>
    <mergeCell ref="R380:T382"/>
    <mergeCell ref="U380:W382"/>
    <mergeCell ref="X380:Z382"/>
    <mergeCell ref="AA380:AC382"/>
    <mergeCell ref="AD374:AE376"/>
    <mergeCell ref="AF374:AH376"/>
    <mergeCell ref="AI374:AJ376"/>
    <mergeCell ref="AK374:AM376"/>
    <mergeCell ref="J363:L363"/>
    <mergeCell ref="AK365:AM367"/>
    <mergeCell ref="J367:L367"/>
    <mergeCell ref="A383:F385"/>
    <mergeCell ref="G383:I385"/>
    <mergeCell ref="A371:F373"/>
    <mergeCell ref="G371:I373"/>
    <mergeCell ref="M371:N373"/>
    <mergeCell ref="O371:Q373"/>
    <mergeCell ref="R371:T373"/>
    <mergeCell ref="U371:W373"/>
    <mergeCell ref="X371:Z373"/>
    <mergeCell ref="AA371:AC373"/>
    <mergeCell ref="AD371:AE373"/>
    <mergeCell ref="AI365:AJ367"/>
    <mergeCell ref="A368:F370"/>
    <mergeCell ref="G368:I370"/>
    <mergeCell ref="M368:N370"/>
    <mergeCell ref="O368:Q370"/>
    <mergeCell ref="R368:T370"/>
    <mergeCell ref="U368:W370"/>
    <mergeCell ref="X368:Z370"/>
    <mergeCell ref="AA368:AC370"/>
    <mergeCell ref="J373:L373"/>
    <mergeCell ref="AF371:AH373"/>
    <mergeCell ref="AI371:AJ373"/>
    <mergeCell ref="X365:Z367"/>
    <mergeCell ref="AA365:AC367"/>
    <mergeCell ref="AD365:AE367"/>
    <mergeCell ref="AF365:AH367"/>
    <mergeCell ref="AB413:AE413"/>
    <mergeCell ref="AF413:AI413"/>
    <mergeCell ref="AJ413:AM413"/>
    <mergeCell ref="B430:K430"/>
    <mergeCell ref="L430:N430"/>
    <mergeCell ref="O430:Q430"/>
    <mergeCell ref="R430:U430"/>
    <mergeCell ref="V430:W430"/>
    <mergeCell ref="X430:AA430"/>
    <mergeCell ref="AB430:AE430"/>
    <mergeCell ref="AF430:AI430"/>
    <mergeCell ref="AJ430:AM430"/>
    <mergeCell ref="A81:AH81"/>
    <mergeCell ref="A377:F379"/>
    <mergeCell ref="G377:I379"/>
    <mergeCell ref="M377:N379"/>
    <mergeCell ref="O377:Q379"/>
    <mergeCell ref="R377:T379"/>
    <mergeCell ref="U377:W379"/>
    <mergeCell ref="AK383:AM385"/>
    <mergeCell ref="J384:L384"/>
    <mergeCell ref="J385:L385"/>
    <mergeCell ref="U383:W385"/>
    <mergeCell ref="X383:Z385"/>
    <mergeCell ref="AA383:AC385"/>
    <mergeCell ref="AD383:AE385"/>
    <mergeCell ref="AF383:AH385"/>
    <mergeCell ref="AI383:AJ385"/>
    <mergeCell ref="AI380:AJ382"/>
    <mergeCell ref="AK380:AM382"/>
    <mergeCell ref="J381:L381"/>
    <mergeCell ref="J382:L382"/>
  </mergeCells>
  <hyperlinks>
    <hyperlink ref="G11" r:id="rId1" xr:uid="{28CD21B6-2696-AF4F-AB78-648A229AF683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BDE2-1709-3943-AAB4-AC3F7E6D8D1B}">
  <dimension ref="A1:AM228"/>
  <sheetViews>
    <sheetView view="pageLayout" zoomScale="140" zoomScaleNormal="100" zoomScalePageLayoutView="140" workbookViewId="0">
      <selection activeCell="AA27" sqref="AA27"/>
    </sheetView>
  </sheetViews>
  <sheetFormatPr defaultColWidth="10.625" defaultRowHeight="15.75"/>
  <cols>
    <col min="1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Targu Mures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nr.48,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RO35713546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J40/2784/2016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 xml:space="preserve">RO96 RZBR 0000 0600 1847 3091, 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13/31.01.2024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34/28.02.2024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20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AB228</f>
        <v>669174.14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AF228</f>
        <v>127143.09999999999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AJ228</f>
        <v>796317.24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796317.24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R191+R205+R206+R209</f>
        <v>712488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1.1176570552767204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VLOOKUP(AA15,'Date SPV'!$B:$H,4,FALSE)</f>
        <v>Bulevardul 1 Decembrie 1918, nr. 242, Targu Mures, jud. Mures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5000406723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_xlfn.CONCAT($AA$15,"_",1)</f>
        <v>RTGU_1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594020300002742631/1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RTGU_1.1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1371033646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5131168 (citit)</v>
      </c>
      <c r="S41" s="647"/>
      <c r="T41" s="647"/>
      <c r="U41" s="647" t="str">
        <f>VLOOKUP(A41,Regularizare!$D:$U,4,FALSE)&amp;" ("&amp;VLOOKUP(A41,Regularizare!$D:$U,12,FALSE)&amp;")"</f>
        <v>5228689 (estimat)</v>
      </c>
      <c r="V41" s="647"/>
      <c r="W41" s="647"/>
      <c r="X41" s="647" t="str">
        <f>VLOOKUP(A41,Regularizare!$D:$Y,19,FALSE)&amp;" ("&amp;VLOOKUP(A41,Regularizare!$D:$U,12,FALSE)&amp;")"</f>
        <v>97521 (estimat)</v>
      </c>
      <c r="Y41" s="647"/>
      <c r="Z41" s="647"/>
      <c r="AA41" s="647">
        <f>(-1)*VLOOKUP(A41,Regularizare!$D:$Y,19,FALSE)</f>
        <v>-97521</v>
      </c>
      <c r="AB41" s="647"/>
      <c r="AC41" s="647"/>
      <c r="AD41" s="647" t="s">
        <v>69</v>
      </c>
      <c r="AE41" s="647"/>
      <c r="AF41" s="647">
        <f>AA41</f>
        <v>-97521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1371033646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668230 (citit)</v>
      </c>
      <c r="S44" s="647"/>
      <c r="T44" s="647"/>
      <c r="U44" s="647" t="str">
        <f>VLOOKUP(A44,Regularizare!$D:$U,8,FALSE)&amp;" ("&amp;VLOOKUP(A44,Regularizare!$D:$U,16,FALSE)&amp;")"</f>
        <v>668230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1371033646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11928 (citit)</v>
      </c>
      <c r="S47" s="647"/>
      <c r="T47" s="647"/>
      <c r="U47" s="647" t="str">
        <f>VLOOKUP(A47,Regularizare!$D:$U,10,FALSE)&amp;" ("&amp;VLOOKUP(A47,Regularizare!$D:$U,18,FALSE)&amp;")"</f>
        <v>11928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1371033646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5131168 (citit)</v>
      </c>
      <c r="S50" s="647"/>
      <c r="T50" s="647"/>
      <c r="U50" s="647" t="str">
        <f>VLOOKUP(A50,Regularizare!$D:$AX,25,FALSE)&amp;" ("&amp;VLOOKUP(A50,Regularizare!$D:$AX,26,FALSE)&amp;")"</f>
        <v>5228689 (citit)</v>
      </c>
      <c r="V50" s="647"/>
      <c r="W50" s="647"/>
      <c r="X50" s="647" t="str">
        <f>VLOOKUP(A50,Regularizare!$D:$AX,37,FALSE)&amp;" ("&amp;VLOOKUP(A50,Regularizare!$D:$AX,26,FALSE)&amp;")"</f>
        <v>97521 (citit)</v>
      </c>
      <c r="Y50" s="647"/>
      <c r="Z50" s="647"/>
      <c r="AA50" s="647">
        <f>VLOOKUP(A50,Regularizare!$D:$AX,37,FALSE)</f>
        <v>97521</v>
      </c>
      <c r="AB50" s="647"/>
      <c r="AC50" s="647"/>
      <c r="AD50" s="647" t="s">
        <v>69</v>
      </c>
      <c r="AE50" s="647"/>
      <c r="AF50" s="647">
        <f>AA50</f>
        <v>97521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1371033646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668230 (citit)</v>
      </c>
      <c r="S53" s="647"/>
      <c r="T53" s="647"/>
      <c r="U53" s="647" t="str">
        <f>VLOOKUP(A53,Regularizare!$D:$AX,31,FALSE)&amp;" ("&amp;VLOOKUP(A53,Regularizare!$D:$AX,32,FALSE)&amp;")"</f>
        <v>668230 (citit)</v>
      </c>
      <c r="V53" s="647"/>
      <c r="W53" s="647"/>
      <c r="X53" s="647" t="str">
        <f>VLOOKUP(A53,Regularizare!$D:$AX,39,FALSE)&amp;" ("&amp;VLOOKUP(A53,Regularizare!$D:$AX,32,FALSE)&amp;")"</f>
        <v>0 (citit)</v>
      </c>
      <c r="Y53" s="647"/>
      <c r="Z53" s="647"/>
      <c r="AA53" s="647">
        <f>VLOOKUP(A53,Regularizare!$D:$AX,44,FALSE)+VLOOKUP(A53,Regularizare!$D:$AX,45,FALSE)</f>
        <v>0</v>
      </c>
      <c r="AB53" s="647"/>
      <c r="AC53" s="647"/>
      <c r="AD53" s="647" t="s">
        <v>69</v>
      </c>
      <c r="AE53" s="647"/>
      <c r="AF53" s="647">
        <f>AA53</f>
        <v>0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1371033646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11928 (citit)</v>
      </c>
      <c r="S56" s="647"/>
      <c r="T56" s="647"/>
      <c r="U56" s="647" t="str">
        <f>VLOOKUP(A56,Regularizare!$D:$AX,35,FALSE)&amp;" ("&amp;VLOOKUP(A56,Regularizare!$D:$AX,36,FALSE)&amp;")"</f>
        <v>11928 (citit)</v>
      </c>
      <c r="V56" s="647"/>
      <c r="W56" s="647"/>
      <c r="X56" s="647" t="str">
        <f>VLOOKUP(A56,Regularizare!$D:$AX,40,FALSE)&amp;" ("&amp;VLOOKUP(A56,Regularizare!$D:$AX,36,FALSE)&amp;")"</f>
        <v>0 (citit)</v>
      </c>
      <c r="Y56" s="647"/>
      <c r="Z56" s="647"/>
      <c r="AA56" s="647">
        <f>VLOOKUP(A56,Regularizare!$D:$AX,46,FALSE)+VLOOKUP(A56,Regularizare!$D:$AX,47,FALSE)</f>
        <v>0</v>
      </c>
      <c r="AB56" s="647"/>
      <c r="AC56" s="647"/>
      <c r="AD56" s="647" t="s">
        <v>69</v>
      </c>
      <c r="AE56" s="647"/>
      <c r="AF56" s="647">
        <f>AA56</f>
        <v>0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1371033646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5228689 (citit)</v>
      </c>
      <c r="S59" s="647"/>
      <c r="T59" s="647"/>
      <c r="U59" s="647" t="str">
        <f>VLOOKUP(A59,'Incrementare indexe'!$D:$M,4,FALSE)&amp;" (estimat)"</f>
        <v>5332101 (estimat)</v>
      </c>
      <c r="V59" s="647"/>
      <c r="W59" s="647"/>
      <c r="X59" s="647" t="str">
        <f>VLOOKUP(A59,'Incrementare indexe'!$D:$Q,11,FALSE)&amp;" (estimat)"</f>
        <v>103412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103412</v>
      </c>
      <c r="AG59" s="647"/>
      <c r="AH59" s="647"/>
      <c r="AI59" s="647">
        <f>J61-J59+1</f>
        <v>31</v>
      </c>
      <c r="AJ59" s="647"/>
      <c r="AK59" s="647">
        <f>ROUND(AF59/AI59,2)</f>
        <v>3335.87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1371033646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668230 (citit)</v>
      </c>
      <c r="S62" s="647"/>
      <c r="T62" s="647"/>
      <c r="U62" s="647" t="str">
        <f>VLOOKUP(A62,'Incrementare indexe'!$D:$M,8,FALSE)&amp;" (estimat)"</f>
        <v>668230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1371033646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11928 (citit)</v>
      </c>
      <c r="S65" s="647"/>
      <c r="T65" s="647"/>
      <c r="U65" s="647" t="str">
        <f>VLOOKUP(A65,'Incrementare indexe'!$D:$M,10,FALSE)&amp;" (estimat)"</f>
        <v>11928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196"/>
      <c r="B79" s="196"/>
      <c r="C79" s="196"/>
      <c r="D79" s="196"/>
      <c r="E79" s="196"/>
      <c r="F79" s="196"/>
      <c r="G79" s="196"/>
      <c r="H79" s="196"/>
      <c r="I79" s="196"/>
      <c r="J79" s="197"/>
      <c r="K79" s="197"/>
      <c r="L79" s="197"/>
      <c r="M79" s="196"/>
      <c r="N79" s="196"/>
      <c r="O79" s="196"/>
      <c r="P79" s="196"/>
      <c r="Q79" s="196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</row>
    <row r="80" spans="1:39" ht="14.1" customHeight="1"/>
    <row r="81" spans="1:39" ht="14.1" customHeight="1">
      <c r="A81" s="721" t="s">
        <v>1196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_xlfn.CONCAT(AI36,"/PV")</f>
        <v>RTGU_1.1/PV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1370127118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835686 (citit)</v>
      </c>
      <c r="S87" s="647"/>
      <c r="T87" s="647"/>
      <c r="U87" s="647" t="str">
        <f>VLOOKUP(AI82,'Incrementare indexe'!$B:$I,8,FALSE)&amp;" (citit)"</f>
        <v>878158 (citit)</v>
      </c>
      <c r="V87" s="647"/>
      <c r="W87" s="647"/>
      <c r="X87" s="647" t="str">
        <f>(VLOOKUP(AI82,'Incrementare indexe'!$B:$I,8,FALSE)-VLOOKUP(AI82,'Incrementare indexe'!$B:$I,7,FALSE))&amp;" (citit)"</f>
        <v>42472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42472</v>
      </c>
      <c r="AG87" s="647"/>
      <c r="AH87" s="647"/>
      <c r="AI87" s="647">
        <f>J89-J87+1</f>
        <v>31</v>
      </c>
      <c r="AJ87" s="647"/>
      <c r="AK87" s="647">
        <f>ROUND(AF87/AI87,2)</f>
        <v>1370.06</v>
      </c>
      <c r="AL87" s="647"/>
      <c r="AM87" s="647"/>
    </row>
    <row r="88" spans="1:39" ht="8.4499999999999993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1370127118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8.4499999999999993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1370127118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8.4499999999999993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1:39">
      <c r="A97" s="54"/>
      <c r="B97" s="54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9" spans="1:39">
      <c r="A99" s="649" t="s">
        <v>748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tr">
        <f>VLOOKUP(AI100,'Contorizare in SDI'!$E:$I,4,FALSE)</f>
        <v>594020300002742631/2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50" t="s">
        <v>695</v>
      </c>
      <c r="AJ99" s="650"/>
      <c r="AK99" s="650"/>
      <c r="AL99" s="650"/>
      <c r="AM99" s="650"/>
    </row>
    <row r="100" spans="1:39">
      <c r="A100" s="649" t="s">
        <v>746</v>
      </c>
      <c r="B100" s="649"/>
      <c r="C100" s="649"/>
      <c r="D100" s="649"/>
      <c r="E100" s="649"/>
      <c r="F100" s="649"/>
      <c r="G100" s="649"/>
      <c r="H100" s="649"/>
      <c r="I100" s="649"/>
      <c r="J100" s="649"/>
      <c r="K100" s="649"/>
      <c r="L100" s="649"/>
      <c r="M100" s="650" t="str">
        <f>VLOOKUP(AI100,'Inchidere contur'!$G:$U,15,FALSE)</f>
        <v>JT_SDI</v>
      </c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19" t="str">
        <f>_xlfn.CONCAT(AA32,".",2)</f>
        <v>RTGU_1.2</v>
      </c>
      <c r="AJ100" s="619"/>
      <c r="AK100" s="619"/>
      <c r="AL100" s="619"/>
      <c r="AM100" s="619"/>
    </row>
    <row r="101" spans="1:39">
      <c r="A101" s="649" t="s">
        <v>747</v>
      </c>
      <c r="B101" s="649"/>
      <c r="C101" s="649"/>
      <c r="D101" s="649"/>
      <c r="E101" s="649"/>
      <c r="F101" s="649"/>
      <c r="G101" s="649"/>
      <c r="H101" s="649"/>
      <c r="I101" s="649"/>
      <c r="J101" s="649"/>
      <c r="K101" s="649"/>
      <c r="L101" s="649"/>
      <c r="M101" s="650" t="str">
        <f>IF(LEFT(M100,2)="JT","0.4kV",IF(LEFT(M100,2)="MT","20kV","-"))</f>
        <v>0.4kV</v>
      </c>
      <c r="N101" s="650"/>
      <c r="O101" s="650"/>
      <c r="P101" s="650"/>
      <c r="Q101" s="650"/>
      <c r="R101" s="650"/>
      <c r="S101" s="650"/>
      <c r="T101" s="650"/>
      <c r="U101" s="650"/>
      <c r="V101" s="650"/>
      <c r="W101" s="650"/>
      <c r="X101" s="650"/>
      <c r="Y101" s="650"/>
      <c r="Z101" s="650"/>
      <c r="AA101" s="650"/>
      <c r="AB101" s="650"/>
      <c r="AC101" s="650"/>
      <c r="AD101" s="650"/>
      <c r="AE101" s="650"/>
      <c r="AF101" s="650"/>
      <c r="AG101" s="650"/>
      <c r="AH101" s="650"/>
      <c r="AI101" s="619"/>
      <c r="AJ101" s="619"/>
      <c r="AK101" s="619"/>
      <c r="AL101" s="619"/>
      <c r="AM101" s="619"/>
    </row>
    <row r="102" spans="1:39" ht="15.95" customHeight="1">
      <c r="A102" s="648" t="s">
        <v>697</v>
      </c>
      <c r="B102" s="648"/>
      <c r="C102" s="648"/>
      <c r="D102" s="648"/>
      <c r="E102" s="648"/>
      <c r="F102" s="648"/>
      <c r="G102" s="647" t="s">
        <v>713</v>
      </c>
      <c r="H102" s="647"/>
      <c r="I102" s="647"/>
      <c r="J102" s="647" t="s">
        <v>714</v>
      </c>
      <c r="K102" s="647"/>
      <c r="L102" s="647"/>
      <c r="M102" s="648" t="s">
        <v>519</v>
      </c>
      <c r="N102" s="648"/>
      <c r="O102" s="648" t="s">
        <v>715</v>
      </c>
      <c r="P102" s="648"/>
      <c r="Q102" s="648"/>
      <c r="R102" s="647" t="s">
        <v>732</v>
      </c>
      <c r="S102" s="647"/>
      <c r="T102" s="647"/>
      <c r="U102" s="647" t="s">
        <v>734</v>
      </c>
      <c r="V102" s="647"/>
      <c r="W102" s="647"/>
      <c r="X102" s="647" t="s">
        <v>1085</v>
      </c>
      <c r="Y102" s="647"/>
      <c r="Z102" s="647"/>
      <c r="AA102" s="647" t="s">
        <v>1086</v>
      </c>
      <c r="AB102" s="647"/>
      <c r="AC102" s="647"/>
      <c r="AD102" s="647" t="s">
        <v>717</v>
      </c>
      <c r="AE102" s="647"/>
      <c r="AF102" s="647" t="s">
        <v>718</v>
      </c>
      <c r="AG102" s="647"/>
      <c r="AH102" s="647"/>
      <c r="AI102" s="647" t="s">
        <v>719</v>
      </c>
      <c r="AJ102" s="647"/>
      <c r="AK102" s="647" t="s">
        <v>733</v>
      </c>
      <c r="AL102" s="647"/>
      <c r="AM102" s="647"/>
    </row>
    <row r="103" spans="1:39">
      <c r="A103" s="648"/>
      <c r="B103" s="648"/>
      <c r="C103" s="648"/>
      <c r="D103" s="648"/>
      <c r="E103" s="648"/>
      <c r="F103" s="648"/>
      <c r="G103" s="647"/>
      <c r="H103" s="647"/>
      <c r="I103" s="647"/>
      <c r="J103" s="647"/>
      <c r="K103" s="647"/>
      <c r="L103" s="647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>
      <c r="A104" s="648"/>
      <c r="B104" s="648"/>
      <c r="C104" s="648"/>
      <c r="D104" s="648"/>
      <c r="E104" s="648"/>
      <c r="F104" s="648"/>
      <c r="G104" s="647"/>
      <c r="H104" s="647"/>
      <c r="I104" s="647"/>
      <c r="J104" s="713"/>
      <c r="K104" s="713"/>
      <c r="L104" s="713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 t="str">
        <f>VLOOKUP(AI100,'Contorizare in SDI'!$E:$I,5,FALSE)</f>
        <v>V.2886824/2</v>
      </c>
      <c r="B105" s="679"/>
      <c r="C105" s="679"/>
      <c r="D105" s="679"/>
      <c r="E105" s="679"/>
      <c r="F105" s="680"/>
      <c r="G105" s="648" t="s">
        <v>730</v>
      </c>
      <c r="H105" s="648"/>
      <c r="I105" s="673"/>
      <c r="J105" s="655">
        <f>'Date masura OD'!$AK$5</f>
        <v>45748</v>
      </c>
      <c r="K105" s="656"/>
      <c r="L105" s="657"/>
      <c r="M105" s="720" t="s">
        <v>446</v>
      </c>
      <c r="N105" s="648"/>
      <c r="O105" s="648">
        <f>VLOOKUP(AI100,'Incrementare indexe'!$B:$T,4,FALSE)</f>
        <v>1</v>
      </c>
      <c r="P105" s="648"/>
      <c r="Q105" s="648"/>
      <c r="R105" s="647" t="str">
        <f>VLOOKUP(A105,Regularizare!$D:$YN,3,FALSE)&amp;" ("&amp;VLOOKUP(A105,Regularizare!$D:$Y,11,FALSE)&amp;")"</f>
        <v>3405467 (citit)</v>
      </c>
      <c r="S105" s="647"/>
      <c r="T105" s="647"/>
      <c r="U105" s="647" t="str">
        <f>VLOOKUP(A105,Regularizare!$D:$U,4,FALSE)&amp;" ("&amp;VLOOKUP(A105,Regularizare!$D:$U,12,FALSE)&amp;")"</f>
        <v>3682455 (estimat)</v>
      </c>
      <c r="V105" s="647"/>
      <c r="W105" s="647"/>
      <c r="X105" s="647" t="str">
        <f>VLOOKUP(A105,Regularizare!$D:$Y,19,FALSE)&amp;" ("&amp;VLOOKUP(A105,Regularizare!$D:$U,12,FALSE)&amp;")"</f>
        <v>276988 (estimat)</v>
      </c>
      <c r="Y105" s="647"/>
      <c r="Z105" s="647"/>
      <c r="AA105" s="647">
        <f>(-1)*VLOOKUP(A105,Regularizare!$D:$Y,19,FALSE)</f>
        <v>-276988</v>
      </c>
      <c r="AB105" s="647"/>
      <c r="AC105" s="647"/>
      <c r="AD105" s="647" t="s">
        <v>69</v>
      </c>
      <c r="AE105" s="647"/>
      <c r="AF105" s="647">
        <f>AA105</f>
        <v>-276988</v>
      </c>
      <c r="AG105" s="647"/>
      <c r="AH105" s="647"/>
      <c r="AI105" s="647" t="s">
        <v>69</v>
      </c>
      <c r="AJ105" s="647"/>
      <c r="AK105" s="647" t="s">
        <v>69</v>
      </c>
      <c r="AL105" s="647"/>
      <c r="AM105" s="647"/>
    </row>
    <row r="106" spans="1:39" ht="9.75" customHeight="1">
      <c r="A106" s="717"/>
      <c r="B106" s="718"/>
      <c r="C106" s="718"/>
      <c r="D106" s="718"/>
      <c r="E106" s="718"/>
      <c r="F106" s="719"/>
      <c r="G106" s="648"/>
      <c r="H106" s="648"/>
      <c r="I106" s="673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8"/>
      <c r="H107" s="648"/>
      <c r="I107" s="673"/>
      <c r="J107" s="714">
        <f>'Date masura OD'!$AL$5</f>
        <v>45777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 t="str">
        <f>A105</f>
        <v>V.2886824/2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 t="shared" ref="J108:J113" si="4">J105</f>
        <v>45748</v>
      </c>
      <c r="K108" s="656"/>
      <c r="L108" s="657"/>
      <c r="M108" s="648" t="s">
        <v>720</v>
      </c>
      <c r="N108" s="648"/>
      <c r="O108" s="648">
        <f>O105</f>
        <v>1</v>
      </c>
      <c r="P108" s="648"/>
      <c r="Q108" s="648"/>
      <c r="R108" s="647" t="str">
        <f>VLOOKUP(A108,Regularizare!$D:$U,7,FALSE)&amp;" ("&amp;VLOOKUP(A108,Regularizare!$D:$U,15,FALSE)&amp;")"</f>
        <v>112092 (citit)</v>
      </c>
      <c r="S108" s="647"/>
      <c r="T108" s="647"/>
      <c r="U108" s="647" t="str">
        <f>VLOOKUP(A108,Regularizare!$D:$U,8,FALSE)&amp;" ("&amp;VLOOKUP(A108,Regularizare!$D:$U,16,FALSE)&amp;")"</f>
        <v>112092 (estimat)</v>
      </c>
      <c r="V108" s="647"/>
      <c r="W108" s="647"/>
      <c r="X108" s="647" t="str">
        <f>_xlfn.CONCAT(VLOOKUP(A108,Regularizare!$D:$U,8,FALSE)-VLOOKUP(A108,Regularizare!$D:$U,7,FALSE)," (",VLOOKUP(A108,Regularizare!$D:$U,16,FALSE),")")</f>
        <v>0 (estimat)</v>
      </c>
      <c r="Y108" s="647"/>
      <c r="Z108" s="647"/>
      <c r="AA108" s="647">
        <f>IF(VLOOKUP(A108,Regularizare!$D:$Y,21,FALSE)=0,VLOOKUP(A108,Regularizare!$D:$Y,21,FALSE),(-1)*VLOOKUP(A108,Regularizare!$D:$Y,21,FALSE))</f>
        <v>0</v>
      </c>
      <c r="AB108" s="647"/>
      <c r="AC108" s="647"/>
      <c r="AD108" s="647" t="s">
        <v>69</v>
      </c>
      <c r="AE108" s="647"/>
      <c r="AF108" s="647">
        <f>AA108</f>
        <v>0</v>
      </c>
      <c r="AG108" s="647"/>
      <c r="AH108" s="647"/>
      <c r="AI108" s="647" t="str">
        <f>AI105</f>
        <v>-</v>
      </c>
      <c r="AJ108" s="647"/>
      <c r="AK108" s="647" t="str">
        <f>AK105</f>
        <v>-</v>
      </c>
      <c r="AL108" s="647"/>
      <c r="AM108" s="647"/>
    </row>
    <row r="109" spans="1:39" ht="8.4499999999999993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 t="shared" si="4"/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 t="shared" si="4"/>
        <v>45777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 t="str">
        <f>A108</f>
        <v>V.2886824/2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si="4"/>
        <v>45748</v>
      </c>
      <c r="K111" s="656"/>
      <c r="L111" s="657"/>
      <c r="M111" s="648" t="s">
        <v>720</v>
      </c>
      <c r="N111" s="648"/>
      <c r="O111" s="648">
        <f>O108</f>
        <v>1</v>
      </c>
      <c r="P111" s="648"/>
      <c r="Q111" s="648"/>
      <c r="R111" s="647" t="str">
        <f>VLOOKUP(A111,Regularizare!$D:$U,9,FALSE)&amp;" ("&amp;VLOOKUP(A111,Regularizare!$D:$U,17,FALSE)&amp;")"</f>
        <v>11742 (citit)</v>
      </c>
      <c r="S111" s="647"/>
      <c r="T111" s="647"/>
      <c r="U111" s="647" t="str">
        <f>VLOOKUP(A111,Regularizare!$D:$U,10,FALSE)&amp;" ("&amp;VLOOKUP(A111,Regularizare!$D:$U,18,FALSE)&amp;")"</f>
        <v>11742 (estimat)</v>
      </c>
      <c r="V111" s="647"/>
      <c r="W111" s="647"/>
      <c r="X111" s="647" t="str">
        <f>_xlfn.CONCAT(VLOOKUP(A111,Regularizare!$D:$U,10,FALSE)-VLOOKUP(A111,Regularizare!$D:$U,9,FALSE)," (",VLOOKUP(A111,Regularizare!$D:$U,18,FALSE),")")</f>
        <v>0 (estimat)</v>
      </c>
      <c r="Y111" s="647"/>
      <c r="Z111" s="647"/>
      <c r="AA111" s="647">
        <f>IF(VLOOKUP(A111,Regularizare!$D:$Y,22,FALSE)=0,VLOOKUP(A111,Regularizare!$D:$Y,22,FALSE),(-1)*VLOOKUP(A111,Regularizare!$D:$Y,22,FALSE))</f>
        <v>0</v>
      </c>
      <c r="AB111" s="647"/>
      <c r="AC111" s="647"/>
      <c r="AD111" s="647" t="s">
        <v>69</v>
      </c>
      <c r="AE111" s="647"/>
      <c r="AF111" s="647">
        <f>AA111</f>
        <v>0</v>
      </c>
      <c r="AG111" s="647"/>
      <c r="AH111" s="647"/>
      <c r="AI111" s="647" t="str">
        <f>AI108</f>
        <v>-</v>
      </c>
      <c r="AJ111" s="647"/>
      <c r="AK111" s="647" t="str">
        <f>AK108</f>
        <v>-</v>
      </c>
      <c r="AL111" s="647"/>
      <c r="AM111" s="647"/>
    </row>
    <row r="112" spans="1:39" ht="8.4499999999999993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4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4"/>
        <v>45777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78" t="str">
        <f>A111</f>
        <v>V.2886824/2</v>
      </c>
      <c r="B114" s="679"/>
      <c r="C114" s="679"/>
      <c r="D114" s="679"/>
      <c r="E114" s="679"/>
      <c r="F114" s="680"/>
      <c r="G114" s="648" t="s">
        <v>730</v>
      </c>
      <c r="H114" s="648"/>
      <c r="I114" s="673"/>
      <c r="J114" s="655">
        <f>'Date masura OD'!$AK$5</f>
        <v>45748</v>
      </c>
      <c r="K114" s="656"/>
      <c r="L114" s="657"/>
      <c r="M114" s="720" t="s">
        <v>446</v>
      </c>
      <c r="N114" s="648"/>
      <c r="O114" s="648">
        <f>O111</f>
        <v>1</v>
      </c>
      <c r="P114" s="648"/>
      <c r="Q114" s="648"/>
      <c r="R114" s="647" t="str">
        <f>VLOOKUP(A114,Regularizare!$D:$AX,23,FALSE)&amp;" ("&amp;VLOOKUP(A114,Regularizare!$D:$AX,24,FALSE)&amp;")"</f>
        <v>3405467 (citit)</v>
      </c>
      <c r="S114" s="647"/>
      <c r="T114" s="647"/>
      <c r="U114" s="647" t="str">
        <f>VLOOKUP(A114,Regularizare!$D:$AX,25,FALSE)&amp;" ("&amp;VLOOKUP(A114,Regularizare!$D:$AX,26,FALSE)&amp;")"</f>
        <v>3682455 (citit)</v>
      </c>
      <c r="V114" s="647"/>
      <c r="W114" s="647"/>
      <c r="X114" s="647" t="str">
        <f>VLOOKUP(A114,Regularizare!$D:$AX,37,FALSE)&amp;" ("&amp;VLOOKUP(A114,Regularizare!$D:$AX,26,FALSE)&amp;")"</f>
        <v>276988 (citit)</v>
      </c>
      <c r="Y114" s="647"/>
      <c r="Z114" s="647"/>
      <c r="AA114" s="647">
        <f>VLOOKUP(A114,Regularizare!$D:$AX,37,FALSE)</f>
        <v>276988</v>
      </c>
      <c r="AB114" s="647"/>
      <c r="AC114" s="647"/>
      <c r="AD114" s="647" t="s">
        <v>69</v>
      </c>
      <c r="AE114" s="647"/>
      <c r="AF114" s="647">
        <f>AA114</f>
        <v>276988</v>
      </c>
      <c r="AG114" s="647"/>
      <c r="AH114" s="647"/>
      <c r="AI114" s="647" t="str">
        <f>AI111</f>
        <v>-</v>
      </c>
      <c r="AJ114" s="647"/>
      <c r="AK114" s="647" t="str">
        <f>AK111</f>
        <v>-</v>
      </c>
      <c r="AL114" s="647"/>
      <c r="AM114" s="647"/>
    </row>
    <row r="115" spans="1:39" ht="8.4499999999999993" customHeight="1">
      <c r="A115" s="717"/>
      <c r="B115" s="718"/>
      <c r="C115" s="718"/>
      <c r="D115" s="718"/>
      <c r="E115" s="718"/>
      <c r="F115" s="719"/>
      <c r="G115" s="648"/>
      <c r="H115" s="648"/>
      <c r="I115" s="673"/>
      <c r="J115" s="717" t="s">
        <v>69</v>
      </c>
      <c r="K115" s="718"/>
      <c r="L115" s="719"/>
      <c r="M115" s="720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81"/>
      <c r="B116" s="682"/>
      <c r="C116" s="682"/>
      <c r="D116" s="682"/>
      <c r="E116" s="682"/>
      <c r="F116" s="683"/>
      <c r="G116" s="648"/>
      <c r="H116" s="648"/>
      <c r="I116" s="673"/>
      <c r="J116" s="714">
        <f>'Date masura OD'!$AL$5</f>
        <v>45777</v>
      </c>
      <c r="K116" s="715"/>
      <c r="L116" s="716"/>
      <c r="M116" s="720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78" t="str">
        <f>A114</f>
        <v>V.2886824/2</v>
      </c>
      <c r="B117" s="679"/>
      <c r="C117" s="679"/>
      <c r="D117" s="679"/>
      <c r="E117" s="679"/>
      <c r="F117" s="680"/>
      <c r="G117" s="648" t="s">
        <v>696</v>
      </c>
      <c r="H117" s="648"/>
      <c r="I117" s="648"/>
      <c r="J117" s="655">
        <f t="shared" ref="J117:J122" si="5">J114</f>
        <v>45748</v>
      </c>
      <c r="K117" s="656"/>
      <c r="L117" s="657"/>
      <c r="M117" s="648" t="s">
        <v>720</v>
      </c>
      <c r="N117" s="648"/>
      <c r="O117" s="648">
        <f>O114</f>
        <v>1</v>
      </c>
      <c r="P117" s="648"/>
      <c r="Q117" s="648"/>
      <c r="R117" s="647" t="str">
        <f>VLOOKUP(A117,Regularizare!$D:$AX,29,FALSE)&amp;" ("&amp;VLOOKUP(A117,Regularizare!$D:$AX,30,FALSE)&amp;")"</f>
        <v>112092 (citit)</v>
      </c>
      <c r="S117" s="647"/>
      <c r="T117" s="647"/>
      <c r="U117" s="647" t="str">
        <f>VLOOKUP(A117,Regularizare!$D:$AX,31,FALSE)&amp;" ("&amp;VLOOKUP(A117,Regularizare!$D:$AX,32,FALSE)&amp;")"</f>
        <v>112092 (citit)</v>
      </c>
      <c r="V117" s="647"/>
      <c r="W117" s="647"/>
      <c r="X117" s="647" t="str">
        <f>VLOOKUP(A117,Regularizare!$D:$AX,39,FALSE)&amp;" ("&amp;VLOOKUP(A117,Regularizare!$D:$AX,32,FALSE)&amp;")"</f>
        <v>0 (citit)</v>
      </c>
      <c r="Y117" s="647"/>
      <c r="Z117" s="647"/>
      <c r="AA117" s="647">
        <f>VLOOKUP(A117,Regularizare!$D:$AX,44,FALSE)+VLOOKUP(A117,Regularizare!$D:$AX,45,FALSE)</f>
        <v>0</v>
      </c>
      <c r="AB117" s="647"/>
      <c r="AC117" s="647"/>
      <c r="AD117" s="647" t="s">
        <v>69</v>
      </c>
      <c r="AE117" s="647"/>
      <c r="AF117" s="647">
        <f>AA117</f>
        <v>0</v>
      </c>
      <c r="AG117" s="647"/>
      <c r="AH117" s="647"/>
      <c r="AI117" s="647" t="str">
        <f>AI114</f>
        <v>-</v>
      </c>
      <c r="AJ117" s="647"/>
      <c r="AK117" s="647" t="str">
        <f>AK114</f>
        <v>-</v>
      </c>
      <c r="AL117" s="647"/>
      <c r="AM117" s="647"/>
    </row>
    <row r="118" spans="1:39" ht="8.4499999999999993" customHeight="1">
      <c r="A118" s="717"/>
      <c r="B118" s="718"/>
      <c r="C118" s="718"/>
      <c r="D118" s="718"/>
      <c r="E118" s="718"/>
      <c r="F118" s="719"/>
      <c r="G118" s="648"/>
      <c r="H118" s="648"/>
      <c r="I118" s="648"/>
      <c r="J118" s="717" t="str">
        <f t="shared" si="5"/>
        <v>-</v>
      </c>
      <c r="K118" s="718"/>
      <c r="L118" s="719"/>
      <c r="M118" s="648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>
      <c r="A119" s="681"/>
      <c r="B119" s="682"/>
      <c r="C119" s="682"/>
      <c r="D119" s="682"/>
      <c r="E119" s="682"/>
      <c r="F119" s="683"/>
      <c r="G119" s="648"/>
      <c r="H119" s="648"/>
      <c r="I119" s="648"/>
      <c r="J119" s="714">
        <f t="shared" si="5"/>
        <v>45777</v>
      </c>
      <c r="K119" s="715"/>
      <c r="L119" s="716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78" t="str">
        <f>A117</f>
        <v>V.2886824/2</v>
      </c>
      <c r="B120" s="679"/>
      <c r="C120" s="679"/>
      <c r="D120" s="679"/>
      <c r="E120" s="679"/>
      <c r="F120" s="680"/>
      <c r="G120" s="648" t="s">
        <v>731</v>
      </c>
      <c r="H120" s="648"/>
      <c r="I120" s="648"/>
      <c r="J120" s="655">
        <f t="shared" si="5"/>
        <v>45748</v>
      </c>
      <c r="K120" s="656"/>
      <c r="L120" s="657"/>
      <c r="M120" s="648" t="s">
        <v>720</v>
      </c>
      <c r="N120" s="648"/>
      <c r="O120" s="648">
        <f>O117</f>
        <v>1</v>
      </c>
      <c r="P120" s="648"/>
      <c r="Q120" s="648"/>
      <c r="R120" s="647" t="str">
        <f>VLOOKUP(A120,Regularizare!$D:$AX,33,FALSE)&amp;" ("&amp;VLOOKUP(A120,Regularizare!$D:$AX,34,FALSE)&amp;")"</f>
        <v>11742 (citit)</v>
      </c>
      <c r="S120" s="647"/>
      <c r="T120" s="647"/>
      <c r="U120" s="647" t="str">
        <f>VLOOKUP(A120,Regularizare!$D:$AX,35,FALSE)&amp;" ("&amp;VLOOKUP(A120,Regularizare!$D:$AX,36,FALSE)&amp;")"</f>
        <v>11742 (citit)</v>
      </c>
      <c r="V120" s="647"/>
      <c r="W120" s="647"/>
      <c r="X120" s="647" t="str">
        <f>VLOOKUP(A120,Regularizare!$D:$AX,40,FALSE)&amp;" ("&amp;VLOOKUP(A120,Regularizare!$D:$AX,36,FALSE)&amp;")"</f>
        <v>0 (citit)</v>
      </c>
      <c r="Y120" s="647"/>
      <c r="Z120" s="647"/>
      <c r="AA120" s="647">
        <f>VLOOKUP(A120,Regularizare!$D:$AX,46,FALSE)+VLOOKUP(A120,Regularizare!$D:$AX,47,FALSE)</f>
        <v>0</v>
      </c>
      <c r="AB120" s="647"/>
      <c r="AC120" s="647"/>
      <c r="AD120" s="647" t="s">
        <v>69</v>
      </c>
      <c r="AE120" s="647"/>
      <c r="AF120" s="647">
        <f>AA120</f>
        <v>0</v>
      </c>
      <c r="AG120" s="647"/>
      <c r="AH120" s="647"/>
      <c r="AI120" s="647" t="str">
        <f>AI117</f>
        <v>-</v>
      </c>
      <c r="AJ120" s="647"/>
      <c r="AK120" s="647" t="str">
        <f>AK117</f>
        <v>-</v>
      </c>
      <c r="AL120" s="647"/>
      <c r="AM120" s="647"/>
    </row>
    <row r="121" spans="1:39" ht="8.4499999999999993" customHeight="1">
      <c r="A121" s="717"/>
      <c r="B121" s="718"/>
      <c r="C121" s="718"/>
      <c r="D121" s="718"/>
      <c r="E121" s="718"/>
      <c r="F121" s="719"/>
      <c r="G121" s="648"/>
      <c r="H121" s="648"/>
      <c r="I121" s="648"/>
      <c r="J121" s="717" t="str">
        <f t="shared" si="5"/>
        <v>-</v>
      </c>
      <c r="K121" s="718"/>
      <c r="L121" s="719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81"/>
      <c r="B122" s="682"/>
      <c r="C122" s="682"/>
      <c r="D122" s="682"/>
      <c r="E122" s="682"/>
      <c r="F122" s="683"/>
      <c r="G122" s="648"/>
      <c r="H122" s="648"/>
      <c r="I122" s="648"/>
      <c r="J122" s="714">
        <f t="shared" si="5"/>
        <v>45777</v>
      </c>
      <c r="K122" s="715"/>
      <c r="L122" s="716"/>
      <c r="M122" s="648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78" t="str">
        <f>A120</f>
        <v>V.2886824/2</v>
      </c>
      <c r="B123" s="679"/>
      <c r="C123" s="679"/>
      <c r="D123" s="679"/>
      <c r="E123" s="679"/>
      <c r="F123" s="680"/>
      <c r="G123" s="648" t="s">
        <v>730</v>
      </c>
      <c r="H123" s="648"/>
      <c r="I123" s="673"/>
      <c r="J123" s="655">
        <f>'Date masura OD'!$I$5</f>
        <v>45778</v>
      </c>
      <c r="K123" s="656"/>
      <c r="L123" s="657"/>
      <c r="M123" s="720" t="s">
        <v>446</v>
      </c>
      <c r="N123" s="648"/>
      <c r="O123" s="648">
        <f>O120</f>
        <v>1</v>
      </c>
      <c r="P123" s="648"/>
      <c r="Q123" s="648"/>
      <c r="R123" s="647" t="str">
        <f>U114</f>
        <v>3682455 (citit)</v>
      </c>
      <c r="S123" s="647"/>
      <c r="T123" s="647"/>
      <c r="U123" s="647" t="str">
        <f>VLOOKUP(A123,'Incrementare indexe'!$D:$M,4,FALSE)&amp;" (estimat)"</f>
        <v>3973039 (estimat)</v>
      </c>
      <c r="V123" s="647"/>
      <c r="W123" s="647"/>
      <c r="X123" s="647" t="str">
        <f>VLOOKUP(A123,'Incrementare indexe'!$D:$Q,11,FALSE)&amp;" (estimat)"</f>
        <v>290584 (estimat)</v>
      </c>
      <c r="Y123" s="647"/>
      <c r="Z123" s="647"/>
      <c r="AA123" s="647" t="s">
        <v>69</v>
      </c>
      <c r="AB123" s="647"/>
      <c r="AC123" s="647"/>
      <c r="AD123" s="647" t="s">
        <v>69</v>
      </c>
      <c r="AE123" s="647"/>
      <c r="AF123" s="647">
        <f>VLOOKUP(A123,'Incrementare indexe'!$D:$Q,11,FALSE)</f>
        <v>290584</v>
      </c>
      <c r="AG123" s="647"/>
      <c r="AH123" s="647"/>
      <c r="AI123" s="647">
        <f>J125-J123+1</f>
        <v>31</v>
      </c>
      <c r="AJ123" s="647"/>
      <c r="AK123" s="647">
        <f>ROUND(AF123/AI123,2)</f>
        <v>9373.68</v>
      </c>
      <c r="AL123" s="647"/>
      <c r="AM123" s="647"/>
    </row>
    <row r="124" spans="1:39" ht="8.4499999999999993" customHeight="1">
      <c r="A124" s="717"/>
      <c r="B124" s="718"/>
      <c r="C124" s="718"/>
      <c r="D124" s="718"/>
      <c r="E124" s="718"/>
      <c r="F124" s="719"/>
      <c r="G124" s="648"/>
      <c r="H124" s="648"/>
      <c r="I124" s="673"/>
      <c r="J124" s="717" t="s">
        <v>69</v>
      </c>
      <c r="K124" s="718"/>
      <c r="L124" s="719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81"/>
      <c r="B125" s="682"/>
      <c r="C125" s="682"/>
      <c r="D125" s="682"/>
      <c r="E125" s="682"/>
      <c r="F125" s="683"/>
      <c r="G125" s="648"/>
      <c r="H125" s="648"/>
      <c r="I125" s="673"/>
      <c r="J125" s="714">
        <f>'Date masura OD'!$J$5</f>
        <v>45808</v>
      </c>
      <c r="K125" s="715"/>
      <c r="L125" s="716"/>
      <c r="M125" s="720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78" t="str">
        <f>A123</f>
        <v>V.2886824/2</v>
      </c>
      <c r="B126" s="679"/>
      <c r="C126" s="679"/>
      <c r="D126" s="679"/>
      <c r="E126" s="679"/>
      <c r="F126" s="680"/>
      <c r="G126" s="648" t="s">
        <v>696</v>
      </c>
      <c r="H126" s="648"/>
      <c r="I126" s="648"/>
      <c r="J126" s="655">
        <f t="shared" ref="J126:J131" si="6">J123</f>
        <v>45778</v>
      </c>
      <c r="K126" s="656"/>
      <c r="L126" s="657"/>
      <c r="M126" s="648" t="s">
        <v>720</v>
      </c>
      <c r="N126" s="648"/>
      <c r="O126" s="648">
        <f>O123</f>
        <v>1</v>
      </c>
      <c r="P126" s="648"/>
      <c r="Q126" s="648"/>
      <c r="R126" s="647" t="str">
        <f>U117</f>
        <v>112092 (citit)</v>
      </c>
      <c r="S126" s="647"/>
      <c r="T126" s="647"/>
      <c r="U126" s="647" t="str">
        <f>VLOOKUP(A126,'Incrementare indexe'!$D:$M,8,FALSE)&amp;" (estimat)"</f>
        <v>112092 (estimat)</v>
      </c>
      <c r="V126" s="647"/>
      <c r="W126" s="647"/>
      <c r="X126" s="647" t="str">
        <f>VLOOKUP(A126,'Incrementare indexe'!$D:$Q,12,FALSE)&amp;" (estimat)"</f>
        <v>0 (estimat)</v>
      </c>
      <c r="Y126" s="647"/>
      <c r="Z126" s="647"/>
      <c r="AA126" s="647" t="s">
        <v>69</v>
      </c>
      <c r="AB126" s="647"/>
      <c r="AC126" s="647"/>
      <c r="AD126" s="647" t="s">
        <v>69</v>
      </c>
      <c r="AE126" s="647"/>
      <c r="AF126" s="647">
        <f>VLOOKUP(A126,'Incrementare indexe'!$D:$Q,12,FALSE)</f>
        <v>0</v>
      </c>
      <c r="AG126" s="647"/>
      <c r="AH126" s="647"/>
      <c r="AI126" s="647">
        <f>AI123</f>
        <v>31</v>
      </c>
      <c r="AJ126" s="647"/>
      <c r="AK126" s="647">
        <f>ROUND(AF126/AI126,2)</f>
        <v>0</v>
      </c>
      <c r="AL126" s="647"/>
      <c r="AM126" s="647"/>
    </row>
    <row r="127" spans="1:39" ht="8.4499999999999993" customHeight="1">
      <c r="A127" s="717"/>
      <c r="B127" s="718"/>
      <c r="C127" s="718"/>
      <c r="D127" s="718"/>
      <c r="E127" s="718"/>
      <c r="F127" s="719"/>
      <c r="G127" s="648"/>
      <c r="H127" s="648"/>
      <c r="I127" s="648"/>
      <c r="J127" s="717" t="str">
        <f t="shared" si="6"/>
        <v>-</v>
      </c>
      <c r="K127" s="718"/>
      <c r="L127" s="719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81"/>
      <c r="B128" s="682"/>
      <c r="C128" s="682"/>
      <c r="D128" s="682"/>
      <c r="E128" s="682"/>
      <c r="F128" s="683"/>
      <c r="G128" s="648"/>
      <c r="H128" s="648"/>
      <c r="I128" s="648"/>
      <c r="J128" s="714">
        <f t="shared" si="6"/>
        <v>45808</v>
      </c>
      <c r="K128" s="715"/>
      <c r="L128" s="716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78" t="str">
        <f>A126</f>
        <v>V.2886824/2</v>
      </c>
      <c r="B129" s="679"/>
      <c r="C129" s="679"/>
      <c r="D129" s="679"/>
      <c r="E129" s="679"/>
      <c r="F129" s="680"/>
      <c r="G129" s="648" t="s">
        <v>731</v>
      </c>
      <c r="H129" s="648"/>
      <c r="I129" s="648"/>
      <c r="J129" s="655">
        <f t="shared" si="6"/>
        <v>45778</v>
      </c>
      <c r="K129" s="656"/>
      <c r="L129" s="657"/>
      <c r="M129" s="648" t="s">
        <v>720</v>
      </c>
      <c r="N129" s="648"/>
      <c r="O129" s="648">
        <f>O126</f>
        <v>1</v>
      </c>
      <c r="P129" s="648"/>
      <c r="Q129" s="648"/>
      <c r="R129" s="647" t="str">
        <f>U120</f>
        <v>11742 (citit)</v>
      </c>
      <c r="S129" s="647"/>
      <c r="T129" s="647"/>
      <c r="U129" s="647" t="str">
        <f>VLOOKUP(A129,'Incrementare indexe'!$D:$M,10,FALSE)&amp;" (estimat)"</f>
        <v>11742 (estimat)</v>
      </c>
      <c r="V129" s="647"/>
      <c r="W129" s="647"/>
      <c r="X129" s="647" t="str">
        <f>VLOOKUP(A129,'Incrementare indexe'!$D:$Q,13,FALSE)&amp;" (estimat)"</f>
        <v>0 (estimat)</v>
      </c>
      <c r="Y129" s="647"/>
      <c r="Z129" s="647"/>
      <c r="AA129" s="647" t="s">
        <v>69</v>
      </c>
      <c r="AB129" s="647"/>
      <c r="AC129" s="647"/>
      <c r="AD129" s="647" t="s">
        <v>69</v>
      </c>
      <c r="AE129" s="647"/>
      <c r="AF129" s="647">
        <f>VLOOKUP(A129,'Incrementare indexe'!$D:$Q,13,FALSE)</f>
        <v>0</v>
      </c>
      <c r="AG129" s="647"/>
      <c r="AH129" s="647"/>
      <c r="AI129" s="647">
        <f>AI126</f>
        <v>31</v>
      </c>
      <c r="AJ129" s="647"/>
      <c r="AK129" s="647">
        <f>ROUND(AF129/AI129,2)</f>
        <v>0</v>
      </c>
      <c r="AL129" s="647"/>
      <c r="AM129" s="647"/>
    </row>
    <row r="130" spans="1:39" ht="8.4499999999999993" customHeight="1">
      <c r="A130" s="717"/>
      <c r="B130" s="718"/>
      <c r="C130" s="718"/>
      <c r="D130" s="718"/>
      <c r="E130" s="718"/>
      <c r="F130" s="719"/>
      <c r="G130" s="648"/>
      <c r="H130" s="648"/>
      <c r="I130" s="648"/>
      <c r="J130" s="717" t="str">
        <f t="shared" si="6"/>
        <v>-</v>
      </c>
      <c r="K130" s="718"/>
      <c r="L130" s="719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681"/>
      <c r="B131" s="682"/>
      <c r="C131" s="682"/>
      <c r="D131" s="682"/>
      <c r="E131" s="682"/>
      <c r="F131" s="683"/>
      <c r="G131" s="648"/>
      <c r="H131" s="648"/>
      <c r="I131" s="648"/>
      <c r="J131" s="714">
        <f t="shared" si="6"/>
        <v>45808</v>
      </c>
      <c r="K131" s="715"/>
      <c r="L131" s="716"/>
      <c r="M131" s="648"/>
      <c r="N131" s="648"/>
      <c r="O131" s="648"/>
      <c r="P131" s="648"/>
      <c r="Q131" s="648"/>
      <c r="R131" s="647"/>
      <c r="S131" s="647"/>
      <c r="T131" s="647"/>
      <c r="U131" s="647"/>
      <c r="V131" s="647"/>
      <c r="W131" s="647"/>
      <c r="X131" s="647"/>
      <c r="Y131" s="647"/>
      <c r="Z131" s="647"/>
      <c r="AA131" s="647"/>
      <c r="AB131" s="647"/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</row>
    <row r="132" spans="1:39" ht="14.1" customHeight="1"/>
    <row r="133" spans="1:39" ht="14.1" customHeight="1"/>
    <row r="134" spans="1:39" ht="14.1" customHeight="1"/>
    <row r="135" spans="1:39">
      <c r="A135" s="649" t="s">
        <v>748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VLOOKUP(AI136,'Contorizare in SDI'!$E:$I,4,FALSE)</f>
        <v>594020300002742631/3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50" t="s">
        <v>695</v>
      </c>
      <c r="AJ135" s="650"/>
      <c r="AK135" s="650"/>
      <c r="AL135" s="650"/>
      <c r="AM135" s="650"/>
    </row>
    <row r="136" spans="1:39">
      <c r="A136" s="649" t="s">
        <v>746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VLOOKUP(AI136,'Inchidere contur'!$G:$U,15,FALSE)</f>
        <v>JT_SDI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 t="str">
        <f>_xlfn.CONCAT(AA32,".",3)</f>
        <v>RTGU_1.3</v>
      </c>
      <c r="AJ136" s="619"/>
      <c r="AK136" s="619"/>
      <c r="AL136" s="619"/>
      <c r="AM136" s="619"/>
    </row>
    <row r="137" spans="1:39">
      <c r="A137" s="649" t="s">
        <v>747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tr">
        <f>IF(LEFT(M136,2)="JT","0.4kV",IF(LEFT(M136,2)="MT","20kV","-"))</f>
        <v>0.4kV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19"/>
      <c r="AJ137" s="619"/>
      <c r="AK137" s="619"/>
      <c r="AL137" s="619"/>
      <c r="AM137" s="619"/>
    </row>
    <row r="138" spans="1:39" ht="15.95" customHeight="1">
      <c r="A138" s="648" t="s">
        <v>697</v>
      </c>
      <c r="B138" s="648"/>
      <c r="C138" s="648"/>
      <c r="D138" s="648"/>
      <c r="E138" s="648"/>
      <c r="F138" s="648"/>
      <c r="G138" s="647" t="s">
        <v>713</v>
      </c>
      <c r="H138" s="647"/>
      <c r="I138" s="647"/>
      <c r="J138" s="647" t="s">
        <v>714</v>
      </c>
      <c r="K138" s="647"/>
      <c r="L138" s="647"/>
      <c r="M138" s="648" t="s">
        <v>519</v>
      </c>
      <c r="N138" s="648"/>
      <c r="O138" s="648" t="s">
        <v>715</v>
      </c>
      <c r="P138" s="648"/>
      <c r="Q138" s="648"/>
      <c r="R138" s="647" t="s">
        <v>732</v>
      </c>
      <c r="S138" s="647"/>
      <c r="T138" s="647"/>
      <c r="U138" s="647" t="s">
        <v>734</v>
      </c>
      <c r="V138" s="647"/>
      <c r="W138" s="647"/>
      <c r="X138" s="647" t="s">
        <v>1085</v>
      </c>
      <c r="Y138" s="647"/>
      <c r="Z138" s="647"/>
      <c r="AA138" s="647" t="s">
        <v>1086</v>
      </c>
      <c r="AB138" s="647"/>
      <c r="AC138" s="647"/>
      <c r="AD138" s="647" t="s">
        <v>717</v>
      </c>
      <c r="AE138" s="647"/>
      <c r="AF138" s="647" t="s">
        <v>718</v>
      </c>
      <c r="AG138" s="647"/>
      <c r="AH138" s="647"/>
      <c r="AI138" s="647" t="s">
        <v>719</v>
      </c>
      <c r="AJ138" s="647"/>
      <c r="AK138" s="647" t="s">
        <v>733</v>
      </c>
      <c r="AL138" s="647"/>
      <c r="AM138" s="647"/>
    </row>
    <row r="139" spans="1:39">
      <c r="A139" s="648"/>
      <c r="B139" s="648"/>
      <c r="C139" s="648"/>
      <c r="D139" s="648"/>
      <c r="E139" s="648"/>
      <c r="F139" s="648"/>
      <c r="G139" s="647"/>
      <c r="H139" s="647"/>
      <c r="I139" s="647"/>
      <c r="J139" s="647"/>
      <c r="K139" s="647"/>
      <c r="L139" s="647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>
      <c r="A140" s="648"/>
      <c r="B140" s="648"/>
      <c r="C140" s="648"/>
      <c r="D140" s="648"/>
      <c r="E140" s="648"/>
      <c r="F140" s="648"/>
      <c r="G140" s="647"/>
      <c r="H140" s="647"/>
      <c r="I140" s="647"/>
      <c r="J140" s="713"/>
      <c r="K140" s="713"/>
      <c r="L140" s="713"/>
      <c r="M140" s="648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78" t="str">
        <f>VLOOKUP(AI136,'Contorizare in SDI'!$E:$I,5,FALSE)</f>
        <v>V.2886824/3</v>
      </c>
      <c r="B141" s="679"/>
      <c r="C141" s="679"/>
      <c r="D141" s="679"/>
      <c r="E141" s="679"/>
      <c r="F141" s="680"/>
      <c r="G141" s="648" t="s">
        <v>730</v>
      </c>
      <c r="H141" s="648"/>
      <c r="I141" s="673"/>
      <c r="J141" s="655">
        <f>'Date masura OD'!$AK$5</f>
        <v>45748</v>
      </c>
      <c r="K141" s="656"/>
      <c r="L141" s="657"/>
      <c r="M141" s="720" t="s">
        <v>446</v>
      </c>
      <c r="N141" s="648"/>
      <c r="O141" s="648">
        <f>VLOOKUP(AI136,'Incrementare indexe'!$B:$T,4,FALSE)</f>
        <v>1</v>
      </c>
      <c r="P141" s="648"/>
      <c r="Q141" s="648"/>
      <c r="R141" s="647" t="str">
        <f>VLOOKUP(A141,Regularizare!$D:$YN,3,FALSE)&amp;" ("&amp;VLOOKUP(A141,Regularizare!$D:$Y,11,FALSE)&amp;")"</f>
        <v>3426286 (citit)</v>
      </c>
      <c r="S141" s="647"/>
      <c r="T141" s="647"/>
      <c r="U141" s="647" t="str">
        <f>VLOOKUP(A141,Regularizare!$D:$U,4,FALSE)&amp;" ("&amp;VLOOKUP(A141,Regularizare!$D:$U,12,FALSE)&amp;")"</f>
        <v>3689406 (estimat)</v>
      </c>
      <c r="V141" s="647"/>
      <c r="W141" s="647"/>
      <c r="X141" s="647" t="str">
        <f>VLOOKUP(A141,Regularizare!$D:$Y,19,FALSE)&amp;" ("&amp;VLOOKUP(A141,Regularizare!$D:$U,12,FALSE)&amp;")"</f>
        <v>263120 (estimat)</v>
      </c>
      <c r="Y141" s="647"/>
      <c r="Z141" s="647"/>
      <c r="AA141" s="647">
        <f>(-1)*VLOOKUP(A141,Regularizare!$D:$Y,19,FALSE)</f>
        <v>-263120</v>
      </c>
      <c r="AB141" s="647"/>
      <c r="AC141" s="647"/>
      <c r="AD141" s="647" t="s">
        <v>69</v>
      </c>
      <c r="AE141" s="647"/>
      <c r="AF141" s="647">
        <f>AA141</f>
        <v>-263120</v>
      </c>
      <c r="AG141" s="647"/>
      <c r="AH141" s="647"/>
      <c r="AI141" s="647" t="s">
        <v>69</v>
      </c>
      <c r="AJ141" s="647"/>
      <c r="AK141" s="647" t="s">
        <v>69</v>
      </c>
      <c r="AL141" s="647"/>
      <c r="AM141" s="647"/>
    </row>
    <row r="142" spans="1:39" ht="9.75" customHeight="1">
      <c r="A142" s="717"/>
      <c r="B142" s="718"/>
      <c r="C142" s="718"/>
      <c r="D142" s="718"/>
      <c r="E142" s="718"/>
      <c r="F142" s="719"/>
      <c r="G142" s="648"/>
      <c r="H142" s="648"/>
      <c r="I142" s="673"/>
      <c r="J142" s="717" t="s">
        <v>69</v>
      </c>
      <c r="K142" s="718"/>
      <c r="L142" s="719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81"/>
      <c r="B143" s="682"/>
      <c r="C143" s="682"/>
      <c r="D143" s="682"/>
      <c r="E143" s="682"/>
      <c r="F143" s="683"/>
      <c r="G143" s="648"/>
      <c r="H143" s="648"/>
      <c r="I143" s="673"/>
      <c r="J143" s="714">
        <f>'Date masura OD'!$AL$5</f>
        <v>45777</v>
      </c>
      <c r="K143" s="715"/>
      <c r="L143" s="716"/>
      <c r="M143" s="720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78" t="str">
        <f>A141</f>
        <v>V.2886824/3</v>
      </c>
      <c r="B144" s="679"/>
      <c r="C144" s="679"/>
      <c r="D144" s="679"/>
      <c r="E144" s="679"/>
      <c r="F144" s="680"/>
      <c r="G144" s="648" t="s">
        <v>696</v>
      </c>
      <c r="H144" s="648"/>
      <c r="I144" s="648"/>
      <c r="J144" s="655">
        <f t="shared" ref="J144:J149" si="7">J141</f>
        <v>45748</v>
      </c>
      <c r="K144" s="656"/>
      <c r="L144" s="657"/>
      <c r="M144" s="648" t="s">
        <v>720</v>
      </c>
      <c r="N144" s="648"/>
      <c r="O144" s="648">
        <f>O141</f>
        <v>1</v>
      </c>
      <c r="P144" s="648"/>
      <c r="Q144" s="648"/>
      <c r="R144" s="647" t="str">
        <f>VLOOKUP(A144,Regularizare!$D:$U,7,FALSE)&amp;" ("&amp;VLOOKUP(A144,Regularizare!$D:$U,15,FALSE)&amp;")"</f>
        <v>112140 (citit)</v>
      </c>
      <c r="S144" s="647"/>
      <c r="T144" s="647"/>
      <c r="U144" s="647" t="str">
        <f>VLOOKUP(A144,Regularizare!$D:$U,8,FALSE)&amp;" ("&amp;VLOOKUP(A144,Regularizare!$D:$U,16,FALSE)&amp;")"</f>
        <v>112140 (estimat)</v>
      </c>
      <c r="V144" s="647"/>
      <c r="W144" s="647"/>
      <c r="X144" s="647" t="str">
        <f>_xlfn.CONCAT(VLOOKUP(A144,Regularizare!$D:$U,8,FALSE)-VLOOKUP(A144,Regularizare!$D:$U,7,FALSE)," (",VLOOKUP(A144,Regularizare!$D:$U,16,FALSE),")")</f>
        <v>0 (estimat)</v>
      </c>
      <c r="Y144" s="647"/>
      <c r="Z144" s="647"/>
      <c r="AA144" s="647">
        <f>IF(VLOOKUP(A144,Regularizare!$D:$Y,21,FALSE)=0,VLOOKUP(A144,Regularizare!$D:$Y,21,FALSE),(-1)*VLOOKUP(A144,Regularizare!$D:$Y,21,FALSE))</f>
        <v>0</v>
      </c>
      <c r="AB144" s="647"/>
      <c r="AC144" s="647"/>
      <c r="AD144" s="647" t="s">
        <v>69</v>
      </c>
      <c r="AE144" s="647"/>
      <c r="AF144" s="647">
        <f>AA144</f>
        <v>0</v>
      </c>
      <c r="AG144" s="647"/>
      <c r="AH144" s="647"/>
      <c r="AI144" s="647" t="str">
        <f>AI141</f>
        <v>-</v>
      </c>
      <c r="AJ144" s="647"/>
      <c r="AK144" s="647" t="str">
        <f>AK141</f>
        <v>-</v>
      </c>
      <c r="AL144" s="647"/>
      <c r="AM144" s="647"/>
    </row>
    <row r="145" spans="1:39" ht="8.4499999999999993" customHeight="1">
      <c r="A145" s="717"/>
      <c r="B145" s="718"/>
      <c r="C145" s="718"/>
      <c r="D145" s="718"/>
      <c r="E145" s="718"/>
      <c r="F145" s="719"/>
      <c r="G145" s="648"/>
      <c r="H145" s="648"/>
      <c r="I145" s="648"/>
      <c r="J145" s="717" t="str">
        <f t="shared" si="7"/>
        <v>-</v>
      </c>
      <c r="K145" s="718"/>
      <c r="L145" s="719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1"/>
      <c r="B146" s="682"/>
      <c r="C146" s="682"/>
      <c r="D146" s="682"/>
      <c r="E146" s="682"/>
      <c r="F146" s="683"/>
      <c r="G146" s="648"/>
      <c r="H146" s="648"/>
      <c r="I146" s="648"/>
      <c r="J146" s="714">
        <f t="shared" si="7"/>
        <v>45777</v>
      </c>
      <c r="K146" s="715"/>
      <c r="L146" s="716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78" t="str">
        <f>A144</f>
        <v>V.2886824/3</v>
      </c>
      <c r="B147" s="679"/>
      <c r="C147" s="679"/>
      <c r="D147" s="679"/>
      <c r="E147" s="679"/>
      <c r="F147" s="680"/>
      <c r="G147" s="648" t="s">
        <v>731</v>
      </c>
      <c r="H147" s="648"/>
      <c r="I147" s="648"/>
      <c r="J147" s="655">
        <f t="shared" si="7"/>
        <v>45748</v>
      </c>
      <c r="K147" s="656"/>
      <c r="L147" s="657"/>
      <c r="M147" s="648" t="s">
        <v>720</v>
      </c>
      <c r="N147" s="648"/>
      <c r="O147" s="648">
        <f>O144</f>
        <v>1</v>
      </c>
      <c r="P147" s="648"/>
      <c r="Q147" s="648"/>
      <c r="R147" s="647" t="str">
        <f>VLOOKUP(A147,Regularizare!$D:$U,9,FALSE)&amp;" ("&amp;VLOOKUP(A147,Regularizare!$D:$U,17,FALSE)&amp;")"</f>
        <v>11790 (citit)</v>
      </c>
      <c r="S147" s="647"/>
      <c r="T147" s="647"/>
      <c r="U147" s="647" t="str">
        <f>VLOOKUP(A147,Regularizare!$D:$U,10,FALSE)&amp;" ("&amp;VLOOKUP(A147,Regularizare!$D:$U,18,FALSE)&amp;")"</f>
        <v>11790 (estimat)</v>
      </c>
      <c r="V147" s="647"/>
      <c r="W147" s="647"/>
      <c r="X147" s="647" t="str">
        <f>_xlfn.CONCAT(VLOOKUP(A147,Regularizare!$D:$U,10,FALSE)-VLOOKUP(A147,Regularizare!$D:$U,9,FALSE)," (",VLOOKUP(A147,Regularizare!$D:$U,18,FALSE),")")</f>
        <v>0 (estimat)</v>
      </c>
      <c r="Y147" s="647"/>
      <c r="Z147" s="647"/>
      <c r="AA147" s="647">
        <f>IF(VLOOKUP(A147,Regularizare!$D:$Y,22,FALSE)=0,VLOOKUP(A147,Regularizare!$D:$Y,22,FALSE),(-1)*VLOOKUP(A147,Regularizare!$D:$Y,22,FALSE))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8.4499999999999993" customHeight="1">
      <c r="A148" s="717"/>
      <c r="B148" s="718"/>
      <c r="C148" s="718"/>
      <c r="D148" s="718"/>
      <c r="E148" s="718"/>
      <c r="F148" s="719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1"/>
      <c r="B149" s="682"/>
      <c r="C149" s="682"/>
      <c r="D149" s="682"/>
      <c r="E149" s="682"/>
      <c r="F149" s="683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78" t="str">
        <f>A147</f>
        <v>V.2886824/3</v>
      </c>
      <c r="B150" s="679"/>
      <c r="C150" s="679"/>
      <c r="D150" s="679"/>
      <c r="E150" s="679"/>
      <c r="F150" s="680"/>
      <c r="G150" s="648" t="s">
        <v>730</v>
      </c>
      <c r="H150" s="648"/>
      <c r="I150" s="673"/>
      <c r="J150" s="655">
        <f>'Date masura OD'!$AK$5</f>
        <v>45748</v>
      </c>
      <c r="K150" s="656"/>
      <c r="L150" s="657"/>
      <c r="M150" s="720" t="s">
        <v>446</v>
      </c>
      <c r="N150" s="648"/>
      <c r="O150" s="648">
        <f>O147</f>
        <v>1</v>
      </c>
      <c r="P150" s="648"/>
      <c r="Q150" s="648"/>
      <c r="R150" s="647" t="str">
        <f>VLOOKUP(A150,Regularizare!$D:$AX,23,FALSE)&amp;" ("&amp;VLOOKUP(A150,Regularizare!$D:$AX,24,FALSE)&amp;")"</f>
        <v>3426286 (citit)</v>
      </c>
      <c r="S150" s="647"/>
      <c r="T150" s="647"/>
      <c r="U150" s="647" t="str">
        <f>VLOOKUP(A150,Regularizare!$D:$AX,25,FALSE)&amp;" ("&amp;VLOOKUP(A150,Regularizare!$D:$AX,26,FALSE)&amp;")"</f>
        <v>3689406 (citit)</v>
      </c>
      <c r="V150" s="647"/>
      <c r="W150" s="647"/>
      <c r="X150" s="647" t="str">
        <f>VLOOKUP(A150,Regularizare!$D:$AX,37,FALSE)&amp;" ("&amp;VLOOKUP(A150,Regularizare!$D:$AX,26,FALSE)&amp;")"</f>
        <v>263120 (citit)</v>
      </c>
      <c r="Y150" s="647"/>
      <c r="Z150" s="647"/>
      <c r="AA150" s="647">
        <f>VLOOKUP(A150,Regularizare!$D:$AX,37,FALSE)</f>
        <v>263120</v>
      </c>
      <c r="AB150" s="647"/>
      <c r="AC150" s="647"/>
      <c r="AD150" s="647" t="s">
        <v>69</v>
      </c>
      <c r="AE150" s="647"/>
      <c r="AF150" s="647">
        <f>AA150</f>
        <v>263120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8.4499999999999993" customHeight="1">
      <c r="A151" s="717"/>
      <c r="B151" s="718"/>
      <c r="C151" s="718"/>
      <c r="D151" s="718"/>
      <c r="E151" s="718"/>
      <c r="F151" s="719"/>
      <c r="G151" s="648"/>
      <c r="H151" s="648"/>
      <c r="I151" s="673"/>
      <c r="J151" s="717" t="s">
        <v>69</v>
      </c>
      <c r="K151" s="718"/>
      <c r="L151" s="719"/>
      <c r="M151" s="720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1"/>
      <c r="B152" s="682"/>
      <c r="C152" s="682"/>
      <c r="D152" s="682"/>
      <c r="E152" s="682"/>
      <c r="F152" s="683"/>
      <c r="G152" s="648"/>
      <c r="H152" s="648"/>
      <c r="I152" s="673"/>
      <c r="J152" s="714">
        <f>'Date masura OD'!$AL$5</f>
        <v>45777</v>
      </c>
      <c r="K152" s="715"/>
      <c r="L152" s="716"/>
      <c r="M152" s="720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78" t="str">
        <f>A150</f>
        <v>V.2886824/3</v>
      </c>
      <c r="B153" s="679"/>
      <c r="C153" s="679"/>
      <c r="D153" s="679"/>
      <c r="E153" s="679"/>
      <c r="F153" s="680"/>
      <c r="G153" s="648" t="s">
        <v>696</v>
      </c>
      <c r="H153" s="648"/>
      <c r="I153" s="648"/>
      <c r="J153" s="655">
        <f t="shared" ref="J153:J158" si="8">J150</f>
        <v>45748</v>
      </c>
      <c r="K153" s="656"/>
      <c r="L153" s="657"/>
      <c r="M153" s="648" t="s">
        <v>720</v>
      </c>
      <c r="N153" s="648"/>
      <c r="O153" s="648">
        <f>O150</f>
        <v>1</v>
      </c>
      <c r="P153" s="648"/>
      <c r="Q153" s="648"/>
      <c r="R153" s="647" t="str">
        <f>VLOOKUP(A153,Regularizare!$D:$AX,29,FALSE)&amp;" ("&amp;VLOOKUP(A153,Regularizare!$D:$AX,30,FALSE)&amp;")"</f>
        <v>112140 (citit)</v>
      </c>
      <c r="S153" s="647"/>
      <c r="T153" s="647"/>
      <c r="U153" s="647" t="str">
        <f>VLOOKUP(A153,Regularizare!$D:$AX,31,FALSE)&amp;" ("&amp;VLOOKUP(A153,Regularizare!$D:$AX,32,FALSE)&amp;")"</f>
        <v>112140 (citit)</v>
      </c>
      <c r="V153" s="647"/>
      <c r="W153" s="647"/>
      <c r="X153" s="647" t="str">
        <f>VLOOKUP(A153,Regularizare!$D:$AX,39,FALSE)&amp;" ("&amp;VLOOKUP(A153,Regularizare!$D:$AX,32,FALSE)&amp;")"</f>
        <v>0 (citit)</v>
      </c>
      <c r="Y153" s="647"/>
      <c r="Z153" s="647"/>
      <c r="AA153" s="647">
        <f>VLOOKUP(A153,Regularizare!$D:$AX,44,FALSE)+VLOOKUP(A153,Regularizare!$D:$AX,45,FALSE)</f>
        <v>0</v>
      </c>
      <c r="AB153" s="647"/>
      <c r="AC153" s="647"/>
      <c r="AD153" s="647" t="s">
        <v>69</v>
      </c>
      <c r="AE153" s="647"/>
      <c r="AF153" s="647">
        <f>AA153</f>
        <v>0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8.4499999999999993" customHeight="1">
      <c r="A154" s="717"/>
      <c r="B154" s="718"/>
      <c r="C154" s="718"/>
      <c r="D154" s="718"/>
      <c r="E154" s="718"/>
      <c r="F154" s="719"/>
      <c r="G154" s="648"/>
      <c r="H154" s="648"/>
      <c r="I154" s="648"/>
      <c r="J154" s="717" t="str">
        <f t="shared" si="8"/>
        <v>-</v>
      </c>
      <c r="K154" s="718"/>
      <c r="L154" s="719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1"/>
      <c r="B155" s="682"/>
      <c r="C155" s="682"/>
      <c r="D155" s="682"/>
      <c r="E155" s="682"/>
      <c r="F155" s="683"/>
      <c r="G155" s="648"/>
      <c r="H155" s="648"/>
      <c r="I155" s="648"/>
      <c r="J155" s="714">
        <f t="shared" si="8"/>
        <v>45777</v>
      </c>
      <c r="K155" s="715"/>
      <c r="L155" s="716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78" t="str">
        <f>A153</f>
        <v>V.2886824/3</v>
      </c>
      <c r="B156" s="679"/>
      <c r="C156" s="679"/>
      <c r="D156" s="679"/>
      <c r="E156" s="679"/>
      <c r="F156" s="680"/>
      <c r="G156" s="648" t="s">
        <v>731</v>
      </c>
      <c r="H156" s="648"/>
      <c r="I156" s="648"/>
      <c r="J156" s="655">
        <f t="shared" si="8"/>
        <v>45748</v>
      </c>
      <c r="K156" s="656"/>
      <c r="L156" s="657"/>
      <c r="M156" s="648" t="s">
        <v>720</v>
      </c>
      <c r="N156" s="648"/>
      <c r="O156" s="648">
        <f>O153</f>
        <v>1</v>
      </c>
      <c r="P156" s="648"/>
      <c r="Q156" s="648"/>
      <c r="R156" s="647" t="str">
        <f>VLOOKUP(A156,Regularizare!$D:$AX,33,FALSE)&amp;" ("&amp;VLOOKUP(A156,Regularizare!$D:$AX,34,FALSE)&amp;")"</f>
        <v>11790 (citit)</v>
      </c>
      <c r="S156" s="647"/>
      <c r="T156" s="647"/>
      <c r="U156" s="647" t="str">
        <f>VLOOKUP(A156,Regularizare!$D:$AX,35,FALSE)&amp;" ("&amp;VLOOKUP(A156,Regularizare!$D:$AX,36,FALSE)&amp;")"</f>
        <v>11790 (citit)</v>
      </c>
      <c r="V156" s="647"/>
      <c r="W156" s="647"/>
      <c r="X156" s="647" t="str">
        <f>VLOOKUP(A156,Regularizare!$D:$AX,40,FALSE)&amp;" ("&amp;VLOOKUP(A156,Regularizare!$D:$AX,36,FALSE)&amp;")"</f>
        <v>0 (citit)</v>
      </c>
      <c r="Y156" s="647"/>
      <c r="Z156" s="647"/>
      <c r="AA156" s="647">
        <f>VLOOKUP(A156,Regularizare!$D:$AX,46,FALSE)+VLOOKUP(A156,Regularizare!$D:$AX,47,FALSE)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8.4499999999999993" customHeight="1">
      <c r="A157" s="717"/>
      <c r="B157" s="718"/>
      <c r="C157" s="718"/>
      <c r="D157" s="718"/>
      <c r="E157" s="718"/>
      <c r="F157" s="719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1"/>
      <c r="B158" s="682"/>
      <c r="C158" s="682"/>
      <c r="D158" s="682"/>
      <c r="E158" s="682"/>
      <c r="F158" s="683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78" t="str">
        <f>A156</f>
        <v>V.2886824/3</v>
      </c>
      <c r="B159" s="679"/>
      <c r="C159" s="679"/>
      <c r="D159" s="679"/>
      <c r="E159" s="679"/>
      <c r="F159" s="680"/>
      <c r="G159" s="648" t="s">
        <v>730</v>
      </c>
      <c r="H159" s="648"/>
      <c r="I159" s="673"/>
      <c r="J159" s="655">
        <f>'Date masura OD'!$I$5</f>
        <v>45778</v>
      </c>
      <c r="K159" s="656"/>
      <c r="L159" s="657"/>
      <c r="M159" s="720" t="s">
        <v>446</v>
      </c>
      <c r="N159" s="648"/>
      <c r="O159" s="648">
        <f>O156</f>
        <v>1</v>
      </c>
      <c r="P159" s="648"/>
      <c r="Q159" s="648"/>
      <c r="R159" s="647" t="str">
        <f>U150</f>
        <v>3689406 (citit)</v>
      </c>
      <c r="S159" s="647"/>
      <c r="T159" s="647"/>
      <c r="U159" s="647" t="str">
        <f>VLOOKUP(A159,'Incrementare indexe'!$D:$M,4,FALSE)&amp;" (estimat)"</f>
        <v>3965426 (estimat)</v>
      </c>
      <c r="V159" s="647"/>
      <c r="W159" s="647"/>
      <c r="X159" s="647" t="str">
        <f>VLOOKUP(A159,'Incrementare indexe'!$D:$Q,11,FALSE)&amp;" (estimat)"</f>
        <v>276020 (estimat)</v>
      </c>
      <c r="Y159" s="647"/>
      <c r="Z159" s="647"/>
      <c r="AA159" s="647" t="s">
        <v>69</v>
      </c>
      <c r="AB159" s="647"/>
      <c r="AC159" s="647"/>
      <c r="AD159" s="647" t="s">
        <v>69</v>
      </c>
      <c r="AE159" s="647"/>
      <c r="AF159" s="647">
        <f>VLOOKUP(A159,'Incrementare indexe'!$D:$Q,11,FALSE)</f>
        <v>276020</v>
      </c>
      <c r="AG159" s="647"/>
      <c r="AH159" s="647"/>
      <c r="AI159" s="647">
        <f>J161-J159+1</f>
        <v>31</v>
      </c>
      <c r="AJ159" s="647"/>
      <c r="AK159" s="647">
        <f>ROUND(AF159/AI159,2)</f>
        <v>8903.8700000000008</v>
      </c>
      <c r="AL159" s="647"/>
      <c r="AM159" s="647"/>
    </row>
    <row r="160" spans="1:39" ht="8.4499999999999993" customHeight="1">
      <c r="A160" s="717"/>
      <c r="B160" s="718"/>
      <c r="C160" s="718"/>
      <c r="D160" s="718"/>
      <c r="E160" s="718"/>
      <c r="F160" s="719"/>
      <c r="G160" s="648"/>
      <c r="H160" s="648"/>
      <c r="I160" s="673"/>
      <c r="J160" s="717" t="s">
        <v>69</v>
      </c>
      <c r="K160" s="718"/>
      <c r="L160" s="719"/>
      <c r="M160" s="720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1"/>
      <c r="B161" s="682"/>
      <c r="C161" s="682"/>
      <c r="D161" s="682"/>
      <c r="E161" s="682"/>
      <c r="F161" s="683"/>
      <c r="G161" s="648"/>
      <c r="H161" s="648"/>
      <c r="I161" s="673"/>
      <c r="J161" s="714">
        <f>'Date masura OD'!$J$5</f>
        <v>45808</v>
      </c>
      <c r="K161" s="715"/>
      <c r="L161" s="716"/>
      <c r="M161" s="720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78" t="str">
        <f>A159</f>
        <v>V.2886824/3</v>
      </c>
      <c r="B162" s="679"/>
      <c r="C162" s="679"/>
      <c r="D162" s="679"/>
      <c r="E162" s="679"/>
      <c r="F162" s="680"/>
      <c r="G162" s="648" t="s">
        <v>696</v>
      </c>
      <c r="H162" s="648"/>
      <c r="I162" s="648"/>
      <c r="J162" s="655">
        <f t="shared" ref="J162:J167" si="9">J159</f>
        <v>45778</v>
      </c>
      <c r="K162" s="656"/>
      <c r="L162" s="657"/>
      <c r="M162" s="648" t="s">
        <v>720</v>
      </c>
      <c r="N162" s="648"/>
      <c r="O162" s="648">
        <f>O159</f>
        <v>1</v>
      </c>
      <c r="P162" s="648"/>
      <c r="Q162" s="648"/>
      <c r="R162" s="647" t="str">
        <f>U153</f>
        <v>112140 (citit)</v>
      </c>
      <c r="S162" s="647"/>
      <c r="T162" s="647"/>
      <c r="U162" s="647" t="str">
        <f>VLOOKUP(A162,'Incrementare indexe'!$D:$M,8,FALSE)&amp;" (estimat)"</f>
        <v>112140 (estimat)</v>
      </c>
      <c r="V162" s="647"/>
      <c r="W162" s="647"/>
      <c r="X162" s="647" t="str">
        <f>VLOOKUP(A162,'Incrementare indexe'!$D:$Q,12,FALSE)&amp;" (estimat)"</f>
        <v>0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indexe'!$D:$Q,12,FALSE)</f>
        <v>0</v>
      </c>
      <c r="AG162" s="647"/>
      <c r="AH162" s="647"/>
      <c r="AI162" s="647">
        <f>AI159</f>
        <v>31</v>
      </c>
      <c r="AJ162" s="647"/>
      <c r="AK162" s="647">
        <f>ROUND(AF162/AI162,2)</f>
        <v>0</v>
      </c>
      <c r="AL162" s="647"/>
      <c r="AM162" s="647"/>
    </row>
    <row r="163" spans="1:39" ht="8.4499999999999993" customHeight="1">
      <c r="A163" s="717"/>
      <c r="B163" s="718"/>
      <c r="C163" s="718"/>
      <c r="D163" s="718"/>
      <c r="E163" s="718"/>
      <c r="F163" s="719"/>
      <c r="G163" s="648"/>
      <c r="H163" s="648"/>
      <c r="I163" s="648"/>
      <c r="J163" s="717" t="str">
        <f t="shared" si="9"/>
        <v>-</v>
      </c>
      <c r="K163" s="718"/>
      <c r="L163" s="719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1"/>
      <c r="B164" s="682"/>
      <c r="C164" s="682"/>
      <c r="D164" s="682"/>
      <c r="E164" s="682"/>
      <c r="F164" s="683"/>
      <c r="G164" s="648"/>
      <c r="H164" s="648"/>
      <c r="I164" s="648"/>
      <c r="J164" s="714">
        <f t="shared" si="9"/>
        <v>45808</v>
      </c>
      <c r="K164" s="715"/>
      <c r="L164" s="716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78" t="str">
        <f>A162</f>
        <v>V.2886824/3</v>
      </c>
      <c r="B165" s="679"/>
      <c r="C165" s="679"/>
      <c r="D165" s="679"/>
      <c r="E165" s="679"/>
      <c r="F165" s="680"/>
      <c r="G165" s="648" t="s">
        <v>731</v>
      </c>
      <c r="H165" s="648"/>
      <c r="I165" s="648"/>
      <c r="J165" s="655">
        <f t="shared" si="9"/>
        <v>45778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U156</f>
        <v>11790 (citit)</v>
      </c>
      <c r="S165" s="647"/>
      <c r="T165" s="647"/>
      <c r="U165" s="647" t="str">
        <f>VLOOKUP(A165,'Incrementare indexe'!$D:$M,10,FALSE)&amp;" (estimat)"</f>
        <v>11790 (estimat)</v>
      </c>
      <c r="V165" s="647"/>
      <c r="W165" s="647"/>
      <c r="X165" s="647" t="str">
        <f>VLOOKUP(A165,'Incrementare indexe'!$D:$Q,13,FALSE)&amp;"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indexe'!$D:$Q,13,FALSE)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8.4499999999999993" customHeight="1">
      <c r="A166" s="717"/>
      <c r="B166" s="718"/>
      <c r="C166" s="718"/>
      <c r="D166" s="718"/>
      <c r="E166" s="718"/>
      <c r="F166" s="719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1"/>
      <c r="B167" s="682"/>
      <c r="C167" s="682"/>
      <c r="D167" s="682"/>
      <c r="E167" s="682"/>
      <c r="F167" s="683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/>
    <row r="169" spans="1:39" ht="14.1" customHeight="1"/>
    <row r="170" spans="1:39" ht="14.1" customHeight="1"/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 ht="14.1" customHeight="1"/>
    <row r="187" spans="1:39" ht="14.1" customHeight="1"/>
    <row r="188" spans="1:39" ht="15.95" customHeight="1">
      <c r="A188" s="624" t="str">
        <f>A28</f>
        <v>DETALII FACTURA FACTURA FISCALA SERIA …........ NR …................. din date de ….......06.2025</v>
      </c>
      <c r="B188" s="624"/>
      <c r="C188" s="624"/>
      <c r="D188" s="624"/>
      <c r="E188" s="624"/>
      <c r="F188" s="624"/>
      <c r="G188" s="624"/>
      <c r="H188" s="624"/>
      <c r="I188" s="624"/>
      <c r="J188" s="624"/>
      <c r="K188" s="624"/>
      <c r="L188" s="624"/>
      <c r="M188" s="624"/>
      <c r="N188" s="624"/>
      <c r="O188" s="624"/>
      <c r="P188" s="624"/>
      <c r="Q188" s="624"/>
      <c r="R188" s="624"/>
      <c r="S188" s="624"/>
      <c r="T188" s="624"/>
      <c r="U188" s="624"/>
      <c r="V188" s="624"/>
      <c r="W188" s="624"/>
      <c r="X188" s="624"/>
      <c r="Y188" s="624"/>
      <c r="Z188" s="624"/>
      <c r="AA188" s="624"/>
      <c r="AB188" s="624"/>
      <c r="AC188" s="624"/>
      <c r="AD188" s="624"/>
      <c r="AE188" s="624"/>
      <c r="AF188" s="624"/>
      <c r="AG188" s="624"/>
      <c r="AH188" s="624"/>
      <c r="AI188" s="624"/>
      <c r="AJ188" s="624"/>
      <c r="AK188" s="624"/>
      <c r="AL188" s="624"/>
      <c r="AM188" s="624"/>
    </row>
    <row r="190" spans="1:39" ht="36" customHeight="1">
      <c r="A190" s="66" t="s">
        <v>721</v>
      </c>
      <c r="B190" s="648" t="s">
        <v>95</v>
      </c>
      <c r="C190" s="648"/>
      <c r="D190" s="648"/>
      <c r="E190" s="648"/>
      <c r="F190" s="648"/>
      <c r="G190" s="648"/>
      <c r="H190" s="648"/>
      <c r="I190" s="648"/>
      <c r="J190" s="648"/>
      <c r="K190" s="648"/>
      <c r="L190" s="64" t="s">
        <v>709</v>
      </c>
      <c r="M190" s="69"/>
      <c r="N190" s="69"/>
      <c r="O190" s="64"/>
      <c r="P190" s="69"/>
      <c r="Q190" s="69"/>
      <c r="R190" s="647" t="s">
        <v>722</v>
      </c>
      <c r="S190" s="647"/>
      <c r="T190" s="647"/>
      <c r="U190" s="647"/>
      <c r="V190" s="648" t="s">
        <v>519</v>
      </c>
      <c r="W190" s="648"/>
      <c r="X190" s="647" t="s">
        <v>723</v>
      </c>
      <c r="Y190" s="647"/>
      <c r="Z190" s="647"/>
      <c r="AA190" s="647"/>
      <c r="AB190" s="647" t="s">
        <v>724</v>
      </c>
      <c r="AC190" s="647"/>
      <c r="AD190" s="647"/>
      <c r="AE190" s="647"/>
      <c r="AF190" s="647" t="s">
        <v>725</v>
      </c>
      <c r="AG190" s="647"/>
      <c r="AH190" s="647"/>
      <c r="AI190" s="647"/>
      <c r="AJ190" s="647" t="s">
        <v>726</v>
      </c>
      <c r="AK190" s="647"/>
      <c r="AL190" s="647"/>
      <c r="AM190" s="647"/>
    </row>
    <row r="191" spans="1:39" ht="15.95" customHeight="1">
      <c r="A191" s="65">
        <v>1</v>
      </c>
      <c r="B191" s="699" t="s">
        <v>71</v>
      </c>
      <c r="C191" s="700"/>
      <c r="D191" s="700"/>
      <c r="E191" s="700"/>
      <c r="F191" s="700"/>
      <c r="G191" s="700"/>
      <c r="H191" s="700"/>
      <c r="I191" s="700"/>
      <c r="J191" s="700"/>
      <c r="K191" s="701"/>
      <c r="L191" s="702">
        <f>'Date masura OD'!$I$5</f>
        <v>45778</v>
      </c>
      <c r="M191" s="702"/>
      <c r="N191" s="702"/>
      <c r="O191" s="702">
        <f>'Date masura OD'!$J$5</f>
        <v>45808</v>
      </c>
      <c r="P191" s="702"/>
      <c r="Q191" s="702"/>
      <c r="R191" s="690" cm="1">
        <f t="array" ref="R191">INDEX(verificare!$AT$4:$CC$26,VLOOKUP($AA$15,verificare!$AR$4:$AS$26,2,FALSE),A191)</f>
        <v>670016</v>
      </c>
      <c r="S191" s="690"/>
      <c r="T191" s="690"/>
      <c r="U191" s="690"/>
      <c r="V191" s="658" t="s">
        <v>446</v>
      </c>
      <c r="W191" s="658"/>
      <c r="X191" s="691">
        <f>HLOOKUP(VLOOKUP($AA$15,'Date SPV'!$B:$F,5,FALSE),'Preturi si tarife'!$C$2:$J$39,A191+2,FALSE)</f>
        <v>0.59499999999999997</v>
      </c>
      <c r="Y191" s="692"/>
      <c r="Z191" s="692"/>
      <c r="AA191" s="693"/>
      <c r="AB191" s="690">
        <f>ROUND(X191*R191,2)</f>
        <v>398659.52</v>
      </c>
      <c r="AC191" s="690"/>
      <c r="AD191" s="690"/>
      <c r="AE191" s="690"/>
      <c r="AF191" s="690">
        <f>ROUND(AB191*19%,2)</f>
        <v>75745.31</v>
      </c>
      <c r="AG191" s="690"/>
      <c r="AH191" s="690"/>
      <c r="AI191" s="690"/>
      <c r="AJ191" s="690">
        <f>AB191+AF191</f>
        <v>474404.83</v>
      </c>
      <c r="AK191" s="690"/>
      <c r="AL191" s="690"/>
      <c r="AM191" s="690"/>
    </row>
    <row r="192" spans="1:39" ht="15.95" customHeight="1">
      <c r="A192" s="65">
        <f>A191+1</f>
        <v>2</v>
      </c>
      <c r="B192" s="699" t="s">
        <v>72</v>
      </c>
      <c r="C192" s="700"/>
      <c r="D192" s="700"/>
      <c r="E192" s="700"/>
      <c r="F192" s="700"/>
      <c r="G192" s="700"/>
      <c r="H192" s="700"/>
      <c r="I192" s="700"/>
      <c r="J192" s="700"/>
      <c r="K192" s="701"/>
      <c r="L192" s="702">
        <f>L191</f>
        <v>45778</v>
      </c>
      <c r="M192" s="702"/>
      <c r="N192" s="702"/>
      <c r="O192" s="702">
        <f>O191</f>
        <v>45808</v>
      </c>
      <c r="P192" s="702"/>
      <c r="Q192" s="702"/>
      <c r="R192" s="772" cm="1">
        <f t="array" ref="R192">INDEX(verificare!$AT$4:$CC$26,VLOOKUP($AA$15,verificare!$AR$4:$AS$26,2,FALSE),A192)</f>
        <v>0</v>
      </c>
      <c r="S192" s="773"/>
      <c r="T192" s="773"/>
      <c r="U192" s="774"/>
      <c r="V192" s="658" t="s">
        <v>727</v>
      </c>
      <c r="W192" s="658"/>
      <c r="X192" s="691">
        <f>HLOOKUP(VLOOKUP($AA$15,'Date SPV'!$B:$F,5,FALSE),'Preturi si tarife'!$C$2:$J$39,A192+2,FALSE)</f>
        <v>0.14649999999999999</v>
      </c>
      <c r="Y192" s="692"/>
      <c r="Z192" s="692"/>
      <c r="AA192" s="693"/>
      <c r="AB192" s="690">
        <f t="shared" ref="AB192:AB218" si="10">ROUND(X192*R192,2)</f>
        <v>0</v>
      </c>
      <c r="AC192" s="690"/>
      <c r="AD192" s="690"/>
      <c r="AE192" s="690"/>
      <c r="AF192" s="690">
        <f t="shared" ref="AF192:AF218" si="11">ROUND(AB192*19%,2)</f>
        <v>0</v>
      </c>
      <c r="AG192" s="690"/>
      <c r="AH192" s="690"/>
      <c r="AI192" s="690"/>
      <c r="AJ192" s="690">
        <f t="shared" ref="AJ192:AJ218" si="12">AB192+AF192</f>
        <v>0</v>
      </c>
      <c r="AK192" s="690"/>
      <c r="AL192" s="690"/>
      <c r="AM192" s="690"/>
    </row>
    <row r="193" spans="1:39" ht="15.95" customHeight="1">
      <c r="A193" s="65">
        <f t="shared" ref="A193:A228" si="13">A192+1</f>
        <v>3</v>
      </c>
      <c r="B193" s="699" t="s">
        <v>73</v>
      </c>
      <c r="C193" s="700"/>
      <c r="D193" s="700"/>
      <c r="E193" s="700"/>
      <c r="F193" s="700"/>
      <c r="G193" s="700"/>
      <c r="H193" s="700"/>
      <c r="I193" s="700"/>
      <c r="J193" s="700"/>
      <c r="K193" s="701"/>
      <c r="L193" s="702">
        <f t="shared" ref="L193:L202" si="14">L192</f>
        <v>45778</v>
      </c>
      <c r="M193" s="702"/>
      <c r="N193" s="702"/>
      <c r="O193" s="702">
        <f t="shared" ref="O193:O202" si="15">O192</f>
        <v>45808</v>
      </c>
      <c r="P193" s="702"/>
      <c r="Q193" s="702"/>
      <c r="R193" s="772" cm="1">
        <f t="array" ref="R193">INDEX(verificare!$AT$4:$CC$26,VLOOKUP($AA$15,verificare!$AR$4:$AS$26,2,FALSE),A193)</f>
        <v>0</v>
      </c>
      <c r="S193" s="773"/>
      <c r="T193" s="773"/>
      <c r="U193" s="774"/>
      <c r="V193" s="658" t="s">
        <v>727</v>
      </c>
      <c r="W193" s="658"/>
      <c r="X193" s="691">
        <f>HLOOKUP(VLOOKUP($AA$15,'Date SPV'!$B:$F,5,FALSE),'Preturi si tarife'!$C$2:$J$39,A193+2,FALSE)</f>
        <v>0.4395</v>
      </c>
      <c r="Y193" s="692"/>
      <c r="Z193" s="692"/>
      <c r="AA193" s="693"/>
      <c r="AB193" s="690">
        <f t="shared" si="10"/>
        <v>0</v>
      </c>
      <c r="AC193" s="690"/>
      <c r="AD193" s="690"/>
      <c r="AE193" s="690"/>
      <c r="AF193" s="690">
        <f t="shared" si="11"/>
        <v>0</v>
      </c>
      <c r="AG193" s="690"/>
      <c r="AH193" s="690"/>
      <c r="AI193" s="690"/>
      <c r="AJ193" s="690">
        <f t="shared" si="12"/>
        <v>0</v>
      </c>
      <c r="AK193" s="690"/>
      <c r="AL193" s="690"/>
      <c r="AM193" s="690"/>
    </row>
    <row r="194" spans="1:39" ht="15.95" customHeight="1">
      <c r="A194" s="65">
        <f t="shared" si="13"/>
        <v>4</v>
      </c>
      <c r="B194" s="699" t="s">
        <v>868</v>
      </c>
      <c r="C194" s="700"/>
      <c r="D194" s="700"/>
      <c r="E194" s="700"/>
      <c r="F194" s="700"/>
      <c r="G194" s="700"/>
      <c r="H194" s="700"/>
      <c r="I194" s="700"/>
      <c r="J194" s="700"/>
      <c r="K194" s="701"/>
      <c r="L194" s="702">
        <f t="shared" si="14"/>
        <v>45778</v>
      </c>
      <c r="M194" s="702"/>
      <c r="N194" s="702"/>
      <c r="O194" s="702">
        <f t="shared" si="15"/>
        <v>45808</v>
      </c>
      <c r="P194" s="702"/>
      <c r="Q194" s="702"/>
      <c r="R194" s="772" cm="1">
        <f t="array" ref="R194">INDEX(verificare!$AT$4:$CC$26,VLOOKUP($AA$15,verificare!$AR$4:$AS$26,2,FALSE),A194)</f>
        <v>670016</v>
      </c>
      <c r="S194" s="773"/>
      <c r="T194" s="773"/>
      <c r="U194" s="774"/>
      <c r="V194" s="658" t="s">
        <v>446</v>
      </c>
      <c r="W194" s="658"/>
      <c r="X194" s="691">
        <f>HLOOKUP(VLOOKUP($AA$15,'Date SPV'!$B:$F,5,FALSE),'Preturi si tarife'!$C$2:$J$39,A194+2,FALSE)</f>
        <v>0.11483</v>
      </c>
      <c r="Y194" s="692"/>
      <c r="Z194" s="692"/>
      <c r="AA194" s="693"/>
      <c r="AB194" s="690">
        <f t="shared" si="10"/>
        <v>76937.94</v>
      </c>
      <c r="AC194" s="690"/>
      <c r="AD194" s="690"/>
      <c r="AE194" s="690"/>
      <c r="AF194" s="690">
        <f t="shared" si="11"/>
        <v>14618.21</v>
      </c>
      <c r="AG194" s="690"/>
      <c r="AH194" s="690"/>
      <c r="AI194" s="690"/>
      <c r="AJ194" s="690">
        <f t="shared" si="12"/>
        <v>91556.15</v>
      </c>
      <c r="AK194" s="690"/>
      <c r="AL194" s="690"/>
      <c r="AM194" s="690"/>
    </row>
    <row r="195" spans="1:39" ht="15.95" customHeight="1">
      <c r="A195" s="65">
        <f t="shared" si="13"/>
        <v>5</v>
      </c>
      <c r="B195" s="699" t="s">
        <v>757</v>
      </c>
      <c r="C195" s="700"/>
      <c r="D195" s="700"/>
      <c r="E195" s="700"/>
      <c r="F195" s="700"/>
      <c r="G195" s="700"/>
      <c r="H195" s="700"/>
      <c r="I195" s="700"/>
      <c r="J195" s="700"/>
      <c r="K195" s="701"/>
      <c r="L195" s="702">
        <f t="shared" si="14"/>
        <v>45778</v>
      </c>
      <c r="M195" s="702"/>
      <c r="N195" s="702"/>
      <c r="O195" s="702">
        <f t="shared" si="15"/>
        <v>45808</v>
      </c>
      <c r="P195" s="702"/>
      <c r="Q195" s="702"/>
      <c r="R195" s="772" cm="1">
        <f t="array" ref="R195">INDEX(verificare!$AT$4:$CC$26,VLOOKUP($AA$15,verificare!$AR$4:$AS$26,2,FALSE),A195)</f>
        <v>0</v>
      </c>
      <c r="S195" s="773"/>
      <c r="T195" s="773"/>
      <c r="U195" s="774"/>
      <c r="V195" s="658" t="s">
        <v>446</v>
      </c>
      <c r="W195" s="658"/>
      <c r="X195" s="691">
        <f>HLOOKUP(VLOOKUP($AA$15,'Date SPV'!$B:$F,5,FALSE),'Preturi si tarife'!$C$2:$J$39,A195+2,FALSE)</f>
        <v>0.2361</v>
      </c>
      <c r="Y195" s="692"/>
      <c r="Z195" s="692"/>
      <c r="AA195" s="693"/>
      <c r="AB195" s="690">
        <f t="shared" si="10"/>
        <v>0</v>
      </c>
      <c r="AC195" s="690"/>
      <c r="AD195" s="690"/>
      <c r="AE195" s="690"/>
      <c r="AF195" s="690">
        <f t="shared" si="11"/>
        <v>0</v>
      </c>
      <c r="AG195" s="690"/>
      <c r="AH195" s="690"/>
      <c r="AI195" s="690"/>
      <c r="AJ195" s="690">
        <f t="shared" si="12"/>
        <v>0</v>
      </c>
      <c r="AK195" s="690"/>
      <c r="AL195" s="690"/>
      <c r="AM195" s="690"/>
    </row>
    <row r="196" spans="1:39" ht="15.95" customHeight="1">
      <c r="A196" s="65">
        <f t="shared" si="13"/>
        <v>6</v>
      </c>
      <c r="B196" s="699" t="s">
        <v>74</v>
      </c>
      <c r="C196" s="700"/>
      <c r="D196" s="700"/>
      <c r="E196" s="700"/>
      <c r="F196" s="700"/>
      <c r="G196" s="700"/>
      <c r="H196" s="700"/>
      <c r="I196" s="700"/>
      <c r="J196" s="700"/>
      <c r="K196" s="701"/>
      <c r="L196" s="702">
        <f t="shared" si="14"/>
        <v>45778</v>
      </c>
      <c r="M196" s="702"/>
      <c r="N196" s="702"/>
      <c r="O196" s="702">
        <f t="shared" si="15"/>
        <v>45808</v>
      </c>
      <c r="P196" s="702"/>
      <c r="Q196" s="702"/>
      <c r="R196" s="772" cm="1">
        <f t="array" ref="R196">INDEX(verificare!$AT$4:$CC$26,VLOOKUP($AA$15,verificare!$AR$4:$AS$26,2,FALSE),A196)</f>
        <v>670016</v>
      </c>
      <c r="S196" s="773"/>
      <c r="T196" s="773"/>
      <c r="U196" s="774"/>
      <c r="V196" s="658" t="s">
        <v>446</v>
      </c>
      <c r="W196" s="658"/>
      <c r="X196" s="691">
        <f>HLOOKUP(VLOOKUP($AA$15,'Date SPV'!$B:$F,5,FALSE),'Preturi si tarife'!$C$2:$J$39,A196+2,FALSE)</f>
        <v>1.1509999999999999E-2</v>
      </c>
      <c r="Y196" s="692"/>
      <c r="Z196" s="692"/>
      <c r="AA196" s="693"/>
      <c r="AB196" s="690">
        <f t="shared" si="10"/>
        <v>7711.88</v>
      </c>
      <c r="AC196" s="690"/>
      <c r="AD196" s="690"/>
      <c r="AE196" s="690"/>
      <c r="AF196" s="690">
        <f t="shared" si="11"/>
        <v>1465.26</v>
      </c>
      <c r="AG196" s="690"/>
      <c r="AH196" s="690"/>
      <c r="AI196" s="690"/>
      <c r="AJ196" s="690">
        <f t="shared" si="12"/>
        <v>9177.14</v>
      </c>
      <c r="AK196" s="690"/>
      <c r="AL196" s="690"/>
      <c r="AM196" s="690"/>
    </row>
    <row r="197" spans="1:39" ht="15.95" customHeight="1">
      <c r="A197" s="65">
        <f t="shared" si="13"/>
        <v>7</v>
      </c>
      <c r="B197" s="699" t="s">
        <v>75</v>
      </c>
      <c r="C197" s="700"/>
      <c r="D197" s="700"/>
      <c r="E197" s="700"/>
      <c r="F197" s="700"/>
      <c r="G197" s="700"/>
      <c r="H197" s="700"/>
      <c r="I197" s="700"/>
      <c r="J197" s="700"/>
      <c r="K197" s="701"/>
      <c r="L197" s="702">
        <f t="shared" si="14"/>
        <v>45778</v>
      </c>
      <c r="M197" s="702"/>
      <c r="N197" s="702"/>
      <c r="O197" s="702">
        <f t="shared" si="15"/>
        <v>45808</v>
      </c>
      <c r="P197" s="702"/>
      <c r="Q197" s="702"/>
      <c r="R197" s="772" cm="1">
        <f t="array" ref="R197">INDEX(verificare!$AT$4:$CC$26,VLOOKUP($AA$15,verificare!$AR$4:$AS$26,2,FALSE),A197)</f>
        <v>670016</v>
      </c>
      <c r="S197" s="773"/>
      <c r="T197" s="773"/>
      <c r="U197" s="774"/>
      <c r="V197" s="658" t="s">
        <v>446</v>
      </c>
      <c r="W197" s="658"/>
      <c r="X197" s="691">
        <f>HLOOKUP(VLOOKUP($AA$15,'Date SPV'!$B:$F,5,FALSE),'Preturi si tarife'!$C$2:$J$39,A197+2,FALSE)</f>
        <v>3.3030000000000004E-2</v>
      </c>
      <c r="Y197" s="692"/>
      <c r="Z197" s="692"/>
      <c r="AA197" s="693"/>
      <c r="AB197" s="690">
        <f t="shared" si="10"/>
        <v>22130.63</v>
      </c>
      <c r="AC197" s="690"/>
      <c r="AD197" s="690"/>
      <c r="AE197" s="690"/>
      <c r="AF197" s="690">
        <f t="shared" si="11"/>
        <v>4204.82</v>
      </c>
      <c r="AG197" s="690"/>
      <c r="AH197" s="690"/>
      <c r="AI197" s="690"/>
      <c r="AJ197" s="690">
        <f t="shared" si="12"/>
        <v>26335.45</v>
      </c>
      <c r="AK197" s="690"/>
      <c r="AL197" s="690"/>
      <c r="AM197" s="690"/>
    </row>
    <row r="198" spans="1:39" ht="15.95" customHeight="1">
      <c r="A198" s="65">
        <f t="shared" si="13"/>
        <v>8</v>
      </c>
      <c r="B198" s="699" t="s">
        <v>76</v>
      </c>
      <c r="C198" s="700"/>
      <c r="D198" s="700"/>
      <c r="E198" s="700"/>
      <c r="F198" s="700"/>
      <c r="G198" s="700"/>
      <c r="H198" s="700"/>
      <c r="I198" s="700"/>
      <c r="J198" s="700"/>
      <c r="K198" s="701"/>
      <c r="L198" s="702">
        <f t="shared" si="14"/>
        <v>45778</v>
      </c>
      <c r="M198" s="702"/>
      <c r="N198" s="702"/>
      <c r="O198" s="702">
        <f t="shared" si="15"/>
        <v>45808</v>
      </c>
      <c r="P198" s="702"/>
      <c r="Q198" s="702"/>
      <c r="R198" s="772" cm="1">
        <f t="array" ref="R198">INDEX(verificare!$AT$4:$CC$26,VLOOKUP($AA$15,verificare!$AR$4:$AS$26,2,FALSE),A198)</f>
        <v>670016</v>
      </c>
      <c r="S198" s="773"/>
      <c r="T198" s="773"/>
      <c r="U198" s="774"/>
      <c r="V198" s="658" t="s">
        <v>446</v>
      </c>
      <c r="W198" s="658"/>
      <c r="X198" s="691">
        <f>HLOOKUP(VLOOKUP($AA$15,'Date SPV'!$B:$F,5,FALSE),'Preturi si tarife'!$C$2:$J$39,A198+2,FALSE)</f>
        <v>3.29E-3</v>
      </c>
      <c r="Y198" s="692"/>
      <c r="Z198" s="692"/>
      <c r="AA198" s="693"/>
      <c r="AB198" s="690">
        <f t="shared" si="10"/>
        <v>2204.35</v>
      </c>
      <c r="AC198" s="690"/>
      <c r="AD198" s="690"/>
      <c r="AE198" s="690"/>
      <c r="AF198" s="690">
        <f t="shared" si="11"/>
        <v>418.83</v>
      </c>
      <c r="AG198" s="690"/>
      <c r="AH198" s="690"/>
      <c r="AI198" s="690"/>
      <c r="AJ198" s="690">
        <f t="shared" si="12"/>
        <v>2623.18</v>
      </c>
      <c r="AK198" s="690"/>
      <c r="AL198" s="690"/>
      <c r="AM198" s="690"/>
    </row>
    <row r="199" spans="1:39" ht="15.95" customHeight="1">
      <c r="A199" s="65">
        <f t="shared" si="13"/>
        <v>9</v>
      </c>
      <c r="B199" s="699" t="s">
        <v>77</v>
      </c>
      <c r="C199" s="700"/>
      <c r="D199" s="700"/>
      <c r="E199" s="700"/>
      <c r="F199" s="700"/>
      <c r="G199" s="700"/>
      <c r="H199" s="700"/>
      <c r="I199" s="700"/>
      <c r="J199" s="700"/>
      <c r="K199" s="701"/>
      <c r="L199" s="702">
        <f t="shared" si="14"/>
        <v>45778</v>
      </c>
      <c r="M199" s="702"/>
      <c r="N199" s="702"/>
      <c r="O199" s="702">
        <f t="shared" si="15"/>
        <v>45808</v>
      </c>
      <c r="P199" s="702"/>
      <c r="Q199" s="702"/>
      <c r="R199" s="772" cm="1">
        <f t="array" ref="R199">INDEX(verificare!$AT$4:$CC$26,VLOOKUP($AA$15,verificare!$AR$4:$AS$26,2,FALSE),A199)</f>
        <v>670016</v>
      </c>
      <c r="S199" s="773"/>
      <c r="T199" s="773"/>
      <c r="U199" s="774"/>
      <c r="V199" s="658" t="s">
        <v>446</v>
      </c>
      <c r="W199" s="658"/>
      <c r="X199" s="691">
        <f>HLOOKUP(VLOOKUP($AA$15,'Date SPV'!$B:$F,5,FALSE),'Preturi si tarife'!$C$2:$J$39,A199+2,FALSE)</f>
        <v>3.5000000000000001E-3</v>
      </c>
      <c r="Y199" s="692"/>
      <c r="Z199" s="692"/>
      <c r="AA199" s="693"/>
      <c r="AB199" s="690">
        <f t="shared" si="10"/>
        <v>2345.06</v>
      </c>
      <c r="AC199" s="690"/>
      <c r="AD199" s="690"/>
      <c r="AE199" s="690"/>
      <c r="AF199" s="690">
        <f t="shared" si="11"/>
        <v>445.56</v>
      </c>
      <c r="AG199" s="690"/>
      <c r="AH199" s="690"/>
      <c r="AI199" s="690"/>
      <c r="AJ199" s="690">
        <f t="shared" si="12"/>
        <v>2790.62</v>
      </c>
      <c r="AK199" s="690"/>
      <c r="AL199" s="690"/>
      <c r="AM199" s="690"/>
    </row>
    <row r="200" spans="1:39" ht="15.95" customHeight="1">
      <c r="A200" s="65">
        <f t="shared" si="13"/>
        <v>10</v>
      </c>
      <c r="B200" s="699" t="s">
        <v>78</v>
      </c>
      <c r="C200" s="700"/>
      <c r="D200" s="700"/>
      <c r="E200" s="700"/>
      <c r="F200" s="700"/>
      <c r="G200" s="700"/>
      <c r="H200" s="700"/>
      <c r="I200" s="700"/>
      <c r="J200" s="700"/>
      <c r="K200" s="701"/>
      <c r="L200" s="702">
        <f t="shared" si="14"/>
        <v>45778</v>
      </c>
      <c r="M200" s="702"/>
      <c r="N200" s="702"/>
      <c r="O200" s="702">
        <f t="shared" si="15"/>
        <v>45808</v>
      </c>
      <c r="P200" s="702"/>
      <c r="Q200" s="702"/>
      <c r="R200" s="772" cm="1">
        <f t="array" ref="R200">INDEX(verificare!$AT$4:$CC$26,VLOOKUP($AA$15,verificare!$AR$4:$AS$26,2,FALSE),A200)</f>
        <v>670016</v>
      </c>
      <c r="S200" s="773"/>
      <c r="T200" s="773"/>
      <c r="U200" s="774"/>
      <c r="V200" s="658" t="s">
        <v>446</v>
      </c>
      <c r="W200" s="658"/>
      <c r="X200" s="691">
        <f>HLOOKUP(VLOOKUP($AA$15,'Date SPV'!$B:$F,5,FALSE),'Preturi si tarife'!$C$2:$J$39,A200+2,FALSE)</f>
        <v>7.2541599999999998E-2</v>
      </c>
      <c r="Y200" s="692"/>
      <c r="Z200" s="692"/>
      <c r="AA200" s="693"/>
      <c r="AB200" s="690">
        <f t="shared" si="10"/>
        <v>48604.03</v>
      </c>
      <c r="AC200" s="690"/>
      <c r="AD200" s="690"/>
      <c r="AE200" s="690"/>
      <c r="AF200" s="690">
        <f t="shared" si="11"/>
        <v>9234.77</v>
      </c>
      <c r="AG200" s="690"/>
      <c r="AH200" s="690"/>
      <c r="AI200" s="690"/>
      <c r="AJ200" s="690">
        <f t="shared" si="12"/>
        <v>57838.8</v>
      </c>
      <c r="AK200" s="690"/>
      <c r="AL200" s="690"/>
      <c r="AM200" s="690"/>
    </row>
    <row r="201" spans="1:39" ht="15.95" customHeight="1">
      <c r="A201" s="65">
        <f t="shared" si="13"/>
        <v>11</v>
      </c>
      <c r="B201" s="699" t="s">
        <v>1313</v>
      </c>
      <c r="C201" s="700"/>
      <c r="D201" s="700"/>
      <c r="E201" s="700"/>
      <c r="F201" s="700"/>
      <c r="G201" s="700"/>
      <c r="H201" s="700"/>
      <c r="I201" s="700"/>
      <c r="J201" s="700"/>
      <c r="K201" s="701"/>
      <c r="L201" s="702">
        <f t="shared" si="14"/>
        <v>45778</v>
      </c>
      <c r="M201" s="702"/>
      <c r="N201" s="702"/>
      <c r="O201" s="702">
        <f t="shared" si="15"/>
        <v>45808</v>
      </c>
      <c r="P201" s="702"/>
      <c r="Q201" s="702"/>
      <c r="R201" s="772" cm="1">
        <f t="array" ref="R201">INDEX(verificare!$AT$4:$CC$26,VLOOKUP($AA$15,verificare!$AR$4:$AS$26,2,FALSE),A201)</f>
        <v>670016</v>
      </c>
      <c r="S201" s="773"/>
      <c r="T201" s="773"/>
      <c r="U201" s="774"/>
      <c r="V201" s="658" t="s">
        <v>446</v>
      </c>
      <c r="W201" s="658"/>
      <c r="X201" s="691">
        <f>HLOOKUP(VLOOKUP($AA$15,'Date SPV'!$B:$F,5,FALSE),'Preturi si tarife'!$C$2:$J$39,A201+2,FALSE)</f>
        <v>2.0599999999999999E-4</v>
      </c>
      <c r="Y201" s="692"/>
      <c r="Z201" s="692"/>
      <c r="AA201" s="693"/>
      <c r="AB201" s="690">
        <f t="shared" si="10"/>
        <v>138.02000000000001</v>
      </c>
      <c r="AC201" s="690"/>
      <c r="AD201" s="690"/>
      <c r="AE201" s="690"/>
      <c r="AF201" s="690">
        <f t="shared" si="11"/>
        <v>26.22</v>
      </c>
      <c r="AG201" s="690"/>
      <c r="AH201" s="690"/>
      <c r="AI201" s="690"/>
      <c r="AJ201" s="690">
        <f t="shared" si="12"/>
        <v>164.24</v>
      </c>
      <c r="AK201" s="690"/>
      <c r="AL201" s="690"/>
      <c r="AM201" s="690"/>
    </row>
    <row r="202" spans="1:39" ht="15.95" customHeight="1">
      <c r="A202" s="65">
        <f t="shared" si="13"/>
        <v>12</v>
      </c>
      <c r="B202" s="699" t="s">
        <v>79</v>
      </c>
      <c r="C202" s="700"/>
      <c r="D202" s="700"/>
      <c r="E202" s="700"/>
      <c r="F202" s="700"/>
      <c r="G202" s="700"/>
      <c r="H202" s="700"/>
      <c r="I202" s="700"/>
      <c r="J202" s="700"/>
      <c r="K202" s="701"/>
      <c r="L202" s="763">
        <f t="shared" si="14"/>
        <v>45778</v>
      </c>
      <c r="M202" s="764"/>
      <c r="N202" s="765"/>
      <c r="O202" s="763">
        <f t="shared" si="15"/>
        <v>45808</v>
      </c>
      <c r="P202" s="764"/>
      <c r="Q202" s="765"/>
      <c r="R202" s="772" cm="1">
        <f t="array" ref="R202">INDEX(verificare!$AT$4:$CC$26,VLOOKUP($AA$15,verificare!$AR$4:$AS$26,2,FALSE),A202)</f>
        <v>670016</v>
      </c>
      <c r="S202" s="773"/>
      <c r="T202" s="773"/>
      <c r="U202" s="774"/>
      <c r="V202" s="724" t="s">
        <v>446</v>
      </c>
      <c r="W202" s="725"/>
      <c r="X202" s="691">
        <f>HLOOKUP(VLOOKUP($AA$15,'Date SPV'!$B:$F,5,FALSE),'Preturi si tarife'!$C$2:$J$39,A202+2,FALSE)</f>
        <v>0</v>
      </c>
      <c r="Y202" s="692"/>
      <c r="Z202" s="692"/>
      <c r="AA202" s="693"/>
      <c r="AB202" s="772">
        <f t="shared" si="10"/>
        <v>0</v>
      </c>
      <c r="AC202" s="773"/>
      <c r="AD202" s="773"/>
      <c r="AE202" s="774"/>
      <c r="AF202" s="772">
        <f t="shared" si="11"/>
        <v>0</v>
      </c>
      <c r="AG202" s="773"/>
      <c r="AH202" s="773"/>
      <c r="AI202" s="774"/>
      <c r="AJ202" s="772">
        <f t="shared" si="12"/>
        <v>0</v>
      </c>
      <c r="AK202" s="773"/>
      <c r="AL202" s="773"/>
      <c r="AM202" s="774"/>
    </row>
    <row r="203" spans="1:39" ht="15.95" customHeight="1">
      <c r="A203" s="65">
        <f t="shared" si="13"/>
        <v>13</v>
      </c>
      <c r="B203" s="699" t="s">
        <v>80</v>
      </c>
      <c r="C203" s="700"/>
      <c r="D203" s="700"/>
      <c r="E203" s="700"/>
      <c r="F203" s="700"/>
      <c r="G203" s="700"/>
      <c r="H203" s="700"/>
      <c r="I203" s="700"/>
      <c r="J203" s="700"/>
      <c r="K203" s="701"/>
      <c r="L203" s="702">
        <f>L201</f>
        <v>45778</v>
      </c>
      <c r="M203" s="702"/>
      <c r="N203" s="702"/>
      <c r="O203" s="702">
        <f>O201</f>
        <v>45808</v>
      </c>
      <c r="P203" s="702"/>
      <c r="Q203" s="702"/>
      <c r="R203" s="772" cm="1">
        <f t="array" ref="R203">INDEX(verificare!$AT$4:$CC$26,VLOOKUP($AA$15,verificare!$AR$4:$AS$26,2,FALSE),A203)</f>
        <v>670016</v>
      </c>
      <c r="S203" s="773"/>
      <c r="T203" s="773"/>
      <c r="U203" s="774"/>
      <c r="V203" s="658" t="s">
        <v>446</v>
      </c>
      <c r="W203" s="658"/>
      <c r="X203" s="691">
        <f>HLOOKUP(VLOOKUP($AA$15,'Date SPV'!$B:$F,5,FALSE),'Preturi si tarife'!$C$2:$J$39,A203+2,FALSE)</f>
        <v>1.26E-2</v>
      </c>
      <c r="Y203" s="692"/>
      <c r="Z203" s="692"/>
      <c r="AA203" s="693"/>
      <c r="AB203" s="690">
        <f t="shared" si="10"/>
        <v>8442.2000000000007</v>
      </c>
      <c r="AC203" s="690"/>
      <c r="AD203" s="690"/>
      <c r="AE203" s="690"/>
      <c r="AF203" s="690">
        <f t="shared" si="11"/>
        <v>1604.02</v>
      </c>
      <c r="AG203" s="690"/>
      <c r="AH203" s="690"/>
      <c r="AI203" s="690"/>
      <c r="AJ203" s="690">
        <f t="shared" si="12"/>
        <v>10046.220000000001</v>
      </c>
      <c r="AK203" s="690"/>
      <c r="AL203" s="690"/>
      <c r="AM203" s="690"/>
    </row>
    <row r="204" spans="1:39" ht="15.95" customHeight="1">
      <c r="A204" s="65">
        <f t="shared" si="13"/>
        <v>14</v>
      </c>
      <c r="B204" s="699" t="s">
        <v>81</v>
      </c>
      <c r="C204" s="700"/>
      <c r="D204" s="700"/>
      <c r="E204" s="700"/>
      <c r="F204" s="700"/>
      <c r="G204" s="700"/>
      <c r="H204" s="700"/>
      <c r="I204" s="700"/>
      <c r="J204" s="700"/>
      <c r="K204" s="701"/>
      <c r="L204" s="702">
        <f>L203</f>
        <v>45778</v>
      </c>
      <c r="M204" s="702"/>
      <c r="N204" s="702"/>
      <c r="O204" s="702">
        <f>O203</f>
        <v>45808</v>
      </c>
      <c r="P204" s="702"/>
      <c r="Q204" s="702"/>
      <c r="R204" s="772" cm="1">
        <f t="array" ref="R204">INDEX(verificare!$AT$4:$CC$26,VLOOKUP($AA$15,verificare!$AR$4:$AS$26,2,FALSE),A204)</f>
        <v>670016</v>
      </c>
      <c r="S204" s="773"/>
      <c r="T204" s="773"/>
      <c r="U204" s="774"/>
      <c r="V204" s="658" t="s">
        <v>446</v>
      </c>
      <c r="W204" s="658"/>
      <c r="X204" s="691">
        <f>HLOOKUP(VLOOKUP($AA$15,'Date SPV'!$B:$F,5,FALSE),'Preturi si tarife'!$C$2:$J$39,A204+2,FALSE)</f>
        <v>9.2700000000000005E-2</v>
      </c>
      <c r="Y204" s="692"/>
      <c r="Z204" s="692"/>
      <c r="AA204" s="693"/>
      <c r="AB204" s="690">
        <f t="shared" si="10"/>
        <v>62110.48</v>
      </c>
      <c r="AC204" s="690"/>
      <c r="AD204" s="690"/>
      <c r="AE204" s="690"/>
      <c r="AF204" s="690">
        <f t="shared" si="11"/>
        <v>11800.99</v>
      </c>
      <c r="AG204" s="690"/>
      <c r="AH204" s="690"/>
      <c r="AI204" s="690"/>
      <c r="AJ204" s="690">
        <f t="shared" si="12"/>
        <v>73911.47</v>
      </c>
      <c r="AK204" s="690"/>
      <c r="AL204" s="690"/>
      <c r="AM204" s="690"/>
    </row>
    <row r="205" spans="1:39" ht="15.95" customHeight="1">
      <c r="A205" s="65">
        <f t="shared" si="13"/>
        <v>15</v>
      </c>
      <c r="B205" s="699" t="s">
        <v>82</v>
      </c>
      <c r="C205" s="700"/>
      <c r="D205" s="700"/>
      <c r="E205" s="700"/>
      <c r="F205" s="700"/>
      <c r="G205" s="700"/>
      <c r="H205" s="700"/>
      <c r="I205" s="700"/>
      <c r="J205" s="700"/>
      <c r="K205" s="701"/>
      <c r="L205" s="702">
        <f>L204</f>
        <v>45778</v>
      </c>
      <c r="M205" s="702"/>
      <c r="N205" s="702"/>
      <c r="O205" s="702">
        <f>O204</f>
        <v>45808</v>
      </c>
      <c r="P205" s="702"/>
      <c r="Q205" s="702"/>
      <c r="R205" s="690" cm="1">
        <f t="array" ref="R205">INDEX(verificare!$AT$4:$CC$26,VLOOKUP($AA$15,verificare!$AR$4:$AS$26,2,FALSE),A205)</f>
        <v>42472</v>
      </c>
      <c r="S205" s="690"/>
      <c r="T205" s="690"/>
      <c r="U205" s="690"/>
      <c r="V205" s="658" t="s">
        <v>446</v>
      </c>
      <c r="W205" s="658"/>
      <c r="X205" s="691">
        <f>HLOOKUP(VLOOKUP($AA$15,'Date SPV'!$B:$F,5,FALSE),'Preturi si tarife'!$C$2:$J$39,A205+2,FALSE)</f>
        <v>0.93920760000000003</v>
      </c>
      <c r="Y205" s="692"/>
      <c r="Z205" s="692"/>
      <c r="AA205" s="693"/>
      <c r="AB205" s="690">
        <f t="shared" si="10"/>
        <v>39890.03</v>
      </c>
      <c r="AC205" s="690"/>
      <c r="AD205" s="690"/>
      <c r="AE205" s="690"/>
      <c r="AF205" s="690">
        <f t="shared" si="11"/>
        <v>7579.11</v>
      </c>
      <c r="AG205" s="690"/>
      <c r="AH205" s="690"/>
      <c r="AI205" s="690"/>
      <c r="AJ205" s="690">
        <f t="shared" si="12"/>
        <v>47469.14</v>
      </c>
      <c r="AK205" s="690"/>
      <c r="AL205" s="690"/>
      <c r="AM205" s="690"/>
    </row>
    <row r="206" spans="1:39" ht="15.95" customHeight="1">
      <c r="A206" s="65">
        <f t="shared" si="13"/>
        <v>16</v>
      </c>
      <c r="B206" s="699" t="s">
        <v>83</v>
      </c>
      <c r="C206" s="700"/>
      <c r="D206" s="700"/>
      <c r="E206" s="700"/>
      <c r="F206" s="700"/>
      <c r="G206" s="700"/>
      <c r="H206" s="700"/>
      <c r="I206" s="700"/>
      <c r="J206" s="700"/>
      <c r="K206" s="701"/>
      <c r="L206" s="702">
        <f>L205</f>
        <v>45778</v>
      </c>
      <c r="M206" s="702"/>
      <c r="N206" s="702"/>
      <c r="O206" s="702">
        <f>O205</f>
        <v>45808</v>
      </c>
      <c r="P206" s="702"/>
      <c r="Q206" s="702"/>
      <c r="R206" s="690" cm="1">
        <f t="array" ref="R206">INDEX(verificare!$AT$4:$CC$26,VLOOKUP($AA$15,verificare!$AR$4:$AS$26,2,FALSE),A206)</f>
        <v>0</v>
      </c>
      <c r="S206" s="690"/>
      <c r="T206" s="690"/>
      <c r="U206" s="690"/>
      <c r="V206" s="658" t="s">
        <v>446</v>
      </c>
      <c r="W206" s="658"/>
      <c r="X206" s="691">
        <f>HLOOKUP(VLOOKUP($AA$15,'Date SPV'!$B:$F,5,FALSE),'Preturi si tarife'!$C$2:$J$39,A206+2,FALSE)</f>
        <v>0.83390760000000008</v>
      </c>
      <c r="Y206" s="692"/>
      <c r="Z206" s="692"/>
      <c r="AA206" s="693"/>
      <c r="AB206" s="690">
        <f t="shared" si="10"/>
        <v>0</v>
      </c>
      <c r="AC206" s="690"/>
      <c r="AD206" s="690"/>
      <c r="AE206" s="690"/>
      <c r="AF206" s="690">
        <f t="shared" si="11"/>
        <v>0</v>
      </c>
      <c r="AG206" s="690"/>
      <c r="AH206" s="690"/>
      <c r="AI206" s="690"/>
      <c r="AJ206" s="690">
        <f t="shared" si="12"/>
        <v>0</v>
      </c>
      <c r="AK206" s="690"/>
      <c r="AL206" s="690"/>
      <c r="AM206" s="690"/>
    </row>
    <row r="207" spans="1:39" ht="15.95" customHeight="1">
      <c r="A207" s="65">
        <f t="shared" si="13"/>
        <v>17</v>
      </c>
      <c r="B207" s="699" t="s">
        <v>1129</v>
      </c>
      <c r="C207" s="700"/>
      <c r="D207" s="700"/>
      <c r="E207" s="700"/>
      <c r="F207" s="700"/>
      <c r="G207" s="700"/>
      <c r="H207" s="700"/>
      <c r="I207" s="700"/>
      <c r="J207" s="700"/>
      <c r="K207" s="701"/>
      <c r="L207" s="702">
        <f>L206</f>
        <v>45778</v>
      </c>
      <c r="M207" s="702"/>
      <c r="N207" s="702"/>
      <c r="O207" s="702">
        <f>O206</f>
        <v>45808</v>
      </c>
      <c r="P207" s="702"/>
      <c r="Q207" s="702"/>
      <c r="R207" s="690" cm="1">
        <f t="array" ref="R207">INDEX(verificare!$AT$4:$CC$26,VLOOKUP($AA$15,verificare!$AR$4:$AS$26,2,FALSE),A207)</f>
        <v>0</v>
      </c>
      <c r="S207" s="690"/>
      <c r="T207" s="690"/>
      <c r="U207" s="690"/>
      <c r="V207" s="658" t="s">
        <v>446</v>
      </c>
      <c r="W207" s="658"/>
      <c r="X207" s="691">
        <f>HLOOKUP(VLOOKUP($AA$15,'Date SPV'!$B:$F,5,FALSE),'Preturi si tarife'!$C$2:$J$39,A207+2,FALSE)</f>
        <v>1.26E-2</v>
      </c>
      <c r="Y207" s="692"/>
      <c r="Z207" s="692"/>
      <c r="AA207" s="693"/>
      <c r="AB207" s="690">
        <f t="shared" si="10"/>
        <v>0</v>
      </c>
      <c r="AC207" s="690"/>
      <c r="AD207" s="690"/>
      <c r="AE207" s="690"/>
      <c r="AF207" s="690">
        <f t="shared" si="11"/>
        <v>0</v>
      </c>
      <c r="AG207" s="690"/>
      <c r="AH207" s="690"/>
      <c r="AI207" s="690"/>
      <c r="AJ207" s="690">
        <f t="shared" si="12"/>
        <v>0</v>
      </c>
      <c r="AK207" s="690"/>
      <c r="AL207" s="690"/>
      <c r="AM207" s="690"/>
    </row>
    <row r="208" spans="1:39" ht="15.95" customHeight="1">
      <c r="A208" s="65">
        <f t="shared" si="13"/>
        <v>18</v>
      </c>
      <c r="B208" s="699" t="s">
        <v>1130</v>
      </c>
      <c r="C208" s="700"/>
      <c r="D208" s="700"/>
      <c r="E208" s="700"/>
      <c r="F208" s="700"/>
      <c r="G208" s="700"/>
      <c r="H208" s="700"/>
      <c r="I208" s="700"/>
      <c r="J208" s="700"/>
      <c r="K208" s="701"/>
      <c r="L208" s="702">
        <f>L207</f>
        <v>45778</v>
      </c>
      <c r="M208" s="702"/>
      <c r="N208" s="702"/>
      <c r="O208" s="702">
        <f>O207</f>
        <v>45808</v>
      </c>
      <c r="P208" s="702"/>
      <c r="Q208" s="702"/>
      <c r="R208" s="690" cm="1">
        <f t="array" ref="R208">INDEX(verificare!$AT$4:$CC$26,VLOOKUP($AA$15,verificare!$AR$4:$AS$26,2,FALSE),A208)</f>
        <v>0</v>
      </c>
      <c r="S208" s="690"/>
      <c r="T208" s="690"/>
      <c r="U208" s="690"/>
      <c r="V208" s="658" t="s">
        <v>446</v>
      </c>
      <c r="W208" s="658"/>
      <c r="X208" s="691">
        <f>HLOOKUP(VLOOKUP($AA$15,'Date SPV'!$B:$F,5,FALSE),'Preturi si tarife'!$C$2:$J$39,A208+2,FALSE)</f>
        <v>9.2700000000000005E-2</v>
      </c>
      <c r="Y208" s="692"/>
      <c r="Z208" s="692"/>
      <c r="AA208" s="693"/>
      <c r="AB208" s="690">
        <f t="shared" si="10"/>
        <v>0</v>
      </c>
      <c r="AC208" s="690"/>
      <c r="AD208" s="690"/>
      <c r="AE208" s="690"/>
      <c r="AF208" s="690">
        <f t="shared" si="11"/>
        <v>0</v>
      </c>
      <c r="AG208" s="690"/>
      <c r="AH208" s="690"/>
      <c r="AI208" s="690"/>
      <c r="AJ208" s="690">
        <f t="shared" si="12"/>
        <v>0</v>
      </c>
      <c r="AK208" s="690"/>
      <c r="AL208" s="690"/>
      <c r="AM208" s="690"/>
    </row>
    <row r="209" spans="1:39" ht="15.95" customHeight="1">
      <c r="A209" s="65">
        <f t="shared" si="13"/>
        <v>19</v>
      </c>
      <c r="B209" s="699" t="s">
        <v>99</v>
      </c>
      <c r="C209" s="700"/>
      <c r="D209" s="700"/>
      <c r="E209" s="700"/>
      <c r="F209" s="700"/>
      <c r="G209" s="700"/>
      <c r="H209" s="700"/>
      <c r="I209" s="700"/>
      <c r="J209" s="700"/>
      <c r="K209" s="701"/>
      <c r="L209" s="702">
        <f>'Date masura OD'!$W$5</f>
        <v>45748</v>
      </c>
      <c r="M209" s="702"/>
      <c r="N209" s="702"/>
      <c r="O209" s="702">
        <f>'Date masura OD'!$X$5</f>
        <v>45777</v>
      </c>
      <c r="P209" s="702"/>
      <c r="Q209" s="702"/>
      <c r="R209" s="690" cm="1">
        <f t="array" ref="R209">INDEX(verificare!$AT$4:$CC$26,VLOOKUP($AA$15,verificare!$AR$4:$AS$26,2,FALSE),A209)</f>
        <v>0</v>
      </c>
      <c r="S209" s="690"/>
      <c r="T209" s="690"/>
      <c r="U209" s="690"/>
      <c r="V209" s="658" t="s">
        <v>446</v>
      </c>
      <c r="W209" s="658"/>
      <c r="X209" s="691">
        <f>HLOOKUP(VLOOKUP($AA$15,'Date SPV'!$B:$F,5,FALSE),'Preturi si tarife'!$C$2:$J$39,A209+2,FALSE)</f>
        <v>0.59499999999999997</v>
      </c>
      <c r="Y209" s="692"/>
      <c r="Z209" s="692"/>
      <c r="AA209" s="693"/>
      <c r="AB209" s="690">
        <f t="shared" si="10"/>
        <v>0</v>
      </c>
      <c r="AC209" s="690"/>
      <c r="AD209" s="690"/>
      <c r="AE209" s="690"/>
      <c r="AF209" s="690">
        <f t="shared" si="11"/>
        <v>0</v>
      </c>
      <c r="AG209" s="690"/>
      <c r="AH209" s="690"/>
      <c r="AI209" s="690"/>
      <c r="AJ209" s="690">
        <f t="shared" si="12"/>
        <v>0</v>
      </c>
      <c r="AK209" s="690"/>
      <c r="AL209" s="690"/>
      <c r="AM209" s="690"/>
    </row>
    <row r="210" spans="1:39" ht="15.95" customHeight="1">
      <c r="A210" s="65">
        <f t="shared" si="13"/>
        <v>20</v>
      </c>
      <c r="B210" s="699" t="s">
        <v>100</v>
      </c>
      <c r="C210" s="700"/>
      <c r="D210" s="700"/>
      <c r="E210" s="700"/>
      <c r="F210" s="700"/>
      <c r="G210" s="700"/>
      <c r="H210" s="700"/>
      <c r="I210" s="700"/>
      <c r="J210" s="700"/>
      <c r="K210" s="701"/>
      <c r="L210" s="702">
        <f>L209</f>
        <v>45748</v>
      </c>
      <c r="M210" s="702"/>
      <c r="N210" s="702"/>
      <c r="O210" s="702">
        <f t="shared" ref="O210:O218" si="16">O209</f>
        <v>45777</v>
      </c>
      <c r="P210" s="702"/>
      <c r="Q210" s="702"/>
      <c r="R210" s="690" cm="1">
        <f t="array" ref="R210">INDEX(verificare!$AT$4:$CC$26,VLOOKUP($AA$15,verificare!$AR$4:$AS$26,2,FALSE),A210)</f>
        <v>0</v>
      </c>
      <c r="S210" s="690"/>
      <c r="T210" s="690"/>
      <c r="U210" s="690"/>
      <c r="V210" s="658" t="s">
        <v>727</v>
      </c>
      <c r="W210" s="658"/>
      <c r="X210" s="691">
        <f>HLOOKUP(VLOOKUP($AA$15,'Date SPV'!$B:$F,5,FALSE),'Preturi si tarife'!$C$2:$J$39,A210+2,FALSE)</f>
        <v>0.14649999999999999</v>
      </c>
      <c r="Y210" s="692"/>
      <c r="Z210" s="692"/>
      <c r="AA210" s="693"/>
      <c r="AB210" s="690">
        <f t="shared" si="10"/>
        <v>0</v>
      </c>
      <c r="AC210" s="690"/>
      <c r="AD210" s="690"/>
      <c r="AE210" s="690"/>
      <c r="AF210" s="690">
        <f t="shared" si="11"/>
        <v>0</v>
      </c>
      <c r="AG210" s="690"/>
      <c r="AH210" s="690"/>
      <c r="AI210" s="690"/>
      <c r="AJ210" s="690">
        <f t="shared" si="12"/>
        <v>0</v>
      </c>
      <c r="AK210" s="690"/>
      <c r="AL210" s="690"/>
      <c r="AM210" s="690"/>
    </row>
    <row r="211" spans="1:39" ht="30.95" customHeight="1">
      <c r="A211" s="65">
        <f t="shared" si="13"/>
        <v>21</v>
      </c>
      <c r="B211" s="699" t="s">
        <v>101</v>
      </c>
      <c r="C211" s="700"/>
      <c r="D211" s="700"/>
      <c r="E211" s="700"/>
      <c r="F211" s="700"/>
      <c r="G211" s="700"/>
      <c r="H211" s="700"/>
      <c r="I211" s="700"/>
      <c r="J211" s="700"/>
      <c r="K211" s="701"/>
      <c r="L211" s="702">
        <f t="shared" ref="L211:L218" si="17">L210</f>
        <v>45748</v>
      </c>
      <c r="M211" s="702"/>
      <c r="N211" s="702"/>
      <c r="O211" s="702">
        <f t="shared" si="16"/>
        <v>45777</v>
      </c>
      <c r="P211" s="702"/>
      <c r="Q211" s="702"/>
      <c r="R211" s="690" cm="1">
        <f t="array" ref="R211">INDEX(verificare!$AT$4:$CC$26,VLOOKUP($AA$15,verificare!$AR$4:$AS$26,2,FALSE),A211)</f>
        <v>0</v>
      </c>
      <c r="S211" s="690"/>
      <c r="T211" s="690"/>
      <c r="U211" s="690"/>
      <c r="V211" s="658" t="s">
        <v>727</v>
      </c>
      <c r="W211" s="658"/>
      <c r="X211" s="691">
        <f>HLOOKUP(VLOOKUP($AA$15,'Date SPV'!$B:$F,5,FALSE),'Preturi si tarife'!$C$2:$J$39,A211+2,FALSE)</f>
        <v>0.4395</v>
      </c>
      <c r="Y211" s="692"/>
      <c r="Z211" s="692"/>
      <c r="AA211" s="693"/>
      <c r="AB211" s="690">
        <f t="shared" si="10"/>
        <v>0</v>
      </c>
      <c r="AC211" s="690"/>
      <c r="AD211" s="690"/>
      <c r="AE211" s="690"/>
      <c r="AF211" s="690">
        <f t="shared" si="11"/>
        <v>0</v>
      </c>
      <c r="AG211" s="690"/>
      <c r="AH211" s="690"/>
      <c r="AI211" s="690"/>
      <c r="AJ211" s="690">
        <f t="shared" si="12"/>
        <v>0</v>
      </c>
      <c r="AK211" s="690"/>
      <c r="AL211" s="690"/>
      <c r="AM211" s="690"/>
    </row>
    <row r="212" spans="1:39" ht="15.95" customHeight="1">
      <c r="A212" s="65">
        <f t="shared" si="13"/>
        <v>22</v>
      </c>
      <c r="B212" s="699" t="s">
        <v>869</v>
      </c>
      <c r="C212" s="700"/>
      <c r="D212" s="700"/>
      <c r="E212" s="700"/>
      <c r="F212" s="700"/>
      <c r="G212" s="700"/>
      <c r="H212" s="700"/>
      <c r="I212" s="700"/>
      <c r="J212" s="700"/>
      <c r="K212" s="701"/>
      <c r="L212" s="702">
        <f t="shared" si="17"/>
        <v>45748</v>
      </c>
      <c r="M212" s="702"/>
      <c r="N212" s="702"/>
      <c r="O212" s="702">
        <f t="shared" si="16"/>
        <v>45777</v>
      </c>
      <c r="P212" s="702"/>
      <c r="Q212" s="702"/>
      <c r="R212" s="690" cm="1">
        <f t="array" ref="R212">INDEX(verificare!$AT$4:$CC$26,VLOOKUP($AA$15,verificare!$AR$4:$AS$26,2,FALSE),A212)</f>
        <v>0</v>
      </c>
      <c r="S212" s="690"/>
      <c r="T212" s="690"/>
      <c r="U212" s="690"/>
      <c r="V212" s="658" t="s">
        <v>446</v>
      </c>
      <c r="W212" s="658"/>
      <c r="X212" s="691">
        <f>HLOOKUP(VLOOKUP($AA$15,'Date SPV'!$B:$F,5,FALSE),'Preturi si tarife'!$C$2:$J$39,A212+2,FALSE)</f>
        <v>0.11483</v>
      </c>
      <c r="Y212" s="692"/>
      <c r="Z212" s="692"/>
      <c r="AA212" s="693"/>
      <c r="AB212" s="690">
        <f t="shared" si="10"/>
        <v>0</v>
      </c>
      <c r="AC212" s="690"/>
      <c r="AD212" s="690"/>
      <c r="AE212" s="690"/>
      <c r="AF212" s="690">
        <f t="shared" si="11"/>
        <v>0</v>
      </c>
      <c r="AG212" s="690"/>
      <c r="AH212" s="690"/>
      <c r="AI212" s="690"/>
      <c r="AJ212" s="690">
        <f t="shared" si="12"/>
        <v>0</v>
      </c>
      <c r="AK212" s="690"/>
      <c r="AL212" s="690"/>
      <c r="AM212" s="690"/>
    </row>
    <row r="213" spans="1:39" ht="15.95" customHeight="1">
      <c r="A213" s="65">
        <f t="shared" si="13"/>
        <v>23</v>
      </c>
      <c r="B213" s="699" t="s">
        <v>758</v>
      </c>
      <c r="C213" s="700"/>
      <c r="D213" s="700"/>
      <c r="E213" s="700"/>
      <c r="F213" s="700"/>
      <c r="G213" s="700"/>
      <c r="H213" s="700"/>
      <c r="I213" s="700"/>
      <c r="J213" s="700"/>
      <c r="K213" s="701"/>
      <c r="L213" s="702">
        <f t="shared" si="17"/>
        <v>45748</v>
      </c>
      <c r="M213" s="702"/>
      <c r="N213" s="702"/>
      <c r="O213" s="702">
        <f t="shared" si="16"/>
        <v>45777</v>
      </c>
      <c r="P213" s="702"/>
      <c r="Q213" s="702"/>
      <c r="R213" s="690" cm="1">
        <f t="array" ref="R213">INDEX(verificare!$AT$4:$CC$26,VLOOKUP($AA$15,verificare!$AR$4:$AS$26,2,FALSE),A213)</f>
        <v>0</v>
      </c>
      <c r="S213" s="690"/>
      <c r="T213" s="690"/>
      <c r="U213" s="690"/>
      <c r="V213" s="658" t="s">
        <v>446</v>
      </c>
      <c r="W213" s="658"/>
      <c r="X213" s="691">
        <f>HLOOKUP(VLOOKUP($AA$15,'Date SPV'!$B:$F,5,FALSE),'Preturi si tarife'!$C$2:$J$39,A213+2,FALSE)</f>
        <v>0.2361</v>
      </c>
      <c r="Y213" s="692"/>
      <c r="Z213" s="692"/>
      <c r="AA213" s="693"/>
      <c r="AB213" s="690">
        <f t="shared" si="10"/>
        <v>0</v>
      </c>
      <c r="AC213" s="690"/>
      <c r="AD213" s="690"/>
      <c r="AE213" s="690"/>
      <c r="AF213" s="690">
        <f t="shared" si="11"/>
        <v>0</v>
      </c>
      <c r="AG213" s="690"/>
      <c r="AH213" s="690"/>
      <c r="AI213" s="690"/>
      <c r="AJ213" s="690">
        <f t="shared" si="12"/>
        <v>0</v>
      </c>
      <c r="AK213" s="690"/>
      <c r="AL213" s="690"/>
      <c r="AM213" s="690"/>
    </row>
    <row r="214" spans="1:39" ht="30.95" customHeight="1">
      <c r="A214" s="65">
        <f t="shared" si="13"/>
        <v>24</v>
      </c>
      <c r="B214" s="699" t="s">
        <v>102</v>
      </c>
      <c r="C214" s="700"/>
      <c r="D214" s="700"/>
      <c r="E214" s="700"/>
      <c r="F214" s="700"/>
      <c r="G214" s="700"/>
      <c r="H214" s="700"/>
      <c r="I214" s="700"/>
      <c r="J214" s="700"/>
      <c r="K214" s="701"/>
      <c r="L214" s="702">
        <f t="shared" si="17"/>
        <v>45748</v>
      </c>
      <c r="M214" s="702"/>
      <c r="N214" s="702"/>
      <c r="O214" s="702">
        <f t="shared" si="16"/>
        <v>45777</v>
      </c>
      <c r="P214" s="702"/>
      <c r="Q214" s="702"/>
      <c r="R214" s="690" cm="1">
        <f t="array" ref="R214">INDEX(verificare!$AT$4:$CC$26,VLOOKUP($AA$15,verificare!$AR$4:$AS$26,2,FALSE),A214)</f>
        <v>0</v>
      </c>
      <c r="S214" s="690"/>
      <c r="T214" s="690"/>
      <c r="U214" s="690"/>
      <c r="V214" s="658" t="s">
        <v>446</v>
      </c>
      <c r="W214" s="658"/>
      <c r="X214" s="691">
        <f>HLOOKUP(VLOOKUP($AA$15,'Date SPV'!$B:$F,5,FALSE),'Preturi si tarife'!$C$2:$J$39,A214+2,FALSE)</f>
        <v>1.1509999999999999E-2</v>
      </c>
      <c r="Y214" s="692"/>
      <c r="Z214" s="692"/>
      <c r="AA214" s="693"/>
      <c r="AB214" s="690">
        <f t="shared" si="10"/>
        <v>0</v>
      </c>
      <c r="AC214" s="690"/>
      <c r="AD214" s="690"/>
      <c r="AE214" s="690"/>
      <c r="AF214" s="690">
        <f t="shared" si="11"/>
        <v>0</v>
      </c>
      <c r="AG214" s="690"/>
      <c r="AH214" s="690"/>
      <c r="AI214" s="690"/>
      <c r="AJ214" s="690">
        <f t="shared" si="12"/>
        <v>0</v>
      </c>
      <c r="AK214" s="690"/>
      <c r="AL214" s="690"/>
      <c r="AM214" s="690"/>
    </row>
    <row r="215" spans="1:39" ht="30.95" customHeight="1">
      <c r="A215" s="65">
        <f t="shared" si="13"/>
        <v>25</v>
      </c>
      <c r="B215" s="699" t="s">
        <v>103</v>
      </c>
      <c r="C215" s="700"/>
      <c r="D215" s="700"/>
      <c r="E215" s="700"/>
      <c r="F215" s="700"/>
      <c r="G215" s="700"/>
      <c r="H215" s="700"/>
      <c r="I215" s="700"/>
      <c r="J215" s="700"/>
      <c r="K215" s="701"/>
      <c r="L215" s="702">
        <f t="shared" si="17"/>
        <v>45748</v>
      </c>
      <c r="M215" s="702"/>
      <c r="N215" s="702"/>
      <c r="O215" s="702">
        <f t="shared" si="16"/>
        <v>45777</v>
      </c>
      <c r="P215" s="702"/>
      <c r="Q215" s="702"/>
      <c r="R215" s="690" cm="1">
        <f t="array" ref="R215">INDEX(verificare!$AT$4:$CC$26,VLOOKUP($AA$15,verificare!$AR$4:$AS$26,2,FALSE),A215)</f>
        <v>0</v>
      </c>
      <c r="S215" s="690"/>
      <c r="T215" s="690"/>
      <c r="U215" s="690"/>
      <c r="V215" s="658" t="s">
        <v>446</v>
      </c>
      <c r="W215" s="658"/>
      <c r="X215" s="691">
        <f>HLOOKUP(VLOOKUP($AA$15,'Date SPV'!$B:$F,5,FALSE),'Preturi si tarife'!$C$2:$J$39,A215+2,FALSE)</f>
        <v>3.3030000000000004E-2</v>
      </c>
      <c r="Y215" s="692"/>
      <c r="Z215" s="692"/>
      <c r="AA215" s="693"/>
      <c r="AB215" s="690">
        <f t="shared" si="10"/>
        <v>0</v>
      </c>
      <c r="AC215" s="690"/>
      <c r="AD215" s="690"/>
      <c r="AE215" s="690"/>
      <c r="AF215" s="690">
        <f t="shared" si="11"/>
        <v>0</v>
      </c>
      <c r="AG215" s="690"/>
      <c r="AH215" s="690"/>
      <c r="AI215" s="690"/>
      <c r="AJ215" s="690">
        <f t="shared" si="12"/>
        <v>0</v>
      </c>
      <c r="AK215" s="690"/>
      <c r="AL215" s="690"/>
      <c r="AM215" s="690"/>
    </row>
    <row r="216" spans="1:39" ht="30.95" customHeight="1">
      <c r="A216" s="65">
        <f t="shared" si="13"/>
        <v>26</v>
      </c>
      <c r="B216" s="699" t="s">
        <v>104</v>
      </c>
      <c r="C216" s="700"/>
      <c r="D216" s="700"/>
      <c r="E216" s="700"/>
      <c r="F216" s="700"/>
      <c r="G216" s="700"/>
      <c r="H216" s="700"/>
      <c r="I216" s="700"/>
      <c r="J216" s="700"/>
      <c r="K216" s="701"/>
      <c r="L216" s="702">
        <f t="shared" si="17"/>
        <v>45748</v>
      </c>
      <c r="M216" s="702"/>
      <c r="N216" s="702"/>
      <c r="O216" s="702">
        <f t="shared" si="16"/>
        <v>45777</v>
      </c>
      <c r="P216" s="702"/>
      <c r="Q216" s="702"/>
      <c r="R216" s="690" cm="1">
        <f t="array" ref="R216">INDEX(verificare!$AT$4:$CC$26,VLOOKUP($AA$15,verificare!$AR$4:$AS$26,2,FALSE),A216)</f>
        <v>0</v>
      </c>
      <c r="S216" s="690"/>
      <c r="T216" s="690"/>
      <c r="U216" s="690"/>
      <c r="V216" s="658" t="s">
        <v>446</v>
      </c>
      <c r="W216" s="658"/>
      <c r="X216" s="691">
        <f>HLOOKUP(VLOOKUP($AA$15,'Date SPV'!$B:$F,5,FALSE),'Preturi si tarife'!$C$2:$J$39,A216+2,FALSE)</f>
        <v>3.29E-3</v>
      </c>
      <c r="Y216" s="692"/>
      <c r="Z216" s="692"/>
      <c r="AA216" s="693"/>
      <c r="AB216" s="690">
        <f t="shared" si="10"/>
        <v>0</v>
      </c>
      <c r="AC216" s="690"/>
      <c r="AD216" s="690"/>
      <c r="AE216" s="690"/>
      <c r="AF216" s="690">
        <f t="shared" si="11"/>
        <v>0</v>
      </c>
      <c r="AG216" s="690"/>
      <c r="AH216" s="690"/>
      <c r="AI216" s="690"/>
      <c r="AJ216" s="690">
        <f t="shared" si="12"/>
        <v>0</v>
      </c>
      <c r="AK216" s="690"/>
      <c r="AL216" s="690"/>
      <c r="AM216" s="690"/>
    </row>
    <row r="217" spans="1:39" ht="15.95" customHeight="1">
      <c r="A217" s="65">
        <f t="shared" si="13"/>
        <v>27</v>
      </c>
      <c r="B217" s="699" t="s">
        <v>105</v>
      </c>
      <c r="C217" s="700"/>
      <c r="D217" s="700"/>
      <c r="E217" s="700"/>
      <c r="F217" s="700"/>
      <c r="G217" s="700"/>
      <c r="H217" s="700"/>
      <c r="I217" s="700"/>
      <c r="J217" s="700"/>
      <c r="K217" s="701"/>
      <c r="L217" s="702">
        <f t="shared" si="17"/>
        <v>45748</v>
      </c>
      <c r="M217" s="702"/>
      <c r="N217" s="702"/>
      <c r="O217" s="702">
        <f t="shared" si="16"/>
        <v>45777</v>
      </c>
      <c r="P217" s="702"/>
      <c r="Q217" s="702"/>
      <c r="R217" s="690" cm="1">
        <f t="array" ref="R217">INDEX(verificare!$AT$4:$CC$26,VLOOKUP($AA$15,verificare!$AR$4:$AS$26,2,FALSE),A217)</f>
        <v>0</v>
      </c>
      <c r="S217" s="690"/>
      <c r="T217" s="690"/>
      <c r="U217" s="690"/>
      <c r="V217" s="658" t="s">
        <v>446</v>
      </c>
      <c r="W217" s="658"/>
      <c r="X217" s="691">
        <f>HLOOKUP(VLOOKUP($AA$15,'Date SPV'!$B:$F,5,FALSE),'Preturi si tarife'!$C$2:$J$39,A217+2,FALSE)</f>
        <v>3.5000000000000001E-3</v>
      </c>
      <c r="Y217" s="692"/>
      <c r="Z217" s="692"/>
      <c r="AA217" s="693"/>
      <c r="AB217" s="690">
        <f t="shared" si="10"/>
        <v>0</v>
      </c>
      <c r="AC217" s="690"/>
      <c r="AD217" s="690"/>
      <c r="AE217" s="690"/>
      <c r="AF217" s="690">
        <f t="shared" si="11"/>
        <v>0</v>
      </c>
      <c r="AG217" s="690"/>
      <c r="AH217" s="690"/>
      <c r="AI217" s="690"/>
      <c r="AJ217" s="690">
        <f t="shared" si="12"/>
        <v>0</v>
      </c>
      <c r="AK217" s="690"/>
      <c r="AL217" s="690"/>
      <c r="AM217" s="690"/>
    </row>
    <row r="218" spans="1:39" ht="15.95" customHeight="1">
      <c r="A218" s="65">
        <f t="shared" si="13"/>
        <v>28</v>
      </c>
      <c r="B218" s="699" t="s">
        <v>106</v>
      </c>
      <c r="C218" s="700"/>
      <c r="D218" s="700"/>
      <c r="E218" s="700"/>
      <c r="F218" s="700"/>
      <c r="G218" s="700"/>
      <c r="H218" s="700"/>
      <c r="I218" s="700"/>
      <c r="J218" s="700"/>
      <c r="K218" s="701"/>
      <c r="L218" s="702">
        <f t="shared" si="17"/>
        <v>45748</v>
      </c>
      <c r="M218" s="702"/>
      <c r="N218" s="702"/>
      <c r="O218" s="702">
        <f t="shared" si="16"/>
        <v>45777</v>
      </c>
      <c r="P218" s="702"/>
      <c r="Q218" s="702"/>
      <c r="R218" s="690" cm="1">
        <f t="array" ref="R218">INDEX(verificare!$AT$4:$CC$26,VLOOKUP($AA$15,verificare!$AR$4:$AS$26,2,FALSE),A218)</f>
        <v>0</v>
      </c>
      <c r="S218" s="690"/>
      <c r="T218" s="690"/>
      <c r="U218" s="690"/>
      <c r="V218" s="658" t="s">
        <v>446</v>
      </c>
      <c r="W218" s="658"/>
      <c r="X218" s="691">
        <f>HLOOKUP(VLOOKUP($AA$15,'Date SPV'!$B:$F,5,FALSE),'Preturi si tarife'!$C$2:$J$39,A218+2,FALSE)</f>
        <v>7.2541599999999998E-2</v>
      </c>
      <c r="Y218" s="692"/>
      <c r="Z218" s="692"/>
      <c r="AA218" s="693"/>
      <c r="AB218" s="690">
        <f t="shared" si="10"/>
        <v>0</v>
      </c>
      <c r="AC218" s="690"/>
      <c r="AD218" s="690"/>
      <c r="AE218" s="690"/>
      <c r="AF218" s="690">
        <f t="shared" si="11"/>
        <v>0</v>
      </c>
      <c r="AG218" s="690"/>
      <c r="AH218" s="690"/>
      <c r="AI218" s="690"/>
      <c r="AJ218" s="690">
        <f t="shared" si="12"/>
        <v>0</v>
      </c>
      <c r="AK218" s="690"/>
      <c r="AL218" s="690"/>
      <c r="AM218" s="690"/>
    </row>
    <row r="219" spans="1:39" ht="30.95" customHeight="1">
      <c r="A219" s="65">
        <f t="shared" si="13"/>
        <v>29</v>
      </c>
      <c r="B219" s="699" t="s">
        <v>1316</v>
      </c>
      <c r="C219" s="700"/>
      <c r="D219" s="700"/>
      <c r="E219" s="700"/>
      <c r="F219" s="700"/>
      <c r="G219" s="700"/>
      <c r="H219" s="700"/>
      <c r="I219" s="700"/>
      <c r="J219" s="700"/>
      <c r="K219" s="701"/>
      <c r="L219" s="763">
        <f>L221</f>
        <v>45748</v>
      </c>
      <c r="M219" s="764"/>
      <c r="N219" s="765"/>
      <c r="O219" s="763">
        <f>O221</f>
        <v>45777</v>
      </c>
      <c r="P219" s="764"/>
      <c r="Q219" s="765"/>
      <c r="R219" s="690" cm="1">
        <f t="array" ref="R219">INDEX(verificare!$AT$4:$CC$26,VLOOKUP($AA$15,verificare!$AR$4:$AS$26,2,FALSE),A219)</f>
        <v>0</v>
      </c>
      <c r="S219" s="690"/>
      <c r="T219" s="690"/>
      <c r="U219" s="690"/>
      <c r="V219" s="724" t="s">
        <v>446</v>
      </c>
      <c r="W219" s="725"/>
      <c r="X219" s="691">
        <f>HLOOKUP(VLOOKUP($AA$15,'Date SPV'!$B:$F,5,FALSE),'Preturi si tarife'!$C$2:$J$39,A219+2,FALSE)</f>
        <v>2.0599999999999999E-4</v>
      </c>
      <c r="Y219" s="692"/>
      <c r="Z219" s="692"/>
      <c r="AA219" s="693"/>
      <c r="AB219" s="772">
        <f>ROUND(X219*R219,2)</f>
        <v>0</v>
      </c>
      <c r="AC219" s="773"/>
      <c r="AD219" s="773"/>
      <c r="AE219" s="774"/>
      <c r="AF219" s="772">
        <f>ROUND(AB219*19%,2)</f>
        <v>0</v>
      </c>
      <c r="AG219" s="773"/>
      <c r="AH219" s="773"/>
      <c r="AI219" s="774"/>
      <c r="AJ219" s="772">
        <f>AB219+AF219</f>
        <v>0</v>
      </c>
      <c r="AK219" s="773"/>
      <c r="AL219" s="773"/>
      <c r="AM219" s="774"/>
    </row>
    <row r="220" spans="1:39" ht="30.95" customHeight="1">
      <c r="A220" s="65">
        <f t="shared" si="13"/>
        <v>30</v>
      </c>
      <c r="B220" s="699" t="s">
        <v>107</v>
      </c>
      <c r="C220" s="700"/>
      <c r="D220" s="700"/>
      <c r="E220" s="700"/>
      <c r="F220" s="700"/>
      <c r="G220" s="700"/>
      <c r="H220" s="700"/>
      <c r="I220" s="700"/>
      <c r="J220" s="700"/>
      <c r="K220" s="701"/>
      <c r="L220" s="702">
        <f>L218</f>
        <v>45748</v>
      </c>
      <c r="M220" s="702"/>
      <c r="N220" s="702"/>
      <c r="O220" s="702">
        <f>O218</f>
        <v>45777</v>
      </c>
      <c r="P220" s="702"/>
      <c r="Q220" s="702"/>
      <c r="R220" s="690" cm="1">
        <f t="array" ref="R220">INDEX(verificare!$AT$4:$CC$26,VLOOKUP($AA$15,verificare!$AR$4:$AS$26,2,FALSE),A220)</f>
        <v>0</v>
      </c>
      <c r="S220" s="690"/>
      <c r="T220" s="690"/>
      <c r="U220" s="690"/>
      <c r="V220" s="658" t="s">
        <v>446</v>
      </c>
      <c r="W220" s="658"/>
      <c r="X220" s="691">
        <f>HLOOKUP(VLOOKUP($AA$15,'Date SPV'!$B:$F,5,FALSE),'Preturi si tarife'!$C$2:$J$39,A220+2,FALSE)</f>
        <v>0</v>
      </c>
      <c r="Y220" s="692"/>
      <c r="Z220" s="692"/>
      <c r="AA220" s="693"/>
      <c r="AB220" s="690">
        <f t="shared" ref="AB220:AB226" si="18">ROUND(X220*R220,2)</f>
        <v>0</v>
      </c>
      <c r="AC220" s="690"/>
      <c r="AD220" s="690"/>
      <c r="AE220" s="690"/>
      <c r="AF220" s="690">
        <f t="shared" ref="AF220:AF227" si="19">ROUND(AB220*19%,2)</f>
        <v>0</v>
      </c>
      <c r="AG220" s="690"/>
      <c r="AH220" s="690"/>
      <c r="AI220" s="690"/>
      <c r="AJ220" s="690">
        <f t="shared" ref="AJ220:AJ227" si="20">AB220+AF220</f>
        <v>0</v>
      </c>
      <c r="AK220" s="690"/>
      <c r="AL220" s="690"/>
      <c r="AM220" s="690"/>
    </row>
    <row r="221" spans="1:39" ht="15.95" customHeight="1">
      <c r="A221" s="65">
        <f t="shared" si="13"/>
        <v>31</v>
      </c>
      <c r="B221" s="699" t="s">
        <v>108</v>
      </c>
      <c r="C221" s="700"/>
      <c r="D221" s="700"/>
      <c r="E221" s="700"/>
      <c r="F221" s="700"/>
      <c r="G221" s="700"/>
      <c r="H221" s="700"/>
      <c r="I221" s="700"/>
      <c r="J221" s="700"/>
      <c r="K221" s="701"/>
      <c r="L221" s="702">
        <f t="shared" ref="L221:L226" si="21">L220</f>
        <v>45748</v>
      </c>
      <c r="M221" s="702"/>
      <c r="N221" s="702"/>
      <c r="O221" s="702">
        <f t="shared" ref="O221:O226" si="22">O220</f>
        <v>45777</v>
      </c>
      <c r="P221" s="702"/>
      <c r="Q221" s="702"/>
      <c r="R221" s="690" cm="1">
        <f t="array" ref="R221">INDEX(verificare!$AT$4:$CC$26,VLOOKUP($AA$15,verificare!$AR$4:$AS$26,2,FALSE),A221)</f>
        <v>0</v>
      </c>
      <c r="S221" s="690"/>
      <c r="T221" s="690"/>
      <c r="U221" s="690"/>
      <c r="V221" s="658" t="s">
        <v>446</v>
      </c>
      <c r="W221" s="658"/>
      <c r="X221" s="691">
        <f>HLOOKUP(VLOOKUP($AA$15,'Date SPV'!$B:$F,5,FALSE),'Preturi si tarife'!$C$2:$J$39,A221+2,FALSE)</f>
        <v>1.26E-2</v>
      </c>
      <c r="Y221" s="692"/>
      <c r="Z221" s="692"/>
      <c r="AA221" s="693"/>
      <c r="AB221" s="690">
        <f t="shared" si="18"/>
        <v>0</v>
      </c>
      <c r="AC221" s="690"/>
      <c r="AD221" s="690"/>
      <c r="AE221" s="690"/>
      <c r="AF221" s="690">
        <f t="shared" si="19"/>
        <v>0</v>
      </c>
      <c r="AG221" s="690"/>
      <c r="AH221" s="690"/>
      <c r="AI221" s="690"/>
      <c r="AJ221" s="690">
        <f t="shared" si="20"/>
        <v>0</v>
      </c>
      <c r="AK221" s="690"/>
      <c r="AL221" s="690"/>
      <c r="AM221" s="690"/>
    </row>
    <row r="222" spans="1:39" ht="15.95" customHeight="1">
      <c r="A222" s="65">
        <f t="shared" si="13"/>
        <v>32</v>
      </c>
      <c r="B222" s="699" t="s">
        <v>109</v>
      </c>
      <c r="C222" s="700"/>
      <c r="D222" s="700"/>
      <c r="E222" s="700"/>
      <c r="F222" s="700"/>
      <c r="G222" s="700"/>
      <c r="H222" s="700"/>
      <c r="I222" s="700"/>
      <c r="J222" s="700"/>
      <c r="K222" s="701"/>
      <c r="L222" s="763">
        <f t="shared" si="21"/>
        <v>45748</v>
      </c>
      <c r="M222" s="764"/>
      <c r="N222" s="765"/>
      <c r="O222" s="763">
        <f t="shared" si="22"/>
        <v>45777</v>
      </c>
      <c r="P222" s="764"/>
      <c r="Q222" s="765"/>
      <c r="R222" s="690" cm="1">
        <f t="array" ref="R222">INDEX(verificare!$AT$4:$CC$26,VLOOKUP($AA$15,verificare!$AR$4:$AS$26,2,FALSE),A222)</f>
        <v>0</v>
      </c>
      <c r="S222" s="690"/>
      <c r="T222" s="690"/>
      <c r="U222" s="690"/>
      <c r="V222" s="724" t="s">
        <v>446</v>
      </c>
      <c r="W222" s="725"/>
      <c r="X222" s="691">
        <f>HLOOKUP(VLOOKUP($AA$15,'Date SPV'!$B:$F,5,FALSE),'Preturi si tarife'!$C$2:$J$39,A222+2,FALSE)</f>
        <v>9.2700000000000005E-2</v>
      </c>
      <c r="Y222" s="692"/>
      <c r="Z222" s="692"/>
      <c r="AA222" s="693"/>
      <c r="AB222" s="690">
        <f t="shared" si="18"/>
        <v>0</v>
      </c>
      <c r="AC222" s="690"/>
      <c r="AD222" s="690"/>
      <c r="AE222" s="690"/>
      <c r="AF222" s="690">
        <f t="shared" si="19"/>
        <v>0</v>
      </c>
      <c r="AG222" s="690"/>
      <c r="AH222" s="690"/>
      <c r="AI222" s="690"/>
      <c r="AJ222" s="690">
        <f t="shared" si="20"/>
        <v>0</v>
      </c>
      <c r="AK222" s="690"/>
      <c r="AL222" s="690"/>
      <c r="AM222" s="690"/>
    </row>
    <row r="223" spans="1:39" ht="30.95" customHeight="1">
      <c r="A223" s="65">
        <f t="shared" si="13"/>
        <v>33</v>
      </c>
      <c r="B223" s="699" t="s">
        <v>110</v>
      </c>
      <c r="C223" s="700"/>
      <c r="D223" s="700"/>
      <c r="E223" s="700"/>
      <c r="F223" s="700"/>
      <c r="G223" s="700"/>
      <c r="H223" s="700"/>
      <c r="I223" s="700"/>
      <c r="J223" s="700"/>
      <c r="K223" s="701"/>
      <c r="L223" s="702">
        <f t="shared" si="21"/>
        <v>45748</v>
      </c>
      <c r="M223" s="702"/>
      <c r="N223" s="702"/>
      <c r="O223" s="702">
        <f t="shared" si="22"/>
        <v>45777</v>
      </c>
      <c r="P223" s="702"/>
      <c r="Q223" s="702"/>
      <c r="R223" s="690" cm="1">
        <f t="array" ref="R223">INDEX(verificare!$AT$4:$CC$26,VLOOKUP($AA$15,verificare!$AR$4:$AS$26,2,FALSE),A223)</f>
        <v>0</v>
      </c>
      <c r="S223" s="690"/>
      <c r="T223" s="690"/>
      <c r="U223" s="690"/>
      <c r="V223" s="658" t="s">
        <v>446</v>
      </c>
      <c r="W223" s="658"/>
      <c r="X223" s="691">
        <f>HLOOKUP(VLOOKUP($AA$15,'Date SPV'!$B:$F,5,FALSE),'Preturi si tarife'!$C$2:$J$39,A223+2,FALSE)</f>
        <v>0.93920760000000003</v>
      </c>
      <c r="Y223" s="692"/>
      <c r="Z223" s="692"/>
      <c r="AA223" s="693"/>
      <c r="AB223" s="690">
        <f t="shared" si="18"/>
        <v>0</v>
      </c>
      <c r="AC223" s="690"/>
      <c r="AD223" s="690"/>
      <c r="AE223" s="690"/>
      <c r="AF223" s="690">
        <f t="shared" si="19"/>
        <v>0</v>
      </c>
      <c r="AG223" s="690"/>
      <c r="AH223" s="690"/>
      <c r="AI223" s="690"/>
      <c r="AJ223" s="690">
        <f t="shared" si="20"/>
        <v>0</v>
      </c>
      <c r="AK223" s="690"/>
      <c r="AL223" s="690"/>
      <c r="AM223" s="690"/>
    </row>
    <row r="224" spans="1:39" ht="30.95" customHeight="1">
      <c r="A224" s="65">
        <f t="shared" si="13"/>
        <v>34</v>
      </c>
      <c r="B224" s="699" t="s">
        <v>111</v>
      </c>
      <c r="C224" s="700"/>
      <c r="D224" s="700"/>
      <c r="E224" s="700"/>
      <c r="F224" s="700"/>
      <c r="G224" s="700"/>
      <c r="H224" s="700"/>
      <c r="I224" s="700"/>
      <c r="J224" s="700"/>
      <c r="K224" s="701"/>
      <c r="L224" s="702">
        <f t="shared" si="21"/>
        <v>45748</v>
      </c>
      <c r="M224" s="702"/>
      <c r="N224" s="702"/>
      <c r="O224" s="702">
        <f t="shared" si="22"/>
        <v>45777</v>
      </c>
      <c r="P224" s="702"/>
      <c r="Q224" s="702"/>
      <c r="R224" s="690" cm="1">
        <f t="array" ref="R224">INDEX(verificare!$AT$4:$CC$26,VLOOKUP($AA$15,verificare!$AR$4:$AS$26,2,FALSE),A224)</f>
        <v>0</v>
      </c>
      <c r="S224" s="690"/>
      <c r="T224" s="690"/>
      <c r="U224" s="690"/>
      <c r="V224" s="658" t="s">
        <v>446</v>
      </c>
      <c r="W224" s="658"/>
      <c r="X224" s="691">
        <f>HLOOKUP(VLOOKUP($AA$15,'Date SPV'!$B:$F,5,FALSE),'Preturi si tarife'!$C$2:$J$39,A224+2,FALSE)</f>
        <v>0.83390760000000008</v>
      </c>
      <c r="Y224" s="692"/>
      <c r="Z224" s="692"/>
      <c r="AA224" s="693"/>
      <c r="AB224" s="690">
        <f t="shared" si="18"/>
        <v>0</v>
      </c>
      <c r="AC224" s="690"/>
      <c r="AD224" s="690"/>
      <c r="AE224" s="690"/>
      <c r="AF224" s="690">
        <f t="shared" si="19"/>
        <v>0</v>
      </c>
      <c r="AG224" s="690"/>
      <c r="AH224" s="690"/>
      <c r="AI224" s="690"/>
      <c r="AJ224" s="690">
        <f t="shared" si="20"/>
        <v>0</v>
      </c>
      <c r="AK224" s="690"/>
      <c r="AL224" s="690"/>
      <c r="AM224" s="690"/>
    </row>
    <row r="225" spans="1:39" ht="15.95" customHeight="1">
      <c r="A225" s="65">
        <f t="shared" si="13"/>
        <v>35</v>
      </c>
      <c r="B225" s="699" t="s">
        <v>112</v>
      </c>
      <c r="C225" s="700"/>
      <c r="D225" s="700"/>
      <c r="E225" s="700"/>
      <c r="F225" s="700"/>
      <c r="G225" s="700"/>
      <c r="H225" s="700"/>
      <c r="I225" s="700"/>
      <c r="J225" s="700"/>
      <c r="K225" s="701"/>
      <c r="L225" s="763">
        <f t="shared" si="21"/>
        <v>45748</v>
      </c>
      <c r="M225" s="764"/>
      <c r="N225" s="765"/>
      <c r="O225" s="763">
        <f t="shared" si="22"/>
        <v>45777</v>
      </c>
      <c r="P225" s="764"/>
      <c r="Q225" s="765"/>
      <c r="R225" s="772" cm="1">
        <f t="array" ref="R225">INDEX(verificare!$AT$4:$CC$26,VLOOKUP($AA$15,verificare!$AR$4:$AS$26,2,FALSE),A225)</f>
        <v>0</v>
      </c>
      <c r="S225" s="773"/>
      <c r="T225" s="773"/>
      <c r="U225" s="774"/>
      <c r="V225" s="724" t="s">
        <v>446</v>
      </c>
      <c r="W225" s="725"/>
      <c r="X225" s="691">
        <f>HLOOKUP(VLOOKUP($AA$15,'Date SPV'!$B:$F,5,FALSE),'Preturi si tarife'!$C$2:$J$39,A225+2,FALSE)</f>
        <v>1.26E-2</v>
      </c>
      <c r="Y225" s="692"/>
      <c r="Z225" s="692"/>
      <c r="AA225" s="693"/>
      <c r="AB225" s="690">
        <f t="shared" si="18"/>
        <v>0</v>
      </c>
      <c r="AC225" s="690"/>
      <c r="AD225" s="690"/>
      <c r="AE225" s="690"/>
      <c r="AF225" s="690">
        <f t="shared" si="19"/>
        <v>0</v>
      </c>
      <c r="AG225" s="690"/>
      <c r="AH225" s="690"/>
      <c r="AI225" s="690"/>
      <c r="AJ225" s="690">
        <f t="shared" si="20"/>
        <v>0</v>
      </c>
      <c r="AK225" s="690"/>
      <c r="AL225" s="690"/>
      <c r="AM225" s="690"/>
    </row>
    <row r="226" spans="1:39" ht="15.95" customHeight="1">
      <c r="A226" s="65">
        <f t="shared" si="13"/>
        <v>36</v>
      </c>
      <c r="B226" s="699" t="s">
        <v>113</v>
      </c>
      <c r="C226" s="700"/>
      <c r="D226" s="700"/>
      <c r="E226" s="700"/>
      <c r="F226" s="700"/>
      <c r="G226" s="700"/>
      <c r="H226" s="700"/>
      <c r="I226" s="700"/>
      <c r="J226" s="700"/>
      <c r="K226" s="701"/>
      <c r="L226" s="763">
        <f t="shared" si="21"/>
        <v>45748</v>
      </c>
      <c r="M226" s="764"/>
      <c r="N226" s="765"/>
      <c r="O226" s="763">
        <f t="shared" si="22"/>
        <v>45777</v>
      </c>
      <c r="P226" s="764"/>
      <c r="Q226" s="765"/>
      <c r="R226" s="772" cm="1">
        <f t="array" ref="R226">INDEX(verificare!$AT$4:$CC$26,VLOOKUP($AA$15,verificare!$AR$4:$AS$26,2,FALSE),A226)</f>
        <v>0</v>
      </c>
      <c r="S226" s="773"/>
      <c r="T226" s="773"/>
      <c r="U226" s="774"/>
      <c r="V226" s="724" t="s">
        <v>446</v>
      </c>
      <c r="W226" s="725"/>
      <c r="X226" s="691">
        <f>HLOOKUP(VLOOKUP($AA$15,'Date SPV'!$B:$F,5,FALSE),'Preturi si tarife'!$C$2:$J$39,A226+2,FALSE)</f>
        <v>9.2700000000000005E-2</v>
      </c>
      <c r="Y226" s="692"/>
      <c r="Z226" s="692"/>
      <c r="AA226" s="693"/>
      <c r="AB226" s="690">
        <f t="shared" si="18"/>
        <v>0</v>
      </c>
      <c r="AC226" s="690"/>
      <c r="AD226" s="690"/>
      <c r="AE226" s="690"/>
      <c r="AF226" s="690">
        <f t="shared" si="19"/>
        <v>0</v>
      </c>
      <c r="AG226" s="690"/>
      <c r="AH226" s="690"/>
      <c r="AI226" s="690"/>
      <c r="AJ226" s="690">
        <f t="shared" si="20"/>
        <v>0</v>
      </c>
      <c r="AK226" s="690"/>
      <c r="AL226" s="690"/>
      <c r="AM226" s="690"/>
    </row>
    <row r="227" spans="1:39" ht="15.95" customHeight="1">
      <c r="A227" s="65">
        <f t="shared" si="13"/>
        <v>37</v>
      </c>
      <c r="B227" s="699" t="s">
        <v>728</v>
      </c>
      <c r="C227" s="700"/>
      <c r="D227" s="700"/>
      <c r="E227" s="700"/>
      <c r="F227" s="700"/>
      <c r="G227" s="700"/>
      <c r="H227" s="700"/>
      <c r="I227" s="700"/>
      <c r="J227" s="700"/>
      <c r="K227" s="701"/>
      <c r="L227" s="702" t="s">
        <v>69</v>
      </c>
      <c r="M227" s="702"/>
      <c r="N227" s="702"/>
      <c r="O227" s="702" t="s">
        <v>69</v>
      </c>
      <c r="P227" s="702"/>
      <c r="Q227" s="702"/>
      <c r="R227" s="690">
        <v>0</v>
      </c>
      <c r="S227" s="690"/>
      <c r="T227" s="690"/>
      <c r="U227" s="690"/>
      <c r="V227" s="658" t="s">
        <v>69</v>
      </c>
      <c r="W227" s="658"/>
      <c r="X227" s="659" t="s">
        <v>69</v>
      </c>
      <c r="Y227" s="659"/>
      <c r="Z227" s="659"/>
      <c r="AA227" s="659"/>
      <c r="AB227" s="653">
        <v>0</v>
      </c>
      <c r="AC227" s="653"/>
      <c r="AD227" s="653"/>
      <c r="AE227" s="653"/>
      <c r="AF227" s="653">
        <f t="shared" si="19"/>
        <v>0</v>
      </c>
      <c r="AG227" s="653"/>
      <c r="AH227" s="653"/>
      <c r="AI227" s="653"/>
      <c r="AJ227" s="653">
        <f t="shared" si="20"/>
        <v>0</v>
      </c>
      <c r="AK227" s="653"/>
      <c r="AL227" s="653"/>
      <c r="AM227" s="653"/>
    </row>
    <row r="228" spans="1:39" ht="15.95" customHeight="1">
      <c r="A228" s="65">
        <f t="shared" si="13"/>
        <v>38</v>
      </c>
      <c r="B228" s="699" t="s">
        <v>729</v>
      </c>
      <c r="C228" s="700"/>
      <c r="D228" s="700"/>
      <c r="E228" s="700"/>
      <c r="F228" s="700"/>
      <c r="G228" s="700"/>
      <c r="H228" s="700"/>
      <c r="I228" s="700"/>
      <c r="J228" s="700"/>
      <c r="K228" s="701"/>
      <c r="L228" s="702" t="s">
        <v>69</v>
      </c>
      <c r="M228" s="702"/>
      <c r="N228" s="702"/>
      <c r="O228" s="702" t="s">
        <v>69</v>
      </c>
      <c r="P228" s="702"/>
      <c r="Q228" s="702"/>
      <c r="R228" s="690">
        <v>0</v>
      </c>
      <c r="S228" s="690"/>
      <c r="T228" s="690"/>
      <c r="U228" s="690"/>
      <c r="V228" s="658" t="s">
        <v>69</v>
      </c>
      <c r="W228" s="658"/>
      <c r="X228" s="659" t="s">
        <v>69</v>
      </c>
      <c r="Y228" s="659"/>
      <c r="Z228" s="659"/>
      <c r="AA228" s="659"/>
      <c r="AB228" s="726">
        <f>SUM(AB191:AE227)</f>
        <v>669174.14</v>
      </c>
      <c r="AC228" s="726"/>
      <c r="AD228" s="726"/>
      <c r="AE228" s="726"/>
      <c r="AF228" s="726">
        <f>SUM(AF191:AI227)</f>
        <v>127143.09999999999</v>
      </c>
      <c r="AG228" s="726"/>
      <c r="AH228" s="726"/>
      <c r="AI228" s="726"/>
      <c r="AJ228" s="726">
        <f>SUM(AJ191:AM227)</f>
        <v>796317.24</v>
      </c>
      <c r="AK228" s="726"/>
      <c r="AL228" s="726"/>
      <c r="AM228" s="726"/>
    </row>
  </sheetData>
  <mergeCells count="962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R38:T40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AI50:AJ52"/>
    <mergeCell ref="A44:F46"/>
    <mergeCell ref="G44:I46"/>
    <mergeCell ref="J44:L44"/>
    <mergeCell ref="M44:N46"/>
    <mergeCell ref="O44:Q46"/>
    <mergeCell ref="R44:T46"/>
    <mergeCell ref="AD41:AE43"/>
    <mergeCell ref="AF41:AH43"/>
    <mergeCell ref="AI41:AJ43"/>
    <mergeCell ref="AI47:AJ49"/>
    <mergeCell ref="M50:N52"/>
    <mergeCell ref="A47:F49"/>
    <mergeCell ref="G47:I49"/>
    <mergeCell ref="AK47:AM49"/>
    <mergeCell ref="AK44:AM46"/>
    <mergeCell ref="J45:L45"/>
    <mergeCell ref="J46:L46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J48:L48"/>
    <mergeCell ref="J49:L49"/>
    <mergeCell ref="X47:Z49"/>
    <mergeCell ref="AA47:AC49"/>
    <mergeCell ref="AD47:AE49"/>
    <mergeCell ref="AF47:AH49"/>
    <mergeCell ref="R53:T55"/>
    <mergeCell ref="U53:W55"/>
    <mergeCell ref="X53:Z55"/>
    <mergeCell ref="AF50:AH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AI53:AJ55"/>
    <mergeCell ref="AK53:AM55"/>
    <mergeCell ref="J54:L54"/>
    <mergeCell ref="J55:L55"/>
    <mergeCell ref="AA53:AC55"/>
    <mergeCell ref="AD53:AE55"/>
    <mergeCell ref="AF53:AH55"/>
    <mergeCell ref="A50:F52"/>
    <mergeCell ref="G50:I52"/>
    <mergeCell ref="J50:L50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J60:L60"/>
    <mergeCell ref="J61:L61"/>
    <mergeCell ref="A56:F58"/>
    <mergeCell ref="G56:I58"/>
    <mergeCell ref="J56:L56"/>
    <mergeCell ref="M56:N58"/>
    <mergeCell ref="O56:Q58"/>
    <mergeCell ref="R56:T58"/>
    <mergeCell ref="X59:Z61"/>
    <mergeCell ref="AA59:AC61"/>
    <mergeCell ref="AD59:AE61"/>
    <mergeCell ref="AF62:AH64"/>
    <mergeCell ref="AI62:AJ64"/>
    <mergeCell ref="AF59:AH61"/>
    <mergeCell ref="AI59:AJ61"/>
    <mergeCell ref="AK59:AM61"/>
    <mergeCell ref="AK56:AM58"/>
    <mergeCell ref="X56:Z58"/>
    <mergeCell ref="AA56:AC58"/>
    <mergeCell ref="AD56:AE58"/>
    <mergeCell ref="AF56:AH58"/>
    <mergeCell ref="AI56:AJ58"/>
    <mergeCell ref="AK62:AM64"/>
    <mergeCell ref="U62:W64"/>
    <mergeCell ref="X62:Z64"/>
    <mergeCell ref="AA62:AC64"/>
    <mergeCell ref="AD62:AE64"/>
    <mergeCell ref="AI65:AJ67"/>
    <mergeCell ref="AK65:AM67"/>
    <mergeCell ref="J66:L66"/>
    <mergeCell ref="J67:L67"/>
    <mergeCell ref="A62:F64"/>
    <mergeCell ref="G62:I64"/>
    <mergeCell ref="J62:L62"/>
    <mergeCell ref="M62:N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A99:L99"/>
    <mergeCell ref="M99:AH99"/>
    <mergeCell ref="AI99:AM99"/>
    <mergeCell ref="A84:F86"/>
    <mergeCell ref="G84:I86"/>
    <mergeCell ref="J84:L86"/>
    <mergeCell ref="R65:T67"/>
    <mergeCell ref="U65:W67"/>
    <mergeCell ref="X65:Z67"/>
    <mergeCell ref="AA65:AC67"/>
    <mergeCell ref="AD65:AE67"/>
    <mergeCell ref="AF65:AH67"/>
    <mergeCell ref="AD84:AE86"/>
    <mergeCell ref="AF84:AH86"/>
    <mergeCell ref="AI84:AJ86"/>
    <mergeCell ref="AK84:AM86"/>
    <mergeCell ref="A87:F89"/>
    <mergeCell ref="G87:I89"/>
    <mergeCell ref="J87:L87"/>
    <mergeCell ref="M87:N89"/>
    <mergeCell ref="O87:Q89"/>
    <mergeCell ref="R87:T89"/>
    <mergeCell ref="M84:N86"/>
    <mergeCell ref="O84:Q86"/>
    <mergeCell ref="A100:L100"/>
    <mergeCell ref="M100:AH100"/>
    <mergeCell ref="AI100:AM101"/>
    <mergeCell ref="A101:L101"/>
    <mergeCell ref="M101:AH101"/>
    <mergeCell ref="A102:F104"/>
    <mergeCell ref="G102:I104"/>
    <mergeCell ref="J102:L104"/>
    <mergeCell ref="M102:N104"/>
    <mergeCell ref="O102:Q104"/>
    <mergeCell ref="AK105:AM107"/>
    <mergeCell ref="J106:L106"/>
    <mergeCell ref="J107:L107"/>
    <mergeCell ref="AI102:AJ104"/>
    <mergeCell ref="AK102:AM104"/>
    <mergeCell ref="AA102:AC104"/>
    <mergeCell ref="AD102:AE104"/>
    <mergeCell ref="AF102:AH104"/>
    <mergeCell ref="J105:L105"/>
    <mergeCell ref="M105:N107"/>
    <mergeCell ref="O105:Q107"/>
    <mergeCell ref="R105:T107"/>
    <mergeCell ref="U105:W107"/>
    <mergeCell ref="X105:Z107"/>
    <mergeCell ref="R102:T104"/>
    <mergeCell ref="U102:W104"/>
    <mergeCell ref="X102:Z104"/>
    <mergeCell ref="AI114:AJ116"/>
    <mergeCell ref="A108:F110"/>
    <mergeCell ref="G108:I110"/>
    <mergeCell ref="J108:L108"/>
    <mergeCell ref="M108:N110"/>
    <mergeCell ref="O108:Q110"/>
    <mergeCell ref="R108:T110"/>
    <mergeCell ref="AA105:AC107"/>
    <mergeCell ref="AD105:AE107"/>
    <mergeCell ref="AF105:AH107"/>
    <mergeCell ref="A105:F107"/>
    <mergeCell ref="G105:I107"/>
    <mergeCell ref="AI105:AJ107"/>
    <mergeCell ref="AI111:AJ113"/>
    <mergeCell ref="M114:N116"/>
    <mergeCell ref="A111:F113"/>
    <mergeCell ref="G111:I113"/>
    <mergeCell ref="AK111:AM113"/>
    <mergeCell ref="AK108:AM110"/>
    <mergeCell ref="J109:L109"/>
    <mergeCell ref="J110:L110"/>
    <mergeCell ref="J111:L111"/>
    <mergeCell ref="M111:N113"/>
    <mergeCell ref="O111:Q113"/>
    <mergeCell ref="R111:T113"/>
    <mergeCell ref="U111:W113"/>
    <mergeCell ref="U108:W110"/>
    <mergeCell ref="X108:Z110"/>
    <mergeCell ref="AA108:AC110"/>
    <mergeCell ref="AD108:AE110"/>
    <mergeCell ref="AF108:AH110"/>
    <mergeCell ref="AI108:AJ110"/>
    <mergeCell ref="J112:L112"/>
    <mergeCell ref="J113:L113"/>
    <mergeCell ref="X111:Z113"/>
    <mergeCell ref="AA111:AC113"/>
    <mergeCell ref="AD111:AE113"/>
    <mergeCell ref="AF111:AH113"/>
    <mergeCell ref="R117:T119"/>
    <mergeCell ref="U117:W119"/>
    <mergeCell ref="X117:Z119"/>
    <mergeCell ref="AF114:AH116"/>
    <mergeCell ref="AK114:AM116"/>
    <mergeCell ref="J115:L115"/>
    <mergeCell ref="J116:L116"/>
    <mergeCell ref="A117:F119"/>
    <mergeCell ref="G117:I119"/>
    <mergeCell ref="J117:L117"/>
    <mergeCell ref="M117:N119"/>
    <mergeCell ref="O117:Q119"/>
    <mergeCell ref="O114:Q116"/>
    <mergeCell ref="R114:T116"/>
    <mergeCell ref="U114:W116"/>
    <mergeCell ref="X114:Z116"/>
    <mergeCell ref="AA114:AC116"/>
    <mergeCell ref="AD114:AE116"/>
    <mergeCell ref="AI117:AJ119"/>
    <mergeCell ref="AK117:AM119"/>
    <mergeCell ref="J118:L118"/>
    <mergeCell ref="J119:L119"/>
    <mergeCell ref="AA117:AC119"/>
    <mergeCell ref="AD117:AE119"/>
    <mergeCell ref="AF117:AH119"/>
    <mergeCell ref="A114:F116"/>
    <mergeCell ref="G114:I116"/>
    <mergeCell ref="J114:L114"/>
    <mergeCell ref="J121:L121"/>
    <mergeCell ref="J122:L122"/>
    <mergeCell ref="A123:F125"/>
    <mergeCell ref="G123:I125"/>
    <mergeCell ref="J123:L123"/>
    <mergeCell ref="M123:N125"/>
    <mergeCell ref="O123:Q125"/>
    <mergeCell ref="R123:T125"/>
    <mergeCell ref="U123:W125"/>
    <mergeCell ref="U120:W122"/>
    <mergeCell ref="J124:L124"/>
    <mergeCell ref="J125:L125"/>
    <mergeCell ref="A120:F122"/>
    <mergeCell ref="G120:I122"/>
    <mergeCell ref="J120:L120"/>
    <mergeCell ref="M120:N122"/>
    <mergeCell ref="O120:Q122"/>
    <mergeCell ref="R120:T122"/>
    <mergeCell ref="X123:Z125"/>
    <mergeCell ref="AA123:AC125"/>
    <mergeCell ref="AD123:AE125"/>
    <mergeCell ref="AF126:AH128"/>
    <mergeCell ref="AI126:AJ128"/>
    <mergeCell ref="AF123:AH125"/>
    <mergeCell ref="AI123:AJ125"/>
    <mergeCell ref="AK123:AM125"/>
    <mergeCell ref="AK120:AM122"/>
    <mergeCell ref="X120:Z122"/>
    <mergeCell ref="AA120:AC122"/>
    <mergeCell ref="AD120:AE122"/>
    <mergeCell ref="AF120:AH122"/>
    <mergeCell ref="AI120:AJ122"/>
    <mergeCell ref="AK126:AM128"/>
    <mergeCell ref="U126:W128"/>
    <mergeCell ref="X126:Z128"/>
    <mergeCell ref="AA126:AC128"/>
    <mergeCell ref="AD126:AE128"/>
    <mergeCell ref="AI129:AJ131"/>
    <mergeCell ref="AK129:AM131"/>
    <mergeCell ref="J130:L130"/>
    <mergeCell ref="J131:L131"/>
    <mergeCell ref="A126:F128"/>
    <mergeCell ref="G126:I128"/>
    <mergeCell ref="J126:L126"/>
    <mergeCell ref="M126:N128"/>
    <mergeCell ref="J127:L127"/>
    <mergeCell ref="J128:L128"/>
    <mergeCell ref="A129:F131"/>
    <mergeCell ref="G129:I131"/>
    <mergeCell ref="J129:L129"/>
    <mergeCell ref="M129:N131"/>
    <mergeCell ref="O129:Q131"/>
    <mergeCell ref="O126:Q128"/>
    <mergeCell ref="R126:T128"/>
    <mergeCell ref="A135:L135"/>
    <mergeCell ref="M135:AH135"/>
    <mergeCell ref="AI135:AM135"/>
    <mergeCell ref="R129:T131"/>
    <mergeCell ref="U129:W131"/>
    <mergeCell ref="X129:Z131"/>
    <mergeCell ref="AA129:AC131"/>
    <mergeCell ref="AD129:AE131"/>
    <mergeCell ref="AF129:AH131"/>
    <mergeCell ref="A136:L136"/>
    <mergeCell ref="M136:AH136"/>
    <mergeCell ref="AI136:AM137"/>
    <mergeCell ref="A137:L137"/>
    <mergeCell ref="M137:AH137"/>
    <mergeCell ref="A138:F140"/>
    <mergeCell ref="G138:I140"/>
    <mergeCell ref="J138:L140"/>
    <mergeCell ref="M138:N140"/>
    <mergeCell ref="O138:Q140"/>
    <mergeCell ref="AK141:AM143"/>
    <mergeCell ref="J142:L142"/>
    <mergeCell ref="J143:L143"/>
    <mergeCell ref="AI138:AJ140"/>
    <mergeCell ref="AK138:AM140"/>
    <mergeCell ref="AA138:AC140"/>
    <mergeCell ref="AD138:AE140"/>
    <mergeCell ref="AF138:AH140"/>
    <mergeCell ref="J141:L141"/>
    <mergeCell ref="M141:N143"/>
    <mergeCell ref="O141:Q143"/>
    <mergeCell ref="R141:T143"/>
    <mergeCell ref="U141:W143"/>
    <mergeCell ref="X141:Z143"/>
    <mergeCell ref="R138:T140"/>
    <mergeCell ref="U138:W140"/>
    <mergeCell ref="X138:Z140"/>
    <mergeCell ref="AI150:AJ152"/>
    <mergeCell ref="A144:F146"/>
    <mergeCell ref="G144:I146"/>
    <mergeCell ref="J144:L144"/>
    <mergeCell ref="M144:N146"/>
    <mergeCell ref="O144:Q146"/>
    <mergeCell ref="R144:T146"/>
    <mergeCell ref="AA141:AC143"/>
    <mergeCell ref="AD141:AE143"/>
    <mergeCell ref="AF141:AH143"/>
    <mergeCell ref="A141:F143"/>
    <mergeCell ref="G141:I143"/>
    <mergeCell ref="AI141:AJ143"/>
    <mergeCell ref="AI147:AJ149"/>
    <mergeCell ref="M150:N152"/>
    <mergeCell ref="A147:F149"/>
    <mergeCell ref="G147:I149"/>
    <mergeCell ref="AK147:AM149"/>
    <mergeCell ref="AK144:AM146"/>
    <mergeCell ref="J145:L145"/>
    <mergeCell ref="J146:L146"/>
    <mergeCell ref="J147:L147"/>
    <mergeCell ref="M147:N149"/>
    <mergeCell ref="O147:Q149"/>
    <mergeCell ref="R147:T149"/>
    <mergeCell ref="U147:W149"/>
    <mergeCell ref="U144:W146"/>
    <mergeCell ref="X144:Z146"/>
    <mergeCell ref="AA144:AC146"/>
    <mergeCell ref="AD144:AE146"/>
    <mergeCell ref="AF144:AH146"/>
    <mergeCell ref="AI144:AJ146"/>
    <mergeCell ref="J148:L148"/>
    <mergeCell ref="J149:L149"/>
    <mergeCell ref="X147:Z149"/>
    <mergeCell ref="AA147:AC149"/>
    <mergeCell ref="AD147:AE149"/>
    <mergeCell ref="AF147:AH149"/>
    <mergeCell ref="R153:T155"/>
    <mergeCell ref="U153:W155"/>
    <mergeCell ref="X153:Z155"/>
    <mergeCell ref="AF150:AH152"/>
    <mergeCell ref="AK150:AM152"/>
    <mergeCell ref="J151:L151"/>
    <mergeCell ref="J152:L152"/>
    <mergeCell ref="A153:F155"/>
    <mergeCell ref="G153:I155"/>
    <mergeCell ref="J153:L153"/>
    <mergeCell ref="M153:N155"/>
    <mergeCell ref="O153:Q155"/>
    <mergeCell ref="O150:Q152"/>
    <mergeCell ref="R150:T152"/>
    <mergeCell ref="U150:W152"/>
    <mergeCell ref="X150:Z152"/>
    <mergeCell ref="AA150:AC152"/>
    <mergeCell ref="AD150:AE152"/>
    <mergeCell ref="AI153:AJ155"/>
    <mergeCell ref="AK153:AM155"/>
    <mergeCell ref="J154:L154"/>
    <mergeCell ref="J155:L155"/>
    <mergeCell ref="AA153:AC155"/>
    <mergeCell ref="AD153:AE155"/>
    <mergeCell ref="AF153:AH155"/>
    <mergeCell ref="A150:F152"/>
    <mergeCell ref="G150:I152"/>
    <mergeCell ref="J150:L150"/>
    <mergeCell ref="J157:L157"/>
    <mergeCell ref="J158:L158"/>
    <mergeCell ref="A159:F161"/>
    <mergeCell ref="G159:I161"/>
    <mergeCell ref="J159:L159"/>
    <mergeCell ref="M159:N161"/>
    <mergeCell ref="O159:Q161"/>
    <mergeCell ref="R159:T161"/>
    <mergeCell ref="U159:W161"/>
    <mergeCell ref="U156:W158"/>
    <mergeCell ref="J160:L160"/>
    <mergeCell ref="J161:L161"/>
    <mergeCell ref="A156:F158"/>
    <mergeCell ref="G156:I158"/>
    <mergeCell ref="J156:L156"/>
    <mergeCell ref="M156:N158"/>
    <mergeCell ref="O156:Q158"/>
    <mergeCell ref="R156:T158"/>
    <mergeCell ref="X159:Z161"/>
    <mergeCell ref="AA159:AC161"/>
    <mergeCell ref="AD159:AE161"/>
    <mergeCell ref="AF162:AH164"/>
    <mergeCell ref="AI162:AJ164"/>
    <mergeCell ref="AF159:AH161"/>
    <mergeCell ref="AI159:AJ161"/>
    <mergeCell ref="AK159:AM161"/>
    <mergeCell ref="AK156:AM158"/>
    <mergeCell ref="X156:Z158"/>
    <mergeCell ref="AA156:AC158"/>
    <mergeCell ref="AD156:AE158"/>
    <mergeCell ref="AF156:AH158"/>
    <mergeCell ref="AI156:AJ158"/>
    <mergeCell ref="AK162:AM164"/>
    <mergeCell ref="U162:W164"/>
    <mergeCell ref="X162:Z164"/>
    <mergeCell ref="AA162:AC164"/>
    <mergeCell ref="AD162:AE164"/>
    <mergeCell ref="A162:F164"/>
    <mergeCell ref="G162:I164"/>
    <mergeCell ref="J162:L162"/>
    <mergeCell ref="M162:N164"/>
    <mergeCell ref="A188:AM188"/>
    <mergeCell ref="J163:L163"/>
    <mergeCell ref="J164:L164"/>
    <mergeCell ref="A165:F167"/>
    <mergeCell ref="G165:I167"/>
    <mergeCell ref="J165:L165"/>
    <mergeCell ref="M165:N167"/>
    <mergeCell ref="O165:Q167"/>
    <mergeCell ref="O162:Q164"/>
    <mergeCell ref="R162:T164"/>
    <mergeCell ref="B190:K190"/>
    <mergeCell ref="R190:U190"/>
    <mergeCell ref="V190:W190"/>
    <mergeCell ref="X190:AA190"/>
    <mergeCell ref="AB190:AE190"/>
    <mergeCell ref="AI165:AJ167"/>
    <mergeCell ref="AK165:AM167"/>
    <mergeCell ref="J166:L166"/>
    <mergeCell ref="J167:L167"/>
    <mergeCell ref="R165:T167"/>
    <mergeCell ref="U165:W167"/>
    <mergeCell ref="X165:Z167"/>
    <mergeCell ref="AA165:AC167"/>
    <mergeCell ref="AD165:AE167"/>
    <mergeCell ref="AF165:AH167"/>
    <mergeCell ref="AF190:AI190"/>
    <mergeCell ref="AJ190:AM190"/>
    <mergeCell ref="B191:K191"/>
    <mergeCell ref="L191:N191"/>
    <mergeCell ref="O191:Q191"/>
    <mergeCell ref="R191:U191"/>
    <mergeCell ref="V191:W191"/>
    <mergeCell ref="X191:AA191"/>
    <mergeCell ref="AB191:AE191"/>
    <mergeCell ref="AF191:AI191"/>
    <mergeCell ref="AJ191:AM191"/>
    <mergeCell ref="B192:K192"/>
    <mergeCell ref="L192:N192"/>
    <mergeCell ref="O192:Q192"/>
    <mergeCell ref="R192:U192"/>
    <mergeCell ref="V192:W192"/>
    <mergeCell ref="X192:AA192"/>
    <mergeCell ref="AB192:AE192"/>
    <mergeCell ref="AF192:AI192"/>
    <mergeCell ref="AJ192:AM192"/>
    <mergeCell ref="AB193:AE193"/>
    <mergeCell ref="AF193:AI193"/>
    <mergeCell ref="AJ193:AM193"/>
    <mergeCell ref="B194:K194"/>
    <mergeCell ref="L194:N194"/>
    <mergeCell ref="O194:Q194"/>
    <mergeCell ref="R194:U194"/>
    <mergeCell ref="V194:W194"/>
    <mergeCell ref="X194:AA194"/>
    <mergeCell ref="AB194:AE194"/>
    <mergeCell ref="B193:K193"/>
    <mergeCell ref="L193:N193"/>
    <mergeCell ref="O193:Q193"/>
    <mergeCell ref="R193:U193"/>
    <mergeCell ref="V193:W193"/>
    <mergeCell ref="X193:AA193"/>
    <mergeCell ref="AF194:AI194"/>
    <mergeCell ref="AJ194:AM194"/>
    <mergeCell ref="B195:K195"/>
    <mergeCell ref="L195:N195"/>
    <mergeCell ref="O195:Q195"/>
    <mergeCell ref="R195:U195"/>
    <mergeCell ref="V195:W195"/>
    <mergeCell ref="X195:AA195"/>
    <mergeCell ref="AB195:AE195"/>
    <mergeCell ref="AF195:AI195"/>
    <mergeCell ref="AJ195:AM195"/>
    <mergeCell ref="B196:K196"/>
    <mergeCell ref="L196:N196"/>
    <mergeCell ref="O196:Q196"/>
    <mergeCell ref="R196:U196"/>
    <mergeCell ref="V196:W196"/>
    <mergeCell ref="X196:AA196"/>
    <mergeCell ref="AB196:AE196"/>
    <mergeCell ref="AF196:AI196"/>
    <mergeCell ref="AJ196:AM196"/>
    <mergeCell ref="AB197:AE197"/>
    <mergeCell ref="AF197:AI197"/>
    <mergeCell ref="AJ197:AM197"/>
    <mergeCell ref="B198:K198"/>
    <mergeCell ref="L198:N198"/>
    <mergeCell ref="O198:Q198"/>
    <mergeCell ref="R198:U198"/>
    <mergeCell ref="V198:W198"/>
    <mergeCell ref="X198:AA198"/>
    <mergeCell ref="AB198:AE198"/>
    <mergeCell ref="B197:K197"/>
    <mergeCell ref="L197:N197"/>
    <mergeCell ref="O197:Q197"/>
    <mergeCell ref="R197:U197"/>
    <mergeCell ref="V197:W197"/>
    <mergeCell ref="X197:AA197"/>
    <mergeCell ref="AF198:AI198"/>
    <mergeCell ref="AJ198:AM198"/>
    <mergeCell ref="B199:K199"/>
    <mergeCell ref="L199:N199"/>
    <mergeCell ref="O199:Q199"/>
    <mergeCell ref="R199:U199"/>
    <mergeCell ref="V199:W199"/>
    <mergeCell ref="X199:AA199"/>
    <mergeCell ref="AB199:AE199"/>
    <mergeCell ref="AF199:AI199"/>
    <mergeCell ref="AJ199:AM199"/>
    <mergeCell ref="B200:K200"/>
    <mergeCell ref="L200:N200"/>
    <mergeCell ref="O200:Q200"/>
    <mergeCell ref="R200:U200"/>
    <mergeCell ref="V200:W200"/>
    <mergeCell ref="X200:AA200"/>
    <mergeCell ref="AB200:AE200"/>
    <mergeCell ref="AF200:AI200"/>
    <mergeCell ref="AJ200:AM200"/>
    <mergeCell ref="AB201:AE201"/>
    <mergeCell ref="AF201:AI201"/>
    <mergeCell ref="AJ201:AM201"/>
    <mergeCell ref="B202:K202"/>
    <mergeCell ref="L202:N202"/>
    <mergeCell ref="O202:Q202"/>
    <mergeCell ref="R202:U202"/>
    <mergeCell ref="V202:W202"/>
    <mergeCell ref="X202:AA202"/>
    <mergeCell ref="AB202:AE202"/>
    <mergeCell ref="B201:K201"/>
    <mergeCell ref="L201:N201"/>
    <mergeCell ref="O201:Q201"/>
    <mergeCell ref="R201:U201"/>
    <mergeCell ref="V201:W201"/>
    <mergeCell ref="X201:AA201"/>
    <mergeCell ref="AF202:AI202"/>
    <mergeCell ref="AJ202:AM202"/>
    <mergeCell ref="B203:K203"/>
    <mergeCell ref="L203:N203"/>
    <mergeCell ref="O203:Q203"/>
    <mergeCell ref="R203:U203"/>
    <mergeCell ref="V203:W203"/>
    <mergeCell ref="X203:AA203"/>
    <mergeCell ref="AB203:AE203"/>
    <mergeCell ref="AF203:AI203"/>
    <mergeCell ref="AJ203:AM203"/>
    <mergeCell ref="B204:K204"/>
    <mergeCell ref="L204:N204"/>
    <mergeCell ref="O204:Q204"/>
    <mergeCell ref="R204:U204"/>
    <mergeCell ref="V204:W204"/>
    <mergeCell ref="X204:AA204"/>
    <mergeCell ref="AB204:AE204"/>
    <mergeCell ref="AF204:AI204"/>
    <mergeCell ref="AJ204:AM204"/>
    <mergeCell ref="AB205:AE205"/>
    <mergeCell ref="AF205:AI205"/>
    <mergeCell ref="AJ205:AM205"/>
    <mergeCell ref="B206:K206"/>
    <mergeCell ref="L206:N206"/>
    <mergeCell ref="O206:Q206"/>
    <mergeCell ref="R206:U206"/>
    <mergeCell ref="V206:W206"/>
    <mergeCell ref="X206:AA206"/>
    <mergeCell ref="AB206:AE206"/>
    <mergeCell ref="B205:K205"/>
    <mergeCell ref="L205:N205"/>
    <mergeCell ref="O205:Q205"/>
    <mergeCell ref="R205:U205"/>
    <mergeCell ref="V205:W205"/>
    <mergeCell ref="X205:AA205"/>
    <mergeCell ref="AF206:AI206"/>
    <mergeCell ref="AJ206:AM206"/>
    <mergeCell ref="B207:K207"/>
    <mergeCell ref="L207:N207"/>
    <mergeCell ref="O207:Q207"/>
    <mergeCell ref="R207:U207"/>
    <mergeCell ref="V207:W207"/>
    <mergeCell ref="X207:AA207"/>
    <mergeCell ref="AB207:AE207"/>
    <mergeCell ref="AF207:AI207"/>
    <mergeCell ref="AJ207:AM207"/>
    <mergeCell ref="B208:K208"/>
    <mergeCell ref="L208:N208"/>
    <mergeCell ref="O208:Q208"/>
    <mergeCell ref="R208:U208"/>
    <mergeCell ref="V208:W208"/>
    <mergeCell ref="X208:AA208"/>
    <mergeCell ref="AB208:AE208"/>
    <mergeCell ref="AF208:AI208"/>
    <mergeCell ref="AJ208:AM208"/>
    <mergeCell ref="AB209:AE209"/>
    <mergeCell ref="AF209:AI209"/>
    <mergeCell ref="AJ209:AM209"/>
    <mergeCell ref="B210:K210"/>
    <mergeCell ref="L210:N210"/>
    <mergeCell ref="O210:Q210"/>
    <mergeCell ref="R210:U210"/>
    <mergeCell ref="V210:W210"/>
    <mergeCell ref="X210:AA210"/>
    <mergeCell ref="AB210:AE210"/>
    <mergeCell ref="B209:K209"/>
    <mergeCell ref="L209:N209"/>
    <mergeCell ref="O209:Q209"/>
    <mergeCell ref="R209:U209"/>
    <mergeCell ref="V209:W209"/>
    <mergeCell ref="X209:AA209"/>
    <mergeCell ref="AF210:AI210"/>
    <mergeCell ref="AJ210:AM210"/>
    <mergeCell ref="B211:K211"/>
    <mergeCell ref="L211:N211"/>
    <mergeCell ref="O211:Q211"/>
    <mergeCell ref="R211:U211"/>
    <mergeCell ref="V211:W211"/>
    <mergeCell ref="X211:AA211"/>
    <mergeCell ref="AB211:AE211"/>
    <mergeCell ref="AF211:AI211"/>
    <mergeCell ref="AJ211:AM211"/>
    <mergeCell ref="B212:K212"/>
    <mergeCell ref="L212:N212"/>
    <mergeCell ref="O212:Q212"/>
    <mergeCell ref="R212:U212"/>
    <mergeCell ref="V212:W212"/>
    <mergeCell ref="X212:AA212"/>
    <mergeCell ref="AB212:AE212"/>
    <mergeCell ref="AF212:AI212"/>
    <mergeCell ref="AJ212:AM212"/>
    <mergeCell ref="AB213:AE213"/>
    <mergeCell ref="AF213:AI213"/>
    <mergeCell ref="AJ213:AM213"/>
    <mergeCell ref="B214:K214"/>
    <mergeCell ref="L214:N214"/>
    <mergeCell ref="O214:Q214"/>
    <mergeCell ref="R214:U214"/>
    <mergeCell ref="V214:W214"/>
    <mergeCell ref="X214:AA214"/>
    <mergeCell ref="AB214:AE214"/>
    <mergeCell ref="B213:K213"/>
    <mergeCell ref="L213:N213"/>
    <mergeCell ref="O213:Q213"/>
    <mergeCell ref="R213:U213"/>
    <mergeCell ref="V213:W213"/>
    <mergeCell ref="X213:AA213"/>
    <mergeCell ref="AF214:AI214"/>
    <mergeCell ref="AJ214:AM214"/>
    <mergeCell ref="B215:K215"/>
    <mergeCell ref="L215:N215"/>
    <mergeCell ref="O215:Q215"/>
    <mergeCell ref="R215:U215"/>
    <mergeCell ref="V215:W215"/>
    <mergeCell ref="X215:AA215"/>
    <mergeCell ref="AB215:AE215"/>
    <mergeCell ref="AF215:AI215"/>
    <mergeCell ref="AJ215:AM215"/>
    <mergeCell ref="B216:K216"/>
    <mergeCell ref="L216:N216"/>
    <mergeCell ref="O216:Q216"/>
    <mergeCell ref="R216:U216"/>
    <mergeCell ref="V216:W216"/>
    <mergeCell ref="X216:AA216"/>
    <mergeCell ref="AB216:AE216"/>
    <mergeCell ref="AF216:AI216"/>
    <mergeCell ref="AJ216:AM216"/>
    <mergeCell ref="AB217:AE217"/>
    <mergeCell ref="AF217:AI217"/>
    <mergeCell ref="AJ217:AM217"/>
    <mergeCell ref="B218:K218"/>
    <mergeCell ref="L218:N218"/>
    <mergeCell ref="O218:Q218"/>
    <mergeCell ref="R218:U218"/>
    <mergeCell ref="V218:W218"/>
    <mergeCell ref="X218:AA218"/>
    <mergeCell ref="AB218:AE218"/>
    <mergeCell ref="B217:K217"/>
    <mergeCell ref="L217:N217"/>
    <mergeCell ref="O217:Q217"/>
    <mergeCell ref="R217:U217"/>
    <mergeCell ref="V217:W217"/>
    <mergeCell ref="X217:AA217"/>
    <mergeCell ref="AF218:AI218"/>
    <mergeCell ref="AJ218:AM218"/>
    <mergeCell ref="B219:K219"/>
    <mergeCell ref="L219:N219"/>
    <mergeCell ref="O219:Q219"/>
    <mergeCell ref="R219:U219"/>
    <mergeCell ref="V219:W219"/>
    <mergeCell ref="X219:AA219"/>
    <mergeCell ref="AB219:AE219"/>
    <mergeCell ref="AF219:AI219"/>
    <mergeCell ref="AJ219:AM219"/>
    <mergeCell ref="B220:K220"/>
    <mergeCell ref="L220:N220"/>
    <mergeCell ref="O220:Q220"/>
    <mergeCell ref="R220:U220"/>
    <mergeCell ref="V220:W220"/>
    <mergeCell ref="X220:AA220"/>
    <mergeCell ref="AB220:AE220"/>
    <mergeCell ref="AF220:AI220"/>
    <mergeCell ref="AJ220:AM220"/>
    <mergeCell ref="V225:W225"/>
    <mergeCell ref="X225:AA225"/>
    <mergeCell ref="AB221:AE221"/>
    <mergeCell ref="AF221:AI221"/>
    <mergeCell ref="AJ221:AM221"/>
    <mergeCell ref="B222:K222"/>
    <mergeCell ref="L222:N222"/>
    <mergeCell ref="O222:Q222"/>
    <mergeCell ref="R222:U222"/>
    <mergeCell ref="V222:W222"/>
    <mergeCell ref="X222:AA222"/>
    <mergeCell ref="AB222:AE222"/>
    <mergeCell ref="B221:K221"/>
    <mergeCell ref="L221:N221"/>
    <mergeCell ref="O221:Q221"/>
    <mergeCell ref="R221:U221"/>
    <mergeCell ref="V221:W221"/>
    <mergeCell ref="X221:AA221"/>
    <mergeCell ref="AF222:AI222"/>
    <mergeCell ref="AJ222:AM222"/>
    <mergeCell ref="AI81:AM81"/>
    <mergeCell ref="A82:L82"/>
    <mergeCell ref="M82:AH82"/>
    <mergeCell ref="AI82:AM83"/>
    <mergeCell ref="A83:L83"/>
    <mergeCell ref="M83:AH83"/>
    <mergeCell ref="AB225:AE225"/>
    <mergeCell ref="AF225:AI225"/>
    <mergeCell ref="AJ225:AM225"/>
    <mergeCell ref="B225:K225"/>
    <mergeCell ref="L225:N225"/>
    <mergeCell ref="O225:Q225"/>
    <mergeCell ref="R225:U225"/>
    <mergeCell ref="AJ223:AM223"/>
    <mergeCell ref="B224:K224"/>
    <mergeCell ref="L224:N224"/>
    <mergeCell ref="O224:Q224"/>
    <mergeCell ref="R224:U224"/>
    <mergeCell ref="V224:W224"/>
    <mergeCell ref="X224:AA224"/>
    <mergeCell ref="AB224:AE224"/>
    <mergeCell ref="AF224:AI224"/>
    <mergeCell ref="AB223:AE223"/>
    <mergeCell ref="AF223:AI223"/>
    <mergeCell ref="AK90:AM92"/>
    <mergeCell ref="AK87:AM89"/>
    <mergeCell ref="J88:L88"/>
    <mergeCell ref="J89:L89"/>
    <mergeCell ref="AA87:AC89"/>
    <mergeCell ref="AD87:AE89"/>
    <mergeCell ref="AF87:AH89"/>
    <mergeCell ref="AI87:AJ89"/>
    <mergeCell ref="AF226:AI226"/>
    <mergeCell ref="AJ226:AM226"/>
    <mergeCell ref="B226:K226"/>
    <mergeCell ref="L226:N226"/>
    <mergeCell ref="O226:Q226"/>
    <mergeCell ref="R226:U226"/>
    <mergeCell ref="V226:W226"/>
    <mergeCell ref="X226:AA226"/>
    <mergeCell ref="AB226:AE226"/>
    <mergeCell ref="AJ224:AM224"/>
    <mergeCell ref="B223:K223"/>
    <mergeCell ref="L223:N223"/>
    <mergeCell ref="O223:Q223"/>
    <mergeCell ref="R223:U223"/>
    <mergeCell ref="V223:W223"/>
    <mergeCell ref="X223:AA223"/>
    <mergeCell ref="R90:T92"/>
    <mergeCell ref="U90:W92"/>
    <mergeCell ref="AI90:AJ92"/>
    <mergeCell ref="U87:W89"/>
    <mergeCell ref="X87:Z89"/>
    <mergeCell ref="J91:L91"/>
    <mergeCell ref="J92:L92"/>
    <mergeCell ref="R84:T86"/>
    <mergeCell ref="U84:W86"/>
    <mergeCell ref="X84:Z86"/>
    <mergeCell ref="AA84:AC86"/>
    <mergeCell ref="AF90:AH92"/>
    <mergeCell ref="A81:AH81"/>
    <mergeCell ref="AK93:AM95"/>
    <mergeCell ref="J94:L94"/>
    <mergeCell ref="J95:L95"/>
    <mergeCell ref="O93:Q95"/>
    <mergeCell ref="R93:T95"/>
    <mergeCell ref="U93:W95"/>
    <mergeCell ref="X93:Z95"/>
    <mergeCell ref="AA93:AC95"/>
    <mergeCell ref="AD93:AE95"/>
    <mergeCell ref="A93:F95"/>
    <mergeCell ref="G93:I95"/>
    <mergeCell ref="J93:L93"/>
    <mergeCell ref="M93:N95"/>
    <mergeCell ref="X90:Z92"/>
    <mergeCell ref="AA90:AC92"/>
    <mergeCell ref="AD90:AE92"/>
    <mergeCell ref="AF93:AH95"/>
    <mergeCell ref="AI93:AJ95"/>
    <mergeCell ref="A90:F92"/>
    <mergeCell ref="G90:I92"/>
    <mergeCell ref="J90:L90"/>
    <mergeCell ref="M90:N92"/>
    <mergeCell ref="O90:Q92"/>
    <mergeCell ref="B227:K227"/>
    <mergeCell ref="L227:N227"/>
    <mergeCell ref="O227:Q227"/>
    <mergeCell ref="R227:U227"/>
    <mergeCell ref="V227:W227"/>
    <mergeCell ref="X227:AA227"/>
    <mergeCell ref="AB227:AE227"/>
    <mergeCell ref="AF227:AI227"/>
    <mergeCell ref="AJ227:AM227"/>
    <mergeCell ref="B228:K228"/>
    <mergeCell ref="L228:N228"/>
    <mergeCell ref="O228:Q228"/>
    <mergeCell ref="R228:U228"/>
    <mergeCell ref="V228:W228"/>
    <mergeCell ref="X228:AA228"/>
    <mergeCell ref="AB228:AE228"/>
    <mergeCell ref="AF228:AI228"/>
    <mergeCell ref="AJ228:AM228"/>
  </mergeCells>
  <hyperlinks>
    <hyperlink ref="G11" r:id="rId1" xr:uid="{38D66205-054A-3041-B0A9-0D4DCEBE520E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82B88-7424-394B-864D-00B91A11884F}">
  <dimension ref="A1:AM279"/>
  <sheetViews>
    <sheetView view="pageLayout" zoomScale="140" zoomScaleNormal="100" zoomScalePageLayoutView="140" workbookViewId="0">
      <selection activeCell="AA28" sqref="AA28"/>
    </sheetView>
  </sheetViews>
  <sheetFormatPr defaultColWidth="10.625" defaultRowHeight="15.75"/>
  <cols>
    <col min="1" max="5" width="2.375" customWidth="1"/>
    <col min="6" max="6" width="0.625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Constanta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Floreasca, nr.169A, Cladirea A, Etaj 5, Sectiunea A5.1, Biroul Nr. 43,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RO18762336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J40/9154/2008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RO35 RZBR 0000 0600 1717 1964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14/31.01.2024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35/28.02.2024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1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AB279</f>
        <v>1391966.2999999998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AF279</f>
        <v>264473.59999999998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AJ279</f>
        <v>1656439.9000000001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1656439.9000000001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R242+R256+R257+R260</f>
        <v>1516699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1.0921348929484362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VLOOKUP(AA15,'Date SPV'!$B:$H,4,FALSE)</f>
        <v>Bulevardul Alexandru Lapusneanu, nr. 116C, loc. Constanta, jud. Constanta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5000364449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_xlfn.CONCAT(AA15,"_",1)</f>
        <v>RCSC_1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RO002E212833624/1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RCSC_1.1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1371626280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7917621 (citit)</v>
      </c>
      <c r="S40" s="647"/>
      <c r="T40" s="647"/>
      <c r="U40" s="647" t="str">
        <f>VLOOKUP(A40,Regularizare!$D:$U,4,FALSE)&amp;" ("&amp;VLOOKUP(A40,Regularizare!$D:$U,12,FALSE)&amp;")"</f>
        <v>8270846 (estimat)</v>
      </c>
      <c r="V40" s="647"/>
      <c r="W40" s="647"/>
      <c r="X40" s="647" t="str">
        <f>VLOOKUP(A40,Regularizare!$D:$Y,19,FALSE)&amp;" ("&amp;VLOOKUP(A40,Regularizare!$D:$U,12,FALSE)&amp;")"</f>
        <v>353225 (estimat)</v>
      </c>
      <c r="Y40" s="647"/>
      <c r="Z40" s="647"/>
      <c r="AA40" s="647">
        <f>(-1)*VLOOKUP(A40,Regularizare!$D:$Y,19,FALSE)</f>
        <v>-353225</v>
      </c>
      <c r="AB40" s="647"/>
      <c r="AC40" s="647"/>
      <c r="AD40" s="647" t="s">
        <v>69</v>
      </c>
      <c r="AE40" s="647"/>
      <c r="AF40" s="647">
        <f>AA40</f>
        <v>-353225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1371626280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504170 (citit)</v>
      </c>
      <c r="S43" s="647"/>
      <c r="T43" s="647"/>
      <c r="U43" s="647" t="str">
        <f>VLOOKUP(A43,Regularizare!$D:$U,8,FALSE)&amp;" ("&amp;VLOOKUP(A43,Regularizare!$D:$U,16,FALSE)&amp;")"</f>
        <v>504170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1371626280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34385 (citit)</v>
      </c>
      <c r="S46" s="647"/>
      <c r="T46" s="647"/>
      <c r="U46" s="647" t="str">
        <f>VLOOKUP(A46,Regularizare!$D:$U,10,FALSE)&amp;" ("&amp;VLOOKUP(A46,Regularizare!$D:$U,18,FALSE)&amp;")"</f>
        <v>34385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1371626280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7917621 (citit)</v>
      </c>
      <c r="S49" s="647"/>
      <c r="T49" s="647"/>
      <c r="U49" s="647" t="str">
        <f>VLOOKUP(A49,Regularizare!$D:$AX,25,FALSE)&amp;" ("&amp;VLOOKUP(A49,Regularizare!$D:$AX,26,FALSE)&amp;")"</f>
        <v>8270846 (citit)</v>
      </c>
      <c r="V49" s="647"/>
      <c r="W49" s="647"/>
      <c r="X49" s="647" t="str">
        <f>VLOOKUP(A49,Regularizare!$D:$AX,37,FALSE)&amp;" ("&amp;VLOOKUP(A49,Regularizare!$D:$AX,26,FALSE)&amp;")"</f>
        <v>353225 (citit)</v>
      </c>
      <c r="Y49" s="647"/>
      <c r="Z49" s="647"/>
      <c r="AA49" s="647">
        <f>VLOOKUP(A49,Regularizare!$D:$AX,37,FALSE)</f>
        <v>353225</v>
      </c>
      <c r="AB49" s="647"/>
      <c r="AC49" s="647"/>
      <c r="AD49" s="647" t="s">
        <v>69</v>
      </c>
      <c r="AE49" s="647"/>
      <c r="AF49" s="647">
        <f>AA49</f>
        <v>353225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1371626280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504170 (citit)</v>
      </c>
      <c r="S52" s="647"/>
      <c r="T52" s="647"/>
      <c r="U52" s="647" t="str">
        <f>VLOOKUP(A52,Regularizare!$D:$AX,31,FALSE)&amp;" ("&amp;VLOOKUP(A52,Regularizare!$D:$AX,32,FALSE)&amp;")"</f>
        <v>504189 (citit)</v>
      </c>
      <c r="V52" s="647"/>
      <c r="W52" s="647"/>
      <c r="X52" s="647" t="str">
        <f>VLOOKUP(A52,Regularizare!$D:$AX,39,FALSE)&amp;" ("&amp;VLOOKUP(A52,Regularizare!$D:$AX,32,FALSE)&amp;")"</f>
        <v>19 (citit)</v>
      </c>
      <c r="Y52" s="647"/>
      <c r="Z52" s="647"/>
      <c r="AA52" s="647">
        <f>VLOOKUP(A52,Regularizare!$D:$AX,44,FALSE)+VLOOKUP(A52,Regularizare!$D:$AX,45,FALSE)</f>
        <v>19</v>
      </c>
      <c r="AB52" s="647"/>
      <c r="AC52" s="647"/>
      <c r="AD52" s="647" t="s">
        <v>69</v>
      </c>
      <c r="AE52" s="647"/>
      <c r="AF52" s="647">
        <f>AA52</f>
        <v>19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1371626280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34385 (citit)</v>
      </c>
      <c r="S55" s="647"/>
      <c r="T55" s="647"/>
      <c r="U55" s="647" t="str">
        <f>VLOOKUP(A55,Regularizare!$D:$AX,35,FALSE)&amp;" ("&amp;VLOOKUP(A55,Regularizare!$D:$AX,36,FALSE)&amp;")"</f>
        <v>34385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1371626280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8270846 (citit)</v>
      </c>
      <c r="S58" s="647"/>
      <c r="T58" s="647"/>
      <c r="U58" s="647" t="str">
        <f>VLOOKUP(A58,'Incrementare indexe'!$D:$M,4,FALSE)&amp;" (estimat)"</f>
        <v>8651404 (estimat)</v>
      </c>
      <c r="V58" s="647"/>
      <c r="W58" s="647"/>
      <c r="X58" s="647" t="str">
        <f>VLOOKUP(A58,'Incrementare indexe'!$D:$Q,11,FALSE)&amp;" (estimat)"</f>
        <v>380558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380558</v>
      </c>
      <c r="AG58" s="647"/>
      <c r="AH58" s="647"/>
      <c r="AI58" s="647">
        <f>J60-J58+1</f>
        <v>31</v>
      </c>
      <c r="AJ58" s="647"/>
      <c r="AK58" s="647">
        <f>ROUND(AF58/AI58,2)</f>
        <v>12276.06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1371626280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504189 (citit)</v>
      </c>
      <c r="S61" s="647"/>
      <c r="T61" s="647"/>
      <c r="U61" s="647" t="str">
        <f>VLOOKUP(A61,'Incrementare indexe'!$D:$M,8,FALSE)&amp;" (estimat)"</f>
        <v>504189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1371626280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34385 (citit)</v>
      </c>
      <c r="S64" s="647"/>
      <c r="T64" s="647"/>
      <c r="U64" s="647" t="str">
        <f>VLOOKUP(A64,'Incrementare indexe'!$D:$M,10,FALSE)&amp;" (estimat)"</f>
        <v>34385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/>
    <row r="68" spans="1:39" ht="14.1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</row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8.4499999999999993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14.1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14.1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>
      <c r="A80" s="649" t="s">
        <v>748</v>
      </c>
      <c r="B80" s="649"/>
      <c r="C80" s="649"/>
      <c r="D80" s="649"/>
      <c r="E80" s="649"/>
      <c r="F80" s="649"/>
      <c r="G80" s="649"/>
      <c r="H80" s="649"/>
      <c r="I80" s="649"/>
      <c r="J80" s="649"/>
      <c r="K80" s="649"/>
      <c r="L80" s="649"/>
      <c r="M80" s="650" t="str">
        <f>VLOOKUP(AI81,'Contorizare in SDI'!$E:$I,4,FALSE)</f>
        <v>RO002E212833624/2</v>
      </c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650" t="s">
        <v>695</v>
      </c>
      <c r="AJ80" s="650"/>
      <c r="AK80" s="650"/>
      <c r="AL80" s="650"/>
      <c r="AM80" s="650"/>
    </row>
    <row r="81" spans="1:39">
      <c r="A81" s="649" t="s">
        <v>746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VLOOKUP(AI81,'Inchidere contur'!$G:$U,15,FALSE)</f>
        <v>JT_SDI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19" t="str">
        <f>_xlfn.CONCAT(AA31,".",2)</f>
        <v>RCSC_1.2</v>
      </c>
      <c r="AJ81" s="619"/>
      <c r="AK81" s="619"/>
      <c r="AL81" s="619"/>
      <c r="AM81" s="619"/>
    </row>
    <row r="82" spans="1:39">
      <c r="A82" s="649" t="s">
        <v>747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IF(LEFT(M81,2)="JT","0.4kV",IF(LEFT(M81,2)="MT","20kV","-"))</f>
        <v>0.4kV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/>
      <c r="AJ82" s="619"/>
      <c r="AK82" s="619"/>
      <c r="AL82" s="619"/>
      <c r="AM82" s="619"/>
    </row>
    <row r="83" spans="1:39" ht="15.95" customHeight="1">
      <c r="A83" s="648" t="s">
        <v>697</v>
      </c>
      <c r="B83" s="648"/>
      <c r="C83" s="648"/>
      <c r="D83" s="648"/>
      <c r="E83" s="648"/>
      <c r="F83" s="648"/>
      <c r="G83" s="647" t="s">
        <v>713</v>
      </c>
      <c r="H83" s="647"/>
      <c r="I83" s="647"/>
      <c r="J83" s="647" t="s">
        <v>714</v>
      </c>
      <c r="K83" s="647"/>
      <c r="L83" s="647"/>
      <c r="M83" s="648" t="s">
        <v>519</v>
      </c>
      <c r="N83" s="648"/>
      <c r="O83" s="648" t="s">
        <v>715</v>
      </c>
      <c r="P83" s="648"/>
      <c r="Q83" s="648"/>
      <c r="R83" s="647" t="s">
        <v>732</v>
      </c>
      <c r="S83" s="647"/>
      <c r="T83" s="647"/>
      <c r="U83" s="647" t="s">
        <v>734</v>
      </c>
      <c r="V83" s="647"/>
      <c r="W83" s="647"/>
      <c r="X83" s="647" t="s">
        <v>1085</v>
      </c>
      <c r="Y83" s="647"/>
      <c r="Z83" s="647"/>
      <c r="AA83" s="647" t="s">
        <v>1086</v>
      </c>
      <c r="AB83" s="647"/>
      <c r="AC83" s="647"/>
      <c r="AD83" s="647" t="s">
        <v>717</v>
      </c>
      <c r="AE83" s="647"/>
      <c r="AF83" s="647" t="s">
        <v>718</v>
      </c>
      <c r="AG83" s="647"/>
      <c r="AH83" s="647"/>
      <c r="AI83" s="647" t="s">
        <v>719</v>
      </c>
      <c r="AJ83" s="647"/>
      <c r="AK83" s="647" t="s">
        <v>733</v>
      </c>
      <c r="AL83" s="647"/>
      <c r="AM83" s="647"/>
    </row>
    <row r="84" spans="1:39">
      <c r="A84" s="648"/>
      <c r="B84" s="648"/>
      <c r="C84" s="648"/>
      <c r="D84" s="648"/>
      <c r="E84" s="648"/>
      <c r="F84" s="648"/>
      <c r="G84" s="647"/>
      <c r="H84" s="647"/>
      <c r="I84" s="647"/>
      <c r="J84" s="647"/>
      <c r="K84" s="647"/>
      <c r="L84" s="647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713"/>
      <c r="K85" s="713"/>
      <c r="L85" s="713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78">
        <f>VLOOKUP(AI81,'Contorizare in SDI'!$E:$I,5,FALSE)</f>
        <v>1371624296</v>
      </c>
      <c r="B86" s="679"/>
      <c r="C86" s="679"/>
      <c r="D86" s="679"/>
      <c r="E86" s="679"/>
      <c r="F86" s="680"/>
      <c r="G86" s="648" t="s">
        <v>730</v>
      </c>
      <c r="H86" s="648"/>
      <c r="I86" s="673"/>
      <c r="J86" s="655">
        <f>'Date masura OD'!$AK$5</f>
        <v>45748</v>
      </c>
      <c r="K86" s="656"/>
      <c r="L86" s="657"/>
      <c r="M86" s="720" t="s">
        <v>446</v>
      </c>
      <c r="N86" s="648"/>
      <c r="O86" s="648">
        <f>VLOOKUP(AI81,'Incrementare indexe'!$B:$T,4,FALSE)</f>
        <v>1</v>
      </c>
      <c r="P86" s="648"/>
      <c r="Q86" s="648"/>
      <c r="R86" s="647" t="str">
        <f>VLOOKUP(A86,Regularizare!$D:$YN,3,FALSE)&amp;" ("&amp;VLOOKUP(A86,Regularizare!$D:$Y,11,FALSE)&amp;")"</f>
        <v>4250187.99999999 (citit)</v>
      </c>
      <c r="S86" s="647"/>
      <c r="T86" s="647"/>
      <c r="U86" s="647" t="str">
        <f>VLOOKUP(A86,Regularizare!$D:$U,4,FALSE)&amp;" ("&amp;VLOOKUP(A86,Regularizare!$D:$U,12,FALSE)&amp;")"</f>
        <v>4437214.99999999 (estimat)</v>
      </c>
      <c r="V86" s="647"/>
      <c r="W86" s="647"/>
      <c r="X86" s="647" t="str">
        <f>VLOOKUP(A86,Regularizare!$D:$Y,19,FALSE)&amp;" ("&amp;VLOOKUP(A86,Regularizare!$D:$U,12,FALSE)&amp;")"</f>
        <v>187027 (estimat)</v>
      </c>
      <c r="Y86" s="647"/>
      <c r="Z86" s="647"/>
      <c r="AA86" s="647">
        <f>(-1)*VLOOKUP(A86,Regularizare!$D:$Y,19,FALSE)</f>
        <v>-187027</v>
      </c>
      <c r="AB86" s="647"/>
      <c r="AC86" s="647"/>
      <c r="AD86" s="647" t="s">
        <v>69</v>
      </c>
      <c r="AE86" s="647"/>
      <c r="AF86" s="647">
        <f>AA86</f>
        <v>-187027</v>
      </c>
      <c r="AG86" s="647"/>
      <c r="AH86" s="647"/>
      <c r="AI86" s="647" t="s">
        <v>69</v>
      </c>
      <c r="AJ86" s="647"/>
      <c r="AK86" s="647" t="s">
        <v>69</v>
      </c>
      <c r="AL86" s="647"/>
      <c r="AM86" s="647"/>
    </row>
    <row r="87" spans="1:39" ht="9.75" customHeight="1">
      <c r="A87" s="717"/>
      <c r="B87" s="718"/>
      <c r="C87" s="718"/>
      <c r="D87" s="718"/>
      <c r="E87" s="718"/>
      <c r="F87" s="719"/>
      <c r="G87" s="648"/>
      <c r="H87" s="648"/>
      <c r="I87" s="673"/>
      <c r="J87" s="717" t="s">
        <v>69</v>
      </c>
      <c r="K87" s="718"/>
      <c r="L87" s="719"/>
      <c r="M87" s="720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81"/>
      <c r="B88" s="682"/>
      <c r="C88" s="682"/>
      <c r="D88" s="682"/>
      <c r="E88" s="682"/>
      <c r="F88" s="683"/>
      <c r="G88" s="648"/>
      <c r="H88" s="648"/>
      <c r="I88" s="673"/>
      <c r="J88" s="714">
        <f>'Date masura OD'!$AL$5</f>
        <v>45777</v>
      </c>
      <c r="K88" s="715"/>
      <c r="L88" s="716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78">
        <f>A86</f>
        <v>1371624296</v>
      </c>
      <c r="B89" s="679"/>
      <c r="C89" s="679"/>
      <c r="D89" s="679"/>
      <c r="E89" s="679"/>
      <c r="F89" s="680"/>
      <c r="G89" s="648" t="s">
        <v>696</v>
      </c>
      <c r="H89" s="648"/>
      <c r="I89" s="648"/>
      <c r="J89" s="655">
        <f t="shared" ref="J89:J94" si="3">J86</f>
        <v>45748</v>
      </c>
      <c r="K89" s="656"/>
      <c r="L89" s="657"/>
      <c r="M89" s="648" t="s">
        <v>720</v>
      </c>
      <c r="N89" s="648"/>
      <c r="O89" s="648">
        <f>O86</f>
        <v>1</v>
      </c>
      <c r="P89" s="648"/>
      <c r="Q89" s="648"/>
      <c r="R89" s="647" t="str">
        <f>VLOOKUP(A89,Regularizare!$D:$U,7,FALSE)&amp;" ("&amp;VLOOKUP(A89,Regularizare!$D:$U,15,FALSE)&amp;")"</f>
        <v>545651 (citit)</v>
      </c>
      <c r="S89" s="647"/>
      <c r="T89" s="647"/>
      <c r="U89" s="647" t="str">
        <f>VLOOKUP(A89,Regularizare!$D:$U,8,FALSE)&amp;" ("&amp;VLOOKUP(A89,Regularizare!$D:$U,16,FALSE)&amp;")"</f>
        <v>545651 (estimat)</v>
      </c>
      <c r="V89" s="647"/>
      <c r="W89" s="647"/>
      <c r="X89" s="647" t="str">
        <f>_xlfn.CONCAT(VLOOKUP(A89,Regularizare!$D:$U,8,FALSE)-VLOOKUP(A89,Regularizare!$D:$U,7,FALSE)," (",VLOOKUP(A89,Regularizare!$D:$U,16,FALSE),")")</f>
        <v>0 (estimat)</v>
      </c>
      <c r="Y89" s="647"/>
      <c r="Z89" s="647"/>
      <c r="AA89" s="647">
        <f>IF(VLOOKUP(A89,Regularizare!$D:$Y,21,FALSE)=0,VLOOKUP(A89,Regularizare!$D:$Y,21,FALSE),(-1)*VLOOKUP(A89,Regularizare!$D:$Y,21,FALSE))</f>
        <v>0</v>
      </c>
      <c r="AB89" s="647"/>
      <c r="AC89" s="647"/>
      <c r="AD89" s="647" t="s">
        <v>69</v>
      </c>
      <c r="AE89" s="647"/>
      <c r="AF89" s="647">
        <f>AA89</f>
        <v>0</v>
      </c>
      <c r="AG89" s="647"/>
      <c r="AH89" s="647"/>
      <c r="AI89" s="647" t="str">
        <f>AI86</f>
        <v>-</v>
      </c>
      <c r="AJ89" s="647"/>
      <c r="AK89" s="647" t="str">
        <f>AK86</f>
        <v>-</v>
      </c>
      <c r="AL89" s="647"/>
      <c r="AM89" s="647"/>
    </row>
    <row r="90" spans="1:39" ht="8.4499999999999993" customHeight="1">
      <c r="A90" s="717"/>
      <c r="B90" s="718"/>
      <c r="C90" s="718"/>
      <c r="D90" s="718"/>
      <c r="E90" s="718"/>
      <c r="F90" s="719"/>
      <c r="G90" s="648"/>
      <c r="H90" s="648"/>
      <c r="I90" s="648"/>
      <c r="J90" s="717" t="str">
        <f t="shared" si="3"/>
        <v>-</v>
      </c>
      <c r="K90" s="718"/>
      <c r="L90" s="719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1"/>
      <c r="B91" s="682"/>
      <c r="C91" s="682"/>
      <c r="D91" s="682"/>
      <c r="E91" s="682"/>
      <c r="F91" s="683"/>
      <c r="G91" s="648"/>
      <c r="H91" s="648"/>
      <c r="I91" s="648"/>
      <c r="J91" s="714">
        <f t="shared" si="3"/>
        <v>45777</v>
      </c>
      <c r="K91" s="715"/>
      <c r="L91" s="716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A89</f>
        <v>1371624296</v>
      </c>
      <c r="B92" s="679"/>
      <c r="C92" s="679"/>
      <c r="D92" s="679"/>
      <c r="E92" s="679"/>
      <c r="F92" s="680"/>
      <c r="G92" s="648" t="s">
        <v>731</v>
      </c>
      <c r="H92" s="648"/>
      <c r="I92" s="648"/>
      <c r="J92" s="655">
        <f t="shared" si="3"/>
        <v>45748</v>
      </c>
      <c r="K92" s="656"/>
      <c r="L92" s="657"/>
      <c r="M92" s="648" t="s">
        <v>720</v>
      </c>
      <c r="N92" s="648"/>
      <c r="O92" s="648">
        <f>O89</f>
        <v>1</v>
      </c>
      <c r="P92" s="648"/>
      <c r="Q92" s="648"/>
      <c r="R92" s="647" t="str">
        <f>VLOOKUP(A92,Regularizare!$D:$U,9,FALSE)&amp;" ("&amp;VLOOKUP(A92,Regularizare!$D:$U,17,FALSE)&amp;")"</f>
        <v>1904 (citit)</v>
      </c>
      <c r="S92" s="647"/>
      <c r="T92" s="647"/>
      <c r="U92" s="647" t="str">
        <f>VLOOKUP(A92,Regularizare!$D:$U,10,FALSE)&amp;" ("&amp;VLOOKUP(A92,Regularizare!$D:$U,18,FALSE)&amp;")"</f>
        <v>1904 (estimat)</v>
      </c>
      <c r="V92" s="647"/>
      <c r="W92" s="647"/>
      <c r="X92" s="647" t="str">
        <f>_xlfn.CONCAT(VLOOKUP(A92,Regularizare!$D:$U,10,FALSE)-VLOOKUP(A92,Regularizare!$D:$U,9,FALSE)," (",VLOOKUP(A92,Regularizare!$D:$U,18,FALSE),")")</f>
        <v>0 (estimat)</v>
      </c>
      <c r="Y92" s="647"/>
      <c r="Z92" s="647"/>
      <c r="AA92" s="647">
        <f>IF(VLOOKUP(A92,Regularizare!$D:$Y,22,FALSE)=0,VLOOKUP(A92,Regularizare!$D:$Y,22,FALSE),(-1)*VLOOKUP(A92,Regularizare!$D:$Y,22,FALSE))</f>
        <v>0</v>
      </c>
      <c r="AB92" s="647"/>
      <c r="AC92" s="647"/>
      <c r="AD92" s="647" t="s">
        <v>69</v>
      </c>
      <c r="AE92" s="647"/>
      <c r="AF92" s="647">
        <f>AA92</f>
        <v>0</v>
      </c>
      <c r="AG92" s="647"/>
      <c r="AH92" s="647"/>
      <c r="AI92" s="647" t="str">
        <f>AI89</f>
        <v>-</v>
      </c>
      <c r="AJ92" s="647"/>
      <c r="AK92" s="647" t="str">
        <f>AK89</f>
        <v>-</v>
      </c>
      <c r="AL92" s="647"/>
      <c r="AM92" s="647"/>
    </row>
    <row r="93" spans="1:39" ht="8.4499999999999993" customHeight="1">
      <c r="A93" s="717"/>
      <c r="B93" s="718"/>
      <c r="C93" s="718"/>
      <c r="D93" s="718"/>
      <c r="E93" s="718"/>
      <c r="F93" s="719"/>
      <c r="G93" s="648"/>
      <c r="H93" s="648"/>
      <c r="I93" s="648"/>
      <c r="J93" s="717" t="str">
        <f t="shared" si="3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48"/>
      <c r="J94" s="714">
        <f t="shared" si="3"/>
        <v>45777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78">
        <f>A92</f>
        <v>1371624296</v>
      </c>
      <c r="B95" s="679"/>
      <c r="C95" s="679"/>
      <c r="D95" s="679"/>
      <c r="E95" s="679"/>
      <c r="F95" s="680"/>
      <c r="G95" s="648" t="s">
        <v>730</v>
      </c>
      <c r="H95" s="648"/>
      <c r="I95" s="673"/>
      <c r="J95" s="655">
        <f>'Date masura OD'!$AK$5</f>
        <v>45748</v>
      </c>
      <c r="K95" s="656"/>
      <c r="L95" s="657"/>
      <c r="M95" s="720" t="s">
        <v>446</v>
      </c>
      <c r="N95" s="648"/>
      <c r="O95" s="648">
        <f>O92</f>
        <v>1</v>
      </c>
      <c r="P95" s="648"/>
      <c r="Q95" s="648"/>
      <c r="R95" s="647" t="str">
        <f>VLOOKUP(A95,Regularizare!$D:$AX,23,FALSE)&amp;" ("&amp;VLOOKUP(A95,Regularizare!$D:$AX,24,FALSE)&amp;")"</f>
        <v>4250187.99999999 (citit)</v>
      </c>
      <c r="S95" s="647"/>
      <c r="T95" s="647"/>
      <c r="U95" s="647" t="str">
        <f>VLOOKUP(A95,Regularizare!$D:$AX,25,FALSE)&amp;" ("&amp;VLOOKUP(A95,Regularizare!$D:$AX,26,FALSE)&amp;")"</f>
        <v>4437214.99999999 (citit)</v>
      </c>
      <c r="V95" s="647"/>
      <c r="W95" s="647"/>
      <c r="X95" s="647" t="str">
        <f>VLOOKUP(A95,Regularizare!$D:$AX,37,FALSE)&amp;" ("&amp;VLOOKUP(A95,Regularizare!$D:$AX,26,FALSE)&amp;")"</f>
        <v>187027 (citit)</v>
      </c>
      <c r="Y95" s="647"/>
      <c r="Z95" s="647"/>
      <c r="AA95" s="647">
        <f>VLOOKUP(A95,Regularizare!$D:$AX,37,FALSE)</f>
        <v>187027</v>
      </c>
      <c r="AB95" s="647"/>
      <c r="AC95" s="647"/>
      <c r="AD95" s="647" t="s">
        <v>69</v>
      </c>
      <c r="AE95" s="647"/>
      <c r="AF95" s="647">
        <f>AA95</f>
        <v>187027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17"/>
      <c r="B96" s="718"/>
      <c r="C96" s="718"/>
      <c r="D96" s="718"/>
      <c r="E96" s="718"/>
      <c r="F96" s="719"/>
      <c r="G96" s="648"/>
      <c r="H96" s="648"/>
      <c r="I96" s="673"/>
      <c r="J96" s="717" t="s">
        <v>69</v>
      </c>
      <c r="K96" s="718"/>
      <c r="L96" s="719"/>
      <c r="M96" s="720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1"/>
      <c r="B97" s="682"/>
      <c r="C97" s="682"/>
      <c r="D97" s="682"/>
      <c r="E97" s="682"/>
      <c r="F97" s="683"/>
      <c r="G97" s="648"/>
      <c r="H97" s="648"/>
      <c r="I97" s="673"/>
      <c r="J97" s="714">
        <f>'Date masura OD'!$AL$5</f>
        <v>45777</v>
      </c>
      <c r="K97" s="715"/>
      <c r="L97" s="716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78">
        <f>A95</f>
        <v>1371624296</v>
      </c>
      <c r="B98" s="679"/>
      <c r="C98" s="679"/>
      <c r="D98" s="679"/>
      <c r="E98" s="679"/>
      <c r="F98" s="680"/>
      <c r="G98" s="648" t="s">
        <v>696</v>
      </c>
      <c r="H98" s="648"/>
      <c r="I98" s="648"/>
      <c r="J98" s="655">
        <f t="shared" ref="J98:J103" si="4">J95</f>
        <v>45748</v>
      </c>
      <c r="K98" s="656"/>
      <c r="L98" s="657"/>
      <c r="M98" s="648" t="s">
        <v>720</v>
      </c>
      <c r="N98" s="648"/>
      <c r="O98" s="648">
        <f>O95</f>
        <v>1</v>
      </c>
      <c r="P98" s="648"/>
      <c r="Q98" s="648"/>
      <c r="R98" s="647" t="str">
        <f>VLOOKUP(A98,Regularizare!$D:$AX,29,FALSE)&amp;" ("&amp;VLOOKUP(A98,Regularizare!$D:$AX,30,FALSE)&amp;")"</f>
        <v>545651 (citit)</v>
      </c>
      <c r="S98" s="647"/>
      <c r="T98" s="647"/>
      <c r="U98" s="647" t="str">
        <f>VLOOKUP(A98,Regularizare!$D:$AX,31,FALSE)&amp;" ("&amp;VLOOKUP(A98,Regularizare!$D:$AX,32,FALSE)&amp;")"</f>
        <v>545661 (citit)</v>
      </c>
      <c r="V98" s="647"/>
      <c r="W98" s="647"/>
      <c r="X98" s="647" t="str">
        <f>VLOOKUP(A98,Regularizare!$D:$AX,39,FALSE)&amp;" ("&amp;VLOOKUP(A98,Regularizare!$D:$AX,32,FALSE)&amp;")"</f>
        <v>10 (citit)</v>
      </c>
      <c r="Y98" s="647"/>
      <c r="Z98" s="647"/>
      <c r="AA98" s="647">
        <f>VLOOKUP(A98,Regularizare!$D:$AX,44,FALSE)+VLOOKUP(A98,Regularizare!$D:$AX,45,FALSE)</f>
        <v>10</v>
      </c>
      <c r="AB98" s="647"/>
      <c r="AC98" s="647"/>
      <c r="AD98" s="647" t="s">
        <v>69</v>
      </c>
      <c r="AE98" s="647"/>
      <c r="AF98" s="647">
        <f>AA98</f>
        <v>10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17"/>
      <c r="B99" s="718"/>
      <c r="C99" s="718"/>
      <c r="D99" s="718"/>
      <c r="E99" s="718"/>
      <c r="F99" s="719"/>
      <c r="G99" s="648"/>
      <c r="H99" s="648"/>
      <c r="I99" s="648"/>
      <c r="J99" s="717" t="str">
        <f t="shared" si="4"/>
        <v>-</v>
      </c>
      <c r="K99" s="718"/>
      <c r="L99" s="719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1"/>
      <c r="B100" s="682"/>
      <c r="C100" s="682"/>
      <c r="D100" s="682"/>
      <c r="E100" s="682"/>
      <c r="F100" s="683"/>
      <c r="G100" s="648"/>
      <c r="H100" s="648"/>
      <c r="I100" s="648"/>
      <c r="J100" s="714">
        <f t="shared" si="4"/>
        <v>45777</v>
      </c>
      <c r="K100" s="715"/>
      <c r="L100" s="716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78">
        <f>A98</f>
        <v>1371624296</v>
      </c>
      <c r="B101" s="679"/>
      <c r="C101" s="679"/>
      <c r="D101" s="679"/>
      <c r="E101" s="679"/>
      <c r="F101" s="680"/>
      <c r="G101" s="648" t="s">
        <v>731</v>
      </c>
      <c r="H101" s="648"/>
      <c r="I101" s="648"/>
      <c r="J101" s="655">
        <f t="shared" si="4"/>
        <v>45748</v>
      </c>
      <c r="K101" s="656"/>
      <c r="L101" s="657"/>
      <c r="M101" s="648" t="s">
        <v>720</v>
      </c>
      <c r="N101" s="648"/>
      <c r="O101" s="648">
        <f>O98</f>
        <v>1</v>
      </c>
      <c r="P101" s="648"/>
      <c r="Q101" s="648"/>
      <c r="R101" s="647" t="str">
        <f>VLOOKUP(A101,Regularizare!$D:$AX,33,FALSE)&amp;" ("&amp;VLOOKUP(A101,Regularizare!$D:$AX,34,FALSE)&amp;")"</f>
        <v>1904 (citit)</v>
      </c>
      <c r="S101" s="647"/>
      <c r="T101" s="647"/>
      <c r="U101" s="647" t="str">
        <f>VLOOKUP(A101,Regularizare!$D:$AX,35,FALSE)&amp;" ("&amp;VLOOKUP(A101,Regularizare!$D:$AX,36,FALSE)&amp;")"</f>
        <v>1904 (citit)</v>
      </c>
      <c r="V101" s="647"/>
      <c r="W101" s="647"/>
      <c r="X101" s="647" t="str">
        <f>VLOOKUP(A101,Regularizare!$D:$AX,40,FALSE)&amp;" ("&amp;VLOOKUP(A101,Regularizare!$D:$AX,36,FALSE)&amp;")"</f>
        <v>0 (citit)</v>
      </c>
      <c r="Y101" s="647"/>
      <c r="Z101" s="647"/>
      <c r="AA101" s="647">
        <f>VLOOKUP(A101,Regularizare!$D:$AX,46,FALSE)+VLOOKUP(A101,Regularizare!$D:$AX,47,FALSE)</f>
        <v>0</v>
      </c>
      <c r="AB101" s="647"/>
      <c r="AC101" s="647"/>
      <c r="AD101" s="647" t="s">
        <v>69</v>
      </c>
      <c r="AE101" s="647"/>
      <c r="AF101" s="647">
        <f>AA101</f>
        <v>0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17"/>
      <c r="B102" s="718"/>
      <c r="C102" s="718"/>
      <c r="D102" s="718"/>
      <c r="E102" s="718"/>
      <c r="F102" s="719"/>
      <c r="G102" s="648"/>
      <c r="H102" s="648"/>
      <c r="I102" s="648"/>
      <c r="J102" s="717" t="str">
        <f t="shared" si="4"/>
        <v>-</v>
      </c>
      <c r="K102" s="718"/>
      <c r="L102" s="719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1"/>
      <c r="B103" s="682"/>
      <c r="C103" s="682"/>
      <c r="D103" s="682"/>
      <c r="E103" s="682"/>
      <c r="F103" s="683"/>
      <c r="G103" s="648"/>
      <c r="H103" s="648"/>
      <c r="I103" s="648"/>
      <c r="J103" s="714">
        <f t="shared" si="4"/>
        <v>45777</v>
      </c>
      <c r="K103" s="715"/>
      <c r="L103" s="716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A101</f>
        <v>1371624296</v>
      </c>
      <c r="B104" s="679"/>
      <c r="C104" s="679"/>
      <c r="D104" s="679"/>
      <c r="E104" s="679"/>
      <c r="F104" s="680"/>
      <c r="G104" s="648" t="s">
        <v>730</v>
      </c>
      <c r="H104" s="648"/>
      <c r="I104" s="673"/>
      <c r="J104" s="655">
        <f>'Date masura OD'!$I$5</f>
        <v>45778</v>
      </c>
      <c r="K104" s="656"/>
      <c r="L104" s="657"/>
      <c r="M104" s="720" t="s">
        <v>446</v>
      </c>
      <c r="N104" s="648"/>
      <c r="O104" s="648">
        <f>O101</f>
        <v>1</v>
      </c>
      <c r="P104" s="648"/>
      <c r="Q104" s="648"/>
      <c r="R104" s="647" t="str">
        <f>U95</f>
        <v>4437214.99999999 (citit)</v>
      </c>
      <c r="S104" s="647"/>
      <c r="T104" s="647"/>
      <c r="U104" s="647" t="str">
        <f>VLOOKUP(A104,'Incrementare indexe'!$D:$M,4,FALSE)&amp;" (estimat)"</f>
        <v>4653802.99999999 (estimat)</v>
      </c>
      <c r="V104" s="647"/>
      <c r="W104" s="647"/>
      <c r="X104" s="647" t="str">
        <f>VLOOKUP(A104,'Incrementare indexe'!$D:$Q,11,FALSE)&amp;" (estimat)"</f>
        <v>216588 (estimat)</v>
      </c>
      <c r="Y104" s="647"/>
      <c r="Z104" s="647"/>
      <c r="AA104" s="647" t="s">
        <v>69</v>
      </c>
      <c r="AB104" s="647"/>
      <c r="AC104" s="647"/>
      <c r="AD104" s="647" t="s">
        <v>69</v>
      </c>
      <c r="AE104" s="647"/>
      <c r="AF104" s="647">
        <f>VLOOKUP(A104,'Incrementare indexe'!$D:$Q,11,FALSE)</f>
        <v>216588</v>
      </c>
      <c r="AG104" s="647"/>
      <c r="AH104" s="647"/>
      <c r="AI104" s="647">
        <f>J106-J104+1</f>
        <v>31</v>
      </c>
      <c r="AJ104" s="647"/>
      <c r="AK104" s="647">
        <f>ROUND(AF104/AI104,2)</f>
        <v>6986.71</v>
      </c>
      <c r="AL104" s="647"/>
      <c r="AM104" s="647"/>
    </row>
    <row r="105" spans="1:39" ht="8.4499999999999993" customHeight="1">
      <c r="A105" s="717"/>
      <c r="B105" s="718"/>
      <c r="C105" s="718"/>
      <c r="D105" s="718"/>
      <c r="E105" s="718"/>
      <c r="F105" s="719"/>
      <c r="G105" s="648"/>
      <c r="H105" s="648"/>
      <c r="I105" s="673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73"/>
      <c r="J106" s="714">
        <f>'Date masura OD'!$J$5</f>
        <v>45808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1371624296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5">J104</f>
        <v>45778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U98</f>
        <v>545661 (citit)</v>
      </c>
      <c r="S107" s="647"/>
      <c r="T107" s="647"/>
      <c r="U107" s="647" t="str">
        <f>VLOOKUP(A107,'Incrementare indexe'!$D:$M,8,FALSE)&amp;" (estimat)"</f>
        <v>545661 (estimat)</v>
      </c>
      <c r="V107" s="647"/>
      <c r="W107" s="647"/>
      <c r="X107" s="647" t="str">
        <f>VLOOKUP(A107,'Incrementare indexe'!$D:$Q,12,FALSE)&amp;" (estimat)"</f>
        <v>0 (estimat)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f>VLOOKUP(A107,'Incrementare indexe'!$D:$Q,12,FALSE)</f>
        <v>0</v>
      </c>
      <c r="AG107" s="647"/>
      <c r="AH107" s="647"/>
      <c r="AI107" s="647">
        <f>AI104</f>
        <v>31</v>
      </c>
      <c r="AJ107" s="647"/>
      <c r="AK107" s="647">
        <f>ROUND(AF107/AI107,2)</f>
        <v>0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5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5"/>
        <v>45808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1371624296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5"/>
        <v>45778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U101</f>
        <v>1904 (citit)</v>
      </c>
      <c r="S110" s="647"/>
      <c r="T110" s="647"/>
      <c r="U110" s="647" t="str">
        <f>VLOOKUP(A110,'Incrementare indexe'!$D:$M,10,FALSE)&amp;" (estimat)"</f>
        <v>1904 (estimat)</v>
      </c>
      <c r="V110" s="647"/>
      <c r="W110" s="647"/>
      <c r="X110" s="647" t="str">
        <f>VLOOKUP(A110,'Incrementare indexe'!$D:$Q,13,FALSE)&amp;" (estimat)"</f>
        <v>0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indexe'!$D:$Q,13,FALSE)</f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5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5"/>
        <v>45808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/>
    <row r="114" spans="1:39" ht="14.1" customHeight="1"/>
    <row r="115" spans="1:39" ht="14.1" customHeight="1">
      <c r="A115" s="721" t="s">
        <v>1196</v>
      </c>
      <c r="B115" s="722"/>
      <c r="C115" s="722"/>
      <c r="D115" s="722"/>
      <c r="E115" s="722"/>
      <c r="F115" s="722"/>
      <c r="G115" s="722"/>
      <c r="H115" s="722"/>
      <c r="I115" s="722"/>
      <c r="J115" s="722"/>
      <c r="K115" s="722"/>
      <c r="L115" s="722"/>
      <c r="M115" s="722"/>
      <c r="N115" s="722"/>
      <c r="O115" s="722"/>
      <c r="P115" s="722"/>
      <c r="Q115" s="722"/>
      <c r="R115" s="722"/>
      <c r="S115" s="722"/>
      <c r="T115" s="722"/>
      <c r="U115" s="722"/>
      <c r="V115" s="722"/>
      <c r="W115" s="722"/>
      <c r="X115" s="722"/>
      <c r="Y115" s="722"/>
      <c r="Z115" s="722"/>
      <c r="AA115" s="722"/>
      <c r="AB115" s="722"/>
      <c r="AC115" s="722"/>
      <c r="AD115" s="722"/>
      <c r="AE115" s="722"/>
      <c r="AF115" s="722"/>
      <c r="AG115" s="722"/>
      <c r="AH115" s="723"/>
      <c r="AI115" s="650" t="s">
        <v>695</v>
      </c>
      <c r="AJ115" s="650"/>
      <c r="AK115" s="650"/>
      <c r="AL115" s="650"/>
      <c r="AM115" s="650"/>
    </row>
    <row r="116" spans="1:39" ht="14.1" customHeight="1">
      <c r="A116" s="649" t="s">
        <v>746</v>
      </c>
      <c r="B116" s="649"/>
      <c r="C116" s="649"/>
      <c r="D116" s="649"/>
      <c r="E116" s="649"/>
      <c r="F116" s="649"/>
      <c r="G116" s="649"/>
      <c r="H116" s="649"/>
      <c r="I116" s="649"/>
      <c r="J116" s="649"/>
      <c r="K116" s="649"/>
      <c r="L116" s="649"/>
      <c r="M116" s="650" t="s">
        <v>514</v>
      </c>
      <c r="N116" s="650"/>
      <c r="O116" s="650"/>
      <c r="P116" s="650"/>
      <c r="Q116" s="650"/>
      <c r="R116" s="650"/>
      <c r="S116" s="650"/>
      <c r="T116" s="650"/>
      <c r="U116" s="650"/>
      <c r="V116" s="650"/>
      <c r="W116" s="650"/>
      <c r="X116" s="650"/>
      <c r="Y116" s="650"/>
      <c r="Z116" s="650"/>
      <c r="AA116" s="650"/>
      <c r="AB116" s="650"/>
      <c r="AC116" s="650"/>
      <c r="AD116" s="650"/>
      <c r="AE116" s="650"/>
      <c r="AF116" s="650"/>
      <c r="AG116" s="650"/>
      <c r="AH116" s="650"/>
      <c r="AI116" s="619" t="str">
        <f>_xlfn.CONCAT(AI81,"/PV")</f>
        <v>RCSC_1.2/PV</v>
      </c>
      <c r="AJ116" s="619"/>
      <c r="AK116" s="619"/>
      <c r="AL116" s="619"/>
      <c r="AM116" s="619"/>
    </row>
    <row r="117" spans="1:39" ht="14.1" customHeight="1">
      <c r="A117" s="649" t="s">
        <v>747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1087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/>
      <c r="AJ117" s="619"/>
      <c r="AK117" s="619"/>
      <c r="AL117" s="619"/>
      <c r="AM117" s="619"/>
    </row>
    <row r="118" spans="1:39" ht="14.1" customHeight="1">
      <c r="A118" s="648" t="s">
        <v>697</v>
      </c>
      <c r="B118" s="648"/>
      <c r="C118" s="648"/>
      <c r="D118" s="648"/>
      <c r="E118" s="648"/>
      <c r="F118" s="648"/>
      <c r="G118" s="647" t="s">
        <v>713</v>
      </c>
      <c r="H118" s="647"/>
      <c r="I118" s="647"/>
      <c r="J118" s="647" t="s">
        <v>714</v>
      </c>
      <c r="K118" s="647"/>
      <c r="L118" s="647"/>
      <c r="M118" s="648" t="s">
        <v>519</v>
      </c>
      <c r="N118" s="648"/>
      <c r="O118" s="648" t="s">
        <v>715</v>
      </c>
      <c r="P118" s="648"/>
      <c r="Q118" s="648"/>
      <c r="R118" s="647" t="s">
        <v>732</v>
      </c>
      <c r="S118" s="647"/>
      <c r="T118" s="647"/>
      <c r="U118" s="647" t="s">
        <v>734</v>
      </c>
      <c r="V118" s="647"/>
      <c r="W118" s="647"/>
      <c r="X118" s="647" t="s">
        <v>1085</v>
      </c>
      <c r="Y118" s="647"/>
      <c r="Z118" s="647"/>
      <c r="AA118" s="647" t="s">
        <v>1086</v>
      </c>
      <c r="AB118" s="647"/>
      <c r="AC118" s="647"/>
      <c r="AD118" s="647" t="s">
        <v>717</v>
      </c>
      <c r="AE118" s="647"/>
      <c r="AF118" s="647" t="s">
        <v>718</v>
      </c>
      <c r="AG118" s="647"/>
      <c r="AH118" s="647"/>
      <c r="AI118" s="647" t="s">
        <v>719</v>
      </c>
      <c r="AJ118" s="647"/>
      <c r="AK118" s="647" t="s">
        <v>733</v>
      </c>
      <c r="AL118" s="647"/>
      <c r="AM118" s="647"/>
    </row>
    <row r="119" spans="1:39" ht="14.1" customHeight="1">
      <c r="A119" s="648"/>
      <c r="B119" s="648"/>
      <c r="C119" s="648"/>
      <c r="D119" s="648"/>
      <c r="E119" s="648"/>
      <c r="F119" s="648"/>
      <c r="G119" s="647"/>
      <c r="H119" s="647"/>
      <c r="I119" s="647"/>
      <c r="J119" s="647"/>
      <c r="K119" s="647"/>
      <c r="L119" s="647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713"/>
      <c r="K120" s="713"/>
      <c r="L120" s="713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78">
        <f>VLOOKUP(AI116,'Incrementare indexe'!$B:$I,3,FALSE)</f>
        <v>1371641800</v>
      </c>
      <c r="B121" s="679"/>
      <c r="C121" s="679"/>
      <c r="D121" s="679"/>
      <c r="E121" s="679"/>
      <c r="F121" s="680"/>
      <c r="G121" s="647" t="s">
        <v>1088</v>
      </c>
      <c r="H121" s="647"/>
      <c r="I121" s="675"/>
      <c r="J121" s="655">
        <f>'Date masura OD'!$I$5</f>
        <v>45778</v>
      </c>
      <c r="K121" s="656"/>
      <c r="L121" s="657"/>
      <c r="M121" s="720" t="s">
        <v>446</v>
      </c>
      <c r="N121" s="648"/>
      <c r="O121" s="648">
        <f>VLOOKUP(AI116,'Incrementare indexe'!$B:$I,4,FALSE)</f>
        <v>1</v>
      </c>
      <c r="P121" s="648"/>
      <c r="Q121" s="648"/>
      <c r="R121" s="647" t="str">
        <f>VLOOKUP(AI116,'Incrementare indexe'!$B:$I,7,FALSE)&amp;" (citit)"</f>
        <v>762309 (citit)</v>
      </c>
      <c r="S121" s="647"/>
      <c r="T121" s="647"/>
      <c r="U121" s="647" t="str">
        <f>VLOOKUP(AI116,'Incrementare indexe'!$B:$I,8,FALSE)&amp;" (citit)"</f>
        <v>831453 (citit)</v>
      </c>
      <c r="V121" s="647"/>
      <c r="W121" s="647"/>
      <c r="X121" s="647" t="str">
        <f>(VLOOKUP(AI116,'Incrementare indexe'!$B:$I,8,FALSE)-VLOOKUP(AI116,'Incrementare indexe'!$B:$I,7,FALSE))&amp;" (citit)"</f>
        <v>69144 (citit)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(VLOOKUP(AI116,'Incrementare indexe'!$B:$I,8,FALSE)-VLOOKUP(AI116,'Incrementare indexe'!$B:$I,7,FALSE))</f>
        <v>69144</v>
      </c>
      <c r="AG121" s="647"/>
      <c r="AH121" s="647"/>
      <c r="AI121" s="647">
        <f>J123-J121+1</f>
        <v>31</v>
      </c>
      <c r="AJ121" s="647"/>
      <c r="AK121" s="647">
        <f>ROUND(AF121/AI121,2)</f>
        <v>2230.4499999999998</v>
      </c>
      <c r="AL121" s="647"/>
      <c r="AM121" s="647"/>
    </row>
    <row r="122" spans="1:39" ht="14.1" customHeight="1">
      <c r="A122" s="717"/>
      <c r="B122" s="718"/>
      <c r="C122" s="718"/>
      <c r="D122" s="718"/>
      <c r="E122" s="718"/>
      <c r="F122" s="719"/>
      <c r="G122" s="647"/>
      <c r="H122" s="647"/>
      <c r="I122" s="675"/>
      <c r="J122" s="717" t="s">
        <v>69</v>
      </c>
      <c r="K122" s="718"/>
      <c r="L122" s="719"/>
      <c r="M122" s="720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1"/>
      <c r="B123" s="682"/>
      <c r="C123" s="682"/>
      <c r="D123" s="682"/>
      <c r="E123" s="682"/>
      <c r="F123" s="683"/>
      <c r="G123" s="647"/>
      <c r="H123" s="647"/>
      <c r="I123" s="675"/>
      <c r="J123" s="714">
        <f>'Date masura OD'!$J$5</f>
        <v>45808</v>
      </c>
      <c r="K123" s="715"/>
      <c r="L123" s="716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78">
        <f>A121</f>
        <v>1371641800</v>
      </c>
      <c r="B124" s="679"/>
      <c r="C124" s="679"/>
      <c r="D124" s="679"/>
      <c r="E124" s="679"/>
      <c r="F124" s="680"/>
      <c r="G124" s="648" t="s">
        <v>696</v>
      </c>
      <c r="H124" s="648"/>
      <c r="I124" s="648"/>
      <c r="J124" s="655">
        <f t="shared" ref="J124:J129" si="6">J121</f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">
        <v>1089</v>
      </c>
      <c r="S124" s="647"/>
      <c r="T124" s="647"/>
      <c r="U124" s="647" t="s">
        <v>1089</v>
      </c>
      <c r="V124" s="647"/>
      <c r="W124" s="647"/>
      <c r="X124" s="647" t="s">
        <v>1089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14.1" customHeight="1">
      <c r="A125" s="717"/>
      <c r="B125" s="718"/>
      <c r="C125" s="718"/>
      <c r="D125" s="718"/>
      <c r="E125" s="718"/>
      <c r="F125" s="719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1"/>
      <c r="B126" s="682"/>
      <c r="C126" s="682"/>
      <c r="D126" s="682"/>
      <c r="E126" s="682"/>
      <c r="F126" s="683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A124</f>
        <v>1371641800</v>
      </c>
      <c r="B127" s="679"/>
      <c r="C127" s="679"/>
      <c r="D127" s="679"/>
      <c r="E127" s="679"/>
      <c r="F127" s="680"/>
      <c r="G127" s="648" t="s">
        <v>731</v>
      </c>
      <c r="H127" s="648"/>
      <c r="I127" s="648"/>
      <c r="J127" s="655">
        <f t="shared" si="6"/>
        <v>45778</v>
      </c>
      <c r="K127" s="656"/>
      <c r="L127" s="657"/>
      <c r="M127" s="648" t="s">
        <v>720</v>
      </c>
      <c r="N127" s="648"/>
      <c r="O127" s="648">
        <f>O124</f>
        <v>1</v>
      </c>
      <c r="P127" s="648"/>
      <c r="Q127" s="648"/>
      <c r="R127" s="647" t="s">
        <v>1089</v>
      </c>
      <c r="S127" s="647"/>
      <c r="T127" s="647"/>
      <c r="U127" s="647" t="s">
        <v>1089</v>
      </c>
      <c r="V127" s="647"/>
      <c r="W127" s="647"/>
      <c r="X127" s="647" t="s">
        <v>1089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v>0</v>
      </c>
      <c r="AG127" s="647"/>
      <c r="AH127" s="647"/>
      <c r="AI127" s="647">
        <f>AI124</f>
        <v>31</v>
      </c>
      <c r="AJ127" s="647"/>
      <c r="AK127" s="647">
        <f>ROUND(AF127/AI127,2)</f>
        <v>0</v>
      </c>
      <c r="AL127" s="647"/>
      <c r="AM127" s="647"/>
    </row>
    <row r="128" spans="1:39" ht="14.1" customHeight="1">
      <c r="A128" s="717"/>
      <c r="B128" s="718"/>
      <c r="C128" s="718"/>
      <c r="D128" s="718"/>
      <c r="E128" s="718"/>
      <c r="F128" s="719"/>
      <c r="G128" s="648"/>
      <c r="H128" s="648"/>
      <c r="I128" s="648"/>
      <c r="J128" s="717" t="str">
        <f t="shared" si="6"/>
        <v>-</v>
      </c>
      <c r="K128" s="718"/>
      <c r="L128" s="719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8"/>
      <c r="H129" s="648"/>
      <c r="I129" s="648"/>
      <c r="J129" s="714">
        <f t="shared" si="6"/>
        <v>45808</v>
      </c>
      <c r="K129" s="715"/>
      <c r="L129" s="716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/>
    <row r="131" spans="1:39" ht="14.1" customHeight="1"/>
    <row r="132" spans="1:39" ht="14.1" customHeight="1"/>
    <row r="133" spans="1:39" ht="14.1" customHeight="1">
      <c r="A133" s="695" t="s">
        <v>858</v>
      </c>
      <c r="B133" s="695"/>
      <c r="C133" s="695"/>
      <c r="D133" s="695"/>
      <c r="E133" s="695"/>
      <c r="F133" s="695"/>
      <c r="G133" s="695"/>
      <c r="H133" s="695" t="str">
        <f>VLOOKUP($AA$15,'Date SPV'!$B:$H,4,FALSE)</f>
        <v>Bulevardul Alexandru Lapusneanu, nr. 116C, loc. Constanta, jud. Constanta</v>
      </c>
      <c r="I133" s="695"/>
      <c r="J133" s="695"/>
      <c r="K133" s="695"/>
      <c r="L133" s="695"/>
      <c r="M133" s="695"/>
      <c r="N133" s="695"/>
      <c r="O133" s="695"/>
      <c r="P133" s="695"/>
      <c r="Q133" s="695"/>
      <c r="R133" s="695"/>
      <c r="S133" s="695"/>
      <c r="T133" s="695"/>
      <c r="U133" s="695"/>
      <c r="V133" s="695"/>
      <c r="W133" s="695"/>
      <c r="X133" s="695"/>
      <c r="Y133" s="695"/>
      <c r="Z133" s="695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</row>
    <row r="134" spans="1:39" ht="14.1" customHeight="1">
      <c r="A134" s="695"/>
      <c r="B134" s="695"/>
      <c r="C134" s="695"/>
      <c r="D134" s="695"/>
      <c r="E134" s="695"/>
      <c r="F134" s="695"/>
      <c r="G134" s="695"/>
      <c r="H134" s="695"/>
      <c r="I134" s="695"/>
      <c r="J134" s="695"/>
      <c r="K134" s="695"/>
      <c r="L134" s="695"/>
      <c r="M134" s="695"/>
      <c r="N134" s="695"/>
      <c r="O134" s="695"/>
      <c r="P134" s="695"/>
      <c r="Q134" s="695"/>
      <c r="R134" s="695"/>
      <c r="S134" s="695"/>
      <c r="T134" s="695"/>
      <c r="U134" s="695"/>
      <c r="V134" s="695"/>
      <c r="W134" s="695"/>
      <c r="X134" s="695"/>
      <c r="Y134" s="695"/>
      <c r="Z134" s="695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</row>
    <row r="135" spans="1:39" ht="14.1" customHeight="1">
      <c r="A135" s="695" t="s">
        <v>859</v>
      </c>
      <c r="B135" s="695"/>
      <c r="C135" s="695"/>
      <c r="D135" s="695"/>
      <c r="E135" s="695"/>
      <c r="F135" s="695"/>
      <c r="G135" s="695"/>
      <c r="H135" s="712">
        <f>VLOOKUP(AA135,'Date masura OD'!$G:$BE,51,FALSE)</f>
        <v>5000364457</v>
      </c>
      <c r="I135" s="712"/>
      <c r="J135" s="712"/>
      <c r="K135" s="712"/>
      <c r="L135" s="712"/>
      <c r="M135" s="712"/>
      <c r="N135" s="712"/>
      <c r="O135" s="712"/>
      <c r="P135" s="712"/>
      <c r="Q135" s="712"/>
      <c r="R135" s="712"/>
      <c r="S135" s="712"/>
      <c r="T135" s="712"/>
      <c r="U135" s="712"/>
      <c r="V135" s="712"/>
      <c r="W135" s="712" t="s">
        <v>860</v>
      </c>
      <c r="X135" s="712"/>
      <c r="Y135" s="712"/>
      <c r="Z135" s="712"/>
      <c r="AA135" s="640" t="str">
        <f>_xlfn.CONCAT($AA$15,"_",2)</f>
        <v>RCSC_2</v>
      </c>
      <c r="AB135" s="640"/>
      <c r="AC135" s="640"/>
      <c r="AD135" s="640"/>
      <c r="AE135" s="640"/>
      <c r="AF135" s="640"/>
      <c r="AG135" s="640"/>
      <c r="AH135" s="640"/>
      <c r="AI135" s="640"/>
      <c r="AJ135" s="640"/>
      <c r="AK135" s="640"/>
      <c r="AL135" s="640"/>
      <c r="AM135" s="640"/>
    </row>
    <row r="136" spans="1:39" ht="14.1" customHeight="1">
      <c r="A136" s="695"/>
      <c r="B136" s="695"/>
      <c r="C136" s="695"/>
      <c r="D136" s="695"/>
      <c r="E136" s="695"/>
      <c r="F136" s="695"/>
      <c r="G136" s="695"/>
      <c r="H136" s="712"/>
      <c r="I136" s="712"/>
      <c r="J136" s="712"/>
      <c r="K136" s="712"/>
      <c r="L136" s="712"/>
      <c r="M136" s="712"/>
      <c r="N136" s="712"/>
      <c r="O136" s="712"/>
      <c r="P136" s="712"/>
      <c r="Q136" s="712"/>
      <c r="R136" s="712"/>
      <c r="S136" s="712"/>
      <c r="T136" s="712"/>
      <c r="U136" s="712"/>
      <c r="V136" s="712"/>
      <c r="W136" s="712"/>
      <c r="X136" s="712"/>
      <c r="Y136" s="712"/>
      <c r="Z136" s="712"/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</row>
    <row r="138" spans="1:39">
      <c r="A138" s="649" t="s">
        <v>748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tr">
        <f>VLOOKUP(AI139,'Contorizare in SDI'!$E:$I,4,FALSE)</f>
        <v>RO002E212833613/1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50" t="s">
        <v>695</v>
      </c>
      <c r="AJ138" s="650"/>
      <c r="AK138" s="650"/>
      <c r="AL138" s="650"/>
      <c r="AM138" s="650"/>
    </row>
    <row r="139" spans="1:39">
      <c r="A139" s="649" t="s">
        <v>746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VLOOKUP(AI139,'Inchidere contur'!$G:$U,15,FALSE)</f>
        <v>JT_SDI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19" t="str">
        <f>_xlfn.CONCAT(AA135,".",1)</f>
        <v>RCSC_2.1</v>
      </c>
      <c r="AJ139" s="619"/>
      <c r="AK139" s="619"/>
      <c r="AL139" s="619"/>
      <c r="AM139" s="619"/>
    </row>
    <row r="140" spans="1:39">
      <c r="A140" s="649" t="s">
        <v>747</v>
      </c>
      <c r="B140" s="649"/>
      <c r="C140" s="649"/>
      <c r="D140" s="649"/>
      <c r="E140" s="649"/>
      <c r="F140" s="649"/>
      <c r="G140" s="649"/>
      <c r="H140" s="649"/>
      <c r="I140" s="649"/>
      <c r="J140" s="649"/>
      <c r="K140" s="649"/>
      <c r="L140" s="649"/>
      <c r="M140" s="650" t="str">
        <f>IF(LEFT(M139,2)="JT","0.4kV",IF(LEFT(M139,2)="MT","20kV","-"))</f>
        <v>0.4kV</v>
      </c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19"/>
      <c r="AJ140" s="619"/>
      <c r="AK140" s="619"/>
      <c r="AL140" s="619"/>
      <c r="AM140" s="619"/>
    </row>
    <row r="141" spans="1:39" ht="15.95" customHeight="1">
      <c r="A141" s="648" t="s">
        <v>697</v>
      </c>
      <c r="B141" s="648"/>
      <c r="C141" s="648"/>
      <c r="D141" s="648"/>
      <c r="E141" s="648"/>
      <c r="F141" s="648"/>
      <c r="G141" s="647" t="s">
        <v>713</v>
      </c>
      <c r="H141" s="647"/>
      <c r="I141" s="647"/>
      <c r="J141" s="647" t="s">
        <v>714</v>
      </c>
      <c r="K141" s="647"/>
      <c r="L141" s="647"/>
      <c r="M141" s="648" t="s">
        <v>519</v>
      </c>
      <c r="N141" s="648"/>
      <c r="O141" s="648" t="s">
        <v>715</v>
      </c>
      <c r="P141" s="648"/>
      <c r="Q141" s="648"/>
      <c r="R141" s="647" t="s">
        <v>732</v>
      </c>
      <c r="S141" s="647"/>
      <c r="T141" s="647"/>
      <c r="U141" s="647" t="s">
        <v>734</v>
      </c>
      <c r="V141" s="647"/>
      <c r="W141" s="647"/>
      <c r="X141" s="647" t="s">
        <v>1085</v>
      </c>
      <c r="Y141" s="647"/>
      <c r="Z141" s="647"/>
      <c r="AA141" s="647" t="s">
        <v>1086</v>
      </c>
      <c r="AB141" s="647"/>
      <c r="AC141" s="647"/>
      <c r="AD141" s="647" t="s">
        <v>717</v>
      </c>
      <c r="AE141" s="647"/>
      <c r="AF141" s="647" t="s">
        <v>718</v>
      </c>
      <c r="AG141" s="647"/>
      <c r="AH141" s="647"/>
      <c r="AI141" s="647" t="s">
        <v>719</v>
      </c>
      <c r="AJ141" s="647"/>
      <c r="AK141" s="647" t="s">
        <v>733</v>
      </c>
      <c r="AL141" s="647"/>
      <c r="AM141" s="647"/>
    </row>
    <row r="142" spans="1:39">
      <c r="A142" s="648"/>
      <c r="B142" s="648"/>
      <c r="C142" s="648"/>
      <c r="D142" s="648"/>
      <c r="E142" s="648"/>
      <c r="F142" s="648"/>
      <c r="G142" s="647"/>
      <c r="H142" s="647"/>
      <c r="I142" s="647"/>
      <c r="J142" s="647"/>
      <c r="K142" s="647"/>
      <c r="L142" s="647"/>
      <c r="M142" s="648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>
      <c r="A143" s="648"/>
      <c r="B143" s="648"/>
      <c r="C143" s="648"/>
      <c r="D143" s="648"/>
      <c r="E143" s="648"/>
      <c r="F143" s="648"/>
      <c r="G143" s="647"/>
      <c r="H143" s="647"/>
      <c r="I143" s="647"/>
      <c r="J143" s="713"/>
      <c r="K143" s="713"/>
      <c r="L143" s="713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4" t="str">
        <f>VLOOKUP(AI139,'Contorizare in SDI'!$E:$I,5,FALSE)</f>
        <v>V.16G90220110070042/1</v>
      </c>
      <c r="B144" s="685"/>
      <c r="C144" s="685"/>
      <c r="D144" s="685"/>
      <c r="E144" s="685"/>
      <c r="F144" s="686"/>
      <c r="G144" s="648" t="s">
        <v>730</v>
      </c>
      <c r="H144" s="648"/>
      <c r="I144" s="673"/>
      <c r="J144" s="655">
        <f>'Date masura OD'!$AK$5</f>
        <v>45748</v>
      </c>
      <c r="K144" s="656"/>
      <c r="L144" s="657"/>
      <c r="M144" s="720" t="s">
        <v>446</v>
      </c>
      <c r="N144" s="648"/>
      <c r="O144" s="648">
        <f>VLOOKUP(AI139,'Incrementare indexe'!$B:$T,4,FALSE)</f>
        <v>1</v>
      </c>
      <c r="P144" s="648"/>
      <c r="Q144" s="648"/>
      <c r="R144" s="647" t="str">
        <f>VLOOKUP(A144,Regularizare!$D:$YN,3,FALSE)&amp;" ("&amp;VLOOKUP(A144,Regularizare!$D:$Y,11,FALSE)&amp;")"</f>
        <v>5626726 (citit)</v>
      </c>
      <c r="S144" s="647"/>
      <c r="T144" s="647"/>
      <c r="U144" s="647" t="str">
        <f>VLOOKUP(A144,Regularizare!$D:$U,4,FALSE)&amp;" ("&amp;VLOOKUP(A144,Regularizare!$D:$U,12,FALSE)&amp;")"</f>
        <v>5984288 (estimat)</v>
      </c>
      <c r="V144" s="647"/>
      <c r="W144" s="647"/>
      <c r="X144" s="647" t="str">
        <f>VLOOKUP(A144,Regularizare!$D:$Y,19,FALSE)&amp;" ("&amp;VLOOKUP(A144,Regularizare!$D:$U,12,FALSE)&amp;")"</f>
        <v>357562 (estimat)</v>
      </c>
      <c r="Y144" s="647"/>
      <c r="Z144" s="647"/>
      <c r="AA144" s="647">
        <f>(-1)*VLOOKUP(A144,Regularizare!$D:$Y,19,FALSE)</f>
        <v>-357562</v>
      </c>
      <c r="AB144" s="647"/>
      <c r="AC144" s="647"/>
      <c r="AD144" s="647" t="s">
        <v>69</v>
      </c>
      <c r="AE144" s="647"/>
      <c r="AF144" s="647">
        <f>AA144</f>
        <v>-357562</v>
      </c>
      <c r="AG144" s="647"/>
      <c r="AH144" s="647"/>
      <c r="AI144" s="647" t="s">
        <v>69</v>
      </c>
      <c r="AJ144" s="647"/>
      <c r="AK144" s="647" t="s">
        <v>69</v>
      </c>
      <c r="AL144" s="647"/>
      <c r="AM144" s="647"/>
    </row>
    <row r="145" spans="1:39" ht="9.75" customHeight="1">
      <c r="A145" s="727"/>
      <c r="B145" s="729"/>
      <c r="C145" s="729"/>
      <c r="D145" s="729"/>
      <c r="E145" s="729"/>
      <c r="F145" s="728"/>
      <c r="G145" s="648"/>
      <c r="H145" s="648"/>
      <c r="I145" s="673"/>
      <c r="J145" s="717" t="s">
        <v>69</v>
      </c>
      <c r="K145" s="718"/>
      <c r="L145" s="719"/>
      <c r="M145" s="720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7"/>
      <c r="B146" s="688"/>
      <c r="C146" s="688"/>
      <c r="D146" s="688"/>
      <c r="E146" s="688"/>
      <c r="F146" s="689"/>
      <c r="G146" s="648"/>
      <c r="H146" s="648"/>
      <c r="I146" s="673"/>
      <c r="J146" s="714">
        <f>'Date masura OD'!$AL$5</f>
        <v>45777</v>
      </c>
      <c r="K146" s="715"/>
      <c r="L146" s="716"/>
      <c r="M146" s="720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4" t="str">
        <f>A144</f>
        <v>V.16G90220110070042/1</v>
      </c>
      <c r="B147" s="685"/>
      <c r="C147" s="685"/>
      <c r="D147" s="685"/>
      <c r="E147" s="685"/>
      <c r="F147" s="686"/>
      <c r="G147" s="648" t="s">
        <v>696</v>
      </c>
      <c r="H147" s="648"/>
      <c r="I147" s="648"/>
      <c r="J147" s="655">
        <f t="shared" ref="J147:J152" si="7">J144</f>
        <v>45748</v>
      </c>
      <c r="K147" s="656"/>
      <c r="L147" s="657"/>
      <c r="M147" s="648" t="s">
        <v>720</v>
      </c>
      <c r="N147" s="648"/>
      <c r="O147" s="648">
        <f>O144</f>
        <v>1</v>
      </c>
      <c r="P147" s="648"/>
      <c r="Q147" s="648"/>
      <c r="R147" s="647" t="str">
        <f>VLOOKUP(A147,Regularizare!$D:$U,7,FALSE)&amp;" ("&amp;VLOOKUP(A147,Regularizare!$D:$U,15,FALSE)&amp;")"</f>
        <v>519601 (citit)</v>
      </c>
      <c r="S147" s="647"/>
      <c r="T147" s="647"/>
      <c r="U147" s="647" t="str">
        <f>VLOOKUP(A147,Regularizare!$D:$U,8,FALSE)&amp;" ("&amp;VLOOKUP(A147,Regularizare!$D:$U,16,FALSE)&amp;")"</f>
        <v>519601 (estimat)</v>
      </c>
      <c r="V147" s="647"/>
      <c r="W147" s="647"/>
      <c r="X147" s="647" t="str">
        <f>_xlfn.CONCAT(VLOOKUP(A147,Regularizare!$D:$U,8,FALSE)-VLOOKUP(A147,Regularizare!$D:$U,7,FALSE)," (",VLOOKUP(A147,Regularizare!$D:$U,16,FALSE),")")</f>
        <v>0 (estimat)</v>
      </c>
      <c r="Y147" s="647"/>
      <c r="Z147" s="647"/>
      <c r="AA147" s="647">
        <f>IF(VLOOKUP(A147,Regularizare!$D:$Y,21,FALSE)=0,VLOOKUP(A147,Regularizare!$D:$Y,21,FALSE),(-1)*VLOOKUP(A147,Regularizare!$D:$Y,21,FALSE))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8.4499999999999993" customHeight="1">
      <c r="A148" s="727"/>
      <c r="B148" s="729"/>
      <c r="C148" s="729"/>
      <c r="D148" s="729"/>
      <c r="E148" s="729"/>
      <c r="F148" s="728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7"/>
      <c r="B149" s="688"/>
      <c r="C149" s="688"/>
      <c r="D149" s="688"/>
      <c r="E149" s="688"/>
      <c r="F149" s="689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4" t="str">
        <f>A147</f>
        <v>V.16G90220110070042/1</v>
      </c>
      <c r="B150" s="685"/>
      <c r="C150" s="685"/>
      <c r="D150" s="685"/>
      <c r="E150" s="685"/>
      <c r="F150" s="686"/>
      <c r="G150" s="648" t="s">
        <v>731</v>
      </c>
      <c r="H150" s="648"/>
      <c r="I150" s="648"/>
      <c r="J150" s="655">
        <f t="shared" si="7"/>
        <v>45748</v>
      </c>
      <c r="K150" s="656"/>
      <c r="L150" s="657"/>
      <c r="M150" s="648" t="s">
        <v>720</v>
      </c>
      <c r="N150" s="648"/>
      <c r="O150" s="648">
        <f>O147</f>
        <v>1</v>
      </c>
      <c r="P150" s="648"/>
      <c r="Q150" s="648"/>
      <c r="R150" s="647" t="str">
        <f>VLOOKUP(A150,Regularizare!$D:$U,9,FALSE)&amp;" ("&amp;VLOOKUP(A150,Regularizare!$D:$U,17,FALSE)&amp;")"</f>
        <v>60 (citit)</v>
      </c>
      <c r="S150" s="647"/>
      <c r="T150" s="647"/>
      <c r="U150" s="647" t="str">
        <f>VLOOKUP(A150,Regularizare!$D:$U,10,FALSE)&amp;" ("&amp;VLOOKUP(A150,Regularizare!$D:$U,18,FALSE)&amp;")"</f>
        <v>60 (estimat)</v>
      </c>
      <c r="V150" s="647"/>
      <c r="W150" s="647"/>
      <c r="X150" s="647" t="str">
        <f>_xlfn.CONCAT(VLOOKUP(A150,Regularizare!$D:$U,10,FALSE)-VLOOKUP(A150,Regularizare!$D:$U,9,FALSE)," (",VLOOKUP(A150,Regularizare!$D:$U,18,FALSE),")")</f>
        <v>0 (estimat)</v>
      </c>
      <c r="Y150" s="647"/>
      <c r="Z150" s="647"/>
      <c r="AA150" s="647">
        <f>IF(VLOOKUP(A150,Regularizare!$D:$Y,22,FALSE)=0,VLOOKUP(A150,Regularizare!$D:$Y,22,FALSE),(-1)*VLOOKUP(A150,Regularizare!$D:$Y,22,FALSE))</f>
        <v>0</v>
      </c>
      <c r="AB150" s="647"/>
      <c r="AC150" s="647"/>
      <c r="AD150" s="647" t="s">
        <v>69</v>
      </c>
      <c r="AE150" s="647"/>
      <c r="AF150" s="647">
        <f>AA150</f>
        <v>0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8.4499999999999993" customHeight="1">
      <c r="A151" s="727"/>
      <c r="B151" s="729"/>
      <c r="C151" s="729"/>
      <c r="D151" s="729"/>
      <c r="E151" s="729"/>
      <c r="F151" s="728"/>
      <c r="G151" s="648"/>
      <c r="H151" s="648"/>
      <c r="I151" s="648"/>
      <c r="J151" s="717" t="str">
        <f t="shared" si="7"/>
        <v>-</v>
      </c>
      <c r="K151" s="718"/>
      <c r="L151" s="719"/>
      <c r="M151" s="648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7"/>
      <c r="B152" s="688"/>
      <c r="C152" s="688"/>
      <c r="D152" s="688"/>
      <c r="E152" s="688"/>
      <c r="F152" s="689"/>
      <c r="G152" s="648"/>
      <c r="H152" s="648"/>
      <c r="I152" s="648"/>
      <c r="J152" s="714">
        <f t="shared" si="7"/>
        <v>45777</v>
      </c>
      <c r="K152" s="715"/>
      <c r="L152" s="716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4" t="str">
        <f>A150</f>
        <v>V.16G90220110070042/1</v>
      </c>
      <c r="B153" s="685"/>
      <c r="C153" s="685"/>
      <c r="D153" s="685"/>
      <c r="E153" s="685"/>
      <c r="F153" s="686"/>
      <c r="G153" s="648" t="s">
        <v>730</v>
      </c>
      <c r="H153" s="648"/>
      <c r="I153" s="673"/>
      <c r="J153" s="655">
        <f>'Date masura OD'!$AK$5</f>
        <v>45748</v>
      </c>
      <c r="K153" s="656"/>
      <c r="L153" s="657"/>
      <c r="M153" s="720" t="s">
        <v>446</v>
      </c>
      <c r="N153" s="648"/>
      <c r="O153" s="648">
        <f>O150</f>
        <v>1</v>
      </c>
      <c r="P153" s="648"/>
      <c r="Q153" s="648"/>
      <c r="R153" s="647" t="str">
        <f>VLOOKUP(A153,Regularizare!$D:$AX,23,FALSE)&amp;" ("&amp;VLOOKUP(A153,Regularizare!$D:$AX,24,FALSE)&amp;")"</f>
        <v>5626726 (citit)</v>
      </c>
      <c r="S153" s="647"/>
      <c r="T153" s="647"/>
      <c r="U153" s="647" t="str">
        <f>VLOOKUP(A153,Regularizare!$D:$AX,25,FALSE)&amp;" ("&amp;VLOOKUP(A153,Regularizare!$D:$AX,26,FALSE)&amp;")"</f>
        <v>5984288 (citit)</v>
      </c>
      <c r="V153" s="647"/>
      <c r="W153" s="647"/>
      <c r="X153" s="647" t="str">
        <f>VLOOKUP(A153,Regularizare!$D:$AX,37,FALSE)&amp;" ("&amp;VLOOKUP(A153,Regularizare!$D:$AX,26,FALSE)&amp;")"</f>
        <v>357562 (citit)</v>
      </c>
      <c r="Y153" s="647"/>
      <c r="Z153" s="647"/>
      <c r="AA153" s="647">
        <f>VLOOKUP(A153,Regularizare!$D:$AX,37,FALSE)</f>
        <v>357562</v>
      </c>
      <c r="AB153" s="647"/>
      <c r="AC153" s="647"/>
      <c r="AD153" s="647" t="s">
        <v>69</v>
      </c>
      <c r="AE153" s="647"/>
      <c r="AF153" s="647">
        <f>AA153</f>
        <v>357562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8.4499999999999993" customHeight="1">
      <c r="A154" s="727"/>
      <c r="B154" s="729"/>
      <c r="C154" s="729"/>
      <c r="D154" s="729"/>
      <c r="E154" s="729"/>
      <c r="F154" s="728"/>
      <c r="G154" s="648"/>
      <c r="H154" s="648"/>
      <c r="I154" s="673"/>
      <c r="J154" s="717" t="s">
        <v>69</v>
      </c>
      <c r="K154" s="718"/>
      <c r="L154" s="719"/>
      <c r="M154" s="720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7"/>
      <c r="B155" s="688"/>
      <c r="C155" s="688"/>
      <c r="D155" s="688"/>
      <c r="E155" s="688"/>
      <c r="F155" s="689"/>
      <c r="G155" s="648"/>
      <c r="H155" s="648"/>
      <c r="I155" s="673"/>
      <c r="J155" s="714">
        <f>'Date masura OD'!$AL$5</f>
        <v>45777</v>
      </c>
      <c r="K155" s="715"/>
      <c r="L155" s="716"/>
      <c r="M155" s="720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4" t="str">
        <f>A153</f>
        <v>V.16G90220110070042/1</v>
      </c>
      <c r="B156" s="685"/>
      <c r="C156" s="685"/>
      <c r="D156" s="685"/>
      <c r="E156" s="685"/>
      <c r="F156" s="686"/>
      <c r="G156" s="648" t="s">
        <v>696</v>
      </c>
      <c r="H156" s="648"/>
      <c r="I156" s="648"/>
      <c r="J156" s="655">
        <f t="shared" ref="J156:J161" si="8">J153</f>
        <v>45748</v>
      </c>
      <c r="K156" s="656"/>
      <c r="L156" s="657"/>
      <c r="M156" s="648" t="s">
        <v>720</v>
      </c>
      <c r="N156" s="648"/>
      <c r="O156" s="648">
        <f>O153</f>
        <v>1</v>
      </c>
      <c r="P156" s="648"/>
      <c r="Q156" s="648"/>
      <c r="R156" s="647" t="str">
        <f>VLOOKUP(A156,Regularizare!$D:$AX,29,FALSE)&amp;" ("&amp;VLOOKUP(A156,Regularizare!$D:$AX,30,FALSE)&amp;")"</f>
        <v>519601 (citit)</v>
      </c>
      <c r="S156" s="647"/>
      <c r="T156" s="647"/>
      <c r="U156" s="647" t="str">
        <f>VLOOKUP(A156,Regularizare!$D:$AX,31,FALSE)&amp;" ("&amp;VLOOKUP(A156,Regularizare!$D:$AX,32,FALSE)&amp;")"</f>
        <v>519601 (citit)</v>
      </c>
      <c r="V156" s="647"/>
      <c r="W156" s="647"/>
      <c r="X156" s="647" t="str">
        <f>VLOOKUP(A156,Regularizare!$D:$AX,39,FALSE)&amp;" ("&amp;VLOOKUP(A156,Regularizare!$D:$AX,32,FALSE)&amp;")"</f>
        <v>0 (citit)</v>
      </c>
      <c r="Y156" s="647"/>
      <c r="Z156" s="647"/>
      <c r="AA156" s="647">
        <f>VLOOKUP(A156,Regularizare!$D:$AX,44,FALSE)+VLOOKUP(A156,Regularizare!$D:$AX,45,FALSE)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8.4499999999999993" customHeight="1">
      <c r="A157" s="727"/>
      <c r="B157" s="729"/>
      <c r="C157" s="729"/>
      <c r="D157" s="729"/>
      <c r="E157" s="729"/>
      <c r="F157" s="728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7"/>
      <c r="B158" s="688"/>
      <c r="C158" s="688"/>
      <c r="D158" s="688"/>
      <c r="E158" s="688"/>
      <c r="F158" s="689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4" t="str">
        <f>A156</f>
        <v>V.16G90220110070042/1</v>
      </c>
      <c r="B159" s="685"/>
      <c r="C159" s="685"/>
      <c r="D159" s="685"/>
      <c r="E159" s="685"/>
      <c r="F159" s="686"/>
      <c r="G159" s="648" t="s">
        <v>731</v>
      </c>
      <c r="H159" s="648"/>
      <c r="I159" s="648"/>
      <c r="J159" s="655">
        <f t="shared" si="8"/>
        <v>45748</v>
      </c>
      <c r="K159" s="656"/>
      <c r="L159" s="657"/>
      <c r="M159" s="648" t="s">
        <v>720</v>
      </c>
      <c r="N159" s="648"/>
      <c r="O159" s="648">
        <f>O156</f>
        <v>1</v>
      </c>
      <c r="P159" s="648"/>
      <c r="Q159" s="648"/>
      <c r="R159" s="647" t="str">
        <f>VLOOKUP(A159,Regularizare!$D:$AX,33,FALSE)&amp;" ("&amp;VLOOKUP(A159,Regularizare!$D:$AX,34,FALSE)&amp;")"</f>
        <v>60 (citit)</v>
      </c>
      <c r="S159" s="647"/>
      <c r="T159" s="647"/>
      <c r="U159" s="647" t="str">
        <f>VLOOKUP(A159,Regularizare!$D:$AX,35,FALSE)&amp;" ("&amp;VLOOKUP(A159,Regularizare!$D:$AX,36,FALSE)&amp;")"</f>
        <v>60 (citit)</v>
      </c>
      <c r="V159" s="647"/>
      <c r="W159" s="647"/>
      <c r="X159" s="647" t="str">
        <f>VLOOKUP(A159,Regularizare!$D:$AX,40,FALSE)&amp;" ("&amp;VLOOKUP(A159,Regularizare!$D:$AX,36,FALSE)&amp;")"</f>
        <v>0 (citit)</v>
      </c>
      <c r="Y159" s="647"/>
      <c r="Z159" s="647"/>
      <c r="AA159" s="647">
        <f>VLOOKUP(A159,Regularizare!$D:$AX,46,FALSE)+VLOOKUP(A159,Regularizare!$D:$AX,47,FALSE)</f>
        <v>0</v>
      </c>
      <c r="AB159" s="647"/>
      <c r="AC159" s="647"/>
      <c r="AD159" s="647" t="s">
        <v>69</v>
      </c>
      <c r="AE159" s="647"/>
      <c r="AF159" s="647">
        <f>AA159</f>
        <v>0</v>
      </c>
      <c r="AG159" s="647"/>
      <c r="AH159" s="647"/>
      <c r="AI159" s="647" t="str">
        <f>AI156</f>
        <v>-</v>
      </c>
      <c r="AJ159" s="647"/>
      <c r="AK159" s="647" t="str">
        <f>AK156</f>
        <v>-</v>
      </c>
      <c r="AL159" s="647"/>
      <c r="AM159" s="647"/>
    </row>
    <row r="160" spans="1:39" ht="8.4499999999999993" customHeight="1">
      <c r="A160" s="727"/>
      <c r="B160" s="729"/>
      <c r="C160" s="729"/>
      <c r="D160" s="729"/>
      <c r="E160" s="729"/>
      <c r="F160" s="728"/>
      <c r="G160" s="648"/>
      <c r="H160" s="648"/>
      <c r="I160" s="648"/>
      <c r="J160" s="717" t="str">
        <f t="shared" si="8"/>
        <v>-</v>
      </c>
      <c r="K160" s="718"/>
      <c r="L160" s="719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7"/>
      <c r="B161" s="688"/>
      <c r="C161" s="688"/>
      <c r="D161" s="688"/>
      <c r="E161" s="688"/>
      <c r="F161" s="689"/>
      <c r="G161" s="648"/>
      <c r="H161" s="648"/>
      <c r="I161" s="648"/>
      <c r="J161" s="714">
        <f t="shared" si="8"/>
        <v>45777</v>
      </c>
      <c r="K161" s="715"/>
      <c r="L161" s="716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4" t="str">
        <f>A159</f>
        <v>V.16G90220110070042/1</v>
      </c>
      <c r="B162" s="685"/>
      <c r="C162" s="685"/>
      <c r="D162" s="685"/>
      <c r="E162" s="685"/>
      <c r="F162" s="686"/>
      <c r="G162" s="648" t="s">
        <v>730</v>
      </c>
      <c r="H162" s="648"/>
      <c r="I162" s="673"/>
      <c r="J162" s="655">
        <f>'Date masura OD'!$I$5</f>
        <v>45778</v>
      </c>
      <c r="K162" s="656"/>
      <c r="L162" s="657"/>
      <c r="M162" s="720" t="s">
        <v>446</v>
      </c>
      <c r="N162" s="648"/>
      <c r="O162" s="648">
        <f>O159</f>
        <v>1</v>
      </c>
      <c r="P162" s="648"/>
      <c r="Q162" s="648"/>
      <c r="R162" s="647" t="str">
        <f>U153</f>
        <v>5984288 (citit)</v>
      </c>
      <c r="S162" s="647"/>
      <c r="T162" s="647"/>
      <c r="U162" s="647" t="str">
        <f>VLOOKUP(A162,'Incrementare indexe'!$D:$M,4,FALSE)&amp;" (estimat)"</f>
        <v>6419231 (estimat)</v>
      </c>
      <c r="V162" s="647"/>
      <c r="W162" s="647"/>
      <c r="X162" s="647" t="str">
        <f>VLOOKUP(A162,'Incrementare indexe'!$D:$Q,11,FALSE)&amp;" (estimat)"</f>
        <v>434943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indexe'!$D:$Q,11,FALSE)</f>
        <v>434943</v>
      </c>
      <c r="AG162" s="647"/>
      <c r="AH162" s="647"/>
      <c r="AI162" s="647">
        <f>J164-J162+1</f>
        <v>31</v>
      </c>
      <c r="AJ162" s="647"/>
      <c r="AK162" s="647">
        <f>ROUND(AF162/AI162,2)</f>
        <v>14030.42</v>
      </c>
      <c r="AL162" s="647"/>
      <c r="AM162" s="647"/>
    </row>
    <row r="163" spans="1:39" ht="8.4499999999999993" customHeight="1">
      <c r="A163" s="727"/>
      <c r="B163" s="729"/>
      <c r="C163" s="729"/>
      <c r="D163" s="729"/>
      <c r="E163" s="729"/>
      <c r="F163" s="728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7"/>
      <c r="B164" s="688"/>
      <c r="C164" s="688"/>
      <c r="D164" s="688"/>
      <c r="E164" s="688"/>
      <c r="F164" s="689"/>
      <c r="G164" s="648"/>
      <c r="H164" s="648"/>
      <c r="I164" s="673"/>
      <c r="J164" s="714">
        <f>'Date masura OD'!$J$5</f>
        <v>45808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4" t="str">
        <f>A162</f>
        <v>V.16G90220110070042/1</v>
      </c>
      <c r="B165" s="685"/>
      <c r="C165" s="685"/>
      <c r="D165" s="685"/>
      <c r="E165" s="685"/>
      <c r="F165" s="686"/>
      <c r="G165" s="648" t="s">
        <v>696</v>
      </c>
      <c r="H165" s="648"/>
      <c r="I165" s="648"/>
      <c r="J165" s="655">
        <f t="shared" ref="J165:J170" si="9">J162</f>
        <v>45778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U156</f>
        <v>519601 (citit)</v>
      </c>
      <c r="S165" s="647"/>
      <c r="T165" s="647"/>
      <c r="U165" s="647" t="str">
        <f>VLOOKUP(A165,'Incrementare indexe'!$D:$M,8,FALSE)&amp;" (estimat)"</f>
        <v>519601 (estimat)</v>
      </c>
      <c r="V165" s="647"/>
      <c r="W165" s="647"/>
      <c r="X165" s="647" t="str">
        <f>VLOOKUP(A165,'Incrementare indexe'!$D:$Q,12,FALSE)&amp;"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indexe'!$D:$Q,12,FALSE)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8.4499999999999993" customHeight="1">
      <c r="A166" s="727"/>
      <c r="B166" s="729"/>
      <c r="C166" s="729"/>
      <c r="D166" s="729"/>
      <c r="E166" s="729"/>
      <c r="F166" s="728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7"/>
      <c r="B167" s="688"/>
      <c r="C167" s="688"/>
      <c r="D167" s="688"/>
      <c r="E167" s="688"/>
      <c r="F167" s="689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4" t="str">
        <f>A165</f>
        <v>V.16G90220110070042/1</v>
      </c>
      <c r="B168" s="685"/>
      <c r="C168" s="685"/>
      <c r="D168" s="685"/>
      <c r="E168" s="685"/>
      <c r="F168" s="686"/>
      <c r="G168" s="648" t="s">
        <v>731</v>
      </c>
      <c r="H168" s="648"/>
      <c r="I168" s="648"/>
      <c r="J168" s="655">
        <f t="shared" si="9"/>
        <v>45778</v>
      </c>
      <c r="K168" s="656"/>
      <c r="L168" s="657"/>
      <c r="M168" s="648" t="s">
        <v>720</v>
      </c>
      <c r="N168" s="648"/>
      <c r="O168" s="648">
        <f>O165</f>
        <v>1</v>
      </c>
      <c r="P168" s="648"/>
      <c r="Q168" s="648"/>
      <c r="R168" s="647" t="str">
        <f>U159</f>
        <v>60 (citit)</v>
      </c>
      <c r="S168" s="647"/>
      <c r="T168" s="647"/>
      <c r="U168" s="647" t="str">
        <f>VLOOKUP(A168,'Incrementare indexe'!$D:$M,10,FALSE)&amp;" (estimat)"</f>
        <v>60 (estimat)</v>
      </c>
      <c r="V168" s="647"/>
      <c r="W168" s="647"/>
      <c r="X168" s="647" t="str">
        <f>VLOOKUP(A168,'Incrementare indexe'!$D:$Q,13,FALSE)&amp;" (estimat)"</f>
        <v>0 (estimat)</v>
      </c>
      <c r="Y168" s="647"/>
      <c r="Z168" s="647"/>
      <c r="AA168" s="647" t="s">
        <v>69</v>
      </c>
      <c r="AB168" s="647"/>
      <c r="AC168" s="647"/>
      <c r="AD168" s="647" t="s">
        <v>69</v>
      </c>
      <c r="AE168" s="647"/>
      <c r="AF168" s="647">
        <f>VLOOKUP(A168,'Incrementare indexe'!$D:$Q,13,FALSE)</f>
        <v>0</v>
      </c>
      <c r="AG168" s="647"/>
      <c r="AH168" s="647"/>
      <c r="AI168" s="647">
        <f>AI165</f>
        <v>31</v>
      </c>
      <c r="AJ168" s="647"/>
      <c r="AK168" s="647">
        <f>ROUND(AF168/AI168,2)</f>
        <v>0</v>
      </c>
      <c r="AL168" s="647"/>
      <c r="AM168" s="647"/>
    </row>
    <row r="169" spans="1:39" ht="8.4499999999999993" customHeight="1">
      <c r="A169" s="727"/>
      <c r="B169" s="729"/>
      <c r="C169" s="729"/>
      <c r="D169" s="729"/>
      <c r="E169" s="729"/>
      <c r="F169" s="728"/>
      <c r="G169" s="648"/>
      <c r="H169" s="648"/>
      <c r="I169" s="648"/>
      <c r="J169" s="717" t="str">
        <f t="shared" si="9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7"/>
      <c r="B170" s="688"/>
      <c r="C170" s="688"/>
      <c r="D170" s="688"/>
      <c r="E170" s="688"/>
      <c r="F170" s="689"/>
      <c r="G170" s="648"/>
      <c r="H170" s="648"/>
      <c r="I170" s="648"/>
      <c r="J170" s="714">
        <f t="shared" si="9"/>
        <v>45808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>
      <c r="A186" s="649" t="s">
        <v>748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50" t="str">
        <f>VLOOKUP(AI187,'Contorizare in SDI'!$E:$I,4,FALSE)</f>
        <v>RO002E212833613/2</v>
      </c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50" t="s">
        <v>695</v>
      </c>
      <c r="AJ186" s="650"/>
      <c r="AK186" s="650"/>
      <c r="AL186" s="650"/>
      <c r="AM186" s="650"/>
    </row>
    <row r="187" spans="1:39">
      <c r="A187" s="649" t="s">
        <v>746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VLOOKUP(AI187,'Inchidere contur'!$G:$U,15,FALSE)</f>
        <v>JT_SDI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19" t="str">
        <f>_xlfn.CONCAT(AA135,".",2)</f>
        <v>RCSC_2.2</v>
      </c>
      <c r="AJ187" s="619"/>
      <c r="AK187" s="619"/>
      <c r="AL187" s="619"/>
      <c r="AM187" s="619"/>
    </row>
    <row r="188" spans="1:39">
      <c r="A188" s="649" t="s">
        <v>747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IF(LEFT(M187,2)="JT","0.4kV",IF(LEFT(M187,2)="MT","20kV","-"))</f>
        <v>0.4kV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/>
      <c r="AJ188" s="619"/>
      <c r="AK188" s="619"/>
      <c r="AL188" s="619"/>
      <c r="AM188" s="619"/>
    </row>
    <row r="189" spans="1:39" ht="15.95" customHeight="1">
      <c r="A189" s="648" t="s">
        <v>697</v>
      </c>
      <c r="B189" s="648"/>
      <c r="C189" s="648"/>
      <c r="D189" s="648"/>
      <c r="E189" s="648"/>
      <c r="F189" s="648"/>
      <c r="G189" s="647" t="s">
        <v>713</v>
      </c>
      <c r="H189" s="647"/>
      <c r="I189" s="647"/>
      <c r="J189" s="647" t="s">
        <v>714</v>
      </c>
      <c r="K189" s="647"/>
      <c r="L189" s="647"/>
      <c r="M189" s="648" t="s">
        <v>519</v>
      </c>
      <c r="N189" s="648"/>
      <c r="O189" s="648" t="s">
        <v>715</v>
      </c>
      <c r="P189" s="648"/>
      <c r="Q189" s="648"/>
      <c r="R189" s="647" t="s">
        <v>732</v>
      </c>
      <c r="S189" s="647"/>
      <c r="T189" s="647"/>
      <c r="U189" s="647" t="s">
        <v>734</v>
      </c>
      <c r="V189" s="647"/>
      <c r="W189" s="647"/>
      <c r="X189" s="647" t="s">
        <v>1085</v>
      </c>
      <c r="Y189" s="647"/>
      <c r="Z189" s="647"/>
      <c r="AA189" s="647" t="s">
        <v>1086</v>
      </c>
      <c r="AB189" s="647"/>
      <c r="AC189" s="647"/>
      <c r="AD189" s="647" t="s">
        <v>717</v>
      </c>
      <c r="AE189" s="647"/>
      <c r="AF189" s="647" t="s">
        <v>718</v>
      </c>
      <c r="AG189" s="647"/>
      <c r="AH189" s="647"/>
      <c r="AI189" s="647" t="s">
        <v>719</v>
      </c>
      <c r="AJ189" s="647"/>
      <c r="AK189" s="647" t="s">
        <v>733</v>
      </c>
      <c r="AL189" s="647"/>
      <c r="AM189" s="647"/>
    </row>
    <row r="190" spans="1:39">
      <c r="A190" s="648"/>
      <c r="B190" s="648"/>
      <c r="C190" s="648"/>
      <c r="D190" s="648"/>
      <c r="E190" s="648"/>
      <c r="F190" s="648"/>
      <c r="G190" s="647"/>
      <c r="H190" s="647"/>
      <c r="I190" s="647"/>
      <c r="J190" s="647"/>
      <c r="K190" s="647"/>
      <c r="L190" s="647"/>
      <c r="M190" s="648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713"/>
      <c r="K191" s="713"/>
      <c r="L191" s="713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84" t="str">
        <f>VLOOKUP(AI187,'Contorizare in SDI'!$E:$I,5,FALSE)</f>
        <v>V.16G90220110070042/2</v>
      </c>
      <c r="B192" s="685"/>
      <c r="C192" s="685"/>
      <c r="D192" s="685"/>
      <c r="E192" s="685"/>
      <c r="F192" s="686"/>
      <c r="G192" s="648" t="s">
        <v>730</v>
      </c>
      <c r="H192" s="648"/>
      <c r="I192" s="673"/>
      <c r="J192" s="655">
        <f>'Date masura OD'!$AK$5</f>
        <v>45748</v>
      </c>
      <c r="K192" s="656"/>
      <c r="L192" s="657"/>
      <c r="M192" s="720" t="s">
        <v>446</v>
      </c>
      <c r="N192" s="648"/>
      <c r="O192" s="648">
        <f>VLOOKUP(AI187,'Incrementare indexe'!$B:$T,4,FALSE)</f>
        <v>1</v>
      </c>
      <c r="P192" s="648"/>
      <c r="Q192" s="648"/>
      <c r="R192" s="647" t="str">
        <f>VLOOKUP(A192,Regularizare!$D:$YN,3,FALSE)&amp;" ("&amp;VLOOKUP(A192,Regularizare!$D:$Y,11,FALSE)&amp;")"</f>
        <v>5571829 (citit)</v>
      </c>
      <c r="S192" s="647"/>
      <c r="T192" s="647"/>
      <c r="U192" s="647" t="str">
        <f>VLOOKUP(A192,Regularizare!$D:$U,4,FALSE)&amp;" ("&amp;VLOOKUP(A192,Regularizare!$D:$U,12,FALSE)&amp;")"</f>
        <v>5913380 (estimat)</v>
      </c>
      <c r="V192" s="647"/>
      <c r="W192" s="647"/>
      <c r="X192" s="647" t="str">
        <f>VLOOKUP(A192,Regularizare!$D:$Y,19,FALSE)&amp;" ("&amp;VLOOKUP(A192,Regularizare!$D:$U,12,FALSE)&amp;")"</f>
        <v>341551 (estimat)</v>
      </c>
      <c r="Y192" s="647"/>
      <c r="Z192" s="647"/>
      <c r="AA192" s="647">
        <f>(-1)*VLOOKUP(A192,Regularizare!$D:$Y,19,FALSE)</f>
        <v>-341551</v>
      </c>
      <c r="AB192" s="647"/>
      <c r="AC192" s="647"/>
      <c r="AD192" s="647" t="s">
        <v>69</v>
      </c>
      <c r="AE192" s="647"/>
      <c r="AF192" s="647">
        <f>AA192</f>
        <v>-341551</v>
      </c>
      <c r="AG192" s="647"/>
      <c r="AH192" s="647"/>
      <c r="AI192" s="647" t="s">
        <v>69</v>
      </c>
      <c r="AJ192" s="647"/>
      <c r="AK192" s="647" t="s">
        <v>69</v>
      </c>
      <c r="AL192" s="647"/>
      <c r="AM192" s="647"/>
    </row>
    <row r="193" spans="1:39" ht="9.75" customHeight="1">
      <c r="A193" s="727"/>
      <c r="B193" s="729"/>
      <c r="C193" s="729"/>
      <c r="D193" s="729"/>
      <c r="E193" s="729"/>
      <c r="F193" s="728"/>
      <c r="G193" s="648"/>
      <c r="H193" s="648"/>
      <c r="I193" s="673"/>
      <c r="J193" s="717" t="s">
        <v>69</v>
      </c>
      <c r="K193" s="718"/>
      <c r="L193" s="719"/>
      <c r="M193" s="720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7"/>
      <c r="B194" s="688"/>
      <c r="C194" s="688"/>
      <c r="D194" s="688"/>
      <c r="E194" s="688"/>
      <c r="F194" s="689"/>
      <c r="G194" s="648"/>
      <c r="H194" s="648"/>
      <c r="I194" s="673"/>
      <c r="J194" s="714">
        <f>'Date masura OD'!$AL$5</f>
        <v>45777</v>
      </c>
      <c r="K194" s="715"/>
      <c r="L194" s="716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4" t="str">
        <f>A192</f>
        <v>V.16G90220110070042/2</v>
      </c>
      <c r="B195" s="685"/>
      <c r="C195" s="685"/>
      <c r="D195" s="685"/>
      <c r="E195" s="685"/>
      <c r="F195" s="686"/>
      <c r="G195" s="648" t="s">
        <v>696</v>
      </c>
      <c r="H195" s="648"/>
      <c r="I195" s="648"/>
      <c r="J195" s="655">
        <f t="shared" ref="J195:J200" si="10">J192</f>
        <v>45748</v>
      </c>
      <c r="K195" s="656"/>
      <c r="L195" s="657"/>
      <c r="M195" s="648" t="s">
        <v>720</v>
      </c>
      <c r="N195" s="648"/>
      <c r="O195" s="648">
        <f>O192</f>
        <v>1</v>
      </c>
      <c r="P195" s="648"/>
      <c r="Q195" s="648"/>
      <c r="R195" s="647" t="str">
        <f>VLOOKUP(A195,Regularizare!$D:$U,7,FALSE)&amp;" ("&amp;VLOOKUP(A195,Regularizare!$D:$U,15,FALSE)&amp;")"</f>
        <v>519649 (citit)</v>
      </c>
      <c r="S195" s="647"/>
      <c r="T195" s="647"/>
      <c r="U195" s="647" t="str">
        <f>VLOOKUP(A195,Regularizare!$D:$U,8,FALSE)&amp;" ("&amp;VLOOKUP(A195,Regularizare!$D:$U,16,FALSE)&amp;")"</f>
        <v>519649 (estimat)</v>
      </c>
      <c r="V195" s="647"/>
      <c r="W195" s="647"/>
      <c r="X195" s="647" t="str">
        <f>_xlfn.CONCAT(VLOOKUP(A195,Regularizare!$D:$U,8,FALSE)-VLOOKUP(A195,Regularizare!$D:$U,7,FALSE)," (",VLOOKUP(A195,Regularizare!$D:$U,16,FALSE),")")</f>
        <v>0 (estimat)</v>
      </c>
      <c r="Y195" s="647"/>
      <c r="Z195" s="647"/>
      <c r="AA195" s="647">
        <f>IF(VLOOKUP(A195,Regularizare!$D:$Y,21,FALSE)=0,VLOOKUP(A195,Regularizare!$D:$Y,21,FALSE),(-1)*VLOOKUP(A195,Regularizare!$D:$Y,21,FALSE))</f>
        <v>0</v>
      </c>
      <c r="AB195" s="647"/>
      <c r="AC195" s="647"/>
      <c r="AD195" s="647" t="s">
        <v>69</v>
      </c>
      <c r="AE195" s="647"/>
      <c r="AF195" s="647">
        <f>AA195</f>
        <v>0</v>
      </c>
      <c r="AG195" s="647"/>
      <c r="AH195" s="647"/>
      <c r="AI195" s="647" t="str">
        <f>AI192</f>
        <v>-</v>
      </c>
      <c r="AJ195" s="647"/>
      <c r="AK195" s="647" t="str">
        <f>AK192</f>
        <v>-</v>
      </c>
      <c r="AL195" s="647"/>
      <c r="AM195" s="647"/>
    </row>
    <row r="196" spans="1:39" ht="8.4499999999999993" customHeight="1">
      <c r="A196" s="727"/>
      <c r="B196" s="729"/>
      <c r="C196" s="729"/>
      <c r="D196" s="729"/>
      <c r="E196" s="729"/>
      <c r="F196" s="728"/>
      <c r="G196" s="648"/>
      <c r="H196" s="648"/>
      <c r="I196" s="648"/>
      <c r="J196" s="717" t="str">
        <f t="shared" si="10"/>
        <v>-</v>
      </c>
      <c r="K196" s="718"/>
      <c r="L196" s="719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7"/>
      <c r="B197" s="688"/>
      <c r="C197" s="688"/>
      <c r="D197" s="688"/>
      <c r="E197" s="688"/>
      <c r="F197" s="689"/>
      <c r="G197" s="648"/>
      <c r="H197" s="648"/>
      <c r="I197" s="648"/>
      <c r="J197" s="714">
        <f t="shared" si="10"/>
        <v>45777</v>
      </c>
      <c r="K197" s="715"/>
      <c r="L197" s="716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4" t="str">
        <f>A195</f>
        <v>V.16G90220110070042/2</v>
      </c>
      <c r="B198" s="685"/>
      <c r="C198" s="685"/>
      <c r="D198" s="685"/>
      <c r="E198" s="685"/>
      <c r="F198" s="686"/>
      <c r="G198" s="648" t="s">
        <v>731</v>
      </c>
      <c r="H198" s="648"/>
      <c r="I198" s="648"/>
      <c r="J198" s="655">
        <f t="shared" si="10"/>
        <v>45748</v>
      </c>
      <c r="K198" s="656"/>
      <c r="L198" s="657"/>
      <c r="M198" s="648" t="s">
        <v>720</v>
      </c>
      <c r="N198" s="648"/>
      <c r="O198" s="648">
        <f>O195</f>
        <v>1</v>
      </c>
      <c r="P198" s="648"/>
      <c r="Q198" s="648"/>
      <c r="R198" s="647" t="str">
        <f>VLOOKUP(A198,Regularizare!$D:$U,9,FALSE)&amp;" ("&amp;VLOOKUP(A198,Regularizare!$D:$U,17,FALSE)&amp;")"</f>
        <v>108 (citit)</v>
      </c>
      <c r="S198" s="647"/>
      <c r="T198" s="647"/>
      <c r="U198" s="647" t="str">
        <f>VLOOKUP(A198,Regularizare!$D:$U,10,FALSE)&amp;" ("&amp;VLOOKUP(A198,Regularizare!$D:$U,18,FALSE)&amp;")"</f>
        <v>108 (estimat)</v>
      </c>
      <c r="V198" s="647"/>
      <c r="W198" s="647"/>
      <c r="X198" s="647" t="str">
        <f>_xlfn.CONCAT(VLOOKUP(A198,Regularizare!$D:$U,10,FALSE)-VLOOKUP(A198,Regularizare!$D:$U,9,FALSE)," (",VLOOKUP(A198,Regularizare!$D:$U,18,FALSE),")")</f>
        <v>0 (estimat)</v>
      </c>
      <c r="Y198" s="647"/>
      <c r="Z198" s="647"/>
      <c r="AA198" s="647">
        <f>IF(VLOOKUP(A198,Regularizare!$D:$Y,22,FALSE)=0,VLOOKUP(A198,Regularizare!$D:$Y,22,FALSE),(-1)*VLOOKUP(A198,Regularizare!$D:$Y,22,FALSE))</f>
        <v>0</v>
      </c>
      <c r="AB198" s="647"/>
      <c r="AC198" s="647"/>
      <c r="AD198" s="647" t="s">
        <v>69</v>
      </c>
      <c r="AE198" s="647"/>
      <c r="AF198" s="647">
        <f>AA198</f>
        <v>0</v>
      </c>
      <c r="AG198" s="647"/>
      <c r="AH198" s="647"/>
      <c r="AI198" s="647" t="str">
        <f>AI195</f>
        <v>-</v>
      </c>
      <c r="AJ198" s="647"/>
      <c r="AK198" s="647" t="str">
        <f>AK195</f>
        <v>-</v>
      </c>
      <c r="AL198" s="647"/>
      <c r="AM198" s="647"/>
    </row>
    <row r="199" spans="1:39" ht="8.4499999999999993" customHeight="1">
      <c r="A199" s="727"/>
      <c r="B199" s="729"/>
      <c r="C199" s="729"/>
      <c r="D199" s="729"/>
      <c r="E199" s="729"/>
      <c r="F199" s="728"/>
      <c r="G199" s="648"/>
      <c r="H199" s="648"/>
      <c r="I199" s="648"/>
      <c r="J199" s="717" t="str">
        <f t="shared" si="10"/>
        <v>-</v>
      </c>
      <c r="K199" s="718"/>
      <c r="L199" s="719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7"/>
      <c r="B200" s="688"/>
      <c r="C200" s="688"/>
      <c r="D200" s="688"/>
      <c r="E200" s="688"/>
      <c r="F200" s="689"/>
      <c r="G200" s="648"/>
      <c r="H200" s="648"/>
      <c r="I200" s="648"/>
      <c r="J200" s="714">
        <f t="shared" si="10"/>
        <v>45777</v>
      </c>
      <c r="K200" s="715"/>
      <c r="L200" s="716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4" t="str">
        <f>A198</f>
        <v>V.16G90220110070042/2</v>
      </c>
      <c r="B201" s="685"/>
      <c r="C201" s="685"/>
      <c r="D201" s="685"/>
      <c r="E201" s="685"/>
      <c r="F201" s="686"/>
      <c r="G201" s="648" t="s">
        <v>730</v>
      </c>
      <c r="H201" s="648"/>
      <c r="I201" s="673"/>
      <c r="J201" s="655">
        <f>'Date masura OD'!$AK$5</f>
        <v>45748</v>
      </c>
      <c r="K201" s="656"/>
      <c r="L201" s="657"/>
      <c r="M201" s="720" t="s">
        <v>446</v>
      </c>
      <c r="N201" s="648"/>
      <c r="O201" s="648">
        <f>O198</f>
        <v>1</v>
      </c>
      <c r="P201" s="648"/>
      <c r="Q201" s="648"/>
      <c r="R201" s="647" t="str">
        <f>VLOOKUP(A201,Regularizare!$D:$AX,23,FALSE)&amp;" ("&amp;VLOOKUP(A201,Regularizare!$D:$AX,24,FALSE)&amp;")"</f>
        <v>5571829 (citit)</v>
      </c>
      <c r="S201" s="647"/>
      <c r="T201" s="647"/>
      <c r="U201" s="647" t="str">
        <f>VLOOKUP(A201,Regularizare!$D:$AX,25,FALSE)&amp;" ("&amp;VLOOKUP(A201,Regularizare!$D:$AX,26,FALSE)&amp;")"</f>
        <v>5913380 (citit)</v>
      </c>
      <c r="V201" s="647"/>
      <c r="W201" s="647"/>
      <c r="X201" s="647" t="str">
        <f>VLOOKUP(A201,Regularizare!$D:$AX,37,FALSE)&amp;" ("&amp;VLOOKUP(A201,Regularizare!$D:$AX,26,FALSE)&amp;")"</f>
        <v>341551 (citit)</v>
      </c>
      <c r="Y201" s="647"/>
      <c r="Z201" s="647"/>
      <c r="AA201" s="647">
        <f>VLOOKUP(A201,Regularizare!$D:$AX,37,FALSE)</f>
        <v>341551</v>
      </c>
      <c r="AB201" s="647"/>
      <c r="AC201" s="647"/>
      <c r="AD201" s="647" t="s">
        <v>69</v>
      </c>
      <c r="AE201" s="647"/>
      <c r="AF201" s="647">
        <f>AA201</f>
        <v>341551</v>
      </c>
      <c r="AG201" s="647"/>
      <c r="AH201" s="647"/>
      <c r="AI201" s="647" t="str">
        <f>AI198</f>
        <v>-</v>
      </c>
      <c r="AJ201" s="647"/>
      <c r="AK201" s="647" t="str">
        <f>AK198</f>
        <v>-</v>
      </c>
      <c r="AL201" s="647"/>
      <c r="AM201" s="647"/>
    </row>
    <row r="202" spans="1:39" ht="8.4499999999999993" customHeight="1">
      <c r="A202" s="727"/>
      <c r="B202" s="729"/>
      <c r="C202" s="729"/>
      <c r="D202" s="729"/>
      <c r="E202" s="729"/>
      <c r="F202" s="728"/>
      <c r="G202" s="648"/>
      <c r="H202" s="648"/>
      <c r="I202" s="673"/>
      <c r="J202" s="717" t="s">
        <v>69</v>
      </c>
      <c r="K202" s="718"/>
      <c r="L202" s="719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7"/>
      <c r="B203" s="688"/>
      <c r="C203" s="688"/>
      <c r="D203" s="688"/>
      <c r="E203" s="688"/>
      <c r="F203" s="689"/>
      <c r="G203" s="648"/>
      <c r="H203" s="648"/>
      <c r="I203" s="673"/>
      <c r="J203" s="714">
        <f>'Date masura OD'!$AL$5</f>
        <v>45777</v>
      </c>
      <c r="K203" s="715"/>
      <c r="L203" s="716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4" t="str">
        <f>A201</f>
        <v>V.16G90220110070042/2</v>
      </c>
      <c r="B204" s="685"/>
      <c r="C204" s="685"/>
      <c r="D204" s="685"/>
      <c r="E204" s="685"/>
      <c r="F204" s="686"/>
      <c r="G204" s="648" t="s">
        <v>696</v>
      </c>
      <c r="H204" s="648"/>
      <c r="I204" s="648"/>
      <c r="J204" s="655">
        <f t="shared" ref="J204:J209" si="11">J201</f>
        <v>45748</v>
      </c>
      <c r="K204" s="656"/>
      <c r="L204" s="657"/>
      <c r="M204" s="648" t="s">
        <v>720</v>
      </c>
      <c r="N204" s="648"/>
      <c r="O204" s="648">
        <f>O201</f>
        <v>1</v>
      </c>
      <c r="P204" s="648"/>
      <c r="Q204" s="648"/>
      <c r="R204" s="647" t="str">
        <f>VLOOKUP(A204,Regularizare!$D:$AX,29,FALSE)&amp;" ("&amp;VLOOKUP(A204,Regularizare!$D:$AX,30,FALSE)&amp;")"</f>
        <v>519649 (citit)</v>
      </c>
      <c r="S204" s="647"/>
      <c r="T204" s="647"/>
      <c r="U204" s="647" t="str">
        <f>VLOOKUP(A204,Regularizare!$D:$AX,31,FALSE)&amp;" ("&amp;VLOOKUP(A204,Regularizare!$D:$AX,32,FALSE)&amp;")"</f>
        <v>519649 (citit)</v>
      </c>
      <c r="V204" s="647"/>
      <c r="W204" s="647"/>
      <c r="X204" s="647" t="str">
        <f>VLOOKUP(A204,Regularizare!$D:$AX,39,FALSE)&amp;" ("&amp;VLOOKUP(A204,Regularizare!$D:$AX,32,FALSE)&amp;")"</f>
        <v>0 (citit)</v>
      </c>
      <c r="Y204" s="647"/>
      <c r="Z204" s="647"/>
      <c r="AA204" s="647">
        <f>VLOOKUP(A204,Regularizare!$D:$AX,44,FALSE)+VLOOKUP(A204,Regularizare!$D:$AX,45,FALSE)</f>
        <v>0</v>
      </c>
      <c r="AB204" s="647"/>
      <c r="AC204" s="647"/>
      <c r="AD204" s="647" t="s">
        <v>69</v>
      </c>
      <c r="AE204" s="647"/>
      <c r="AF204" s="647">
        <f>AA204</f>
        <v>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8.4499999999999993" customHeight="1">
      <c r="A205" s="727"/>
      <c r="B205" s="729"/>
      <c r="C205" s="729"/>
      <c r="D205" s="729"/>
      <c r="E205" s="729"/>
      <c r="F205" s="728"/>
      <c r="G205" s="648"/>
      <c r="H205" s="648"/>
      <c r="I205" s="648"/>
      <c r="J205" s="717" t="str">
        <f t="shared" si="11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7"/>
      <c r="B206" s="688"/>
      <c r="C206" s="688"/>
      <c r="D206" s="688"/>
      <c r="E206" s="688"/>
      <c r="F206" s="689"/>
      <c r="G206" s="648"/>
      <c r="H206" s="648"/>
      <c r="I206" s="648"/>
      <c r="J206" s="714">
        <f t="shared" si="11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4" t="str">
        <f>A204</f>
        <v>V.16G90220110070042/2</v>
      </c>
      <c r="B207" s="685"/>
      <c r="C207" s="685"/>
      <c r="D207" s="685"/>
      <c r="E207" s="685"/>
      <c r="F207" s="686"/>
      <c r="G207" s="648" t="s">
        <v>731</v>
      </c>
      <c r="H207" s="648"/>
      <c r="I207" s="648"/>
      <c r="J207" s="655">
        <f t="shared" si="11"/>
        <v>45748</v>
      </c>
      <c r="K207" s="656"/>
      <c r="L207" s="657"/>
      <c r="M207" s="648" t="s">
        <v>720</v>
      </c>
      <c r="N207" s="648"/>
      <c r="O207" s="648">
        <f>O204</f>
        <v>1</v>
      </c>
      <c r="P207" s="648"/>
      <c r="Q207" s="648"/>
      <c r="R207" s="647" t="str">
        <f>VLOOKUP(A207,Regularizare!$D:$AX,33,FALSE)&amp;" ("&amp;VLOOKUP(A207,Regularizare!$D:$AX,34,FALSE)&amp;")"</f>
        <v>108 (citit)</v>
      </c>
      <c r="S207" s="647"/>
      <c r="T207" s="647"/>
      <c r="U207" s="647" t="str">
        <f>VLOOKUP(A207,Regularizare!$D:$AX,35,FALSE)&amp;" ("&amp;VLOOKUP(A207,Regularizare!$D:$AX,36,FALSE)&amp;")"</f>
        <v>108 (citit)</v>
      </c>
      <c r="V207" s="647"/>
      <c r="W207" s="647"/>
      <c r="X207" s="647" t="str">
        <f>VLOOKUP(A207,Regularizare!$D:$AX,40,FALSE)&amp;" ("&amp;VLOOKUP(A207,Regularizare!$D:$AX,36,FALSE)&amp;")"</f>
        <v>0 (citit)</v>
      </c>
      <c r="Y207" s="647"/>
      <c r="Z207" s="647"/>
      <c r="AA207" s="647">
        <f>VLOOKUP(A207,Regularizare!$D:$AX,46,FALSE)+VLOOKUP(A207,Regularizare!$D:$AX,47,FALSE)</f>
        <v>0</v>
      </c>
      <c r="AB207" s="647"/>
      <c r="AC207" s="647"/>
      <c r="AD207" s="647" t="s">
        <v>69</v>
      </c>
      <c r="AE207" s="647"/>
      <c r="AF207" s="647">
        <f>AA207</f>
        <v>0</v>
      </c>
      <c r="AG207" s="647"/>
      <c r="AH207" s="647"/>
      <c r="AI207" s="647" t="str">
        <f>AI204</f>
        <v>-</v>
      </c>
      <c r="AJ207" s="647"/>
      <c r="AK207" s="647" t="str">
        <f>AK204</f>
        <v>-</v>
      </c>
      <c r="AL207" s="647"/>
      <c r="AM207" s="647"/>
    </row>
    <row r="208" spans="1:39" ht="8.4499999999999993" customHeight="1">
      <c r="A208" s="727"/>
      <c r="B208" s="729"/>
      <c r="C208" s="729"/>
      <c r="D208" s="729"/>
      <c r="E208" s="729"/>
      <c r="F208" s="728"/>
      <c r="G208" s="648"/>
      <c r="H208" s="648"/>
      <c r="I208" s="648"/>
      <c r="J208" s="717" t="str">
        <f t="shared" si="11"/>
        <v>-</v>
      </c>
      <c r="K208" s="718"/>
      <c r="L208" s="719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7"/>
      <c r="B209" s="688"/>
      <c r="C209" s="688"/>
      <c r="D209" s="688"/>
      <c r="E209" s="688"/>
      <c r="F209" s="689"/>
      <c r="G209" s="648"/>
      <c r="H209" s="648"/>
      <c r="I209" s="648"/>
      <c r="J209" s="714">
        <f t="shared" si="11"/>
        <v>45777</v>
      </c>
      <c r="K209" s="715"/>
      <c r="L209" s="716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4" t="str">
        <f>A207</f>
        <v>V.16G90220110070042/2</v>
      </c>
      <c r="B210" s="685"/>
      <c r="C210" s="685"/>
      <c r="D210" s="685"/>
      <c r="E210" s="685"/>
      <c r="F210" s="686"/>
      <c r="G210" s="648" t="s">
        <v>730</v>
      </c>
      <c r="H210" s="648"/>
      <c r="I210" s="673"/>
      <c r="J210" s="655">
        <f>'Date masura OD'!$I$5</f>
        <v>45778</v>
      </c>
      <c r="K210" s="656"/>
      <c r="L210" s="657"/>
      <c r="M210" s="720" t="s">
        <v>446</v>
      </c>
      <c r="N210" s="648"/>
      <c r="O210" s="648">
        <f>O207</f>
        <v>1</v>
      </c>
      <c r="P210" s="648"/>
      <c r="Q210" s="648"/>
      <c r="R210" s="647" t="str">
        <f>U201</f>
        <v>5913380 (citit)</v>
      </c>
      <c r="S210" s="647"/>
      <c r="T210" s="647"/>
      <c r="U210" s="647" t="str">
        <f>VLOOKUP(A210,'Incrementare indexe'!$D:$M,4,FALSE)&amp;" (estimat)"</f>
        <v>6328846 (estimat)</v>
      </c>
      <c r="V210" s="647"/>
      <c r="W210" s="647"/>
      <c r="X210" s="647" t="str">
        <f>VLOOKUP(A210,'Incrementare indexe'!$D:$Q,11,FALSE)&amp;" (estimat)"</f>
        <v>415466 (estimat)</v>
      </c>
      <c r="Y210" s="647"/>
      <c r="Z210" s="647"/>
      <c r="AA210" s="647" t="s">
        <v>69</v>
      </c>
      <c r="AB210" s="647"/>
      <c r="AC210" s="647"/>
      <c r="AD210" s="647" t="s">
        <v>69</v>
      </c>
      <c r="AE210" s="647"/>
      <c r="AF210" s="647">
        <f>VLOOKUP(A210,'Incrementare indexe'!$D:$Q,11,FALSE)</f>
        <v>415466</v>
      </c>
      <c r="AG210" s="647"/>
      <c r="AH210" s="647"/>
      <c r="AI210" s="647">
        <f>J212-J210+1</f>
        <v>31</v>
      </c>
      <c r="AJ210" s="647"/>
      <c r="AK210" s="647">
        <f>ROUND(AF210/AI210,2)</f>
        <v>13402.13</v>
      </c>
      <c r="AL210" s="647"/>
      <c r="AM210" s="647"/>
    </row>
    <row r="211" spans="1:39" ht="8.4499999999999993" customHeight="1">
      <c r="A211" s="727"/>
      <c r="B211" s="729"/>
      <c r="C211" s="729"/>
      <c r="D211" s="729"/>
      <c r="E211" s="729"/>
      <c r="F211" s="728"/>
      <c r="G211" s="648"/>
      <c r="H211" s="648"/>
      <c r="I211" s="673"/>
      <c r="J211" s="717" t="s">
        <v>69</v>
      </c>
      <c r="K211" s="718"/>
      <c r="L211" s="719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7"/>
      <c r="B212" s="688"/>
      <c r="C212" s="688"/>
      <c r="D212" s="688"/>
      <c r="E212" s="688"/>
      <c r="F212" s="689"/>
      <c r="G212" s="648"/>
      <c r="H212" s="648"/>
      <c r="I212" s="673"/>
      <c r="J212" s="714">
        <f>'Date masura OD'!$J$5</f>
        <v>45808</v>
      </c>
      <c r="K212" s="715"/>
      <c r="L212" s="716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4" t="str">
        <f>A210</f>
        <v>V.16G90220110070042/2</v>
      </c>
      <c r="B213" s="685"/>
      <c r="C213" s="685"/>
      <c r="D213" s="685"/>
      <c r="E213" s="685"/>
      <c r="F213" s="686"/>
      <c r="G213" s="648" t="s">
        <v>696</v>
      </c>
      <c r="H213" s="648"/>
      <c r="I213" s="648"/>
      <c r="J213" s="655">
        <f t="shared" ref="J213:J218" si="12">J210</f>
        <v>45778</v>
      </c>
      <c r="K213" s="656"/>
      <c r="L213" s="657"/>
      <c r="M213" s="648" t="s">
        <v>720</v>
      </c>
      <c r="N213" s="648"/>
      <c r="O213" s="648">
        <f>O210</f>
        <v>1</v>
      </c>
      <c r="P213" s="648"/>
      <c r="Q213" s="648"/>
      <c r="R213" s="647" t="str">
        <f>U204</f>
        <v>519649 (citit)</v>
      </c>
      <c r="S213" s="647"/>
      <c r="T213" s="647"/>
      <c r="U213" s="647" t="str">
        <f>VLOOKUP(A213,'Incrementare indexe'!$D:$M,8,FALSE)&amp;" (estimat)"</f>
        <v>519649 (estimat)</v>
      </c>
      <c r="V213" s="647"/>
      <c r="W213" s="647"/>
      <c r="X213" s="647" t="str">
        <f>VLOOKUP(A213,'Incrementare indexe'!$D:$Q,12,FALSE)&amp;" (estimat)"</f>
        <v>0 (estimat)</v>
      </c>
      <c r="Y213" s="647"/>
      <c r="Z213" s="647"/>
      <c r="AA213" s="647" t="s">
        <v>69</v>
      </c>
      <c r="AB213" s="647"/>
      <c r="AC213" s="647"/>
      <c r="AD213" s="647" t="s">
        <v>69</v>
      </c>
      <c r="AE213" s="647"/>
      <c r="AF213" s="647">
        <f>VLOOKUP(A213,'Incrementare indexe'!$D:$Q,12,FALSE)</f>
        <v>0</v>
      </c>
      <c r="AG213" s="647"/>
      <c r="AH213" s="647"/>
      <c r="AI213" s="647">
        <f>AI210</f>
        <v>31</v>
      </c>
      <c r="AJ213" s="647"/>
      <c r="AK213" s="647">
        <f>ROUND(AF213/AI213,2)</f>
        <v>0</v>
      </c>
      <c r="AL213" s="647"/>
      <c r="AM213" s="647"/>
    </row>
    <row r="214" spans="1:39" ht="8.4499999999999993" customHeight="1">
      <c r="A214" s="727"/>
      <c r="B214" s="729"/>
      <c r="C214" s="729"/>
      <c r="D214" s="729"/>
      <c r="E214" s="729"/>
      <c r="F214" s="728"/>
      <c r="G214" s="648"/>
      <c r="H214" s="648"/>
      <c r="I214" s="648"/>
      <c r="J214" s="717" t="str">
        <f t="shared" si="12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7"/>
      <c r="B215" s="688"/>
      <c r="C215" s="688"/>
      <c r="D215" s="688"/>
      <c r="E215" s="688"/>
      <c r="F215" s="689"/>
      <c r="G215" s="648"/>
      <c r="H215" s="648"/>
      <c r="I215" s="648"/>
      <c r="J215" s="714">
        <f t="shared" si="12"/>
        <v>45808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4" t="str">
        <f>A213</f>
        <v>V.16G90220110070042/2</v>
      </c>
      <c r="B216" s="685"/>
      <c r="C216" s="685"/>
      <c r="D216" s="685"/>
      <c r="E216" s="685"/>
      <c r="F216" s="686"/>
      <c r="G216" s="648" t="s">
        <v>731</v>
      </c>
      <c r="H216" s="648"/>
      <c r="I216" s="648"/>
      <c r="J216" s="655">
        <f t="shared" si="12"/>
        <v>45778</v>
      </c>
      <c r="K216" s="656"/>
      <c r="L216" s="657"/>
      <c r="M216" s="648" t="s">
        <v>720</v>
      </c>
      <c r="N216" s="648"/>
      <c r="O216" s="648">
        <f>O213</f>
        <v>1</v>
      </c>
      <c r="P216" s="648"/>
      <c r="Q216" s="648"/>
      <c r="R216" s="647" t="str">
        <f>U207</f>
        <v>108 (citit)</v>
      </c>
      <c r="S216" s="647"/>
      <c r="T216" s="647"/>
      <c r="U216" s="647" t="str">
        <f>VLOOKUP(A216,'Incrementare indexe'!$D:$M,10,FALSE)&amp;" (estimat)"</f>
        <v>108 (estimat)</v>
      </c>
      <c r="V216" s="647"/>
      <c r="W216" s="647"/>
      <c r="X216" s="647" t="str">
        <f>VLOOKUP(A216,'Incrementare indexe'!$D:$Q,13,FALSE)&amp;" (estimat)"</f>
        <v>0 (estimat)</v>
      </c>
      <c r="Y216" s="647"/>
      <c r="Z216" s="647"/>
      <c r="AA216" s="647" t="s">
        <v>69</v>
      </c>
      <c r="AB216" s="647"/>
      <c r="AC216" s="647"/>
      <c r="AD216" s="647" t="s">
        <v>69</v>
      </c>
      <c r="AE216" s="647"/>
      <c r="AF216" s="647">
        <f>VLOOKUP(A216,'Incrementare indexe'!$D:$Q,13,FALSE)</f>
        <v>0</v>
      </c>
      <c r="AG216" s="647"/>
      <c r="AH216" s="647"/>
      <c r="AI216" s="647">
        <f>AI213</f>
        <v>31</v>
      </c>
      <c r="AJ216" s="647"/>
      <c r="AK216" s="647">
        <f>ROUND(AF216/AI216,2)</f>
        <v>0</v>
      </c>
      <c r="AL216" s="647"/>
      <c r="AM216" s="647"/>
    </row>
    <row r="217" spans="1:39" ht="8.4499999999999993" customHeight="1">
      <c r="A217" s="727"/>
      <c r="B217" s="729"/>
      <c r="C217" s="729"/>
      <c r="D217" s="729"/>
      <c r="E217" s="729"/>
      <c r="F217" s="728"/>
      <c r="G217" s="648"/>
      <c r="H217" s="648"/>
      <c r="I217" s="648"/>
      <c r="J217" s="717" t="str">
        <f t="shared" si="12"/>
        <v>-</v>
      </c>
      <c r="K217" s="718"/>
      <c r="L217" s="719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7"/>
      <c r="B218" s="688"/>
      <c r="C218" s="688"/>
      <c r="D218" s="688"/>
      <c r="E218" s="688"/>
      <c r="F218" s="689"/>
      <c r="G218" s="648"/>
      <c r="H218" s="648"/>
      <c r="I218" s="648"/>
      <c r="J218" s="714">
        <f t="shared" si="12"/>
        <v>45808</v>
      </c>
      <c r="K218" s="715"/>
      <c r="L218" s="716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/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 ht="15.95" customHeight="1">
      <c r="A239" s="624" t="str">
        <f>A27</f>
        <v>DETALII FACTURA FACTURA FISCALA SERIA …........ NR …................. din date de ….......06.2025</v>
      </c>
      <c r="B239" s="624"/>
      <c r="C239" s="624"/>
      <c r="D239" s="624"/>
      <c r="E239" s="624"/>
      <c r="F239" s="624"/>
      <c r="G239" s="624"/>
      <c r="H239" s="624"/>
      <c r="I239" s="624"/>
      <c r="J239" s="624"/>
      <c r="K239" s="624"/>
      <c r="L239" s="624"/>
      <c r="M239" s="624"/>
      <c r="N239" s="624"/>
      <c r="O239" s="624"/>
      <c r="P239" s="624"/>
      <c r="Q239" s="624"/>
      <c r="R239" s="624"/>
      <c r="S239" s="624"/>
      <c r="T239" s="624"/>
      <c r="U239" s="624"/>
      <c r="V239" s="624"/>
      <c r="W239" s="624"/>
      <c r="X239" s="624"/>
      <c r="Y239" s="624"/>
      <c r="Z239" s="624"/>
      <c r="AA239" s="624"/>
      <c r="AB239" s="624"/>
      <c r="AC239" s="624"/>
      <c r="AD239" s="624"/>
      <c r="AE239" s="624"/>
      <c r="AF239" s="624"/>
      <c r="AG239" s="624"/>
      <c r="AH239" s="624"/>
      <c r="AI239" s="624"/>
      <c r="AJ239" s="624"/>
      <c r="AK239" s="624"/>
      <c r="AL239" s="624"/>
      <c r="AM239" s="624"/>
    </row>
    <row r="241" spans="1:39" ht="36" customHeight="1">
      <c r="A241" s="66" t="s">
        <v>721</v>
      </c>
      <c r="B241" s="648" t="s">
        <v>95</v>
      </c>
      <c r="C241" s="648"/>
      <c r="D241" s="648"/>
      <c r="E241" s="648"/>
      <c r="F241" s="648"/>
      <c r="G241" s="648"/>
      <c r="H241" s="648"/>
      <c r="I241" s="648"/>
      <c r="J241" s="648"/>
      <c r="K241" s="648"/>
      <c r="L241" s="64" t="s">
        <v>709</v>
      </c>
      <c r="M241" s="69"/>
      <c r="N241" s="69"/>
      <c r="O241" s="64"/>
      <c r="P241" s="69"/>
      <c r="Q241" s="69"/>
      <c r="R241" s="647" t="s">
        <v>722</v>
      </c>
      <c r="S241" s="647"/>
      <c r="T241" s="647"/>
      <c r="U241" s="647"/>
      <c r="V241" s="648" t="s">
        <v>519</v>
      </c>
      <c r="W241" s="648"/>
      <c r="X241" s="647" t="s">
        <v>723</v>
      </c>
      <c r="Y241" s="647"/>
      <c r="Z241" s="647"/>
      <c r="AA241" s="647"/>
      <c r="AB241" s="647" t="s">
        <v>724</v>
      </c>
      <c r="AC241" s="647"/>
      <c r="AD241" s="647"/>
      <c r="AE241" s="647"/>
      <c r="AF241" s="647" t="s">
        <v>725</v>
      </c>
      <c r="AG241" s="647"/>
      <c r="AH241" s="647"/>
      <c r="AI241" s="647"/>
      <c r="AJ241" s="647" t="s">
        <v>726</v>
      </c>
      <c r="AK241" s="647"/>
      <c r="AL241" s="647"/>
      <c r="AM241" s="647"/>
    </row>
    <row r="242" spans="1:39" ht="15.95" customHeight="1">
      <c r="A242" s="65">
        <v>1</v>
      </c>
      <c r="B242" s="699" t="s">
        <v>71</v>
      </c>
      <c r="C242" s="700"/>
      <c r="D242" s="700"/>
      <c r="E242" s="700"/>
      <c r="F242" s="700"/>
      <c r="G242" s="700"/>
      <c r="H242" s="700"/>
      <c r="I242" s="700"/>
      <c r="J242" s="700"/>
      <c r="K242" s="701"/>
      <c r="L242" s="702">
        <f>'Date masura OD'!$I$5</f>
        <v>45778</v>
      </c>
      <c r="M242" s="702"/>
      <c r="N242" s="702"/>
      <c r="O242" s="702">
        <f>'Date masura OD'!$J$5</f>
        <v>45808</v>
      </c>
      <c r="P242" s="702"/>
      <c r="Q242" s="702"/>
      <c r="R242" s="690" cm="1">
        <f t="array" ref="R242">INDEX(verificare!$AT$4:$CC$26,VLOOKUP($AA$15,verificare!$AR$4:$AS$26,2,FALSE),A242)</f>
        <v>1447555</v>
      </c>
      <c r="S242" s="690"/>
      <c r="T242" s="690"/>
      <c r="U242" s="690"/>
      <c r="V242" s="658" t="s">
        <v>446</v>
      </c>
      <c r="W242" s="658"/>
      <c r="X242" s="691">
        <f>HLOOKUP(VLOOKUP($AA$15,'Date SPV'!$B:$F,5,FALSE),'Preturi si tarife'!$C$2:$J$39,A242+2,FALSE)</f>
        <v>0.59499999999999997</v>
      </c>
      <c r="Y242" s="692"/>
      <c r="Z242" s="692"/>
      <c r="AA242" s="693"/>
      <c r="AB242" s="690">
        <f>ROUND(X242*R242,2)</f>
        <v>861295.23</v>
      </c>
      <c r="AC242" s="690"/>
      <c r="AD242" s="690"/>
      <c r="AE242" s="690"/>
      <c r="AF242" s="690">
        <f>ROUND(AB242*19%,2)</f>
        <v>163646.09</v>
      </c>
      <c r="AG242" s="690"/>
      <c r="AH242" s="690"/>
      <c r="AI242" s="690"/>
      <c r="AJ242" s="690">
        <f>AB242+AF242</f>
        <v>1024941.32</v>
      </c>
      <c r="AK242" s="690"/>
      <c r="AL242" s="690"/>
      <c r="AM242" s="690"/>
    </row>
    <row r="243" spans="1:39" ht="15.95" customHeight="1">
      <c r="A243" s="65">
        <f>A242+1</f>
        <v>2</v>
      </c>
      <c r="B243" s="699" t="s">
        <v>72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02">
        <f>L242</f>
        <v>45778</v>
      </c>
      <c r="M243" s="702"/>
      <c r="N243" s="702"/>
      <c r="O243" s="702">
        <f>O242</f>
        <v>45808</v>
      </c>
      <c r="P243" s="702"/>
      <c r="Q243" s="702"/>
      <c r="R243" s="772" cm="1">
        <f t="array" ref="R243">INDEX(verificare!$AT$4:$CC$26,VLOOKUP($AA$15,verificare!$AR$4:$AS$26,2,FALSE),A243)</f>
        <v>0</v>
      </c>
      <c r="S243" s="773"/>
      <c r="T243" s="773"/>
      <c r="U243" s="774"/>
      <c r="V243" s="658" t="s">
        <v>727</v>
      </c>
      <c r="W243" s="658"/>
      <c r="X243" s="691">
        <f>HLOOKUP(VLOOKUP($AA$15,'Date SPV'!$B:$F,5,FALSE),'Preturi si tarife'!$C$2:$J$39,A243+2,FALSE)</f>
        <v>0.14660000000000001</v>
      </c>
      <c r="Y243" s="692"/>
      <c r="Z243" s="692"/>
      <c r="AA243" s="693"/>
      <c r="AB243" s="690">
        <f t="shared" ref="AB243:AB269" si="13">ROUND(X243*R243,2)</f>
        <v>0</v>
      </c>
      <c r="AC243" s="690"/>
      <c r="AD243" s="690"/>
      <c r="AE243" s="690"/>
      <c r="AF243" s="690">
        <f t="shared" ref="AF243:AF269" si="14">ROUND(AB243*19%,2)</f>
        <v>0</v>
      </c>
      <c r="AG243" s="690"/>
      <c r="AH243" s="690"/>
      <c r="AI243" s="690"/>
      <c r="AJ243" s="690">
        <f t="shared" ref="AJ243:AJ269" si="15">AB243+AF243</f>
        <v>0</v>
      </c>
      <c r="AK243" s="690"/>
      <c r="AL243" s="690"/>
      <c r="AM243" s="690"/>
    </row>
    <row r="244" spans="1:39" ht="15.95" customHeight="1">
      <c r="A244" s="65">
        <f t="shared" ref="A244:A279" si="16">A243+1</f>
        <v>3</v>
      </c>
      <c r="B244" s="699" t="s">
        <v>73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02">
        <f t="shared" ref="L244:L253" si="17">L243</f>
        <v>45778</v>
      </c>
      <c r="M244" s="702"/>
      <c r="N244" s="702"/>
      <c r="O244" s="702">
        <f t="shared" ref="O244:O253" si="18">O243</f>
        <v>45808</v>
      </c>
      <c r="P244" s="702"/>
      <c r="Q244" s="702"/>
      <c r="R244" s="772" cm="1">
        <f t="array" ref="R244">INDEX(verificare!$AT$4:$CC$26,VLOOKUP($AA$15,verificare!$AR$4:$AS$26,2,FALSE),A244)</f>
        <v>0</v>
      </c>
      <c r="S244" s="773"/>
      <c r="T244" s="773"/>
      <c r="U244" s="774"/>
      <c r="V244" s="658" t="s">
        <v>727</v>
      </c>
      <c r="W244" s="658"/>
      <c r="X244" s="691">
        <f>HLOOKUP(VLOOKUP($AA$15,'Date SPV'!$B:$F,5,FALSE),'Preturi si tarife'!$C$2:$J$39,A244+2,FALSE)</f>
        <v>0.43980000000000002</v>
      </c>
      <c r="Y244" s="692"/>
      <c r="Z244" s="692"/>
      <c r="AA244" s="693"/>
      <c r="AB244" s="690">
        <f t="shared" si="13"/>
        <v>0</v>
      </c>
      <c r="AC244" s="690"/>
      <c r="AD244" s="690"/>
      <c r="AE244" s="690"/>
      <c r="AF244" s="690">
        <f t="shared" si="14"/>
        <v>0</v>
      </c>
      <c r="AG244" s="690"/>
      <c r="AH244" s="690"/>
      <c r="AI244" s="690"/>
      <c r="AJ244" s="690">
        <f t="shared" si="15"/>
        <v>0</v>
      </c>
      <c r="AK244" s="690"/>
      <c r="AL244" s="690"/>
      <c r="AM244" s="690"/>
    </row>
    <row r="245" spans="1:39" ht="15.95" customHeight="1">
      <c r="A245" s="65">
        <f t="shared" si="16"/>
        <v>4</v>
      </c>
      <c r="B245" s="699" t="s">
        <v>868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02">
        <f t="shared" si="17"/>
        <v>45778</v>
      </c>
      <c r="M245" s="702"/>
      <c r="N245" s="702"/>
      <c r="O245" s="702">
        <f t="shared" si="18"/>
        <v>45808</v>
      </c>
      <c r="P245" s="702"/>
      <c r="Q245" s="702"/>
      <c r="R245" s="772" cm="1">
        <f t="array" ref="R245">INDEX(verificare!$AT$4:$CC$26,VLOOKUP($AA$15,verificare!$AR$4:$AS$26,2,FALSE),A245)</f>
        <v>1447555</v>
      </c>
      <c r="S245" s="773"/>
      <c r="T245" s="773"/>
      <c r="U245" s="774"/>
      <c r="V245" s="658" t="s">
        <v>446</v>
      </c>
      <c r="W245" s="658"/>
      <c r="X245" s="691">
        <f>HLOOKUP(VLOOKUP($AA$15,'Date SPV'!$B:$F,5,FALSE),'Preturi si tarife'!$C$2:$J$39,A245+2,FALSE)</f>
        <v>8.6180000000000007E-2</v>
      </c>
      <c r="Y245" s="692"/>
      <c r="Z245" s="692"/>
      <c r="AA245" s="693"/>
      <c r="AB245" s="690">
        <f t="shared" si="13"/>
        <v>124750.29</v>
      </c>
      <c r="AC245" s="690"/>
      <c r="AD245" s="690"/>
      <c r="AE245" s="690"/>
      <c r="AF245" s="690">
        <f t="shared" si="14"/>
        <v>23702.560000000001</v>
      </c>
      <c r="AG245" s="690"/>
      <c r="AH245" s="690"/>
      <c r="AI245" s="690"/>
      <c r="AJ245" s="690">
        <f t="shared" si="15"/>
        <v>148452.85</v>
      </c>
      <c r="AK245" s="690"/>
      <c r="AL245" s="690"/>
      <c r="AM245" s="690"/>
    </row>
    <row r="246" spans="1:39" ht="15.95" customHeight="1">
      <c r="A246" s="65">
        <f t="shared" si="16"/>
        <v>5</v>
      </c>
      <c r="B246" s="699" t="s">
        <v>757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02">
        <f t="shared" si="17"/>
        <v>45778</v>
      </c>
      <c r="M246" s="702"/>
      <c r="N246" s="702"/>
      <c r="O246" s="702">
        <f t="shared" si="18"/>
        <v>45808</v>
      </c>
      <c r="P246" s="702"/>
      <c r="Q246" s="702"/>
      <c r="R246" s="772" cm="1">
        <f t="array" ref="R246">INDEX(verificare!$AT$4:$CC$26,VLOOKUP($AA$15,verificare!$AR$4:$AS$26,2,FALSE),A246)</f>
        <v>0</v>
      </c>
      <c r="S246" s="773"/>
      <c r="T246" s="773"/>
      <c r="U246" s="774"/>
      <c r="V246" s="658" t="s">
        <v>446</v>
      </c>
      <c r="W246" s="658"/>
      <c r="X246" s="691">
        <f>HLOOKUP(VLOOKUP($AA$15,'Date SPV'!$B:$F,5,FALSE),'Preturi si tarife'!$C$2:$J$39,A246+2,FALSE)</f>
        <v>0.2079</v>
      </c>
      <c r="Y246" s="692"/>
      <c r="Z246" s="692"/>
      <c r="AA246" s="693"/>
      <c r="AB246" s="690">
        <f t="shared" si="13"/>
        <v>0</v>
      </c>
      <c r="AC246" s="690"/>
      <c r="AD246" s="690"/>
      <c r="AE246" s="690"/>
      <c r="AF246" s="690">
        <f t="shared" si="14"/>
        <v>0</v>
      </c>
      <c r="AG246" s="690"/>
      <c r="AH246" s="690"/>
      <c r="AI246" s="690"/>
      <c r="AJ246" s="690">
        <f t="shared" si="15"/>
        <v>0</v>
      </c>
      <c r="AK246" s="690"/>
      <c r="AL246" s="690"/>
      <c r="AM246" s="690"/>
    </row>
    <row r="247" spans="1:39" ht="15.95" customHeight="1">
      <c r="A247" s="65">
        <f t="shared" si="16"/>
        <v>6</v>
      </c>
      <c r="B247" s="699" t="s">
        <v>74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02">
        <f t="shared" si="17"/>
        <v>45778</v>
      </c>
      <c r="M247" s="702"/>
      <c r="N247" s="702"/>
      <c r="O247" s="702">
        <f t="shared" si="18"/>
        <v>45808</v>
      </c>
      <c r="P247" s="702"/>
      <c r="Q247" s="702"/>
      <c r="R247" s="772" cm="1">
        <f t="array" ref="R247">INDEX(verificare!$AT$4:$CC$26,VLOOKUP($AA$15,verificare!$AR$4:$AS$26,2,FALSE),A247)</f>
        <v>1447555</v>
      </c>
      <c r="S247" s="773"/>
      <c r="T247" s="773"/>
      <c r="U247" s="774"/>
      <c r="V247" s="658" t="s">
        <v>446</v>
      </c>
      <c r="W247" s="658"/>
      <c r="X247" s="691">
        <f>HLOOKUP(VLOOKUP($AA$15,'Date SPV'!$B:$F,5,FALSE),'Preturi si tarife'!$C$2:$J$39,A247+2,FALSE)</f>
        <v>1.1509999999999999E-2</v>
      </c>
      <c r="Y247" s="692"/>
      <c r="Z247" s="692"/>
      <c r="AA247" s="693"/>
      <c r="AB247" s="690">
        <f t="shared" si="13"/>
        <v>16661.36</v>
      </c>
      <c r="AC247" s="690"/>
      <c r="AD247" s="690"/>
      <c r="AE247" s="690"/>
      <c r="AF247" s="690">
        <f t="shared" si="14"/>
        <v>3165.66</v>
      </c>
      <c r="AG247" s="690"/>
      <c r="AH247" s="690"/>
      <c r="AI247" s="690"/>
      <c r="AJ247" s="690">
        <f t="shared" si="15"/>
        <v>19827.02</v>
      </c>
      <c r="AK247" s="690"/>
      <c r="AL247" s="690"/>
      <c r="AM247" s="690"/>
    </row>
    <row r="248" spans="1:39" ht="15.95" customHeight="1">
      <c r="A248" s="65">
        <f t="shared" si="16"/>
        <v>7</v>
      </c>
      <c r="B248" s="699" t="s">
        <v>75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02">
        <f t="shared" si="17"/>
        <v>45778</v>
      </c>
      <c r="M248" s="702"/>
      <c r="N248" s="702"/>
      <c r="O248" s="702">
        <f t="shared" si="18"/>
        <v>45808</v>
      </c>
      <c r="P248" s="702"/>
      <c r="Q248" s="702"/>
      <c r="R248" s="772" cm="1">
        <f t="array" ref="R248">INDEX(verificare!$AT$4:$CC$26,VLOOKUP($AA$15,verificare!$AR$4:$AS$26,2,FALSE),A248)</f>
        <v>1447555</v>
      </c>
      <c r="S248" s="773"/>
      <c r="T248" s="773"/>
      <c r="U248" s="774"/>
      <c r="V248" s="658" t="s">
        <v>446</v>
      </c>
      <c r="W248" s="658"/>
      <c r="X248" s="691">
        <f>HLOOKUP(VLOOKUP($AA$15,'Date SPV'!$B:$F,5,FALSE),'Preturi si tarife'!$C$2:$J$39,A248+2,FALSE)</f>
        <v>3.3030000000000004E-2</v>
      </c>
      <c r="Y248" s="692"/>
      <c r="Z248" s="692"/>
      <c r="AA248" s="693"/>
      <c r="AB248" s="690">
        <f t="shared" si="13"/>
        <v>47812.74</v>
      </c>
      <c r="AC248" s="690"/>
      <c r="AD248" s="690"/>
      <c r="AE248" s="690"/>
      <c r="AF248" s="690">
        <f t="shared" si="14"/>
        <v>9084.42</v>
      </c>
      <c r="AG248" s="690"/>
      <c r="AH248" s="690"/>
      <c r="AI248" s="690"/>
      <c r="AJ248" s="690">
        <f t="shared" si="15"/>
        <v>56897.159999999996</v>
      </c>
      <c r="AK248" s="690"/>
      <c r="AL248" s="690"/>
      <c r="AM248" s="690"/>
    </row>
    <row r="249" spans="1:39" ht="15.95" customHeight="1">
      <c r="A249" s="65">
        <f t="shared" si="16"/>
        <v>8</v>
      </c>
      <c r="B249" s="699" t="s">
        <v>76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02">
        <f t="shared" si="17"/>
        <v>45778</v>
      </c>
      <c r="M249" s="702"/>
      <c r="N249" s="702"/>
      <c r="O249" s="702">
        <f t="shared" si="18"/>
        <v>45808</v>
      </c>
      <c r="P249" s="702"/>
      <c r="Q249" s="702"/>
      <c r="R249" s="772" cm="1">
        <f t="array" ref="R249">INDEX(verificare!$AT$4:$CC$26,VLOOKUP($AA$15,verificare!$AR$4:$AS$26,2,FALSE),A249)</f>
        <v>1447555</v>
      </c>
      <c r="S249" s="773"/>
      <c r="T249" s="773"/>
      <c r="U249" s="774"/>
      <c r="V249" s="658" t="s">
        <v>446</v>
      </c>
      <c r="W249" s="658"/>
      <c r="X249" s="691">
        <f>HLOOKUP(VLOOKUP($AA$15,'Date SPV'!$B:$F,5,FALSE),'Preturi si tarife'!$C$2:$J$39,A249+2,FALSE)</f>
        <v>3.29E-3</v>
      </c>
      <c r="Y249" s="692"/>
      <c r="Z249" s="692"/>
      <c r="AA249" s="693"/>
      <c r="AB249" s="690">
        <f t="shared" si="13"/>
        <v>4762.46</v>
      </c>
      <c r="AC249" s="690"/>
      <c r="AD249" s="690"/>
      <c r="AE249" s="690"/>
      <c r="AF249" s="690">
        <f t="shared" si="14"/>
        <v>904.87</v>
      </c>
      <c r="AG249" s="690"/>
      <c r="AH249" s="690"/>
      <c r="AI249" s="690"/>
      <c r="AJ249" s="690">
        <f t="shared" si="15"/>
        <v>5667.33</v>
      </c>
      <c r="AK249" s="690"/>
      <c r="AL249" s="690"/>
      <c r="AM249" s="690"/>
    </row>
    <row r="250" spans="1:39" ht="15.95" customHeight="1">
      <c r="A250" s="65">
        <f t="shared" si="16"/>
        <v>9</v>
      </c>
      <c r="B250" s="699" t="s">
        <v>77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02">
        <f t="shared" si="17"/>
        <v>45778</v>
      </c>
      <c r="M250" s="702"/>
      <c r="N250" s="702"/>
      <c r="O250" s="702">
        <f t="shared" si="18"/>
        <v>45808</v>
      </c>
      <c r="P250" s="702"/>
      <c r="Q250" s="702"/>
      <c r="R250" s="772" cm="1">
        <f t="array" ref="R250">INDEX(verificare!$AT$4:$CC$26,VLOOKUP($AA$15,verificare!$AR$4:$AS$26,2,FALSE),A250)</f>
        <v>1447555</v>
      </c>
      <c r="S250" s="773"/>
      <c r="T250" s="773"/>
      <c r="U250" s="774"/>
      <c r="V250" s="658" t="s">
        <v>446</v>
      </c>
      <c r="W250" s="658"/>
      <c r="X250" s="691">
        <f>HLOOKUP(VLOOKUP($AA$15,'Date SPV'!$B:$F,5,FALSE),'Preturi si tarife'!$C$2:$J$39,A250+2,FALSE)</f>
        <v>3.5000000000000001E-3</v>
      </c>
      <c r="Y250" s="692"/>
      <c r="Z250" s="692"/>
      <c r="AA250" s="693"/>
      <c r="AB250" s="690">
        <f t="shared" si="13"/>
        <v>5066.4399999999996</v>
      </c>
      <c r="AC250" s="690"/>
      <c r="AD250" s="690"/>
      <c r="AE250" s="690"/>
      <c r="AF250" s="690">
        <f t="shared" si="14"/>
        <v>962.62</v>
      </c>
      <c r="AG250" s="690"/>
      <c r="AH250" s="690"/>
      <c r="AI250" s="690"/>
      <c r="AJ250" s="690">
        <f t="shared" si="15"/>
        <v>6029.0599999999995</v>
      </c>
      <c r="AK250" s="690"/>
      <c r="AL250" s="690"/>
      <c r="AM250" s="690"/>
    </row>
    <row r="251" spans="1:39" ht="15.95" customHeight="1">
      <c r="A251" s="65">
        <f t="shared" si="16"/>
        <v>10</v>
      </c>
      <c r="B251" s="699" t="s">
        <v>78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02">
        <f t="shared" si="17"/>
        <v>45778</v>
      </c>
      <c r="M251" s="702"/>
      <c r="N251" s="702"/>
      <c r="O251" s="702">
        <f t="shared" si="18"/>
        <v>45808</v>
      </c>
      <c r="P251" s="702"/>
      <c r="Q251" s="702"/>
      <c r="R251" s="772" cm="1">
        <f t="array" ref="R251">INDEX(verificare!$AT$4:$CC$26,VLOOKUP($AA$15,verificare!$AR$4:$AS$26,2,FALSE),A251)</f>
        <v>1447555</v>
      </c>
      <c r="S251" s="773"/>
      <c r="T251" s="773"/>
      <c r="U251" s="774"/>
      <c r="V251" s="658" t="s">
        <v>446</v>
      </c>
      <c r="W251" s="658"/>
      <c r="X251" s="691">
        <f>HLOOKUP(VLOOKUP($AA$15,'Date SPV'!$B:$F,5,FALSE),'Preturi si tarife'!$C$2:$J$39,A251+2,FALSE)</f>
        <v>7.2541599999999998E-2</v>
      </c>
      <c r="Y251" s="692"/>
      <c r="Z251" s="692"/>
      <c r="AA251" s="693"/>
      <c r="AB251" s="690">
        <f t="shared" si="13"/>
        <v>105007.96</v>
      </c>
      <c r="AC251" s="690"/>
      <c r="AD251" s="690"/>
      <c r="AE251" s="690"/>
      <c r="AF251" s="690">
        <f t="shared" si="14"/>
        <v>19951.509999999998</v>
      </c>
      <c r="AG251" s="690"/>
      <c r="AH251" s="690"/>
      <c r="AI251" s="690"/>
      <c r="AJ251" s="690">
        <f t="shared" si="15"/>
        <v>124959.47</v>
      </c>
      <c r="AK251" s="690"/>
      <c r="AL251" s="690"/>
      <c r="AM251" s="690"/>
    </row>
    <row r="252" spans="1:39" ht="15.95" customHeight="1">
      <c r="A252" s="65">
        <f t="shared" si="16"/>
        <v>11</v>
      </c>
      <c r="B252" s="699" t="s">
        <v>1313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02">
        <f t="shared" si="17"/>
        <v>45778</v>
      </c>
      <c r="M252" s="702"/>
      <c r="N252" s="702"/>
      <c r="O252" s="702">
        <f t="shared" si="18"/>
        <v>45808</v>
      </c>
      <c r="P252" s="702"/>
      <c r="Q252" s="702"/>
      <c r="R252" s="772" cm="1">
        <f t="array" ref="R252">INDEX(verificare!$AT$4:$CC$26,VLOOKUP($AA$15,verificare!$AR$4:$AS$26,2,FALSE),A252)</f>
        <v>1447555</v>
      </c>
      <c r="S252" s="773"/>
      <c r="T252" s="773"/>
      <c r="U252" s="774"/>
      <c r="V252" s="658" t="s">
        <v>446</v>
      </c>
      <c r="W252" s="658"/>
      <c r="X252" s="691">
        <f>HLOOKUP(VLOOKUP($AA$15,'Date SPV'!$B:$F,5,FALSE),'Preturi si tarife'!$C$2:$J$39,A252+2,FALSE)</f>
        <v>2.0599999999999999E-4</v>
      </c>
      <c r="Y252" s="692"/>
      <c r="Z252" s="692"/>
      <c r="AA252" s="693"/>
      <c r="AB252" s="690">
        <f t="shared" si="13"/>
        <v>298.2</v>
      </c>
      <c r="AC252" s="690"/>
      <c r="AD252" s="690"/>
      <c r="AE252" s="690"/>
      <c r="AF252" s="690">
        <f t="shared" si="14"/>
        <v>56.66</v>
      </c>
      <c r="AG252" s="690"/>
      <c r="AH252" s="690"/>
      <c r="AI252" s="690"/>
      <c r="AJ252" s="690">
        <f t="shared" si="15"/>
        <v>354.86</v>
      </c>
      <c r="AK252" s="690"/>
      <c r="AL252" s="690"/>
      <c r="AM252" s="690"/>
    </row>
    <row r="253" spans="1:39" ht="15.95" customHeight="1">
      <c r="A253" s="65">
        <f t="shared" si="16"/>
        <v>12</v>
      </c>
      <c r="B253" s="699" t="s">
        <v>79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63">
        <f t="shared" si="17"/>
        <v>45778</v>
      </c>
      <c r="M253" s="764"/>
      <c r="N253" s="765"/>
      <c r="O253" s="763">
        <f t="shared" si="18"/>
        <v>45808</v>
      </c>
      <c r="P253" s="764"/>
      <c r="Q253" s="765"/>
      <c r="R253" s="772" cm="1">
        <f t="array" ref="R253">INDEX(verificare!$AT$4:$CC$26,VLOOKUP($AA$15,verificare!$AR$4:$AS$26,2,FALSE),A253)</f>
        <v>1447555</v>
      </c>
      <c r="S253" s="773"/>
      <c r="T253" s="773"/>
      <c r="U253" s="774"/>
      <c r="V253" s="724" t="s">
        <v>446</v>
      </c>
      <c r="W253" s="725"/>
      <c r="X253" s="691">
        <f>HLOOKUP(VLOOKUP($AA$15,'Date SPV'!$B:$F,5,FALSE),'Preturi si tarife'!$C$2:$J$39,A253+2,FALSE)</f>
        <v>0</v>
      </c>
      <c r="Y253" s="692"/>
      <c r="Z253" s="692"/>
      <c r="AA253" s="693"/>
      <c r="AB253" s="772">
        <f t="shared" si="13"/>
        <v>0</v>
      </c>
      <c r="AC253" s="773"/>
      <c r="AD253" s="773"/>
      <c r="AE253" s="774"/>
      <c r="AF253" s="772">
        <f t="shared" si="14"/>
        <v>0</v>
      </c>
      <c r="AG253" s="773"/>
      <c r="AH253" s="773"/>
      <c r="AI253" s="774"/>
      <c r="AJ253" s="772">
        <f t="shared" si="15"/>
        <v>0</v>
      </c>
      <c r="AK253" s="773"/>
      <c r="AL253" s="773"/>
      <c r="AM253" s="774"/>
    </row>
    <row r="254" spans="1:39" ht="15.95" customHeight="1">
      <c r="A254" s="65">
        <f t="shared" si="16"/>
        <v>13</v>
      </c>
      <c r="B254" s="699" t="s">
        <v>80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02">
        <f>L252</f>
        <v>45778</v>
      </c>
      <c r="M254" s="702"/>
      <c r="N254" s="702"/>
      <c r="O254" s="702">
        <f>O252</f>
        <v>45808</v>
      </c>
      <c r="P254" s="702"/>
      <c r="Q254" s="702"/>
      <c r="R254" s="772" cm="1">
        <f t="array" ref="R254">INDEX(verificare!$AT$4:$CC$26,VLOOKUP($AA$15,verificare!$AR$4:$AS$26,2,FALSE),A254)</f>
        <v>1447555</v>
      </c>
      <c r="S254" s="773"/>
      <c r="T254" s="773"/>
      <c r="U254" s="774"/>
      <c r="V254" s="658" t="s">
        <v>446</v>
      </c>
      <c r="W254" s="658"/>
      <c r="X254" s="691">
        <f>HLOOKUP(VLOOKUP($AA$15,'Date SPV'!$B:$F,5,FALSE),'Preturi si tarife'!$C$2:$J$39,A254+2,FALSE)</f>
        <v>1.3800000000000002E-2</v>
      </c>
      <c r="Y254" s="692"/>
      <c r="Z254" s="692"/>
      <c r="AA254" s="693"/>
      <c r="AB254" s="690">
        <f t="shared" si="13"/>
        <v>19976.259999999998</v>
      </c>
      <c r="AC254" s="690"/>
      <c r="AD254" s="690"/>
      <c r="AE254" s="690"/>
      <c r="AF254" s="690">
        <f t="shared" si="14"/>
        <v>3795.49</v>
      </c>
      <c r="AG254" s="690"/>
      <c r="AH254" s="690"/>
      <c r="AI254" s="690"/>
      <c r="AJ254" s="690">
        <f t="shared" si="15"/>
        <v>23771.75</v>
      </c>
      <c r="AK254" s="690"/>
      <c r="AL254" s="690"/>
      <c r="AM254" s="690"/>
    </row>
    <row r="255" spans="1:39" ht="15.95" customHeight="1">
      <c r="A255" s="65">
        <f t="shared" si="16"/>
        <v>14</v>
      </c>
      <c r="B255" s="699" t="s">
        <v>81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02">
        <f>L254</f>
        <v>45778</v>
      </c>
      <c r="M255" s="702"/>
      <c r="N255" s="702"/>
      <c r="O255" s="702">
        <f>O254</f>
        <v>45808</v>
      </c>
      <c r="P255" s="702"/>
      <c r="Q255" s="702"/>
      <c r="R255" s="772" cm="1">
        <f t="array" ref="R255">INDEX(verificare!$AT$4:$CC$26,VLOOKUP($AA$15,verificare!$AR$4:$AS$26,2,FALSE),A255)</f>
        <v>1447555</v>
      </c>
      <c r="S255" s="773"/>
      <c r="T255" s="773"/>
      <c r="U255" s="774"/>
      <c r="V255" s="658" t="s">
        <v>446</v>
      </c>
      <c r="W255" s="658"/>
      <c r="X255" s="691">
        <f>HLOOKUP(VLOOKUP($AA$15,'Date SPV'!$B:$F,5,FALSE),'Preturi si tarife'!$C$2:$J$39,A255+2,FALSE)</f>
        <v>9.8699999999999996E-2</v>
      </c>
      <c r="Y255" s="692"/>
      <c r="Z255" s="692"/>
      <c r="AA255" s="693"/>
      <c r="AB255" s="690">
        <f t="shared" si="13"/>
        <v>142873.68</v>
      </c>
      <c r="AC255" s="690"/>
      <c r="AD255" s="690"/>
      <c r="AE255" s="690"/>
      <c r="AF255" s="690">
        <f t="shared" si="14"/>
        <v>27146</v>
      </c>
      <c r="AG255" s="690"/>
      <c r="AH255" s="690"/>
      <c r="AI255" s="690"/>
      <c r="AJ255" s="690">
        <f t="shared" si="15"/>
        <v>170019.68</v>
      </c>
      <c r="AK255" s="690"/>
      <c r="AL255" s="690"/>
      <c r="AM255" s="690"/>
    </row>
    <row r="256" spans="1:39" ht="15.95" customHeight="1">
      <c r="A256" s="65">
        <f t="shared" si="16"/>
        <v>15</v>
      </c>
      <c r="B256" s="699" t="s">
        <v>82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02">
        <f>L255</f>
        <v>45778</v>
      </c>
      <c r="M256" s="702"/>
      <c r="N256" s="702"/>
      <c r="O256" s="702">
        <f>O255</f>
        <v>45808</v>
      </c>
      <c r="P256" s="702"/>
      <c r="Q256" s="702"/>
      <c r="R256" s="690" cm="1">
        <f t="array" ref="R256">INDEX(verificare!$AT$4:$CC$26,VLOOKUP($AA$15,verificare!$AR$4:$AS$26,2,FALSE),A256)</f>
        <v>69144</v>
      </c>
      <c r="S256" s="690"/>
      <c r="T256" s="690"/>
      <c r="U256" s="690"/>
      <c r="V256" s="658" t="s">
        <v>446</v>
      </c>
      <c r="W256" s="658"/>
      <c r="X256" s="691">
        <f>HLOOKUP(VLOOKUP($AA$15,'Date SPV'!$B:$F,5,FALSE),'Preturi si tarife'!$C$2:$J$39,A256+2,FALSE)</f>
        <v>0.91775760000000006</v>
      </c>
      <c r="Y256" s="692"/>
      <c r="Z256" s="692"/>
      <c r="AA256" s="693"/>
      <c r="AB256" s="690">
        <f t="shared" si="13"/>
        <v>63457.43</v>
      </c>
      <c r="AC256" s="690"/>
      <c r="AD256" s="690"/>
      <c r="AE256" s="690"/>
      <c r="AF256" s="690">
        <f t="shared" si="14"/>
        <v>12056.91</v>
      </c>
      <c r="AG256" s="690"/>
      <c r="AH256" s="690"/>
      <c r="AI256" s="690"/>
      <c r="AJ256" s="690">
        <f t="shared" si="15"/>
        <v>75514.34</v>
      </c>
      <c r="AK256" s="690"/>
      <c r="AL256" s="690"/>
      <c r="AM256" s="690"/>
    </row>
    <row r="257" spans="1:39" ht="15.95" customHeight="1">
      <c r="A257" s="65">
        <f t="shared" si="16"/>
        <v>16</v>
      </c>
      <c r="B257" s="699" t="s">
        <v>83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02">
        <f>L256</f>
        <v>45778</v>
      </c>
      <c r="M257" s="702"/>
      <c r="N257" s="702"/>
      <c r="O257" s="702">
        <f>O256</f>
        <v>45808</v>
      </c>
      <c r="P257" s="702"/>
      <c r="Q257" s="702"/>
      <c r="R257" s="690" cm="1">
        <f t="array" ref="R257">INDEX(verificare!$AT$4:$CC$26,VLOOKUP($AA$15,verificare!$AR$4:$AS$26,2,FALSE),A257)</f>
        <v>0</v>
      </c>
      <c r="S257" s="690"/>
      <c r="T257" s="690"/>
      <c r="U257" s="690"/>
      <c r="V257" s="658" t="s">
        <v>446</v>
      </c>
      <c r="W257" s="658"/>
      <c r="X257" s="691">
        <f>HLOOKUP(VLOOKUP($AA$15,'Date SPV'!$B:$F,5,FALSE),'Preturi si tarife'!$C$2:$J$39,A257+2,FALSE)</f>
        <v>0.80525760000000002</v>
      </c>
      <c r="Y257" s="692"/>
      <c r="Z257" s="692"/>
      <c r="AA257" s="693"/>
      <c r="AB257" s="690">
        <f t="shared" si="13"/>
        <v>0</v>
      </c>
      <c r="AC257" s="690"/>
      <c r="AD257" s="690"/>
      <c r="AE257" s="690"/>
      <c r="AF257" s="690">
        <f t="shared" si="14"/>
        <v>0</v>
      </c>
      <c r="AG257" s="690"/>
      <c r="AH257" s="690"/>
      <c r="AI257" s="690"/>
      <c r="AJ257" s="690">
        <f t="shared" si="15"/>
        <v>0</v>
      </c>
      <c r="AK257" s="690"/>
      <c r="AL257" s="690"/>
      <c r="AM257" s="690"/>
    </row>
    <row r="258" spans="1:39" ht="15.95" customHeight="1">
      <c r="A258" s="65">
        <f t="shared" si="16"/>
        <v>17</v>
      </c>
      <c r="B258" s="699" t="s">
        <v>1129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02">
        <f>L257</f>
        <v>45778</v>
      </c>
      <c r="M258" s="702"/>
      <c r="N258" s="702"/>
      <c r="O258" s="702">
        <f>O257</f>
        <v>45808</v>
      </c>
      <c r="P258" s="702"/>
      <c r="Q258" s="702"/>
      <c r="R258" s="690" cm="1">
        <f t="array" ref="R258">INDEX(verificare!$AT$4:$CC$26,VLOOKUP($AA$15,verificare!$AR$4:$AS$26,2,FALSE),A258)</f>
        <v>0</v>
      </c>
      <c r="S258" s="690"/>
      <c r="T258" s="690"/>
      <c r="U258" s="690"/>
      <c r="V258" s="658" t="s">
        <v>446</v>
      </c>
      <c r="W258" s="658"/>
      <c r="X258" s="691">
        <f>HLOOKUP(VLOOKUP($AA$15,'Date SPV'!$B:$F,5,FALSE),'Preturi si tarife'!$C$2:$J$39,A258+2,FALSE)</f>
        <v>1.3800000000000002E-2</v>
      </c>
      <c r="Y258" s="692"/>
      <c r="Z258" s="692"/>
      <c r="AA258" s="693"/>
      <c r="AB258" s="690">
        <f t="shared" si="13"/>
        <v>0</v>
      </c>
      <c r="AC258" s="690"/>
      <c r="AD258" s="690"/>
      <c r="AE258" s="690"/>
      <c r="AF258" s="690">
        <f t="shared" si="14"/>
        <v>0</v>
      </c>
      <c r="AG258" s="690"/>
      <c r="AH258" s="690"/>
      <c r="AI258" s="690"/>
      <c r="AJ258" s="690">
        <f t="shared" si="15"/>
        <v>0</v>
      </c>
      <c r="AK258" s="690"/>
      <c r="AL258" s="690"/>
      <c r="AM258" s="690"/>
    </row>
    <row r="259" spans="1:39" ht="15.95" customHeight="1">
      <c r="A259" s="65">
        <f t="shared" si="16"/>
        <v>18</v>
      </c>
      <c r="B259" s="699" t="s">
        <v>1130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02">
        <f>L258</f>
        <v>45778</v>
      </c>
      <c r="M259" s="702"/>
      <c r="N259" s="702"/>
      <c r="O259" s="702">
        <f>O258</f>
        <v>45808</v>
      </c>
      <c r="P259" s="702"/>
      <c r="Q259" s="702"/>
      <c r="R259" s="690" cm="1">
        <f t="array" ref="R259">INDEX(verificare!$AT$4:$CC$26,VLOOKUP($AA$15,verificare!$AR$4:$AS$26,2,FALSE),A259)</f>
        <v>0</v>
      </c>
      <c r="S259" s="690"/>
      <c r="T259" s="690"/>
      <c r="U259" s="690"/>
      <c r="V259" s="658" t="s">
        <v>446</v>
      </c>
      <c r="W259" s="658"/>
      <c r="X259" s="691">
        <f>HLOOKUP(VLOOKUP($AA$15,'Date SPV'!$B:$F,5,FALSE),'Preturi si tarife'!$C$2:$J$39,A259+2,FALSE)</f>
        <v>9.8699999999999996E-2</v>
      </c>
      <c r="Y259" s="692"/>
      <c r="Z259" s="692"/>
      <c r="AA259" s="693"/>
      <c r="AB259" s="690">
        <f t="shared" si="13"/>
        <v>0</v>
      </c>
      <c r="AC259" s="690"/>
      <c r="AD259" s="690"/>
      <c r="AE259" s="690"/>
      <c r="AF259" s="690">
        <f t="shared" si="14"/>
        <v>0</v>
      </c>
      <c r="AG259" s="690"/>
      <c r="AH259" s="690"/>
      <c r="AI259" s="690"/>
      <c r="AJ259" s="690">
        <f t="shared" si="15"/>
        <v>0</v>
      </c>
      <c r="AK259" s="690"/>
      <c r="AL259" s="690"/>
      <c r="AM259" s="690"/>
    </row>
    <row r="260" spans="1:39" ht="15.95" customHeight="1">
      <c r="A260" s="65">
        <f t="shared" si="16"/>
        <v>19</v>
      </c>
      <c r="B260" s="699" t="s">
        <v>99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02">
        <f>'Date masura OD'!$W$5</f>
        <v>45748</v>
      </c>
      <c r="M260" s="702"/>
      <c r="N260" s="702"/>
      <c r="O260" s="702">
        <f>'Date masura OD'!$X$5</f>
        <v>45777</v>
      </c>
      <c r="P260" s="702"/>
      <c r="Q260" s="702"/>
      <c r="R260" s="690" cm="1">
        <f t="array" ref="R260">INDEX(verificare!$AT$4:$CC$26,VLOOKUP($AA$15,verificare!$AR$4:$AS$26,2,FALSE),A260)</f>
        <v>0</v>
      </c>
      <c r="S260" s="690"/>
      <c r="T260" s="690"/>
      <c r="U260" s="690"/>
      <c r="V260" s="658" t="s">
        <v>446</v>
      </c>
      <c r="W260" s="658"/>
      <c r="X260" s="691">
        <f>HLOOKUP(VLOOKUP($AA$15,'Date SPV'!$B:$F,5,FALSE),'Preturi si tarife'!$C$2:$J$39,A260+2,FALSE)</f>
        <v>0.59499999999999997</v>
      </c>
      <c r="Y260" s="692"/>
      <c r="Z260" s="692"/>
      <c r="AA260" s="693"/>
      <c r="AB260" s="690">
        <f t="shared" si="13"/>
        <v>0</v>
      </c>
      <c r="AC260" s="690"/>
      <c r="AD260" s="690"/>
      <c r="AE260" s="690"/>
      <c r="AF260" s="690">
        <f t="shared" si="14"/>
        <v>0</v>
      </c>
      <c r="AG260" s="690"/>
      <c r="AH260" s="690"/>
      <c r="AI260" s="690"/>
      <c r="AJ260" s="690">
        <f t="shared" si="15"/>
        <v>0</v>
      </c>
      <c r="AK260" s="690"/>
      <c r="AL260" s="690"/>
      <c r="AM260" s="690"/>
    </row>
    <row r="261" spans="1:39" ht="15.95" customHeight="1">
      <c r="A261" s="65">
        <f t="shared" si="16"/>
        <v>20</v>
      </c>
      <c r="B261" s="699" t="s">
        <v>100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02">
        <f>L260</f>
        <v>45748</v>
      </c>
      <c r="M261" s="702"/>
      <c r="N261" s="702"/>
      <c r="O261" s="702">
        <f t="shared" ref="O261:O269" si="19">O260</f>
        <v>45777</v>
      </c>
      <c r="P261" s="702"/>
      <c r="Q261" s="702"/>
      <c r="R261" s="690" cm="1">
        <f t="array" ref="R261">INDEX(verificare!$AT$4:$CC$26,VLOOKUP($AA$15,verificare!$AR$4:$AS$26,2,FALSE),A261)</f>
        <v>29</v>
      </c>
      <c r="S261" s="690"/>
      <c r="T261" s="690"/>
      <c r="U261" s="690"/>
      <c r="V261" s="658" t="s">
        <v>727</v>
      </c>
      <c r="W261" s="658"/>
      <c r="X261" s="691">
        <f>HLOOKUP(VLOOKUP($AA$15,'Date SPV'!$B:$F,5,FALSE),'Preturi si tarife'!$C$2:$J$39,A261+2,FALSE)</f>
        <v>0.14660000000000001</v>
      </c>
      <c r="Y261" s="692"/>
      <c r="Z261" s="692"/>
      <c r="AA261" s="693"/>
      <c r="AB261" s="690">
        <f t="shared" si="13"/>
        <v>4.25</v>
      </c>
      <c r="AC261" s="690"/>
      <c r="AD261" s="690"/>
      <c r="AE261" s="690"/>
      <c r="AF261" s="690">
        <f t="shared" si="14"/>
        <v>0.81</v>
      </c>
      <c r="AG261" s="690"/>
      <c r="AH261" s="690"/>
      <c r="AI261" s="690"/>
      <c r="AJ261" s="690">
        <f t="shared" si="15"/>
        <v>5.0600000000000005</v>
      </c>
      <c r="AK261" s="690"/>
      <c r="AL261" s="690"/>
      <c r="AM261" s="690"/>
    </row>
    <row r="262" spans="1:39" ht="30.95" customHeight="1">
      <c r="A262" s="65">
        <f t="shared" si="16"/>
        <v>21</v>
      </c>
      <c r="B262" s="699" t="s">
        <v>101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02">
        <f t="shared" ref="L262:L269" si="20">L261</f>
        <v>45748</v>
      </c>
      <c r="M262" s="702"/>
      <c r="N262" s="702"/>
      <c r="O262" s="702">
        <f t="shared" si="19"/>
        <v>45777</v>
      </c>
      <c r="P262" s="702"/>
      <c r="Q262" s="702"/>
      <c r="R262" s="690" cm="1">
        <f t="array" ref="R262">INDEX(verificare!$AT$4:$CC$26,VLOOKUP($AA$15,verificare!$AR$4:$AS$26,2,FALSE),A262)</f>
        <v>0</v>
      </c>
      <c r="S262" s="690"/>
      <c r="T262" s="690"/>
      <c r="U262" s="690"/>
      <c r="V262" s="658" t="s">
        <v>727</v>
      </c>
      <c r="W262" s="658"/>
      <c r="X262" s="691">
        <f>HLOOKUP(VLOOKUP($AA$15,'Date SPV'!$B:$F,5,FALSE),'Preturi si tarife'!$C$2:$J$39,A262+2,FALSE)</f>
        <v>0.43980000000000002</v>
      </c>
      <c r="Y262" s="692"/>
      <c r="Z262" s="692"/>
      <c r="AA262" s="693"/>
      <c r="AB262" s="690">
        <f t="shared" si="13"/>
        <v>0</v>
      </c>
      <c r="AC262" s="690"/>
      <c r="AD262" s="690"/>
      <c r="AE262" s="690"/>
      <c r="AF262" s="690">
        <f t="shared" si="14"/>
        <v>0</v>
      </c>
      <c r="AG262" s="690"/>
      <c r="AH262" s="690"/>
      <c r="AI262" s="690"/>
      <c r="AJ262" s="690">
        <f t="shared" si="15"/>
        <v>0</v>
      </c>
      <c r="AK262" s="690"/>
      <c r="AL262" s="690"/>
      <c r="AM262" s="690"/>
    </row>
    <row r="263" spans="1:39" ht="15.95" customHeight="1">
      <c r="A263" s="65">
        <f t="shared" si="16"/>
        <v>22</v>
      </c>
      <c r="B263" s="699" t="s">
        <v>869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02">
        <f t="shared" si="20"/>
        <v>45748</v>
      </c>
      <c r="M263" s="702"/>
      <c r="N263" s="702"/>
      <c r="O263" s="702">
        <f t="shared" si="19"/>
        <v>45777</v>
      </c>
      <c r="P263" s="702"/>
      <c r="Q263" s="702"/>
      <c r="R263" s="690" cm="1">
        <f t="array" ref="R263">INDEX(verificare!$AT$4:$CC$26,VLOOKUP($AA$15,verificare!$AR$4:$AS$26,2,FALSE),A263)</f>
        <v>0</v>
      </c>
      <c r="S263" s="690"/>
      <c r="T263" s="690"/>
      <c r="U263" s="690"/>
      <c r="V263" s="658" t="s">
        <v>446</v>
      </c>
      <c r="W263" s="658"/>
      <c r="X263" s="691">
        <f>HLOOKUP(VLOOKUP($AA$15,'Date SPV'!$B:$F,5,FALSE),'Preturi si tarife'!$C$2:$J$39,A263+2,FALSE)</f>
        <v>8.6180000000000007E-2</v>
      </c>
      <c r="Y263" s="692"/>
      <c r="Z263" s="692"/>
      <c r="AA263" s="693"/>
      <c r="AB263" s="690">
        <f t="shared" si="13"/>
        <v>0</v>
      </c>
      <c r="AC263" s="690"/>
      <c r="AD263" s="690"/>
      <c r="AE263" s="690"/>
      <c r="AF263" s="690">
        <f t="shared" si="14"/>
        <v>0</v>
      </c>
      <c r="AG263" s="690"/>
      <c r="AH263" s="690"/>
      <c r="AI263" s="690"/>
      <c r="AJ263" s="690">
        <f t="shared" si="15"/>
        <v>0</v>
      </c>
      <c r="AK263" s="690"/>
      <c r="AL263" s="690"/>
      <c r="AM263" s="690"/>
    </row>
    <row r="264" spans="1:39" ht="15.95" customHeight="1">
      <c r="A264" s="65">
        <f t="shared" si="16"/>
        <v>23</v>
      </c>
      <c r="B264" s="699" t="s">
        <v>758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02">
        <f t="shared" si="20"/>
        <v>45748</v>
      </c>
      <c r="M264" s="702"/>
      <c r="N264" s="702"/>
      <c r="O264" s="702">
        <f t="shared" si="19"/>
        <v>45777</v>
      </c>
      <c r="P264" s="702"/>
      <c r="Q264" s="702"/>
      <c r="R264" s="690" cm="1">
        <f t="array" ref="R264">INDEX(verificare!$AT$4:$CC$26,VLOOKUP($AA$15,verificare!$AR$4:$AS$26,2,FALSE),A264)</f>
        <v>0</v>
      </c>
      <c r="S264" s="690"/>
      <c r="T264" s="690"/>
      <c r="U264" s="690"/>
      <c r="V264" s="658" t="s">
        <v>446</v>
      </c>
      <c r="W264" s="658"/>
      <c r="X264" s="691">
        <f>HLOOKUP(VLOOKUP($AA$15,'Date SPV'!$B:$F,5,FALSE),'Preturi si tarife'!$C$2:$J$39,A264+2,FALSE)</f>
        <v>0.2079</v>
      </c>
      <c r="Y264" s="692"/>
      <c r="Z264" s="692"/>
      <c r="AA264" s="693"/>
      <c r="AB264" s="690">
        <f t="shared" si="13"/>
        <v>0</v>
      </c>
      <c r="AC264" s="690"/>
      <c r="AD264" s="690"/>
      <c r="AE264" s="690"/>
      <c r="AF264" s="690">
        <f t="shared" si="14"/>
        <v>0</v>
      </c>
      <c r="AG264" s="690"/>
      <c r="AH264" s="690"/>
      <c r="AI264" s="690"/>
      <c r="AJ264" s="690">
        <f t="shared" si="15"/>
        <v>0</v>
      </c>
      <c r="AK264" s="690"/>
      <c r="AL264" s="690"/>
      <c r="AM264" s="690"/>
    </row>
    <row r="265" spans="1:39" ht="30.95" customHeight="1">
      <c r="A265" s="65">
        <f t="shared" si="16"/>
        <v>24</v>
      </c>
      <c r="B265" s="699" t="s">
        <v>102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02">
        <f t="shared" si="20"/>
        <v>45748</v>
      </c>
      <c r="M265" s="702"/>
      <c r="N265" s="702"/>
      <c r="O265" s="702">
        <f t="shared" si="19"/>
        <v>45777</v>
      </c>
      <c r="P265" s="702"/>
      <c r="Q265" s="702"/>
      <c r="R265" s="690" cm="1">
        <f t="array" ref="R265">INDEX(verificare!$AT$4:$CC$26,VLOOKUP($AA$15,verificare!$AR$4:$AS$26,2,FALSE),A265)</f>
        <v>0</v>
      </c>
      <c r="S265" s="690"/>
      <c r="T265" s="690"/>
      <c r="U265" s="690"/>
      <c r="V265" s="658" t="s">
        <v>446</v>
      </c>
      <c r="W265" s="658"/>
      <c r="X265" s="691">
        <f>HLOOKUP(VLOOKUP($AA$15,'Date SPV'!$B:$F,5,FALSE),'Preturi si tarife'!$C$2:$J$39,A265+2,FALSE)</f>
        <v>1.1509999999999999E-2</v>
      </c>
      <c r="Y265" s="692"/>
      <c r="Z265" s="692"/>
      <c r="AA265" s="693"/>
      <c r="AB265" s="690">
        <f t="shared" si="13"/>
        <v>0</v>
      </c>
      <c r="AC265" s="690"/>
      <c r="AD265" s="690"/>
      <c r="AE265" s="690"/>
      <c r="AF265" s="690">
        <f t="shared" si="14"/>
        <v>0</v>
      </c>
      <c r="AG265" s="690"/>
      <c r="AH265" s="690"/>
      <c r="AI265" s="690"/>
      <c r="AJ265" s="690">
        <f t="shared" si="15"/>
        <v>0</v>
      </c>
      <c r="AK265" s="690"/>
      <c r="AL265" s="690"/>
      <c r="AM265" s="690"/>
    </row>
    <row r="266" spans="1:39" ht="30.95" customHeight="1">
      <c r="A266" s="65">
        <f t="shared" si="16"/>
        <v>25</v>
      </c>
      <c r="B266" s="699" t="s">
        <v>103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02">
        <f t="shared" si="20"/>
        <v>45748</v>
      </c>
      <c r="M266" s="702"/>
      <c r="N266" s="702"/>
      <c r="O266" s="702">
        <f t="shared" si="19"/>
        <v>45777</v>
      </c>
      <c r="P266" s="702"/>
      <c r="Q266" s="702"/>
      <c r="R266" s="690" cm="1">
        <f t="array" ref="R266">INDEX(verificare!$AT$4:$CC$26,VLOOKUP($AA$15,verificare!$AR$4:$AS$26,2,FALSE),A266)</f>
        <v>0</v>
      </c>
      <c r="S266" s="690"/>
      <c r="T266" s="690"/>
      <c r="U266" s="690"/>
      <c r="V266" s="658" t="s">
        <v>446</v>
      </c>
      <c r="W266" s="658"/>
      <c r="X266" s="691">
        <f>HLOOKUP(VLOOKUP($AA$15,'Date SPV'!$B:$F,5,FALSE),'Preturi si tarife'!$C$2:$J$39,A266+2,FALSE)</f>
        <v>3.3030000000000004E-2</v>
      </c>
      <c r="Y266" s="692"/>
      <c r="Z266" s="692"/>
      <c r="AA266" s="693"/>
      <c r="AB266" s="690">
        <f t="shared" si="13"/>
        <v>0</v>
      </c>
      <c r="AC266" s="690"/>
      <c r="AD266" s="690"/>
      <c r="AE266" s="690"/>
      <c r="AF266" s="690">
        <f t="shared" si="14"/>
        <v>0</v>
      </c>
      <c r="AG266" s="690"/>
      <c r="AH266" s="690"/>
      <c r="AI266" s="690"/>
      <c r="AJ266" s="690">
        <f t="shared" si="15"/>
        <v>0</v>
      </c>
      <c r="AK266" s="690"/>
      <c r="AL266" s="690"/>
      <c r="AM266" s="690"/>
    </row>
    <row r="267" spans="1:39" ht="30.95" customHeight="1">
      <c r="A267" s="65">
        <f t="shared" si="16"/>
        <v>26</v>
      </c>
      <c r="B267" s="699" t="s">
        <v>104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02">
        <f t="shared" si="20"/>
        <v>45748</v>
      </c>
      <c r="M267" s="702"/>
      <c r="N267" s="702"/>
      <c r="O267" s="702">
        <f t="shared" si="19"/>
        <v>45777</v>
      </c>
      <c r="P267" s="702"/>
      <c r="Q267" s="702"/>
      <c r="R267" s="690" cm="1">
        <f t="array" ref="R267">INDEX(verificare!$AT$4:$CC$26,VLOOKUP($AA$15,verificare!$AR$4:$AS$26,2,FALSE),A267)</f>
        <v>0</v>
      </c>
      <c r="S267" s="690"/>
      <c r="T267" s="690"/>
      <c r="U267" s="690"/>
      <c r="V267" s="658" t="s">
        <v>446</v>
      </c>
      <c r="W267" s="658"/>
      <c r="X267" s="691">
        <f>HLOOKUP(VLOOKUP($AA$15,'Date SPV'!$B:$F,5,FALSE),'Preturi si tarife'!$C$2:$J$39,A267+2,FALSE)</f>
        <v>3.29E-3</v>
      </c>
      <c r="Y267" s="692"/>
      <c r="Z267" s="692"/>
      <c r="AA267" s="693"/>
      <c r="AB267" s="690">
        <f t="shared" si="13"/>
        <v>0</v>
      </c>
      <c r="AC267" s="690"/>
      <c r="AD267" s="690"/>
      <c r="AE267" s="690"/>
      <c r="AF267" s="690">
        <f t="shared" si="14"/>
        <v>0</v>
      </c>
      <c r="AG267" s="690"/>
      <c r="AH267" s="690"/>
      <c r="AI267" s="690"/>
      <c r="AJ267" s="690">
        <f t="shared" si="15"/>
        <v>0</v>
      </c>
      <c r="AK267" s="690"/>
      <c r="AL267" s="690"/>
      <c r="AM267" s="690"/>
    </row>
    <row r="268" spans="1:39" ht="15.95" customHeight="1">
      <c r="A268" s="65">
        <f t="shared" si="16"/>
        <v>27</v>
      </c>
      <c r="B268" s="699" t="s">
        <v>105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02">
        <f t="shared" si="20"/>
        <v>45748</v>
      </c>
      <c r="M268" s="702"/>
      <c r="N268" s="702"/>
      <c r="O268" s="702">
        <f t="shared" si="19"/>
        <v>45777</v>
      </c>
      <c r="P268" s="702"/>
      <c r="Q268" s="702"/>
      <c r="R268" s="690" cm="1">
        <f t="array" ref="R268">INDEX(verificare!$AT$4:$CC$26,VLOOKUP($AA$15,verificare!$AR$4:$AS$26,2,FALSE),A268)</f>
        <v>0</v>
      </c>
      <c r="S268" s="690"/>
      <c r="T268" s="690"/>
      <c r="U268" s="690"/>
      <c r="V268" s="658" t="s">
        <v>446</v>
      </c>
      <c r="W268" s="658"/>
      <c r="X268" s="691">
        <f>HLOOKUP(VLOOKUP($AA$15,'Date SPV'!$B:$F,5,FALSE),'Preturi si tarife'!$C$2:$J$39,A268+2,FALSE)</f>
        <v>3.5000000000000001E-3</v>
      </c>
      <c r="Y268" s="692"/>
      <c r="Z268" s="692"/>
      <c r="AA268" s="693"/>
      <c r="AB268" s="690">
        <f t="shared" si="13"/>
        <v>0</v>
      </c>
      <c r="AC268" s="690"/>
      <c r="AD268" s="690"/>
      <c r="AE268" s="690"/>
      <c r="AF268" s="690">
        <f t="shared" si="14"/>
        <v>0</v>
      </c>
      <c r="AG268" s="690"/>
      <c r="AH268" s="690"/>
      <c r="AI268" s="690"/>
      <c r="AJ268" s="690">
        <f t="shared" si="15"/>
        <v>0</v>
      </c>
      <c r="AK268" s="690"/>
      <c r="AL268" s="690"/>
      <c r="AM268" s="690"/>
    </row>
    <row r="269" spans="1:39" ht="15.95" customHeight="1">
      <c r="A269" s="65">
        <f t="shared" si="16"/>
        <v>28</v>
      </c>
      <c r="B269" s="699" t="s">
        <v>106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02">
        <f t="shared" si="20"/>
        <v>45748</v>
      </c>
      <c r="M269" s="702"/>
      <c r="N269" s="702"/>
      <c r="O269" s="702">
        <f t="shared" si="19"/>
        <v>45777</v>
      </c>
      <c r="P269" s="702"/>
      <c r="Q269" s="702"/>
      <c r="R269" s="690" cm="1">
        <f t="array" ref="R269">INDEX(verificare!$AT$4:$CC$26,VLOOKUP($AA$15,verificare!$AR$4:$AS$26,2,FALSE),A269)</f>
        <v>0</v>
      </c>
      <c r="S269" s="690"/>
      <c r="T269" s="690"/>
      <c r="U269" s="690"/>
      <c r="V269" s="658" t="s">
        <v>446</v>
      </c>
      <c r="W269" s="658"/>
      <c r="X269" s="691">
        <f>HLOOKUP(VLOOKUP($AA$15,'Date SPV'!$B:$F,5,FALSE),'Preturi si tarife'!$C$2:$J$39,A269+2,FALSE)</f>
        <v>7.2541599999999998E-2</v>
      </c>
      <c r="Y269" s="692"/>
      <c r="Z269" s="692"/>
      <c r="AA269" s="693"/>
      <c r="AB269" s="690">
        <f t="shared" si="13"/>
        <v>0</v>
      </c>
      <c r="AC269" s="690"/>
      <c r="AD269" s="690"/>
      <c r="AE269" s="690"/>
      <c r="AF269" s="690">
        <f t="shared" si="14"/>
        <v>0</v>
      </c>
      <c r="AG269" s="690"/>
      <c r="AH269" s="690"/>
      <c r="AI269" s="690"/>
      <c r="AJ269" s="690">
        <f t="shared" si="15"/>
        <v>0</v>
      </c>
      <c r="AK269" s="690"/>
      <c r="AL269" s="690"/>
      <c r="AM269" s="690"/>
    </row>
    <row r="270" spans="1:39" ht="30.95" customHeight="1">
      <c r="A270" s="65">
        <f t="shared" si="16"/>
        <v>29</v>
      </c>
      <c r="B270" s="699" t="s">
        <v>1316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63">
        <f>L272</f>
        <v>45748</v>
      </c>
      <c r="M270" s="764"/>
      <c r="N270" s="765"/>
      <c r="O270" s="763">
        <f>O272</f>
        <v>45777</v>
      </c>
      <c r="P270" s="764"/>
      <c r="Q270" s="765"/>
      <c r="R270" s="690" cm="1">
        <f t="array" ref="R270">INDEX(verificare!$AT$4:$CC$26,VLOOKUP($AA$15,verificare!$AR$4:$AS$26,2,FALSE),A270)</f>
        <v>0</v>
      </c>
      <c r="S270" s="690"/>
      <c r="T270" s="690"/>
      <c r="U270" s="690"/>
      <c r="V270" s="724" t="s">
        <v>446</v>
      </c>
      <c r="W270" s="725"/>
      <c r="X270" s="691">
        <f>HLOOKUP(VLOOKUP($AA$15,'Date SPV'!$B:$F,5,FALSE),'Preturi si tarife'!$C$2:$J$39,A270+2,FALSE)</f>
        <v>2.0599999999999999E-4</v>
      </c>
      <c r="Y270" s="692"/>
      <c r="Z270" s="692"/>
      <c r="AA270" s="693"/>
      <c r="AB270" s="772">
        <f>ROUND(X270*R270,2)</f>
        <v>0</v>
      </c>
      <c r="AC270" s="773"/>
      <c r="AD270" s="773"/>
      <c r="AE270" s="774"/>
      <c r="AF270" s="772">
        <f>ROUND(AB270*19%,2)</f>
        <v>0</v>
      </c>
      <c r="AG270" s="773"/>
      <c r="AH270" s="773"/>
      <c r="AI270" s="774"/>
      <c r="AJ270" s="772">
        <f>AB270+AF270</f>
        <v>0</v>
      </c>
      <c r="AK270" s="773"/>
      <c r="AL270" s="773"/>
      <c r="AM270" s="774"/>
    </row>
    <row r="271" spans="1:39" ht="30.95" customHeight="1">
      <c r="A271" s="65">
        <f t="shared" si="16"/>
        <v>30</v>
      </c>
      <c r="B271" s="699" t="s">
        <v>107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02">
        <f>L269</f>
        <v>45748</v>
      </c>
      <c r="M271" s="702"/>
      <c r="N271" s="702"/>
      <c r="O271" s="702">
        <f>O269</f>
        <v>45777</v>
      </c>
      <c r="P271" s="702"/>
      <c r="Q271" s="702"/>
      <c r="R271" s="690" cm="1">
        <f t="array" ref="R271">INDEX(verificare!$AT$4:$CC$26,VLOOKUP($AA$15,verificare!$AR$4:$AS$26,2,FALSE),A271)</f>
        <v>0</v>
      </c>
      <c r="S271" s="690"/>
      <c r="T271" s="690"/>
      <c r="U271" s="690"/>
      <c r="V271" s="658" t="s">
        <v>446</v>
      </c>
      <c r="W271" s="658"/>
      <c r="X271" s="691">
        <f>HLOOKUP(VLOOKUP($AA$15,'Date SPV'!$B:$F,5,FALSE),'Preturi si tarife'!$C$2:$J$39,A271+2,FALSE)</f>
        <v>0</v>
      </c>
      <c r="Y271" s="692"/>
      <c r="Z271" s="692"/>
      <c r="AA271" s="693"/>
      <c r="AB271" s="690">
        <f t="shared" ref="AB271:AB277" si="21">ROUND(X271*R271,2)</f>
        <v>0</v>
      </c>
      <c r="AC271" s="690"/>
      <c r="AD271" s="690"/>
      <c r="AE271" s="690"/>
      <c r="AF271" s="690">
        <f t="shared" ref="AF271:AF278" si="22">ROUND(AB271*19%,2)</f>
        <v>0</v>
      </c>
      <c r="AG271" s="690"/>
      <c r="AH271" s="690"/>
      <c r="AI271" s="690"/>
      <c r="AJ271" s="690">
        <f t="shared" ref="AJ271:AJ278" si="23">AB271+AF271</f>
        <v>0</v>
      </c>
      <c r="AK271" s="690"/>
      <c r="AL271" s="690"/>
      <c r="AM271" s="690"/>
    </row>
    <row r="272" spans="1:39" ht="15.95" customHeight="1">
      <c r="A272" s="65">
        <f t="shared" si="16"/>
        <v>31</v>
      </c>
      <c r="B272" s="699" t="s">
        <v>108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02">
        <f t="shared" ref="L272:L277" si="24">L271</f>
        <v>45748</v>
      </c>
      <c r="M272" s="702"/>
      <c r="N272" s="702"/>
      <c r="O272" s="702">
        <f t="shared" ref="O272:O277" si="25">O271</f>
        <v>45777</v>
      </c>
      <c r="P272" s="702"/>
      <c r="Q272" s="702"/>
      <c r="R272" s="690" cm="1">
        <f t="array" ref="R272">INDEX(verificare!$AT$4:$CC$26,VLOOKUP($AA$15,verificare!$AR$4:$AS$26,2,FALSE),A272)</f>
        <v>0</v>
      </c>
      <c r="S272" s="690"/>
      <c r="T272" s="690"/>
      <c r="U272" s="690"/>
      <c r="V272" s="658" t="s">
        <v>446</v>
      </c>
      <c r="W272" s="658"/>
      <c r="X272" s="691">
        <f>HLOOKUP(VLOOKUP($AA$15,'Date SPV'!$B:$F,5,FALSE),'Preturi si tarife'!$C$2:$J$39,A272+2,FALSE)</f>
        <v>1.3800000000000002E-2</v>
      </c>
      <c r="Y272" s="692"/>
      <c r="Z272" s="692"/>
      <c r="AA272" s="693"/>
      <c r="AB272" s="690">
        <f t="shared" si="21"/>
        <v>0</v>
      </c>
      <c r="AC272" s="690"/>
      <c r="AD272" s="690"/>
      <c r="AE272" s="690"/>
      <c r="AF272" s="690">
        <f t="shared" si="22"/>
        <v>0</v>
      </c>
      <c r="AG272" s="690"/>
      <c r="AH272" s="690"/>
      <c r="AI272" s="690"/>
      <c r="AJ272" s="690">
        <f t="shared" si="23"/>
        <v>0</v>
      </c>
      <c r="AK272" s="690"/>
      <c r="AL272" s="690"/>
      <c r="AM272" s="690"/>
    </row>
    <row r="273" spans="1:39" ht="15.95" customHeight="1">
      <c r="A273" s="65">
        <f t="shared" si="16"/>
        <v>32</v>
      </c>
      <c r="B273" s="699" t="s">
        <v>109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63">
        <f t="shared" si="24"/>
        <v>45748</v>
      </c>
      <c r="M273" s="764"/>
      <c r="N273" s="765"/>
      <c r="O273" s="763">
        <f t="shared" si="25"/>
        <v>45777</v>
      </c>
      <c r="P273" s="764"/>
      <c r="Q273" s="765"/>
      <c r="R273" s="690" cm="1">
        <f t="array" ref="R273">INDEX(verificare!$AT$4:$CC$26,VLOOKUP($AA$15,verificare!$AR$4:$AS$26,2,FALSE),A273)</f>
        <v>0</v>
      </c>
      <c r="S273" s="690"/>
      <c r="T273" s="690"/>
      <c r="U273" s="690"/>
      <c r="V273" s="724" t="s">
        <v>446</v>
      </c>
      <c r="W273" s="725"/>
      <c r="X273" s="691">
        <f>HLOOKUP(VLOOKUP($AA$15,'Date SPV'!$B:$F,5,FALSE),'Preturi si tarife'!$C$2:$J$39,A273+2,FALSE)</f>
        <v>9.8699999999999996E-2</v>
      </c>
      <c r="Y273" s="692"/>
      <c r="Z273" s="692"/>
      <c r="AA273" s="693"/>
      <c r="AB273" s="690">
        <f t="shared" si="21"/>
        <v>0</v>
      </c>
      <c r="AC273" s="690"/>
      <c r="AD273" s="690"/>
      <c r="AE273" s="690"/>
      <c r="AF273" s="690">
        <f t="shared" si="22"/>
        <v>0</v>
      </c>
      <c r="AG273" s="690"/>
      <c r="AH273" s="690"/>
      <c r="AI273" s="690"/>
      <c r="AJ273" s="690">
        <f t="shared" si="23"/>
        <v>0</v>
      </c>
      <c r="AK273" s="690"/>
      <c r="AL273" s="690"/>
      <c r="AM273" s="690"/>
    </row>
    <row r="274" spans="1:39" ht="30.95" customHeight="1">
      <c r="A274" s="65">
        <f t="shared" si="16"/>
        <v>33</v>
      </c>
      <c r="B274" s="699" t="s">
        <v>110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02">
        <f t="shared" si="24"/>
        <v>45748</v>
      </c>
      <c r="M274" s="702"/>
      <c r="N274" s="702"/>
      <c r="O274" s="702">
        <f t="shared" si="25"/>
        <v>45777</v>
      </c>
      <c r="P274" s="702"/>
      <c r="Q274" s="702"/>
      <c r="R274" s="690" cm="1">
        <f t="array" ref="R274">INDEX(verificare!$AT$4:$CC$26,VLOOKUP($AA$15,verificare!$AR$4:$AS$26,2,FALSE),A274)</f>
        <v>0</v>
      </c>
      <c r="S274" s="690"/>
      <c r="T274" s="690"/>
      <c r="U274" s="690"/>
      <c r="V274" s="658" t="s">
        <v>446</v>
      </c>
      <c r="W274" s="658"/>
      <c r="X274" s="691">
        <f>HLOOKUP(VLOOKUP($AA$15,'Date SPV'!$B:$F,5,FALSE),'Preturi si tarife'!$C$2:$J$39,A274+2,FALSE)</f>
        <v>0.91775760000000006</v>
      </c>
      <c r="Y274" s="692"/>
      <c r="Z274" s="692"/>
      <c r="AA274" s="693"/>
      <c r="AB274" s="690">
        <f t="shared" si="21"/>
        <v>0</v>
      </c>
      <c r="AC274" s="690"/>
      <c r="AD274" s="690"/>
      <c r="AE274" s="690"/>
      <c r="AF274" s="690">
        <f t="shared" si="22"/>
        <v>0</v>
      </c>
      <c r="AG274" s="690"/>
      <c r="AH274" s="690"/>
      <c r="AI274" s="690"/>
      <c r="AJ274" s="690">
        <f t="shared" si="23"/>
        <v>0</v>
      </c>
      <c r="AK274" s="690"/>
      <c r="AL274" s="690"/>
      <c r="AM274" s="690"/>
    </row>
    <row r="275" spans="1:39" ht="30.95" customHeight="1">
      <c r="A275" s="65">
        <f t="shared" si="16"/>
        <v>34</v>
      </c>
      <c r="B275" s="699" t="s">
        <v>111</v>
      </c>
      <c r="C275" s="700"/>
      <c r="D275" s="700"/>
      <c r="E275" s="700"/>
      <c r="F275" s="700"/>
      <c r="G275" s="700"/>
      <c r="H275" s="700"/>
      <c r="I275" s="700"/>
      <c r="J275" s="700"/>
      <c r="K275" s="701"/>
      <c r="L275" s="702">
        <f t="shared" si="24"/>
        <v>45748</v>
      </c>
      <c r="M275" s="702"/>
      <c r="N275" s="702"/>
      <c r="O275" s="702">
        <f t="shared" si="25"/>
        <v>45777</v>
      </c>
      <c r="P275" s="702"/>
      <c r="Q275" s="702"/>
      <c r="R275" s="690" cm="1">
        <f t="array" ref="R275">INDEX(verificare!$AT$4:$CC$26,VLOOKUP($AA$15,verificare!$AR$4:$AS$26,2,FALSE),A275)</f>
        <v>0</v>
      </c>
      <c r="S275" s="690"/>
      <c r="T275" s="690"/>
      <c r="U275" s="690"/>
      <c r="V275" s="658" t="s">
        <v>446</v>
      </c>
      <c r="W275" s="658"/>
      <c r="X275" s="691">
        <f>HLOOKUP(VLOOKUP($AA$15,'Date SPV'!$B:$F,5,FALSE),'Preturi si tarife'!$C$2:$J$39,A275+2,FALSE)</f>
        <v>0.80525760000000002</v>
      </c>
      <c r="Y275" s="692"/>
      <c r="Z275" s="692"/>
      <c r="AA275" s="693"/>
      <c r="AB275" s="690">
        <f t="shared" si="21"/>
        <v>0</v>
      </c>
      <c r="AC275" s="690"/>
      <c r="AD275" s="690"/>
      <c r="AE275" s="690"/>
      <c r="AF275" s="690">
        <f t="shared" si="22"/>
        <v>0</v>
      </c>
      <c r="AG275" s="690"/>
      <c r="AH275" s="690"/>
      <c r="AI275" s="690"/>
      <c r="AJ275" s="690">
        <f t="shared" si="23"/>
        <v>0</v>
      </c>
      <c r="AK275" s="690"/>
      <c r="AL275" s="690"/>
      <c r="AM275" s="690"/>
    </row>
    <row r="276" spans="1:39" ht="15.95" customHeight="1">
      <c r="A276" s="65">
        <f t="shared" si="16"/>
        <v>35</v>
      </c>
      <c r="B276" s="699" t="s">
        <v>112</v>
      </c>
      <c r="C276" s="700"/>
      <c r="D276" s="700"/>
      <c r="E276" s="700"/>
      <c r="F276" s="700"/>
      <c r="G276" s="700"/>
      <c r="H276" s="700"/>
      <c r="I276" s="700"/>
      <c r="J276" s="700"/>
      <c r="K276" s="701"/>
      <c r="L276" s="763">
        <f t="shared" si="24"/>
        <v>45748</v>
      </c>
      <c r="M276" s="764"/>
      <c r="N276" s="765"/>
      <c r="O276" s="763">
        <f t="shared" si="25"/>
        <v>45777</v>
      </c>
      <c r="P276" s="764"/>
      <c r="Q276" s="765"/>
      <c r="R276" s="772" cm="1">
        <f t="array" ref="R276">INDEX(verificare!$AT$4:$CC$26,VLOOKUP($AA$15,verificare!$AR$4:$AS$26,2,FALSE),A276)</f>
        <v>0</v>
      </c>
      <c r="S276" s="773"/>
      <c r="T276" s="773"/>
      <c r="U276" s="774"/>
      <c r="V276" s="724" t="s">
        <v>446</v>
      </c>
      <c r="W276" s="725"/>
      <c r="X276" s="691">
        <f>HLOOKUP(VLOOKUP($AA$15,'Date SPV'!$B:$F,5,FALSE),'Preturi si tarife'!$C$2:$J$39,A276+2,FALSE)</f>
        <v>1.3800000000000002E-2</v>
      </c>
      <c r="Y276" s="692"/>
      <c r="Z276" s="692"/>
      <c r="AA276" s="693"/>
      <c r="AB276" s="690">
        <f t="shared" si="21"/>
        <v>0</v>
      </c>
      <c r="AC276" s="690"/>
      <c r="AD276" s="690"/>
      <c r="AE276" s="690"/>
      <c r="AF276" s="690">
        <f t="shared" si="22"/>
        <v>0</v>
      </c>
      <c r="AG276" s="690"/>
      <c r="AH276" s="690"/>
      <c r="AI276" s="690"/>
      <c r="AJ276" s="690">
        <f t="shared" si="23"/>
        <v>0</v>
      </c>
      <c r="AK276" s="690"/>
      <c r="AL276" s="690"/>
      <c r="AM276" s="690"/>
    </row>
    <row r="277" spans="1:39" ht="15.95" customHeight="1">
      <c r="A277" s="65">
        <f t="shared" si="16"/>
        <v>36</v>
      </c>
      <c r="B277" s="699" t="s">
        <v>113</v>
      </c>
      <c r="C277" s="700"/>
      <c r="D277" s="700"/>
      <c r="E277" s="700"/>
      <c r="F277" s="700"/>
      <c r="G277" s="700"/>
      <c r="H277" s="700"/>
      <c r="I277" s="700"/>
      <c r="J277" s="700"/>
      <c r="K277" s="701"/>
      <c r="L277" s="763">
        <f t="shared" si="24"/>
        <v>45748</v>
      </c>
      <c r="M277" s="764"/>
      <c r="N277" s="765"/>
      <c r="O277" s="763">
        <f t="shared" si="25"/>
        <v>45777</v>
      </c>
      <c r="P277" s="764"/>
      <c r="Q277" s="765"/>
      <c r="R277" s="772" cm="1">
        <f t="array" ref="R277">INDEX(verificare!$AT$4:$CC$26,VLOOKUP($AA$15,verificare!$AR$4:$AS$26,2,FALSE),A277)</f>
        <v>0</v>
      </c>
      <c r="S277" s="773"/>
      <c r="T277" s="773"/>
      <c r="U277" s="774"/>
      <c r="V277" s="724" t="s">
        <v>446</v>
      </c>
      <c r="W277" s="725"/>
      <c r="X277" s="691">
        <f>HLOOKUP(VLOOKUP($AA$15,'Date SPV'!$B:$F,5,FALSE),'Preturi si tarife'!$C$2:$J$39,A277+2,FALSE)</f>
        <v>9.8699999999999996E-2</v>
      </c>
      <c r="Y277" s="692"/>
      <c r="Z277" s="692"/>
      <c r="AA277" s="693"/>
      <c r="AB277" s="690">
        <f t="shared" si="21"/>
        <v>0</v>
      </c>
      <c r="AC277" s="690"/>
      <c r="AD277" s="690"/>
      <c r="AE277" s="690"/>
      <c r="AF277" s="690">
        <f t="shared" si="22"/>
        <v>0</v>
      </c>
      <c r="AG277" s="690"/>
      <c r="AH277" s="690"/>
      <c r="AI277" s="690"/>
      <c r="AJ277" s="690">
        <f t="shared" si="23"/>
        <v>0</v>
      </c>
      <c r="AK277" s="690"/>
      <c r="AL277" s="690"/>
      <c r="AM277" s="690"/>
    </row>
    <row r="278" spans="1:39" ht="15.95" customHeight="1">
      <c r="A278" s="65">
        <f t="shared" si="16"/>
        <v>37</v>
      </c>
      <c r="B278" s="699" t="s">
        <v>728</v>
      </c>
      <c r="C278" s="700"/>
      <c r="D278" s="700"/>
      <c r="E278" s="700"/>
      <c r="F278" s="700"/>
      <c r="G278" s="700"/>
      <c r="H278" s="700"/>
      <c r="I278" s="700"/>
      <c r="J278" s="700"/>
      <c r="K278" s="701"/>
      <c r="L278" s="702" t="s">
        <v>69</v>
      </c>
      <c r="M278" s="702"/>
      <c r="N278" s="702"/>
      <c r="O278" s="702" t="s">
        <v>69</v>
      </c>
      <c r="P278" s="702"/>
      <c r="Q278" s="702"/>
      <c r="R278" s="690">
        <v>0</v>
      </c>
      <c r="S278" s="690"/>
      <c r="T278" s="690"/>
      <c r="U278" s="690"/>
      <c r="V278" s="658" t="s">
        <v>69</v>
      </c>
      <c r="W278" s="658"/>
      <c r="X278" s="659" t="s">
        <v>69</v>
      </c>
      <c r="Y278" s="659"/>
      <c r="Z278" s="659"/>
      <c r="AA278" s="659"/>
      <c r="AB278" s="653">
        <v>0</v>
      </c>
      <c r="AC278" s="653"/>
      <c r="AD278" s="653"/>
      <c r="AE278" s="653"/>
      <c r="AF278" s="653">
        <f t="shared" si="22"/>
        <v>0</v>
      </c>
      <c r="AG278" s="653"/>
      <c r="AH278" s="653"/>
      <c r="AI278" s="653"/>
      <c r="AJ278" s="653">
        <f t="shared" si="23"/>
        <v>0</v>
      </c>
      <c r="AK278" s="653"/>
      <c r="AL278" s="653"/>
      <c r="AM278" s="653"/>
    </row>
    <row r="279" spans="1:39">
      <c r="A279" s="65">
        <f t="shared" si="16"/>
        <v>38</v>
      </c>
      <c r="B279" s="699" t="s">
        <v>729</v>
      </c>
      <c r="C279" s="700"/>
      <c r="D279" s="700"/>
      <c r="E279" s="700"/>
      <c r="F279" s="700"/>
      <c r="G279" s="700"/>
      <c r="H279" s="700"/>
      <c r="I279" s="700"/>
      <c r="J279" s="700"/>
      <c r="K279" s="701"/>
      <c r="L279" s="702" t="s">
        <v>69</v>
      </c>
      <c r="M279" s="702"/>
      <c r="N279" s="702"/>
      <c r="O279" s="702" t="s">
        <v>69</v>
      </c>
      <c r="P279" s="702"/>
      <c r="Q279" s="702"/>
      <c r="R279" s="690">
        <v>0</v>
      </c>
      <c r="S279" s="690"/>
      <c r="T279" s="690"/>
      <c r="U279" s="690"/>
      <c r="V279" s="658" t="s">
        <v>69</v>
      </c>
      <c r="W279" s="658"/>
      <c r="X279" s="659" t="s">
        <v>69</v>
      </c>
      <c r="Y279" s="659"/>
      <c r="Z279" s="659"/>
      <c r="AA279" s="659"/>
      <c r="AB279" s="726">
        <f>SUM(AB242:AE278)</f>
        <v>1391966.2999999998</v>
      </c>
      <c r="AC279" s="726"/>
      <c r="AD279" s="726"/>
      <c r="AE279" s="726"/>
      <c r="AF279" s="726">
        <f>SUM(AF242:AI278)</f>
        <v>264473.59999999998</v>
      </c>
      <c r="AG279" s="726"/>
      <c r="AH279" s="726"/>
      <c r="AI279" s="726"/>
      <c r="AJ279" s="726">
        <f>SUM(AJ242:AM278)</f>
        <v>1656439.9000000001</v>
      </c>
      <c r="AK279" s="726"/>
      <c r="AL279" s="726"/>
      <c r="AM279" s="726"/>
    </row>
  </sheetData>
  <mergeCells count="1124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1:L81"/>
    <mergeCell ref="M81:AH81"/>
    <mergeCell ref="AI81:AM82"/>
    <mergeCell ref="A82:L82"/>
    <mergeCell ref="M82:AH82"/>
    <mergeCell ref="A83:F85"/>
    <mergeCell ref="G83:I85"/>
    <mergeCell ref="J83:L85"/>
    <mergeCell ref="M83:N85"/>
    <mergeCell ref="O83:Q85"/>
    <mergeCell ref="AI64:AJ66"/>
    <mergeCell ref="AK64:AM66"/>
    <mergeCell ref="J65:L65"/>
    <mergeCell ref="J66:L66"/>
    <mergeCell ref="A80:L80"/>
    <mergeCell ref="M80:AH80"/>
    <mergeCell ref="AI80:AM80"/>
    <mergeCell ref="R64:T66"/>
    <mergeCell ref="U64:W66"/>
    <mergeCell ref="X64:Z66"/>
    <mergeCell ref="AA64:AC66"/>
    <mergeCell ref="AD64:AE66"/>
    <mergeCell ref="AF64:AH66"/>
    <mergeCell ref="AA86:AC88"/>
    <mergeCell ref="AD86:AE88"/>
    <mergeCell ref="AF86:AH88"/>
    <mergeCell ref="AI86:AJ88"/>
    <mergeCell ref="AK86:AM88"/>
    <mergeCell ref="J87:L87"/>
    <mergeCell ref="J88:L88"/>
    <mergeCell ref="AI83:AJ85"/>
    <mergeCell ref="AK83:AM85"/>
    <mergeCell ref="A86:F88"/>
    <mergeCell ref="G86:I88"/>
    <mergeCell ref="J86:L86"/>
    <mergeCell ref="M86:N88"/>
    <mergeCell ref="O86:Q88"/>
    <mergeCell ref="R86:T88"/>
    <mergeCell ref="U86:W88"/>
    <mergeCell ref="X86:Z88"/>
    <mergeCell ref="R83:T85"/>
    <mergeCell ref="U83:W85"/>
    <mergeCell ref="X83:Z85"/>
    <mergeCell ref="AA83:AC85"/>
    <mergeCell ref="AD83:AE85"/>
    <mergeCell ref="AF83:AH85"/>
    <mergeCell ref="AK89:AM91"/>
    <mergeCell ref="J90:L90"/>
    <mergeCell ref="J91:L91"/>
    <mergeCell ref="A92:F94"/>
    <mergeCell ref="G92:I94"/>
    <mergeCell ref="J92:L92"/>
    <mergeCell ref="M92:N94"/>
    <mergeCell ref="O92:Q94"/>
    <mergeCell ref="R92:T94"/>
    <mergeCell ref="U92:W94"/>
    <mergeCell ref="U89:W91"/>
    <mergeCell ref="X89:Z91"/>
    <mergeCell ref="AA89:AC91"/>
    <mergeCell ref="AD89:AE91"/>
    <mergeCell ref="AF89:AH91"/>
    <mergeCell ref="AI89:AJ91"/>
    <mergeCell ref="A89:F91"/>
    <mergeCell ref="G89:I91"/>
    <mergeCell ref="J89:L89"/>
    <mergeCell ref="M89:N91"/>
    <mergeCell ref="O89:Q91"/>
    <mergeCell ref="R89:T91"/>
    <mergeCell ref="AF95:AH97"/>
    <mergeCell ref="AI95:AJ97"/>
    <mergeCell ref="AK95:AM97"/>
    <mergeCell ref="J96:L96"/>
    <mergeCell ref="J97:L97"/>
    <mergeCell ref="A98:F100"/>
    <mergeCell ref="G98:I100"/>
    <mergeCell ref="J98:L98"/>
    <mergeCell ref="M98:N100"/>
    <mergeCell ref="O98:Q100"/>
    <mergeCell ref="O95:Q97"/>
    <mergeCell ref="R95:T97"/>
    <mergeCell ref="U95:W97"/>
    <mergeCell ref="X95:Z97"/>
    <mergeCell ref="AA95:AC97"/>
    <mergeCell ref="AD95:AE97"/>
    <mergeCell ref="J93:L93"/>
    <mergeCell ref="J94:L94"/>
    <mergeCell ref="A95:F97"/>
    <mergeCell ref="G95:I97"/>
    <mergeCell ref="J95:L95"/>
    <mergeCell ref="M95:N97"/>
    <mergeCell ref="X92:Z94"/>
    <mergeCell ref="AA92:AC94"/>
    <mergeCell ref="AD92:AE94"/>
    <mergeCell ref="AF92:AH94"/>
    <mergeCell ref="AI92:AJ94"/>
    <mergeCell ref="AK92:AM94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R104:T106"/>
    <mergeCell ref="U104:W106"/>
    <mergeCell ref="U101:W103"/>
    <mergeCell ref="X101:Z103"/>
    <mergeCell ref="AA101:AC103"/>
    <mergeCell ref="AD101:AE103"/>
    <mergeCell ref="AF101:AH103"/>
    <mergeCell ref="AI101:AJ103"/>
    <mergeCell ref="AI98:AJ100"/>
    <mergeCell ref="AK98:AM100"/>
    <mergeCell ref="J99:L99"/>
    <mergeCell ref="J100:L100"/>
    <mergeCell ref="A101:F103"/>
    <mergeCell ref="G101:I103"/>
    <mergeCell ref="J101:L101"/>
    <mergeCell ref="M101:N103"/>
    <mergeCell ref="O101:Q103"/>
    <mergeCell ref="R101:T103"/>
    <mergeCell ref="R98:T100"/>
    <mergeCell ref="U98:W100"/>
    <mergeCell ref="X98:Z100"/>
    <mergeCell ref="AA98:AC100"/>
    <mergeCell ref="AD98:AE100"/>
    <mergeCell ref="AF98:AH100"/>
    <mergeCell ref="AF107:AH109"/>
    <mergeCell ref="AI107:AJ109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O107:Q109"/>
    <mergeCell ref="R107:T109"/>
    <mergeCell ref="U107:W109"/>
    <mergeCell ref="X107:Z109"/>
    <mergeCell ref="AA107:AC109"/>
    <mergeCell ref="AD107:AE109"/>
    <mergeCell ref="J105:L105"/>
    <mergeCell ref="J106:L106"/>
    <mergeCell ref="A107:F109"/>
    <mergeCell ref="G107:I109"/>
    <mergeCell ref="J107:L107"/>
    <mergeCell ref="M107:N109"/>
    <mergeCell ref="X104:Z106"/>
    <mergeCell ref="AA104:AC106"/>
    <mergeCell ref="AD104:AE106"/>
    <mergeCell ref="AF104:AH106"/>
    <mergeCell ref="AI104:AJ106"/>
    <mergeCell ref="AK104:AM106"/>
    <mergeCell ref="A116:L116"/>
    <mergeCell ref="M116:AH116"/>
    <mergeCell ref="AI116:AM117"/>
    <mergeCell ref="A117:L117"/>
    <mergeCell ref="M117:AH117"/>
    <mergeCell ref="A118:F120"/>
    <mergeCell ref="G118:I120"/>
    <mergeCell ref="J118:L120"/>
    <mergeCell ref="M118:N120"/>
    <mergeCell ref="O118:Q120"/>
    <mergeCell ref="AI110:AJ112"/>
    <mergeCell ref="AK110:AM112"/>
    <mergeCell ref="J111:L111"/>
    <mergeCell ref="J112:L112"/>
    <mergeCell ref="AI115:AM115"/>
    <mergeCell ref="R110:T112"/>
    <mergeCell ref="U110:W112"/>
    <mergeCell ref="X110:Z112"/>
    <mergeCell ref="AA110:AC112"/>
    <mergeCell ref="AD110:AE112"/>
    <mergeCell ref="AF110:AH112"/>
    <mergeCell ref="A115:AH115"/>
    <mergeCell ref="AA121:AC123"/>
    <mergeCell ref="AD121:AE123"/>
    <mergeCell ref="AF121:AH123"/>
    <mergeCell ref="AI121:AJ123"/>
    <mergeCell ref="AK121:AM123"/>
    <mergeCell ref="J122:L122"/>
    <mergeCell ref="J123:L123"/>
    <mergeCell ref="AI118:AJ120"/>
    <mergeCell ref="AK118:AM120"/>
    <mergeCell ref="A121:F123"/>
    <mergeCell ref="G121:I123"/>
    <mergeCell ref="J121:L121"/>
    <mergeCell ref="M121:N123"/>
    <mergeCell ref="O121:Q123"/>
    <mergeCell ref="R121:T123"/>
    <mergeCell ref="U121:W123"/>
    <mergeCell ref="X121:Z123"/>
    <mergeCell ref="R118:T120"/>
    <mergeCell ref="U118:W120"/>
    <mergeCell ref="X118:Z120"/>
    <mergeCell ref="AA118:AC120"/>
    <mergeCell ref="AD118:AE120"/>
    <mergeCell ref="AF118:AH120"/>
    <mergeCell ref="AK124:AM126"/>
    <mergeCell ref="J125:L125"/>
    <mergeCell ref="J126:L126"/>
    <mergeCell ref="A127:F129"/>
    <mergeCell ref="G127:I129"/>
    <mergeCell ref="J127:L127"/>
    <mergeCell ref="M127:N129"/>
    <mergeCell ref="O127:Q129"/>
    <mergeCell ref="R127:T129"/>
    <mergeCell ref="U127:W129"/>
    <mergeCell ref="U124:W126"/>
    <mergeCell ref="X124:Z126"/>
    <mergeCell ref="AA124:AC126"/>
    <mergeCell ref="AD124:AE126"/>
    <mergeCell ref="AF124:AH126"/>
    <mergeCell ref="AI124:AJ126"/>
    <mergeCell ref="A124:F126"/>
    <mergeCell ref="G124:I126"/>
    <mergeCell ref="J124:L124"/>
    <mergeCell ref="M124:N126"/>
    <mergeCell ref="O124:Q126"/>
    <mergeCell ref="R124:T126"/>
    <mergeCell ref="A138:L138"/>
    <mergeCell ref="M138:AH138"/>
    <mergeCell ref="AI138:AM138"/>
    <mergeCell ref="A139:L139"/>
    <mergeCell ref="M139:AH139"/>
    <mergeCell ref="AI139:AM140"/>
    <mergeCell ref="A140:L140"/>
    <mergeCell ref="M140:AH140"/>
    <mergeCell ref="J128:L128"/>
    <mergeCell ref="J129:L129"/>
    <mergeCell ref="A133:G134"/>
    <mergeCell ref="H133:AM134"/>
    <mergeCell ref="A135:G136"/>
    <mergeCell ref="H135:V136"/>
    <mergeCell ref="W135:Z136"/>
    <mergeCell ref="AA135:AM136"/>
    <mergeCell ref="X127:Z129"/>
    <mergeCell ref="AA127:AC129"/>
    <mergeCell ref="AD127:AE129"/>
    <mergeCell ref="AF127:AH129"/>
    <mergeCell ref="AI127:AJ129"/>
    <mergeCell ref="AK127:AM129"/>
    <mergeCell ref="AD144:AE146"/>
    <mergeCell ref="AF144:AH146"/>
    <mergeCell ref="AI144:AJ146"/>
    <mergeCell ref="AK144:AM146"/>
    <mergeCell ref="J145:L145"/>
    <mergeCell ref="J146:L146"/>
    <mergeCell ref="AK141:AM143"/>
    <mergeCell ref="A144:F146"/>
    <mergeCell ref="G144:I146"/>
    <mergeCell ref="J144:L144"/>
    <mergeCell ref="M144:N146"/>
    <mergeCell ref="O144:Q146"/>
    <mergeCell ref="R144:T146"/>
    <mergeCell ref="U144:W146"/>
    <mergeCell ref="X144:Z146"/>
    <mergeCell ref="AA144:AC146"/>
    <mergeCell ref="U141:W143"/>
    <mergeCell ref="X141:Z143"/>
    <mergeCell ref="AA141:AC143"/>
    <mergeCell ref="AD141:AE143"/>
    <mergeCell ref="AF141:AH143"/>
    <mergeCell ref="AI141:AJ143"/>
    <mergeCell ref="A141:F143"/>
    <mergeCell ref="G141:I143"/>
    <mergeCell ref="J141:L143"/>
    <mergeCell ref="M141:N143"/>
    <mergeCell ref="O141:Q143"/>
    <mergeCell ref="R141:T143"/>
    <mergeCell ref="AK147:AM149"/>
    <mergeCell ref="J148:L148"/>
    <mergeCell ref="J149:L149"/>
    <mergeCell ref="A150:F152"/>
    <mergeCell ref="G150:I152"/>
    <mergeCell ref="J150:L150"/>
    <mergeCell ref="M150:N152"/>
    <mergeCell ref="O150:Q152"/>
    <mergeCell ref="R150:T152"/>
    <mergeCell ref="U150:W152"/>
    <mergeCell ref="U147:W149"/>
    <mergeCell ref="X147:Z149"/>
    <mergeCell ref="AA147:AC149"/>
    <mergeCell ref="AD147:AE149"/>
    <mergeCell ref="AF147:AH149"/>
    <mergeCell ref="AI147:AJ149"/>
    <mergeCell ref="A147:F149"/>
    <mergeCell ref="G147:I149"/>
    <mergeCell ref="J147:L147"/>
    <mergeCell ref="M147:N149"/>
    <mergeCell ref="O147:Q149"/>
    <mergeCell ref="R147:T149"/>
    <mergeCell ref="AF153:AH155"/>
    <mergeCell ref="AI153:AJ155"/>
    <mergeCell ref="AK153:AM155"/>
    <mergeCell ref="J154:L154"/>
    <mergeCell ref="J155:L155"/>
    <mergeCell ref="A156:F158"/>
    <mergeCell ref="G156:I158"/>
    <mergeCell ref="J156:L156"/>
    <mergeCell ref="M156:N158"/>
    <mergeCell ref="O156:Q158"/>
    <mergeCell ref="O153:Q155"/>
    <mergeCell ref="R153:T155"/>
    <mergeCell ref="U153:W155"/>
    <mergeCell ref="X153:Z155"/>
    <mergeCell ref="AA153:AC155"/>
    <mergeCell ref="AD153:AE155"/>
    <mergeCell ref="J151:L151"/>
    <mergeCell ref="J152:L152"/>
    <mergeCell ref="A153:F155"/>
    <mergeCell ref="G153:I155"/>
    <mergeCell ref="J153:L153"/>
    <mergeCell ref="M153:N155"/>
    <mergeCell ref="X150:Z152"/>
    <mergeCell ref="AA150:AC152"/>
    <mergeCell ref="AD150:AE152"/>
    <mergeCell ref="AF150:AH152"/>
    <mergeCell ref="AI150:AJ152"/>
    <mergeCell ref="AK150:AM152"/>
    <mergeCell ref="AK159:AM161"/>
    <mergeCell ref="J160:L160"/>
    <mergeCell ref="J161:L161"/>
    <mergeCell ref="A162:F164"/>
    <mergeCell ref="G162:I164"/>
    <mergeCell ref="J162:L162"/>
    <mergeCell ref="M162:N164"/>
    <mergeCell ref="O162:Q164"/>
    <mergeCell ref="R162:T164"/>
    <mergeCell ref="U162:W164"/>
    <mergeCell ref="U159:W161"/>
    <mergeCell ref="X159:Z161"/>
    <mergeCell ref="AA159:AC161"/>
    <mergeCell ref="AD159:AE161"/>
    <mergeCell ref="AF159:AH161"/>
    <mergeCell ref="AI159:AJ161"/>
    <mergeCell ref="AI156:AJ158"/>
    <mergeCell ref="AK156:AM158"/>
    <mergeCell ref="J157:L157"/>
    <mergeCell ref="J158:L158"/>
    <mergeCell ref="A159:F161"/>
    <mergeCell ref="G159:I161"/>
    <mergeCell ref="J159:L159"/>
    <mergeCell ref="M159:N161"/>
    <mergeCell ref="O159:Q161"/>
    <mergeCell ref="R159:T161"/>
    <mergeCell ref="R156:T158"/>
    <mergeCell ref="U156:W158"/>
    <mergeCell ref="X156:Z158"/>
    <mergeCell ref="AA156:AC158"/>
    <mergeCell ref="AD156:AE158"/>
    <mergeCell ref="AF156:AH158"/>
    <mergeCell ref="AF165:AH167"/>
    <mergeCell ref="AI165:AJ167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O165:Q167"/>
    <mergeCell ref="R165:T167"/>
    <mergeCell ref="U165:W167"/>
    <mergeCell ref="X165:Z167"/>
    <mergeCell ref="AA165:AC167"/>
    <mergeCell ref="AD165:AE167"/>
    <mergeCell ref="J163:L163"/>
    <mergeCell ref="J164:L164"/>
    <mergeCell ref="A165:F167"/>
    <mergeCell ref="G165:I167"/>
    <mergeCell ref="J165:L165"/>
    <mergeCell ref="M165:N167"/>
    <mergeCell ref="X162:Z164"/>
    <mergeCell ref="AA162:AC164"/>
    <mergeCell ref="AD162:AE164"/>
    <mergeCell ref="AF162:AH164"/>
    <mergeCell ref="AI162:AJ164"/>
    <mergeCell ref="AK162:AM164"/>
    <mergeCell ref="A187:L187"/>
    <mergeCell ref="M187:AH187"/>
    <mergeCell ref="AI187:AM188"/>
    <mergeCell ref="A188:L188"/>
    <mergeCell ref="M188:AH188"/>
    <mergeCell ref="A189:F191"/>
    <mergeCell ref="G189:I191"/>
    <mergeCell ref="J189:L191"/>
    <mergeCell ref="M189:N191"/>
    <mergeCell ref="O189:Q191"/>
    <mergeCell ref="AI168:AJ170"/>
    <mergeCell ref="AK168:AM170"/>
    <mergeCell ref="J169:L169"/>
    <mergeCell ref="J170:L170"/>
    <mergeCell ref="A186:L186"/>
    <mergeCell ref="M186:AH186"/>
    <mergeCell ref="AI186:AM186"/>
    <mergeCell ref="R168:T170"/>
    <mergeCell ref="U168:W170"/>
    <mergeCell ref="X168:Z170"/>
    <mergeCell ref="AA168:AC170"/>
    <mergeCell ref="AD168:AE170"/>
    <mergeCell ref="AF168:AH170"/>
    <mergeCell ref="O195:Q197"/>
    <mergeCell ref="R195:T197"/>
    <mergeCell ref="AA192:AC194"/>
    <mergeCell ref="AD192:AE194"/>
    <mergeCell ref="AF192:AH194"/>
    <mergeCell ref="AI192:AJ194"/>
    <mergeCell ref="AK192:AM194"/>
    <mergeCell ref="J193:L193"/>
    <mergeCell ref="J194:L194"/>
    <mergeCell ref="AI189:AJ191"/>
    <mergeCell ref="AK189:AM191"/>
    <mergeCell ref="A192:F194"/>
    <mergeCell ref="G192:I194"/>
    <mergeCell ref="J192:L192"/>
    <mergeCell ref="M192:N194"/>
    <mergeCell ref="O192:Q194"/>
    <mergeCell ref="R192:T194"/>
    <mergeCell ref="U192:W194"/>
    <mergeCell ref="X192:Z194"/>
    <mergeCell ref="R189:T191"/>
    <mergeCell ref="U189:W191"/>
    <mergeCell ref="X189:Z191"/>
    <mergeCell ref="AA189:AC191"/>
    <mergeCell ref="AD189:AE191"/>
    <mergeCell ref="AF189:AH191"/>
    <mergeCell ref="J199:L199"/>
    <mergeCell ref="J200:L200"/>
    <mergeCell ref="A201:F203"/>
    <mergeCell ref="G201:I203"/>
    <mergeCell ref="J201:L201"/>
    <mergeCell ref="M201:N203"/>
    <mergeCell ref="X198:Z200"/>
    <mergeCell ref="AA198:AC200"/>
    <mergeCell ref="AD198:AE200"/>
    <mergeCell ref="AF198:AH200"/>
    <mergeCell ref="AI198:AJ200"/>
    <mergeCell ref="AK198:AM200"/>
    <mergeCell ref="AK195:AM197"/>
    <mergeCell ref="J196:L196"/>
    <mergeCell ref="J197:L197"/>
    <mergeCell ref="A198:F200"/>
    <mergeCell ref="G198:I200"/>
    <mergeCell ref="J198:L198"/>
    <mergeCell ref="M198:N200"/>
    <mergeCell ref="O198:Q200"/>
    <mergeCell ref="R198:T200"/>
    <mergeCell ref="U198:W200"/>
    <mergeCell ref="U195:W197"/>
    <mergeCell ref="X195:Z197"/>
    <mergeCell ref="AA195:AC197"/>
    <mergeCell ref="AD195:AE197"/>
    <mergeCell ref="AF195:AH197"/>
    <mergeCell ref="AI195:AJ197"/>
    <mergeCell ref="A195:F197"/>
    <mergeCell ref="G195:I197"/>
    <mergeCell ref="J195:L195"/>
    <mergeCell ref="M195:N197"/>
    <mergeCell ref="AI204:AJ206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R204:T206"/>
    <mergeCell ref="U204:W206"/>
    <mergeCell ref="X204:Z206"/>
    <mergeCell ref="AA204:AC206"/>
    <mergeCell ref="AD204:AE206"/>
    <mergeCell ref="AF204:AH206"/>
    <mergeCell ref="AF201:AH203"/>
    <mergeCell ref="AI201:AJ203"/>
    <mergeCell ref="AK201:AM203"/>
    <mergeCell ref="J202:L202"/>
    <mergeCell ref="J203:L203"/>
    <mergeCell ref="A204:F206"/>
    <mergeCell ref="G204:I206"/>
    <mergeCell ref="J204:L204"/>
    <mergeCell ref="M204:N206"/>
    <mergeCell ref="O204:Q206"/>
    <mergeCell ref="O201:Q203"/>
    <mergeCell ref="R201:T203"/>
    <mergeCell ref="U201:W203"/>
    <mergeCell ref="X201:Z203"/>
    <mergeCell ref="AA201:AC203"/>
    <mergeCell ref="AD201:AE203"/>
    <mergeCell ref="J211:L211"/>
    <mergeCell ref="J212:L212"/>
    <mergeCell ref="A213:F215"/>
    <mergeCell ref="G213:I215"/>
    <mergeCell ref="J213:L213"/>
    <mergeCell ref="M213:N215"/>
    <mergeCell ref="X210:Z212"/>
    <mergeCell ref="AA210:AC212"/>
    <mergeCell ref="AD210:AE212"/>
    <mergeCell ref="AF210:AH212"/>
    <mergeCell ref="AI210:AJ212"/>
    <mergeCell ref="AK210:AM212"/>
    <mergeCell ref="AK207:AM209"/>
    <mergeCell ref="J208:L208"/>
    <mergeCell ref="J209:L209"/>
    <mergeCell ref="A210:F212"/>
    <mergeCell ref="G210:I212"/>
    <mergeCell ref="J210:L210"/>
    <mergeCell ref="M210:N212"/>
    <mergeCell ref="O210:Q212"/>
    <mergeCell ref="R210:T212"/>
    <mergeCell ref="U210:W212"/>
    <mergeCell ref="U207:W209"/>
    <mergeCell ref="X207:Z209"/>
    <mergeCell ref="AA207:AC209"/>
    <mergeCell ref="AD207:AE209"/>
    <mergeCell ref="AF207:AH209"/>
    <mergeCell ref="AI207:AJ209"/>
    <mergeCell ref="AI216:AJ218"/>
    <mergeCell ref="AK216:AM218"/>
    <mergeCell ref="J217:L217"/>
    <mergeCell ref="J218:L218"/>
    <mergeCell ref="A239:AM239"/>
    <mergeCell ref="B241:K241"/>
    <mergeCell ref="R241:U241"/>
    <mergeCell ref="V241:W241"/>
    <mergeCell ref="X241:AA241"/>
    <mergeCell ref="AB241:AE241"/>
    <mergeCell ref="R216:T218"/>
    <mergeCell ref="U216:W218"/>
    <mergeCell ref="X216:Z218"/>
    <mergeCell ref="AA216:AC218"/>
    <mergeCell ref="AD216:AE218"/>
    <mergeCell ref="AF216:AH218"/>
    <mergeCell ref="AF213:AH215"/>
    <mergeCell ref="AI213:AJ215"/>
    <mergeCell ref="AK213:AM215"/>
    <mergeCell ref="J214:L214"/>
    <mergeCell ref="J215:L215"/>
    <mergeCell ref="A216:F218"/>
    <mergeCell ref="G216:I218"/>
    <mergeCell ref="J216:L216"/>
    <mergeCell ref="M216:N218"/>
    <mergeCell ref="O216:Q218"/>
    <mergeCell ref="O213:Q215"/>
    <mergeCell ref="R213:T215"/>
    <mergeCell ref="U213:W215"/>
    <mergeCell ref="X213:Z215"/>
    <mergeCell ref="AA213:AC215"/>
    <mergeCell ref="AD213:AE215"/>
    <mergeCell ref="AJ242:AM242"/>
    <mergeCell ref="B243:K243"/>
    <mergeCell ref="L243:N243"/>
    <mergeCell ref="O243:Q243"/>
    <mergeCell ref="R243:U243"/>
    <mergeCell ref="V243:W243"/>
    <mergeCell ref="X243:AA243"/>
    <mergeCell ref="AB243:AE243"/>
    <mergeCell ref="AF243:AI243"/>
    <mergeCell ref="AJ243:AM243"/>
    <mergeCell ref="AF241:AI241"/>
    <mergeCell ref="AJ241:AM241"/>
    <mergeCell ref="B242:K242"/>
    <mergeCell ref="L242:N242"/>
    <mergeCell ref="O242:Q242"/>
    <mergeCell ref="R242:U242"/>
    <mergeCell ref="V242:W242"/>
    <mergeCell ref="X242:AA242"/>
    <mergeCell ref="AB242:AE242"/>
    <mergeCell ref="AF242:AI242"/>
    <mergeCell ref="AF245:AI245"/>
    <mergeCell ref="AJ245:AM245"/>
    <mergeCell ref="B246:K246"/>
    <mergeCell ref="L246:N246"/>
    <mergeCell ref="O246:Q246"/>
    <mergeCell ref="R246:U246"/>
    <mergeCell ref="V246:W246"/>
    <mergeCell ref="X246:AA246"/>
    <mergeCell ref="AB246:AE246"/>
    <mergeCell ref="AF246:AI246"/>
    <mergeCell ref="AB244:AE244"/>
    <mergeCell ref="AF244:AI244"/>
    <mergeCell ref="AJ244:AM244"/>
    <mergeCell ref="B245:K245"/>
    <mergeCell ref="L245:N245"/>
    <mergeCell ref="O245:Q245"/>
    <mergeCell ref="R245:U245"/>
    <mergeCell ref="V245:W245"/>
    <mergeCell ref="X245:AA245"/>
    <mergeCell ref="AB245:AE245"/>
    <mergeCell ref="B244:K244"/>
    <mergeCell ref="L244:N244"/>
    <mergeCell ref="O244:Q244"/>
    <mergeCell ref="R244:U244"/>
    <mergeCell ref="V244:W244"/>
    <mergeCell ref="X244:AA244"/>
    <mergeCell ref="AB248:AE248"/>
    <mergeCell ref="AF248:AI248"/>
    <mergeCell ref="AJ248:AM248"/>
    <mergeCell ref="B249:K249"/>
    <mergeCell ref="L249:N249"/>
    <mergeCell ref="O249:Q249"/>
    <mergeCell ref="R249:U249"/>
    <mergeCell ref="V249:W249"/>
    <mergeCell ref="X249:AA249"/>
    <mergeCell ref="AB249:AE249"/>
    <mergeCell ref="B248:K248"/>
    <mergeCell ref="L248:N248"/>
    <mergeCell ref="O248:Q248"/>
    <mergeCell ref="R248:U248"/>
    <mergeCell ref="V248:W248"/>
    <mergeCell ref="X248:AA248"/>
    <mergeCell ref="AJ246:AM246"/>
    <mergeCell ref="B247:K247"/>
    <mergeCell ref="L247:N247"/>
    <mergeCell ref="O247:Q247"/>
    <mergeCell ref="R247:U247"/>
    <mergeCell ref="V247:W247"/>
    <mergeCell ref="X247:AA247"/>
    <mergeCell ref="AB247:AE247"/>
    <mergeCell ref="AF247:AI247"/>
    <mergeCell ref="AJ247:AM247"/>
    <mergeCell ref="AJ250:AM250"/>
    <mergeCell ref="B251:K251"/>
    <mergeCell ref="L251:N251"/>
    <mergeCell ref="O251:Q251"/>
    <mergeCell ref="R251:U251"/>
    <mergeCell ref="V251:W251"/>
    <mergeCell ref="X251:AA251"/>
    <mergeCell ref="AB251:AE251"/>
    <mergeCell ref="AF251:AI251"/>
    <mergeCell ref="AJ251:AM251"/>
    <mergeCell ref="AF249:AI249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AF253:AI253"/>
    <mergeCell ref="AJ253:AM253"/>
    <mergeCell ref="B254:K254"/>
    <mergeCell ref="L254:N254"/>
    <mergeCell ref="O254:Q254"/>
    <mergeCell ref="R254:U254"/>
    <mergeCell ref="V254:W254"/>
    <mergeCell ref="X254:AA254"/>
    <mergeCell ref="AB254:AE254"/>
    <mergeCell ref="AF254:AI254"/>
    <mergeCell ref="AB252:AE252"/>
    <mergeCell ref="AF252:AI252"/>
    <mergeCell ref="AJ252:AM252"/>
    <mergeCell ref="B253:K253"/>
    <mergeCell ref="L253:N253"/>
    <mergeCell ref="O253:Q253"/>
    <mergeCell ref="R253:U253"/>
    <mergeCell ref="V253:W253"/>
    <mergeCell ref="X253:AA253"/>
    <mergeCell ref="AB253:AE253"/>
    <mergeCell ref="B252:K252"/>
    <mergeCell ref="L252:N252"/>
    <mergeCell ref="O252:Q252"/>
    <mergeCell ref="R252:U252"/>
    <mergeCell ref="V252:W252"/>
    <mergeCell ref="X252:AA252"/>
    <mergeCell ref="AB256:AE256"/>
    <mergeCell ref="AF256:AI256"/>
    <mergeCell ref="AJ256:AM256"/>
    <mergeCell ref="B257:K257"/>
    <mergeCell ref="L257:N257"/>
    <mergeCell ref="O257:Q257"/>
    <mergeCell ref="R257:U257"/>
    <mergeCell ref="V257:W257"/>
    <mergeCell ref="X257:AA257"/>
    <mergeCell ref="AB257:AE257"/>
    <mergeCell ref="B256:K256"/>
    <mergeCell ref="L256:N256"/>
    <mergeCell ref="O256:Q256"/>
    <mergeCell ref="R256:U256"/>
    <mergeCell ref="V256:W256"/>
    <mergeCell ref="X256:AA256"/>
    <mergeCell ref="AJ254:AM254"/>
    <mergeCell ref="B255:K255"/>
    <mergeCell ref="L255:N255"/>
    <mergeCell ref="O255:Q255"/>
    <mergeCell ref="R255:U255"/>
    <mergeCell ref="V255:W255"/>
    <mergeCell ref="X255:AA255"/>
    <mergeCell ref="AB255:AE255"/>
    <mergeCell ref="AF255:AI255"/>
    <mergeCell ref="AJ255:AM255"/>
    <mergeCell ref="AJ258:AM258"/>
    <mergeCell ref="B259:K259"/>
    <mergeCell ref="L259:N259"/>
    <mergeCell ref="O259:Q259"/>
    <mergeCell ref="R259:U259"/>
    <mergeCell ref="V259:W259"/>
    <mergeCell ref="X259:AA259"/>
    <mergeCell ref="AB259:AE259"/>
    <mergeCell ref="AF259:AI259"/>
    <mergeCell ref="AJ259:AM259"/>
    <mergeCell ref="AF257:AI257"/>
    <mergeCell ref="AJ257:AM257"/>
    <mergeCell ref="B258:K258"/>
    <mergeCell ref="L258:N258"/>
    <mergeCell ref="O258:Q258"/>
    <mergeCell ref="R258:U258"/>
    <mergeCell ref="V258:W258"/>
    <mergeCell ref="X258:AA258"/>
    <mergeCell ref="AB258:AE258"/>
    <mergeCell ref="AF258:AI258"/>
    <mergeCell ref="AF261:AI261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AF262:AI262"/>
    <mergeCell ref="AB260:AE260"/>
    <mergeCell ref="AF260:AI260"/>
    <mergeCell ref="AJ260:AM260"/>
    <mergeCell ref="B261:K261"/>
    <mergeCell ref="L261:N261"/>
    <mergeCell ref="O261:Q261"/>
    <mergeCell ref="R261:U261"/>
    <mergeCell ref="V261:W261"/>
    <mergeCell ref="X261:AA261"/>
    <mergeCell ref="AB261:AE261"/>
    <mergeCell ref="B260:K260"/>
    <mergeCell ref="L260:N260"/>
    <mergeCell ref="O260:Q260"/>
    <mergeCell ref="R260:U260"/>
    <mergeCell ref="V260:W260"/>
    <mergeCell ref="X260:AA260"/>
    <mergeCell ref="AB264:AE264"/>
    <mergeCell ref="AF264:AI264"/>
    <mergeCell ref="AJ264:AM264"/>
    <mergeCell ref="B265:K265"/>
    <mergeCell ref="L265:N265"/>
    <mergeCell ref="O265:Q265"/>
    <mergeCell ref="R265:U265"/>
    <mergeCell ref="V265:W265"/>
    <mergeCell ref="X265:AA265"/>
    <mergeCell ref="AB265:AE265"/>
    <mergeCell ref="B264:K264"/>
    <mergeCell ref="L264:N264"/>
    <mergeCell ref="O264:Q264"/>
    <mergeCell ref="R264:U264"/>
    <mergeCell ref="V264:W264"/>
    <mergeCell ref="X264:AA264"/>
    <mergeCell ref="AJ262:AM262"/>
    <mergeCell ref="B263:K263"/>
    <mergeCell ref="L263:N263"/>
    <mergeCell ref="O263:Q263"/>
    <mergeCell ref="R263:U263"/>
    <mergeCell ref="V263:W263"/>
    <mergeCell ref="X263:AA263"/>
    <mergeCell ref="AB263:AE263"/>
    <mergeCell ref="AF263:AI263"/>
    <mergeCell ref="AJ263:AM263"/>
    <mergeCell ref="AJ266:AM266"/>
    <mergeCell ref="B267:K267"/>
    <mergeCell ref="L267:N267"/>
    <mergeCell ref="O267:Q267"/>
    <mergeCell ref="R267:U267"/>
    <mergeCell ref="V267:W267"/>
    <mergeCell ref="X267:AA267"/>
    <mergeCell ref="AB267:AE267"/>
    <mergeCell ref="AF267:AI267"/>
    <mergeCell ref="AJ267:AM267"/>
    <mergeCell ref="AF265:AI265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AF266:AI266"/>
    <mergeCell ref="AF269:AI269"/>
    <mergeCell ref="AJ269:AM269"/>
    <mergeCell ref="B270:K270"/>
    <mergeCell ref="L270:N270"/>
    <mergeCell ref="O270:Q270"/>
    <mergeCell ref="R270:U270"/>
    <mergeCell ref="V270:W270"/>
    <mergeCell ref="X270:AA270"/>
    <mergeCell ref="AB270:AE270"/>
    <mergeCell ref="AF270:AI270"/>
    <mergeCell ref="AB268:AE268"/>
    <mergeCell ref="AF268:AI268"/>
    <mergeCell ref="AJ268:AM268"/>
    <mergeCell ref="B269:K269"/>
    <mergeCell ref="L269:N269"/>
    <mergeCell ref="O269:Q269"/>
    <mergeCell ref="R269:U269"/>
    <mergeCell ref="V269:W269"/>
    <mergeCell ref="X269:AA269"/>
    <mergeCell ref="AB269:AE269"/>
    <mergeCell ref="B268:K268"/>
    <mergeCell ref="L268:N268"/>
    <mergeCell ref="O268:Q268"/>
    <mergeCell ref="R268:U268"/>
    <mergeCell ref="V268:W268"/>
    <mergeCell ref="X268:AA268"/>
    <mergeCell ref="AB272:AE272"/>
    <mergeCell ref="AF272:AI272"/>
    <mergeCell ref="AJ272:AM272"/>
    <mergeCell ref="B273:K273"/>
    <mergeCell ref="L273:N273"/>
    <mergeCell ref="O273:Q273"/>
    <mergeCell ref="R273:U273"/>
    <mergeCell ref="V273:W273"/>
    <mergeCell ref="X273:AA273"/>
    <mergeCell ref="AB273:AE273"/>
    <mergeCell ref="B272:K272"/>
    <mergeCell ref="L272:N272"/>
    <mergeCell ref="O272:Q272"/>
    <mergeCell ref="R272:U272"/>
    <mergeCell ref="V272:W272"/>
    <mergeCell ref="X272:AA272"/>
    <mergeCell ref="AJ270:AM270"/>
    <mergeCell ref="B271:K271"/>
    <mergeCell ref="L271:N271"/>
    <mergeCell ref="O271:Q271"/>
    <mergeCell ref="R271:U271"/>
    <mergeCell ref="V271:W271"/>
    <mergeCell ref="X271:AA271"/>
    <mergeCell ref="AB271:AE271"/>
    <mergeCell ref="AF271:AI271"/>
    <mergeCell ref="AJ271:AM271"/>
    <mergeCell ref="AJ274:AM274"/>
    <mergeCell ref="B275:K275"/>
    <mergeCell ref="L275:N275"/>
    <mergeCell ref="O275:Q275"/>
    <mergeCell ref="R275:U275"/>
    <mergeCell ref="V275:W275"/>
    <mergeCell ref="X275:AA275"/>
    <mergeCell ref="AB275:AE275"/>
    <mergeCell ref="AF275:AI275"/>
    <mergeCell ref="AJ275:AM275"/>
    <mergeCell ref="AF273:AI273"/>
    <mergeCell ref="AJ273:AM273"/>
    <mergeCell ref="B274:K274"/>
    <mergeCell ref="L274:N274"/>
    <mergeCell ref="O274:Q274"/>
    <mergeCell ref="R274:U274"/>
    <mergeCell ref="V274:W274"/>
    <mergeCell ref="X274:AA274"/>
    <mergeCell ref="AB274:AE274"/>
    <mergeCell ref="AF274:AI274"/>
    <mergeCell ref="AF277:AI277"/>
    <mergeCell ref="AJ277:AM277"/>
    <mergeCell ref="AB276:AE276"/>
    <mergeCell ref="AF276:AI276"/>
    <mergeCell ref="AJ276:AM276"/>
    <mergeCell ref="B277:K277"/>
    <mergeCell ref="L277:N277"/>
    <mergeCell ref="O277:Q277"/>
    <mergeCell ref="R277:U277"/>
    <mergeCell ref="V277:W277"/>
    <mergeCell ref="X277:AA277"/>
    <mergeCell ref="AB277:AE277"/>
    <mergeCell ref="B276:K276"/>
    <mergeCell ref="L276:N276"/>
    <mergeCell ref="O276:Q276"/>
    <mergeCell ref="R276:U276"/>
    <mergeCell ref="V276:W276"/>
    <mergeCell ref="X276:AA276"/>
    <mergeCell ref="B278:K278"/>
    <mergeCell ref="L278:N278"/>
    <mergeCell ref="O278:Q278"/>
    <mergeCell ref="R278:U278"/>
    <mergeCell ref="V278:W278"/>
    <mergeCell ref="X278:AA278"/>
    <mergeCell ref="AB278:AE278"/>
    <mergeCell ref="AF278:AI278"/>
    <mergeCell ref="AJ278:AM278"/>
    <mergeCell ref="B279:K279"/>
    <mergeCell ref="L279:N279"/>
    <mergeCell ref="O279:Q279"/>
    <mergeCell ref="R279:U279"/>
    <mergeCell ref="V279:W279"/>
    <mergeCell ref="X279:AA279"/>
    <mergeCell ref="AB279:AE279"/>
    <mergeCell ref="AF279:AI279"/>
    <mergeCell ref="AJ279:AM279"/>
  </mergeCells>
  <hyperlinks>
    <hyperlink ref="G11" r:id="rId1" xr:uid="{C44809BF-A558-A545-BE6C-E522D0C1FF2A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53297-3567-794E-B711-4417FF1395AA}">
  <dimension ref="A1:AM280"/>
  <sheetViews>
    <sheetView view="pageLayout" zoomScale="115" zoomScaleNormal="100" zoomScalePageLayoutView="115" workbookViewId="0">
      <selection activeCell="AD28" sqref="AD28"/>
    </sheetView>
  </sheetViews>
  <sheetFormatPr defaultColWidth="10.625" defaultRowHeight="15.75"/>
  <cols>
    <col min="1" max="4" width="2.375" customWidth="1"/>
    <col min="5" max="5" width="0.875" customWidth="1"/>
    <col min="6" max="6" width="2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Aurora Mall Buzau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Floreasca, nr.169A, Cladirea A, Etaj 5, Sectiunea A5.1, Biroul Nr. 25,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RO30831176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 xml:space="preserve">J40/12424/2012, 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RO83 RZBR 0000 0600 1748 7320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15/31.01.2024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36/28.02.2024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6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AB279</f>
        <v>453932.20999999996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AF279</f>
        <v>86247.12000000001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AJ279</f>
        <v>540179.32999999996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540179.32999999996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R242+R256+R257+R260</f>
        <v>468884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1.152053237047969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Bulevardul Unirii, nr. 180, loc. Buzau, jud. Buzau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5000579549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RAMB_1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594030300002113780/1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RAMB_1.1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1373264675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2479356 (citit)</v>
      </c>
      <c r="S40" s="647"/>
      <c r="T40" s="647"/>
      <c r="U40" s="647" t="str">
        <f>VLOOKUP(A40,Regularizare!$D:$U,4,FALSE)&amp;" ("&amp;VLOOKUP(A40,Regularizare!$D:$U,12,FALSE)&amp;")"</f>
        <v>2646920 (estimat)</v>
      </c>
      <c r="V40" s="647"/>
      <c r="W40" s="647"/>
      <c r="X40" s="647" t="str">
        <f>VLOOKUP(A40,Regularizare!$D:$Y,19,FALSE)&amp;" ("&amp;VLOOKUP(A40,Regularizare!$D:$U,12,FALSE)&amp;")"</f>
        <v>167564 (estimat)</v>
      </c>
      <c r="Y40" s="647"/>
      <c r="Z40" s="647"/>
      <c r="AA40" s="647">
        <f>(-1)*VLOOKUP(A40,Regularizare!$D:$Y,19,FALSE)</f>
        <v>-167564</v>
      </c>
      <c r="AB40" s="647"/>
      <c r="AC40" s="647"/>
      <c r="AD40" s="647" t="s">
        <v>69</v>
      </c>
      <c r="AE40" s="647"/>
      <c r="AF40" s="647">
        <f>AA40</f>
        <v>-167564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1373264675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43379 (citit)</v>
      </c>
      <c r="S43" s="647"/>
      <c r="T43" s="647"/>
      <c r="U43" s="647" t="str">
        <f>VLOOKUP(A43,Regularizare!$D:$U,8,FALSE)&amp;" ("&amp;VLOOKUP(A43,Regularizare!$D:$U,16,FALSE)&amp;")"</f>
        <v>43379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1373264675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91339 (citit)</v>
      </c>
      <c r="S46" s="647"/>
      <c r="T46" s="647"/>
      <c r="U46" s="647" t="str">
        <f>VLOOKUP(A46,Regularizare!$D:$U,10,FALSE)&amp;" ("&amp;VLOOKUP(A46,Regularizare!$D:$U,18,FALSE)&amp;")"</f>
        <v>91339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1373264675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2479356 (citit)</v>
      </c>
      <c r="S49" s="647"/>
      <c r="T49" s="647"/>
      <c r="U49" s="647" t="str">
        <f>VLOOKUP(A49,Regularizare!$D:$AX,25,FALSE)&amp;" ("&amp;VLOOKUP(A49,Regularizare!$D:$AX,26,FALSE)&amp;")"</f>
        <v>2646920 (citit)</v>
      </c>
      <c r="V49" s="647"/>
      <c r="W49" s="647"/>
      <c r="X49" s="647" t="str">
        <f>VLOOKUP(A49,Regularizare!$D:$AX,37,FALSE)&amp;" ("&amp;VLOOKUP(A49,Regularizare!$D:$AX,26,FALSE)&amp;")"</f>
        <v>167564 (citit)</v>
      </c>
      <c r="Y49" s="647"/>
      <c r="Z49" s="647"/>
      <c r="AA49" s="647">
        <f>VLOOKUP(A49,Regularizare!$D:$AX,37,FALSE)</f>
        <v>167564</v>
      </c>
      <c r="AB49" s="647"/>
      <c r="AC49" s="647"/>
      <c r="AD49" s="647" t="s">
        <v>69</v>
      </c>
      <c r="AE49" s="647"/>
      <c r="AF49" s="647">
        <f>AA49</f>
        <v>167564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1373264675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43379 (citit)</v>
      </c>
      <c r="S52" s="647"/>
      <c r="T52" s="647"/>
      <c r="U52" s="647" t="str">
        <f>VLOOKUP(A52,Regularizare!$D:$AX,31,FALSE)&amp;" ("&amp;VLOOKUP(A52,Regularizare!$D:$AX,32,FALSE)&amp;")"</f>
        <v>43379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1373264675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91339 (citit)</v>
      </c>
      <c r="S55" s="647"/>
      <c r="T55" s="647"/>
      <c r="U55" s="647" t="str">
        <f>VLOOKUP(A55,Regularizare!$D:$AX,35,FALSE)&amp;" ("&amp;VLOOKUP(A55,Regularizare!$D:$AX,36,FALSE)&amp;")"</f>
        <v>91610 (citit)</v>
      </c>
      <c r="V55" s="647"/>
      <c r="W55" s="647"/>
      <c r="X55" s="647" t="str">
        <f>VLOOKUP(A55,Regularizare!$D:$AX,40,FALSE)&amp;" ("&amp;VLOOKUP(A55,Regularizare!$D:$AX,36,FALSE)&amp;")"</f>
        <v>271 (citit)</v>
      </c>
      <c r="Y55" s="647"/>
      <c r="Z55" s="647"/>
      <c r="AA55" s="647">
        <f>VLOOKUP(A55,Regularizare!$D:$AX,46,FALSE)+VLOOKUP(A55,Regularizare!$D:$AX,47,FALSE)</f>
        <v>271</v>
      </c>
      <c r="AB55" s="647"/>
      <c r="AC55" s="647"/>
      <c r="AD55" s="647" t="s">
        <v>69</v>
      </c>
      <c r="AE55" s="647"/>
      <c r="AF55" s="647">
        <f>AA55</f>
        <v>271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1373264675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2646920 (citit)</v>
      </c>
      <c r="S58" s="647"/>
      <c r="T58" s="647"/>
      <c r="U58" s="647" t="str">
        <f>VLOOKUP(A58,'Incrementare indexe'!$D:$M,4,FALSE)&amp;" (estimat)"</f>
        <v>2846852 (estimat)</v>
      </c>
      <c r="V58" s="647"/>
      <c r="W58" s="647"/>
      <c r="X58" s="647" t="str">
        <f>VLOOKUP(A58,'Incrementare indexe'!$D:$Q,11,FALSE)&amp;" (estimat)"</f>
        <v>199932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199932</v>
      </c>
      <c r="AG58" s="647"/>
      <c r="AH58" s="647"/>
      <c r="AI58" s="647">
        <f>J60-J58+1</f>
        <v>31</v>
      </c>
      <c r="AJ58" s="647"/>
      <c r="AK58" s="647">
        <f>ROUND(AF58/AI58,2)</f>
        <v>6449.42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1373264675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43379 (citit)</v>
      </c>
      <c r="S61" s="647"/>
      <c r="T61" s="647"/>
      <c r="U61" s="647" t="str">
        <f>VLOOKUP(A61,'Incrementare indexe'!$D:$M,8,FALSE)&amp;" (estimat)"</f>
        <v>43379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1373264675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91610 (citit)</v>
      </c>
      <c r="S64" s="647"/>
      <c r="T64" s="647"/>
      <c r="U64" s="647" t="str">
        <f>VLOOKUP(A64,'Incrementare indexe'!$D:$M,10,FALSE)&amp;" (estimat)"</f>
        <v>91610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/>
    <row r="68" spans="1:39" ht="14.1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</row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8.4499999999999993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80" spans="1:39">
      <c r="A80" s="649" t="s">
        <v>748</v>
      </c>
      <c r="B80" s="649"/>
      <c r="C80" s="649"/>
      <c r="D80" s="649"/>
      <c r="E80" s="649"/>
      <c r="F80" s="649"/>
      <c r="G80" s="649"/>
      <c r="H80" s="649"/>
      <c r="I80" s="649"/>
      <c r="J80" s="649"/>
      <c r="K80" s="649"/>
      <c r="L80" s="649"/>
      <c r="M80" s="650" t="str">
        <f>VLOOKUP(AI81,'Contorizare in SDI'!$E:$I,4,FALSE)</f>
        <v>594030300002113780/3</v>
      </c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650" t="s">
        <v>695</v>
      </c>
      <c r="AJ80" s="650"/>
      <c r="AK80" s="650"/>
      <c r="AL80" s="650"/>
      <c r="AM80" s="650"/>
    </row>
    <row r="81" spans="1:39">
      <c r="A81" s="649" t="s">
        <v>746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VLOOKUP(AI81,'Inchidere contur'!$G:$U,15,FALSE)</f>
        <v>JT_SDI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19" t="str">
        <f>_xlfn.CONCAT(AA31,".",2)</f>
        <v>RAMB_1.2</v>
      </c>
      <c r="AJ81" s="619"/>
      <c r="AK81" s="619"/>
      <c r="AL81" s="619"/>
      <c r="AM81" s="619"/>
    </row>
    <row r="82" spans="1:39">
      <c r="A82" s="649" t="s">
        <v>747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IF(LEFT(M81,2)="JT","0.4kV",IF(LEFT(M81,2)="MT","20kV","-"))</f>
        <v>0.4kV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/>
      <c r="AJ82" s="619"/>
      <c r="AK82" s="619"/>
      <c r="AL82" s="619"/>
      <c r="AM82" s="619"/>
    </row>
    <row r="83" spans="1:39" ht="15.95" customHeight="1">
      <c r="A83" s="648" t="s">
        <v>697</v>
      </c>
      <c r="B83" s="648"/>
      <c r="C83" s="648"/>
      <c r="D83" s="648"/>
      <c r="E83" s="648"/>
      <c r="F83" s="648"/>
      <c r="G83" s="647" t="s">
        <v>713</v>
      </c>
      <c r="H83" s="647"/>
      <c r="I83" s="647"/>
      <c r="J83" s="647" t="s">
        <v>714</v>
      </c>
      <c r="K83" s="647"/>
      <c r="L83" s="647"/>
      <c r="M83" s="648" t="s">
        <v>519</v>
      </c>
      <c r="N83" s="648"/>
      <c r="O83" s="648" t="s">
        <v>715</v>
      </c>
      <c r="P83" s="648"/>
      <c r="Q83" s="648"/>
      <c r="R83" s="647" t="s">
        <v>732</v>
      </c>
      <c r="S83" s="647"/>
      <c r="T83" s="647"/>
      <c r="U83" s="647" t="s">
        <v>734</v>
      </c>
      <c r="V83" s="647"/>
      <c r="W83" s="647"/>
      <c r="X83" s="647" t="s">
        <v>1085</v>
      </c>
      <c r="Y83" s="647"/>
      <c r="Z83" s="647"/>
      <c r="AA83" s="647" t="s">
        <v>1086</v>
      </c>
      <c r="AB83" s="647"/>
      <c r="AC83" s="647"/>
      <c r="AD83" s="647" t="s">
        <v>717</v>
      </c>
      <c r="AE83" s="647"/>
      <c r="AF83" s="647" t="s">
        <v>718</v>
      </c>
      <c r="AG83" s="647"/>
      <c r="AH83" s="647"/>
      <c r="AI83" s="647" t="s">
        <v>719</v>
      </c>
      <c r="AJ83" s="647"/>
      <c r="AK83" s="647" t="s">
        <v>733</v>
      </c>
      <c r="AL83" s="647"/>
      <c r="AM83" s="647"/>
    </row>
    <row r="84" spans="1:39">
      <c r="A84" s="648"/>
      <c r="B84" s="648"/>
      <c r="C84" s="648"/>
      <c r="D84" s="648"/>
      <c r="E84" s="648"/>
      <c r="F84" s="648"/>
      <c r="G84" s="647"/>
      <c r="H84" s="647"/>
      <c r="I84" s="647"/>
      <c r="J84" s="647"/>
      <c r="K84" s="647"/>
      <c r="L84" s="647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713"/>
      <c r="K85" s="713"/>
      <c r="L85" s="713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78">
        <f>VLOOKUP(AI81,'Contorizare in SDI'!$E:$I,5,FALSE)</f>
        <v>1372644167</v>
      </c>
      <c r="B86" s="679"/>
      <c r="C86" s="679"/>
      <c r="D86" s="679"/>
      <c r="E86" s="679"/>
      <c r="F86" s="680"/>
      <c r="G86" s="648" t="s">
        <v>730</v>
      </c>
      <c r="H86" s="648"/>
      <c r="I86" s="673"/>
      <c r="J86" s="655">
        <f>'Date masura OD'!$AK$5</f>
        <v>45748</v>
      </c>
      <c r="K86" s="656"/>
      <c r="L86" s="657"/>
      <c r="M86" s="720" t="s">
        <v>446</v>
      </c>
      <c r="N86" s="648"/>
      <c r="O86" s="648">
        <f>VLOOKUP(AI81,'Incrementare indexe'!$B:$T,4,FALSE)</f>
        <v>1</v>
      </c>
      <c r="P86" s="648"/>
      <c r="Q86" s="648"/>
      <c r="R86" s="647" t="str">
        <f>VLOOKUP(A86,Regularizare!$D:$YN,3,FALSE)&amp;" ("&amp;VLOOKUP(A86,Regularizare!$D:$Y,11,FALSE)&amp;")"</f>
        <v>1071290 (citit)</v>
      </c>
      <c r="S86" s="647"/>
      <c r="T86" s="647"/>
      <c r="U86" s="647" t="str">
        <f>VLOOKUP(A86,Regularizare!$D:$U,4,FALSE)&amp;" ("&amp;VLOOKUP(A86,Regularizare!$D:$U,12,FALSE)&amp;")"</f>
        <v>1110379 (estimat)</v>
      </c>
      <c r="V86" s="647"/>
      <c r="W86" s="647"/>
      <c r="X86" s="647" t="str">
        <f>VLOOKUP(A86,Regularizare!$D:$Y,19,FALSE)&amp;" ("&amp;VLOOKUP(A86,Regularizare!$D:$U,12,FALSE)&amp;")"</f>
        <v>39089 (estimat)</v>
      </c>
      <c r="Y86" s="647"/>
      <c r="Z86" s="647"/>
      <c r="AA86" s="647">
        <f>(-1)*VLOOKUP(A86,Regularizare!$D:$Y,19,FALSE)</f>
        <v>-39089</v>
      </c>
      <c r="AB86" s="647"/>
      <c r="AC86" s="647"/>
      <c r="AD86" s="647" t="s">
        <v>69</v>
      </c>
      <c r="AE86" s="647"/>
      <c r="AF86" s="647">
        <f>AA86</f>
        <v>-39089</v>
      </c>
      <c r="AG86" s="647"/>
      <c r="AH86" s="647"/>
      <c r="AI86" s="647" t="s">
        <v>69</v>
      </c>
      <c r="AJ86" s="647"/>
      <c r="AK86" s="647" t="s">
        <v>69</v>
      </c>
      <c r="AL86" s="647"/>
      <c r="AM86" s="647"/>
    </row>
    <row r="87" spans="1:39" ht="9.75" customHeight="1">
      <c r="A87" s="717"/>
      <c r="B87" s="718"/>
      <c r="C87" s="718"/>
      <c r="D87" s="718"/>
      <c r="E87" s="718"/>
      <c r="F87" s="719"/>
      <c r="G87" s="648"/>
      <c r="H87" s="648"/>
      <c r="I87" s="673"/>
      <c r="J87" s="717" t="s">
        <v>69</v>
      </c>
      <c r="K87" s="718"/>
      <c r="L87" s="719"/>
      <c r="M87" s="720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81"/>
      <c r="B88" s="682"/>
      <c r="C88" s="682"/>
      <c r="D88" s="682"/>
      <c r="E88" s="682"/>
      <c r="F88" s="683"/>
      <c r="G88" s="648"/>
      <c r="H88" s="648"/>
      <c r="I88" s="673"/>
      <c r="J88" s="714">
        <f>'Date masura OD'!$AL$5</f>
        <v>45777</v>
      </c>
      <c r="K88" s="715"/>
      <c r="L88" s="716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78">
        <f>A86</f>
        <v>1372644167</v>
      </c>
      <c r="B89" s="679"/>
      <c r="C89" s="679"/>
      <c r="D89" s="679"/>
      <c r="E89" s="679"/>
      <c r="F89" s="680"/>
      <c r="G89" s="648" t="s">
        <v>696</v>
      </c>
      <c r="H89" s="648"/>
      <c r="I89" s="648"/>
      <c r="J89" s="655">
        <f t="shared" ref="J89:J94" si="3">J86</f>
        <v>45748</v>
      </c>
      <c r="K89" s="656"/>
      <c r="L89" s="657"/>
      <c r="M89" s="648" t="s">
        <v>720</v>
      </c>
      <c r="N89" s="648"/>
      <c r="O89" s="648">
        <f>O86</f>
        <v>1</v>
      </c>
      <c r="P89" s="648"/>
      <c r="Q89" s="648"/>
      <c r="R89" s="647" t="str">
        <f>VLOOKUP(A89,Regularizare!$D:$U,7,FALSE)&amp;" ("&amp;VLOOKUP(A89,Regularizare!$D:$U,15,FALSE)&amp;")"</f>
        <v>49546 (citit)</v>
      </c>
      <c r="S89" s="647"/>
      <c r="T89" s="647"/>
      <c r="U89" s="647" t="str">
        <f>VLOOKUP(A89,Regularizare!$D:$U,8,FALSE)&amp;" ("&amp;VLOOKUP(A89,Regularizare!$D:$U,16,FALSE)&amp;")"</f>
        <v>49546 (estimat)</v>
      </c>
      <c r="V89" s="647"/>
      <c r="W89" s="647"/>
      <c r="X89" s="647" t="str">
        <f>_xlfn.CONCAT(VLOOKUP(A89,Regularizare!$D:$U,8,FALSE)-VLOOKUP(A89,Regularizare!$D:$U,7,FALSE)," (",VLOOKUP(A89,Regularizare!$D:$U,16,FALSE),")")</f>
        <v>0 (estimat)</v>
      </c>
      <c r="Y89" s="647"/>
      <c r="Z89" s="647"/>
      <c r="AA89" s="647">
        <f>IF(VLOOKUP(A89,Regularizare!$D:$Y,21,FALSE)=0,VLOOKUP(A89,Regularizare!$D:$Y,21,FALSE),(-1)*VLOOKUP(A89,Regularizare!$D:$Y,21,FALSE))</f>
        <v>0</v>
      </c>
      <c r="AB89" s="647"/>
      <c r="AC89" s="647"/>
      <c r="AD89" s="647" t="s">
        <v>69</v>
      </c>
      <c r="AE89" s="647"/>
      <c r="AF89" s="647">
        <f>AA89</f>
        <v>0</v>
      </c>
      <c r="AG89" s="647"/>
      <c r="AH89" s="647"/>
      <c r="AI89" s="647" t="str">
        <f>AI86</f>
        <v>-</v>
      </c>
      <c r="AJ89" s="647"/>
      <c r="AK89" s="647" t="str">
        <f>AK86</f>
        <v>-</v>
      </c>
      <c r="AL89" s="647"/>
      <c r="AM89" s="647"/>
    </row>
    <row r="90" spans="1:39" ht="8.4499999999999993" customHeight="1">
      <c r="A90" s="717"/>
      <c r="B90" s="718"/>
      <c r="C90" s="718"/>
      <c r="D90" s="718"/>
      <c r="E90" s="718"/>
      <c r="F90" s="719"/>
      <c r="G90" s="648"/>
      <c r="H90" s="648"/>
      <c r="I90" s="648"/>
      <c r="J90" s="717" t="str">
        <f t="shared" si="3"/>
        <v>-</v>
      </c>
      <c r="K90" s="718"/>
      <c r="L90" s="719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1"/>
      <c r="B91" s="682"/>
      <c r="C91" s="682"/>
      <c r="D91" s="682"/>
      <c r="E91" s="682"/>
      <c r="F91" s="683"/>
      <c r="G91" s="648"/>
      <c r="H91" s="648"/>
      <c r="I91" s="648"/>
      <c r="J91" s="714">
        <f t="shared" si="3"/>
        <v>45777</v>
      </c>
      <c r="K91" s="715"/>
      <c r="L91" s="716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A89</f>
        <v>1372644167</v>
      </c>
      <c r="B92" s="679"/>
      <c r="C92" s="679"/>
      <c r="D92" s="679"/>
      <c r="E92" s="679"/>
      <c r="F92" s="680"/>
      <c r="G92" s="648" t="s">
        <v>731</v>
      </c>
      <c r="H92" s="648"/>
      <c r="I92" s="648"/>
      <c r="J92" s="655">
        <f t="shared" si="3"/>
        <v>45748</v>
      </c>
      <c r="K92" s="656"/>
      <c r="L92" s="657"/>
      <c r="M92" s="648" t="s">
        <v>720</v>
      </c>
      <c r="N92" s="648"/>
      <c r="O92" s="648">
        <f>O89</f>
        <v>1</v>
      </c>
      <c r="P92" s="648"/>
      <c r="Q92" s="648"/>
      <c r="R92" s="647" t="str">
        <f>VLOOKUP(A92,Regularizare!$D:$U,9,FALSE)&amp;" ("&amp;VLOOKUP(A92,Regularizare!$D:$U,17,FALSE)&amp;")"</f>
        <v>21140 (citit)</v>
      </c>
      <c r="S92" s="647"/>
      <c r="T92" s="647"/>
      <c r="U92" s="647" t="str">
        <f>VLOOKUP(A92,Regularizare!$D:$U,10,FALSE)&amp;" ("&amp;VLOOKUP(A92,Regularizare!$D:$U,18,FALSE)&amp;")"</f>
        <v>21140 (estimat)</v>
      </c>
      <c r="V92" s="647"/>
      <c r="W92" s="647"/>
      <c r="X92" s="647" t="str">
        <f>_xlfn.CONCAT(VLOOKUP(A92,Regularizare!$D:$U,10,FALSE)-VLOOKUP(A92,Regularizare!$D:$U,9,FALSE)," (",VLOOKUP(A92,Regularizare!$D:$U,18,FALSE),")")</f>
        <v>0 (estimat)</v>
      </c>
      <c r="Y92" s="647"/>
      <c r="Z92" s="647"/>
      <c r="AA92" s="647">
        <f>IF(VLOOKUP(A92,Regularizare!$D:$Y,22,FALSE)=0,VLOOKUP(A92,Regularizare!$D:$Y,22,FALSE),(-1)*VLOOKUP(A92,Regularizare!$D:$Y,22,FALSE))</f>
        <v>0</v>
      </c>
      <c r="AB92" s="647"/>
      <c r="AC92" s="647"/>
      <c r="AD92" s="647" t="s">
        <v>69</v>
      </c>
      <c r="AE92" s="647"/>
      <c r="AF92" s="647">
        <f>AA92</f>
        <v>0</v>
      </c>
      <c r="AG92" s="647"/>
      <c r="AH92" s="647"/>
      <c r="AI92" s="647" t="str">
        <f>AI89</f>
        <v>-</v>
      </c>
      <c r="AJ92" s="647"/>
      <c r="AK92" s="647" t="str">
        <f>AK89</f>
        <v>-</v>
      </c>
      <c r="AL92" s="647"/>
      <c r="AM92" s="647"/>
    </row>
    <row r="93" spans="1:39" ht="8.4499999999999993" customHeight="1">
      <c r="A93" s="717"/>
      <c r="B93" s="718"/>
      <c r="C93" s="718"/>
      <c r="D93" s="718"/>
      <c r="E93" s="718"/>
      <c r="F93" s="719"/>
      <c r="G93" s="648"/>
      <c r="H93" s="648"/>
      <c r="I93" s="648"/>
      <c r="J93" s="717" t="str">
        <f t="shared" si="3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48"/>
      <c r="J94" s="714">
        <f t="shared" si="3"/>
        <v>45777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78">
        <f>A92</f>
        <v>1372644167</v>
      </c>
      <c r="B95" s="679"/>
      <c r="C95" s="679"/>
      <c r="D95" s="679"/>
      <c r="E95" s="679"/>
      <c r="F95" s="680"/>
      <c r="G95" s="648" t="s">
        <v>730</v>
      </c>
      <c r="H95" s="648"/>
      <c r="I95" s="673"/>
      <c r="J95" s="655">
        <f>'Date masura OD'!$AK$5</f>
        <v>45748</v>
      </c>
      <c r="K95" s="656"/>
      <c r="L95" s="657"/>
      <c r="M95" s="720" t="s">
        <v>446</v>
      </c>
      <c r="N95" s="648"/>
      <c r="O95" s="648">
        <f>O92</f>
        <v>1</v>
      </c>
      <c r="P95" s="648"/>
      <c r="Q95" s="648"/>
      <c r="R95" s="647" t="str">
        <f>VLOOKUP(A95,Regularizare!$D:$AX,23,FALSE)&amp;" ("&amp;VLOOKUP(A95,Regularizare!$D:$AX,24,FALSE)&amp;")"</f>
        <v>1071290 (citit)</v>
      </c>
      <c r="S95" s="647"/>
      <c r="T95" s="647"/>
      <c r="U95" s="647" t="str">
        <f>VLOOKUP(A95,Regularizare!$D:$AX,25,FALSE)&amp;" ("&amp;VLOOKUP(A95,Regularizare!$D:$AX,26,FALSE)&amp;")"</f>
        <v>1110379 (citit)</v>
      </c>
      <c r="V95" s="647"/>
      <c r="W95" s="647"/>
      <c r="X95" s="647" t="str">
        <f>VLOOKUP(A95,Regularizare!$D:$AX,37,FALSE)&amp;" ("&amp;VLOOKUP(A95,Regularizare!$D:$AX,26,FALSE)&amp;")"</f>
        <v>39089 (citit)</v>
      </c>
      <c r="Y95" s="647"/>
      <c r="Z95" s="647"/>
      <c r="AA95" s="647">
        <f>VLOOKUP(A95,Regularizare!$D:$AX,37,FALSE)</f>
        <v>39089</v>
      </c>
      <c r="AB95" s="647"/>
      <c r="AC95" s="647"/>
      <c r="AD95" s="647" t="s">
        <v>69</v>
      </c>
      <c r="AE95" s="647"/>
      <c r="AF95" s="647">
        <f>AA95</f>
        <v>39089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17"/>
      <c r="B96" s="718"/>
      <c r="C96" s="718"/>
      <c r="D96" s="718"/>
      <c r="E96" s="718"/>
      <c r="F96" s="719"/>
      <c r="G96" s="648"/>
      <c r="H96" s="648"/>
      <c r="I96" s="673"/>
      <c r="J96" s="717" t="s">
        <v>69</v>
      </c>
      <c r="K96" s="718"/>
      <c r="L96" s="719"/>
      <c r="M96" s="720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1"/>
      <c r="B97" s="682"/>
      <c r="C97" s="682"/>
      <c r="D97" s="682"/>
      <c r="E97" s="682"/>
      <c r="F97" s="683"/>
      <c r="G97" s="648"/>
      <c r="H97" s="648"/>
      <c r="I97" s="673"/>
      <c r="J97" s="714">
        <f>'Date masura OD'!$AL$5</f>
        <v>45777</v>
      </c>
      <c r="K97" s="715"/>
      <c r="L97" s="716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78">
        <f>A95</f>
        <v>1372644167</v>
      </c>
      <c r="B98" s="679"/>
      <c r="C98" s="679"/>
      <c r="D98" s="679"/>
      <c r="E98" s="679"/>
      <c r="F98" s="680"/>
      <c r="G98" s="648" t="s">
        <v>696</v>
      </c>
      <c r="H98" s="648"/>
      <c r="I98" s="648"/>
      <c r="J98" s="655">
        <f t="shared" ref="J98:J103" si="4">J95</f>
        <v>45748</v>
      </c>
      <c r="K98" s="656"/>
      <c r="L98" s="657"/>
      <c r="M98" s="648" t="s">
        <v>720</v>
      </c>
      <c r="N98" s="648"/>
      <c r="O98" s="648">
        <f>O95</f>
        <v>1</v>
      </c>
      <c r="P98" s="648"/>
      <c r="Q98" s="648"/>
      <c r="R98" s="647" t="str">
        <f>VLOOKUP(A98,Regularizare!$D:$AX,29,FALSE)&amp;" ("&amp;VLOOKUP(A98,Regularizare!$D:$AX,30,FALSE)&amp;")"</f>
        <v>49546 (citit)</v>
      </c>
      <c r="S98" s="647"/>
      <c r="T98" s="647"/>
      <c r="U98" s="647" t="str">
        <f>VLOOKUP(A98,Regularizare!$D:$AX,31,FALSE)&amp;" ("&amp;VLOOKUP(A98,Regularizare!$D:$AX,32,FALSE)&amp;")"</f>
        <v>49546 (citit)</v>
      </c>
      <c r="V98" s="647"/>
      <c r="W98" s="647"/>
      <c r="X98" s="647" t="str">
        <f>VLOOKUP(A98,Regularizare!$D:$AX,39,FALSE)&amp;" ("&amp;VLOOKUP(A98,Regularizare!$D:$AX,32,FALSE)&amp;")"</f>
        <v>0 (citit)</v>
      </c>
      <c r="Y98" s="647"/>
      <c r="Z98" s="647"/>
      <c r="AA98" s="647">
        <f>VLOOKUP(A98,Regularizare!$D:$AX,44,FALSE)+VLOOKUP(A98,Regularizare!$D:$AX,45,FALSE)</f>
        <v>0</v>
      </c>
      <c r="AB98" s="647"/>
      <c r="AC98" s="647"/>
      <c r="AD98" s="647" t="s">
        <v>69</v>
      </c>
      <c r="AE98" s="647"/>
      <c r="AF98" s="647">
        <f>AA98</f>
        <v>0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17"/>
      <c r="B99" s="718"/>
      <c r="C99" s="718"/>
      <c r="D99" s="718"/>
      <c r="E99" s="718"/>
      <c r="F99" s="719"/>
      <c r="G99" s="648"/>
      <c r="H99" s="648"/>
      <c r="I99" s="648"/>
      <c r="J99" s="717" t="str">
        <f t="shared" si="4"/>
        <v>-</v>
      </c>
      <c r="K99" s="718"/>
      <c r="L99" s="719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1"/>
      <c r="B100" s="682"/>
      <c r="C100" s="682"/>
      <c r="D100" s="682"/>
      <c r="E100" s="682"/>
      <c r="F100" s="683"/>
      <c r="G100" s="648"/>
      <c r="H100" s="648"/>
      <c r="I100" s="648"/>
      <c r="J100" s="714">
        <f t="shared" si="4"/>
        <v>45777</v>
      </c>
      <c r="K100" s="715"/>
      <c r="L100" s="716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78">
        <f>A98</f>
        <v>1372644167</v>
      </c>
      <c r="B101" s="679"/>
      <c r="C101" s="679"/>
      <c r="D101" s="679"/>
      <c r="E101" s="679"/>
      <c r="F101" s="680"/>
      <c r="G101" s="648" t="s">
        <v>731</v>
      </c>
      <c r="H101" s="648"/>
      <c r="I101" s="648"/>
      <c r="J101" s="655">
        <f t="shared" si="4"/>
        <v>45748</v>
      </c>
      <c r="K101" s="656"/>
      <c r="L101" s="657"/>
      <c r="M101" s="648" t="s">
        <v>720</v>
      </c>
      <c r="N101" s="648"/>
      <c r="O101" s="648">
        <f>O98</f>
        <v>1</v>
      </c>
      <c r="P101" s="648"/>
      <c r="Q101" s="648"/>
      <c r="R101" s="647" t="str">
        <f>VLOOKUP(A101,Regularizare!$D:$AX,33,FALSE)&amp;" ("&amp;VLOOKUP(A101,Regularizare!$D:$AX,34,FALSE)&amp;")"</f>
        <v>21140 (citit)</v>
      </c>
      <c r="S101" s="647"/>
      <c r="T101" s="647"/>
      <c r="U101" s="647" t="str">
        <f>VLOOKUP(A101,Regularizare!$D:$AX,35,FALSE)&amp;" ("&amp;VLOOKUP(A101,Regularizare!$D:$AX,36,FALSE)&amp;")"</f>
        <v>21203 (citit)</v>
      </c>
      <c r="V101" s="647"/>
      <c r="W101" s="647"/>
      <c r="X101" s="647" t="str">
        <f>VLOOKUP(A101,Regularizare!$D:$AX,40,FALSE)&amp;" ("&amp;VLOOKUP(A101,Regularizare!$D:$AX,36,FALSE)&amp;")"</f>
        <v>63 (citit)</v>
      </c>
      <c r="Y101" s="647"/>
      <c r="Z101" s="647"/>
      <c r="AA101" s="647">
        <f>VLOOKUP(A101,Regularizare!$D:$AX,46,FALSE)+VLOOKUP(A101,Regularizare!$D:$AX,47,FALSE)</f>
        <v>63</v>
      </c>
      <c r="AB101" s="647"/>
      <c r="AC101" s="647"/>
      <c r="AD101" s="647" t="s">
        <v>69</v>
      </c>
      <c r="AE101" s="647"/>
      <c r="AF101" s="647">
        <f>AA101</f>
        <v>63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17"/>
      <c r="B102" s="718"/>
      <c r="C102" s="718"/>
      <c r="D102" s="718"/>
      <c r="E102" s="718"/>
      <c r="F102" s="719"/>
      <c r="G102" s="648"/>
      <c r="H102" s="648"/>
      <c r="I102" s="648"/>
      <c r="J102" s="717" t="str">
        <f t="shared" si="4"/>
        <v>-</v>
      </c>
      <c r="K102" s="718"/>
      <c r="L102" s="719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1"/>
      <c r="B103" s="682"/>
      <c r="C103" s="682"/>
      <c r="D103" s="682"/>
      <c r="E103" s="682"/>
      <c r="F103" s="683"/>
      <c r="G103" s="648"/>
      <c r="H103" s="648"/>
      <c r="I103" s="648"/>
      <c r="J103" s="714">
        <f t="shared" si="4"/>
        <v>45777</v>
      </c>
      <c r="K103" s="715"/>
      <c r="L103" s="716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A101</f>
        <v>1372644167</v>
      </c>
      <c r="B104" s="679"/>
      <c r="C104" s="679"/>
      <c r="D104" s="679"/>
      <c r="E104" s="679"/>
      <c r="F104" s="680"/>
      <c r="G104" s="648" t="s">
        <v>730</v>
      </c>
      <c r="H104" s="648"/>
      <c r="I104" s="673"/>
      <c r="J104" s="655">
        <f>'Date masura OD'!$I$5</f>
        <v>45778</v>
      </c>
      <c r="K104" s="656"/>
      <c r="L104" s="657"/>
      <c r="M104" s="720" t="s">
        <v>446</v>
      </c>
      <c r="N104" s="648"/>
      <c r="O104" s="648">
        <f>O101</f>
        <v>1</v>
      </c>
      <c r="P104" s="648"/>
      <c r="Q104" s="648"/>
      <c r="R104" s="647" t="str">
        <f>U95</f>
        <v>1110379 (citit)</v>
      </c>
      <c r="S104" s="647"/>
      <c r="T104" s="647"/>
      <c r="U104" s="647" t="str">
        <f>VLOOKUP(A104,'Incrementare indexe'!$D:$M,4,FALSE)&amp;" (estimat)"</f>
        <v>1130102 (estimat)</v>
      </c>
      <c r="V104" s="647"/>
      <c r="W104" s="647"/>
      <c r="X104" s="647" t="str">
        <f>VLOOKUP(A104,'Incrementare indexe'!$D:$Q,11,FALSE)&amp;" (estimat)"</f>
        <v>19723 (estimat)</v>
      </c>
      <c r="Y104" s="647"/>
      <c r="Z104" s="647"/>
      <c r="AA104" s="647" t="s">
        <v>69</v>
      </c>
      <c r="AB104" s="647"/>
      <c r="AC104" s="647"/>
      <c r="AD104" s="647" t="s">
        <v>69</v>
      </c>
      <c r="AE104" s="647"/>
      <c r="AF104" s="647">
        <f>VLOOKUP(A104,'Incrementare indexe'!$D:$Q,11,FALSE)</f>
        <v>19723</v>
      </c>
      <c r="AG104" s="647"/>
      <c r="AH104" s="647"/>
      <c r="AI104" s="647">
        <f>J106-J104+1</f>
        <v>31</v>
      </c>
      <c r="AJ104" s="647"/>
      <c r="AK104" s="647">
        <f>ROUND(AF104/AI104,2)</f>
        <v>636.23</v>
      </c>
      <c r="AL104" s="647"/>
      <c r="AM104" s="647"/>
    </row>
    <row r="105" spans="1:39" ht="8.4499999999999993" customHeight="1">
      <c r="A105" s="717"/>
      <c r="B105" s="718"/>
      <c r="C105" s="718"/>
      <c r="D105" s="718"/>
      <c r="E105" s="718"/>
      <c r="F105" s="719"/>
      <c r="G105" s="648"/>
      <c r="H105" s="648"/>
      <c r="I105" s="673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73"/>
      <c r="J106" s="714">
        <f>'Date masura OD'!$J$5</f>
        <v>45808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1372644167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5">J104</f>
        <v>45778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U98</f>
        <v>49546 (citit)</v>
      </c>
      <c r="S107" s="647"/>
      <c r="T107" s="647"/>
      <c r="U107" s="647" t="str">
        <f>VLOOKUP(A107,'Incrementare indexe'!$D:$M,8,FALSE)&amp;" (estimat)"</f>
        <v>49546 (estimat)</v>
      </c>
      <c r="V107" s="647"/>
      <c r="W107" s="647"/>
      <c r="X107" s="647" t="str">
        <f>VLOOKUP(A107,'Incrementare indexe'!$D:$Q,12,FALSE)&amp;" (estimat)"</f>
        <v>0 (estimat)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f>VLOOKUP(A107,'Incrementare indexe'!$D:$Q,12,FALSE)</f>
        <v>0</v>
      </c>
      <c r="AG107" s="647"/>
      <c r="AH107" s="647"/>
      <c r="AI107" s="647">
        <f>AI104</f>
        <v>31</v>
      </c>
      <c r="AJ107" s="647"/>
      <c r="AK107" s="647">
        <f>ROUND(AF107/AI107,2)</f>
        <v>0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5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5"/>
        <v>45808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1372644167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5"/>
        <v>45778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U101</f>
        <v>21203 (citit)</v>
      </c>
      <c r="S110" s="647"/>
      <c r="T110" s="647"/>
      <c r="U110" s="647" t="str">
        <f>VLOOKUP(A110,'Incrementare indexe'!$D:$M,10,FALSE)&amp;" (estimat)"</f>
        <v>21203 (estimat)</v>
      </c>
      <c r="V110" s="647"/>
      <c r="W110" s="647"/>
      <c r="X110" s="647" t="str">
        <f>VLOOKUP(A110,'Incrementare indexe'!$D:$Q,13,FALSE)&amp;" (estimat)"</f>
        <v>0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indexe'!$D:$Q,13,FALSE)</f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5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5"/>
        <v>45808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/>
    <row r="114" spans="1:39" ht="14.1" customHeight="1"/>
    <row r="115" spans="1:39" ht="14.1" customHeight="1">
      <c r="A115" s="721" t="s">
        <v>1196</v>
      </c>
      <c r="B115" s="722"/>
      <c r="C115" s="722"/>
      <c r="D115" s="722"/>
      <c r="E115" s="722"/>
      <c r="F115" s="722"/>
      <c r="G115" s="722"/>
      <c r="H115" s="722"/>
      <c r="I115" s="722"/>
      <c r="J115" s="722"/>
      <c r="K115" s="722"/>
      <c r="L115" s="722"/>
      <c r="M115" s="722"/>
      <c r="N115" s="722"/>
      <c r="O115" s="722"/>
      <c r="P115" s="722"/>
      <c r="Q115" s="722"/>
      <c r="R115" s="722"/>
      <c r="S115" s="722"/>
      <c r="T115" s="722"/>
      <c r="U115" s="722"/>
      <c r="V115" s="722"/>
      <c r="W115" s="722"/>
      <c r="X115" s="722"/>
      <c r="Y115" s="722"/>
      <c r="Z115" s="722"/>
      <c r="AA115" s="722"/>
      <c r="AB115" s="722"/>
      <c r="AC115" s="722"/>
      <c r="AD115" s="722"/>
      <c r="AE115" s="722"/>
      <c r="AF115" s="722"/>
      <c r="AG115" s="722"/>
      <c r="AH115" s="723"/>
      <c r="AI115" s="650" t="s">
        <v>695</v>
      </c>
      <c r="AJ115" s="650"/>
      <c r="AK115" s="650"/>
      <c r="AL115" s="650"/>
      <c r="AM115" s="650"/>
    </row>
    <row r="116" spans="1:39" ht="14.1" customHeight="1">
      <c r="A116" s="649" t="s">
        <v>746</v>
      </c>
      <c r="B116" s="649"/>
      <c r="C116" s="649"/>
      <c r="D116" s="649"/>
      <c r="E116" s="649"/>
      <c r="F116" s="649"/>
      <c r="G116" s="649"/>
      <c r="H116" s="649"/>
      <c r="I116" s="649"/>
      <c r="J116" s="649"/>
      <c r="K116" s="649"/>
      <c r="L116" s="649"/>
      <c r="M116" s="650" t="s">
        <v>514</v>
      </c>
      <c r="N116" s="650"/>
      <c r="O116" s="650"/>
      <c r="P116" s="650"/>
      <c r="Q116" s="650"/>
      <c r="R116" s="650"/>
      <c r="S116" s="650"/>
      <c r="T116" s="650"/>
      <c r="U116" s="650"/>
      <c r="V116" s="650"/>
      <c r="W116" s="650"/>
      <c r="X116" s="650"/>
      <c r="Y116" s="650"/>
      <c r="Z116" s="650"/>
      <c r="AA116" s="650"/>
      <c r="AB116" s="650"/>
      <c r="AC116" s="650"/>
      <c r="AD116" s="650"/>
      <c r="AE116" s="650"/>
      <c r="AF116" s="650"/>
      <c r="AG116" s="650"/>
      <c r="AH116" s="650"/>
      <c r="AI116" s="619" t="str">
        <f>_xlfn.CONCAT(AI81,"/PV")</f>
        <v>RAMB_1.2/PV</v>
      </c>
      <c r="AJ116" s="619"/>
      <c r="AK116" s="619"/>
      <c r="AL116" s="619"/>
      <c r="AM116" s="619"/>
    </row>
    <row r="117" spans="1:39" ht="14.1" customHeight="1">
      <c r="A117" s="649" t="s">
        <v>747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1087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/>
      <c r="AJ117" s="619"/>
      <c r="AK117" s="619"/>
      <c r="AL117" s="619"/>
      <c r="AM117" s="619"/>
    </row>
    <row r="118" spans="1:39" ht="14.1" customHeight="1">
      <c r="A118" s="648" t="s">
        <v>697</v>
      </c>
      <c r="B118" s="648"/>
      <c r="C118" s="648"/>
      <c r="D118" s="648"/>
      <c r="E118" s="648"/>
      <c r="F118" s="648"/>
      <c r="G118" s="647" t="s">
        <v>713</v>
      </c>
      <c r="H118" s="647"/>
      <c r="I118" s="647"/>
      <c r="J118" s="647" t="s">
        <v>714</v>
      </c>
      <c r="K118" s="647"/>
      <c r="L118" s="647"/>
      <c r="M118" s="648" t="s">
        <v>519</v>
      </c>
      <c r="N118" s="648"/>
      <c r="O118" s="648" t="s">
        <v>715</v>
      </c>
      <c r="P118" s="648"/>
      <c r="Q118" s="648"/>
      <c r="R118" s="647" t="s">
        <v>732</v>
      </c>
      <c r="S118" s="647"/>
      <c r="T118" s="647"/>
      <c r="U118" s="647" t="s">
        <v>734</v>
      </c>
      <c r="V118" s="647"/>
      <c r="W118" s="647"/>
      <c r="X118" s="647" t="s">
        <v>1085</v>
      </c>
      <c r="Y118" s="647"/>
      <c r="Z118" s="647"/>
      <c r="AA118" s="647" t="s">
        <v>1086</v>
      </c>
      <c r="AB118" s="647"/>
      <c r="AC118" s="647"/>
      <c r="AD118" s="647" t="s">
        <v>717</v>
      </c>
      <c r="AE118" s="647"/>
      <c r="AF118" s="647" t="s">
        <v>718</v>
      </c>
      <c r="AG118" s="647"/>
      <c r="AH118" s="647"/>
      <c r="AI118" s="647" t="s">
        <v>719</v>
      </c>
      <c r="AJ118" s="647"/>
      <c r="AK118" s="647" t="s">
        <v>733</v>
      </c>
      <c r="AL118" s="647"/>
      <c r="AM118" s="647"/>
    </row>
    <row r="119" spans="1:39" ht="14.1" customHeight="1">
      <c r="A119" s="648"/>
      <c r="B119" s="648"/>
      <c r="C119" s="648"/>
      <c r="D119" s="648"/>
      <c r="E119" s="648"/>
      <c r="F119" s="648"/>
      <c r="G119" s="647"/>
      <c r="H119" s="647"/>
      <c r="I119" s="647"/>
      <c r="J119" s="647"/>
      <c r="K119" s="647"/>
      <c r="L119" s="647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713"/>
      <c r="K120" s="713"/>
      <c r="L120" s="713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78">
        <f>VLOOKUP(AI116,'Incrementare indexe'!$B:$I,3,FALSE)</f>
        <v>1373265974</v>
      </c>
      <c r="B121" s="679"/>
      <c r="C121" s="679"/>
      <c r="D121" s="679"/>
      <c r="E121" s="679"/>
      <c r="F121" s="680"/>
      <c r="G121" s="647" t="s">
        <v>1088</v>
      </c>
      <c r="H121" s="647"/>
      <c r="I121" s="675"/>
      <c r="J121" s="655">
        <f>'Date masura OD'!$I$5</f>
        <v>45778</v>
      </c>
      <c r="K121" s="656"/>
      <c r="L121" s="657"/>
      <c r="M121" s="720" t="s">
        <v>446</v>
      </c>
      <c r="N121" s="648"/>
      <c r="O121" s="648">
        <f>VLOOKUP(AI116,'Incrementare indexe'!$B:$I,4,FALSE)</f>
        <v>1</v>
      </c>
      <c r="P121" s="648"/>
      <c r="Q121" s="648"/>
      <c r="R121" s="647" t="str">
        <f>VLOOKUP(AI116,'Incrementare indexe'!$B:$I,7,FALSE)&amp;" (citit)"</f>
        <v>620788 (citit)</v>
      </c>
      <c r="S121" s="647"/>
      <c r="T121" s="647"/>
      <c r="U121" s="647" t="str">
        <f>VLOOKUP(AI116,'Incrementare indexe'!$B:$I,8,FALSE)&amp;" (citit)"</f>
        <v>687140 (citit)</v>
      </c>
      <c r="V121" s="647"/>
      <c r="W121" s="647"/>
      <c r="X121" s="647" t="str">
        <f>(VLOOKUP(AI116,'Incrementare indexe'!$B:$I,8,FALSE)-VLOOKUP(AI116,'Incrementare indexe'!$B:$I,7,FALSE))&amp;" (citit)"</f>
        <v>66352 (citit)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(VLOOKUP(AI116,'Incrementare indexe'!$B:$I,8,FALSE)-VLOOKUP(AI116,'Incrementare indexe'!$B:$I,7,FALSE))</f>
        <v>66352</v>
      </c>
      <c r="AG121" s="647"/>
      <c r="AH121" s="647"/>
      <c r="AI121" s="647">
        <f>J123-J121+1</f>
        <v>31</v>
      </c>
      <c r="AJ121" s="647"/>
      <c r="AK121" s="647">
        <f>ROUND(AF121/AI121,2)</f>
        <v>2140.39</v>
      </c>
      <c r="AL121" s="647"/>
      <c r="AM121" s="647"/>
    </row>
    <row r="122" spans="1:39" ht="14.1" customHeight="1">
      <c r="A122" s="717"/>
      <c r="B122" s="718"/>
      <c r="C122" s="718"/>
      <c r="D122" s="718"/>
      <c r="E122" s="718"/>
      <c r="F122" s="719"/>
      <c r="G122" s="647"/>
      <c r="H122" s="647"/>
      <c r="I122" s="675"/>
      <c r="J122" s="717" t="s">
        <v>69</v>
      </c>
      <c r="K122" s="718"/>
      <c r="L122" s="719"/>
      <c r="M122" s="720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1"/>
      <c r="B123" s="682"/>
      <c r="C123" s="682"/>
      <c r="D123" s="682"/>
      <c r="E123" s="682"/>
      <c r="F123" s="683"/>
      <c r="G123" s="647"/>
      <c r="H123" s="647"/>
      <c r="I123" s="675"/>
      <c r="J123" s="714">
        <f>'Date masura OD'!$J$5</f>
        <v>45808</v>
      </c>
      <c r="K123" s="715"/>
      <c r="L123" s="716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78">
        <f>A121</f>
        <v>1373265974</v>
      </c>
      <c r="B124" s="679"/>
      <c r="C124" s="679"/>
      <c r="D124" s="679"/>
      <c r="E124" s="679"/>
      <c r="F124" s="680"/>
      <c r="G124" s="648" t="s">
        <v>696</v>
      </c>
      <c r="H124" s="648"/>
      <c r="I124" s="648"/>
      <c r="J124" s="655">
        <f t="shared" ref="J124:J129" si="6">J121</f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">
        <v>1089</v>
      </c>
      <c r="S124" s="647"/>
      <c r="T124" s="647"/>
      <c r="U124" s="647" t="s">
        <v>1089</v>
      </c>
      <c r="V124" s="647"/>
      <c r="W124" s="647"/>
      <c r="X124" s="647" t="s">
        <v>1089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14.1" customHeight="1">
      <c r="A125" s="717"/>
      <c r="B125" s="718"/>
      <c r="C125" s="718"/>
      <c r="D125" s="718"/>
      <c r="E125" s="718"/>
      <c r="F125" s="719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1"/>
      <c r="B126" s="682"/>
      <c r="C126" s="682"/>
      <c r="D126" s="682"/>
      <c r="E126" s="682"/>
      <c r="F126" s="683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A124</f>
        <v>1373265974</v>
      </c>
      <c r="B127" s="679"/>
      <c r="C127" s="679"/>
      <c r="D127" s="679"/>
      <c r="E127" s="679"/>
      <c r="F127" s="680"/>
      <c r="G127" s="648" t="s">
        <v>731</v>
      </c>
      <c r="H127" s="648"/>
      <c r="I127" s="648"/>
      <c r="J127" s="655">
        <f t="shared" si="6"/>
        <v>45778</v>
      </c>
      <c r="K127" s="656"/>
      <c r="L127" s="657"/>
      <c r="M127" s="648" t="s">
        <v>720</v>
      </c>
      <c r="N127" s="648"/>
      <c r="O127" s="648">
        <f>O124</f>
        <v>1</v>
      </c>
      <c r="P127" s="648"/>
      <c r="Q127" s="648"/>
      <c r="R127" s="647" t="s">
        <v>1089</v>
      </c>
      <c r="S127" s="647"/>
      <c r="T127" s="647"/>
      <c r="U127" s="647" t="s">
        <v>1089</v>
      </c>
      <c r="V127" s="647"/>
      <c r="W127" s="647"/>
      <c r="X127" s="647" t="s">
        <v>1089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v>0</v>
      </c>
      <c r="AG127" s="647"/>
      <c r="AH127" s="647"/>
      <c r="AI127" s="647">
        <f>AI124</f>
        <v>31</v>
      </c>
      <c r="AJ127" s="647"/>
      <c r="AK127" s="647">
        <f>ROUND(AF127/AI127,2)</f>
        <v>0</v>
      </c>
      <c r="AL127" s="647"/>
      <c r="AM127" s="647"/>
    </row>
    <row r="128" spans="1:39" ht="14.1" customHeight="1">
      <c r="A128" s="717"/>
      <c r="B128" s="718"/>
      <c r="C128" s="718"/>
      <c r="D128" s="718"/>
      <c r="E128" s="718"/>
      <c r="F128" s="719"/>
      <c r="G128" s="648"/>
      <c r="H128" s="648"/>
      <c r="I128" s="648"/>
      <c r="J128" s="717" t="str">
        <f t="shared" si="6"/>
        <v>-</v>
      </c>
      <c r="K128" s="718"/>
      <c r="L128" s="719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8"/>
      <c r="H129" s="648"/>
      <c r="I129" s="648"/>
      <c r="J129" s="714">
        <f t="shared" si="6"/>
        <v>45808</v>
      </c>
      <c r="K129" s="715"/>
      <c r="L129" s="716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196"/>
      <c r="B130" s="196"/>
      <c r="C130" s="196"/>
      <c r="D130" s="196"/>
      <c r="E130" s="196"/>
      <c r="F130" s="196"/>
      <c r="G130" s="196"/>
      <c r="H130" s="196"/>
      <c r="I130" s="196"/>
      <c r="J130" s="197"/>
      <c r="K130" s="197"/>
      <c r="L130" s="197"/>
      <c r="M130" s="196"/>
      <c r="N130" s="196"/>
      <c r="O130" s="196"/>
      <c r="P130" s="196"/>
      <c r="Q130" s="196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</row>
    <row r="131" spans="1:39" ht="14.1" customHeight="1"/>
    <row r="132" spans="1:39" ht="14.1" customHeight="1"/>
    <row r="133" spans="1:39" ht="14.1" customHeight="1">
      <c r="A133" s="695" t="s">
        <v>858</v>
      </c>
      <c r="B133" s="695"/>
      <c r="C133" s="695"/>
      <c r="D133" s="695"/>
      <c r="E133" s="695"/>
      <c r="F133" s="695"/>
      <c r="G133" s="695"/>
      <c r="H133" s="695" t="str">
        <f>VLOOKUP($AA$16,'Date SPV'!$B:$H,4,FALSE)</f>
        <v>Bulevardul Unirii, nr. 180, loc. Buzau, jud. Buzau</v>
      </c>
      <c r="I133" s="695"/>
      <c r="J133" s="695"/>
      <c r="K133" s="695"/>
      <c r="L133" s="695"/>
      <c r="M133" s="695"/>
      <c r="N133" s="695"/>
      <c r="O133" s="695"/>
      <c r="P133" s="695"/>
      <c r="Q133" s="695"/>
      <c r="R133" s="695"/>
      <c r="S133" s="695"/>
      <c r="T133" s="695"/>
      <c r="U133" s="695"/>
      <c r="V133" s="695"/>
      <c r="W133" s="695"/>
      <c r="X133" s="695"/>
      <c r="Y133" s="695"/>
      <c r="Z133" s="695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</row>
    <row r="134" spans="1:39" ht="14.1" customHeight="1">
      <c r="A134" s="695"/>
      <c r="B134" s="695"/>
      <c r="C134" s="695"/>
      <c r="D134" s="695"/>
      <c r="E134" s="695"/>
      <c r="F134" s="695"/>
      <c r="G134" s="695"/>
      <c r="H134" s="695"/>
      <c r="I134" s="695"/>
      <c r="J134" s="695"/>
      <c r="K134" s="695"/>
      <c r="L134" s="695"/>
      <c r="M134" s="695"/>
      <c r="N134" s="695"/>
      <c r="O134" s="695"/>
      <c r="P134" s="695"/>
      <c r="Q134" s="695"/>
      <c r="R134" s="695"/>
      <c r="S134" s="695"/>
      <c r="T134" s="695"/>
      <c r="U134" s="695"/>
      <c r="V134" s="695"/>
      <c r="W134" s="695"/>
      <c r="X134" s="695"/>
      <c r="Y134" s="695"/>
      <c r="Z134" s="695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</row>
    <row r="135" spans="1:39" ht="14.1" customHeight="1">
      <c r="A135" s="695" t="s">
        <v>859</v>
      </c>
      <c r="B135" s="695"/>
      <c r="C135" s="695"/>
      <c r="D135" s="695"/>
      <c r="E135" s="695"/>
      <c r="F135" s="695"/>
      <c r="G135" s="695"/>
      <c r="H135" s="712">
        <f>VLOOKUP(AA135,'Date masura OD'!$G:$BE,51,FALSE)</f>
        <v>5000579549</v>
      </c>
      <c r="I135" s="712"/>
      <c r="J135" s="712"/>
      <c r="K135" s="712"/>
      <c r="L135" s="712"/>
      <c r="M135" s="712"/>
      <c r="N135" s="712"/>
      <c r="O135" s="712"/>
      <c r="P135" s="712"/>
      <c r="Q135" s="712"/>
      <c r="R135" s="712"/>
      <c r="S135" s="712"/>
      <c r="T135" s="712"/>
      <c r="U135" s="712"/>
      <c r="V135" s="712"/>
      <c r="W135" s="712" t="s">
        <v>860</v>
      </c>
      <c r="X135" s="712"/>
      <c r="Y135" s="712"/>
      <c r="Z135" s="712"/>
      <c r="AA135" s="640" t="str">
        <f>_xlfn.CONCAT($AA$16,"_",2)</f>
        <v>RAMB_2</v>
      </c>
      <c r="AB135" s="640"/>
      <c r="AC135" s="640"/>
      <c r="AD135" s="640"/>
      <c r="AE135" s="640"/>
      <c r="AF135" s="640"/>
      <c r="AG135" s="640"/>
      <c r="AH135" s="640"/>
      <c r="AI135" s="640"/>
      <c r="AJ135" s="640"/>
      <c r="AK135" s="640"/>
      <c r="AL135" s="640"/>
      <c r="AM135" s="640"/>
    </row>
    <row r="136" spans="1:39" ht="14.1" customHeight="1">
      <c r="A136" s="695"/>
      <c r="B136" s="695"/>
      <c r="C136" s="695"/>
      <c r="D136" s="695"/>
      <c r="E136" s="695"/>
      <c r="F136" s="695"/>
      <c r="G136" s="695"/>
      <c r="H136" s="712"/>
      <c r="I136" s="712"/>
      <c r="J136" s="712"/>
      <c r="K136" s="712"/>
      <c r="L136" s="712"/>
      <c r="M136" s="712"/>
      <c r="N136" s="712"/>
      <c r="O136" s="712"/>
      <c r="P136" s="712"/>
      <c r="Q136" s="712"/>
      <c r="R136" s="712"/>
      <c r="S136" s="712"/>
      <c r="T136" s="712"/>
      <c r="U136" s="712"/>
      <c r="V136" s="712"/>
      <c r="W136" s="712"/>
      <c r="X136" s="712"/>
      <c r="Y136" s="712"/>
      <c r="Z136" s="712"/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</row>
    <row r="138" spans="1:39">
      <c r="A138" s="649" t="s">
        <v>748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tr">
        <f>VLOOKUP(AI139,'Contorizare in SDI'!$E:$I,4,FALSE)</f>
        <v>594030300002113780/2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50" t="s">
        <v>695</v>
      </c>
      <c r="AJ138" s="650"/>
      <c r="AK138" s="650"/>
      <c r="AL138" s="650"/>
      <c r="AM138" s="650"/>
    </row>
    <row r="139" spans="1:39">
      <c r="A139" s="649" t="s">
        <v>746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VLOOKUP(AI139,'Inchidere contur'!$G:$U,15,FALSE)</f>
        <v>JT_SDI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19" t="str">
        <f>_xlfn.CONCAT(AA135,".",1)</f>
        <v>RAMB_2.1</v>
      </c>
      <c r="AJ139" s="619"/>
      <c r="AK139" s="619"/>
      <c r="AL139" s="619"/>
      <c r="AM139" s="619"/>
    </row>
    <row r="140" spans="1:39">
      <c r="A140" s="649" t="s">
        <v>747</v>
      </c>
      <c r="B140" s="649"/>
      <c r="C140" s="649"/>
      <c r="D140" s="649"/>
      <c r="E140" s="649"/>
      <c r="F140" s="649"/>
      <c r="G140" s="649"/>
      <c r="H140" s="649"/>
      <c r="I140" s="649"/>
      <c r="J140" s="649"/>
      <c r="K140" s="649"/>
      <c r="L140" s="649"/>
      <c r="M140" s="650" t="str">
        <f>IF(LEFT(M139,2)="JT","0.4kV",IF(LEFT(M139,2)="MT","20kV","-"))</f>
        <v>0.4kV</v>
      </c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19"/>
      <c r="AJ140" s="619"/>
      <c r="AK140" s="619"/>
      <c r="AL140" s="619"/>
      <c r="AM140" s="619"/>
    </row>
    <row r="141" spans="1:39" ht="15.95" customHeight="1">
      <c r="A141" s="648" t="s">
        <v>697</v>
      </c>
      <c r="B141" s="648"/>
      <c r="C141" s="648"/>
      <c r="D141" s="648"/>
      <c r="E141" s="648"/>
      <c r="F141" s="648"/>
      <c r="G141" s="647" t="s">
        <v>713</v>
      </c>
      <c r="H141" s="647"/>
      <c r="I141" s="647"/>
      <c r="J141" s="647" t="s">
        <v>714</v>
      </c>
      <c r="K141" s="647"/>
      <c r="L141" s="647"/>
      <c r="M141" s="648" t="s">
        <v>519</v>
      </c>
      <c r="N141" s="648"/>
      <c r="O141" s="648" t="s">
        <v>715</v>
      </c>
      <c r="P141" s="648"/>
      <c r="Q141" s="648"/>
      <c r="R141" s="647" t="s">
        <v>732</v>
      </c>
      <c r="S141" s="647"/>
      <c r="T141" s="647"/>
      <c r="U141" s="647" t="s">
        <v>734</v>
      </c>
      <c r="V141" s="647"/>
      <c r="W141" s="647"/>
      <c r="X141" s="647" t="s">
        <v>1085</v>
      </c>
      <c r="Y141" s="647"/>
      <c r="Z141" s="647"/>
      <c r="AA141" s="647" t="s">
        <v>1086</v>
      </c>
      <c r="AB141" s="647"/>
      <c r="AC141" s="647"/>
      <c r="AD141" s="647" t="s">
        <v>717</v>
      </c>
      <c r="AE141" s="647"/>
      <c r="AF141" s="647" t="s">
        <v>718</v>
      </c>
      <c r="AG141" s="647"/>
      <c r="AH141" s="647"/>
      <c r="AI141" s="647" t="s">
        <v>719</v>
      </c>
      <c r="AJ141" s="647"/>
      <c r="AK141" s="647" t="s">
        <v>733</v>
      </c>
      <c r="AL141" s="647"/>
      <c r="AM141" s="647"/>
    </row>
    <row r="142" spans="1:39">
      <c r="A142" s="648"/>
      <c r="B142" s="648"/>
      <c r="C142" s="648"/>
      <c r="D142" s="648"/>
      <c r="E142" s="648"/>
      <c r="F142" s="648"/>
      <c r="G142" s="647"/>
      <c r="H142" s="647"/>
      <c r="I142" s="647"/>
      <c r="J142" s="647"/>
      <c r="K142" s="647"/>
      <c r="L142" s="647"/>
      <c r="M142" s="648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>
      <c r="A143" s="648"/>
      <c r="B143" s="648"/>
      <c r="C143" s="648"/>
      <c r="D143" s="648"/>
      <c r="E143" s="648"/>
      <c r="F143" s="648"/>
      <c r="G143" s="647"/>
      <c r="H143" s="647"/>
      <c r="I143" s="647"/>
      <c r="J143" s="713"/>
      <c r="K143" s="713"/>
      <c r="L143" s="713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4">
        <f>VLOOKUP(AI139,'Contorizare in SDI'!$E:$I,5,FALSE)</f>
        <v>1372644212</v>
      </c>
      <c r="B144" s="685"/>
      <c r="C144" s="685"/>
      <c r="D144" s="685"/>
      <c r="E144" s="685"/>
      <c r="F144" s="686"/>
      <c r="G144" s="648" t="s">
        <v>730</v>
      </c>
      <c r="H144" s="648"/>
      <c r="I144" s="673"/>
      <c r="J144" s="655">
        <f>'Date masura OD'!$AK$5</f>
        <v>45748</v>
      </c>
      <c r="K144" s="656"/>
      <c r="L144" s="657"/>
      <c r="M144" s="720" t="s">
        <v>446</v>
      </c>
      <c r="N144" s="648"/>
      <c r="O144" s="648">
        <f>VLOOKUP(AI139,'Incrementare indexe'!$B:$T,4,FALSE)</f>
        <v>1</v>
      </c>
      <c r="P144" s="648"/>
      <c r="Q144" s="648"/>
      <c r="R144" s="647" t="str">
        <f>VLOOKUP(A144,Regularizare!$D:$YN,3,FALSE)&amp;" ("&amp;VLOOKUP(A144,Regularizare!$D:$Y,11,FALSE)&amp;")"</f>
        <v>1113723 (citit)</v>
      </c>
      <c r="S144" s="647"/>
      <c r="T144" s="647"/>
      <c r="U144" s="647" t="str">
        <f>VLOOKUP(A144,Regularizare!$D:$U,4,FALSE)&amp;" ("&amp;VLOOKUP(A144,Regularizare!$D:$U,12,FALSE)&amp;")"</f>
        <v>1163740 (estimat)</v>
      </c>
      <c r="V144" s="647"/>
      <c r="W144" s="647"/>
      <c r="X144" s="647" t="str">
        <f>VLOOKUP(A144,Regularizare!$D:$Y,19,FALSE)&amp;" ("&amp;VLOOKUP(A144,Regularizare!$D:$U,12,FALSE)&amp;")"</f>
        <v>50017 (estimat)</v>
      </c>
      <c r="Y144" s="647"/>
      <c r="Z144" s="647"/>
      <c r="AA144" s="647">
        <f>(-1)*VLOOKUP(A144,Regularizare!$D:$Y,19,FALSE)</f>
        <v>-50017</v>
      </c>
      <c r="AB144" s="647"/>
      <c r="AC144" s="647"/>
      <c r="AD144" s="647" t="s">
        <v>69</v>
      </c>
      <c r="AE144" s="647"/>
      <c r="AF144" s="647">
        <f>AA144</f>
        <v>-50017</v>
      </c>
      <c r="AG144" s="647"/>
      <c r="AH144" s="647"/>
      <c r="AI144" s="647" t="s">
        <v>69</v>
      </c>
      <c r="AJ144" s="647"/>
      <c r="AK144" s="647" t="s">
        <v>69</v>
      </c>
      <c r="AL144" s="647"/>
      <c r="AM144" s="647"/>
    </row>
    <row r="145" spans="1:39" ht="9.75" customHeight="1">
      <c r="A145" s="727"/>
      <c r="B145" s="729"/>
      <c r="C145" s="729"/>
      <c r="D145" s="729"/>
      <c r="E145" s="729"/>
      <c r="F145" s="728"/>
      <c r="G145" s="648"/>
      <c r="H145" s="648"/>
      <c r="I145" s="673"/>
      <c r="J145" s="717" t="s">
        <v>69</v>
      </c>
      <c r="K145" s="718"/>
      <c r="L145" s="719"/>
      <c r="M145" s="720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7"/>
      <c r="B146" s="688"/>
      <c r="C146" s="688"/>
      <c r="D146" s="688"/>
      <c r="E146" s="688"/>
      <c r="F146" s="689"/>
      <c r="G146" s="648"/>
      <c r="H146" s="648"/>
      <c r="I146" s="673"/>
      <c r="J146" s="714">
        <f>'Date masura OD'!$AL$5</f>
        <v>45777</v>
      </c>
      <c r="K146" s="715"/>
      <c r="L146" s="716"/>
      <c r="M146" s="720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4">
        <f>A144</f>
        <v>1372644212</v>
      </c>
      <c r="B147" s="685"/>
      <c r="C147" s="685"/>
      <c r="D147" s="685"/>
      <c r="E147" s="685"/>
      <c r="F147" s="686"/>
      <c r="G147" s="648" t="s">
        <v>696</v>
      </c>
      <c r="H147" s="648"/>
      <c r="I147" s="648"/>
      <c r="J147" s="655">
        <f t="shared" ref="J147:J152" si="7">J144</f>
        <v>45748</v>
      </c>
      <c r="K147" s="656"/>
      <c r="L147" s="657"/>
      <c r="M147" s="648" t="s">
        <v>720</v>
      </c>
      <c r="N147" s="648"/>
      <c r="O147" s="648">
        <f>O144</f>
        <v>1</v>
      </c>
      <c r="P147" s="648"/>
      <c r="Q147" s="648"/>
      <c r="R147" s="647" t="str">
        <f>VLOOKUP(A147,Regularizare!$D:$U,7,FALSE)&amp;" ("&amp;VLOOKUP(A147,Regularizare!$D:$U,15,FALSE)&amp;")"</f>
        <v>4898 (citit)</v>
      </c>
      <c r="S147" s="647"/>
      <c r="T147" s="647"/>
      <c r="U147" s="647" t="str">
        <f>VLOOKUP(A147,Regularizare!$D:$U,8,FALSE)&amp;" ("&amp;VLOOKUP(A147,Regularizare!$D:$U,16,FALSE)&amp;")"</f>
        <v>4898 (estimat)</v>
      </c>
      <c r="V147" s="647"/>
      <c r="W147" s="647"/>
      <c r="X147" s="647" t="str">
        <f>_xlfn.CONCAT(VLOOKUP(A147,Regularizare!$D:$U,8,FALSE)-VLOOKUP(A147,Regularizare!$D:$U,7,FALSE)," (",VLOOKUP(A147,Regularizare!$D:$U,16,FALSE),")")</f>
        <v>0 (estimat)</v>
      </c>
      <c r="Y147" s="647"/>
      <c r="Z147" s="647"/>
      <c r="AA147" s="647">
        <f>IF(VLOOKUP(A147,Regularizare!$D:$Y,21,FALSE)=0,VLOOKUP(A147,Regularizare!$D:$Y,21,FALSE),(-1)*VLOOKUP(A147,Regularizare!$D:$Y,21,FALSE))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8.4499999999999993" customHeight="1">
      <c r="A148" s="727"/>
      <c r="B148" s="729"/>
      <c r="C148" s="729"/>
      <c r="D148" s="729"/>
      <c r="E148" s="729"/>
      <c r="F148" s="728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7"/>
      <c r="B149" s="688"/>
      <c r="C149" s="688"/>
      <c r="D149" s="688"/>
      <c r="E149" s="688"/>
      <c r="F149" s="689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4">
        <f>A147</f>
        <v>1372644212</v>
      </c>
      <c r="B150" s="685"/>
      <c r="C150" s="685"/>
      <c r="D150" s="685"/>
      <c r="E150" s="685"/>
      <c r="F150" s="686"/>
      <c r="G150" s="648" t="s">
        <v>731</v>
      </c>
      <c r="H150" s="648"/>
      <c r="I150" s="648"/>
      <c r="J150" s="655">
        <f t="shared" si="7"/>
        <v>45748</v>
      </c>
      <c r="K150" s="656"/>
      <c r="L150" s="657"/>
      <c r="M150" s="648" t="s">
        <v>720</v>
      </c>
      <c r="N150" s="648"/>
      <c r="O150" s="648">
        <f>O147</f>
        <v>1</v>
      </c>
      <c r="P150" s="648"/>
      <c r="Q150" s="648"/>
      <c r="R150" s="647" t="str">
        <f>VLOOKUP(A150,Regularizare!$D:$U,9,FALSE)&amp;" ("&amp;VLOOKUP(A150,Regularizare!$D:$U,17,FALSE)&amp;")"</f>
        <v>159829 (citit)</v>
      </c>
      <c r="S150" s="647"/>
      <c r="T150" s="647"/>
      <c r="U150" s="647" t="str">
        <f>VLOOKUP(A150,Regularizare!$D:$U,10,FALSE)&amp;" ("&amp;VLOOKUP(A150,Regularizare!$D:$U,18,FALSE)&amp;")"</f>
        <v>159829 (estimat)</v>
      </c>
      <c r="V150" s="647"/>
      <c r="W150" s="647"/>
      <c r="X150" s="647" t="str">
        <f>_xlfn.CONCAT(VLOOKUP(A150,Regularizare!$D:$U,10,FALSE)-VLOOKUP(A150,Regularizare!$D:$U,9,FALSE)," (",VLOOKUP(A150,Regularizare!$D:$U,18,FALSE),")")</f>
        <v>0 (estimat)</v>
      </c>
      <c r="Y150" s="647"/>
      <c r="Z150" s="647"/>
      <c r="AA150" s="647">
        <f>IF(VLOOKUP(A150,Regularizare!$D:$Y,22,FALSE)=0,VLOOKUP(A150,Regularizare!$D:$Y,22,FALSE),(-1)*VLOOKUP(A150,Regularizare!$D:$Y,22,FALSE))</f>
        <v>0</v>
      </c>
      <c r="AB150" s="647"/>
      <c r="AC150" s="647"/>
      <c r="AD150" s="647" t="s">
        <v>69</v>
      </c>
      <c r="AE150" s="647"/>
      <c r="AF150" s="647">
        <f>AA150</f>
        <v>0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8.4499999999999993" customHeight="1">
      <c r="A151" s="727"/>
      <c r="B151" s="729"/>
      <c r="C151" s="729"/>
      <c r="D151" s="729"/>
      <c r="E151" s="729"/>
      <c r="F151" s="728"/>
      <c r="G151" s="648"/>
      <c r="H151" s="648"/>
      <c r="I151" s="648"/>
      <c r="J151" s="717" t="str">
        <f t="shared" si="7"/>
        <v>-</v>
      </c>
      <c r="K151" s="718"/>
      <c r="L151" s="719"/>
      <c r="M151" s="648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7"/>
      <c r="B152" s="688"/>
      <c r="C152" s="688"/>
      <c r="D152" s="688"/>
      <c r="E152" s="688"/>
      <c r="F152" s="689"/>
      <c r="G152" s="648"/>
      <c r="H152" s="648"/>
      <c r="I152" s="648"/>
      <c r="J152" s="714">
        <f t="shared" si="7"/>
        <v>45777</v>
      </c>
      <c r="K152" s="715"/>
      <c r="L152" s="716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4">
        <f>A150</f>
        <v>1372644212</v>
      </c>
      <c r="B153" s="685"/>
      <c r="C153" s="685"/>
      <c r="D153" s="685"/>
      <c r="E153" s="685"/>
      <c r="F153" s="686"/>
      <c r="G153" s="648" t="s">
        <v>730</v>
      </c>
      <c r="H153" s="648"/>
      <c r="I153" s="673"/>
      <c r="J153" s="655">
        <f>'Date masura OD'!$AK$5</f>
        <v>45748</v>
      </c>
      <c r="K153" s="656"/>
      <c r="L153" s="657"/>
      <c r="M153" s="720" t="s">
        <v>446</v>
      </c>
      <c r="N153" s="648"/>
      <c r="O153" s="648">
        <f>O150</f>
        <v>1</v>
      </c>
      <c r="P153" s="648"/>
      <c r="Q153" s="648"/>
      <c r="R153" s="647" t="str">
        <f>VLOOKUP(A153,Regularizare!$D:$AX,23,FALSE)&amp;" ("&amp;VLOOKUP(A153,Regularizare!$D:$AX,24,FALSE)&amp;")"</f>
        <v>1113723 (citit)</v>
      </c>
      <c r="S153" s="647"/>
      <c r="T153" s="647"/>
      <c r="U153" s="647" t="str">
        <f>VLOOKUP(A153,Regularizare!$D:$AX,25,FALSE)&amp;" ("&amp;VLOOKUP(A153,Regularizare!$D:$AX,26,FALSE)&amp;")"</f>
        <v>1163740 (citit)</v>
      </c>
      <c r="V153" s="647"/>
      <c r="W153" s="647"/>
      <c r="X153" s="647" t="str">
        <f>VLOOKUP(A153,Regularizare!$D:$AX,37,FALSE)&amp;" ("&amp;VLOOKUP(A153,Regularizare!$D:$AX,26,FALSE)&amp;")"</f>
        <v>50017 (citit)</v>
      </c>
      <c r="Y153" s="647"/>
      <c r="Z153" s="647"/>
      <c r="AA153" s="647">
        <f>VLOOKUP(A153,Regularizare!$D:$AX,37,FALSE)</f>
        <v>50017</v>
      </c>
      <c r="AB153" s="647"/>
      <c r="AC153" s="647"/>
      <c r="AD153" s="647" t="s">
        <v>69</v>
      </c>
      <c r="AE153" s="647"/>
      <c r="AF153" s="647">
        <f>AA153</f>
        <v>50017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8.4499999999999993" customHeight="1">
      <c r="A154" s="727"/>
      <c r="B154" s="729"/>
      <c r="C154" s="729"/>
      <c r="D154" s="729"/>
      <c r="E154" s="729"/>
      <c r="F154" s="728"/>
      <c r="G154" s="648"/>
      <c r="H154" s="648"/>
      <c r="I154" s="673"/>
      <c r="J154" s="717" t="s">
        <v>69</v>
      </c>
      <c r="K154" s="718"/>
      <c r="L154" s="719"/>
      <c r="M154" s="720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7"/>
      <c r="B155" s="688"/>
      <c r="C155" s="688"/>
      <c r="D155" s="688"/>
      <c r="E155" s="688"/>
      <c r="F155" s="689"/>
      <c r="G155" s="648"/>
      <c r="H155" s="648"/>
      <c r="I155" s="673"/>
      <c r="J155" s="714">
        <f>'Date masura OD'!$AL$5</f>
        <v>45777</v>
      </c>
      <c r="K155" s="715"/>
      <c r="L155" s="716"/>
      <c r="M155" s="720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4">
        <f>A153</f>
        <v>1372644212</v>
      </c>
      <c r="B156" s="685"/>
      <c r="C156" s="685"/>
      <c r="D156" s="685"/>
      <c r="E156" s="685"/>
      <c r="F156" s="686"/>
      <c r="G156" s="648" t="s">
        <v>696</v>
      </c>
      <c r="H156" s="648"/>
      <c r="I156" s="648"/>
      <c r="J156" s="655">
        <f t="shared" ref="J156:J161" si="8">J153</f>
        <v>45748</v>
      </c>
      <c r="K156" s="656"/>
      <c r="L156" s="657"/>
      <c r="M156" s="648" t="s">
        <v>720</v>
      </c>
      <c r="N156" s="648"/>
      <c r="O156" s="648">
        <f>O153</f>
        <v>1</v>
      </c>
      <c r="P156" s="648"/>
      <c r="Q156" s="648"/>
      <c r="R156" s="647" t="str">
        <f>VLOOKUP(A156,Regularizare!$D:$AX,29,FALSE)&amp;" ("&amp;VLOOKUP(A156,Regularizare!$D:$AX,30,FALSE)&amp;")"</f>
        <v>4898 (citit)</v>
      </c>
      <c r="S156" s="647"/>
      <c r="T156" s="647"/>
      <c r="U156" s="647" t="str">
        <f>VLOOKUP(A156,Regularizare!$D:$AX,31,FALSE)&amp;" ("&amp;VLOOKUP(A156,Regularizare!$D:$AX,32,FALSE)&amp;")"</f>
        <v>4898 (citit)</v>
      </c>
      <c r="V156" s="647"/>
      <c r="W156" s="647"/>
      <c r="X156" s="647" t="str">
        <f>VLOOKUP(A156,Regularizare!$D:$AX,39,FALSE)&amp;" ("&amp;VLOOKUP(A156,Regularizare!$D:$AX,32,FALSE)&amp;")"</f>
        <v>0 (citit)</v>
      </c>
      <c r="Y156" s="647"/>
      <c r="Z156" s="647"/>
      <c r="AA156" s="647">
        <f>VLOOKUP(A156,Regularizare!$D:$AX,44,FALSE)+VLOOKUP(A156,Regularizare!$D:$AX,45,FALSE)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8.4499999999999993" customHeight="1">
      <c r="A157" s="727"/>
      <c r="B157" s="729"/>
      <c r="C157" s="729"/>
      <c r="D157" s="729"/>
      <c r="E157" s="729"/>
      <c r="F157" s="728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7"/>
      <c r="B158" s="688"/>
      <c r="C158" s="688"/>
      <c r="D158" s="688"/>
      <c r="E158" s="688"/>
      <c r="F158" s="689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4">
        <f>A156</f>
        <v>1372644212</v>
      </c>
      <c r="B159" s="685"/>
      <c r="C159" s="685"/>
      <c r="D159" s="685"/>
      <c r="E159" s="685"/>
      <c r="F159" s="686"/>
      <c r="G159" s="648" t="s">
        <v>731</v>
      </c>
      <c r="H159" s="648"/>
      <c r="I159" s="648"/>
      <c r="J159" s="655">
        <f t="shared" si="8"/>
        <v>45748</v>
      </c>
      <c r="K159" s="656"/>
      <c r="L159" s="657"/>
      <c r="M159" s="648" t="s">
        <v>720</v>
      </c>
      <c r="N159" s="648"/>
      <c r="O159" s="648">
        <f>O156</f>
        <v>1</v>
      </c>
      <c r="P159" s="648"/>
      <c r="Q159" s="648"/>
      <c r="R159" s="647" t="str">
        <f>VLOOKUP(A159,Regularizare!$D:$AX,33,FALSE)&amp;" ("&amp;VLOOKUP(A159,Regularizare!$D:$AX,34,FALSE)&amp;")"</f>
        <v>159829 (citit)</v>
      </c>
      <c r="S159" s="647"/>
      <c r="T159" s="647"/>
      <c r="U159" s="647" t="str">
        <f>VLOOKUP(A159,Regularizare!$D:$AX,35,FALSE)&amp;" ("&amp;VLOOKUP(A159,Regularizare!$D:$AX,36,FALSE)&amp;")"</f>
        <v>159829 (citit)</v>
      </c>
      <c r="V159" s="647"/>
      <c r="W159" s="647"/>
      <c r="X159" s="647" t="str">
        <f>VLOOKUP(A159,Regularizare!$D:$AX,40,FALSE)&amp;" ("&amp;VLOOKUP(A159,Regularizare!$D:$AX,36,FALSE)&amp;")"</f>
        <v>0 (citit)</v>
      </c>
      <c r="Y159" s="647"/>
      <c r="Z159" s="647"/>
      <c r="AA159" s="647">
        <f>VLOOKUP(A159,Regularizare!$D:$AX,46,FALSE)+VLOOKUP(A159,Regularizare!$D:$AX,47,FALSE)</f>
        <v>0</v>
      </c>
      <c r="AB159" s="647"/>
      <c r="AC159" s="647"/>
      <c r="AD159" s="647" t="s">
        <v>69</v>
      </c>
      <c r="AE159" s="647"/>
      <c r="AF159" s="647">
        <f>AA159</f>
        <v>0</v>
      </c>
      <c r="AG159" s="647"/>
      <c r="AH159" s="647"/>
      <c r="AI159" s="647" t="str">
        <f>AI156</f>
        <v>-</v>
      </c>
      <c r="AJ159" s="647"/>
      <c r="AK159" s="647" t="str">
        <f>AK156</f>
        <v>-</v>
      </c>
      <c r="AL159" s="647"/>
      <c r="AM159" s="647"/>
    </row>
    <row r="160" spans="1:39" ht="8.4499999999999993" customHeight="1">
      <c r="A160" s="727"/>
      <c r="B160" s="729"/>
      <c r="C160" s="729"/>
      <c r="D160" s="729"/>
      <c r="E160" s="729"/>
      <c r="F160" s="728"/>
      <c r="G160" s="648"/>
      <c r="H160" s="648"/>
      <c r="I160" s="648"/>
      <c r="J160" s="717" t="str">
        <f t="shared" si="8"/>
        <v>-</v>
      </c>
      <c r="K160" s="718"/>
      <c r="L160" s="719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7"/>
      <c r="B161" s="688"/>
      <c r="C161" s="688"/>
      <c r="D161" s="688"/>
      <c r="E161" s="688"/>
      <c r="F161" s="689"/>
      <c r="G161" s="648"/>
      <c r="H161" s="648"/>
      <c r="I161" s="648"/>
      <c r="J161" s="714">
        <f t="shared" si="8"/>
        <v>45777</v>
      </c>
      <c r="K161" s="715"/>
      <c r="L161" s="716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4">
        <f>A159</f>
        <v>1372644212</v>
      </c>
      <c r="B162" s="685"/>
      <c r="C162" s="685"/>
      <c r="D162" s="685"/>
      <c r="E162" s="685"/>
      <c r="F162" s="686"/>
      <c r="G162" s="648" t="s">
        <v>730</v>
      </c>
      <c r="H162" s="648"/>
      <c r="I162" s="673"/>
      <c r="J162" s="655">
        <f>'Date masura OD'!$I$5</f>
        <v>45778</v>
      </c>
      <c r="K162" s="656"/>
      <c r="L162" s="657"/>
      <c r="M162" s="720" t="s">
        <v>446</v>
      </c>
      <c r="N162" s="648"/>
      <c r="O162" s="648">
        <f>O159</f>
        <v>1</v>
      </c>
      <c r="P162" s="648"/>
      <c r="Q162" s="648"/>
      <c r="R162" s="647" t="str">
        <f>U153</f>
        <v>1163740 (citit)</v>
      </c>
      <c r="S162" s="647"/>
      <c r="T162" s="647"/>
      <c r="U162" s="647" t="str">
        <f>VLOOKUP(A162,'Incrementare indexe'!$D:$M,4,FALSE)&amp;" (estimat)"</f>
        <v>1211084 (estimat)</v>
      </c>
      <c r="V162" s="647"/>
      <c r="W162" s="647"/>
      <c r="X162" s="647" t="str">
        <f>VLOOKUP(A162,'Incrementare indexe'!$D:$Q,11,FALSE)&amp;" (estimat)"</f>
        <v>47344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indexe'!$D:$Q,11,FALSE)</f>
        <v>47344</v>
      </c>
      <c r="AG162" s="647"/>
      <c r="AH162" s="647"/>
      <c r="AI162" s="647">
        <f>J164-J162+1</f>
        <v>31</v>
      </c>
      <c r="AJ162" s="647"/>
      <c r="AK162" s="647">
        <f>ROUND(AF162/AI162,2)</f>
        <v>1527.23</v>
      </c>
      <c r="AL162" s="647"/>
      <c r="AM162" s="647"/>
    </row>
    <row r="163" spans="1:39" ht="8.4499999999999993" customHeight="1">
      <c r="A163" s="727"/>
      <c r="B163" s="729"/>
      <c r="C163" s="729"/>
      <c r="D163" s="729"/>
      <c r="E163" s="729"/>
      <c r="F163" s="728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7"/>
      <c r="B164" s="688"/>
      <c r="C164" s="688"/>
      <c r="D164" s="688"/>
      <c r="E164" s="688"/>
      <c r="F164" s="689"/>
      <c r="G164" s="648"/>
      <c r="H164" s="648"/>
      <c r="I164" s="673"/>
      <c r="J164" s="714">
        <f>'Date masura OD'!$J$5</f>
        <v>45808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4">
        <f>A162</f>
        <v>1372644212</v>
      </c>
      <c r="B165" s="685"/>
      <c r="C165" s="685"/>
      <c r="D165" s="685"/>
      <c r="E165" s="685"/>
      <c r="F165" s="686"/>
      <c r="G165" s="648" t="s">
        <v>696</v>
      </c>
      <c r="H165" s="648"/>
      <c r="I165" s="648"/>
      <c r="J165" s="655">
        <f t="shared" ref="J165:J170" si="9">J162</f>
        <v>45778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U156</f>
        <v>4898 (citit)</v>
      </c>
      <c r="S165" s="647"/>
      <c r="T165" s="647"/>
      <c r="U165" s="647" t="str">
        <f>VLOOKUP(A165,'Incrementare indexe'!$D:$M,8,FALSE)&amp;" (estimat)"</f>
        <v>4898 (estimat)</v>
      </c>
      <c r="V165" s="647"/>
      <c r="W165" s="647"/>
      <c r="X165" s="647" t="str">
        <f>VLOOKUP(A165,'Incrementare indexe'!$D:$Q,12,FALSE)&amp;"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indexe'!$D:$Q,12,FALSE)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8.4499999999999993" customHeight="1">
      <c r="A166" s="727"/>
      <c r="B166" s="729"/>
      <c r="C166" s="729"/>
      <c r="D166" s="729"/>
      <c r="E166" s="729"/>
      <c r="F166" s="728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7"/>
      <c r="B167" s="688"/>
      <c r="C167" s="688"/>
      <c r="D167" s="688"/>
      <c r="E167" s="688"/>
      <c r="F167" s="689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4">
        <f>A165</f>
        <v>1372644212</v>
      </c>
      <c r="B168" s="685"/>
      <c r="C168" s="685"/>
      <c r="D168" s="685"/>
      <c r="E168" s="685"/>
      <c r="F168" s="686"/>
      <c r="G168" s="648" t="s">
        <v>731</v>
      </c>
      <c r="H168" s="648"/>
      <c r="I168" s="648"/>
      <c r="J168" s="655">
        <f t="shared" si="9"/>
        <v>45778</v>
      </c>
      <c r="K168" s="656"/>
      <c r="L168" s="657"/>
      <c r="M168" s="648" t="s">
        <v>720</v>
      </c>
      <c r="N168" s="648"/>
      <c r="O168" s="648">
        <f>O165</f>
        <v>1</v>
      </c>
      <c r="P168" s="648"/>
      <c r="Q168" s="648"/>
      <c r="R168" s="647" t="str">
        <f>U159</f>
        <v>159829 (citit)</v>
      </c>
      <c r="S168" s="647"/>
      <c r="T168" s="647"/>
      <c r="U168" s="647" t="str">
        <f>VLOOKUP(A168,'Incrementare indexe'!$D:$M,10,FALSE)&amp;" (estimat)"</f>
        <v>159829 (estimat)</v>
      </c>
      <c r="V168" s="647"/>
      <c r="W168" s="647"/>
      <c r="X168" s="647" t="str">
        <f>VLOOKUP(A168,'Incrementare indexe'!$D:$Q,13,FALSE)&amp;" (estimat)"</f>
        <v>0 (estimat)</v>
      </c>
      <c r="Y168" s="647"/>
      <c r="Z168" s="647"/>
      <c r="AA168" s="647" t="s">
        <v>69</v>
      </c>
      <c r="AB168" s="647"/>
      <c r="AC168" s="647"/>
      <c r="AD168" s="647" t="s">
        <v>69</v>
      </c>
      <c r="AE168" s="647"/>
      <c r="AF168" s="647">
        <f>VLOOKUP(A168,'Incrementare indexe'!$D:$Q,13,FALSE)</f>
        <v>0</v>
      </c>
      <c r="AG168" s="647"/>
      <c r="AH168" s="647"/>
      <c r="AI168" s="647">
        <f>AI165</f>
        <v>31</v>
      </c>
      <c r="AJ168" s="647"/>
      <c r="AK168" s="647">
        <f>ROUND(AF168/AI168,2)</f>
        <v>0</v>
      </c>
      <c r="AL168" s="647"/>
      <c r="AM168" s="647"/>
    </row>
    <row r="169" spans="1:39" ht="8.4499999999999993" customHeight="1">
      <c r="A169" s="727"/>
      <c r="B169" s="729"/>
      <c r="C169" s="729"/>
      <c r="D169" s="729"/>
      <c r="E169" s="729"/>
      <c r="F169" s="728"/>
      <c r="G169" s="648"/>
      <c r="H169" s="648"/>
      <c r="I169" s="648"/>
      <c r="J169" s="717" t="str">
        <f t="shared" si="9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7"/>
      <c r="B170" s="688"/>
      <c r="C170" s="688"/>
      <c r="D170" s="688"/>
      <c r="E170" s="688"/>
      <c r="F170" s="689"/>
      <c r="G170" s="648"/>
      <c r="H170" s="648"/>
      <c r="I170" s="648"/>
      <c r="J170" s="714">
        <f t="shared" si="9"/>
        <v>45808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>
      <c r="A186" s="649" t="s">
        <v>748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50" t="str">
        <f>VLOOKUP(AI187,'Contorizare in SDI'!$E:$I,4,FALSE)</f>
        <v>594030300002113780/4</v>
      </c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50" t="s">
        <v>695</v>
      </c>
      <c r="AJ186" s="650"/>
      <c r="AK186" s="650"/>
      <c r="AL186" s="650"/>
      <c r="AM186" s="650"/>
    </row>
    <row r="187" spans="1:39">
      <c r="A187" s="649" t="s">
        <v>746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VLOOKUP(AI187,'Inchidere contur'!$G:$U,15,FALSE)</f>
        <v>JT_SDI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19" t="str">
        <f>_xlfn.CONCAT(AA135,".",2)</f>
        <v>RAMB_2.2</v>
      </c>
      <c r="AJ187" s="619"/>
      <c r="AK187" s="619"/>
      <c r="AL187" s="619"/>
      <c r="AM187" s="619"/>
    </row>
    <row r="188" spans="1:39">
      <c r="A188" s="649" t="s">
        <v>747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IF(LEFT(M187,2)="JT","0.4kV",IF(LEFT(M187,2)="MT","20kV","-"))</f>
        <v>0.4kV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/>
      <c r="AJ188" s="619"/>
      <c r="AK188" s="619"/>
      <c r="AL188" s="619"/>
      <c r="AM188" s="619"/>
    </row>
    <row r="189" spans="1:39" ht="15.95" customHeight="1">
      <c r="A189" s="648" t="s">
        <v>697</v>
      </c>
      <c r="B189" s="648"/>
      <c r="C189" s="648"/>
      <c r="D189" s="648"/>
      <c r="E189" s="648"/>
      <c r="F189" s="648"/>
      <c r="G189" s="647" t="s">
        <v>713</v>
      </c>
      <c r="H189" s="647"/>
      <c r="I189" s="647"/>
      <c r="J189" s="647" t="s">
        <v>714</v>
      </c>
      <c r="K189" s="647"/>
      <c r="L189" s="647"/>
      <c r="M189" s="648" t="s">
        <v>519</v>
      </c>
      <c r="N189" s="648"/>
      <c r="O189" s="648" t="s">
        <v>715</v>
      </c>
      <c r="P189" s="648"/>
      <c r="Q189" s="648"/>
      <c r="R189" s="647" t="s">
        <v>732</v>
      </c>
      <c r="S189" s="647"/>
      <c r="T189" s="647"/>
      <c r="U189" s="647" t="s">
        <v>734</v>
      </c>
      <c r="V189" s="647"/>
      <c r="W189" s="647"/>
      <c r="X189" s="647" t="s">
        <v>1085</v>
      </c>
      <c r="Y189" s="647"/>
      <c r="Z189" s="647"/>
      <c r="AA189" s="647" t="s">
        <v>1086</v>
      </c>
      <c r="AB189" s="647"/>
      <c r="AC189" s="647"/>
      <c r="AD189" s="647" t="s">
        <v>717</v>
      </c>
      <c r="AE189" s="647"/>
      <c r="AF189" s="647" t="s">
        <v>718</v>
      </c>
      <c r="AG189" s="647"/>
      <c r="AH189" s="647"/>
      <c r="AI189" s="647" t="s">
        <v>719</v>
      </c>
      <c r="AJ189" s="647"/>
      <c r="AK189" s="647" t="s">
        <v>733</v>
      </c>
      <c r="AL189" s="647"/>
      <c r="AM189" s="647"/>
    </row>
    <row r="190" spans="1:39">
      <c r="A190" s="648"/>
      <c r="B190" s="648"/>
      <c r="C190" s="648"/>
      <c r="D190" s="648"/>
      <c r="E190" s="648"/>
      <c r="F190" s="648"/>
      <c r="G190" s="647"/>
      <c r="H190" s="647"/>
      <c r="I190" s="647"/>
      <c r="J190" s="647"/>
      <c r="K190" s="647"/>
      <c r="L190" s="647"/>
      <c r="M190" s="648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713"/>
      <c r="K191" s="713"/>
      <c r="L191" s="713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84">
        <f>VLOOKUP(AI187,'Contorizare in SDI'!$E:$I,5,FALSE)</f>
        <v>1373265946</v>
      </c>
      <c r="B192" s="685"/>
      <c r="C192" s="685"/>
      <c r="D192" s="685"/>
      <c r="E192" s="685"/>
      <c r="F192" s="686"/>
      <c r="G192" s="648" t="s">
        <v>730</v>
      </c>
      <c r="H192" s="648"/>
      <c r="I192" s="673"/>
      <c r="J192" s="655">
        <f>'Date masura OD'!$AK$5</f>
        <v>45748</v>
      </c>
      <c r="K192" s="656"/>
      <c r="L192" s="657"/>
      <c r="M192" s="720" t="s">
        <v>446</v>
      </c>
      <c r="N192" s="648"/>
      <c r="O192" s="648">
        <f>VLOOKUP(AI187,'Incrementare indexe'!$B:$T,4,FALSE)</f>
        <v>1</v>
      </c>
      <c r="P192" s="648"/>
      <c r="Q192" s="648"/>
      <c r="R192" s="647" t="str">
        <f>VLOOKUP(A192,Regularizare!$D:$YN,3,FALSE)&amp;" ("&amp;VLOOKUP(A192,Regularizare!$D:$Y,11,FALSE)&amp;")"</f>
        <v>1541738 (citit)</v>
      </c>
      <c r="S192" s="647"/>
      <c r="T192" s="647"/>
      <c r="U192" s="647" t="str">
        <f>VLOOKUP(A192,Regularizare!$D:$U,4,FALSE)&amp;" ("&amp;VLOOKUP(A192,Regularizare!$D:$U,12,FALSE)&amp;")"</f>
        <v>1599401 (estimat)</v>
      </c>
      <c r="V192" s="647"/>
      <c r="W192" s="647"/>
      <c r="X192" s="647" t="str">
        <f>VLOOKUP(A192,Regularizare!$D:$Y,19,FALSE)&amp;" ("&amp;VLOOKUP(A192,Regularizare!$D:$U,12,FALSE)&amp;")"</f>
        <v>57663 (estimat)</v>
      </c>
      <c r="Y192" s="647"/>
      <c r="Z192" s="647"/>
      <c r="AA192" s="647">
        <f>(-1)*VLOOKUP(A192,Regularizare!$D:$Y,19,FALSE)</f>
        <v>-57663</v>
      </c>
      <c r="AB192" s="647"/>
      <c r="AC192" s="647"/>
      <c r="AD192" s="647" t="s">
        <v>69</v>
      </c>
      <c r="AE192" s="647"/>
      <c r="AF192" s="647">
        <f>AA192</f>
        <v>-57663</v>
      </c>
      <c r="AG192" s="647"/>
      <c r="AH192" s="647"/>
      <c r="AI192" s="647" t="s">
        <v>69</v>
      </c>
      <c r="AJ192" s="647"/>
      <c r="AK192" s="647" t="s">
        <v>69</v>
      </c>
      <c r="AL192" s="647"/>
      <c r="AM192" s="647"/>
    </row>
    <row r="193" spans="1:39" ht="9.75" customHeight="1">
      <c r="A193" s="727"/>
      <c r="B193" s="729"/>
      <c r="C193" s="729"/>
      <c r="D193" s="729"/>
      <c r="E193" s="729"/>
      <c r="F193" s="728"/>
      <c r="G193" s="648"/>
      <c r="H193" s="648"/>
      <c r="I193" s="673"/>
      <c r="J193" s="717" t="s">
        <v>69</v>
      </c>
      <c r="K193" s="718"/>
      <c r="L193" s="719"/>
      <c r="M193" s="720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7"/>
      <c r="B194" s="688"/>
      <c r="C194" s="688"/>
      <c r="D194" s="688"/>
      <c r="E194" s="688"/>
      <c r="F194" s="689"/>
      <c r="G194" s="648"/>
      <c r="H194" s="648"/>
      <c r="I194" s="673"/>
      <c r="J194" s="714">
        <f>'Date masura OD'!$AL$5</f>
        <v>45777</v>
      </c>
      <c r="K194" s="715"/>
      <c r="L194" s="716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4">
        <f>A192</f>
        <v>1373265946</v>
      </c>
      <c r="B195" s="685"/>
      <c r="C195" s="685"/>
      <c r="D195" s="685"/>
      <c r="E195" s="685"/>
      <c r="F195" s="686"/>
      <c r="G195" s="648" t="s">
        <v>696</v>
      </c>
      <c r="H195" s="648"/>
      <c r="I195" s="648"/>
      <c r="J195" s="655">
        <f t="shared" ref="J195:J200" si="10">J192</f>
        <v>45748</v>
      </c>
      <c r="K195" s="656"/>
      <c r="L195" s="657"/>
      <c r="M195" s="648" t="s">
        <v>720</v>
      </c>
      <c r="N195" s="648"/>
      <c r="O195" s="648">
        <f>O192</f>
        <v>1</v>
      </c>
      <c r="P195" s="648"/>
      <c r="Q195" s="648"/>
      <c r="R195" s="647" t="str">
        <f>VLOOKUP(A195,Regularizare!$D:$U,7,FALSE)&amp;" ("&amp;VLOOKUP(A195,Regularizare!$D:$U,15,FALSE)&amp;")"</f>
        <v>40326 (citit)</v>
      </c>
      <c r="S195" s="647"/>
      <c r="T195" s="647"/>
      <c r="U195" s="647" t="str">
        <f>VLOOKUP(A195,Regularizare!$D:$U,8,FALSE)&amp;" ("&amp;VLOOKUP(A195,Regularizare!$D:$U,16,FALSE)&amp;")"</f>
        <v>40326 (estimat)</v>
      </c>
      <c r="V195" s="647"/>
      <c r="W195" s="647"/>
      <c r="X195" s="647" t="str">
        <f>_xlfn.CONCAT(VLOOKUP(A195,Regularizare!$D:$U,8,FALSE)-VLOOKUP(A195,Regularizare!$D:$U,7,FALSE)," (",VLOOKUP(A195,Regularizare!$D:$U,16,FALSE),")")</f>
        <v>0 (estimat)</v>
      </c>
      <c r="Y195" s="647"/>
      <c r="Z195" s="647"/>
      <c r="AA195" s="647">
        <f>IF(VLOOKUP(A195,Regularizare!$D:$Y,21,FALSE)=0,VLOOKUP(A195,Regularizare!$D:$Y,21,FALSE),(-1)*VLOOKUP(A195,Regularizare!$D:$Y,21,FALSE))</f>
        <v>0</v>
      </c>
      <c r="AB195" s="647"/>
      <c r="AC195" s="647"/>
      <c r="AD195" s="647" t="s">
        <v>69</v>
      </c>
      <c r="AE195" s="647"/>
      <c r="AF195" s="647">
        <f>AA195</f>
        <v>0</v>
      </c>
      <c r="AG195" s="647"/>
      <c r="AH195" s="647"/>
      <c r="AI195" s="647" t="str">
        <f>AI192</f>
        <v>-</v>
      </c>
      <c r="AJ195" s="647"/>
      <c r="AK195" s="647" t="str">
        <f>AK192</f>
        <v>-</v>
      </c>
      <c r="AL195" s="647"/>
      <c r="AM195" s="647"/>
    </row>
    <row r="196" spans="1:39" ht="8.4499999999999993" customHeight="1">
      <c r="A196" s="727"/>
      <c r="B196" s="729"/>
      <c r="C196" s="729"/>
      <c r="D196" s="729"/>
      <c r="E196" s="729"/>
      <c r="F196" s="728"/>
      <c r="G196" s="648"/>
      <c r="H196" s="648"/>
      <c r="I196" s="648"/>
      <c r="J196" s="717" t="str">
        <f t="shared" si="10"/>
        <v>-</v>
      </c>
      <c r="K196" s="718"/>
      <c r="L196" s="719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7"/>
      <c r="B197" s="688"/>
      <c r="C197" s="688"/>
      <c r="D197" s="688"/>
      <c r="E197" s="688"/>
      <c r="F197" s="689"/>
      <c r="G197" s="648"/>
      <c r="H197" s="648"/>
      <c r="I197" s="648"/>
      <c r="J197" s="714">
        <f t="shared" si="10"/>
        <v>45777</v>
      </c>
      <c r="K197" s="715"/>
      <c r="L197" s="716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4">
        <f>A195</f>
        <v>1373265946</v>
      </c>
      <c r="B198" s="685"/>
      <c r="C198" s="685"/>
      <c r="D198" s="685"/>
      <c r="E198" s="685"/>
      <c r="F198" s="686"/>
      <c r="G198" s="648" t="s">
        <v>731</v>
      </c>
      <c r="H198" s="648"/>
      <c r="I198" s="648"/>
      <c r="J198" s="655">
        <f t="shared" si="10"/>
        <v>45748</v>
      </c>
      <c r="K198" s="656"/>
      <c r="L198" s="657"/>
      <c r="M198" s="648" t="s">
        <v>720</v>
      </c>
      <c r="N198" s="648"/>
      <c r="O198" s="648">
        <f>O195</f>
        <v>1</v>
      </c>
      <c r="P198" s="648"/>
      <c r="Q198" s="648"/>
      <c r="R198" s="647" t="str">
        <f>VLOOKUP(A198,Regularizare!$D:$U,9,FALSE)&amp;" ("&amp;VLOOKUP(A198,Regularizare!$D:$U,17,FALSE)&amp;")"</f>
        <v>52218 (citit)</v>
      </c>
      <c r="S198" s="647"/>
      <c r="T198" s="647"/>
      <c r="U198" s="647" t="str">
        <f>VLOOKUP(A198,Regularizare!$D:$U,10,FALSE)&amp;" ("&amp;VLOOKUP(A198,Regularizare!$D:$U,18,FALSE)&amp;")"</f>
        <v>52218 (estimat)</v>
      </c>
      <c r="V198" s="647"/>
      <c r="W198" s="647"/>
      <c r="X198" s="647" t="str">
        <f>_xlfn.CONCAT(VLOOKUP(A198,Regularizare!$D:$U,10,FALSE)-VLOOKUP(A198,Regularizare!$D:$U,9,FALSE)," (",VLOOKUP(A198,Regularizare!$D:$U,18,FALSE),")")</f>
        <v>0 (estimat)</v>
      </c>
      <c r="Y198" s="647"/>
      <c r="Z198" s="647"/>
      <c r="AA198" s="647">
        <f>IF(VLOOKUP(A198,Regularizare!$D:$Y,22,FALSE)=0,VLOOKUP(A198,Regularizare!$D:$Y,22,FALSE),(-1)*VLOOKUP(A198,Regularizare!$D:$Y,22,FALSE))</f>
        <v>0</v>
      </c>
      <c r="AB198" s="647"/>
      <c r="AC198" s="647"/>
      <c r="AD198" s="647" t="s">
        <v>69</v>
      </c>
      <c r="AE198" s="647"/>
      <c r="AF198" s="647">
        <f>AA198</f>
        <v>0</v>
      </c>
      <c r="AG198" s="647"/>
      <c r="AH198" s="647"/>
      <c r="AI198" s="647" t="str">
        <f>AI195</f>
        <v>-</v>
      </c>
      <c r="AJ198" s="647"/>
      <c r="AK198" s="647" t="str">
        <f>AK195</f>
        <v>-</v>
      </c>
      <c r="AL198" s="647"/>
      <c r="AM198" s="647"/>
    </row>
    <row r="199" spans="1:39" ht="8.4499999999999993" customHeight="1">
      <c r="A199" s="727"/>
      <c r="B199" s="729"/>
      <c r="C199" s="729"/>
      <c r="D199" s="729"/>
      <c r="E199" s="729"/>
      <c r="F199" s="728"/>
      <c r="G199" s="648"/>
      <c r="H199" s="648"/>
      <c r="I199" s="648"/>
      <c r="J199" s="717" t="str">
        <f t="shared" si="10"/>
        <v>-</v>
      </c>
      <c r="K199" s="718"/>
      <c r="L199" s="719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7"/>
      <c r="B200" s="688"/>
      <c r="C200" s="688"/>
      <c r="D200" s="688"/>
      <c r="E200" s="688"/>
      <c r="F200" s="689"/>
      <c r="G200" s="648"/>
      <c r="H200" s="648"/>
      <c r="I200" s="648"/>
      <c r="J200" s="714">
        <f t="shared" si="10"/>
        <v>45777</v>
      </c>
      <c r="K200" s="715"/>
      <c r="L200" s="716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4">
        <f>A198</f>
        <v>1373265946</v>
      </c>
      <c r="B201" s="685"/>
      <c r="C201" s="685"/>
      <c r="D201" s="685"/>
      <c r="E201" s="685"/>
      <c r="F201" s="686"/>
      <c r="G201" s="648" t="s">
        <v>730</v>
      </c>
      <c r="H201" s="648"/>
      <c r="I201" s="673"/>
      <c r="J201" s="655">
        <f>'Date masura OD'!$AK$5</f>
        <v>45748</v>
      </c>
      <c r="K201" s="656"/>
      <c r="L201" s="657"/>
      <c r="M201" s="720" t="s">
        <v>446</v>
      </c>
      <c r="N201" s="648"/>
      <c r="O201" s="648">
        <f>O198</f>
        <v>1</v>
      </c>
      <c r="P201" s="648"/>
      <c r="Q201" s="648"/>
      <c r="R201" s="647" t="str">
        <f>VLOOKUP(A201,Regularizare!$D:$AX,23,FALSE)&amp;" ("&amp;VLOOKUP(A201,Regularizare!$D:$AX,24,FALSE)&amp;")"</f>
        <v>1541738 (citit)</v>
      </c>
      <c r="S201" s="647"/>
      <c r="T201" s="647"/>
      <c r="U201" s="647" t="str">
        <f>VLOOKUP(A201,Regularizare!$D:$AX,25,FALSE)&amp;" ("&amp;VLOOKUP(A201,Regularizare!$D:$AX,26,FALSE)&amp;")"</f>
        <v>1599401 (citit)</v>
      </c>
      <c r="V201" s="647"/>
      <c r="W201" s="647"/>
      <c r="X201" s="647" t="str">
        <f>VLOOKUP(A201,Regularizare!$D:$AX,37,FALSE)&amp;" ("&amp;VLOOKUP(A201,Regularizare!$D:$AX,26,FALSE)&amp;")"</f>
        <v>57663 (citit)</v>
      </c>
      <c r="Y201" s="647"/>
      <c r="Z201" s="647"/>
      <c r="AA201" s="647">
        <f>VLOOKUP(A201,Regularizare!$D:$AX,37,FALSE)</f>
        <v>57663</v>
      </c>
      <c r="AB201" s="647"/>
      <c r="AC201" s="647"/>
      <c r="AD201" s="647" t="s">
        <v>69</v>
      </c>
      <c r="AE201" s="647"/>
      <c r="AF201" s="647">
        <f>AA201</f>
        <v>57663</v>
      </c>
      <c r="AG201" s="647"/>
      <c r="AH201" s="647"/>
      <c r="AI201" s="647" t="str">
        <f>AI198</f>
        <v>-</v>
      </c>
      <c r="AJ201" s="647"/>
      <c r="AK201" s="647" t="str">
        <f>AK198</f>
        <v>-</v>
      </c>
      <c r="AL201" s="647"/>
      <c r="AM201" s="647"/>
    </row>
    <row r="202" spans="1:39" ht="8.4499999999999993" customHeight="1">
      <c r="A202" s="727"/>
      <c r="B202" s="729"/>
      <c r="C202" s="729"/>
      <c r="D202" s="729"/>
      <c r="E202" s="729"/>
      <c r="F202" s="728"/>
      <c r="G202" s="648"/>
      <c r="H202" s="648"/>
      <c r="I202" s="673"/>
      <c r="J202" s="717" t="s">
        <v>69</v>
      </c>
      <c r="K202" s="718"/>
      <c r="L202" s="719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7"/>
      <c r="B203" s="688"/>
      <c r="C203" s="688"/>
      <c r="D203" s="688"/>
      <c r="E203" s="688"/>
      <c r="F203" s="689"/>
      <c r="G203" s="648"/>
      <c r="H203" s="648"/>
      <c r="I203" s="673"/>
      <c r="J203" s="714">
        <f>'Date masura OD'!$AL$5</f>
        <v>45777</v>
      </c>
      <c r="K203" s="715"/>
      <c r="L203" s="716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4">
        <f>A201</f>
        <v>1373265946</v>
      </c>
      <c r="B204" s="685"/>
      <c r="C204" s="685"/>
      <c r="D204" s="685"/>
      <c r="E204" s="685"/>
      <c r="F204" s="686"/>
      <c r="G204" s="648" t="s">
        <v>696</v>
      </c>
      <c r="H204" s="648"/>
      <c r="I204" s="648"/>
      <c r="J204" s="655">
        <f t="shared" ref="J204:J209" si="11">J201</f>
        <v>45748</v>
      </c>
      <c r="K204" s="656"/>
      <c r="L204" s="657"/>
      <c r="M204" s="648" t="s">
        <v>720</v>
      </c>
      <c r="N204" s="648"/>
      <c r="O204" s="648">
        <f>O201</f>
        <v>1</v>
      </c>
      <c r="P204" s="648"/>
      <c r="Q204" s="648"/>
      <c r="R204" s="647" t="str">
        <f>VLOOKUP(A204,Regularizare!$D:$AX,29,FALSE)&amp;" ("&amp;VLOOKUP(A204,Regularizare!$D:$AX,30,FALSE)&amp;")"</f>
        <v>40326 (citit)</v>
      </c>
      <c r="S204" s="647"/>
      <c r="T204" s="647"/>
      <c r="U204" s="647" t="str">
        <f>VLOOKUP(A204,Regularizare!$D:$AX,31,FALSE)&amp;" ("&amp;VLOOKUP(A204,Regularizare!$D:$AX,32,FALSE)&amp;")"</f>
        <v>40326 (citit)</v>
      </c>
      <c r="V204" s="647"/>
      <c r="W204" s="647"/>
      <c r="X204" s="647" t="str">
        <f>VLOOKUP(A204,Regularizare!$D:$AX,39,FALSE)&amp;" ("&amp;VLOOKUP(A204,Regularizare!$D:$AX,32,FALSE)&amp;")"</f>
        <v>0 (citit)</v>
      </c>
      <c r="Y204" s="647"/>
      <c r="Z204" s="647"/>
      <c r="AA204" s="647">
        <f>VLOOKUP(A204,Regularizare!$D:$AX,44,FALSE)+VLOOKUP(A204,Regularizare!$D:$AX,45,FALSE)</f>
        <v>0</v>
      </c>
      <c r="AB204" s="647"/>
      <c r="AC204" s="647"/>
      <c r="AD204" s="647" t="s">
        <v>69</v>
      </c>
      <c r="AE204" s="647"/>
      <c r="AF204" s="647">
        <f>AA204</f>
        <v>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8.4499999999999993" customHeight="1">
      <c r="A205" s="727"/>
      <c r="B205" s="729"/>
      <c r="C205" s="729"/>
      <c r="D205" s="729"/>
      <c r="E205" s="729"/>
      <c r="F205" s="728"/>
      <c r="G205" s="648"/>
      <c r="H205" s="648"/>
      <c r="I205" s="648"/>
      <c r="J205" s="717" t="str">
        <f t="shared" si="11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7"/>
      <c r="B206" s="688"/>
      <c r="C206" s="688"/>
      <c r="D206" s="688"/>
      <c r="E206" s="688"/>
      <c r="F206" s="689"/>
      <c r="G206" s="648"/>
      <c r="H206" s="648"/>
      <c r="I206" s="648"/>
      <c r="J206" s="714">
        <f t="shared" si="11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4">
        <f>A204</f>
        <v>1373265946</v>
      </c>
      <c r="B207" s="685"/>
      <c r="C207" s="685"/>
      <c r="D207" s="685"/>
      <c r="E207" s="685"/>
      <c r="F207" s="686"/>
      <c r="G207" s="648" t="s">
        <v>731</v>
      </c>
      <c r="H207" s="648"/>
      <c r="I207" s="648"/>
      <c r="J207" s="655">
        <f t="shared" si="11"/>
        <v>45748</v>
      </c>
      <c r="K207" s="656"/>
      <c r="L207" s="657"/>
      <c r="M207" s="648" t="s">
        <v>720</v>
      </c>
      <c r="N207" s="648"/>
      <c r="O207" s="648">
        <f>O204</f>
        <v>1</v>
      </c>
      <c r="P207" s="648"/>
      <c r="Q207" s="648"/>
      <c r="R207" s="647" t="str">
        <f>VLOOKUP(A207,Regularizare!$D:$AX,33,FALSE)&amp;" ("&amp;VLOOKUP(A207,Regularizare!$D:$AX,34,FALSE)&amp;")"</f>
        <v>52218 (citit)</v>
      </c>
      <c r="S207" s="647"/>
      <c r="T207" s="647"/>
      <c r="U207" s="647" t="str">
        <f>VLOOKUP(A207,Regularizare!$D:$AX,35,FALSE)&amp;" ("&amp;VLOOKUP(A207,Regularizare!$D:$AX,36,FALSE)&amp;")"</f>
        <v>52218 (citit)</v>
      </c>
      <c r="V207" s="647"/>
      <c r="W207" s="647"/>
      <c r="X207" s="647" t="str">
        <f>VLOOKUP(A207,Regularizare!$D:$AX,40,FALSE)&amp;" ("&amp;VLOOKUP(A207,Regularizare!$D:$AX,36,FALSE)&amp;")"</f>
        <v>0 (citit)</v>
      </c>
      <c r="Y207" s="647"/>
      <c r="Z207" s="647"/>
      <c r="AA207" s="647">
        <f>VLOOKUP(A207,Regularizare!$D:$AX,46,FALSE)+VLOOKUP(A207,Regularizare!$D:$AX,47,FALSE)</f>
        <v>0</v>
      </c>
      <c r="AB207" s="647"/>
      <c r="AC207" s="647"/>
      <c r="AD207" s="647" t="s">
        <v>69</v>
      </c>
      <c r="AE207" s="647"/>
      <c r="AF207" s="647">
        <f>AA207</f>
        <v>0</v>
      </c>
      <c r="AG207" s="647"/>
      <c r="AH207" s="647"/>
      <c r="AI207" s="647" t="str">
        <f>AI204</f>
        <v>-</v>
      </c>
      <c r="AJ207" s="647"/>
      <c r="AK207" s="647" t="str">
        <f>AK204</f>
        <v>-</v>
      </c>
      <c r="AL207" s="647"/>
      <c r="AM207" s="647"/>
    </row>
    <row r="208" spans="1:39" ht="8.4499999999999993" customHeight="1">
      <c r="A208" s="727"/>
      <c r="B208" s="729"/>
      <c r="C208" s="729"/>
      <c r="D208" s="729"/>
      <c r="E208" s="729"/>
      <c r="F208" s="728"/>
      <c r="G208" s="648"/>
      <c r="H208" s="648"/>
      <c r="I208" s="648"/>
      <c r="J208" s="717" t="str">
        <f t="shared" si="11"/>
        <v>-</v>
      </c>
      <c r="K208" s="718"/>
      <c r="L208" s="719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7"/>
      <c r="B209" s="688"/>
      <c r="C209" s="688"/>
      <c r="D209" s="688"/>
      <c r="E209" s="688"/>
      <c r="F209" s="689"/>
      <c r="G209" s="648"/>
      <c r="H209" s="648"/>
      <c r="I209" s="648"/>
      <c r="J209" s="714">
        <f t="shared" si="11"/>
        <v>45777</v>
      </c>
      <c r="K209" s="715"/>
      <c r="L209" s="716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4">
        <f>A207</f>
        <v>1373265946</v>
      </c>
      <c r="B210" s="685"/>
      <c r="C210" s="685"/>
      <c r="D210" s="685"/>
      <c r="E210" s="685"/>
      <c r="F210" s="686"/>
      <c r="G210" s="648" t="s">
        <v>730</v>
      </c>
      <c r="H210" s="648"/>
      <c r="I210" s="673"/>
      <c r="J210" s="655">
        <f>'Date masura OD'!$I$5</f>
        <v>45778</v>
      </c>
      <c r="K210" s="656"/>
      <c r="L210" s="657"/>
      <c r="M210" s="720" t="s">
        <v>446</v>
      </c>
      <c r="N210" s="648"/>
      <c r="O210" s="648">
        <f>O207</f>
        <v>1</v>
      </c>
      <c r="P210" s="648"/>
      <c r="Q210" s="648"/>
      <c r="R210" s="647" t="str">
        <f>U201</f>
        <v>1599401 (citit)</v>
      </c>
      <c r="S210" s="647"/>
      <c r="T210" s="647"/>
      <c r="U210" s="647" t="str">
        <f>VLOOKUP(A210,'Incrementare indexe'!$D:$M,4,FALSE)&amp;" (estimat)"</f>
        <v>1659185 (estimat)</v>
      </c>
      <c r="V210" s="647"/>
      <c r="W210" s="647"/>
      <c r="X210" s="647" t="str">
        <f>VLOOKUP(A210,'Incrementare indexe'!$D:$Q,11,FALSE)&amp;" (estimat)"</f>
        <v>59784 (estimat)</v>
      </c>
      <c r="Y210" s="647"/>
      <c r="Z210" s="647"/>
      <c r="AA210" s="647" t="s">
        <v>69</v>
      </c>
      <c r="AB210" s="647"/>
      <c r="AC210" s="647"/>
      <c r="AD210" s="647" t="s">
        <v>69</v>
      </c>
      <c r="AE210" s="647"/>
      <c r="AF210" s="647">
        <f>VLOOKUP(A210,'Incrementare indexe'!$D:$Q,11,FALSE)</f>
        <v>59784</v>
      </c>
      <c r="AG210" s="647"/>
      <c r="AH210" s="647"/>
      <c r="AI210" s="647">
        <f>J212-J210+1</f>
        <v>31</v>
      </c>
      <c r="AJ210" s="647"/>
      <c r="AK210" s="647">
        <f>ROUND(AF210/AI210,2)</f>
        <v>1928.52</v>
      </c>
      <c r="AL210" s="647"/>
      <c r="AM210" s="647"/>
    </row>
    <row r="211" spans="1:39" ht="8.4499999999999993" customHeight="1">
      <c r="A211" s="727"/>
      <c r="B211" s="729"/>
      <c r="C211" s="729"/>
      <c r="D211" s="729"/>
      <c r="E211" s="729"/>
      <c r="F211" s="728"/>
      <c r="G211" s="648"/>
      <c r="H211" s="648"/>
      <c r="I211" s="673"/>
      <c r="J211" s="717" t="s">
        <v>69</v>
      </c>
      <c r="K211" s="718"/>
      <c r="L211" s="719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7"/>
      <c r="B212" s="688"/>
      <c r="C212" s="688"/>
      <c r="D212" s="688"/>
      <c r="E212" s="688"/>
      <c r="F212" s="689"/>
      <c r="G212" s="648"/>
      <c r="H212" s="648"/>
      <c r="I212" s="673"/>
      <c r="J212" s="714">
        <f>'Date masura OD'!$J$5</f>
        <v>45808</v>
      </c>
      <c r="K212" s="715"/>
      <c r="L212" s="716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4">
        <f>A210</f>
        <v>1373265946</v>
      </c>
      <c r="B213" s="685"/>
      <c r="C213" s="685"/>
      <c r="D213" s="685"/>
      <c r="E213" s="685"/>
      <c r="F213" s="686"/>
      <c r="G213" s="648" t="s">
        <v>696</v>
      </c>
      <c r="H213" s="648"/>
      <c r="I213" s="648"/>
      <c r="J213" s="655">
        <f t="shared" ref="J213:J218" si="12">J210</f>
        <v>45778</v>
      </c>
      <c r="K213" s="656"/>
      <c r="L213" s="657"/>
      <c r="M213" s="648" t="s">
        <v>720</v>
      </c>
      <c r="N213" s="648"/>
      <c r="O213" s="648">
        <f>O210</f>
        <v>1</v>
      </c>
      <c r="P213" s="648"/>
      <c r="Q213" s="648"/>
      <c r="R213" s="647" t="str">
        <f>U204</f>
        <v>40326 (citit)</v>
      </c>
      <c r="S213" s="647"/>
      <c r="T213" s="647"/>
      <c r="U213" s="647" t="str">
        <f>VLOOKUP(A213,'Incrementare indexe'!$D:$M,8,FALSE)&amp;" (estimat)"</f>
        <v>40326 (estimat)</v>
      </c>
      <c r="V213" s="647"/>
      <c r="W213" s="647"/>
      <c r="X213" s="647" t="str">
        <f>VLOOKUP(A213,'Incrementare indexe'!$D:$Q,12,FALSE)&amp;" (estimat)"</f>
        <v>0 (estimat)</v>
      </c>
      <c r="Y213" s="647"/>
      <c r="Z213" s="647"/>
      <c r="AA213" s="647" t="s">
        <v>69</v>
      </c>
      <c r="AB213" s="647"/>
      <c r="AC213" s="647"/>
      <c r="AD213" s="647" t="s">
        <v>69</v>
      </c>
      <c r="AE213" s="647"/>
      <c r="AF213" s="647">
        <f>VLOOKUP(A213,'Incrementare indexe'!$D:$Q,12,FALSE)</f>
        <v>0</v>
      </c>
      <c r="AG213" s="647"/>
      <c r="AH213" s="647"/>
      <c r="AI213" s="647">
        <f>AI210</f>
        <v>31</v>
      </c>
      <c r="AJ213" s="647"/>
      <c r="AK213" s="647">
        <f>ROUND(AF213/AI213,2)</f>
        <v>0</v>
      </c>
      <c r="AL213" s="647"/>
      <c r="AM213" s="647"/>
    </row>
    <row r="214" spans="1:39" ht="8.4499999999999993" customHeight="1">
      <c r="A214" s="727"/>
      <c r="B214" s="729"/>
      <c r="C214" s="729"/>
      <c r="D214" s="729"/>
      <c r="E214" s="729"/>
      <c r="F214" s="728"/>
      <c r="G214" s="648"/>
      <c r="H214" s="648"/>
      <c r="I214" s="648"/>
      <c r="J214" s="717" t="str">
        <f t="shared" si="12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7"/>
      <c r="B215" s="688"/>
      <c r="C215" s="688"/>
      <c r="D215" s="688"/>
      <c r="E215" s="688"/>
      <c r="F215" s="689"/>
      <c r="G215" s="648"/>
      <c r="H215" s="648"/>
      <c r="I215" s="648"/>
      <c r="J215" s="714">
        <f t="shared" si="12"/>
        <v>45808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4">
        <f>A213</f>
        <v>1373265946</v>
      </c>
      <c r="B216" s="685"/>
      <c r="C216" s="685"/>
      <c r="D216" s="685"/>
      <c r="E216" s="685"/>
      <c r="F216" s="686"/>
      <c r="G216" s="648" t="s">
        <v>731</v>
      </c>
      <c r="H216" s="648"/>
      <c r="I216" s="648"/>
      <c r="J216" s="655">
        <f t="shared" si="12"/>
        <v>45778</v>
      </c>
      <c r="K216" s="656"/>
      <c r="L216" s="657"/>
      <c r="M216" s="648" t="s">
        <v>720</v>
      </c>
      <c r="N216" s="648"/>
      <c r="O216" s="648">
        <f>O213</f>
        <v>1</v>
      </c>
      <c r="P216" s="648"/>
      <c r="Q216" s="648"/>
      <c r="R216" s="647" t="str">
        <f>U207</f>
        <v>52218 (citit)</v>
      </c>
      <c r="S216" s="647"/>
      <c r="T216" s="647"/>
      <c r="U216" s="647" t="str">
        <f>VLOOKUP(A216,'Incrementare indexe'!$D:$M,10,FALSE)&amp;" (estimat)"</f>
        <v>52218 (estimat)</v>
      </c>
      <c r="V216" s="647"/>
      <c r="W216" s="647"/>
      <c r="X216" s="647" t="str">
        <f>VLOOKUP(A216,'Incrementare indexe'!$D:$Q,13,FALSE)&amp;" (estimat)"</f>
        <v>0 (estimat)</v>
      </c>
      <c r="Y216" s="647"/>
      <c r="Z216" s="647"/>
      <c r="AA216" s="647" t="s">
        <v>69</v>
      </c>
      <c r="AB216" s="647"/>
      <c r="AC216" s="647"/>
      <c r="AD216" s="647" t="s">
        <v>69</v>
      </c>
      <c r="AE216" s="647"/>
      <c r="AF216" s="647">
        <f>VLOOKUP(A216,'Incrementare indexe'!$D:$Q,13,FALSE)</f>
        <v>0</v>
      </c>
      <c r="AG216" s="647"/>
      <c r="AH216" s="647"/>
      <c r="AI216" s="647">
        <f>AI213</f>
        <v>31</v>
      </c>
      <c r="AJ216" s="647"/>
      <c r="AK216" s="647">
        <f>ROUND(AF216/AI216,2)</f>
        <v>0</v>
      </c>
      <c r="AL216" s="647"/>
      <c r="AM216" s="647"/>
    </row>
    <row r="217" spans="1:39" ht="8.4499999999999993" customHeight="1">
      <c r="A217" s="727"/>
      <c r="B217" s="729"/>
      <c r="C217" s="729"/>
      <c r="D217" s="729"/>
      <c r="E217" s="729"/>
      <c r="F217" s="728"/>
      <c r="G217" s="648"/>
      <c r="H217" s="648"/>
      <c r="I217" s="648"/>
      <c r="J217" s="717" t="str">
        <f t="shared" si="12"/>
        <v>-</v>
      </c>
      <c r="K217" s="718"/>
      <c r="L217" s="719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7"/>
      <c r="B218" s="688"/>
      <c r="C218" s="688"/>
      <c r="D218" s="688"/>
      <c r="E218" s="688"/>
      <c r="F218" s="689"/>
      <c r="G218" s="648"/>
      <c r="H218" s="648"/>
      <c r="I218" s="648"/>
      <c r="J218" s="714">
        <f t="shared" si="12"/>
        <v>45808</v>
      </c>
      <c r="K218" s="715"/>
      <c r="L218" s="716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/>
    <row r="220" spans="1:39" ht="14.1" customHeight="1">
      <c r="A220" s="721" t="s">
        <v>1196</v>
      </c>
      <c r="B220" s="722"/>
      <c r="C220" s="722"/>
      <c r="D220" s="722"/>
      <c r="E220" s="722"/>
      <c r="F220" s="722"/>
      <c r="G220" s="722"/>
      <c r="H220" s="722"/>
      <c r="I220" s="722"/>
      <c r="J220" s="722"/>
      <c r="K220" s="722"/>
      <c r="L220" s="722"/>
      <c r="M220" s="722"/>
      <c r="N220" s="722"/>
      <c r="O220" s="722"/>
      <c r="P220" s="722"/>
      <c r="Q220" s="722"/>
      <c r="R220" s="722"/>
      <c r="S220" s="722"/>
      <c r="T220" s="722"/>
      <c r="U220" s="722"/>
      <c r="V220" s="722"/>
      <c r="W220" s="722"/>
      <c r="X220" s="722"/>
      <c r="Y220" s="722"/>
      <c r="Z220" s="722"/>
      <c r="AA220" s="722"/>
      <c r="AB220" s="722"/>
      <c r="AC220" s="722"/>
      <c r="AD220" s="722"/>
      <c r="AE220" s="722"/>
      <c r="AF220" s="722"/>
      <c r="AG220" s="722"/>
      <c r="AH220" s="723"/>
      <c r="AI220" s="650" t="s">
        <v>695</v>
      </c>
      <c r="AJ220" s="650"/>
      <c r="AK220" s="650"/>
      <c r="AL220" s="650"/>
      <c r="AM220" s="650"/>
    </row>
    <row r="221" spans="1:39" ht="14.1" customHeight="1">
      <c r="A221" s="649" t="s">
        <v>746</v>
      </c>
      <c r="B221" s="649"/>
      <c r="C221" s="649"/>
      <c r="D221" s="649"/>
      <c r="E221" s="649"/>
      <c r="F221" s="649"/>
      <c r="G221" s="649"/>
      <c r="H221" s="649"/>
      <c r="I221" s="649"/>
      <c r="J221" s="649"/>
      <c r="K221" s="649"/>
      <c r="L221" s="649"/>
      <c r="M221" s="650" t="s">
        <v>514</v>
      </c>
      <c r="N221" s="650"/>
      <c r="O221" s="650"/>
      <c r="P221" s="650"/>
      <c r="Q221" s="650"/>
      <c r="R221" s="650"/>
      <c r="S221" s="650"/>
      <c r="T221" s="650"/>
      <c r="U221" s="650"/>
      <c r="V221" s="650"/>
      <c r="W221" s="650"/>
      <c r="X221" s="650"/>
      <c r="Y221" s="650"/>
      <c r="Z221" s="650"/>
      <c r="AA221" s="650"/>
      <c r="AB221" s="650"/>
      <c r="AC221" s="650"/>
      <c r="AD221" s="650"/>
      <c r="AE221" s="650"/>
      <c r="AF221" s="650"/>
      <c r="AG221" s="650"/>
      <c r="AH221" s="650"/>
      <c r="AI221" s="619" t="str">
        <f>_xlfn.CONCAT(AI187,"/PV")</f>
        <v>RAMB_2.2/PV</v>
      </c>
      <c r="AJ221" s="619"/>
      <c r="AK221" s="619"/>
      <c r="AL221" s="619"/>
      <c r="AM221" s="619"/>
    </row>
    <row r="222" spans="1:39" ht="14.1" customHeight="1">
      <c r="A222" s="649" t="s">
        <v>747</v>
      </c>
      <c r="B222" s="649"/>
      <c r="C222" s="649"/>
      <c r="D222" s="649"/>
      <c r="E222" s="649"/>
      <c r="F222" s="649"/>
      <c r="G222" s="649"/>
      <c r="H222" s="649"/>
      <c r="I222" s="649"/>
      <c r="J222" s="649"/>
      <c r="K222" s="649"/>
      <c r="L222" s="649"/>
      <c r="M222" s="650" t="s">
        <v>1087</v>
      </c>
      <c r="N222" s="650"/>
      <c r="O222" s="650"/>
      <c r="P222" s="650"/>
      <c r="Q222" s="650"/>
      <c r="R222" s="650"/>
      <c r="S222" s="650"/>
      <c r="T222" s="650"/>
      <c r="U222" s="650"/>
      <c r="V222" s="650"/>
      <c r="W222" s="650"/>
      <c r="X222" s="650"/>
      <c r="Y222" s="650"/>
      <c r="Z222" s="650"/>
      <c r="AA222" s="650"/>
      <c r="AB222" s="650"/>
      <c r="AC222" s="650"/>
      <c r="AD222" s="650"/>
      <c r="AE222" s="650"/>
      <c r="AF222" s="650"/>
      <c r="AG222" s="650"/>
      <c r="AH222" s="650"/>
      <c r="AI222" s="619"/>
      <c r="AJ222" s="619"/>
      <c r="AK222" s="619"/>
      <c r="AL222" s="619"/>
      <c r="AM222" s="619"/>
    </row>
    <row r="223" spans="1:39" ht="14.1" customHeight="1">
      <c r="A223" s="648" t="s">
        <v>697</v>
      </c>
      <c r="B223" s="648"/>
      <c r="C223" s="648"/>
      <c r="D223" s="648"/>
      <c r="E223" s="648"/>
      <c r="F223" s="648"/>
      <c r="G223" s="647" t="s">
        <v>713</v>
      </c>
      <c r="H223" s="647"/>
      <c r="I223" s="647"/>
      <c r="J223" s="647" t="s">
        <v>714</v>
      </c>
      <c r="K223" s="647"/>
      <c r="L223" s="647"/>
      <c r="M223" s="648" t="s">
        <v>519</v>
      </c>
      <c r="N223" s="648"/>
      <c r="O223" s="648" t="s">
        <v>715</v>
      </c>
      <c r="P223" s="648"/>
      <c r="Q223" s="648"/>
      <c r="R223" s="647" t="s">
        <v>732</v>
      </c>
      <c r="S223" s="647"/>
      <c r="T223" s="647"/>
      <c r="U223" s="647" t="s">
        <v>734</v>
      </c>
      <c r="V223" s="647"/>
      <c r="W223" s="647"/>
      <c r="X223" s="647" t="s">
        <v>1085</v>
      </c>
      <c r="Y223" s="647"/>
      <c r="Z223" s="647"/>
      <c r="AA223" s="647" t="s">
        <v>1086</v>
      </c>
      <c r="AB223" s="647"/>
      <c r="AC223" s="647"/>
      <c r="AD223" s="647" t="s">
        <v>717</v>
      </c>
      <c r="AE223" s="647"/>
      <c r="AF223" s="647" t="s">
        <v>718</v>
      </c>
      <c r="AG223" s="647"/>
      <c r="AH223" s="647"/>
      <c r="AI223" s="647" t="s">
        <v>719</v>
      </c>
      <c r="AJ223" s="647"/>
      <c r="AK223" s="647" t="s">
        <v>733</v>
      </c>
      <c r="AL223" s="647"/>
      <c r="AM223" s="647"/>
    </row>
    <row r="224" spans="1:39" ht="14.1" customHeight="1">
      <c r="A224" s="648"/>
      <c r="B224" s="648"/>
      <c r="C224" s="648"/>
      <c r="D224" s="648"/>
      <c r="E224" s="648"/>
      <c r="F224" s="648"/>
      <c r="G224" s="647"/>
      <c r="H224" s="647"/>
      <c r="I224" s="647"/>
      <c r="J224" s="647"/>
      <c r="K224" s="647"/>
      <c r="L224" s="647"/>
      <c r="M224" s="648"/>
      <c r="N224" s="648"/>
      <c r="O224" s="648"/>
      <c r="P224" s="648"/>
      <c r="Q224" s="648"/>
      <c r="R224" s="647"/>
      <c r="S224" s="647"/>
      <c r="T224" s="647"/>
      <c r="U224" s="647"/>
      <c r="V224" s="647"/>
      <c r="W224" s="647"/>
      <c r="X224" s="647"/>
      <c r="Y224" s="647"/>
      <c r="Z224" s="647"/>
      <c r="AA224" s="647"/>
      <c r="AB224" s="647"/>
      <c r="AC224" s="647"/>
      <c r="AD224" s="647"/>
      <c r="AE224" s="647"/>
      <c r="AF224" s="647"/>
      <c r="AG224" s="647"/>
      <c r="AH224" s="647"/>
      <c r="AI224" s="647"/>
      <c r="AJ224" s="647"/>
      <c r="AK224" s="647"/>
      <c r="AL224" s="647"/>
      <c r="AM224" s="647"/>
    </row>
    <row r="225" spans="1:39" ht="14.1" customHeight="1">
      <c r="A225" s="648"/>
      <c r="B225" s="648"/>
      <c r="C225" s="648"/>
      <c r="D225" s="648"/>
      <c r="E225" s="648"/>
      <c r="F225" s="648"/>
      <c r="G225" s="647"/>
      <c r="H225" s="647"/>
      <c r="I225" s="647"/>
      <c r="J225" s="713"/>
      <c r="K225" s="713"/>
      <c r="L225" s="713"/>
      <c r="M225" s="648"/>
      <c r="N225" s="648"/>
      <c r="O225" s="648"/>
      <c r="P225" s="648"/>
      <c r="Q225" s="648"/>
      <c r="R225" s="647"/>
      <c r="S225" s="647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647"/>
      <c r="AL225" s="647"/>
      <c r="AM225" s="647"/>
    </row>
    <row r="226" spans="1:39" ht="14.1" customHeight="1">
      <c r="A226" s="678">
        <f>VLOOKUP(AI221,'Incrementare indexe'!$B:$I,3,FALSE)</f>
        <v>1373265936</v>
      </c>
      <c r="B226" s="679"/>
      <c r="C226" s="679"/>
      <c r="D226" s="679"/>
      <c r="E226" s="679"/>
      <c r="F226" s="680"/>
      <c r="G226" s="647" t="s">
        <v>1088</v>
      </c>
      <c r="H226" s="647"/>
      <c r="I226" s="675"/>
      <c r="J226" s="655">
        <f>'Date masura OD'!$I$5</f>
        <v>45778</v>
      </c>
      <c r="K226" s="656"/>
      <c r="L226" s="657"/>
      <c r="M226" s="720" t="s">
        <v>446</v>
      </c>
      <c r="N226" s="648"/>
      <c r="O226" s="648">
        <f>VLOOKUP(AI221,'Incrementare indexe'!$B:$I,4,FALSE)</f>
        <v>1</v>
      </c>
      <c r="P226" s="648"/>
      <c r="Q226" s="648"/>
      <c r="R226" s="647" t="str">
        <f>VLOOKUP(AI221,'Incrementare indexe'!$B:$I,7,FALSE)&amp;" (citit)"</f>
        <v>783769 (citit)</v>
      </c>
      <c r="S226" s="647"/>
      <c r="T226" s="647"/>
      <c r="U226" s="647" t="str">
        <f>VLOOKUP(AI221,'Incrementare indexe'!$B:$I,8,FALSE)&amp;" (citit)"</f>
        <v>859518 (citit)</v>
      </c>
      <c r="V226" s="647"/>
      <c r="W226" s="647"/>
      <c r="X226" s="647" t="str">
        <f>(VLOOKUP(AI221,'Incrementare indexe'!$B:$I,8,FALSE)-VLOOKUP(AI221,'Incrementare indexe'!$B:$I,7,FALSE))&amp;" (citit)"</f>
        <v>75749 (citit)</v>
      </c>
      <c r="Y226" s="647"/>
      <c r="Z226" s="647"/>
      <c r="AA226" s="647" t="s">
        <v>69</v>
      </c>
      <c r="AB226" s="647"/>
      <c r="AC226" s="647"/>
      <c r="AD226" s="647" t="s">
        <v>69</v>
      </c>
      <c r="AE226" s="647"/>
      <c r="AF226" s="647">
        <f>(VLOOKUP(AI221,'Incrementare indexe'!$B:$I,8,FALSE)-VLOOKUP(AI221,'Incrementare indexe'!$B:$I,7,FALSE))</f>
        <v>75749</v>
      </c>
      <c r="AG226" s="647"/>
      <c r="AH226" s="647"/>
      <c r="AI226" s="647">
        <f>J228-J226+1</f>
        <v>31</v>
      </c>
      <c r="AJ226" s="647"/>
      <c r="AK226" s="647">
        <f>ROUND(AF226/AI226,2)</f>
        <v>2443.52</v>
      </c>
      <c r="AL226" s="647"/>
      <c r="AM226" s="647"/>
    </row>
    <row r="227" spans="1:39" ht="14.1" customHeight="1">
      <c r="A227" s="717"/>
      <c r="B227" s="718"/>
      <c r="C227" s="718"/>
      <c r="D227" s="718"/>
      <c r="E227" s="718"/>
      <c r="F227" s="719"/>
      <c r="G227" s="647"/>
      <c r="H227" s="647"/>
      <c r="I227" s="675"/>
      <c r="J227" s="717" t="s">
        <v>69</v>
      </c>
      <c r="K227" s="718"/>
      <c r="L227" s="719"/>
      <c r="M227" s="720"/>
      <c r="N227" s="648"/>
      <c r="O227" s="648"/>
      <c r="P227" s="648"/>
      <c r="Q227" s="648"/>
      <c r="R227" s="647"/>
      <c r="S227" s="647"/>
      <c r="T227" s="647"/>
      <c r="U227" s="647"/>
      <c r="V227" s="647"/>
      <c r="W227" s="647"/>
      <c r="X227" s="647"/>
      <c r="Y227" s="647"/>
      <c r="Z227" s="647"/>
      <c r="AA227" s="647"/>
      <c r="AB227" s="647"/>
      <c r="AC227" s="647"/>
      <c r="AD227" s="647"/>
      <c r="AE227" s="647"/>
      <c r="AF227" s="647"/>
      <c r="AG227" s="647"/>
      <c r="AH227" s="647"/>
      <c r="AI227" s="647"/>
      <c r="AJ227" s="647"/>
      <c r="AK227" s="647"/>
      <c r="AL227" s="647"/>
      <c r="AM227" s="647"/>
    </row>
    <row r="228" spans="1:39" ht="14.1" customHeight="1">
      <c r="A228" s="681"/>
      <c r="B228" s="682"/>
      <c r="C228" s="682"/>
      <c r="D228" s="682"/>
      <c r="E228" s="682"/>
      <c r="F228" s="683"/>
      <c r="G228" s="647"/>
      <c r="H228" s="647"/>
      <c r="I228" s="675"/>
      <c r="J228" s="714">
        <f>'Date masura OD'!$J$5</f>
        <v>45808</v>
      </c>
      <c r="K228" s="715"/>
      <c r="L228" s="716"/>
      <c r="M228" s="720"/>
      <c r="N228" s="648"/>
      <c r="O228" s="648"/>
      <c r="P228" s="648"/>
      <c r="Q228" s="648"/>
      <c r="R228" s="647"/>
      <c r="S228" s="647"/>
      <c r="T228" s="647"/>
      <c r="U228" s="647"/>
      <c r="V228" s="647"/>
      <c r="W228" s="647"/>
      <c r="X228" s="647"/>
      <c r="Y228" s="647"/>
      <c r="Z228" s="647"/>
      <c r="AA228" s="647"/>
      <c r="AB228" s="647"/>
      <c r="AC228" s="647"/>
      <c r="AD228" s="647"/>
      <c r="AE228" s="647"/>
      <c r="AF228" s="647"/>
      <c r="AG228" s="647"/>
      <c r="AH228" s="647"/>
      <c r="AI228" s="647"/>
      <c r="AJ228" s="647"/>
      <c r="AK228" s="647"/>
      <c r="AL228" s="647"/>
      <c r="AM228" s="647"/>
    </row>
    <row r="229" spans="1:39" ht="14.1" customHeight="1">
      <c r="A229" s="678">
        <f>A226</f>
        <v>1373265936</v>
      </c>
      <c r="B229" s="679"/>
      <c r="C229" s="679"/>
      <c r="D229" s="679"/>
      <c r="E229" s="679"/>
      <c r="F229" s="680"/>
      <c r="G229" s="648" t="s">
        <v>696</v>
      </c>
      <c r="H229" s="648"/>
      <c r="I229" s="648"/>
      <c r="J229" s="655">
        <f t="shared" ref="J229:J234" si="13">J226</f>
        <v>45778</v>
      </c>
      <c r="K229" s="656"/>
      <c r="L229" s="657"/>
      <c r="M229" s="648" t="s">
        <v>720</v>
      </c>
      <c r="N229" s="648"/>
      <c r="O229" s="648">
        <f>O226</f>
        <v>1</v>
      </c>
      <c r="P229" s="648"/>
      <c r="Q229" s="648"/>
      <c r="R229" s="647" t="s">
        <v>1089</v>
      </c>
      <c r="S229" s="647"/>
      <c r="T229" s="647"/>
      <c r="U229" s="647" t="s">
        <v>1089</v>
      </c>
      <c r="V229" s="647"/>
      <c r="W229" s="647"/>
      <c r="X229" s="647" t="s">
        <v>1089</v>
      </c>
      <c r="Y229" s="647"/>
      <c r="Z229" s="647"/>
      <c r="AA229" s="647" t="s">
        <v>69</v>
      </c>
      <c r="AB229" s="647"/>
      <c r="AC229" s="647"/>
      <c r="AD229" s="647" t="s">
        <v>69</v>
      </c>
      <c r="AE229" s="647"/>
      <c r="AF229" s="647">
        <v>0</v>
      </c>
      <c r="AG229" s="647"/>
      <c r="AH229" s="647"/>
      <c r="AI229" s="647">
        <f>AI226</f>
        <v>31</v>
      </c>
      <c r="AJ229" s="647"/>
      <c r="AK229" s="647">
        <f>ROUND(AF229/AI229,2)</f>
        <v>0</v>
      </c>
      <c r="AL229" s="647"/>
      <c r="AM229" s="647"/>
    </row>
    <row r="230" spans="1:39" ht="14.1" customHeight="1">
      <c r="A230" s="717"/>
      <c r="B230" s="718"/>
      <c r="C230" s="718"/>
      <c r="D230" s="718"/>
      <c r="E230" s="718"/>
      <c r="F230" s="719"/>
      <c r="G230" s="648"/>
      <c r="H230" s="648"/>
      <c r="I230" s="648"/>
      <c r="J230" s="717" t="str">
        <f t="shared" si="13"/>
        <v>-</v>
      </c>
      <c r="K230" s="718"/>
      <c r="L230" s="719"/>
      <c r="M230" s="648"/>
      <c r="N230" s="648"/>
      <c r="O230" s="648"/>
      <c r="P230" s="648"/>
      <c r="Q230" s="648"/>
      <c r="R230" s="647"/>
      <c r="S230" s="647"/>
      <c r="T230" s="647"/>
      <c r="U230" s="647"/>
      <c r="V230" s="647"/>
      <c r="W230" s="647"/>
      <c r="X230" s="647"/>
      <c r="Y230" s="647"/>
      <c r="Z230" s="647"/>
      <c r="AA230" s="647"/>
      <c r="AB230" s="647"/>
      <c r="AC230" s="647"/>
      <c r="AD230" s="647"/>
      <c r="AE230" s="647"/>
      <c r="AF230" s="647"/>
      <c r="AG230" s="647"/>
      <c r="AH230" s="647"/>
      <c r="AI230" s="647"/>
      <c r="AJ230" s="647"/>
      <c r="AK230" s="647"/>
      <c r="AL230" s="647"/>
      <c r="AM230" s="647"/>
    </row>
    <row r="231" spans="1:39" ht="14.1" customHeight="1">
      <c r="A231" s="681"/>
      <c r="B231" s="682"/>
      <c r="C231" s="682"/>
      <c r="D231" s="682"/>
      <c r="E231" s="682"/>
      <c r="F231" s="683"/>
      <c r="G231" s="648"/>
      <c r="H231" s="648"/>
      <c r="I231" s="648"/>
      <c r="J231" s="714">
        <f t="shared" si="13"/>
        <v>45808</v>
      </c>
      <c r="K231" s="715"/>
      <c r="L231" s="716"/>
      <c r="M231" s="648"/>
      <c r="N231" s="648"/>
      <c r="O231" s="648"/>
      <c r="P231" s="648"/>
      <c r="Q231" s="648"/>
      <c r="R231" s="647"/>
      <c r="S231" s="647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647"/>
      <c r="AL231" s="647"/>
      <c r="AM231" s="647"/>
    </row>
    <row r="232" spans="1:39" ht="14.1" customHeight="1">
      <c r="A232" s="678">
        <f>A229</f>
        <v>1373265936</v>
      </c>
      <c r="B232" s="679"/>
      <c r="C232" s="679"/>
      <c r="D232" s="679"/>
      <c r="E232" s="679"/>
      <c r="F232" s="680"/>
      <c r="G232" s="648" t="s">
        <v>731</v>
      </c>
      <c r="H232" s="648"/>
      <c r="I232" s="648"/>
      <c r="J232" s="655">
        <f t="shared" si="13"/>
        <v>45778</v>
      </c>
      <c r="K232" s="656"/>
      <c r="L232" s="657"/>
      <c r="M232" s="648" t="s">
        <v>720</v>
      </c>
      <c r="N232" s="648"/>
      <c r="O232" s="648">
        <f>O229</f>
        <v>1</v>
      </c>
      <c r="P232" s="648"/>
      <c r="Q232" s="648"/>
      <c r="R232" s="647" t="s">
        <v>1089</v>
      </c>
      <c r="S232" s="647"/>
      <c r="T232" s="647"/>
      <c r="U232" s="647" t="s">
        <v>1089</v>
      </c>
      <c r="V232" s="647"/>
      <c r="W232" s="647"/>
      <c r="X232" s="647" t="s">
        <v>1089</v>
      </c>
      <c r="Y232" s="647"/>
      <c r="Z232" s="647"/>
      <c r="AA232" s="647" t="s">
        <v>69</v>
      </c>
      <c r="AB232" s="647"/>
      <c r="AC232" s="647"/>
      <c r="AD232" s="647" t="s">
        <v>69</v>
      </c>
      <c r="AE232" s="647"/>
      <c r="AF232" s="647">
        <v>0</v>
      </c>
      <c r="AG232" s="647"/>
      <c r="AH232" s="647"/>
      <c r="AI232" s="647">
        <f>AI229</f>
        <v>31</v>
      </c>
      <c r="AJ232" s="647"/>
      <c r="AK232" s="647">
        <f>ROUND(AF232/AI232,2)</f>
        <v>0</v>
      </c>
      <c r="AL232" s="647"/>
      <c r="AM232" s="647"/>
    </row>
    <row r="233" spans="1:39" ht="14.1" customHeight="1">
      <c r="A233" s="717"/>
      <c r="B233" s="718"/>
      <c r="C233" s="718"/>
      <c r="D233" s="718"/>
      <c r="E233" s="718"/>
      <c r="F233" s="719"/>
      <c r="G233" s="648"/>
      <c r="H233" s="648"/>
      <c r="I233" s="648"/>
      <c r="J233" s="717" t="str">
        <f t="shared" si="13"/>
        <v>-</v>
      </c>
      <c r="K233" s="718"/>
      <c r="L233" s="719"/>
      <c r="M233" s="648"/>
      <c r="N233" s="648"/>
      <c r="O233" s="648"/>
      <c r="P233" s="648"/>
      <c r="Q233" s="648"/>
      <c r="R233" s="647"/>
      <c r="S233" s="647"/>
      <c r="T233" s="647"/>
      <c r="U233" s="647"/>
      <c r="V233" s="647"/>
      <c r="W233" s="647"/>
      <c r="X233" s="647"/>
      <c r="Y233" s="647"/>
      <c r="Z233" s="647"/>
      <c r="AA233" s="647"/>
      <c r="AB233" s="647"/>
      <c r="AC233" s="647"/>
      <c r="AD233" s="647"/>
      <c r="AE233" s="647"/>
      <c r="AF233" s="647"/>
      <c r="AG233" s="647"/>
      <c r="AH233" s="647"/>
      <c r="AI233" s="647"/>
      <c r="AJ233" s="647"/>
      <c r="AK233" s="647"/>
      <c r="AL233" s="647"/>
      <c r="AM233" s="647"/>
    </row>
    <row r="234" spans="1:39" ht="14.1" customHeight="1">
      <c r="A234" s="681"/>
      <c r="B234" s="682"/>
      <c r="C234" s="682"/>
      <c r="D234" s="682"/>
      <c r="E234" s="682"/>
      <c r="F234" s="683"/>
      <c r="G234" s="648"/>
      <c r="H234" s="648"/>
      <c r="I234" s="648"/>
      <c r="J234" s="714">
        <f t="shared" si="13"/>
        <v>45808</v>
      </c>
      <c r="K234" s="715"/>
      <c r="L234" s="716"/>
      <c r="M234" s="648"/>
      <c r="N234" s="648"/>
      <c r="O234" s="648"/>
      <c r="P234" s="648"/>
      <c r="Q234" s="648"/>
      <c r="R234" s="647"/>
      <c r="S234" s="647"/>
      <c r="T234" s="647"/>
      <c r="U234" s="647"/>
      <c r="V234" s="647"/>
      <c r="W234" s="647"/>
      <c r="X234" s="647"/>
      <c r="Y234" s="647"/>
      <c r="Z234" s="647"/>
      <c r="AA234" s="647"/>
      <c r="AB234" s="647"/>
      <c r="AC234" s="647"/>
      <c r="AD234" s="647"/>
      <c r="AE234" s="647"/>
      <c r="AF234" s="647"/>
      <c r="AG234" s="647"/>
      <c r="AH234" s="647"/>
      <c r="AI234" s="647"/>
      <c r="AJ234" s="647"/>
      <c r="AK234" s="647"/>
      <c r="AL234" s="647"/>
      <c r="AM234" s="647"/>
    </row>
    <row r="235" spans="1:39" ht="14.1" customHeight="1"/>
    <row r="236" spans="1:39" ht="14.1" customHeight="1"/>
    <row r="237" spans="1:39" ht="14.1" customHeight="1"/>
    <row r="238" spans="1:39" ht="14.1" customHeight="1"/>
    <row r="239" spans="1:39" ht="15.95" customHeight="1">
      <c r="A239" s="624" t="str">
        <f>A27</f>
        <v>DETALII FACTURA FACTURA FISCALA SERIA …........ NR …................. din date de ….......06.2025</v>
      </c>
      <c r="B239" s="624"/>
      <c r="C239" s="624"/>
      <c r="D239" s="624"/>
      <c r="E239" s="624"/>
      <c r="F239" s="624"/>
      <c r="G239" s="624"/>
      <c r="H239" s="624"/>
      <c r="I239" s="624"/>
      <c r="J239" s="624"/>
      <c r="K239" s="624"/>
      <c r="L239" s="624"/>
      <c r="M239" s="624"/>
      <c r="N239" s="624"/>
      <c r="O239" s="624"/>
      <c r="P239" s="624"/>
      <c r="Q239" s="624"/>
      <c r="R239" s="624"/>
      <c r="S239" s="624"/>
      <c r="T239" s="624"/>
      <c r="U239" s="624"/>
      <c r="V239" s="624"/>
      <c r="W239" s="624"/>
      <c r="X239" s="624"/>
      <c r="Y239" s="624"/>
      <c r="Z239" s="624"/>
      <c r="AA239" s="624"/>
      <c r="AB239" s="624"/>
      <c r="AC239" s="624"/>
      <c r="AD239" s="624"/>
      <c r="AE239" s="624"/>
      <c r="AF239" s="624"/>
      <c r="AG239" s="624"/>
      <c r="AH239" s="624"/>
      <c r="AI239" s="624"/>
      <c r="AJ239" s="624"/>
      <c r="AK239" s="624"/>
      <c r="AL239" s="624"/>
      <c r="AM239" s="624"/>
    </row>
    <row r="241" spans="1:39" ht="36" customHeight="1">
      <c r="A241" s="66" t="s">
        <v>721</v>
      </c>
      <c r="B241" s="648" t="s">
        <v>95</v>
      </c>
      <c r="C241" s="648"/>
      <c r="D241" s="648"/>
      <c r="E241" s="648"/>
      <c r="F241" s="648"/>
      <c r="G241" s="648"/>
      <c r="H241" s="648"/>
      <c r="I241" s="648"/>
      <c r="J241" s="648"/>
      <c r="K241" s="648"/>
      <c r="L241" s="64" t="s">
        <v>709</v>
      </c>
      <c r="M241" s="69"/>
      <c r="N241" s="69"/>
      <c r="O241" s="64"/>
      <c r="P241" s="69"/>
      <c r="Q241" s="69"/>
      <c r="R241" s="647" t="s">
        <v>722</v>
      </c>
      <c r="S241" s="647"/>
      <c r="T241" s="647"/>
      <c r="U241" s="647"/>
      <c r="V241" s="648" t="s">
        <v>519</v>
      </c>
      <c r="W241" s="648"/>
      <c r="X241" s="647" t="s">
        <v>723</v>
      </c>
      <c r="Y241" s="647"/>
      <c r="Z241" s="647"/>
      <c r="AA241" s="647"/>
      <c r="AB241" s="647" t="s">
        <v>724</v>
      </c>
      <c r="AC241" s="647"/>
      <c r="AD241" s="647"/>
      <c r="AE241" s="647"/>
      <c r="AF241" s="647" t="s">
        <v>725</v>
      </c>
      <c r="AG241" s="647"/>
      <c r="AH241" s="647"/>
      <c r="AI241" s="647"/>
      <c r="AJ241" s="647" t="s">
        <v>726</v>
      </c>
      <c r="AK241" s="647"/>
      <c r="AL241" s="647"/>
      <c r="AM241" s="647"/>
    </row>
    <row r="242" spans="1:39" ht="15.95" customHeight="1">
      <c r="A242" s="65">
        <v>1</v>
      </c>
      <c r="B242" s="699" t="s">
        <v>71</v>
      </c>
      <c r="C242" s="700"/>
      <c r="D242" s="700"/>
      <c r="E242" s="700"/>
      <c r="F242" s="700"/>
      <c r="G242" s="700"/>
      <c r="H242" s="700"/>
      <c r="I242" s="700"/>
      <c r="J242" s="700"/>
      <c r="K242" s="701"/>
      <c r="L242" s="763">
        <f>'Date masura OD'!$I$5</f>
        <v>45778</v>
      </c>
      <c r="M242" s="764"/>
      <c r="N242" s="765"/>
      <c r="O242" s="763">
        <f>'Date masura OD'!$J$5</f>
        <v>45808</v>
      </c>
      <c r="P242" s="764"/>
      <c r="Q242" s="765"/>
      <c r="R242" s="772" cm="1">
        <f t="array" ref="R242">INDEX(verificare!$AT$4:$CC$26,VLOOKUP($AA$16,verificare!$AR$4:$AS$26,2,FALSE),A242)</f>
        <v>326783</v>
      </c>
      <c r="S242" s="773"/>
      <c r="T242" s="773"/>
      <c r="U242" s="774"/>
      <c r="V242" s="724" t="s">
        <v>446</v>
      </c>
      <c r="W242" s="725"/>
      <c r="X242" s="691">
        <f>HLOOKUP(VLOOKUP($AA$16,'Date SPV'!$B:$F,5,FALSE),'Preturi si tarife'!$C$2:$J$39,A242+2,FALSE)</f>
        <v>0.59499999999999997</v>
      </c>
      <c r="Y242" s="692"/>
      <c r="Z242" s="692"/>
      <c r="AA242" s="693"/>
      <c r="AB242" s="772">
        <f>ROUND(X242*R242,2)</f>
        <v>194435.89</v>
      </c>
      <c r="AC242" s="773"/>
      <c r="AD242" s="773"/>
      <c r="AE242" s="774"/>
      <c r="AF242" s="772">
        <f>ROUND(AB242*19%,2)</f>
        <v>36942.82</v>
      </c>
      <c r="AG242" s="773"/>
      <c r="AH242" s="773"/>
      <c r="AI242" s="774"/>
      <c r="AJ242" s="772">
        <f>AB242+AF242</f>
        <v>231378.71000000002</v>
      </c>
      <c r="AK242" s="773"/>
      <c r="AL242" s="773"/>
      <c r="AM242" s="774"/>
    </row>
    <row r="243" spans="1:39" ht="15.95" customHeight="1">
      <c r="A243" s="65">
        <f>A242+1</f>
        <v>2</v>
      </c>
      <c r="B243" s="699" t="s">
        <v>72</v>
      </c>
      <c r="C243" s="700"/>
      <c r="D243" s="700"/>
      <c r="E243" s="700"/>
      <c r="F243" s="700"/>
      <c r="G243" s="700"/>
      <c r="H243" s="700"/>
      <c r="I243" s="700"/>
      <c r="J243" s="700"/>
      <c r="K243" s="701"/>
      <c r="L243" s="763">
        <f>L242</f>
        <v>45778</v>
      </c>
      <c r="M243" s="764"/>
      <c r="N243" s="765"/>
      <c r="O243" s="763">
        <f>O242</f>
        <v>45808</v>
      </c>
      <c r="P243" s="764"/>
      <c r="Q243" s="765"/>
      <c r="R243" s="772" cm="1">
        <f t="array" ref="R243">INDEX(verificare!$AT$4:$CC$26,VLOOKUP($AA$16,verificare!$AR$4:$AS$26,2,FALSE),A243)</f>
        <v>0</v>
      </c>
      <c r="S243" s="773"/>
      <c r="T243" s="773"/>
      <c r="U243" s="774"/>
      <c r="V243" s="724" t="s">
        <v>727</v>
      </c>
      <c r="W243" s="725"/>
      <c r="X243" s="691">
        <f>HLOOKUP(VLOOKUP($AA$16,'Date SPV'!$B:$F,5,FALSE),'Preturi si tarife'!$C$2:$J$39,A243+2,FALSE)</f>
        <v>0.14649999999999999</v>
      </c>
      <c r="Y243" s="692"/>
      <c r="Z243" s="692"/>
      <c r="AA243" s="693"/>
      <c r="AB243" s="772">
        <f t="shared" ref="AB243:AB277" si="14">ROUND(X243*R243,2)</f>
        <v>0</v>
      </c>
      <c r="AC243" s="773"/>
      <c r="AD243" s="773"/>
      <c r="AE243" s="774"/>
      <c r="AF243" s="772">
        <f t="shared" ref="AF243:AF278" si="15">ROUND(AB243*19%,2)</f>
        <v>0</v>
      </c>
      <c r="AG243" s="773"/>
      <c r="AH243" s="773"/>
      <c r="AI243" s="774"/>
      <c r="AJ243" s="772">
        <f t="shared" ref="AJ243:AJ278" si="16">AB243+AF243</f>
        <v>0</v>
      </c>
      <c r="AK243" s="773"/>
      <c r="AL243" s="773"/>
      <c r="AM243" s="774"/>
    </row>
    <row r="244" spans="1:39" ht="15.95" customHeight="1">
      <c r="A244" s="65">
        <f t="shared" ref="A244:A278" si="17">A243+1</f>
        <v>3</v>
      </c>
      <c r="B244" s="699" t="s">
        <v>73</v>
      </c>
      <c r="C244" s="700"/>
      <c r="D244" s="700"/>
      <c r="E244" s="700"/>
      <c r="F244" s="700"/>
      <c r="G244" s="700"/>
      <c r="H244" s="700"/>
      <c r="I244" s="700"/>
      <c r="J244" s="700"/>
      <c r="K244" s="701"/>
      <c r="L244" s="763">
        <f t="shared" ref="L244:L259" si="18">L243</f>
        <v>45778</v>
      </c>
      <c r="M244" s="764"/>
      <c r="N244" s="765"/>
      <c r="O244" s="763">
        <f t="shared" ref="O244:O259" si="19">O243</f>
        <v>45808</v>
      </c>
      <c r="P244" s="764"/>
      <c r="Q244" s="765"/>
      <c r="R244" s="772" cm="1">
        <f t="array" ref="R244">INDEX(verificare!$AT$4:$CC$26,VLOOKUP($AA$16,verificare!$AR$4:$AS$26,2,FALSE),A244)</f>
        <v>0</v>
      </c>
      <c r="S244" s="773"/>
      <c r="T244" s="773"/>
      <c r="U244" s="774"/>
      <c r="V244" s="724" t="s">
        <v>727</v>
      </c>
      <c r="W244" s="725"/>
      <c r="X244" s="691">
        <f>HLOOKUP(VLOOKUP($AA$16,'Date SPV'!$B:$F,5,FALSE),'Preturi si tarife'!$C$2:$J$39,A244+2,FALSE)</f>
        <v>0.4395</v>
      </c>
      <c r="Y244" s="692"/>
      <c r="Z244" s="692"/>
      <c r="AA244" s="693"/>
      <c r="AB244" s="772">
        <f t="shared" si="14"/>
        <v>0</v>
      </c>
      <c r="AC244" s="773"/>
      <c r="AD244" s="773"/>
      <c r="AE244" s="774"/>
      <c r="AF244" s="772">
        <f t="shared" si="15"/>
        <v>0</v>
      </c>
      <c r="AG244" s="773"/>
      <c r="AH244" s="773"/>
      <c r="AI244" s="774"/>
      <c r="AJ244" s="772">
        <f t="shared" si="16"/>
        <v>0</v>
      </c>
      <c r="AK244" s="773"/>
      <c r="AL244" s="773"/>
      <c r="AM244" s="774"/>
    </row>
    <row r="245" spans="1:39" ht="15.95" customHeight="1">
      <c r="A245" s="65">
        <f t="shared" si="17"/>
        <v>4</v>
      </c>
      <c r="B245" s="699" t="s">
        <v>868</v>
      </c>
      <c r="C245" s="700"/>
      <c r="D245" s="700"/>
      <c r="E245" s="700"/>
      <c r="F245" s="700"/>
      <c r="G245" s="700"/>
      <c r="H245" s="700"/>
      <c r="I245" s="700"/>
      <c r="J245" s="700"/>
      <c r="K245" s="701"/>
      <c r="L245" s="763">
        <f t="shared" si="18"/>
        <v>45778</v>
      </c>
      <c r="M245" s="764"/>
      <c r="N245" s="765"/>
      <c r="O245" s="763">
        <f t="shared" si="19"/>
        <v>45808</v>
      </c>
      <c r="P245" s="764"/>
      <c r="Q245" s="765"/>
      <c r="R245" s="772" cm="1">
        <f t="array" ref="R245">INDEX(verificare!$AT$4:$CC$26,VLOOKUP($AA$16,verificare!$AR$4:$AS$26,2,FALSE),A245)</f>
        <v>326783</v>
      </c>
      <c r="S245" s="773"/>
      <c r="T245" s="773"/>
      <c r="U245" s="774"/>
      <c r="V245" s="724" t="s">
        <v>446</v>
      </c>
      <c r="W245" s="725"/>
      <c r="X245" s="691">
        <f>HLOOKUP(VLOOKUP($AA$16,'Date SPV'!$B:$F,5,FALSE),'Preturi si tarife'!$C$2:$J$39,A245+2,FALSE)</f>
        <v>0.11483</v>
      </c>
      <c r="Y245" s="692"/>
      <c r="Z245" s="692"/>
      <c r="AA245" s="693"/>
      <c r="AB245" s="772">
        <f t="shared" si="14"/>
        <v>37524.49</v>
      </c>
      <c r="AC245" s="773"/>
      <c r="AD245" s="773"/>
      <c r="AE245" s="774"/>
      <c r="AF245" s="772">
        <f t="shared" si="15"/>
        <v>7129.65</v>
      </c>
      <c r="AG245" s="773"/>
      <c r="AH245" s="773"/>
      <c r="AI245" s="774"/>
      <c r="AJ245" s="772">
        <f t="shared" si="16"/>
        <v>44654.14</v>
      </c>
      <c r="AK245" s="773"/>
      <c r="AL245" s="773"/>
      <c r="AM245" s="774"/>
    </row>
    <row r="246" spans="1:39" ht="15.95" customHeight="1">
      <c r="A246" s="65">
        <f t="shared" si="17"/>
        <v>5</v>
      </c>
      <c r="B246" s="699" t="s">
        <v>757</v>
      </c>
      <c r="C246" s="700"/>
      <c r="D246" s="700"/>
      <c r="E246" s="700"/>
      <c r="F246" s="700"/>
      <c r="G246" s="700"/>
      <c r="H246" s="700"/>
      <c r="I246" s="700"/>
      <c r="J246" s="700"/>
      <c r="K246" s="701"/>
      <c r="L246" s="763">
        <f t="shared" si="18"/>
        <v>45778</v>
      </c>
      <c r="M246" s="764"/>
      <c r="N246" s="765"/>
      <c r="O246" s="763">
        <f t="shared" si="19"/>
        <v>45808</v>
      </c>
      <c r="P246" s="764"/>
      <c r="Q246" s="765"/>
      <c r="R246" s="772" cm="1">
        <f t="array" ref="R246">INDEX(verificare!$AT$4:$CC$26,VLOOKUP($AA$16,verificare!$AR$4:$AS$26,2,FALSE),A246)</f>
        <v>0</v>
      </c>
      <c r="S246" s="773"/>
      <c r="T246" s="773"/>
      <c r="U246" s="774"/>
      <c r="V246" s="724" t="s">
        <v>446</v>
      </c>
      <c r="W246" s="725"/>
      <c r="X246" s="691">
        <f>HLOOKUP(VLOOKUP($AA$16,'Date SPV'!$B:$F,5,FALSE),'Preturi si tarife'!$C$2:$J$39,A246+2,FALSE)</f>
        <v>0.2361</v>
      </c>
      <c r="Y246" s="692"/>
      <c r="Z246" s="692"/>
      <c r="AA246" s="693"/>
      <c r="AB246" s="772">
        <f t="shared" si="14"/>
        <v>0</v>
      </c>
      <c r="AC246" s="773"/>
      <c r="AD246" s="773"/>
      <c r="AE246" s="774"/>
      <c r="AF246" s="772">
        <f t="shared" si="15"/>
        <v>0</v>
      </c>
      <c r="AG246" s="773"/>
      <c r="AH246" s="773"/>
      <c r="AI246" s="774"/>
      <c r="AJ246" s="772">
        <f t="shared" si="16"/>
        <v>0</v>
      </c>
      <c r="AK246" s="773"/>
      <c r="AL246" s="773"/>
      <c r="AM246" s="774"/>
    </row>
    <row r="247" spans="1:39" ht="15.95" customHeight="1">
      <c r="A247" s="65">
        <f t="shared" si="17"/>
        <v>6</v>
      </c>
      <c r="B247" s="699" t="s">
        <v>74</v>
      </c>
      <c r="C247" s="700"/>
      <c r="D247" s="700"/>
      <c r="E247" s="700"/>
      <c r="F247" s="700"/>
      <c r="G247" s="700"/>
      <c r="H247" s="700"/>
      <c r="I247" s="700"/>
      <c r="J247" s="700"/>
      <c r="K247" s="701"/>
      <c r="L247" s="763">
        <f t="shared" si="18"/>
        <v>45778</v>
      </c>
      <c r="M247" s="764"/>
      <c r="N247" s="765"/>
      <c r="O247" s="763">
        <f t="shared" si="19"/>
        <v>45808</v>
      </c>
      <c r="P247" s="764"/>
      <c r="Q247" s="765"/>
      <c r="R247" s="772" cm="1">
        <f t="array" ref="R247">INDEX(verificare!$AT$4:$CC$26,VLOOKUP($AA$16,verificare!$AR$4:$AS$26,2,FALSE),A247)</f>
        <v>326783</v>
      </c>
      <c r="S247" s="773"/>
      <c r="T247" s="773"/>
      <c r="U247" s="774"/>
      <c r="V247" s="724" t="s">
        <v>446</v>
      </c>
      <c r="W247" s="725"/>
      <c r="X247" s="691">
        <f>HLOOKUP(VLOOKUP($AA$16,'Date SPV'!$B:$F,5,FALSE),'Preturi si tarife'!$C$2:$J$39,A247+2,FALSE)</f>
        <v>1.1509999999999999E-2</v>
      </c>
      <c r="Y247" s="692"/>
      <c r="Z247" s="692"/>
      <c r="AA247" s="693"/>
      <c r="AB247" s="772">
        <f t="shared" si="14"/>
        <v>3761.27</v>
      </c>
      <c r="AC247" s="773"/>
      <c r="AD247" s="773"/>
      <c r="AE247" s="774"/>
      <c r="AF247" s="772">
        <f t="shared" si="15"/>
        <v>714.64</v>
      </c>
      <c r="AG247" s="773"/>
      <c r="AH247" s="773"/>
      <c r="AI247" s="774"/>
      <c r="AJ247" s="772">
        <f t="shared" si="16"/>
        <v>4475.91</v>
      </c>
      <c r="AK247" s="773"/>
      <c r="AL247" s="773"/>
      <c r="AM247" s="774"/>
    </row>
    <row r="248" spans="1:39" ht="15.95" customHeight="1">
      <c r="A248" s="65">
        <f t="shared" si="17"/>
        <v>7</v>
      </c>
      <c r="B248" s="699" t="s">
        <v>75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63">
        <f t="shared" si="18"/>
        <v>45778</v>
      </c>
      <c r="M248" s="764"/>
      <c r="N248" s="765"/>
      <c r="O248" s="763">
        <f t="shared" si="19"/>
        <v>45808</v>
      </c>
      <c r="P248" s="764"/>
      <c r="Q248" s="765"/>
      <c r="R248" s="772" cm="1">
        <f t="array" ref="R248">INDEX(verificare!$AT$4:$CC$26,VLOOKUP($AA$16,verificare!$AR$4:$AS$26,2,FALSE),A248)</f>
        <v>326783</v>
      </c>
      <c r="S248" s="773"/>
      <c r="T248" s="773"/>
      <c r="U248" s="774"/>
      <c r="V248" s="724" t="s">
        <v>446</v>
      </c>
      <c r="W248" s="725"/>
      <c r="X248" s="691">
        <f>HLOOKUP(VLOOKUP($AA$16,'Date SPV'!$B:$F,5,FALSE),'Preturi si tarife'!$C$2:$J$39,A248+2,FALSE)</f>
        <v>3.3030000000000004E-2</v>
      </c>
      <c r="Y248" s="692"/>
      <c r="Z248" s="692"/>
      <c r="AA248" s="693"/>
      <c r="AB248" s="772">
        <f t="shared" si="14"/>
        <v>10793.64</v>
      </c>
      <c r="AC248" s="773"/>
      <c r="AD248" s="773"/>
      <c r="AE248" s="774"/>
      <c r="AF248" s="772">
        <f t="shared" si="15"/>
        <v>2050.79</v>
      </c>
      <c r="AG248" s="773"/>
      <c r="AH248" s="773"/>
      <c r="AI248" s="774"/>
      <c r="AJ248" s="772">
        <f t="shared" si="16"/>
        <v>12844.43</v>
      </c>
      <c r="AK248" s="773"/>
      <c r="AL248" s="773"/>
      <c r="AM248" s="774"/>
    </row>
    <row r="249" spans="1:39" ht="15.95" customHeight="1">
      <c r="A249" s="65">
        <f t="shared" si="17"/>
        <v>8</v>
      </c>
      <c r="B249" s="699" t="s">
        <v>76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63">
        <f t="shared" si="18"/>
        <v>45778</v>
      </c>
      <c r="M249" s="764"/>
      <c r="N249" s="765"/>
      <c r="O249" s="763">
        <f t="shared" si="19"/>
        <v>45808</v>
      </c>
      <c r="P249" s="764"/>
      <c r="Q249" s="765"/>
      <c r="R249" s="772" cm="1">
        <f t="array" ref="R249">INDEX(verificare!$AT$4:$CC$26,VLOOKUP($AA$16,verificare!$AR$4:$AS$26,2,FALSE),A249)</f>
        <v>326783</v>
      </c>
      <c r="S249" s="773"/>
      <c r="T249" s="773"/>
      <c r="U249" s="774"/>
      <c r="V249" s="724" t="s">
        <v>446</v>
      </c>
      <c r="W249" s="725"/>
      <c r="X249" s="691">
        <f>HLOOKUP(VLOOKUP($AA$16,'Date SPV'!$B:$F,5,FALSE),'Preturi si tarife'!$C$2:$J$39,A249+2,FALSE)</f>
        <v>3.29E-3</v>
      </c>
      <c r="Y249" s="692"/>
      <c r="Z249" s="692"/>
      <c r="AA249" s="693"/>
      <c r="AB249" s="772">
        <f t="shared" si="14"/>
        <v>1075.1199999999999</v>
      </c>
      <c r="AC249" s="773"/>
      <c r="AD249" s="773"/>
      <c r="AE249" s="774"/>
      <c r="AF249" s="772">
        <f t="shared" si="15"/>
        <v>204.27</v>
      </c>
      <c r="AG249" s="773"/>
      <c r="AH249" s="773"/>
      <c r="AI249" s="774"/>
      <c r="AJ249" s="772">
        <f t="shared" si="16"/>
        <v>1279.3899999999999</v>
      </c>
      <c r="AK249" s="773"/>
      <c r="AL249" s="773"/>
      <c r="AM249" s="774"/>
    </row>
    <row r="250" spans="1:39" ht="15.95" customHeight="1">
      <c r="A250" s="65">
        <f t="shared" si="17"/>
        <v>9</v>
      </c>
      <c r="B250" s="699" t="s">
        <v>77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63">
        <f t="shared" si="18"/>
        <v>45778</v>
      </c>
      <c r="M250" s="764"/>
      <c r="N250" s="765"/>
      <c r="O250" s="763">
        <f t="shared" si="19"/>
        <v>45808</v>
      </c>
      <c r="P250" s="764"/>
      <c r="Q250" s="765"/>
      <c r="R250" s="772" cm="1">
        <f t="array" ref="R250">INDEX(verificare!$AT$4:$CC$26,VLOOKUP($AA$16,verificare!$AR$4:$AS$26,2,FALSE),A250)</f>
        <v>326783</v>
      </c>
      <c r="S250" s="773"/>
      <c r="T250" s="773"/>
      <c r="U250" s="774"/>
      <c r="V250" s="724" t="s">
        <v>446</v>
      </c>
      <c r="W250" s="725"/>
      <c r="X250" s="691">
        <f>HLOOKUP(VLOOKUP($AA$16,'Date SPV'!$B:$F,5,FALSE),'Preturi si tarife'!$C$2:$J$39,A250+2,FALSE)</f>
        <v>3.5000000000000001E-3</v>
      </c>
      <c r="Y250" s="692"/>
      <c r="Z250" s="692"/>
      <c r="AA250" s="693"/>
      <c r="AB250" s="772">
        <f t="shared" si="14"/>
        <v>1143.74</v>
      </c>
      <c r="AC250" s="773"/>
      <c r="AD250" s="773"/>
      <c r="AE250" s="774"/>
      <c r="AF250" s="772">
        <f t="shared" si="15"/>
        <v>217.31</v>
      </c>
      <c r="AG250" s="773"/>
      <c r="AH250" s="773"/>
      <c r="AI250" s="774"/>
      <c r="AJ250" s="772">
        <f t="shared" si="16"/>
        <v>1361.05</v>
      </c>
      <c r="AK250" s="773"/>
      <c r="AL250" s="773"/>
      <c r="AM250" s="774"/>
    </row>
    <row r="251" spans="1:39" ht="15.95" customHeight="1">
      <c r="A251" s="65">
        <f t="shared" si="17"/>
        <v>10</v>
      </c>
      <c r="B251" s="699" t="s">
        <v>78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63">
        <f t="shared" si="18"/>
        <v>45778</v>
      </c>
      <c r="M251" s="764"/>
      <c r="N251" s="765"/>
      <c r="O251" s="763">
        <f t="shared" si="19"/>
        <v>45808</v>
      </c>
      <c r="P251" s="764"/>
      <c r="Q251" s="765"/>
      <c r="R251" s="772" cm="1">
        <f t="array" ref="R251">INDEX(verificare!$AT$4:$CC$26,VLOOKUP($AA$16,verificare!$AR$4:$AS$26,2,FALSE),A251)</f>
        <v>326783</v>
      </c>
      <c r="S251" s="773"/>
      <c r="T251" s="773"/>
      <c r="U251" s="774"/>
      <c r="V251" s="724" t="s">
        <v>446</v>
      </c>
      <c r="W251" s="725"/>
      <c r="X251" s="691">
        <f>HLOOKUP(VLOOKUP($AA$16,'Date SPV'!$B:$F,5,FALSE),'Preturi si tarife'!$C$2:$J$39,A251+2,FALSE)</f>
        <v>7.2541599999999998E-2</v>
      </c>
      <c r="Y251" s="692"/>
      <c r="Z251" s="692"/>
      <c r="AA251" s="693"/>
      <c r="AB251" s="772">
        <f t="shared" si="14"/>
        <v>23705.360000000001</v>
      </c>
      <c r="AC251" s="773"/>
      <c r="AD251" s="773"/>
      <c r="AE251" s="774"/>
      <c r="AF251" s="772">
        <f t="shared" si="15"/>
        <v>4504.0200000000004</v>
      </c>
      <c r="AG251" s="773"/>
      <c r="AH251" s="773"/>
      <c r="AI251" s="774"/>
      <c r="AJ251" s="772">
        <f t="shared" si="16"/>
        <v>28209.38</v>
      </c>
      <c r="AK251" s="773"/>
      <c r="AL251" s="773"/>
      <c r="AM251" s="774"/>
    </row>
    <row r="252" spans="1:39" ht="15.95" customHeight="1">
      <c r="A252" s="65">
        <f t="shared" si="17"/>
        <v>11</v>
      </c>
      <c r="B252" s="699" t="s">
        <v>1313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63">
        <f t="shared" si="18"/>
        <v>45778</v>
      </c>
      <c r="M252" s="764"/>
      <c r="N252" s="765"/>
      <c r="O252" s="763">
        <f t="shared" si="19"/>
        <v>45808</v>
      </c>
      <c r="P252" s="764"/>
      <c r="Q252" s="765"/>
      <c r="R252" s="772" cm="1">
        <f t="array" ref="R252">INDEX(verificare!$AT$4:$CC$26,VLOOKUP($AA$16,verificare!$AR$4:$AS$26,2,FALSE),A252)</f>
        <v>326783</v>
      </c>
      <c r="S252" s="773"/>
      <c r="T252" s="773"/>
      <c r="U252" s="774"/>
      <c r="V252" s="724" t="s">
        <v>446</v>
      </c>
      <c r="W252" s="725"/>
      <c r="X252" s="691">
        <f>HLOOKUP(VLOOKUP($AA$16,'Date SPV'!$B:$F,5,FALSE),'Preturi si tarife'!$C$2:$J$39,A252+2,FALSE)</f>
        <v>2.0599999999999999E-4</v>
      </c>
      <c r="Y252" s="692"/>
      <c r="Z252" s="692"/>
      <c r="AA252" s="693"/>
      <c r="AB252" s="772">
        <f t="shared" si="14"/>
        <v>67.319999999999993</v>
      </c>
      <c r="AC252" s="773"/>
      <c r="AD252" s="773"/>
      <c r="AE252" s="774"/>
      <c r="AF252" s="772">
        <f t="shared" si="15"/>
        <v>12.79</v>
      </c>
      <c r="AG252" s="773"/>
      <c r="AH252" s="773"/>
      <c r="AI252" s="774"/>
      <c r="AJ252" s="772">
        <f t="shared" si="16"/>
        <v>80.109999999999985</v>
      </c>
      <c r="AK252" s="773"/>
      <c r="AL252" s="773"/>
      <c r="AM252" s="774"/>
    </row>
    <row r="253" spans="1:39" ht="15.95" customHeight="1">
      <c r="A253" s="65">
        <f t="shared" si="17"/>
        <v>12</v>
      </c>
      <c r="B253" s="699" t="s">
        <v>79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63">
        <f t="shared" si="18"/>
        <v>45778</v>
      </c>
      <c r="M253" s="764"/>
      <c r="N253" s="765"/>
      <c r="O253" s="763">
        <f t="shared" si="19"/>
        <v>45808</v>
      </c>
      <c r="P253" s="764"/>
      <c r="Q253" s="765"/>
      <c r="R253" s="772" cm="1">
        <f t="array" ref="R253">INDEX(verificare!$AT$4:$CC$26,VLOOKUP($AA$16,verificare!$AR$4:$AS$26,2,FALSE),A253)</f>
        <v>326783</v>
      </c>
      <c r="S253" s="773"/>
      <c r="T253" s="773"/>
      <c r="U253" s="774"/>
      <c r="V253" s="724" t="s">
        <v>446</v>
      </c>
      <c r="W253" s="725"/>
      <c r="X253" s="691">
        <f>HLOOKUP(VLOOKUP($AA$16,'Date SPV'!$B:$F,5,FALSE),'Preturi si tarife'!$C$2:$J$39,A253+2,FALSE)</f>
        <v>0</v>
      </c>
      <c r="Y253" s="692"/>
      <c r="Z253" s="692"/>
      <c r="AA253" s="693"/>
      <c r="AB253" s="772">
        <f t="shared" si="14"/>
        <v>0</v>
      </c>
      <c r="AC253" s="773"/>
      <c r="AD253" s="773"/>
      <c r="AE253" s="774"/>
      <c r="AF253" s="772">
        <f t="shared" si="15"/>
        <v>0</v>
      </c>
      <c r="AG253" s="773"/>
      <c r="AH253" s="773"/>
      <c r="AI253" s="774"/>
      <c r="AJ253" s="772">
        <f t="shared" si="16"/>
        <v>0</v>
      </c>
      <c r="AK253" s="773"/>
      <c r="AL253" s="773"/>
      <c r="AM253" s="774"/>
    </row>
    <row r="254" spans="1:39" ht="15.95" customHeight="1">
      <c r="A254" s="65">
        <f t="shared" si="17"/>
        <v>13</v>
      </c>
      <c r="B254" s="699" t="s">
        <v>80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63">
        <f>L252</f>
        <v>45778</v>
      </c>
      <c r="M254" s="764"/>
      <c r="N254" s="765"/>
      <c r="O254" s="763">
        <f>O252</f>
        <v>45808</v>
      </c>
      <c r="P254" s="764"/>
      <c r="Q254" s="765"/>
      <c r="R254" s="772" cm="1">
        <f t="array" ref="R254">INDEX(verificare!$AT$4:$CC$26,VLOOKUP($AA$16,verificare!$AR$4:$AS$26,2,FALSE),A254)</f>
        <v>326783</v>
      </c>
      <c r="S254" s="773"/>
      <c r="T254" s="773"/>
      <c r="U254" s="774"/>
      <c r="V254" s="724" t="s">
        <v>446</v>
      </c>
      <c r="W254" s="725"/>
      <c r="X254" s="691">
        <f>HLOOKUP(VLOOKUP($AA$16,'Date SPV'!$B:$F,5,FALSE),'Preturi si tarife'!$C$2:$J$39,A254+2,FALSE)</f>
        <v>1.49E-2</v>
      </c>
      <c r="Y254" s="692"/>
      <c r="Z254" s="692"/>
      <c r="AA254" s="693"/>
      <c r="AB254" s="772">
        <f t="shared" si="14"/>
        <v>4869.07</v>
      </c>
      <c r="AC254" s="773"/>
      <c r="AD254" s="773"/>
      <c r="AE254" s="774"/>
      <c r="AF254" s="772">
        <f t="shared" si="15"/>
        <v>925.12</v>
      </c>
      <c r="AG254" s="773"/>
      <c r="AH254" s="773"/>
      <c r="AI254" s="774"/>
      <c r="AJ254" s="772">
        <f t="shared" si="16"/>
        <v>5794.19</v>
      </c>
      <c r="AK254" s="773"/>
      <c r="AL254" s="773"/>
      <c r="AM254" s="774"/>
    </row>
    <row r="255" spans="1:39" ht="15.95" customHeight="1">
      <c r="A255" s="65">
        <f t="shared" si="17"/>
        <v>14</v>
      </c>
      <c r="B255" s="699" t="s">
        <v>81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63">
        <f t="shared" si="18"/>
        <v>45778</v>
      </c>
      <c r="M255" s="764"/>
      <c r="N255" s="765"/>
      <c r="O255" s="763">
        <f t="shared" si="19"/>
        <v>45808</v>
      </c>
      <c r="P255" s="764"/>
      <c r="Q255" s="765"/>
      <c r="R255" s="772" cm="1">
        <f t="array" ref="R255">INDEX(verificare!$AT$4:$CC$26,VLOOKUP($AA$16,verificare!$AR$4:$AS$26,2,FALSE),A255)</f>
        <v>326783</v>
      </c>
      <c r="S255" s="773"/>
      <c r="T255" s="773"/>
      <c r="U255" s="774"/>
      <c r="V255" s="724" t="s">
        <v>446</v>
      </c>
      <c r="W255" s="725"/>
      <c r="X255" s="691">
        <f>HLOOKUP(VLOOKUP($AA$16,'Date SPV'!$B:$F,5,FALSE),'Preturi si tarife'!$C$2:$J$39,A255+2,FALSE)</f>
        <v>0.1192</v>
      </c>
      <c r="Y255" s="692"/>
      <c r="Z255" s="692"/>
      <c r="AA255" s="693"/>
      <c r="AB255" s="772">
        <f t="shared" si="14"/>
        <v>38952.53</v>
      </c>
      <c r="AC255" s="773"/>
      <c r="AD255" s="773"/>
      <c r="AE255" s="774"/>
      <c r="AF255" s="772">
        <f t="shared" si="15"/>
        <v>7400.98</v>
      </c>
      <c r="AG255" s="773"/>
      <c r="AH255" s="773"/>
      <c r="AI255" s="774"/>
      <c r="AJ255" s="772">
        <f t="shared" si="16"/>
        <v>46353.509999999995</v>
      </c>
      <c r="AK255" s="773"/>
      <c r="AL255" s="773"/>
      <c r="AM255" s="774"/>
    </row>
    <row r="256" spans="1:39" ht="15.95" customHeight="1">
      <c r="A256" s="65">
        <f t="shared" si="17"/>
        <v>15</v>
      </c>
      <c r="B256" s="699" t="s">
        <v>82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63">
        <f t="shared" si="18"/>
        <v>45778</v>
      </c>
      <c r="M256" s="764"/>
      <c r="N256" s="765"/>
      <c r="O256" s="763">
        <f t="shared" si="19"/>
        <v>45808</v>
      </c>
      <c r="P256" s="764"/>
      <c r="Q256" s="765"/>
      <c r="R256" s="772" cm="1">
        <f t="array" ref="R256">INDEX(verificare!$AT$4:$CC$26,VLOOKUP($AA$16,verificare!$AR$4:$AS$26,2,FALSE),A256)</f>
        <v>128816</v>
      </c>
      <c r="S256" s="773"/>
      <c r="T256" s="773"/>
      <c r="U256" s="774"/>
      <c r="V256" s="724" t="s">
        <v>446</v>
      </c>
      <c r="W256" s="725"/>
      <c r="X256" s="691">
        <f>HLOOKUP(VLOOKUP($AA$16,'Date SPV'!$B:$F,5,FALSE),'Preturi si tarife'!$C$2:$J$39,A256+2,FALSE)</f>
        <v>0.96800760000000008</v>
      </c>
      <c r="Y256" s="692"/>
      <c r="Z256" s="692"/>
      <c r="AA256" s="693"/>
      <c r="AB256" s="772">
        <f t="shared" si="14"/>
        <v>124694.87</v>
      </c>
      <c r="AC256" s="773"/>
      <c r="AD256" s="773"/>
      <c r="AE256" s="774"/>
      <c r="AF256" s="772">
        <f t="shared" si="15"/>
        <v>23692.03</v>
      </c>
      <c r="AG256" s="773"/>
      <c r="AH256" s="773"/>
      <c r="AI256" s="774"/>
      <c r="AJ256" s="772">
        <f t="shared" si="16"/>
        <v>148386.9</v>
      </c>
      <c r="AK256" s="773"/>
      <c r="AL256" s="773"/>
      <c r="AM256" s="774"/>
    </row>
    <row r="257" spans="1:39" ht="15.95" customHeight="1">
      <c r="A257" s="65">
        <f t="shared" si="17"/>
        <v>16</v>
      </c>
      <c r="B257" s="699" t="s">
        <v>83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63">
        <f t="shared" si="18"/>
        <v>45778</v>
      </c>
      <c r="M257" s="764"/>
      <c r="N257" s="765"/>
      <c r="O257" s="763">
        <f t="shared" si="19"/>
        <v>45808</v>
      </c>
      <c r="P257" s="764"/>
      <c r="Q257" s="765"/>
      <c r="R257" s="772" cm="1">
        <f t="array" ref="R257">INDEX(verificare!$AT$4:$CC$26,VLOOKUP($AA$16,verificare!$AR$4:$AS$26,2,FALSE),A257)</f>
        <v>13285</v>
      </c>
      <c r="S257" s="773"/>
      <c r="T257" s="773"/>
      <c r="U257" s="774"/>
      <c r="V257" s="724" t="s">
        <v>446</v>
      </c>
      <c r="W257" s="725"/>
      <c r="X257" s="691">
        <f>HLOOKUP(VLOOKUP($AA$16,'Date SPV'!$B:$F,5,FALSE),'Preturi si tarife'!$C$2:$J$39,A257+2,FALSE)</f>
        <v>0.83390760000000008</v>
      </c>
      <c r="Y257" s="692"/>
      <c r="Z257" s="692"/>
      <c r="AA257" s="693"/>
      <c r="AB257" s="772">
        <f t="shared" si="14"/>
        <v>11078.46</v>
      </c>
      <c r="AC257" s="773"/>
      <c r="AD257" s="773"/>
      <c r="AE257" s="774"/>
      <c r="AF257" s="772">
        <f t="shared" si="15"/>
        <v>2104.91</v>
      </c>
      <c r="AG257" s="773"/>
      <c r="AH257" s="773"/>
      <c r="AI257" s="774"/>
      <c r="AJ257" s="772">
        <f t="shared" si="16"/>
        <v>13183.369999999999</v>
      </c>
      <c r="AK257" s="773"/>
      <c r="AL257" s="773"/>
      <c r="AM257" s="774"/>
    </row>
    <row r="258" spans="1:39" ht="15.95" customHeight="1">
      <c r="A258" s="65">
        <f t="shared" si="17"/>
        <v>17</v>
      </c>
      <c r="B258" s="699" t="s">
        <v>1129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63">
        <f t="shared" si="18"/>
        <v>45778</v>
      </c>
      <c r="M258" s="764"/>
      <c r="N258" s="765"/>
      <c r="O258" s="763">
        <f t="shared" si="19"/>
        <v>45808</v>
      </c>
      <c r="P258" s="764"/>
      <c r="Q258" s="765"/>
      <c r="R258" s="772" cm="1">
        <f t="array" ref="R258">INDEX(verificare!$AT$4:$CC$26,VLOOKUP($AA$16,verificare!$AR$4:$AS$26,2,FALSE),A258)</f>
        <v>13285</v>
      </c>
      <c r="S258" s="773"/>
      <c r="T258" s="773"/>
      <c r="U258" s="774"/>
      <c r="V258" s="724" t="s">
        <v>446</v>
      </c>
      <c r="W258" s="725"/>
      <c r="X258" s="691">
        <f>HLOOKUP(VLOOKUP($AA$16,'Date SPV'!$B:$F,5,FALSE),'Preturi si tarife'!$C$2:$J$39,A258+2,FALSE)</f>
        <v>1.49E-2</v>
      </c>
      <c r="Y258" s="692"/>
      <c r="Z258" s="692"/>
      <c r="AA258" s="693"/>
      <c r="AB258" s="772">
        <f t="shared" si="14"/>
        <v>197.95</v>
      </c>
      <c r="AC258" s="773"/>
      <c r="AD258" s="773"/>
      <c r="AE258" s="774"/>
      <c r="AF258" s="772">
        <f t="shared" si="15"/>
        <v>37.61</v>
      </c>
      <c r="AG258" s="773"/>
      <c r="AH258" s="773"/>
      <c r="AI258" s="774"/>
      <c r="AJ258" s="772">
        <f t="shared" si="16"/>
        <v>235.56</v>
      </c>
      <c r="AK258" s="773"/>
      <c r="AL258" s="773"/>
      <c r="AM258" s="774"/>
    </row>
    <row r="259" spans="1:39" ht="15.95" customHeight="1">
      <c r="A259" s="65">
        <f t="shared" si="17"/>
        <v>18</v>
      </c>
      <c r="B259" s="699" t="s">
        <v>1130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63">
        <f t="shared" si="18"/>
        <v>45778</v>
      </c>
      <c r="M259" s="764"/>
      <c r="N259" s="765"/>
      <c r="O259" s="763">
        <f t="shared" si="19"/>
        <v>45808</v>
      </c>
      <c r="P259" s="764"/>
      <c r="Q259" s="765"/>
      <c r="R259" s="772" cm="1">
        <f t="array" ref="R259">INDEX(verificare!$AT$4:$CC$26,VLOOKUP($AA$16,verificare!$AR$4:$AS$26,2,FALSE),A259)</f>
        <v>13285</v>
      </c>
      <c r="S259" s="773"/>
      <c r="T259" s="773"/>
      <c r="U259" s="774"/>
      <c r="V259" s="724" t="s">
        <v>446</v>
      </c>
      <c r="W259" s="725"/>
      <c r="X259" s="691">
        <f>HLOOKUP(VLOOKUP($AA$16,'Date SPV'!$B:$F,5,FALSE),'Preturi si tarife'!$C$2:$J$39,A259+2,FALSE)</f>
        <v>0.1192</v>
      </c>
      <c r="Y259" s="692"/>
      <c r="Z259" s="692"/>
      <c r="AA259" s="693"/>
      <c r="AB259" s="772">
        <f t="shared" si="14"/>
        <v>1583.57</v>
      </c>
      <c r="AC259" s="773"/>
      <c r="AD259" s="773"/>
      <c r="AE259" s="774"/>
      <c r="AF259" s="772">
        <f t="shared" si="15"/>
        <v>300.88</v>
      </c>
      <c r="AG259" s="773"/>
      <c r="AH259" s="773"/>
      <c r="AI259" s="774"/>
      <c r="AJ259" s="772">
        <f t="shared" si="16"/>
        <v>1884.4499999999998</v>
      </c>
      <c r="AK259" s="773"/>
      <c r="AL259" s="773"/>
      <c r="AM259" s="774"/>
    </row>
    <row r="260" spans="1:39" ht="15.95" customHeight="1">
      <c r="A260" s="65">
        <f t="shared" si="17"/>
        <v>19</v>
      </c>
      <c r="B260" s="699" t="s">
        <v>99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63">
        <f>'Date masura OD'!$W$5</f>
        <v>45748</v>
      </c>
      <c r="M260" s="764"/>
      <c r="N260" s="765"/>
      <c r="O260" s="763">
        <f>'Date masura OD'!$X$5</f>
        <v>45777</v>
      </c>
      <c r="P260" s="764"/>
      <c r="Q260" s="765"/>
      <c r="R260" s="772" cm="1">
        <f t="array" ref="R260">INDEX(verificare!$AT$4:$CC$26,VLOOKUP($AA$16,verificare!$AR$4:$AS$26,2,FALSE),A260)</f>
        <v>0</v>
      </c>
      <c r="S260" s="773"/>
      <c r="T260" s="773"/>
      <c r="U260" s="774"/>
      <c r="V260" s="724" t="s">
        <v>446</v>
      </c>
      <c r="W260" s="725"/>
      <c r="X260" s="691">
        <f>HLOOKUP(VLOOKUP($AA$16,'Date SPV'!$B:$F,5,FALSE),'Preturi si tarife'!$C$2:$J$39,A260+2,FALSE)</f>
        <v>0.59499999999999997</v>
      </c>
      <c r="Y260" s="692"/>
      <c r="Z260" s="692"/>
      <c r="AA260" s="693"/>
      <c r="AB260" s="772">
        <f t="shared" si="14"/>
        <v>0</v>
      </c>
      <c r="AC260" s="773"/>
      <c r="AD260" s="773"/>
      <c r="AE260" s="774"/>
      <c r="AF260" s="772">
        <f t="shared" si="15"/>
        <v>0</v>
      </c>
      <c r="AG260" s="773"/>
      <c r="AH260" s="773"/>
      <c r="AI260" s="774"/>
      <c r="AJ260" s="772">
        <f t="shared" si="16"/>
        <v>0</v>
      </c>
      <c r="AK260" s="773"/>
      <c r="AL260" s="773"/>
      <c r="AM260" s="774"/>
    </row>
    <row r="261" spans="1:39" ht="15.95" customHeight="1">
      <c r="A261" s="65">
        <f t="shared" si="17"/>
        <v>20</v>
      </c>
      <c r="B261" s="699" t="s">
        <v>100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63">
        <f>L260</f>
        <v>45748</v>
      </c>
      <c r="M261" s="764"/>
      <c r="N261" s="765"/>
      <c r="O261" s="763">
        <f t="shared" ref="O261:O277" si="20">O260</f>
        <v>45777</v>
      </c>
      <c r="P261" s="764"/>
      <c r="Q261" s="765"/>
      <c r="R261" s="772" cm="1">
        <f t="array" ref="R261">INDEX(verificare!$AT$4:$CC$26,VLOOKUP($AA$16,verificare!$AR$4:$AS$26,2,FALSE),A261)</f>
        <v>334</v>
      </c>
      <c r="S261" s="773"/>
      <c r="T261" s="773"/>
      <c r="U261" s="774"/>
      <c r="V261" s="724" t="s">
        <v>727</v>
      </c>
      <c r="W261" s="725"/>
      <c r="X261" s="691">
        <f>HLOOKUP(VLOOKUP($AA$16,'Date SPV'!$B:$F,5,FALSE),'Preturi si tarife'!$C$2:$J$39,A261+2,FALSE)</f>
        <v>0.14649999999999999</v>
      </c>
      <c r="Y261" s="692"/>
      <c r="Z261" s="692"/>
      <c r="AA261" s="693"/>
      <c r="AB261" s="772">
        <f t="shared" si="14"/>
        <v>48.93</v>
      </c>
      <c r="AC261" s="773"/>
      <c r="AD261" s="773"/>
      <c r="AE261" s="774"/>
      <c r="AF261" s="772">
        <f t="shared" si="15"/>
        <v>9.3000000000000007</v>
      </c>
      <c r="AG261" s="773"/>
      <c r="AH261" s="773"/>
      <c r="AI261" s="774"/>
      <c r="AJ261" s="772">
        <f t="shared" si="16"/>
        <v>58.230000000000004</v>
      </c>
      <c r="AK261" s="773"/>
      <c r="AL261" s="773"/>
      <c r="AM261" s="774"/>
    </row>
    <row r="262" spans="1:39" ht="15.95" customHeight="1">
      <c r="A262" s="65">
        <f t="shared" si="17"/>
        <v>21</v>
      </c>
      <c r="B262" s="699" t="s">
        <v>101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63">
        <f t="shared" ref="L262:L277" si="21">L261</f>
        <v>45748</v>
      </c>
      <c r="M262" s="764"/>
      <c r="N262" s="765"/>
      <c r="O262" s="763">
        <f t="shared" si="20"/>
        <v>45777</v>
      </c>
      <c r="P262" s="764"/>
      <c r="Q262" s="765"/>
      <c r="R262" s="772" cm="1">
        <f t="array" ref="R262">INDEX(verificare!$AT$4:$CC$26,VLOOKUP($AA$16,verificare!$AR$4:$AS$26,2,FALSE),A262)</f>
        <v>0</v>
      </c>
      <c r="S262" s="773"/>
      <c r="T262" s="773"/>
      <c r="U262" s="774"/>
      <c r="V262" s="724" t="s">
        <v>727</v>
      </c>
      <c r="W262" s="725"/>
      <c r="X262" s="691">
        <f>HLOOKUP(VLOOKUP($AA$16,'Date SPV'!$B:$F,5,FALSE),'Preturi si tarife'!$C$2:$J$39,A262+2,FALSE)</f>
        <v>0.4395</v>
      </c>
      <c r="Y262" s="692"/>
      <c r="Z262" s="692"/>
      <c r="AA262" s="693"/>
      <c r="AB262" s="772">
        <f t="shared" si="14"/>
        <v>0</v>
      </c>
      <c r="AC262" s="773"/>
      <c r="AD262" s="773"/>
      <c r="AE262" s="774"/>
      <c r="AF262" s="772">
        <f t="shared" si="15"/>
        <v>0</v>
      </c>
      <c r="AG262" s="773"/>
      <c r="AH262" s="773"/>
      <c r="AI262" s="774"/>
      <c r="AJ262" s="772">
        <f t="shared" si="16"/>
        <v>0</v>
      </c>
      <c r="AK262" s="773"/>
      <c r="AL262" s="773"/>
      <c r="AM262" s="774"/>
    </row>
    <row r="263" spans="1:39" ht="30.95" customHeight="1">
      <c r="A263" s="65">
        <f t="shared" si="17"/>
        <v>22</v>
      </c>
      <c r="B263" s="699" t="s">
        <v>869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63">
        <f t="shared" si="21"/>
        <v>45748</v>
      </c>
      <c r="M263" s="764"/>
      <c r="N263" s="765"/>
      <c r="O263" s="763">
        <f t="shared" si="20"/>
        <v>45777</v>
      </c>
      <c r="P263" s="764"/>
      <c r="Q263" s="765"/>
      <c r="R263" s="772" cm="1">
        <f t="array" ref="R263">INDEX(verificare!$AT$4:$CC$26,VLOOKUP($AA$16,verificare!$AR$4:$AS$26,2,FALSE),A263)</f>
        <v>0</v>
      </c>
      <c r="S263" s="773"/>
      <c r="T263" s="773"/>
      <c r="U263" s="774"/>
      <c r="V263" s="724" t="s">
        <v>446</v>
      </c>
      <c r="W263" s="725"/>
      <c r="X263" s="691">
        <f>HLOOKUP(VLOOKUP($AA$16,'Date SPV'!$B:$F,5,FALSE),'Preturi si tarife'!$C$2:$J$39,A263+2,FALSE)</f>
        <v>0.11483</v>
      </c>
      <c r="Y263" s="692"/>
      <c r="Z263" s="692"/>
      <c r="AA263" s="693"/>
      <c r="AB263" s="772">
        <f t="shared" si="14"/>
        <v>0</v>
      </c>
      <c r="AC263" s="773"/>
      <c r="AD263" s="773"/>
      <c r="AE263" s="774"/>
      <c r="AF263" s="772">
        <f t="shared" si="15"/>
        <v>0</v>
      </c>
      <c r="AG263" s="773"/>
      <c r="AH263" s="773"/>
      <c r="AI263" s="774"/>
      <c r="AJ263" s="772">
        <f t="shared" si="16"/>
        <v>0</v>
      </c>
      <c r="AK263" s="773"/>
      <c r="AL263" s="773"/>
      <c r="AM263" s="774"/>
    </row>
    <row r="264" spans="1:39" ht="21.95" customHeight="1">
      <c r="A264" s="65">
        <f t="shared" si="17"/>
        <v>23</v>
      </c>
      <c r="B264" s="699" t="s">
        <v>758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63">
        <f t="shared" si="21"/>
        <v>45748</v>
      </c>
      <c r="M264" s="764"/>
      <c r="N264" s="765"/>
      <c r="O264" s="763">
        <f t="shared" si="20"/>
        <v>45777</v>
      </c>
      <c r="P264" s="764"/>
      <c r="Q264" s="765"/>
      <c r="R264" s="772" cm="1">
        <f t="array" ref="R264">INDEX(verificare!$AT$4:$CC$26,VLOOKUP($AA$16,verificare!$AR$4:$AS$26,2,FALSE),A264)</f>
        <v>0</v>
      </c>
      <c r="S264" s="773"/>
      <c r="T264" s="773"/>
      <c r="U264" s="774"/>
      <c r="V264" s="724" t="s">
        <v>446</v>
      </c>
      <c r="W264" s="725"/>
      <c r="X264" s="691">
        <f>HLOOKUP(VLOOKUP($AA$16,'Date SPV'!$B:$F,5,FALSE),'Preturi si tarife'!$C$2:$J$39,A264+2,FALSE)</f>
        <v>0.2361</v>
      </c>
      <c r="Y264" s="692"/>
      <c r="Z264" s="692"/>
      <c r="AA264" s="693"/>
      <c r="AB264" s="772">
        <f t="shared" si="14"/>
        <v>0</v>
      </c>
      <c r="AC264" s="773"/>
      <c r="AD264" s="773"/>
      <c r="AE264" s="774"/>
      <c r="AF264" s="772">
        <f t="shared" si="15"/>
        <v>0</v>
      </c>
      <c r="AG264" s="773"/>
      <c r="AH264" s="773"/>
      <c r="AI264" s="774"/>
      <c r="AJ264" s="772">
        <f t="shared" si="16"/>
        <v>0</v>
      </c>
      <c r="AK264" s="773"/>
      <c r="AL264" s="773"/>
      <c r="AM264" s="774"/>
    </row>
    <row r="265" spans="1:39" ht="15.95" customHeight="1">
      <c r="A265" s="65">
        <f t="shared" si="17"/>
        <v>24</v>
      </c>
      <c r="B265" s="699" t="s">
        <v>102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63">
        <f t="shared" si="21"/>
        <v>45748</v>
      </c>
      <c r="M265" s="764"/>
      <c r="N265" s="765"/>
      <c r="O265" s="763">
        <f t="shared" si="20"/>
        <v>45777</v>
      </c>
      <c r="P265" s="764"/>
      <c r="Q265" s="765"/>
      <c r="R265" s="772" cm="1">
        <f t="array" ref="R265">INDEX(verificare!$AT$4:$CC$26,VLOOKUP($AA$16,verificare!$AR$4:$AS$26,2,FALSE),A265)</f>
        <v>0</v>
      </c>
      <c r="S265" s="773"/>
      <c r="T265" s="773"/>
      <c r="U265" s="774"/>
      <c r="V265" s="724" t="s">
        <v>446</v>
      </c>
      <c r="W265" s="725"/>
      <c r="X265" s="691">
        <f>HLOOKUP(VLOOKUP($AA$16,'Date SPV'!$B:$F,5,FALSE),'Preturi si tarife'!$C$2:$J$39,A265+2,FALSE)</f>
        <v>1.1509999999999999E-2</v>
      </c>
      <c r="Y265" s="692"/>
      <c r="Z265" s="692"/>
      <c r="AA265" s="693"/>
      <c r="AB265" s="772">
        <f t="shared" si="14"/>
        <v>0</v>
      </c>
      <c r="AC265" s="773"/>
      <c r="AD265" s="773"/>
      <c r="AE265" s="774"/>
      <c r="AF265" s="772">
        <f t="shared" si="15"/>
        <v>0</v>
      </c>
      <c r="AG265" s="773"/>
      <c r="AH265" s="773"/>
      <c r="AI265" s="774"/>
      <c r="AJ265" s="772">
        <f t="shared" si="16"/>
        <v>0</v>
      </c>
      <c r="AK265" s="773"/>
      <c r="AL265" s="773"/>
      <c r="AM265" s="774"/>
    </row>
    <row r="266" spans="1:39" ht="30.95" customHeight="1">
      <c r="A266" s="65">
        <f t="shared" si="17"/>
        <v>25</v>
      </c>
      <c r="B266" s="699" t="s">
        <v>103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63">
        <f t="shared" si="21"/>
        <v>45748</v>
      </c>
      <c r="M266" s="764"/>
      <c r="N266" s="765"/>
      <c r="O266" s="763">
        <f t="shared" si="20"/>
        <v>45777</v>
      </c>
      <c r="P266" s="764"/>
      <c r="Q266" s="765"/>
      <c r="R266" s="772" cm="1">
        <f t="array" ref="R266">INDEX(verificare!$AT$4:$CC$26,VLOOKUP($AA$16,verificare!$AR$4:$AS$26,2,FALSE),A266)</f>
        <v>0</v>
      </c>
      <c r="S266" s="773"/>
      <c r="T266" s="773"/>
      <c r="U266" s="774"/>
      <c r="V266" s="724" t="s">
        <v>446</v>
      </c>
      <c r="W266" s="725"/>
      <c r="X266" s="691">
        <f>HLOOKUP(VLOOKUP($AA$16,'Date SPV'!$B:$F,5,FALSE),'Preturi si tarife'!$C$2:$J$39,A266+2,FALSE)</f>
        <v>3.3030000000000004E-2</v>
      </c>
      <c r="Y266" s="692"/>
      <c r="Z266" s="692"/>
      <c r="AA266" s="693"/>
      <c r="AB266" s="772">
        <f t="shared" si="14"/>
        <v>0</v>
      </c>
      <c r="AC266" s="773"/>
      <c r="AD266" s="773"/>
      <c r="AE266" s="774"/>
      <c r="AF266" s="772">
        <f t="shared" si="15"/>
        <v>0</v>
      </c>
      <c r="AG266" s="773"/>
      <c r="AH266" s="773"/>
      <c r="AI266" s="774"/>
      <c r="AJ266" s="772">
        <f t="shared" si="16"/>
        <v>0</v>
      </c>
      <c r="AK266" s="773"/>
      <c r="AL266" s="773"/>
      <c r="AM266" s="774"/>
    </row>
    <row r="267" spans="1:39" ht="30.95" customHeight="1">
      <c r="A267" s="65">
        <f t="shared" si="17"/>
        <v>26</v>
      </c>
      <c r="B267" s="699" t="s">
        <v>104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63">
        <f t="shared" si="21"/>
        <v>45748</v>
      </c>
      <c r="M267" s="764"/>
      <c r="N267" s="765"/>
      <c r="O267" s="763">
        <f t="shared" si="20"/>
        <v>45777</v>
      </c>
      <c r="P267" s="764"/>
      <c r="Q267" s="765"/>
      <c r="R267" s="772" cm="1">
        <f t="array" ref="R267">INDEX(verificare!$AT$4:$CC$26,VLOOKUP($AA$16,verificare!$AR$4:$AS$26,2,FALSE),A267)</f>
        <v>0</v>
      </c>
      <c r="S267" s="773"/>
      <c r="T267" s="773"/>
      <c r="U267" s="774"/>
      <c r="V267" s="724" t="s">
        <v>446</v>
      </c>
      <c r="W267" s="725"/>
      <c r="X267" s="691">
        <f>HLOOKUP(VLOOKUP($AA$16,'Date SPV'!$B:$F,5,FALSE),'Preturi si tarife'!$C$2:$J$39,A267+2,FALSE)</f>
        <v>3.29E-3</v>
      </c>
      <c r="Y267" s="692"/>
      <c r="Z267" s="692"/>
      <c r="AA267" s="693"/>
      <c r="AB267" s="772">
        <f t="shared" si="14"/>
        <v>0</v>
      </c>
      <c r="AC267" s="773"/>
      <c r="AD267" s="773"/>
      <c r="AE267" s="774"/>
      <c r="AF267" s="772">
        <f t="shared" si="15"/>
        <v>0</v>
      </c>
      <c r="AG267" s="773"/>
      <c r="AH267" s="773"/>
      <c r="AI267" s="774"/>
      <c r="AJ267" s="772">
        <f t="shared" si="16"/>
        <v>0</v>
      </c>
      <c r="AK267" s="773"/>
      <c r="AL267" s="773"/>
      <c r="AM267" s="774"/>
    </row>
    <row r="268" spans="1:39" ht="30.95" customHeight="1">
      <c r="A268" s="65">
        <f t="shared" si="17"/>
        <v>27</v>
      </c>
      <c r="B268" s="699" t="s">
        <v>105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63">
        <f t="shared" si="21"/>
        <v>45748</v>
      </c>
      <c r="M268" s="764"/>
      <c r="N268" s="765"/>
      <c r="O268" s="763">
        <f t="shared" si="20"/>
        <v>45777</v>
      </c>
      <c r="P268" s="764"/>
      <c r="Q268" s="765"/>
      <c r="R268" s="772" cm="1">
        <f t="array" ref="R268">INDEX(verificare!$AT$4:$CC$26,VLOOKUP($AA$16,verificare!$AR$4:$AS$26,2,FALSE),A268)</f>
        <v>0</v>
      </c>
      <c r="S268" s="773"/>
      <c r="T268" s="773"/>
      <c r="U268" s="774"/>
      <c r="V268" s="724" t="s">
        <v>446</v>
      </c>
      <c r="W268" s="725"/>
      <c r="X268" s="691">
        <f>HLOOKUP(VLOOKUP($AA$16,'Date SPV'!$B:$F,5,FALSE),'Preturi si tarife'!$C$2:$J$39,A268+2,FALSE)</f>
        <v>3.5000000000000001E-3</v>
      </c>
      <c r="Y268" s="692"/>
      <c r="Z268" s="692"/>
      <c r="AA268" s="693"/>
      <c r="AB268" s="772">
        <f t="shared" si="14"/>
        <v>0</v>
      </c>
      <c r="AC268" s="773"/>
      <c r="AD268" s="773"/>
      <c r="AE268" s="774"/>
      <c r="AF268" s="772">
        <f t="shared" si="15"/>
        <v>0</v>
      </c>
      <c r="AG268" s="773"/>
      <c r="AH268" s="773"/>
      <c r="AI268" s="774"/>
      <c r="AJ268" s="772">
        <f t="shared" si="16"/>
        <v>0</v>
      </c>
      <c r="AK268" s="773"/>
      <c r="AL268" s="773"/>
      <c r="AM268" s="774"/>
    </row>
    <row r="269" spans="1:39" ht="15.95" customHeight="1">
      <c r="A269" s="65">
        <f t="shared" si="17"/>
        <v>28</v>
      </c>
      <c r="B269" s="699" t="s">
        <v>106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63">
        <f t="shared" si="21"/>
        <v>45748</v>
      </c>
      <c r="M269" s="764"/>
      <c r="N269" s="765"/>
      <c r="O269" s="763">
        <f t="shared" si="20"/>
        <v>45777</v>
      </c>
      <c r="P269" s="764"/>
      <c r="Q269" s="765"/>
      <c r="R269" s="772" cm="1">
        <f t="array" ref="R269">INDEX(verificare!$AT$4:$CC$26,VLOOKUP($AA$16,verificare!$AR$4:$AS$26,2,FALSE),A269)</f>
        <v>0</v>
      </c>
      <c r="S269" s="773"/>
      <c r="T269" s="773"/>
      <c r="U269" s="774"/>
      <c r="V269" s="724" t="s">
        <v>446</v>
      </c>
      <c r="W269" s="725"/>
      <c r="X269" s="691">
        <f>HLOOKUP(VLOOKUP($AA$16,'Date SPV'!$B:$F,5,FALSE),'Preturi si tarife'!$C$2:$J$39,A269+2,FALSE)</f>
        <v>7.2541599999999998E-2</v>
      </c>
      <c r="Y269" s="692"/>
      <c r="Z269" s="692"/>
      <c r="AA269" s="693"/>
      <c r="AB269" s="772">
        <f t="shared" si="14"/>
        <v>0</v>
      </c>
      <c r="AC269" s="773"/>
      <c r="AD269" s="773"/>
      <c r="AE269" s="774"/>
      <c r="AF269" s="772">
        <f t="shared" si="15"/>
        <v>0</v>
      </c>
      <c r="AG269" s="773"/>
      <c r="AH269" s="773"/>
      <c r="AI269" s="774"/>
      <c r="AJ269" s="772">
        <f t="shared" si="16"/>
        <v>0</v>
      </c>
      <c r="AK269" s="773"/>
      <c r="AL269" s="773"/>
      <c r="AM269" s="774"/>
    </row>
    <row r="270" spans="1:39" ht="30.95" customHeight="1">
      <c r="A270" s="65">
        <f t="shared" si="17"/>
        <v>29</v>
      </c>
      <c r="B270" s="699" t="s">
        <v>1316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63">
        <f>L272</f>
        <v>45748</v>
      </c>
      <c r="M270" s="764"/>
      <c r="N270" s="765"/>
      <c r="O270" s="763">
        <f>O272</f>
        <v>45777</v>
      </c>
      <c r="P270" s="764"/>
      <c r="Q270" s="765"/>
      <c r="R270" s="772" cm="1">
        <f t="array" ref="R270">INDEX(verificare!$AT$4:$CC$26,VLOOKUP($AA$16,verificare!$AR$4:$AS$26,2,FALSE),A270)</f>
        <v>0</v>
      </c>
      <c r="S270" s="773"/>
      <c r="T270" s="773"/>
      <c r="U270" s="774"/>
      <c r="V270" s="724" t="s">
        <v>446</v>
      </c>
      <c r="W270" s="725"/>
      <c r="X270" s="691">
        <f>HLOOKUP(VLOOKUP($AA$16,'Date SPV'!$B:$F,5,FALSE),'Preturi si tarife'!$C$2:$J$39,A270+2,FALSE)</f>
        <v>2.0599999999999999E-4</v>
      </c>
      <c r="Y270" s="692"/>
      <c r="Z270" s="692"/>
      <c r="AA270" s="693"/>
      <c r="AB270" s="772">
        <f>ROUND(X270*R270,2)</f>
        <v>0</v>
      </c>
      <c r="AC270" s="773"/>
      <c r="AD270" s="773"/>
      <c r="AE270" s="774"/>
      <c r="AF270" s="772">
        <f>ROUND(AB270*19%,2)</f>
        <v>0</v>
      </c>
      <c r="AG270" s="773"/>
      <c r="AH270" s="773"/>
      <c r="AI270" s="774"/>
      <c r="AJ270" s="772">
        <f>AB270+AF270</f>
        <v>0</v>
      </c>
      <c r="AK270" s="773"/>
      <c r="AL270" s="773"/>
      <c r="AM270" s="774"/>
    </row>
    <row r="271" spans="1:39" ht="15.95" customHeight="1">
      <c r="A271" s="65">
        <f t="shared" si="17"/>
        <v>30</v>
      </c>
      <c r="B271" s="699" t="s">
        <v>107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63">
        <f>L269</f>
        <v>45748</v>
      </c>
      <c r="M271" s="764"/>
      <c r="N271" s="765"/>
      <c r="O271" s="763">
        <f>O269</f>
        <v>45777</v>
      </c>
      <c r="P271" s="764"/>
      <c r="Q271" s="765"/>
      <c r="R271" s="772" cm="1">
        <f t="array" ref="R271">INDEX(verificare!$AT$4:$CC$26,VLOOKUP($AA$16,verificare!$AR$4:$AS$26,2,FALSE),A271)</f>
        <v>0</v>
      </c>
      <c r="S271" s="773"/>
      <c r="T271" s="773"/>
      <c r="U271" s="774"/>
      <c r="V271" s="724" t="s">
        <v>446</v>
      </c>
      <c r="W271" s="725"/>
      <c r="X271" s="691">
        <f>HLOOKUP(VLOOKUP($AA$16,'Date SPV'!$B:$F,5,FALSE),'Preturi si tarife'!$C$2:$J$39,A271+2,FALSE)</f>
        <v>0</v>
      </c>
      <c r="Y271" s="692"/>
      <c r="Z271" s="692"/>
      <c r="AA271" s="693"/>
      <c r="AB271" s="772">
        <f t="shared" si="14"/>
        <v>0</v>
      </c>
      <c r="AC271" s="773"/>
      <c r="AD271" s="773"/>
      <c r="AE271" s="774"/>
      <c r="AF271" s="772">
        <f t="shared" si="15"/>
        <v>0</v>
      </c>
      <c r="AG271" s="773"/>
      <c r="AH271" s="773"/>
      <c r="AI271" s="774"/>
      <c r="AJ271" s="772">
        <f t="shared" si="16"/>
        <v>0</v>
      </c>
      <c r="AK271" s="773"/>
      <c r="AL271" s="773"/>
      <c r="AM271" s="774"/>
    </row>
    <row r="272" spans="1:39" ht="30.95" customHeight="1">
      <c r="A272" s="65">
        <f t="shared" si="17"/>
        <v>31</v>
      </c>
      <c r="B272" s="699" t="s">
        <v>108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63">
        <f>L271</f>
        <v>45748</v>
      </c>
      <c r="M272" s="764"/>
      <c r="N272" s="765"/>
      <c r="O272" s="763">
        <f>O271</f>
        <v>45777</v>
      </c>
      <c r="P272" s="764"/>
      <c r="Q272" s="765"/>
      <c r="R272" s="772" cm="1">
        <f t="array" ref="R272">INDEX(verificare!$AT$4:$CC$26,VLOOKUP($AA$16,verificare!$AR$4:$AS$26,2,FALSE),A272)</f>
        <v>0</v>
      </c>
      <c r="S272" s="773"/>
      <c r="T272" s="773"/>
      <c r="U272" s="774"/>
      <c r="V272" s="724" t="s">
        <v>446</v>
      </c>
      <c r="W272" s="725"/>
      <c r="X272" s="691">
        <f>HLOOKUP(VLOOKUP($AA$16,'Date SPV'!$B:$F,5,FALSE),'Preturi si tarife'!$C$2:$J$39,A272+2,FALSE)</f>
        <v>1.49E-2</v>
      </c>
      <c r="Y272" s="692"/>
      <c r="Z272" s="692"/>
      <c r="AA272" s="693"/>
      <c r="AB272" s="772">
        <f t="shared" si="14"/>
        <v>0</v>
      </c>
      <c r="AC272" s="773"/>
      <c r="AD272" s="773"/>
      <c r="AE272" s="774"/>
      <c r="AF272" s="772">
        <f t="shared" si="15"/>
        <v>0</v>
      </c>
      <c r="AG272" s="773"/>
      <c r="AH272" s="773"/>
      <c r="AI272" s="774"/>
      <c r="AJ272" s="772">
        <f t="shared" si="16"/>
        <v>0</v>
      </c>
      <c r="AK272" s="773"/>
      <c r="AL272" s="773"/>
      <c r="AM272" s="774"/>
    </row>
    <row r="273" spans="1:39" ht="30.95" customHeight="1">
      <c r="A273" s="65">
        <f t="shared" si="17"/>
        <v>32</v>
      </c>
      <c r="B273" s="699" t="s">
        <v>109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63">
        <f>L272</f>
        <v>45748</v>
      </c>
      <c r="M273" s="764"/>
      <c r="N273" s="765"/>
      <c r="O273" s="763">
        <f>O272</f>
        <v>45777</v>
      </c>
      <c r="P273" s="764"/>
      <c r="Q273" s="765"/>
      <c r="R273" s="772" cm="1">
        <f t="array" ref="R273">INDEX(verificare!$AT$4:$CC$26,VLOOKUP($AA$16,verificare!$AR$4:$AS$26,2,FALSE),A273)</f>
        <v>0</v>
      </c>
      <c r="S273" s="773"/>
      <c r="T273" s="773"/>
      <c r="U273" s="774"/>
      <c r="V273" s="724" t="s">
        <v>446</v>
      </c>
      <c r="W273" s="725"/>
      <c r="X273" s="691">
        <f>HLOOKUP(VLOOKUP($AA$16,'Date SPV'!$B:$F,5,FALSE),'Preturi si tarife'!$C$2:$J$39,A273+2,FALSE)</f>
        <v>0.1192</v>
      </c>
      <c r="Y273" s="692"/>
      <c r="Z273" s="692"/>
      <c r="AA273" s="693"/>
      <c r="AB273" s="772">
        <f t="shared" si="14"/>
        <v>0</v>
      </c>
      <c r="AC273" s="773"/>
      <c r="AD273" s="773"/>
      <c r="AE273" s="774"/>
      <c r="AF273" s="772">
        <f t="shared" si="15"/>
        <v>0</v>
      </c>
      <c r="AG273" s="773"/>
      <c r="AH273" s="773"/>
      <c r="AI273" s="774"/>
      <c r="AJ273" s="772">
        <f t="shared" si="16"/>
        <v>0</v>
      </c>
      <c r="AK273" s="773"/>
      <c r="AL273" s="773"/>
      <c r="AM273" s="774"/>
    </row>
    <row r="274" spans="1:39" ht="15.95" customHeight="1">
      <c r="A274" s="65">
        <f t="shared" si="17"/>
        <v>33</v>
      </c>
      <c r="B274" s="699" t="s">
        <v>110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63">
        <f t="shared" si="21"/>
        <v>45748</v>
      </c>
      <c r="M274" s="764"/>
      <c r="N274" s="765"/>
      <c r="O274" s="763">
        <f t="shared" si="20"/>
        <v>45777</v>
      </c>
      <c r="P274" s="764"/>
      <c r="Q274" s="765"/>
      <c r="R274" s="772" cm="1">
        <f t="array" ref="R274">INDEX(verificare!$AT$4:$CC$26,VLOOKUP($AA$16,verificare!$AR$4:$AS$26,2,FALSE),A274)</f>
        <v>0</v>
      </c>
      <c r="S274" s="773"/>
      <c r="T274" s="773"/>
      <c r="U274" s="774"/>
      <c r="V274" s="724" t="s">
        <v>446</v>
      </c>
      <c r="W274" s="725"/>
      <c r="X274" s="691">
        <f>HLOOKUP(VLOOKUP($AA$16,'Date SPV'!$B:$F,5,FALSE),'Preturi si tarife'!$C$2:$J$39,A274+2,FALSE)</f>
        <v>0.96800760000000008</v>
      </c>
      <c r="Y274" s="692"/>
      <c r="Z274" s="692"/>
      <c r="AA274" s="693"/>
      <c r="AB274" s="772">
        <f t="shared" si="14"/>
        <v>0</v>
      </c>
      <c r="AC274" s="773"/>
      <c r="AD274" s="773"/>
      <c r="AE274" s="774"/>
      <c r="AF274" s="772">
        <f t="shared" si="15"/>
        <v>0</v>
      </c>
      <c r="AG274" s="773"/>
      <c r="AH274" s="773"/>
      <c r="AI274" s="774"/>
      <c r="AJ274" s="772">
        <f t="shared" si="16"/>
        <v>0</v>
      </c>
      <c r="AK274" s="773"/>
      <c r="AL274" s="773"/>
      <c r="AM274" s="774"/>
    </row>
    <row r="275" spans="1:39" ht="15.95" customHeight="1">
      <c r="A275" s="65">
        <f t="shared" si="17"/>
        <v>34</v>
      </c>
      <c r="B275" s="699" t="s">
        <v>111</v>
      </c>
      <c r="C275" s="700"/>
      <c r="D275" s="700"/>
      <c r="E275" s="700"/>
      <c r="F275" s="700"/>
      <c r="G275" s="700"/>
      <c r="H275" s="700"/>
      <c r="I275" s="700"/>
      <c r="J275" s="700"/>
      <c r="K275" s="701"/>
      <c r="L275" s="763">
        <f t="shared" si="21"/>
        <v>45748</v>
      </c>
      <c r="M275" s="764"/>
      <c r="N275" s="765"/>
      <c r="O275" s="763">
        <f t="shared" si="20"/>
        <v>45777</v>
      </c>
      <c r="P275" s="764"/>
      <c r="Q275" s="765"/>
      <c r="R275" s="772" cm="1">
        <f t="array" ref="R275">INDEX(verificare!$AT$4:$CC$26,VLOOKUP($AA$16,verificare!$AR$4:$AS$26,2,FALSE),A275)</f>
        <v>0</v>
      </c>
      <c r="S275" s="773"/>
      <c r="T275" s="773"/>
      <c r="U275" s="774"/>
      <c r="V275" s="724" t="s">
        <v>446</v>
      </c>
      <c r="W275" s="725"/>
      <c r="X275" s="691">
        <f>HLOOKUP(VLOOKUP($AA$16,'Date SPV'!$B:$F,5,FALSE),'Preturi si tarife'!$C$2:$J$39,A275+2,FALSE)</f>
        <v>0.83390760000000008</v>
      </c>
      <c r="Y275" s="692"/>
      <c r="Z275" s="692"/>
      <c r="AA275" s="693"/>
      <c r="AB275" s="772">
        <f t="shared" si="14"/>
        <v>0</v>
      </c>
      <c r="AC275" s="773"/>
      <c r="AD275" s="773"/>
      <c r="AE275" s="774"/>
      <c r="AF275" s="772">
        <f t="shared" si="15"/>
        <v>0</v>
      </c>
      <c r="AG275" s="773"/>
      <c r="AH275" s="773"/>
      <c r="AI275" s="774"/>
      <c r="AJ275" s="772">
        <f t="shared" si="16"/>
        <v>0</v>
      </c>
      <c r="AK275" s="773"/>
      <c r="AL275" s="773"/>
      <c r="AM275" s="774"/>
    </row>
    <row r="276" spans="1:39" ht="30.95" customHeight="1">
      <c r="A276" s="65">
        <f t="shared" si="17"/>
        <v>35</v>
      </c>
      <c r="B276" s="699" t="s">
        <v>112</v>
      </c>
      <c r="C276" s="700"/>
      <c r="D276" s="700"/>
      <c r="E276" s="700"/>
      <c r="F276" s="700"/>
      <c r="G276" s="700"/>
      <c r="H276" s="700"/>
      <c r="I276" s="700"/>
      <c r="J276" s="700"/>
      <c r="K276" s="701"/>
      <c r="L276" s="763">
        <f t="shared" si="21"/>
        <v>45748</v>
      </c>
      <c r="M276" s="764"/>
      <c r="N276" s="765"/>
      <c r="O276" s="763">
        <f t="shared" si="20"/>
        <v>45777</v>
      </c>
      <c r="P276" s="764"/>
      <c r="Q276" s="765"/>
      <c r="R276" s="772" cm="1">
        <f t="array" ref="R276">INDEX(verificare!$AT$4:$CC$26,VLOOKUP($AA$16,verificare!$AR$4:$AS$26,2,FALSE),A276)</f>
        <v>0</v>
      </c>
      <c r="S276" s="773"/>
      <c r="T276" s="773"/>
      <c r="U276" s="774"/>
      <c r="V276" s="724" t="s">
        <v>446</v>
      </c>
      <c r="W276" s="725"/>
      <c r="X276" s="691">
        <f>HLOOKUP(VLOOKUP($AA$16,'Date SPV'!$B:$F,5,FALSE),'Preturi si tarife'!$C$2:$J$39,A276+2,FALSE)</f>
        <v>1.49E-2</v>
      </c>
      <c r="Y276" s="692"/>
      <c r="Z276" s="692"/>
      <c r="AA276" s="693"/>
      <c r="AB276" s="772">
        <f t="shared" si="14"/>
        <v>0</v>
      </c>
      <c r="AC276" s="773"/>
      <c r="AD276" s="773"/>
      <c r="AE276" s="774"/>
      <c r="AF276" s="772">
        <f t="shared" si="15"/>
        <v>0</v>
      </c>
      <c r="AG276" s="773"/>
      <c r="AH276" s="773"/>
      <c r="AI276" s="774"/>
      <c r="AJ276" s="772">
        <f t="shared" si="16"/>
        <v>0</v>
      </c>
      <c r="AK276" s="773"/>
      <c r="AL276" s="773"/>
      <c r="AM276" s="774"/>
    </row>
    <row r="277" spans="1:39" ht="30.95" customHeight="1">
      <c r="A277" s="65">
        <f t="shared" si="17"/>
        <v>36</v>
      </c>
      <c r="B277" s="699" t="s">
        <v>113</v>
      </c>
      <c r="C277" s="700"/>
      <c r="D277" s="700"/>
      <c r="E277" s="700"/>
      <c r="F277" s="700"/>
      <c r="G277" s="700"/>
      <c r="H277" s="700"/>
      <c r="I277" s="700"/>
      <c r="J277" s="700"/>
      <c r="K277" s="701"/>
      <c r="L277" s="763">
        <f t="shared" si="21"/>
        <v>45748</v>
      </c>
      <c r="M277" s="764"/>
      <c r="N277" s="765"/>
      <c r="O277" s="763">
        <f t="shared" si="20"/>
        <v>45777</v>
      </c>
      <c r="P277" s="764"/>
      <c r="Q277" s="765"/>
      <c r="R277" s="772" cm="1">
        <f t="array" ref="R277">INDEX(verificare!$AT$4:$CC$26,VLOOKUP($AA$16,verificare!$AR$4:$AS$26,2,FALSE),A277)</f>
        <v>0</v>
      </c>
      <c r="S277" s="773"/>
      <c r="T277" s="773"/>
      <c r="U277" s="774"/>
      <c r="V277" s="724" t="s">
        <v>446</v>
      </c>
      <c r="W277" s="725"/>
      <c r="X277" s="691">
        <f>HLOOKUP(VLOOKUP($AA$16,'Date SPV'!$B:$F,5,FALSE),'Preturi si tarife'!$C$2:$J$39,A277+2,FALSE)</f>
        <v>0.1192</v>
      </c>
      <c r="Y277" s="692"/>
      <c r="Z277" s="692"/>
      <c r="AA277" s="693"/>
      <c r="AB277" s="772">
        <f t="shared" si="14"/>
        <v>0</v>
      </c>
      <c r="AC277" s="773"/>
      <c r="AD277" s="773"/>
      <c r="AE277" s="774"/>
      <c r="AF277" s="772">
        <f t="shared" si="15"/>
        <v>0</v>
      </c>
      <c r="AG277" s="773"/>
      <c r="AH277" s="773"/>
      <c r="AI277" s="774"/>
      <c r="AJ277" s="772">
        <f t="shared" si="16"/>
        <v>0</v>
      </c>
      <c r="AK277" s="773"/>
      <c r="AL277" s="773"/>
      <c r="AM277" s="774"/>
    </row>
    <row r="278" spans="1:39" ht="15.95" customHeight="1">
      <c r="A278" s="65">
        <f t="shared" si="17"/>
        <v>37</v>
      </c>
      <c r="B278" s="699" t="s">
        <v>728</v>
      </c>
      <c r="C278" s="700"/>
      <c r="D278" s="700"/>
      <c r="E278" s="700"/>
      <c r="F278" s="700"/>
      <c r="G278" s="700"/>
      <c r="H278" s="700"/>
      <c r="I278" s="700"/>
      <c r="J278" s="700"/>
      <c r="K278" s="701"/>
      <c r="L278" s="763" t="s">
        <v>69</v>
      </c>
      <c r="M278" s="764"/>
      <c r="N278" s="765"/>
      <c r="O278" s="763" t="s">
        <v>69</v>
      </c>
      <c r="P278" s="764"/>
      <c r="Q278" s="765"/>
      <c r="R278" s="772">
        <v>0</v>
      </c>
      <c r="S278" s="773"/>
      <c r="T278" s="773"/>
      <c r="U278" s="774"/>
      <c r="V278" s="724" t="s">
        <v>69</v>
      </c>
      <c r="W278" s="725"/>
      <c r="X278" s="691" t="s">
        <v>69</v>
      </c>
      <c r="Y278" s="692"/>
      <c r="Z278" s="692"/>
      <c r="AA278" s="693"/>
      <c r="AB278" s="766">
        <v>0</v>
      </c>
      <c r="AC278" s="767"/>
      <c r="AD278" s="767"/>
      <c r="AE278" s="768"/>
      <c r="AF278" s="766">
        <f t="shared" si="15"/>
        <v>0</v>
      </c>
      <c r="AG278" s="767"/>
      <c r="AH278" s="767"/>
      <c r="AI278" s="768"/>
      <c r="AJ278" s="766">
        <f t="shared" si="16"/>
        <v>0</v>
      </c>
      <c r="AK278" s="767"/>
      <c r="AL278" s="767"/>
      <c r="AM278" s="768"/>
    </row>
    <row r="279" spans="1:39" ht="15.95" customHeight="1">
      <c r="A279" s="65">
        <f>A278+1</f>
        <v>38</v>
      </c>
      <c r="B279" s="699" t="s">
        <v>729</v>
      </c>
      <c r="C279" s="700"/>
      <c r="D279" s="700"/>
      <c r="E279" s="700"/>
      <c r="F279" s="700"/>
      <c r="G279" s="700"/>
      <c r="H279" s="700"/>
      <c r="I279" s="700"/>
      <c r="J279" s="700"/>
      <c r="K279" s="701"/>
      <c r="L279" s="763" t="s">
        <v>69</v>
      </c>
      <c r="M279" s="764"/>
      <c r="N279" s="765"/>
      <c r="O279" s="763" t="s">
        <v>69</v>
      </c>
      <c r="P279" s="764"/>
      <c r="Q279" s="765"/>
      <c r="R279" s="772">
        <v>0</v>
      </c>
      <c r="S279" s="773"/>
      <c r="T279" s="773"/>
      <c r="U279" s="774"/>
      <c r="V279" s="724" t="s">
        <v>69</v>
      </c>
      <c r="W279" s="725"/>
      <c r="X279" s="691" t="s">
        <v>69</v>
      </c>
      <c r="Y279" s="692"/>
      <c r="Z279" s="692"/>
      <c r="AA279" s="693"/>
      <c r="AB279" s="769">
        <f>SUM(AB242:AE278)</f>
        <v>453932.20999999996</v>
      </c>
      <c r="AC279" s="770"/>
      <c r="AD279" s="770"/>
      <c r="AE279" s="771"/>
      <c r="AF279" s="769">
        <f>SUM(AF242:AI278)</f>
        <v>86247.12000000001</v>
      </c>
      <c r="AG279" s="770"/>
      <c r="AH279" s="770"/>
      <c r="AI279" s="771"/>
      <c r="AJ279" s="769">
        <f>SUM(AJ242:AM278)</f>
        <v>540179.32999999996</v>
      </c>
      <c r="AK279" s="770"/>
      <c r="AL279" s="770"/>
      <c r="AM279" s="771"/>
    </row>
    <row r="280" spans="1:39" ht="15.95" customHeight="1"/>
  </sheetData>
  <mergeCells count="1189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1:L81"/>
    <mergeCell ref="M81:AH81"/>
    <mergeCell ref="AI81:AM82"/>
    <mergeCell ref="A82:L82"/>
    <mergeCell ref="M82:AH82"/>
    <mergeCell ref="A83:F85"/>
    <mergeCell ref="G83:I85"/>
    <mergeCell ref="J83:L85"/>
    <mergeCell ref="M83:N85"/>
    <mergeCell ref="O83:Q85"/>
    <mergeCell ref="AI64:AJ66"/>
    <mergeCell ref="AK64:AM66"/>
    <mergeCell ref="J65:L65"/>
    <mergeCell ref="J66:L66"/>
    <mergeCell ref="A80:L80"/>
    <mergeCell ref="M80:AH80"/>
    <mergeCell ref="AI80:AM80"/>
    <mergeCell ref="R64:T66"/>
    <mergeCell ref="U64:W66"/>
    <mergeCell ref="X64:Z66"/>
    <mergeCell ref="AA64:AC66"/>
    <mergeCell ref="AD64:AE66"/>
    <mergeCell ref="AF64:AH66"/>
    <mergeCell ref="AA86:AC88"/>
    <mergeCell ref="AD86:AE88"/>
    <mergeCell ref="AF86:AH88"/>
    <mergeCell ref="AI86:AJ88"/>
    <mergeCell ref="AK86:AM88"/>
    <mergeCell ref="J87:L87"/>
    <mergeCell ref="J88:L88"/>
    <mergeCell ref="AI83:AJ85"/>
    <mergeCell ref="AK83:AM85"/>
    <mergeCell ref="A86:F88"/>
    <mergeCell ref="G86:I88"/>
    <mergeCell ref="J86:L86"/>
    <mergeCell ref="M86:N88"/>
    <mergeCell ref="O86:Q88"/>
    <mergeCell ref="R86:T88"/>
    <mergeCell ref="U86:W88"/>
    <mergeCell ref="X86:Z88"/>
    <mergeCell ref="R83:T85"/>
    <mergeCell ref="U83:W85"/>
    <mergeCell ref="X83:Z85"/>
    <mergeCell ref="AA83:AC85"/>
    <mergeCell ref="AD83:AE85"/>
    <mergeCell ref="AF83:AH85"/>
    <mergeCell ref="AK89:AM91"/>
    <mergeCell ref="J90:L90"/>
    <mergeCell ref="J91:L91"/>
    <mergeCell ref="A92:F94"/>
    <mergeCell ref="G92:I94"/>
    <mergeCell ref="J92:L92"/>
    <mergeCell ref="M92:N94"/>
    <mergeCell ref="O92:Q94"/>
    <mergeCell ref="R92:T94"/>
    <mergeCell ref="U92:W94"/>
    <mergeCell ref="U89:W91"/>
    <mergeCell ref="X89:Z91"/>
    <mergeCell ref="AA89:AC91"/>
    <mergeCell ref="AD89:AE91"/>
    <mergeCell ref="AF89:AH91"/>
    <mergeCell ref="AI89:AJ91"/>
    <mergeCell ref="A89:F91"/>
    <mergeCell ref="G89:I91"/>
    <mergeCell ref="J89:L89"/>
    <mergeCell ref="M89:N91"/>
    <mergeCell ref="O89:Q91"/>
    <mergeCell ref="R89:T91"/>
    <mergeCell ref="AF95:AH97"/>
    <mergeCell ref="AI95:AJ97"/>
    <mergeCell ref="AK95:AM97"/>
    <mergeCell ref="J96:L96"/>
    <mergeCell ref="J97:L97"/>
    <mergeCell ref="A98:F100"/>
    <mergeCell ref="G98:I100"/>
    <mergeCell ref="J98:L98"/>
    <mergeCell ref="M98:N100"/>
    <mergeCell ref="O98:Q100"/>
    <mergeCell ref="O95:Q97"/>
    <mergeCell ref="R95:T97"/>
    <mergeCell ref="U95:W97"/>
    <mergeCell ref="X95:Z97"/>
    <mergeCell ref="AA95:AC97"/>
    <mergeCell ref="AD95:AE97"/>
    <mergeCell ref="J93:L93"/>
    <mergeCell ref="J94:L94"/>
    <mergeCell ref="A95:F97"/>
    <mergeCell ref="G95:I97"/>
    <mergeCell ref="J95:L95"/>
    <mergeCell ref="M95:N97"/>
    <mergeCell ref="X92:Z94"/>
    <mergeCell ref="AA92:AC94"/>
    <mergeCell ref="AD92:AE94"/>
    <mergeCell ref="AF92:AH94"/>
    <mergeCell ref="AI92:AJ94"/>
    <mergeCell ref="AK92:AM94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R104:T106"/>
    <mergeCell ref="U104:W106"/>
    <mergeCell ref="U101:W103"/>
    <mergeCell ref="X101:Z103"/>
    <mergeCell ref="AA101:AC103"/>
    <mergeCell ref="AD101:AE103"/>
    <mergeCell ref="AF101:AH103"/>
    <mergeCell ref="AI101:AJ103"/>
    <mergeCell ref="AI98:AJ100"/>
    <mergeCell ref="AK98:AM100"/>
    <mergeCell ref="J99:L99"/>
    <mergeCell ref="J100:L100"/>
    <mergeCell ref="A101:F103"/>
    <mergeCell ref="G101:I103"/>
    <mergeCell ref="J101:L101"/>
    <mergeCell ref="M101:N103"/>
    <mergeCell ref="O101:Q103"/>
    <mergeCell ref="R101:T103"/>
    <mergeCell ref="R98:T100"/>
    <mergeCell ref="U98:W100"/>
    <mergeCell ref="X98:Z100"/>
    <mergeCell ref="AA98:AC100"/>
    <mergeCell ref="AD98:AE100"/>
    <mergeCell ref="AF98:AH100"/>
    <mergeCell ref="AF107:AH109"/>
    <mergeCell ref="AI107:AJ109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O107:Q109"/>
    <mergeCell ref="R107:T109"/>
    <mergeCell ref="U107:W109"/>
    <mergeCell ref="X107:Z109"/>
    <mergeCell ref="AA107:AC109"/>
    <mergeCell ref="AD107:AE109"/>
    <mergeCell ref="J105:L105"/>
    <mergeCell ref="J106:L106"/>
    <mergeCell ref="A107:F109"/>
    <mergeCell ref="G107:I109"/>
    <mergeCell ref="J107:L107"/>
    <mergeCell ref="M107:N109"/>
    <mergeCell ref="X104:Z106"/>
    <mergeCell ref="AA104:AC106"/>
    <mergeCell ref="AD104:AE106"/>
    <mergeCell ref="AF104:AH106"/>
    <mergeCell ref="AI104:AJ106"/>
    <mergeCell ref="AK104:AM106"/>
    <mergeCell ref="A116:L116"/>
    <mergeCell ref="M116:AH116"/>
    <mergeCell ref="AI116:AM117"/>
    <mergeCell ref="A117:L117"/>
    <mergeCell ref="M117:AH117"/>
    <mergeCell ref="A118:F120"/>
    <mergeCell ref="G118:I120"/>
    <mergeCell ref="J118:L120"/>
    <mergeCell ref="M118:N120"/>
    <mergeCell ref="O118:Q120"/>
    <mergeCell ref="AI110:AJ112"/>
    <mergeCell ref="AK110:AM112"/>
    <mergeCell ref="J111:L111"/>
    <mergeCell ref="J112:L112"/>
    <mergeCell ref="AI115:AM115"/>
    <mergeCell ref="R110:T112"/>
    <mergeCell ref="U110:W112"/>
    <mergeCell ref="X110:Z112"/>
    <mergeCell ref="AA110:AC112"/>
    <mergeCell ref="AD110:AE112"/>
    <mergeCell ref="AF110:AH112"/>
    <mergeCell ref="A115:AH115"/>
    <mergeCell ref="AA121:AC123"/>
    <mergeCell ref="AD121:AE123"/>
    <mergeCell ref="AF121:AH123"/>
    <mergeCell ref="AI121:AJ123"/>
    <mergeCell ref="AK121:AM123"/>
    <mergeCell ref="J122:L122"/>
    <mergeCell ref="J123:L123"/>
    <mergeCell ref="AI118:AJ120"/>
    <mergeCell ref="AK118:AM120"/>
    <mergeCell ref="A121:F123"/>
    <mergeCell ref="G121:I123"/>
    <mergeCell ref="J121:L121"/>
    <mergeCell ref="M121:N123"/>
    <mergeCell ref="O121:Q123"/>
    <mergeCell ref="R121:T123"/>
    <mergeCell ref="U121:W123"/>
    <mergeCell ref="X121:Z123"/>
    <mergeCell ref="R118:T120"/>
    <mergeCell ref="U118:W120"/>
    <mergeCell ref="X118:Z120"/>
    <mergeCell ref="AA118:AC120"/>
    <mergeCell ref="AD118:AE120"/>
    <mergeCell ref="AF118:AH120"/>
    <mergeCell ref="AK124:AM126"/>
    <mergeCell ref="J125:L125"/>
    <mergeCell ref="J126:L126"/>
    <mergeCell ref="A127:F129"/>
    <mergeCell ref="G127:I129"/>
    <mergeCell ref="J127:L127"/>
    <mergeCell ref="M127:N129"/>
    <mergeCell ref="O127:Q129"/>
    <mergeCell ref="R127:T129"/>
    <mergeCell ref="U127:W129"/>
    <mergeCell ref="U124:W126"/>
    <mergeCell ref="X124:Z126"/>
    <mergeCell ref="AA124:AC126"/>
    <mergeCell ref="AD124:AE126"/>
    <mergeCell ref="AF124:AH126"/>
    <mergeCell ref="AI124:AJ126"/>
    <mergeCell ref="A124:F126"/>
    <mergeCell ref="G124:I126"/>
    <mergeCell ref="J124:L124"/>
    <mergeCell ref="M124:N126"/>
    <mergeCell ref="O124:Q126"/>
    <mergeCell ref="R124:T126"/>
    <mergeCell ref="A138:L138"/>
    <mergeCell ref="M138:AH138"/>
    <mergeCell ref="AI138:AM138"/>
    <mergeCell ref="A139:L139"/>
    <mergeCell ref="M139:AH139"/>
    <mergeCell ref="AI139:AM140"/>
    <mergeCell ref="A140:L140"/>
    <mergeCell ref="M140:AH140"/>
    <mergeCell ref="J128:L128"/>
    <mergeCell ref="J129:L129"/>
    <mergeCell ref="A133:G134"/>
    <mergeCell ref="H133:AM134"/>
    <mergeCell ref="A135:G136"/>
    <mergeCell ref="H135:V136"/>
    <mergeCell ref="W135:Z136"/>
    <mergeCell ref="AA135:AM136"/>
    <mergeCell ref="X127:Z129"/>
    <mergeCell ref="AA127:AC129"/>
    <mergeCell ref="AD127:AE129"/>
    <mergeCell ref="AF127:AH129"/>
    <mergeCell ref="AI127:AJ129"/>
    <mergeCell ref="AK127:AM129"/>
    <mergeCell ref="AD144:AE146"/>
    <mergeCell ref="AF144:AH146"/>
    <mergeCell ref="AI144:AJ146"/>
    <mergeCell ref="AK144:AM146"/>
    <mergeCell ref="J145:L145"/>
    <mergeCell ref="J146:L146"/>
    <mergeCell ref="AK141:AM143"/>
    <mergeCell ref="A144:F146"/>
    <mergeCell ref="G144:I146"/>
    <mergeCell ref="J144:L144"/>
    <mergeCell ref="M144:N146"/>
    <mergeCell ref="O144:Q146"/>
    <mergeCell ref="R144:T146"/>
    <mergeCell ref="U144:W146"/>
    <mergeCell ref="X144:Z146"/>
    <mergeCell ref="AA144:AC146"/>
    <mergeCell ref="U141:W143"/>
    <mergeCell ref="X141:Z143"/>
    <mergeCell ref="AA141:AC143"/>
    <mergeCell ref="AD141:AE143"/>
    <mergeCell ref="AF141:AH143"/>
    <mergeCell ref="AI141:AJ143"/>
    <mergeCell ref="A141:F143"/>
    <mergeCell ref="G141:I143"/>
    <mergeCell ref="J141:L143"/>
    <mergeCell ref="M141:N143"/>
    <mergeCell ref="O141:Q143"/>
    <mergeCell ref="R141:T143"/>
    <mergeCell ref="AK147:AM149"/>
    <mergeCell ref="J148:L148"/>
    <mergeCell ref="J149:L149"/>
    <mergeCell ref="A150:F152"/>
    <mergeCell ref="G150:I152"/>
    <mergeCell ref="J150:L150"/>
    <mergeCell ref="M150:N152"/>
    <mergeCell ref="O150:Q152"/>
    <mergeCell ref="R150:T152"/>
    <mergeCell ref="U150:W152"/>
    <mergeCell ref="U147:W149"/>
    <mergeCell ref="X147:Z149"/>
    <mergeCell ref="AA147:AC149"/>
    <mergeCell ref="AD147:AE149"/>
    <mergeCell ref="AF147:AH149"/>
    <mergeCell ref="AI147:AJ149"/>
    <mergeCell ref="A147:F149"/>
    <mergeCell ref="G147:I149"/>
    <mergeCell ref="J147:L147"/>
    <mergeCell ref="M147:N149"/>
    <mergeCell ref="O147:Q149"/>
    <mergeCell ref="R147:T149"/>
    <mergeCell ref="AF153:AH155"/>
    <mergeCell ref="AI153:AJ155"/>
    <mergeCell ref="AK153:AM155"/>
    <mergeCell ref="J154:L154"/>
    <mergeCell ref="J155:L155"/>
    <mergeCell ref="A156:F158"/>
    <mergeCell ref="G156:I158"/>
    <mergeCell ref="J156:L156"/>
    <mergeCell ref="M156:N158"/>
    <mergeCell ref="O156:Q158"/>
    <mergeCell ref="O153:Q155"/>
    <mergeCell ref="R153:T155"/>
    <mergeCell ref="U153:W155"/>
    <mergeCell ref="X153:Z155"/>
    <mergeCell ref="AA153:AC155"/>
    <mergeCell ref="AD153:AE155"/>
    <mergeCell ref="J151:L151"/>
    <mergeCell ref="J152:L152"/>
    <mergeCell ref="A153:F155"/>
    <mergeCell ref="G153:I155"/>
    <mergeCell ref="J153:L153"/>
    <mergeCell ref="M153:N155"/>
    <mergeCell ref="X150:Z152"/>
    <mergeCell ref="AA150:AC152"/>
    <mergeCell ref="AD150:AE152"/>
    <mergeCell ref="AF150:AH152"/>
    <mergeCell ref="AI150:AJ152"/>
    <mergeCell ref="AK150:AM152"/>
    <mergeCell ref="AK159:AM161"/>
    <mergeCell ref="J160:L160"/>
    <mergeCell ref="J161:L161"/>
    <mergeCell ref="A162:F164"/>
    <mergeCell ref="G162:I164"/>
    <mergeCell ref="J162:L162"/>
    <mergeCell ref="M162:N164"/>
    <mergeCell ref="O162:Q164"/>
    <mergeCell ref="R162:T164"/>
    <mergeCell ref="U162:W164"/>
    <mergeCell ref="U159:W161"/>
    <mergeCell ref="X159:Z161"/>
    <mergeCell ref="AA159:AC161"/>
    <mergeCell ref="AD159:AE161"/>
    <mergeCell ref="AF159:AH161"/>
    <mergeCell ref="AI159:AJ161"/>
    <mergeCell ref="AI156:AJ158"/>
    <mergeCell ref="AK156:AM158"/>
    <mergeCell ref="J157:L157"/>
    <mergeCell ref="J158:L158"/>
    <mergeCell ref="A159:F161"/>
    <mergeCell ref="G159:I161"/>
    <mergeCell ref="J159:L159"/>
    <mergeCell ref="M159:N161"/>
    <mergeCell ref="O159:Q161"/>
    <mergeCell ref="R159:T161"/>
    <mergeCell ref="R156:T158"/>
    <mergeCell ref="U156:W158"/>
    <mergeCell ref="X156:Z158"/>
    <mergeCell ref="AA156:AC158"/>
    <mergeCell ref="AD156:AE158"/>
    <mergeCell ref="AF156:AH158"/>
    <mergeCell ref="AF165:AH167"/>
    <mergeCell ref="AI165:AJ167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O165:Q167"/>
    <mergeCell ref="R165:T167"/>
    <mergeCell ref="U165:W167"/>
    <mergeCell ref="X165:Z167"/>
    <mergeCell ref="AA165:AC167"/>
    <mergeCell ref="AD165:AE167"/>
    <mergeCell ref="J163:L163"/>
    <mergeCell ref="J164:L164"/>
    <mergeCell ref="A165:F167"/>
    <mergeCell ref="G165:I167"/>
    <mergeCell ref="J165:L165"/>
    <mergeCell ref="M165:N167"/>
    <mergeCell ref="X162:Z164"/>
    <mergeCell ref="AA162:AC164"/>
    <mergeCell ref="AD162:AE164"/>
    <mergeCell ref="AF162:AH164"/>
    <mergeCell ref="AI162:AJ164"/>
    <mergeCell ref="AK162:AM164"/>
    <mergeCell ref="A187:L187"/>
    <mergeCell ref="M187:AH187"/>
    <mergeCell ref="AI187:AM188"/>
    <mergeCell ref="A188:L188"/>
    <mergeCell ref="M188:AH188"/>
    <mergeCell ref="A189:F191"/>
    <mergeCell ref="G189:I191"/>
    <mergeCell ref="J189:L191"/>
    <mergeCell ref="M189:N191"/>
    <mergeCell ref="O189:Q191"/>
    <mergeCell ref="AI168:AJ170"/>
    <mergeCell ref="AK168:AM170"/>
    <mergeCell ref="J169:L169"/>
    <mergeCell ref="J170:L170"/>
    <mergeCell ref="A186:L186"/>
    <mergeCell ref="M186:AH186"/>
    <mergeCell ref="AI186:AM186"/>
    <mergeCell ref="R168:T170"/>
    <mergeCell ref="U168:W170"/>
    <mergeCell ref="X168:Z170"/>
    <mergeCell ref="AA168:AC170"/>
    <mergeCell ref="AD168:AE170"/>
    <mergeCell ref="AF168:AH170"/>
    <mergeCell ref="AA192:AC194"/>
    <mergeCell ref="AD192:AE194"/>
    <mergeCell ref="AF192:AH194"/>
    <mergeCell ref="AI192:AJ194"/>
    <mergeCell ref="AK192:AM194"/>
    <mergeCell ref="J193:L193"/>
    <mergeCell ref="J194:L194"/>
    <mergeCell ref="AI189:AJ191"/>
    <mergeCell ref="AK189:AM191"/>
    <mergeCell ref="A192:F194"/>
    <mergeCell ref="G192:I194"/>
    <mergeCell ref="J192:L192"/>
    <mergeCell ref="M192:N194"/>
    <mergeCell ref="O192:Q194"/>
    <mergeCell ref="R192:T194"/>
    <mergeCell ref="U192:W194"/>
    <mergeCell ref="X192:Z194"/>
    <mergeCell ref="R189:T191"/>
    <mergeCell ref="U189:W191"/>
    <mergeCell ref="X189:Z191"/>
    <mergeCell ref="AA189:AC191"/>
    <mergeCell ref="AD189:AE191"/>
    <mergeCell ref="AF189:AH191"/>
    <mergeCell ref="AK195:AM197"/>
    <mergeCell ref="J196:L196"/>
    <mergeCell ref="J197:L197"/>
    <mergeCell ref="A198:F200"/>
    <mergeCell ref="G198:I200"/>
    <mergeCell ref="J198:L198"/>
    <mergeCell ref="M198:N200"/>
    <mergeCell ref="O198:Q200"/>
    <mergeCell ref="R198:T200"/>
    <mergeCell ref="U198:W200"/>
    <mergeCell ref="U195:W197"/>
    <mergeCell ref="X195:Z197"/>
    <mergeCell ref="AA195:AC197"/>
    <mergeCell ref="AD195:AE197"/>
    <mergeCell ref="AF195:AH197"/>
    <mergeCell ref="AI195:AJ197"/>
    <mergeCell ref="A195:F197"/>
    <mergeCell ref="G195:I197"/>
    <mergeCell ref="J195:L195"/>
    <mergeCell ref="M195:N197"/>
    <mergeCell ref="O195:Q197"/>
    <mergeCell ref="R195:T197"/>
    <mergeCell ref="AF201:AH203"/>
    <mergeCell ref="AI201:AJ203"/>
    <mergeCell ref="AK201:AM203"/>
    <mergeCell ref="J202:L202"/>
    <mergeCell ref="J203:L203"/>
    <mergeCell ref="A204:F206"/>
    <mergeCell ref="G204:I206"/>
    <mergeCell ref="J204:L204"/>
    <mergeCell ref="M204:N206"/>
    <mergeCell ref="O204:Q206"/>
    <mergeCell ref="O201:Q203"/>
    <mergeCell ref="R201:T203"/>
    <mergeCell ref="U201:W203"/>
    <mergeCell ref="X201:Z203"/>
    <mergeCell ref="AA201:AC203"/>
    <mergeCell ref="AD201:AE203"/>
    <mergeCell ref="J199:L199"/>
    <mergeCell ref="J200:L200"/>
    <mergeCell ref="A201:F203"/>
    <mergeCell ref="G201:I203"/>
    <mergeCell ref="J201:L201"/>
    <mergeCell ref="M201:N203"/>
    <mergeCell ref="X198:Z200"/>
    <mergeCell ref="AA198:AC200"/>
    <mergeCell ref="AD198:AE200"/>
    <mergeCell ref="AF198:AH200"/>
    <mergeCell ref="AI198:AJ200"/>
    <mergeCell ref="AK198:AM200"/>
    <mergeCell ref="AK207:AM209"/>
    <mergeCell ref="J208:L208"/>
    <mergeCell ref="J209:L209"/>
    <mergeCell ref="A210:F212"/>
    <mergeCell ref="G210:I212"/>
    <mergeCell ref="J210:L210"/>
    <mergeCell ref="M210:N212"/>
    <mergeCell ref="O210:Q212"/>
    <mergeCell ref="R210:T212"/>
    <mergeCell ref="U210:W212"/>
    <mergeCell ref="U207:W209"/>
    <mergeCell ref="X207:Z209"/>
    <mergeCell ref="AA207:AC209"/>
    <mergeCell ref="AD207:AE209"/>
    <mergeCell ref="AF207:AH209"/>
    <mergeCell ref="AI207:AJ209"/>
    <mergeCell ref="AI204:AJ206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R204:T206"/>
    <mergeCell ref="U204:W206"/>
    <mergeCell ref="X204:Z206"/>
    <mergeCell ref="AA204:AC206"/>
    <mergeCell ref="AD204:AE206"/>
    <mergeCell ref="AF204:AH206"/>
    <mergeCell ref="AF213:AH215"/>
    <mergeCell ref="AI213:AJ215"/>
    <mergeCell ref="AK213:AM215"/>
    <mergeCell ref="J214:L214"/>
    <mergeCell ref="J215:L215"/>
    <mergeCell ref="A216:F218"/>
    <mergeCell ref="G216:I218"/>
    <mergeCell ref="J216:L216"/>
    <mergeCell ref="M216:N218"/>
    <mergeCell ref="O216:Q218"/>
    <mergeCell ref="O213:Q215"/>
    <mergeCell ref="R213:T215"/>
    <mergeCell ref="U213:W215"/>
    <mergeCell ref="X213:Z215"/>
    <mergeCell ref="AA213:AC215"/>
    <mergeCell ref="AD213:AE215"/>
    <mergeCell ref="J211:L211"/>
    <mergeCell ref="J212:L212"/>
    <mergeCell ref="A213:F215"/>
    <mergeCell ref="G213:I215"/>
    <mergeCell ref="J213:L213"/>
    <mergeCell ref="M213:N215"/>
    <mergeCell ref="X210:Z212"/>
    <mergeCell ref="AA210:AC212"/>
    <mergeCell ref="AD210:AE212"/>
    <mergeCell ref="AF210:AH212"/>
    <mergeCell ref="AI210:AJ212"/>
    <mergeCell ref="AK210:AM212"/>
    <mergeCell ref="AF241:AI241"/>
    <mergeCell ref="AJ241:AM241"/>
    <mergeCell ref="B242:K242"/>
    <mergeCell ref="L242:N242"/>
    <mergeCell ref="O242:Q242"/>
    <mergeCell ref="R242:U242"/>
    <mergeCell ref="V242:W242"/>
    <mergeCell ref="X242:AA242"/>
    <mergeCell ref="AB242:AE242"/>
    <mergeCell ref="AF242:AI242"/>
    <mergeCell ref="AI216:AJ218"/>
    <mergeCell ref="AK216:AM218"/>
    <mergeCell ref="J217:L217"/>
    <mergeCell ref="J218:L218"/>
    <mergeCell ref="A239:AM239"/>
    <mergeCell ref="B241:K241"/>
    <mergeCell ref="R241:U241"/>
    <mergeCell ref="V241:W241"/>
    <mergeCell ref="X241:AA241"/>
    <mergeCell ref="AB241:AE241"/>
    <mergeCell ref="R216:T218"/>
    <mergeCell ref="U216:W218"/>
    <mergeCell ref="X216:Z218"/>
    <mergeCell ref="AA216:AC218"/>
    <mergeCell ref="AD216:AE218"/>
    <mergeCell ref="AF216:AH218"/>
    <mergeCell ref="AD226:AE228"/>
    <mergeCell ref="AF226:AH228"/>
    <mergeCell ref="AI226:AJ228"/>
    <mergeCell ref="AK226:AM228"/>
    <mergeCell ref="J227:L227"/>
    <mergeCell ref="J228:L228"/>
    <mergeCell ref="AB244:AE244"/>
    <mergeCell ref="AF244:AI244"/>
    <mergeCell ref="AJ244:AM244"/>
    <mergeCell ref="B245:K245"/>
    <mergeCell ref="L245:N245"/>
    <mergeCell ref="O245:Q245"/>
    <mergeCell ref="R245:U245"/>
    <mergeCell ref="V245:W245"/>
    <mergeCell ref="X245:AA245"/>
    <mergeCell ref="AB245:AE245"/>
    <mergeCell ref="B244:K244"/>
    <mergeCell ref="L244:N244"/>
    <mergeCell ref="O244:Q244"/>
    <mergeCell ref="R244:U244"/>
    <mergeCell ref="V244:W244"/>
    <mergeCell ref="X244:AA244"/>
    <mergeCell ref="AJ242:AM242"/>
    <mergeCell ref="B243:K243"/>
    <mergeCell ref="L243:N243"/>
    <mergeCell ref="O243:Q243"/>
    <mergeCell ref="R243:U243"/>
    <mergeCell ref="V243:W243"/>
    <mergeCell ref="X243:AA243"/>
    <mergeCell ref="AB243:AE243"/>
    <mergeCell ref="AF243:AI243"/>
    <mergeCell ref="AJ243:AM243"/>
    <mergeCell ref="AJ246:AM246"/>
    <mergeCell ref="B247:K247"/>
    <mergeCell ref="L247:N247"/>
    <mergeCell ref="O247:Q247"/>
    <mergeCell ref="R247:U247"/>
    <mergeCell ref="V247:W247"/>
    <mergeCell ref="X247:AA247"/>
    <mergeCell ref="AB247:AE247"/>
    <mergeCell ref="AF247:AI247"/>
    <mergeCell ref="AJ247:AM247"/>
    <mergeCell ref="AF245:AI245"/>
    <mergeCell ref="AJ245:AM245"/>
    <mergeCell ref="B246:K246"/>
    <mergeCell ref="L246:N246"/>
    <mergeCell ref="O246:Q246"/>
    <mergeCell ref="R246:U246"/>
    <mergeCell ref="V246:W246"/>
    <mergeCell ref="X246:AA246"/>
    <mergeCell ref="AB246:AE246"/>
    <mergeCell ref="AF246:AI246"/>
    <mergeCell ref="AF249:AI249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AB248:AE248"/>
    <mergeCell ref="AF248:AI248"/>
    <mergeCell ref="AJ248:AM248"/>
    <mergeCell ref="B249:K249"/>
    <mergeCell ref="L249:N249"/>
    <mergeCell ref="O249:Q249"/>
    <mergeCell ref="R249:U249"/>
    <mergeCell ref="V249:W249"/>
    <mergeCell ref="X249:AA249"/>
    <mergeCell ref="AB249:AE249"/>
    <mergeCell ref="B248:K248"/>
    <mergeCell ref="L248:N248"/>
    <mergeCell ref="O248:Q248"/>
    <mergeCell ref="R248:U248"/>
    <mergeCell ref="V248:W248"/>
    <mergeCell ref="X248:AA248"/>
    <mergeCell ref="AB252:AE252"/>
    <mergeCell ref="AF252:AI252"/>
    <mergeCell ref="AJ252:AM252"/>
    <mergeCell ref="B254:K254"/>
    <mergeCell ref="L254:N254"/>
    <mergeCell ref="O254:Q254"/>
    <mergeCell ref="R254:U254"/>
    <mergeCell ref="V254:W254"/>
    <mergeCell ref="X254:AA254"/>
    <mergeCell ref="AB254:AE254"/>
    <mergeCell ref="B252:K252"/>
    <mergeCell ref="L252:N252"/>
    <mergeCell ref="O252:Q252"/>
    <mergeCell ref="R252:U252"/>
    <mergeCell ref="V252:W252"/>
    <mergeCell ref="X252:AA252"/>
    <mergeCell ref="AJ250:AM250"/>
    <mergeCell ref="B251:K251"/>
    <mergeCell ref="L251:N251"/>
    <mergeCell ref="O251:Q251"/>
    <mergeCell ref="R251:U251"/>
    <mergeCell ref="V251:W251"/>
    <mergeCell ref="X251:AA251"/>
    <mergeCell ref="AB251:AE251"/>
    <mergeCell ref="AF251:AI251"/>
    <mergeCell ref="AJ251:AM251"/>
    <mergeCell ref="B253:K253"/>
    <mergeCell ref="L253:N253"/>
    <mergeCell ref="O253:Q253"/>
    <mergeCell ref="R253:U253"/>
    <mergeCell ref="V253:W253"/>
    <mergeCell ref="X253:AA253"/>
    <mergeCell ref="AJ255:AM255"/>
    <mergeCell ref="B256:K256"/>
    <mergeCell ref="L256:N256"/>
    <mergeCell ref="O256:Q256"/>
    <mergeCell ref="R256:U256"/>
    <mergeCell ref="V256:W256"/>
    <mergeCell ref="X256:AA256"/>
    <mergeCell ref="AB256:AE256"/>
    <mergeCell ref="AF256:AI256"/>
    <mergeCell ref="AJ256:AM256"/>
    <mergeCell ref="AF254:AI254"/>
    <mergeCell ref="AJ254:AM254"/>
    <mergeCell ref="B255:K255"/>
    <mergeCell ref="L255:N255"/>
    <mergeCell ref="O255:Q255"/>
    <mergeCell ref="R255:U255"/>
    <mergeCell ref="V255:W255"/>
    <mergeCell ref="X255:AA255"/>
    <mergeCell ref="AB255:AE255"/>
    <mergeCell ref="AF255:AI255"/>
    <mergeCell ref="AF258:AI258"/>
    <mergeCell ref="AJ258:AM258"/>
    <mergeCell ref="B259:K259"/>
    <mergeCell ref="L259:N259"/>
    <mergeCell ref="O259:Q259"/>
    <mergeCell ref="R259:U259"/>
    <mergeCell ref="V259:W259"/>
    <mergeCell ref="X259:AA259"/>
    <mergeCell ref="AB259:AE259"/>
    <mergeCell ref="AF259:AI259"/>
    <mergeCell ref="AB257:AE257"/>
    <mergeCell ref="AF257:AI257"/>
    <mergeCell ref="AJ257:AM257"/>
    <mergeCell ref="B258:K258"/>
    <mergeCell ref="L258:N258"/>
    <mergeCell ref="O258:Q258"/>
    <mergeCell ref="R258:U258"/>
    <mergeCell ref="V258:W258"/>
    <mergeCell ref="X258:AA258"/>
    <mergeCell ref="AB258:AE258"/>
    <mergeCell ref="B257:K257"/>
    <mergeCell ref="L257:N257"/>
    <mergeCell ref="O257:Q257"/>
    <mergeCell ref="R257:U257"/>
    <mergeCell ref="V257:W257"/>
    <mergeCell ref="X257:AA257"/>
    <mergeCell ref="AB261:AE261"/>
    <mergeCell ref="AF261:AI261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B261:K261"/>
    <mergeCell ref="L261:N261"/>
    <mergeCell ref="O261:Q261"/>
    <mergeCell ref="R261:U261"/>
    <mergeCell ref="V261:W261"/>
    <mergeCell ref="X261:AA261"/>
    <mergeCell ref="AJ259:AM259"/>
    <mergeCell ref="B260:K260"/>
    <mergeCell ref="L260:N260"/>
    <mergeCell ref="O260:Q260"/>
    <mergeCell ref="R260:U260"/>
    <mergeCell ref="V260:W260"/>
    <mergeCell ref="X260:AA260"/>
    <mergeCell ref="AB260:AE260"/>
    <mergeCell ref="AF260:AI260"/>
    <mergeCell ref="AJ260:AM260"/>
    <mergeCell ref="AJ263:AM263"/>
    <mergeCell ref="B264:K264"/>
    <mergeCell ref="L264:N264"/>
    <mergeCell ref="O264:Q264"/>
    <mergeCell ref="R264:U264"/>
    <mergeCell ref="V264:W264"/>
    <mergeCell ref="X264:AA264"/>
    <mergeCell ref="AB264:AE264"/>
    <mergeCell ref="AF264:AI264"/>
    <mergeCell ref="AJ264:AM264"/>
    <mergeCell ref="AF262:AI262"/>
    <mergeCell ref="AJ262:AM262"/>
    <mergeCell ref="B263:K263"/>
    <mergeCell ref="L263:N263"/>
    <mergeCell ref="O263:Q263"/>
    <mergeCell ref="R263:U263"/>
    <mergeCell ref="V263:W263"/>
    <mergeCell ref="X263:AA263"/>
    <mergeCell ref="AB263:AE263"/>
    <mergeCell ref="AF263:AI263"/>
    <mergeCell ref="AF266:AI266"/>
    <mergeCell ref="AJ266:AM266"/>
    <mergeCell ref="B267:K267"/>
    <mergeCell ref="L267:N267"/>
    <mergeCell ref="O267:Q267"/>
    <mergeCell ref="R267:U267"/>
    <mergeCell ref="V267:W267"/>
    <mergeCell ref="X267:AA267"/>
    <mergeCell ref="AB267:AE267"/>
    <mergeCell ref="AF267:AI267"/>
    <mergeCell ref="AB265:AE265"/>
    <mergeCell ref="AF265:AI265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B265:K265"/>
    <mergeCell ref="L265:N265"/>
    <mergeCell ref="O265:Q265"/>
    <mergeCell ref="R265:U265"/>
    <mergeCell ref="V265:W265"/>
    <mergeCell ref="X265:AA265"/>
    <mergeCell ref="AB269:AE269"/>
    <mergeCell ref="AF269:AI269"/>
    <mergeCell ref="AJ269:AM269"/>
    <mergeCell ref="B271:K271"/>
    <mergeCell ref="L271:N271"/>
    <mergeCell ref="O271:Q271"/>
    <mergeCell ref="R271:U271"/>
    <mergeCell ref="V271:W271"/>
    <mergeCell ref="X271:AA271"/>
    <mergeCell ref="AB271:AE271"/>
    <mergeCell ref="B269:K269"/>
    <mergeCell ref="L269:N269"/>
    <mergeCell ref="O269:Q269"/>
    <mergeCell ref="R269:U269"/>
    <mergeCell ref="V269:W269"/>
    <mergeCell ref="X269:AA269"/>
    <mergeCell ref="AJ267:AM267"/>
    <mergeCell ref="B268:K268"/>
    <mergeCell ref="L268:N268"/>
    <mergeCell ref="O268:Q268"/>
    <mergeCell ref="R268:U268"/>
    <mergeCell ref="V268:W268"/>
    <mergeCell ref="X268:AA268"/>
    <mergeCell ref="AB268:AE268"/>
    <mergeCell ref="AF268:AI268"/>
    <mergeCell ref="AJ268:AM268"/>
    <mergeCell ref="AJ272:AM272"/>
    <mergeCell ref="B273:K273"/>
    <mergeCell ref="L273:N273"/>
    <mergeCell ref="O273:Q273"/>
    <mergeCell ref="R273:U273"/>
    <mergeCell ref="V273:W273"/>
    <mergeCell ref="X273:AA273"/>
    <mergeCell ref="AB273:AE273"/>
    <mergeCell ref="AF273:AI273"/>
    <mergeCell ref="AJ273:AM273"/>
    <mergeCell ref="AF271:AI271"/>
    <mergeCell ref="AJ271:AM271"/>
    <mergeCell ref="B272:K272"/>
    <mergeCell ref="L272:N272"/>
    <mergeCell ref="O272:Q272"/>
    <mergeCell ref="R272:U272"/>
    <mergeCell ref="V272:W272"/>
    <mergeCell ref="X272:AA272"/>
    <mergeCell ref="AB272:AE272"/>
    <mergeCell ref="AF272:AI272"/>
    <mergeCell ref="AB277:AE277"/>
    <mergeCell ref="AF277:AI277"/>
    <mergeCell ref="AJ277:AM277"/>
    <mergeCell ref="AF275:AI275"/>
    <mergeCell ref="AJ275:AM275"/>
    <mergeCell ref="B276:K276"/>
    <mergeCell ref="L276:N276"/>
    <mergeCell ref="O276:Q276"/>
    <mergeCell ref="R276:U276"/>
    <mergeCell ref="V276:W276"/>
    <mergeCell ref="X276:AA276"/>
    <mergeCell ref="AB276:AE276"/>
    <mergeCell ref="AF276:AI276"/>
    <mergeCell ref="AB274:AE274"/>
    <mergeCell ref="AF274:AI274"/>
    <mergeCell ref="AJ274:AM274"/>
    <mergeCell ref="B275:K275"/>
    <mergeCell ref="L275:N275"/>
    <mergeCell ref="O275:Q275"/>
    <mergeCell ref="R275:U275"/>
    <mergeCell ref="V275:W275"/>
    <mergeCell ref="X275:AA275"/>
    <mergeCell ref="AB275:AE275"/>
    <mergeCell ref="B274:K274"/>
    <mergeCell ref="L274:N274"/>
    <mergeCell ref="O274:Q274"/>
    <mergeCell ref="R274:U274"/>
    <mergeCell ref="V274:W274"/>
    <mergeCell ref="X274:AA274"/>
    <mergeCell ref="O223:Q225"/>
    <mergeCell ref="R223:T225"/>
    <mergeCell ref="AF279:AI279"/>
    <mergeCell ref="AJ279:AM279"/>
    <mergeCell ref="AI220:AM220"/>
    <mergeCell ref="A221:L221"/>
    <mergeCell ref="M221:AH221"/>
    <mergeCell ref="AI221:AM222"/>
    <mergeCell ref="A222:L222"/>
    <mergeCell ref="M222:AH222"/>
    <mergeCell ref="AB278:AE278"/>
    <mergeCell ref="AF278:AI278"/>
    <mergeCell ref="AJ278:AM278"/>
    <mergeCell ref="B279:K279"/>
    <mergeCell ref="L279:N279"/>
    <mergeCell ref="O279:Q279"/>
    <mergeCell ref="R279:U279"/>
    <mergeCell ref="V279:W279"/>
    <mergeCell ref="X279:AA279"/>
    <mergeCell ref="AB279:AE279"/>
    <mergeCell ref="B278:K278"/>
    <mergeCell ref="L278:N278"/>
    <mergeCell ref="O278:Q278"/>
    <mergeCell ref="R278:U278"/>
    <mergeCell ref="V278:W278"/>
    <mergeCell ref="X278:AA278"/>
    <mergeCell ref="AJ276:AM276"/>
    <mergeCell ref="B277:K277"/>
    <mergeCell ref="L277:N277"/>
    <mergeCell ref="O277:Q277"/>
    <mergeCell ref="V277:W277"/>
    <mergeCell ref="X277:AA277"/>
    <mergeCell ref="U229:W231"/>
    <mergeCell ref="X229:Z231"/>
    <mergeCell ref="AA229:AC231"/>
    <mergeCell ref="AD229:AE231"/>
    <mergeCell ref="AF229:AH231"/>
    <mergeCell ref="AI229:AJ231"/>
    <mergeCell ref="A229:F231"/>
    <mergeCell ref="G229:I231"/>
    <mergeCell ref="J229:L229"/>
    <mergeCell ref="M229:N231"/>
    <mergeCell ref="O229:Q231"/>
    <mergeCell ref="R229:T231"/>
    <mergeCell ref="AK223:AM225"/>
    <mergeCell ref="A226:F228"/>
    <mergeCell ref="G226:I228"/>
    <mergeCell ref="J226:L226"/>
    <mergeCell ref="M226:N228"/>
    <mergeCell ref="O226:Q228"/>
    <mergeCell ref="R226:T228"/>
    <mergeCell ref="U226:W228"/>
    <mergeCell ref="X226:Z228"/>
    <mergeCell ref="AA226:AC228"/>
    <mergeCell ref="U223:W225"/>
    <mergeCell ref="X223:Z225"/>
    <mergeCell ref="AA223:AC225"/>
    <mergeCell ref="AD223:AE225"/>
    <mergeCell ref="AF223:AH225"/>
    <mergeCell ref="AI223:AJ225"/>
    <mergeCell ref="A223:F225"/>
    <mergeCell ref="G223:I225"/>
    <mergeCell ref="J223:L225"/>
    <mergeCell ref="M223:N225"/>
    <mergeCell ref="AB253:AE253"/>
    <mergeCell ref="AF253:AI253"/>
    <mergeCell ref="AJ253:AM253"/>
    <mergeCell ref="B270:K270"/>
    <mergeCell ref="L270:N270"/>
    <mergeCell ref="O270:Q270"/>
    <mergeCell ref="R270:U270"/>
    <mergeCell ref="V270:W270"/>
    <mergeCell ref="X270:AA270"/>
    <mergeCell ref="AB270:AE270"/>
    <mergeCell ref="AF270:AI270"/>
    <mergeCell ref="AJ270:AM270"/>
    <mergeCell ref="R277:U277"/>
    <mergeCell ref="A220:AH220"/>
    <mergeCell ref="J233:L233"/>
    <mergeCell ref="J234:L234"/>
    <mergeCell ref="X232:Z234"/>
    <mergeCell ref="AA232:AC234"/>
    <mergeCell ref="AD232:AE234"/>
    <mergeCell ref="AF232:AH234"/>
    <mergeCell ref="AI232:AJ234"/>
    <mergeCell ref="AK232:AM234"/>
    <mergeCell ref="AK229:AM231"/>
    <mergeCell ref="J230:L230"/>
    <mergeCell ref="J231:L231"/>
    <mergeCell ref="A232:F234"/>
    <mergeCell ref="G232:I234"/>
    <mergeCell ref="J232:L232"/>
    <mergeCell ref="M232:N234"/>
    <mergeCell ref="O232:Q234"/>
    <mergeCell ref="R232:T234"/>
    <mergeCell ref="U232:W234"/>
  </mergeCells>
  <hyperlinks>
    <hyperlink ref="G11" r:id="rId1" xr:uid="{5F92FE14-9D84-3E42-BF21-76BEB7EBF212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0154-EFB3-3F4E-B673-E2EDA39F9544}">
  <dimension ref="A1:AM286"/>
  <sheetViews>
    <sheetView view="pageLayout" zoomScale="140" zoomScaleNormal="100" zoomScalePageLayoutView="140" workbookViewId="0">
      <selection activeCell="AA29" sqref="AA29"/>
    </sheetView>
  </sheetViews>
  <sheetFormatPr defaultColWidth="10.625" defaultRowHeight="15.75"/>
  <cols>
    <col min="1" max="5" width="2.375" customWidth="1"/>
    <col min="6" max="6" width="0.625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General Building Management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nr.11,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RO16702575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J40/13612/2004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RO20 RZBR 0000 06000612 0054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16/31.01.2024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37/28.02.2024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21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AB285</f>
        <v>1286143.47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AF285</f>
        <v>244367.26000000004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AJ285</f>
        <v>1530510.7299999997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1530510.7299999997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R248+R262+R263+R266</f>
        <v>1315854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1.1631311148501275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246"/>
      <c r="B28" s="246"/>
      <c r="C28" s="246"/>
      <c r="D28" s="246"/>
      <c r="E28" s="246"/>
      <c r="F28" s="246"/>
      <c r="G28" s="246"/>
      <c r="H28" s="246"/>
      <c r="I28" s="246"/>
      <c r="J28" s="246"/>
      <c r="K28" s="246"/>
      <c r="L28" s="246"/>
      <c r="M28" s="246"/>
      <c r="N28" s="246"/>
      <c r="O28" s="24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  <c r="AA28" s="246"/>
      <c r="AB28" s="246"/>
      <c r="AC28" s="246"/>
      <c r="AD28" s="246"/>
      <c r="AE28" s="246"/>
      <c r="AF28" s="246"/>
      <c r="AG28" s="246"/>
      <c r="AH28" s="246"/>
      <c r="AI28" s="246"/>
      <c r="AJ28" s="246"/>
      <c r="AK28" s="246"/>
      <c r="AL28" s="246"/>
      <c r="AM28" s="246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VLOOKUP($AA$15,'Date SPV'!$B:$H,4,FALSE)</f>
        <v>Calea Severinului, nr.61, Craiova, jud. Dolj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5000578571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_xlfn.CONCAT($AA$15,"_",1)</f>
        <v>RGBM_1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59401010000363258971716818/1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RGBM_1.1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1372640713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7431159 (citit)</v>
      </c>
      <c r="S41" s="647"/>
      <c r="T41" s="647"/>
      <c r="U41" s="647" t="str">
        <f>VLOOKUP(A41,Regularizare!$D:$U,4,FALSE)&amp;" ("&amp;VLOOKUP(A41,Regularizare!$D:$U,12,FALSE)&amp;")"</f>
        <v>7772894 (estimat)</v>
      </c>
      <c r="V41" s="647"/>
      <c r="W41" s="647"/>
      <c r="X41" s="647" t="str">
        <f>VLOOKUP(A41,Regularizare!$D:$Y,19,FALSE)&amp;" ("&amp;VLOOKUP(A41,Regularizare!$D:$U,12,FALSE)&amp;")"</f>
        <v>341735 (estimat)</v>
      </c>
      <c r="Y41" s="647"/>
      <c r="Z41" s="647"/>
      <c r="AA41" s="647">
        <f>(-1)*VLOOKUP(A41,Regularizare!$D:$Y,19,FALSE)</f>
        <v>-341735</v>
      </c>
      <c r="AB41" s="647"/>
      <c r="AC41" s="647"/>
      <c r="AD41" s="647" t="s">
        <v>69</v>
      </c>
      <c r="AE41" s="647"/>
      <c r="AF41" s="647">
        <f>AA41</f>
        <v>-341735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1372640713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229442 (citit)</v>
      </c>
      <c r="S44" s="647"/>
      <c r="T44" s="647"/>
      <c r="U44" s="647" t="str">
        <f>VLOOKUP(A44,Regularizare!$D:$U,8,FALSE)&amp;" ("&amp;VLOOKUP(A44,Regularizare!$D:$U,16,FALSE)&amp;")"</f>
        <v>229442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1372640713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78069 (citit)</v>
      </c>
      <c r="S47" s="647"/>
      <c r="T47" s="647"/>
      <c r="U47" s="647" t="str">
        <f>VLOOKUP(A47,Regularizare!$D:$U,10,FALSE)&amp;" ("&amp;VLOOKUP(A47,Regularizare!$D:$U,18,FALSE)&amp;")"</f>
        <v>78069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1372640713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7431159 (citit)</v>
      </c>
      <c r="S50" s="647"/>
      <c r="T50" s="647"/>
      <c r="U50" s="647" t="str">
        <f>VLOOKUP(A50,Regularizare!$D:$AX,25,FALSE)&amp;" ("&amp;VLOOKUP(A50,Regularizare!$D:$AX,26,FALSE)&amp;")"</f>
        <v>7772894 (citit)</v>
      </c>
      <c r="V50" s="647"/>
      <c r="W50" s="647"/>
      <c r="X50" s="647" t="str">
        <f>VLOOKUP(A50,Regularizare!$D:$AX,37,FALSE)&amp;" ("&amp;VLOOKUP(A50,Regularizare!$D:$AX,26,FALSE)&amp;")"</f>
        <v>341735 (citit)</v>
      </c>
      <c r="Y50" s="647"/>
      <c r="Z50" s="647"/>
      <c r="AA50" s="647">
        <f>VLOOKUP(A50,Regularizare!$D:$AX,37,FALSE)</f>
        <v>341735</v>
      </c>
      <c r="AB50" s="647"/>
      <c r="AC50" s="647"/>
      <c r="AD50" s="647" t="s">
        <v>69</v>
      </c>
      <c r="AE50" s="647"/>
      <c r="AF50" s="647">
        <f>AA50</f>
        <v>341735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1372640713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229442 (citit)</v>
      </c>
      <c r="S53" s="647"/>
      <c r="T53" s="647"/>
      <c r="U53" s="647" t="str">
        <f>VLOOKUP(A53,Regularizare!$D:$AX,31,FALSE)&amp;" ("&amp;VLOOKUP(A53,Regularizare!$D:$AX,32,FALSE)&amp;")"</f>
        <v>229741 (citit)</v>
      </c>
      <c r="V53" s="647"/>
      <c r="W53" s="647"/>
      <c r="X53" s="647" t="str">
        <f>VLOOKUP(A53,Regularizare!$D:$AX,39,FALSE)&amp;" ("&amp;VLOOKUP(A53,Regularizare!$D:$AX,32,FALSE)&amp;")"</f>
        <v>299 (citit)</v>
      </c>
      <c r="Y53" s="647"/>
      <c r="Z53" s="647"/>
      <c r="AA53" s="647">
        <f>VLOOKUP(A53,Regularizare!$D:$AX,44,FALSE)+VLOOKUP(A53,Regularizare!$D:$AX,45,FALSE)</f>
        <v>299</v>
      </c>
      <c r="AB53" s="647"/>
      <c r="AC53" s="647"/>
      <c r="AD53" s="647" t="s">
        <v>69</v>
      </c>
      <c r="AE53" s="647"/>
      <c r="AF53" s="647">
        <f>AA53</f>
        <v>299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1372640713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78069 (citit)</v>
      </c>
      <c r="S56" s="647"/>
      <c r="T56" s="647"/>
      <c r="U56" s="647" t="str">
        <f>VLOOKUP(A56,Regularizare!$D:$AX,35,FALSE)&amp;" ("&amp;VLOOKUP(A56,Regularizare!$D:$AX,36,FALSE)&amp;")"</f>
        <v>78076 (citit)</v>
      </c>
      <c r="V56" s="647"/>
      <c r="W56" s="647"/>
      <c r="X56" s="647" t="str">
        <f>VLOOKUP(A56,Regularizare!$D:$AX,40,FALSE)&amp;" ("&amp;VLOOKUP(A56,Regularizare!$D:$AX,36,FALSE)&amp;")"</f>
        <v>7 (citit)</v>
      </c>
      <c r="Y56" s="647"/>
      <c r="Z56" s="647"/>
      <c r="AA56" s="647">
        <f>VLOOKUP(A56,Regularizare!$D:$AX,46,FALSE)+VLOOKUP(A56,Regularizare!$D:$AX,47,FALSE)</f>
        <v>7</v>
      </c>
      <c r="AB56" s="647"/>
      <c r="AC56" s="647"/>
      <c r="AD56" s="647" t="s">
        <v>69</v>
      </c>
      <c r="AE56" s="647"/>
      <c r="AF56" s="647">
        <f>AA56</f>
        <v>7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1372640713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7772894 (citit)</v>
      </c>
      <c r="S59" s="647"/>
      <c r="T59" s="647"/>
      <c r="U59" s="647" t="str">
        <f>VLOOKUP(A59,'Incrementare indexe'!$D:$M,4,FALSE)&amp;" (estimat)"</f>
        <v>8193422 (estimat)</v>
      </c>
      <c r="V59" s="647"/>
      <c r="W59" s="647"/>
      <c r="X59" s="647" t="str">
        <f>VLOOKUP(A59,'Incrementare indexe'!$D:$Q,11,FALSE)&amp;" (estimat)"</f>
        <v>420528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420528</v>
      </c>
      <c r="AG59" s="647"/>
      <c r="AH59" s="647"/>
      <c r="AI59" s="647">
        <f>J61-J59+1</f>
        <v>31</v>
      </c>
      <c r="AJ59" s="647"/>
      <c r="AK59" s="647">
        <f>ROUND(AF59/AI59,2)</f>
        <v>13565.42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1372640713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229741 (citit)</v>
      </c>
      <c r="S62" s="647"/>
      <c r="T62" s="647"/>
      <c r="U62" s="647" t="str">
        <f>VLOOKUP(A62,'Incrementare indexe'!$D:$M,8,FALSE)&amp;" (estimat)"</f>
        <v>229741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1372640713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78076 (citit)</v>
      </c>
      <c r="S65" s="647"/>
      <c r="T65" s="647"/>
      <c r="U65" s="647" t="str">
        <f>VLOOKUP(A65,'Incrementare indexe'!$D:$M,10,FALSE)&amp;" (estimat)"</f>
        <v>78076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/>
    <row r="70" spans="1:39" ht="14.1" customHeight="1">
      <c r="A70" s="721" t="s">
        <v>1196</v>
      </c>
      <c r="B70" s="722"/>
      <c r="C70" s="722"/>
      <c r="D70" s="722"/>
      <c r="E70" s="722"/>
      <c r="F70" s="722"/>
      <c r="G70" s="722"/>
      <c r="H70" s="722"/>
      <c r="I70" s="722"/>
      <c r="J70" s="722"/>
      <c r="K70" s="722"/>
      <c r="L70" s="722"/>
      <c r="M70" s="722"/>
      <c r="N70" s="722"/>
      <c r="O70" s="722"/>
      <c r="P70" s="722"/>
      <c r="Q70" s="722"/>
      <c r="R70" s="722"/>
      <c r="S70" s="722"/>
      <c r="T70" s="722"/>
      <c r="U70" s="722"/>
      <c r="V70" s="722"/>
      <c r="W70" s="722"/>
      <c r="X70" s="722"/>
      <c r="Y70" s="722"/>
      <c r="Z70" s="722"/>
      <c r="AA70" s="722"/>
      <c r="AB70" s="722"/>
      <c r="AC70" s="722"/>
      <c r="AD70" s="722"/>
      <c r="AE70" s="722"/>
      <c r="AF70" s="722"/>
      <c r="AG70" s="722"/>
      <c r="AH70" s="723"/>
      <c r="AI70" s="650" t="s">
        <v>695</v>
      </c>
      <c r="AJ70" s="650"/>
      <c r="AK70" s="650"/>
      <c r="AL70" s="650"/>
      <c r="AM70" s="650"/>
    </row>
    <row r="71" spans="1:39" ht="14.1" customHeight="1">
      <c r="A71" s="649" t="s">
        <v>746</v>
      </c>
      <c r="B71" s="649"/>
      <c r="C71" s="649"/>
      <c r="D71" s="649"/>
      <c r="E71" s="649"/>
      <c r="F71" s="649"/>
      <c r="G71" s="649"/>
      <c r="H71" s="649"/>
      <c r="I71" s="649"/>
      <c r="J71" s="649"/>
      <c r="K71" s="649"/>
      <c r="L71" s="649"/>
      <c r="M71" s="650" t="s">
        <v>514</v>
      </c>
      <c r="N71" s="650"/>
      <c r="O71" s="650"/>
      <c r="P71" s="650"/>
      <c r="Q71" s="650"/>
      <c r="R71" s="650"/>
      <c r="S71" s="650"/>
      <c r="T71" s="650"/>
      <c r="U71" s="650"/>
      <c r="V71" s="650"/>
      <c r="W71" s="650"/>
      <c r="X71" s="650"/>
      <c r="Y71" s="650"/>
      <c r="Z71" s="650"/>
      <c r="AA71" s="650"/>
      <c r="AB71" s="650"/>
      <c r="AC71" s="650"/>
      <c r="AD71" s="650"/>
      <c r="AE71" s="650"/>
      <c r="AF71" s="650"/>
      <c r="AG71" s="650"/>
      <c r="AH71" s="650"/>
      <c r="AI71" s="619" t="str">
        <f>_xlfn.CONCAT(AI36,"/PV")</f>
        <v>RGBM_1.1/PV</v>
      </c>
      <c r="AJ71" s="619"/>
      <c r="AK71" s="619"/>
      <c r="AL71" s="619"/>
      <c r="AM71" s="619"/>
    </row>
    <row r="72" spans="1:39" ht="14.1" customHeight="1">
      <c r="A72" s="649" t="s">
        <v>747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1087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19"/>
      <c r="AJ72" s="619"/>
      <c r="AK72" s="619"/>
      <c r="AL72" s="619"/>
      <c r="AM72" s="619"/>
    </row>
    <row r="73" spans="1:39" ht="14.1" customHeight="1">
      <c r="A73" s="648" t="s">
        <v>697</v>
      </c>
      <c r="B73" s="648"/>
      <c r="C73" s="648"/>
      <c r="D73" s="648"/>
      <c r="E73" s="648"/>
      <c r="F73" s="648"/>
      <c r="G73" s="647" t="s">
        <v>713</v>
      </c>
      <c r="H73" s="647"/>
      <c r="I73" s="647"/>
      <c r="J73" s="647" t="s">
        <v>714</v>
      </c>
      <c r="K73" s="647"/>
      <c r="L73" s="647"/>
      <c r="M73" s="648" t="s">
        <v>519</v>
      </c>
      <c r="N73" s="648"/>
      <c r="O73" s="648" t="s">
        <v>715</v>
      </c>
      <c r="P73" s="648"/>
      <c r="Q73" s="648"/>
      <c r="R73" s="647" t="s">
        <v>732</v>
      </c>
      <c r="S73" s="647"/>
      <c r="T73" s="647"/>
      <c r="U73" s="647" t="s">
        <v>734</v>
      </c>
      <c r="V73" s="647"/>
      <c r="W73" s="647"/>
      <c r="X73" s="647" t="s">
        <v>1085</v>
      </c>
      <c r="Y73" s="647"/>
      <c r="Z73" s="647"/>
      <c r="AA73" s="647" t="s">
        <v>1086</v>
      </c>
      <c r="AB73" s="647"/>
      <c r="AC73" s="647"/>
      <c r="AD73" s="647" t="s">
        <v>717</v>
      </c>
      <c r="AE73" s="647"/>
      <c r="AF73" s="647" t="s">
        <v>718</v>
      </c>
      <c r="AG73" s="647"/>
      <c r="AH73" s="647"/>
      <c r="AI73" s="647" t="s">
        <v>719</v>
      </c>
      <c r="AJ73" s="647"/>
      <c r="AK73" s="647" t="s">
        <v>733</v>
      </c>
      <c r="AL73" s="647"/>
      <c r="AM73" s="647"/>
    </row>
    <row r="74" spans="1:39" ht="14.1" customHeight="1">
      <c r="A74" s="648"/>
      <c r="B74" s="648"/>
      <c r="C74" s="648"/>
      <c r="D74" s="648"/>
      <c r="E74" s="648"/>
      <c r="F74" s="648"/>
      <c r="G74" s="647"/>
      <c r="H74" s="647"/>
      <c r="I74" s="647"/>
      <c r="J74" s="647"/>
      <c r="K74" s="647"/>
      <c r="L74" s="647"/>
      <c r="M74" s="648"/>
      <c r="N74" s="648"/>
      <c r="O74" s="648"/>
      <c r="P74" s="648"/>
      <c r="Q74" s="648"/>
      <c r="R74" s="647"/>
      <c r="S74" s="647"/>
      <c r="T74" s="647"/>
      <c r="U74" s="647"/>
      <c r="V74" s="647"/>
      <c r="W74" s="647"/>
      <c r="X74" s="647"/>
      <c r="Y74" s="647"/>
      <c r="Z74" s="647"/>
      <c r="AA74" s="647"/>
      <c r="AB74" s="647"/>
      <c r="AC74" s="647"/>
      <c r="AD74" s="647"/>
      <c r="AE74" s="647"/>
      <c r="AF74" s="647"/>
      <c r="AG74" s="647"/>
      <c r="AH74" s="647"/>
      <c r="AI74" s="647"/>
      <c r="AJ74" s="647"/>
      <c r="AK74" s="647"/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713"/>
      <c r="K75" s="713"/>
      <c r="L75" s="713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78">
        <f>VLOOKUP(AI71,'Incrementare indexe'!$B:$I,3,FALSE)</f>
        <v>1371624064</v>
      </c>
      <c r="B76" s="679"/>
      <c r="C76" s="679"/>
      <c r="D76" s="679"/>
      <c r="E76" s="679"/>
      <c r="F76" s="680"/>
      <c r="G76" s="647" t="s">
        <v>1088</v>
      </c>
      <c r="H76" s="647"/>
      <c r="I76" s="675"/>
      <c r="J76" s="655">
        <f>'Date masura OD'!$I$5</f>
        <v>45778</v>
      </c>
      <c r="K76" s="656"/>
      <c r="L76" s="657"/>
      <c r="M76" s="720" t="s">
        <v>446</v>
      </c>
      <c r="N76" s="648"/>
      <c r="O76" s="648">
        <f>VLOOKUP(AI71,'Incrementare indexe'!$B:$I,4,FALSE)</f>
        <v>1</v>
      </c>
      <c r="P76" s="648"/>
      <c r="Q76" s="648"/>
      <c r="R76" s="647" t="str">
        <f>VLOOKUP(AI71,'Incrementare indexe'!$B:$I,7,FALSE)&amp;" (citit)"</f>
        <v>1493997 (citit)</v>
      </c>
      <c r="S76" s="647"/>
      <c r="T76" s="647"/>
      <c r="U76" s="647" t="str">
        <f>VLOOKUP(AI71,'Incrementare indexe'!$B:$I,8,FALSE)&amp;" (citit)"</f>
        <v>1531742 (citit)</v>
      </c>
      <c r="V76" s="647"/>
      <c r="W76" s="647"/>
      <c r="X76" s="647" t="str">
        <f>(VLOOKUP(AI71,'Incrementare indexe'!$B:$I,8,FALSE)-VLOOKUP(AI71,'Incrementare indexe'!$B:$I,7,FALSE))&amp;" (citit)"</f>
        <v>37745 (citit)</v>
      </c>
      <c r="Y76" s="647"/>
      <c r="Z76" s="647"/>
      <c r="AA76" s="647" t="s">
        <v>69</v>
      </c>
      <c r="AB76" s="647"/>
      <c r="AC76" s="647"/>
      <c r="AD76" s="647" t="s">
        <v>69</v>
      </c>
      <c r="AE76" s="647"/>
      <c r="AF76" s="647">
        <f>(VLOOKUP(AI71,'Incrementare indexe'!$B:$I,8,FALSE)-VLOOKUP(AI71,'Incrementare indexe'!$B:$I,7,FALSE))</f>
        <v>37745</v>
      </c>
      <c r="AG76" s="647"/>
      <c r="AH76" s="647"/>
      <c r="AI76" s="647">
        <f>J78-J76+1</f>
        <v>31</v>
      </c>
      <c r="AJ76" s="647"/>
      <c r="AK76" s="647">
        <f>ROUND(AF76/AI76,2)</f>
        <v>1217.58</v>
      </c>
      <c r="AL76" s="647"/>
      <c r="AM76" s="647"/>
    </row>
    <row r="77" spans="1:39" ht="14.1" customHeight="1">
      <c r="A77" s="717"/>
      <c r="B77" s="718"/>
      <c r="C77" s="718"/>
      <c r="D77" s="718"/>
      <c r="E77" s="718"/>
      <c r="F77" s="719"/>
      <c r="G77" s="647"/>
      <c r="H77" s="647"/>
      <c r="I77" s="675"/>
      <c r="J77" s="717" t="s">
        <v>69</v>
      </c>
      <c r="K77" s="718"/>
      <c r="L77" s="719"/>
      <c r="M77" s="720"/>
      <c r="N77" s="648"/>
      <c r="O77" s="648"/>
      <c r="P77" s="648"/>
      <c r="Q77" s="648"/>
      <c r="R77" s="647"/>
      <c r="S77" s="647"/>
      <c r="T77" s="647"/>
      <c r="U77" s="647"/>
      <c r="V77" s="647"/>
      <c r="W77" s="647"/>
      <c r="X77" s="647"/>
      <c r="Y77" s="647"/>
      <c r="Z77" s="647"/>
      <c r="AA77" s="647"/>
      <c r="AB77" s="647"/>
      <c r="AC77" s="647"/>
      <c r="AD77" s="647"/>
      <c r="AE77" s="647"/>
      <c r="AF77" s="647"/>
      <c r="AG77" s="647"/>
      <c r="AH77" s="647"/>
      <c r="AI77" s="647"/>
      <c r="AJ77" s="647"/>
      <c r="AK77" s="647"/>
      <c r="AL77" s="647"/>
      <c r="AM77" s="647"/>
    </row>
    <row r="78" spans="1:39" ht="14.1" customHeight="1">
      <c r="A78" s="681"/>
      <c r="B78" s="682"/>
      <c r="C78" s="682"/>
      <c r="D78" s="682"/>
      <c r="E78" s="682"/>
      <c r="F78" s="683"/>
      <c r="G78" s="647"/>
      <c r="H78" s="647"/>
      <c r="I78" s="675"/>
      <c r="J78" s="714">
        <f>'Date masura OD'!$J$5</f>
        <v>45808</v>
      </c>
      <c r="K78" s="715"/>
      <c r="L78" s="716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78">
        <f>A76</f>
        <v>1371624064</v>
      </c>
      <c r="B79" s="679"/>
      <c r="C79" s="679"/>
      <c r="D79" s="679"/>
      <c r="E79" s="679"/>
      <c r="F79" s="680"/>
      <c r="G79" s="648" t="s">
        <v>696</v>
      </c>
      <c r="H79" s="648"/>
      <c r="I79" s="648"/>
      <c r="J79" s="655">
        <f t="shared" ref="J79:J84" si="3">J76</f>
        <v>45778</v>
      </c>
      <c r="K79" s="656"/>
      <c r="L79" s="657"/>
      <c r="M79" s="648" t="s">
        <v>720</v>
      </c>
      <c r="N79" s="648"/>
      <c r="O79" s="648">
        <f>O76</f>
        <v>1</v>
      </c>
      <c r="P79" s="648"/>
      <c r="Q79" s="648"/>
      <c r="R79" s="647" t="s">
        <v>1089</v>
      </c>
      <c r="S79" s="647"/>
      <c r="T79" s="647"/>
      <c r="U79" s="647" t="s">
        <v>1089</v>
      </c>
      <c r="V79" s="647"/>
      <c r="W79" s="647"/>
      <c r="X79" s="647" t="s">
        <v>1089</v>
      </c>
      <c r="Y79" s="647"/>
      <c r="Z79" s="647"/>
      <c r="AA79" s="647" t="s">
        <v>69</v>
      </c>
      <c r="AB79" s="647"/>
      <c r="AC79" s="647"/>
      <c r="AD79" s="647" t="s">
        <v>69</v>
      </c>
      <c r="AE79" s="647"/>
      <c r="AF79" s="647">
        <v>0</v>
      </c>
      <c r="AG79" s="647"/>
      <c r="AH79" s="647"/>
      <c r="AI79" s="647">
        <f>AI76</f>
        <v>31</v>
      </c>
      <c r="AJ79" s="647"/>
      <c r="AK79" s="647">
        <f>ROUND(AF79/AI79,2)</f>
        <v>0</v>
      </c>
      <c r="AL79" s="647"/>
      <c r="AM79" s="647"/>
    </row>
    <row r="80" spans="1:39" ht="14.1" customHeight="1">
      <c r="A80" s="717"/>
      <c r="B80" s="718"/>
      <c r="C80" s="718"/>
      <c r="D80" s="718"/>
      <c r="E80" s="718"/>
      <c r="F80" s="719"/>
      <c r="G80" s="648"/>
      <c r="H80" s="648"/>
      <c r="I80" s="648"/>
      <c r="J80" s="717" t="str">
        <f t="shared" si="3"/>
        <v>-</v>
      </c>
      <c r="K80" s="718"/>
      <c r="L80" s="719"/>
      <c r="M80" s="648"/>
      <c r="N80" s="648"/>
      <c r="O80" s="648"/>
      <c r="P80" s="648"/>
      <c r="Q80" s="648"/>
      <c r="R80" s="647"/>
      <c r="S80" s="647"/>
      <c r="T80" s="647"/>
      <c r="U80" s="647"/>
      <c r="V80" s="647"/>
      <c r="W80" s="647"/>
      <c r="X80" s="647"/>
      <c r="Y80" s="647"/>
      <c r="Z80" s="647"/>
      <c r="AA80" s="647"/>
      <c r="AB80" s="647"/>
      <c r="AC80" s="647"/>
      <c r="AD80" s="647"/>
      <c r="AE80" s="647"/>
      <c r="AF80" s="647"/>
      <c r="AG80" s="647"/>
      <c r="AH80" s="647"/>
      <c r="AI80" s="647"/>
      <c r="AJ80" s="647"/>
      <c r="AK80" s="647"/>
      <c r="AL80" s="647"/>
      <c r="AM80" s="647"/>
    </row>
    <row r="81" spans="1:39" ht="14.1" customHeight="1">
      <c r="A81" s="681"/>
      <c r="B81" s="682"/>
      <c r="C81" s="682"/>
      <c r="D81" s="682"/>
      <c r="E81" s="682"/>
      <c r="F81" s="683"/>
      <c r="G81" s="648"/>
      <c r="H81" s="648"/>
      <c r="I81" s="648"/>
      <c r="J81" s="714">
        <f t="shared" si="3"/>
        <v>45808</v>
      </c>
      <c r="K81" s="715"/>
      <c r="L81" s="716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78">
        <f>A79</f>
        <v>1371624064</v>
      </c>
      <c r="B82" s="679"/>
      <c r="C82" s="679"/>
      <c r="D82" s="679"/>
      <c r="E82" s="679"/>
      <c r="F82" s="680"/>
      <c r="G82" s="648" t="s">
        <v>731</v>
      </c>
      <c r="H82" s="648"/>
      <c r="I82" s="648"/>
      <c r="J82" s="655">
        <f t="shared" si="3"/>
        <v>45778</v>
      </c>
      <c r="K82" s="656"/>
      <c r="L82" s="657"/>
      <c r="M82" s="648" t="s">
        <v>720</v>
      </c>
      <c r="N82" s="648"/>
      <c r="O82" s="648">
        <f>O79</f>
        <v>1</v>
      </c>
      <c r="P82" s="648"/>
      <c r="Q82" s="648"/>
      <c r="R82" s="647" t="s">
        <v>1089</v>
      </c>
      <c r="S82" s="647"/>
      <c r="T82" s="647"/>
      <c r="U82" s="647" t="s">
        <v>1089</v>
      </c>
      <c r="V82" s="647"/>
      <c r="W82" s="647"/>
      <c r="X82" s="647" t="s">
        <v>1089</v>
      </c>
      <c r="Y82" s="647"/>
      <c r="Z82" s="647"/>
      <c r="AA82" s="647" t="s">
        <v>69</v>
      </c>
      <c r="AB82" s="647"/>
      <c r="AC82" s="647"/>
      <c r="AD82" s="647" t="s">
        <v>69</v>
      </c>
      <c r="AE82" s="647"/>
      <c r="AF82" s="647">
        <v>0</v>
      </c>
      <c r="AG82" s="647"/>
      <c r="AH82" s="647"/>
      <c r="AI82" s="647">
        <f>AI79</f>
        <v>31</v>
      </c>
      <c r="AJ82" s="647"/>
      <c r="AK82" s="647">
        <f>ROUND(AF82/AI82,2)</f>
        <v>0</v>
      </c>
      <c r="AL82" s="647"/>
      <c r="AM82" s="647"/>
    </row>
    <row r="83" spans="1:39" ht="14.1" customHeight="1">
      <c r="A83" s="717"/>
      <c r="B83" s="718"/>
      <c r="C83" s="718"/>
      <c r="D83" s="718"/>
      <c r="E83" s="718"/>
      <c r="F83" s="719"/>
      <c r="G83" s="648"/>
      <c r="H83" s="648"/>
      <c r="I83" s="648"/>
      <c r="J83" s="717" t="str">
        <f t="shared" si="3"/>
        <v>-</v>
      </c>
      <c r="K83" s="718"/>
      <c r="L83" s="719"/>
      <c r="M83" s="648"/>
      <c r="N83" s="648"/>
      <c r="O83" s="648"/>
      <c r="P83" s="648"/>
      <c r="Q83" s="648"/>
      <c r="R83" s="647"/>
      <c r="S83" s="647"/>
      <c r="T83" s="647"/>
      <c r="U83" s="647"/>
      <c r="V83" s="647"/>
      <c r="W83" s="647"/>
      <c r="X83" s="647"/>
      <c r="Y83" s="647"/>
      <c r="Z83" s="647"/>
      <c r="AA83" s="647"/>
      <c r="AB83" s="647"/>
      <c r="AC83" s="647"/>
      <c r="AD83" s="647"/>
      <c r="AE83" s="647"/>
      <c r="AF83" s="647"/>
      <c r="AG83" s="647"/>
      <c r="AH83" s="647"/>
      <c r="AI83" s="647"/>
      <c r="AJ83" s="647"/>
      <c r="AK83" s="647"/>
      <c r="AL83" s="647"/>
      <c r="AM83" s="647"/>
    </row>
    <row r="84" spans="1:39" ht="14.1" customHeight="1">
      <c r="A84" s="681"/>
      <c r="B84" s="682"/>
      <c r="C84" s="682"/>
      <c r="D84" s="682"/>
      <c r="E84" s="682"/>
      <c r="F84" s="683"/>
      <c r="G84" s="648"/>
      <c r="H84" s="648"/>
      <c r="I84" s="648"/>
      <c r="J84" s="714">
        <f t="shared" si="3"/>
        <v>45808</v>
      </c>
      <c r="K84" s="715"/>
      <c r="L84" s="716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</row>
    <row r="86" spans="1:39">
      <c r="A86" s="649" t="s">
        <v>748</v>
      </c>
      <c r="B86" s="649"/>
      <c r="C86" s="649"/>
      <c r="D86" s="649"/>
      <c r="E86" s="649"/>
      <c r="F86" s="649"/>
      <c r="G86" s="649"/>
      <c r="H86" s="649"/>
      <c r="I86" s="649"/>
      <c r="J86" s="649"/>
      <c r="K86" s="649"/>
      <c r="L86" s="649"/>
      <c r="M86" s="650" t="str">
        <f>VLOOKUP(AI87,'Contorizare in SDI'!$E:$I,4,FALSE)</f>
        <v>59401010000363258971716818/2</v>
      </c>
      <c r="N86" s="650"/>
      <c r="O86" s="650"/>
      <c r="P86" s="650"/>
      <c r="Q86" s="650"/>
      <c r="R86" s="650"/>
      <c r="S86" s="650"/>
      <c r="T86" s="650"/>
      <c r="U86" s="650"/>
      <c r="V86" s="650"/>
      <c r="W86" s="650"/>
      <c r="X86" s="650"/>
      <c r="Y86" s="650"/>
      <c r="Z86" s="650"/>
      <c r="AA86" s="650"/>
      <c r="AB86" s="650"/>
      <c r="AC86" s="650"/>
      <c r="AD86" s="650"/>
      <c r="AE86" s="650"/>
      <c r="AF86" s="650"/>
      <c r="AG86" s="650"/>
      <c r="AH86" s="650"/>
      <c r="AI86" s="650" t="s">
        <v>695</v>
      </c>
      <c r="AJ86" s="650"/>
      <c r="AK86" s="650"/>
      <c r="AL86" s="650"/>
      <c r="AM86" s="650"/>
    </row>
    <row r="87" spans="1:39">
      <c r="A87" s="649" t="s">
        <v>746</v>
      </c>
      <c r="B87" s="649"/>
      <c r="C87" s="649"/>
      <c r="D87" s="649"/>
      <c r="E87" s="649"/>
      <c r="F87" s="649"/>
      <c r="G87" s="649"/>
      <c r="H87" s="649"/>
      <c r="I87" s="649"/>
      <c r="J87" s="649"/>
      <c r="K87" s="649"/>
      <c r="L87" s="649"/>
      <c r="M87" s="650" t="str">
        <f>VLOOKUP(AI87,'Inchidere contur'!$G:$U,15,FALSE)</f>
        <v>JT_SDI</v>
      </c>
      <c r="N87" s="650"/>
      <c r="O87" s="650"/>
      <c r="P87" s="650"/>
      <c r="Q87" s="650"/>
      <c r="R87" s="650"/>
      <c r="S87" s="650"/>
      <c r="T87" s="650"/>
      <c r="U87" s="650"/>
      <c r="V87" s="650"/>
      <c r="W87" s="650"/>
      <c r="X87" s="650"/>
      <c r="Y87" s="650"/>
      <c r="Z87" s="650"/>
      <c r="AA87" s="650"/>
      <c r="AB87" s="650"/>
      <c r="AC87" s="650"/>
      <c r="AD87" s="650"/>
      <c r="AE87" s="650"/>
      <c r="AF87" s="650"/>
      <c r="AG87" s="650"/>
      <c r="AH87" s="650"/>
      <c r="AI87" s="619" t="str">
        <f>_xlfn.CONCAT(AA32,".",2)</f>
        <v>RGBM_1.2</v>
      </c>
      <c r="AJ87" s="619"/>
      <c r="AK87" s="619"/>
      <c r="AL87" s="619"/>
      <c r="AM87" s="619"/>
    </row>
    <row r="88" spans="1:39">
      <c r="A88" s="649" t="s">
        <v>747</v>
      </c>
      <c r="B88" s="649"/>
      <c r="C88" s="649"/>
      <c r="D88" s="649"/>
      <c r="E88" s="649"/>
      <c r="F88" s="649"/>
      <c r="G88" s="649"/>
      <c r="H88" s="649"/>
      <c r="I88" s="649"/>
      <c r="J88" s="649"/>
      <c r="K88" s="649"/>
      <c r="L88" s="649"/>
      <c r="M88" s="650" t="str">
        <f>IF(LEFT(M87,2)="JT","0.4kV",IF(LEFT(M87,2)="MT","20kV","-"))</f>
        <v>0.4kV</v>
      </c>
      <c r="N88" s="650"/>
      <c r="O88" s="650"/>
      <c r="P88" s="650"/>
      <c r="Q88" s="650"/>
      <c r="R88" s="650"/>
      <c r="S88" s="650"/>
      <c r="T88" s="650"/>
      <c r="U88" s="650"/>
      <c r="V88" s="650"/>
      <c r="W88" s="650"/>
      <c r="X88" s="650"/>
      <c r="Y88" s="650"/>
      <c r="Z88" s="650"/>
      <c r="AA88" s="650"/>
      <c r="AB88" s="650"/>
      <c r="AC88" s="650"/>
      <c r="AD88" s="650"/>
      <c r="AE88" s="650"/>
      <c r="AF88" s="650"/>
      <c r="AG88" s="650"/>
      <c r="AH88" s="650"/>
      <c r="AI88" s="619"/>
      <c r="AJ88" s="619"/>
      <c r="AK88" s="619"/>
      <c r="AL88" s="619"/>
      <c r="AM88" s="619"/>
    </row>
    <row r="89" spans="1:39" ht="15.95" customHeight="1">
      <c r="A89" s="648" t="s">
        <v>697</v>
      </c>
      <c r="B89" s="648"/>
      <c r="C89" s="648"/>
      <c r="D89" s="648"/>
      <c r="E89" s="648"/>
      <c r="F89" s="648"/>
      <c r="G89" s="647" t="s">
        <v>713</v>
      </c>
      <c r="H89" s="647"/>
      <c r="I89" s="647"/>
      <c r="J89" s="647" t="s">
        <v>714</v>
      </c>
      <c r="K89" s="647"/>
      <c r="L89" s="647"/>
      <c r="M89" s="648" t="s">
        <v>519</v>
      </c>
      <c r="N89" s="648"/>
      <c r="O89" s="648" t="s">
        <v>715</v>
      </c>
      <c r="P89" s="648"/>
      <c r="Q89" s="648"/>
      <c r="R89" s="647" t="s">
        <v>732</v>
      </c>
      <c r="S89" s="647"/>
      <c r="T89" s="647"/>
      <c r="U89" s="647" t="s">
        <v>734</v>
      </c>
      <c r="V89" s="647"/>
      <c r="W89" s="647"/>
      <c r="X89" s="647" t="s">
        <v>1085</v>
      </c>
      <c r="Y89" s="647"/>
      <c r="Z89" s="647"/>
      <c r="AA89" s="647" t="s">
        <v>1086</v>
      </c>
      <c r="AB89" s="647"/>
      <c r="AC89" s="647"/>
      <c r="AD89" s="647" t="s">
        <v>717</v>
      </c>
      <c r="AE89" s="647"/>
      <c r="AF89" s="647" t="s">
        <v>718</v>
      </c>
      <c r="AG89" s="647"/>
      <c r="AH89" s="647"/>
      <c r="AI89" s="647" t="s">
        <v>719</v>
      </c>
      <c r="AJ89" s="647"/>
      <c r="AK89" s="647" t="s">
        <v>733</v>
      </c>
      <c r="AL89" s="647"/>
      <c r="AM89" s="647"/>
    </row>
    <row r="90" spans="1:39">
      <c r="A90" s="648"/>
      <c r="B90" s="648"/>
      <c r="C90" s="648"/>
      <c r="D90" s="648"/>
      <c r="E90" s="648"/>
      <c r="F90" s="648"/>
      <c r="G90" s="647"/>
      <c r="H90" s="647"/>
      <c r="I90" s="647"/>
      <c r="J90" s="647"/>
      <c r="K90" s="647"/>
      <c r="L90" s="647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>
      <c r="A91" s="648"/>
      <c r="B91" s="648"/>
      <c r="C91" s="648"/>
      <c r="D91" s="648"/>
      <c r="E91" s="648"/>
      <c r="F91" s="648"/>
      <c r="G91" s="647"/>
      <c r="H91" s="647"/>
      <c r="I91" s="647"/>
      <c r="J91" s="713"/>
      <c r="K91" s="713"/>
      <c r="L91" s="713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VLOOKUP(AI87,'Contorizare in SDI'!$E:$I,5,FALSE)</f>
        <v>1371642996</v>
      </c>
      <c r="B92" s="679"/>
      <c r="C92" s="679"/>
      <c r="D92" s="679"/>
      <c r="E92" s="679"/>
      <c r="F92" s="680"/>
      <c r="G92" s="648" t="s">
        <v>730</v>
      </c>
      <c r="H92" s="648"/>
      <c r="I92" s="673"/>
      <c r="J92" s="655">
        <f>'Date masura OD'!$AK$5</f>
        <v>45748</v>
      </c>
      <c r="K92" s="656"/>
      <c r="L92" s="657"/>
      <c r="M92" s="720" t="s">
        <v>446</v>
      </c>
      <c r="N92" s="648"/>
      <c r="O92" s="648">
        <f>VLOOKUP(AI87,'Incrementare indexe'!$B:$T,4,FALSE)</f>
        <v>1</v>
      </c>
      <c r="P92" s="648"/>
      <c r="Q92" s="648"/>
      <c r="R92" s="647" t="str">
        <f>VLOOKUP(A92,Regularizare!$D:$YN,3,FALSE)&amp;" ("&amp;VLOOKUP(A92,Regularizare!$D:$Y,11,FALSE)&amp;")"</f>
        <v>6497073 (citit)</v>
      </c>
      <c r="S92" s="647"/>
      <c r="T92" s="647"/>
      <c r="U92" s="647" t="str">
        <f>VLOOKUP(A92,Regularizare!$D:$U,4,FALSE)&amp;" ("&amp;VLOOKUP(A92,Regularizare!$D:$U,12,FALSE)&amp;")"</f>
        <v>6780353 (estimat)</v>
      </c>
      <c r="V92" s="647"/>
      <c r="W92" s="647"/>
      <c r="X92" s="647" t="str">
        <f>VLOOKUP(A92,Regularizare!$D:$Y,19,FALSE)&amp;" ("&amp;VLOOKUP(A92,Regularizare!$D:$U,12,FALSE)&amp;")"</f>
        <v>283280 (estimat)</v>
      </c>
      <c r="Y92" s="647"/>
      <c r="Z92" s="647"/>
      <c r="AA92" s="647">
        <f>(-1)*VLOOKUP(A92,Regularizare!$D:$Y,19,FALSE)</f>
        <v>-283280</v>
      </c>
      <c r="AB92" s="647"/>
      <c r="AC92" s="647"/>
      <c r="AD92" s="647" t="s">
        <v>69</v>
      </c>
      <c r="AE92" s="647"/>
      <c r="AF92" s="647">
        <f>AA92</f>
        <v>-283280</v>
      </c>
      <c r="AG92" s="647"/>
      <c r="AH92" s="647"/>
      <c r="AI92" s="647" t="s">
        <v>69</v>
      </c>
      <c r="AJ92" s="647"/>
      <c r="AK92" s="647" t="s">
        <v>69</v>
      </c>
      <c r="AL92" s="647"/>
      <c r="AM92" s="647"/>
    </row>
    <row r="93" spans="1:39" ht="9.75" customHeight="1">
      <c r="A93" s="717"/>
      <c r="B93" s="718"/>
      <c r="C93" s="718"/>
      <c r="D93" s="718"/>
      <c r="E93" s="718"/>
      <c r="F93" s="719"/>
      <c r="G93" s="648"/>
      <c r="H93" s="648"/>
      <c r="I93" s="673"/>
      <c r="J93" s="717" t="s">
        <v>69</v>
      </c>
      <c r="K93" s="718"/>
      <c r="L93" s="719"/>
      <c r="M93" s="720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73"/>
      <c r="J94" s="714">
        <f>'Date masura OD'!$AL$5</f>
        <v>45777</v>
      </c>
      <c r="K94" s="715"/>
      <c r="L94" s="716"/>
      <c r="M94" s="720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78">
        <f>A92</f>
        <v>1371642996</v>
      </c>
      <c r="B95" s="679"/>
      <c r="C95" s="679"/>
      <c r="D95" s="679"/>
      <c r="E95" s="679"/>
      <c r="F95" s="680"/>
      <c r="G95" s="648" t="s">
        <v>696</v>
      </c>
      <c r="H95" s="648"/>
      <c r="I95" s="648"/>
      <c r="J95" s="655">
        <f t="shared" ref="J95:J100" si="4">J92</f>
        <v>45748</v>
      </c>
      <c r="K95" s="656"/>
      <c r="L95" s="657"/>
      <c r="M95" s="648" t="s">
        <v>720</v>
      </c>
      <c r="N95" s="648"/>
      <c r="O95" s="648">
        <f>O92</f>
        <v>1</v>
      </c>
      <c r="P95" s="648"/>
      <c r="Q95" s="648"/>
      <c r="R95" s="647" t="str">
        <f>VLOOKUP(A95,Regularizare!$D:$U,7,FALSE)&amp;" ("&amp;VLOOKUP(A95,Regularizare!$D:$U,15,FALSE)&amp;")"</f>
        <v>263463 (citit)</v>
      </c>
      <c r="S95" s="647"/>
      <c r="T95" s="647"/>
      <c r="U95" s="647" t="str">
        <f>VLOOKUP(A95,Regularizare!$D:$U,8,FALSE)&amp;" ("&amp;VLOOKUP(A95,Regularizare!$D:$U,16,FALSE)&amp;")"</f>
        <v>263463 (estimat)</v>
      </c>
      <c r="V95" s="647"/>
      <c r="W95" s="647"/>
      <c r="X95" s="647" t="str">
        <f>_xlfn.CONCAT(VLOOKUP(A95,Regularizare!$D:$U,8,FALSE)-VLOOKUP(A95,Regularizare!$D:$U,7,FALSE)," (",VLOOKUP(A95,Regularizare!$D:$U,16,FALSE),")")</f>
        <v>0 (estimat)</v>
      </c>
      <c r="Y95" s="647"/>
      <c r="Z95" s="647"/>
      <c r="AA95" s="647">
        <f>IF(VLOOKUP(A95,Regularizare!$D:$Y,21,FALSE)=0,VLOOKUP(A95,Regularizare!$D:$Y,21,FALSE),(-1)*VLOOKUP(A95,Regularizare!$D:$Y,21,FALSE))</f>
        <v>0</v>
      </c>
      <c r="AB95" s="647"/>
      <c r="AC95" s="647"/>
      <c r="AD95" s="647" t="s">
        <v>69</v>
      </c>
      <c r="AE95" s="647"/>
      <c r="AF95" s="647">
        <f>AA95</f>
        <v>0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17"/>
      <c r="B96" s="718"/>
      <c r="C96" s="718"/>
      <c r="D96" s="718"/>
      <c r="E96" s="718"/>
      <c r="F96" s="719"/>
      <c r="G96" s="648"/>
      <c r="H96" s="648"/>
      <c r="I96" s="648"/>
      <c r="J96" s="717" t="str">
        <f t="shared" si="4"/>
        <v>-</v>
      </c>
      <c r="K96" s="718"/>
      <c r="L96" s="719"/>
      <c r="M96" s="648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1"/>
      <c r="B97" s="682"/>
      <c r="C97" s="682"/>
      <c r="D97" s="682"/>
      <c r="E97" s="682"/>
      <c r="F97" s="683"/>
      <c r="G97" s="648"/>
      <c r="H97" s="648"/>
      <c r="I97" s="648"/>
      <c r="J97" s="714">
        <f t="shared" si="4"/>
        <v>45777</v>
      </c>
      <c r="K97" s="715"/>
      <c r="L97" s="716"/>
      <c r="M97" s="648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78">
        <f>A95</f>
        <v>1371642996</v>
      </c>
      <c r="B98" s="679"/>
      <c r="C98" s="679"/>
      <c r="D98" s="679"/>
      <c r="E98" s="679"/>
      <c r="F98" s="680"/>
      <c r="G98" s="648" t="s">
        <v>731</v>
      </c>
      <c r="H98" s="648"/>
      <c r="I98" s="648"/>
      <c r="J98" s="655">
        <f t="shared" si="4"/>
        <v>45748</v>
      </c>
      <c r="K98" s="656"/>
      <c r="L98" s="657"/>
      <c r="M98" s="648" t="s">
        <v>720</v>
      </c>
      <c r="N98" s="648"/>
      <c r="O98" s="648">
        <f>O95</f>
        <v>1</v>
      </c>
      <c r="P98" s="648"/>
      <c r="Q98" s="648"/>
      <c r="R98" s="647" t="str">
        <f>VLOOKUP(A98,Regularizare!$D:$U,9,FALSE)&amp;" ("&amp;VLOOKUP(A98,Regularizare!$D:$U,17,FALSE)&amp;")"</f>
        <v>20431 (citit)</v>
      </c>
      <c r="S98" s="647"/>
      <c r="T98" s="647"/>
      <c r="U98" s="647" t="str">
        <f>VLOOKUP(A98,Regularizare!$D:$U,10,FALSE)&amp;" ("&amp;VLOOKUP(A98,Regularizare!$D:$U,18,FALSE)&amp;")"</f>
        <v>20431 (estimat)</v>
      </c>
      <c r="V98" s="647"/>
      <c r="W98" s="647"/>
      <c r="X98" s="647" t="str">
        <f>_xlfn.CONCAT(VLOOKUP(A98,Regularizare!$D:$U,10,FALSE)-VLOOKUP(A98,Regularizare!$D:$U,9,FALSE)," (",VLOOKUP(A98,Regularizare!$D:$U,18,FALSE),")")</f>
        <v>0 (estimat)</v>
      </c>
      <c r="Y98" s="647"/>
      <c r="Z98" s="647"/>
      <c r="AA98" s="647">
        <f>IF(VLOOKUP(A98,Regularizare!$D:$Y,22,FALSE)=0,VLOOKUP(A98,Regularizare!$D:$Y,22,FALSE),(-1)*VLOOKUP(A98,Regularizare!$D:$Y,22,FALSE))</f>
        <v>0</v>
      </c>
      <c r="AB98" s="647"/>
      <c r="AC98" s="647"/>
      <c r="AD98" s="647" t="s">
        <v>69</v>
      </c>
      <c r="AE98" s="647"/>
      <c r="AF98" s="647">
        <f>AA98</f>
        <v>0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17"/>
      <c r="B99" s="718"/>
      <c r="C99" s="718"/>
      <c r="D99" s="718"/>
      <c r="E99" s="718"/>
      <c r="F99" s="719"/>
      <c r="G99" s="648"/>
      <c r="H99" s="648"/>
      <c r="I99" s="648"/>
      <c r="J99" s="717" t="str">
        <f t="shared" si="4"/>
        <v>-</v>
      </c>
      <c r="K99" s="718"/>
      <c r="L99" s="719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1"/>
      <c r="B100" s="682"/>
      <c r="C100" s="682"/>
      <c r="D100" s="682"/>
      <c r="E100" s="682"/>
      <c r="F100" s="683"/>
      <c r="G100" s="648"/>
      <c r="H100" s="648"/>
      <c r="I100" s="648"/>
      <c r="J100" s="714">
        <f t="shared" si="4"/>
        <v>45777</v>
      </c>
      <c r="K100" s="715"/>
      <c r="L100" s="716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78">
        <f>A98</f>
        <v>1371642996</v>
      </c>
      <c r="B101" s="679"/>
      <c r="C101" s="679"/>
      <c r="D101" s="679"/>
      <c r="E101" s="679"/>
      <c r="F101" s="680"/>
      <c r="G101" s="648" t="s">
        <v>730</v>
      </c>
      <c r="H101" s="648"/>
      <c r="I101" s="673"/>
      <c r="J101" s="655">
        <f>'Date masura OD'!$AK$5</f>
        <v>45748</v>
      </c>
      <c r="K101" s="656"/>
      <c r="L101" s="657"/>
      <c r="M101" s="720" t="s">
        <v>446</v>
      </c>
      <c r="N101" s="648"/>
      <c r="O101" s="648">
        <f>O98</f>
        <v>1</v>
      </c>
      <c r="P101" s="648"/>
      <c r="Q101" s="648"/>
      <c r="R101" s="647" t="str">
        <f>VLOOKUP(A101,Regularizare!$D:$AX,23,FALSE)&amp;" ("&amp;VLOOKUP(A101,Regularizare!$D:$AX,24,FALSE)&amp;")"</f>
        <v>6497073 (citit)</v>
      </c>
      <c r="S101" s="647"/>
      <c r="T101" s="647"/>
      <c r="U101" s="647" t="str">
        <f>VLOOKUP(A101,Regularizare!$D:$AX,25,FALSE)&amp;" ("&amp;VLOOKUP(A101,Regularizare!$D:$AX,26,FALSE)&amp;")"</f>
        <v>6780353 (citit)</v>
      </c>
      <c r="V101" s="647"/>
      <c r="W101" s="647"/>
      <c r="X101" s="647" t="str">
        <f>VLOOKUP(A101,Regularizare!$D:$AX,37,FALSE)&amp;" ("&amp;VLOOKUP(A101,Regularizare!$D:$AX,26,FALSE)&amp;")"</f>
        <v>283280 (citit)</v>
      </c>
      <c r="Y101" s="647"/>
      <c r="Z101" s="647"/>
      <c r="AA101" s="647">
        <f>VLOOKUP(A101,Regularizare!$D:$AX,37,FALSE)</f>
        <v>283280</v>
      </c>
      <c r="AB101" s="647"/>
      <c r="AC101" s="647"/>
      <c r="AD101" s="647" t="s">
        <v>69</v>
      </c>
      <c r="AE101" s="647"/>
      <c r="AF101" s="647">
        <f>AA101</f>
        <v>283280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17"/>
      <c r="B102" s="718"/>
      <c r="C102" s="718"/>
      <c r="D102" s="718"/>
      <c r="E102" s="718"/>
      <c r="F102" s="719"/>
      <c r="G102" s="648"/>
      <c r="H102" s="648"/>
      <c r="I102" s="673"/>
      <c r="J102" s="717" t="s">
        <v>69</v>
      </c>
      <c r="K102" s="718"/>
      <c r="L102" s="719"/>
      <c r="M102" s="720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1"/>
      <c r="B103" s="682"/>
      <c r="C103" s="682"/>
      <c r="D103" s="682"/>
      <c r="E103" s="682"/>
      <c r="F103" s="683"/>
      <c r="G103" s="648"/>
      <c r="H103" s="648"/>
      <c r="I103" s="673"/>
      <c r="J103" s="714">
        <f>'Date masura OD'!$AL$5</f>
        <v>45777</v>
      </c>
      <c r="K103" s="715"/>
      <c r="L103" s="716"/>
      <c r="M103" s="720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A101</f>
        <v>1371642996</v>
      </c>
      <c r="B104" s="679"/>
      <c r="C104" s="679"/>
      <c r="D104" s="679"/>
      <c r="E104" s="679"/>
      <c r="F104" s="680"/>
      <c r="G104" s="648" t="s">
        <v>696</v>
      </c>
      <c r="H104" s="648"/>
      <c r="I104" s="648"/>
      <c r="J104" s="655">
        <f t="shared" ref="J104:J109" si="5">J101</f>
        <v>45748</v>
      </c>
      <c r="K104" s="656"/>
      <c r="L104" s="657"/>
      <c r="M104" s="648" t="s">
        <v>720</v>
      </c>
      <c r="N104" s="648"/>
      <c r="O104" s="648">
        <f>O101</f>
        <v>1</v>
      </c>
      <c r="P104" s="648"/>
      <c r="Q104" s="648"/>
      <c r="R104" s="647" t="str">
        <f>VLOOKUP(A104,Regularizare!$D:$AX,29,FALSE)&amp;" ("&amp;VLOOKUP(A104,Regularizare!$D:$AX,30,FALSE)&amp;")"</f>
        <v>263463 (citit)</v>
      </c>
      <c r="S104" s="647"/>
      <c r="T104" s="647"/>
      <c r="U104" s="647" t="str">
        <f>VLOOKUP(A104,Regularizare!$D:$AX,31,FALSE)&amp;" ("&amp;VLOOKUP(A104,Regularizare!$D:$AX,32,FALSE)&amp;")"</f>
        <v>263711 (citit)</v>
      </c>
      <c r="V104" s="647"/>
      <c r="W104" s="647"/>
      <c r="X104" s="647" t="str">
        <f>VLOOKUP(A104,Regularizare!$D:$AX,39,FALSE)&amp;" ("&amp;VLOOKUP(A104,Regularizare!$D:$AX,32,FALSE)&amp;")"</f>
        <v>248 (citit)</v>
      </c>
      <c r="Y104" s="647"/>
      <c r="Z104" s="647"/>
      <c r="AA104" s="647">
        <f>VLOOKUP(A104,Regularizare!$D:$AX,44,FALSE)+VLOOKUP(A104,Regularizare!$D:$AX,45,FALSE)</f>
        <v>248</v>
      </c>
      <c r="AB104" s="647"/>
      <c r="AC104" s="647"/>
      <c r="AD104" s="647" t="s">
        <v>69</v>
      </c>
      <c r="AE104" s="647"/>
      <c r="AF104" s="647">
        <f>AA104</f>
        <v>248</v>
      </c>
      <c r="AG104" s="647"/>
      <c r="AH104" s="647"/>
      <c r="AI104" s="647" t="str">
        <f>AI101</f>
        <v>-</v>
      </c>
      <c r="AJ104" s="647"/>
      <c r="AK104" s="647" t="str">
        <f>AK101</f>
        <v>-</v>
      </c>
      <c r="AL104" s="647"/>
      <c r="AM104" s="647"/>
    </row>
    <row r="105" spans="1:39" ht="8.4499999999999993" customHeight="1">
      <c r="A105" s="717"/>
      <c r="B105" s="718"/>
      <c r="C105" s="718"/>
      <c r="D105" s="718"/>
      <c r="E105" s="718"/>
      <c r="F105" s="719"/>
      <c r="G105" s="648"/>
      <c r="H105" s="648"/>
      <c r="I105" s="648"/>
      <c r="J105" s="717" t="str">
        <f t="shared" si="5"/>
        <v>-</v>
      </c>
      <c r="K105" s="718"/>
      <c r="L105" s="719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48"/>
      <c r="J106" s="714">
        <f t="shared" si="5"/>
        <v>45777</v>
      </c>
      <c r="K106" s="715"/>
      <c r="L106" s="716"/>
      <c r="M106" s="648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1371642996</v>
      </c>
      <c r="B107" s="679"/>
      <c r="C107" s="679"/>
      <c r="D107" s="679"/>
      <c r="E107" s="679"/>
      <c r="F107" s="680"/>
      <c r="G107" s="648" t="s">
        <v>731</v>
      </c>
      <c r="H107" s="648"/>
      <c r="I107" s="648"/>
      <c r="J107" s="655">
        <f t="shared" si="5"/>
        <v>45748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VLOOKUP(A107,Regularizare!$D:$AX,33,FALSE)&amp;" ("&amp;VLOOKUP(A107,Regularizare!$D:$AX,34,FALSE)&amp;")"</f>
        <v>20431 (citit)</v>
      </c>
      <c r="S107" s="647"/>
      <c r="T107" s="647"/>
      <c r="U107" s="647" t="str">
        <f>VLOOKUP(A107,Regularizare!$D:$AX,35,FALSE)&amp;" ("&amp;VLOOKUP(A107,Regularizare!$D:$AX,36,FALSE)&amp;")"</f>
        <v>20437 (citit)</v>
      </c>
      <c r="V107" s="647"/>
      <c r="W107" s="647"/>
      <c r="X107" s="647" t="str">
        <f>VLOOKUP(A107,Regularizare!$D:$AX,40,FALSE)&amp;" ("&amp;VLOOKUP(A107,Regularizare!$D:$AX,36,FALSE)&amp;")"</f>
        <v>6 (citit)</v>
      </c>
      <c r="Y107" s="647"/>
      <c r="Z107" s="647"/>
      <c r="AA107" s="647">
        <f>VLOOKUP(A107,Regularizare!$D:$AX,46,FALSE)+VLOOKUP(A107,Regularizare!$D:$AX,47,FALSE)</f>
        <v>6</v>
      </c>
      <c r="AB107" s="647"/>
      <c r="AC107" s="647"/>
      <c r="AD107" s="647" t="s">
        <v>69</v>
      </c>
      <c r="AE107" s="647"/>
      <c r="AF107" s="647">
        <f>AA107</f>
        <v>6</v>
      </c>
      <c r="AG107" s="647"/>
      <c r="AH107" s="647"/>
      <c r="AI107" s="647" t="str">
        <f>AI104</f>
        <v>-</v>
      </c>
      <c r="AJ107" s="647"/>
      <c r="AK107" s="647" t="str">
        <f>AK104</f>
        <v>-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5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5"/>
        <v>45777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1371642996</v>
      </c>
      <c r="B110" s="679"/>
      <c r="C110" s="679"/>
      <c r="D110" s="679"/>
      <c r="E110" s="679"/>
      <c r="F110" s="680"/>
      <c r="G110" s="648" t="s">
        <v>730</v>
      </c>
      <c r="H110" s="648"/>
      <c r="I110" s="673"/>
      <c r="J110" s="655">
        <f>'Date masura OD'!$I$5</f>
        <v>45778</v>
      </c>
      <c r="K110" s="656"/>
      <c r="L110" s="657"/>
      <c r="M110" s="720" t="s">
        <v>446</v>
      </c>
      <c r="N110" s="648"/>
      <c r="O110" s="648">
        <f>O107</f>
        <v>1</v>
      </c>
      <c r="P110" s="648"/>
      <c r="Q110" s="648"/>
      <c r="R110" s="647" t="str">
        <f>U101</f>
        <v>6780353 (citit)</v>
      </c>
      <c r="S110" s="647"/>
      <c r="T110" s="647"/>
      <c r="U110" s="647" t="str">
        <f>VLOOKUP(A110,'Incrementare indexe'!$D:$M,4,FALSE)&amp;" (estimat)"</f>
        <v>7082375 (estimat)</v>
      </c>
      <c r="V110" s="647"/>
      <c r="W110" s="647"/>
      <c r="X110" s="647" t="str">
        <f>VLOOKUP(A110,'Incrementare indexe'!$D:$Q,11,FALSE)&amp;" (estimat)"</f>
        <v>302022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indexe'!$D:$Q,11,FALSE)</f>
        <v>302022</v>
      </c>
      <c r="AG110" s="647"/>
      <c r="AH110" s="647"/>
      <c r="AI110" s="647">
        <f>J112-J110+1</f>
        <v>31</v>
      </c>
      <c r="AJ110" s="647"/>
      <c r="AK110" s="647">
        <f>ROUND(AF110/AI110,2)</f>
        <v>9742.65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73"/>
      <c r="J111" s="717" t="s">
        <v>69</v>
      </c>
      <c r="K111" s="718"/>
      <c r="L111" s="719"/>
      <c r="M111" s="720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73"/>
      <c r="J112" s="714">
        <f>'Date masura OD'!$J$5</f>
        <v>45808</v>
      </c>
      <c r="K112" s="715"/>
      <c r="L112" s="716"/>
      <c r="M112" s="720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78">
        <f>A110</f>
        <v>1371642996</v>
      </c>
      <c r="B113" s="679"/>
      <c r="C113" s="679"/>
      <c r="D113" s="679"/>
      <c r="E113" s="679"/>
      <c r="F113" s="680"/>
      <c r="G113" s="648" t="s">
        <v>696</v>
      </c>
      <c r="H113" s="648"/>
      <c r="I113" s="648"/>
      <c r="J113" s="655">
        <f t="shared" ref="J113:J118" si="6">J110</f>
        <v>45778</v>
      </c>
      <c r="K113" s="656"/>
      <c r="L113" s="657"/>
      <c r="M113" s="648" t="s">
        <v>720</v>
      </c>
      <c r="N113" s="648"/>
      <c r="O113" s="648">
        <f>O110</f>
        <v>1</v>
      </c>
      <c r="P113" s="648"/>
      <c r="Q113" s="648"/>
      <c r="R113" s="647" t="str">
        <f>U104</f>
        <v>263711 (citit)</v>
      </c>
      <c r="S113" s="647"/>
      <c r="T113" s="647"/>
      <c r="U113" s="647" t="str">
        <f>VLOOKUP(A113,'Incrementare indexe'!$D:$M,8,FALSE)&amp;" (estimat)"</f>
        <v>263711 (estimat)</v>
      </c>
      <c r="V113" s="647"/>
      <c r="W113" s="647"/>
      <c r="X113" s="647" t="str">
        <f>VLOOKUP(A113,'Incrementare indexe'!$D:$Q,12,FALSE)&amp;" (estimat)"</f>
        <v>0 (estimat)</v>
      </c>
      <c r="Y113" s="647"/>
      <c r="Z113" s="647"/>
      <c r="AA113" s="647" t="s">
        <v>69</v>
      </c>
      <c r="AB113" s="647"/>
      <c r="AC113" s="647"/>
      <c r="AD113" s="647" t="s">
        <v>69</v>
      </c>
      <c r="AE113" s="647"/>
      <c r="AF113" s="647">
        <f>VLOOKUP(A113,'Incrementare indexe'!$D:$Q,12,FALSE)</f>
        <v>0</v>
      </c>
      <c r="AG113" s="647"/>
      <c r="AH113" s="647"/>
      <c r="AI113" s="647">
        <f>AI110</f>
        <v>31</v>
      </c>
      <c r="AJ113" s="647"/>
      <c r="AK113" s="647">
        <f>ROUND(AF113/AI113,2)</f>
        <v>0</v>
      </c>
      <c r="AL113" s="647"/>
      <c r="AM113" s="647"/>
    </row>
    <row r="114" spans="1:39" ht="8.4499999999999993" customHeight="1">
      <c r="A114" s="717"/>
      <c r="B114" s="718"/>
      <c r="C114" s="718"/>
      <c r="D114" s="718"/>
      <c r="E114" s="718"/>
      <c r="F114" s="719"/>
      <c r="G114" s="648"/>
      <c r="H114" s="648"/>
      <c r="I114" s="648"/>
      <c r="J114" s="717" t="str">
        <f t="shared" si="6"/>
        <v>-</v>
      </c>
      <c r="K114" s="718"/>
      <c r="L114" s="719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1"/>
      <c r="B115" s="682"/>
      <c r="C115" s="682"/>
      <c r="D115" s="682"/>
      <c r="E115" s="682"/>
      <c r="F115" s="683"/>
      <c r="G115" s="648"/>
      <c r="H115" s="648"/>
      <c r="I115" s="648"/>
      <c r="J115" s="714">
        <f t="shared" si="6"/>
        <v>45808</v>
      </c>
      <c r="K115" s="715"/>
      <c r="L115" s="716"/>
      <c r="M115" s="648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78">
        <f>A113</f>
        <v>1371642996</v>
      </c>
      <c r="B116" s="679"/>
      <c r="C116" s="679"/>
      <c r="D116" s="679"/>
      <c r="E116" s="679"/>
      <c r="F116" s="680"/>
      <c r="G116" s="648" t="s">
        <v>731</v>
      </c>
      <c r="H116" s="648"/>
      <c r="I116" s="648"/>
      <c r="J116" s="655">
        <f t="shared" si="6"/>
        <v>45778</v>
      </c>
      <c r="K116" s="656"/>
      <c r="L116" s="657"/>
      <c r="M116" s="648" t="s">
        <v>720</v>
      </c>
      <c r="N116" s="648"/>
      <c r="O116" s="648">
        <f>O113</f>
        <v>1</v>
      </c>
      <c r="P116" s="648"/>
      <c r="Q116" s="648"/>
      <c r="R116" s="647" t="str">
        <f>U107</f>
        <v>20437 (citit)</v>
      </c>
      <c r="S116" s="647"/>
      <c r="T116" s="647"/>
      <c r="U116" s="647" t="str">
        <f>VLOOKUP(A116,'Incrementare indexe'!$D:$M,10,FALSE)&amp;" (estimat)"</f>
        <v>20437 (estimat)</v>
      </c>
      <c r="V116" s="647"/>
      <c r="W116" s="647"/>
      <c r="X116" s="647" t="str">
        <f>VLOOKUP(A116,'Incrementare indexe'!$D:$Q,13,FALSE)&amp;" (estimat)"</f>
        <v>0 (estimat)</v>
      </c>
      <c r="Y116" s="647"/>
      <c r="Z116" s="647"/>
      <c r="AA116" s="647" t="s">
        <v>69</v>
      </c>
      <c r="AB116" s="647"/>
      <c r="AC116" s="647"/>
      <c r="AD116" s="647" t="s">
        <v>69</v>
      </c>
      <c r="AE116" s="647"/>
      <c r="AF116" s="647">
        <f>VLOOKUP(A116,'Incrementare indexe'!$D:$Q,13,FALSE)</f>
        <v>0</v>
      </c>
      <c r="AG116" s="647"/>
      <c r="AH116" s="647"/>
      <c r="AI116" s="647">
        <f>AI113</f>
        <v>31</v>
      </c>
      <c r="AJ116" s="647"/>
      <c r="AK116" s="647">
        <f>ROUND(AF116/AI116,2)</f>
        <v>0</v>
      </c>
      <c r="AL116" s="647"/>
      <c r="AM116" s="647"/>
    </row>
    <row r="117" spans="1:39" ht="8.4499999999999993" customHeight="1">
      <c r="A117" s="717"/>
      <c r="B117" s="718"/>
      <c r="C117" s="718"/>
      <c r="D117" s="718"/>
      <c r="E117" s="718"/>
      <c r="F117" s="719"/>
      <c r="G117" s="648"/>
      <c r="H117" s="648"/>
      <c r="I117" s="648"/>
      <c r="J117" s="717" t="str">
        <f t="shared" si="6"/>
        <v>-</v>
      </c>
      <c r="K117" s="718"/>
      <c r="L117" s="719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81"/>
      <c r="B118" s="682"/>
      <c r="C118" s="682"/>
      <c r="D118" s="682"/>
      <c r="E118" s="682"/>
      <c r="F118" s="683"/>
      <c r="G118" s="648"/>
      <c r="H118" s="648"/>
      <c r="I118" s="648"/>
      <c r="J118" s="714">
        <f t="shared" si="6"/>
        <v>45808</v>
      </c>
      <c r="K118" s="715"/>
      <c r="L118" s="716"/>
      <c r="M118" s="648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/>
    <row r="120" spans="1:39" ht="14.1" customHeight="1">
      <c r="A120" s="721" t="s">
        <v>1196</v>
      </c>
      <c r="B120" s="722"/>
      <c r="C120" s="722"/>
      <c r="D120" s="722"/>
      <c r="E120" s="722"/>
      <c r="F120" s="722"/>
      <c r="G120" s="722"/>
      <c r="H120" s="722"/>
      <c r="I120" s="722"/>
      <c r="J120" s="722"/>
      <c r="K120" s="722"/>
      <c r="L120" s="722"/>
      <c r="M120" s="722"/>
      <c r="N120" s="722"/>
      <c r="O120" s="722"/>
      <c r="P120" s="722"/>
      <c r="Q120" s="722"/>
      <c r="R120" s="722"/>
      <c r="S120" s="722"/>
      <c r="T120" s="722"/>
      <c r="U120" s="722"/>
      <c r="V120" s="722"/>
      <c r="W120" s="722"/>
      <c r="X120" s="722"/>
      <c r="Y120" s="722"/>
      <c r="Z120" s="722"/>
      <c r="AA120" s="722"/>
      <c r="AB120" s="722"/>
      <c r="AC120" s="722"/>
      <c r="AD120" s="722"/>
      <c r="AE120" s="722"/>
      <c r="AF120" s="722"/>
      <c r="AG120" s="722"/>
      <c r="AH120" s="723"/>
      <c r="AI120" s="650" t="s">
        <v>695</v>
      </c>
      <c r="AJ120" s="650"/>
      <c r="AK120" s="650"/>
      <c r="AL120" s="650"/>
      <c r="AM120" s="650"/>
    </row>
    <row r="121" spans="1:39" ht="14.1" customHeight="1">
      <c r="A121" s="649" t="s">
        <v>746</v>
      </c>
      <c r="B121" s="649"/>
      <c r="C121" s="649"/>
      <c r="D121" s="649"/>
      <c r="E121" s="649"/>
      <c r="F121" s="649"/>
      <c r="G121" s="649"/>
      <c r="H121" s="649"/>
      <c r="I121" s="649"/>
      <c r="J121" s="649"/>
      <c r="K121" s="649"/>
      <c r="L121" s="649"/>
      <c r="M121" s="650" t="s">
        <v>514</v>
      </c>
      <c r="N121" s="650"/>
      <c r="O121" s="650"/>
      <c r="P121" s="650"/>
      <c r="Q121" s="650"/>
      <c r="R121" s="650"/>
      <c r="S121" s="650"/>
      <c r="T121" s="650"/>
      <c r="U121" s="650"/>
      <c r="V121" s="650"/>
      <c r="W121" s="650"/>
      <c r="X121" s="650"/>
      <c r="Y121" s="650"/>
      <c r="Z121" s="650"/>
      <c r="AA121" s="650"/>
      <c r="AB121" s="650"/>
      <c r="AC121" s="650"/>
      <c r="AD121" s="650"/>
      <c r="AE121" s="650"/>
      <c r="AF121" s="650"/>
      <c r="AG121" s="650"/>
      <c r="AH121" s="650"/>
      <c r="AI121" s="619" t="str">
        <f>_xlfn.CONCAT(AI87,"/PV")</f>
        <v>RGBM_1.2/PV</v>
      </c>
      <c r="AJ121" s="619"/>
      <c r="AK121" s="619"/>
      <c r="AL121" s="619"/>
      <c r="AM121" s="619"/>
    </row>
    <row r="122" spans="1:39" ht="14.1" customHeight="1">
      <c r="A122" s="649" t="s">
        <v>747</v>
      </c>
      <c r="B122" s="649"/>
      <c r="C122" s="649"/>
      <c r="D122" s="649"/>
      <c r="E122" s="649"/>
      <c r="F122" s="649"/>
      <c r="G122" s="649"/>
      <c r="H122" s="649"/>
      <c r="I122" s="649"/>
      <c r="J122" s="649"/>
      <c r="K122" s="649"/>
      <c r="L122" s="649"/>
      <c r="M122" s="650" t="s">
        <v>1087</v>
      </c>
      <c r="N122" s="650"/>
      <c r="O122" s="650"/>
      <c r="P122" s="650"/>
      <c r="Q122" s="650"/>
      <c r="R122" s="650"/>
      <c r="S122" s="650"/>
      <c r="T122" s="650"/>
      <c r="U122" s="650"/>
      <c r="V122" s="650"/>
      <c r="W122" s="650"/>
      <c r="X122" s="650"/>
      <c r="Y122" s="650"/>
      <c r="Z122" s="650"/>
      <c r="AA122" s="650"/>
      <c r="AB122" s="650"/>
      <c r="AC122" s="650"/>
      <c r="AD122" s="650"/>
      <c r="AE122" s="650"/>
      <c r="AF122" s="650"/>
      <c r="AG122" s="650"/>
      <c r="AH122" s="650"/>
      <c r="AI122" s="619"/>
      <c r="AJ122" s="619"/>
      <c r="AK122" s="619"/>
      <c r="AL122" s="619"/>
      <c r="AM122" s="619"/>
    </row>
    <row r="123" spans="1:39" ht="14.1" customHeight="1">
      <c r="A123" s="648" t="s">
        <v>697</v>
      </c>
      <c r="B123" s="648"/>
      <c r="C123" s="648"/>
      <c r="D123" s="648"/>
      <c r="E123" s="648"/>
      <c r="F123" s="648"/>
      <c r="G123" s="647" t="s">
        <v>713</v>
      </c>
      <c r="H123" s="647"/>
      <c r="I123" s="647"/>
      <c r="J123" s="647" t="s">
        <v>714</v>
      </c>
      <c r="K123" s="647"/>
      <c r="L123" s="647"/>
      <c r="M123" s="648" t="s">
        <v>519</v>
      </c>
      <c r="N123" s="648"/>
      <c r="O123" s="648" t="s">
        <v>715</v>
      </c>
      <c r="P123" s="648"/>
      <c r="Q123" s="648"/>
      <c r="R123" s="647" t="s">
        <v>732</v>
      </c>
      <c r="S123" s="647"/>
      <c r="T123" s="647"/>
      <c r="U123" s="647" t="s">
        <v>734</v>
      </c>
      <c r="V123" s="647"/>
      <c r="W123" s="647"/>
      <c r="X123" s="647" t="s">
        <v>1085</v>
      </c>
      <c r="Y123" s="647"/>
      <c r="Z123" s="647"/>
      <c r="AA123" s="647" t="s">
        <v>1086</v>
      </c>
      <c r="AB123" s="647"/>
      <c r="AC123" s="647"/>
      <c r="AD123" s="647" t="s">
        <v>717</v>
      </c>
      <c r="AE123" s="647"/>
      <c r="AF123" s="647" t="s">
        <v>718</v>
      </c>
      <c r="AG123" s="647"/>
      <c r="AH123" s="647"/>
      <c r="AI123" s="647" t="s">
        <v>719</v>
      </c>
      <c r="AJ123" s="647"/>
      <c r="AK123" s="647" t="s">
        <v>733</v>
      </c>
      <c r="AL123" s="647"/>
      <c r="AM123" s="647"/>
    </row>
    <row r="124" spans="1:39" ht="14.1" customHeight="1">
      <c r="A124" s="648"/>
      <c r="B124" s="648"/>
      <c r="C124" s="648"/>
      <c r="D124" s="648"/>
      <c r="E124" s="648"/>
      <c r="F124" s="648"/>
      <c r="G124" s="647"/>
      <c r="H124" s="647"/>
      <c r="I124" s="647"/>
      <c r="J124" s="647"/>
      <c r="K124" s="647"/>
      <c r="L124" s="647"/>
      <c r="M124" s="648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48"/>
      <c r="B125" s="648"/>
      <c r="C125" s="648"/>
      <c r="D125" s="648"/>
      <c r="E125" s="648"/>
      <c r="F125" s="648"/>
      <c r="G125" s="647"/>
      <c r="H125" s="647"/>
      <c r="I125" s="647"/>
      <c r="J125" s="713"/>
      <c r="K125" s="713"/>
      <c r="L125" s="713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78">
        <f>VLOOKUP(AI121,'Incrementare indexe'!$B:$I,3,FALSE)</f>
        <v>1371871642</v>
      </c>
      <c r="B126" s="679"/>
      <c r="C126" s="679"/>
      <c r="D126" s="679"/>
      <c r="E126" s="679"/>
      <c r="F126" s="680"/>
      <c r="G126" s="647" t="s">
        <v>1088</v>
      </c>
      <c r="H126" s="647"/>
      <c r="I126" s="675"/>
      <c r="J126" s="655">
        <f>'Date masura OD'!$I$5</f>
        <v>45778</v>
      </c>
      <c r="K126" s="656"/>
      <c r="L126" s="657"/>
      <c r="M126" s="720" t="s">
        <v>446</v>
      </c>
      <c r="N126" s="648"/>
      <c r="O126" s="648">
        <f>VLOOKUP(AI121,'Incrementare indexe'!$B:$I,4,FALSE)</f>
        <v>1</v>
      </c>
      <c r="P126" s="648"/>
      <c r="Q126" s="648"/>
      <c r="R126" s="647" t="str">
        <f>VLOOKUP(AI121,'Incrementare indexe'!$B:$I,7,FALSE)&amp;" (citit)"</f>
        <v>2258138 (citit)</v>
      </c>
      <c r="S126" s="647"/>
      <c r="T126" s="647"/>
      <c r="U126" s="647" t="str">
        <f>VLOOKUP(AI121,'Incrementare indexe'!$B:$I,8,FALSE)&amp;" (citit)"</f>
        <v>2372128 (citit)</v>
      </c>
      <c r="V126" s="647"/>
      <c r="W126" s="647"/>
      <c r="X126" s="647" t="str">
        <f>(VLOOKUP(AI121,'Incrementare indexe'!$B:$I,8,FALSE)-VLOOKUP(AI121,'Incrementare indexe'!$B:$I,7,FALSE))&amp;" (citit)"</f>
        <v>113990 (citit)</v>
      </c>
      <c r="Y126" s="647"/>
      <c r="Z126" s="647"/>
      <c r="AA126" s="647" t="s">
        <v>69</v>
      </c>
      <c r="AB126" s="647"/>
      <c r="AC126" s="647"/>
      <c r="AD126" s="647" t="s">
        <v>69</v>
      </c>
      <c r="AE126" s="647"/>
      <c r="AF126" s="647">
        <f>(VLOOKUP(AI121,'Incrementare indexe'!$B:$I,8,FALSE)-VLOOKUP(AI121,'Incrementare indexe'!$B:$I,7,FALSE))</f>
        <v>113990</v>
      </c>
      <c r="AG126" s="647"/>
      <c r="AH126" s="647"/>
      <c r="AI126" s="647">
        <f>J128-J126+1</f>
        <v>31</v>
      </c>
      <c r="AJ126" s="647"/>
      <c r="AK126" s="647">
        <f>ROUND(AF126/AI126,2)</f>
        <v>3677.1</v>
      </c>
      <c r="AL126" s="647"/>
      <c r="AM126" s="647"/>
    </row>
    <row r="127" spans="1:39" ht="14.1" customHeight="1">
      <c r="A127" s="717"/>
      <c r="B127" s="718"/>
      <c r="C127" s="718"/>
      <c r="D127" s="718"/>
      <c r="E127" s="718"/>
      <c r="F127" s="719"/>
      <c r="G127" s="647"/>
      <c r="H127" s="647"/>
      <c r="I127" s="675"/>
      <c r="J127" s="717" t="s">
        <v>69</v>
      </c>
      <c r="K127" s="718"/>
      <c r="L127" s="719"/>
      <c r="M127" s="720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81"/>
      <c r="B128" s="682"/>
      <c r="C128" s="682"/>
      <c r="D128" s="682"/>
      <c r="E128" s="682"/>
      <c r="F128" s="683"/>
      <c r="G128" s="647"/>
      <c r="H128" s="647"/>
      <c r="I128" s="675"/>
      <c r="J128" s="714">
        <f>'Date masura OD'!$J$5</f>
        <v>45808</v>
      </c>
      <c r="K128" s="715"/>
      <c r="L128" s="716"/>
      <c r="M128" s="720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78">
        <f>A126</f>
        <v>1371871642</v>
      </c>
      <c r="B129" s="679"/>
      <c r="C129" s="679"/>
      <c r="D129" s="679"/>
      <c r="E129" s="679"/>
      <c r="F129" s="680"/>
      <c r="G129" s="648" t="s">
        <v>696</v>
      </c>
      <c r="H129" s="648"/>
      <c r="I129" s="648"/>
      <c r="J129" s="655">
        <f t="shared" ref="J129:J134" si="7">J126</f>
        <v>45778</v>
      </c>
      <c r="K129" s="656"/>
      <c r="L129" s="657"/>
      <c r="M129" s="648" t="s">
        <v>720</v>
      </c>
      <c r="N129" s="648"/>
      <c r="O129" s="648">
        <f>O126</f>
        <v>1</v>
      </c>
      <c r="P129" s="648"/>
      <c r="Q129" s="648"/>
      <c r="R129" s="647" t="s">
        <v>1089</v>
      </c>
      <c r="S129" s="647"/>
      <c r="T129" s="647"/>
      <c r="U129" s="647" t="s">
        <v>1089</v>
      </c>
      <c r="V129" s="647"/>
      <c r="W129" s="647"/>
      <c r="X129" s="647" t="s">
        <v>1089</v>
      </c>
      <c r="Y129" s="647"/>
      <c r="Z129" s="647"/>
      <c r="AA129" s="647" t="s">
        <v>69</v>
      </c>
      <c r="AB129" s="647"/>
      <c r="AC129" s="647"/>
      <c r="AD129" s="647" t="s">
        <v>69</v>
      </c>
      <c r="AE129" s="647"/>
      <c r="AF129" s="647">
        <v>0</v>
      </c>
      <c r="AG129" s="647"/>
      <c r="AH129" s="647"/>
      <c r="AI129" s="647">
        <f>AI126</f>
        <v>31</v>
      </c>
      <c r="AJ129" s="647"/>
      <c r="AK129" s="647">
        <f>ROUND(AF129/AI129,2)</f>
        <v>0</v>
      </c>
      <c r="AL129" s="647"/>
      <c r="AM129" s="647"/>
    </row>
    <row r="130" spans="1:39" ht="14.1" customHeight="1">
      <c r="A130" s="717"/>
      <c r="B130" s="718"/>
      <c r="C130" s="718"/>
      <c r="D130" s="718"/>
      <c r="E130" s="718"/>
      <c r="F130" s="719"/>
      <c r="G130" s="648"/>
      <c r="H130" s="648"/>
      <c r="I130" s="648"/>
      <c r="J130" s="717" t="str">
        <f t="shared" si="7"/>
        <v>-</v>
      </c>
      <c r="K130" s="718"/>
      <c r="L130" s="719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681"/>
      <c r="B131" s="682"/>
      <c r="C131" s="682"/>
      <c r="D131" s="682"/>
      <c r="E131" s="682"/>
      <c r="F131" s="683"/>
      <c r="G131" s="648"/>
      <c r="H131" s="648"/>
      <c r="I131" s="648"/>
      <c r="J131" s="714">
        <f t="shared" si="7"/>
        <v>45808</v>
      </c>
      <c r="K131" s="715"/>
      <c r="L131" s="716"/>
      <c r="M131" s="648"/>
      <c r="N131" s="648"/>
      <c r="O131" s="648"/>
      <c r="P131" s="648"/>
      <c r="Q131" s="648"/>
      <c r="R131" s="647"/>
      <c r="S131" s="647"/>
      <c r="T131" s="647"/>
      <c r="U131" s="647"/>
      <c r="V131" s="647"/>
      <c r="W131" s="647"/>
      <c r="X131" s="647"/>
      <c r="Y131" s="647"/>
      <c r="Z131" s="647"/>
      <c r="AA131" s="647"/>
      <c r="AB131" s="647"/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</row>
    <row r="132" spans="1:39" ht="14.1" customHeight="1">
      <c r="A132" s="678">
        <f>A129</f>
        <v>1371871642</v>
      </c>
      <c r="B132" s="679"/>
      <c r="C132" s="679"/>
      <c r="D132" s="679"/>
      <c r="E132" s="679"/>
      <c r="F132" s="680"/>
      <c r="G132" s="648" t="s">
        <v>731</v>
      </c>
      <c r="H132" s="648"/>
      <c r="I132" s="648"/>
      <c r="J132" s="655">
        <f t="shared" si="7"/>
        <v>45778</v>
      </c>
      <c r="K132" s="656"/>
      <c r="L132" s="657"/>
      <c r="M132" s="648" t="s">
        <v>720</v>
      </c>
      <c r="N132" s="648"/>
      <c r="O132" s="648">
        <f>O129</f>
        <v>1</v>
      </c>
      <c r="P132" s="648"/>
      <c r="Q132" s="648"/>
      <c r="R132" s="647" t="s">
        <v>1089</v>
      </c>
      <c r="S132" s="647"/>
      <c r="T132" s="647"/>
      <c r="U132" s="647" t="s">
        <v>1089</v>
      </c>
      <c r="V132" s="647"/>
      <c r="W132" s="647"/>
      <c r="X132" s="647" t="s">
        <v>1089</v>
      </c>
      <c r="Y132" s="647"/>
      <c r="Z132" s="647"/>
      <c r="AA132" s="647" t="s">
        <v>69</v>
      </c>
      <c r="AB132" s="647"/>
      <c r="AC132" s="647"/>
      <c r="AD132" s="647" t="s">
        <v>69</v>
      </c>
      <c r="AE132" s="647"/>
      <c r="AF132" s="647">
        <v>0</v>
      </c>
      <c r="AG132" s="647"/>
      <c r="AH132" s="647"/>
      <c r="AI132" s="647">
        <f>AI129</f>
        <v>31</v>
      </c>
      <c r="AJ132" s="647"/>
      <c r="AK132" s="647">
        <f>ROUND(AF132/AI132,2)</f>
        <v>0</v>
      </c>
      <c r="AL132" s="647"/>
      <c r="AM132" s="647"/>
    </row>
    <row r="133" spans="1:39" ht="14.1" customHeight="1">
      <c r="A133" s="717"/>
      <c r="B133" s="718"/>
      <c r="C133" s="718"/>
      <c r="D133" s="718"/>
      <c r="E133" s="718"/>
      <c r="F133" s="719"/>
      <c r="G133" s="648"/>
      <c r="H133" s="648"/>
      <c r="I133" s="648"/>
      <c r="J133" s="717" t="str">
        <f t="shared" si="7"/>
        <v>-</v>
      </c>
      <c r="K133" s="718"/>
      <c r="L133" s="719"/>
      <c r="M133" s="648"/>
      <c r="N133" s="648"/>
      <c r="O133" s="648"/>
      <c r="P133" s="648"/>
      <c r="Q133" s="648"/>
      <c r="R133" s="647"/>
      <c r="S133" s="647"/>
      <c r="T133" s="647"/>
      <c r="U133" s="647"/>
      <c r="V133" s="647"/>
      <c r="W133" s="647"/>
      <c r="X133" s="647"/>
      <c r="Y133" s="647"/>
      <c r="Z133" s="647"/>
      <c r="AA133" s="647"/>
      <c r="AB133" s="647"/>
      <c r="AC133" s="647"/>
      <c r="AD133" s="647"/>
      <c r="AE133" s="647"/>
      <c r="AF133" s="647"/>
      <c r="AG133" s="647"/>
      <c r="AH133" s="647"/>
      <c r="AI133" s="647"/>
      <c r="AJ133" s="647"/>
      <c r="AK133" s="647"/>
      <c r="AL133" s="647"/>
      <c r="AM133" s="647"/>
    </row>
    <row r="134" spans="1:39" ht="14.1" customHeight="1">
      <c r="A134" s="681"/>
      <c r="B134" s="682"/>
      <c r="C134" s="682"/>
      <c r="D134" s="682"/>
      <c r="E134" s="682"/>
      <c r="F134" s="683"/>
      <c r="G134" s="648"/>
      <c r="H134" s="648"/>
      <c r="I134" s="648"/>
      <c r="J134" s="714">
        <f t="shared" si="7"/>
        <v>45808</v>
      </c>
      <c r="K134" s="715"/>
      <c r="L134" s="716"/>
      <c r="M134" s="648"/>
      <c r="N134" s="648"/>
      <c r="O134" s="648"/>
      <c r="P134" s="648"/>
      <c r="Q134" s="648"/>
      <c r="R134" s="647"/>
      <c r="S134" s="647"/>
      <c r="T134" s="647"/>
      <c r="U134" s="647"/>
      <c r="V134" s="647"/>
      <c r="W134" s="647"/>
      <c r="X134" s="647"/>
      <c r="Y134" s="647"/>
      <c r="Z134" s="647"/>
      <c r="AA134" s="647"/>
      <c r="AB134" s="647"/>
      <c r="AC134" s="647"/>
      <c r="AD134" s="647"/>
      <c r="AE134" s="647"/>
      <c r="AF134" s="647"/>
      <c r="AG134" s="647"/>
      <c r="AH134" s="647"/>
      <c r="AI134" s="647"/>
      <c r="AJ134" s="647"/>
      <c r="AK134" s="647"/>
      <c r="AL134" s="647"/>
      <c r="AM134" s="647"/>
    </row>
    <row r="135" spans="1:39" ht="14.1" customHeight="1"/>
    <row r="137" spans="1:39">
      <c r="A137" s="649" t="s">
        <v>748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tr">
        <f>VLOOKUP(AI138,'Contorizare in SDI'!$E:$I,4,FALSE)</f>
        <v>59401010000363258971716818/3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50" t="s">
        <v>695</v>
      </c>
      <c r="AJ137" s="650"/>
      <c r="AK137" s="650"/>
      <c r="AL137" s="650"/>
      <c r="AM137" s="650"/>
    </row>
    <row r="138" spans="1:39">
      <c r="A138" s="649" t="s">
        <v>746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tr">
        <f>VLOOKUP(AI138,'Inchidere contur'!$G:$U,15,FALSE)</f>
        <v>JT_SDI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19" t="str">
        <f>_xlfn.CONCAT(AA32,".",3)</f>
        <v>RGBM_1.3</v>
      </c>
      <c r="AJ138" s="619"/>
      <c r="AK138" s="619"/>
      <c r="AL138" s="619"/>
      <c r="AM138" s="619"/>
    </row>
    <row r="139" spans="1:39">
      <c r="A139" s="649" t="s">
        <v>747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IF(LEFT(M138,2)="JT","0.4kV",IF(LEFT(M138,2)="MT","20kV","-"))</f>
        <v>0.4kV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19"/>
      <c r="AJ139" s="619"/>
      <c r="AK139" s="619"/>
      <c r="AL139" s="619"/>
      <c r="AM139" s="619"/>
    </row>
    <row r="140" spans="1:39" ht="15.95" customHeight="1">
      <c r="A140" s="648" t="s">
        <v>697</v>
      </c>
      <c r="B140" s="648"/>
      <c r="C140" s="648"/>
      <c r="D140" s="648"/>
      <c r="E140" s="648"/>
      <c r="F140" s="648"/>
      <c r="G140" s="647" t="s">
        <v>713</v>
      </c>
      <c r="H140" s="647"/>
      <c r="I140" s="647"/>
      <c r="J140" s="647" t="s">
        <v>714</v>
      </c>
      <c r="K140" s="647"/>
      <c r="L140" s="647"/>
      <c r="M140" s="648" t="s">
        <v>519</v>
      </c>
      <c r="N140" s="648"/>
      <c r="O140" s="648" t="s">
        <v>715</v>
      </c>
      <c r="P140" s="648"/>
      <c r="Q140" s="648"/>
      <c r="R140" s="647" t="s">
        <v>732</v>
      </c>
      <c r="S140" s="647"/>
      <c r="T140" s="647"/>
      <c r="U140" s="647" t="s">
        <v>734</v>
      </c>
      <c r="V140" s="647"/>
      <c r="W140" s="647"/>
      <c r="X140" s="647" t="s">
        <v>1085</v>
      </c>
      <c r="Y140" s="647"/>
      <c r="Z140" s="647"/>
      <c r="AA140" s="647" t="s">
        <v>1086</v>
      </c>
      <c r="AB140" s="647"/>
      <c r="AC140" s="647"/>
      <c r="AD140" s="647" t="s">
        <v>717</v>
      </c>
      <c r="AE140" s="647"/>
      <c r="AF140" s="647" t="s">
        <v>718</v>
      </c>
      <c r="AG140" s="647"/>
      <c r="AH140" s="647"/>
      <c r="AI140" s="647" t="s">
        <v>719</v>
      </c>
      <c r="AJ140" s="647"/>
      <c r="AK140" s="647" t="s">
        <v>733</v>
      </c>
      <c r="AL140" s="647"/>
      <c r="AM140" s="647"/>
    </row>
    <row r="141" spans="1:39">
      <c r="A141" s="648"/>
      <c r="B141" s="648"/>
      <c r="C141" s="648"/>
      <c r="D141" s="648"/>
      <c r="E141" s="648"/>
      <c r="F141" s="648"/>
      <c r="G141" s="647"/>
      <c r="H141" s="647"/>
      <c r="I141" s="647"/>
      <c r="J141" s="647"/>
      <c r="K141" s="647"/>
      <c r="L141" s="647"/>
      <c r="M141" s="648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>
      <c r="A142" s="648"/>
      <c r="B142" s="648"/>
      <c r="C142" s="648"/>
      <c r="D142" s="648"/>
      <c r="E142" s="648"/>
      <c r="F142" s="648"/>
      <c r="G142" s="647"/>
      <c r="H142" s="647"/>
      <c r="I142" s="647"/>
      <c r="J142" s="713"/>
      <c r="K142" s="713"/>
      <c r="L142" s="713"/>
      <c r="M142" s="648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84">
        <f>VLOOKUP(AI138,'Contorizare in SDI'!$E:$I,5,FALSE)</f>
        <v>1371870596</v>
      </c>
      <c r="B143" s="685"/>
      <c r="C143" s="685"/>
      <c r="D143" s="685"/>
      <c r="E143" s="685"/>
      <c r="F143" s="686"/>
      <c r="G143" s="648" t="s">
        <v>730</v>
      </c>
      <c r="H143" s="648"/>
      <c r="I143" s="673"/>
      <c r="J143" s="655">
        <f>'Date masura OD'!$AK$5</f>
        <v>45748</v>
      </c>
      <c r="K143" s="656"/>
      <c r="L143" s="657"/>
      <c r="M143" s="720" t="s">
        <v>446</v>
      </c>
      <c r="N143" s="648"/>
      <c r="O143" s="648">
        <f>VLOOKUP(AI138,'Incrementare indexe'!$B:$T,4,FALSE)</f>
        <v>1</v>
      </c>
      <c r="P143" s="648"/>
      <c r="Q143" s="648"/>
      <c r="R143" s="647" t="str">
        <f>VLOOKUP(A143,Regularizare!$D:$YN,3,FALSE)&amp;" ("&amp;VLOOKUP(A143,Regularizare!$D:$Y,11,FALSE)&amp;")"</f>
        <v>1978378 (citit)</v>
      </c>
      <c r="S143" s="647"/>
      <c r="T143" s="647"/>
      <c r="U143" s="647" t="str">
        <f>VLOOKUP(A143,Regularizare!$D:$U,4,FALSE)&amp;" ("&amp;VLOOKUP(A143,Regularizare!$D:$U,12,FALSE)&amp;")"</f>
        <v>2037582 (estimat)</v>
      </c>
      <c r="V143" s="647"/>
      <c r="W143" s="647"/>
      <c r="X143" s="647" t="str">
        <f>VLOOKUP(A143,Regularizare!$D:$Y,19,FALSE)&amp;" ("&amp;VLOOKUP(A143,Regularizare!$D:$U,12,FALSE)&amp;")"</f>
        <v>59204 (estimat)</v>
      </c>
      <c r="Y143" s="647"/>
      <c r="Z143" s="647"/>
      <c r="AA143" s="647">
        <f>(-1)*VLOOKUP(A143,Regularizare!$D:$Y,19,FALSE)</f>
        <v>-59204</v>
      </c>
      <c r="AB143" s="647"/>
      <c r="AC143" s="647"/>
      <c r="AD143" s="647" t="s">
        <v>69</v>
      </c>
      <c r="AE143" s="647"/>
      <c r="AF143" s="647">
        <f>AA143</f>
        <v>-59204</v>
      </c>
      <c r="AG143" s="647"/>
      <c r="AH143" s="647"/>
      <c r="AI143" s="647" t="s">
        <v>69</v>
      </c>
      <c r="AJ143" s="647"/>
      <c r="AK143" s="647" t="s">
        <v>69</v>
      </c>
      <c r="AL143" s="647"/>
      <c r="AM143" s="647"/>
    </row>
    <row r="144" spans="1:39" ht="9.75" customHeight="1">
      <c r="A144" s="727"/>
      <c r="B144" s="729"/>
      <c r="C144" s="729"/>
      <c r="D144" s="729"/>
      <c r="E144" s="729"/>
      <c r="F144" s="728"/>
      <c r="G144" s="648"/>
      <c r="H144" s="648"/>
      <c r="I144" s="673"/>
      <c r="J144" s="717" t="s">
        <v>69</v>
      </c>
      <c r="K144" s="718"/>
      <c r="L144" s="719"/>
      <c r="M144" s="720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7"/>
      <c r="B145" s="688"/>
      <c r="C145" s="688"/>
      <c r="D145" s="688"/>
      <c r="E145" s="688"/>
      <c r="F145" s="689"/>
      <c r="G145" s="648"/>
      <c r="H145" s="648"/>
      <c r="I145" s="673"/>
      <c r="J145" s="714">
        <f>'Date masura OD'!$AL$5</f>
        <v>45777</v>
      </c>
      <c r="K145" s="715"/>
      <c r="L145" s="716"/>
      <c r="M145" s="720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4">
        <f>A143</f>
        <v>1371870596</v>
      </c>
      <c r="B146" s="685"/>
      <c r="C146" s="685"/>
      <c r="D146" s="685"/>
      <c r="E146" s="685"/>
      <c r="F146" s="686"/>
      <c r="G146" s="648" t="s">
        <v>696</v>
      </c>
      <c r="H146" s="648"/>
      <c r="I146" s="648"/>
      <c r="J146" s="655">
        <f t="shared" ref="J146:J151" si="8">J143</f>
        <v>45748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tr">
        <f>VLOOKUP(A146,Regularizare!$D:$U,7,FALSE)&amp;" ("&amp;VLOOKUP(A146,Regularizare!$D:$U,15,FALSE)&amp;")"</f>
        <v>195763 (citit)</v>
      </c>
      <c r="S146" s="647"/>
      <c r="T146" s="647"/>
      <c r="U146" s="647" t="str">
        <f>VLOOKUP(A146,Regularizare!$D:$U,8,FALSE)&amp;" ("&amp;VLOOKUP(A146,Regularizare!$D:$U,16,FALSE)&amp;")"</f>
        <v>195763 (estimat)</v>
      </c>
      <c r="V146" s="647"/>
      <c r="W146" s="647"/>
      <c r="X146" s="647" t="str">
        <f>_xlfn.CONCAT(VLOOKUP(A146,Regularizare!$D:$U,8,FALSE)-VLOOKUP(A146,Regularizare!$D:$U,7,FALSE)," (",VLOOKUP(A146,Regularizare!$D:$U,16,FALSE),")")</f>
        <v>0 (estimat)</v>
      </c>
      <c r="Y146" s="647"/>
      <c r="Z146" s="647"/>
      <c r="AA146" s="647">
        <f>IF(VLOOKUP(A146,Regularizare!$D:$Y,21,FALSE)=0,VLOOKUP(A146,Regularizare!$D:$Y,21,FALSE),(-1)*VLOOKUP(A146,Regularizare!$D:$Y,21,FALSE))</f>
        <v>0</v>
      </c>
      <c r="AB146" s="647"/>
      <c r="AC146" s="647"/>
      <c r="AD146" s="647" t="s">
        <v>69</v>
      </c>
      <c r="AE146" s="647"/>
      <c r="AF146" s="647">
        <f>AA146</f>
        <v>0</v>
      </c>
      <c r="AG146" s="647"/>
      <c r="AH146" s="647"/>
      <c r="AI146" s="647" t="str">
        <f>AI143</f>
        <v>-</v>
      </c>
      <c r="AJ146" s="647"/>
      <c r="AK146" s="647" t="str">
        <f>AK143</f>
        <v>-</v>
      </c>
      <c r="AL146" s="647"/>
      <c r="AM146" s="647"/>
    </row>
    <row r="147" spans="1:39" ht="8.4499999999999993" customHeight="1">
      <c r="A147" s="727"/>
      <c r="B147" s="729"/>
      <c r="C147" s="729"/>
      <c r="D147" s="729"/>
      <c r="E147" s="729"/>
      <c r="F147" s="728"/>
      <c r="G147" s="648"/>
      <c r="H147" s="648"/>
      <c r="I147" s="648"/>
      <c r="J147" s="717" t="str">
        <f t="shared" si="8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7"/>
      <c r="B148" s="688"/>
      <c r="C148" s="688"/>
      <c r="D148" s="688"/>
      <c r="E148" s="688"/>
      <c r="F148" s="689"/>
      <c r="G148" s="648"/>
      <c r="H148" s="648"/>
      <c r="I148" s="648"/>
      <c r="J148" s="714">
        <f t="shared" si="8"/>
        <v>45777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4">
        <f>A146</f>
        <v>1371870596</v>
      </c>
      <c r="B149" s="685"/>
      <c r="C149" s="685"/>
      <c r="D149" s="685"/>
      <c r="E149" s="685"/>
      <c r="F149" s="686"/>
      <c r="G149" s="648" t="s">
        <v>731</v>
      </c>
      <c r="H149" s="648"/>
      <c r="I149" s="648"/>
      <c r="J149" s="655">
        <f t="shared" si="8"/>
        <v>45748</v>
      </c>
      <c r="K149" s="656"/>
      <c r="L149" s="657"/>
      <c r="M149" s="648" t="s">
        <v>720</v>
      </c>
      <c r="N149" s="648"/>
      <c r="O149" s="648">
        <f>O146</f>
        <v>1</v>
      </c>
      <c r="P149" s="648"/>
      <c r="Q149" s="648"/>
      <c r="R149" s="647" t="str">
        <f>VLOOKUP(A149,Regularizare!$D:$U,9,FALSE)&amp;" ("&amp;VLOOKUP(A149,Regularizare!$D:$U,17,FALSE)&amp;")"</f>
        <v>116031 (citit)</v>
      </c>
      <c r="S149" s="647"/>
      <c r="T149" s="647"/>
      <c r="U149" s="647" t="str">
        <f>VLOOKUP(A149,Regularizare!$D:$U,10,FALSE)&amp;" ("&amp;VLOOKUP(A149,Regularizare!$D:$U,18,FALSE)&amp;")"</f>
        <v>116031 (estimat)</v>
      </c>
      <c r="V149" s="647"/>
      <c r="W149" s="647"/>
      <c r="X149" s="647" t="str">
        <f>_xlfn.CONCAT(VLOOKUP(A149,Regularizare!$D:$U,10,FALSE)-VLOOKUP(A149,Regularizare!$D:$U,9,FALSE)," (",VLOOKUP(A149,Regularizare!$D:$U,18,FALSE),")")</f>
        <v>0 (estimat)</v>
      </c>
      <c r="Y149" s="647"/>
      <c r="Z149" s="647"/>
      <c r="AA149" s="647">
        <f>IF(VLOOKUP(A149,Regularizare!$D:$Y,22,FALSE)=0,VLOOKUP(A149,Regularizare!$D:$Y,22,FALSE),(-1)*VLOOKUP(A149,Regularizare!$D:$Y,22,FALSE))</f>
        <v>0</v>
      </c>
      <c r="AB149" s="647"/>
      <c r="AC149" s="647"/>
      <c r="AD149" s="647" t="s">
        <v>69</v>
      </c>
      <c r="AE149" s="647"/>
      <c r="AF149" s="647">
        <f>AA149</f>
        <v>0</v>
      </c>
      <c r="AG149" s="647"/>
      <c r="AH149" s="647"/>
      <c r="AI149" s="647" t="str">
        <f>AI146</f>
        <v>-</v>
      </c>
      <c r="AJ149" s="647"/>
      <c r="AK149" s="647" t="str">
        <f>AK146</f>
        <v>-</v>
      </c>
      <c r="AL149" s="647"/>
      <c r="AM149" s="647"/>
    </row>
    <row r="150" spans="1:39" ht="8.4499999999999993" customHeight="1">
      <c r="A150" s="727"/>
      <c r="B150" s="729"/>
      <c r="C150" s="729"/>
      <c r="D150" s="729"/>
      <c r="E150" s="729"/>
      <c r="F150" s="728"/>
      <c r="G150" s="648"/>
      <c r="H150" s="648"/>
      <c r="I150" s="648"/>
      <c r="J150" s="717" t="str">
        <f t="shared" si="8"/>
        <v>-</v>
      </c>
      <c r="K150" s="718"/>
      <c r="L150" s="719"/>
      <c r="M150" s="648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7"/>
      <c r="B151" s="688"/>
      <c r="C151" s="688"/>
      <c r="D151" s="688"/>
      <c r="E151" s="688"/>
      <c r="F151" s="689"/>
      <c r="G151" s="648"/>
      <c r="H151" s="648"/>
      <c r="I151" s="648"/>
      <c r="J151" s="714">
        <f t="shared" si="8"/>
        <v>45777</v>
      </c>
      <c r="K151" s="715"/>
      <c r="L151" s="716"/>
      <c r="M151" s="648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4">
        <f>A149</f>
        <v>1371870596</v>
      </c>
      <c r="B152" s="685"/>
      <c r="C152" s="685"/>
      <c r="D152" s="685"/>
      <c r="E152" s="685"/>
      <c r="F152" s="686"/>
      <c r="G152" s="648" t="s">
        <v>730</v>
      </c>
      <c r="H152" s="648"/>
      <c r="I152" s="673"/>
      <c r="J152" s="655">
        <f>'Date masura OD'!$AK$5</f>
        <v>45748</v>
      </c>
      <c r="K152" s="656"/>
      <c r="L152" s="657"/>
      <c r="M152" s="720" t="s">
        <v>446</v>
      </c>
      <c r="N152" s="648"/>
      <c r="O152" s="648">
        <f>O149</f>
        <v>1</v>
      </c>
      <c r="P152" s="648"/>
      <c r="Q152" s="648"/>
      <c r="R152" s="647" t="str">
        <f>VLOOKUP(A152,Regularizare!$D:$AX,23,FALSE)&amp;" ("&amp;VLOOKUP(A152,Regularizare!$D:$AX,24,FALSE)&amp;")"</f>
        <v>1978378 (citit)</v>
      </c>
      <c r="S152" s="647"/>
      <c r="T152" s="647"/>
      <c r="U152" s="647" t="str">
        <f>VLOOKUP(A152,Regularizare!$D:$AX,25,FALSE)&amp;" ("&amp;VLOOKUP(A152,Regularizare!$D:$AX,26,FALSE)&amp;")"</f>
        <v>2037582 (citit)</v>
      </c>
      <c r="V152" s="647"/>
      <c r="W152" s="647"/>
      <c r="X152" s="647" t="str">
        <f>VLOOKUP(A152,Regularizare!$D:$AX,37,FALSE)&amp;" ("&amp;VLOOKUP(A152,Regularizare!$D:$AX,26,FALSE)&amp;")"</f>
        <v>59204 (citit)</v>
      </c>
      <c r="Y152" s="647"/>
      <c r="Z152" s="647"/>
      <c r="AA152" s="647">
        <f>VLOOKUP(A152,Regularizare!$D:$AX,37,FALSE)</f>
        <v>59204</v>
      </c>
      <c r="AB152" s="647"/>
      <c r="AC152" s="647"/>
      <c r="AD152" s="647" t="s">
        <v>69</v>
      </c>
      <c r="AE152" s="647"/>
      <c r="AF152" s="647">
        <f>AA152</f>
        <v>59204</v>
      </c>
      <c r="AG152" s="647"/>
      <c r="AH152" s="647"/>
      <c r="AI152" s="647" t="str">
        <f>AI149</f>
        <v>-</v>
      </c>
      <c r="AJ152" s="647"/>
      <c r="AK152" s="647" t="str">
        <f>AK149</f>
        <v>-</v>
      </c>
      <c r="AL152" s="647"/>
      <c r="AM152" s="647"/>
    </row>
    <row r="153" spans="1:39" ht="8.4499999999999993" customHeight="1">
      <c r="A153" s="727"/>
      <c r="B153" s="729"/>
      <c r="C153" s="729"/>
      <c r="D153" s="729"/>
      <c r="E153" s="729"/>
      <c r="F153" s="728"/>
      <c r="G153" s="648"/>
      <c r="H153" s="648"/>
      <c r="I153" s="673"/>
      <c r="J153" s="717" t="s">
        <v>69</v>
      </c>
      <c r="K153" s="718"/>
      <c r="L153" s="719"/>
      <c r="M153" s="720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7"/>
      <c r="B154" s="688"/>
      <c r="C154" s="688"/>
      <c r="D154" s="688"/>
      <c r="E154" s="688"/>
      <c r="F154" s="689"/>
      <c r="G154" s="648"/>
      <c r="H154" s="648"/>
      <c r="I154" s="673"/>
      <c r="J154" s="714">
        <f>'Date masura OD'!$AL$5</f>
        <v>45777</v>
      </c>
      <c r="K154" s="715"/>
      <c r="L154" s="716"/>
      <c r="M154" s="720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4">
        <f>A152</f>
        <v>1371870596</v>
      </c>
      <c r="B155" s="685"/>
      <c r="C155" s="685"/>
      <c r="D155" s="685"/>
      <c r="E155" s="685"/>
      <c r="F155" s="686"/>
      <c r="G155" s="648" t="s">
        <v>696</v>
      </c>
      <c r="H155" s="648"/>
      <c r="I155" s="648"/>
      <c r="J155" s="655">
        <f t="shared" ref="J155:J160" si="9">J152</f>
        <v>45748</v>
      </c>
      <c r="K155" s="656"/>
      <c r="L155" s="657"/>
      <c r="M155" s="648" t="s">
        <v>720</v>
      </c>
      <c r="N155" s="648"/>
      <c r="O155" s="648">
        <f>O152</f>
        <v>1</v>
      </c>
      <c r="P155" s="648"/>
      <c r="Q155" s="648"/>
      <c r="R155" s="647" t="str">
        <f>VLOOKUP(A155,Regularizare!$D:$AX,29,FALSE)&amp;" ("&amp;VLOOKUP(A155,Regularizare!$D:$AX,30,FALSE)&amp;")"</f>
        <v>195763 (citit)</v>
      </c>
      <c r="S155" s="647"/>
      <c r="T155" s="647"/>
      <c r="U155" s="647" t="str">
        <f>VLOOKUP(A155,Regularizare!$D:$AX,31,FALSE)&amp;" ("&amp;VLOOKUP(A155,Regularizare!$D:$AX,32,FALSE)&amp;")"</f>
        <v>195814 (citit)</v>
      </c>
      <c r="V155" s="647"/>
      <c r="W155" s="647"/>
      <c r="X155" s="647" t="str">
        <f>VLOOKUP(A155,Regularizare!$D:$AX,39,FALSE)&amp;" ("&amp;VLOOKUP(A155,Regularizare!$D:$AX,32,FALSE)&amp;")"</f>
        <v>51 (citit)</v>
      </c>
      <c r="Y155" s="647"/>
      <c r="Z155" s="647"/>
      <c r="AA155" s="647">
        <f>VLOOKUP(A155,Regularizare!$D:$AX,44,FALSE)+VLOOKUP(A155,Regularizare!$D:$AX,45,FALSE)</f>
        <v>51</v>
      </c>
      <c r="AB155" s="647"/>
      <c r="AC155" s="647"/>
      <c r="AD155" s="647" t="s">
        <v>69</v>
      </c>
      <c r="AE155" s="647"/>
      <c r="AF155" s="647">
        <f>AA155</f>
        <v>51</v>
      </c>
      <c r="AG155" s="647"/>
      <c r="AH155" s="647"/>
      <c r="AI155" s="647" t="str">
        <f>AI152</f>
        <v>-</v>
      </c>
      <c r="AJ155" s="647"/>
      <c r="AK155" s="647" t="str">
        <f>AK152</f>
        <v>-</v>
      </c>
      <c r="AL155" s="647"/>
      <c r="AM155" s="647"/>
    </row>
    <row r="156" spans="1:39" ht="8.4499999999999993" customHeight="1">
      <c r="A156" s="727"/>
      <c r="B156" s="729"/>
      <c r="C156" s="729"/>
      <c r="D156" s="729"/>
      <c r="E156" s="729"/>
      <c r="F156" s="728"/>
      <c r="G156" s="648"/>
      <c r="H156" s="648"/>
      <c r="I156" s="648"/>
      <c r="J156" s="717" t="str">
        <f t="shared" si="9"/>
        <v>-</v>
      </c>
      <c r="K156" s="718"/>
      <c r="L156" s="719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7"/>
      <c r="B157" s="688"/>
      <c r="C157" s="688"/>
      <c r="D157" s="688"/>
      <c r="E157" s="688"/>
      <c r="F157" s="689"/>
      <c r="G157" s="648"/>
      <c r="H157" s="648"/>
      <c r="I157" s="648"/>
      <c r="J157" s="714">
        <f t="shared" si="9"/>
        <v>45777</v>
      </c>
      <c r="K157" s="715"/>
      <c r="L157" s="716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4">
        <f>A155</f>
        <v>1371870596</v>
      </c>
      <c r="B158" s="685"/>
      <c r="C158" s="685"/>
      <c r="D158" s="685"/>
      <c r="E158" s="685"/>
      <c r="F158" s="686"/>
      <c r="G158" s="648" t="s">
        <v>731</v>
      </c>
      <c r="H158" s="648"/>
      <c r="I158" s="648"/>
      <c r="J158" s="655">
        <f t="shared" si="9"/>
        <v>45748</v>
      </c>
      <c r="K158" s="656"/>
      <c r="L158" s="657"/>
      <c r="M158" s="648" t="s">
        <v>720</v>
      </c>
      <c r="N158" s="648"/>
      <c r="O158" s="648">
        <f>O155</f>
        <v>1</v>
      </c>
      <c r="P158" s="648"/>
      <c r="Q158" s="648"/>
      <c r="R158" s="647" t="str">
        <f>VLOOKUP(A158,Regularizare!$D:$AX,33,FALSE)&amp;" ("&amp;VLOOKUP(A158,Regularizare!$D:$AX,34,FALSE)&amp;")"</f>
        <v>116031 (citit)</v>
      </c>
      <c r="S158" s="647"/>
      <c r="T158" s="647"/>
      <c r="U158" s="647" t="str">
        <f>VLOOKUP(A158,Regularizare!$D:$AX,35,FALSE)&amp;" ("&amp;VLOOKUP(A158,Regularizare!$D:$AX,36,FALSE)&amp;")"</f>
        <v>116031 (citit)</v>
      </c>
      <c r="V158" s="647"/>
      <c r="W158" s="647"/>
      <c r="X158" s="647" t="str">
        <f>VLOOKUP(A158,Regularizare!$D:$AX,40,FALSE)&amp;" ("&amp;VLOOKUP(A158,Regularizare!$D:$AX,36,FALSE)&amp;")"</f>
        <v>0 (citit)</v>
      </c>
      <c r="Y158" s="647"/>
      <c r="Z158" s="647"/>
      <c r="AA158" s="647">
        <f>VLOOKUP(A158,Regularizare!$D:$AX,46,FALSE)+VLOOKUP(A158,Regularizare!$D:$AX,47,FALSE)</f>
        <v>0</v>
      </c>
      <c r="AB158" s="647"/>
      <c r="AC158" s="647"/>
      <c r="AD158" s="647" t="s">
        <v>69</v>
      </c>
      <c r="AE158" s="647"/>
      <c r="AF158" s="647">
        <f>AA158</f>
        <v>0</v>
      </c>
      <c r="AG158" s="647"/>
      <c r="AH158" s="647"/>
      <c r="AI158" s="647" t="str">
        <f>AI155</f>
        <v>-</v>
      </c>
      <c r="AJ158" s="647"/>
      <c r="AK158" s="647" t="str">
        <f>AK155</f>
        <v>-</v>
      </c>
      <c r="AL158" s="647"/>
      <c r="AM158" s="647"/>
    </row>
    <row r="159" spans="1:39" ht="8.4499999999999993" customHeight="1">
      <c r="A159" s="727"/>
      <c r="B159" s="729"/>
      <c r="C159" s="729"/>
      <c r="D159" s="729"/>
      <c r="E159" s="729"/>
      <c r="F159" s="728"/>
      <c r="G159" s="648"/>
      <c r="H159" s="648"/>
      <c r="I159" s="648"/>
      <c r="J159" s="717" t="str">
        <f t="shared" si="9"/>
        <v>-</v>
      </c>
      <c r="K159" s="718"/>
      <c r="L159" s="719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7"/>
      <c r="B160" s="688"/>
      <c r="C160" s="688"/>
      <c r="D160" s="688"/>
      <c r="E160" s="688"/>
      <c r="F160" s="689"/>
      <c r="G160" s="648"/>
      <c r="H160" s="648"/>
      <c r="I160" s="648"/>
      <c r="J160" s="714">
        <f t="shared" si="9"/>
        <v>45777</v>
      </c>
      <c r="K160" s="715"/>
      <c r="L160" s="716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4">
        <f>A158</f>
        <v>1371870596</v>
      </c>
      <c r="B161" s="685"/>
      <c r="C161" s="685"/>
      <c r="D161" s="685"/>
      <c r="E161" s="685"/>
      <c r="F161" s="686"/>
      <c r="G161" s="648" t="s">
        <v>730</v>
      </c>
      <c r="H161" s="648"/>
      <c r="I161" s="673"/>
      <c r="J161" s="655">
        <f>'Date masura OD'!$I$5</f>
        <v>45778</v>
      </c>
      <c r="K161" s="656"/>
      <c r="L161" s="657"/>
      <c r="M161" s="720" t="s">
        <v>446</v>
      </c>
      <c r="N161" s="648"/>
      <c r="O161" s="648">
        <f>O158</f>
        <v>1</v>
      </c>
      <c r="P161" s="648"/>
      <c r="Q161" s="648"/>
      <c r="R161" s="647" t="str">
        <f>U152</f>
        <v>2037582 (citit)</v>
      </c>
      <c r="S161" s="647"/>
      <c r="T161" s="647"/>
      <c r="U161" s="647" t="str">
        <f>VLOOKUP(A161,'Incrementare indexe'!$D:$M,4,FALSE)&amp;" (estimat)"</f>
        <v>2084607 (estimat)</v>
      </c>
      <c r="V161" s="647"/>
      <c r="W161" s="647"/>
      <c r="X161" s="647" t="str">
        <f>VLOOKUP(A161,'Incrementare indexe'!$D:$Q,11,FALSE)&amp;" (estimat)"</f>
        <v>47025 (estimat)</v>
      </c>
      <c r="Y161" s="647"/>
      <c r="Z161" s="647"/>
      <c r="AA161" s="647" t="s">
        <v>69</v>
      </c>
      <c r="AB161" s="647"/>
      <c r="AC161" s="647"/>
      <c r="AD161" s="647" t="s">
        <v>69</v>
      </c>
      <c r="AE161" s="647"/>
      <c r="AF161" s="647">
        <f>VLOOKUP(A161,'Incrementare indexe'!$D:$Q,11,FALSE)</f>
        <v>47025</v>
      </c>
      <c r="AG161" s="647"/>
      <c r="AH161" s="647"/>
      <c r="AI161" s="647">
        <f>J163-J161+1</f>
        <v>31</v>
      </c>
      <c r="AJ161" s="647"/>
      <c r="AK161" s="647">
        <f>ROUND(AF161/AI161,2)</f>
        <v>1516.94</v>
      </c>
      <c r="AL161" s="647"/>
      <c r="AM161" s="647"/>
    </row>
    <row r="162" spans="1:39" ht="8.4499999999999993" customHeight="1">
      <c r="A162" s="727"/>
      <c r="B162" s="729"/>
      <c r="C162" s="729"/>
      <c r="D162" s="729"/>
      <c r="E162" s="729"/>
      <c r="F162" s="728"/>
      <c r="G162" s="648"/>
      <c r="H162" s="648"/>
      <c r="I162" s="673"/>
      <c r="J162" s="717" t="s">
        <v>69</v>
      </c>
      <c r="K162" s="718"/>
      <c r="L162" s="719"/>
      <c r="M162" s="720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7"/>
      <c r="B163" s="688"/>
      <c r="C163" s="688"/>
      <c r="D163" s="688"/>
      <c r="E163" s="688"/>
      <c r="F163" s="689"/>
      <c r="G163" s="648"/>
      <c r="H163" s="648"/>
      <c r="I163" s="673"/>
      <c r="J163" s="714">
        <f>'Date masura OD'!$J$5</f>
        <v>45808</v>
      </c>
      <c r="K163" s="715"/>
      <c r="L163" s="716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4">
        <f>A161</f>
        <v>1371870596</v>
      </c>
      <c r="B164" s="685"/>
      <c r="C164" s="685"/>
      <c r="D164" s="685"/>
      <c r="E164" s="685"/>
      <c r="F164" s="686"/>
      <c r="G164" s="648" t="s">
        <v>696</v>
      </c>
      <c r="H164" s="648"/>
      <c r="I164" s="648"/>
      <c r="J164" s="655">
        <f t="shared" ref="J164:J169" si="10">J161</f>
        <v>45778</v>
      </c>
      <c r="K164" s="656"/>
      <c r="L164" s="657"/>
      <c r="M164" s="648" t="s">
        <v>720</v>
      </c>
      <c r="N164" s="648"/>
      <c r="O164" s="648">
        <f>O161</f>
        <v>1</v>
      </c>
      <c r="P164" s="648"/>
      <c r="Q164" s="648"/>
      <c r="R164" s="647" t="str">
        <f>U155</f>
        <v>195814 (citit)</v>
      </c>
      <c r="S164" s="647"/>
      <c r="T164" s="647"/>
      <c r="U164" s="647" t="str">
        <f>VLOOKUP(A164,'Incrementare indexe'!$D:$M,8,FALSE)&amp;" (estimat)"</f>
        <v>195814 (estimat)</v>
      </c>
      <c r="V164" s="647"/>
      <c r="W164" s="647"/>
      <c r="X164" s="647" t="str">
        <f>VLOOKUP(A164,'Incrementare indexe'!$D:$Q,12,FALSE)&amp;" (estimat)"</f>
        <v>0 (estimat)</v>
      </c>
      <c r="Y164" s="647"/>
      <c r="Z164" s="647"/>
      <c r="AA164" s="647" t="s">
        <v>69</v>
      </c>
      <c r="AB164" s="647"/>
      <c r="AC164" s="647"/>
      <c r="AD164" s="647" t="s">
        <v>69</v>
      </c>
      <c r="AE164" s="647"/>
      <c r="AF164" s="647">
        <f>VLOOKUP(A164,'Incrementare indexe'!$D:$Q,12,FALSE)</f>
        <v>0</v>
      </c>
      <c r="AG164" s="647"/>
      <c r="AH164" s="647"/>
      <c r="AI164" s="647">
        <f>AI161</f>
        <v>31</v>
      </c>
      <c r="AJ164" s="647"/>
      <c r="AK164" s="647">
        <f>ROUND(AF164/AI164,2)</f>
        <v>0</v>
      </c>
      <c r="AL164" s="647"/>
      <c r="AM164" s="647"/>
    </row>
    <row r="165" spans="1:39" ht="8.4499999999999993" customHeight="1">
      <c r="A165" s="727"/>
      <c r="B165" s="729"/>
      <c r="C165" s="729"/>
      <c r="D165" s="729"/>
      <c r="E165" s="729"/>
      <c r="F165" s="728"/>
      <c r="G165" s="648"/>
      <c r="H165" s="648"/>
      <c r="I165" s="648"/>
      <c r="J165" s="717" t="str">
        <f t="shared" si="10"/>
        <v>-</v>
      </c>
      <c r="K165" s="718"/>
      <c r="L165" s="719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87"/>
      <c r="B166" s="688"/>
      <c r="C166" s="688"/>
      <c r="D166" s="688"/>
      <c r="E166" s="688"/>
      <c r="F166" s="689"/>
      <c r="G166" s="648"/>
      <c r="H166" s="648"/>
      <c r="I166" s="648"/>
      <c r="J166" s="714">
        <f t="shared" si="10"/>
        <v>45808</v>
      </c>
      <c r="K166" s="715"/>
      <c r="L166" s="716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4">
        <f>A164</f>
        <v>1371870596</v>
      </c>
      <c r="B167" s="685"/>
      <c r="C167" s="685"/>
      <c r="D167" s="685"/>
      <c r="E167" s="685"/>
      <c r="F167" s="686"/>
      <c r="G167" s="648" t="s">
        <v>731</v>
      </c>
      <c r="H167" s="648"/>
      <c r="I167" s="648"/>
      <c r="J167" s="655">
        <f t="shared" si="10"/>
        <v>45778</v>
      </c>
      <c r="K167" s="656"/>
      <c r="L167" s="657"/>
      <c r="M167" s="648" t="s">
        <v>720</v>
      </c>
      <c r="N167" s="648"/>
      <c r="O167" s="648">
        <f>O164</f>
        <v>1</v>
      </c>
      <c r="P167" s="648"/>
      <c r="Q167" s="648"/>
      <c r="R167" s="647" t="str">
        <f>U158</f>
        <v>116031 (citit)</v>
      </c>
      <c r="S167" s="647"/>
      <c r="T167" s="647"/>
      <c r="U167" s="647" t="str">
        <f>VLOOKUP(A167,'Incrementare indexe'!$D:$M,10,FALSE)&amp;" (estimat)"</f>
        <v>116031 (estimat)</v>
      </c>
      <c r="V167" s="647"/>
      <c r="W167" s="647"/>
      <c r="X167" s="647" t="str">
        <f>VLOOKUP(A167,'Incrementare indexe'!$D:$Q,13,FALSE)&amp;" (estimat)"</f>
        <v>0 (estimat)</v>
      </c>
      <c r="Y167" s="647"/>
      <c r="Z167" s="647"/>
      <c r="AA167" s="647" t="s">
        <v>69</v>
      </c>
      <c r="AB167" s="647"/>
      <c r="AC167" s="647"/>
      <c r="AD167" s="647" t="s">
        <v>69</v>
      </c>
      <c r="AE167" s="647"/>
      <c r="AF167" s="647">
        <f>VLOOKUP(A167,'Incrementare indexe'!$D:$Q,13,FALSE)</f>
        <v>0</v>
      </c>
      <c r="AG167" s="647"/>
      <c r="AH167" s="647"/>
      <c r="AI167" s="647">
        <f>AI164</f>
        <v>31</v>
      </c>
      <c r="AJ167" s="647"/>
      <c r="AK167" s="647">
        <f>ROUND(AF167/AI167,2)</f>
        <v>0</v>
      </c>
      <c r="AL167" s="647"/>
      <c r="AM167" s="647"/>
    </row>
    <row r="168" spans="1:39" ht="8.4499999999999993" customHeight="1">
      <c r="A168" s="727"/>
      <c r="B168" s="729"/>
      <c r="C168" s="729"/>
      <c r="D168" s="729"/>
      <c r="E168" s="729"/>
      <c r="F168" s="728"/>
      <c r="G168" s="648"/>
      <c r="H168" s="648"/>
      <c r="I168" s="648"/>
      <c r="J168" s="717" t="str">
        <f t="shared" si="10"/>
        <v>-</v>
      </c>
      <c r="K168" s="718"/>
      <c r="L168" s="719"/>
      <c r="M168" s="648"/>
      <c r="N168" s="648"/>
      <c r="O168" s="648"/>
      <c r="P168" s="648"/>
      <c r="Q168" s="648"/>
      <c r="R168" s="647"/>
      <c r="S168" s="647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47"/>
      <c r="AL168" s="647"/>
      <c r="AM168" s="647"/>
    </row>
    <row r="169" spans="1:39" ht="14.1" customHeight="1">
      <c r="A169" s="687"/>
      <c r="B169" s="688"/>
      <c r="C169" s="688"/>
      <c r="D169" s="688"/>
      <c r="E169" s="688"/>
      <c r="F169" s="689"/>
      <c r="G169" s="648"/>
      <c r="H169" s="648"/>
      <c r="I169" s="648"/>
      <c r="J169" s="714">
        <f t="shared" si="10"/>
        <v>45808</v>
      </c>
      <c r="K169" s="715"/>
      <c r="L169" s="716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195"/>
      <c r="B170" s="195"/>
      <c r="C170" s="195"/>
      <c r="D170" s="195"/>
      <c r="E170" s="195"/>
      <c r="F170" s="195"/>
      <c r="G170" s="196"/>
      <c r="H170" s="196"/>
      <c r="I170" s="196"/>
      <c r="J170" s="197"/>
      <c r="K170" s="197"/>
      <c r="L170" s="197"/>
      <c r="M170" s="196"/>
      <c r="N170" s="196"/>
      <c r="O170" s="196"/>
      <c r="P170" s="196"/>
      <c r="Q170" s="196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</row>
    <row r="171" spans="1:39" ht="14.1" customHeight="1">
      <c r="A171" s="195"/>
      <c r="B171" s="195"/>
      <c r="C171" s="195"/>
      <c r="D171" s="195"/>
      <c r="E171" s="195"/>
      <c r="F171" s="195"/>
      <c r="G171" s="196"/>
      <c r="H171" s="196"/>
      <c r="I171" s="196"/>
      <c r="J171" s="197"/>
      <c r="K171" s="197"/>
      <c r="L171" s="197"/>
      <c r="M171" s="196"/>
      <c r="N171" s="196"/>
      <c r="O171" s="196"/>
      <c r="P171" s="196"/>
      <c r="Q171" s="196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</row>
    <row r="172" spans="1:39" ht="14.1" customHeight="1"/>
    <row r="173" spans="1:39" ht="14.1" customHeight="1">
      <c r="A173" s="649" t="s">
        <v>1196</v>
      </c>
      <c r="B173" s="649"/>
      <c r="C173" s="649"/>
      <c r="D173" s="649"/>
      <c r="E173" s="649"/>
      <c r="F173" s="649"/>
      <c r="G173" s="649"/>
      <c r="H173" s="649"/>
      <c r="I173" s="649"/>
      <c r="J173" s="649"/>
      <c r="K173" s="649"/>
      <c r="L173" s="649"/>
      <c r="M173" s="650"/>
      <c r="N173" s="650"/>
      <c r="O173" s="650"/>
      <c r="P173" s="650"/>
      <c r="Q173" s="650"/>
      <c r="R173" s="650"/>
      <c r="S173" s="650"/>
      <c r="T173" s="650"/>
      <c r="U173" s="650"/>
      <c r="V173" s="650"/>
      <c r="W173" s="650"/>
      <c r="X173" s="650"/>
      <c r="Y173" s="650"/>
      <c r="Z173" s="650"/>
      <c r="AA173" s="650"/>
      <c r="AB173" s="650"/>
      <c r="AC173" s="650"/>
      <c r="AD173" s="650"/>
      <c r="AE173" s="650"/>
      <c r="AF173" s="650"/>
      <c r="AG173" s="650"/>
      <c r="AH173" s="650"/>
      <c r="AI173" s="650" t="s">
        <v>695</v>
      </c>
      <c r="AJ173" s="650"/>
      <c r="AK173" s="650"/>
      <c r="AL173" s="650"/>
      <c r="AM173" s="650"/>
    </row>
    <row r="174" spans="1:39" ht="14.1" customHeight="1">
      <c r="A174" s="649" t="s">
        <v>746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50" t="s">
        <v>514</v>
      </c>
      <c r="N174" s="650"/>
      <c r="O174" s="650"/>
      <c r="P174" s="650"/>
      <c r="Q174" s="650"/>
      <c r="R174" s="650"/>
      <c r="S174" s="650"/>
      <c r="T174" s="650"/>
      <c r="U174" s="650"/>
      <c r="V174" s="650"/>
      <c r="W174" s="650"/>
      <c r="X174" s="650"/>
      <c r="Y174" s="650"/>
      <c r="Z174" s="650"/>
      <c r="AA174" s="650"/>
      <c r="AB174" s="650"/>
      <c r="AC174" s="650"/>
      <c r="AD174" s="650"/>
      <c r="AE174" s="650"/>
      <c r="AF174" s="650"/>
      <c r="AG174" s="650"/>
      <c r="AH174" s="650"/>
      <c r="AI174" s="619" t="str">
        <f>_xlfn.CONCAT(AI138,"/PV")</f>
        <v>RGBM_1.3/PV</v>
      </c>
      <c r="AJ174" s="619"/>
      <c r="AK174" s="619"/>
      <c r="AL174" s="619"/>
      <c r="AM174" s="619"/>
    </row>
    <row r="175" spans="1:39" ht="14.1" customHeight="1">
      <c r="A175" s="649" t="s">
        <v>747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50" t="s">
        <v>1087</v>
      </c>
      <c r="N175" s="650"/>
      <c r="O175" s="650"/>
      <c r="P175" s="650"/>
      <c r="Q175" s="650"/>
      <c r="R175" s="650"/>
      <c r="S175" s="650"/>
      <c r="T175" s="650"/>
      <c r="U175" s="650"/>
      <c r="V175" s="650"/>
      <c r="W175" s="650"/>
      <c r="X175" s="650"/>
      <c r="Y175" s="650"/>
      <c r="Z175" s="650"/>
      <c r="AA175" s="650"/>
      <c r="AB175" s="650"/>
      <c r="AC175" s="650"/>
      <c r="AD175" s="650"/>
      <c r="AE175" s="650"/>
      <c r="AF175" s="650"/>
      <c r="AG175" s="650"/>
      <c r="AH175" s="650"/>
      <c r="AI175" s="619"/>
      <c r="AJ175" s="619"/>
      <c r="AK175" s="619"/>
      <c r="AL175" s="619"/>
      <c r="AM175" s="619"/>
    </row>
    <row r="176" spans="1:39" ht="14.1" customHeight="1">
      <c r="A176" s="648" t="s">
        <v>697</v>
      </c>
      <c r="B176" s="648"/>
      <c r="C176" s="648"/>
      <c r="D176" s="648"/>
      <c r="E176" s="648"/>
      <c r="F176" s="648"/>
      <c r="G176" s="647" t="s">
        <v>713</v>
      </c>
      <c r="H176" s="647"/>
      <c r="I176" s="647"/>
      <c r="J176" s="647" t="s">
        <v>714</v>
      </c>
      <c r="K176" s="647"/>
      <c r="L176" s="647"/>
      <c r="M176" s="648" t="s">
        <v>519</v>
      </c>
      <c r="N176" s="648"/>
      <c r="O176" s="648" t="s">
        <v>715</v>
      </c>
      <c r="P176" s="648"/>
      <c r="Q176" s="648"/>
      <c r="R176" s="647" t="s">
        <v>732</v>
      </c>
      <c r="S176" s="647"/>
      <c r="T176" s="647"/>
      <c r="U176" s="647" t="s">
        <v>734</v>
      </c>
      <c r="V176" s="647"/>
      <c r="W176" s="647"/>
      <c r="X176" s="647" t="s">
        <v>1085</v>
      </c>
      <c r="Y176" s="647"/>
      <c r="Z176" s="647"/>
      <c r="AA176" s="647" t="s">
        <v>1086</v>
      </c>
      <c r="AB176" s="647"/>
      <c r="AC176" s="647"/>
      <c r="AD176" s="647" t="s">
        <v>717</v>
      </c>
      <c r="AE176" s="647"/>
      <c r="AF176" s="647" t="s">
        <v>718</v>
      </c>
      <c r="AG176" s="647"/>
      <c r="AH176" s="647"/>
      <c r="AI176" s="647" t="s">
        <v>719</v>
      </c>
      <c r="AJ176" s="647"/>
      <c r="AK176" s="647" t="s">
        <v>733</v>
      </c>
      <c r="AL176" s="647"/>
      <c r="AM176" s="647"/>
    </row>
    <row r="177" spans="1:39" ht="14.1" customHeight="1">
      <c r="A177" s="648"/>
      <c r="B177" s="648"/>
      <c r="C177" s="648"/>
      <c r="D177" s="648"/>
      <c r="E177" s="648"/>
      <c r="F177" s="648"/>
      <c r="G177" s="647"/>
      <c r="H177" s="647"/>
      <c r="I177" s="647"/>
      <c r="J177" s="647"/>
      <c r="K177" s="647"/>
      <c r="L177" s="647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48"/>
      <c r="B178" s="648"/>
      <c r="C178" s="648"/>
      <c r="D178" s="648"/>
      <c r="E178" s="648"/>
      <c r="F178" s="648"/>
      <c r="G178" s="647"/>
      <c r="H178" s="647"/>
      <c r="I178" s="647"/>
      <c r="J178" s="713"/>
      <c r="K178" s="713"/>
      <c r="L178" s="713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78">
        <f>VLOOKUP(AI174,'Incrementare indexe'!$B:$I,3,FALSE)</f>
        <v>1371624804</v>
      </c>
      <c r="B179" s="679"/>
      <c r="C179" s="679"/>
      <c r="D179" s="679"/>
      <c r="E179" s="679"/>
      <c r="F179" s="680"/>
      <c r="G179" s="647" t="s">
        <v>1088</v>
      </c>
      <c r="H179" s="647"/>
      <c r="I179" s="675"/>
      <c r="J179" s="655">
        <f>'Date masura OD'!$I$5</f>
        <v>45778</v>
      </c>
      <c r="K179" s="656"/>
      <c r="L179" s="657"/>
      <c r="M179" s="720" t="s">
        <v>446</v>
      </c>
      <c r="N179" s="648"/>
      <c r="O179" s="648">
        <f>VLOOKUP(AI174,'Incrementare indexe'!$B:$I,4,FALSE)</f>
        <v>1</v>
      </c>
      <c r="P179" s="648"/>
      <c r="Q179" s="648"/>
      <c r="R179" s="647" t="str">
        <f>VLOOKUP(AI174,'Incrementare indexe'!$B:$I,7,FALSE)&amp;" (citit)"</f>
        <v>3310719 (citit)</v>
      </c>
      <c r="S179" s="647"/>
      <c r="T179" s="647"/>
      <c r="U179" s="647" t="str">
        <f>VLOOKUP(AI174,'Incrementare indexe'!$B:$I,8,FALSE)&amp;" (citit)"</f>
        <v>3590369 (citit)</v>
      </c>
      <c r="V179" s="647"/>
      <c r="W179" s="647"/>
      <c r="X179" s="647" t="str">
        <f>(VLOOKUP(AI174,'Incrementare indexe'!$B:$I,8,FALSE)-VLOOKUP(AI174,'Incrementare indexe'!$B:$I,7,FALSE))&amp;" (citit)"</f>
        <v>279650 (citit)</v>
      </c>
      <c r="Y179" s="647"/>
      <c r="Z179" s="647"/>
      <c r="AA179" s="647" t="s">
        <v>69</v>
      </c>
      <c r="AB179" s="647"/>
      <c r="AC179" s="647"/>
      <c r="AD179" s="647" t="s">
        <v>69</v>
      </c>
      <c r="AE179" s="647"/>
      <c r="AF179" s="647">
        <f>(VLOOKUP(AI174,'Incrementare indexe'!$B:$I,8,FALSE)-VLOOKUP(AI174,'Incrementare indexe'!$B:$I,7,FALSE))</f>
        <v>279650</v>
      </c>
      <c r="AG179" s="647"/>
      <c r="AH179" s="647"/>
      <c r="AI179" s="647">
        <f>J181-J179+1</f>
        <v>31</v>
      </c>
      <c r="AJ179" s="647"/>
      <c r="AK179" s="647">
        <f>ROUND(AF179/AI179,2)</f>
        <v>9020.9699999999993</v>
      </c>
      <c r="AL179" s="647"/>
      <c r="AM179" s="647"/>
    </row>
    <row r="180" spans="1:39" ht="14.1" customHeight="1">
      <c r="A180" s="717"/>
      <c r="B180" s="718"/>
      <c r="C180" s="718"/>
      <c r="D180" s="718"/>
      <c r="E180" s="718"/>
      <c r="F180" s="719"/>
      <c r="G180" s="647"/>
      <c r="H180" s="647"/>
      <c r="I180" s="675"/>
      <c r="J180" s="717" t="s">
        <v>69</v>
      </c>
      <c r="K180" s="718"/>
      <c r="L180" s="719"/>
      <c r="M180" s="720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81"/>
      <c r="B181" s="682"/>
      <c r="C181" s="682"/>
      <c r="D181" s="682"/>
      <c r="E181" s="682"/>
      <c r="F181" s="683"/>
      <c r="G181" s="647"/>
      <c r="H181" s="647"/>
      <c r="I181" s="675"/>
      <c r="J181" s="714">
        <f>'Date masura OD'!$J$5</f>
        <v>45808</v>
      </c>
      <c r="K181" s="715"/>
      <c r="L181" s="716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78">
        <f>A179</f>
        <v>1371624804</v>
      </c>
      <c r="B182" s="679"/>
      <c r="C182" s="679"/>
      <c r="D182" s="679"/>
      <c r="E182" s="679"/>
      <c r="F182" s="680"/>
      <c r="G182" s="648" t="s">
        <v>696</v>
      </c>
      <c r="H182" s="648"/>
      <c r="I182" s="648"/>
      <c r="J182" s="655">
        <f t="shared" ref="J182:J187" si="11">J179</f>
        <v>45778</v>
      </c>
      <c r="K182" s="656"/>
      <c r="L182" s="657"/>
      <c r="M182" s="648" t="s">
        <v>720</v>
      </c>
      <c r="N182" s="648"/>
      <c r="O182" s="648">
        <f>O179</f>
        <v>1</v>
      </c>
      <c r="P182" s="648"/>
      <c r="Q182" s="648"/>
      <c r="R182" s="647" t="s">
        <v>1089</v>
      </c>
      <c r="S182" s="647"/>
      <c r="T182" s="647"/>
      <c r="U182" s="647" t="s">
        <v>1089</v>
      </c>
      <c r="V182" s="647"/>
      <c r="W182" s="647"/>
      <c r="X182" s="647" t="s">
        <v>1089</v>
      </c>
      <c r="Y182" s="647"/>
      <c r="Z182" s="647"/>
      <c r="AA182" s="647" t="s">
        <v>69</v>
      </c>
      <c r="AB182" s="647"/>
      <c r="AC182" s="647"/>
      <c r="AD182" s="647" t="s">
        <v>69</v>
      </c>
      <c r="AE182" s="647"/>
      <c r="AF182" s="647">
        <v>0</v>
      </c>
      <c r="AG182" s="647"/>
      <c r="AH182" s="647"/>
      <c r="AI182" s="647">
        <f>AI179</f>
        <v>31</v>
      </c>
      <c r="AJ182" s="647"/>
      <c r="AK182" s="647">
        <f>ROUND(AF182/AI182,2)</f>
        <v>0</v>
      </c>
      <c r="AL182" s="647"/>
      <c r="AM182" s="647"/>
    </row>
    <row r="183" spans="1:39" ht="14.1" customHeight="1">
      <c r="A183" s="717"/>
      <c r="B183" s="718"/>
      <c r="C183" s="718"/>
      <c r="D183" s="718"/>
      <c r="E183" s="718"/>
      <c r="F183" s="719"/>
      <c r="G183" s="648"/>
      <c r="H183" s="648"/>
      <c r="I183" s="648"/>
      <c r="J183" s="717" t="str">
        <f t="shared" si="11"/>
        <v>-</v>
      </c>
      <c r="K183" s="718"/>
      <c r="L183" s="719"/>
      <c r="M183" s="648"/>
      <c r="N183" s="648"/>
      <c r="O183" s="648"/>
      <c r="P183" s="648"/>
      <c r="Q183" s="648"/>
      <c r="R183" s="647"/>
      <c r="S183" s="647"/>
      <c r="T183" s="647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>
      <c r="A184" s="681"/>
      <c r="B184" s="682"/>
      <c r="C184" s="682"/>
      <c r="D184" s="682"/>
      <c r="E184" s="682"/>
      <c r="F184" s="683"/>
      <c r="G184" s="648"/>
      <c r="H184" s="648"/>
      <c r="I184" s="648"/>
      <c r="J184" s="714">
        <f t="shared" si="11"/>
        <v>45808</v>
      </c>
      <c r="K184" s="715"/>
      <c r="L184" s="716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78">
        <f>A182</f>
        <v>1371624804</v>
      </c>
      <c r="B185" s="679"/>
      <c r="C185" s="679"/>
      <c r="D185" s="679"/>
      <c r="E185" s="679"/>
      <c r="F185" s="680"/>
      <c r="G185" s="648" t="s">
        <v>731</v>
      </c>
      <c r="H185" s="648"/>
      <c r="I185" s="648"/>
      <c r="J185" s="655">
        <f t="shared" si="11"/>
        <v>45778</v>
      </c>
      <c r="K185" s="656"/>
      <c r="L185" s="657"/>
      <c r="M185" s="648" t="s">
        <v>720</v>
      </c>
      <c r="N185" s="648"/>
      <c r="O185" s="648">
        <f>O182</f>
        <v>1</v>
      </c>
      <c r="P185" s="648"/>
      <c r="Q185" s="648"/>
      <c r="R185" s="647" t="s">
        <v>1089</v>
      </c>
      <c r="S185" s="647"/>
      <c r="T185" s="647"/>
      <c r="U185" s="647" t="s">
        <v>1089</v>
      </c>
      <c r="V185" s="647"/>
      <c r="W185" s="647"/>
      <c r="X185" s="647" t="s">
        <v>1089</v>
      </c>
      <c r="Y185" s="647"/>
      <c r="Z185" s="647"/>
      <c r="AA185" s="647" t="s">
        <v>69</v>
      </c>
      <c r="AB185" s="647"/>
      <c r="AC185" s="647"/>
      <c r="AD185" s="647" t="s">
        <v>69</v>
      </c>
      <c r="AE185" s="647"/>
      <c r="AF185" s="647">
        <v>0</v>
      </c>
      <c r="AG185" s="647"/>
      <c r="AH185" s="647"/>
      <c r="AI185" s="647">
        <f>AI182</f>
        <v>31</v>
      </c>
      <c r="AJ185" s="647"/>
      <c r="AK185" s="647">
        <f>ROUND(AF185/AI185,2)</f>
        <v>0</v>
      </c>
      <c r="AL185" s="647"/>
      <c r="AM185" s="647"/>
    </row>
    <row r="186" spans="1:39" ht="14.1" customHeight="1">
      <c r="A186" s="717"/>
      <c r="B186" s="718"/>
      <c r="C186" s="718"/>
      <c r="D186" s="718"/>
      <c r="E186" s="718"/>
      <c r="F186" s="719"/>
      <c r="G186" s="648"/>
      <c r="H186" s="648"/>
      <c r="I186" s="648"/>
      <c r="J186" s="717" t="str">
        <f t="shared" si="11"/>
        <v>-</v>
      </c>
      <c r="K186" s="718"/>
      <c r="L186" s="719"/>
      <c r="M186" s="648"/>
      <c r="N186" s="648"/>
      <c r="O186" s="648"/>
      <c r="P186" s="648"/>
      <c r="Q186" s="648"/>
      <c r="R186" s="647"/>
      <c r="S186" s="647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</row>
    <row r="187" spans="1:39" ht="14.1" customHeight="1">
      <c r="A187" s="681"/>
      <c r="B187" s="682"/>
      <c r="C187" s="682"/>
      <c r="D187" s="682"/>
      <c r="E187" s="682"/>
      <c r="F187" s="683"/>
      <c r="G187" s="648"/>
      <c r="H187" s="648"/>
      <c r="I187" s="648"/>
      <c r="J187" s="714">
        <f t="shared" si="11"/>
        <v>45808</v>
      </c>
      <c r="K187" s="715"/>
      <c r="L187" s="716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196"/>
      <c r="B188" s="196"/>
      <c r="C188" s="196"/>
      <c r="D188" s="196"/>
      <c r="E188" s="196"/>
      <c r="F188" s="196"/>
      <c r="G188" s="196"/>
      <c r="H188" s="196"/>
      <c r="I188" s="196"/>
      <c r="J188" s="197"/>
      <c r="K188" s="197"/>
      <c r="L188" s="197"/>
      <c r="M188" s="196"/>
      <c r="N188" s="196"/>
      <c r="O188" s="196"/>
      <c r="P188" s="196"/>
      <c r="Q188" s="196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</row>
    <row r="189" spans="1:39" ht="14.1" customHeight="1">
      <c r="A189" s="196"/>
      <c r="B189" s="196"/>
      <c r="C189" s="196"/>
      <c r="D189" s="196"/>
      <c r="E189" s="196"/>
      <c r="F189" s="196"/>
      <c r="G189" s="196"/>
      <c r="H189" s="196"/>
      <c r="I189" s="196"/>
      <c r="J189" s="197"/>
      <c r="K189" s="197"/>
      <c r="L189" s="197"/>
      <c r="M189" s="196"/>
      <c r="N189" s="196"/>
      <c r="O189" s="196"/>
      <c r="P189" s="196"/>
      <c r="Q189" s="196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</row>
    <row r="190" spans="1:39" ht="14.1" customHeight="1">
      <c r="A190" s="695" t="s">
        <v>858</v>
      </c>
      <c r="B190" s="695"/>
      <c r="C190" s="695"/>
      <c r="D190" s="695"/>
      <c r="E190" s="695"/>
      <c r="F190" s="695"/>
      <c r="G190" s="695"/>
      <c r="H190" s="695" t="str">
        <f>VLOOKUP($AA$15,'Date SPV'!$B:$H,4,FALSE)</f>
        <v>Calea Severinului, nr.61, Craiova, jud. Dolj</v>
      </c>
      <c r="I190" s="695"/>
      <c r="J190" s="695"/>
      <c r="K190" s="695"/>
      <c r="L190" s="695"/>
      <c r="M190" s="695"/>
      <c r="N190" s="695"/>
      <c r="O190" s="695"/>
      <c r="P190" s="695"/>
      <c r="Q190" s="695"/>
      <c r="R190" s="695"/>
      <c r="S190" s="695"/>
      <c r="T190" s="695"/>
      <c r="U190" s="695"/>
      <c r="V190" s="695"/>
      <c r="W190" s="695"/>
      <c r="X190" s="695"/>
      <c r="Y190" s="695"/>
      <c r="Z190" s="695"/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</row>
    <row r="191" spans="1:39" ht="14.1" customHeight="1">
      <c r="A191" s="695"/>
      <c r="B191" s="695"/>
      <c r="C191" s="695"/>
      <c r="D191" s="695"/>
      <c r="E191" s="695"/>
      <c r="F191" s="695"/>
      <c r="G191" s="695"/>
      <c r="H191" s="695"/>
      <c r="I191" s="695"/>
      <c r="J191" s="695"/>
      <c r="K191" s="695"/>
      <c r="L191" s="695"/>
      <c r="M191" s="695"/>
      <c r="N191" s="695"/>
      <c r="O191" s="695"/>
      <c r="P191" s="695"/>
      <c r="Q191" s="695"/>
      <c r="R191" s="695"/>
      <c r="S191" s="695"/>
      <c r="T191" s="695"/>
      <c r="U191" s="695"/>
      <c r="V191" s="695"/>
      <c r="W191" s="695"/>
      <c r="X191" s="695"/>
      <c r="Y191" s="695"/>
      <c r="Z191" s="695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</row>
    <row r="192" spans="1:39" ht="14.1" customHeight="1">
      <c r="A192" s="695" t="s">
        <v>859</v>
      </c>
      <c r="B192" s="695"/>
      <c r="C192" s="695"/>
      <c r="D192" s="695"/>
      <c r="E192" s="695"/>
      <c r="F192" s="695"/>
      <c r="G192" s="695"/>
      <c r="H192" s="712">
        <f>VLOOKUP(AA192,'Date masura OD'!$G:$BE,51,FALSE)</f>
        <v>5000637459</v>
      </c>
      <c r="I192" s="712"/>
      <c r="J192" s="712"/>
      <c r="K192" s="712"/>
      <c r="L192" s="712"/>
      <c r="M192" s="712"/>
      <c r="N192" s="712"/>
      <c r="O192" s="712"/>
      <c r="P192" s="712"/>
      <c r="Q192" s="712"/>
      <c r="R192" s="712"/>
      <c r="S192" s="712"/>
      <c r="T192" s="712"/>
      <c r="U192" s="712"/>
      <c r="V192" s="712"/>
      <c r="W192" s="712" t="s">
        <v>860</v>
      </c>
      <c r="X192" s="712"/>
      <c r="Y192" s="712"/>
      <c r="Z192" s="712"/>
      <c r="AA192" s="640" t="str">
        <f>_xlfn.CONCAT($AA$15,"_",2)</f>
        <v>RGBM_2</v>
      </c>
      <c r="AB192" s="640"/>
      <c r="AC192" s="640"/>
      <c r="AD192" s="640"/>
      <c r="AE192" s="640"/>
      <c r="AF192" s="640"/>
      <c r="AG192" s="640"/>
      <c r="AH192" s="640"/>
      <c r="AI192" s="640"/>
      <c r="AJ192" s="640"/>
      <c r="AK192" s="640"/>
      <c r="AL192" s="640"/>
      <c r="AM192" s="640"/>
    </row>
    <row r="193" spans="1:39" ht="14.1" customHeight="1">
      <c r="A193" s="695"/>
      <c r="B193" s="695"/>
      <c r="C193" s="695"/>
      <c r="D193" s="695"/>
      <c r="E193" s="695"/>
      <c r="F193" s="695"/>
      <c r="G193" s="695"/>
      <c r="H193" s="712"/>
      <c r="I193" s="712"/>
      <c r="J193" s="712"/>
      <c r="K193" s="712"/>
      <c r="L193" s="712"/>
      <c r="M193" s="712"/>
      <c r="N193" s="712"/>
      <c r="O193" s="712"/>
      <c r="P193" s="712"/>
      <c r="Q193" s="712"/>
      <c r="R193" s="712"/>
      <c r="S193" s="712"/>
      <c r="T193" s="712"/>
      <c r="U193" s="712"/>
      <c r="V193" s="712"/>
      <c r="W193" s="712"/>
      <c r="X193" s="712"/>
      <c r="Y193" s="712"/>
      <c r="Z193" s="712"/>
      <c r="AA193" s="640"/>
      <c r="AB193" s="640"/>
      <c r="AC193" s="640"/>
      <c r="AD193" s="640"/>
      <c r="AE193" s="640"/>
      <c r="AF193" s="640"/>
      <c r="AG193" s="640"/>
      <c r="AH193" s="640"/>
      <c r="AI193" s="640"/>
      <c r="AJ193" s="640"/>
      <c r="AK193" s="640"/>
      <c r="AL193" s="640"/>
      <c r="AM193" s="640"/>
    </row>
    <row r="194" spans="1:39">
      <c r="A194" s="649" t="s">
        <v>748</v>
      </c>
      <c r="B194" s="649"/>
      <c r="C194" s="649"/>
      <c r="D194" s="649"/>
      <c r="E194" s="649"/>
      <c r="F194" s="649"/>
      <c r="G194" s="649"/>
      <c r="H194" s="649"/>
      <c r="I194" s="649"/>
      <c r="J194" s="649"/>
      <c r="K194" s="649"/>
      <c r="L194" s="649"/>
      <c r="M194" s="650" t="str">
        <f>VLOOKUP(AI195,'Contorizare in SDI'!$E:$I,4,FALSE)</f>
        <v>594010100003643714 71721547/1</v>
      </c>
      <c r="N194" s="650"/>
      <c r="O194" s="650"/>
      <c r="P194" s="650"/>
      <c r="Q194" s="650"/>
      <c r="R194" s="650"/>
      <c r="S194" s="650"/>
      <c r="T194" s="650"/>
      <c r="U194" s="650"/>
      <c r="V194" s="650"/>
      <c r="W194" s="650"/>
      <c r="X194" s="650"/>
      <c r="Y194" s="650"/>
      <c r="Z194" s="650"/>
      <c r="AA194" s="650"/>
      <c r="AB194" s="650"/>
      <c r="AC194" s="650"/>
      <c r="AD194" s="650"/>
      <c r="AE194" s="650"/>
      <c r="AF194" s="650"/>
      <c r="AG194" s="650"/>
      <c r="AH194" s="650"/>
      <c r="AI194" s="650" t="s">
        <v>695</v>
      </c>
      <c r="AJ194" s="650"/>
      <c r="AK194" s="650"/>
      <c r="AL194" s="650"/>
      <c r="AM194" s="650"/>
    </row>
    <row r="195" spans="1:39">
      <c r="A195" s="649" t="s">
        <v>746</v>
      </c>
      <c r="B195" s="649"/>
      <c r="C195" s="649"/>
      <c r="D195" s="649"/>
      <c r="E195" s="649"/>
      <c r="F195" s="649"/>
      <c r="G195" s="649"/>
      <c r="H195" s="649"/>
      <c r="I195" s="649"/>
      <c r="J195" s="649"/>
      <c r="K195" s="649"/>
      <c r="L195" s="649"/>
      <c r="M195" s="650" t="str">
        <f>VLOOKUP(AI195,'Inchidere contur'!$G:$U,15,FALSE)</f>
        <v>JT_SDI</v>
      </c>
      <c r="N195" s="650"/>
      <c r="O195" s="650"/>
      <c r="P195" s="650"/>
      <c r="Q195" s="650"/>
      <c r="R195" s="650"/>
      <c r="S195" s="650"/>
      <c r="T195" s="650"/>
      <c r="U195" s="650"/>
      <c r="V195" s="650"/>
      <c r="W195" s="650"/>
      <c r="X195" s="650"/>
      <c r="Y195" s="650"/>
      <c r="Z195" s="650"/>
      <c r="AA195" s="650"/>
      <c r="AB195" s="650"/>
      <c r="AC195" s="650"/>
      <c r="AD195" s="650"/>
      <c r="AE195" s="650"/>
      <c r="AF195" s="650"/>
      <c r="AG195" s="650"/>
      <c r="AH195" s="650"/>
      <c r="AI195" s="619" t="str">
        <f>_xlfn.CONCAT(AA192,".",1)</f>
        <v>RGBM_2.1</v>
      </c>
      <c r="AJ195" s="619"/>
      <c r="AK195" s="619"/>
      <c r="AL195" s="619"/>
      <c r="AM195" s="619"/>
    </row>
    <row r="196" spans="1:39">
      <c r="A196" s="649" t="s">
        <v>747</v>
      </c>
      <c r="B196" s="649"/>
      <c r="C196" s="649"/>
      <c r="D196" s="649"/>
      <c r="E196" s="649"/>
      <c r="F196" s="649"/>
      <c r="G196" s="649"/>
      <c r="H196" s="649"/>
      <c r="I196" s="649"/>
      <c r="J196" s="649"/>
      <c r="K196" s="649"/>
      <c r="L196" s="649"/>
      <c r="M196" s="650" t="str">
        <f>IF(LEFT(M195,2)="JT","0.4kV",IF(LEFT(M195,2)="MT","20kV","-"))</f>
        <v>0.4kV</v>
      </c>
      <c r="N196" s="650"/>
      <c r="O196" s="650"/>
      <c r="P196" s="650"/>
      <c r="Q196" s="650"/>
      <c r="R196" s="650"/>
      <c r="S196" s="650"/>
      <c r="T196" s="650"/>
      <c r="U196" s="650"/>
      <c r="V196" s="650"/>
      <c r="W196" s="650"/>
      <c r="X196" s="650"/>
      <c r="Y196" s="650"/>
      <c r="Z196" s="650"/>
      <c r="AA196" s="650"/>
      <c r="AB196" s="650"/>
      <c r="AC196" s="650"/>
      <c r="AD196" s="650"/>
      <c r="AE196" s="650"/>
      <c r="AF196" s="650"/>
      <c r="AG196" s="650"/>
      <c r="AH196" s="650"/>
      <c r="AI196" s="619"/>
      <c r="AJ196" s="619"/>
      <c r="AK196" s="619"/>
      <c r="AL196" s="619"/>
      <c r="AM196" s="619"/>
    </row>
    <row r="197" spans="1:39" ht="15.95" customHeight="1">
      <c r="A197" s="648" t="s">
        <v>697</v>
      </c>
      <c r="B197" s="648"/>
      <c r="C197" s="648"/>
      <c r="D197" s="648"/>
      <c r="E197" s="648"/>
      <c r="F197" s="648"/>
      <c r="G197" s="647" t="s">
        <v>713</v>
      </c>
      <c r="H197" s="647"/>
      <c r="I197" s="647"/>
      <c r="J197" s="647" t="s">
        <v>714</v>
      </c>
      <c r="K197" s="647"/>
      <c r="L197" s="647"/>
      <c r="M197" s="648" t="s">
        <v>519</v>
      </c>
      <c r="N197" s="648"/>
      <c r="O197" s="648" t="s">
        <v>715</v>
      </c>
      <c r="P197" s="648"/>
      <c r="Q197" s="648"/>
      <c r="R197" s="647" t="s">
        <v>732</v>
      </c>
      <c r="S197" s="647"/>
      <c r="T197" s="647"/>
      <c r="U197" s="647" t="s">
        <v>734</v>
      </c>
      <c r="V197" s="647"/>
      <c r="W197" s="647"/>
      <c r="X197" s="647" t="s">
        <v>1085</v>
      </c>
      <c r="Y197" s="647"/>
      <c r="Z197" s="647"/>
      <c r="AA197" s="647" t="s">
        <v>1086</v>
      </c>
      <c r="AB197" s="647"/>
      <c r="AC197" s="647"/>
      <c r="AD197" s="647" t="s">
        <v>717</v>
      </c>
      <c r="AE197" s="647"/>
      <c r="AF197" s="647" t="s">
        <v>718</v>
      </c>
      <c r="AG197" s="647"/>
      <c r="AH197" s="647"/>
      <c r="AI197" s="647" t="s">
        <v>719</v>
      </c>
      <c r="AJ197" s="647"/>
      <c r="AK197" s="647" t="s">
        <v>733</v>
      </c>
      <c r="AL197" s="647"/>
      <c r="AM197" s="647"/>
    </row>
    <row r="198" spans="1:39">
      <c r="A198" s="648"/>
      <c r="B198" s="648"/>
      <c r="C198" s="648"/>
      <c r="D198" s="648"/>
      <c r="E198" s="648"/>
      <c r="F198" s="648"/>
      <c r="G198" s="647"/>
      <c r="H198" s="647"/>
      <c r="I198" s="647"/>
      <c r="J198" s="647"/>
      <c r="K198" s="647"/>
      <c r="L198" s="647"/>
      <c r="M198" s="648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>
      <c r="A199" s="648"/>
      <c r="B199" s="648"/>
      <c r="C199" s="648"/>
      <c r="D199" s="648"/>
      <c r="E199" s="648"/>
      <c r="F199" s="648"/>
      <c r="G199" s="647"/>
      <c r="H199" s="647"/>
      <c r="I199" s="647"/>
      <c r="J199" s="713"/>
      <c r="K199" s="713"/>
      <c r="L199" s="713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4">
        <f>VLOOKUP(AI195,'Contorizare in SDI'!$E:$I,5,FALSE)</f>
        <v>1373708422</v>
      </c>
      <c r="B200" s="685"/>
      <c r="C200" s="685"/>
      <c r="D200" s="685"/>
      <c r="E200" s="685"/>
      <c r="F200" s="686"/>
      <c r="G200" s="648" t="s">
        <v>730</v>
      </c>
      <c r="H200" s="648"/>
      <c r="I200" s="673"/>
      <c r="J200" s="655">
        <f>'Date masura OD'!$AK$5</f>
        <v>45748</v>
      </c>
      <c r="K200" s="656"/>
      <c r="L200" s="657"/>
      <c r="M200" s="720" t="s">
        <v>446</v>
      </c>
      <c r="N200" s="648"/>
      <c r="O200" s="648">
        <f>VLOOKUP(AI195,'Incrementare indexe'!$B:$T,4,FALSE)</f>
        <v>1</v>
      </c>
      <c r="P200" s="648"/>
      <c r="Q200" s="648"/>
      <c r="R200" s="647" t="str">
        <f>VLOOKUP(A200,Regularizare!$D:$YN,3,FALSE)&amp;" ("&amp;VLOOKUP(A200,Regularizare!$D:$Y,11,FALSE)&amp;")"</f>
        <v>1169574 (citit)</v>
      </c>
      <c r="S200" s="647"/>
      <c r="T200" s="647"/>
      <c r="U200" s="647" t="str">
        <f>VLOOKUP(A200,Regularizare!$D:$U,4,FALSE)&amp;" ("&amp;VLOOKUP(A200,Regularizare!$D:$U,12,FALSE)&amp;")"</f>
        <v>1245592 (estimat)</v>
      </c>
      <c r="V200" s="647"/>
      <c r="W200" s="647"/>
      <c r="X200" s="647" t="str">
        <f>VLOOKUP(A200,Regularizare!$D:$Y,19,FALSE)&amp;" ("&amp;VLOOKUP(A200,Regularizare!$D:$U,12,FALSE)&amp;")"</f>
        <v>76018 (estimat)</v>
      </c>
      <c r="Y200" s="647"/>
      <c r="Z200" s="647"/>
      <c r="AA200" s="647">
        <f>(-1)*VLOOKUP(A200,Regularizare!$D:$Y,19,FALSE)</f>
        <v>-76018</v>
      </c>
      <c r="AB200" s="647"/>
      <c r="AC200" s="647"/>
      <c r="AD200" s="647" t="s">
        <v>69</v>
      </c>
      <c r="AE200" s="647"/>
      <c r="AF200" s="647">
        <f>AA200</f>
        <v>-76018</v>
      </c>
      <c r="AG200" s="647"/>
      <c r="AH200" s="647"/>
      <c r="AI200" s="647" t="s">
        <v>69</v>
      </c>
      <c r="AJ200" s="647"/>
      <c r="AK200" s="647" t="s">
        <v>69</v>
      </c>
      <c r="AL200" s="647"/>
      <c r="AM200" s="647"/>
    </row>
    <row r="201" spans="1:39" ht="9.75" customHeight="1">
      <c r="A201" s="727"/>
      <c r="B201" s="729"/>
      <c r="C201" s="729"/>
      <c r="D201" s="729"/>
      <c r="E201" s="729"/>
      <c r="F201" s="728"/>
      <c r="G201" s="648"/>
      <c r="H201" s="648"/>
      <c r="I201" s="673"/>
      <c r="J201" s="717" t="s">
        <v>69</v>
      </c>
      <c r="K201" s="718"/>
      <c r="L201" s="719"/>
      <c r="M201" s="720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87"/>
      <c r="B202" s="688"/>
      <c r="C202" s="688"/>
      <c r="D202" s="688"/>
      <c r="E202" s="688"/>
      <c r="F202" s="689"/>
      <c r="G202" s="648"/>
      <c r="H202" s="648"/>
      <c r="I202" s="673"/>
      <c r="J202" s="714">
        <f>'Date masura OD'!$AL$5</f>
        <v>45777</v>
      </c>
      <c r="K202" s="715"/>
      <c r="L202" s="716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4">
        <f>A200</f>
        <v>1373708422</v>
      </c>
      <c r="B203" s="685"/>
      <c r="C203" s="685"/>
      <c r="D203" s="685"/>
      <c r="E203" s="685"/>
      <c r="F203" s="686"/>
      <c r="G203" s="648" t="s">
        <v>696</v>
      </c>
      <c r="H203" s="648"/>
      <c r="I203" s="648"/>
      <c r="J203" s="655">
        <f t="shared" ref="J203:J208" si="12">J200</f>
        <v>45748</v>
      </c>
      <c r="K203" s="656"/>
      <c r="L203" s="657"/>
      <c r="M203" s="648" t="s">
        <v>720</v>
      </c>
      <c r="N203" s="648"/>
      <c r="O203" s="648">
        <f>O200</f>
        <v>1</v>
      </c>
      <c r="P203" s="648"/>
      <c r="Q203" s="648"/>
      <c r="R203" s="647" t="str">
        <f>VLOOKUP(A203,Regularizare!$D:$U,7,FALSE)&amp;" ("&amp;VLOOKUP(A203,Regularizare!$D:$U,15,FALSE)&amp;")"</f>
        <v>4440 (citit)</v>
      </c>
      <c r="S203" s="647"/>
      <c r="T203" s="647"/>
      <c r="U203" s="647" t="str">
        <f>VLOOKUP(A203,Regularizare!$D:$U,8,FALSE)&amp;" ("&amp;VLOOKUP(A203,Regularizare!$D:$U,16,FALSE)&amp;")"</f>
        <v>4440 (estimat)</v>
      </c>
      <c r="V203" s="647"/>
      <c r="W203" s="647"/>
      <c r="X203" s="647" t="str">
        <f>_xlfn.CONCAT(VLOOKUP(A203,Regularizare!$D:$U,8,FALSE)-VLOOKUP(A203,Regularizare!$D:$U,7,FALSE)," (",VLOOKUP(A203,Regularizare!$D:$U,16,FALSE),")")</f>
        <v>0 (estimat)</v>
      </c>
      <c r="Y203" s="647"/>
      <c r="Z203" s="647"/>
      <c r="AA203" s="647">
        <f>IF(VLOOKUP(A203,Regularizare!$D:$Y,21,FALSE)=0,VLOOKUP(A203,Regularizare!$D:$Y,21,FALSE),(-1)*VLOOKUP(A203,Regularizare!$D:$Y,21,FALSE))</f>
        <v>0</v>
      </c>
      <c r="AB203" s="647"/>
      <c r="AC203" s="647"/>
      <c r="AD203" s="647" t="s">
        <v>69</v>
      </c>
      <c r="AE203" s="647"/>
      <c r="AF203" s="647">
        <f>AA203</f>
        <v>0</v>
      </c>
      <c r="AG203" s="647"/>
      <c r="AH203" s="647"/>
      <c r="AI203" s="647" t="str">
        <f>AI200</f>
        <v>-</v>
      </c>
      <c r="AJ203" s="647"/>
      <c r="AK203" s="647" t="str">
        <f>AK200</f>
        <v>-</v>
      </c>
      <c r="AL203" s="647"/>
      <c r="AM203" s="647"/>
    </row>
    <row r="204" spans="1:39" ht="8.4499999999999993" customHeight="1">
      <c r="A204" s="727"/>
      <c r="B204" s="729"/>
      <c r="C204" s="729"/>
      <c r="D204" s="729"/>
      <c r="E204" s="729"/>
      <c r="F204" s="728"/>
      <c r="G204" s="648"/>
      <c r="H204" s="648"/>
      <c r="I204" s="648"/>
      <c r="J204" s="717" t="str">
        <f t="shared" si="12"/>
        <v>-</v>
      </c>
      <c r="K204" s="718"/>
      <c r="L204" s="719"/>
      <c r="M204" s="648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7"/>
      <c r="B205" s="688"/>
      <c r="C205" s="688"/>
      <c r="D205" s="688"/>
      <c r="E205" s="688"/>
      <c r="F205" s="689"/>
      <c r="G205" s="648"/>
      <c r="H205" s="648"/>
      <c r="I205" s="648"/>
      <c r="J205" s="714">
        <f t="shared" si="12"/>
        <v>45777</v>
      </c>
      <c r="K205" s="715"/>
      <c r="L205" s="716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4">
        <f>A203</f>
        <v>1373708422</v>
      </c>
      <c r="B206" s="685"/>
      <c r="C206" s="685"/>
      <c r="D206" s="685"/>
      <c r="E206" s="685"/>
      <c r="F206" s="686"/>
      <c r="G206" s="648" t="s">
        <v>731</v>
      </c>
      <c r="H206" s="648"/>
      <c r="I206" s="648"/>
      <c r="J206" s="655">
        <f t="shared" si="12"/>
        <v>45748</v>
      </c>
      <c r="K206" s="656"/>
      <c r="L206" s="657"/>
      <c r="M206" s="648" t="s">
        <v>720</v>
      </c>
      <c r="N206" s="648"/>
      <c r="O206" s="648">
        <f>O203</f>
        <v>1</v>
      </c>
      <c r="P206" s="648"/>
      <c r="Q206" s="648"/>
      <c r="R206" s="647" t="str">
        <f>VLOOKUP(A206,Regularizare!$D:$U,9,FALSE)&amp;" ("&amp;VLOOKUP(A206,Regularizare!$D:$U,17,FALSE)&amp;")"</f>
        <v>163841 (citit)</v>
      </c>
      <c r="S206" s="647"/>
      <c r="T206" s="647"/>
      <c r="U206" s="647" t="str">
        <f>VLOOKUP(A206,Regularizare!$D:$U,10,FALSE)&amp;" ("&amp;VLOOKUP(A206,Regularizare!$D:$U,18,FALSE)&amp;")"</f>
        <v>163841 (estimat)</v>
      </c>
      <c r="V206" s="647"/>
      <c r="W206" s="647"/>
      <c r="X206" s="647" t="str">
        <f>_xlfn.CONCAT(VLOOKUP(A206,Regularizare!$D:$U,10,FALSE)-VLOOKUP(A206,Regularizare!$D:$U,9,FALSE)," (",VLOOKUP(A206,Regularizare!$D:$U,18,FALSE),")")</f>
        <v>0 (estimat)</v>
      </c>
      <c r="Y206" s="647"/>
      <c r="Z206" s="647"/>
      <c r="AA206" s="647">
        <f>IF(VLOOKUP(A206,Regularizare!$D:$Y,22,FALSE)=0,VLOOKUP(A206,Regularizare!$D:$Y,22,FALSE),(-1)*VLOOKUP(A206,Regularizare!$D:$Y,22,FALSE))</f>
        <v>0</v>
      </c>
      <c r="AB206" s="647"/>
      <c r="AC206" s="647"/>
      <c r="AD206" s="647" t="s">
        <v>69</v>
      </c>
      <c r="AE206" s="647"/>
      <c r="AF206" s="647">
        <f>AA206</f>
        <v>0</v>
      </c>
      <c r="AG206" s="647"/>
      <c r="AH206" s="647"/>
      <c r="AI206" s="647" t="str">
        <f>AI203</f>
        <v>-</v>
      </c>
      <c r="AJ206" s="647"/>
      <c r="AK206" s="647" t="str">
        <f>AK203</f>
        <v>-</v>
      </c>
      <c r="AL206" s="647"/>
      <c r="AM206" s="647"/>
    </row>
    <row r="207" spans="1:39" ht="8.4499999999999993" customHeight="1">
      <c r="A207" s="727"/>
      <c r="B207" s="729"/>
      <c r="C207" s="729"/>
      <c r="D207" s="729"/>
      <c r="E207" s="729"/>
      <c r="F207" s="728"/>
      <c r="G207" s="648"/>
      <c r="H207" s="648"/>
      <c r="I207" s="648"/>
      <c r="J207" s="717" t="str">
        <f t="shared" si="12"/>
        <v>-</v>
      </c>
      <c r="K207" s="718"/>
      <c r="L207" s="719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87"/>
      <c r="B208" s="688"/>
      <c r="C208" s="688"/>
      <c r="D208" s="688"/>
      <c r="E208" s="688"/>
      <c r="F208" s="689"/>
      <c r="G208" s="648"/>
      <c r="H208" s="648"/>
      <c r="I208" s="648"/>
      <c r="J208" s="714">
        <f t="shared" si="12"/>
        <v>45777</v>
      </c>
      <c r="K208" s="715"/>
      <c r="L208" s="716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4">
        <f>A206</f>
        <v>1373708422</v>
      </c>
      <c r="B209" s="685"/>
      <c r="C209" s="685"/>
      <c r="D209" s="685"/>
      <c r="E209" s="685"/>
      <c r="F209" s="686"/>
      <c r="G209" s="648" t="s">
        <v>730</v>
      </c>
      <c r="H209" s="648"/>
      <c r="I209" s="673"/>
      <c r="J209" s="655">
        <f>'Date masura OD'!$AK$5</f>
        <v>45748</v>
      </c>
      <c r="K209" s="656"/>
      <c r="L209" s="657"/>
      <c r="M209" s="720" t="s">
        <v>446</v>
      </c>
      <c r="N209" s="648"/>
      <c r="O209" s="648">
        <f>O206</f>
        <v>1</v>
      </c>
      <c r="P209" s="648"/>
      <c r="Q209" s="648"/>
      <c r="R209" s="647" t="str">
        <f>VLOOKUP(A209,Regularizare!$D:$AX,23,FALSE)&amp;" ("&amp;VLOOKUP(A209,Regularizare!$D:$AX,24,FALSE)&amp;")"</f>
        <v>1169574 (citit)</v>
      </c>
      <c r="S209" s="647"/>
      <c r="T209" s="647"/>
      <c r="U209" s="647" t="str">
        <f>VLOOKUP(A209,Regularizare!$D:$AX,25,FALSE)&amp;" ("&amp;VLOOKUP(A209,Regularizare!$D:$AX,26,FALSE)&amp;")"</f>
        <v>1245592 (citit)</v>
      </c>
      <c r="V209" s="647"/>
      <c r="W209" s="647"/>
      <c r="X209" s="647" t="str">
        <f>VLOOKUP(A209,Regularizare!$D:$AX,37,FALSE)&amp;" ("&amp;VLOOKUP(A209,Regularizare!$D:$AX,26,FALSE)&amp;")"</f>
        <v>76018 (citit)</v>
      </c>
      <c r="Y209" s="647"/>
      <c r="Z209" s="647"/>
      <c r="AA209" s="647">
        <f>VLOOKUP(A209,Regularizare!$D:$AX,37,FALSE)</f>
        <v>76018</v>
      </c>
      <c r="AB209" s="647"/>
      <c r="AC209" s="647"/>
      <c r="AD209" s="647" t="s">
        <v>69</v>
      </c>
      <c r="AE209" s="647"/>
      <c r="AF209" s="647">
        <f>AA209</f>
        <v>76018</v>
      </c>
      <c r="AG209" s="647"/>
      <c r="AH209" s="647"/>
      <c r="AI209" s="647" t="str">
        <f>AI206</f>
        <v>-</v>
      </c>
      <c r="AJ209" s="647"/>
      <c r="AK209" s="647" t="str">
        <f>AK206</f>
        <v>-</v>
      </c>
      <c r="AL209" s="647"/>
      <c r="AM209" s="647"/>
    </row>
    <row r="210" spans="1:39" ht="8.4499999999999993" customHeight="1">
      <c r="A210" s="727"/>
      <c r="B210" s="729"/>
      <c r="C210" s="729"/>
      <c r="D210" s="729"/>
      <c r="E210" s="729"/>
      <c r="F210" s="728"/>
      <c r="G210" s="648"/>
      <c r="H210" s="648"/>
      <c r="I210" s="673"/>
      <c r="J210" s="717" t="s">
        <v>69</v>
      </c>
      <c r="K210" s="718"/>
      <c r="L210" s="719"/>
      <c r="M210" s="720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87"/>
      <c r="B211" s="688"/>
      <c r="C211" s="688"/>
      <c r="D211" s="688"/>
      <c r="E211" s="688"/>
      <c r="F211" s="689"/>
      <c r="G211" s="648"/>
      <c r="H211" s="648"/>
      <c r="I211" s="673"/>
      <c r="J211" s="714">
        <f>'Date masura OD'!$AL$5</f>
        <v>45777</v>
      </c>
      <c r="K211" s="715"/>
      <c r="L211" s="716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4">
        <f>A209</f>
        <v>1373708422</v>
      </c>
      <c r="B212" s="685"/>
      <c r="C212" s="685"/>
      <c r="D212" s="685"/>
      <c r="E212" s="685"/>
      <c r="F212" s="686"/>
      <c r="G212" s="648" t="s">
        <v>696</v>
      </c>
      <c r="H212" s="648"/>
      <c r="I212" s="648"/>
      <c r="J212" s="655">
        <f t="shared" ref="J212:J217" si="13">J209</f>
        <v>45748</v>
      </c>
      <c r="K212" s="656"/>
      <c r="L212" s="657"/>
      <c r="M212" s="648" t="s">
        <v>720</v>
      </c>
      <c r="N212" s="648"/>
      <c r="O212" s="648">
        <f>O209</f>
        <v>1</v>
      </c>
      <c r="P212" s="648"/>
      <c r="Q212" s="648"/>
      <c r="R212" s="647" t="str">
        <f>VLOOKUP(A212,Regularizare!$D:$AX,29,FALSE)&amp;" ("&amp;VLOOKUP(A212,Regularizare!$D:$AX,30,FALSE)&amp;")"</f>
        <v>4440 (citit)</v>
      </c>
      <c r="S212" s="647"/>
      <c r="T212" s="647"/>
      <c r="U212" s="647" t="str">
        <f>VLOOKUP(A212,Regularizare!$D:$AX,31,FALSE)&amp;" ("&amp;VLOOKUP(A212,Regularizare!$D:$AX,32,FALSE)&amp;")"</f>
        <v>4440 (citit)</v>
      </c>
      <c r="V212" s="647"/>
      <c r="W212" s="647"/>
      <c r="X212" s="647" t="str">
        <f>VLOOKUP(A212,Regularizare!$D:$AX,39,FALSE)&amp;" ("&amp;VLOOKUP(A212,Regularizare!$D:$AX,32,FALSE)&amp;")"</f>
        <v>0 (citit)</v>
      </c>
      <c r="Y212" s="647"/>
      <c r="Z212" s="647"/>
      <c r="AA212" s="647">
        <f>VLOOKUP(A212,Regularizare!$D:$AX,44,FALSE)+VLOOKUP(A212,Regularizare!$D:$AX,45,FALSE)</f>
        <v>0</v>
      </c>
      <c r="AB212" s="647"/>
      <c r="AC212" s="647"/>
      <c r="AD212" s="647" t="s">
        <v>69</v>
      </c>
      <c r="AE212" s="647"/>
      <c r="AF212" s="647">
        <f>AA212</f>
        <v>0</v>
      </c>
      <c r="AG212" s="647"/>
      <c r="AH212" s="647"/>
      <c r="AI212" s="647" t="str">
        <f>AI209</f>
        <v>-</v>
      </c>
      <c r="AJ212" s="647"/>
      <c r="AK212" s="647" t="str">
        <f>AK209</f>
        <v>-</v>
      </c>
      <c r="AL212" s="647"/>
      <c r="AM212" s="647"/>
    </row>
    <row r="213" spans="1:39" ht="8.4499999999999993" customHeight="1">
      <c r="A213" s="727"/>
      <c r="B213" s="729"/>
      <c r="C213" s="729"/>
      <c r="D213" s="729"/>
      <c r="E213" s="729"/>
      <c r="F213" s="728"/>
      <c r="G213" s="648"/>
      <c r="H213" s="648"/>
      <c r="I213" s="648"/>
      <c r="J213" s="717" t="str">
        <f t="shared" si="13"/>
        <v>-</v>
      </c>
      <c r="K213" s="718"/>
      <c r="L213" s="719"/>
      <c r="M213" s="648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87"/>
      <c r="B214" s="688"/>
      <c r="C214" s="688"/>
      <c r="D214" s="688"/>
      <c r="E214" s="688"/>
      <c r="F214" s="689"/>
      <c r="G214" s="648"/>
      <c r="H214" s="648"/>
      <c r="I214" s="648"/>
      <c r="J214" s="714">
        <f t="shared" si="13"/>
        <v>45777</v>
      </c>
      <c r="K214" s="715"/>
      <c r="L214" s="716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4">
        <f>A212</f>
        <v>1373708422</v>
      </c>
      <c r="B215" s="685"/>
      <c r="C215" s="685"/>
      <c r="D215" s="685"/>
      <c r="E215" s="685"/>
      <c r="F215" s="686"/>
      <c r="G215" s="648" t="s">
        <v>731</v>
      </c>
      <c r="H215" s="648"/>
      <c r="I215" s="648"/>
      <c r="J215" s="655">
        <f t="shared" si="13"/>
        <v>45748</v>
      </c>
      <c r="K215" s="656"/>
      <c r="L215" s="657"/>
      <c r="M215" s="648" t="s">
        <v>720</v>
      </c>
      <c r="N215" s="648"/>
      <c r="O215" s="648">
        <f>O212</f>
        <v>1</v>
      </c>
      <c r="P215" s="648"/>
      <c r="Q215" s="648"/>
      <c r="R215" s="647" t="str">
        <f>VLOOKUP(A215,Regularizare!$D:$AX,33,FALSE)&amp;" ("&amp;VLOOKUP(A215,Regularizare!$D:$AX,34,FALSE)&amp;")"</f>
        <v>163841 (citit)</v>
      </c>
      <c r="S215" s="647"/>
      <c r="T215" s="647"/>
      <c r="U215" s="647" t="str">
        <f>VLOOKUP(A215,Regularizare!$D:$AX,35,FALSE)&amp;" ("&amp;VLOOKUP(A215,Regularizare!$D:$AX,36,FALSE)&amp;")"</f>
        <v>172006 (citit)</v>
      </c>
      <c r="V215" s="647"/>
      <c r="W215" s="647"/>
      <c r="X215" s="647" t="str">
        <f>VLOOKUP(A215,Regularizare!$D:$AX,40,FALSE)&amp;" ("&amp;VLOOKUP(A215,Regularizare!$D:$AX,36,FALSE)&amp;")"</f>
        <v>8165 (citit)</v>
      </c>
      <c r="Y215" s="647"/>
      <c r="Z215" s="647"/>
      <c r="AA215" s="647">
        <f>VLOOKUP(A215,Regularizare!$D:$AX,46,FALSE)+VLOOKUP(A215,Regularizare!$D:$AX,47,FALSE)</f>
        <v>8165</v>
      </c>
      <c r="AB215" s="647"/>
      <c r="AC215" s="647"/>
      <c r="AD215" s="647" t="s">
        <v>69</v>
      </c>
      <c r="AE215" s="647"/>
      <c r="AF215" s="647">
        <f>AA215</f>
        <v>8165</v>
      </c>
      <c r="AG215" s="647"/>
      <c r="AH215" s="647"/>
      <c r="AI215" s="647" t="str">
        <f>AI212</f>
        <v>-</v>
      </c>
      <c r="AJ215" s="647"/>
      <c r="AK215" s="647" t="str">
        <f>AK212</f>
        <v>-</v>
      </c>
      <c r="AL215" s="647"/>
      <c r="AM215" s="647"/>
    </row>
    <row r="216" spans="1:39" ht="8.4499999999999993" customHeight="1">
      <c r="A216" s="727"/>
      <c r="B216" s="729"/>
      <c r="C216" s="729"/>
      <c r="D216" s="729"/>
      <c r="E216" s="729"/>
      <c r="F216" s="728"/>
      <c r="G216" s="648"/>
      <c r="H216" s="648"/>
      <c r="I216" s="648"/>
      <c r="J216" s="717" t="str">
        <f t="shared" si="13"/>
        <v>-</v>
      </c>
      <c r="K216" s="718"/>
      <c r="L216" s="719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87"/>
      <c r="B217" s="688"/>
      <c r="C217" s="688"/>
      <c r="D217" s="688"/>
      <c r="E217" s="688"/>
      <c r="F217" s="689"/>
      <c r="G217" s="648"/>
      <c r="H217" s="648"/>
      <c r="I217" s="648"/>
      <c r="J217" s="714">
        <f t="shared" si="13"/>
        <v>45777</v>
      </c>
      <c r="K217" s="715"/>
      <c r="L217" s="716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4">
        <f>A215</f>
        <v>1373708422</v>
      </c>
      <c r="B218" s="685"/>
      <c r="C218" s="685"/>
      <c r="D218" s="685"/>
      <c r="E218" s="685"/>
      <c r="F218" s="686"/>
      <c r="G218" s="648" t="s">
        <v>730</v>
      </c>
      <c r="H218" s="648"/>
      <c r="I218" s="673"/>
      <c r="J218" s="655">
        <f>'Date masura OD'!$I$5</f>
        <v>45778</v>
      </c>
      <c r="K218" s="656"/>
      <c r="L218" s="657"/>
      <c r="M218" s="720" t="s">
        <v>446</v>
      </c>
      <c r="N218" s="648"/>
      <c r="O218" s="648">
        <f>O215</f>
        <v>1</v>
      </c>
      <c r="P218" s="648"/>
      <c r="Q218" s="648"/>
      <c r="R218" s="647" t="str">
        <f>U209</f>
        <v>1245592 (citit)</v>
      </c>
      <c r="S218" s="647"/>
      <c r="T218" s="647"/>
      <c r="U218" s="647" t="str">
        <f>VLOOKUP(A218,'Incrementare indexe'!$D:$M,4,FALSE)&amp;" (estimat)"</f>
        <v>1316216 (estimat)</v>
      </c>
      <c r="V218" s="647"/>
      <c r="W218" s="647"/>
      <c r="X218" s="647" t="str">
        <f>VLOOKUP(A218,'Incrementare indexe'!$D:$Q,11,FALSE)&amp;" (estimat)"</f>
        <v>70624 (estimat)</v>
      </c>
      <c r="Y218" s="647"/>
      <c r="Z218" s="647"/>
      <c r="AA218" s="647" t="s">
        <v>69</v>
      </c>
      <c r="AB218" s="647"/>
      <c r="AC218" s="647"/>
      <c r="AD218" s="647" t="s">
        <v>69</v>
      </c>
      <c r="AE218" s="647"/>
      <c r="AF218" s="647">
        <f>VLOOKUP(A218,'Incrementare indexe'!$D:$Q,11,FALSE)</f>
        <v>70624</v>
      </c>
      <c r="AG218" s="647"/>
      <c r="AH218" s="647"/>
      <c r="AI218" s="647">
        <f>J220-J218+1</f>
        <v>31</v>
      </c>
      <c r="AJ218" s="647"/>
      <c r="AK218" s="647">
        <f>ROUND(AF218/AI218,2)</f>
        <v>2278.19</v>
      </c>
      <c r="AL218" s="647"/>
      <c r="AM218" s="647"/>
    </row>
    <row r="219" spans="1:39" ht="8.4499999999999993" customHeight="1">
      <c r="A219" s="727"/>
      <c r="B219" s="729"/>
      <c r="C219" s="729"/>
      <c r="D219" s="729"/>
      <c r="E219" s="729"/>
      <c r="F219" s="728"/>
      <c r="G219" s="648"/>
      <c r="H219" s="648"/>
      <c r="I219" s="673"/>
      <c r="J219" s="717" t="s">
        <v>69</v>
      </c>
      <c r="K219" s="718"/>
      <c r="L219" s="719"/>
      <c r="M219" s="720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>
      <c r="A220" s="687"/>
      <c r="B220" s="688"/>
      <c r="C220" s="688"/>
      <c r="D220" s="688"/>
      <c r="E220" s="688"/>
      <c r="F220" s="689"/>
      <c r="G220" s="648"/>
      <c r="H220" s="648"/>
      <c r="I220" s="673"/>
      <c r="J220" s="714">
        <f>'Date masura OD'!$J$5</f>
        <v>45808</v>
      </c>
      <c r="K220" s="715"/>
      <c r="L220" s="716"/>
      <c r="M220" s="720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84">
        <f>A218</f>
        <v>1373708422</v>
      </c>
      <c r="B221" s="685"/>
      <c r="C221" s="685"/>
      <c r="D221" s="685"/>
      <c r="E221" s="685"/>
      <c r="F221" s="686"/>
      <c r="G221" s="648" t="s">
        <v>696</v>
      </c>
      <c r="H221" s="648"/>
      <c r="I221" s="648"/>
      <c r="J221" s="655">
        <f t="shared" ref="J221:J226" si="14">J218</f>
        <v>45778</v>
      </c>
      <c r="K221" s="656"/>
      <c r="L221" s="657"/>
      <c r="M221" s="648" t="s">
        <v>720</v>
      </c>
      <c r="N221" s="648"/>
      <c r="O221" s="648">
        <f>O218</f>
        <v>1</v>
      </c>
      <c r="P221" s="648"/>
      <c r="Q221" s="648"/>
      <c r="R221" s="647" t="str">
        <f>U212</f>
        <v>4440 (citit)</v>
      </c>
      <c r="S221" s="647"/>
      <c r="T221" s="647"/>
      <c r="U221" s="647" t="str">
        <f>VLOOKUP(A221,'Incrementare indexe'!$D:$M,8,FALSE)&amp;" (estimat)"</f>
        <v>4440 (estimat)</v>
      </c>
      <c r="V221" s="647"/>
      <c r="W221" s="647"/>
      <c r="X221" s="647" t="str">
        <f>VLOOKUP(A221,'Incrementare indexe'!$D:$Q,12,FALSE)&amp;" (estimat)"</f>
        <v>0 (estimat)</v>
      </c>
      <c r="Y221" s="647"/>
      <c r="Z221" s="647"/>
      <c r="AA221" s="647" t="s">
        <v>69</v>
      </c>
      <c r="AB221" s="647"/>
      <c r="AC221" s="647"/>
      <c r="AD221" s="647" t="s">
        <v>69</v>
      </c>
      <c r="AE221" s="647"/>
      <c r="AF221" s="647">
        <f>VLOOKUP(A221,'Incrementare indexe'!$D:$Q,12,FALSE)</f>
        <v>0</v>
      </c>
      <c r="AG221" s="647"/>
      <c r="AH221" s="647"/>
      <c r="AI221" s="647">
        <f>AI218</f>
        <v>31</v>
      </c>
      <c r="AJ221" s="647"/>
      <c r="AK221" s="647">
        <f>ROUND(AF221/AI221,2)</f>
        <v>0</v>
      </c>
      <c r="AL221" s="647"/>
      <c r="AM221" s="647"/>
    </row>
    <row r="222" spans="1:39" ht="8.4499999999999993" customHeight="1">
      <c r="A222" s="727"/>
      <c r="B222" s="729"/>
      <c r="C222" s="729"/>
      <c r="D222" s="729"/>
      <c r="E222" s="729"/>
      <c r="F222" s="728"/>
      <c r="G222" s="648"/>
      <c r="H222" s="648"/>
      <c r="I222" s="648"/>
      <c r="J222" s="717" t="str">
        <f t="shared" si="14"/>
        <v>-</v>
      </c>
      <c r="K222" s="718"/>
      <c r="L222" s="719"/>
      <c r="M222" s="648"/>
      <c r="N222" s="648"/>
      <c r="O222" s="648"/>
      <c r="P222" s="648"/>
      <c r="Q222" s="648"/>
      <c r="R222" s="647"/>
      <c r="S222" s="647"/>
      <c r="T222" s="647"/>
      <c r="U222" s="647"/>
      <c r="V222" s="647"/>
      <c r="W222" s="647"/>
      <c r="X222" s="647"/>
      <c r="Y222" s="647"/>
      <c r="Z222" s="647"/>
      <c r="AA222" s="647"/>
      <c r="AB222" s="647"/>
      <c r="AC222" s="647"/>
      <c r="AD222" s="647"/>
      <c r="AE222" s="647"/>
      <c r="AF222" s="647"/>
      <c r="AG222" s="647"/>
      <c r="AH222" s="647"/>
      <c r="AI222" s="647"/>
      <c r="AJ222" s="647"/>
      <c r="AK222" s="647"/>
      <c r="AL222" s="647"/>
      <c r="AM222" s="647"/>
    </row>
    <row r="223" spans="1:39" ht="14.1" customHeight="1">
      <c r="A223" s="687"/>
      <c r="B223" s="688"/>
      <c r="C223" s="688"/>
      <c r="D223" s="688"/>
      <c r="E223" s="688"/>
      <c r="F223" s="689"/>
      <c r="G223" s="648"/>
      <c r="H223" s="648"/>
      <c r="I223" s="648"/>
      <c r="J223" s="714">
        <f t="shared" si="14"/>
        <v>45808</v>
      </c>
      <c r="K223" s="715"/>
      <c r="L223" s="716"/>
      <c r="M223" s="648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84">
        <f>A221</f>
        <v>1373708422</v>
      </c>
      <c r="B224" s="685"/>
      <c r="C224" s="685"/>
      <c r="D224" s="685"/>
      <c r="E224" s="685"/>
      <c r="F224" s="686"/>
      <c r="G224" s="648" t="s">
        <v>731</v>
      </c>
      <c r="H224" s="648"/>
      <c r="I224" s="648"/>
      <c r="J224" s="655">
        <f t="shared" si="14"/>
        <v>45778</v>
      </c>
      <c r="K224" s="656"/>
      <c r="L224" s="657"/>
      <c r="M224" s="648" t="s">
        <v>720</v>
      </c>
      <c r="N224" s="648"/>
      <c r="O224" s="648">
        <f>O221</f>
        <v>1</v>
      </c>
      <c r="P224" s="648"/>
      <c r="Q224" s="648"/>
      <c r="R224" s="647" t="str">
        <f>U215</f>
        <v>172006 (citit)</v>
      </c>
      <c r="S224" s="647"/>
      <c r="T224" s="647"/>
      <c r="U224" s="647" t="str">
        <f>VLOOKUP(A224,'Incrementare indexe'!$D:$M,10,FALSE)&amp;" (estimat)"</f>
        <v>172006 (estimat)</v>
      </c>
      <c r="V224" s="647"/>
      <c r="W224" s="647"/>
      <c r="X224" s="647" t="str">
        <f>VLOOKUP(A224,'Incrementare indexe'!$D:$Q,13,FALSE)&amp;" (estimat)"</f>
        <v>0 (estimat)</v>
      </c>
      <c r="Y224" s="647"/>
      <c r="Z224" s="647"/>
      <c r="AA224" s="647" t="s">
        <v>69</v>
      </c>
      <c r="AB224" s="647"/>
      <c r="AC224" s="647"/>
      <c r="AD224" s="647" t="s">
        <v>69</v>
      </c>
      <c r="AE224" s="647"/>
      <c r="AF224" s="647">
        <f>VLOOKUP(A224,'Incrementare indexe'!$D:$Q,13,FALSE)</f>
        <v>0</v>
      </c>
      <c r="AG224" s="647"/>
      <c r="AH224" s="647"/>
      <c r="AI224" s="647">
        <f>AI221</f>
        <v>31</v>
      </c>
      <c r="AJ224" s="647"/>
      <c r="AK224" s="647">
        <f>ROUND(AF224/AI224,2)</f>
        <v>0</v>
      </c>
      <c r="AL224" s="647"/>
      <c r="AM224" s="647"/>
    </row>
    <row r="225" spans="1:39" ht="8.4499999999999993" customHeight="1">
      <c r="A225" s="727"/>
      <c r="B225" s="729"/>
      <c r="C225" s="729"/>
      <c r="D225" s="729"/>
      <c r="E225" s="729"/>
      <c r="F225" s="728"/>
      <c r="G225" s="648"/>
      <c r="H225" s="648"/>
      <c r="I225" s="648"/>
      <c r="J225" s="717" t="str">
        <f t="shared" si="14"/>
        <v>-</v>
      </c>
      <c r="K225" s="718"/>
      <c r="L225" s="719"/>
      <c r="M225" s="648"/>
      <c r="N225" s="648"/>
      <c r="O225" s="648"/>
      <c r="P225" s="648"/>
      <c r="Q225" s="648"/>
      <c r="R225" s="647"/>
      <c r="S225" s="647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647"/>
      <c r="AL225" s="647"/>
      <c r="AM225" s="647"/>
    </row>
    <row r="226" spans="1:39" ht="14.1" customHeight="1">
      <c r="A226" s="687"/>
      <c r="B226" s="688"/>
      <c r="C226" s="688"/>
      <c r="D226" s="688"/>
      <c r="E226" s="688"/>
      <c r="F226" s="689"/>
      <c r="G226" s="648"/>
      <c r="H226" s="648"/>
      <c r="I226" s="648"/>
      <c r="J226" s="714">
        <f t="shared" si="14"/>
        <v>45808</v>
      </c>
      <c r="K226" s="715"/>
      <c r="L226" s="716"/>
      <c r="M226" s="648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195"/>
      <c r="B227" s="195"/>
      <c r="C227" s="195"/>
      <c r="D227" s="195"/>
      <c r="E227" s="195"/>
      <c r="F227" s="195"/>
      <c r="G227" s="196"/>
      <c r="H227" s="196"/>
      <c r="I227" s="196"/>
      <c r="J227" s="197"/>
      <c r="K227" s="197"/>
      <c r="L227" s="197"/>
      <c r="M227" s="196"/>
      <c r="N227" s="196"/>
      <c r="O227" s="196"/>
      <c r="P227" s="196"/>
      <c r="Q227" s="196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</row>
    <row r="228" spans="1:39" ht="14.1" customHeight="1"/>
    <row r="229" spans="1:39" ht="14.1" customHeight="1">
      <c r="A229" s="721" t="s">
        <v>1196</v>
      </c>
      <c r="B229" s="722"/>
      <c r="C229" s="722"/>
      <c r="D229" s="722"/>
      <c r="E229" s="722"/>
      <c r="F229" s="722"/>
      <c r="G229" s="722"/>
      <c r="H229" s="722"/>
      <c r="I229" s="722"/>
      <c r="J229" s="722"/>
      <c r="K229" s="722"/>
      <c r="L229" s="722"/>
      <c r="M229" s="722"/>
      <c r="N229" s="722"/>
      <c r="O229" s="722"/>
      <c r="P229" s="722"/>
      <c r="Q229" s="722"/>
      <c r="R229" s="722"/>
      <c r="S229" s="722"/>
      <c r="T229" s="722"/>
      <c r="U229" s="722"/>
      <c r="V229" s="722"/>
      <c r="W229" s="722"/>
      <c r="X229" s="722"/>
      <c r="Y229" s="722"/>
      <c r="Z229" s="722"/>
      <c r="AA229" s="722"/>
      <c r="AB229" s="722"/>
      <c r="AC229" s="722"/>
      <c r="AD229" s="722"/>
      <c r="AE229" s="722"/>
      <c r="AF229" s="722"/>
      <c r="AG229" s="722"/>
      <c r="AH229" s="723"/>
      <c r="AI229" s="650" t="s">
        <v>695</v>
      </c>
      <c r="AJ229" s="650"/>
      <c r="AK229" s="650"/>
      <c r="AL229" s="650"/>
      <c r="AM229" s="650"/>
    </row>
    <row r="230" spans="1:39" ht="14.1" customHeight="1">
      <c r="A230" s="649" t="s">
        <v>746</v>
      </c>
      <c r="B230" s="649"/>
      <c r="C230" s="649"/>
      <c r="D230" s="649"/>
      <c r="E230" s="649"/>
      <c r="F230" s="649"/>
      <c r="G230" s="649"/>
      <c r="H230" s="649"/>
      <c r="I230" s="649"/>
      <c r="J230" s="649"/>
      <c r="K230" s="649"/>
      <c r="L230" s="649"/>
      <c r="M230" s="650" t="s">
        <v>514</v>
      </c>
      <c r="N230" s="650"/>
      <c r="O230" s="650"/>
      <c r="P230" s="650"/>
      <c r="Q230" s="650"/>
      <c r="R230" s="650"/>
      <c r="S230" s="650"/>
      <c r="T230" s="650"/>
      <c r="U230" s="650"/>
      <c r="V230" s="650"/>
      <c r="W230" s="650"/>
      <c r="X230" s="650"/>
      <c r="Y230" s="650"/>
      <c r="Z230" s="650"/>
      <c r="AA230" s="650"/>
      <c r="AB230" s="650"/>
      <c r="AC230" s="650"/>
      <c r="AD230" s="650"/>
      <c r="AE230" s="650"/>
      <c r="AF230" s="650"/>
      <c r="AG230" s="650"/>
      <c r="AH230" s="650"/>
      <c r="AI230" s="619" t="str">
        <f>_xlfn.CONCAT(AI195,"/PV")</f>
        <v>RGBM_2.1/PV</v>
      </c>
      <c r="AJ230" s="619"/>
      <c r="AK230" s="619"/>
      <c r="AL230" s="619"/>
      <c r="AM230" s="619"/>
    </row>
    <row r="231" spans="1:39" ht="14.1" customHeight="1">
      <c r="A231" s="649" t="s">
        <v>747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50" t="s">
        <v>1087</v>
      </c>
      <c r="N231" s="650"/>
      <c r="O231" s="650"/>
      <c r="P231" s="650"/>
      <c r="Q231" s="650"/>
      <c r="R231" s="650"/>
      <c r="S231" s="650"/>
      <c r="T231" s="650"/>
      <c r="U231" s="650"/>
      <c r="V231" s="650"/>
      <c r="W231" s="650"/>
      <c r="X231" s="650"/>
      <c r="Y231" s="650"/>
      <c r="Z231" s="650"/>
      <c r="AA231" s="650"/>
      <c r="AB231" s="650"/>
      <c r="AC231" s="650"/>
      <c r="AD231" s="650"/>
      <c r="AE231" s="650"/>
      <c r="AF231" s="650"/>
      <c r="AG231" s="650"/>
      <c r="AH231" s="650"/>
      <c r="AI231" s="619"/>
      <c r="AJ231" s="619"/>
      <c r="AK231" s="619"/>
      <c r="AL231" s="619"/>
      <c r="AM231" s="619"/>
    </row>
    <row r="232" spans="1:39" ht="14.1" customHeight="1">
      <c r="A232" s="648" t="s">
        <v>697</v>
      </c>
      <c r="B232" s="648"/>
      <c r="C232" s="648"/>
      <c r="D232" s="648"/>
      <c r="E232" s="648"/>
      <c r="F232" s="648"/>
      <c r="G232" s="647" t="s">
        <v>713</v>
      </c>
      <c r="H232" s="647"/>
      <c r="I232" s="647"/>
      <c r="J232" s="647" t="s">
        <v>714</v>
      </c>
      <c r="K232" s="647"/>
      <c r="L232" s="647"/>
      <c r="M232" s="648" t="s">
        <v>519</v>
      </c>
      <c r="N232" s="648"/>
      <c r="O232" s="648" t="s">
        <v>715</v>
      </c>
      <c r="P232" s="648"/>
      <c r="Q232" s="648"/>
      <c r="R232" s="647" t="s">
        <v>732</v>
      </c>
      <c r="S232" s="647"/>
      <c r="T232" s="647"/>
      <c r="U232" s="647" t="s">
        <v>734</v>
      </c>
      <c r="V232" s="647"/>
      <c r="W232" s="647"/>
      <c r="X232" s="647" t="s">
        <v>1085</v>
      </c>
      <c r="Y232" s="647"/>
      <c r="Z232" s="647"/>
      <c r="AA232" s="647" t="s">
        <v>1086</v>
      </c>
      <c r="AB232" s="647"/>
      <c r="AC232" s="647"/>
      <c r="AD232" s="647" t="s">
        <v>717</v>
      </c>
      <c r="AE232" s="647"/>
      <c r="AF232" s="647" t="s">
        <v>718</v>
      </c>
      <c r="AG232" s="647"/>
      <c r="AH232" s="647"/>
      <c r="AI232" s="647" t="s">
        <v>719</v>
      </c>
      <c r="AJ232" s="647"/>
      <c r="AK232" s="647" t="s">
        <v>733</v>
      </c>
      <c r="AL232" s="647"/>
      <c r="AM232" s="647"/>
    </row>
    <row r="233" spans="1:39" ht="14.1" customHeight="1">
      <c r="A233" s="648"/>
      <c r="B233" s="648"/>
      <c r="C233" s="648"/>
      <c r="D233" s="648"/>
      <c r="E233" s="648"/>
      <c r="F233" s="648"/>
      <c r="G233" s="647"/>
      <c r="H233" s="647"/>
      <c r="I233" s="647"/>
      <c r="J233" s="647"/>
      <c r="K233" s="647"/>
      <c r="L233" s="647"/>
      <c r="M233" s="648"/>
      <c r="N233" s="648"/>
      <c r="O233" s="648"/>
      <c r="P233" s="648"/>
      <c r="Q233" s="648"/>
      <c r="R233" s="647"/>
      <c r="S233" s="647"/>
      <c r="T233" s="647"/>
      <c r="U233" s="647"/>
      <c r="V233" s="647"/>
      <c r="W233" s="647"/>
      <c r="X233" s="647"/>
      <c r="Y233" s="647"/>
      <c r="Z233" s="647"/>
      <c r="AA233" s="647"/>
      <c r="AB233" s="647"/>
      <c r="AC233" s="647"/>
      <c r="AD233" s="647"/>
      <c r="AE233" s="647"/>
      <c r="AF233" s="647"/>
      <c r="AG233" s="647"/>
      <c r="AH233" s="647"/>
      <c r="AI233" s="647"/>
      <c r="AJ233" s="647"/>
      <c r="AK233" s="647"/>
      <c r="AL233" s="647"/>
      <c r="AM233" s="647"/>
    </row>
    <row r="234" spans="1:39" ht="14.1" customHeight="1">
      <c r="A234" s="648"/>
      <c r="B234" s="648"/>
      <c r="C234" s="648"/>
      <c r="D234" s="648"/>
      <c r="E234" s="648"/>
      <c r="F234" s="648"/>
      <c r="G234" s="647"/>
      <c r="H234" s="647"/>
      <c r="I234" s="647"/>
      <c r="J234" s="647"/>
      <c r="K234" s="647"/>
      <c r="L234" s="647"/>
      <c r="M234" s="648"/>
      <c r="N234" s="648"/>
      <c r="O234" s="648"/>
      <c r="P234" s="648"/>
      <c r="Q234" s="648"/>
      <c r="R234" s="647"/>
      <c r="S234" s="647"/>
      <c r="T234" s="647"/>
      <c r="U234" s="647"/>
      <c r="V234" s="647"/>
      <c r="W234" s="647"/>
      <c r="X234" s="647"/>
      <c r="Y234" s="647"/>
      <c r="Z234" s="647"/>
      <c r="AA234" s="647"/>
      <c r="AB234" s="647"/>
      <c r="AC234" s="647"/>
      <c r="AD234" s="647"/>
      <c r="AE234" s="647"/>
      <c r="AF234" s="647"/>
      <c r="AG234" s="647"/>
      <c r="AH234" s="647"/>
      <c r="AI234" s="647"/>
      <c r="AJ234" s="647"/>
      <c r="AK234" s="647"/>
      <c r="AL234" s="647"/>
      <c r="AM234" s="647"/>
    </row>
    <row r="235" spans="1:39" ht="14.1" customHeight="1">
      <c r="A235" s="678">
        <f>VLOOKUP(AI230,'Incrementare indexe'!$B:$I,3,FALSE)</f>
        <v>1373706532</v>
      </c>
      <c r="B235" s="679"/>
      <c r="C235" s="679"/>
      <c r="D235" s="679"/>
      <c r="E235" s="679"/>
      <c r="F235" s="680"/>
      <c r="G235" s="647" t="s">
        <v>1088</v>
      </c>
      <c r="H235" s="647"/>
      <c r="I235" s="675"/>
      <c r="J235" s="655">
        <f>'Date masura OD'!$I$5</f>
        <v>45778</v>
      </c>
      <c r="K235" s="656"/>
      <c r="L235" s="657"/>
      <c r="M235" s="720" t="s">
        <v>446</v>
      </c>
      <c r="N235" s="648"/>
      <c r="O235" s="648">
        <f>VLOOKUP(AI230,'Incrementare indexe'!$B:$I,4,FALSE)</f>
        <v>1</v>
      </c>
      <c r="P235" s="648"/>
      <c r="Q235" s="648"/>
      <c r="R235" s="647" t="str">
        <f>VLOOKUP(AI230,'Incrementare indexe'!$B:$I,7,FALSE)&amp;" (citit)"</f>
        <v>275293 (citit)</v>
      </c>
      <c r="S235" s="647"/>
      <c r="T235" s="647"/>
      <c r="U235" s="647" t="str">
        <f>VLOOKUP(AI230,'Incrementare indexe'!$B:$I,8,FALSE)&amp;" (citit)"</f>
        <v>319563 (citit)</v>
      </c>
      <c r="V235" s="647"/>
      <c r="W235" s="647"/>
      <c r="X235" s="647" t="str">
        <f>(VLOOKUP(AI230,'Incrementare indexe'!$B:$I,8,FALSE)-VLOOKUP(AI230,'Incrementare indexe'!$B:$I,7,FALSE))&amp;" (citit)"</f>
        <v>44270 (citit)</v>
      </c>
      <c r="Y235" s="647"/>
      <c r="Z235" s="647"/>
      <c r="AA235" s="647" t="s">
        <v>69</v>
      </c>
      <c r="AB235" s="647"/>
      <c r="AC235" s="647"/>
      <c r="AD235" s="647" t="s">
        <v>69</v>
      </c>
      <c r="AE235" s="647"/>
      <c r="AF235" s="647">
        <f>(VLOOKUP(AI230,'Incrementare indexe'!$B:$I,8,FALSE)-VLOOKUP(AI230,'Incrementare indexe'!$B:$I,7,FALSE))</f>
        <v>44270</v>
      </c>
      <c r="AG235" s="647"/>
      <c r="AH235" s="647"/>
      <c r="AI235" s="647">
        <f>J237-J235+1</f>
        <v>31</v>
      </c>
      <c r="AJ235" s="647"/>
      <c r="AK235" s="647">
        <f>ROUND(AF235/AI235,2)</f>
        <v>1428.06</v>
      </c>
      <c r="AL235" s="647"/>
      <c r="AM235" s="647"/>
    </row>
    <row r="236" spans="1:39" ht="14.1" customHeight="1">
      <c r="A236" s="717"/>
      <c r="B236" s="718"/>
      <c r="C236" s="718"/>
      <c r="D236" s="718"/>
      <c r="E236" s="718"/>
      <c r="F236" s="719"/>
      <c r="G236" s="647"/>
      <c r="H236" s="647"/>
      <c r="I236" s="675"/>
      <c r="J236" s="717" t="s">
        <v>69</v>
      </c>
      <c r="K236" s="718"/>
      <c r="L236" s="719"/>
      <c r="M236" s="720"/>
      <c r="N236" s="648"/>
      <c r="O236" s="648"/>
      <c r="P236" s="648"/>
      <c r="Q236" s="648"/>
      <c r="R236" s="647"/>
      <c r="S236" s="647"/>
      <c r="T236" s="647"/>
      <c r="U236" s="647"/>
      <c r="V236" s="647"/>
      <c r="W236" s="647"/>
      <c r="X236" s="647"/>
      <c r="Y236" s="647"/>
      <c r="Z236" s="647"/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</row>
    <row r="237" spans="1:39" ht="14.1" customHeight="1">
      <c r="A237" s="681"/>
      <c r="B237" s="682"/>
      <c r="C237" s="682"/>
      <c r="D237" s="682"/>
      <c r="E237" s="682"/>
      <c r="F237" s="683"/>
      <c r="G237" s="647"/>
      <c r="H237" s="647"/>
      <c r="I237" s="675"/>
      <c r="J237" s="714">
        <f>'Date masura OD'!$J$5</f>
        <v>45808</v>
      </c>
      <c r="K237" s="715"/>
      <c r="L237" s="716"/>
      <c r="M237" s="720"/>
      <c r="N237" s="648"/>
      <c r="O237" s="648"/>
      <c r="P237" s="648"/>
      <c r="Q237" s="648"/>
      <c r="R237" s="647"/>
      <c r="S237" s="647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647"/>
      <c r="AL237" s="647"/>
      <c r="AM237" s="647"/>
    </row>
    <row r="238" spans="1:39" ht="14.1" customHeight="1">
      <c r="A238" s="678">
        <f>A235</f>
        <v>1373706532</v>
      </c>
      <c r="B238" s="679"/>
      <c r="C238" s="679"/>
      <c r="D238" s="679"/>
      <c r="E238" s="679"/>
      <c r="F238" s="680"/>
      <c r="G238" s="648" t="s">
        <v>696</v>
      </c>
      <c r="H238" s="648"/>
      <c r="I238" s="648"/>
      <c r="J238" s="655">
        <f t="shared" ref="J238:J243" si="15">J235</f>
        <v>45778</v>
      </c>
      <c r="K238" s="656"/>
      <c r="L238" s="657"/>
      <c r="M238" s="648" t="s">
        <v>720</v>
      </c>
      <c r="N238" s="648"/>
      <c r="O238" s="648">
        <f>O235</f>
        <v>1</v>
      </c>
      <c r="P238" s="648"/>
      <c r="Q238" s="648"/>
      <c r="R238" s="647" t="s">
        <v>1089</v>
      </c>
      <c r="S238" s="647"/>
      <c r="T238" s="647"/>
      <c r="U238" s="647" t="s">
        <v>1089</v>
      </c>
      <c r="V238" s="647"/>
      <c r="W238" s="647"/>
      <c r="X238" s="647" t="s">
        <v>1089</v>
      </c>
      <c r="Y238" s="647"/>
      <c r="Z238" s="647"/>
      <c r="AA238" s="647" t="s">
        <v>69</v>
      </c>
      <c r="AB238" s="647"/>
      <c r="AC238" s="647"/>
      <c r="AD238" s="647" t="s">
        <v>69</v>
      </c>
      <c r="AE238" s="647"/>
      <c r="AF238" s="647">
        <v>0</v>
      </c>
      <c r="AG238" s="647"/>
      <c r="AH238" s="647"/>
      <c r="AI238" s="647">
        <f>AI235</f>
        <v>31</v>
      </c>
      <c r="AJ238" s="647"/>
      <c r="AK238" s="647">
        <f>ROUND(AF238/AI238,2)</f>
        <v>0</v>
      </c>
      <c r="AL238" s="647"/>
      <c r="AM238" s="647"/>
    </row>
    <row r="239" spans="1:39" ht="14.1" customHeight="1">
      <c r="A239" s="717"/>
      <c r="B239" s="718"/>
      <c r="C239" s="718"/>
      <c r="D239" s="718"/>
      <c r="E239" s="718"/>
      <c r="F239" s="719"/>
      <c r="G239" s="648"/>
      <c r="H239" s="648"/>
      <c r="I239" s="648"/>
      <c r="J239" s="717" t="str">
        <f t="shared" si="15"/>
        <v>-</v>
      </c>
      <c r="K239" s="718"/>
      <c r="L239" s="719"/>
      <c r="M239" s="648"/>
      <c r="N239" s="648"/>
      <c r="O239" s="648"/>
      <c r="P239" s="648"/>
      <c r="Q239" s="648"/>
      <c r="R239" s="647"/>
      <c r="S239" s="647"/>
      <c r="T239" s="647"/>
      <c r="U239" s="647"/>
      <c r="V239" s="647"/>
      <c r="W239" s="647"/>
      <c r="X239" s="647"/>
      <c r="Y239" s="647"/>
      <c r="Z239" s="647"/>
      <c r="AA239" s="647"/>
      <c r="AB239" s="647"/>
      <c r="AC239" s="647"/>
      <c r="AD239" s="647"/>
      <c r="AE239" s="647"/>
      <c r="AF239" s="647"/>
      <c r="AG239" s="647"/>
      <c r="AH239" s="647"/>
      <c r="AI239" s="647"/>
      <c r="AJ239" s="647"/>
      <c r="AK239" s="647"/>
      <c r="AL239" s="647"/>
      <c r="AM239" s="647"/>
    </row>
    <row r="240" spans="1:39" ht="14.1" customHeight="1">
      <c r="A240" s="681"/>
      <c r="B240" s="682"/>
      <c r="C240" s="682"/>
      <c r="D240" s="682"/>
      <c r="E240" s="682"/>
      <c r="F240" s="683"/>
      <c r="G240" s="648"/>
      <c r="H240" s="648"/>
      <c r="I240" s="648"/>
      <c r="J240" s="714">
        <f t="shared" si="15"/>
        <v>45808</v>
      </c>
      <c r="K240" s="715"/>
      <c r="L240" s="716"/>
      <c r="M240" s="648"/>
      <c r="N240" s="648"/>
      <c r="O240" s="648"/>
      <c r="P240" s="648"/>
      <c r="Q240" s="648"/>
      <c r="R240" s="647"/>
      <c r="S240" s="647"/>
      <c r="T240" s="647"/>
      <c r="U240" s="647"/>
      <c r="V240" s="647"/>
      <c r="W240" s="647"/>
      <c r="X240" s="647"/>
      <c r="Y240" s="647"/>
      <c r="Z240" s="647"/>
      <c r="AA240" s="647"/>
      <c r="AB240" s="647"/>
      <c r="AC240" s="647"/>
      <c r="AD240" s="647"/>
      <c r="AE240" s="647"/>
      <c r="AF240" s="647"/>
      <c r="AG240" s="647"/>
      <c r="AH240" s="647"/>
      <c r="AI240" s="647"/>
      <c r="AJ240" s="647"/>
      <c r="AK240" s="647"/>
      <c r="AL240" s="647"/>
      <c r="AM240" s="647"/>
    </row>
    <row r="241" spans="1:39" ht="14.1" customHeight="1">
      <c r="A241" s="678">
        <f>A238</f>
        <v>1373706532</v>
      </c>
      <c r="B241" s="679"/>
      <c r="C241" s="679"/>
      <c r="D241" s="679"/>
      <c r="E241" s="679"/>
      <c r="F241" s="680"/>
      <c r="G241" s="648" t="s">
        <v>731</v>
      </c>
      <c r="H241" s="648"/>
      <c r="I241" s="648"/>
      <c r="J241" s="655">
        <f t="shared" si="15"/>
        <v>45778</v>
      </c>
      <c r="K241" s="656"/>
      <c r="L241" s="657"/>
      <c r="M241" s="648" t="s">
        <v>720</v>
      </c>
      <c r="N241" s="648"/>
      <c r="O241" s="648">
        <f>O238</f>
        <v>1</v>
      </c>
      <c r="P241" s="648"/>
      <c r="Q241" s="648"/>
      <c r="R241" s="647" t="s">
        <v>1089</v>
      </c>
      <c r="S241" s="647"/>
      <c r="T241" s="647"/>
      <c r="U241" s="647" t="s">
        <v>1089</v>
      </c>
      <c r="V241" s="647"/>
      <c r="W241" s="647"/>
      <c r="X241" s="647" t="s">
        <v>1089</v>
      </c>
      <c r="Y241" s="647"/>
      <c r="Z241" s="647"/>
      <c r="AA241" s="647" t="s">
        <v>69</v>
      </c>
      <c r="AB241" s="647"/>
      <c r="AC241" s="647"/>
      <c r="AD241" s="647" t="s">
        <v>69</v>
      </c>
      <c r="AE241" s="647"/>
      <c r="AF241" s="647">
        <v>0</v>
      </c>
      <c r="AG241" s="647"/>
      <c r="AH241" s="647"/>
      <c r="AI241" s="647">
        <f>AI238</f>
        <v>31</v>
      </c>
      <c r="AJ241" s="647"/>
      <c r="AK241" s="647">
        <f>ROUND(AF241/AI241,2)</f>
        <v>0</v>
      </c>
      <c r="AL241" s="647"/>
      <c r="AM241" s="647"/>
    </row>
    <row r="242" spans="1:39" ht="14.1" customHeight="1">
      <c r="A242" s="717"/>
      <c r="B242" s="718"/>
      <c r="C242" s="718"/>
      <c r="D242" s="718"/>
      <c r="E242" s="718"/>
      <c r="F242" s="719"/>
      <c r="G242" s="648"/>
      <c r="H242" s="648"/>
      <c r="I242" s="648"/>
      <c r="J242" s="717" t="str">
        <f t="shared" si="15"/>
        <v>-</v>
      </c>
      <c r="K242" s="718"/>
      <c r="L242" s="719"/>
      <c r="M242" s="648"/>
      <c r="N242" s="648"/>
      <c r="O242" s="648"/>
      <c r="P242" s="648"/>
      <c r="Q242" s="648"/>
      <c r="R242" s="647"/>
      <c r="S242" s="647"/>
      <c r="T242" s="647"/>
      <c r="U242" s="647"/>
      <c r="V242" s="647"/>
      <c r="W242" s="647"/>
      <c r="X242" s="647"/>
      <c r="Y242" s="647"/>
      <c r="Z242" s="647"/>
      <c r="AA242" s="647"/>
      <c r="AB242" s="647"/>
      <c r="AC242" s="647"/>
      <c r="AD242" s="647"/>
      <c r="AE242" s="647"/>
      <c r="AF242" s="647"/>
      <c r="AG242" s="647"/>
      <c r="AH242" s="647"/>
      <c r="AI242" s="647"/>
      <c r="AJ242" s="647"/>
      <c r="AK242" s="647"/>
      <c r="AL242" s="647"/>
      <c r="AM242" s="647"/>
    </row>
    <row r="243" spans="1:39" ht="14.1" customHeight="1">
      <c r="A243" s="681"/>
      <c r="B243" s="682"/>
      <c r="C243" s="682"/>
      <c r="D243" s="682"/>
      <c r="E243" s="682"/>
      <c r="F243" s="683"/>
      <c r="G243" s="648"/>
      <c r="H243" s="648"/>
      <c r="I243" s="648"/>
      <c r="J243" s="714">
        <f t="shared" si="15"/>
        <v>45808</v>
      </c>
      <c r="K243" s="715"/>
      <c r="L243" s="716"/>
      <c r="M243" s="648"/>
      <c r="N243" s="648"/>
      <c r="O243" s="648"/>
      <c r="P243" s="648"/>
      <c r="Q243" s="648"/>
      <c r="R243" s="647"/>
      <c r="S243" s="647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647"/>
      <c r="AL243" s="647"/>
      <c r="AM243" s="647"/>
    </row>
    <row r="244" spans="1:39" ht="14.1" customHeight="1"/>
    <row r="245" spans="1:39" ht="15.95" customHeight="1">
      <c r="A245" s="624" t="str">
        <f>A27</f>
        <v>DETALII FACTURA FACTURA FISCALA SERIA …........ NR …................. din date de ….......06.2025</v>
      </c>
      <c r="B245" s="624"/>
      <c r="C245" s="624"/>
      <c r="D245" s="624"/>
      <c r="E245" s="624"/>
      <c r="F245" s="624"/>
      <c r="G245" s="624"/>
      <c r="H245" s="624"/>
      <c r="I245" s="624"/>
      <c r="J245" s="624"/>
      <c r="K245" s="624"/>
      <c r="L245" s="624"/>
      <c r="M245" s="624"/>
      <c r="N245" s="624"/>
      <c r="O245" s="624"/>
      <c r="P245" s="624"/>
      <c r="Q245" s="624"/>
      <c r="R245" s="624"/>
      <c r="S245" s="624"/>
      <c r="T245" s="624"/>
      <c r="U245" s="624"/>
      <c r="V245" s="624"/>
      <c r="W245" s="624"/>
      <c r="X245" s="624"/>
      <c r="Y245" s="624"/>
      <c r="Z245" s="624"/>
      <c r="AA245" s="624"/>
      <c r="AB245" s="624"/>
      <c r="AC245" s="624"/>
      <c r="AD245" s="624"/>
      <c r="AE245" s="624"/>
      <c r="AF245" s="624"/>
      <c r="AG245" s="624"/>
      <c r="AH245" s="624"/>
      <c r="AI245" s="624"/>
      <c r="AJ245" s="624"/>
      <c r="AK245" s="624"/>
      <c r="AL245" s="624"/>
      <c r="AM245" s="624"/>
    </row>
    <row r="247" spans="1:39" ht="36" customHeight="1">
      <c r="A247" s="66" t="s">
        <v>721</v>
      </c>
      <c r="B247" s="648" t="s">
        <v>95</v>
      </c>
      <c r="C247" s="648"/>
      <c r="D247" s="648"/>
      <c r="E247" s="648"/>
      <c r="F247" s="648"/>
      <c r="G247" s="648"/>
      <c r="H247" s="648"/>
      <c r="I247" s="648"/>
      <c r="J247" s="648"/>
      <c r="K247" s="648"/>
      <c r="L247" s="64" t="s">
        <v>709</v>
      </c>
      <c r="M247" s="69"/>
      <c r="N247" s="69"/>
      <c r="O247" s="64"/>
      <c r="P247" s="69"/>
      <c r="Q247" s="69"/>
      <c r="R247" s="647" t="s">
        <v>722</v>
      </c>
      <c r="S247" s="647"/>
      <c r="T247" s="647"/>
      <c r="U247" s="647"/>
      <c r="V247" s="648" t="s">
        <v>519</v>
      </c>
      <c r="W247" s="648"/>
      <c r="X247" s="647" t="s">
        <v>723</v>
      </c>
      <c r="Y247" s="647"/>
      <c r="Z247" s="647"/>
      <c r="AA247" s="647"/>
      <c r="AB247" s="647" t="s">
        <v>724</v>
      </c>
      <c r="AC247" s="647"/>
      <c r="AD247" s="647"/>
      <c r="AE247" s="647"/>
      <c r="AF247" s="647" t="s">
        <v>725</v>
      </c>
      <c r="AG247" s="647"/>
      <c r="AH247" s="647"/>
      <c r="AI247" s="647"/>
      <c r="AJ247" s="647" t="s">
        <v>726</v>
      </c>
      <c r="AK247" s="647"/>
      <c r="AL247" s="647"/>
      <c r="AM247" s="647"/>
    </row>
    <row r="248" spans="1:39" ht="15.95" customHeight="1">
      <c r="A248" s="65">
        <v>1</v>
      </c>
      <c r="B248" s="699" t="s">
        <v>71</v>
      </c>
      <c r="C248" s="700"/>
      <c r="D248" s="700"/>
      <c r="E248" s="700"/>
      <c r="F248" s="700"/>
      <c r="G248" s="700"/>
      <c r="H248" s="700"/>
      <c r="I248" s="700"/>
      <c r="J248" s="700"/>
      <c r="K248" s="701"/>
      <c r="L248" s="702">
        <f>'Date masura OD'!$I$5</f>
        <v>45778</v>
      </c>
      <c r="M248" s="702"/>
      <c r="N248" s="702"/>
      <c r="O248" s="702">
        <f>'Date masura OD'!$J$5</f>
        <v>45808</v>
      </c>
      <c r="P248" s="702"/>
      <c r="Q248" s="702"/>
      <c r="R248" s="690" cm="1">
        <f t="array" ref="R248">INDEX(verificare!$AT$4:$CC$26,VLOOKUP($AA$15,verificare!$AR$4:$AS$26,2,FALSE),A248)</f>
        <v>840199</v>
      </c>
      <c r="S248" s="690"/>
      <c r="T248" s="690"/>
      <c r="U248" s="690"/>
      <c r="V248" s="658" t="s">
        <v>446</v>
      </c>
      <c r="W248" s="658"/>
      <c r="X248" s="691">
        <f>HLOOKUP(VLOOKUP($AA$15,'Date SPV'!$B:$F,5,FALSE),'Preturi si tarife'!$C$2:$J$39,A248+2,FALSE)</f>
        <v>0.59499999999999997</v>
      </c>
      <c r="Y248" s="692"/>
      <c r="Z248" s="692"/>
      <c r="AA248" s="693"/>
      <c r="AB248" s="690">
        <f>ROUND(X248*R248,2)</f>
        <v>499918.41</v>
      </c>
      <c r="AC248" s="690"/>
      <c r="AD248" s="690"/>
      <c r="AE248" s="690"/>
      <c r="AF248" s="690">
        <f>ROUND(AB248*19%,2)</f>
        <v>94984.5</v>
      </c>
      <c r="AG248" s="690"/>
      <c r="AH248" s="690"/>
      <c r="AI248" s="690"/>
      <c r="AJ248" s="690">
        <f>AB248+AF248</f>
        <v>594902.90999999992</v>
      </c>
      <c r="AK248" s="690"/>
      <c r="AL248" s="690"/>
      <c r="AM248" s="690"/>
    </row>
    <row r="249" spans="1:39">
      <c r="A249" s="65">
        <f>A248+1</f>
        <v>2</v>
      </c>
      <c r="B249" s="699" t="s">
        <v>72</v>
      </c>
      <c r="C249" s="700"/>
      <c r="D249" s="700"/>
      <c r="E249" s="700"/>
      <c r="F249" s="700"/>
      <c r="G249" s="700"/>
      <c r="H249" s="700"/>
      <c r="I249" s="700"/>
      <c r="J249" s="700"/>
      <c r="K249" s="701"/>
      <c r="L249" s="702">
        <f>L248</f>
        <v>45778</v>
      </c>
      <c r="M249" s="702"/>
      <c r="N249" s="702"/>
      <c r="O249" s="702">
        <f>O248</f>
        <v>45808</v>
      </c>
      <c r="P249" s="702"/>
      <c r="Q249" s="702"/>
      <c r="R249" s="772" cm="1">
        <f t="array" ref="R249">INDEX(verificare!$AT$4:$CC$26,VLOOKUP($AA$15,verificare!$AR$4:$AS$26,2,FALSE),A249)</f>
        <v>0</v>
      </c>
      <c r="S249" s="773"/>
      <c r="T249" s="773"/>
      <c r="U249" s="774"/>
      <c r="V249" s="658" t="s">
        <v>727</v>
      </c>
      <c r="W249" s="658"/>
      <c r="X249" s="691">
        <f>HLOOKUP(VLOOKUP($AA$15,'Date SPV'!$B:$F,5,FALSE),'Preturi si tarife'!$C$2:$J$39,A249+2,FALSE)</f>
        <v>0.14649999999999999</v>
      </c>
      <c r="Y249" s="692"/>
      <c r="Z249" s="692"/>
      <c r="AA249" s="693"/>
      <c r="AB249" s="690">
        <f t="shared" ref="AB249:AB283" si="16">ROUND(X249*R249,2)</f>
        <v>0</v>
      </c>
      <c r="AC249" s="690"/>
      <c r="AD249" s="690"/>
      <c r="AE249" s="690"/>
      <c r="AF249" s="690">
        <f t="shared" ref="AF249:AF284" si="17">ROUND(AB249*19%,2)</f>
        <v>0</v>
      </c>
      <c r="AG249" s="690"/>
      <c r="AH249" s="690"/>
      <c r="AI249" s="690"/>
      <c r="AJ249" s="690">
        <f t="shared" ref="AJ249:AJ284" si="18">AB249+AF249</f>
        <v>0</v>
      </c>
      <c r="AK249" s="690"/>
      <c r="AL249" s="690"/>
      <c r="AM249" s="690"/>
    </row>
    <row r="250" spans="1:39">
      <c r="A250" s="65">
        <f t="shared" ref="A250:A284" si="19">A249+1</f>
        <v>3</v>
      </c>
      <c r="B250" s="699" t="s">
        <v>73</v>
      </c>
      <c r="C250" s="700"/>
      <c r="D250" s="700"/>
      <c r="E250" s="700"/>
      <c r="F250" s="700"/>
      <c r="G250" s="700"/>
      <c r="H250" s="700"/>
      <c r="I250" s="700"/>
      <c r="J250" s="700"/>
      <c r="K250" s="701"/>
      <c r="L250" s="702">
        <f t="shared" ref="L250:L265" si="20">L249</f>
        <v>45778</v>
      </c>
      <c r="M250" s="702"/>
      <c r="N250" s="702"/>
      <c r="O250" s="702">
        <f t="shared" ref="O250:O265" si="21">O249</f>
        <v>45808</v>
      </c>
      <c r="P250" s="702"/>
      <c r="Q250" s="702"/>
      <c r="R250" s="772" cm="1">
        <f t="array" ref="R250">INDEX(verificare!$AT$4:$CC$26,VLOOKUP($AA$15,verificare!$AR$4:$AS$26,2,FALSE),A250)</f>
        <v>0</v>
      </c>
      <c r="S250" s="773"/>
      <c r="T250" s="773"/>
      <c r="U250" s="774"/>
      <c r="V250" s="658" t="s">
        <v>727</v>
      </c>
      <c r="W250" s="658"/>
      <c r="X250" s="691">
        <f>HLOOKUP(VLOOKUP($AA$15,'Date SPV'!$B:$F,5,FALSE),'Preturi si tarife'!$C$2:$J$39,A250+2,FALSE)</f>
        <v>0.4395</v>
      </c>
      <c r="Y250" s="692"/>
      <c r="Z250" s="692"/>
      <c r="AA250" s="693"/>
      <c r="AB250" s="690">
        <f t="shared" si="16"/>
        <v>0</v>
      </c>
      <c r="AC250" s="690"/>
      <c r="AD250" s="690"/>
      <c r="AE250" s="690"/>
      <c r="AF250" s="690">
        <f t="shared" si="17"/>
        <v>0</v>
      </c>
      <c r="AG250" s="690"/>
      <c r="AH250" s="690"/>
      <c r="AI250" s="690"/>
      <c r="AJ250" s="690">
        <f t="shared" si="18"/>
        <v>0</v>
      </c>
      <c r="AK250" s="690"/>
      <c r="AL250" s="690"/>
      <c r="AM250" s="690"/>
    </row>
    <row r="251" spans="1:39" ht="15.95" customHeight="1">
      <c r="A251" s="65">
        <f t="shared" si="19"/>
        <v>4</v>
      </c>
      <c r="B251" s="699" t="s">
        <v>868</v>
      </c>
      <c r="C251" s="700"/>
      <c r="D251" s="700"/>
      <c r="E251" s="700"/>
      <c r="F251" s="700"/>
      <c r="G251" s="700"/>
      <c r="H251" s="700"/>
      <c r="I251" s="700"/>
      <c r="J251" s="700"/>
      <c r="K251" s="701"/>
      <c r="L251" s="702">
        <f t="shared" si="20"/>
        <v>45778</v>
      </c>
      <c r="M251" s="702"/>
      <c r="N251" s="702"/>
      <c r="O251" s="702">
        <f t="shared" si="21"/>
        <v>45808</v>
      </c>
      <c r="P251" s="702"/>
      <c r="Q251" s="702"/>
      <c r="R251" s="772" cm="1">
        <f t="array" ref="R251">INDEX(verificare!$AT$4:$CC$26,VLOOKUP($AA$15,verificare!$AR$4:$AS$26,2,FALSE),A251)</f>
        <v>840199</v>
      </c>
      <c r="S251" s="773"/>
      <c r="T251" s="773"/>
      <c r="U251" s="774"/>
      <c r="V251" s="658" t="s">
        <v>446</v>
      </c>
      <c r="W251" s="658"/>
      <c r="X251" s="691">
        <f>HLOOKUP(VLOOKUP($AA$15,'Date SPV'!$B:$F,5,FALSE),'Preturi si tarife'!$C$2:$J$39,A251+2,FALSE)</f>
        <v>0.13613999999999998</v>
      </c>
      <c r="Y251" s="692"/>
      <c r="Z251" s="692"/>
      <c r="AA251" s="693"/>
      <c r="AB251" s="690">
        <f t="shared" si="16"/>
        <v>114384.69</v>
      </c>
      <c r="AC251" s="690"/>
      <c r="AD251" s="690"/>
      <c r="AE251" s="690"/>
      <c r="AF251" s="690">
        <f t="shared" si="17"/>
        <v>21733.09</v>
      </c>
      <c r="AG251" s="690"/>
      <c r="AH251" s="690"/>
      <c r="AI251" s="690"/>
      <c r="AJ251" s="690">
        <f t="shared" si="18"/>
        <v>136117.78</v>
      </c>
      <c r="AK251" s="690"/>
      <c r="AL251" s="690"/>
      <c r="AM251" s="690"/>
    </row>
    <row r="252" spans="1:39">
      <c r="A252" s="65">
        <f t="shared" si="19"/>
        <v>5</v>
      </c>
      <c r="B252" s="699" t="s">
        <v>757</v>
      </c>
      <c r="C252" s="700"/>
      <c r="D252" s="700"/>
      <c r="E252" s="700"/>
      <c r="F252" s="700"/>
      <c r="G252" s="700"/>
      <c r="H252" s="700"/>
      <c r="I252" s="700"/>
      <c r="J252" s="700"/>
      <c r="K252" s="701"/>
      <c r="L252" s="702">
        <f t="shared" si="20"/>
        <v>45778</v>
      </c>
      <c r="M252" s="702"/>
      <c r="N252" s="702"/>
      <c r="O252" s="702">
        <f t="shared" si="21"/>
        <v>45808</v>
      </c>
      <c r="P252" s="702"/>
      <c r="Q252" s="702"/>
      <c r="R252" s="772" cm="1">
        <f t="array" ref="R252">INDEX(verificare!$AT$4:$CC$26,VLOOKUP($AA$15,verificare!$AR$4:$AS$26,2,FALSE),A252)</f>
        <v>0</v>
      </c>
      <c r="S252" s="773"/>
      <c r="T252" s="773"/>
      <c r="U252" s="774"/>
      <c r="V252" s="658" t="s">
        <v>446</v>
      </c>
      <c r="W252" s="658"/>
      <c r="X252" s="691">
        <f>HLOOKUP(VLOOKUP($AA$15,'Date SPV'!$B:$F,5,FALSE),'Preturi si tarife'!$C$2:$J$39,A252+2,FALSE)</f>
        <v>0.22738999999999998</v>
      </c>
      <c r="Y252" s="692"/>
      <c r="Z252" s="692"/>
      <c r="AA252" s="693"/>
      <c r="AB252" s="690">
        <f t="shared" si="16"/>
        <v>0</v>
      </c>
      <c r="AC252" s="690"/>
      <c r="AD252" s="690"/>
      <c r="AE252" s="690"/>
      <c r="AF252" s="690">
        <f t="shared" si="17"/>
        <v>0</v>
      </c>
      <c r="AG252" s="690"/>
      <c r="AH252" s="690"/>
      <c r="AI252" s="690"/>
      <c r="AJ252" s="690">
        <f t="shared" si="18"/>
        <v>0</v>
      </c>
      <c r="AK252" s="690"/>
      <c r="AL252" s="690"/>
      <c r="AM252" s="690"/>
    </row>
    <row r="253" spans="1:39" ht="15.95" customHeight="1">
      <c r="A253" s="65">
        <f t="shared" si="19"/>
        <v>6</v>
      </c>
      <c r="B253" s="699" t="s">
        <v>74</v>
      </c>
      <c r="C253" s="700"/>
      <c r="D253" s="700"/>
      <c r="E253" s="700"/>
      <c r="F253" s="700"/>
      <c r="G253" s="700"/>
      <c r="H253" s="700"/>
      <c r="I253" s="700"/>
      <c r="J253" s="700"/>
      <c r="K253" s="701"/>
      <c r="L253" s="702">
        <f t="shared" si="20"/>
        <v>45778</v>
      </c>
      <c r="M253" s="702"/>
      <c r="N253" s="702"/>
      <c r="O253" s="702">
        <f t="shared" si="21"/>
        <v>45808</v>
      </c>
      <c r="P253" s="702"/>
      <c r="Q253" s="702"/>
      <c r="R253" s="772" cm="1">
        <f t="array" ref="R253">INDEX(verificare!$AT$4:$CC$26,VLOOKUP($AA$15,verificare!$AR$4:$AS$26,2,FALSE),A253)</f>
        <v>840199</v>
      </c>
      <c r="S253" s="773"/>
      <c r="T253" s="773"/>
      <c r="U253" s="774"/>
      <c r="V253" s="658" t="s">
        <v>446</v>
      </c>
      <c r="W253" s="658"/>
      <c r="X253" s="691">
        <f>HLOOKUP(VLOOKUP($AA$15,'Date SPV'!$B:$F,5,FALSE),'Preturi si tarife'!$C$2:$J$39,A253+2,FALSE)</f>
        <v>1.1509999999999999E-2</v>
      </c>
      <c r="Y253" s="692"/>
      <c r="Z253" s="692"/>
      <c r="AA253" s="693"/>
      <c r="AB253" s="690">
        <f t="shared" si="16"/>
        <v>9670.69</v>
      </c>
      <c r="AC253" s="690"/>
      <c r="AD253" s="690"/>
      <c r="AE253" s="690"/>
      <c r="AF253" s="690">
        <f t="shared" si="17"/>
        <v>1837.43</v>
      </c>
      <c r="AG253" s="690"/>
      <c r="AH253" s="690"/>
      <c r="AI253" s="690"/>
      <c r="AJ253" s="690">
        <f t="shared" si="18"/>
        <v>11508.12</v>
      </c>
      <c r="AK253" s="690"/>
      <c r="AL253" s="690"/>
      <c r="AM253" s="690"/>
    </row>
    <row r="254" spans="1:39" ht="15.95" customHeight="1">
      <c r="A254" s="65">
        <f t="shared" si="19"/>
        <v>7</v>
      </c>
      <c r="B254" s="699" t="s">
        <v>75</v>
      </c>
      <c r="C254" s="700"/>
      <c r="D254" s="700"/>
      <c r="E254" s="700"/>
      <c r="F254" s="700"/>
      <c r="G254" s="700"/>
      <c r="H254" s="700"/>
      <c r="I254" s="700"/>
      <c r="J254" s="700"/>
      <c r="K254" s="701"/>
      <c r="L254" s="702">
        <f t="shared" si="20"/>
        <v>45778</v>
      </c>
      <c r="M254" s="702"/>
      <c r="N254" s="702"/>
      <c r="O254" s="702">
        <f t="shared" si="21"/>
        <v>45808</v>
      </c>
      <c r="P254" s="702"/>
      <c r="Q254" s="702"/>
      <c r="R254" s="772" cm="1">
        <f t="array" ref="R254">INDEX(verificare!$AT$4:$CC$26,VLOOKUP($AA$15,verificare!$AR$4:$AS$26,2,FALSE),A254)</f>
        <v>840199</v>
      </c>
      <c r="S254" s="773"/>
      <c r="T254" s="773"/>
      <c r="U254" s="774"/>
      <c r="V254" s="658" t="s">
        <v>446</v>
      </c>
      <c r="W254" s="658"/>
      <c r="X254" s="691">
        <f>HLOOKUP(VLOOKUP($AA$15,'Date SPV'!$B:$F,5,FALSE),'Preturi si tarife'!$C$2:$J$39,A254+2,FALSE)</f>
        <v>3.3030000000000004E-2</v>
      </c>
      <c r="Y254" s="692"/>
      <c r="Z254" s="692"/>
      <c r="AA254" s="693"/>
      <c r="AB254" s="690">
        <f t="shared" si="16"/>
        <v>27751.77</v>
      </c>
      <c r="AC254" s="690"/>
      <c r="AD254" s="690"/>
      <c r="AE254" s="690"/>
      <c r="AF254" s="690">
        <f t="shared" si="17"/>
        <v>5272.84</v>
      </c>
      <c r="AG254" s="690"/>
      <c r="AH254" s="690"/>
      <c r="AI254" s="690"/>
      <c r="AJ254" s="690">
        <f t="shared" si="18"/>
        <v>33024.61</v>
      </c>
      <c r="AK254" s="690"/>
      <c r="AL254" s="690"/>
      <c r="AM254" s="690"/>
    </row>
    <row r="255" spans="1:39" ht="15.95" customHeight="1">
      <c r="A255" s="65">
        <f t="shared" si="19"/>
        <v>8</v>
      </c>
      <c r="B255" s="699" t="s">
        <v>76</v>
      </c>
      <c r="C255" s="700"/>
      <c r="D255" s="700"/>
      <c r="E255" s="700"/>
      <c r="F255" s="700"/>
      <c r="G255" s="700"/>
      <c r="H255" s="700"/>
      <c r="I255" s="700"/>
      <c r="J255" s="700"/>
      <c r="K255" s="701"/>
      <c r="L255" s="702">
        <f t="shared" si="20"/>
        <v>45778</v>
      </c>
      <c r="M255" s="702"/>
      <c r="N255" s="702"/>
      <c r="O255" s="702">
        <f t="shared" si="21"/>
        <v>45808</v>
      </c>
      <c r="P255" s="702"/>
      <c r="Q255" s="702"/>
      <c r="R255" s="772" cm="1">
        <f t="array" ref="R255">INDEX(verificare!$AT$4:$CC$26,VLOOKUP($AA$15,verificare!$AR$4:$AS$26,2,FALSE),A255)</f>
        <v>840199</v>
      </c>
      <c r="S255" s="773"/>
      <c r="T255" s="773"/>
      <c r="U255" s="774"/>
      <c r="V255" s="658" t="s">
        <v>446</v>
      </c>
      <c r="W255" s="658"/>
      <c r="X255" s="691">
        <f>HLOOKUP(VLOOKUP($AA$15,'Date SPV'!$B:$F,5,FALSE),'Preturi si tarife'!$C$2:$J$39,A255+2,FALSE)</f>
        <v>3.29E-3</v>
      </c>
      <c r="Y255" s="692"/>
      <c r="Z255" s="692"/>
      <c r="AA255" s="693"/>
      <c r="AB255" s="690">
        <f t="shared" si="16"/>
        <v>2764.25</v>
      </c>
      <c r="AC255" s="690"/>
      <c r="AD255" s="690"/>
      <c r="AE255" s="690"/>
      <c r="AF255" s="690">
        <f t="shared" si="17"/>
        <v>525.21</v>
      </c>
      <c r="AG255" s="690"/>
      <c r="AH255" s="690"/>
      <c r="AI255" s="690"/>
      <c r="AJ255" s="690">
        <f t="shared" si="18"/>
        <v>3289.46</v>
      </c>
      <c r="AK255" s="690"/>
      <c r="AL255" s="690"/>
      <c r="AM255" s="690"/>
    </row>
    <row r="256" spans="1:39" ht="15.95" customHeight="1">
      <c r="A256" s="65">
        <f t="shared" si="19"/>
        <v>9</v>
      </c>
      <c r="B256" s="699" t="s">
        <v>77</v>
      </c>
      <c r="C256" s="700"/>
      <c r="D256" s="700"/>
      <c r="E256" s="700"/>
      <c r="F256" s="700"/>
      <c r="G256" s="700"/>
      <c r="H256" s="700"/>
      <c r="I256" s="700"/>
      <c r="J256" s="700"/>
      <c r="K256" s="701"/>
      <c r="L256" s="702">
        <f t="shared" si="20"/>
        <v>45778</v>
      </c>
      <c r="M256" s="702"/>
      <c r="N256" s="702"/>
      <c r="O256" s="702">
        <f t="shared" si="21"/>
        <v>45808</v>
      </c>
      <c r="P256" s="702"/>
      <c r="Q256" s="702"/>
      <c r="R256" s="772" cm="1">
        <f t="array" ref="R256">INDEX(verificare!$AT$4:$CC$26,VLOOKUP($AA$15,verificare!$AR$4:$AS$26,2,FALSE),A256)</f>
        <v>840199</v>
      </c>
      <c r="S256" s="773"/>
      <c r="T256" s="773"/>
      <c r="U256" s="774"/>
      <c r="V256" s="658" t="s">
        <v>446</v>
      </c>
      <c r="W256" s="658"/>
      <c r="X256" s="691">
        <f>HLOOKUP(VLOOKUP($AA$15,'Date SPV'!$B:$F,5,FALSE),'Preturi si tarife'!$C$2:$J$39,A256+2,FALSE)</f>
        <v>3.5000000000000001E-3</v>
      </c>
      <c r="Y256" s="692"/>
      <c r="Z256" s="692"/>
      <c r="AA256" s="693"/>
      <c r="AB256" s="690">
        <f t="shared" si="16"/>
        <v>2940.7</v>
      </c>
      <c r="AC256" s="690"/>
      <c r="AD256" s="690"/>
      <c r="AE256" s="690"/>
      <c r="AF256" s="690">
        <f t="shared" si="17"/>
        <v>558.73</v>
      </c>
      <c r="AG256" s="690"/>
      <c r="AH256" s="690"/>
      <c r="AI256" s="690"/>
      <c r="AJ256" s="690">
        <f t="shared" si="18"/>
        <v>3499.43</v>
      </c>
      <c r="AK256" s="690"/>
      <c r="AL256" s="690"/>
      <c r="AM256" s="690"/>
    </row>
    <row r="257" spans="1:39" ht="15.95" customHeight="1">
      <c r="A257" s="65">
        <f t="shared" si="19"/>
        <v>10</v>
      </c>
      <c r="B257" s="699" t="s">
        <v>78</v>
      </c>
      <c r="C257" s="700"/>
      <c r="D257" s="700"/>
      <c r="E257" s="700"/>
      <c r="F257" s="700"/>
      <c r="G257" s="700"/>
      <c r="H257" s="700"/>
      <c r="I257" s="700"/>
      <c r="J257" s="700"/>
      <c r="K257" s="701"/>
      <c r="L257" s="702">
        <f t="shared" si="20"/>
        <v>45778</v>
      </c>
      <c r="M257" s="702"/>
      <c r="N257" s="702"/>
      <c r="O257" s="702">
        <f t="shared" si="21"/>
        <v>45808</v>
      </c>
      <c r="P257" s="702"/>
      <c r="Q257" s="702"/>
      <c r="R257" s="772" cm="1">
        <f t="array" ref="R257">INDEX(verificare!$AT$4:$CC$26,VLOOKUP($AA$15,verificare!$AR$4:$AS$26,2,FALSE),A257)</f>
        <v>840199</v>
      </c>
      <c r="S257" s="773"/>
      <c r="T257" s="773"/>
      <c r="U257" s="774"/>
      <c r="V257" s="658" t="s">
        <v>446</v>
      </c>
      <c r="W257" s="658"/>
      <c r="X257" s="691">
        <f>HLOOKUP(VLOOKUP($AA$15,'Date SPV'!$B:$F,5,FALSE),'Preturi si tarife'!$C$2:$J$39,A257+2,FALSE)</f>
        <v>7.2541599999999998E-2</v>
      </c>
      <c r="Y257" s="692"/>
      <c r="Z257" s="692"/>
      <c r="AA257" s="693"/>
      <c r="AB257" s="690">
        <f t="shared" si="16"/>
        <v>60949.38</v>
      </c>
      <c r="AC257" s="690"/>
      <c r="AD257" s="690"/>
      <c r="AE257" s="690"/>
      <c r="AF257" s="690">
        <f t="shared" si="17"/>
        <v>11580.38</v>
      </c>
      <c r="AG257" s="690"/>
      <c r="AH257" s="690"/>
      <c r="AI257" s="690"/>
      <c r="AJ257" s="690">
        <f t="shared" si="18"/>
        <v>72529.759999999995</v>
      </c>
      <c r="AK257" s="690"/>
      <c r="AL257" s="690"/>
      <c r="AM257" s="690"/>
    </row>
    <row r="258" spans="1:39" ht="15.95" customHeight="1">
      <c r="A258" s="65">
        <f t="shared" si="19"/>
        <v>11</v>
      </c>
      <c r="B258" s="699" t="s">
        <v>1313</v>
      </c>
      <c r="C258" s="700"/>
      <c r="D258" s="700"/>
      <c r="E258" s="700"/>
      <c r="F258" s="700"/>
      <c r="G258" s="700"/>
      <c r="H258" s="700"/>
      <c r="I258" s="700"/>
      <c r="J258" s="700"/>
      <c r="K258" s="701"/>
      <c r="L258" s="763">
        <f t="shared" si="20"/>
        <v>45778</v>
      </c>
      <c r="M258" s="764"/>
      <c r="N258" s="765"/>
      <c r="O258" s="763">
        <f t="shared" si="21"/>
        <v>45808</v>
      </c>
      <c r="P258" s="764"/>
      <c r="Q258" s="765"/>
      <c r="R258" s="772" cm="1">
        <f t="array" ref="R258">INDEX(verificare!$AT$4:$CC$26,VLOOKUP($AA$15,verificare!$AR$4:$AS$26,2,FALSE),A258)</f>
        <v>840199</v>
      </c>
      <c r="S258" s="773"/>
      <c r="T258" s="773"/>
      <c r="U258" s="774"/>
      <c r="V258" s="724" t="s">
        <v>446</v>
      </c>
      <c r="W258" s="725"/>
      <c r="X258" s="691">
        <f>HLOOKUP(VLOOKUP($AA$15,'Date SPV'!$B:$F,5,FALSE),'Preturi si tarife'!$C$2:$J$39,A258+2,FALSE)</f>
        <v>2.0599999999999999E-4</v>
      </c>
      <c r="Y258" s="692"/>
      <c r="Z258" s="692"/>
      <c r="AA258" s="693"/>
      <c r="AB258" s="772">
        <f t="shared" si="16"/>
        <v>173.08</v>
      </c>
      <c r="AC258" s="773"/>
      <c r="AD258" s="773"/>
      <c r="AE258" s="774"/>
      <c r="AF258" s="772">
        <f t="shared" si="17"/>
        <v>32.89</v>
      </c>
      <c r="AG258" s="773"/>
      <c r="AH258" s="773"/>
      <c r="AI258" s="774"/>
      <c r="AJ258" s="772">
        <f t="shared" si="18"/>
        <v>205.97000000000003</v>
      </c>
      <c r="AK258" s="773"/>
      <c r="AL258" s="773"/>
      <c r="AM258" s="774"/>
    </row>
    <row r="259" spans="1:39">
      <c r="A259" s="65">
        <f t="shared" si="19"/>
        <v>12</v>
      </c>
      <c r="B259" s="699" t="s">
        <v>79</v>
      </c>
      <c r="C259" s="700"/>
      <c r="D259" s="700"/>
      <c r="E259" s="700"/>
      <c r="F259" s="700"/>
      <c r="G259" s="700"/>
      <c r="H259" s="700"/>
      <c r="I259" s="700"/>
      <c r="J259" s="700"/>
      <c r="K259" s="701"/>
      <c r="L259" s="702">
        <f>L257</f>
        <v>45778</v>
      </c>
      <c r="M259" s="702"/>
      <c r="N259" s="702"/>
      <c r="O259" s="702">
        <f>O257</f>
        <v>45808</v>
      </c>
      <c r="P259" s="702"/>
      <c r="Q259" s="702"/>
      <c r="R259" s="772" cm="1">
        <f t="array" ref="R259">INDEX(verificare!$AT$4:$CC$26,VLOOKUP($AA$15,verificare!$AR$4:$AS$26,2,FALSE),A259)</f>
        <v>840199</v>
      </c>
      <c r="S259" s="773"/>
      <c r="T259" s="773"/>
      <c r="U259" s="774"/>
      <c r="V259" s="658" t="s">
        <v>446</v>
      </c>
      <c r="W259" s="658"/>
      <c r="X259" s="691">
        <f>HLOOKUP(VLOOKUP($AA$15,'Date SPV'!$B:$F,5,FALSE),'Preturi si tarife'!$C$2:$J$39,A259+2,FALSE)</f>
        <v>0</v>
      </c>
      <c r="Y259" s="692"/>
      <c r="Z259" s="692"/>
      <c r="AA259" s="693"/>
      <c r="AB259" s="690">
        <f t="shared" si="16"/>
        <v>0</v>
      </c>
      <c r="AC259" s="690"/>
      <c r="AD259" s="690"/>
      <c r="AE259" s="690"/>
      <c r="AF259" s="690">
        <f t="shared" si="17"/>
        <v>0</v>
      </c>
      <c r="AG259" s="690"/>
      <c r="AH259" s="690"/>
      <c r="AI259" s="690"/>
      <c r="AJ259" s="690">
        <f t="shared" si="18"/>
        <v>0</v>
      </c>
      <c r="AK259" s="690"/>
      <c r="AL259" s="690"/>
      <c r="AM259" s="690"/>
    </row>
    <row r="260" spans="1:39" ht="15.95" customHeight="1">
      <c r="A260" s="65">
        <f t="shared" si="19"/>
        <v>13</v>
      </c>
      <c r="B260" s="699" t="s">
        <v>80</v>
      </c>
      <c r="C260" s="700"/>
      <c r="D260" s="700"/>
      <c r="E260" s="700"/>
      <c r="F260" s="700"/>
      <c r="G260" s="700"/>
      <c r="H260" s="700"/>
      <c r="I260" s="700"/>
      <c r="J260" s="700"/>
      <c r="K260" s="701"/>
      <c r="L260" s="702">
        <f t="shared" si="20"/>
        <v>45778</v>
      </c>
      <c r="M260" s="702"/>
      <c r="N260" s="702"/>
      <c r="O260" s="702">
        <f t="shared" si="21"/>
        <v>45808</v>
      </c>
      <c r="P260" s="702"/>
      <c r="Q260" s="702"/>
      <c r="R260" s="772" cm="1">
        <f t="array" ref="R260">INDEX(verificare!$AT$4:$CC$26,VLOOKUP($AA$15,verificare!$AR$4:$AS$26,2,FALSE),A260)</f>
        <v>840199</v>
      </c>
      <c r="S260" s="773"/>
      <c r="T260" s="773"/>
      <c r="U260" s="774"/>
      <c r="V260" s="658" t="s">
        <v>446</v>
      </c>
      <c r="W260" s="658"/>
      <c r="X260" s="691">
        <f>HLOOKUP(VLOOKUP($AA$15,'Date SPV'!$B:$F,5,FALSE),'Preturi si tarife'!$C$2:$J$39,A260+2,FALSE)</f>
        <v>1.7000000000000001E-2</v>
      </c>
      <c r="Y260" s="692"/>
      <c r="Z260" s="692"/>
      <c r="AA260" s="693"/>
      <c r="AB260" s="690">
        <f t="shared" si="16"/>
        <v>14283.38</v>
      </c>
      <c r="AC260" s="690"/>
      <c r="AD260" s="690"/>
      <c r="AE260" s="690"/>
      <c r="AF260" s="690">
        <f t="shared" si="17"/>
        <v>2713.84</v>
      </c>
      <c r="AG260" s="690"/>
      <c r="AH260" s="690"/>
      <c r="AI260" s="690"/>
      <c r="AJ260" s="690">
        <f t="shared" si="18"/>
        <v>16997.22</v>
      </c>
      <c r="AK260" s="690"/>
      <c r="AL260" s="690"/>
      <c r="AM260" s="690"/>
    </row>
    <row r="261" spans="1:39">
      <c r="A261" s="65">
        <f t="shared" si="19"/>
        <v>14</v>
      </c>
      <c r="B261" s="699" t="s">
        <v>81</v>
      </c>
      <c r="C261" s="700"/>
      <c r="D261" s="700"/>
      <c r="E261" s="700"/>
      <c r="F261" s="700"/>
      <c r="G261" s="700"/>
      <c r="H261" s="700"/>
      <c r="I261" s="700"/>
      <c r="J261" s="700"/>
      <c r="K261" s="701"/>
      <c r="L261" s="702">
        <f t="shared" si="20"/>
        <v>45778</v>
      </c>
      <c r="M261" s="702"/>
      <c r="N261" s="702"/>
      <c r="O261" s="702">
        <f t="shared" si="21"/>
        <v>45808</v>
      </c>
      <c r="P261" s="702"/>
      <c r="Q261" s="702"/>
      <c r="R261" s="772" cm="1">
        <f t="array" ref="R261">INDEX(verificare!$AT$4:$CC$26,VLOOKUP($AA$15,verificare!$AR$4:$AS$26,2,FALSE),A261)</f>
        <v>840199</v>
      </c>
      <c r="S261" s="773"/>
      <c r="T261" s="773"/>
      <c r="U261" s="774"/>
      <c r="V261" s="658" t="s">
        <v>446</v>
      </c>
      <c r="W261" s="658"/>
      <c r="X261" s="691">
        <f>HLOOKUP(VLOOKUP($AA$15,'Date SPV'!$B:$F,5,FALSE),'Preturi si tarife'!$C$2:$J$39,A261+2,FALSE)</f>
        <v>0.10290000000000001</v>
      </c>
      <c r="Y261" s="692"/>
      <c r="Z261" s="692"/>
      <c r="AA261" s="693"/>
      <c r="AB261" s="690">
        <f t="shared" si="16"/>
        <v>86456.48</v>
      </c>
      <c r="AC261" s="690"/>
      <c r="AD261" s="690"/>
      <c r="AE261" s="690"/>
      <c r="AF261" s="690">
        <f t="shared" si="17"/>
        <v>16426.73</v>
      </c>
      <c r="AG261" s="690"/>
      <c r="AH261" s="690"/>
      <c r="AI261" s="690"/>
      <c r="AJ261" s="690">
        <f t="shared" si="18"/>
        <v>102883.20999999999</v>
      </c>
      <c r="AK261" s="690"/>
      <c r="AL261" s="690"/>
      <c r="AM261" s="690"/>
    </row>
    <row r="262" spans="1:39">
      <c r="A262" s="65">
        <f t="shared" si="19"/>
        <v>15</v>
      </c>
      <c r="B262" s="699" t="s">
        <v>82</v>
      </c>
      <c r="C262" s="700"/>
      <c r="D262" s="700"/>
      <c r="E262" s="700"/>
      <c r="F262" s="700"/>
      <c r="G262" s="700"/>
      <c r="H262" s="700"/>
      <c r="I262" s="700"/>
      <c r="J262" s="700"/>
      <c r="K262" s="701"/>
      <c r="L262" s="702">
        <f t="shared" si="20"/>
        <v>45778</v>
      </c>
      <c r="M262" s="702"/>
      <c r="N262" s="702"/>
      <c r="O262" s="702">
        <f t="shared" si="21"/>
        <v>45808</v>
      </c>
      <c r="P262" s="702"/>
      <c r="Q262" s="702"/>
      <c r="R262" s="690" cm="1">
        <f t="array" ref="R262">INDEX(verificare!$AT$4:$CC$26,VLOOKUP($AA$15,verificare!$AR$4:$AS$26,2,FALSE),A262)</f>
        <v>349352</v>
      </c>
      <c r="S262" s="690"/>
      <c r="T262" s="690"/>
      <c r="U262" s="690"/>
      <c r="V262" s="658" t="s">
        <v>446</v>
      </c>
      <c r="W262" s="658"/>
      <c r="X262" s="691">
        <f>HLOOKUP(VLOOKUP($AA$15,'Date SPV'!$B:$F,5,FALSE),'Preturi si tarife'!$C$2:$J$39,A262+2,FALSE)</f>
        <v>0.97511760000000003</v>
      </c>
      <c r="Y262" s="692"/>
      <c r="Z262" s="692"/>
      <c r="AA262" s="693"/>
      <c r="AB262" s="690">
        <f t="shared" si="16"/>
        <v>340659.28</v>
      </c>
      <c r="AC262" s="690"/>
      <c r="AD262" s="690"/>
      <c r="AE262" s="690"/>
      <c r="AF262" s="690">
        <f t="shared" si="17"/>
        <v>64725.26</v>
      </c>
      <c r="AG262" s="690"/>
      <c r="AH262" s="690"/>
      <c r="AI262" s="690"/>
      <c r="AJ262" s="690">
        <f t="shared" si="18"/>
        <v>405384.54000000004</v>
      </c>
      <c r="AK262" s="690"/>
      <c r="AL262" s="690"/>
      <c r="AM262" s="690"/>
    </row>
    <row r="263" spans="1:39" ht="15.95" customHeight="1">
      <c r="A263" s="65">
        <f t="shared" si="19"/>
        <v>16</v>
      </c>
      <c r="B263" s="699" t="s">
        <v>83</v>
      </c>
      <c r="C263" s="700"/>
      <c r="D263" s="700"/>
      <c r="E263" s="700"/>
      <c r="F263" s="700"/>
      <c r="G263" s="700"/>
      <c r="H263" s="700"/>
      <c r="I263" s="700"/>
      <c r="J263" s="700"/>
      <c r="K263" s="701"/>
      <c r="L263" s="702">
        <f t="shared" si="20"/>
        <v>45778</v>
      </c>
      <c r="M263" s="702"/>
      <c r="N263" s="702"/>
      <c r="O263" s="702">
        <f t="shared" si="21"/>
        <v>45808</v>
      </c>
      <c r="P263" s="702"/>
      <c r="Q263" s="702"/>
      <c r="R263" s="690" cm="1">
        <f t="array" ref="R263">INDEX(verificare!$AT$4:$CC$26,VLOOKUP($AA$15,verificare!$AR$4:$AS$26,2,FALSE),A263)</f>
        <v>126303</v>
      </c>
      <c r="S263" s="690"/>
      <c r="T263" s="690"/>
      <c r="U263" s="690"/>
      <c r="V263" s="658" t="s">
        <v>446</v>
      </c>
      <c r="W263" s="658"/>
      <c r="X263" s="691">
        <f>HLOOKUP(VLOOKUP($AA$15,'Date SPV'!$B:$F,5,FALSE),'Preturi si tarife'!$C$2:$J$39,A263+2,FALSE)</f>
        <v>0.85521760000000002</v>
      </c>
      <c r="Y263" s="692"/>
      <c r="Z263" s="692"/>
      <c r="AA263" s="693"/>
      <c r="AB263" s="690">
        <f t="shared" si="16"/>
        <v>108016.55</v>
      </c>
      <c r="AC263" s="690"/>
      <c r="AD263" s="690"/>
      <c r="AE263" s="690"/>
      <c r="AF263" s="690">
        <f t="shared" si="17"/>
        <v>20523.14</v>
      </c>
      <c r="AG263" s="690"/>
      <c r="AH263" s="690"/>
      <c r="AI263" s="690"/>
      <c r="AJ263" s="690">
        <f t="shared" si="18"/>
        <v>128539.69</v>
      </c>
      <c r="AK263" s="690"/>
      <c r="AL263" s="690"/>
      <c r="AM263" s="690"/>
    </row>
    <row r="264" spans="1:39" ht="15.95" customHeight="1">
      <c r="A264" s="65">
        <f t="shared" si="19"/>
        <v>17</v>
      </c>
      <c r="B264" s="699" t="s">
        <v>1129</v>
      </c>
      <c r="C264" s="700"/>
      <c r="D264" s="700"/>
      <c r="E264" s="700"/>
      <c r="F264" s="700"/>
      <c r="G264" s="700"/>
      <c r="H264" s="700"/>
      <c r="I264" s="700"/>
      <c r="J264" s="700"/>
      <c r="K264" s="701"/>
      <c r="L264" s="702">
        <f t="shared" si="20"/>
        <v>45778</v>
      </c>
      <c r="M264" s="702"/>
      <c r="N264" s="702"/>
      <c r="O264" s="702">
        <f t="shared" si="21"/>
        <v>45808</v>
      </c>
      <c r="P264" s="702"/>
      <c r="Q264" s="702"/>
      <c r="R264" s="690" cm="1">
        <f t="array" ref="R264">INDEX(verificare!$AT$4:$CC$26,VLOOKUP($AA$15,verificare!$AR$4:$AS$26,2,FALSE),A264)</f>
        <v>126303</v>
      </c>
      <c r="S264" s="690"/>
      <c r="T264" s="690"/>
      <c r="U264" s="690"/>
      <c r="V264" s="658" t="s">
        <v>446</v>
      </c>
      <c r="W264" s="658"/>
      <c r="X264" s="691">
        <f>HLOOKUP(VLOOKUP($AA$15,'Date SPV'!$B:$F,5,FALSE),'Preturi si tarife'!$C$2:$J$39,A264+2,FALSE)</f>
        <v>1.7000000000000001E-2</v>
      </c>
      <c r="Y264" s="692"/>
      <c r="Z264" s="692"/>
      <c r="AA264" s="693"/>
      <c r="AB264" s="690">
        <f t="shared" si="16"/>
        <v>2147.15</v>
      </c>
      <c r="AC264" s="690"/>
      <c r="AD264" s="690"/>
      <c r="AE264" s="690"/>
      <c r="AF264" s="690">
        <f t="shared" si="17"/>
        <v>407.96</v>
      </c>
      <c r="AG264" s="690"/>
      <c r="AH264" s="690"/>
      <c r="AI264" s="690"/>
      <c r="AJ264" s="690">
        <f t="shared" si="18"/>
        <v>2555.11</v>
      </c>
      <c r="AK264" s="690"/>
      <c r="AL264" s="690"/>
      <c r="AM264" s="690"/>
    </row>
    <row r="265" spans="1:39" ht="15.95" customHeight="1">
      <c r="A265" s="65">
        <f t="shared" si="19"/>
        <v>18</v>
      </c>
      <c r="B265" s="699" t="s">
        <v>1130</v>
      </c>
      <c r="C265" s="700"/>
      <c r="D265" s="700"/>
      <c r="E265" s="700"/>
      <c r="F265" s="700"/>
      <c r="G265" s="700"/>
      <c r="H265" s="700"/>
      <c r="I265" s="700"/>
      <c r="J265" s="700"/>
      <c r="K265" s="701"/>
      <c r="L265" s="702">
        <f t="shared" si="20"/>
        <v>45778</v>
      </c>
      <c r="M265" s="702"/>
      <c r="N265" s="702"/>
      <c r="O265" s="702">
        <f t="shared" si="21"/>
        <v>45808</v>
      </c>
      <c r="P265" s="702"/>
      <c r="Q265" s="702"/>
      <c r="R265" s="690" cm="1">
        <f t="array" ref="R265">INDEX(verificare!$AT$4:$CC$26,VLOOKUP($AA$15,verificare!$AR$4:$AS$26,2,FALSE),A265)</f>
        <v>126303</v>
      </c>
      <c r="S265" s="690"/>
      <c r="T265" s="690"/>
      <c r="U265" s="690"/>
      <c r="V265" s="658" t="s">
        <v>446</v>
      </c>
      <c r="W265" s="658"/>
      <c r="X265" s="691">
        <f>HLOOKUP(VLOOKUP($AA$15,'Date SPV'!$B:$F,5,FALSE),'Preturi si tarife'!$C$2:$J$39,A265+2,FALSE)</f>
        <v>0.10290000000000001</v>
      </c>
      <c r="Y265" s="692"/>
      <c r="Z265" s="692"/>
      <c r="AA265" s="693"/>
      <c r="AB265" s="690">
        <f t="shared" si="16"/>
        <v>12996.58</v>
      </c>
      <c r="AC265" s="690"/>
      <c r="AD265" s="690"/>
      <c r="AE265" s="690"/>
      <c r="AF265" s="690">
        <f t="shared" si="17"/>
        <v>2469.35</v>
      </c>
      <c r="AG265" s="690"/>
      <c r="AH265" s="690"/>
      <c r="AI265" s="690"/>
      <c r="AJ265" s="690">
        <f t="shared" si="18"/>
        <v>15465.93</v>
      </c>
      <c r="AK265" s="690"/>
      <c r="AL265" s="690"/>
      <c r="AM265" s="690"/>
    </row>
    <row r="266" spans="1:39">
      <c r="A266" s="65">
        <f t="shared" si="19"/>
        <v>19</v>
      </c>
      <c r="B266" s="699" t="s">
        <v>99</v>
      </c>
      <c r="C266" s="700"/>
      <c r="D266" s="700"/>
      <c r="E266" s="700"/>
      <c r="F266" s="700"/>
      <c r="G266" s="700"/>
      <c r="H266" s="700"/>
      <c r="I266" s="700"/>
      <c r="J266" s="700"/>
      <c r="K266" s="701"/>
      <c r="L266" s="702">
        <f>'Date masura OD'!$W$5</f>
        <v>45748</v>
      </c>
      <c r="M266" s="702"/>
      <c r="N266" s="702"/>
      <c r="O266" s="702">
        <f>'Date masura OD'!$X$5</f>
        <v>45777</v>
      </c>
      <c r="P266" s="702"/>
      <c r="Q266" s="702"/>
      <c r="R266" s="690" cm="1">
        <f t="array" ref="R266">INDEX(verificare!$AT$4:$CC$26,VLOOKUP($AA$15,verificare!$AR$4:$AS$26,2,FALSE),A266)</f>
        <v>0</v>
      </c>
      <c r="S266" s="690"/>
      <c r="T266" s="690"/>
      <c r="U266" s="690"/>
      <c r="V266" s="658" t="s">
        <v>446</v>
      </c>
      <c r="W266" s="658"/>
      <c r="X266" s="691">
        <f>HLOOKUP(VLOOKUP($AA$15,'Date SPV'!$B:$F,5,FALSE),'Preturi si tarife'!$C$2:$J$39,A266+2,FALSE)</f>
        <v>0.59499999999999997</v>
      </c>
      <c r="Y266" s="692"/>
      <c r="Z266" s="692"/>
      <c r="AA266" s="693"/>
      <c r="AB266" s="690">
        <f t="shared" si="16"/>
        <v>0</v>
      </c>
      <c r="AC266" s="690"/>
      <c r="AD266" s="690"/>
      <c r="AE266" s="690"/>
      <c r="AF266" s="690">
        <f t="shared" si="17"/>
        <v>0</v>
      </c>
      <c r="AG266" s="690"/>
      <c r="AH266" s="690"/>
      <c r="AI266" s="690"/>
      <c r="AJ266" s="690">
        <f t="shared" si="18"/>
        <v>0</v>
      </c>
      <c r="AK266" s="690"/>
      <c r="AL266" s="690"/>
      <c r="AM266" s="690"/>
    </row>
    <row r="267" spans="1:39">
      <c r="A267" s="65">
        <f t="shared" si="19"/>
        <v>20</v>
      </c>
      <c r="B267" s="699" t="s">
        <v>100</v>
      </c>
      <c r="C267" s="700"/>
      <c r="D267" s="700"/>
      <c r="E267" s="700"/>
      <c r="F267" s="700"/>
      <c r="G267" s="700"/>
      <c r="H267" s="700"/>
      <c r="I267" s="700"/>
      <c r="J267" s="700"/>
      <c r="K267" s="701"/>
      <c r="L267" s="702">
        <f>L266</f>
        <v>45748</v>
      </c>
      <c r="M267" s="702"/>
      <c r="N267" s="702"/>
      <c r="O267" s="702">
        <f t="shared" ref="O267:O283" si="22">O266</f>
        <v>45777</v>
      </c>
      <c r="P267" s="702"/>
      <c r="Q267" s="702"/>
      <c r="R267" s="690" cm="1">
        <f t="array" ref="R267">INDEX(verificare!$AT$4:$CC$26,VLOOKUP($AA$15,verificare!$AR$4:$AS$26,2,FALSE),A267)</f>
        <v>2819</v>
      </c>
      <c r="S267" s="690"/>
      <c r="T267" s="690"/>
      <c r="U267" s="690"/>
      <c r="V267" s="658" t="s">
        <v>727</v>
      </c>
      <c r="W267" s="658"/>
      <c r="X267" s="691">
        <f>HLOOKUP(VLOOKUP($AA$15,'Date SPV'!$B:$F,5,FALSE),'Preturi si tarife'!$C$2:$J$39,A267+2,FALSE)</f>
        <v>0.14649999999999999</v>
      </c>
      <c r="Y267" s="692"/>
      <c r="Z267" s="692"/>
      <c r="AA267" s="693"/>
      <c r="AB267" s="690">
        <f t="shared" si="16"/>
        <v>412.98</v>
      </c>
      <c r="AC267" s="690"/>
      <c r="AD267" s="690"/>
      <c r="AE267" s="690"/>
      <c r="AF267" s="690">
        <f t="shared" si="17"/>
        <v>78.47</v>
      </c>
      <c r="AG267" s="690"/>
      <c r="AH267" s="690"/>
      <c r="AI267" s="690"/>
      <c r="AJ267" s="690">
        <f t="shared" si="18"/>
        <v>491.45000000000005</v>
      </c>
      <c r="AK267" s="690"/>
      <c r="AL267" s="690"/>
      <c r="AM267" s="690"/>
    </row>
    <row r="268" spans="1:39">
      <c r="A268" s="65">
        <f t="shared" si="19"/>
        <v>21</v>
      </c>
      <c r="B268" s="699" t="s">
        <v>101</v>
      </c>
      <c r="C268" s="700"/>
      <c r="D268" s="700"/>
      <c r="E268" s="700"/>
      <c r="F268" s="700"/>
      <c r="G268" s="700"/>
      <c r="H268" s="700"/>
      <c r="I268" s="700"/>
      <c r="J268" s="700"/>
      <c r="K268" s="701"/>
      <c r="L268" s="702">
        <f t="shared" ref="L268:L283" si="23">L267</f>
        <v>45748</v>
      </c>
      <c r="M268" s="702"/>
      <c r="N268" s="702"/>
      <c r="O268" s="702">
        <f t="shared" si="22"/>
        <v>45777</v>
      </c>
      <c r="P268" s="702"/>
      <c r="Q268" s="702"/>
      <c r="R268" s="690" cm="1">
        <f t="array" ref="R268">INDEX(verificare!$AT$4:$CC$26,VLOOKUP($AA$15,verificare!$AR$4:$AS$26,2,FALSE),A268)</f>
        <v>5957</v>
      </c>
      <c r="S268" s="690"/>
      <c r="T268" s="690"/>
      <c r="U268" s="690"/>
      <c r="V268" s="658" t="s">
        <v>727</v>
      </c>
      <c r="W268" s="658"/>
      <c r="X268" s="691">
        <f>HLOOKUP(VLOOKUP($AA$15,'Date SPV'!$B:$F,5,FALSE),'Preturi si tarife'!$C$2:$J$39,A268+2,FALSE)</f>
        <v>0.4395</v>
      </c>
      <c r="Y268" s="692"/>
      <c r="Z268" s="692"/>
      <c r="AA268" s="693"/>
      <c r="AB268" s="690">
        <f t="shared" si="16"/>
        <v>2618.1</v>
      </c>
      <c r="AC268" s="690"/>
      <c r="AD268" s="690"/>
      <c r="AE268" s="690"/>
      <c r="AF268" s="690">
        <f t="shared" si="17"/>
        <v>497.44</v>
      </c>
      <c r="AG268" s="690"/>
      <c r="AH268" s="690"/>
      <c r="AI268" s="690"/>
      <c r="AJ268" s="690">
        <f t="shared" si="18"/>
        <v>3115.54</v>
      </c>
      <c r="AK268" s="690"/>
      <c r="AL268" s="690"/>
      <c r="AM268" s="690"/>
    </row>
    <row r="269" spans="1:39" ht="30.95" customHeight="1">
      <c r="A269" s="65">
        <f t="shared" si="19"/>
        <v>22</v>
      </c>
      <c r="B269" s="699" t="s">
        <v>869</v>
      </c>
      <c r="C269" s="700"/>
      <c r="D269" s="700"/>
      <c r="E269" s="700"/>
      <c r="F269" s="700"/>
      <c r="G269" s="700"/>
      <c r="H269" s="700"/>
      <c r="I269" s="700"/>
      <c r="J269" s="700"/>
      <c r="K269" s="701"/>
      <c r="L269" s="702">
        <f t="shared" si="23"/>
        <v>45748</v>
      </c>
      <c r="M269" s="702"/>
      <c r="N269" s="702"/>
      <c r="O269" s="702">
        <f t="shared" si="22"/>
        <v>45777</v>
      </c>
      <c r="P269" s="702"/>
      <c r="Q269" s="702"/>
      <c r="R269" s="690" cm="1">
        <f t="array" ref="R269">INDEX(verificare!$AT$4:$CC$26,VLOOKUP($AA$15,verificare!$AR$4:$AS$26,2,FALSE),A269)</f>
        <v>0</v>
      </c>
      <c r="S269" s="690"/>
      <c r="T269" s="690"/>
      <c r="U269" s="690"/>
      <c r="V269" s="658" t="s">
        <v>446</v>
      </c>
      <c r="W269" s="658"/>
      <c r="X269" s="691">
        <f>HLOOKUP(VLOOKUP($AA$15,'Date SPV'!$B:$F,5,FALSE),'Preturi si tarife'!$C$2:$J$39,A269+2,FALSE)</f>
        <v>0.13613999999999998</v>
      </c>
      <c r="Y269" s="692"/>
      <c r="Z269" s="692"/>
      <c r="AA269" s="693"/>
      <c r="AB269" s="690">
        <f t="shared" si="16"/>
        <v>0</v>
      </c>
      <c r="AC269" s="690"/>
      <c r="AD269" s="690"/>
      <c r="AE269" s="690"/>
      <c r="AF269" s="690">
        <f t="shared" si="17"/>
        <v>0</v>
      </c>
      <c r="AG269" s="690"/>
      <c r="AH269" s="690"/>
      <c r="AI269" s="690"/>
      <c r="AJ269" s="690">
        <f t="shared" si="18"/>
        <v>0</v>
      </c>
      <c r="AK269" s="690"/>
      <c r="AL269" s="690"/>
      <c r="AM269" s="690"/>
    </row>
    <row r="270" spans="1:39" ht="15.95" customHeight="1">
      <c r="A270" s="65">
        <f t="shared" si="19"/>
        <v>23</v>
      </c>
      <c r="B270" s="699" t="s">
        <v>758</v>
      </c>
      <c r="C270" s="700"/>
      <c r="D270" s="700"/>
      <c r="E270" s="700"/>
      <c r="F270" s="700"/>
      <c r="G270" s="700"/>
      <c r="H270" s="700"/>
      <c r="I270" s="700"/>
      <c r="J270" s="700"/>
      <c r="K270" s="701"/>
      <c r="L270" s="702">
        <f t="shared" si="23"/>
        <v>45748</v>
      </c>
      <c r="M270" s="702"/>
      <c r="N270" s="702"/>
      <c r="O270" s="702">
        <f t="shared" si="22"/>
        <v>45777</v>
      </c>
      <c r="P270" s="702"/>
      <c r="Q270" s="702"/>
      <c r="R270" s="690" cm="1">
        <f t="array" ref="R270">INDEX(verificare!$AT$4:$CC$26,VLOOKUP($AA$15,verificare!$AR$4:$AS$26,2,FALSE),A270)</f>
        <v>0</v>
      </c>
      <c r="S270" s="690"/>
      <c r="T270" s="690"/>
      <c r="U270" s="690"/>
      <c r="V270" s="658" t="s">
        <v>446</v>
      </c>
      <c r="W270" s="658"/>
      <c r="X270" s="691">
        <f>HLOOKUP(VLOOKUP($AA$15,'Date SPV'!$B:$F,5,FALSE),'Preturi si tarife'!$C$2:$J$39,A270+2,FALSE)</f>
        <v>0.22738999999999998</v>
      </c>
      <c r="Y270" s="692"/>
      <c r="Z270" s="692"/>
      <c r="AA270" s="693"/>
      <c r="AB270" s="690">
        <f t="shared" si="16"/>
        <v>0</v>
      </c>
      <c r="AC270" s="690"/>
      <c r="AD270" s="690"/>
      <c r="AE270" s="690"/>
      <c r="AF270" s="690">
        <f t="shared" si="17"/>
        <v>0</v>
      </c>
      <c r="AG270" s="690"/>
      <c r="AH270" s="690"/>
      <c r="AI270" s="690"/>
      <c r="AJ270" s="690">
        <f t="shared" si="18"/>
        <v>0</v>
      </c>
      <c r="AK270" s="690"/>
      <c r="AL270" s="690"/>
      <c r="AM270" s="690"/>
    </row>
    <row r="271" spans="1:39">
      <c r="A271" s="65">
        <f t="shared" si="19"/>
        <v>24</v>
      </c>
      <c r="B271" s="699" t="s">
        <v>102</v>
      </c>
      <c r="C271" s="700"/>
      <c r="D271" s="700"/>
      <c r="E271" s="700"/>
      <c r="F271" s="700"/>
      <c r="G271" s="700"/>
      <c r="H271" s="700"/>
      <c r="I271" s="700"/>
      <c r="J271" s="700"/>
      <c r="K271" s="701"/>
      <c r="L271" s="702">
        <f t="shared" si="23"/>
        <v>45748</v>
      </c>
      <c r="M271" s="702"/>
      <c r="N271" s="702"/>
      <c r="O271" s="702">
        <f t="shared" si="22"/>
        <v>45777</v>
      </c>
      <c r="P271" s="702"/>
      <c r="Q271" s="702"/>
      <c r="R271" s="690" cm="1">
        <f t="array" ref="R271">INDEX(verificare!$AT$4:$CC$26,VLOOKUP($AA$15,verificare!$AR$4:$AS$26,2,FALSE),A271)</f>
        <v>0</v>
      </c>
      <c r="S271" s="690"/>
      <c r="T271" s="690"/>
      <c r="U271" s="690"/>
      <c r="V271" s="658" t="s">
        <v>446</v>
      </c>
      <c r="W271" s="658"/>
      <c r="X271" s="691">
        <f>HLOOKUP(VLOOKUP($AA$15,'Date SPV'!$B:$F,5,FALSE),'Preturi si tarife'!$C$2:$J$39,A271+2,FALSE)</f>
        <v>1.1509999999999999E-2</v>
      </c>
      <c r="Y271" s="692"/>
      <c r="Z271" s="692"/>
      <c r="AA271" s="693"/>
      <c r="AB271" s="690">
        <f t="shared" si="16"/>
        <v>0</v>
      </c>
      <c r="AC271" s="690"/>
      <c r="AD271" s="690"/>
      <c r="AE271" s="690"/>
      <c r="AF271" s="690">
        <f t="shared" si="17"/>
        <v>0</v>
      </c>
      <c r="AG271" s="690"/>
      <c r="AH271" s="690"/>
      <c r="AI271" s="690"/>
      <c r="AJ271" s="690">
        <f t="shared" si="18"/>
        <v>0</v>
      </c>
      <c r="AK271" s="690"/>
      <c r="AL271" s="690"/>
      <c r="AM271" s="690"/>
    </row>
    <row r="272" spans="1:39" ht="30.95" customHeight="1">
      <c r="A272" s="65">
        <f t="shared" si="19"/>
        <v>25</v>
      </c>
      <c r="B272" s="699" t="s">
        <v>103</v>
      </c>
      <c r="C272" s="700"/>
      <c r="D272" s="700"/>
      <c r="E272" s="700"/>
      <c r="F272" s="700"/>
      <c r="G272" s="700"/>
      <c r="H272" s="700"/>
      <c r="I272" s="700"/>
      <c r="J272" s="700"/>
      <c r="K272" s="701"/>
      <c r="L272" s="702">
        <f t="shared" si="23"/>
        <v>45748</v>
      </c>
      <c r="M272" s="702"/>
      <c r="N272" s="702"/>
      <c r="O272" s="702">
        <f t="shared" si="22"/>
        <v>45777</v>
      </c>
      <c r="P272" s="702"/>
      <c r="Q272" s="702"/>
      <c r="R272" s="690" cm="1">
        <f t="array" ref="R272">INDEX(verificare!$AT$4:$CC$26,VLOOKUP($AA$15,verificare!$AR$4:$AS$26,2,FALSE),A272)</f>
        <v>0</v>
      </c>
      <c r="S272" s="690"/>
      <c r="T272" s="690"/>
      <c r="U272" s="690"/>
      <c r="V272" s="658" t="s">
        <v>446</v>
      </c>
      <c r="W272" s="658"/>
      <c r="X272" s="691">
        <f>HLOOKUP(VLOOKUP($AA$15,'Date SPV'!$B:$F,5,FALSE),'Preturi si tarife'!$C$2:$J$39,A272+2,FALSE)</f>
        <v>3.3030000000000004E-2</v>
      </c>
      <c r="Y272" s="692"/>
      <c r="Z272" s="692"/>
      <c r="AA272" s="693"/>
      <c r="AB272" s="690">
        <f t="shared" si="16"/>
        <v>0</v>
      </c>
      <c r="AC272" s="690"/>
      <c r="AD272" s="690"/>
      <c r="AE272" s="690"/>
      <c r="AF272" s="690">
        <f t="shared" si="17"/>
        <v>0</v>
      </c>
      <c r="AG272" s="690"/>
      <c r="AH272" s="690"/>
      <c r="AI272" s="690"/>
      <c r="AJ272" s="690">
        <f t="shared" si="18"/>
        <v>0</v>
      </c>
      <c r="AK272" s="690"/>
      <c r="AL272" s="690"/>
      <c r="AM272" s="690"/>
    </row>
    <row r="273" spans="1:39" ht="30.95" customHeight="1">
      <c r="A273" s="65">
        <f t="shared" si="19"/>
        <v>26</v>
      </c>
      <c r="B273" s="699" t="s">
        <v>104</v>
      </c>
      <c r="C273" s="700"/>
      <c r="D273" s="700"/>
      <c r="E273" s="700"/>
      <c r="F273" s="700"/>
      <c r="G273" s="700"/>
      <c r="H273" s="700"/>
      <c r="I273" s="700"/>
      <c r="J273" s="700"/>
      <c r="K273" s="701"/>
      <c r="L273" s="702">
        <f t="shared" si="23"/>
        <v>45748</v>
      </c>
      <c r="M273" s="702"/>
      <c r="N273" s="702"/>
      <c r="O273" s="702">
        <f t="shared" si="22"/>
        <v>45777</v>
      </c>
      <c r="P273" s="702"/>
      <c r="Q273" s="702"/>
      <c r="R273" s="690" cm="1">
        <f t="array" ref="R273">INDEX(verificare!$AT$4:$CC$26,VLOOKUP($AA$15,verificare!$AR$4:$AS$26,2,FALSE),A273)</f>
        <v>0</v>
      </c>
      <c r="S273" s="690"/>
      <c r="T273" s="690"/>
      <c r="U273" s="690"/>
      <c r="V273" s="658" t="s">
        <v>446</v>
      </c>
      <c r="W273" s="658"/>
      <c r="X273" s="691">
        <f>HLOOKUP(VLOOKUP($AA$15,'Date SPV'!$B:$F,5,FALSE),'Preturi si tarife'!$C$2:$J$39,A273+2,FALSE)</f>
        <v>3.29E-3</v>
      </c>
      <c r="Y273" s="692"/>
      <c r="Z273" s="692"/>
      <c r="AA273" s="693"/>
      <c r="AB273" s="690">
        <f t="shared" si="16"/>
        <v>0</v>
      </c>
      <c r="AC273" s="690"/>
      <c r="AD273" s="690"/>
      <c r="AE273" s="690"/>
      <c r="AF273" s="690">
        <f t="shared" si="17"/>
        <v>0</v>
      </c>
      <c r="AG273" s="690"/>
      <c r="AH273" s="690"/>
      <c r="AI273" s="690"/>
      <c r="AJ273" s="690">
        <f t="shared" si="18"/>
        <v>0</v>
      </c>
      <c r="AK273" s="690"/>
      <c r="AL273" s="690"/>
      <c r="AM273" s="690"/>
    </row>
    <row r="274" spans="1:39" ht="30.95" customHeight="1">
      <c r="A274" s="65">
        <f t="shared" si="19"/>
        <v>27</v>
      </c>
      <c r="B274" s="699" t="s">
        <v>105</v>
      </c>
      <c r="C274" s="700"/>
      <c r="D274" s="700"/>
      <c r="E274" s="700"/>
      <c r="F274" s="700"/>
      <c r="G274" s="700"/>
      <c r="H274" s="700"/>
      <c r="I274" s="700"/>
      <c r="J274" s="700"/>
      <c r="K274" s="701"/>
      <c r="L274" s="702">
        <f t="shared" si="23"/>
        <v>45748</v>
      </c>
      <c r="M274" s="702"/>
      <c r="N274" s="702"/>
      <c r="O274" s="702">
        <f t="shared" si="22"/>
        <v>45777</v>
      </c>
      <c r="P274" s="702"/>
      <c r="Q274" s="702"/>
      <c r="R274" s="690" cm="1">
        <f t="array" ref="R274">INDEX(verificare!$AT$4:$CC$26,VLOOKUP($AA$15,verificare!$AR$4:$AS$26,2,FALSE),A274)</f>
        <v>0</v>
      </c>
      <c r="S274" s="690"/>
      <c r="T274" s="690"/>
      <c r="U274" s="690"/>
      <c r="V274" s="658" t="s">
        <v>446</v>
      </c>
      <c r="W274" s="658"/>
      <c r="X274" s="691">
        <f>HLOOKUP(VLOOKUP($AA$15,'Date SPV'!$B:$F,5,FALSE),'Preturi si tarife'!$C$2:$J$39,A274+2,FALSE)</f>
        <v>3.5000000000000001E-3</v>
      </c>
      <c r="Y274" s="692"/>
      <c r="Z274" s="692"/>
      <c r="AA274" s="693"/>
      <c r="AB274" s="690">
        <f t="shared" si="16"/>
        <v>0</v>
      </c>
      <c r="AC274" s="690"/>
      <c r="AD274" s="690"/>
      <c r="AE274" s="690"/>
      <c r="AF274" s="690">
        <f t="shared" si="17"/>
        <v>0</v>
      </c>
      <c r="AG274" s="690"/>
      <c r="AH274" s="690"/>
      <c r="AI274" s="690"/>
      <c r="AJ274" s="690">
        <f t="shared" si="18"/>
        <v>0</v>
      </c>
      <c r="AK274" s="690"/>
      <c r="AL274" s="690"/>
      <c r="AM274" s="690"/>
    </row>
    <row r="275" spans="1:39">
      <c r="A275" s="65">
        <f t="shared" si="19"/>
        <v>28</v>
      </c>
      <c r="B275" s="699" t="s">
        <v>106</v>
      </c>
      <c r="C275" s="700"/>
      <c r="D275" s="700"/>
      <c r="E275" s="700"/>
      <c r="F275" s="700"/>
      <c r="G275" s="700"/>
      <c r="H275" s="700"/>
      <c r="I275" s="700"/>
      <c r="J275" s="700"/>
      <c r="K275" s="701"/>
      <c r="L275" s="702">
        <f t="shared" si="23"/>
        <v>45748</v>
      </c>
      <c r="M275" s="702"/>
      <c r="N275" s="702"/>
      <c r="O275" s="702">
        <f t="shared" si="22"/>
        <v>45777</v>
      </c>
      <c r="P275" s="702"/>
      <c r="Q275" s="702"/>
      <c r="R275" s="690" cm="1">
        <f t="array" ref="R275">INDEX(verificare!$AT$4:$CC$26,VLOOKUP($AA$15,verificare!$AR$4:$AS$26,2,FALSE),A275)</f>
        <v>0</v>
      </c>
      <c r="S275" s="690"/>
      <c r="T275" s="690"/>
      <c r="U275" s="690"/>
      <c r="V275" s="658" t="s">
        <v>446</v>
      </c>
      <c r="W275" s="658"/>
      <c r="X275" s="691">
        <f>HLOOKUP(VLOOKUP($AA$15,'Date SPV'!$B:$F,5,FALSE),'Preturi si tarife'!$C$2:$J$39,A275+2,FALSE)</f>
        <v>7.2541599999999998E-2</v>
      </c>
      <c r="Y275" s="692"/>
      <c r="Z275" s="692"/>
      <c r="AA275" s="693"/>
      <c r="AB275" s="690">
        <f t="shared" si="16"/>
        <v>0</v>
      </c>
      <c r="AC275" s="690"/>
      <c r="AD275" s="690"/>
      <c r="AE275" s="690"/>
      <c r="AF275" s="690">
        <f t="shared" si="17"/>
        <v>0</v>
      </c>
      <c r="AG275" s="690"/>
      <c r="AH275" s="690"/>
      <c r="AI275" s="690"/>
      <c r="AJ275" s="690">
        <f t="shared" si="18"/>
        <v>0</v>
      </c>
      <c r="AK275" s="690"/>
      <c r="AL275" s="690"/>
      <c r="AM275" s="690"/>
    </row>
    <row r="276" spans="1:39" ht="30.95" customHeight="1">
      <c r="A276" s="65">
        <f t="shared" si="19"/>
        <v>29</v>
      </c>
      <c r="B276" s="699" t="s">
        <v>1316</v>
      </c>
      <c r="C276" s="700"/>
      <c r="D276" s="700"/>
      <c r="E276" s="700"/>
      <c r="F276" s="700"/>
      <c r="G276" s="700"/>
      <c r="H276" s="700"/>
      <c r="I276" s="700"/>
      <c r="J276" s="700"/>
      <c r="K276" s="701"/>
      <c r="L276" s="763">
        <f>L279</f>
        <v>45748</v>
      </c>
      <c r="M276" s="764"/>
      <c r="N276" s="765"/>
      <c r="O276" s="763">
        <f>O279</f>
        <v>45777</v>
      </c>
      <c r="P276" s="764"/>
      <c r="Q276" s="765"/>
      <c r="R276" s="690" cm="1">
        <f t="array" ref="R276">INDEX(verificare!$AT$4:$CC$26,VLOOKUP($AA$15,verificare!$AR$4:$AS$26,2,FALSE),A276)</f>
        <v>0</v>
      </c>
      <c r="S276" s="690"/>
      <c r="T276" s="690"/>
      <c r="U276" s="690"/>
      <c r="V276" s="724" t="s">
        <v>446</v>
      </c>
      <c r="W276" s="725"/>
      <c r="X276" s="691">
        <f>HLOOKUP(VLOOKUP($AA$15,'Date SPV'!$B:$F,5,FALSE),'Preturi si tarife'!$C$2:$J$39,A276+2,FALSE)</f>
        <v>2.0599999999999999E-4</v>
      </c>
      <c r="Y276" s="692"/>
      <c r="Z276" s="692"/>
      <c r="AA276" s="693"/>
      <c r="AB276" s="690">
        <f>ROUND(X276*R276,2)</f>
        <v>0</v>
      </c>
      <c r="AC276" s="690"/>
      <c r="AD276" s="690"/>
      <c r="AE276" s="690"/>
      <c r="AF276" s="772">
        <f>ROUND(AB276*19%,2)</f>
        <v>0</v>
      </c>
      <c r="AG276" s="773"/>
      <c r="AH276" s="773"/>
      <c r="AI276" s="774"/>
      <c r="AJ276" s="772">
        <f>AB276+AF276</f>
        <v>0</v>
      </c>
      <c r="AK276" s="773"/>
      <c r="AL276" s="773"/>
      <c r="AM276" s="774"/>
    </row>
    <row r="277" spans="1:39" ht="15.95" customHeight="1">
      <c r="A277" s="65">
        <f t="shared" si="19"/>
        <v>30</v>
      </c>
      <c r="B277" s="699" t="s">
        <v>107</v>
      </c>
      <c r="C277" s="700"/>
      <c r="D277" s="700"/>
      <c r="E277" s="700"/>
      <c r="F277" s="700"/>
      <c r="G277" s="700"/>
      <c r="H277" s="700"/>
      <c r="I277" s="700"/>
      <c r="J277" s="700"/>
      <c r="K277" s="701"/>
      <c r="L277" s="702">
        <f>L275</f>
        <v>45748</v>
      </c>
      <c r="M277" s="702"/>
      <c r="N277" s="702"/>
      <c r="O277" s="702">
        <f>O275</f>
        <v>45777</v>
      </c>
      <c r="P277" s="702"/>
      <c r="Q277" s="702"/>
      <c r="R277" s="690" cm="1">
        <f t="array" ref="R277">INDEX(verificare!$AT$4:$CC$26,VLOOKUP($AA$15,verificare!$AR$4:$AS$26,2,FALSE),A277)</f>
        <v>0</v>
      </c>
      <c r="S277" s="690"/>
      <c r="T277" s="690"/>
      <c r="U277" s="690"/>
      <c r="V277" s="658" t="s">
        <v>446</v>
      </c>
      <c r="W277" s="658"/>
      <c r="X277" s="691">
        <f>HLOOKUP(VLOOKUP($AA$15,'Date SPV'!$B:$F,5,FALSE),'Preturi si tarife'!$C$2:$J$39,A277+2,FALSE)</f>
        <v>0</v>
      </c>
      <c r="Y277" s="692"/>
      <c r="Z277" s="692"/>
      <c r="AA277" s="693"/>
      <c r="AB277" s="690">
        <f t="shared" si="16"/>
        <v>0</v>
      </c>
      <c r="AC277" s="690"/>
      <c r="AD277" s="690"/>
      <c r="AE277" s="690"/>
      <c r="AF277" s="690">
        <f t="shared" si="17"/>
        <v>0</v>
      </c>
      <c r="AG277" s="690"/>
      <c r="AH277" s="690"/>
      <c r="AI277" s="690"/>
      <c r="AJ277" s="690">
        <f t="shared" si="18"/>
        <v>0</v>
      </c>
      <c r="AK277" s="690"/>
      <c r="AL277" s="690"/>
      <c r="AM277" s="690"/>
    </row>
    <row r="278" spans="1:39" ht="30.95" customHeight="1">
      <c r="A278" s="65">
        <f t="shared" si="19"/>
        <v>31</v>
      </c>
      <c r="B278" s="699" t="s">
        <v>108</v>
      </c>
      <c r="C278" s="700"/>
      <c r="D278" s="700"/>
      <c r="E278" s="700"/>
      <c r="F278" s="700"/>
      <c r="G278" s="700"/>
      <c r="H278" s="700"/>
      <c r="I278" s="700"/>
      <c r="J278" s="700"/>
      <c r="K278" s="701"/>
      <c r="L278" s="702">
        <f>L277</f>
        <v>45748</v>
      </c>
      <c r="M278" s="702"/>
      <c r="N278" s="702"/>
      <c r="O278" s="702">
        <f>O277</f>
        <v>45777</v>
      </c>
      <c r="P278" s="702"/>
      <c r="Q278" s="702"/>
      <c r="R278" s="690" cm="1">
        <f t="array" ref="R278">INDEX(verificare!$AT$4:$CC$26,VLOOKUP($AA$15,verificare!$AR$4:$AS$26,2,FALSE),A278)</f>
        <v>0</v>
      </c>
      <c r="S278" s="690"/>
      <c r="T278" s="690"/>
      <c r="U278" s="690"/>
      <c r="V278" s="658" t="s">
        <v>446</v>
      </c>
      <c r="W278" s="658"/>
      <c r="X278" s="691">
        <f>HLOOKUP(VLOOKUP($AA$15,'Date SPV'!$B:$F,5,FALSE),'Preturi si tarife'!$C$2:$J$39,A278+2,FALSE)</f>
        <v>1.7000000000000001E-2</v>
      </c>
      <c r="Y278" s="692"/>
      <c r="Z278" s="692"/>
      <c r="AA278" s="693"/>
      <c r="AB278" s="690">
        <f t="shared" si="16"/>
        <v>0</v>
      </c>
      <c r="AC278" s="690"/>
      <c r="AD278" s="690"/>
      <c r="AE278" s="690"/>
      <c r="AF278" s="690">
        <f t="shared" si="17"/>
        <v>0</v>
      </c>
      <c r="AG278" s="690"/>
      <c r="AH278" s="690"/>
      <c r="AI278" s="690"/>
      <c r="AJ278" s="690">
        <f t="shared" si="18"/>
        <v>0</v>
      </c>
      <c r="AK278" s="690"/>
      <c r="AL278" s="690"/>
      <c r="AM278" s="690"/>
    </row>
    <row r="279" spans="1:39" ht="30.95" customHeight="1">
      <c r="A279" s="65">
        <f t="shared" si="19"/>
        <v>32</v>
      </c>
      <c r="B279" s="699" t="s">
        <v>109</v>
      </c>
      <c r="C279" s="700"/>
      <c r="D279" s="700"/>
      <c r="E279" s="700"/>
      <c r="F279" s="700"/>
      <c r="G279" s="700"/>
      <c r="H279" s="700"/>
      <c r="I279" s="700"/>
      <c r="J279" s="700"/>
      <c r="K279" s="701"/>
      <c r="L279" s="763">
        <f t="shared" si="23"/>
        <v>45748</v>
      </c>
      <c r="M279" s="764"/>
      <c r="N279" s="765"/>
      <c r="O279" s="763">
        <f t="shared" si="22"/>
        <v>45777</v>
      </c>
      <c r="P279" s="764"/>
      <c r="Q279" s="765"/>
      <c r="R279" s="690" cm="1">
        <f t="array" ref="R279">INDEX(verificare!$AT$4:$CC$26,VLOOKUP($AA$15,verificare!$AR$4:$AS$26,2,FALSE),A279)</f>
        <v>0</v>
      </c>
      <c r="S279" s="690"/>
      <c r="T279" s="690"/>
      <c r="U279" s="690"/>
      <c r="V279" s="724" t="s">
        <v>446</v>
      </c>
      <c r="W279" s="725"/>
      <c r="X279" s="691">
        <f>HLOOKUP(VLOOKUP($AA$15,'Date SPV'!$B:$F,5,FALSE),'Preturi si tarife'!$C$2:$J$39,A279+2,FALSE)</f>
        <v>0.10290000000000001</v>
      </c>
      <c r="Y279" s="692"/>
      <c r="Z279" s="692"/>
      <c r="AA279" s="693"/>
      <c r="AB279" s="690">
        <f t="shared" si="16"/>
        <v>0</v>
      </c>
      <c r="AC279" s="690"/>
      <c r="AD279" s="690"/>
      <c r="AE279" s="690"/>
      <c r="AF279" s="690">
        <f t="shared" si="17"/>
        <v>0</v>
      </c>
      <c r="AG279" s="690"/>
      <c r="AH279" s="690"/>
      <c r="AI279" s="690"/>
      <c r="AJ279" s="690">
        <f t="shared" si="18"/>
        <v>0</v>
      </c>
      <c r="AK279" s="690"/>
      <c r="AL279" s="690"/>
      <c r="AM279" s="690"/>
    </row>
    <row r="280" spans="1:39" ht="15.95" customHeight="1">
      <c r="A280" s="65">
        <f t="shared" si="19"/>
        <v>33</v>
      </c>
      <c r="B280" s="699" t="s">
        <v>110</v>
      </c>
      <c r="C280" s="700"/>
      <c r="D280" s="700"/>
      <c r="E280" s="700"/>
      <c r="F280" s="700"/>
      <c r="G280" s="700"/>
      <c r="H280" s="700"/>
      <c r="I280" s="700"/>
      <c r="J280" s="700"/>
      <c r="K280" s="701"/>
      <c r="L280" s="702">
        <f t="shared" si="23"/>
        <v>45748</v>
      </c>
      <c r="M280" s="702"/>
      <c r="N280" s="702"/>
      <c r="O280" s="702">
        <f t="shared" si="22"/>
        <v>45777</v>
      </c>
      <c r="P280" s="702"/>
      <c r="Q280" s="702"/>
      <c r="R280" s="690" cm="1">
        <f t="array" ref="R280">INDEX(verificare!$AT$4:$CC$26,VLOOKUP($AA$15,verificare!$AR$4:$AS$26,2,FALSE),A280)</f>
        <v>0</v>
      </c>
      <c r="S280" s="690"/>
      <c r="T280" s="690"/>
      <c r="U280" s="690"/>
      <c r="V280" s="658" t="s">
        <v>446</v>
      </c>
      <c r="W280" s="658"/>
      <c r="X280" s="691">
        <f>HLOOKUP(VLOOKUP($AA$15,'Date SPV'!$B:$F,5,FALSE),'Preturi si tarife'!$C$2:$J$39,A280+2,FALSE)</f>
        <v>0.97511760000000003</v>
      </c>
      <c r="Y280" s="692"/>
      <c r="Z280" s="692"/>
      <c r="AA280" s="693"/>
      <c r="AB280" s="690">
        <f t="shared" si="16"/>
        <v>0</v>
      </c>
      <c r="AC280" s="690"/>
      <c r="AD280" s="690"/>
      <c r="AE280" s="690"/>
      <c r="AF280" s="690">
        <f t="shared" si="17"/>
        <v>0</v>
      </c>
      <c r="AG280" s="690"/>
      <c r="AH280" s="690"/>
      <c r="AI280" s="690"/>
      <c r="AJ280" s="690">
        <f t="shared" si="18"/>
        <v>0</v>
      </c>
      <c r="AK280" s="690"/>
      <c r="AL280" s="690"/>
      <c r="AM280" s="690"/>
    </row>
    <row r="281" spans="1:39">
      <c r="A281" s="65">
        <f t="shared" si="19"/>
        <v>34</v>
      </c>
      <c r="B281" s="699" t="s">
        <v>111</v>
      </c>
      <c r="C281" s="700"/>
      <c r="D281" s="700"/>
      <c r="E281" s="700"/>
      <c r="F281" s="700"/>
      <c r="G281" s="700"/>
      <c r="H281" s="700"/>
      <c r="I281" s="700"/>
      <c r="J281" s="700"/>
      <c r="K281" s="701"/>
      <c r="L281" s="702">
        <f t="shared" si="23"/>
        <v>45748</v>
      </c>
      <c r="M281" s="702"/>
      <c r="N281" s="702"/>
      <c r="O281" s="702">
        <f t="shared" si="22"/>
        <v>45777</v>
      </c>
      <c r="P281" s="702"/>
      <c r="Q281" s="702"/>
      <c r="R281" s="690" cm="1">
        <f t="array" ref="R281">INDEX(verificare!$AT$4:$CC$26,VLOOKUP($AA$15,verificare!$AR$4:$AS$26,2,FALSE),A281)</f>
        <v>0</v>
      </c>
      <c r="S281" s="690"/>
      <c r="T281" s="690"/>
      <c r="U281" s="690"/>
      <c r="V281" s="658" t="s">
        <v>446</v>
      </c>
      <c r="W281" s="658"/>
      <c r="X281" s="691">
        <f>HLOOKUP(VLOOKUP($AA$15,'Date SPV'!$B:$F,5,FALSE),'Preturi si tarife'!$C$2:$J$39,A281+2,FALSE)</f>
        <v>0.85521760000000002</v>
      </c>
      <c r="Y281" s="692"/>
      <c r="Z281" s="692"/>
      <c r="AA281" s="693"/>
      <c r="AB281" s="690">
        <f t="shared" si="16"/>
        <v>0</v>
      </c>
      <c r="AC281" s="690"/>
      <c r="AD281" s="690"/>
      <c r="AE281" s="690"/>
      <c r="AF281" s="690">
        <f t="shared" si="17"/>
        <v>0</v>
      </c>
      <c r="AG281" s="690"/>
      <c r="AH281" s="690"/>
      <c r="AI281" s="690"/>
      <c r="AJ281" s="690">
        <f t="shared" si="18"/>
        <v>0</v>
      </c>
      <c r="AK281" s="690"/>
      <c r="AL281" s="690"/>
      <c r="AM281" s="690"/>
    </row>
    <row r="282" spans="1:39" ht="30.95" customHeight="1">
      <c r="A282" s="65">
        <f t="shared" si="19"/>
        <v>35</v>
      </c>
      <c r="B282" s="699" t="s">
        <v>112</v>
      </c>
      <c r="C282" s="700"/>
      <c r="D282" s="700"/>
      <c r="E282" s="700"/>
      <c r="F282" s="700"/>
      <c r="G282" s="700"/>
      <c r="H282" s="700"/>
      <c r="I282" s="700"/>
      <c r="J282" s="700"/>
      <c r="K282" s="701"/>
      <c r="L282" s="763">
        <f t="shared" si="23"/>
        <v>45748</v>
      </c>
      <c r="M282" s="764"/>
      <c r="N282" s="765"/>
      <c r="O282" s="763">
        <f t="shared" si="22"/>
        <v>45777</v>
      </c>
      <c r="P282" s="764"/>
      <c r="Q282" s="765"/>
      <c r="R282" s="772" cm="1">
        <f t="array" ref="R282">INDEX(verificare!$AT$4:$CC$26,VLOOKUP($AA$15,verificare!$AR$4:$AS$26,2,FALSE),A282)</f>
        <v>0</v>
      </c>
      <c r="S282" s="773"/>
      <c r="T282" s="773"/>
      <c r="U282" s="774"/>
      <c r="V282" s="724" t="s">
        <v>446</v>
      </c>
      <c r="W282" s="725"/>
      <c r="X282" s="691">
        <f>HLOOKUP(VLOOKUP($AA$15,'Date SPV'!$B:$F,5,FALSE),'Preturi si tarife'!$C$2:$J$39,A282+2,FALSE)</f>
        <v>1.7000000000000001E-2</v>
      </c>
      <c r="Y282" s="692"/>
      <c r="Z282" s="692"/>
      <c r="AA282" s="693"/>
      <c r="AB282" s="690">
        <f t="shared" si="16"/>
        <v>0</v>
      </c>
      <c r="AC282" s="690"/>
      <c r="AD282" s="690"/>
      <c r="AE282" s="690"/>
      <c r="AF282" s="690">
        <f t="shared" si="17"/>
        <v>0</v>
      </c>
      <c r="AG282" s="690"/>
      <c r="AH282" s="690"/>
      <c r="AI282" s="690"/>
      <c r="AJ282" s="690">
        <f t="shared" si="18"/>
        <v>0</v>
      </c>
      <c r="AK282" s="690"/>
      <c r="AL282" s="690"/>
      <c r="AM282" s="690"/>
    </row>
    <row r="283" spans="1:39" ht="30.95" customHeight="1">
      <c r="A283" s="65">
        <f t="shared" si="19"/>
        <v>36</v>
      </c>
      <c r="B283" s="699" t="s">
        <v>113</v>
      </c>
      <c r="C283" s="700"/>
      <c r="D283" s="700"/>
      <c r="E283" s="700"/>
      <c r="F283" s="700"/>
      <c r="G283" s="700"/>
      <c r="H283" s="700"/>
      <c r="I283" s="700"/>
      <c r="J283" s="700"/>
      <c r="K283" s="701"/>
      <c r="L283" s="763">
        <f t="shared" si="23"/>
        <v>45748</v>
      </c>
      <c r="M283" s="764"/>
      <c r="N283" s="765"/>
      <c r="O283" s="763">
        <f t="shared" si="22"/>
        <v>45777</v>
      </c>
      <c r="P283" s="764"/>
      <c r="Q283" s="765"/>
      <c r="R283" s="772" cm="1">
        <f t="array" ref="R283">INDEX(verificare!$AT$4:$CC$26,VLOOKUP($AA$15,verificare!$AR$4:$AS$26,2,FALSE),A283)</f>
        <v>0</v>
      </c>
      <c r="S283" s="773"/>
      <c r="T283" s="773"/>
      <c r="U283" s="774"/>
      <c r="V283" s="724" t="s">
        <v>446</v>
      </c>
      <c r="W283" s="725"/>
      <c r="X283" s="691">
        <f>HLOOKUP(VLOOKUP($AA$15,'Date SPV'!$B:$F,5,FALSE),'Preturi si tarife'!$C$2:$J$39,A283+2,FALSE)</f>
        <v>0.10290000000000001</v>
      </c>
      <c r="Y283" s="692"/>
      <c r="Z283" s="692"/>
      <c r="AA283" s="693"/>
      <c r="AB283" s="690">
        <f t="shared" si="16"/>
        <v>0</v>
      </c>
      <c r="AC283" s="690"/>
      <c r="AD283" s="690"/>
      <c r="AE283" s="690"/>
      <c r="AF283" s="690">
        <f t="shared" si="17"/>
        <v>0</v>
      </c>
      <c r="AG283" s="690"/>
      <c r="AH283" s="690"/>
      <c r="AI283" s="690"/>
      <c r="AJ283" s="690">
        <f t="shared" si="18"/>
        <v>0</v>
      </c>
      <c r="AK283" s="690"/>
      <c r="AL283" s="690"/>
      <c r="AM283" s="690"/>
    </row>
    <row r="284" spans="1:39">
      <c r="A284" s="65">
        <f t="shared" si="19"/>
        <v>37</v>
      </c>
      <c r="B284" s="699" t="s">
        <v>728</v>
      </c>
      <c r="C284" s="700"/>
      <c r="D284" s="700"/>
      <c r="E284" s="700"/>
      <c r="F284" s="700"/>
      <c r="G284" s="700"/>
      <c r="H284" s="700"/>
      <c r="I284" s="700"/>
      <c r="J284" s="700"/>
      <c r="K284" s="701"/>
      <c r="L284" s="702" t="s">
        <v>69</v>
      </c>
      <c r="M284" s="702"/>
      <c r="N284" s="702"/>
      <c r="O284" s="702" t="s">
        <v>69</v>
      </c>
      <c r="P284" s="702"/>
      <c r="Q284" s="702"/>
      <c r="R284" s="690">
        <v>0</v>
      </c>
      <c r="S284" s="690"/>
      <c r="T284" s="690"/>
      <c r="U284" s="690"/>
      <c r="V284" s="658" t="s">
        <v>69</v>
      </c>
      <c r="W284" s="658"/>
      <c r="X284" s="659" t="s">
        <v>69</v>
      </c>
      <c r="Y284" s="659"/>
      <c r="Z284" s="659"/>
      <c r="AA284" s="659"/>
      <c r="AB284" s="653">
        <v>0</v>
      </c>
      <c r="AC284" s="653"/>
      <c r="AD284" s="653"/>
      <c r="AE284" s="653"/>
      <c r="AF284" s="653">
        <f t="shared" si="17"/>
        <v>0</v>
      </c>
      <c r="AG284" s="653"/>
      <c r="AH284" s="653"/>
      <c r="AI284" s="653"/>
      <c r="AJ284" s="653">
        <f t="shared" si="18"/>
        <v>0</v>
      </c>
      <c r="AK284" s="653"/>
      <c r="AL284" s="653"/>
      <c r="AM284" s="653"/>
    </row>
    <row r="285" spans="1:39">
      <c r="A285" s="65">
        <f>A284+1</f>
        <v>38</v>
      </c>
      <c r="B285" s="699" t="s">
        <v>729</v>
      </c>
      <c r="C285" s="700"/>
      <c r="D285" s="700"/>
      <c r="E285" s="700"/>
      <c r="F285" s="700"/>
      <c r="G285" s="700"/>
      <c r="H285" s="700"/>
      <c r="I285" s="700"/>
      <c r="J285" s="700"/>
      <c r="K285" s="701"/>
      <c r="L285" s="702" t="s">
        <v>69</v>
      </c>
      <c r="M285" s="702"/>
      <c r="N285" s="702"/>
      <c r="O285" s="702" t="s">
        <v>69</v>
      </c>
      <c r="P285" s="702"/>
      <c r="Q285" s="702"/>
      <c r="R285" s="690">
        <v>0</v>
      </c>
      <c r="S285" s="690"/>
      <c r="T285" s="690"/>
      <c r="U285" s="690"/>
      <c r="V285" s="658" t="s">
        <v>69</v>
      </c>
      <c r="W285" s="658"/>
      <c r="X285" s="659" t="s">
        <v>69</v>
      </c>
      <c r="Y285" s="659"/>
      <c r="Z285" s="659"/>
      <c r="AA285" s="659"/>
      <c r="AB285" s="726">
        <f>SUM(AB248:AE284)</f>
        <v>1286143.47</v>
      </c>
      <c r="AC285" s="726"/>
      <c r="AD285" s="726"/>
      <c r="AE285" s="726"/>
      <c r="AF285" s="726">
        <f>SUM(AF248:AI284)</f>
        <v>244367.26000000004</v>
      </c>
      <c r="AG285" s="726"/>
      <c r="AH285" s="726"/>
      <c r="AI285" s="726"/>
      <c r="AJ285" s="726">
        <f>SUM(AJ248:AM284)</f>
        <v>1530510.7299999997</v>
      </c>
      <c r="AK285" s="726"/>
      <c r="AL285" s="726"/>
      <c r="AM285" s="726"/>
    </row>
    <row r="286" spans="1:39" ht="15.95" customHeight="1"/>
  </sheetData>
  <mergeCells count="1320">
    <mergeCell ref="A241:F243"/>
    <mergeCell ref="G241:I243"/>
    <mergeCell ref="J241:L241"/>
    <mergeCell ref="M241:N243"/>
    <mergeCell ref="O241:Q243"/>
    <mergeCell ref="R241:T243"/>
    <mergeCell ref="U241:W243"/>
    <mergeCell ref="X241:Z243"/>
    <mergeCell ref="AA241:AC243"/>
    <mergeCell ref="AD241:AE243"/>
    <mergeCell ref="AF241:AH243"/>
    <mergeCell ref="AI241:AJ243"/>
    <mergeCell ref="AK241:AM243"/>
    <mergeCell ref="J242:L242"/>
    <mergeCell ref="J243:L243"/>
    <mergeCell ref="A235:F237"/>
    <mergeCell ref="G235:I237"/>
    <mergeCell ref="J235:L235"/>
    <mergeCell ref="M235:N237"/>
    <mergeCell ref="O235:Q237"/>
    <mergeCell ref="R235:T237"/>
    <mergeCell ref="U235:W237"/>
    <mergeCell ref="X235:Z237"/>
    <mergeCell ref="AA235:AC237"/>
    <mergeCell ref="AD235:AE237"/>
    <mergeCell ref="AF235:AH237"/>
    <mergeCell ref="AI235:AJ237"/>
    <mergeCell ref="AK235:AM237"/>
    <mergeCell ref="J236:L236"/>
    <mergeCell ref="J237:L237"/>
    <mergeCell ref="A238:F240"/>
    <mergeCell ref="G238:I240"/>
    <mergeCell ref="J238:L238"/>
    <mergeCell ref="M238:N240"/>
    <mergeCell ref="O238:Q240"/>
    <mergeCell ref="R238:T240"/>
    <mergeCell ref="U238:W240"/>
    <mergeCell ref="X238:Z240"/>
    <mergeCell ref="AA238:AC240"/>
    <mergeCell ref="AD238:AE240"/>
    <mergeCell ref="AF238:AH240"/>
    <mergeCell ref="AI238:AJ240"/>
    <mergeCell ref="AK238:AM240"/>
    <mergeCell ref="J239:L239"/>
    <mergeCell ref="J240:L240"/>
    <mergeCell ref="AI229:AM229"/>
    <mergeCell ref="A230:L230"/>
    <mergeCell ref="M230:AH230"/>
    <mergeCell ref="AI230:AM231"/>
    <mergeCell ref="A231:L231"/>
    <mergeCell ref="M231:AH231"/>
    <mergeCell ref="A232:F234"/>
    <mergeCell ref="G232:I234"/>
    <mergeCell ref="J232:L234"/>
    <mergeCell ref="M232:N234"/>
    <mergeCell ref="O232:Q234"/>
    <mergeCell ref="R232:T234"/>
    <mergeCell ref="U232:W234"/>
    <mergeCell ref="X232:Z234"/>
    <mergeCell ref="AA232:AC234"/>
    <mergeCell ref="AD232:AE234"/>
    <mergeCell ref="AF232:AH234"/>
    <mergeCell ref="AI232:AJ234"/>
    <mergeCell ref="AK232:AM234"/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7:AM27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O44:Q46"/>
    <mergeCell ref="R44:T46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87:L87"/>
    <mergeCell ref="M87:AH87"/>
    <mergeCell ref="AI87:AM88"/>
    <mergeCell ref="A88:L88"/>
    <mergeCell ref="M88:AH88"/>
    <mergeCell ref="A89:F91"/>
    <mergeCell ref="G89:I91"/>
    <mergeCell ref="J89:L91"/>
    <mergeCell ref="M89:N91"/>
    <mergeCell ref="O89:Q91"/>
    <mergeCell ref="AI65:AJ67"/>
    <mergeCell ref="AK65:AM67"/>
    <mergeCell ref="J66:L66"/>
    <mergeCell ref="J67:L67"/>
    <mergeCell ref="A86:L86"/>
    <mergeCell ref="M86:AH86"/>
    <mergeCell ref="AI86:AM86"/>
    <mergeCell ref="AI70:AM70"/>
    <mergeCell ref="R65:T67"/>
    <mergeCell ref="U65:W67"/>
    <mergeCell ref="X65:Z67"/>
    <mergeCell ref="AA65:AC67"/>
    <mergeCell ref="AD65:AE67"/>
    <mergeCell ref="AF65:AH67"/>
    <mergeCell ref="A71:L71"/>
    <mergeCell ref="M71:AH71"/>
    <mergeCell ref="AI71:AM72"/>
    <mergeCell ref="A72:L72"/>
    <mergeCell ref="M72:AH72"/>
    <mergeCell ref="A73:F75"/>
    <mergeCell ref="J78:L78"/>
    <mergeCell ref="AI73:AJ75"/>
    <mergeCell ref="AA92:AC94"/>
    <mergeCell ref="AD92:AE94"/>
    <mergeCell ref="AF92:AH94"/>
    <mergeCell ref="AI92:AJ94"/>
    <mergeCell ref="AK92:AM94"/>
    <mergeCell ref="J93:L93"/>
    <mergeCell ref="J94:L94"/>
    <mergeCell ref="AI89:AJ91"/>
    <mergeCell ref="AK89:AM91"/>
    <mergeCell ref="A92:F94"/>
    <mergeCell ref="G92:I94"/>
    <mergeCell ref="J92:L92"/>
    <mergeCell ref="M92:N94"/>
    <mergeCell ref="O92:Q94"/>
    <mergeCell ref="R92:T94"/>
    <mergeCell ref="U92:W94"/>
    <mergeCell ref="X92:Z94"/>
    <mergeCell ref="R89:T91"/>
    <mergeCell ref="U89:W91"/>
    <mergeCell ref="X89:Z91"/>
    <mergeCell ref="AA89:AC91"/>
    <mergeCell ref="AD89:AE91"/>
    <mergeCell ref="AF89:AH91"/>
    <mergeCell ref="AK95:AM97"/>
    <mergeCell ref="J96:L96"/>
    <mergeCell ref="J97:L97"/>
    <mergeCell ref="A98:F100"/>
    <mergeCell ref="G98:I100"/>
    <mergeCell ref="J98:L98"/>
    <mergeCell ref="M98:N100"/>
    <mergeCell ref="O98:Q100"/>
    <mergeCell ref="R98:T100"/>
    <mergeCell ref="U98:W100"/>
    <mergeCell ref="U95:W97"/>
    <mergeCell ref="X95:Z97"/>
    <mergeCell ref="AA95:AC97"/>
    <mergeCell ref="AD95:AE97"/>
    <mergeCell ref="AF95:AH97"/>
    <mergeCell ref="AI95:AJ97"/>
    <mergeCell ref="A95:F97"/>
    <mergeCell ref="G95:I97"/>
    <mergeCell ref="J95:L95"/>
    <mergeCell ref="M95:N97"/>
    <mergeCell ref="O95:Q97"/>
    <mergeCell ref="R95:T97"/>
    <mergeCell ref="AF101:AH103"/>
    <mergeCell ref="AI101:AJ103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O101:Q103"/>
    <mergeCell ref="R101:T103"/>
    <mergeCell ref="U101:W103"/>
    <mergeCell ref="X101:Z103"/>
    <mergeCell ref="AA101:AC103"/>
    <mergeCell ref="AD101:AE103"/>
    <mergeCell ref="J99:L99"/>
    <mergeCell ref="J100:L100"/>
    <mergeCell ref="A101:F103"/>
    <mergeCell ref="G101:I103"/>
    <mergeCell ref="J101:L101"/>
    <mergeCell ref="M101:N103"/>
    <mergeCell ref="X98:Z100"/>
    <mergeCell ref="AA98:AC100"/>
    <mergeCell ref="AD98:AE100"/>
    <mergeCell ref="AF98:AH100"/>
    <mergeCell ref="AI98:AJ100"/>
    <mergeCell ref="AK98:AM100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R110:T112"/>
    <mergeCell ref="U110:W112"/>
    <mergeCell ref="U107:W109"/>
    <mergeCell ref="X107:Z109"/>
    <mergeCell ref="AA107:AC109"/>
    <mergeCell ref="AD107:AE109"/>
    <mergeCell ref="AF107:AH109"/>
    <mergeCell ref="AI107:AJ109"/>
    <mergeCell ref="AI104:AJ106"/>
    <mergeCell ref="AK104:AM106"/>
    <mergeCell ref="J105:L105"/>
    <mergeCell ref="J106:L106"/>
    <mergeCell ref="A107:F109"/>
    <mergeCell ref="G107:I109"/>
    <mergeCell ref="J107:L107"/>
    <mergeCell ref="M107:N109"/>
    <mergeCell ref="O107:Q109"/>
    <mergeCell ref="R107:T109"/>
    <mergeCell ref="R104:T106"/>
    <mergeCell ref="U104:W106"/>
    <mergeCell ref="X104:Z106"/>
    <mergeCell ref="AA104:AC106"/>
    <mergeCell ref="AD104:AE106"/>
    <mergeCell ref="AF104:AH106"/>
    <mergeCell ref="AF113:AH115"/>
    <mergeCell ref="AI113:AJ115"/>
    <mergeCell ref="AK113:AM115"/>
    <mergeCell ref="J114:L114"/>
    <mergeCell ref="J115:L115"/>
    <mergeCell ref="A116:F118"/>
    <mergeCell ref="G116:I118"/>
    <mergeCell ref="J116:L116"/>
    <mergeCell ref="M116:N118"/>
    <mergeCell ref="O116:Q118"/>
    <mergeCell ref="O113:Q115"/>
    <mergeCell ref="R113:T115"/>
    <mergeCell ref="U113:W115"/>
    <mergeCell ref="X113:Z115"/>
    <mergeCell ref="AA113:AC115"/>
    <mergeCell ref="AD113:AE115"/>
    <mergeCell ref="J111:L111"/>
    <mergeCell ref="J112:L112"/>
    <mergeCell ref="A113:F115"/>
    <mergeCell ref="G113:I115"/>
    <mergeCell ref="J113:L113"/>
    <mergeCell ref="M113:N115"/>
    <mergeCell ref="X110:Z112"/>
    <mergeCell ref="AA110:AC112"/>
    <mergeCell ref="AD110:AE112"/>
    <mergeCell ref="AF110:AH112"/>
    <mergeCell ref="AI110:AJ112"/>
    <mergeCell ref="AK110:AM112"/>
    <mergeCell ref="A121:L121"/>
    <mergeCell ref="M121:AH121"/>
    <mergeCell ref="AI121:AM122"/>
    <mergeCell ref="A122:L122"/>
    <mergeCell ref="M122:AH122"/>
    <mergeCell ref="A123:F125"/>
    <mergeCell ref="G123:I125"/>
    <mergeCell ref="J123:L125"/>
    <mergeCell ref="M123:N125"/>
    <mergeCell ref="O123:Q125"/>
    <mergeCell ref="AI116:AJ118"/>
    <mergeCell ref="AK116:AM118"/>
    <mergeCell ref="J117:L117"/>
    <mergeCell ref="J118:L118"/>
    <mergeCell ref="AI120:AM120"/>
    <mergeCell ref="R116:T118"/>
    <mergeCell ref="U116:W118"/>
    <mergeCell ref="X116:Z118"/>
    <mergeCell ref="AA116:AC118"/>
    <mergeCell ref="AD116:AE118"/>
    <mergeCell ref="AF116:AH118"/>
    <mergeCell ref="A129:F131"/>
    <mergeCell ref="G129:I131"/>
    <mergeCell ref="J129:L129"/>
    <mergeCell ref="M129:N131"/>
    <mergeCell ref="O129:Q131"/>
    <mergeCell ref="R129:T131"/>
    <mergeCell ref="AA126:AC128"/>
    <mergeCell ref="AD126:AE128"/>
    <mergeCell ref="AF126:AH128"/>
    <mergeCell ref="AI126:AJ128"/>
    <mergeCell ref="AK126:AM128"/>
    <mergeCell ref="J127:L127"/>
    <mergeCell ref="J128:L128"/>
    <mergeCell ref="AI123:AJ125"/>
    <mergeCell ref="AK123:AM125"/>
    <mergeCell ref="A126:F128"/>
    <mergeCell ref="G126:I128"/>
    <mergeCell ref="J126:L126"/>
    <mergeCell ref="M126:N128"/>
    <mergeCell ref="O126:Q128"/>
    <mergeCell ref="R126:T128"/>
    <mergeCell ref="U126:W128"/>
    <mergeCell ref="X126:Z128"/>
    <mergeCell ref="R123:T125"/>
    <mergeCell ref="U123:W125"/>
    <mergeCell ref="X123:Z125"/>
    <mergeCell ref="AA123:AC125"/>
    <mergeCell ref="AD123:AE125"/>
    <mergeCell ref="AF123:AH125"/>
    <mergeCell ref="A137:L137"/>
    <mergeCell ref="M137:AH137"/>
    <mergeCell ref="AI137:AM137"/>
    <mergeCell ref="A138:L138"/>
    <mergeCell ref="M138:AH138"/>
    <mergeCell ref="AI138:AM139"/>
    <mergeCell ref="A139:L139"/>
    <mergeCell ref="M139:AH139"/>
    <mergeCell ref="J133:L133"/>
    <mergeCell ref="J134:L134"/>
    <mergeCell ref="X132:Z134"/>
    <mergeCell ref="AA132:AC134"/>
    <mergeCell ref="AD132:AE134"/>
    <mergeCell ref="AF132:AH134"/>
    <mergeCell ref="AI132:AJ134"/>
    <mergeCell ref="AK132:AM134"/>
    <mergeCell ref="AK129:AM131"/>
    <mergeCell ref="J130:L130"/>
    <mergeCell ref="J131:L131"/>
    <mergeCell ref="A132:F134"/>
    <mergeCell ref="G132:I134"/>
    <mergeCell ref="J132:L132"/>
    <mergeCell ref="M132:N134"/>
    <mergeCell ref="O132:Q134"/>
    <mergeCell ref="R132:T134"/>
    <mergeCell ref="U132:W134"/>
    <mergeCell ref="U129:W131"/>
    <mergeCell ref="X129:Z131"/>
    <mergeCell ref="AA129:AC131"/>
    <mergeCell ref="AD129:AE131"/>
    <mergeCell ref="AF129:AH131"/>
    <mergeCell ref="AI129:AJ131"/>
    <mergeCell ref="O146:Q148"/>
    <mergeCell ref="R146:T148"/>
    <mergeCell ref="AD143:AE145"/>
    <mergeCell ref="AF143:AH145"/>
    <mergeCell ref="AI143:AJ145"/>
    <mergeCell ref="AK143:AM145"/>
    <mergeCell ref="J144:L144"/>
    <mergeCell ref="J145:L145"/>
    <mergeCell ref="AK140:AM142"/>
    <mergeCell ref="A143:F145"/>
    <mergeCell ref="G143:I145"/>
    <mergeCell ref="J143:L143"/>
    <mergeCell ref="M143:N145"/>
    <mergeCell ref="O143:Q145"/>
    <mergeCell ref="R143:T145"/>
    <mergeCell ref="U143:W145"/>
    <mergeCell ref="X143:Z145"/>
    <mergeCell ref="AA143:AC145"/>
    <mergeCell ref="U140:W142"/>
    <mergeCell ref="X140:Z142"/>
    <mergeCell ref="AA140:AC142"/>
    <mergeCell ref="AD140:AE142"/>
    <mergeCell ref="AF140:AH142"/>
    <mergeCell ref="AI140:AJ142"/>
    <mergeCell ref="A140:F142"/>
    <mergeCell ref="G140:I142"/>
    <mergeCell ref="J140:L142"/>
    <mergeCell ref="M140:N142"/>
    <mergeCell ref="O140:Q142"/>
    <mergeCell ref="R140:T142"/>
    <mergeCell ref="J150:L150"/>
    <mergeCell ref="J151:L151"/>
    <mergeCell ref="A152:F154"/>
    <mergeCell ref="G152:I154"/>
    <mergeCell ref="J152:L152"/>
    <mergeCell ref="M152:N154"/>
    <mergeCell ref="X149:Z151"/>
    <mergeCell ref="AA149:AC151"/>
    <mergeCell ref="AD149:AE151"/>
    <mergeCell ref="AF149:AH151"/>
    <mergeCell ref="AI149:AJ151"/>
    <mergeCell ref="AK149:AM151"/>
    <mergeCell ref="AK146:AM148"/>
    <mergeCell ref="J147:L147"/>
    <mergeCell ref="J148:L148"/>
    <mergeCell ref="A149:F151"/>
    <mergeCell ref="G149:I151"/>
    <mergeCell ref="J149:L149"/>
    <mergeCell ref="M149:N151"/>
    <mergeCell ref="O149:Q151"/>
    <mergeCell ref="R149:T151"/>
    <mergeCell ref="U149:W151"/>
    <mergeCell ref="U146:W148"/>
    <mergeCell ref="X146:Z148"/>
    <mergeCell ref="AA146:AC148"/>
    <mergeCell ref="AD146:AE148"/>
    <mergeCell ref="AF146:AH148"/>
    <mergeCell ref="AI146:AJ148"/>
    <mergeCell ref="A146:F148"/>
    <mergeCell ref="G146:I148"/>
    <mergeCell ref="J146:L146"/>
    <mergeCell ref="M146:N148"/>
    <mergeCell ref="AI155:AJ157"/>
    <mergeCell ref="AK155:AM157"/>
    <mergeCell ref="J156:L156"/>
    <mergeCell ref="J157:L157"/>
    <mergeCell ref="A158:F160"/>
    <mergeCell ref="G158:I160"/>
    <mergeCell ref="J158:L158"/>
    <mergeCell ref="M158:N160"/>
    <mergeCell ref="O158:Q160"/>
    <mergeCell ref="R158:T160"/>
    <mergeCell ref="R155:T157"/>
    <mergeCell ref="U155:W157"/>
    <mergeCell ref="X155:Z157"/>
    <mergeCell ref="AA155:AC157"/>
    <mergeCell ref="AD155:AE157"/>
    <mergeCell ref="AF155:AH157"/>
    <mergeCell ref="AF152:AH154"/>
    <mergeCell ref="AI152:AJ154"/>
    <mergeCell ref="AK152:AM154"/>
    <mergeCell ref="J153:L153"/>
    <mergeCell ref="J154:L154"/>
    <mergeCell ref="A155:F157"/>
    <mergeCell ref="G155:I157"/>
    <mergeCell ref="J155:L155"/>
    <mergeCell ref="M155:N157"/>
    <mergeCell ref="O155:Q157"/>
    <mergeCell ref="O152:Q154"/>
    <mergeCell ref="R152:T154"/>
    <mergeCell ref="U152:W154"/>
    <mergeCell ref="X152:Z154"/>
    <mergeCell ref="AA152:AC154"/>
    <mergeCell ref="AD152:AE154"/>
    <mergeCell ref="AK161:AM163"/>
    <mergeCell ref="AK158:AM160"/>
    <mergeCell ref="J159:L159"/>
    <mergeCell ref="J160:L160"/>
    <mergeCell ref="A161:F163"/>
    <mergeCell ref="G161:I163"/>
    <mergeCell ref="J161:L161"/>
    <mergeCell ref="M161:N163"/>
    <mergeCell ref="O161:Q163"/>
    <mergeCell ref="R161:T163"/>
    <mergeCell ref="U161:W163"/>
    <mergeCell ref="U158:W160"/>
    <mergeCell ref="X158:Z160"/>
    <mergeCell ref="AA158:AC160"/>
    <mergeCell ref="AD158:AE160"/>
    <mergeCell ref="AF158:AH160"/>
    <mergeCell ref="AI158:AJ160"/>
    <mergeCell ref="O164:Q166"/>
    <mergeCell ref="R164:T166"/>
    <mergeCell ref="U164:W166"/>
    <mergeCell ref="X164:Z166"/>
    <mergeCell ref="AA164:AC166"/>
    <mergeCell ref="AD164:AE166"/>
    <mergeCell ref="J162:L162"/>
    <mergeCell ref="J163:L163"/>
    <mergeCell ref="A164:F166"/>
    <mergeCell ref="G164:I166"/>
    <mergeCell ref="J164:L164"/>
    <mergeCell ref="M164:N166"/>
    <mergeCell ref="X161:Z163"/>
    <mergeCell ref="AA161:AC163"/>
    <mergeCell ref="AD161:AE163"/>
    <mergeCell ref="AF161:AH163"/>
    <mergeCell ref="AI161:AJ163"/>
    <mergeCell ref="A195:L195"/>
    <mergeCell ref="M195:AH195"/>
    <mergeCell ref="AI195:AM196"/>
    <mergeCell ref="A196:L196"/>
    <mergeCell ref="M196:AH196"/>
    <mergeCell ref="A197:F199"/>
    <mergeCell ref="G197:I199"/>
    <mergeCell ref="J197:L199"/>
    <mergeCell ref="M197:N199"/>
    <mergeCell ref="O197:Q199"/>
    <mergeCell ref="AI167:AJ169"/>
    <mergeCell ref="AK167:AM169"/>
    <mergeCell ref="J168:L168"/>
    <mergeCell ref="J169:L169"/>
    <mergeCell ref="A194:L194"/>
    <mergeCell ref="M194:AH194"/>
    <mergeCell ref="AI194:AM194"/>
    <mergeCell ref="A176:F178"/>
    <mergeCell ref="G176:I178"/>
    <mergeCell ref="J176:L178"/>
    <mergeCell ref="R167:T169"/>
    <mergeCell ref="U167:W169"/>
    <mergeCell ref="X167:Z169"/>
    <mergeCell ref="AA167:AC169"/>
    <mergeCell ref="AD167:AE169"/>
    <mergeCell ref="AF167:AH169"/>
    <mergeCell ref="AD176:AE178"/>
    <mergeCell ref="AF176:AH178"/>
    <mergeCell ref="AI176:AJ178"/>
    <mergeCell ref="AK176:AM178"/>
    <mergeCell ref="A179:F181"/>
    <mergeCell ref="G179:I181"/>
    <mergeCell ref="O203:Q205"/>
    <mergeCell ref="R203:T205"/>
    <mergeCell ref="AA200:AC202"/>
    <mergeCell ref="AD200:AE202"/>
    <mergeCell ref="AF200:AH202"/>
    <mergeCell ref="AI200:AJ202"/>
    <mergeCell ref="AK200:AM202"/>
    <mergeCell ref="J201:L201"/>
    <mergeCell ref="J202:L202"/>
    <mergeCell ref="AI197:AJ199"/>
    <mergeCell ref="AK197:AM199"/>
    <mergeCell ref="A200:F202"/>
    <mergeCell ref="G200:I202"/>
    <mergeCell ref="J200:L200"/>
    <mergeCell ref="M200:N202"/>
    <mergeCell ref="O200:Q202"/>
    <mergeCell ref="R200:T202"/>
    <mergeCell ref="U200:W202"/>
    <mergeCell ref="X200:Z202"/>
    <mergeCell ref="R197:T199"/>
    <mergeCell ref="U197:W199"/>
    <mergeCell ref="X197:Z199"/>
    <mergeCell ref="AA197:AC199"/>
    <mergeCell ref="AD197:AE199"/>
    <mergeCell ref="AF197:AH199"/>
    <mergeCell ref="J207:L207"/>
    <mergeCell ref="J208:L208"/>
    <mergeCell ref="A209:F211"/>
    <mergeCell ref="G209:I211"/>
    <mergeCell ref="J209:L209"/>
    <mergeCell ref="M209:N211"/>
    <mergeCell ref="X206:Z208"/>
    <mergeCell ref="AA206:AC208"/>
    <mergeCell ref="AD206:AE208"/>
    <mergeCell ref="AF206:AH208"/>
    <mergeCell ref="AI206:AJ208"/>
    <mergeCell ref="AK206:AM208"/>
    <mergeCell ref="AK203:AM205"/>
    <mergeCell ref="J204:L204"/>
    <mergeCell ref="J205:L205"/>
    <mergeCell ref="A206:F208"/>
    <mergeCell ref="G206:I208"/>
    <mergeCell ref="J206:L206"/>
    <mergeCell ref="M206:N208"/>
    <mergeCell ref="O206:Q208"/>
    <mergeCell ref="R206:T208"/>
    <mergeCell ref="U206:W208"/>
    <mergeCell ref="U203:W205"/>
    <mergeCell ref="X203:Z205"/>
    <mergeCell ref="AA203:AC205"/>
    <mergeCell ref="AD203:AE205"/>
    <mergeCell ref="AF203:AH205"/>
    <mergeCell ref="AI203:AJ205"/>
    <mergeCell ref="A203:F205"/>
    <mergeCell ref="G203:I205"/>
    <mergeCell ref="J203:L203"/>
    <mergeCell ref="M203:N205"/>
    <mergeCell ref="AI212:AJ214"/>
    <mergeCell ref="AK212:AM214"/>
    <mergeCell ref="J213:L213"/>
    <mergeCell ref="J214:L214"/>
    <mergeCell ref="A215:F217"/>
    <mergeCell ref="G215:I217"/>
    <mergeCell ref="J215:L215"/>
    <mergeCell ref="M215:N217"/>
    <mergeCell ref="O215:Q217"/>
    <mergeCell ref="R215:T217"/>
    <mergeCell ref="R212:T214"/>
    <mergeCell ref="U212:W214"/>
    <mergeCell ref="X212:Z214"/>
    <mergeCell ref="AA212:AC214"/>
    <mergeCell ref="AD212:AE214"/>
    <mergeCell ref="AF212:AH214"/>
    <mergeCell ref="AF209:AH211"/>
    <mergeCell ref="AI209:AJ211"/>
    <mergeCell ref="AK209:AM211"/>
    <mergeCell ref="J210:L210"/>
    <mergeCell ref="J211:L211"/>
    <mergeCell ref="A212:F214"/>
    <mergeCell ref="G212:I214"/>
    <mergeCell ref="J212:L212"/>
    <mergeCell ref="M212:N214"/>
    <mergeCell ref="O212:Q214"/>
    <mergeCell ref="O209:Q211"/>
    <mergeCell ref="R209:T211"/>
    <mergeCell ref="U209:W211"/>
    <mergeCell ref="X209:Z211"/>
    <mergeCell ref="AA209:AC211"/>
    <mergeCell ref="AD209:AE211"/>
    <mergeCell ref="J219:L219"/>
    <mergeCell ref="J220:L220"/>
    <mergeCell ref="A221:F223"/>
    <mergeCell ref="G221:I223"/>
    <mergeCell ref="J221:L221"/>
    <mergeCell ref="M221:N223"/>
    <mergeCell ref="X218:Z220"/>
    <mergeCell ref="AA218:AC220"/>
    <mergeCell ref="AD218:AE220"/>
    <mergeCell ref="AF218:AH220"/>
    <mergeCell ref="AI218:AJ220"/>
    <mergeCell ref="AK218:AM220"/>
    <mergeCell ref="AK215:AM217"/>
    <mergeCell ref="J216:L216"/>
    <mergeCell ref="J217:L217"/>
    <mergeCell ref="A218:F220"/>
    <mergeCell ref="G218:I220"/>
    <mergeCell ref="J218:L218"/>
    <mergeCell ref="M218:N220"/>
    <mergeCell ref="O218:Q220"/>
    <mergeCell ref="R218:T220"/>
    <mergeCell ref="U218:W220"/>
    <mergeCell ref="U215:W217"/>
    <mergeCell ref="X215:Z217"/>
    <mergeCell ref="AA215:AC217"/>
    <mergeCell ref="AD215:AE217"/>
    <mergeCell ref="AF215:AH217"/>
    <mergeCell ref="AI215:AJ217"/>
    <mergeCell ref="AI224:AJ226"/>
    <mergeCell ref="AK224:AM226"/>
    <mergeCell ref="J225:L225"/>
    <mergeCell ref="J226:L226"/>
    <mergeCell ref="R224:T226"/>
    <mergeCell ref="U224:W226"/>
    <mergeCell ref="X224:Z226"/>
    <mergeCell ref="AA224:AC226"/>
    <mergeCell ref="AD224:AE226"/>
    <mergeCell ref="AF224:AH226"/>
    <mergeCell ref="AF221:AH223"/>
    <mergeCell ref="AI221:AJ223"/>
    <mergeCell ref="AK221:AM223"/>
    <mergeCell ref="J222:L222"/>
    <mergeCell ref="J223:L223"/>
    <mergeCell ref="A224:F226"/>
    <mergeCell ref="G224:I226"/>
    <mergeCell ref="J224:L224"/>
    <mergeCell ref="M224:N226"/>
    <mergeCell ref="O224:Q226"/>
    <mergeCell ref="O221:Q223"/>
    <mergeCell ref="R221:T223"/>
    <mergeCell ref="U221:W223"/>
    <mergeCell ref="X221:Z223"/>
    <mergeCell ref="AA221:AC223"/>
    <mergeCell ref="AD221:AE223"/>
    <mergeCell ref="AB248:AE248"/>
    <mergeCell ref="AF248:AI248"/>
    <mergeCell ref="AJ248:AM248"/>
    <mergeCell ref="B249:K249"/>
    <mergeCell ref="L249:N249"/>
    <mergeCell ref="O249:Q249"/>
    <mergeCell ref="R249:U249"/>
    <mergeCell ref="V249:W249"/>
    <mergeCell ref="X249:AA249"/>
    <mergeCell ref="AB249:AE249"/>
    <mergeCell ref="B248:K248"/>
    <mergeCell ref="L248:N248"/>
    <mergeCell ref="O248:Q248"/>
    <mergeCell ref="R248:U248"/>
    <mergeCell ref="V248:W248"/>
    <mergeCell ref="X248:AA248"/>
    <mergeCell ref="A245:AM245"/>
    <mergeCell ref="B247:K247"/>
    <mergeCell ref="R247:U247"/>
    <mergeCell ref="V247:W247"/>
    <mergeCell ref="X247:AA247"/>
    <mergeCell ref="AB247:AE247"/>
    <mergeCell ref="AF247:AI247"/>
    <mergeCell ref="AJ247:AM247"/>
    <mergeCell ref="AJ250:AM250"/>
    <mergeCell ref="B251:K251"/>
    <mergeCell ref="L251:N251"/>
    <mergeCell ref="O251:Q251"/>
    <mergeCell ref="R251:U251"/>
    <mergeCell ref="V251:W251"/>
    <mergeCell ref="X251:AA251"/>
    <mergeCell ref="AB251:AE251"/>
    <mergeCell ref="AF251:AI251"/>
    <mergeCell ref="AJ251:AM251"/>
    <mergeCell ref="AF249:AI249"/>
    <mergeCell ref="AJ249:AM249"/>
    <mergeCell ref="B250:K250"/>
    <mergeCell ref="L250:N250"/>
    <mergeCell ref="O250:Q250"/>
    <mergeCell ref="R250:U250"/>
    <mergeCell ref="V250:W250"/>
    <mergeCell ref="X250:AA250"/>
    <mergeCell ref="AB250:AE250"/>
    <mergeCell ref="AF250:AI250"/>
    <mergeCell ref="AF253:AI253"/>
    <mergeCell ref="AJ253:AM253"/>
    <mergeCell ref="B254:K254"/>
    <mergeCell ref="L254:N254"/>
    <mergeCell ref="O254:Q254"/>
    <mergeCell ref="R254:U254"/>
    <mergeCell ref="V254:W254"/>
    <mergeCell ref="X254:AA254"/>
    <mergeCell ref="AB254:AE254"/>
    <mergeCell ref="AF254:AI254"/>
    <mergeCell ref="AB252:AE252"/>
    <mergeCell ref="AF252:AI252"/>
    <mergeCell ref="AJ252:AM252"/>
    <mergeCell ref="B253:K253"/>
    <mergeCell ref="L253:N253"/>
    <mergeCell ref="O253:Q253"/>
    <mergeCell ref="R253:U253"/>
    <mergeCell ref="V253:W253"/>
    <mergeCell ref="X253:AA253"/>
    <mergeCell ref="AB253:AE253"/>
    <mergeCell ref="B252:K252"/>
    <mergeCell ref="L252:N252"/>
    <mergeCell ref="O252:Q252"/>
    <mergeCell ref="R252:U252"/>
    <mergeCell ref="V252:W252"/>
    <mergeCell ref="X252:AA252"/>
    <mergeCell ref="AB256:AE256"/>
    <mergeCell ref="AF256:AI256"/>
    <mergeCell ref="AJ256:AM256"/>
    <mergeCell ref="B257:K257"/>
    <mergeCell ref="L257:N257"/>
    <mergeCell ref="O257:Q257"/>
    <mergeCell ref="R257:U257"/>
    <mergeCell ref="V257:W257"/>
    <mergeCell ref="X257:AA257"/>
    <mergeCell ref="AB257:AE257"/>
    <mergeCell ref="B256:K256"/>
    <mergeCell ref="L256:N256"/>
    <mergeCell ref="O256:Q256"/>
    <mergeCell ref="R256:U256"/>
    <mergeCell ref="V256:W256"/>
    <mergeCell ref="X256:AA256"/>
    <mergeCell ref="AJ254:AM254"/>
    <mergeCell ref="B255:K255"/>
    <mergeCell ref="L255:N255"/>
    <mergeCell ref="O255:Q255"/>
    <mergeCell ref="R255:U255"/>
    <mergeCell ref="V255:W255"/>
    <mergeCell ref="X255:AA255"/>
    <mergeCell ref="AB255:AE255"/>
    <mergeCell ref="AF255:AI255"/>
    <mergeCell ref="AJ255:AM255"/>
    <mergeCell ref="AJ259:AM259"/>
    <mergeCell ref="B260:K260"/>
    <mergeCell ref="L260:N260"/>
    <mergeCell ref="O260:Q260"/>
    <mergeCell ref="R260:U260"/>
    <mergeCell ref="V260:W260"/>
    <mergeCell ref="X260:AA260"/>
    <mergeCell ref="AB260:AE260"/>
    <mergeCell ref="AF260:AI260"/>
    <mergeCell ref="AJ260:AM260"/>
    <mergeCell ref="AF257:AI257"/>
    <mergeCell ref="AJ257:AM257"/>
    <mergeCell ref="B259:K259"/>
    <mergeCell ref="L259:N259"/>
    <mergeCell ref="O259:Q259"/>
    <mergeCell ref="R259:U259"/>
    <mergeCell ref="V259:W259"/>
    <mergeCell ref="X259:AA259"/>
    <mergeCell ref="AB259:AE259"/>
    <mergeCell ref="AF259:AI259"/>
    <mergeCell ref="B258:K258"/>
    <mergeCell ref="L258:N258"/>
    <mergeCell ref="O258:Q258"/>
    <mergeCell ref="R258:U258"/>
    <mergeCell ref="V258:W258"/>
    <mergeCell ref="X258:AA258"/>
    <mergeCell ref="AB258:AE258"/>
    <mergeCell ref="AF258:AI258"/>
    <mergeCell ref="AJ258:AM258"/>
    <mergeCell ref="AF262:AI262"/>
    <mergeCell ref="AJ262:AM262"/>
    <mergeCell ref="B263:K263"/>
    <mergeCell ref="L263:N263"/>
    <mergeCell ref="O263:Q263"/>
    <mergeCell ref="R263:U263"/>
    <mergeCell ref="V263:W263"/>
    <mergeCell ref="X263:AA263"/>
    <mergeCell ref="AB263:AE263"/>
    <mergeCell ref="AF263:AI263"/>
    <mergeCell ref="AB261:AE261"/>
    <mergeCell ref="AF261:AI261"/>
    <mergeCell ref="AJ261:AM261"/>
    <mergeCell ref="B262:K262"/>
    <mergeCell ref="L262:N262"/>
    <mergeCell ref="O262:Q262"/>
    <mergeCell ref="R262:U262"/>
    <mergeCell ref="V262:W262"/>
    <mergeCell ref="X262:AA262"/>
    <mergeCell ref="AB262:AE262"/>
    <mergeCell ref="B261:K261"/>
    <mergeCell ref="L261:N261"/>
    <mergeCell ref="O261:Q261"/>
    <mergeCell ref="R261:U261"/>
    <mergeCell ref="V261:W261"/>
    <mergeCell ref="X261:AA261"/>
    <mergeCell ref="AB265:AE265"/>
    <mergeCell ref="AF265:AI265"/>
    <mergeCell ref="AJ265:AM265"/>
    <mergeCell ref="B266:K266"/>
    <mergeCell ref="L266:N266"/>
    <mergeCell ref="O266:Q266"/>
    <mergeCell ref="R266:U266"/>
    <mergeCell ref="V266:W266"/>
    <mergeCell ref="X266:AA266"/>
    <mergeCell ref="AB266:AE266"/>
    <mergeCell ref="B265:K265"/>
    <mergeCell ref="L265:N265"/>
    <mergeCell ref="O265:Q265"/>
    <mergeCell ref="R265:U265"/>
    <mergeCell ref="V265:W265"/>
    <mergeCell ref="X265:AA265"/>
    <mergeCell ref="AJ263:AM263"/>
    <mergeCell ref="B264:K264"/>
    <mergeCell ref="L264:N264"/>
    <mergeCell ref="O264:Q264"/>
    <mergeCell ref="R264:U264"/>
    <mergeCell ref="V264:W264"/>
    <mergeCell ref="X264:AA264"/>
    <mergeCell ref="AB264:AE264"/>
    <mergeCell ref="AF264:AI264"/>
    <mergeCell ref="AJ264:AM264"/>
    <mergeCell ref="AJ267:AM267"/>
    <mergeCell ref="B268:K268"/>
    <mergeCell ref="L268:N268"/>
    <mergeCell ref="O268:Q268"/>
    <mergeCell ref="R268:U268"/>
    <mergeCell ref="V268:W268"/>
    <mergeCell ref="X268:AA268"/>
    <mergeCell ref="AB268:AE268"/>
    <mergeCell ref="AF268:AI268"/>
    <mergeCell ref="AJ268:AM268"/>
    <mergeCell ref="AF266:AI266"/>
    <mergeCell ref="AJ266:AM266"/>
    <mergeCell ref="B267:K267"/>
    <mergeCell ref="L267:N267"/>
    <mergeCell ref="O267:Q267"/>
    <mergeCell ref="R267:U267"/>
    <mergeCell ref="V267:W267"/>
    <mergeCell ref="X267:AA267"/>
    <mergeCell ref="AB267:AE267"/>
    <mergeCell ref="AF267:AI267"/>
    <mergeCell ref="AF270:AI270"/>
    <mergeCell ref="AJ270:AM270"/>
    <mergeCell ref="B271:K271"/>
    <mergeCell ref="L271:N271"/>
    <mergeCell ref="O271:Q271"/>
    <mergeCell ref="R271:U271"/>
    <mergeCell ref="V271:W271"/>
    <mergeCell ref="X271:AA271"/>
    <mergeCell ref="AB271:AE271"/>
    <mergeCell ref="AF271:AI271"/>
    <mergeCell ref="AB269:AE269"/>
    <mergeCell ref="AF269:AI269"/>
    <mergeCell ref="AJ269:AM269"/>
    <mergeCell ref="B270:K270"/>
    <mergeCell ref="L270:N270"/>
    <mergeCell ref="O270:Q270"/>
    <mergeCell ref="R270:U270"/>
    <mergeCell ref="V270:W270"/>
    <mergeCell ref="X270:AA270"/>
    <mergeCell ref="AB270:AE270"/>
    <mergeCell ref="B269:K269"/>
    <mergeCell ref="L269:N269"/>
    <mergeCell ref="O269:Q269"/>
    <mergeCell ref="R269:U269"/>
    <mergeCell ref="V269:W269"/>
    <mergeCell ref="X269:AA269"/>
    <mergeCell ref="AB273:AE273"/>
    <mergeCell ref="AF273:AI273"/>
    <mergeCell ref="AJ273:AM273"/>
    <mergeCell ref="B274:K274"/>
    <mergeCell ref="L274:N274"/>
    <mergeCell ref="O274:Q274"/>
    <mergeCell ref="R274:U274"/>
    <mergeCell ref="V274:W274"/>
    <mergeCell ref="X274:AA274"/>
    <mergeCell ref="AB274:AE274"/>
    <mergeCell ref="B273:K273"/>
    <mergeCell ref="L273:N273"/>
    <mergeCell ref="O273:Q273"/>
    <mergeCell ref="R273:U273"/>
    <mergeCell ref="V273:W273"/>
    <mergeCell ref="X273:AA273"/>
    <mergeCell ref="AJ271:AM271"/>
    <mergeCell ref="B272:K272"/>
    <mergeCell ref="L272:N272"/>
    <mergeCell ref="O272:Q272"/>
    <mergeCell ref="R272:U272"/>
    <mergeCell ref="V272:W272"/>
    <mergeCell ref="X272:AA272"/>
    <mergeCell ref="AB272:AE272"/>
    <mergeCell ref="AF272:AI272"/>
    <mergeCell ref="AJ272:AM272"/>
    <mergeCell ref="AJ275:AM275"/>
    <mergeCell ref="B277:K277"/>
    <mergeCell ref="L277:N277"/>
    <mergeCell ref="O277:Q277"/>
    <mergeCell ref="R277:U277"/>
    <mergeCell ref="V277:W277"/>
    <mergeCell ref="X277:AA277"/>
    <mergeCell ref="AB277:AE277"/>
    <mergeCell ref="AF277:AI277"/>
    <mergeCell ref="AJ277:AM277"/>
    <mergeCell ref="AF274:AI274"/>
    <mergeCell ref="AJ274:AM274"/>
    <mergeCell ref="B275:K275"/>
    <mergeCell ref="L275:N275"/>
    <mergeCell ref="O275:Q275"/>
    <mergeCell ref="R275:U275"/>
    <mergeCell ref="V275:W275"/>
    <mergeCell ref="X275:AA275"/>
    <mergeCell ref="AB275:AE275"/>
    <mergeCell ref="AF275:AI275"/>
    <mergeCell ref="B276:K276"/>
    <mergeCell ref="L276:N276"/>
    <mergeCell ref="O276:Q276"/>
    <mergeCell ref="R276:U276"/>
    <mergeCell ref="V276:W276"/>
    <mergeCell ref="X276:AA276"/>
    <mergeCell ref="AB276:AE276"/>
    <mergeCell ref="AF276:AI276"/>
    <mergeCell ref="AJ276:AM276"/>
    <mergeCell ref="AF279:AI279"/>
    <mergeCell ref="AJ279:AM279"/>
    <mergeCell ref="B280:K280"/>
    <mergeCell ref="L280:N280"/>
    <mergeCell ref="O280:Q280"/>
    <mergeCell ref="R280:U280"/>
    <mergeCell ref="V280:W280"/>
    <mergeCell ref="X280:AA280"/>
    <mergeCell ref="AB280:AE280"/>
    <mergeCell ref="AF280:AI280"/>
    <mergeCell ref="AB278:AE278"/>
    <mergeCell ref="AF278:AI278"/>
    <mergeCell ref="AJ278:AM278"/>
    <mergeCell ref="B279:K279"/>
    <mergeCell ref="L279:N279"/>
    <mergeCell ref="O279:Q279"/>
    <mergeCell ref="R279:U279"/>
    <mergeCell ref="V279:W279"/>
    <mergeCell ref="X279:AA279"/>
    <mergeCell ref="AB279:AE279"/>
    <mergeCell ref="B278:K278"/>
    <mergeCell ref="L278:N278"/>
    <mergeCell ref="O278:Q278"/>
    <mergeCell ref="R278:U278"/>
    <mergeCell ref="V278:W278"/>
    <mergeCell ref="X278:AA278"/>
    <mergeCell ref="AB282:AE282"/>
    <mergeCell ref="AF282:AI282"/>
    <mergeCell ref="AA76:AC78"/>
    <mergeCell ref="AD76:AE78"/>
    <mergeCell ref="AF76:AH78"/>
    <mergeCell ref="AI76:AJ78"/>
    <mergeCell ref="AK76:AM78"/>
    <mergeCell ref="J77:L77"/>
    <mergeCell ref="AJ282:AM282"/>
    <mergeCell ref="B283:K283"/>
    <mergeCell ref="L283:N283"/>
    <mergeCell ref="O283:Q283"/>
    <mergeCell ref="R283:U283"/>
    <mergeCell ref="V283:W283"/>
    <mergeCell ref="X283:AA283"/>
    <mergeCell ref="AB283:AE283"/>
    <mergeCell ref="B282:K282"/>
    <mergeCell ref="L282:N282"/>
    <mergeCell ref="O282:Q282"/>
    <mergeCell ref="R282:U282"/>
    <mergeCell ref="V282:W282"/>
    <mergeCell ref="X282:AA282"/>
    <mergeCell ref="AJ280:AM280"/>
    <mergeCell ref="B281:K281"/>
    <mergeCell ref="L281:N281"/>
    <mergeCell ref="O281:Q281"/>
    <mergeCell ref="R281:U281"/>
    <mergeCell ref="V281:W281"/>
    <mergeCell ref="X281:AA281"/>
    <mergeCell ref="AB281:AE281"/>
    <mergeCell ref="AF281:AI281"/>
    <mergeCell ref="AJ281:AM281"/>
    <mergeCell ref="AJ284:AM284"/>
    <mergeCell ref="B285:K285"/>
    <mergeCell ref="L285:N285"/>
    <mergeCell ref="O285:Q285"/>
    <mergeCell ref="R285:U285"/>
    <mergeCell ref="V285:W285"/>
    <mergeCell ref="X285:AA285"/>
    <mergeCell ref="AB285:AE285"/>
    <mergeCell ref="AF285:AI285"/>
    <mergeCell ref="AJ285:AM285"/>
    <mergeCell ref="AF283:AI283"/>
    <mergeCell ref="AJ283:AM283"/>
    <mergeCell ref="B284:K284"/>
    <mergeCell ref="L284:N284"/>
    <mergeCell ref="O284:Q284"/>
    <mergeCell ref="R284:U284"/>
    <mergeCell ref="V284:W284"/>
    <mergeCell ref="X284:AA284"/>
    <mergeCell ref="AB284:AE284"/>
    <mergeCell ref="AF284:AI284"/>
    <mergeCell ref="AK73:AM75"/>
    <mergeCell ref="A76:F78"/>
    <mergeCell ref="G76:I78"/>
    <mergeCell ref="J76:L76"/>
    <mergeCell ref="M76:N78"/>
    <mergeCell ref="O76:Q78"/>
    <mergeCell ref="R76:T78"/>
    <mergeCell ref="U76:W78"/>
    <mergeCell ref="X76:Z78"/>
    <mergeCell ref="R73:T75"/>
    <mergeCell ref="U73:W75"/>
    <mergeCell ref="X73:Z75"/>
    <mergeCell ref="AA73:AC75"/>
    <mergeCell ref="AD73:AE75"/>
    <mergeCell ref="AF73:AH75"/>
    <mergeCell ref="G73:I75"/>
    <mergeCell ref="J73:L75"/>
    <mergeCell ref="M73:N75"/>
    <mergeCell ref="O73:Q75"/>
    <mergeCell ref="AK79:AM81"/>
    <mergeCell ref="J80:L80"/>
    <mergeCell ref="J81:L81"/>
    <mergeCell ref="A82:F84"/>
    <mergeCell ref="G82:I84"/>
    <mergeCell ref="J82:L82"/>
    <mergeCell ref="M82:N84"/>
    <mergeCell ref="O82:Q84"/>
    <mergeCell ref="R82:T84"/>
    <mergeCell ref="U82:W84"/>
    <mergeCell ref="U79:W81"/>
    <mergeCell ref="X79:Z81"/>
    <mergeCell ref="AA79:AC81"/>
    <mergeCell ref="AD79:AE81"/>
    <mergeCell ref="AF79:AH81"/>
    <mergeCell ref="AI79:AJ81"/>
    <mergeCell ref="A79:F81"/>
    <mergeCell ref="G79:I81"/>
    <mergeCell ref="J79:L79"/>
    <mergeCell ref="M79:N81"/>
    <mergeCell ref="O79:Q81"/>
    <mergeCell ref="R79:T81"/>
    <mergeCell ref="M176:N178"/>
    <mergeCell ref="O176:Q178"/>
    <mergeCell ref="R176:T178"/>
    <mergeCell ref="U176:W178"/>
    <mergeCell ref="X176:Z178"/>
    <mergeCell ref="AA176:AC178"/>
    <mergeCell ref="J83:L83"/>
    <mergeCell ref="J84:L84"/>
    <mergeCell ref="A173:L173"/>
    <mergeCell ref="M173:AH173"/>
    <mergeCell ref="AI173:AM173"/>
    <mergeCell ref="A174:L174"/>
    <mergeCell ref="M174:AH174"/>
    <mergeCell ref="AI174:AM175"/>
    <mergeCell ref="A175:L175"/>
    <mergeCell ref="M175:AH175"/>
    <mergeCell ref="X82:Z84"/>
    <mergeCell ref="AA82:AC84"/>
    <mergeCell ref="AD82:AE84"/>
    <mergeCell ref="AF82:AH84"/>
    <mergeCell ref="AI82:AJ84"/>
    <mergeCell ref="AK82:AM84"/>
    <mergeCell ref="AF164:AH166"/>
    <mergeCell ref="AI164:AJ166"/>
    <mergeCell ref="AK164:AM166"/>
    <mergeCell ref="J165:L165"/>
    <mergeCell ref="J166:L166"/>
    <mergeCell ref="A167:F169"/>
    <mergeCell ref="G167:I169"/>
    <mergeCell ref="J167:L167"/>
    <mergeCell ref="M167:N169"/>
    <mergeCell ref="O167:Q169"/>
    <mergeCell ref="AK179:AM181"/>
    <mergeCell ref="J180:L180"/>
    <mergeCell ref="J181:L181"/>
    <mergeCell ref="A182:F184"/>
    <mergeCell ref="G182:I184"/>
    <mergeCell ref="J182:L182"/>
    <mergeCell ref="M182:N184"/>
    <mergeCell ref="O182:Q184"/>
    <mergeCell ref="R182:T184"/>
    <mergeCell ref="U182:W184"/>
    <mergeCell ref="U179:W181"/>
    <mergeCell ref="X179:Z181"/>
    <mergeCell ref="AA179:AC181"/>
    <mergeCell ref="AD179:AE181"/>
    <mergeCell ref="AF179:AH181"/>
    <mergeCell ref="AI179:AJ181"/>
    <mergeCell ref="J179:L179"/>
    <mergeCell ref="M179:N181"/>
    <mergeCell ref="O179:Q181"/>
    <mergeCell ref="R179:T181"/>
    <mergeCell ref="A70:AH70"/>
    <mergeCell ref="A120:AH120"/>
    <mergeCell ref="A229:AH229"/>
    <mergeCell ref="A192:G193"/>
    <mergeCell ref="H192:V193"/>
    <mergeCell ref="W192:Z193"/>
    <mergeCell ref="AA192:AM193"/>
    <mergeCell ref="AF185:AH187"/>
    <mergeCell ref="AI185:AJ187"/>
    <mergeCell ref="AK185:AM187"/>
    <mergeCell ref="J186:L186"/>
    <mergeCell ref="J187:L187"/>
    <mergeCell ref="A190:G191"/>
    <mergeCell ref="H190:AM191"/>
    <mergeCell ref="O185:Q187"/>
    <mergeCell ref="R185:T187"/>
    <mergeCell ref="U185:W187"/>
    <mergeCell ref="X185:Z187"/>
    <mergeCell ref="AA185:AC187"/>
    <mergeCell ref="AD185:AE187"/>
    <mergeCell ref="J183:L183"/>
    <mergeCell ref="J184:L184"/>
    <mergeCell ref="A185:F187"/>
    <mergeCell ref="G185:I187"/>
    <mergeCell ref="J185:L185"/>
    <mergeCell ref="M185:N187"/>
    <mergeCell ref="X182:Z184"/>
    <mergeCell ref="AA182:AC184"/>
    <mergeCell ref="AD182:AE184"/>
    <mergeCell ref="AF182:AH184"/>
    <mergeCell ref="AI182:AJ184"/>
    <mergeCell ref="AK182:AM184"/>
  </mergeCells>
  <hyperlinks>
    <hyperlink ref="G11" r:id="rId1" xr:uid="{F21D1731-0BA5-5641-873D-80420E47B170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82A6-2FE7-FA41-B3EB-237099F40293}">
  <dimension ref="A1:AM757"/>
  <sheetViews>
    <sheetView view="pageLayout" zoomScale="140" zoomScaleNormal="100" zoomScalePageLayoutView="140" workbookViewId="0">
      <selection activeCell="AA28" sqref="AA28"/>
    </sheetView>
  </sheetViews>
  <sheetFormatPr defaultColWidth="10.625" defaultRowHeight="15.75"/>
  <cols>
    <col min="1" max="5" width="2.375" customWidth="1"/>
    <col min="6" max="6" width="0.375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Mega Mall Bucuresti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nr.07,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RO20986980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J40/2353/2007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RO16 RZBR 0000 0600 1024 4372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17/31.01.2024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38/28.02.2024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3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AB756</f>
        <v>1754737.6800000002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AF756</f>
        <v>333400.14999999997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AJ756</f>
        <v>2088137.8299999996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2088137.8299999996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R719+R733+R734+R737</f>
        <v>1948285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1.0717825318164436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VLOOKUP($AA$15,'Date SPV'!$B:$H,4,FALSE)</f>
        <v>Bulevardul Pierre de Coubertin, nr. 3-5, Sector 2, Bucuresti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5000415864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_xlfn.CONCAT($AA$15,"_",1)</f>
        <v>RMEG_1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RO001E110047438/1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RMEG_1.1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1369546421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2801054 (citit)</v>
      </c>
      <c r="S40" s="647"/>
      <c r="T40" s="647"/>
      <c r="U40" s="647" t="str">
        <f>VLOOKUP(A40,Regularizare!$D:$U,4,FALSE)&amp;" ("&amp;VLOOKUP(A40,Regularizare!$D:$U,12,FALSE)&amp;")"</f>
        <v>2828870 (estimat)</v>
      </c>
      <c r="V40" s="647"/>
      <c r="W40" s="647"/>
      <c r="X40" s="647" t="str">
        <f>VLOOKUP(A40,Regularizare!$D:$Y,19,FALSE)&amp;" ("&amp;VLOOKUP(A40,Regularizare!$D:$U,12,FALSE)&amp;")"</f>
        <v>27816 (estimat)</v>
      </c>
      <c r="Y40" s="647"/>
      <c r="Z40" s="647"/>
      <c r="AA40" s="647">
        <f>(-1)*VLOOKUP(A40,Regularizare!$D:$Y,19,FALSE)</f>
        <v>-27816</v>
      </c>
      <c r="AB40" s="647"/>
      <c r="AC40" s="647"/>
      <c r="AD40" s="647" t="s">
        <v>69</v>
      </c>
      <c r="AE40" s="647"/>
      <c r="AF40" s="647">
        <f>AA40</f>
        <v>-27816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1369546421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549842 (citit)</v>
      </c>
      <c r="S43" s="647"/>
      <c r="T43" s="647"/>
      <c r="U43" s="647" t="str">
        <f>VLOOKUP(A43,Regularizare!$D:$U,8,FALSE)&amp;" ("&amp;VLOOKUP(A43,Regularizare!$D:$U,16,FALSE)&amp;")"</f>
        <v>549842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1369546421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2277 (citit)</v>
      </c>
      <c r="S46" s="647"/>
      <c r="T46" s="647"/>
      <c r="U46" s="647" t="str">
        <f>VLOOKUP(A46,Regularizare!$D:$U,10,FALSE)&amp;" ("&amp;VLOOKUP(A46,Regularizare!$D:$U,18,FALSE)&amp;")"</f>
        <v>2277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1369546421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2801054 (citit)</v>
      </c>
      <c r="S49" s="647"/>
      <c r="T49" s="647"/>
      <c r="U49" s="647" t="str">
        <f>VLOOKUP(A49,Regularizare!$D:$AX,25,FALSE)&amp;" ("&amp;VLOOKUP(A49,Regularizare!$D:$AX,26,FALSE)&amp;")"</f>
        <v>2828870 (citit)</v>
      </c>
      <c r="V49" s="647"/>
      <c r="W49" s="647"/>
      <c r="X49" s="647" t="str">
        <f>VLOOKUP(A49,Regularizare!$D:$AX,37,FALSE)&amp;" ("&amp;VLOOKUP(A49,Regularizare!$D:$AX,26,FALSE)&amp;")"</f>
        <v>27816 (citit)</v>
      </c>
      <c r="Y49" s="647"/>
      <c r="Z49" s="647"/>
      <c r="AA49" s="647">
        <f>VLOOKUP(A49,Regularizare!$D:$AX,37,FALSE)</f>
        <v>27816</v>
      </c>
      <c r="AB49" s="647"/>
      <c r="AC49" s="647"/>
      <c r="AD49" s="647" t="s">
        <v>69</v>
      </c>
      <c r="AE49" s="647"/>
      <c r="AF49" s="647">
        <f>AA49</f>
        <v>27816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1369546421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549842 (citit)</v>
      </c>
      <c r="S52" s="647"/>
      <c r="T52" s="647"/>
      <c r="U52" s="647" t="str">
        <f>VLOOKUP(A52,Regularizare!$D:$AX,31,FALSE)&amp;" ("&amp;VLOOKUP(A52,Regularizare!$D:$AX,32,FALSE)&amp;")"</f>
        <v>549842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1369546421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2277 (citit)</v>
      </c>
      <c r="S55" s="647"/>
      <c r="T55" s="647"/>
      <c r="U55" s="647" t="str">
        <f>VLOOKUP(A55,Regularizare!$D:$AX,35,FALSE)&amp;" ("&amp;VLOOKUP(A55,Regularizare!$D:$AX,36,FALSE)&amp;")"</f>
        <v>2277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1369546421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2828870 (citit)</v>
      </c>
      <c r="S58" s="647"/>
      <c r="T58" s="647"/>
      <c r="U58" s="647" t="str">
        <f>VLOOKUP(A58,'Incrementare indexe'!$D:$M,4,FALSE)&amp;" (estimat)"</f>
        <v>2862645 (estimat)</v>
      </c>
      <c r="V58" s="647"/>
      <c r="W58" s="647"/>
      <c r="X58" s="647" t="str">
        <f>VLOOKUP(A58,'Incrementare indexe'!$D:$Q,11,FALSE)&amp;" (estimat)"</f>
        <v>33775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33775</v>
      </c>
      <c r="AG58" s="647"/>
      <c r="AH58" s="647"/>
      <c r="AI58" s="647">
        <f>J60-J58+1</f>
        <v>31</v>
      </c>
      <c r="AJ58" s="647"/>
      <c r="AK58" s="647">
        <f>ROUND(AF58/AI58,2)</f>
        <v>1089.52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1369546421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549842 (citit)</v>
      </c>
      <c r="S61" s="647"/>
      <c r="T61" s="647"/>
      <c r="U61" s="647" t="str">
        <f>VLOOKUP(A61,'Incrementare indexe'!$D:$M,8,FALSE)&amp;" (estimat)"</f>
        <v>549842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1369546421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2277 (citit)</v>
      </c>
      <c r="S64" s="647"/>
      <c r="T64" s="647"/>
      <c r="U64" s="647" t="str">
        <f>VLOOKUP(A64,'Incrementare indexe'!$D:$M,10,FALSE)&amp;" (estimat)"</f>
        <v>2277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/>
    <row r="68" spans="1:39" ht="14.1" customHeight="1"/>
    <row r="69" spans="1:39" ht="14.1" customHeight="1"/>
    <row r="70" spans="1:39" ht="14.1" customHeight="1"/>
    <row r="71" spans="1:39" ht="14.1" customHeight="1"/>
    <row r="72" spans="1:39" ht="14.1" customHeight="1"/>
    <row r="73" spans="1:39" ht="14.1" customHeight="1"/>
    <row r="74" spans="1:39" ht="14.1" customHeight="1"/>
    <row r="75" spans="1:39" ht="14.1" customHeight="1"/>
    <row r="76" spans="1:39" ht="14.1" customHeight="1"/>
    <row r="77" spans="1:39" ht="14.1" customHeight="1"/>
    <row r="78" spans="1:39" ht="14.1" customHeight="1"/>
    <row r="79" spans="1:39" ht="14.1" customHeight="1"/>
    <row r="80" spans="1:39">
      <c r="A80" s="649" t="s">
        <v>748</v>
      </c>
      <c r="B80" s="649"/>
      <c r="C80" s="649"/>
      <c r="D80" s="649"/>
      <c r="E80" s="649"/>
      <c r="F80" s="649"/>
      <c r="G80" s="649"/>
      <c r="H80" s="649"/>
      <c r="I80" s="649"/>
      <c r="J80" s="649"/>
      <c r="K80" s="649"/>
      <c r="L80" s="649"/>
      <c r="M80" s="650" t="str">
        <f>VLOOKUP(AI81,'Contorizare in SDI'!$E:$I,4,FALSE)</f>
        <v>RO001E110047438/2</v>
      </c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650" t="s">
        <v>695</v>
      </c>
      <c r="AJ80" s="650"/>
      <c r="AK80" s="650"/>
      <c r="AL80" s="650"/>
      <c r="AM80" s="650"/>
    </row>
    <row r="81" spans="1:39">
      <c r="A81" s="649" t="s">
        <v>746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VLOOKUP(AI81,'Inchidere contur'!$G:$U,15,FALSE)</f>
        <v>JT_SDI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19" t="str">
        <f>_xlfn.CONCAT(AA31,".",2)</f>
        <v>RMEG_1.2</v>
      </c>
      <c r="AJ81" s="619"/>
      <c r="AK81" s="619"/>
      <c r="AL81" s="619"/>
      <c r="AM81" s="619"/>
    </row>
    <row r="82" spans="1:39">
      <c r="A82" s="649" t="s">
        <v>747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IF(LEFT(M81,2)="JT","0.4kV",IF(LEFT(M81,2)="MT","20kV","-"))</f>
        <v>0.4kV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/>
      <c r="AJ82" s="619"/>
      <c r="AK82" s="619"/>
      <c r="AL82" s="619"/>
      <c r="AM82" s="619"/>
    </row>
    <row r="83" spans="1:39" ht="15.95" customHeight="1">
      <c r="A83" s="648" t="s">
        <v>697</v>
      </c>
      <c r="B83" s="648"/>
      <c r="C83" s="648"/>
      <c r="D83" s="648"/>
      <c r="E83" s="648"/>
      <c r="F83" s="648"/>
      <c r="G83" s="647" t="s">
        <v>713</v>
      </c>
      <c r="H83" s="647"/>
      <c r="I83" s="647"/>
      <c r="J83" s="647" t="s">
        <v>714</v>
      </c>
      <c r="K83" s="647"/>
      <c r="L83" s="647"/>
      <c r="M83" s="648" t="s">
        <v>519</v>
      </c>
      <c r="N83" s="648"/>
      <c r="O83" s="648" t="s">
        <v>715</v>
      </c>
      <c r="P83" s="648"/>
      <c r="Q83" s="648"/>
      <c r="R83" s="647" t="s">
        <v>732</v>
      </c>
      <c r="S83" s="647"/>
      <c r="T83" s="647"/>
      <c r="U83" s="647" t="s">
        <v>734</v>
      </c>
      <c r="V83" s="647"/>
      <c r="W83" s="647"/>
      <c r="X83" s="647" t="s">
        <v>1085</v>
      </c>
      <c r="Y83" s="647"/>
      <c r="Z83" s="647"/>
      <c r="AA83" s="647" t="s">
        <v>1086</v>
      </c>
      <c r="AB83" s="647"/>
      <c r="AC83" s="647"/>
      <c r="AD83" s="647" t="s">
        <v>717</v>
      </c>
      <c r="AE83" s="647"/>
      <c r="AF83" s="647" t="s">
        <v>718</v>
      </c>
      <c r="AG83" s="647"/>
      <c r="AH83" s="647"/>
      <c r="AI83" s="647" t="s">
        <v>719</v>
      </c>
      <c r="AJ83" s="647"/>
      <c r="AK83" s="647" t="s">
        <v>733</v>
      </c>
      <c r="AL83" s="647"/>
      <c r="AM83" s="647"/>
    </row>
    <row r="84" spans="1:39">
      <c r="A84" s="648"/>
      <c r="B84" s="648"/>
      <c r="C84" s="648"/>
      <c r="D84" s="648"/>
      <c r="E84" s="648"/>
      <c r="F84" s="648"/>
      <c r="G84" s="647"/>
      <c r="H84" s="647"/>
      <c r="I84" s="647"/>
      <c r="J84" s="647"/>
      <c r="K84" s="647"/>
      <c r="L84" s="647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713"/>
      <c r="K85" s="713"/>
      <c r="L85" s="713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78">
        <f>VLOOKUP(AI81,'Contorizare in SDI'!$E:$I,5,FALSE)</f>
        <v>1369358959</v>
      </c>
      <c r="B86" s="679"/>
      <c r="C86" s="679"/>
      <c r="D86" s="679"/>
      <c r="E86" s="679"/>
      <c r="F86" s="680"/>
      <c r="G86" s="648" t="s">
        <v>730</v>
      </c>
      <c r="H86" s="648"/>
      <c r="I86" s="673"/>
      <c r="J86" s="655">
        <f>'Date masura OD'!$AK$5</f>
        <v>45748</v>
      </c>
      <c r="K86" s="656"/>
      <c r="L86" s="657"/>
      <c r="M86" s="720" t="s">
        <v>446</v>
      </c>
      <c r="N86" s="648"/>
      <c r="O86" s="648">
        <f>VLOOKUP(AI81,'Incrementare indexe'!$B:$T,4,FALSE)</f>
        <v>1</v>
      </c>
      <c r="P86" s="648"/>
      <c r="Q86" s="648"/>
      <c r="R86" s="647" t="str">
        <f>VLOOKUP(A86,Regularizare!$D:$YN,3,FALSE)&amp;" ("&amp;VLOOKUP(A86,Regularizare!$D:$Y,11,FALSE)&amp;")"</f>
        <v>2899400 (citit)</v>
      </c>
      <c r="S86" s="647"/>
      <c r="T86" s="647"/>
      <c r="U86" s="647" t="str">
        <f>VLOOKUP(A86,Regularizare!$D:$U,4,FALSE)&amp;" ("&amp;VLOOKUP(A86,Regularizare!$D:$U,12,FALSE)&amp;")"</f>
        <v>2926145 (estimat)</v>
      </c>
      <c r="V86" s="647"/>
      <c r="W86" s="647"/>
      <c r="X86" s="647" t="str">
        <f>VLOOKUP(A86,Regularizare!$D:$Y,19,FALSE)&amp;" ("&amp;VLOOKUP(A86,Regularizare!$D:$U,12,FALSE)&amp;")"</f>
        <v>26745 (estimat)</v>
      </c>
      <c r="Y86" s="647"/>
      <c r="Z86" s="647"/>
      <c r="AA86" s="647">
        <f>(-1)*VLOOKUP(A86,Regularizare!$D:$Y,19,FALSE)</f>
        <v>-26745</v>
      </c>
      <c r="AB86" s="647"/>
      <c r="AC86" s="647"/>
      <c r="AD86" s="647" t="s">
        <v>69</v>
      </c>
      <c r="AE86" s="647"/>
      <c r="AF86" s="647">
        <f>AA86</f>
        <v>-26745</v>
      </c>
      <c r="AG86" s="647"/>
      <c r="AH86" s="647"/>
      <c r="AI86" s="647" t="s">
        <v>69</v>
      </c>
      <c r="AJ86" s="647"/>
      <c r="AK86" s="647" t="s">
        <v>69</v>
      </c>
      <c r="AL86" s="647"/>
      <c r="AM86" s="647"/>
    </row>
    <row r="87" spans="1:39" ht="9.75" customHeight="1">
      <c r="A87" s="717"/>
      <c r="B87" s="718"/>
      <c r="C87" s="718"/>
      <c r="D87" s="718"/>
      <c r="E87" s="718"/>
      <c r="F87" s="719"/>
      <c r="G87" s="648"/>
      <c r="H87" s="648"/>
      <c r="I87" s="673"/>
      <c r="J87" s="717" t="s">
        <v>69</v>
      </c>
      <c r="K87" s="718"/>
      <c r="L87" s="719"/>
      <c r="M87" s="720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81"/>
      <c r="B88" s="682"/>
      <c r="C88" s="682"/>
      <c r="D88" s="682"/>
      <c r="E88" s="682"/>
      <c r="F88" s="683"/>
      <c r="G88" s="648"/>
      <c r="H88" s="648"/>
      <c r="I88" s="673"/>
      <c r="J88" s="714">
        <f>'Date masura OD'!$AL$5</f>
        <v>45777</v>
      </c>
      <c r="K88" s="715"/>
      <c r="L88" s="716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78">
        <f>A86</f>
        <v>1369358959</v>
      </c>
      <c r="B89" s="679"/>
      <c r="C89" s="679"/>
      <c r="D89" s="679"/>
      <c r="E89" s="679"/>
      <c r="F89" s="680"/>
      <c r="G89" s="648" t="s">
        <v>696</v>
      </c>
      <c r="H89" s="648"/>
      <c r="I89" s="648"/>
      <c r="J89" s="655">
        <f t="shared" ref="J89:J94" si="3">J86</f>
        <v>45748</v>
      </c>
      <c r="K89" s="656"/>
      <c r="L89" s="657"/>
      <c r="M89" s="648" t="s">
        <v>720</v>
      </c>
      <c r="N89" s="648"/>
      <c r="O89" s="648">
        <f>O86</f>
        <v>1</v>
      </c>
      <c r="P89" s="648"/>
      <c r="Q89" s="648"/>
      <c r="R89" s="647" t="str">
        <f>VLOOKUP(A89,Regularizare!$D:$U,7,FALSE)&amp;" ("&amp;VLOOKUP(A89,Regularizare!$D:$U,15,FALSE)&amp;")"</f>
        <v>310145 (citit)</v>
      </c>
      <c r="S89" s="647"/>
      <c r="T89" s="647"/>
      <c r="U89" s="647" t="str">
        <f>VLOOKUP(A89,Regularizare!$D:$U,8,FALSE)&amp;" ("&amp;VLOOKUP(A89,Regularizare!$D:$U,16,FALSE)&amp;")"</f>
        <v>310145 (estimat)</v>
      </c>
      <c r="V89" s="647"/>
      <c r="W89" s="647"/>
      <c r="X89" s="647" t="str">
        <f>_xlfn.CONCAT(VLOOKUP(A89,Regularizare!$D:$U,8,FALSE)-VLOOKUP(A89,Regularizare!$D:$U,7,FALSE)," (",VLOOKUP(A89,Regularizare!$D:$U,16,FALSE),")")</f>
        <v>0 (estimat)</v>
      </c>
      <c r="Y89" s="647"/>
      <c r="Z89" s="647"/>
      <c r="AA89" s="647">
        <f>IF(VLOOKUP(A89,Regularizare!$D:$Y,21,FALSE)=0,VLOOKUP(A89,Regularizare!$D:$Y,21,FALSE),(-1)*VLOOKUP(A89,Regularizare!$D:$Y,21,FALSE))</f>
        <v>0</v>
      </c>
      <c r="AB89" s="647"/>
      <c r="AC89" s="647"/>
      <c r="AD89" s="647" t="s">
        <v>69</v>
      </c>
      <c r="AE89" s="647"/>
      <c r="AF89" s="647">
        <f>AA89</f>
        <v>0</v>
      </c>
      <c r="AG89" s="647"/>
      <c r="AH89" s="647"/>
      <c r="AI89" s="647" t="str">
        <f>AI86</f>
        <v>-</v>
      </c>
      <c r="AJ89" s="647"/>
      <c r="AK89" s="647" t="str">
        <f>AK86</f>
        <v>-</v>
      </c>
      <c r="AL89" s="647"/>
      <c r="AM89" s="647"/>
    </row>
    <row r="90" spans="1:39" ht="8.4499999999999993" customHeight="1">
      <c r="A90" s="717"/>
      <c r="B90" s="718"/>
      <c r="C90" s="718"/>
      <c r="D90" s="718"/>
      <c r="E90" s="718"/>
      <c r="F90" s="719"/>
      <c r="G90" s="648"/>
      <c r="H90" s="648"/>
      <c r="I90" s="648"/>
      <c r="J90" s="717" t="str">
        <f t="shared" si="3"/>
        <v>-</v>
      </c>
      <c r="K90" s="718"/>
      <c r="L90" s="719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1"/>
      <c r="B91" s="682"/>
      <c r="C91" s="682"/>
      <c r="D91" s="682"/>
      <c r="E91" s="682"/>
      <c r="F91" s="683"/>
      <c r="G91" s="648"/>
      <c r="H91" s="648"/>
      <c r="I91" s="648"/>
      <c r="J91" s="714">
        <f t="shared" si="3"/>
        <v>45777</v>
      </c>
      <c r="K91" s="715"/>
      <c r="L91" s="716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A89</f>
        <v>1369358959</v>
      </c>
      <c r="B92" s="679"/>
      <c r="C92" s="679"/>
      <c r="D92" s="679"/>
      <c r="E92" s="679"/>
      <c r="F92" s="680"/>
      <c r="G92" s="648" t="s">
        <v>731</v>
      </c>
      <c r="H92" s="648"/>
      <c r="I92" s="648"/>
      <c r="J92" s="655">
        <f t="shared" si="3"/>
        <v>45748</v>
      </c>
      <c r="K92" s="656"/>
      <c r="L92" s="657"/>
      <c r="M92" s="648" t="s">
        <v>720</v>
      </c>
      <c r="N92" s="648"/>
      <c r="O92" s="648">
        <f>O89</f>
        <v>1</v>
      </c>
      <c r="P92" s="648"/>
      <c r="Q92" s="648"/>
      <c r="R92" s="647" t="str">
        <f>VLOOKUP(A92,Regularizare!$D:$U,9,FALSE)&amp;" ("&amp;VLOOKUP(A92,Regularizare!$D:$U,17,FALSE)&amp;")"</f>
        <v>4117 (citit)</v>
      </c>
      <c r="S92" s="647"/>
      <c r="T92" s="647"/>
      <c r="U92" s="647" t="str">
        <f>VLOOKUP(A92,Regularizare!$D:$U,10,FALSE)&amp;" ("&amp;VLOOKUP(A92,Regularizare!$D:$U,18,FALSE)&amp;")"</f>
        <v>4117 (estimat)</v>
      </c>
      <c r="V92" s="647"/>
      <c r="W92" s="647"/>
      <c r="X92" s="647" t="str">
        <f>_xlfn.CONCAT(VLOOKUP(A92,Regularizare!$D:$U,10,FALSE)-VLOOKUP(A92,Regularizare!$D:$U,9,FALSE)," (",VLOOKUP(A92,Regularizare!$D:$U,18,FALSE),")")</f>
        <v>0 (estimat)</v>
      </c>
      <c r="Y92" s="647"/>
      <c r="Z92" s="647"/>
      <c r="AA92" s="647">
        <f>IF(VLOOKUP(A92,Regularizare!$D:$Y,22,FALSE)=0,VLOOKUP(A92,Regularizare!$D:$Y,22,FALSE),(-1)*VLOOKUP(A92,Regularizare!$D:$Y,22,FALSE))</f>
        <v>0</v>
      </c>
      <c r="AB92" s="647"/>
      <c r="AC92" s="647"/>
      <c r="AD92" s="647" t="s">
        <v>69</v>
      </c>
      <c r="AE92" s="647"/>
      <c r="AF92" s="647">
        <f>AA92</f>
        <v>0</v>
      </c>
      <c r="AG92" s="647"/>
      <c r="AH92" s="647"/>
      <c r="AI92" s="647" t="str">
        <f>AI89</f>
        <v>-</v>
      </c>
      <c r="AJ92" s="647"/>
      <c r="AK92" s="647" t="str">
        <f>AK89</f>
        <v>-</v>
      </c>
      <c r="AL92" s="647"/>
      <c r="AM92" s="647"/>
    </row>
    <row r="93" spans="1:39" ht="8.4499999999999993" customHeight="1">
      <c r="A93" s="717"/>
      <c r="B93" s="718"/>
      <c r="C93" s="718"/>
      <c r="D93" s="718"/>
      <c r="E93" s="718"/>
      <c r="F93" s="719"/>
      <c r="G93" s="648"/>
      <c r="H93" s="648"/>
      <c r="I93" s="648"/>
      <c r="J93" s="717" t="str">
        <f t="shared" si="3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48"/>
      <c r="J94" s="714">
        <f t="shared" si="3"/>
        <v>45777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78">
        <f>A92</f>
        <v>1369358959</v>
      </c>
      <c r="B95" s="679"/>
      <c r="C95" s="679"/>
      <c r="D95" s="679"/>
      <c r="E95" s="679"/>
      <c r="F95" s="680"/>
      <c r="G95" s="648" t="s">
        <v>730</v>
      </c>
      <c r="H95" s="648"/>
      <c r="I95" s="673"/>
      <c r="J95" s="655">
        <f>'Date masura OD'!$AK$5</f>
        <v>45748</v>
      </c>
      <c r="K95" s="656"/>
      <c r="L95" s="657"/>
      <c r="M95" s="720" t="s">
        <v>446</v>
      </c>
      <c r="N95" s="648"/>
      <c r="O95" s="648">
        <f>O92</f>
        <v>1</v>
      </c>
      <c r="P95" s="648"/>
      <c r="Q95" s="648"/>
      <c r="R95" s="647" t="str">
        <f>VLOOKUP(A95,Regularizare!$D:$AX,23,FALSE)&amp;" ("&amp;VLOOKUP(A95,Regularizare!$D:$AX,24,FALSE)&amp;")"</f>
        <v>2899400 (citit)</v>
      </c>
      <c r="S95" s="647"/>
      <c r="T95" s="647"/>
      <c r="U95" s="647" t="str">
        <f>VLOOKUP(A95,Regularizare!$D:$AX,25,FALSE)&amp;" ("&amp;VLOOKUP(A95,Regularizare!$D:$AX,26,FALSE)&amp;")"</f>
        <v>2926145 (citit)</v>
      </c>
      <c r="V95" s="647"/>
      <c r="W95" s="647"/>
      <c r="X95" s="647" t="str">
        <f>VLOOKUP(A95,Regularizare!$D:$AX,37,FALSE)&amp;" ("&amp;VLOOKUP(A95,Regularizare!$D:$AX,26,FALSE)&amp;")"</f>
        <v>26745 (citit)</v>
      </c>
      <c r="Y95" s="647"/>
      <c r="Z95" s="647"/>
      <c r="AA95" s="647">
        <f>VLOOKUP(A95,Regularizare!$D:$AX,37,FALSE)</f>
        <v>26745</v>
      </c>
      <c r="AB95" s="647"/>
      <c r="AC95" s="647"/>
      <c r="AD95" s="647" t="s">
        <v>69</v>
      </c>
      <c r="AE95" s="647"/>
      <c r="AF95" s="647">
        <f>AA95</f>
        <v>26745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17"/>
      <c r="B96" s="718"/>
      <c r="C96" s="718"/>
      <c r="D96" s="718"/>
      <c r="E96" s="718"/>
      <c r="F96" s="719"/>
      <c r="G96" s="648"/>
      <c r="H96" s="648"/>
      <c r="I96" s="673"/>
      <c r="J96" s="717" t="s">
        <v>69</v>
      </c>
      <c r="K96" s="718"/>
      <c r="L96" s="719"/>
      <c r="M96" s="720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1"/>
      <c r="B97" s="682"/>
      <c r="C97" s="682"/>
      <c r="D97" s="682"/>
      <c r="E97" s="682"/>
      <c r="F97" s="683"/>
      <c r="G97" s="648"/>
      <c r="H97" s="648"/>
      <c r="I97" s="673"/>
      <c r="J97" s="714">
        <f>'Date masura OD'!$AL$5</f>
        <v>45777</v>
      </c>
      <c r="K97" s="715"/>
      <c r="L97" s="716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78">
        <f>A95</f>
        <v>1369358959</v>
      </c>
      <c r="B98" s="679"/>
      <c r="C98" s="679"/>
      <c r="D98" s="679"/>
      <c r="E98" s="679"/>
      <c r="F98" s="680"/>
      <c r="G98" s="648" t="s">
        <v>696</v>
      </c>
      <c r="H98" s="648"/>
      <c r="I98" s="648"/>
      <c r="J98" s="655">
        <f t="shared" ref="J98:J103" si="4">J95</f>
        <v>45748</v>
      </c>
      <c r="K98" s="656"/>
      <c r="L98" s="657"/>
      <c r="M98" s="648" t="s">
        <v>720</v>
      </c>
      <c r="N98" s="648"/>
      <c r="O98" s="648">
        <f>O95</f>
        <v>1</v>
      </c>
      <c r="P98" s="648"/>
      <c r="Q98" s="648"/>
      <c r="R98" s="647" t="str">
        <f>VLOOKUP(A98,Regularizare!$D:$AX,29,FALSE)&amp;" ("&amp;VLOOKUP(A98,Regularizare!$D:$AX,30,FALSE)&amp;")"</f>
        <v>310145 (citit)</v>
      </c>
      <c r="S98" s="647"/>
      <c r="T98" s="647"/>
      <c r="U98" s="647" t="str">
        <f>VLOOKUP(A98,Regularizare!$D:$AX,31,FALSE)&amp;" ("&amp;VLOOKUP(A98,Regularizare!$D:$AX,32,FALSE)&amp;")"</f>
        <v>310145 (citit)</v>
      </c>
      <c r="V98" s="647"/>
      <c r="W98" s="647"/>
      <c r="X98" s="647" t="str">
        <f>VLOOKUP(A98,Regularizare!$D:$AX,39,FALSE)&amp;" ("&amp;VLOOKUP(A98,Regularizare!$D:$AX,32,FALSE)&amp;")"</f>
        <v>0 (citit)</v>
      </c>
      <c r="Y98" s="647"/>
      <c r="Z98" s="647"/>
      <c r="AA98" s="647">
        <f>VLOOKUP(A98,Regularizare!$D:$AX,44,FALSE)+VLOOKUP(A98,Regularizare!$D:$AX,45,FALSE)</f>
        <v>0</v>
      </c>
      <c r="AB98" s="647"/>
      <c r="AC98" s="647"/>
      <c r="AD98" s="647" t="s">
        <v>69</v>
      </c>
      <c r="AE98" s="647"/>
      <c r="AF98" s="647">
        <f>AA98</f>
        <v>0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17"/>
      <c r="B99" s="718"/>
      <c r="C99" s="718"/>
      <c r="D99" s="718"/>
      <c r="E99" s="718"/>
      <c r="F99" s="719"/>
      <c r="G99" s="648"/>
      <c r="H99" s="648"/>
      <c r="I99" s="648"/>
      <c r="J99" s="717" t="str">
        <f t="shared" si="4"/>
        <v>-</v>
      </c>
      <c r="K99" s="718"/>
      <c r="L99" s="719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1"/>
      <c r="B100" s="682"/>
      <c r="C100" s="682"/>
      <c r="D100" s="682"/>
      <c r="E100" s="682"/>
      <c r="F100" s="683"/>
      <c r="G100" s="648"/>
      <c r="H100" s="648"/>
      <c r="I100" s="648"/>
      <c r="J100" s="714">
        <f t="shared" si="4"/>
        <v>45777</v>
      </c>
      <c r="K100" s="715"/>
      <c r="L100" s="716"/>
      <c r="M100" s="648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78">
        <f>A98</f>
        <v>1369358959</v>
      </c>
      <c r="B101" s="679"/>
      <c r="C101" s="679"/>
      <c r="D101" s="679"/>
      <c r="E101" s="679"/>
      <c r="F101" s="680"/>
      <c r="G101" s="648" t="s">
        <v>731</v>
      </c>
      <c r="H101" s="648"/>
      <c r="I101" s="648"/>
      <c r="J101" s="655">
        <f t="shared" si="4"/>
        <v>45748</v>
      </c>
      <c r="K101" s="656"/>
      <c r="L101" s="657"/>
      <c r="M101" s="648" t="s">
        <v>720</v>
      </c>
      <c r="N101" s="648"/>
      <c r="O101" s="648">
        <f>O98</f>
        <v>1</v>
      </c>
      <c r="P101" s="648"/>
      <c r="Q101" s="648"/>
      <c r="R101" s="647" t="str">
        <f>VLOOKUP(A101,Regularizare!$D:$AX,33,FALSE)&amp;" ("&amp;VLOOKUP(A101,Regularizare!$D:$AX,34,FALSE)&amp;")"</f>
        <v>4117 (citit)</v>
      </c>
      <c r="S101" s="647"/>
      <c r="T101" s="647"/>
      <c r="U101" s="647" t="str">
        <f>VLOOKUP(A101,Regularizare!$D:$AX,35,FALSE)&amp;" ("&amp;VLOOKUP(A101,Regularizare!$D:$AX,36,FALSE)&amp;")"</f>
        <v>4117 (citit)</v>
      </c>
      <c r="V101" s="647"/>
      <c r="W101" s="647"/>
      <c r="X101" s="647" t="str">
        <f>VLOOKUP(A101,Regularizare!$D:$AX,40,FALSE)&amp;" ("&amp;VLOOKUP(A101,Regularizare!$D:$AX,36,FALSE)&amp;")"</f>
        <v>0 (citit)</v>
      </c>
      <c r="Y101" s="647"/>
      <c r="Z101" s="647"/>
      <c r="AA101" s="647">
        <f>VLOOKUP(A101,Regularizare!$D:$AX,46,FALSE)+VLOOKUP(A101,Regularizare!$D:$AX,47,FALSE)</f>
        <v>0</v>
      </c>
      <c r="AB101" s="647"/>
      <c r="AC101" s="647"/>
      <c r="AD101" s="647" t="s">
        <v>69</v>
      </c>
      <c r="AE101" s="647"/>
      <c r="AF101" s="647">
        <f>AA101</f>
        <v>0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17"/>
      <c r="B102" s="718"/>
      <c r="C102" s="718"/>
      <c r="D102" s="718"/>
      <c r="E102" s="718"/>
      <c r="F102" s="719"/>
      <c r="G102" s="648"/>
      <c r="H102" s="648"/>
      <c r="I102" s="648"/>
      <c r="J102" s="717" t="str">
        <f t="shared" si="4"/>
        <v>-</v>
      </c>
      <c r="K102" s="718"/>
      <c r="L102" s="719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1"/>
      <c r="B103" s="682"/>
      <c r="C103" s="682"/>
      <c r="D103" s="682"/>
      <c r="E103" s="682"/>
      <c r="F103" s="683"/>
      <c r="G103" s="648"/>
      <c r="H103" s="648"/>
      <c r="I103" s="648"/>
      <c r="J103" s="714">
        <f t="shared" si="4"/>
        <v>45777</v>
      </c>
      <c r="K103" s="715"/>
      <c r="L103" s="716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A101</f>
        <v>1369358959</v>
      </c>
      <c r="B104" s="679"/>
      <c r="C104" s="679"/>
      <c r="D104" s="679"/>
      <c r="E104" s="679"/>
      <c r="F104" s="680"/>
      <c r="G104" s="648" t="s">
        <v>730</v>
      </c>
      <c r="H104" s="648"/>
      <c r="I104" s="673"/>
      <c r="J104" s="655">
        <f>'Date masura OD'!$I$5</f>
        <v>45778</v>
      </c>
      <c r="K104" s="656"/>
      <c r="L104" s="657"/>
      <c r="M104" s="720" t="s">
        <v>446</v>
      </c>
      <c r="N104" s="648"/>
      <c r="O104" s="648">
        <f>O101</f>
        <v>1</v>
      </c>
      <c r="P104" s="648"/>
      <c r="Q104" s="648"/>
      <c r="R104" s="647" t="str">
        <f>U95</f>
        <v>2926145 (citit)</v>
      </c>
      <c r="S104" s="647"/>
      <c r="T104" s="647"/>
      <c r="U104" s="647" t="str">
        <f>VLOOKUP(A104,'Incrementare indexe'!$D:$M,4,FALSE)&amp;" (estimat)"</f>
        <v>2955720 (estimat)</v>
      </c>
      <c r="V104" s="647"/>
      <c r="W104" s="647"/>
      <c r="X104" s="647" t="str">
        <f>VLOOKUP(A104,'Incrementare indexe'!$D:$Q,11,FALSE)&amp;" (estimat)"</f>
        <v>29575 (estimat)</v>
      </c>
      <c r="Y104" s="647"/>
      <c r="Z104" s="647"/>
      <c r="AA104" s="647" t="s">
        <v>69</v>
      </c>
      <c r="AB104" s="647"/>
      <c r="AC104" s="647"/>
      <c r="AD104" s="647" t="s">
        <v>69</v>
      </c>
      <c r="AE104" s="647"/>
      <c r="AF104" s="647">
        <f>VLOOKUP(A104,'Incrementare indexe'!$D:$Q,11,FALSE)</f>
        <v>29575</v>
      </c>
      <c r="AG104" s="647"/>
      <c r="AH104" s="647"/>
      <c r="AI104" s="647">
        <f>J106-J104+1</f>
        <v>31</v>
      </c>
      <c r="AJ104" s="647"/>
      <c r="AK104" s="647">
        <f>ROUND(AF104/AI104,2)</f>
        <v>954.03</v>
      </c>
      <c r="AL104" s="647"/>
      <c r="AM104" s="647"/>
    </row>
    <row r="105" spans="1:39" ht="8.4499999999999993" customHeight="1">
      <c r="A105" s="717"/>
      <c r="B105" s="718"/>
      <c r="C105" s="718"/>
      <c r="D105" s="718"/>
      <c r="E105" s="718"/>
      <c r="F105" s="719"/>
      <c r="G105" s="648"/>
      <c r="H105" s="648"/>
      <c r="I105" s="673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73"/>
      <c r="J106" s="714">
        <f>'Date masura OD'!$J$5</f>
        <v>45808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1369358959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5">J104</f>
        <v>45778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U98</f>
        <v>310145 (citit)</v>
      </c>
      <c r="S107" s="647"/>
      <c r="T107" s="647"/>
      <c r="U107" s="647" t="str">
        <f>VLOOKUP(A107,'Incrementare indexe'!$D:$M,8,FALSE)&amp;" (estimat)"</f>
        <v>310145 (estimat)</v>
      </c>
      <c r="V107" s="647"/>
      <c r="W107" s="647"/>
      <c r="X107" s="647" t="str">
        <f>VLOOKUP(A107,'Incrementare indexe'!$D:$Q,12,FALSE)&amp;" (estimat)"</f>
        <v>0 (estimat)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f>VLOOKUP(A107,'Incrementare indexe'!$D:$Q,12,FALSE)</f>
        <v>0</v>
      </c>
      <c r="AG107" s="647"/>
      <c r="AH107" s="647"/>
      <c r="AI107" s="647">
        <f>AI104</f>
        <v>31</v>
      </c>
      <c r="AJ107" s="647"/>
      <c r="AK107" s="647">
        <f>ROUND(AF107/AI107,2)</f>
        <v>0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5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5"/>
        <v>45808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1369358959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5"/>
        <v>45778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U101</f>
        <v>4117 (citit)</v>
      </c>
      <c r="S110" s="647"/>
      <c r="T110" s="647"/>
      <c r="U110" s="647" t="str">
        <f>VLOOKUP(A110,'Incrementare indexe'!$D:$M,10,FALSE)&amp;" (estimat)"</f>
        <v>4117 (estimat)</v>
      </c>
      <c r="V110" s="647"/>
      <c r="W110" s="647"/>
      <c r="X110" s="647" t="str">
        <f>VLOOKUP(A110,'Incrementare indexe'!$D:$Q,13,FALSE)&amp;" (estimat)"</f>
        <v>0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indexe'!$D:$Q,13,FALSE)</f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5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5"/>
        <v>45808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/>
    <row r="114" spans="1:39" ht="14.1" customHeight="1"/>
    <row r="115" spans="1:39" ht="14.1" customHeight="1">
      <c r="A115" s="721" t="s">
        <v>1196</v>
      </c>
      <c r="B115" s="722"/>
      <c r="C115" s="722"/>
      <c r="D115" s="722"/>
      <c r="E115" s="722"/>
      <c r="F115" s="722"/>
      <c r="G115" s="722"/>
      <c r="H115" s="722"/>
      <c r="I115" s="722"/>
      <c r="J115" s="722"/>
      <c r="K115" s="722"/>
      <c r="L115" s="722"/>
      <c r="M115" s="722"/>
      <c r="N115" s="722"/>
      <c r="O115" s="722"/>
      <c r="P115" s="722"/>
      <c r="Q115" s="722"/>
      <c r="R115" s="722"/>
      <c r="S115" s="722"/>
      <c r="T115" s="722"/>
      <c r="U115" s="722"/>
      <c r="V115" s="722"/>
      <c r="W115" s="722"/>
      <c r="X115" s="722"/>
      <c r="Y115" s="722"/>
      <c r="Z115" s="722"/>
      <c r="AA115" s="722"/>
      <c r="AB115" s="722"/>
      <c r="AC115" s="722"/>
      <c r="AD115" s="722"/>
      <c r="AE115" s="722"/>
      <c r="AF115" s="722"/>
      <c r="AG115" s="722"/>
      <c r="AH115" s="723"/>
      <c r="AI115" s="650" t="s">
        <v>695</v>
      </c>
      <c r="AJ115" s="650"/>
      <c r="AK115" s="650"/>
      <c r="AL115" s="650"/>
      <c r="AM115" s="650"/>
    </row>
    <row r="116" spans="1:39" ht="14.1" customHeight="1">
      <c r="A116" s="649" t="s">
        <v>746</v>
      </c>
      <c r="B116" s="649"/>
      <c r="C116" s="649"/>
      <c r="D116" s="649"/>
      <c r="E116" s="649"/>
      <c r="F116" s="649"/>
      <c r="G116" s="649"/>
      <c r="H116" s="649"/>
      <c r="I116" s="649"/>
      <c r="J116" s="649"/>
      <c r="K116" s="649"/>
      <c r="L116" s="649"/>
      <c r="M116" s="650" t="s">
        <v>514</v>
      </c>
      <c r="N116" s="650"/>
      <c r="O116" s="650"/>
      <c r="P116" s="650"/>
      <c r="Q116" s="650"/>
      <c r="R116" s="650"/>
      <c r="S116" s="650"/>
      <c r="T116" s="650"/>
      <c r="U116" s="650"/>
      <c r="V116" s="650"/>
      <c r="W116" s="650"/>
      <c r="X116" s="650"/>
      <c r="Y116" s="650"/>
      <c r="Z116" s="650"/>
      <c r="AA116" s="650"/>
      <c r="AB116" s="650"/>
      <c r="AC116" s="650"/>
      <c r="AD116" s="650"/>
      <c r="AE116" s="650"/>
      <c r="AF116" s="650"/>
      <c r="AG116" s="650"/>
      <c r="AH116" s="650"/>
      <c r="AI116" s="619" t="str">
        <f>_xlfn.CONCAT(AI81,"/PV")</f>
        <v>RMEG_1.2/PV</v>
      </c>
      <c r="AJ116" s="619"/>
      <c r="AK116" s="619"/>
      <c r="AL116" s="619"/>
      <c r="AM116" s="619"/>
    </row>
    <row r="117" spans="1:39" ht="14.1" customHeight="1">
      <c r="A117" s="649" t="s">
        <v>747</v>
      </c>
      <c r="B117" s="649"/>
      <c r="C117" s="649"/>
      <c r="D117" s="649"/>
      <c r="E117" s="649"/>
      <c r="F117" s="649"/>
      <c r="G117" s="649"/>
      <c r="H117" s="649"/>
      <c r="I117" s="649"/>
      <c r="J117" s="649"/>
      <c r="K117" s="649"/>
      <c r="L117" s="649"/>
      <c r="M117" s="650" t="s">
        <v>1087</v>
      </c>
      <c r="N117" s="650"/>
      <c r="O117" s="650"/>
      <c r="P117" s="650"/>
      <c r="Q117" s="650"/>
      <c r="R117" s="650"/>
      <c r="S117" s="650"/>
      <c r="T117" s="650"/>
      <c r="U117" s="650"/>
      <c r="V117" s="650"/>
      <c r="W117" s="650"/>
      <c r="X117" s="650"/>
      <c r="Y117" s="650"/>
      <c r="Z117" s="650"/>
      <c r="AA117" s="650"/>
      <c r="AB117" s="650"/>
      <c r="AC117" s="650"/>
      <c r="AD117" s="650"/>
      <c r="AE117" s="650"/>
      <c r="AF117" s="650"/>
      <c r="AG117" s="650"/>
      <c r="AH117" s="650"/>
      <c r="AI117" s="619"/>
      <c r="AJ117" s="619"/>
      <c r="AK117" s="619"/>
      <c r="AL117" s="619"/>
      <c r="AM117" s="619"/>
    </row>
    <row r="118" spans="1:39" ht="14.1" customHeight="1">
      <c r="A118" s="648" t="s">
        <v>697</v>
      </c>
      <c r="B118" s="648"/>
      <c r="C118" s="648"/>
      <c r="D118" s="648"/>
      <c r="E118" s="648"/>
      <c r="F118" s="648"/>
      <c r="G118" s="647" t="s">
        <v>713</v>
      </c>
      <c r="H118" s="647"/>
      <c r="I118" s="647"/>
      <c r="J118" s="647" t="s">
        <v>714</v>
      </c>
      <c r="K118" s="647"/>
      <c r="L118" s="647"/>
      <c r="M118" s="648" t="s">
        <v>519</v>
      </c>
      <c r="N118" s="648"/>
      <c r="O118" s="648" t="s">
        <v>715</v>
      </c>
      <c r="P118" s="648"/>
      <c r="Q118" s="648"/>
      <c r="R118" s="647" t="s">
        <v>732</v>
      </c>
      <c r="S118" s="647"/>
      <c r="T118" s="647"/>
      <c r="U118" s="647" t="s">
        <v>734</v>
      </c>
      <c r="V118" s="647"/>
      <c r="W118" s="647"/>
      <c r="X118" s="647" t="s">
        <v>1085</v>
      </c>
      <c r="Y118" s="647"/>
      <c r="Z118" s="647"/>
      <c r="AA118" s="647" t="s">
        <v>1086</v>
      </c>
      <c r="AB118" s="647"/>
      <c r="AC118" s="647"/>
      <c r="AD118" s="647" t="s">
        <v>717</v>
      </c>
      <c r="AE118" s="647"/>
      <c r="AF118" s="647" t="s">
        <v>718</v>
      </c>
      <c r="AG118" s="647"/>
      <c r="AH118" s="647"/>
      <c r="AI118" s="647" t="s">
        <v>719</v>
      </c>
      <c r="AJ118" s="647"/>
      <c r="AK118" s="647" t="s">
        <v>733</v>
      </c>
      <c r="AL118" s="647"/>
      <c r="AM118" s="647"/>
    </row>
    <row r="119" spans="1:39" ht="14.1" customHeight="1">
      <c r="A119" s="648"/>
      <c r="B119" s="648"/>
      <c r="C119" s="648"/>
      <c r="D119" s="648"/>
      <c r="E119" s="648"/>
      <c r="F119" s="648"/>
      <c r="G119" s="647"/>
      <c r="H119" s="647"/>
      <c r="I119" s="647"/>
      <c r="J119" s="647"/>
      <c r="K119" s="647"/>
      <c r="L119" s="647"/>
      <c r="M119" s="648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48"/>
      <c r="B120" s="648"/>
      <c r="C120" s="648"/>
      <c r="D120" s="648"/>
      <c r="E120" s="648"/>
      <c r="F120" s="648"/>
      <c r="G120" s="647"/>
      <c r="H120" s="647"/>
      <c r="I120" s="647"/>
      <c r="J120" s="713"/>
      <c r="K120" s="713"/>
      <c r="L120" s="713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78">
        <f>VLOOKUP(AI116,'Incrementare indexe'!$B:$I,3,FALSE)</f>
        <v>1371019838</v>
      </c>
      <c r="B121" s="679"/>
      <c r="C121" s="679"/>
      <c r="D121" s="679"/>
      <c r="E121" s="679"/>
      <c r="F121" s="680"/>
      <c r="G121" s="647" t="s">
        <v>1088</v>
      </c>
      <c r="H121" s="647"/>
      <c r="I121" s="675"/>
      <c r="J121" s="655">
        <f>'Date masura OD'!$I$5</f>
        <v>45778</v>
      </c>
      <c r="K121" s="656"/>
      <c r="L121" s="657"/>
      <c r="M121" s="720" t="s">
        <v>446</v>
      </c>
      <c r="N121" s="648"/>
      <c r="O121" s="648">
        <f>VLOOKUP(AI116,'Incrementare indexe'!$B:$I,4,FALSE)</f>
        <v>1</v>
      </c>
      <c r="P121" s="648"/>
      <c r="Q121" s="648"/>
      <c r="R121" s="647" t="str">
        <f>VLOOKUP(AI116,'Incrementare indexe'!$B:$I,7,FALSE)&amp;" (citit)"</f>
        <v>207800 (citit)</v>
      </c>
      <c r="S121" s="647"/>
      <c r="T121" s="647"/>
      <c r="U121" s="647" t="str">
        <f>VLOOKUP(AI116,'Incrementare indexe'!$B:$I,8,FALSE)&amp;" (citit)"</f>
        <v>221704 (citit)</v>
      </c>
      <c r="V121" s="647"/>
      <c r="W121" s="647"/>
      <c r="X121" s="647" t="str">
        <f>(VLOOKUP(AI116,'Incrementare indexe'!$B:$I,8,FALSE)-VLOOKUP(AI116,'Incrementare indexe'!$B:$I,7,FALSE))&amp;" (citit)"</f>
        <v>13904 (citit)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(VLOOKUP(AI116,'Incrementare indexe'!$B:$I,8,FALSE)-VLOOKUP(AI116,'Incrementare indexe'!$B:$I,7,FALSE))</f>
        <v>13904</v>
      </c>
      <c r="AG121" s="647"/>
      <c r="AH121" s="647"/>
      <c r="AI121" s="647">
        <f>J123-J121+1</f>
        <v>31</v>
      </c>
      <c r="AJ121" s="647"/>
      <c r="AK121" s="647">
        <f>ROUND(AF121/AI121,2)</f>
        <v>448.52</v>
      </c>
      <c r="AL121" s="647"/>
      <c r="AM121" s="647"/>
    </row>
    <row r="122" spans="1:39" ht="14.1" customHeight="1">
      <c r="A122" s="717"/>
      <c r="B122" s="718"/>
      <c r="C122" s="718"/>
      <c r="D122" s="718"/>
      <c r="E122" s="718"/>
      <c r="F122" s="719"/>
      <c r="G122" s="647"/>
      <c r="H122" s="647"/>
      <c r="I122" s="675"/>
      <c r="J122" s="717" t="s">
        <v>69</v>
      </c>
      <c r="K122" s="718"/>
      <c r="L122" s="719"/>
      <c r="M122" s="720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1"/>
      <c r="B123" s="682"/>
      <c r="C123" s="682"/>
      <c r="D123" s="682"/>
      <c r="E123" s="682"/>
      <c r="F123" s="683"/>
      <c r="G123" s="647"/>
      <c r="H123" s="647"/>
      <c r="I123" s="675"/>
      <c r="J123" s="714">
        <f>'Date masura OD'!$J$5</f>
        <v>45808</v>
      </c>
      <c r="K123" s="715"/>
      <c r="L123" s="716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78">
        <f>A121</f>
        <v>1371019838</v>
      </c>
      <c r="B124" s="679"/>
      <c r="C124" s="679"/>
      <c r="D124" s="679"/>
      <c r="E124" s="679"/>
      <c r="F124" s="680"/>
      <c r="G124" s="648" t="s">
        <v>696</v>
      </c>
      <c r="H124" s="648"/>
      <c r="I124" s="648"/>
      <c r="J124" s="655">
        <f t="shared" ref="J124:J129" si="6">J121</f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">
        <v>1089</v>
      </c>
      <c r="S124" s="647"/>
      <c r="T124" s="647"/>
      <c r="U124" s="647" t="s">
        <v>1089</v>
      </c>
      <c r="V124" s="647"/>
      <c r="W124" s="647"/>
      <c r="X124" s="647" t="s">
        <v>1089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14.1" customHeight="1">
      <c r="A125" s="717"/>
      <c r="B125" s="718"/>
      <c r="C125" s="718"/>
      <c r="D125" s="718"/>
      <c r="E125" s="718"/>
      <c r="F125" s="719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1"/>
      <c r="B126" s="682"/>
      <c r="C126" s="682"/>
      <c r="D126" s="682"/>
      <c r="E126" s="682"/>
      <c r="F126" s="683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78">
        <f>A124</f>
        <v>1371019838</v>
      </c>
      <c r="B127" s="679"/>
      <c r="C127" s="679"/>
      <c r="D127" s="679"/>
      <c r="E127" s="679"/>
      <c r="F127" s="680"/>
      <c r="G127" s="648" t="s">
        <v>731</v>
      </c>
      <c r="H127" s="648"/>
      <c r="I127" s="648"/>
      <c r="J127" s="655">
        <f t="shared" si="6"/>
        <v>45778</v>
      </c>
      <c r="K127" s="656"/>
      <c r="L127" s="657"/>
      <c r="M127" s="648" t="s">
        <v>720</v>
      </c>
      <c r="N127" s="648"/>
      <c r="O127" s="648">
        <f>O124</f>
        <v>1</v>
      </c>
      <c r="P127" s="648"/>
      <c r="Q127" s="648"/>
      <c r="R127" s="647" t="s">
        <v>1089</v>
      </c>
      <c r="S127" s="647"/>
      <c r="T127" s="647"/>
      <c r="U127" s="647" t="s">
        <v>1089</v>
      </c>
      <c r="V127" s="647"/>
      <c r="W127" s="647"/>
      <c r="X127" s="647" t="s">
        <v>1089</v>
      </c>
      <c r="Y127" s="647"/>
      <c r="Z127" s="647"/>
      <c r="AA127" s="647" t="s">
        <v>69</v>
      </c>
      <c r="AB127" s="647"/>
      <c r="AC127" s="647"/>
      <c r="AD127" s="647" t="s">
        <v>69</v>
      </c>
      <c r="AE127" s="647"/>
      <c r="AF127" s="647">
        <v>0</v>
      </c>
      <c r="AG127" s="647"/>
      <c r="AH127" s="647"/>
      <c r="AI127" s="647">
        <f>AI124</f>
        <v>31</v>
      </c>
      <c r="AJ127" s="647"/>
      <c r="AK127" s="647">
        <f>ROUND(AF127/AI127,2)</f>
        <v>0</v>
      </c>
      <c r="AL127" s="647"/>
      <c r="AM127" s="647"/>
    </row>
    <row r="128" spans="1:39" ht="14.1" customHeight="1">
      <c r="A128" s="717"/>
      <c r="B128" s="718"/>
      <c r="C128" s="718"/>
      <c r="D128" s="718"/>
      <c r="E128" s="718"/>
      <c r="F128" s="719"/>
      <c r="G128" s="648"/>
      <c r="H128" s="648"/>
      <c r="I128" s="648"/>
      <c r="J128" s="717" t="str">
        <f t="shared" si="6"/>
        <v>-</v>
      </c>
      <c r="K128" s="718"/>
      <c r="L128" s="719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81"/>
      <c r="B129" s="682"/>
      <c r="C129" s="682"/>
      <c r="D129" s="682"/>
      <c r="E129" s="682"/>
      <c r="F129" s="683"/>
      <c r="G129" s="648"/>
      <c r="H129" s="648"/>
      <c r="I129" s="648"/>
      <c r="J129" s="714">
        <f t="shared" si="6"/>
        <v>45808</v>
      </c>
      <c r="K129" s="715"/>
      <c r="L129" s="716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/>
    <row r="131" spans="1:39" ht="14.1" customHeight="1"/>
    <row r="132" spans="1:39" ht="14.1" customHeight="1"/>
    <row r="133" spans="1:39">
      <c r="A133" s="649" t="s">
        <v>748</v>
      </c>
      <c r="B133" s="649"/>
      <c r="C133" s="649"/>
      <c r="D133" s="649"/>
      <c r="E133" s="649"/>
      <c r="F133" s="649"/>
      <c r="G133" s="649"/>
      <c r="H133" s="649"/>
      <c r="I133" s="649"/>
      <c r="J133" s="649"/>
      <c r="K133" s="649"/>
      <c r="L133" s="649"/>
      <c r="M133" s="650" t="str">
        <f>VLOOKUP(AI134,'Contorizare in SDI'!$E:$I,4,FALSE)</f>
        <v>RO001E110047438/3</v>
      </c>
      <c r="N133" s="650"/>
      <c r="O133" s="650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0"/>
      <c r="AC133" s="650"/>
      <c r="AD133" s="650"/>
      <c r="AE133" s="650"/>
      <c r="AF133" s="650"/>
      <c r="AG133" s="650"/>
      <c r="AH133" s="650"/>
      <c r="AI133" s="650" t="s">
        <v>695</v>
      </c>
      <c r="AJ133" s="650"/>
      <c r="AK133" s="650"/>
      <c r="AL133" s="650"/>
      <c r="AM133" s="650"/>
    </row>
    <row r="134" spans="1:39">
      <c r="A134" s="649" t="s">
        <v>746</v>
      </c>
      <c r="B134" s="649"/>
      <c r="C134" s="649"/>
      <c r="D134" s="649"/>
      <c r="E134" s="649"/>
      <c r="F134" s="649"/>
      <c r="G134" s="649"/>
      <c r="H134" s="649"/>
      <c r="I134" s="649"/>
      <c r="J134" s="649"/>
      <c r="K134" s="649"/>
      <c r="L134" s="649"/>
      <c r="M134" s="650" t="str">
        <f>VLOOKUP(AI134,'Inchidere contur'!$G:$U,15,FALSE)</f>
        <v>JT_SDI</v>
      </c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19" t="str">
        <f>_xlfn.CONCAT(AA31,".",3)</f>
        <v>RMEG_1.3</v>
      </c>
      <c r="AJ134" s="619"/>
      <c r="AK134" s="619"/>
      <c r="AL134" s="619"/>
      <c r="AM134" s="619"/>
    </row>
    <row r="135" spans="1:39">
      <c r="A135" s="649" t="s">
        <v>747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IF(LEFT(M134,2)="JT","0.4kV",IF(LEFT(M134,2)="MT","20kV","-"))</f>
        <v>0.4kV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/>
      <c r="AJ135" s="619"/>
      <c r="AK135" s="619"/>
      <c r="AL135" s="619"/>
      <c r="AM135" s="619"/>
    </row>
    <row r="136" spans="1:39" ht="15.95" customHeight="1">
      <c r="A136" s="648" t="s">
        <v>697</v>
      </c>
      <c r="B136" s="648"/>
      <c r="C136" s="648"/>
      <c r="D136" s="648"/>
      <c r="E136" s="648"/>
      <c r="F136" s="648"/>
      <c r="G136" s="647" t="s">
        <v>713</v>
      </c>
      <c r="H136" s="647"/>
      <c r="I136" s="647"/>
      <c r="J136" s="647" t="s">
        <v>714</v>
      </c>
      <c r="K136" s="647"/>
      <c r="L136" s="647"/>
      <c r="M136" s="648" t="s">
        <v>519</v>
      </c>
      <c r="N136" s="648"/>
      <c r="O136" s="648" t="s">
        <v>715</v>
      </c>
      <c r="P136" s="648"/>
      <c r="Q136" s="648"/>
      <c r="R136" s="647" t="s">
        <v>732</v>
      </c>
      <c r="S136" s="647"/>
      <c r="T136" s="647"/>
      <c r="U136" s="647" t="s">
        <v>734</v>
      </c>
      <c r="V136" s="647"/>
      <c r="W136" s="647"/>
      <c r="X136" s="647" t="s">
        <v>1085</v>
      </c>
      <c r="Y136" s="647"/>
      <c r="Z136" s="647"/>
      <c r="AA136" s="647" t="s">
        <v>1086</v>
      </c>
      <c r="AB136" s="647"/>
      <c r="AC136" s="647"/>
      <c r="AD136" s="647" t="s">
        <v>717</v>
      </c>
      <c r="AE136" s="647"/>
      <c r="AF136" s="647" t="s">
        <v>718</v>
      </c>
      <c r="AG136" s="647"/>
      <c r="AH136" s="647"/>
      <c r="AI136" s="647" t="s">
        <v>719</v>
      </c>
      <c r="AJ136" s="647"/>
      <c r="AK136" s="647" t="s">
        <v>733</v>
      </c>
      <c r="AL136" s="647"/>
      <c r="AM136" s="647"/>
    </row>
    <row r="137" spans="1:39">
      <c r="A137" s="648"/>
      <c r="B137" s="648"/>
      <c r="C137" s="648"/>
      <c r="D137" s="648"/>
      <c r="E137" s="648"/>
      <c r="F137" s="648"/>
      <c r="G137" s="647"/>
      <c r="H137" s="647"/>
      <c r="I137" s="647"/>
      <c r="J137" s="647"/>
      <c r="K137" s="647"/>
      <c r="L137" s="647"/>
      <c r="M137" s="648"/>
      <c r="N137" s="648"/>
      <c r="O137" s="648"/>
      <c r="P137" s="648"/>
      <c r="Q137" s="648"/>
      <c r="R137" s="647"/>
      <c r="S137" s="647"/>
      <c r="T137" s="647"/>
      <c r="U137" s="647"/>
      <c r="V137" s="647"/>
      <c r="W137" s="647"/>
      <c r="X137" s="647"/>
      <c r="Y137" s="647"/>
      <c r="Z137" s="647"/>
      <c r="AA137" s="647"/>
      <c r="AB137" s="647"/>
      <c r="AC137" s="647"/>
      <c r="AD137" s="647"/>
      <c r="AE137" s="647"/>
      <c r="AF137" s="647"/>
      <c r="AG137" s="647"/>
      <c r="AH137" s="647"/>
      <c r="AI137" s="647"/>
      <c r="AJ137" s="647"/>
      <c r="AK137" s="647"/>
      <c r="AL137" s="647"/>
      <c r="AM137" s="647"/>
    </row>
    <row r="138" spans="1:39">
      <c r="A138" s="648"/>
      <c r="B138" s="648"/>
      <c r="C138" s="648"/>
      <c r="D138" s="648"/>
      <c r="E138" s="648"/>
      <c r="F138" s="648"/>
      <c r="G138" s="647"/>
      <c r="H138" s="647"/>
      <c r="I138" s="647"/>
      <c r="J138" s="713"/>
      <c r="K138" s="713"/>
      <c r="L138" s="713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84" t="str">
        <f>VLOOKUP(AI134,'Contorizare in SDI'!$E:$I,5,FALSE)</f>
        <v>V.21G90290210104560/3</v>
      </c>
      <c r="B139" s="685"/>
      <c r="C139" s="685"/>
      <c r="D139" s="685"/>
      <c r="E139" s="685"/>
      <c r="F139" s="686"/>
      <c r="G139" s="648" t="s">
        <v>730</v>
      </c>
      <c r="H139" s="648"/>
      <c r="I139" s="673"/>
      <c r="J139" s="655">
        <f>'Date masura OD'!$AK$5</f>
        <v>45748</v>
      </c>
      <c r="K139" s="656"/>
      <c r="L139" s="657"/>
      <c r="M139" s="720" t="s">
        <v>446</v>
      </c>
      <c r="N139" s="648"/>
      <c r="O139" s="648">
        <f>VLOOKUP(AI134,'Incrementare indexe'!$B:$T,4,FALSE)</f>
        <v>1</v>
      </c>
      <c r="P139" s="648"/>
      <c r="Q139" s="648"/>
      <c r="R139" s="647" t="str">
        <f>VLOOKUP(A139,Regularizare!$D:$YN,3,FALSE)&amp;" ("&amp;VLOOKUP(A139,Regularizare!$D:$Y,11,FALSE)&amp;")"</f>
        <v>2599468 (citit)</v>
      </c>
      <c r="S139" s="647"/>
      <c r="T139" s="647"/>
      <c r="U139" s="647" t="str">
        <f>VLOOKUP(A139,Regularizare!$D:$U,4,FALSE)&amp;" ("&amp;VLOOKUP(A139,Regularizare!$D:$U,12,FALSE)&amp;")"</f>
        <v>2826738 (estimat)</v>
      </c>
      <c r="V139" s="647"/>
      <c r="W139" s="647"/>
      <c r="X139" s="647" t="str">
        <f>VLOOKUP(A139,Regularizare!$D:$Y,19,FALSE)&amp;" ("&amp;VLOOKUP(A139,Regularizare!$D:$U,12,FALSE)&amp;")"</f>
        <v>227270 (estimat)</v>
      </c>
      <c r="Y139" s="647"/>
      <c r="Z139" s="647"/>
      <c r="AA139" s="647">
        <f>(-1)*VLOOKUP(A139,Regularizare!$D:$Y,19,FALSE)</f>
        <v>-227270</v>
      </c>
      <c r="AB139" s="647"/>
      <c r="AC139" s="647"/>
      <c r="AD139" s="647" t="s">
        <v>69</v>
      </c>
      <c r="AE139" s="647"/>
      <c r="AF139" s="647">
        <f>AA139</f>
        <v>-227270</v>
      </c>
      <c r="AG139" s="647"/>
      <c r="AH139" s="647"/>
      <c r="AI139" s="647" t="s">
        <v>69</v>
      </c>
      <c r="AJ139" s="647"/>
      <c r="AK139" s="647" t="s">
        <v>69</v>
      </c>
      <c r="AL139" s="647"/>
      <c r="AM139" s="647"/>
    </row>
    <row r="140" spans="1:39" ht="9.75" customHeight="1">
      <c r="A140" s="727"/>
      <c r="B140" s="729"/>
      <c r="C140" s="729"/>
      <c r="D140" s="729"/>
      <c r="E140" s="729"/>
      <c r="F140" s="728"/>
      <c r="G140" s="648"/>
      <c r="H140" s="648"/>
      <c r="I140" s="673"/>
      <c r="J140" s="717" t="s">
        <v>69</v>
      </c>
      <c r="K140" s="718"/>
      <c r="L140" s="719"/>
      <c r="M140" s="720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87"/>
      <c r="B141" s="688"/>
      <c r="C141" s="688"/>
      <c r="D141" s="688"/>
      <c r="E141" s="688"/>
      <c r="F141" s="689"/>
      <c r="G141" s="648"/>
      <c r="H141" s="648"/>
      <c r="I141" s="673"/>
      <c r="J141" s="714">
        <f>'Date masura OD'!$AL$5</f>
        <v>45777</v>
      </c>
      <c r="K141" s="715"/>
      <c r="L141" s="716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4" t="str">
        <f>A139</f>
        <v>V.21G90290210104560/3</v>
      </c>
      <c r="B142" s="685"/>
      <c r="C142" s="685"/>
      <c r="D142" s="685"/>
      <c r="E142" s="685"/>
      <c r="F142" s="686"/>
      <c r="G142" s="648" t="s">
        <v>696</v>
      </c>
      <c r="H142" s="648"/>
      <c r="I142" s="648"/>
      <c r="J142" s="655">
        <f t="shared" ref="J142:J147" si="7">J139</f>
        <v>45748</v>
      </c>
      <c r="K142" s="656"/>
      <c r="L142" s="657"/>
      <c r="M142" s="648" t="s">
        <v>720</v>
      </c>
      <c r="N142" s="648"/>
      <c r="O142" s="648">
        <f>O139</f>
        <v>1</v>
      </c>
      <c r="P142" s="648"/>
      <c r="Q142" s="648"/>
      <c r="R142" s="647" t="str">
        <f>VLOOKUP(A142,Regularizare!$D:$U,7,FALSE)&amp;" ("&amp;VLOOKUP(A142,Regularizare!$D:$U,15,FALSE)&amp;")"</f>
        <v>103378 (citit)</v>
      </c>
      <c r="S142" s="647"/>
      <c r="T142" s="647"/>
      <c r="U142" s="647" t="str">
        <f>VLOOKUP(A142,Regularizare!$D:$U,8,FALSE)&amp;" ("&amp;VLOOKUP(A142,Regularizare!$D:$U,16,FALSE)&amp;")"</f>
        <v>103378 (estimat)</v>
      </c>
      <c r="V142" s="647"/>
      <c r="W142" s="647"/>
      <c r="X142" s="647" t="str">
        <f>_xlfn.CONCAT(VLOOKUP(A142,Regularizare!$D:$U,8,FALSE)-VLOOKUP(A142,Regularizare!$D:$U,7,FALSE)," (",VLOOKUP(A142,Regularizare!$D:$U,16,FALSE),")")</f>
        <v>0 (estimat)</v>
      </c>
      <c r="Y142" s="647"/>
      <c r="Z142" s="647"/>
      <c r="AA142" s="647">
        <f>IF(VLOOKUP(A142,Regularizare!$D:$Y,21,FALSE)=0,VLOOKUP(A142,Regularizare!$D:$Y,21,FALSE),(-1)*VLOOKUP(A142,Regularizare!$D:$Y,21,FALSE))</f>
        <v>0</v>
      </c>
      <c r="AB142" s="647"/>
      <c r="AC142" s="647"/>
      <c r="AD142" s="647" t="s">
        <v>69</v>
      </c>
      <c r="AE142" s="647"/>
      <c r="AF142" s="647">
        <f>AA142</f>
        <v>0</v>
      </c>
      <c r="AG142" s="647"/>
      <c r="AH142" s="647"/>
      <c r="AI142" s="647" t="str">
        <f>AI139</f>
        <v>-</v>
      </c>
      <c r="AJ142" s="647"/>
      <c r="AK142" s="647" t="str">
        <f>AK139</f>
        <v>-</v>
      </c>
      <c r="AL142" s="647"/>
      <c r="AM142" s="647"/>
    </row>
    <row r="143" spans="1:39" ht="8.4499999999999993" customHeight="1">
      <c r="A143" s="727"/>
      <c r="B143" s="729"/>
      <c r="C143" s="729"/>
      <c r="D143" s="729"/>
      <c r="E143" s="729"/>
      <c r="F143" s="728"/>
      <c r="G143" s="648"/>
      <c r="H143" s="648"/>
      <c r="I143" s="648"/>
      <c r="J143" s="717" t="str">
        <f t="shared" si="7"/>
        <v>-</v>
      </c>
      <c r="K143" s="718"/>
      <c r="L143" s="719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7"/>
      <c r="B144" s="688"/>
      <c r="C144" s="688"/>
      <c r="D144" s="688"/>
      <c r="E144" s="688"/>
      <c r="F144" s="689"/>
      <c r="G144" s="648"/>
      <c r="H144" s="648"/>
      <c r="I144" s="648"/>
      <c r="J144" s="714">
        <f t="shared" si="7"/>
        <v>45777</v>
      </c>
      <c r="K144" s="715"/>
      <c r="L144" s="716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4" t="str">
        <f>A142</f>
        <v>V.21G90290210104560/3</v>
      </c>
      <c r="B145" s="685"/>
      <c r="C145" s="685"/>
      <c r="D145" s="685"/>
      <c r="E145" s="685"/>
      <c r="F145" s="686"/>
      <c r="G145" s="648" t="s">
        <v>731</v>
      </c>
      <c r="H145" s="648"/>
      <c r="I145" s="648"/>
      <c r="J145" s="655">
        <f t="shared" si="7"/>
        <v>45748</v>
      </c>
      <c r="K145" s="656"/>
      <c r="L145" s="657"/>
      <c r="M145" s="648" t="s">
        <v>720</v>
      </c>
      <c r="N145" s="648"/>
      <c r="O145" s="648">
        <f>O142</f>
        <v>1</v>
      </c>
      <c r="P145" s="648"/>
      <c r="Q145" s="648"/>
      <c r="R145" s="647" t="str">
        <f>VLOOKUP(A145,Regularizare!$D:$U,9,FALSE)&amp;" ("&amp;VLOOKUP(A145,Regularizare!$D:$U,17,FALSE)&amp;")"</f>
        <v>2040 (citit)</v>
      </c>
      <c r="S145" s="647"/>
      <c r="T145" s="647"/>
      <c r="U145" s="647" t="str">
        <f>VLOOKUP(A145,Regularizare!$D:$U,10,FALSE)&amp;" ("&amp;VLOOKUP(A145,Regularizare!$D:$U,18,FALSE)&amp;")"</f>
        <v>2040 (estimat)</v>
      </c>
      <c r="V145" s="647"/>
      <c r="W145" s="647"/>
      <c r="X145" s="647" t="str">
        <f>_xlfn.CONCAT(VLOOKUP(A145,Regularizare!$D:$U,10,FALSE)-VLOOKUP(A145,Regularizare!$D:$U,9,FALSE)," (",VLOOKUP(A145,Regularizare!$D:$U,18,FALSE),")")</f>
        <v>0 (estimat)</v>
      </c>
      <c r="Y145" s="647"/>
      <c r="Z145" s="647"/>
      <c r="AA145" s="647">
        <f>IF(VLOOKUP(A145,Regularizare!$D:$Y,22,FALSE)=0,VLOOKUP(A145,Regularizare!$D:$Y,22,FALSE),(-1)*VLOOKUP(A145,Regularizare!$D:$Y,22,FALSE))</f>
        <v>0</v>
      </c>
      <c r="AB145" s="647"/>
      <c r="AC145" s="647"/>
      <c r="AD145" s="647" t="s">
        <v>69</v>
      </c>
      <c r="AE145" s="647"/>
      <c r="AF145" s="647">
        <f>AA145</f>
        <v>0</v>
      </c>
      <c r="AG145" s="647"/>
      <c r="AH145" s="647"/>
      <c r="AI145" s="647" t="str">
        <f>AI142</f>
        <v>-</v>
      </c>
      <c r="AJ145" s="647"/>
      <c r="AK145" s="647" t="str">
        <f>AK142</f>
        <v>-</v>
      </c>
      <c r="AL145" s="647"/>
      <c r="AM145" s="647"/>
    </row>
    <row r="146" spans="1:39" ht="8.4499999999999993" customHeight="1">
      <c r="A146" s="727"/>
      <c r="B146" s="729"/>
      <c r="C146" s="729"/>
      <c r="D146" s="729"/>
      <c r="E146" s="729"/>
      <c r="F146" s="728"/>
      <c r="G146" s="648"/>
      <c r="H146" s="648"/>
      <c r="I146" s="648"/>
      <c r="J146" s="717" t="str">
        <f t="shared" si="7"/>
        <v>-</v>
      </c>
      <c r="K146" s="718"/>
      <c r="L146" s="719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7"/>
      <c r="B147" s="688"/>
      <c r="C147" s="688"/>
      <c r="D147" s="688"/>
      <c r="E147" s="688"/>
      <c r="F147" s="689"/>
      <c r="G147" s="648"/>
      <c r="H147" s="648"/>
      <c r="I147" s="648"/>
      <c r="J147" s="714">
        <f t="shared" si="7"/>
        <v>45777</v>
      </c>
      <c r="K147" s="715"/>
      <c r="L147" s="716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4" t="str">
        <f>A145</f>
        <v>V.21G90290210104560/3</v>
      </c>
      <c r="B148" s="685"/>
      <c r="C148" s="685"/>
      <c r="D148" s="685"/>
      <c r="E148" s="685"/>
      <c r="F148" s="686"/>
      <c r="G148" s="648" t="s">
        <v>730</v>
      </c>
      <c r="H148" s="648"/>
      <c r="I148" s="673"/>
      <c r="J148" s="655">
        <f>'Date masura OD'!$AK$5</f>
        <v>45748</v>
      </c>
      <c r="K148" s="656"/>
      <c r="L148" s="657"/>
      <c r="M148" s="720" t="s">
        <v>446</v>
      </c>
      <c r="N148" s="648"/>
      <c r="O148" s="648">
        <f>O145</f>
        <v>1</v>
      </c>
      <c r="P148" s="648"/>
      <c r="Q148" s="648"/>
      <c r="R148" s="647" t="str">
        <f>VLOOKUP(A148,Regularizare!$D:$AX,23,FALSE)&amp;" ("&amp;VLOOKUP(A148,Regularizare!$D:$AX,24,FALSE)&amp;")"</f>
        <v>2599468 (citit)</v>
      </c>
      <c r="S148" s="647"/>
      <c r="T148" s="647"/>
      <c r="U148" s="647" t="str">
        <f>VLOOKUP(A148,Regularizare!$D:$AX,25,FALSE)&amp;" ("&amp;VLOOKUP(A148,Regularizare!$D:$AX,26,FALSE)&amp;")"</f>
        <v>2826738 (citit)</v>
      </c>
      <c r="V148" s="647"/>
      <c r="W148" s="647"/>
      <c r="X148" s="647" t="str">
        <f>VLOOKUP(A148,Regularizare!$D:$AX,37,FALSE)&amp;" ("&amp;VLOOKUP(A148,Regularizare!$D:$AX,26,FALSE)&amp;")"</f>
        <v>227270 (citit)</v>
      </c>
      <c r="Y148" s="647"/>
      <c r="Z148" s="647"/>
      <c r="AA148" s="647">
        <f>VLOOKUP(A148,Regularizare!$D:$AX,37,FALSE)</f>
        <v>227270</v>
      </c>
      <c r="AB148" s="647"/>
      <c r="AC148" s="647"/>
      <c r="AD148" s="647" t="s">
        <v>69</v>
      </c>
      <c r="AE148" s="647"/>
      <c r="AF148" s="647">
        <f>AA148</f>
        <v>227270</v>
      </c>
      <c r="AG148" s="647"/>
      <c r="AH148" s="647"/>
      <c r="AI148" s="647" t="str">
        <f>AI145</f>
        <v>-</v>
      </c>
      <c r="AJ148" s="647"/>
      <c r="AK148" s="647" t="str">
        <f>AK145</f>
        <v>-</v>
      </c>
      <c r="AL148" s="647"/>
      <c r="AM148" s="647"/>
    </row>
    <row r="149" spans="1:39" ht="8.4499999999999993" customHeight="1">
      <c r="A149" s="727"/>
      <c r="B149" s="729"/>
      <c r="C149" s="729"/>
      <c r="D149" s="729"/>
      <c r="E149" s="729"/>
      <c r="F149" s="728"/>
      <c r="G149" s="648"/>
      <c r="H149" s="648"/>
      <c r="I149" s="673"/>
      <c r="J149" s="717" t="s">
        <v>69</v>
      </c>
      <c r="K149" s="718"/>
      <c r="L149" s="719"/>
      <c r="M149" s="720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7"/>
      <c r="B150" s="688"/>
      <c r="C150" s="688"/>
      <c r="D150" s="688"/>
      <c r="E150" s="688"/>
      <c r="F150" s="689"/>
      <c r="G150" s="648"/>
      <c r="H150" s="648"/>
      <c r="I150" s="673"/>
      <c r="J150" s="714">
        <f>'Date masura OD'!$AL$5</f>
        <v>45777</v>
      </c>
      <c r="K150" s="715"/>
      <c r="L150" s="716"/>
      <c r="M150" s="720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4" t="str">
        <f>A148</f>
        <v>V.21G90290210104560/3</v>
      </c>
      <c r="B151" s="685"/>
      <c r="C151" s="685"/>
      <c r="D151" s="685"/>
      <c r="E151" s="685"/>
      <c r="F151" s="686"/>
      <c r="G151" s="648" t="s">
        <v>696</v>
      </c>
      <c r="H151" s="648"/>
      <c r="I151" s="648"/>
      <c r="J151" s="655">
        <f t="shared" ref="J151:J156" si="8">J148</f>
        <v>45748</v>
      </c>
      <c r="K151" s="656"/>
      <c r="L151" s="657"/>
      <c r="M151" s="648" t="s">
        <v>720</v>
      </c>
      <c r="N151" s="648"/>
      <c r="O151" s="648">
        <f>O148</f>
        <v>1</v>
      </c>
      <c r="P151" s="648"/>
      <c r="Q151" s="648"/>
      <c r="R151" s="647" t="str">
        <f>VLOOKUP(A151,Regularizare!$D:$AX,29,FALSE)&amp;" ("&amp;VLOOKUP(A151,Regularizare!$D:$AX,30,FALSE)&amp;")"</f>
        <v>103378 (citit)</v>
      </c>
      <c r="S151" s="647"/>
      <c r="T151" s="647"/>
      <c r="U151" s="647" t="str">
        <f>VLOOKUP(A151,Regularizare!$D:$AX,31,FALSE)&amp;" ("&amp;VLOOKUP(A151,Regularizare!$D:$AX,32,FALSE)&amp;")"</f>
        <v>103378 (citit)</v>
      </c>
      <c r="V151" s="647"/>
      <c r="W151" s="647"/>
      <c r="X151" s="647" t="str">
        <f>VLOOKUP(A151,Regularizare!$D:$AX,39,FALSE)&amp;" ("&amp;VLOOKUP(A151,Regularizare!$D:$AX,32,FALSE)&amp;")"</f>
        <v>0 (citit)</v>
      </c>
      <c r="Y151" s="647"/>
      <c r="Z151" s="647"/>
      <c r="AA151" s="647">
        <f>VLOOKUP(A151,Regularizare!$D:$AX,44,FALSE)+VLOOKUP(A151,Regularizare!$D:$AX,45,FALSE)</f>
        <v>0</v>
      </c>
      <c r="AB151" s="647"/>
      <c r="AC151" s="647"/>
      <c r="AD151" s="647" t="s">
        <v>69</v>
      </c>
      <c r="AE151" s="647"/>
      <c r="AF151" s="647">
        <f>AA151</f>
        <v>0</v>
      </c>
      <c r="AG151" s="647"/>
      <c r="AH151" s="647"/>
      <c r="AI151" s="647" t="str">
        <f>AI148</f>
        <v>-</v>
      </c>
      <c r="AJ151" s="647"/>
      <c r="AK151" s="647" t="str">
        <f>AK148</f>
        <v>-</v>
      </c>
      <c r="AL151" s="647"/>
      <c r="AM151" s="647"/>
    </row>
    <row r="152" spans="1:39" ht="8.4499999999999993" customHeight="1">
      <c r="A152" s="727"/>
      <c r="B152" s="729"/>
      <c r="C152" s="729"/>
      <c r="D152" s="729"/>
      <c r="E152" s="729"/>
      <c r="F152" s="728"/>
      <c r="G152" s="648"/>
      <c r="H152" s="648"/>
      <c r="I152" s="648"/>
      <c r="J152" s="717" t="str">
        <f t="shared" si="8"/>
        <v>-</v>
      </c>
      <c r="K152" s="718"/>
      <c r="L152" s="719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7"/>
      <c r="B153" s="688"/>
      <c r="C153" s="688"/>
      <c r="D153" s="688"/>
      <c r="E153" s="688"/>
      <c r="F153" s="689"/>
      <c r="G153" s="648"/>
      <c r="H153" s="648"/>
      <c r="I153" s="648"/>
      <c r="J153" s="714">
        <f t="shared" si="8"/>
        <v>45777</v>
      </c>
      <c r="K153" s="715"/>
      <c r="L153" s="716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4" t="str">
        <f>A151</f>
        <v>V.21G90290210104560/3</v>
      </c>
      <c r="B154" s="685"/>
      <c r="C154" s="685"/>
      <c r="D154" s="685"/>
      <c r="E154" s="685"/>
      <c r="F154" s="686"/>
      <c r="G154" s="648" t="s">
        <v>731</v>
      </c>
      <c r="H154" s="648"/>
      <c r="I154" s="648"/>
      <c r="J154" s="655">
        <f t="shared" si="8"/>
        <v>45748</v>
      </c>
      <c r="K154" s="656"/>
      <c r="L154" s="657"/>
      <c r="M154" s="648" t="s">
        <v>720</v>
      </c>
      <c r="N154" s="648"/>
      <c r="O154" s="648">
        <f>O151</f>
        <v>1</v>
      </c>
      <c r="P154" s="648"/>
      <c r="Q154" s="648"/>
      <c r="R154" s="647" t="str">
        <f>VLOOKUP(A154,Regularizare!$D:$AX,33,FALSE)&amp;" ("&amp;VLOOKUP(A154,Regularizare!$D:$AX,34,FALSE)&amp;")"</f>
        <v>2040 (citit)</v>
      </c>
      <c r="S154" s="647"/>
      <c r="T154" s="647"/>
      <c r="U154" s="647" t="str">
        <f>VLOOKUP(A154,Regularizare!$D:$AX,35,FALSE)&amp;" ("&amp;VLOOKUP(A154,Regularizare!$D:$AX,36,FALSE)&amp;")"</f>
        <v>2040 (citit)</v>
      </c>
      <c r="V154" s="647"/>
      <c r="W154" s="647"/>
      <c r="X154" s="647" t="str">
        <f>VLOOKUP(A154,Regularizare!$D:$AX,40,FALSE)&amp;" ("&amp;VLOOKUP(A154,Regularizare!$D:$AX,36,FALSE)&amp;")"</f>
        <v>0 (citit)</v>
      </c>
      <c r="Y154" s="647"/>
      <c r="Z154" s="647"/>
      <c r="AA154" s="647">
        <f>VLOOKUP(A154,Regularizare!$D:$AX,46,FALSE)+VLOOKUP(A154,Regularizare!$D:$AX,47,FALSE)</f>
        <v>0</v>
      </c>
      <c r="AB154" s="647"/>
      <c r="AC154" s="647"/>
      <c r="AD154" s="647" t="s">
        <v>69</v>
      </c>
      <c r="AE154" s="647"/>
      <c r="AF154" s="647">
        <f>AA154</f>
        <v>0</v>
      </c>
      <c r="AG154" s="647"/>
      <c r="AH154" s="647"/>
      <c r="AI154" s="647" t="str">
        <f>AI151</f>
        <v>-</v>
      </c>
      <c r="AJ154" s="647"/>
      <c r="AK154" s="647" t="str">
        <f>AK151</f>
        <v>-</v>
      </c>
      <c r="AL154" s="647"/>
      <c r="AM154" s="647"/>
    </row>
    <row r="155" spans="1:39" ht="8.4499999999999993" customHeight="1">
      <c r="A155" s="727"/>
      <c r="B155" s="729"/>
      <c r="C155" s="729"/>
      <c r="D155" s="729"/>
      <c r="E155" s="729"/>
      <c r="F155" s="728"/>
      <c r="G155" s="648"/>
      <c r="H155" s="648"/>
      <c r="I155" s="648"/>
      <c r="J155" s="717" t="str">
        <f t="shared" si="8"/>
        <v>-</v>
      </c>
      <c r="K155" s="718"/>
      <c r="L155" s="719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7"/>
      <c r="B156" s="688"/>
      <c r="C156" s="688"/>
      <c r="D156" s="688"/>
      <c r="E156" s="688"/>
      <c r="F156" s="689"/>
      <c r="G156" s="648"/>
      <c r="H156" s="648"/>
      <c r="I156" s="648"/>
      <c r="J156" s="714">
        <f t="shared" si="8"/>
        <v>45777</v>
      </c>
      <c r="K156" s="715"/>
      <c r="L156" s="716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4" t="str">
        <f>A154</f>
        <v>V.21G90290210104560/3</v>
      </c>
      <c r="B157" s="685"/>
      <c r="C157" s="685"/>
      <c r="D157" s="685"/>
      <c r="E157" s="685"/>
      <c r="F157" s="686"/>
      <c r="G157" s="648" t="s">
        <v>730</v>
      </c>
      <c r="H157" s="648"/>
      <c r="I157" s="673"/>
      <c r="J157" s="655">
        <f>'Date masura OD'!$I$5</f>
        <v>45778</v>
      </c>
      <c r="K157" s="656"/>
      <c r="L157" s="657"/>
      <c r="M157" s="720" t="s">
        <v>446</v>
      </c>
      <c r="N157" s="648"/>
      <c r="O157" s="648">
        <f>O154</f>
        <v>1</v>
      </c>
      <c r="P157" s="648"/>
      <c r="Q157" s="648"/>
      <c r="R157" s="647" t="str">
        <f>U148</f>
        <v>2826738 (citit)</v>
      </c>
      <c r="S157" s="647"/>
      <c r="T157" s="647"/>
      <c r="U157" s="647" t="str">
        <f>VLOOKUP(A157,'Incrementare indexe'!$D:$M,4,FALSE)&amp;" (estimat)"</f>
        <v>3084672 (estimat)</v>
      </c>
      <c r="V157" s="647"/>
      <c r="W157" s="647"/>
      <c r="X157" s="647" t="str">
        <f>VLOOKUP(A157,'Incrementare indexe'!$D:$Q,11,FALSE)&amp;" (estimat)"</f>
        <v>257934 (estimat)</v>
      </c>
      <c r="Y157" s="647"/>
      <c r="Z157" s="647"/>
      <c r="AA157" s="647" t="s">
        <v>69</v>
      </c>
      <c r="AB157" s="647"/>
      <c r="AC157" s="647"/>
      <c r="AD157" s="647" t="s">
        <v>69</v>
      </c>
      <c r="AE157" s="647"/>
      <c r="AF157" s="647">
        <f>VLOOKUP(A157,'Incrementare indexe'!$D:$Q,11,FALSE)</f>
        <v>257934</v>
      </c>
      <c r="AG157" s="647"/>
      <c r="AH157" s="647"/>
      <c r="AI157" s="647">
        <f>J159-J157+1</f>
        <v>31</v>
      </c>
      <c r="AJ157" s="647"/>
      <c r="AK157" s="647">
        <f>ROUND(AF157/AI157,2)</f>
        <v>8320.4500000000007</v>
      </c>
      <c r="AL157" s="647"/>
      <c r="AM157" s="647"/>
    </row>
    <row r="158" spans="1:39" ht="8.4499999999999993" customHeight="1">
      <c r="A158" s="727"/>
      <c r="B158" s="729"/>
      <c r="C158" s="729"/>
      <c r="D158" s="729"/>
      <c r="E158" s="729"/>
      <c r="F158" s="728"/>
      <c r="G158" s="648"/>
      <c r="H158" s="648"/>
      <c r="I158" s="673"/>
      <c r="J158" s="717" t="s">
        <v>69</v>
      </c>
      <c r="K158" s="718"/>
      <c r="L158" s="719"/>
      <c r="M158" s="720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7"/>
      <c r="B159" s="688"/>
      <c r="C159" s="688"/>
      <c r="D159" s="688"/>
      <c r="E159" s="688"/>
      <c r="F159" s="689"/>
      <c r="G159" s="648"/>
      <c r="H159" s="648"/>
      <c r="I159" s="673"/>
      <c r="J159" s="714">
        <f>'Date masura OD'!$J$5</f>
        <v>45808</v>
      </c>
      <c r="K159" s="715"/>
      <c r="L159" s="716"/>
      <c r="M159" s="720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4" t="str">
        <f>A157</f>
        <v>V.21G90290210104560/3</v>
      </c>
      <c r="B160" s="685"/>
      <c r="C160" s="685"/>
      <c r="D160" s="685"/>
      <c r="E160" s="685"/>
      <c r="F160" s="686"/>
      <c r="G160" s="648" t="s">
        <v>696</v>
      </c>
      <c r="H160" s="648"/>
      <c r="I160" s="648"/>
      <c r="J160" s="655">
        <f t="shared" ref="J160:J165" si="9">J157</f>
        <v>45778</v>
      </c>
      <c r="K160" s="656"/>
      <c r="L160" s="657"/>
      <c r="M160" s="648" t="s">
        <v>720</v>
      </c>
      <c r="N160" s="648"/>
      <c r="O160" s="648">
        <f>O157</f>
        <v>1</v>
      </c>
      <c r="P160" s="648"/>
      <c r="Q160" s="648"/>
      <c r="R160" s="647" t="str">
        <f>U151</f>
        <v>103378 (citit)</v>
      </c>
      <c r="S160" s="647"/>
      <c r="T160" s="647"/>
      <c r="U160" s="647" t="str">
        <f>VLOOKUP(A160,'Incrementare indexe'!$D:$M,8,FALSE)&amp;" (estimat)"</f>
        <v>103378 (estimat)</v>
      </c>
      <c r="V160" s="647"/>
      <c r="W160" s="647"/>
      <c r="X160" s="647" t="str">
        <f>VLOOKUP(A160,'Incrementare indexe'!$D:$Q,12,FALSE)&amp;" (estimat)"</f>
        <v>0 (estimat)</v>
      </c>
      <c r="Y160" s="647"/>
      <c r="Z160" s="647"/>
      <c r="AA160" s="647" t="s">
        <v>69</v>
      </c>
      <c r="AB160" s="647"/>
      <c r="AC160" s="647"/>
      <c r="AD160" s="647" t="s">
        <v>69</v>
      </c>
      <c r="AE160" s="647"/>
      <c r="AF160" s="647">
        <f>VLOOKUP(A160,'Incrementare indexe'!$D:$Q,12,FALSE)</f>
        <v>0</v>
      </c>
      <c r="AG160" s="647"/>
      <c r="AH160" s="647"/>
      <c r="AI160" s="647">
        <f>AI157</f>
        <v>31</v>
      </c>
      <c r="AJ160" s="647"/>
      <c r="AK160" s="647">
        <f>ROUND(AF160/AI160,2)</f>
        <v>0</v>
      </c>
      <c r="AL160" s="647"/>
      <c r="AM160" s="647"/>
    </row>
    <row r="161" spans="1:39" ht="8.4499999999999993" customHeight="1">
      <c r="A161" s="727"/>
      <c r="B161" s="729"/>
      <c r="C161" s="729"/>
      <c r="D161" s="729"/>
      <c r="E161" s="729"/>
      <c r="F161" s="728"/>
      <c r="G161" s="648"/>
      <c r="H161" s="648"/>
      <c r="I161" s="648"/>
      <c r="J161" s="717" t="str">
        <f t="shared" si="9"/>
        <v>-</v>
      </c>
      <c r="K161" s="718"/>
      <c r="L161" s="719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7"/>
      <c r="B162" s="688"/>
      <c r="C162" s="688"/>
      <c r="D162" s="688"/>
      <c r="E162" s="688"/>
      <c r="F162" s="689"/>
      <c r="G162" s="648"/>
      <c r="H162" s="648"/>
      <c r="I162" s="648"/>
      <c r="J162" s="714">
        <f t="shared" si="9"/>
        <v>45808</v>
      </c>
      <c r="K162" s="715"/>
      <c r="L162" s="716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4" t="str">
        <f>A160</f>
        <v>V.21G90290210104560/3</v>
      </c>
      <c r="B163" s="685"/>
      <c r="C163" s="685"/>
      <c r="D163" s="685"/>
      <c r="E163" s="685"/>
      <c r="F163" s="686"/>
      <c r="G163" s="648" t="s">
        <v>731</v>
      </c>
      <c r="H163" s="648"/>
      <c r="I163" s="648"/>
      <c r="J163" s="655">
        <f t="shared" si="9"/>
        <v>45778</v>
      </c>
      <c r="K163" s="656"/>
      <c r="L163" s="657"/>
      <c r="M163" s="648" t="s">
        <v>720</v>
      </c>
      <c r="N163" s="648"/>
      <c r="O163" s="648">
        <f>O160</f>
        <v>1</v>
      </c>
      <c r="P163" s="648"/>
      <c r="Q163" s="648"/>
      <c r="R163" s="647" t="str">
        <f>U154</f>
        <v>2040 (citit)</v>
      </c>
      <c r="S163" s="647"/>
      <c r="T163" s="647"/>
      <c r="U163" s="647" t="str">
        <f>VLOOKUP(A163,'Incrementare indexe'!$D:$M,10,FALSE)&amp;" (estimat)"</f>
        <v>2040 (estimat)</v>
      </c>
      <c r="V163" s="647"/>
      <c r="W163" s="647"/>
      <c r="X163" s="647" t="str">
        <f>VLOOKUP(A163,'Incrementare indexe'!$D:$Q,13,FALSE)&amp;" (estimat)"</f>
        <v>0 (estimat)</v>
      </c>
      <c r="Y163" s="647"/>
      <c r="Z163" s="647"/>
      <c r="AA163" s="647" t="s">
        <v>69</v>
      </c>
      <c r="AB163" s="647"/>
      <c r="AC163" s="647"/>
      <c r="AD163" s="647" t="s">
        <v>69</v>
      </c>
      <c r="AE163" s="647"/>
      <c r="AF163" s="647">
        <f>VLOOKUP(A163,'Incrementare indexe'!$D:$Q,13,FALSE)</f>
        <v>0</v>
      </c>
      <c r="AG163" s="647"/>
      <c r="AH163" s="647"/>
      <c r="AI163" s="647">
        <f>AI160</f>
        <v>31</v>
      </c>
      <c r="AJ163" s="647"/>
      <c r="AK163" s="647">
        <f>ROUND(AF163/AI163,2)</f>
        <v>0</v>
      </c>
      <c r="AL163" s="647"/>
      <c r="AM163" s="647"/>
    </row>
    <row r="164" spans="1:39" ht="8.4499999999999993" customHeight="1">
      <c r="A164" s="727"/>
      <c r="B164" s="729"/>
      <c r="C164" s="729"/>
      <c r="D164" s="729"/>
      <c r="E164" s="729"/>
      <c r="F164" s="728"/>
      <c r="G164" s="648"/>
      <c r="H164" s="648"/>
      <c r="I164" s="648"/>
      <c r="J164" s="717" t="str">
        <f t="shared" si="9"/>
        <v>-</v>
      </c>
      <c r="K164" s="718"/>
      <c r="L164" s="719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7"/>
      <c r="B165" s="688"/>
      <c r="C165" s="688"/>
      <c r="D165" s="688"/>
      <c r="E165" s="688"/>
      <c r="F165" s="689"/>
      <c r="G165" s="648"/>
      <c r="H165" s="648"/>
      <c r="I165" s="648"/>
      <c r="J165" s="714">
        <f t="shared" si="9"/>
        <v>45808</v>
      </c>
      <c r="K165" s="715"/>
      <c r="L165" s="716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/>
    <row r="167" spans="1:39" ht="14.1" customHeight="1"/>
    <row r="168" spans="1:39" ht="14.1" customHeight="1"/>
    <row r="169" spans="1:39" ht="14.1" customHeight="1"/>
    <row r="170" spans="1:39" ht="14.1" customHeight="1"/>
    <row r="171" spans="1:39" ht="14.1" customHeight="1"/>
    <row r="172" spans="1:39" ht="14.1" customHeight="1"/>
    <row r="173" spans="1:39" ht="14.1" customHeight="1"/>
    <row r="174" spans="1:39" ht="14.1" customHeight="1"/>
    <row r="175" spans="1:39" ht="14.1" customHeight="1"/>
    <row r="176" spans="1:39" ht="14.1" customHeight="1"/>
    <row r="177" spans="1:39" ht="14.1" customHeight="1"/>
    <row r="178" spans="1:39" ht="14.1" customHeight="1"/>
    <row r="179" spans="1:39" ht="14.1" customHeight="1"/>
    <row r="180" spans="1:39" ht="14.1" customHeight="1"/>
    <row r="181" spans="1:39" ht="14.1" customHeight="1"/>
    <row r="182" spans="1:39" ht="14.1" customHeight="1"/>
    <row r="183" spans="1:39" ht="14.1" customHeight="1"/>
    <row r="184" spans="1:39" ht="14.1" customHeight="1"/>
    <row r="185" spans="1:39" ht="14.1" customHeight="1"/>
    <row r="186" spans="1:39">
      <c r="A186" s="649" t="s">
        <v>748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50" t="str">
        <f>VLOOKUP(AI187,'Contorizare in SDI'!$E:$I,4,FALSE)</f>
        <v>RO001E110047438/4</v>
      </c>
      <c r="N186" s="650"/>
      <c r="O186" s="650"/>
      <c r="P186" s="650"/>
      <c r="Q186" s="650"/>
      <c r="R186" s="650"/>
      <c r="S186" s="650"/>
      <c r="T186" s="650"/>
      <c r="U186" s="650"/>
      <c r="V186" s="650"/>
      <c r="W186" s="650"/>
      <c r="X186" s="650"/>
      <c r="Y186" s="650"/>
      <c r="Z186" s="650"/>
      <c r="AA186" s="650"/>
      <c r="AB186" s="650"/>
      <c r="AC186" s="650"/>
      <c r="AD186" s="650"/>
      <c r="AE186" s="650"/>
      <c r="AF186" s="650"/>
      <c r="AG186" s="650"/>
      <c r="AH186" s="650"/>
      <c r="AI186" s="650" t="s">
        <v>695</v>
      </c>
      <c r="AJ186" s="650"/>
      <c r="AK186" s="650"/>
      <c r="AL186" s="650"/>
      <c r="AM186" s="650"/>
    </row>
    <row r="187" spans="1:39">
      <c r="A187" s="649" t="s">
        <v>746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50" t="str">
        <f>VLOOKUP(AI187,'Inchidere contur'!$G:$U,15,FALSE)</f>
        <v>JT_SDI</v>
      </c>
      <c r="N187" s="650"/>
      <c r="O187" s="650"/>
      <c r="P187" s="650"/>
      <c r="Q187" s="650"/>
      <c r="R187" s="650"/>
      <c r="S187" s="650"/>
      <c r="T187" s="650"/>
      <c r="U187" s="650"/>
      <c r="V187" s="650"/>
      <c r="W187" s="650"/>
      <c r="X187" s="650"/>
      <c r="Y187" s="650"/>
      <c r="Z187" s="650"/>
      <c r="AA187" s="650"/>
      <c r="AB187" s="650"/>
      <c r="AC187" s="650"/>
      <c r="AD187" s="650"/>
      <c r="AE187" s="650"/>
      <c r="AF187" s="650"/>
      <c r="AG187" s="650"/>
      <c r="AH187" s="650"/>
      <c r="AI187" s="619" t="str">
        <f>_xlfn.CONCAT(AA31,".",4)</f>
        <v>RMEG_1.4</v>
      </c>
      <c r="AJ187" s="619"/>
      <c r="AK187" s="619"/>
      <c r="AL187" s="619"/>
      <c r="AM187" s="619"/>
    </row>
    <row r="188" spans="1:39">
      <c r="A188" s="649" t="s">
        <v>747</v>
      </c>
      <c r="B188" s="649"/>
      <c r="C188" s="649"/>
      <c r="D188" s="649"/>
      <c r="E188" s="649"/>
      <c r="F188" s="649"/>
      <c r="G188" s="649"/>
      <c r="H188" s="649"/>
      <c r="I188" s="649"/>
      <c r="J188" s="649"/>
      <c r="K188" s="649"/>
      <c r="L188" s="649"/>
      <c r="M188" s="650" t="str">
        <f>IF(LEFT(M187,2)="JT","0.4kV",IF(LEFT(M187,2)="MT","20kV","-"))</f>
        <v>0.4kV</v>
      </c>
      <c r="N188" s="650"/>
      <c r="O188" s="650"/>
      <c r="P188" s="650"/>
      <c r="Q188" s="650"/>
      <c r="R188" s="650"/>
      <c r="S188" s="650"/>
      <c r="T188" s="650"/>
      <c r="U188" s="650"/>
      <c r="V188" s="650"/>
      <c r="W188" s="650"/>
      <c r="X188" s="650"/>
      <c r="Y188" s="650"/>
      <c r="Z188" s="650"/>
      <c r="AA188" s="650"/>
      <c r="AB188" s="650"/>
      <c r="AC188" s="650"/>
      <c r="AD188" s="650"/>
      <c r="AE188" s="650"/>
      <c r="AF188" s="650"/>
      <c r="AG188" s="650"/>
      <c r="AH188" s="650"/>
      <c r="AI188" s="619"/>
      <c r="AJ188" s="619"/>
      <c r="AK188" s="619"/>
      <c r="AL188" s="619"/>
      <c r="AM188" s="619"/>
    </row>
    <row r="189" spans="1:39" ht="15.95" customHeight="1">
      <c r="A189" s="648" t="s">
        <v>697</v>
      </c>
      <c r="B189" s="648"/>
      <c r="C189" s="648"/>
      <c r="D189" s="648"/>
      <c r="E189" s="648"/>
      <c r="F189" s="648"/>
      <c r="G189" s="647" t="s">
        <v>713</v>
      </c>
      <c r="H189" s="647"/>
      <c r="I189" s="647"/>
      <c r="J189" s="647" t="s">
        <v>714</v>
      </c>
      <c r="K189" s="647"/>
      <c r="L189" s="647"/>
      <c r="M189" s="648" t="s">
        <v>519</v>
      </c>
      <c r="N189" s="648"/>
      <c r="O189" s="648" t="s">
        <v>715</v>
      </c>
      <c r="P189" s="648"/>
      <c r="Q189" s="648"/>
      <c r="R189" s="647" t="s">
        <v>732</v>
      </c>
      <c r="S189" s="647"/>
      <c r="T189" s="647"/>
      <c r="U189" s="647" t="s">
        <v>734</v>
      </c>
      <c r="V189" s="647"/>
      <c r="W189" s="647"/>
      <c r="X189" s="647" t="s">
        <v>1085</v>
      </c>
      <c r="Y189" s="647"/>
      <c r="Z189" s="647"/>
      <c r="AA189" s="647" t="s">
        <v>1086</v>
      </c>
      <c r="AB189" s="647"/>
      <c r="AC189" s="647"/>
      <c r="AD189" s="647" t="s">
        <v>717</v>
      </c>
      <c r="AE189" s="647"/>
      <c r="AF189" s="647" t="s">
        <v>718</v>
      </c>
      <c r="AG189" s="647"/>
      <c r="AH189" s="647"/>
      <c r="AI189" s="647" t="s">
        <v>719</v>
      </c>
      <c r="AJ189" s="647"/>
      <c r="AK189" s="647" t="s">
        <v>733</v>
      </c>
      <c r="AL189" s="647"/>
      <c r="AM189" s="647"/>
    </row>
    <row r="190" spans="1:39">
      <c r="A190" s="648"/>
      <c r="B190" s="648"/>
      <c r="C190" s="648"/>
      <c r="D190" s="648"/>
      <c r="E190" s="648"/>
      <c r="F190" s="648"/>
      <c r="G190" s="647"/>
      <c r="H190" s="647"/>
      <c r="I190" s="647"/>
      <c r="J190" s="647"/>
      <c r="K190" s="647"/>
      <c r="L190" s="647"/>
      <c r="M190" s="648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>
      <c r="A191" s="648"/>
      <c r="B191" s="648"/>
      <c r="C191" s="648"/>
      <c r="D191" s="648"/>
      <c r="E191" s="648"/>
      <c r="F191" s="648"/>
      <c r="G191" s="647"/>
      <c r="H191" s="647"/>
      <c r="I191" s="647"/>
      <c r="J191" s="713"/>
      <c r="K191" s="713"/>
      <c r="L191" s="713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84" t="str">
        <f>VLOOKUP(AI187,'Contorizare in SDI'!$E:$I,5,FALSE)</f>
        <v>V.21G90290210104560/4</v>
      </c>
      <c r="B192" s="685"/>
      <c r="C192" s="685"/>
      <c r="D192" s="685"/>
      <c r="E192" s="685"/>
      <c r="F192" s="686"/>
      <c r="G192" s="648" t="s">
        <v>730</v>
      </c>
      <c r="H192" s="648"/>
      <c r="I192" s="673"/>
      <c r="J192" s="655">
        <f>'Date masura OD'!$AK$5</f>
        <v>45748</v>
      </c>
      <c r="K192" s="656"/>
      <c r="L192" s="657"/>
      <c r="M192" s="720" t="s">
        <v>446</v>
      </c>
      <c r="N192" s="648"/>
      <c r="O192" s="648">
        <f>VLOOKUP(AI187,'Incrementare indexe'!$B:$T,4,FALSE)</f>
        <v>1</v>
      </c>
      <c r="P192" s="648"/>
      <c r="Q192" s="648"/>
      <c r="R192" s="647" t="str">
        <f>VLOOKUP(A192,Regularizare!$D:$YN,3,FALSE)&amp;" ("&amp;VLOOKUP(A192,Regularizare!$D:$Y,11,FALSE)&amp;")"</f>
        <v>2599463 (citit)</v>
      </c>
      <c r="S192" s="647"/>
      <c r="T192" s="647"/>
      <c r="U192" s="647" t="str">
        <f>VLOOKUP(A192,Regularizare!$D:$U,4,FALSE)&amp;" ("&amp;VLOOKUP(A192,Regularizare!$D:$U,12,FALSE)&amp;")"</f>
        <v>2826733 (estimat)</v>
      </c>
      <c r="V192" s="647"/>
      <c r="W192" s="647"/>
      <c r="X192" s="647" t="str">
        <f>VLOOKUP(A192,Regularizare!$D:$Y,19,FALSE)&amp;" ("&amp;VLOOKUP(A192,Regularizare!$D:$U,12,FALSE)&amp;")"</f>
        <v>227270 (estimat)</v>
      </c>
      <c r="Y192" s="647"/>
      <c r="Z192" s="647"/>
      <c r="AA192" s="647">
        <f>(-1)*VLOOKUP(A192,Regularizare!$D:$Y,19,FALSE)</f>
        <v>-227270</v>
      </c>
      <c r="AB192" s="647"/>
      <c r="AC192" s="647"/>
      <c r="AD192" s="647" t="s">
        <v>69</v>
      </c>
      <c r="AE192" s="647"/>
      <c r="AF192" s="647">
        <f>AA192</f>
        <v>-227270</v>
      </c>
      <c r="AG192" s="647"/>
      <c r="AH192" s="647"/>
      <c r="AI192" s="647" t="s">
        <v>69</v>
      </c>
      <c r="AJ192" s="647"/>
      <c r="AK192" s="647" t="s">
        <v>69</v>
      </c>
      <c r="AL192" s="647"/>
      <c r="AM192" s="647"/>
    </row>
    <row r="193" spans="1:39" ht="9.75" customHeight="1">
      <c r="A193" s="727"/>
      <c r="B193" s="729"/>
      <c r="C193" s="729"/>
      <c r="D193" s="729"/>
      <c r="E193" s="729"/>
      <c r="F193" s="728"/>
      <c r="G193" s="648"/>
      <c r="H193" s="648"/>
      <c r="I193" s="673"/>
      <c r="J193" s="717" t="s">
        <v>69</v>
      </c>
      <c r="K193" s="718"/>
      <c r="L193" s="719"/>
      <c r="M193" s="720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7"/>
      <c r="B194" s="688"/>
      <c r="C194" s="688"/>
      <c r="D194" s="688"/>
      <c r="E194" s="688"/>
      <c r="F194" s="689"/>
      <c r="G194" s="648"/>
      <c r="H194" s="648"/>
      <c r="I194" s="673"/>
      <c r="J194" s="714">
        <f>'Date masura OD'!$AL$5</f>
        <v>45777</v>
      </c>
      <c r="K194" s="715"/>
      <c r="L194" s="716"/>
      <c r="M194" s="720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4" t="str">
        <f>A192</f>
        <v>V.21G90290210104560/4</v>
      </c>
      <c r="B195" s="685"/>
      <c r="C195" s="685"/>
      <c r="D195" s="685"/>
      <c r="E195" s="685"/>
      <c r="F195" s="686"/>
      <c r="G195" s="648" t="s">
        <v>696</v>
      </c>
      <c r="H195" s="648"/>
      <c r="I195" s="648"/>
      <c r="J195" s="655">
        <f t="shared" ref="J195:J200" si="10">J192</f>
        <v>45748</v>
      </c>
      <c r="K195" s="656"/>
      <c r="L195" s="657"/>
      <c r="M195" s="648" t="s">
        <v>720</v>
      </c>
      <c r="N195" s="648"/>
      <c r="O195" s="648">
        <f>O192</f>
        <v>1</v>
      </c>
      <c r="P195" s="648"/>
      <c r="Q195" s="648"/>
      <c r="R195" s="647" t="str">
        <f>VLOOKUP(A195,Regularizare!$D:$U,7,FALSE)&amp;" ("&amp;VLOOKUP(A195,Regularizare!$D:$U,15,FALSE)&amp;")"</f>
        <v>103378 (citit)</v>
      </c>
      <c r="S195" s="647"/>
      <c r="T195" s="647"/>
      <c r="U195" s="647" t="str">
        <f>VLOOKUP(A195,Regularizare!$D:$U,8,FALSE)&amp;" ("&amp;VLOOKUP(A195,Regularizare!$D:$U,16,FALSE)&amp;")"</f>
        <v>103378 (estimat)</v>
      </c>
      <c r="V195" s="647"/>
      <c r="W195" s="647"/>
      <c r="X195" s="647" t="str">
        <f>_xlfn.CONCAT(VLOOKUP(A195,Regularizare!$D:$U,8,FALSE)-VLOOKUP(A195,Regularizare!$D:$U,7,FALSE)," (",VLOOKUP(A195,Regularizare!$D:$U,16,FALSE),")")</f>
        <v>0 (estimat)</v>
      </c>
      <c r="Y195" s="647"/>
      <c r="Z195" s="647"/>
      <c r="AA195" s="647">
        <f>IF(VLOOKUP(A195,Regularizare!$D:$Y,21,FALSE)=0,VLOOKUP(A195,Regularizare!$D:$Y,21,FALSE),(-1)*VLOOKUP(A195,Regularizare!$D:$Y,21,FALSE))</f>
        <v>0</v>
      </c>
      <c r="AB195" s="647"/>
      <c r="AC195" s="647"/>
      <c r="AD195" s="647" t="s">
        <v>69</v>
      </c>
      <c r="AE195" s="647"/>
      <c r="AF195" s="647">
        <f>AA195</f>
        <v>0</v>
      </c>
      <c r="AG195" s="647"/>
      <c r="AH195" s="647"/>
      <c r="AI195" s="647" t="str">
        <f>AI192</f>
        <v>-</v>
      </c>
      <c r="AJ195" s="647"/>
      <c r="AK195" s="647" t="str">
        <f>AK192</f>
        <v>-</v>
      </c>
      <c r="AL195" s="647"/>
      <c r="AM195" s="647"/>
    </row>
    <row r="196" spans="1:39" ht="8.4499999999999993" customHeight="1">
      <c r="A196" s="727"/>
      <c r="B196" s="729"/>
      <c r="C196" s="729"/>
      <c r="D196" s="729"/>
      <c r="E196" s="729"/>
      <c r="F196" s="728"/>
      <c r="G196" s="648"/>
      <c r="H196" s="648"/>
      <c r="I196" s="648"/>
      <c r="J196" s="717" t="str">
        <f t="shared" si="10"/>
        <v>-</v>
      </c>
      <c r="K196" s="718"/>
      <c r="L196" s="719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7"/>
      <c r="B197" s="688"/>
      <c r="C197" s="688"/>
      <c r="D197" s="688"/>
      <c r="E197" s="688"/>
      <c r="F197" s="689"/>
      <c r="G197" s="648"/>
      <c r="H197" s="648"/>
      <c r="I197" s="648"/>
      <c r="J197" s="714">
        <f t="shared" si="10"/>
        <v>45777</v>
      </c>
      <c r="K197" s="715"/>
      <c r="L197" s="716"/>
      <c r="M197" s="648"/>
      <c r="N197" s="648"/>
      <c r="O197" s="648"/>
      <c r="P197" s="648"/>
      <c r="Q197" s="648"/>
      <c r="R197" s="647"/>
      <c r="S197" s="647"/>
      <c r="T197" s="647"/>
      <c r="U197" s="647"/>
      <c r="V197" s="647"/>
      <c r="W197" s="647"/>
      <c r="X197" s="647"/>
      <c r="Y197" s="647"/>
      <c r="Z197" s="647"/>
      <c r="AA197" s="647"/>
      <c r="AB197" s="647"/>
      <c r="AC197" s="647"/>
      <c r="AD197" s="647"/>
      <c r="AE197" s="647"/>
      <c r="AF197" s="647"/>
      <c r="AG197" s="647"/>
      <c r="AH197" s="647"/>
      <c r="AI197" s="647"/>
      <c r="AJ197" s="647"/>
      <c r="AK197" s="647"/>
      <c r="AL197" s="647"/>
      <c r="AM197" s="647"/>
    </row>
    <row r="198" spans="1:39" ht="14.1" customHeight="1">
      <c r="A198" s="684" t="str">
        <f>A195</f>
        <v>V.21G90290210104560/4</v>
      </c>
      <c r="B198" s="685"/>
      <c r="C198" s="685"/>
      <c r="D198" s="685"/>
      <c r="E198" s="685"/>
      <c r="F198" s="686"/>
      <c r="G198" s="648" t="s">
        <v>731</v>
      </c>
      <c r="H198" s="648"/>
      <c r="I198" s="648"/>
      <c r="J198" s="655">
        <f t="shared" si="10"/>
        <v>45748</v>
      </c>
      <c r="K198" s="656"/>
      <c r="L198" s="657"/>
      <c r="M198" s="648" t="s">
        <v>720</v>
      </c>
      <c r="N198" s="648"/>
      <c r="O198" s="648">
        <f>O195</f>
        <v>1</v>
      </c>
      <c r="P198" s="648"/>
      <c r="Q198" s="648"/>
      <c r="R198" s="647" t="str">
        <f>VLOOKUP(A198,Regularizare!$D:$U,9,FALSE)&amp;" ("&amp;VLOOKUP(A198,Regularizare!$D:$U,17,FALSE)&amp;")"</f>
        <v>2040 (citit)</v>
      </c>
      <c r="S198" s="647"/>
      <c r="T198" s="647"/>
      <c r="U198" s="647" t="str">
        <f>VLOOKUP(A198,Regularizare!$D:$U,10,FALSE)&amp;" ("&amp;VLOOKUP(A198,Regularizare!$D:$U,18,FALSE)&amp;")"</f>
        <v>2040 (estimat)</v>
      </c>
      <c r="V198" s="647"/>
      <c r="W198" s="647"/>
      <c r="X198" s="647" t="str">
        <f>_xlfn.CONCAT(VLOOKUP(A198,Regularizare!$D:$U,10,FALSE)-VLOOKUP(A198,Regularizare!$D:$U,9,FALSE)," (",VLOOKUP(A198,Regularizare!$D:$U,18,FALSE),")")</f>
        <v>0 (estimat)</v>
      </c>
      <c r="Y198" s="647"/>
      <c r="Z198" s="647"/>
      <c r="AA198" s="647">
        <f>IF(VLOOKUP(A198,Regularizare!$D:$Y,22,FALSE)=0,VLOOKUP(A198,Regularizare!$D:$Y,22,FALSE),(-1)*VLOOKUP(A198,Regularizare!$D:$Y,22,FALSE))</f>
        <v>0</v>
      </c>
      <c r="AB198" s="647"/>
      <c r="AC198" s="647"/>
      <c r="AD198" s="647" t="s">
        <v>69</v>
      </c>
      <c r="AE198" s="647"/>
      <c r="AF198" s="647">
        <f>AA198</f>
        <v>0</v>
      </c>
      <c r="AG198" s="647"/>
      <c r="AH198" s="647"/>
      <c r="AI198" s="647" t="str">
        <f>AI195</f>
        <v>-</v>
      </c>
      <c r="AJ198" s="647"/>
      <c r="AK198" s="647" t="str">
        <f>AK195</f>
        <v>-</v>
      </c>
      <c r="AL198" s="647"/>
      <c r="AM198" s="647"/>
    </row>
    <row r="199" spans="1:39" ht="8.4499999999999993" customHeight="1">
      <c r="A199" s="727"/>
      <c r="B199" s="729"/>
      <c r="C199" s="729"/>
      <c r="D199" s="729"/>
      <c r="E199" s="729"/>
      <c r="F199" s="728"/>
      <c r="G199" s="648"/>
      <c r="H199" s="648"/>
      <c r="I199" s="648"/>
      <c r="J199" s="717" t="str">
        <f t="shared" si="10"/>
        <v>-</v>
      </c>
      <c r="K199" s="718"/>
      <c r="L199" s="719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7"/>
      <c r="B200" s="688"/>
      <c r="C200" s="688"/>
      <c r="D200" s="688"/>
      <c r="E200" s="688"/>
      <c r="F200" s="689"/>
      <c r="G200" s="648"/>
      <c r="H200" s="648"/>
      <c r="I200" s="648"/>
      <c r="J200" s="714">
        <f t="shared" si="10"/>
        <v>45777</v>
      </c>
      <c r="K200" s="715"/>
      <c r="L200" s="716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4" t="str">
        <f>A198</f>
        <v>V.21G90290210104560/4</v>
      </c>
      <c r="B201" s="685"/>
      <c r="C201" s="685"/>
      <c r="D201" s="685"/>
      <c r="E201" s="685"/>
      <c r="F201" s="686"/>
      <c r="G201" s="648" t="s">
        <v>730</v>
      </c>
      <c r="H201" s="648"/>
      <c r="I201" s="673"/>
      <c r="J201" s="655">
        <f>'Date masura OD'!$AK$5</f>
        <v>45748</v>
      </c>
      <c r="K201" s="656"/>
      <c r="L201" s="657"/>
      <c r="M201" s="720" t="s">
        <v>446</v>
      </c>
      <c r="N201" s="648"/>
      <c r="O201" s="648">
        <f>O198</f>
        <v>1</v>
      </c>
      <c r="P201" s="648"/>
      <c r="Q201" s="648"/>
      <c r="R201" s="647" t="str">
        <f>VLOOKUP(A201,Regularizare!$D:$AX,23,FALSE)&amp;" ("&amp;VLOOKUP(A201,Regularizare!$D:$AX,24,FALSE)&amp;")"</f>
        <v>2599463 (citit)</v>
      </c>
      <c r="S201" s="647"/>
      <c r="T201" s="647"/>
      <c r="U201" s="647" t="str">
        <f>VLOOKUP(A201,Regularizare!$D:$AX,25,FALSE)&amp;" ("&amp;VLOOKUP(A201,Regularizare!$D:$AX,26,FALSE)&amp;")"</f>
        <v>2826733 (citit)</v>
      </c>
      <c r="V201" s="647"/>
      <c r="W201" s="647"/>
      <c r="X201" s="647" t="str">
        <f>VLOOKUP(A201,Regularizare!$D:$AX,37,FALSE)&amp;" ("&amp;VLOOKUP(A201,Regularizare!$D:$AX,26,FALSE)&amp;")"</f>
        <v>227270 (citit)</v>
      </c>
      <c r="Y201" s="647"/>
      <c r="Z201" s="647"/>
      <c r="AA201" s="647">
        <f>VLOOKUP(A201,Regularizare!$D:$AX,37,FALSE)</f>
        <v>227270</v>
      </c>
      <c r="AB201" s="647"/>
      <c r="AC201" s="647"/>
      <c r="AD201" s="647" t="s">
        <v>69</v>
      </c>
      <c r="AE201" s="647"/>
      <c r="AF201" s="647">
        <f>AA201</f>
        <v>227270</v>
      </c>
      <c r="AG201" s="647"/>
      <c r="AH201" s="647"/>
      <c r="AI201" s="647" t="str">
        <f>AI198</f>
        <v>-</v>
      </c>
      <c r="AJ201" s="647"/>
      <c r="AK201" s="647" t="str">
        <f>AK198</f>
        <v>-</v>
      </c>
      <c r="AL201" s="647"/>
      <c r="AM201" s="647"/>
    </row>
    <row r="202" spans="1:39" ht="8.4499999999999993" customHeight="1">
      <c r="A202" s="727"/>
      <c r="B202" s="729"/>
      <c r="C202" s="729"/>
      <c r="D202" s="729"/>
      <c r="E202" s="729"/>
      <c r="F202" s="728"/>
      <c r="G202" s="648"/>
      <c r="H202" s="648"/>
      <c r="I202" s="673"/>
      <c r="J202" s="717" t="s">
        <v>69</v>
      </c>
      <c r="K202" s="718"/>
      <c r="L202" s="719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7"/>
      <c r="B203" s="688"/>
      <c r="C203" s="688"/>
      <c r="D203" s="688"/>
      <c r="E203" s="688"/>
      <c r="F203" s="689"/>
      <c r="G203" s="648"/>
      <c r="H203" s="648"/>
      <c r="I203" s="673"/>
      <c r="J203" s="714">
        <f>'Date masura OD'!$AL$5</f>
        <v>45777</v>
      </c>
      <c r="K203" s="715"/>
      <c r="L203" s="716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4" t="str">
        <f>A201</f>
        <v>V.21G90290210104560/4</v>
      </c>
      <c r="B204" s="685"/>
      <c r="C204" s="685"/>
      <c r="D204" s="685"/>
      <c r="E204" s="685"/>
      <c r="F204" s="686"/>
      <c r="G204" s="648" t="s">
        <v>696</v>
      </c>
      <c r="H204" s="648"/>
      <c r="I204" s="648"/>
      <c r="J204" s="655">
        <f t="shared" ref="J204:J209" si="11">J201</f>
        <v>45748</v>
      </c>
      <c r="K204" s="656"/>
      <c r="L204" s="657"/>
      <c r="M204" s="648" t="s">
        <v>720</v>
      </c>
      <c r="N204" s="648"/>
      <c r="O204" s="648">
        <f>O201</f>
        <v>1</v>
      </c>
      <c r="P204" s="648"/>
      <c r="Q204" s="648"/>
      <c r="R204" s="647" t="str">
        <f>VLOOKUP(A204,Regularizare!$D:$AX,29,FALSE)&amp;" ("&amp;VLOOKUP(A204,Regularizare!$D:$AX,30,FALSE)&amp;")"</f>
        <v>103378 (citit)</v>
      </c>
      <c r="S204" s="647"/>
      <c r="T204" s="647"/>
      <c r="U204" s="647" t="str">
        <f>VLOOKUP(A204,Regularizare!$D:$AX,31,FALSE)&amp;" ("&amp;VLOOKUP(A204,Regularizare!$D:$AX,32,FALSE)&amp;")"</f>
        <v>103378 (citit)</v>
      </c>
      <c r="V204" s="647"/>
      <c r="W204" s="647"/>
      <c r="X204" s="647" t="str">
        <f>VLOOKUP(A204,Regularizare!$D:$AX,39,FALSE)&amp;" ("&amp;VLOOKUP(A204,Regularizare!$D:$AX,32,FALSE)&amp;")"</f>
        <v>0 (citit)</v>
      </c>
      <c r="Y204" s="647"/>
      <c r="Z204" s="647"/>
      <c r="AA204" s="647">
        <f>VLOOKUP(A204,Regularizare!$D:$AX,44,FALSE)+VLOOKUP(A204,Regularizare!$D:$AX,45,FALSE)</f>
        <v>0</v>
      </c>
      <c r="AB204" s="647"/>
      <c r="AC204" s="647"/>
      <c r="AD204" s="647" t="s">
        <v>69</v>
      </c>
      <c r="AE204" s="647"/>
      <c r="AF204" s="647">
        <f>AA204</f>
        <v>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8.4499999999999993" customHeight="1">
      <c r="A205" s="727"/>
      <c r="B205" s="729"/>
      <c r="C205" s="729"/>
      <c r="D205" s="729"/>
      <c r="E205" s="729"/>
      <c r="F205" s="728"/>
      <c r="G205" s="648"/>
      <c r="H205" s="648"/>
      <c r="I205" s="648"/>
      <c r="J205" s="717" t="str">
        <f t="shared" si="11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7"/>
      <c r="B206" s="688"/>
      <c r="C206" s="688"/>
      <c r="D206" s="688"/>
      <c r="E206" s="688"/>
      <c r="F206" s="689"/>
      <c r="G206" s="648"/>
      <c r="H206" s="648"/>
      <c r="I206" s="648"/>
      <c r="J206" s="714">
        <f t="shared" si="11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4" t="str">
        <f>A204</f>
        <v>V.21G90290210104560/4</v>
      </c>
      <c r="B207" s="685"/>
      <c r="C207" s="685"/>
      <c r="D207" s="685"/>
      <c r="E207" s="685"/>
      <c r="F207" s="686"/>
      <c r="G207" s="648" t="s">
        <v>731</v>
      </c>
      <c r="H207" s="648"/>
      <c r="I207" s="648"/>
      <c r="J207" s="655">
        <f t="shared" si="11"/>
        <v>45748</v>
      </c>
      <c r="K207" s="656"/>
      <c r="L207" s="657"/>
      <c r="M207" s="648" t="s">
        <v>720</v>
      </c>
      <c r="N207" s="648"/>
      <c r="O207" s="648">
        <f>O204</f>
        <v>1</v>
      </c>
      <c r="P207" s="648"/>
      <c r="Q207" s="648"/>
      <c r="R207" s="647" t="str">
        <f>VLOOKUP(A207,Regularizare!$D:$AX,33,FALSE)&amp;" ("&amp;VLOOKUP(A207,Regularizare!$D:$AX,34,FALSE)&amp;")"</f>
        <v>2040 (citit)</v>
      </c>
      <c r="S207" s="647"/>
      <c r="T207" s="647"/>
      <c r="U207" s="647" t="str">
        <f>VLOOKUP(A207,Regularizare!$D:$AX,35,FALSE)&amp;" ("&amp;VLOOKUP(A207,Regularizare!$D:$AX,36,FALSE)&amp;")"</f>
        <v>2040 (citit)</v>
      </c>
      <c r="V207" s="647"/>
      <c r="W207" s="647"/>
      <c r="X207" s="647" t="str">
        <f>VLOOKUP(A207,Regularizare!$D:$AX,40,FALSE)&amp;" ("&amp;VLOOKUP(A207,Regularizare!$D:$AX,36,FALSE)&amp;")"</f>
        <v>0 (citit)</v>
      </c>
      <c r="Y207" s="647"/>
      <c r="Z207" s="647"/>
      <c r="AA207" s="647">
        <f>VLOOKUP(A207,Regularizare!$D:$AX,46,FALSE)+VLOOKUP(A207,Regularizare!$D:$AX,47,FALSE)</f>
        <v>0</v>
      </c>
      <c r="AB207" s="647"/>
      <c r="AC207" s="647"/>
      <c r="AD207" s="647" t="s">
        <v>69</v>
      </c>
      <c r="AE207" s="647"/>
      <c r="AF207" s="647">
        <f>AA207</f>
        <v>0</v>
      </c>
      <c r="AG207" s="647"/>
      <c r="AH207" s="647"/>
      <c r="AI207" s="647" t="str">
        <f>AI204</f>
        <v>-</v>
      </c>
      <c r="AJ207" s="647"/>
      <c r="AK207" s="647" t="str">
        <f>AK204</f>
        <v>-</v>
      </c>
      <c r="AL207" s="647"/>
      <c r="AM207" s="647"/>
    </row>
    <row r="208" spans="1:39" ht="8.4499999999999993" customHeight="1">
      <c r="A208" s="727"/>
      <c r="B208" s="729"/>
      <c r="C208" s="729"/>
      <c r="D208" s="729"/>
      <c r="E208" s="729"/>
      <c r="F208" s="728"/>
      <c r="G208" s="648"/>
      <c r="H208" s="648"/>
      <c r="I208" s="648"/>
      <c r="J208" s="717" t="str">
        <f t="shared" si="11"/>
        <v>-</v>
      </c>
      <c r="K208" s="718"/>
      <c r="L208" s="719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7"/>
      <c r="B209" s="688"/>
      <c r="C209" s="688"/>
      <c r="D209" s="688"/>
      <c r="E209" s="688"/>
      <c r="F209" s="689"/>
      <c r="G209" s="648"/>
      <c r="H209" s="648"/>
      <c r="I209" s="648"/>
      <c r="J209" s="714">
        <f t="shared" si="11"/>
        <v>45777</v>
      </c>
      <c r="K209" s="715"/>
      <c r="L209" s="716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4" t="str">
        <f>A207</f>
        <v>V.21G90290210104560/4</v>
      </c>
      <c r="B210" s="685"/>
      <c r="C210" s="685"/>
      <c r="D210" s="685"/>
      <c r="E210" s="685"/>
      <c r="F210" s="686"/>
      <c r="G210" s="648" t="s">
        <v>730</v>
      </c>
      <c r="H210" s="648"/>
      <c r="I210" s="673"/>
      <c r="J210" s="655">
        <f>'Date masura OD'!$I$5</f>
        <v>45778</v>
      </c>
      <c r="K210" s="656"/>
      <c r="L210" s="657"/>
      <c r="M210" s="720" t="s">
        <v>446</v>
      </c>
      <c r="N210" s="648"/>
      <c r="O210" s="648">
        <f>O207</f>
        <v>1</v>
      </c>
      <c r="P210" s="648"/>
      <c r="Q210" s="648"/>
      <c r="R210" s="647" t="str">
        <f>U201</f>
        <v>2826733 (citit)</v>
      </c>
      <c r="S210" s="647"/>
      <c r="T210" s="647"/>
      <c r="U210" s="647" t="str">
        <f>VLOOKUP(A210,'Incrementare indexe'!$D:$M,4,FALSE)&amp;" (estimat)"</f>
        <v>3084667 (estimat)</v>
      </c>
      <c r="V210" s="647"/>
      <c r="W210" s="647"/>
      <c r="X210" s="647" t="str">
        <f>VLOOKUP(A210,'Incrementare indexe'!$D:$Q,11,FALSE)&amp;" (estimat)"</f>
        <v>257934 (estimat)</v>
      </c>
      <c r="Y210" s="647"/>
      <c r="Z210" s="647"/>
      <c r="AA210" s="647" t="s">
        <v>69</v>
      </c>
      <c r="AB210" s="647"/>
      <c r="AC210" s="647"/>
      <c r="AD210" s="647" t="s">
        <v>69</v>
      </c>
      <c r="AE210" s="647"/>
      <c r="AF210" s="647">
        <f>VLOOKUP(A210,'Incrementare indexe'!$D:$Q,11,FALSE)</f>
        <v>257934</v>
      </c>
      <c r="AG210" s="647"/>
      <c r="AH210" s="647"/>
      <c r="AI210" s="647">
        <f>J212-J210+1</f>
        <v>31</v>
      </c>
      <c r="AJ210" s="647"/>
      <c r="AK210" s="647">
        <f>ROUND(AF210/AI210,2)</f>
        <v>8320.4500000000007</v>
      </c>
      <c r="AL210" s="647"/>
      <c r="AM210" s="647"/>
    </row>
    <row r="211" spans="1:39" ht="8.4499999999999993" customHeight="1">
      <c r="A211" s="727"/>
      <c r="B211" s="729"/>
      <c r="C211" s="729"/>
      <c r="D211" s="729"/>
      <c r="E211" s="729"/>
      <c r="F211" s="728"/>
      <c r="G211" s="648"/>
      <c r="H211" s="648"/>
      <c r="I211" s="673"/>
      <c r="J211" s="717" t="s">
        <v>69</v>
      </c>
      <c r="K211" s="718"/>
      <c r="L211" s="719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7"/>
      <c r="B212" s="688"/>
      <c r="C212" s="688"/>
      <c r="D212" s="688"/>
      <c r="E212" s="688"/>
      <c r="F212" s="689"/>
      <c r="G212" s="648"/>
      <c r="H212" s="648"/>
      <c r="I212" s="673"/>
      <c r="J212" s="714">
        <f>'Date masura OD'!$J$5</f>
        <v>45808</v>
      </c>
      <c r="K212" s="715"/>
      <c r="L212" s="716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4" t="str">
        <f>A210</f>
        <v>V.21G90290210104560/4</v>
      </c>
      <c r="B213" s="685"/>
      <c r="C213" s="685"/>
      <c r="D213" s="685"/>
      <c r="E213" s="685"/>
      <c r="F213" s="686"/>
      <c r="G213" s="648" t="s">
        <v>696</v>
      </c>
      <c r="H213" s="648"/>
      <c r="I213" s="648"/>
      <c r="J213" s="655">
        <f t="shared" ref="J213:J218" si="12">J210</f>
        <v>45778</v>
      </c>
      <c r="K213" s="656"/>
      <c r="L213" s="657"/>
      <c r="M213" s="648" t="s">
        <v>720</v>
      </c>
      <c r="N213" s="648"/>
      <c r="O213" s="648">
        <f>O210</f>
        <v>1</v>
      </c>
      <c r="P213" s="648"/>
      <c r="Q213" s="648"/>
      <c r="R213" s="647" t="str">
        <f>U204</f>
        <v>103378 (citit)</v>
      </c>
      <c r="S213" s="647"/>
      <c r="T213" s="647"/>
      <c r="U213" s="647" t="str">
        <f>VLOOKUP(A213,'Incrementare indexe'!$D:$M,8,FALSE)&amp;" (estimat)"</f>
        <v>103378 (estimat)</v>
      </c>
      <c r="V213" s="647"/>
      <c r="W213" s="647"/>
      <c r="X213" s="647" t="str">
        <f>VLOOKUP(A213,'Incrementare indexe'!$D:$Q,12,FALSE)&amp;" (estimat)"</f>
        <v>0 (estimat)</v>
      </c>
      <c r="Y213" s="647"/>
      <c r="Z213" s="647"/>
      <c r="AA213" s="647" t="s">
        <v>69</v>
      </c>
      <c r="AB213" s="647"/>
      <c r="AC213" s="647"/>
      <c r="AD213" s="647" t="s">
        <v>69</v>
      </c>
      <c r="AE213" s="647"/>
      <c r="AF213" s="647">
        <f>VLOOKUP(A213,'Incrementare indexe'!$D:$Q,12,FALSE)</f>
        <v>0</v>
      </c>
      <c r="AG213" s="647"/>
      <c r="AH213" s="647"/>
      <c r="AI213" s="647">
        <f>AI210</f>
        <v>31</v>
      </c>
      <c r="AJ213" s="647"/>
      <c r="AK213" s="647">
        <f>ROUND(AF213/AI213,2)</f>
        <v>0</v>
      </c>
      <c r="AL213" s="647"/>
      <c r="AM213" s="647"/>
    </row>
    <row r="214" spans="1:39" ht="8.4499999999999993" customHeight="1">
      <c r="A214" s="727"/>
      <c r="B214" s="729"/>
      <c r="C214" s="729"/>
      <c r="D214" s="729"/>
      <c r="E214" s="729"/>
      <c r="F214" s="728"/>
      <c r="G214" s="648"/>
      <c r="H214" s="648"/>
      <c r="I214" s="648"/>
      <c r="J214" s="717" t="str">
        <f t="shared" si="12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7"/>
      <c r="B215" s="688"/>
      <c r="C215" s="688"/>
      <c r="D215" s="688"/>
      <c r="E215" s="688"/>
      <c r="F215" s="689"/>
      <c r="G215" s="648"/>
      <c r="H215" s="648"/>
      <c r="I215" s="648"/>
      <c r="J215" s="714">
        <f t="shared" si="12"/>
        <v>45808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4" t="str">
        <f>A213</f>
        <v>V.21G90290210104560/4</v>
      </c>
      <c r="B216" s="685"/>
      <c r="C216" s="685"/>
      <c r="D216" s="685"/>
      <c r="E216" s="685"/>
      <c r="F216" s="686"/>
      <c r="G216" s="648" t="s">
        <v>731</v>
      </c>
      <c r="H216" s="648"/>
      <c r="I216" s="648"/>
      <c r="J216" s="655">
        <f t="shared" si="12"/>
        <v>45778</v>
      </c>
      <c r="K216" s="656"/>
      <c r="L216" s="657"/>
      <c r="M216" s="648" t="s">
        <v>720</v>
      </c>
      <c r="N216" s="648"/>
      <c r="O216" s="648">
        <f>O213</f>
        <v>1</v>
      </c>
      <c r="P216" s="648"/>
      <c r="Q216" s="648"/>
      <c r="R216" s="647" t="str">
        <f>U207</f>
        <v>2040 (citit)</v>
      </c>
      <c r="S216" s="647"/>
      <c r="T216" s="647"/>
      <c r="U216" s="647" t="str">
        <f>VLOOKUP(A216,'Incrementare indexe'!$D:$M,10,FALSE)&amp;" (estimat)"</f>
        <v>2040 (estimat)</v>
      </c>
      <c r="V216" s="647"/>
      <c r="W216" s="647"/>
      <c r="X216" s="647" t="str">
        <f>VLOOKUP(A216,'Incrementare indexe'!$D:$Q,13,FALSE)&amp;" (estimat)"</f>
        <v>0 (estimat)</v>
      </c>
      <c r="Y216" s="647"/>
      <c r="Z216" s="647"/>
      <c r="AA216" s="647" t="s">
        <v>69</v>
      </c>
      <c r="AB216" s="647"/>
      <c r="AC216" s="647"/>
      <c r="AD216" s="647" t="s">
        <v>69</v>
      </c>
      <c r="AE216" s="647"/>
      <c r="AF216" s="647">
        <f>VLOOKUP(A216,'Incrementare indexe'!$D:$Q,13,FALSE)</f>
        <v>0</v>
      </c>
      <c r="AG216" s="647"/>
      <c r="AH216" s="647"/>
      <c r="AI216" s="647">
        <f>AI213</f>
        <v>31</v>
      </c>
      <c r="AJ216" s="647"/>
      <c r="AK216" s="647">
        <f>ROUND(AF216/AI216,2)</f>
        <v>0</v>
      </c>
      <c r="AL216" s="647"/>
      <c r="AM216" s="647"/>
    </row>
    <row r="217" spans="1:39" ht="8.4499999999999993" customHeight="1">
      <c r="A217" s="727"/>
      <c r="B217" s="729"/>
      <c r="C217" s="729"/>
      <c r="D217" s="729"/>
      <c r="E217" s="729"/>
      <c r="F217" s="728"/>
      <c r="G217" s="648"/>
      <c r="H217" s="648"/>
      <c r="I217" s="648"/>
      <c r="J217" s="717" t="str">
        <f t="shared" si="12"/>
        <v>-</v>
      </c>
      <c r="K217" s="718"/>
      <c r="L217" s="719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7"/>
      <c r="B218" s="688"/>
      <c r="C218" s="688"/>
      <c r="D218" s="688"/>
      <c r="E218" s="688"/>
      <c r="F218" s="689"/>
      <c r="G218" s="648"/>
      <c r="H218" s="648"/>
      <c r="I218" s="648"/>
      <c r="J218" s="714">
        <f t="shared" si="12"/>
        <v>45808</v>
      </c>
      <c r="K218" s="715"/>
      <c r="L218" s="716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/>
    <row r="220" spans="1:39" ht="14.1" customHeight="1"/>
    <row r="221" spans="1:39" ht="14.1" customHeight="1"/>
    <row r="222" spans="1:39" ht="14.1" customHeight="1"/>
    <row r="223" spans="1:39" ht="14.1" customHeight="1"/>
    <row r="224" spans="1:39" ht="14.1" customHeight="1"/>
    <row r="225" spans="1:39" ht="14.1" customHeight="1"/>
    <row r="226" spans="1:39" ht="14.1" customHeight="1"/>
    <row r="227" spans="1:39" ht="14.1" customHeight="1"/>
    <row r="228" spans="1:39" ht="14.1" customHeight="1"/>
    <row r="229" spans="1:39" ht="14.1" customHeight="1"/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>
      <c r="A239" s="649" t="s">
        <v>748</v>
      </c>
      <c r="B239" s="649"/>
      <c r="C239" s="649"/>
      <c r="D239" s="649"/>
      <c r="E239" s="649"/>
      <c r="F239" s="649"/>
      <c r="G239" s="649"/>
      <c r="H239" s="649"/>
      <c r="I239" s="649"/>
      <c r="J239" s="649"/>
      <c r="K239" s="649"/>
      <c r="L239" s="649"/>
      <c r="M239" s="650" t="str">
        <f>VLOOKUP(AI240,'Contorizare in SDI'!$E:$I,4,FALSE)</f>
        <v>RO001E110047438/5</v>
      </c>
      <c r="N239" s="650"/>
      <c r="O239" s="650"/>
      <c r="P239" s="650"/>
      <c r="Q239" s="650"/>
      <c r="R239" s="650"/>
      <c r="S239" s="650"/>
      <c r="T239" s="650"/>
      <c r="U239" s="650"/>
      <c r="V239" s="650"/>
      <c r="W239" s="650"/>
      <c r="X239" s="650"/>
      <c r="Y239" s="650"/>
      <c r="Z239" s="650"/>
      <c r="AA239" s="650"/>
      <c r="AB239" s="650"/>
      <c r="AC239" s="650"/>
      <c r="AD239" s="650"/>
      <c r="AE239" s="650"/>
      <c r="AF239" s="650"/>
      <c r="AG239" s="650"/>
      <c r="AH239" s="650"/>
      <c r="AI239" s="650" t="s">
        <v>695</v>
      </c>
      <c r="AJ239" s="650"/>
      <c r="AK239" s="650"/>
      <c r="AL239" s="650"/>
      <c r="AM239" s="650"/>
    </row>
    <row r="240" spans="1:39">
      <c r="A240" s="649" t="s">
        <v>746</v>
      </c>
      <c r="B240" s="649"/>
      <c r="C240" s="649"/>
      <c r="D240" s="649"/>
      <c r="E240" s="649"/>
      <c r="F240" s="649"/>
      <c r="G240" s="649"/>
      <c r="H240" s="649"/>
      <c r="I240" s="649"/>
      <c r="J240" s="649"/>
      <c r="K240" s="649"/>
      <c r="L240" s="649"/>
      <c r="M240" s="650" t="str">
        <f>VLOOKUP(AI240,'Inchidere contur'!$G:$U,15,FALSE)</f>
        <v>JT_SDI</v>
      </c>
      <c r="N240" s="650"/>
      <c r="O240" s="650"/>
      <c r="P240" s="650"/>
      <c r="Q240" s="650"/>
      <c r="R240" s="650"/>
      <c r="S240" s="650"/>
      <c r="T240" s="650"/>
      <c r="U240" s="650"/>
      <c r="V240" s="650"/>
      <c r="W240" s="650"/>
      <c r="X240" s="650"/>
      <c r="Y240" s="650"/>
      <c r="Z240" s="650"/>
      <c r="AA240" s="650"/>
      <c r="AB240" s="650"/>
      <c r="AC240" s="650"/>
      <c r="AD240" s="650"/>
      <c r="AE240" s="650"/>
      <c r="AF240" s="650"/>
      <c r="AG240" s="650"/>
      <c r="AH240" s="650"/>
      <c r="AI240" s="619" t="str">
        <f>_xlfn.CONCAT(AA31,".",5)</f>
        <v>RMEG_1.5</v>
      </c>
      <c r="AJ240" s="619"/>
      <c r="AK240" s="619"/>
      <c r="AL240" s="619"/>
      <c r="AM240" s="619"/>
    </row>
    <row r="241" spans="1:39">
      <c r="A241" s="649" t="s">
        <v>747</v>
      </c>
      <c r="B241" s="649"/>
      <c r="C241" s="649"/>
      <c r="D241" s="649"/>
      <c r="E241" s="649"/>
      <c r="F241" s="649"/>
      <c r="G241" s="649"/>
      <c r="H241" s="649"/>
      <c r="I241" s="649"/>
      <c r="J241" s="649"/>
      <c r="K241" s="649"/>
      <c r="L241" s="649"/>
      <c r="M241" s="650" t="str">
        <f>IF(LEFT(M240,2)="JT","0.4kV",IF(LEFT(M240,2)="MT","20kV","-"))</f>
        <v>0.4kV</v>
      </c>
      <c r="N241" s="650"/>
      <c r="O241" s="650"/>
      <c r="P241" s="650"/>
      <c r="Q241" s="650"/>
      <c r="R241" s="650"/>
      <c r="S241" s="650"/>
      <c r="T241" s="650"/>
      <c r="U241" s="650"/>
      <c r="V241" s="650"/>
      <c r="W241" s="650"/>
      <c r="X241" s="650"/>
      <c r="Y241" s="650"/>
      <c r="Z241" s="650"/>
      <c r="AA241" s="650"/>
      <c r="AB241" s="650"/>
      <c r="AC241" s="650"/>
      <c r="AD241" s="650"/>
      <c r="AE241" s="650"/>
      <c r="AF241" s="650"/>
      <c r="AG241" s="650"/>
      <c r="AH241" s="650"/>
      <c r="AI241" s="619"/>
      <c r="AJ241" s="619"/>
      <c r="AK241" s="619"/>
      <c r="AL241" s="619"/>
      <c r="AM241" s="619"/>
    </row>
    <row r="242" spans="1:39" ht="15.95" customHeight="1">
      <c r="A242" s="648" t="s">
        <v>697</v>
      </c>
      <c r="B242" s="648"/>
      <c r="C242" s="648"/>
      <c r="D242" s="648"/>
      <c r="E242" s="648"/>
      <c r="F242" s="648"/>
      <c r="G242" s="647" t="s">
        <v>713</v>
      </c>
      <c r="H242" s="647"/>
      <c r="I242" s="647"/>
      <c r="J242" s="647" t="s">
        <v>714</v>
      </c>
      <c r="K242" s="647"/>
      <c r="L242" s="647"/>
      <c r="M242" s="648" t="s">
        <v>519</v>
      </c>
      <c r="N242" s="648"/>
      <c r="O242" s="648" t="s">
        <v>715</v>
      </c>
      <c r="P242" s="648"/>
      <c r="Q242" s="648"/>
      <c r="R242" s="647" t="s">
        <v>732</v>
      </c>
      <c r="S242" s="647"/>
      <c r="T242" s="647"/>
      <c r="U242" s="647" t="s">
        <v>734</v>
      </c>
      <c r="V242" s="647"/>
      <c r="W242" s="647"/>
      <c r="X242" s="647" t="s">
        <v>1085</v>
      </c>
      <c r="Y242" s="647"/>
      <c r="Z242" s="647"/>
      <c r="AA242" s="647" t="s">
        <v>1086</v>
      </c>
      <c r="AB242" s="647"/>
      <c r="AC242" s="647"/>
      <c r="AD242" s="647" t="s">
        <v>717</v>
      </c>
      <c r="AE242" s="647"/>
      <c r="AF242" s="647" t="s">
        <v>718</v>
      </c>
      <c r="AG242" s="647"/>
      <c r="AH242" s="647"/>
      <c r="AI242" s="647" t="s">
        <v>719</v>
      </c>
      <c r="AJ242" s="647"/>
      <c r="AK242" s="647" t="s">
        <v>733</v>
      </c>
      <c r="AL242" s="647"/>
      <c r="AM242" s="647"/>
    </row>
    <row r="243" spans="1:39">
      <c r="A243" s="648"/>
      <c r="B243" s="648"/>
      <c r="C243" s="648"/>
      <c r="D243" s="648"/>
      <c r="E243" s="648"/>
      <c r="F243" s="648"/>
      <c r="G243" s="647"/>
      <c r="H243" s="647"/>
      <c r="I243" s="647"/>
      <c r="J243" s="647"/>
      <c r="K243" s="647"/>
      <c r="L243" s="647"/>
      <c r="M243" s="648"/>
      <c r="N243" s="648"/>
      <c r="O243" s="648"/>
      <c r="P243" s="648"/>
      <c r="Q243" s="648"/>
      <c r="R243" s="647"/>
      <c r="S243" s="647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647"/>
      <c r="AL243" s="647"/>
      <c r="AM243" s="647"/>
    </row>
    <row r="244" spans="1:39">
      <c r="A244" s="648"/>
      <c r="B244" s="648"/>
      <c r="C244" s="648"/>
      <c r="D244" s="648"/>
      <c r="E244" s="648"/>
      <c r="F244" s="648"/>
      <c r="G244" s="647"/>
      <c r="H244" s="647"/>
      <c r="I244" s="647"/>
      <c r="J244" s="713"/>
      <c r="K244" s="713"/>
      <c r="L244" s="713"/>
      <c r="M244" s="648"/>
      <c r="N244" s="648"/>
      <c r="O244" s="648"/>
      <c r="P244" s="648"/>
      <c r="Q244" s="648"/>
      <c r="R244" s="647"/>
      <c r="S244" s="647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647"/>
      <c r="AL244" s="647"/>
      <c r="AM244" s="647"/>
    </row>
    <row r="245" spans="1:39" ht="14.1" customHeight="1">
      <c r="A245" s="684" t="str">
        <f>VLOOKUP(AI240,'Contorizare in SDI'!$E:$I,5,FALSE)</f>
        <v>V.21G90290210104560/5</v>
      </c>
      <c r="B245" s="685"/>
      <c r="C245" s="685"/>
      <c r="D245" s="685"/>
      <c r="E245" s="685"/>
      <c r="F245" s="686"/>
      <c r="G245" s="648" t="s">
        <v>730</v>
      </c>
      <c r="H245" s="648"/>
      <c r="I245" s="673"/>
      <c r="J245" s="655">
        <f>'Date masura OD'!$AK$5</f>
        <v>45748</v>
      </c>
      <c r="K245" s="656"/>
      <c r="L245" s="657"/>
      <c r="M245" s="720" t="s">
        <v>446</v>
      </c>
      <c r="N245" s="648"/>
      <c r="O245" s="648">
        <f>VLOOKUP(AI240,'Incrementare indexe'!$B:$T,4,FALSE)</f>
        <v>1</v>
      </c>
      <c r="P245" s="648"/>
      <c r="Q245" s="648"/>
      <c r="R245" s="647" t="str">
        <f>VLOOKUP(A245,Regularizare!$D:$YN,3,FALSE)&amp;" ("&amp;VLOOKUP(A245,Regularizare!$D:$Y,11,FALSE)&amp;")"</f>
        <v>2572780 (citit)</v>
      </c>
      <c r="S245" s="647"/>
      <c r="T245" s="647"/>
      <c r="U245" s="647" t="str">
        <f>VLOOKUP(A245,Regularizare!$D:$U,4,FALSE)&amp;" ("&amp;VLOOKUP(A245,Regularizare!$D:$U,12,FALSE)&amp;")"</f>
        <v>2785644 (estimat)</v>
      </c>
      <c r="V245" s="647"/>
      <c r="W245" s="647"/>
      <c r="X245" s="647" t="str">
        <f>VLOOKUP(A245,Regularizare!$D:$Y,19,FALSE)&amp;" ("&amp;VLOOKUP(A245,Regularizare!$D:$U,12,FALSE)&amp;")"</f>
        <v>212864 (estimat)</v>
      </c>
      <c r="Y245" s="647"/>
      <c r="Z245" s="647"/>
      <c r="AA245" s="647">
        <f>(-1)*VLOOKUP(A245,Regularizare!$D:$Y,19,FALSE)</f>
        <v>-212864</v>
      </c>
      <c r="AB245" s="647"/>
      <c r="AC245" s="647"/>
      <c r="AD245" s="647" t="s">
        <v>69</v>
      </c>
      <c r="AE245" s="647"/>
      <c r="AF245" s="647">
        <f>AA245</f>
        <v>-212864</v>
      </c>
      <c r="AG245" s="647"/>
      <c r="AH245" s="647"/>
      <c r="AI245" s="647" t="s">
        <v>69</v>
      </c>
      <c r="AJ245" s="647"/>
      <c r="AK245" s="647" t="s">
        <v>69</v>
      </c>
      <c r="AL245" s="647"/>
      <c r="AM245" s="647"/>
    </row>
    <row r="246" spans="1:39" ht="9.75" customHeight="1">
      <c r="A246" s="727"/>
      <c r="B246" s="729"/>
      <c r="C246" s="729"/>
      <c r="D246" s="729"/>
      <c r="E246" s="729"/>
      <c r="F246" s="728"/>
      <c r="G246" s="648"/>
      <c r="H246" s="648"/>
      <c r="I246" s="673"/>
      <c r="J246" s="717" t="s">
        <v>69</v>
      </c>
      <c r="K246" s="718"/>
      <c r="L246" s="719"/>
      <c r="M246" s="720"/>
      <c r="N246" s="648"/>
      <c r="O246" s="648"/>
      <c r="P246" s="648"/>
      <c r="Q246" s="648"/>
      <c r="R246" s="647"/>
      <c r="S246" s="647"/>
      <c r="T246" s="647"/>
      <c r="U246" s="647"/>
      <c r="V246" s="647"/>
      <c r="W246" s="647"/>
      <c r="X246" s="647"/>
      <c r="Y246" s="647"/>
      <c r="Z246" s="647"/>
      <c r="AA246" s="647"/>
      <c r="AB246" s="647"/>
      <c r="AC246" s="647"/>
      <c r="AD246" s="647"/>
      <c r="AE246" s="647"/>
      <c r="AF246" s="647"/>
      <c r="AG246" s="647"/>
      <c r="AH246" s="647"/>
      <c r="AI246" s="647"/>
      <c r="AJ246" s="647"/>
      <c r="AK246" s="647"/>
      <c r="AL246" s="647"/>
      <c r="AM246" s="647"/>
    </row>
    <row r="247" spans="1:39" ht="14.1" customHeight="1">
      <c r="A247" s="687"/>
      <c r="B247" s="688"/>
      <c r="C247" s="688"/>
      <c r="D247" s="688"/>
      <c r="E247" s="688"/>
      <c r="F247" s="689"/>
      <c r="G247" s="648"/>
      <c r="H247" s="648"/>
      <c r="I247" s="673"/>
      <c r="J247" s="714">
        <f>'Date masura OD'!$AL$5</f>
        <v>45777</v>
      </c>
      <c r="K247" s="715"/>
      <c r="L247" s="716"/>
      <c r="M247" s="720"/>
      <c r="N247" s="648"/>
      <c r="O247" s="648"/>
      <c r="P247" s="648"/>
      <c r="Q247" s="648"/>
      <c r="R247" s="647"/>
      <c r="S247" s="647"/>
      <c r="T247" s="647"/>
      <c r="U247" s="647"/>
      <c r="V247" s="647"/>
      <c r="W247" s="647"/>
      <c r="X247" s="647"/>
      <c r="Y247" s="647"/>
      <c r="Z247" s="647"/>
      <c r="AA247" s="647"/>
      <c r="AB247" s="647"/>
      <c r="AC247" s="647"/>
      <c r="AD247" s="647"/>
      <c r="AE247" s="647"/>
      <c r="AF247" s="647"/>
      <c r="AG247" s="647"/>
      <c r="AH247" s="647"/>
      <c r="AI247" s="647"/>
      <c r="AJ247" s="647"/>
      <c r="AK247" s="647"/>
      <c r="AL247" s="647"/>
      <c r="AM247" s="647"/>
    </row>
    <row r="248" spans="1:39" ht="14.1" customHeight="1">
      <c r="A248" s="684" t="str">
        <f>A245</f>
        <v>V.21G90290210104560/5</v>
      </c>
      <c r="B248" s="685"/>
      <c r="C248" s="685"/>
      <c r="D248" s="685"/>
      <c r="E248" s="685"/>
      <c r="F248" s="686"/>
      <c r="G248" s="648" t="s">
        <v>696</v>
      </c>
      <c r="H248" s="648"/>
      <c r="I248" s="648"/>
      <c r="J248" s="655">
        <f t="shared" ref="J248:J253" si="13">J245</f>
        <v>45748</v>
      </c>
      <c r="K248" s="656"/>
      <c r="L248" s="657"/>
      <c r="M248" s="648" t="s">
        <v>720</v>
      </c>
      <c r="N248" s="648"/>
      <c r="O248" s="648">
        <f>O245</f>
        <v>1</v>
      </c>
      <c r="P248" s="648"/>
      <c r="Q248" s="648"/>
      <c r="R248" s="647" t="str">
        <f>VLOOKUP(A248,Regularizare!$D:$U,7,FALSE)&amp;" ("&amp;VLOOKUP(A248,Regularizare!$D:$U,15,FALSE)&amp;")"</f>
        <v>103426 (citit)</v>
      </c>
      <c r="S248" s="647"/>
      <c r="T248" s="647"/>
      <c r="U248" s="647" t="str">
        <f>VLOOKUP(A248,Regularizare!$D:$U,8,FALSE)&amp;" ("&amp;VLOOKUP(A248,Regularizare!$D:$U,16,FALSE)&amp;")"</f>
        <v>103426 (estimat)</v>
      </c>
      <c r="V248" s="647"/>
      <c r="W248" s="647"/>
      <c r="X248" s="647" t="str">
        <f>_xlfn.CONCAT(VLOOKUP(A248,Regularizare!$D:$U,8,FALSE)-VLOOKUP(A248,Regularizare!$D:$U,7,FALSE)," (",VLOOKUP(A248,Regularizare!$D:$U,16,FALSE),")")</f>
        <v>0 (estimat)</v>
      </c>
      <c r="Y248" s="647"/>
      <c r="Z248" s="647"/>
      <c r="AA248" s="647">
        <f>IF(VLOOKUP(A248,Regularizare!$D:$Y,21,FALSE)=0,VLOOKUP(A248,Regularizare!$D:$Y,21,FALSE),(-1)*VLOOKUP(A248,Regularizare!$D:$Y,21,FALSE))</f>
        <v>0</v>
      </c>
      <c r="AB248" s="647"/>
      <c r="AC248" s="647"/>
      <c r="AD248" s="647" t="s">
        <v>69</v>
      </c>
      <c r="AE248" s="647"/>
      <c r="AF248" s="647">
        <f>AA248</f>
        <v>0</v>
      </c>
      <c r="AG248" s="647"/>
      <c r="AH248" s="647"/>
      <c r="AI248" s="647" t="str">
        <f>AI245</f>
        <v>-</v>
      </c>
      <c r="AJ248" s="647"/>
      <c r="AK248" s="647" t="str">
        <f>AK245</f>
        <v>-</v>
      </c>
      <c r="AL248" s="647"/>
      <c r="AM248" s="647"/>
    </row>
    <row r="249" spans="1:39" ht="8.4499999999999993" customHeight="1">
      <c r="A249" s="727"/>
      <c r="B249" s="729"/>
      <c r="C249" s="729"/>
      <c r="D249" s="729"/>
      <c r="E249" s="729"/>
      <c r="F249" s="728"/>
      <c r="G249" s="648"/>
      <c r="H249" s="648"/>
      <c r="I249" s="648"/>
      <c r="J249" s="717" t="str">
        <f t="shared" si="13"/>
        <v>-</v>
      </c>
      <c r="K249" s="718"/>
      <c r="L249" s="719"/>
      <c r="M249" s="648"/>
      <c r="N249" s="648"/>
      <c r="O249" s="648"/>
      <c r="P249" s="648"/>
      <c r="Q249" s="648"/>
      <c r="R249" s="647"/>
      <c r="S249" s="647"/>
      <c r="T249" s="647"/>
      <c r="U249" s="647"/>
      <c r="V249" s="647"/>
      <c r="W249" s="647"/>
      <c r="X249" s="647"/>
      <c r="Y249" s="647"/>
      <c r="Z249" s="647"/>
      <c r="AA249" s="647"/>
      <c r="AB249" s="647"/>
      <c r="AC249" s="647"/>
      <c r="AD249" s="647"/>
      <c r="AE249" s="647"/>
      <c r="AF249" s="647"/>
      <c r="AG249" s="647"/>
      <c r="AH249" s="647"/>
      <c r="AI249" s="647"/>
      <c r="AJ249" s="647"/>
      <c r="AK249" s="647"/>
      <c r="AL249" s="647"/>
      <c r="AM249" s="647"/>
    </row>
    <row r="250" spans="1:39" ht="14.1" customHeight="1">
      <c r="A250" s="687"/>
      <c r="B250" s="688"/>
      <c r="C250" s="688"/>
      <c r="D250" s="688"/>
      <c r="E250" s="688"/>
      <c r="F250" s="689"/>
      <c r="G250" s="648"/>
      <c r="H250" s="648"/>
      <c r="I250" s="648"/>
      <c r="J250" s="714">
        <f t="shared" si="13"/>
        <v>45777</v>
      </c>
      <c r="K250" s="715"/>
      <c r="L250" s="716"/>
      <c r="M250" s="648"/>
      <c r="N250" s="648"/>
      <c r="O250" s="648"/>
      <c r="P250" s="648"/>
      <c r="Q250" s="648"/>
      <c r="R250" s="647"/>
      <c r="S250" s="647"/>
      <c r="T250" s="647"/>
      <c r="U250" s="647"/>
      <c r="V250" s="647"/>
      <c r="W250" s="647"/>
      <c r="X250" s="647"/>
      <c r="Y250" s="647"/>
      <c r="Z250" s="647"/>
      <c r="AA250" s="647"/>
      <c r="AB250" s="647"/>
      <c r="AC250" s="647"/>
      <c r="AD250" s="647"/>
      <c r="AE250" s="647"/>
      <c r="AF250" s="647"/>
      <c r="AG250" s="647"/>
      <c r="AH250" s="647"/>
      <c r="AI250" s="647"/>
      <c r="AJ250" s="647"/>
      <c r="AK250" s="647"/>
      <c r="AL250" s="647"/>
      <c r="AM250" s="647"/>
    </row>
    <row r="251" spans="1:39" ht="14.1" customHeight="1">
      <c r="A251" s="684" t="str">
        <f>A248</f>
        <v>V.21G90290210104560/5</v>
      </c>
      <c r="B251" s="685"/>
      <c r="C251" s="685"/>
      <c r="D251" s="685"/>
      <c r="E251" s="685"/>
      <c r="F251" s="686"/>
      <c r="G251" s="648" t="s">
        <v>731</v>
      </c>
      <c r="H251" s="648"/>
      <c r="I251" s="648"/>
      <c r="J251" s="655">
        <f t="shared" si="13"/>
        <v>45748</v>
      </c>
      <c r="K251" s="656"/>
      <c r="L251" s="657"/>
      <c r="M251" s="648" t="s">
        <v>720</v>
      </c>
      <c r="N251" s="648"/>
      <c r="O251" s="648">
        <f>O248</f>
        <v>1</v>
      </c>
      <c r="P251" s="648"/>
      <c r="Q251" s="648"/>
      <c r="R251" s="647" t="str">
        <f>VLOOKUP(A251,Regularizare!$D:$U,9,FALSE)&amp;" ("&amp;VLOOKUP(A251,Regularizare!$D:$U,17,FALSE)&amp;")"</f>
        <v>2088 (citit)</v>
      </c>
      <c r="S251" s="647"/>
      <c r="T251" s="647"/>
      <c r="U251" s="647" t="str">
        <f>VLOOKUP(A251,Regularizare!$D:$U,10,FALSE)&amp;" ("&amp;VLOOKUP(A251,Regularizare!$D:$U,18,FALSE)&amp;")"</f>
        <v>2088 (estimat)</v>
      </c>
      <c r="V251" s="647"/>
      <c r="W251" s="647"/>
      <c r="X251" s="647" t="str">
        <f>_xlfn.CONCAT(VLOOKUP(A251,Regularizare!$D:$U,10,FALSE)-VLOOKUP(A251,Regularizare!$D:$U,9,FALSE)," (",VLOOKUP(A251,Regularizare!$D:$U,18,FALSE),")")</f>
        <v>0 (estimat)</v>
      </c>
      <c r="Y251" s="647"/>
      <c r="Z251" s="647"/>
      <c r="AA251" s="647">
        <f>IF(VLOOKUP(A251,Regularizare!$D:$Y,22,FALSE)=0,VLOOKUP(A251,Regularizare!$D:$Y,22,FALSE),(-1)*VLOOKUP(A251,Regularizare!$D:$Y,22,FALSE))</f>
        <v>0</v>
      </c>
      <c r="AB251" s="647"/>
      <c r="AC251" s="647"/>
      <c r="AD251" s="647" t="s">
        <v>69</v>
      </c>
      <c r="AE251" s="647"/>
      <c r="AF251" s="647">
        <f>AA251</f>
        <v>0</v>
      </c>
      <c r="AG251" s="647"/>
      <c r="AH251" s="647"/>
      <c r="AI251" s="647" t="str">
        <f>AI248</f>
        <v>-</v>
      </c>
      <c r="AJ251" s="647"/>
      <c r="AK251" s="647" t="str">
        <f>AK248</f>
        <v>-</v>
      </c>
      <c r="AL251" s="647"/>
      <c r="AM251" s="647"/>
    </row>
    <row r="252" spans="1:39" ht="8.4499999999999993" customHeight="1">
      <c r="A252" s="727"/>
      <c r="B252" s="729"/>
      <c r="C252" s="729"/>
      <c r="D252" s="729"/>
      <c r="E252" s="729"/>
      <c r="F252" s="728"/>
      <c r="G252" s="648"/>
      <c r="H252" s="648"/>
      <c r="I252" s="648"/>
      <c r="J252" s="717" t="str">
        <f t="shared" si="13"/>
        <v>-</v>
      </c>
      <c r="K252" s="718"/>
      <c r="L252" s="719"/>
      <c r="M252" s="648"/>
      <c r="N252" s="648"/>
      <c r="O252" s="648"/>
      <c r="P252" s="648"/>
      <c r="Q252" s="648"/>
      <c r="R252" s="647"/>
      <c r="S252" s="647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647"/>
      <c r="AL252" s="647"/>
      <c r="AM252" s="647"/>
    </row>
    <row r="253" spans="1:39" ht="14.1" customHeight="1">
      <c r="A253" s="687"/>
      <c r="B253" s="688"/>
      <c r="C253" s="688"/>
      <c r="D253" s="688"/>
      <c r="E253" s="688"/>
      <c r="F253" s="689"/>
      <c r="G253" s="648"/>
      <c r="H253" s="648"/>
      <c r="I253" s="648"/>
      <c r="J253" s="714">
        <f t="shared" si="13"/>
        <v>45777</v>
      </c>
      <c r="K253" s="715"/>
      <c r="L253" s="716"/>
      <c r="M253" s="648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84" t="str">
        <f>A251</f>
        <v>V.21G90290210104560/5</v>
      </c>
      <c r="B254" s="685"/>
      <c r="C254" s="685"/>
      <c r="D254" s="685"/>
      <c r="E254" s="685"/>
      <c r="F254" s="686"/>
      <c r="G254" s="648" t="s">
        <v>730</v>
      </c>
      <c r="H254" s="648"/>
      <c r="I254" s="673"/>
      <c r="J254" s="655">
        <f>'Date masura OD'!$AK$5</f>
        <v>45748</v>
      </c>
      <c r="K254" s="656"/>
      <c r="L254" s="657"/>
      <c r="M254" s="720" t="s">
        <v>446</v>
      </c>
      <c r="N254" s="648"/>
      <c r="O254" s="648">
        <f>O251</f>
        <v>1</v>
      </c>
      <c r="P254" s="648"/>
      <c r="Q254" s="648"/>
      <c r="R254" s="647" t="str">
        <f>VLOOKUP(A254,Regularizare!$D:$AX,23,FALSE)&amp;" ("&amp;VLOOKUP(A254,Regularizare!$D:$AX,24,FALSE)&amp;")"</f>
        <v>2572780 (citit)</v>
      </c>
      <c r="S254" s="647"/>
      <c r="T254" s="647"/>
      <c r="U254" s="647" t="str">
        <f>VLOOKUP(A254,Regularizare!$D:$AX,25,FALSE)&amp;" ("&amp;VLOOKUP(A254,Regularizare!$D:$AX,26,FALSE)&amp;")"</f>
        <v>2785644 (citit)</v>
      </c>
      <c r="V254" s="647"/>
      <c r="W254" s="647"/>
      <c r="X254" s="647" t="str">
        <f>VLOOKUP(A254,Regularizare!$D:$AX,37,FALSE)&amp;" ("&amp;VLOOKUP(A254,Regularizare!$D:$AX,26,FALSE)&amp;")"</f>
        <v>212864 (citit)</v>
      </c>
      <c r="Y254" s="647"/>
      <c r="Z254" s="647"/>
      <c r="AA254" s="647">
        <f>VLOOKUP(A254,Regularizare!$D:$AX,37,FALSE)</f>
        <v>212864</v>
      </c>
      <c r="AB254" s="647"/>
      <c r="AC254" s="647"/>
      <c r="AD254" s="647" t="s">
        <v>69</v>
      </c>
      <c r="AE254" s="647"/>
      <c r="AF254" s="647">
        <f>AA254</f>
        <v>212864</v>
      </c>
      <c r="AG254" s="647"/>
      <c r="AH254" s="647"/>
      <c r="AI254" s="647" t="str">
        <f>AI251</f>
        <v>-</v>
      </c>
      <c r="AJ254" s="647"/>
      <c r="AK254" s="647" t="str">
        <f>AK251</f>
        <v>-</v>
      </c>
      <c r="AL254" s="647"/>
      <c r="AM254" s="647"/>
    </row>
    <row r="255" spans="1:39" ht="8.4499999999999993" customHeight="1">
      <c r="A255" s="727"/>
      <c r="B255" s="729"/>
      <c r="C255" s="729"/>
      <c r="D255" s="729"/>
      <c r="E255" s="729"/>
      <c r="F255" s="728"/>
      <c r="G255" s="648"/>
      <c r="H255" s="648"/>
      <c r="I255" s="673"/>
      <c r="J255" s="717" t="s">
        <v>69</v>
      </c>
      <c r="K255" s="718"/>
      <c r="L255" s="719"/>
      <c r="M255" s="720"/>
      <c r="N255" s="648"/>
      <c r="O255" s="648"/>
      <c r="P255" s="648"/>
      <c r="Q255" s="648"/>
      <c r="R255" s="647"/>
      <c r="S255" s="647"/>
      <c r="T255" s="647"/>
      <c r="U255" s="647"/>
      <c r="V255" s="647"/>
      <c r="W255" s="647"/>
      <c r="X255" s="647"/>
      <c r="Y255" s="647"/>
      <c r="Z255" s="647"/>
      <c r="AA255" s="647"/>
      <c r="AB255" s="647"/>
      <c r="AC255" s="647"/>
      <c r="AD255" s="647"/>
      <c r="AE255" s="647"/>
      <c r="AF255" s="647"/>
      <c r="AG255" s="647"/>
      <c r="AH255" s="647"/>
      <c r="AI255" s="647"/>
      <c r="AJ255" s="647"/>
      <c r="AK255" s="647"/>
      <c r="AL255" s="647"/>
      <c r="AM255" s="647"/>
    </row>
    <row r="256" spans="1:39" ht="14.1" customHeight="1">
      <c r="A256" s="687"/>
      <c r="B256" s="688"/>
      <c r="C256" s="688"/>
      <c r="D256" s="688"/>
      <c r="E256" s="688"/>
      <c r="F256" s="689"/>
      <c r="G256" s="648"/>
      <c r="H256" s="648"/>
      <c r="I256" s="673"/>
      <c r="J256" s="714">
        <f>'Date masura OD'!$AL$5</f>
        <v>45777</v>
      </c>
      <c r="K256" s="715"/>
      <c r="L256" s="716"/>
      <c r="M256" s="720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4" t="str">
        <f>A254</f>
        <v>V.21G90290210104560/5</v>
      </c>
      <c r="B257" s="685"/>
      <c r="C257" s="685"/>
      <c r="D257" s="685"/>
      <c r="E257" s="685"/>
      <c r="F257" s="686"/>
      <c r="G257" s="648" t="s">
        <v>696</v>
      </c>
      <c r="H257" s="648"/>
      <c r="I257" s="648"/>
      <c r="J257" s="655">
        <f t="shared" ref="J257:J262" si="14">J254</f>
        <v>45748</v>
      </c>
      <c r="K257" s="656"/>
      <c r="L257" s="657"/>
      <c r="M257" s="648" t="s">
        <v>720</v>
      </c>
      <c r="N257" s="648"/>
      <c r="O257" s="648">
        <f>O254</f>
        <v>1</v>
      </c>
      <c r="P257" s="648"/>
      <c r="Q257" s="648"/>
      <c r="R257" s="647" t="str">
        <f>VLOOKUP(A257,Regularizare!$D:$AX,29,FALSE)&amp;" ("&amp;VLOOKUP(A257,Regularizare!$D:$AX,30,FALSE)&amp;")"</f>
        <v>103426 (citit)</v>
      </c>
      <c r="S257" s="647"/>
      <c r="T257" s="647"/>
      <c r="U257" s="647" t="str">
        <f>VLOOKUP(A257,Regularizare!$D:$AX,31,FALSE)&amp;" ("&amp;VLOOKUP(A257,Regularizare!$D:$AX,32,FALSE)&amp;")"</f>
        <v>103426 (citit)</v>
      </c>
      <c r="V257" s="647"/>
      <c r="W257" s="647"/>
      <c r="X257" s="647" t="str">
        <f>VLOOKUP(A257,Regularizare!$D:$AX,39,FALSE)&amp;" ("&amp;VLOOKUP(A257,Regularizare!$D:$AX,32,FALSE)&amp;")"</f>
        <v>0 (citit)</v>
      </c>
      <c r="Y257" s="647"/>
      <c r="Z257" s="647"/>
      <c r="AA257" s="647">
        <f>VLOOKUP(A257,Regularizare!$D:$AX,44,FALSE)+VLOOKUP(A257,Regularizare!$D:$AX,45,FALSE)</f>
        <v>0</v>
      </c>
      <c r="AB257" s="647"/>
      <c r="AC257" s="647"/>
      <c r="AD257" s="647" t="s">
        <v>69</v>
      </c>
      <c r="AE257" s="647"/>
      <c r="AF257" s="647">
        <f>AA257</f>
        <v>0</v>
      </c>
      <c r="AG257" s="647"/>
      <c r="AH257" s="647"/>
      <c r="AI257" s="647" t="str">
        <f>AI254</f>
        <v>-</v>
      </c>
      <c r="AJ257" s="647"/>
      <c r="AK257" s="647" t="str">
        <f>AK254</f>
        <v>-</v>
      </c>
      <c r="AL257" s="647"/>
      <c r="AM257" s="647"/>
    </row>
    <row r="258" spans="1:39" ht="8.4499999999999993" customHeight="1">
      <c r="A258" s="727"/>
      <c r="B258" s="729"/>
      <c r="C258" s="729"/>
      <c r="D258" s="729"/>
      <c r="E258" s="729"/>
      <c r="F258" s="728"/>
      <c r="G258" s="648"/>
      <c r="H258" s="648"/>
      <c r="I258" s="648"/>
      <c r="J258" s="717" t="str">
        <f t="shared" si="14"/>
        <v>-</v>
      </c>
      <c r="K258" s="718"/>
      <c r="L258" s="719"/>
      <c r="M258" s="648"/>
      <c r="N258" s="648"/>
      <c r="O258" s="648"/>
      <c r="P258" s="648"/>
      <c r="Q258" s="648"/>
      <c r="R258" s="647"/>
      <c r="S258" s="647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</row>
    <row r="259" spans="1:39" ht="14.1" customHeight="1">
      <c r="A259" s="687"/>
      <c r="B259" s="688"/>
      <c r="C259" s="688"/>
      <c r="D259" s="688"/>
      <c r="E259" s="688"/>
      <c r="F259" s="689"/>
      <c r="G259" s="648"/>
      <c r="H259" s="648"/>
      <c r="I259" s="648"/>
      <c r="J259" s="714">
        <f t="shared" si="14"/>
        <v>45777</v>
      </c>
      <c r="K259" s="715"/>
      <c r="L259" s="716"/>
      <c r="M259" s="648"/>
      <c r="N259" s="648"/>
      <c r="O259" s="648"/>
      <c r="P259" s="648"/>
      <c r="Q259" s="648"/>
      <c r="R259" s="647"/>
      <c r="S259" s="647"/>
      <c r="T259" s="647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4" t="str">
        <f>A257</f>
        <v>V.21G90290210104560/5</v>
      </c>
      <c r="B260" s="685"/>
      <c r="C260" s="685"/>
      <c r="D260" s="685"/>
      <c r="E260" s="685"/>
      <c r="F260" s="686"/>
      <c r="G260" s="648" t="s">
        <v>731</v>
      </c>
      <c r="H260" s="648"/>
      <c r="I260" s="648"/>
      <c r="J260" s="655">
        <f t="shared" si="14"/>
        <v>45748</v>
      </c>
      <c r="K260" s="656"/>
      <c r="L260" s="657"/>
      <c r="M260" s="648" t="s">
        <v>720</v>
      </c>
      <c r="N260" s="648"/>
      <c r="O260" s="648">
        <f>O257</f>
        <v>1</v>
      </c>
      <c r="P260" s="648"/>
      <c r="Q260" s="648"/>
      <c r="R260" s="647" t="str">
        <f>VLOOKUP(A260,Regularizare!$D:$AX,33,FALSE)&amp;" ("&amp;VLOOKUP(A260,Regularizare!$D:$AX,34,FALSE)&amp;")"</f>
        <v>2088 (citit)</v>
      </c>
      <c r="S260" s="647"/>
      <c r="T260" s="647"/>
      <c r="U260" s="647" t="str">
        <f>VLOOKUP(A260,Regularizare!$D:$AX,35,FALSE)&amp;" ("&amp;VLOOKUP(A260,Regularizare!$D:$AX,36,FALSE)&amp;")"</f>
        <v>2088 (citit)</v>
      </c>
      <c r="V260" s="647"/>
      <c r="W260" s="647"/>
      <c r="X260" s="647" t="str">
        <f>VLOOKUP(A260,Regularizare!$D:$AX,40,FALSE)&amp;" ("&amp;VLOOKUP(A260,Regularizare!$D:$AX,36,FALSE)&amp;")"</f>
        <v>0 (citit)</v>
      </c>
      <c r="Y260" s="647"/>
      <c r="Z260" s="647"/>
      <c r="AA260" s="647">
        <f>VLOOKUP(A260,Regularizare!$D:$AX,46,FALSE)+VLOOKUP(A260,Regularizare!$D:$AX,47,FALSE)</f>
        <v>0</v>
      </c>
      <c r="AB260" s="647"/>
      <c r="AC260" s="647"/>
      <c r="AD260" s="647" t="s">
        <v>69</v>
      </c>
      <c r="AE260" s="647"/>
      <c r="AF260" s="647">
        <f>AA260</f>
        <v>0</v>
      </c>
      <c r="AG260" s="647"/>
      <c r="AH260" s="647"/>
      <c r="AI260" s="647" t="str">
        <f>AI257</f>
        <v>-</v>
      </c>
      <c r="AJ260" s="647"/>
      <c r="AK260" s="647" t="str">
        <f>AK257</f>
        <v>-</v>
      </c>
      <c r="AL260" s="647"/>
      <c r="AM260" s="647"/>
    </row>
    <row r="261" spans="1:39" ht="8.4499999999999993" customHeight="1">
      <c r="A261" s="727"/>
      <c r="B261" s="729"/>
      <c r="C261" s="729"/>
      <c r="D261" s="729"/>
      <c r="E261" s="729"/>
      <c r="F261" s="728"/>
      <c r="G261" s="648"/>
      <c r="H261" s="648"/>
      <c r="I261" s="648"/>
      <c r="J261" s="717" t="str">
        <f t="shared" si="14"/>
        <v>-</v>
      </c>
      <c r="K261" s="718"/>
      <c r="L261" s="719"/>
      <c r="M261" s="648"/>
      <c r="N261" s="648"/>
      <c r="O261" s="648"/>
      <c r="P261" s="648"/>
      <c r="Q261" s="648"/>
      <c r="R261" s="647"/>
      <c r="S261" s="647"/>
      <c r="T261" s="647"/>
      <c r="U261" s="647"/>
      <c r="V261" s="647"/>
      <c r="W261" s="647"/>
      <c r="X261" s="647"/>
      <c r="Y261" s="647"/>
      <c r="Z261" s="647"/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</row>
    <row r="262" spans="1:39" ht="14.1" customHeight="1">
      <c r="A262" s="687"/>
      <c r="B262" s="688"/>
      <c r="C262" s="688"/>
      <c r="D262" s="688"/>
      <c r="E262" s="688"/>
      <c r="F262" s="689"/>
      <c r="G262" s="648"/>
      <c r="H262" s="648"/>
      <c r="I262" s="648"/>
      <c r="J262" s="714">
        <f t="shared" si="14"/>
        <v>45777</v>
      </c>
      <c r="K262" s="715"/>
      <c r="L262" s="716"/>
      <c r="M262" s="648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4" t="str">
        <f>A260</f>
        <v>V.21G90290210104560/5</v>
      </c>
      <c r="B263" s="685"/>
      <c r="C263" s="685"/>
      <c r="D263" s="685"/>
      <c r="E263" s="685"/>
      <c r="F263" s="686"/>
      <c r="G263" s="648" t="s">
        <v>730</v>
      </c>
      <c r="H263" s="648"/>
      <c r="I263" s="673"/>
      <c r="J263" s="655">
        <f>'Date masura OD'!$I$5</f>
        <v>45778</v>
      </c>
      <c r="K263" s="656"/>
      <c r="L263" s="657"/>
      <c r="M263" s="720" t="s">
        <v>446</v>
      </c>
      <c r="N263" s="648"/>
      <c r="O263" s="648">
        <f>O260</f>
        <v>1</v>
      </c>
      <c r="P263" s="648"/>
      <c r="Q263" s="648"/>
      <c r="R263" s="647" t="str">
        <f>U254</f>
        <v>2785644 (citit)</v>
      </c>
      <c r="S263" s="647"/>
      <c r="T263" s="647"/>
      <c r="U263" s="647" t="str">
        <f>VLOOKUP(A263,'Incrementare indexe'!$D:$M,4,FALSE)&amp;" (estimat)"</f>
        <v>3027206 (estimat)</v>
      </c>
      <c r="V263" s="647"/>
      <c r="W263" s="647"/>
      <c r="X263" s="647" t="str">
        <f>VLOOKUP(A263,'Incrementare indexe'!$D:$Q,11,FALSE)&amp;" (estimat)"</f>
        <v>241562 (estimat)</v>
      </c>
      <c r="Y263" s="647"/>
      <c r="Z263" s="647"/>
      <c r="AA263" s="647" t="s">
        <v>69</v>
      </c>
      <c r="AB263" s="647"/>
      <c r="AC263" s="647"/>
      <c r="AD263" s="647" t="s">
        <v>69</v>
      </c>
      <c r="AE263" s="647"/>
      <c r="AF263" s="647">
        <f>VLOOKUP(A263,'Incrementare indexe'!$D:$Q,11,FALSE)</f>
        <v>241562</v>
      </c>
      <c r="AG263" s="647"/>
      <c r="AH263" s="647"/>
      <c r="AI263" s="647">
        <f>J265-J263+1</f>
        <v>31</v>
      </c>
      <c r="AJ263" s="647"/>
      <c r="AK263" s="647">
        <f>ROUND(AF263/AI263,2)</f>
        <v>7792.32</v>
      </c>
      <c r="AL263" s="647"/>
      <c r="AM263" s="647"/>
    </row>
    <row r="264" spans="1:39" ht="8.4499999999999993" customHeight="1">
      <c r="A264" s="727"/>
      <c r="B264" s="729"/>
      <c r="C264" s="729"/>
      <c r="D264" s="729"/>
      <c r="E264" s="729"/>
      <c r="F264" s="728"/>
      <c r="G264" s="648"/>
      <c r="H264" s="648"/>
      <c r="I264" s="673"/>
      <c r="J264" s="717" t="s">
        <v>69</v>
      </c>
      <c r="K264" s="718"/>
      <c r="L264" s="719"/>
      <c r="M264" s="720"/>
      <c r="N264" s="648"/>
      <c r="O264" s="648"/>
      <c r="P264" s="648"/>
      <c r="Q264" s="648"/>
      <c r="R264" s="647"/>
      <c r="S264" s="647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647"/>
      <c r="AL264" s="647"/>
      <c r="AM264" s="647"/>
    </row>
    <row r="265" spans="1:39" ht="14.1" customHeight="1">
      <c r="A265" s="687"/>
      <c r="B265" s="688"/>
      <c r="C265" s="688"/>
      <c r="D265" s="688"/>
      <c r="E265" s="688"/>
      <c r="F265" s="689"/>
      <c r="G265" s="648"/>
      <c r="H265" s="648"/>
      <c r="I265" s="673"/>
      <c r="J265" s="714">
        <f>'Date masura OD'!$J$5</f>
        <v>45808</v>
      </c>
      <c r="K265" s="715"/>
      <c r="L265" s="716"/>
      <c r="M265" s="720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4" t="str">
        <f>A263</f>
        <v>V.21G90290210104560/5</v>
      </c>
      <c r="B266" s="685"/>
      <c r="C266" s="685"/>
      <c r="D266" s="685"/>
      <c r="E266" s="685"/>
      <c r="F266" s="686"/>
      <c r="G266" s="648" t="s">
        <v>696</v>
      </c>
      <c r="H266" s="648"/>
      <c r="I266" s="648"/>
      <c r="J266" s="655">
        <f t="shared" ref="J266:J271" si="15">J263</f>
        <v>45778</v>
      </c>
      <c r="K266" s="656"/>
      <c r="L266" s="657"/>
      <c r="M266" s="648" t="s">
        <v>720</v>
      </c>
      <c r="N266" s="648"/>
      <c r="O266" s="648">
        <f>O263</f>
        <v>1</v>
      </c>
      <c r="P266" s="648"/>
      <c r="Q266" s="648"/>
      <c r="R266" s="647" t="str">
        <f>U257</f>
        <v>103426 (citit)</v>
      </c>
      <c r="S266" s="647"/>
      <c r="T266" s="647"/>
      <c r="U266" s="647" t="str">
        <f>VLOOKUP(A266,'Incrementare indexe'!$D:$M,8,FALSE)&amp;" (estimat)"</f>
        <v>103426 (estimat)</v>
      </c>
      <c r="V266" s="647"/>
      <c r="W266" s="647"/>
      <c r="X266" s="647" t="str">
        <f>VLOOKUP(A266,'Incrementare indexe'!$D:$Q,12,FALSE)&amp;" (estimat)"</f>
        <v>0 (estimat)</v>
      </c>
      <c r="Y266" s="647"/>
      <c r="Z266" s="647"/>
      <c r="AA266" s="647" t="s">
        <v>69</v>
      </c>
      <c r="AB266" s="647"/>
      <c r="AC266" s="647"/>
      <c r="AD266" s="647" t="s">
        <v>69</v>
      </c>
      <c r="AE266" s="647"/>
      <c r="AF266" s="647">
        <f>VLOOKUP(A266,'Incrementare indexe'!$D:$Q,12,FALSE)</f>
        <v>0</v>
      </c>
      <c r="AG266" s="647"/>
      <c r="AH266" s="647"/>
      <c r="AI266" s="647">
        <f>AI263</f>
        <v>31</v>
      </c>
      <c r="AJ266" s="647"/>
      <c r="AK266" s="647">
        <f>ROUND(AF266/AI266,2)</f>
        <v>0</v>
      </c>
      <c r="AL266" s="647"/>
      <c r="AM266" s="647"/>
    </row>
    <row r="267" spans="1:39" ht="8.4499999999999993" customHeight="1">
      <c r="A267" s="727"/>
      <c r="B267" s="729"/>
      <c r="C267" s="729"/>
      <c r="D267" s="729"/>
      <c r="E267" s="729"/>
      <c r="F267" s="728"/>
      <c r="G267" s="648"/>
      <c r="H267" s="648"/>
      <c r="I267" s="648"/>
      <c r="J267" s="717" t="str">
        <f t="shared" si="15"/>
        <v>-</v>
      </c>
      <c r="K267" s="718"/>
      <c r="L267" s="719"/>
      <c r="M267" s="648"/>
      <c r="N267" s="648"/>
      <c r="O267" s="648"/>
      <c r="P267" s="648"/>
      <c r="Q267" s="648"/>
      <c r="R267" s="647"/>
      <c r="S267" s="647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</row>
    <row r="268" spans="1:39" ht="14.1" customHeight="1">
      <c r="A268" s="687"/>
      <c r="B268" s="688"/>
      <c r="C268" s="688"/>
      <c r="D268" s="688"/>
      <c r="E268" s="688"/>
      <c r="F268" s="689"/>
      <c r="G268" s="648"/>
      <c r="H268" s="648"/>
      <c r="I268" s="648"/>
      <c r="J268" s="714">
        <f t="shared" si="15"/>
        <v>45808</v>
      </c>
      <c r="K268" s="715"/>
      <c r="L268" s="716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4" t="str">
        <f>A266</f>
        <v>V.21G90290210104560/5</v>
      </c>
      <c r="B269" s="685"/>
      <c r="C269" s="685"/>
      <c r="D269" s="685"/>
      <c r="E269" s="685"/>
      <c r="F269" s="686"/>
      <c r="G269" s="648" t="s">
        <v>731</v>
      </c>
      <c r="H269" s="648"/>
      <c r="I269" s="648"/>
      <c r="J269" s="655">
        <f t="shared" si="15"/>
        <v>45778</v>
      </c>
      <c r="K269" s="656"/>
      <c r="L269" s="657"/>
      <c r="M269" s="648" t="s">
        <v>720</v>
      </c>
      <c r="N269" s="648"/>
      <c r="O269" s="648">
        <f>O266</f>
        <v>1</v>
      </c>
      <c r="P269" s="648"/>
      <c r="Q269" s="648"/>
      <c r="R269" s="647" t="str">
        <f>U260</f>
        <v>2088 (citit)</v>
      </c>
      <c r="S269" s="647"/>
      <c r="T269" s="647"/>
      <c r="U269" s="647" t="str">
        <f>VLOOKUP(A269,'Incrementare indexe'!$D:$M,10,FALSE)&amp;" (estimat)"</f>
        <v>2088 (estimat)</v>
      </c>
      <c r="V269" s="647"/>
      <c r="W269" s="647"/>
      <c r="X269" s="647" t="str">
        <f>VLOOKUP(A269,'Incrementare indexe'!$D:$Q,13,FALSE)&amp;" (estimat)"</f>
        <v>0 (estimat)</v>
      </c>
      <c r="Y269" s="647"/>
      <c r="Z269" s="647"/>
      <c r="AA269" s="647" t="s">
        <v>69</v>
      </c>
      <c r="AB269" s="647"/>
      <c r="AC269" s="647"/>
      <c r="AD269" s="647" t="s">
        <v>69</v>
      </c>
      <c r="AE269" s="647"/>
      <c r="AF269" s="647">
        <f>VLOOKUP(A269,'Incrementare indexe'!$D:$Q,13,FALSE)</f>
        <v>0</v>
      </c>
      <c r="AG269" s="647"/>
      <c r="AH269" s="647"/>
      <c r="AI269" s="647">
        <f>AI266</f>
        <v>31</v>
      </c>
      <c r="AJ269" s="647"/>
      <c r="AK269" s="647">
        <f>ROUND(AF269/AI269,2)</f>
        <v>0</v>
      </c>
      <c r="AL269" s="647"/>
      <c r="AM269" s="647"/>
    </row>
    <row r="270" spans="1:39" ht="8.4499999999999993" customHeight="1">
      <c r="A270" s="727"/>
      <c r="B270" s="729"/>
      <c r="C270" s="729"/>
      <c r="D270" s="729"/>
      <c r="E270" s="729"/>
      <c r="F270" s="728"/>
      <c r="G270" s="648"/>
      <c r="H270" s="648"/>
      <c r="I270" s="648"/>
      <c r="J270" s="717" t="str">
        <f t="shared" si="15"/>
        <v>-</v>
      </c>
      <c r="K270" s="718"/>
      <c r="L270" s="719"/>
      <c r="M270" s="648"/>
      <c r="N270" s="648"/>
      <c r="O270" s="648"/>
      <c r="P270" s="648"/>
      <c r="Q270" s="648"/>
      <c r="R270" s="647"/>
      <c r="S270" s="647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647"/>
      <c r="AL270" s="647"/>
      <c r="AM270" s="647"/>
    </row>
    <row r="271" spans="1:39" ht="14.1" customHeight="1">
      <c r="A271" s="687"/>
      <c r="B271" s="688"/>
      <c r="C271" s="688"/>
      <c r="D271" s="688"/>
      <c r="E271" s="688"/>
      <c r="F271" s="689"/>
      <c r="G271" s="648"/>
      <c r="H271" s="648"/>
      <c r="I271" s="648"/>
      <c r="J271" s="714">
        <f t="shared" si="15"/>
        <v>45808</v>
      </c>
      <c r="K271" s="715"/>
      <c r="L271" s="716"/>
      <c r="M271" s="648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/>
    <row r="273" ht="14.1" customHeight="1"/>
    <row r="274" ht="14.1" customHeight="1"/>
    <row r="275" ht="14.1" customHeight="1"/>
    <row r="276" ht="14.1" customHeight="1"/>
    <row r="277" ht="14.1" customHeight="1"/>
    <row r="278" ht="14.1" customHeight="1"/>
    <row r="279" ht="14.1" customHeight="1"/>
    <row r="280" ht="14.1" customHeight="1"/>
    <row r="281" ht="14.1" customHeight="1"/>
    <row r="282" ht="14.1" customHeight="1"/>
    <row r="283" ht="14.1" customHeight="1"/>
    <row r="284" ht="14.1" customHeight="1"/>
    <row r="285" ht="14.1" customHeight="1"/>
    <row r="286" ht="14.1" customHeight="1"/>
    <row r="287" ht="14.1" customHeight="1"/>
    <row r="288" ht="14.1" customHeight="1"/>
    <row r="289" spans="1:39" ht="14.1" customHeight="1"/>
    <row r="290" spans="1:39" ht="14.1" customHeight="1"/>
    <row r="291" spans="1:39" ht="14.1" customHeight="1"/>
    <row r="292" spans="1:39" ht="14.1" customHeight="1">
      <c r="A292" s="695" t="s">
        <v>858</v>
      </c>
      <c r="B292" s="695"/>
      <c r="C292" s="695"/>
      <c r="D292" s="695"/>
      <c r="E292" s="695"/>
      <c r="F292" s="695"/>
      <c r="G292" s="695"/>
      <c r="H292" s="695" t="str">
        <f>VLOOKUP($AA$15,'Date SPV'!$B:$H,4,FALSE)</f>
        <v>Bulevardul Pierre de Coubertin, nr. 3-5, Sector 2, Bucuresti</v>
      </c>
      <c r="I292" s="695"/>
      <c r="J292" s="695"/>
      <c r="K292" s="695"/>
      <c r="L292" s="695"/>
      <c r="M292" s="695"/>
      <c r="N292" s="695"/>
      <c r="O292" s="695"/>
      <c r="P292" s="695"/>
      <c r="Q292" s="695"/>
      <c r="R292" s="695"/>
      <c r="S292" s="695"/>
      <c r="T292" s="695"/>
      <c r="U292" s="695"/>
      <c r="V292" s="695"/>
      <c r="W292" s="695"/>
      <c r="X292" s="695"/>
      <c r="Y292" s="695"/>
      <c r="Z292" s="695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</row>
    <row r="293" spans="1:39" ht="14.1" customHeight="1">
      <c r="A293" s="695"/>
      <c r="B293" s="695"/>
      <c r="C293" s="695"/>
      <c r="D293" s="695"/>
      <c r="E293" s="695"/>
      <c r="F293" s="695"/>
      <c r="G293" s="695"/>
      <c r="H293" s="695"/>
      <c r="I293" s="695"/>
      <c r="J293" s="695"/>
      <c r="K293" s="695"/>
      <c r="L293" s="695"/>
      <c r="M293" s="695"/>
      <c r="N293" s="695"/>
      <c r="O293" s="695"/>
      <c r="P293" s="695"/>
      <c r="Q293" s="695"/>
      <c r="R293" s="695"/>
      <c r="S293" s="695"/>
      <c r="T293" s="695"/>
      <c r="U293" s="695"/>
      <c r="V293" s="695"/>
      <c r="W293" s="695"/>
      <c r="X293" s="695"/>
      <c r="Y293" s="695"/>
      <c r="Z293" s="695"/>
      <c r="AA293" s="695"/>
      <c r="AB293" s="695"/>
      <c r="AC293" s="695"/>
      <c r="AD293" s="695"/>
      <c r="AE293" s="695"/>
      <c r="AF293" s="695"/>
      <c r="AG293" s="695"/>
      <c r="AH293" s="695"/>
      <c r="AI293" s="695"/>
      <c r="AJ293" s="695"/>
      <c r="AK293" s="695"/>
      <c r="AL293" s="695"/>
      <c r="AM293" s="695"/>
    </row>
    <row r="294" spans="1:39" ht="14.1" customHeight="1">
      <c r="A294" s="695" t="s">
        <v>859</v>
      </c>
      <c r="B294" s="695"/>
      <c r="C294" s="695"/>
      <c r="D294" s="695"/>
      <c r="E294" s="695"/>
      <c r="F294" s="695"/>
      <c r="G294" s="695"/>
      <c r="H294" s="712">
        <f>VLOOKUP(AA294,'Date masura OD'!$G:$BE,51,FALSE)</f>
        <v>5000415862</v>
      </c>
      <c r="I294" s="712"/>
      <c r="J294" s="712"/>
      <c r="K294" s="712"/>
      <c r="L294" s="712"/>
      <c r="M294" s="712"/>
      <c r="N294" s="712"/>
      <c r="O294" s="712"/>
      <c r="P294" s="712"/>
      <c r="Q294" s="712"/>
      <c r="R294" s="712"/>
      <c r="S294" s="712"/>
      <c r="T294" s="712"/>
      <c r="U294" s="712"/>
      <c r="V294" s="712"/>
      <c r="W294" s="712" t="s">
        <v>860</v>
      </c>
      <c r="X294" s="712"/>
      <c r="Y294" s="712"/>
      <c r="Z294" s="712"/>
      <c r="AA294" s="640" t="str">
        <f>_xlfn.CONCAT($AA$15,"_",2)</f>
        <v>RMEG_2</v>
      </c>
      <c r="AB294" s="640"/>
      <c r="AC294" s="640"/>
      <c r="AD294" s="640"/>
      <c r="AE294" s="640"/>
      <c r="AF294" s="640"/>
      <c r="AG294" s="640"/>
      <c r="AH294" s="640"/>
      <c r="AI294" s="640"/>
      <c r="AJ294" s="640"/>
      <c r="AK294" s="640"/>
      <c r="AL294" s="640"/>
      <c r="AM294" s="640"/>
    </row>
    <row r="295" spans="1:39" ht="14.1" customHeight="1">
      <c r="A295" s="695"/>
      <c r="B295" s="695"/>
      <c r="C295" s="695"/>
      <c r="D295" s="695"/>
      <c r="E295" s="695"/>
      <c r="F295" s="695"/>
      <c r="G295" s="695"/>
      <c r="H295" s="712"/>
      <c r="I295" s="712"/>
      <c r="J295" s="712"/>
      <c r="K295" s="712"/>
      <c r="L295" s="712"/>
      <c r="M295" s="712"/>
      <c r="N295" s="712"/>
      <c r="O295" s="712"/>
      <c r="P295" s="712"/>
      <c r="Q295" s="712"/>
      <c r="R295" s="712"/>
      <c r="S295" s="712"/>
      <c r="T295" s="712"/>
      <c r="U295" s="712"/>
      <c r="V295" s="712"/>
      <c r="W295" s="712"/>
      <c r="X295" s="712"/>
      <c r="Y295" s="712"/>
      <c r="Z295" s="712"/>
      <c r="AA295" s="640"/>
      <c r="AB295" s="640"/>
      <c r="AC295" s="640"/>
      <c r="AD295" s="640"/>
      <c r="AE295" s="640"/>
      <c r="AF295" s="640"/>
      <c r="AG295" s="640"/>
      <c r="AH295" s="640"/>
      <c r="AI295" s="640"/>
      <c r="AJ295" s="640"/>
      <c r="AK295" s="640"/>
      <c r="AL295" s="640"/>
      <c r="AM295" s="640"/>
    </row>
    <row r="297" spans="1:39">
      <c r="A297" s="649" t="s">
        <v>748</v>
      </c>
      <c r="B297" s="649"/>
      <c r="C297" s="649"/>
      <c r="D297" s="649"/>
      <c r="E297" s="649"/>
      <c r="F297" s="649"/>
      <c r="G297" s="649"/>
      <c r="H297" s="649"/>
      <c r="I297" s="649"/>
      <c r="J297" s="649"/>
      <c r="K297" s="649"/>
      <c r="L297" s="649"/>
      <c r="M297" s="650" t="str">
        <f>VLOOKUP(AI298,'Contorizare in SDI'!$E:$I,4,FALSE)</f>
        <v>RO001E110034580/1</v>
      </c>
      <c r="N297" s="650"/>
      <c r="O297" s="650"/>
      <c r="P297" s="650"/>
      <c r="Q297" s="650"/>
      <c r="R297" s="650"/>
      <c r="S297" s="650"/>
      <c r="T297" s="650"/>
      <c r="U297" s="650"/>
      <c r="V297" s="650"/>
      <c r="W297" s="650"/>
      <c r="X297" s="650"/>
      <c r="Y297" s="650"/>
      <c r="Z297" s="650"/>
      <c r="AA297" s="650"/>
      <c r="AB297" s="650"/>
      <c r="AC297" s="650"/>
      <c r="AD297" s="650"/>
      <c r="AE297" s="650"/>
      <c r="AF297" s="650"/>
      <c r="AG297" s="650"/>
      <c r="AH297" s="650"/>
      <c r="AI297" s="650" t="s">
        <v>695</v>
      </c>
      <c r="AJ297" s="650"/>
      <c r="AK297" s="650"/>
      <c r="AL297" s="650"/>
      <c r="AM297" s="650"/>
    </row>
    <row r="298" spans="1:39">
      <c r="A298" s="649" t="s">
        <v>746</v>
      </c>
      <c r="B298" s="649"/>
      <c r="C298" s="649"/>
      <c r="D298" s="649"/>
      <c r="E298" s="649"/>
      <c r="F298" s="649"/>
      <c r="G298" s="649"/>
      <c r="H298" s="649"/>
      <c r="I298" s="649"/>
      <c r="J298" s="649"/>
      <c r="K298" s="649"/>
      <c r="L298" s="649"/>
      <c r="M298" s="650" t="str">
        <f>VLOOKUP(AI298,'Inchidere contur'!$G:$U,15,FALSE)</f>
        <v>JT_SDI</v>
      </c>
      <c r="N298" s="650"/>
      <c r="O298" s="650"/>
      <c r="P298" s="650"/>
      <c r="Q298" s="650"/>
      <c r="R298" s="650"/>
      <c r="S298" s="650"/>
      <c r="T298" s="650"/>
      <c r="U298" s="650"/>
      <c r="V298" s="650"/>
      <c r="W298" s="650"/>
      <c r="X298" s="650"/>
      <c r="Y298" s="650"/>
      <c r="Z298" s="650"/>
      <c r="AA298" s="650"/>
      <c r="AB298" s="650"/>
      <c r="AC298" s="650"/>
      <c r="AD298" s="650"/>
      <c r="AE298" s="650"/>
      <c r="AF298" s="650"/>
      <c r="AG298" s="650"/>
      <c r="AH298" s="650"/>
      <c r="AI298" s="619" t="str">
        <f>_xlfn.CONCAT($AA$294,".",1)</f>
        <v>RMEG_2.1</v>
      </c>
      <c r="AJ298" s="619"/>
      <c r="AK298" s="619"/>
      <c r="AL298" s="619"/>
      <c r="AM298" s="619"/>
    </row>
    <row r="299" spans="1:39">
      <c r="A299" s="649" t="s">
        <v>747</v>
      </c>
      <c r="B299" s="649"/>
      <c r="C299" s="649"/>
      <c r="D299" s="649"/>
      <c r="E299" s="649"/>
      <c r="F299" s="649"/>
      <c r="G299" s="649"/>
      <c r="H299" s="649"/>
      <c r="I299" s="649"/>
      <c r="J299" s="649"/>
      <c r="K299" s="649"/>
      <c r="L299" s="649"/>
      <c r="M299" s="650" t="str">
        <f>IF(LEFT(M298,2)="JT","0.4kV",IF(LEFT(M298,2)="MT","20kV","-"))</f>
        <v>0.4kV</v>
      </c>
      <c r="N299" s="650"/>
      <c r="O299" s="650"/>
      <c r="P299" s="650"/>
      <c r="Q299" s="650"/>
      <c r="R299" s="650"/>
      <c r="S299" s="650"/>
      <c r="T299" s="650"/>
      <c r="U299" s="650"/>
      <c r="V299" s="650"/>
      <c r="W299" s="650"/>
      <c r="X299" s="650"/>
      <c r="Y299" s="650"/>
      <c r="Z299" s="650"/>
      <c r="AA299" s="650"/>
      <c r="AB299" s="650"/>
      <c r="AC299" s="650"/>
      <c r="AD299" s="650"/>
      <c r="AE299" s="650"/>
      <c r="AF299" s="650"/>
      <c r="AG299" s="650"/>
      <c r="AH299" s="650"/>
      <c r="AI299" s="619"/>
      <c r="AJ299" s="619"/>
      <c r="AK299" s="619"/>
      <c r="AL299" s="619"/>
      <c r="AM299" s="619"/>
    </row>
    <row r="300" spans="1:39" ht="15.95" customHeight="1">
      <c r="A300" s="648" t="s">
        <v>697</v>
      </c>
      <c r="B300" s="648"/>
      <c r="C300" s="648"/>
      <c r="D300" s="648"/>
      <c r="E300" s="648"/>
      <c r="F300" s="648"/>
      <c r="G300" s="647" t="s">
        <v>713</v>
      </c>
      <c r="H300" s="647"/>
      <c r="I300" s="647"/>
      <c r="J300" s="647" t="s">
        <v>714</v>
      </c>
      <c r="K300" s="647"/>
      <c r="L300" s="647"/>
      <c r="M300" s="648" t="s">
        <v>519</v>
      </c>
      <c r="N300" s="648"/>
      <c r="O300" s="648" t="s">
        <v>715</v>
      </c>
      <c r="P300" s="648"/>
      <c r="Q300" s="648"/>
      <c r="R300" s="647" t="s">
        <v>732</v>
      </c>
      <c r="S300" s="647"/>
      <c r="T300" s="647"/>
      <c r="U300" s="647" t="s">
        <v>734</v>
      </c>
      <c r="V300" s="647"/>
      <c r="W300" s="647"/>
      <c r="X300" s="647" t="s">
        <v>1085</v>
      </c>
      <c r="Y300" s="647"/>
      <c r="Z300" s="647"/>
      <c r="AA300" s="647" t="s">
        <v>1086</v>
      </c>
      <c r="AB300" s="647"/>
      <c r="AC300" s="647"/>
      <c r="AD300" s="647" t="s">
        <v>717</v>
      </c>
      <c r="AE300" s="647"/>
      <c r="AF300" s="647" t="s">
        <v>718</v>
      </c>
      <c r="AG300" s="647"/>
      <c r="AH300" s="647"/>
      <c r="AI300" s="647" t="s">
        <v>719</v>
      </c>
      <c r="AJ300" s="647"/>
      <c r="AK300" s="647" t="s">
        <v>733</v>
      </c>
      <c r="AL300" s="647"/>
      <c r="AM300" s="647"/>
    </row>
    <row r="301" spans="1:39">
      <c r="A301" s="648"/>
      <c r="B301" s="648"/>
      <c r="C301" s="648"/>
      <c r="D301" s="648"/>
      <c r="E301" s="648"/>
      <c r="F301" s="648"/>
      <c r="G301" s="647"/>
      <c r="H301" s="647"/>
      <c r="I301" s="647"/>
      <c r="J301" s="647"/>
      <c r="K301" s="647"/>
      <c r="L301" s="647"/>
      <c r="M301" s="648"/>
      <c r="N301" s="648"/>
      <c r="O301" s="648"/>
      <c r="P301" s="648"/>
      <c r="Q301" s="648"/>
      <c r="R301" s="647"/>
      <c r="S301" s="647"/>
      <c r="T301" s="647"/>
      <c r="U301" s="647"/>
      <c r="V301" s="647"/>
      <c r="W301" s="647"/>
      <c r="X301" s="647"/>
      <c r="Y301" s="647"/>
      <c r="Z301" s="647"/>
      <c r="AA301" s="647"/>
      <c r="AB301" s="647"/>
      <c r="AC301" s="647"/>
      <c r="AD301" s="647"/>
      <c r="AE301" s="647"/>
      <c r="AF301" s="647"/>
      <c r="AG301" s="647"/>
      <c r="AH301" s="647"/>
      <c r="AI301" s="647"/>
      <c r="AJ301" s="647"/>
      <c r="AK301" s="647"/>
      <c r="AL301" s="647"/>
      <c r="AM301" s="647"/>
    </row>
    <row r="302" spans="1:39">
      <c r="A302" s="648"/>
      <c r="B302" s="648"/>
      <c r="C302" s="648"/>
      <c r="D302" s="648"/>
      <c r="E302" s="648"/>
      <c r="F302" s="648"/>
      <c r="G302" s="647"/>
      <c r="H302" s="647"/>
      <c r="I302" s="647"/>
      <c r="J302" s="713"/>
      <c r="K302" s="713"/>
      <c r="L302" s="713"/>
      <c r="M302" s="648"/>
      <c r="N302" s="648"/>
      <c r="O302" s="648"/>
      <c r="P302" s="648"/>
      <c r="Q302" s="648"/>
      <c r="R302" s="647"/>
      <c r="S302" s="647"/>
      <c r="T302" s="647"/>
      <c r="U302" s="647"/>
      <c r="V302" s="647"/>
      <c r="W302" s="647"/>
      <c r="X302" s="647"/>
      <c r="Y302" s="647"/>
      <c r="Z302" s="647"/>
      <c r="AA302" s="647"/>
      <c r="AB302" s="647"/>
      <c r="AC302" s="647"/>
      <c r="AD302" s="647"/>
      <c r="AE302" s="647"/>
      <c r="AF302" s="647"/>
      <c r="AG302" s="647"/>
      <c r="AH302" s="647"/>
      <c r="AI302" s="647"/>
      <c r="AJ302" s="647"/>
      <c r="AK302" s="647"/>
      <c r="AL302" s="647"/>
      <c r="AM302" s="647"/>
    </row>
    <row r="303" spans="1:39" ht="14.1" customHeight="1">
      <c r="A303" s="684" t="str">
        <f>VLOOKUP(AI298,'Contorizare in SDI'!$E:$I,5,FALSE)</f>
        <v>V.22G90290210104573/1</v>
      </c>
      <c r="B303" s="685"/>
      <c r="C303" s="685"/>
      <c r="D303" s="685"/>
      <c r="E303" s="685"/>
      <c r="F303" s="686"/>
      <c r="G303" s="648" t="s">
        <v>730</v>
      </c>
      <c r="H303" s="648"/>
      <c r="I303" s="673"/>
      <c r="J303" s="655">
        <f>'Date masura OD'!$AK$5</f>
        <v>45748</v>
      </c>
      <c r="K303" s="656"/>
      <c r="L303" s="657"/>
      <c r="M303" s="720" t="s">
        <v>446</v>
      </c>
      <c r="N303" s="648"/>
      <c r="O303" s="648">
        <f>VLOOKUP(AI298,'Incrementare indexe'!$B:$T,4,FALSE)</f>
        <v>1</v>
      </c>
      <c r="P303" s="648"/>
      <c r="Q303" s="648"/>
      <c r="R303" s="647" t="str">
        <f>VLOOKUP(A303,Regularizare!$D:$YN,3,FALSE)&amp;" ("&amp;VLOOKUP(A303,Regularizare!$D:$Y,11,FALSE)&amp;")"</f>
        <v>2895043 (citit)</v>
      </c>
      <c r="S303" s="647"/>
      <c r="T303" s="647"/>
      <c r="U303" s="647" t="str">
        <f>VLOOKUP(A303,Regularizare!$D:$U,4,FALSE)&amp;" ("&amp;VLOOKUP(A303,Regularizare!$D:$U,12,FALSE)&amp;")"</f>
        <v>3070261 (estimat)</v>
      </c>
      <c r="V303" s="647"/>
      <c r="W303" s="647"/>
      <c r="X303" s="647" t="str">
        <f>VLOOKUP(A303,Regularizare!$D:$Y,19,FALSE)&amp;" ("&amp;VLOOKUP(A303,Regularizare!$D:$U,12,FALSE)&amp;")"</f>
        <v>175218 (estimat)</v>
      </c>
      <c r="Y303" s="647"/>
      <c r="Z303" s="647"/>
      <c r="AA303" s="647">
        <f>(-1)*VLOOKUP(A303,Regularizare!$D:$Y,19,FALSE)</f>
        <v>-175218</v>
      </c>
      <c r="AB303" s="647"/>
      <c r="AC303" s="647"/>
      <c r="AD303" s="647" t="s">
        <v>69</v>
      </c>
      <c r="AE303" s="647"/>
      <c r="AF303" s="647">
        <f>AA303</f>
        <v>-175218</v>
      </c>
      <c r="AG303" s="647"/>
      <c r="AH303" s="647"/>
      <c r="AI303" s="647" t="s">
        <v>69</v>
      </c>
      <c r="AJ303" s="647"/>
      <c r="AK303" s="647" t="s">
        <v>69</v>
      </c>
      <c r="AL303" s="647"/>
      <c r="AM303" s="647"/>
    </row>
    <row r="304" spans="1:39" ht="9.75" customHeight="1">
      <c r="A304" s="727"/>
      <c r="B304" s="729"/>
      <c r="C304" s="729"/>
      <c r="D304" s="729"/>
      <c r="E304" s="729"/>
      <c r="F304" s="728"/>
      <c r="G304" s="648"/>
      <c r="H304" s="648"/>
      <c r="I304" s="673"/>
      <c r="J304" s="717" t="s">
        <v>69</v>
      </c>
      <c r="K304" s="718"/>
      <c r="L304" s="719"/>
      <c r="M304" s="720"/>
      <c r="N304" s="648"/>
      <c r="O304" s="648"/>
      <c r="P304" s="648"/>
      <c r="Q304" s="648"/>
      <c r="R304" s="647"/>
      <c r="S304" s="647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647"/>
      <c r="AG304" s="647"/>
      <c r="AH304" s="647"/>
      <c r="AI304" s="647"/>
      <c r="AJ304" s="647"/>
      <c r="AK304" s="647"/>
      <c r="AL304" s="647"/>
      <c r="AM304" s="647"/>
    </row>
    <row r="305" spans="1:39" ht="14.1" customHeight="1">
      <c r="A305" s="687"/>
      <c r="B305" s="688"/>
      <c r="C305" s="688"/>
      <c r="D305" s="688"/>
      <c r="E305" s="688"/>
      <c r="F305" s="689"/>
      <c r="G305" s="648"/>
      <c r="H305" s="648"/>
      <c r="I305" s="673"/>
      <c r="J305" s="714">
        <f>'Date masura OD'!$AL$5</f>
        <v>45777</v>
      </c>
      <c r="K305" s="715"/>
      <c r="L305" s="716"/>
      <c r="M305" s="720"/>
      <c r="N305" s="648"/>
      <c r="O305" s="648"/>
      <c r="P305" s="648"/>
      <c r="Q305" s="648"/>
      <c r="R305" s="647"/>
      <c r="S305" s="647"/>
      <c r="T305" s="647"/>
      <c r="U305" s="647"/>
      <c r="V305" s="647"/>
      <c r="W305" s="647"/>
      <c r="X305" s="647"/>
      <c r="Y305" s="647"/>
      <c r="Z305" s="647"/>
      <c r="AA305" s="647"/>
      <c r="AB305" s="647"/>
      <c r="AC305" s="647"/>
      <c r="AD305" s="647"/>
      <c r="AE305" s="647"/>
      <c r="AF305" s="647"/>
      <c r="AG305" s="647"/>
      <c r="AH305" s="647"/>
      <c r="AI305" s="647"/>
      <c r="AJ305" s="647"/>
      <c r="AK305" s="647"/>
      <c r="AL305" s="647"/>
      <c r="AM305" s="647"/>
    </row>
    <row r="306" spans="1:39" ht="14.1" customHeight="1">
      <c r="A306" s="684" t="str">
        <f>A303</f>
        <v>V.22G90290210104573/1</v>
      </c>
      <c r="B306" s="685"/>
      <c r="C306" s="685"/>
      <c r="D306" s="685"/>
      <c r="E306" s="685"/>
      <c r="F306" s="686"/>
      <c r="G306" s="648" t="s">
        <v>696</v>
      </c>
      <c r="H306" s="648"/>
      <c r="I306" s="648"/>
      <c r="J306" s="655">
        <f t="shared" ref="J306:J311" si="16">J303</f>
        <v>45748</v>
      </c>
      <c r="K306" s="656"/>
      <c r="L306" s="657"/>
      <c r="M306" s="648" t="s">
        <v>720</v>
      </c>
      <c r="N306" s="648"/>
      <c r="O306" s="648">
        <f>O303</f>
        <v>1</v>
      </c>
      <c r="P306" s="648"/>
      <c r="Q306" s="648"/>
      <c r="R306" s="647" t="str">
        <f>VLOOKUP(A306,Regularizare!$D:$U,7,FALSE)&amp;" ("&amp;VLOOKUP(A306,Regularizare!$D:$U,15,FALSE)&amp;")"</f>
        <v>148188 (citit)</v>
      </c>
      <c r="S306" s="647"/>
      <c r="T306" s="647"/>
      <c r="U306" s="647" t="str">
        <f>VLOOKUP(A306,Regularizare!$D:$U,8,FALSE)&amp;" ("&amp;VLOOKUP(A306,Regularizare!$D:$U,16,FALSE)&amp;")"</f>
        <v>148188 (estimat)</v>
      </c>
      <c r="V306" s="647"/>
      <c r="W306" s="647"/>
      <c r="X306" s="647" t="str">
        <f>_xlfn.CONCAT(VLOOKUP(A306,Regularizare!$D:$U,8,FALSE)-VLOOKUP(A306,Regularizare!$D:$U,7,FALSE)," (",VLOOKUP(A306,Regularizare!$D:$U,16,FALSE),")")</f>
        <v>0 (estimat)</v>
      </c>
      <c r="Y306" s="647"/>
      <c r="Z306" s="647"/>
      <c r="AA306" s="647">
        <f>IF(VLOOKUP(A306,Regularizare!$D:$Y,21,FALSE)=0,VLOOKUP(A306,Regularizare!$D:$Y,21,FALSE),(-1)*VLOOKUP(A306,Regularizare!$D:$Y,21,FALSE))</f>
        <v>0</v>
      </c>
      <c r="AB306" s="647"/>
      <c r="AC306" s="647"/>
      <c r="AD306" s="647" t="s">
        <v>69</v>
      </c>
      <c r="AE306" s="647"/>
      <c r="AF306" s="647">
        <f>AA306</f>
        <v>0</v>
      </c>
      <c r="AG306" s="647"/>
      <c r="AH306" s="647"/>
      <c r="AI306" s="647" t="str">
        <f>AI303</f>
        <v>-</v>
      </c>
      <c r="AJ306" s="647"/>
      <c r="AK306" s="647" t="str">
        <f>AK303</f>
        <v>-</v>
      </c>
      <c r="AL306" s="647"/>
      <c r="AM306" s="647"/>
    </row>
    <row r="307" spans="1:39" ht="8.4499999999999993" customHeight="1">
      <c r="A307" s="727"/>
      <c r="B307" s="729"/>
      <c r="C307" s="729"/>
      <c r="D307" s="729"/>
      <c r="E307" s="729"/>
      <c r="F307" s="728"/>
      <c r="G307" s="648"/>
      <c r="H307" s="648"/>
      <c r="I307" s="648"/>
      <c r="J307" s="717" t="str">
        <f t="shared" si="16"/>
        <v>-</v>
      </c>
      <c r="K307" s="718"/>
      <c r="L307" s="719"/>
      <c r="M307" s="648"/>
      <c r="N307" s="648"/>
      <c r="O307" s="648"/>
      <c r="P307" s="648"/>
      <c r="Q307" s="648"/>
      <c r="R307" s="647"/>
      <c r="S307" s="647"/>
      <c r="T307" s="647"/>
      <c r="U307" s="647"/>
      <c r="V307" s="647"/>
      <c r="W307" s="647"/>
      <c r="X307" s="647"/>
      <c r="Y307" s="647"/>
      <c r="Z307" s="647"/>
      <c r="AA307" s="647"/>
      <c r="AB307" s="647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</row>
    <row r="308" spans="1:39" ht="14.1" customHeight="1">
      <c r="A308" s="687"/>
      <c r="B308" s="688"/>
      <c r="C308" s="688"/>
      <c r="D308" s="688"/>
      <c r="E308" s="688"/>
      <c r="F308" s="689"/>
      <c r="G308" s="648"/>
      <c r="H308" s="648"/>
      <c r="I308" s="648"/>
      <c r="J308" s="714">
        <f t="shared" si="16"/>
        <v>45777</v>
      </c>
      <c r="K308" s="715"/>
      <c r="L308" s="716"/>
      <c r="M308" s="648"/>
      <c r="N308" s="648"/>
      <c r="O308" s="648"/>
      <c r="P308" s="648"/>
      <c r="Q308" s="648"/>
      <c r="R308" s="647"/>
      <c r="S308" s="647"/>
      <c r="T308" s="647"/>
      <c r="U308" s="647"/>
      <c r="V308" s="647"/>
      <c r="W308" s="647"/>
      <c r="X308" s="647"/>
      <c r="Y308" s="647"/>
      <c r="Z308" s="647"/>
      <c r="AA308" s="647"/>
      <c r="AB308" s="647"/>
      <c r="AC308" s="647"/>
      <c r="AD308" s="647"/>
      <c r="AE308" s="647"/>
      <c r="AF308" s="647"/>
      <c r="AG308" s="647"/>
      <c r="AH308" s="647"/>
      <c r="AI308" s="647"/>
      <c r="AJ308" s="647"/>
      <c r="AK308" s="647"/>
      <c r="AL308" s="647"/>
      <c r="AM308" s="647"/>
    </row>
    <row r="309" spans="1:39" ht="14.1" customHeight="1">
      <c r="A309" s="684" t="str">
        <f>A306</f>
        <v>V.22G90290210104573/1</v>
      </c>
      <c r="B309" s="685"/>
      <c r="C309" s="685"/>
      <c r="D309" s="685"/>
      <c r="E309" s="685"/>
      <c r="F309" s="686"/>
      <c r="G309" s="648" t="s">
        <v>731</v>
      </c>
      <c r="H309" s="648"/>
      <c r="I309" s="648"/>
      <c r="J309" s="655">
        <f t="shared" si="16"/>
        <v>45748</v>
      </c>
      <c r="K309" s="656"/>
      <c r="L309" s="657"/>
      <c r="M309" s="648" t="s">
        <v>720</v>
      </c>
      <c r="N309" s="648"/>
      <c r="O309" s="648">
        <f>O306</f>
        <v>1</v>
      </c>
      <c r="P309" s="648"/>
      <c r="Q309" s="648"/>
      <c r="R309" s="647" t="str">
        <f>VLOOKUP(A309,Regularizare!$D:$U,9,FALSE)&amp;" ("&amp;VLOOKUP(A309,Regularizare!$D:$U,17,FALSE)&amp;")"</f>
        <v>100 (citit)</v>
      </c>
      <c r="S309" s="647"/>
      <c r="T309" s="647"/>
      <c r="U309" s="647" t="str">
        <f>VLOOKUP(A309,Regularizare!$D:$U,10,FALSE)&amp;" ("&amp;VLOOKUP(A309,Regularizare!$D:$U,18,FALSE)&amp;")"</f>
        <v>100 (estimat)</v>
      </c>
      <c r="V309" s="647"/>
      <c r="W309" s="647"/>
      <c r="X309" s="647" t="str">
        <f>_xlfn.CONCAT(VLOOKUP(A309,Regularizare!$D:$U,10,FALSE)-VLOOKUP(A309,Regularizare!$D:$U,9,FALSE)," (",VLOOKUP(A309,Regularizare!$D:$U,18,FALSE),")")</f>
        <v>0 (estimat)</v>
      </c>
      <c r="Y309" s="647"/>
      <c r="Z309" s="647"/>
      <c r="AA309" s="647">
        <f>IF(VLOOKUP(A309,Regularizare!$D:$Y,22,FALSE)=0,VLOOKUP(A309,Regularizare!$D:$Y,22,FALSE),(-1)*VLOOKUP(A309,Regularizare!$D:$Y,22,FALSE))</f>
        <v>0</v>
      </c>
      <c r="AB309" s="647"/>
      <c r="AC309" s="647"/>
      <c r="AD309" s="647" t="s">
        <v>69</v>
      </c>
      <c r="AE309" s="647"/>
      <c r="AF309" s="647">
        <f>AA309</f>
        <v>0</v>
      </c>
      <c r="AG309" s="647"/>
      <c r="AH309" s="647"/>
      <c r="AI309" s="647" t="str">
        <f>AI306</f>
        <v>-</v>
      </c>
      <c r="AJ309" s="647"/>
      <c r="AK309" s="647" t="str">
        <f>AK306</f>
        <v>-</v>
      </c>
      <c r="AL309" s="647"/>
      <c r="AM309" s="647"/>
    </row>
    <row r="310" spans="1:39" ht="8.4499999999999993" customHeight="1">
      <c r="A310" s="727"/>
      <c r="B310" s="729"/>
      <c r="C310" s="729"/>
      <c r="D310" s="729"/>
      <c r="E310" s="729"/>
      <c r="F310" s="728"/>
      <c r="G310" s="648"/>
      <c r="H310" s="648"/>
      <c r="I310" s="648"/>
      <c r="J310" s="717" t="str">
        <f t="shared" si="16"/>
        <v>-</v>
      </c>
      <c r="K310" s="718"/>
      <c r="L310" s="719"/>
      <c r="M310" s="648"/>
      <c r="N310" s="648"/>
      <c r="O310" s="648"/>
      <c r="P310" s="648"/>
      <c r="Q310" s="648"/>
      <c r="R310" s="647"/>
      <c r="S310" s="647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647"/>
      <c r="AL310" s="647"/>
      <c r="AM310" s="647"/>
    </row>
    <row r="311" spans="1:39" ht="14.1" customHeight="1">
      <c r="A311" s="687"/>
      <c r="B311" s="688"/>
      <c r="C311" s="688"/>
      <c r="D311" s="688"/>
      <c r="E311" s="688"/>
      <c r="F311" s="689"/>
      <c r="G311" s="648"/>
      <c r="H311" s="648"/>
      <c r="I311" s="648"/>
      <c r="J311" s="714">
        <f t="shared" si="16"/>
        <v>45777</v>
      </c>
      <c r="K311" s="715"/>
      <c r="L311" s="716"/>
      <c r="M311" s="648"/>
      <c r="N311" s="648"/>
      <c r="O311" s="648"/>
      <c r="P311" s="648"/>
      <c r="Q311" s="648"/>
      <c r="R311" s="647"/>
      <c r="S311" s="647"/>
      <c r="T311" s="647"/>
      <c r="U311" s="647"/>
      <c r="V311" s="647"/>
      <c r="W311" s="647"/>
      <c r="X311" s="647"/>
      <c r="Y311" s="647"/>
      <c r="Z311" s="647"/>
      <c r="AA311" s="647"/>
      <c r="AB311" s="647"/>
      <c r="AC311" s="647"/>
      <c r="AD311" s="647"/>
      <c r="AE311" s="647"/>
      <c r="AF311" s="647"/>
      <c r="AG311" s="647"/>
      <c r="AH311" s="647"/>
      <c r="AI311" s="647"/>
      <c r="AJ311" s="647"/>
      <c r="AK311" s="647"/>
      <c r="AL311" s="647"/>
      <c r="AM311" s="647"/>
    </row>
    <row r="312" spans="1:39" ht="14.1" customHeight="1">
      <c r="A312" s="684" t="str">
        <f>A309</f>
        <v>V.22G90290210104573/1</v>
      </c>
      <c r="B312" s="685"/>
      <c r="C312" s="685"/>
      <c r="D312" s="685"/>
      <c r="E312" s="685"/>
      <c r="F312" s="686"/>
      <c r="G312" s="648" t="s">
        <v>730</v>
      </c>
      <c r="H312" s="648"/>
      <c r="I312" s="673"/>
      <c r="J312" s="655">
        <f>'Date masura OD'!$AK$5</f>
        <v>45748</v>
      </c>
      <c r="K312" s="656"/>
      <c r="L312" s="657"/>
      <c r="M312" s="720" t="s">
        <v>446</v>
      </c>
      <c r="N312" s="648"/>
      <c r="O312" s="648">
        <f>O309</f>
        <v>1</v>
      </c>
      <c r="P312" s="648"/>
      <c r="Q312" s="648"/>
      <c r="R312" s="647" t="str">
        <f>VLOOKUP(A312,Regularizare!$D:$AX,23,FALSE)&amp;" ("&amp;VLOOKUP(A312,Regularizare!$D:$AX,24,FALSE)&amp;")"</f>
        <v>2895043 (citit)</v>
      </c>
      <c r="S312" s="647"/>
      <c r="T312" s="647"/>
      <c r="U312" s="647" t="str">
        <f>VLOOKUP(A312,Regularizare!$D:$AX,25,FALSE)&amp;" ("&amp;VLOOKUP(A312,Regularizare!$D:$AX,26,FALSE)&amp;")"</f>
        <v>3070261 (citit)</v>
      </c>
      <c r="V312" s="647"/>
      <c r="W312" s="647"/>
      <c r="X312" s="647" t="str">
        <f>VLOOKUP(A312,Regularizare!$D:$AX,37,FALSE)&amp;" ("&amp;VLOOKUP(A312,Regularizare!$D:$AX,26,FALSE)&amp;")"</f>
        <v>175218 (citit)</v>
      </c>
      <c r="Y312" s="647"/>
      <c r="Z312" s="647"/>
      <c r="AA312" s="647">
        <f>VLOOKUP(A312,Regularizare!$D:$AX,37,FALSE)</f>
        <v>175218</v>
      </c>
      <c r="AB312" s="647"/>
      <c r="AC312" s="647"/>
      <c r="AD312" s="647" t="s">
        <v>69</v>
      </c>
      <c r="AE312" s="647"/>
      <c r="AF312" s="647">
        <f>AA312</f>
        <v>175218</v>
      </c>
      <c r="AG312" s="647"/>
      <c r="AH312" s="647"/>
      <c r="AI312" s="647" t="str">
        <f>AI309</f>
        <v>-</v>
      </c>
      <c r="AJ312" s="647"/>
      <c r="AK312" s="647" t="str">
        <f>AK309</f>
        <v>-</v>
      </c>
      <c r="AL312" s="647"/>
      <c r="AM312" s="647"/>
    </row>
    <row r="313" spans="1:39" ht="8.4499999999999993" customHeight="1">
      <c r="A313" s="727"/>
      <c r="B313" s="729"/>
      <c r="C313" s="729"/>
      <c r="D313" s="729"/>
      <c r="E313" s="729"/>
      <c r="F313" s="728"/>
      <c r="G313" s="648"/>
      <c r="H313" s="648"/>
      <c r="I313" s="673"/>
      <c r="J313" s="717" t="s">
        <v>69</v>
      </c>
      <c r="K313" s="718"/>
      <c r="L313" s="719"/>
      <c r="M313" s="720"/>
      <c r="N313" s="648"/>
      <c r="O313" s="648"/>
      <c r="P313" s="648"/>
      <c r="Q313" s="648"/>
      <c r="R313" s="647"/>
      <c r="S313" s="647"/>
      <c r="T313" s="647"/>
      <c r="U313" s="647"/>
      <c r="V313" s="647"/>
      <c r="W313" s="647"/>
      <c r="X313" s="647"/>
      <c r="Y313" s="647"/>
      <c r="Z313" s="647"/>
      <c r="AA313" s="647"/>
      <c r="AB313" s="647"/>
      <c r="AC313" s="647"/>
      <c r="AD313" s="647"/>
      <c r="AE313" s="647"/>
      <c r="AF313" s="647"/>
      <c r="AG313" s="647"/>
      <c r="AH313" s="647"/>
      <c r="AI313" s="647"/>
      <c r="AJ313" s="647"/>
      <c r="AK313" s="647"/>
      <c r="AL313" s="647"/>
      <c r="AM313" s="647"/>
    </row>
    <row r="314" spans="1:39" ht="14.1" customHeight="1">
      <c r="A314" s="687"/>
      <c r="B314" s="688"/>
      <c r="C314" s="688"/>
      <c r="D314" s="688"/>
      <c r="E314" s="688"/>
      <c r="F314" s="689"/>
      <c r="G314" s="648"/>
      <c r="H314" s="648"/>
      <c r="I314" s="673"/>
      <c r="J314" s="714">
        <f>'Date masura OD'!$AL$5</f>
        <v>45777</v>
      </c>
      <c r="K314" s="715"/>
      <c r="L314" s="716"/>
      <c r="M314" s="720"/>
      <c r="N314" s="648"/>
      <c r="O314" s="648"/>
      <c r="P314" s="648"/>
      <c r="Q314" s="648"/>
      <c r="R314" s="647"/>
      <c r="S314" s="647"/>
      <c r="T314" s="647"/>
      <c r="U314" s="647"/>
      <c r="V314" s="647"/>
      <c r="W314" s="647"/>
      <c r="X314" s="647"/>
      <c r="Y314" s="647"/>
      <c r="Z314" s="647"/>
      <c r="AA314" s="647"/>
      <c r="AB314" s="647"/>
      <c r="AC314" s="647"/>
      <c r="AD314" s="647"/>
      <c r="AE314" s="647"/>
      <c r="AF314" s="647"/>
      <c r="AG314" s="647"/>
      <c r="AH314" s="647"/>
      <c r="AI314" s="647"/>
      <c r="AJ314" s="647"/>
      <c r="AK314" s="647"/>
      <c r="AL314" s="647"/>
      <c r="AM314" s="647"/>
    </row>
    <row r="315" spans="1:39" ht="14.1" customHeight="1">
      <c r="A315" s="684" t="str">
        <f>A312</f>
        <v>V.22G90290210104573/1</v>
      </c>
      <c r="B315" s="685"/>
      <c r="C315" s="685"/>
      <c r="D315" s="685"/>
      <c r="E315" s="685"/>
      <c r="F315" s="686"/>
      <c r="G315" s="648" t="s">
        <v>696</v>
      </c>
      <c r="H315" s="648"/>
      <c r="I315" s="648"/>
      <c r="J315" s="655">
        <f t="shared" ref="J315:J320" si="17">J312</f>
        <v>45748</v>
      </c>
      <c r="K315" s="656"/>
      <c r="L315" s="657"/>
      <c r="M315" s="648" t="s">
        <v>720</v>
      </c>
      <c r="N315" s="648"/>
      <c r="O315" s="648">
        <f>O312</f>
        <v>1</v>
      </c>
      <c r="P315" s="648"/>
      <c r="Q315" s="648"/>
      <c r="R315" s="647" t="str">
        <f>VLOOKUP(A315,Regularizare!$D:$AX,29,FALSE)&amp;" ("&amp;VLOOKUP(A315,Regularizare!$D:$AX,30,FALSE)&amp;")"</f>
        <v>148188 (citit)</v>
      </c>
      <c r="S315" s="647"/>
      <c r="T315" s="647"/>
      <c r="U315" s="647" t="str">
        <f>VLOOKUP(A315,Regularizare!$D:$AX,31,FALSE)&amp;" ("&amp;VLOOKUP(A315,Regularizare!$D:$AX,32,FALSE)&amp;")"</f>
        <v>148188 (citit)</v>
      </c>
      <c r="V315" s="647"/>
      <c r="W315" s="647"/>
      <c r="X315" s="647" t="str">
        <f>VLOOKUP(A315,Regularizare!$D:$AX,39,FALSE)&amp;" ("&amp;VLOOKUP(A315,Regularizare!$D:$AX,32,FALSE)&amp;")"</f>
        <v>0 (citit)</v>
      </c>
      <c r="Y315" s="647"/>
      <c r="Z315" s="647"/>
      <c r="AA315" s="647">
        <f>VLOOKUP(A315,Regularizare!$D:$AX,44,FALSE)+VLOOKUP(A315,Regularizare!$D:$AX,45,FALSE)</f>
        <v>0</v>
      </c>
      <c r="AB315" s="647"/>
      <c r="AC315" s="647"/>
      <c r="AD315" s="647" t="s">
        <v>69</v>
      </c>
      <c r="AE315" s="647"/>
      <c r="AF315" s="647">
        <f>AA315</f>
        <v>0</v>
      </c>
      <c r="AG315" s="647"/>
      <c r="AH315" s="647"/>
      <c r="AI315" s="647" t="str">
        <f>AI312</f>
        <v>-</v>
      </c>
      <c r="AJ315" s="647"/>
      <c r="AK315" s="647" t="str">
        <f>AK312</f>
        <v>-</v>
      </c>
      <c r="AL315" s="647"/>
      <c r="AM315" s="647"/>
    </row>
    <row r="316" spans="1:39" ht="8.4499999999999993" customHeight="1">
      <c r="A316" s="727"/>
      <c r="B316" s="729"/>
      <c r="C316" s="729"/>
      <c r="D316" s="729"/>
      <c r="E316" s="729"/>
      <c r="F316" s="728"/>
      <c r="G316" s="648"/>
      <c r="H316" s="648"/>
      <c r="I316" s="648"/>
      <c r="J316" s="717" t="str">
        <f t="shared" si="17"/>
        <v>-</v>
      </c>
      <c r="K316" s="718"/>
      <c r="L316" s="719"/>
      <c r="M316" s="648"/>
      <c r="N316" s="648"/>
      <c r="O316" s="648"/>
      <c r="P316" s="648"/>
      <c r="Q316" s="648"/>
      <c r="R316" s="647"/>
      <c r="S316" s="647"/>
      <c r="T316" s="647"/>
      <c r="U316" s="647"/>
      <c r="V316" s="647"/>
      <c r="W316" s="647"/>
      <c r="X316" s="647"/>
      <c r="Y316" s="647"/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647"/>
      <c r="AL316" s="647"/>
      <c r="AM316" s="647"/>
    </row>
    <row r="317" spans="1:39" ht="14.1" customHeight="1">
      <c r="A317" s="687"/>
      <c r="B317" s="688"/>
      <c r="C317" s="688"/>
      <c r="D317" s="688"/>
      <c r="E317" s="688"/>
      <c r="F317" s="689"/>
      <c r="G317" s="648"/>
      <c r="H317" s="648"/>
      <c r="I317" s="648"/>
      <c r="J317" s="714">
        <f t="shared" si="17"/>
        <v>45777</v>
      </c>
      <c r="K317" s="715"/>
      <c r="L317" s="716"/>
      <c r="M317" s="648"/>
      <c r="N317" s="648"/>
      <c r="O317" s="648"/>
      <c r="P317" s="648"/>
      <c r="Q317" s="648"/>
      <c r="R317" s="647"/>
      <c r="S317" s="647"/>
      <c r="T317" s="647"/>
      <c r="U317" s="647"/>
      <c r="V317" s="647"/>
      <c r="W317" s="647"/>
      <c r="X317" s="647"/>
      <c r="Y317" s="647"/>
      <c r="Z317" s="647"/>
      <c r="AA317" s="647"/>
      <c r="AB317" s="647"/>
      <c r="AC317" s="647"/>
      <c r="AD317" s="647"/>
      <c r="AE317" s="647"/>
      <c r="AF317" s="647"/>
      <c r="AG317" s="647"/>
      <c r="AH317" s="647"/>
      <c r="AI317" s="647"/>
      <c r="AJ317" s="647"/>
      <c r="AK317" s="647"/>
      <c r="AL317" s="647"/>
      <c r="AM317" s="647"/>
    </row>
    <row r="318" spans="1:39" ht="14.1" customHeight="1">
      <c r="A318" s="684" t="str">
        <f>A315</f>
        <v>V.22G90290210104573/1</v>
      </c>
      <c r="B318" s="685"/>
      <c r="C318" s="685"/>
      <c r="D318" s="685"/>
      <c r="E318" s="685"/>
      <c r="F318" s="686"/>
      <c r="G318" s="648" t="s">
        <v>731</v>
      </c>
      <c r="H318" s="648"/>
      <c r="I318" s="648"/>
      <c r="J318" s="655">
        <f t="shared" si="17"/>
        <v>45748</v>
      </c>
      <c r="K318" s="656"/>
      <c r="L318" s="657"/>
      <c r="M318" s="648" t="s">
        <v>720</v>
      </c>
      <c r="N318" s="648"/>
      <c r="O318" s="648">
        <f>O315</f>
        <v>1</v>
      </c>
      <c r="P318" s="648"/>
      <c r="Q318" s="648"/>
      <c r="R318" s="647" t="str">
        <f>VLOOKUP(A318,Regularizare!$D:$AX,33,FALSE)&amp;" ("&amp;VLOOKUP(A318,Regularizare!$D:$AX,34,FALSE)&amp;")"</f>
        <v>100 (citit)</v>
      </c>
      <c r="S318" s="647"/>
      <c r="T318" s="647"/>
      <c r="U318" s="647" t="str">
        <f>VLOOKUP(A318,Regularizare!$D:$AX,35,FALSE)&amp;" ("&amp;VLOOKUP(A318,Regularizare!$D:$AX,36,FALSE)&amp;")"</f>
        <v>100 (citit)</v>
      </c>
      <c r="V318" s="647"/>
      <c r="W318" s="647"/>
      <c r="X318" s="647" t="str">
        <f>VLOOKUP(A318,Regularizare!$D:$AX,40,FALSE)&amp;" ("&amp;VLOOKUP(A318,Regularizare!$D:$AX,36,FALSE)&amp;")"</f>
        <v>0 (citit)</v>
      </c>
      <c r="Y318" s="647"/>
      <c r="Z318" s="647"/>
      <c r="AA318" s="647">
        <f>VLOOKUP(A318,Regularizare!$D:$AX,46,FALSE)+VLOOKUP(A318,Regularizare!$D:$AX,47,FALSE)</f>
        <v>0</v>
      </c>
      <c r="AB318" s="647"/>
      <c r="AC318" s="647"/>
      <c r="AD318" s="647" t="s">
        <v>69</v>
      </c>
      <c r="AE318" s="647"/>
      <c r="AF318" s="647">
        <f>AA318</f>
        <v>0</v>
      </c>
      <c r="AG318" s="647"/>
      <c r="AH318" s="647"/>
      <c r="AI318" s="647" t="str">
        <f>AI315</f>
        <v>-</v>
      </c>
      <c r="AJ318" s="647"/>
      <c r="AK318" s="647" t="str">
        <f>AK315</f>
        <v>-</v>
      </c>
      <c r="AL318" s="647"/>
      <c r="AM318" s="647"/>
    </row>
    <row r="319" spans="1:39" ht="8.4499999999999993" customHeight="1">
      <c r="A319" s="727"/>
      <c r="B319" s="729"/>
      <c r="C319" s="729"/>
      <c r="D319" s="729"/>
      <c r="E319" s="729"/>
      <c r="F319" s="728"/>
      <c r="G319" s="648"/>
      <c r="H319" s="648"/>
      <c r="I319" s="648"/>
      <c r="J319" s="717" t="str">
        <f t="shared" si="17"/>
        <v>-</v>
      </c>
      <c r="K319" s="718"/>
      <c r="L319" s="719"/>
      <c r="M319" s="648"/>
      <c r="N319" s="648"/>
      <c r="O319" s="648"/>
      <c r="P319" s="648"/>
      <c r="Q319" s="648"/>
      <c r="R319" s="647"/>
      <c r="S319" s="647"/>
      <c r="T319" s="647"/>
      <c r="U319" s="647"/>
      <c r="V319" s="647"/>
      <c r="W319" s="647"/>
      <c r="X319" s="647"/>
      <c r="Y319" s="647"/>
      <c r="Z319" s="647"/>
      <c r="AA319" s="647"/>
      <c r="AB319" s="647"/>
      <c r="AC319" s="647"/>
      <c r="AD319" s="647"/>
      <c r="AE319" s="647"/>
      <c r="AF319" s="647"/>
      <c r="AG319" s="647"/>
      <c r="AH319" s="647"/>
      <c r="AI319" s="647"/>
      <c r="AJ319" s="647"/>
      <c r="AK319" s="647"/>
      <c r="AL319" s="647"/>
      <c r="AM319" s="647"/>
    </row>
    <row r="320" spans="1:39" ht="14.1" customHeight="1">
      <c r="A320" s="687"/>
      <c r="B320" s="688"/>
      <c r="C320" s="688"/>
      <c r="D320" s="688"/>
      <c r="E320" s="688"/>
      <c r="F320" s="689"/>
      <c r="G320" s="648"/>
      <c r="H320" s="648"/>
      <c r="I320" s="648"/>
      <c r="J320" s="714">
        <f t="shared" si="17"/>
        <v>45777</v>
      </c>
      <c r="K320" s="715"/>
      <c r="L320" s="716"/>
      <c r="M320" s="648"/>
      <c r="N320" s="648"/>
      <c r="O320" s="648"/>
      <c r="P320" s="648"/>
      <c r="Q320" s="648"/>
      <c r="R320" s="647"/>
      <c r="S320" s="647"/>
      <c r="T320" s="647"/>
      <c r="U320" s="647"/>
      <c r="V320" s="647"/>
      <c r="W320" s="647"/>
      <c r="X320" s="647"/>
      <c r="Y320" s="647"/>
      <c r="Z320" s="647"/>
      <c r="AA320" s="647"/>
      <c r="AB320" s="647"/>
      <c r="AC320" s="647"/>
      <c r="AD320" s="647"/>
      <c r="AE320" s="647"/>
      <c r="AF320" s="647"/>
      <c r="AG320" s="647"/>
      <c r="AH320" s="647"/>
      <c r="AI320" s="647"/>
      <c r="AJ320" s="647"/>
      <c r="AK320" s="647"/>
      <c r="AL320" s="647"/>
      <c r="AM320" s="647"/>
    </row>
    <row r="321" spans="1:39" ht="14.1" customHeight="1">
      <c r="A321" s="684" t="str">
        <f>A318</f>
        <v>V.22G90290210104573/1</v>
      </c>
      <c r="B321" s="685"/>
      <c r="C321" s="685"/>
      <c r="D321" s="685"/>
      <c r="E321" s="685"/>
      <c r="F321" s="686"/>
      <c r="G321" s="648" t="s">
        <v>730</v>
      </c>
      <c r="H321" s="648"/>
      <c r="I321" s="673"/>
      <c r="J321" s="655">
        <f>'Date masura OD'!$I$5</f>
        <v>45778</v>
      </c>
      <c r="K321" s="656"/>
      <c r="L321" s="657"/>
      <c r="M321" s="720" t="s">
        <v>446</v>
      </c>
      <c r="N321" s="648"/>
      <c r="O321" s="648">
        <f>O318</f>
        <v>1</v>
      </c>
      <c r="P321" s="648"/>
      <c r="Q321" s="648"/>
      <c r="R321" s="647" t="str">
        <f>U312</f>
        <v>3070261 (citit)</v>
      </c>
      <c r="S321" s="647"/>
      <c r="T321" s="647"/>
      <c r="U321" s="647" t="str">
        <f>VLOOKUP(A321,'Incrementare indexe'!$D:$M,4,FALSE)&amp;" (estimat)"</f>
        <v>3264349 (estimat)</v>
      </c>
      <c r="V321" s="647"/>
      <c r="W321" s="647"/>
      <c r="X321" s="647" t="str">
        <f>VLOOKUP(A321,'Incrementare indexe'!$D:$Q,11,FALSE)&amp;" (estimat)"</f>
        <v>194088 (estimat)</v>
      </c>
      <c r="Y321" s="647"/>
      <c r="Z321" s="647"/>
      <c r="AA321" s="647" t="s">
        <v>69</v>
      </c>
      <c r="AB321" s="647"/>
      <c r="AC321" s="647"/>
      <c r="AD321" s="647" t="s">
        <v>69</v>
      </c>
      <c r="AE321" s="647"/>
      <c r="AF321" s="647">
        <f>VLOOKUP(A321,'Incrementare indexe'!$D:$Q,11,FALSE)</f>
        <v>194088</v>
      </c>
      <c r="AG321" s="647"/>
      <c r="AH321" s="647"/>
      <c r="AI321" s="647">
        <f>J323-J321+1</f>
        <v>31</v>
      </c>
      <c r="AJ321" s="647"/>
      <c r="AK321" s="647">
        <f>ROUND(AF321/AI321,2)</f>
        <v>6260.9</v>
      </c>
      <c r="AL321" s="647"/>
      <c r="AM321" s="647"/>
    </row>
    <row r="322" spans="1:39" ht="8.4499999999999993" customHeight="1">
      <c r="A322" s="727"/>
      <c r="B322" s="729"/>
      <c r="C322" s="729"/>
      <c r="D322" s="729"/>
      <c r="E322" s="729"/>
      <c r="F322" s="728"/>
      <c r="G322" s="648"/>
      <c r="H322" s="648"/>
      <c r="I322" s="673"/>
      <c r="J322" s="717" t="s">
        <v>69</v>
      </c>
      <c r="K322" s="718"/>
      <c r="L322" s="719"/>
      <c r="M322" s="720"/>
      <c r="N322" s="648"/>
      <c r="O322" s="648"/>
      <c r="P322" s="648"/>
      <c r="Q322" s="648"/>
      <c r="R322" s="647"/>
      <c r="S322" s="647"/>
      <c r="T322" s="647"/>
      <c r="U322" s="647"/>
      <c r="V322" s="647"/>
      <c r="W322" s="647"/>
      <c r="X322" s="647"/>
      <c r="Y322" s="647"/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647"/>
      <c r="AL322" s="647"/>
      <c r="AM322" s="647"/>
    </row>
    <row r="323" spans="1:39" ht="14.1" customHeight="1">
      <c r="A323" s="687"/>
      <c r="B323" s="688"/>
      <c r="C323" s="688"/>
      <c r="D323" s="688"/>
      <c r="E323" s="688"/>
      <c r="F323" s="689"/>
      <c r="G323" s="648"/>
      <c r="H323" s="648"/>
      <c r="I323" s="673"/>
      <c r="J323" s="714">
        <f>'Date masura OD'!$J$5</f>
        <v>45808</v>
      </c>
      <c r="K323" s="715"/>
      <c r="L323" s="716"/>
      <c r="M323" s="720"/>
      <c r="N323" s="648"/>
      <c r="O323" s="648"/>
      <c r="P323" s="648"/>
      <c r="Q323" s="648"/>
      <c r="R323" s="647"/>
      <c r="S323" s="647"/>
      <c r="T323" s="647"/>
      <c r="U323" s="647"/>
      <c r="V323" s="647"/>
      <c r="W323" s="647"/>
      <c r="X323" s="647"/>
      <c r="Y323" s="647"/>
      <c r="Z323" s="647"/>
      <c r="AA323" s="647"/>
      <c r="AB323" s="647"/>
      <c r="AC323" s="647"/>
      <c r="AD323" s="647"/>
      <c r="AE323" s="647"/>
      <c r="AF323" s="647"/>
      <c r="AG323" s="647"/>
      <c r="AH323" s="647"/>
      <c r="AI323" s="647"/>
      <c r="AJ323" s="647"/>
      <c r="AK323" s="647"/>
      <c r="AL323" s="647"/>
      <c r="AM323" s="647"/>
    </row>
    <row r="324" spans="1:39" ht="14.1" customHeight="1">
      <c r="A324" s="684" t="str">
        <f>A321</f>
        <v>V.22G90290210104573/1</v>
      </c>
      <c r="B324" s="685"/>
      <c r="C324" s="685"/>
      <c r="D324" s="685"/>
      <c r="E324" s="685"/>
      <c r="F324" s="686"/>
      <c r="G324" s="648" t="s">
        <v>696</v>
      </c>
      <c r="H324" s="648"/>
      <c r="I324" s="648"/>
      <c r="J324" s="655">
        <f t="shared" ref="J324:J329" si="18">J321</f>
        <v>45778</v>
      </c>
      <c r="K324" s="656"/>
      <c r="L324" s="657"/>
      <c r="M324" s="648" t="s">
        <v>720</v>
      </c>
      <c r="N324" s="648"/>
      <c r="O324" s="648">
        <f>O321</f>
        <v>1</v>
      </c>
      <c r="P324" s="648"/>
      <c r="Q324" s="648"/>
      <c r="R324" s="647" t="str">
        <f>U315</f>
        <v>148188 (citit)</v>
      </c>
      <c r="S324" s="647"/>
      <c r="T324" s="647"/>
      <c r="U324" s="647" t="str">
        <f>VLOOKUP(A324,'Incrementare indexe'!$D:$M,8,FALSE)&amp;" (estimat)"</f>
        <v>148188 (estimat)</v>
      </c>
      <c r="V324" s="647"/>
      <c r="W324" s="647"/>
      <c r="X324" s="647" t="str">
        <f>VLOOKUP(A324,'Incrementare indexe'!$D:$Q,12,FALSE)&amp;" (estimat)"</f>
        <v>0 (estimat)</v>
      </c>
      <c r="Y324" s="647"/>
      <c r="Z324" s="647"/>
      <c r="AA324" s="647" t="s">
        <v>69</v>
      </c>
      <c r="AB324" s="647"/>
      <c r="AC324" s="647"/>
      <c r="AD324" s="647" t="s">
        <v>69</v>
      </c>
      <c r="AE324" s="647"/>
      <c r="AF324" s="647">
        <f>VLOOKUP(A324,'Incrementare indexe'!$D:$Q,12,FALSE)</f>
        <v>0</v>
      </c>
      <c r="AG324" s="647"/>
      <c r="AH324" s="647"/>
      <c r="AI324" s="647">
        <f>AI321</f>
        <v>31</v>
      </c>
      <c r="AJ324" s="647"/>
      <c r="AK324" s="647">
        <f>ROUND(AF324/AI324,2)</f>
        <v>0</v>
      </c>
      <c r="AL324" s="647"/>
      <c r="AM324" s="647"/>
    </row>
    <row r="325" spans="1:39" ht="8.4499999999999993" customHeight="1">
      <c r="A325" s="727"/>
      <c r="B325" s="729"/>
      <c r="C325" s="729"/>
      <c r="D325" s="729"/>
      <c r="E325" s="729"/>
      <c r="F325" s="728"/>
      <c r="G325" s="648"/>
      <c r="H325" s="648"/>
      <c r="I325" s="648"/>
      <c r="J325" s="717" t="str">
        <f t="shared" si="18"/>
        <v>-</v>
      </c>
      <c r="K325" s="718"/>
      <c r="L325" s="719"/>
      <c r="M325" s="648"/>
      <c r="N325" s="648"/>
      <c r="O325" s="648"/>
      <c r="P325" s="648"/>
      <c r="Q325" s="648"/>
      <c r="R325" s="647"/>
      <c r="S325" s="647"/>
      <c r="T325" s="647"/>
      <c r="U325" s="647"/>
      <c r="V325" s="647"/>
      <c r="W325" s="647"/>
      <c r="X325" s="647"/>
      <c r="Y325" s="647"/>
      <c r="Z325" s="647"/>
      <c r="AA325" s="647"/>
      <c r="AB325" s="647"/>
      <c r="AC325" s="647"/>
      <c r="AD325" s="647"/>
      <c r="AE325" s="647"/>
      <c r="AF325" s="647"/>
      <c r="AG325" s="647"/>
      <c r="AH325" s="647"/>
      <c r="AI325" s="647"/>
      <c r="AJ325" s="647"/>
      <c r="AK325" s="647"/>
      <c r="AL325" s="647"/>
      <c r="AM325" s="647"/>
    </row>
    <row r="326" spans="1:39" ht="14.1" customHeight="1">
      <c r="A326" s="687"/>
      <c r="B326" s="688"/>
      <c r="C326" s="688"/>
      <c r="D326" s="688"/>
      <c r="E326" s="688"/>
      <c r="F326" s="689"/>
      <c r="G326" s="648"/>
      <c r="H326" s="648"/>
      <c r="I326" s="648"/>
      <c r="J326" s="714">
        <f t="shared" si="18"/>
        <v>45808</v>
      </c>
      <c r="K326" s="715"/>
      <c r="L326" s="716"/>
      <c r="M326" s="648"/>
      <c r="N326" s="648"/>
      <c r="O326" s="648"/>
      <c r="P326" s="648"/>
      <c r="Q326" s="648"/>
      <c r="R326" s="647"/>
      <c r="S326" s="647"/>
      <c r="T326" s="647"/>
      <c r="U326" s="647"/>
      <c r="V326" s="647"/>
      <c r="W326" s="647"/>
      <c r="X326" s="647"/>
      <c r="Y326" s="647"/>
      <c r="Z326" s="647"/>
      <c r="AA326" s="647"/>
      <c r="AB326" s="647"/>
      <c r="AC326" s="647"/>
      <c r="AD326" s="647"/>
      <c r="AE326" s="647"/>
      <c r="AF326" s="647"/>
      <c r="AG326" s="647"/>
      <c r="AH326" s="647"/>
      <c r="AI326" s="647"/>
      <c r="AJ326" s="647"/>
      <c r="AK326" s="647"/>
      <c r="AL326" s="647"/>
      <c r="AM326" s="647"/>
    </row>
    <row r="327" spans="1:39" ht="14.1" customHeight="1">
      <c r="A327" s="684" t="str">
        <f>A324</f>
        <v>V.22G90290210104573/1</v>
      </c>
      <c r="B327" s="685"/>
      <c r="C327" s="685"/>
      <c r="D327" s="685"/>
      <c r="E327" s="685"/>
      <c r="F327" s="686"/>
      <c r="G327" s="648" t="s">
        <v>731</v>
      </c>
      <c r="H327" s="648"/>
      <c r="I327" s="648"/>
      <c r="J327" s="655">
        <f t="shared" si="18"/>
        <v>45778</v>
      </c>
      <c r="K327" s="656"/>
      <c r="L327" s="657"/>
      <c r="M327" s="648" t="s">
        <v>720</v>
      </c>
      <c r="N327" s="648"/>
      <c r="O327" s="648">
        <f>O324</f>
        <v>1</v>
      </c>
      <c r="P327" s="648"/>
      <c r="Q327" s="648"/>
      <c r="R327" s="647" t="str">
        <f>U318</f>
        <v>100 (citit)</v>
      </c>
      <c r="S327" s="647"/>
      <c r="T327" s="647"/>
      <c r="U327" s="647" t="str">
        <f>VLOOKUP(A327,'Incrementare indexe'!$D:$M,10,FALSE)&amp;" (estimat)"</f>
        <v>100 (estimat)</v>
      </c>
      <c r="V327" s="647"/>
      <c r="W327" s="647"/>
      <c r="X327" s="647" t="str">
        <f>VLOOKUP(A327,'Incrementare indexe'!$D:$Q,13,FALSE)&amp;" (estimat)"</f>
        <v>0 (estimat)</v>
      </c>
      <c r="Y327" s="647"/>
      <c r="Z327" s="647"/>
      <c r="AA327" s="647" t="s">
        <v>69</v>
      </c>
      <c r="AB327" s="647"/>
      <c r="AC327" s="647"/>
      <c r="AD327" s="647" t="s">
        <v>69</v>
      </c>
      <c r="AE327" s="647"/>
      <c r="AF327" s="647">
        <f>VLOOKUP(A327,'Incrementare indexe'!$D:$Q,13,FALSE)</f>
        <v>0</v>
      </c>
      <c r="AG327" s="647"/>
      <c r="AH327" s="647"/>
      <c r="AI327" s="647">
        <f>AI324</f>
        <v>31</v>
      </c>
      <c r="AJ327" s="647"/>
      <c r="AK327" s="647">
        <f>ROUND(AF327/AI327,2)</f>
        <v>0</v>
      </c>
      <c r="AL327" s="647"/>
      <c r="AM327" s="647"/>
    </row>
    <row r="328" spans="1:39" ht="8.4499999999999993" customHeight="1">
      <c r="A328" s="727"/>
      <c r="B328" s="729"/>
      <c r="C328" s="729"/>
      <c r="D328" s="729"/>
      <c r="E328" s="729"/>
      <c r="F328" s="728"/>
      <c r="G328" s="648"/>
      <c r="H328" s="648"/>
      <c r="I328" s="648"/>
      <c r="J328" s="717" t="str">
        <f t="shared" si="18"/>
        <v>-</v>
      </c>
      <c r="K328" s="718"/>
      <c r="L328" s="719"/>
      <c r="M328" s="648"/>
      <c r="N328" s="648"/>
      <c r="O328" s="648"/>
      <c r="P328" s="648"/>
      <c r="Q328" s="648"/>
      <c r="R328" s="647"/>
      <c r="S328" s="647"/>
      <c r="T328" s="647"/>
      <c r="U328" s="647"/>
      <c r="V328" s="647"/>
      <c r="W328" s="647"/>
      <c r="X328" s="647"/>
      <c r="Y328" s="647"/>
      <c r="Z328" s="647"/>
      <c r="AA328" s="647"/>
      <c r="AB328" s="647"/>
      <c r="AC328" s="647"/>
      <c r="AD328" s="647"/>
      <c r="AE328" s="647"/>
      <c r="AF328" s="647"/>
      <c r="AG328" s="647"/>
      <c r="AH328" s="647"/>
      <c r="AI328" s="647"/>
      <c r="AJ328" s="647"/>
      <c r="AK328" s="647"/>
      <c r="AL328" s="647"/>
      <c r="AM328" s="647"/>
    </row>
    <row r="329" spans="1:39" ht="14.1" customHeight="1">
      <c r="A329" s="687"/>
      <c r="B329" s="688"/>
      <c r="C329" s="688"/>
      <c r="D329" s="688"/>
      <c r="E329" s="688"/>
      <c r="F329" s="689"/>
      <c r="G329" s="648"/>
      <c r="H329" s="648"/>
      <c r="I329" s="648"/>
      <c r="J329" s="714">
        <f t="shared" si="18"/>
        <v>45808</v>
      </c>
      <c r="K329" s="715"/>
      <c r="L329" s="716"/>
      <c r="M329" s="648"/>
      <c r="N329" s="648"/>
      <c r="O329" s="648"/>
      <c r="P329" s="648"/>
      <c r="Q329" s="648"/>
      <c r="R329" s="647"/>
      <c r="S329" s="647"/>
      <c r="T329" s="647"/>
      <c r="U329" s="647"/>
      <c r="V329" s="647"/>
      <c r="W329" s="647"/>
      <c r="X329" s="647"/>
      <c r="Y329" s="647"/>
      <c r="Z329" s="647"/>
      <c r="AA329" s="647"/>
      <c r="AB329" s="647"/>
      <c r="AC329" s="647"/>
      <c r="AD329" s="647"/>
      <c r="AE329" s="647"/>
      <c r="AF329" s="647"/>
      <c r="AG329" s="647"/>
      <c r="AH329" s="647"/>
      <c r="AI329" s="647"/>
      <c r="AJ329" s="647"/>
      <c r="AK329" s="647"/>
      <c r="AL329" s="647"/>
      <c r="AM329" s="647"/>
    </row>
    <row r="330" spans="1:39" ht="14.1" customHeight="1"/>
    <row r="331" spans="1:39" ht="14.1" customHeight="1"/>
    <row r="332" spans="1:39" ht="14.1" customHeight="1"/>
    <row r="333" spans="1:39" ht="14.1" customHeight="1"/>
    <row r="334" spans="1:39" ht="14.1" customHeight="1"/>
    <row r="335" spans="1:39" ht="14.1" customHeight="1"/>
    <row r="336" spans="1:39" ht="14.1" customHeight="1"/>
    <row r="337" spans="1:39" ht="14.1" customHeight="1"/>
    <row r="338" spans="1:39" ht="14.1" customHeight="1"/>
    <row r="339" spans="1:39" ht="14.1" customHeight="1"/>
    <row r="340" spans="1:39" ht="14.1" customHeight="1"/>
    <row r="341" spans="1:39" ht="14.1" customHeight="1"/>
    <row r="342" spans="1:39" ht="14.1" customHeight="1"/>
    <row r="343" spans="1:39" ht="14.1" customHeight="1"/>
    <row r="344" spans="1:39" ht="14.1" customHeight="1"/>
    <row r="345" spans="1:39">
      <c r="A345" s="649" t="s">
        <v>748</v>
      </c>
      <c r="B345" s="649"/>
      <c r="C345" s="649"/>
      <c r="D345" s="649"/>
      <c r="E345" s="649"/>
      <c r="F345" s="649"/>
      <c r="G345" s="649"/>
      <c r="H345" s="649"/>
      <c r="I345" s="649"/>
      <c r="J345" s="649"/>
      <c r="K345" s="649"/>
      <c r="L345" s="649"/>
      <c r="M345" s="650" t="str">
        <f>VLOOKUP(AI346,'Contorizare in SDI'!$E:$I,4,FALSE)</f>
        <v>RO001E110034580/2</v>
      </c>
      <c r="N345" s="650"/>
      <c r="O345" s="650"/>
      <c r="P345" s="650"/>
      <c r="Q345" s="650"/>
      <c r="R345" s="650"/>
      <c r="S345" s="650"/>
      <c r="T345" s="650"/>
      <c r="U345" s="650"/>
      <c r="V345" s="650"/>
      <c r="W345" s="650"/>
      <c r="X345" s="650"/>
      <c r="Y345" s="650"/>
      <c r="Z345" s="650"/>
      <c r="AA345" s="650"/>
      <c r="AB345" s="650"/>
      <c r="AC345" s="650"/>
      <c r="AD345" s="650"/>
      <c r="AE345" s="650"/>
      <c r="AF345" s="650"/>
      <c r="AG345" s="650"/>
      <c r="AH345" s="650"/>
      <c r="AI345" s="650" t="s">
        <v>695</v>
      </c>
      <c r="AJ345" s="650"/>
      <c r="AK345" s="650"/>
      <c r="AL345" s="650"/>
      <c r="AM345" s="650"/>
    </row>
    <row r="346" spans="1:39">
      <c r="A346" s="649" t="s">
        <v>746</v>
      </c>
      <c r="B346" s="649"/>
      <c r="C346" s="649"/>
      <c r="D346" s="649"/>
      <c r="E346" s="649"/>
      <c r="F346" s="649"/>
      <c r="G346" s="649"/>
      <c r="H346" s="649"/>
      <c r="I346" s="649"/>
      <c r="J346" s="649"/>
      <c r="K346" s="649"/>
      <c r="L346" s="649"/>
      <c r="M346" s="650" t="str">
        <f>VLOOKUP(AI346,'Inchidere contur'!$G:$U,15,FALSE)</f>
        <v>JT_SDI</v>
      </c>
      <c r="N346" s="650"/>
      <c r="O346" s="650"/>
      <c r="P346" s="650"/>
      <c r="Q346" s="650"/>
      <c r="R346" s="650"/>
      <c r="S346" s="650"/>
      <c r="T346" s="650"/>
      <c r="U346" s="650"/>
      <c r="V346" s="650"/>
      <c r="W346" s="650"/>
      <c r="X346" s="650"/>
      <c r="Y346" s="650"/>
      <c r="Z346" s="650"/>
      <c r="AA346" s="650"/>
      <c r="AB346" s="650"/>
      <c r="AC346" s="650"/>
      <c r="AD346" s="650"/>
      <c r="AE346" s="650"/>
      <c r="AF346" s="650"/>
      <c r="AG346" s="650"/>
      <c r="AH346" s="650"/>
      <c r="AI346" s="619" t="str">
        <f>_xlfn.CONCAT($AA$294,".",2)</f>
        <v>RMEG_2.2</v>
      </c>
      <c r="AJ346" s="619"/>
      <c r="AK346" s="619"/>
      <c r="AL346" s="619"/>
      <c r="AM346" s="619"/>
    </row>
    <row r="347" spans="1:39">
      <c r="A347" s="649" t="s">
        <v>747</v>
      </c>
      <c r="B347" s="649"/>
      <c r="C347" s="649"/>
      <c r="D347" s="649"/>
      <c r="E347" s="649"/>
      <c r="F347" s="649"/>
      <c r="G347" s="649"/>
      <c r="H347" s="649"/>
      <c r="I347" s="649"/>
      <c r="J347" s="649"/>
      <c r="K347" s="649"/>
      <c r="L347" s="649"/>
      <c r="M347" s="650" t="str">
        <f>IF(LEFT(M346,2)="JT","0.4kV",IF(LEFT(M346,2)="MT","20kV","-"))</f>
        <v>0.4kV</v>
      </c>
      <c r="N347" s="650"/>
      <c r="O347" s="650"/>
      <c r="P347" s="650"/>
      <c r="Q347" s="650"/>
      <c r="R347" s="650"/>
      <c r="S347" s="650"/>
      <c r="T347" s="650"/>
      <c r="U347" s="650"/>
      <c r="V347" s="650"/>
      <c r="W347" s="650"/>
      <c r="X347" s="650"/>
      <c r="Y347" s="650"/>
      <c r="Z347" s="650"/>
      <c r="AA347" s="650"/>
      <c r="AB347" s="650"/>
      <c r="AC347" s="650"/>
      <c r="AD347" s="650"/>
      <c r="AE347" s="650"/>
      <c r="AF347" s="650"/>
      <c r="AG347" s="650"/>
      <c r="AH347" s="650"/>
      <c r="AI347" s="619"/>
      <c r="AJ347" s="619"/>
      <c r="AK347" s="619"/>
      <c r="AL347" s="619"/>
      <c r="AM347" s="619"/>
    </row>
    <row r="348" spans="1:39" ht="15.95" customHeight="1">
      <c r="A348" s="648" t="s">
        <v>697</v>
      </c>
      <c r="B348" s="648"/>
      <c r="C348" s="648"/>
      <c r="D348" s="648"/>
      <c r="E348" s="648"/>
      <c r="F348" s="648"/>
      <c r="G348" s="647" t="s">
        <v>713</v>
      </c>
      <c r="H348" s="647"/>
      <c r="I348" s="647"/>
      <c r="J348" s="647" t="s">
        <v>714</v>
      </c>
      <c r="K348" s="647"/>
      <c r="L348" s="647"/>
      <c r="M348" s="648" t="s">
        <v>519</v>
      </c>
      <c r="N348" s="648"/>
      <c r="O348" s="648" t="s">
        <v>715</v>
      </c>
      <c r="P348" s="648"/>
      <c r="Q348" s="648"/>
      <c r="R348" s="647" t="s">
        <v>732</v>
      </c>
      <c r="S348" s="647"/>
      <c r="T348" s="647"/>
      <c r="U348" s="647" t="s">
        <v>734</v>
      </c>
      <c r="V348" s="647"/>
      <c r="W348" s="647"/>
      <c r="X348" s="647" t="s">
        <v>1085</v>
      </c>
      <c r="Y348" s="647"/>
      <c r="Z348" s="647"/>
      <c r="AA348" s="647" t="s">
        <v>1086</v>
      </c>
      <c r="AB348" s="647"/>
      <c r="AC348" s="647"/>
      <c r="AD348" s="647" t="s">
        <v>717</v>
      </c>
      <c r="AE348" s="647"/>
      <c r="AF348" s="647" t="s">
        <v>718</v>
      </c>
      <c r="AG348" s="647"/>
      <c r="AH348" s="647"/>
      <c r="AI348" s="647" t="s">
        <v>719</v>
      </c>
      <c r="AJ348" s="647"/>
      <c r="AK348" s="647" t="s">
        <v>733</v>
      </c>
      <c r="AL348" s="647"/>
      <c r="AM348" s="647"/>
    </row>
    <row r="349" spans="1:39">
      <c r="A349" s="648"/>
      <c r="B349" s="648"/>
      <c r="C349" s="648"/>
      <c r="D349" s="648"/>
      <c r="E349" s="648"/>
      <c r="F349" s="648"/>
      <c r="G349" s="647"/>
      <c r="H349" s="647"/>
      <c r="I349" s="647"/>
      <c r="J349" s="647"/>
      <c r="K349" s="647"/>
      <c r="L349" s="647"/>
      <c r="M349" s="648"/>
      <c r="N349" s="648"/>
      <c r="O349" s="648"/>
      <c r="P349" s="648"/>
      <c r="Q349" s="648"/>
      <c r="R349" s="647"/>
      <c r="S349" s="647"/>
      <c r="T349" s="647"/>
      <c r="U349" s="647"/>
      <c r="V349" s="647"/>
      <c r="W349" s="647"/>
      <c r="X349" s="647"/>
      <c r="Y349" s="647"/>
      <c r="Z349" s="647"/>
      <c r="AA349" s="647"/>
      <c r="AB349" s="647"/>
      <c r="AC349" s="647"/>
      <c r="AD349" s="647"/>
      <c r="AE349" s="647"/>
      <c r="AF349" s="647"/>
      <c r="AG349" s="647"/>
      <c r="AH349" s="647"/>
      <c r="AI349" s="647"/>
      <c r="AJ349" s="647"/>
      <c r="AK349" s="647"/>
      <c r="AL349" s="647"/>
      <c r="AM349" s="647"/>
    </row>
    <row r="350" spans="1:39">
      <c r="A350" s="648"/>
      <c r="B350" s="648"/>
      <c r="C350" s="648"/>
      <c r="D350" s="648"/>
      <c r="E350" s="648"/>
      <c r="F350" s="648"/>
      <c r="G350" s="647"/>
      <c r="H350" s="647"/>
      <c r="I350" s="647"/>
      <c r="J350" s="713"/>
      <c r="K350" s="713"/>
      <c r="L350" s="713"/>
      <c r="M350" s="648"/>
      <c r="N350" s="648"/>
      <c r="O350" s="648"/>
      <c r="P350" s="648"/>
      <c r="Q350" s="648"/>
      <c r="R350" s="647"/>
      <c r="S350" s="647"/>
      <c r="T350" s="647"/>
      <c r="U350" s="647"/>
      <c r="V350" s="647"/>
      <c r="W350" s="647"/>
      <c r="X350" s="647"/>
      <c r="Y350" s="647"/>
      <c r="Z350" s="647"/>
      <c r="AA350" s="647"/>
      <c r="AB350" s="647"/>
      <c r="AC350" s="647"/>
      <c r="AD350" s="647"/>
      <c r="AE350" s="647"/>
      <c r="AF350" s="647"/>
      <c r="AG350" s="647"/>
      <c r="AH350" s="647"/>
      <c r="AI350" s="647"/>
      <c r="AJ350" s="647"/>
      <c r="AK350" s="647"/>
      <c r="AL350" s="647"/>
      <c r="AM350" s="647"/>
    </row>
    <row r="351" spans="1:39" ht="14.1" customHeight="1">
      <c r="A351" s="684" t="str">
        <f>VLOOKUP(AI346,'Contorizare in SDI'!$E:$I,5,FALSE)</f>
        <v>V.22G90290210104573/2</v>
      </c>
      <c r="B351" s="685"/>
      <c r="C351" s="685"/>
      <c r="D351" s="685"/>
      <c r="E351" s="685"/>
      <c r="F351" s="686"/>
      <c r="G351" s="648" t="s">
        <v>730</v>
      </c>
      <c r="H351" s="648"/>
      <c r="I351" s="673"/>
      <c r="J351" s="655">
        <f>'Date masura OD'!$AK$5</f>
        <v>45748</v>
      </c>
      <c r="K351" s="656"/>
      <c r="L351" s="657"/>
      <c r="M351" s="720" t="s">
        <v>446</v>
      </c>
      <c r="N351" s="648"/>
      <c r="O351" s="648">
        <f>VLOOKUP(AI346,'Incrementare indexe'!$B:$T,4,FALSE)</f>
        <v>1</v>
      </c>
      <c r="P351" s="648"/>
      <c r="Q351" s="648"/>
      <c r="R351" s="647" t="str">
        <f>VLOOKUP(A351,Regularizare!$D:$YN,3,FALSE)&amp;" ("&amp;VLOOKUP(A351,Regularizare!$D:$Y,11,FALSE)&amp;")"</f>
        <v>2895043 (citit)</v>
      </c>
      <c r="S351" s="647"/>
      <c r="T351" s="647"/>
      <c r="U351" s="647" t="str">
        <f>VLOOKUP(A351,Regularizare!$D:$U,4,FALSE)&amp;" ("&amp;VLOOKUP(A351,Regularizare!$D:$U,12,FALSE)&amp;")"</f>
        <v>3070261 (estimat)</v>
      </c>
      <c r="V351" s="647"/>
      <c r="W351" s="647"/>
      <c r="X351" s="647" t="str">
        <f>VLOOKUP(A351,Regularizare!$D:$Y,19,FALSE)&amp;" ("&amp;VLOOKUP(A351,Regularizare!$D:$U,12,FALSE)&amp;")"</f>
        <v>175218 (estimat)</v>
      </c>
      <c r="Y351" s="647"/>
      <c r="Z351" s="647"/>
      <c r="AA351" s="647">
        <f>(-1)*VLOOKUP(A351,Regularizare!$D:$Y,19,FALSE)</f>
        <v>-175218</v>
      </c>
      <c r="AB351" s="647"/>
      <c r="AC351" s="647"/>
      <c r="AD351" s="647" t="s">
        <v>69</v>
      </c>
      <c r="AE351" s="647"/>
      <c r="AF351" s="647">
        <f>AA351</f>
        <v>-175218</v>
      </c>
      <c r="AG351" s="647"/>
      <c r="AH351" s="647"/>
      <c r="AI351" s="647" t="s">
        <v>69</v>
      </c>
      <c r="AJ351" s="647"/>
      <c r="AK351" s="647" t="s">
        <v>69</v>
      </c>
      <c r="AL351" s="647"/>
      <c r="AM351" s="647"/>
    </row>
    <row r="352" spans="1:39" ht="9.75" customHeight="1">
      <c r="A352" s="727"/>
      <c r="B352" s="729"/>
      <c r="C352" s="729"/>
      <c r="D352" s="729"/>
      <c r="E352" s="729"/>
      <c r="F352" s="728"/>
      <c r="G352" s="648"/>
      <c r="H352" s="648"/>
      <c r="I352" s="673"/>
      <c r="J352" s="717" t="s">
        <v>69</v>
      </c>
      <c r="K352" s="718"/>
      <c r="L352" s="719"/>
      <c r="M352" s="720"/>
      <c r="N352" s="648"/>
      <c r="O352" s="648"/>
      <c r="P352" s="648"/>
      <c r="Q352" s="648"/>
      <c r="R352" s="647"/>
      <c r="S352" s="647"/>
      <c r="T352" s="647"/>
      <c r="U352" s="647"/>
      <c r="V352" s="647"/>
      <c r="W352" s="647"/>
      <c r="X352" s="647"/>
      <c r="Y352" s="647"/>
      <c r="Z352" s="647"/>
      <c r="AA352" s="647"/>
      <c r="AB352" s="647"/>
      <c r="AC352" s="647"/>
      <c r="AD352" s="647"/>
      <c r="AE352" s="647"/>
      <c r="AF352" s="647"/>
      <c r="AG352" s="647"/>
      <c r="AH352" s="647"/>
      <c r="AI352" s="647"/>
      <c r="AJ352" s="647"/>
      <c r="AK352" s="647"/>
      <c r="AL352" s="647"/>
      <c r="AM352" s="647"/>
    </row>
    <row r="353" spans="1:39" ht="14.1" customHeight="1">
      <c r="A353" s="687"/>
      <c r="B353" s="688"/>
      <c r="C353" s="688"/>
      <c r="D353" s="688"/>
      <c r="E353" s="688"/>
      <c r="F353" s="689"/>
      <c r="G353" s="648"/>
      <c r="H353" s="648"/>
      <c r="I353" s="673"/>
      <c r="J353" s="714">
        <f>'Date masura OD'!$AL$5</f>
        <v>45777</v>
      </c>
      <c r="K353" s="715"/>
      <c r="L353" s="716"/>
      <c r="M353" s="720"/>
      <c r="N353" s="648"/>
      <c r="O353" s="648"/>
      <c r="P353" s="648"/>
      <c r="Q353" s="648"/>
      <c r="R353" s="647"/>
      <c r="S353" s="647"/>
      <c r="T353" s="647"/>
      <c r="U353" s="647"/>
      <c r="V353" s="647"/>
      <c r="W353" s="647"/>
      <c r="X353" s="647"/>
      <c r="Y353" s="647"/>
      <c r="Z353" s="647"/>
      <c r="AA353" s="647"/>
      <c r="AB353" s="647"/>
      <c r="AC353" s="647"/>
      <c r="AD353" s="647"/>
      <c r="AE353" s="647"/>
      <c r="AF353" s="647"/>
      <c r="AG353" s="647"/>
      <c r="AH353" s="647"/>
      <c r="AI353" s="647"/>
      <c r="AJ353" s="647"/>
      <c r="AK353" s="647"/>
      <c r="AL353" s="647"/>
      <c r="AM353" s="647"/>
    </row>
    <row r="354" spans="1:39" ht="14.1" customHeight="1">
      <c r="A354" s="684" t="str">
        <f>A351</f>
        <v>V.22G90290210104573/2</v>
      </c>
      <c r="B354" s="685"/>
      <c r="C354" s="685"/>
      <c r="D354" s="685"/>
      <c r="E354" s="685"/>
      <c r="F354" s="686"/>
      <c r="G354" s="648" t="s">
        <v>696</v>
      </c>
      <c r="H354" s="648"/>
      <c r="I354" s="648"/>
      <c r="J354" s="655">
        <f t="shared" ref="J354:J359" si="19">J351</f>
        <v>45748</v>
      </c>
      <c r="K354" s="656"/>
      <c r="L354" s="657"/>
      <c r="M354" s="648" t="s">
        <v>720</v>
      </c>
      <c r="N354" s="648"/>
      <c r="O354" s="648">
        <f>O351</f>
        <v>1</v>
      </c>
      <c r="P354" s="648"/>
      <c r="Q354" s="648"/>
      <c r="R354" s="647" t="str">
        <f>VLOOKUP(A354,Regularizare!$D:$U,7,FALSE)&amp;" ("&amp;VLOOKUP(A354,Regularizare!$D:$U,15,FALSE)&amp;")"</f>
        <v>148188 (citit)</v>
      </c>
      <c r="S354" s="647"/>
      <c r="T354" s="647"/>
      <c r="U354" s="647" t="str">
        <f>VLOOKUP(A354,Regularizare!$D:$U,8,FALSE)&amp;" ("&amp;VLOOKUP(A354,Regularizare!$D:$U,16,FALSE)&amp;")"</f>
        <v>148188 (estimat)</v>
      </c>
      <c r="V354" s="647"/>
      <c r="W354" s="647"/>
      <c r="X354" s="647" t="str">
        <f>_xlfn.CONCAT(VLOOKUP(A354,Regularizare!$D:$U,8,FALSE)-VLOOKUP(A354,Regularizare!$D:$U,7,FALSE)," (",VLOOKUP(A354,Regularizare!$D:$U,16,FALSE),")")</f>
        <v>0 (estimat)</v>
      </c>
      <c r="Y354" s="647"/>
      <c r="Z354" s="647"/>
      <c r="AA354" s="647">
        <f>IF(VLOOKUP(A354,Regularizare!$D:$Y,21,FALSE)=0,VLOOKUP(A354,Regularizare!$D:$Y,21,FALSE),(-1)*VLOOKUP(A354,Regularizare!$D:$Y,21,FALSE))</f>
        <v>0</v>
      </c>
      <c r="AB354" s="647"/>
      <c r="AC354" s="647"/>
      <c r="AD354" s="647" t="s">
        <v>69</v>
      </c>
      <c r="AE354" s="647"/>
      <c r="AF354" s="647">
        <f>AA354</f>
        <v>0</v>
      </c>
      <c r="AG354" s="647"/>
      <c r="AH354" s="647"/>
      <c r="AI354" s="647" t="str">
        <f>AI351</f>
        <v>-</v>
      </c>
      <c r="AJ354" s="647"/>
      <c r="AK354" s="647" t="str">
        <f>AK351</f>
        <v>-</v>
      </c>
      <c r="AL354" s="647"/>
      <c r="AM354" s="647"/>
    </row>
    <row r="355" spans="1:39" ht="8.4499999999999993" customHeight="1">
      <c r="A355" s="727"/>
      <c r="B355" s="729"/>
      <c r="C355" s="729"/>
      <c r="D355" s="729"/>
      <c r="E355" s="729"/>
      <c r="F355" s="728"/>
      <c r="G355" s="648"/>
      <c r="H355" s="648"/>
      <c r="I355" s="648"/>
      <c r="J355" s="717" t="str">
        <f t="shared" si="19"/>
        <v>-</v>
      </c>
      <c r="K355" s="718"/>
      <c r="L355" s="719"/>
      <c r="M355" s="648"/>
      <c r="N355" s="648"/>
      <c r="O355" s="648"/>
      <c r="P355" s="648"/>
      <c r="Q355" s="648"/>
      <c r="R355" s="647"/>
      <c r="S355" s="647"/>
      <c r="T355" s="647"/>
      <c r="U355" s="647"/>
      <c r="V355" s="647"/>
      <c r="W355" s="647"/>
      <c r="X355" s="647"/>
      <c r="Y355" s="647"/>
      <c r="Z355" s="647"/>
      <c r="AA355" s="647"/>
      <c r="AB355" s="647"/>
      <c r="AC355" s="647"/>
      <c r="AD355" s="647"/>
      <c r="AE355" s="647"/>
      <c r="AF355" s="647"/>
      <c r="AG355" s="647"/>
      <c r="AH355" s="647"/>
      <c r="AI355" s="647"/>
      <c r="AJ355" s="647"/>
      <c r="AK355" s="647"/>
      <c r="AL355" s="647"/>
      <c r="AM355" s="647"/>
    </row>
    <row r="356" spans="1:39" ht="14.1" customHeight="1">
      <c r="A356" s="687"/>
      <c r="B356" s="688"/>
      <c r="C356" s="688"/>
      <c r="D356" s="688"/>
      <c r="E356" s="688"/>
      <c r="F356" s="689"/>
      <c r="G356" s="648"/>
      <c r="H356" s="648"/>
      <c r="I356" s="648"/>
      <c r="J356" s="714">
        <f t="shared" si="19"/>
        <v>45777</v>
      </c>
      <c r="K356" s="715"/>
      <c r="L356" s="716"/>
      <c r="M356" s="648"/>
      <c r="N356" s="648"/>
      <c r="O356" s="648"/>
      <c r="P356" s="648"/>
      <c r="Q356" s="648"/>
      <c r="R356" s="647"/>
      <c r="S356" s="647"/>
      <c r="T356" s="647"/>
      <c r="U356" s="647"/>
      <c r="V356" s="647"/>
      <c r="W356" s="647"/>
      <c r="X356" s="647"/>
      <c r="Y356" s="647"/>
      <c r="Z356" s="647"/>
      <c r="AA356" s="647"/>
      <c r="AB356" s="647"/>
      <c r="AC356" s="647"/>
      <c r="AD356" s="647"/>
      <c r="AE356" s="647"/>
      <c r="AF356" s="647"/>
      <c r="AG356" s="647"/>
      <c r="AH356" s="647"/>
      <c r="AI356" s="647"/>
      <c r="AJ356" s="647"/>
      <c r="AK356" s="647"/>
      <c r="AL356" s="647"/>
      <c r="AM356" s="647"/>
    </row>
    <row r="357" spans="1:39" ht="14.1" customHeight="1">
      <c r="A357" s="684" t="str">
        <f>A354</f>
        <v>V.22G90290210104573/2</v>
      </c>
      <c r="B357" s="685"/>
      <c r="C357" s="685"/>
      <c r="D357" s="685"/>
      <c r="E357" s="685"/>
      <c r="F357" s="686"/>
      <c r="G357" s="648" t="s">
        <v>731</v>
      </c>
      <c r="H357" s="648"/>
      <c r="I357" s="648"/>
      <c r="J357" s="655">
        <f t="shared" si="19"/>
        <v>45748</v>
      </c>
      <c r="K357" s="656"/>
      <c r="L357" s="657"/>
      <c r="M357" s="648" t="s">
        <v>720</v>
      </c>
      <c r="N357" s="648"/>
      <c r="O357" s="648">
        <f>O354</f>
        <v>1</v>
      </c>
      <c r="P357" s="648"/>
      <c r="Q357" s="648"/>
      <c r="R357" s="647" t="str">
        <f>VLOOKUP(A357,Regularizare!$D:$U,9,FALSE)&amp;" ("&amp;VLOOKUP(A357,Regularizare!$D:$U,17,FALSE)&amp;")"</f>
        <v>100 (citit)</v>
      </c>
      <c r="S357" s="647"/>
      <c r="T357" s="647"/>
      <c r="U357" s="647" t="str">
        <f>VLOOKUP(A357,Regularizare!$D:$U,10,FALSE)&amp;" ("&amp;VLOOKUP(A357,Regularizare!$D:$U,18,FALSE)&amp;")"</f>
        <v>100 (estimat)</v>
      </c>
      <c r="V357" s="647"/>
      <c r="W357" s="647"/>
      <c r="X357" s="647" t="str">
        <f>_xlfn.CONCAT(VLOOKUP(A357,Regularizare!$D:$U,10,FALSE)-VLOOKUP(A357,Regularizare!$D:$U,9,FALSE)," (",VLOOKUP(A357,Regularizare!$D:$U,18,FALSE),")")</f>
        <v>0 (estimat)</v>
      </c>
      <c r="Y357" s="647"/>
      <c r="Z357" s="647"/>
      <c r="AA357" s="647">
        <f>IF(VLOOKUP(A357,Regularizare!$D:$Y,22,FALSE)=0,VLOOKUP(A357,Regularizare!$D:$Y,22,FALSE),(-1)*VLOOKUP(A357,Regularizare!$D:$Y,22,FALSE))</f>
        <v>0</v>
      </c>
      <c r="AB357" s="647"/>
      <c r="AC357" s="647"/>
      <c r="AD357" s="647" t="s">
        <v>69</v>
      </c>
      <c r="AE357" s="647"/>
      <c r="AF357" s="647">
        <f>AA357</f>
        <v>0</v>
      </c>
      <c r="AG357" s="647"/>
      <c r="AH357" s="647"/>
      <c r="AI357" s="647" t="str">
        <f>AI354</f>
        <v>-</v>
      </c>
      <c r="AJ357" s="647"/>
      <c r="AK357" s="647" t="str">
        <f>AK354</f>
        <v>-</v>
      </c>
      <c r="AL357" s="647"/>
      <c r="AM357" s="647"/>
    </row>
    <row r="358" spans="1:39" ht="8.4499999999999993" customHeight="1">
      <c r="A358" s="727"/>
      <c r="B358" s="729"/>
      <c r="C358" s="729"/>
      <c r="D358" s="729"/>
      <c r="E358" s="729"/>
      <c r="F358" s="728"/>
      <c r="G358" s="648"/>
      <c r="H358" s="648"/>
      <c r="I358" s="648"/>
      <c r="J358" s="717" t="str">
        <f t="shared" si="19"/>
        <v>-</v>
      </c>
      <c r="K358" s="718"/>
      <c r="L358" s="719"/>
      <c r="M358" s="648"/>
      <c r="N358" s="648"/>
      <c r="O358" s="648"/>
      <c r="P358" s="648"/>
      <c r="Q358" s="648"/>
      <c r="R358" s="647"/>
      <c r="S358" s="647"/>
      <c r="T358" s="647"/>
      <c r="U358" s="647"/>
      <c r="V358" s="647"/>
      <c r="W358" s="647"/>
      <c r="X358" s="647"/>
      <c r="Y358" s="647"/>
      <c r="Z358" s="647"/>
      <c r="AA358" s="647"/>
      <c r="AB358" s="647"/>
      <c r="AC358" s="647"/>
      <c r="AD358" s="647"/>
      <c r="AE358" s="647"/>
      <c r="AF358" s="647"/>
      <c r="AG358" s="647"/>
      <c r="AH358" s="647"/>
      <c r="AI358" s="647"/>
      <c r="AJ358" s="647"/>
      <c r="AK358" s="647"/>
      <c r="AL358" s="647"/>
      <c r="AM358" s="647"/>
    </row>
    <row r="359" spans="1:39" ht="14.1" customHeight="1">
      <c r="A359" s="687"/>
      <c r="B359" s="688"/>
      <c r="C359" s="688"/>
      <c r="D359" s="688"/>
      <c r="E359" s="688"/>
      <c r="F359" s="689"/>
      <c r="G359" s="648"/>
      <c r="H359" s="648"/>
      <c r="I359" s="648"/>
      <c r="J359" s="714">
        <f t="shared" si="19"/>
        <v>45777</v>
      </c>
      <c r="K359" s="715"/>
      <c r="L359" s="716"/>
      <c r="M359" s="648"/>
      <c r="N359" s="648"/>
      <c r="O359" s="648"/>
      <c r="P359" s="648"/>
      <c r="Q359" s="648"/>
      <c r="R359" s="647"/>
      <c r="S359" s="647"/>
      <c r="T359" s="647"/>
      <c r="U359" s="647"/>
      <c r="V359" s="647"/>
      <c r="W359" s="647"/>
      <c r="X359" s="647"/>
      <c r="Y359" s="647"/>
      <c r="Z359" s="647"/>
      <c r="AA359" s="647"/>
      <c r="AB359" s="647"/>
      <c r="AC359" s="647"/>
      <c r="AD359" s="647"/>
      <c r="AE359" s="647"/>
      <c r="AF359" s="647"/>
      <c r="AG359" s="647"/>
      <c r="AH359" s="647"/>
      <c r="AI359" s="647"/>
      <c r="AJ359" s="647"/>
      <c r="AK359" s="647"/>
      <c r="AL359" s="647"/>
      <c r="AM359" s="647"/>
    </row>
    <row r="360" spans="1:39" ht="14.1" customHeight="1">
      <c r="A360" s="684" t="str">
        <f>A357</f>
        <v>V.22G90290210104573/2</v>
      </c>
      <c r="B360" s="685"/>
      <c r="C360" s="685"/>
      <c r="D360" s="685"/>
      <c r="E360" s="685"/>
      <c r="F360" s="686"/>
      <c r="G360" s="648" t="s">
        <v>730</v>
      </c>
      <c r="H360" s="648"/>
      <c r="I360" s="673"/>
      <c r="J360" s="655">
        <f>'Date masura OD'!$AK$5</f>
        <v>45748</v>
      </c>
      <c r="K360" s="656"/>
      <c r="L360" s="657"/>
      <c r="M360" s="720" t="s">
        <v>446</v>
      </c>
      <c r="N360" s="648"/>
      <c r="O360" s="648">
        <f>O357</f>
        <v>1</v>
      </c>
      <c r="P360" s="648"/>
      <c r="Q360" s="648"/>
      <c r="R360" s="647" t="str">
        <f>VLOOKUP(A360,Regularizare!$D:$AX,23,FALSE)&amp;" ("&amp;VLOOKUP(A360,Regularizare!$D:$AX,24,FALSE)&amp;")"</f>
        <v>2895043 (citit)</v>
      </c>
      <c r="S360" s="647"/>
      <c r="T360" s="647"/>
      <c r="U360" s="647" t="str">
        <f>VLOOKUP(A360,Regularizare!$D:$AX,25,FALSE)&amp;" ("&amp;VLOOKUP(A360,Regularizare!$D:$AX,26,FALSE)&amp;")"</f>
        <v>3070261 (citit)</v>
      </c>
      <c r="V360" s="647"/>
      <c r="W360" s="647"/>
      <c r="X360" s="647" t="str">
        <f>VLOOKUP(A360,Regularizare!$D:$AX,37,FALSE)&amp;" ("&amp;VLOOKUP(A360,Regularizare!$D:$AX,26,FALSE)&amp;")"</f>
        <v>175218 (citit)</v>
      </c>
      <c r="Y360" s="647"/>
      <c r="Z360" s="647"/>
      <c r="AA360" s="647">
        <f>VLOOKUP(A360,Regularizare!$D:$AX,37,FALSE)</f>
        <v>175218</v>
      </c>
      <c r="AB360" s="647"/>
      <c r="AC360" s="647"/>
      <c r="AD360" s="647" t="s">
        <v>69</v>
      </c>
      <c r="AE360" s="647"/>
      <c r="AF360" s="647">
        <f>AA360</f>
        <v>175218</v>
      </c>
      <c r="AG360" s="647"/>
      <c r="AH360" s="647"/>
      <c r="AI360" s="647" t="str">
        <f>AI357</f>
        <v>-</v>
      </c>
      <c r="AJ360" s="647"/>
      <c r="AK360" s="647" t="str">
        <f>AK357</f>
        <v>-</v>
      </c>
      <c r="AL360" s="647"/>
      <c r="AM360" s="647"/>
    </row>
    <row r="361" spans="1:39" ht="8.4499999999999993" customHeight="1">
      <c r="A361" s="727"/>
      <c r="B361" s="729"/>
      <c r="C361" s="729"/>
      <c r="D361" s="729"/>
      <c r="E361" s="729"/>
      <c r="F361" s="728"/>
      <c r="G361" s="648"/>
      <c r="H361" s="648"/>
      <c r="I361" s="673"/>
      <c r="J361" s="717" t="s">
        <v>69</v>
      </c>
      <c r="K361" s="718"/>
      <c r="L361" s="719"/>
      <c r="M361" s="720"/>
      <c r="N361" s="648"/>
      <c r="O361" s="648"/>
      <c r="P361" s="648"/>
      <c r="Q361" s="648"/>
      <c r="R361" s="647"/>
      <c r="S361" s="647"/>
      <c r="T361" s="647"/>
      <c r="U361" s="647"/>
      <c r="V361" s="647"/>
      <c r="W361" s="647"/>
      <c r="X361" s="647"/>
      <c r="Y361" s="647"/>
      <c r="Z361" s="647"/>
      <c r="AA361" s="647"/>
      <c r="AB361" s="647"/>
      <c r="AC361" s="647"/>
      <c r="AD361" s="647"/>
      <c r="AE361" s="647"/>
      <c r="AF361" s="647"/>
      <c r="AG361" s="647"/>
      <c r="AH361" s="647"/>
      <c r="AI361" s="647"/>
      <c r="AJ361" s="647"/>
      <c r="AK361" s="647"/>
      <c r="AL361" s="647"/>
      <c r="AM361" s="647"/>
    </row>
    <row r="362" spans="1:39" ht="14.1" customHeight="1">
      <c r="A362" s="687"/>
      <c r="B362" s="688"/>
      <c r="C362" s="688"/>
      <c r="D362" s="688"/>
      <c r="E362" s="688"/>
      <c r="F362" s="689"/>
      <c r="G362" s="648"/>
      <c r="H362" s="648"/>
      <c r="I362" s="673"/>
      <c r="J362" s="714">
        <f>'Date masura OD'!$AL$5</f>
        <v>45777</v>
      </c>
      <c r="K362" s="715"/>
      <c r="L362" s="716"/>
      <c r="M362" s="720"/>
      <c r="N362" s="648"/>
      <c r="O362" s="648"/>
      <c r="P362" s="648"/>
      <c r="Q362" s="648"/>
      <c r="R362" s="647"/>
      <c r="S362" s="647"/>
      <c r="T362" s="647"/>
      <c r="U362" s="647"/>
      <c r="V362" s="647"/>
      <c r="W362" s="647"/>
      <c r="X362" s="647"/>
      <c r="Y362" s="647"/>
      <c r="Z362" s="647"/>
      <c r="AA362" s="647"/>
      <c r="AB362" s="647"/>
      <c r="AC362" s="647"/>
      <c r="AD362" s="647"/>
      <c r="AE362" s="647"/>
      <c r="AF362" s="647"/>
      <c r="AG362" s="647"/>
      <c r="AH362" s="647"/>
      <c r="AI362" s="647"/>
      <c r="AJ362" s="647"/>
      <c r="AK362" s="647"/>
      <c r="AL362" s="647"/>
      <c r="AM362" s="647"/>
    </row>
    <row r="363" spans="1:39" ht="14.1" customHeight="1">
      <c r="A363" s="684" t="str">
        <f>A360</f>
        <v>V.22G90290210104573/2</v>
      </c>
      <c r="B363" s="685"/>
      <c r="C363" s="685"/>
      <c r="D363" s="685"/>
      <c r="E363" s="685"/>
      <c r="F363" s="686"/>
      <c r="G363" s="648" t="s">
        <v>696</v>
      </c>
      <c r="H363" s="648"/>
      <c r="I363" s="648"/>
      <c r="J363" s="655">
        <f t="shared" ref="J363:J368" si="20">J360</f>
        <v>45748</v>
      </c>
      <c r="K363" s="656"/>
      <c r="L363" s="657"/>
      <c r="M363" s="648" t="s">
        <v>720</v>
      </c>
      <c r="N363" s="648"/>
      <c r="O363" s="648">
        <f>O360</f>
        <v>1</v>
      </c>
      <c r="P363" s="648"/>
      <c r="Q363" s="648"/>
      <c r="R363" s="647" t="str">
        <f>VLOOKUP(A363,Regularizare!$D:$AX,29,FALSE)&amp;" ("&amp;VLOOKUP(A363,Regularizare!$D:$AX,30,FALSE)&amp;")"</f>
        <v>148188 (citit)</v>
      </c>
      <c r="S363" s="647"/>
      <c r="T363" s="647"/>
      <c r="U363" s="647" t="str">
        <f>VLOOKUP(A363,Regularizare!$D:$AX,31,FALSE)&amp;" ("&amp;VLOOKUP(A363,Regularizare!$D:$AX,32,FALSE)&amp;")"</f>
        <v>148188 (citit)</v>
      </c>
      <c r="V363" s="647"/>
      <c r="W363" s="647"/>
      <c r="X363" s="647" t="str">
        <f>VLOOKUP(A363,Regularizare!$D:$AX,39,FALSE)&amp;" ("&amp;VLOOKUP(A363,Regularizare!$D:$AX,32,FALSE)&amp;")"</f>
        <v>0 (citit)</v>
      </c>
      <c r="Y363" s="647"/>
      <c r="Z363" s="647"/>
      <c r="AA363" s="647">
        <f>VLOOKUP(A363,Regularizare!$D:$AX,44,FALSE)+VLOOKUP(A363,Regularizare!$D:$AX,45,FALSE)</f>
        <v>0</v>
      </c>
      <c r="AB363" s="647"/>
      <c r="AC363" s="647"/>
      <c r="AD363" s="647" t="s">
        <v>69</v>
      </c>
      <c r="AE363" s="647"/>
      <c r="AF363" s="647">
        <f>AA363</f>
        <v>0</v>
      </c>
      <c r="AG363" s="647"/>
      <c r="AH363" s="647"/>
      <c r="AI363" s="647" t="str">
        <f>AI360</f>
        <v>-</v>
      </c>
      <c r="AJ363" s="647"/>
      <c r="AK363" s="647" t="str">
        <f>AK360</f>
        <v>-</v>
      </c>
      <c r="AL363" s="647"/>
      <c r="AM363" s="647"/>
    </row>
    <row r="364" spans="1:39" ht="8.4499999999999993" customHeight="1">
      <c r="A364" s="727"/>
      <c r="B364" s="729"/>
      <c r="C364" s="729"/>
      <c r="D364" s="729"/>
      <c r="E364" s="729"/>
      <c r="F364" s="728"/>
      <c r="G364" s="648"/>
      <c r="H364" s="648"/>
      <c r="I364" s="648"/>
      <c r="J364" s="717" t="str">
        <f t="shared" si="20"/>
        <v>-</v>
      </c>
      <c r="K364" s="718"/>
      <c r="L364" s="719"/>
      <c r="M364" s="648"/>
      <c r="N364" s="648"/>
      <c r="O364" s="648"/>
      <c r="P364" s="648"/>
      <c r="Q364" s="648"/>
      <c r="R364" s="647"/>
      <c r="S364" s="647"/>
      <c r="T364" s="647"/>
      <c r="U364" s="647"/>
      <c r="V364" s="647"/>
      <c r="W364" s="647"/>
      <c r="X364" s="647"/>
      <c r="Y364" s="647"/>
      <c r="Z364" s="647"/>
      <c r="AA364" s="647"/>
      <c r="AB364" s="647"/>
      <c r="AC364" s="647"/>
      <c r="AD364" s="647"/>
      <c r="AE364" s="647"/>
      <c r="AF364" s="647"/>
      <c r="AG364" s="647"/>
      <c r="AH364" s="647"/>
      <c r="AI364" s="647"/>
      <c r="AJ364" s="647"/>
      <c r="AK364" s="647"/>
      <c r="AL364" s="647"/>
      <c r="AM364" s="647"/>
    </row>
    <row r="365" spans="1:39" ht="14.1" customHeight="1">
      <c r="A365" s="687"/>
      <c r="B365" s="688"/>
      <c r="C365" s="688"/>
      <c r="D365" s="688"/>
      <c r="E365" s="688"/>
      <c r="F365" s="689"/>
      <c r="G365" s="648"/>
      <c r="H365" s="648"/>
      <c r="I365" s="648"/>
      <c r="J365" s="714">
        <f t="shared" si="20"/>
        <v>45777</v>
      </c>
      <c r="K365" s="715"/>
      <c r="L365" s="716"/>
      <c r="M365" s="648"/>
      <c r="N365" s="648"/>
      <c r="O365" s="648"/>
      <c r="P365" s="648"/>
      <c r="Q365" s="648"/>
      <c r="R365" s="647"/>
      <c r="S365" s="647"/>
      <c r="T365" s="647"/>
      <c r="U365" s="647"/>
      <c r="V365" s="647"/>
      <c r="W365" s="647"/>
      <c r="X365" s="647"/>
      <c r="Y365" s="647"/>
      <c r="Z365" s="647"/>
      <c r="AA365" s="647"/>
      <c r="AB365" s="647"/>
      <c r="AC365" s="647"/>
      <c r="AD365" s="647"/>
      <c r="AE365" s="647"/>
      <c r="AF365" s="647"/>
      <c r="AG365" s="647"/>
      <c r="AH365" s="647"/>
      <c r="AI365" s="647"/>
      <c r="AJ365" s="647"/>
      <c r="AK365" s="647"/>
      <c r="AL365" s="647"/>
      <c r="AM365" s="647"/>
    </row>
    <row r="366" spans="1:39" ht="14.1" customHeight="1">
      <c r="A366" s="684" t="str">
        <f>A363</f>
        <v>V.22G90290210104573/2</v>
      </c>
      <c r="B366" s="685"/>
      <c r="C366" s="685"/>
      <c r="D366" s="685"/>
      <c r="E366" s="685"/>
      <c r="F366" s="686"/>
      <c r="G366" s="648" t="s">
        <v>731</v>
      </c>
      <c r="H366" s="648"/>
      <c r="I366" s="648"/>
      <c r="J366" s="655">
        <f t="shared" si="20"/>
        <v>45748</v>
      </c>
      <c r="K366" s="656"/>
      <c r="L366" s="657"/>
      <c r="M366" s="648" t="s">
        <v>720</v>
      </c>
      <c r="N366" s="648"/>
      <c r="O366" s="648">
        <f>O363</f>
        <v>1</v>
      </c>
      <c r="P366" s="648"/>
      <c r="Q366" s="648"/>
      <c r="R366" s="647" t="str">
        <f>VLOOKUP(A366,Regularizare!$D:$AX,33,FALSE)&amp;" ("&amp;VLOOKUP(A366,Regularizare!$D:$AX,34,FALSE)&amp;")"</f>
        <v>100 (citit)</v>
      </c>
      <c r="S366" s="647"/>
      <c r="T366" s="647"/>
      <c r="U366" s="647" t="str">
        <f>VLOOKUP(A366,Regularizare!$D:$AX,35,FALSE)&amp;" ("&amp;VLOOKUP(A366,Regularizare!$D:$AX,36,FALSE)&amp;")"</f>
        <v>100 (citit)</v>
      </c>
      <c r="V366" s="647"/>
      <c r="W366" s="647"/>
      <c r="X366" s="647" t="str">
        <f>VLOOKUP(A366,Regularizare!$D:$AX,40,FALSE)&amp;" ("&amp;VLOOKUP(A366,Regularizare!$D:$AX,36,FALSE)&amp;")"</f>
        <v>0 (citit)</v>
      </c>
      <c r="Y366" s="647"/>
      <c r="Z366" s="647"/>
      <c r="AA366" s="647">
        <f>VLOOKUP(A366,Regularizare!$D:$AX,46,FALSE)+VLOOKUP(A366,Regularizare!$D:$AX,47,FALSE)</f>
        <v>0</v>
      </c>
      <c r="AB366" s="647"/>
      <c r="AC366" s="647"/>
      <c r="AD366" s="647" t="s">
        <v>69</v>
      </c>
      <c r="AE366" s="647"/>
      <c r="AF366" s="647">
        <f>AA366</f>
        <v>0</v>
      </c>
      <c r="AG366" s="647"/>
      <c r="AH366" s="647"/>
      <c r="AI366" s="647" t="str">
        <f>AI363</f>
        <v>-</v>
      </c>
      <c r="AJ366" s="647"/>
      <c r="AK366" s="647" t="str">
        <f>AK363</f>
        <v>-</v>
      </c>
      <c r="AL366" s="647"/>
      <c r="AM366" s="647"/>
    </row>
    <row r="367" spans="1:39" ht="8.4499999999999993" customHeight="1">
      <c r="A367" s="727"/>
      <c r="B367" s="729"/>
      <c r="C367" s="729"/>
      <c r="D367" s="729"/>
      <c r="E367" s="729"/>
      <c r="F367" s="728"/>
      <c r="G367" s="648"/>
      <c r="H367" s="648"/>
      <c r="I367" s="648"/>
      <c r="J367" s="717" t="str">
        <f t="shared" si="20"/>
        <v>-</v>
      </c>
      <c r="K367" s="718"/>
      <c r="L367" s="719"/>
      <c r="M367" s="648"/>
      <c r="N367" s="648"/>
      <c r="O367" s="648"/>
      <c r="P367" s="648"/>
      <c r="Q367" s="648"/>
      <c r="R367" s="647"/>
      <c r="S367" s="647"/>
      <c r="T367" s="647"/>
      <c r="U367" s="647"/>
      <c r="V367" s="647"/>
      <c r="W367" s="647"/>
      <c r="X367" s="647"/>
      <c r="Y367" s="647"/>
      <c r="Z367" s="647"/>
      <c r="AA367" s="647"/>
      <c r="AB367" s="647"/>
      <c r="AC367" s="647"/>
      <c r="AD367" s="647"/>
      <c r="AE367" s="647"/>
      <c r="AF367" s="647"/>
      <c r="AG367" s="647"/>
      <c r="AH367" s="647"/>
      <c r="AI367" s="647"/>
      <c r="AJ367" s="647"/>
      <c r="AK367" s="647"/>
      <c r="AL367" s="647"/>
      <c r="AM367" s="647"/>
    </row>
    <row r="368" spans="1:39" ht="14.1" customHeight="1">
      <c r="A368" s="687"/>
      <c r="B368" s="688"/>
      <c r="C368" s="688"/>
      <c r="D368" s="688"/>
      <c r="E368" s="688"/>
      <c r="F368" s="689"/>
      <c r="G368" s="648"/>
      <c r="H368" s="648"/>
      <c r="I368" s="648"/>
      <c r="J368" s="714">
        <f t="shared" si="20"/>
        <v>45777</v>
      </c>
      <c r="K368" s="715"/>
      <c r="L368" s="716"/>
      <c r="M368" s="648"/>
      <c r="N368" s="648"/>
      <c r="O368" s="648"/>
      <c r="P368" s="648"/>
      <c r="Q368" s="648"/>
      <c r="R368" s="647"/>
      <c r="S368" s="647"/>
      <c r="T368" s="647"/>
      <c r="U368" s="647"/>
      <c r="V368" s="647"/>
      <c r="W368" s="647"/>
      <c r="X368" s="647"/>
      <c r="Y368" s="647"/>
      <c r="Z368" s="647"/>
      <c r="AA368" s="647"/>
      <c r="AB368" s="647"/>
      <c r="AC368" s="647"/>
      <c r="AD368" s="647"/>
      <c r="AE368" s="647"/>
      <c r="AF368" s="647"/>
      <c r="AG368" s="647"/>
      <c r="AH368" s="647"/>
      <c r="AI368" s="647"/>
      <c r="AJ368" s="647"/>
      <c r="AK368" s="647"/>
      <c r="AL368" s="647"/>
      <c r="AM368" s="647"/>
    </row>
    <row r="369" spans="1:39" ht="14.1" customHeight="1">
      <c r="A369" s="684" t="str">
        <f>A366</f>
        <v>V.22G90290210104573/2</v>
      </c>
      <c r="B369" s="685"/>
      <c r="C369" s="685"/>
      <c r="D369" s="685"/>
      <c r="E369" s="685"/>
      <c r="F369" s="686"/>
      <c r="G369" s="648" t="s">
        <v>730</v>
      </c>
      <c r="H369" s="648"/>
      <c r="I369" s="673"/>
      <c r="J369" s="655">
        <f>'Date masura OD'!$I$5</f>
        <v>45778</v>
      </c>
      <c r="K369" s="656"/>
      <c r="L369" s="657"/>
      <c r="M369" s="720" t="s">
        <v>446</v>
      </c>
      <c r="N369" s="648"/>
      <c r="O369" s="648">
        <f>O366</f>
        <v>1</v>
      </c>
      <c r="P369" s="648"/>
      <c r="Q369" s="648"/>
      <c r="R369" s="647" t="str">
        <f>U360</f>
        <v>3070261 (citit)</v>
      </c>
      <c r="S369" s="647"/>
      <c r="T369" s="647"/>
      <c r="U369" s="647" t="str">
        <f>VLOOKUP(A369,'Incrementare indexe'!$D:$M,4,FALSE)&amp;" (estimat)"</f>
        <v>3264349 (estimat)</v>
      </c>
      <c r="V369" s="647"/>
      <c r="W369" s="647"/>
      <c r="X369" s="647" t="str">
        <f>VLOOKUP(A369,'Incrementare indexe'!$D:$Q,11,FALSE)&amp;" (estimat)"</f>
        <v>194088 (estimat)</v>
      </c>
      <c r="Y369" s="647"/>
      <c r="Z369" s="647"/>
      <c r="AA369" s="647" t="s">
        <v>69</v>
      </c>
      <c r="AB369" s="647"/>
      <c r="AC369" s="647"/>
      <c r="AD369" s="647" t="s">
        <v>69</v>
      </c>
      <c r="AE369" s="647"/>
      <c r="AF369" s="647">
        <f>VLOOKUP(A369,'Incrementare indexe'!$D:$Q,11,FALSE)</f>
        <v>194088</v>
      </c>
      <c r="AG369" s="647"/>
      <c r="AH369" s="647"/>
      <c r="AI369" s="647">
        <f>J371-J369+1</f>
        <v>31</v>
      </c>
      <c r="AJ369" s="647"/>
      <c r="AK369" s="647">
        <f>ROUND(AF369/AI369,2)</f>
        <v>6260.9</v>
      </c>
      <c r="AL369" s="647"/>
      <c r="AM369" s="647"/>
    </row>
    <row r="370" spans="1:39" ht="8.4499999999999993" customHeight="1">
      <c r="A370" s="727"/>
      <c r="B370" s="729"/>
      <c r="C370" s="729"/>
      <c r="D370" s="729"/>
      <c r="E370" s="729"/>
      <c r="F370" s="728"/>
      <c r="G370" s="648"/>
      <c r="H370" s="648"/>
      <c r="I370" s="673"/>
      <c r="J370" s="717" t="s">
        <v>69</v>
      </c>
      <c r="K370" s="718"/>
      <c r="L370" s="719"/>
      <c r="M370" s="720"/>
      <c r="N370" s="648"/>
      <c r="O370" s="648"/>
      <c r="P370" s="648"/>
      <c r="Q370" s="648"/>
      <c r="R370" s="647"/>
      <c r="S370" s="647"/>
      <c r="T370" s="647"/>
      <c r="U370" s="647"/>
      <c r="V370" s="647"/>
      <c r="W370" s="647"/>
      <c r="X370" s="647"/>
      <c r="Y370" s="647"/>
      <c r="Z370" s="647"/>
      <c r="AA370" s="647"/>
      <c r="AB370" s="647"/>
      <c r="AC370" s="647"/>
      <c r="AD370" s="647"/>
      <c r="AE370" s="647"/>
      <c r="AF370" s="647"/>
      <c r="AG370" s="647"/>
      <c r="AH370" s="647"/>
      <c r="AI370" s="647"/>
      <c r="AJ370" s="647"/>
      <c r="AK370" s="647"/>
      <c r="AL370" s="647"/>
      <c r="AM370" s="647"/>
    </row>
    <row r="371" spans="1:39" ht="14.1" customHeight="1">
      <c r="A371" s="687"/>
      <c r="B371" s="688"/>
      <c r="C371" s="688"/>
      <c r="D371" s="688"/>
      <c r="E371" s="688"/>
      <c r="F371" s="689"/>
      <c r="G371" s="648"/>
      <c r="H371" s="648"/>
      <c r="I371" s="673"/>
      <c r="J371" s="714">
        <f>'Date masura OD'!$J$5</f>
        <v>45808</v>
      </c>
      <c r="K371" s="715"/>
      <c r="L371" s="716"/>
      <c r="M371" s="720"/>
      <c r="N371" s="648"/>
      <c r="O371" s="648"/>
      <c r="P371" s="648"/>
      <c r="Q371" s="648"/>
      <c r="R371" s="647"/>
      <c r="S371" s="647"/>
      <c r="T371" s="647"/>
      <c r="U371" s="647"/>
      <c r="V371" s="647"/>
      <c r="W371" s="647"/>
      <c r="X371" s="647"/>
      <c r="Y371" s="647"/>
      <c r="Z371" s="647"/>
      <c r="AA371" s="647"/>
      <c r="AB371" s="647"/>
      <c r="AC371" s="647"/>
      <c r="AD371" s="647"/>
      <c r="AE371" s="647"/>
      <c r="AF371" s="647"/>
      <c r="AG371" s="647"/>
      <c r="AH371" s="647"/>
      <c r="AI371" s="647"/>
      <c r="AJ371" s="647"/>
      <c r="AK371" s="647"/>
      <c r="AL371" s="647"/>
      <c r="AM371" s="647"/>
    </row>
    <row r="372" spans="1:39" ht="14.1" customHeight="1">
      <c r="A372" s="684" t="str">
        <f>A369</f>
        <v>V.22G90290210104573/2</v>
      </c>
      <c r="B372" s="685"/>
      <c r="C372" s="685"/>
      <c r="D372" s="685"/>
      <c r="E372" s="685"/>
      <c r="F372" s="686"/>
      <c r="G372" s="648" t="s">
        <v>696</v>
      </c>
      <c r="H372" s="648"/>
      <c r="I372" s="648"/>
      <c r="J372" s="655">
        <f t="shared" ref="J372:J377" si="21">J369</f>
        <v>45778</v>
      </c>
      <c r="K372" s="656"/>
      <c r="L372" s="657"/>
      <c r="M372" s="648" t="s">
        <v>720</v>
      </c>
      <c r="N372" s="648"/>
      <c r="O372" s="648">
        <f>O369</f>
        <v>1</v>
      </c>
      <c r="P372" s="648"/>
      <c r="Q372" s="648"/>
      <c r="R372" s="647" t="str">
        <f>U363</f>
        <v>148188 (citit)</v>
      </c>
      <c r="S372" s="647"/>
      <c r="T372" s="647"/>
      <c r="U372" s="647" t="str">
        <f>VLOOKUP(A372,'Incrementare indexe'!$D:$M,8,FALSE)&amp;" (estimat)"</f>
        <v>148188 (estimat)</v>
      </c>
      <c r="V372" s="647"/>
      <c r="W372" s="647"/>
      <c r="X372" s="647" t="str">
        <f>VLOOKUP(A372,'Incrementare indexe'!$D:$Q,12,FALSE)&amp;" (estimat)"</f>
        <v>0 (estimat)</v>
      </c>
      <c r="Y372" s="647"/>
      <c r="Z372" s="647"/>
      <c r="AA372" s="647" t="s">
        <v>69</v>
      </c>
      <c r="AB372" s="647"/>
      <c r="AC372" s="647"/>
      <c r="AD372" s="647" t="s">
        <v>69</v>
      </c>
      <c r="AE372" s="647"/>
      <c r="AF372" s="647">
        <f>VLOOKUP(A372,'Incrementare indexe'!$D:$Q,12,FALSE)</f>
        <v>0</v>
      </c>
      <c r="AG372" s="647"/>
      <c r="AH372" s="647"/>
      <c r="AI372" s="647">
        <f>AI369</f>
        <v>31</v>
      </c>
      <c r="AJ372" s="647"/>
      <c r="AK372" s="647">
        <f>ROUND(AF372/AI372,2)</f>
        <v>0</v>
      </c>
      <c r="AL372" s="647"/>
      <c r="AM372" s="647"/>
    </row>
    <row r="373" spans="1:39" ht="8.4499999999999993" customHeight="1">
      <c r="A373" s="727"/>
      <c r="B373" s="729"/>
      <c r="C373" s="729"/>
      <c r="D373" s="729"/>
      <c r="E373" s="729"/>
      <c r="F373" s="728"/>
      <c r="G373" s="648"/>
      <c r="H373" s="648"/>
      <c r="I373" s="648"/>
      <c r="J373" s="717" t="str">
        <f t="shared" si="21"/>
        <v>-</v>
      </c>
      <c r="K373" s="718"/>
      <c r="L373" s="719"/>
      <c r="M373" s="648"/>
      <c r="N373" s="648"/>
      <c r="O373" s="648"/>
      <c r="P373" s="648"/>
      <c r="Q373" s="648"/>
      <c r="R373" s="647"/>
      <c r="S373" s="647"/>
      <c r="T373" s="647"/>
      <c r="U373" s="647"/>
      <c r="V373" s="647"/>
      <c r="W373" s="647"/>
      <c r="X373" s="647"/>
      <c r="Y373" s="647"/>
      <c r="Z373" s="647"/>
      <c r="AA373" s="647"/>
      <c r="AB373" s="647"/>
      <c r="AC373" s="647"/>
      <c r="AD373" s="647"/>
      <c r="AE373" s="647"/>
      <c r="AF373" s="647"/>
      <c r="AG373" s="647"/>
      <c r="AH373" s="647"/>
      <c r="AI373" s="647"/>
      <c r="AJ373" s="647"/>
      <c r="AK373" s="647"/>
      <c r="AL373" s="647"/>
      <c r="AM373" s="647"/>
    </row>
    <row r="374" spans="1:39" ht="14.1" customHeight="1">
      <c r="A374" s="687"/>
      <c r="B374" s="688"/>
      <c r="C374" s="688"/>
      <c r="D374" s="688"/>
      <c r="E374" s="688"/>
      <c r="F374" s="689"/>
      <c r="G374" s="648"/>
      <c r="H374" s="648"/>
      <c r="I374" s="648"/>
      <c r="J374" s="714">
        <f t="shared" si="21"/>
        <v>45808</v>
      </c>
      <c r="K374" s="715"/>
      <c r="L374" s="716"/>
      <c r="M374" s="648"/>
      <c r="N374" s="648"/>
      <c r="O374" s="648"/>
      <c r="P374" s="648"/>
      <c r="Q374" s="648"/>
      <c r="R374" s="647"/>
      <c r="S374" s="647"/>
      <c r="T374" s="647"/>
      <c r="U374" s="647"/>
      <c r="V374" s="647"/>
      <c r="W374" s="647"/>
      <c r="X374" s="647"/>
      <c r="Y374" s="647"/>
      <c r="Z374" s="647"/>
      <c r="AA374" s="647"/>
      <c r="AB374" s="647"/>
      <c r="AC374" s="647"/>
      <c r="AD374" s="647"/>
      <c r="AE374" s="647"/>
      <c r="AF374" s="647"/>
      <c r="AG374" s="647"/>
      <c r="AH374" s="647"/>
      <c r="AI374" s="647"/>
      <c r="AJ374" s="647"/>
      <c r="AK374" s="647"/>
      <c r="AL374" s="647"/>
      <c r="AM374" s="647"/>
    </row>
    <row r="375" spans="1:39" ht="14.1" customHeight="1">
      <c r="A375" s="684" t="str">
        <f>A372</f>
        <v>V.22G90290210104573/2</v>
      </c>
      <c r="B375" s="685"/>
      <c r="C375" s="685"/>
      <c r="D375" s="685"/>
      <c r="E375" s="685"/>
      <c r="F375" s="686"/>
      <c r="G375" s="648" t="s">
        <v>731</v>
      </c>
      <c r="H375" s="648"/>
      <c r="I375" s="648"/>
      <c r="J375" s="655">
        <f t="shared" si="21"/>
        <v>45778</v>
      </c>
      <c r="K375" s="656"/>
      <c r="L375" s="657"/>
      <c r="M375" s="648" t="s">
        <v>720</v>
      </c>
      <c r="N375" s="648"/>
      <c r="O375" s="648">
        <f>O372</f>
        <v>1</v>
      </c>
      <c r="P375" s="648"/>
      <c r="Q375" s="648"/>
      <c r="R375" s="647" t="str">
        <f>U366</f>
        <v>100 (citit)</v>
      </c>
      <c r="S375" s="647"/>
      <c r="T375" s="647"/>
      <c r="U375" s="647" t="str">
        <f>VLOOKUP(A375,'Incrementare indexe'!$D:$M,10,FALSE)&amp;" (estimat)"</f>
        <v>100 (estimat)</v>
      </c>
      <c r="V375" s="647"/>
      <c r="W375" s="647"/>
      <c r="X375" s="647" t="str">
        <f>VLOOKUP(A375,'Incrementare indexe'!$D:$Q,13,FALSE)&amp;" (estimat)"</f>
        <v>0 (estimat)</v>
      </c>
      <c r="Y375" s="647"/>
      <c r="Z375" s="647"/>
      <c r="AA375" s="647" t="s">
        <v>69</v>
      </c>
      <c r="AB375" s="647"/>
      <c r="AC375" s="647"/>
      <c r="AD375" s="647" t="s">
        <v>69</v>
      </c>
      <c r="AE375" s="647"/>
      <c r="AF375" s="647">
        <f>VLOOKUP(A375,'Incrementare indexe'!$D:$Q,13,FALSE)</f>
        <v>0</v>
      </c>
      <c r="AG375" s="647"/>
      <c r="AH375" s="647"/>
      <c r="AI375" s="647">
        <f>AI372</f>
        <v>31</v>
      </c>
      <c r="AJ375" s="647"/>
      <c r="AK375" s="647">
        <f>ROUND(AF375/AI375,2)</f>
        <v>0</v>
      </c>
      <c r="AL375" s="647"/>
      <c r="AM375" s="647"/>
    </row>
    <row r="376" spans="1:39" ht="8.4499999999999993" customHeight="1">
      <c r="A376" s="727"/>
      <c r="B376" s="729"/>
      <c r="C376" s="729"/>
      <c r="D376" s="729"/>
      <c r="E376" s="729"/>
      <c r="F376" s="728"/>
      <c r="G376" s="648"/>
      <c r="H376" s="648"/>
      <c r="I376" s="648"/>
      <c r="J376" s="717" t="str">
        <f t="shared" si="21"/>
        <v>-</v>
      </c>
      <c r="K376" s="718"/>
      <c r="L376" s="719"/>
      <c r="M376" s="648"/>
      <c r="N376" s="648"/>
      <c r="O376" s="648"/>
      <c r="P376" s="648"/>
      <c r="Q376" s="648"/>
      <c r="R376" s="647"/>
      <c r="S376" s="647"/>
      <c r="T376" s="647"/>
      <c r="U376" s="647"/>
      <c r="V376" s="647"/>
      <c r="W376" s="647"/>
      <c r="X376" s="647"/>
      <c r="Y376" s="647"/>
      <c r="Z376" s="647"/>
      <c r="AA376" s="647"/>
      <c r="AB376" s="647"/>
      <c r="AC376" s="647"/>
      <c r="AD376" s="647"/>
      <c r="AE376" s="647"/>
      <c r="AF376" s="647"/>
      <c r="AG376" s="647"/>
      <c r="AH376" s="647"/>
      <c r="AI376" s="647"/>
      <c r="AJ376" s="647"/>
      <c r="AK376" s="647"/>
      <c r="AL376" s="647"/>
      <c r="AM376" s="647"/>
    </row>
    <row r="377" spans="1:39" ht="14.1" customHeight="1">
      <c r="A377" s="687"/>
      <c r="B377" s="688"/>
      <c r="C377" s="688"/>
      <c r="D377" s="688"/>
      <c r="E377" s="688"/>
      <c r="F377" s="689"/>
      <c r="G377" s="648"/>
      <c r="H377" s="648"/>
      <c r="I377" s="648"/>
      <c r="J377" s="714">
        <f t="shared" si="21"/>
        <v>45808</v>
      </c>
      <c r="K377" s="715"/>
      <c r="L377" s="716"/>
      <c r="M377" s="648"/>
      <c r="N377" s="648"/>
      <c r="O377" s="648"/>
      <c r="P377" s="648"/>
      <c r="Q377" s="648"/>
      <c r="R377" s="647"/>
      <c r="S377" s="647"/>
      <c r="T377" s="647"/>
      <c r="U377" s="647"/>
      <c r="V377" s="647"/>
      <c r="W377" s="647"/>
      <c r="X377" s="647"/>
      <c r="Y377" s="647"/>
      <c r="Z377" s="647"/>
      <c r="AA377" s="647"/>
      <c r="AB377" s="647"/>
      <c r="AC377" s="647"/>
      <c r="AD377" s="647"/>
      <c r="AE377" s="647"/>
      <c r="AF377" s="647"/>
      <c r="AG377" s="647"/>
      <c r="AH377" s="647"/>
      <c r="AI377" s="647"/>
      <c r="AJ377" s="647"/>
      <c r="AK377" s="647"/>
      <c r="AL377" s="647"/>
      <c r="AM377" s="647"/>
    </row>
    <row r="378" spans="1:39" ht="14.1" customHeight="1"/>
    <row r="379" spans="1:39" ht="14.1" customHeight="1"/>
    <row r="380" spans="1:39" ht="14.1" customHeight="1"/>
    <row r="381" spans="1:39" ht="14.1" customHeight="1"/>
    <row r="382" spans="1:39" ht="14.1" customHeight="1"/>
    <row r="383" spans="1:39" ht="14.1" customHeight="1"/>
    <row r="384" spans="1:39" ht="14.1" customHeight="1"/>
    <row r="385" spans="1:39" ht="14.1" customHeight="1"/>
    <row r="386" spans="1:39" ht="14.1" customHeight="1"/>
    <row r="387" spans="1:39" ht="14.1" customHeight="1"/>
    <row r="388" spans="1:39" ht="14.1" customHeight="1"/>
    <row r="389" spans="1:39" ht="14.1" customHeight="1"/>
    <row r="390" spans="1:39" ht="14.1" customHeight="1"/>
    <row r="391" spans="1:39" ht="14.1" customHeight="1"/>
    <row r="392" spans="1:39" ht="14.1" customHeight="1"/>
    <row r="393" spans="1:39" ht="14.1" customHeight="1"/>
    <row r="394" spans="1:39" ht="14.1" customHeight="1"/>
    <row r="395" spans="1:39" ht="14.1" customHeight="1"/>
    <row r="396" spans="1:39" ht="14.1" customHeight="1"/>
    <row r="397" spans="1:39" ht="14.1" customHeight="1"/>
    <row r="398" spans="1:39">
      <c r="A398" s="649" t="s">
        <v>748</v>
      </c>
      <c r="B398" s="649"/>
      <c r="C398" s="649"/>
      <c r="D398" s="649"/>
      <c r="E398" s="649"/>
      <c r="F398" s="649"/>
      <c r="G398" s="649"/>
      <c r="H398" s="649"/>
      <c r="I398" s="649"/>
      <c r="J398" s="649"/>
      <c r="K398" s="649"/>
      <c r="L398" s="649"/>
      <c r="M398" s="650" t="str">
        <f>VLOOKUP(AI399,'Contorizare in SDI'!$E:$I,4,FALSE)</f>
        <v>RO001E110034580/3</v>
      </c>
      <c r="N398" s="650"/>
      <c r="O398" s="650"/>
      <c r="P398" s="650"/>
      <c r="Q398" s="650"/>
      <c r="R398" s="650"/>
      <c r="S398" s="650"/>
      <c r="T398" s="650"/>
      <c r="U398" s="650"/>
      <c r="V398" s="650"/>
      <c r="W398" s="650"/>
      <c r="X398" s="650"/>
      <c r="Y398" s="650"/>
      <c r="Z398" s="650"/>
      <c r="AA398" s="650"/>
      <c r="AB398" s="650"/>
      <c r="AC398" s="650"/>
      <c r="AD398" s="650"/>
      <c r="AE398" s="650"/>
      <c r="AF398" s="650"/>
      <c r="AG398" s="650"/>
      <c r="AH398" s="650"/>
      <c r="AI398" s="650" t="s">
        <v>695</v>
      </c>
      <c r="AJ398" s="650"/>
      <c r="AK398" s="650"/>
      <c r="AL398" s="650"/>
      <c r="AM398" s="650"/>
    </row>
    <row r="399" spans="1:39">
      <c r="A399" s="649" t="s">
        <v>746</v>
      </c>
      <c r="B399" s="649"/>
      <c r="C399" s="649"/>
      <c r="D399" s="649"/>
      <c r="E399" s="649"/>
      <c r="F399" s="649"/>
      <c r="G399" s="649"/>
      <c r="H399" s="649"/>
      <c r="I399" s="649"/>
      <c r="J399" s="649"/>
      <c r="K399" s="649"/>
      <c r="L399" s="649"/>
      <c r="M399" s="650" t="str">
        <f>VLOOKUP(AI399,'Inchidere contur'!$G:$U,15,FALSE)</f>
        <v>JT_SDI</v>
      </c>
      <c r="N399" s="650"/>
      <c r="O399" s="650"/>
      <c r="P399" s="650"/>
      <c r="Q399" s="650"/>
      <c r="R399" s="650"/>
      <c r="S399" s="650"/>
      <c r="T399" s="650"/>
      <c r="U399" s="650"/>
      <c r="V399" s="650"/>
      <c r="W399" s="650"/>
      <c r="X399" s="650"/>
      <c r="Y399" s="650"/>
      <c r="Z399" s="650"/>
      <c r="AA399" s="650"/>
      <c r="AB399" s="650"/>
      <c r="AC399" s="650"/>
      <c r="AD399" s="650"/>
      <c r="AE399" s="650"/>
      <c r="AF399" s="650"/>
      <c r="AG399" s="650"/>
      <c r="AH399" s="650"/>
      <c r="AI399" s="619" t="str">
        <f>_xlfn.CONCAT($AA$294,".",3)</f>
        <v>RMEG_2.3</v>
      </c>
      <c r="AJ399" s="619"/>
      <c r="AK399" s="619"/>
      <c r="AL399" s="619"/>
      <c r="AM399" s="619"/>
    </row>
    <row r="400" spans="1:39">
      <c r="A400" s="649" t="s">
        <v>747</v>
      </c>
      <c r="B400" s="649"/>
      <c r="C400" s="649"/>
      <c r="D400" s="649"/>
      <c r="E400" s="649"/>
      <c r="F400" s="649"/>
      <c r="G400" s="649"/>
      <c r="H400" s="649"/>
      <c r="I400" s="649"/>
      <c r="J400" s="649"/>
      <c r="K400" s="649"/>
      <c r="L400" s="649"/>
      <c r="M400" s="650" t="str">
        <f>IF(LEFT(M399,2)="JT","0.4kV",IF(LEFT(M399,2)="MT","20kV","-"))</f>
        <v>0.4kV</v>
      </c>
      <c r="N400" s="650"/>
      <c r="O400" s="650"/>
      <c r="P400" s="650"/>
      <c r="Q400" s="650"/>
      <c r="R400" s="650"/>
      <c r="S400" s="650"/>
      <c r="T400" s="650"/>
      <c r="U400" s="650"/>
      <c r="V400" s="650"/>
      <c r="W400" s="650"/>
      <c r="X400" s="650"/>
      <c r="Y400" s="650"/>
      <c r="Z400" s="650"/>
      <c r="AA400" s="650"/>
      <c r="AB400" s="650"/>
      <c r="AC400" s="650"/>
      <c r="AD400" s="650"/>
      <c r="AE400" s="650"/>
      <c r="AF400" s="650"/>
      <c r="AG400" s="650"/>
      <c r="AH400" s="650"/>
      <c r="AI400" s="619"/>
      <c r="AJ400" s="619"/>
      <c r="AK400" s="619"/>
      <c r="AL400" s="619"/>
      <c r="AM400" s="619"/>
    </row>
    <row r="401" spans="1:39" ht="15.95" customHeight="1">
      <c r="A401" s="648" t="s">
        <v>697</v>
      </c>
      <c r="B401" s="648"/>
      <c r="C401" s="648"/>
      <c r="D401" s="648"/>
      <c r="E401" s="648"/>
      <c r="F401" s="648"/>
      <c r="G401" s="647" t="s">
        <v>713</v>
      </c>
      <c r="H401" s="647"/>
      <c r="I401" s="647"/>
      <c r="J401" s="647" t="s">
        <v>714</v>
      </c>
      <c r="K401" s="647"/>
      <c r="L401" s="647"/>
      <c r="M401" s="648" t="s">
        <v>519</v>
      </c>
      <c r="N401" s="648"/>
      <c r="O401" s="648" t="s">
        <v>715</v>
      </c>
      <c r="P401" s="648"/>
      <c r="Q401" s="648"/>
      <c r="R401" s="647" t="s">
        <v>732</v>
      </c>
      <c r="S401" s="647"/>
      <c r="T401" s="647"/>
      <c r="U401" s="647" t="s">
        <v>734</v>
      </c>
      <c r="V401" s="647"/>
      <c r="W401" s="647"/>
      <c r="X401" s="647" t="s">
        <v>1085</v>
      </c>
      <c r="Y401" s="647"/>
      <c r="Z401" s="647"/>
      <c r="AA401" s="647" t="s">
        <v>1086</v>
      </c>
      <c r="AB401" s="647"/>
      <c r="AC401" s="647"/>
      <c r="AD401" s="647" t="s">
        <v>717</v>
      </c>
      <c r="AE401" s="647"/>
      <c r="AF401" s="647" t="s">
        <v>718</v>
      </c>
      <c r="AG401" s="647"/>
      <c r="AH401" s="647"/>
      <c r="AI401" s="647" t="s">
        <v>719</v>
      </c>
      <c r="AJ401" s="647"/>
      <c r="AK401" s="647" t="s">
        <v>733</v>
      </c>
      <c r="AL401" s="647"/>
      <c r="AM401" s="647"/>
    </row>
    <row r="402" spans="1:39">
      <c r="A402" s="648"/>
      <c r="B402" s="648"/>
      <c r="C402" s="648"/>
      <c r="D402" s="648"/>
      <c r="E402" s="648"/>
      <c r="F402" s="648"/>
      <c r="G402" s="647"/>
      <c r="H402" s="647"/>
      <c r="I402" s="647"/>
      <c r="J402" s="647"/>
      <c r="K402" s="647"/>
      <c r="L402" s="647"/>
      <c r="M402" s="648"/>
      <c r="N402" s="648"/>
      <c r="O402" s="648"/>
      <c r="P402" s="648"/>
      <c r="Q402" s="648"/>
      <c r="R402" s="647"/>
      <c r="S402" s="647"/>
      <c r="T402" s="647"/>
      <c r="U402" s="647"/>
      <c r="V402" s="647"/>
      <c r="W402" s="647"/>
      <c r="X402" s="647"/>
      <c r="Y402" s="647"/>
      <c r="Z402" s="647"/>
      <c r="AA402" s="647"/>
      <c r="AB402" s="647"/>
      <c r="AC402" s="647"/>
      <c r="AD402" s="647"/>
      <c r="AE402" s="647"/>
      <c r="AF402" s="647"/>
      <c r="AG402" s="647"/>
      <c r="AH402" s="647"/>
      <c r="AI402" s="647"/>
      <c r="AJ402" s="647"/>
      <c r="AK402" s="647"/>
      <c r="AL402" s="647"/>
      <c r="AM402" s="647"/>
    </row>
    <row r="403" spans="1:39">
      <c r="A403" s="648"/>
      <c r="B403" s="648"/>
      <c r="C403" s="648"/>
      <c r="D403" s="648"/>
      <c r="E403" s="648"/>
      <c r="F403" s="648"/>
      <c r="G403" s="647"/>
      <c r="H403" s="647"/>
      <c r="I403" s="647"/>
      <c r="J403" s="713"/>
      <c r="K403" s="713"/>
      <c r="L403" s="713"/>
      <c r="M403" s="648"/>
      <c r="N403" s="648"/>
      <c r="O403" s="648"/>
      <c r="P403" s="648"/>
      <c r="Q403" s="648"/>
      <c r="R403" s="647"/>
      <c r="S403" s="647"/>
      <c r="T403" s="647"/>
      <c r="U403" s="647"/>
      <c r="V403" s="647"/>
      <c r="W403" s="647"/>
      <c r="X403" s="647"/>
      <c r="Y403" s="647"/>
      <c r="Z403" s="647"/>
      <c r="AA403" s="647"/>
      <c r="AB403" s="647"/>
      <c r="AC403" s="647"/>
      <c r="AD403" s="647"/>
      <c r="AE403" s="647"/>
      <c r="AF403" s="647"/>
      <c r="AG403" s="647"/>
      <c r="AH403" s="647"/>
      <c r="AI403" s="647"/>
      <c r="AJ403" s="647"/>
      <c r="AK403" s="647"/>
      <c r="AL403" s="647"/>
      <c r="AM403" s="647"/>
    </row>
    <row r="404" spans="1:39" ht="14.1" customHeight="1">
      <c r="A404" s="684" t="str">
        <f>VLOOKUP(AI399,'Contorizare in SDI'!$E:$I,5,FALSE)</f>
        <v>V.22G90290210104573/3</v>
      </c>
      <c r="B404" s="685"/>
      <c r="C404" s="685"/>
      <c r="D404" s="685"/>
      <c r="E404" s="685"/>
      <c r="F404" s="686"/>
      <c r="G404" s="648" t="s">
        <v>730</v>
      </c>
      <c r="H404" s="648"/>
      <c r="I404" s="673"/>
      <c r="J404" s="655">
        <f>'Date masura OD'!$AK$5</f>
        <v>45748</v>
      </c>
      <c r="K404" s="656"/>
      <c r="L404" s="657"/>
      <c r="M404" s="720" t="s">
        <v>446</v>
      </c>
      <c r="N404" s="648"/>
      <c r="O404" s="648">
        <f>VLOOKUP(AI399,'Incrementare indexe'!$B:$T,4,FALSE)</f>
        <v>1</v>
      </c>
      <c r="P404" s="648"/>
      <c r="Q404" s="648"/>
      <c r="R404" s="647" t="str">
        <f>VLOOKUP(A404,Regularizare!$D:$YN,3,FALSE)&amp;" ("&amp;VLOOKUP(A404,Regularizare!$D:$Y,11,FALSE)&amp;")"</f>
        <v>2271627 (citit)</v>
      </c>
      <c r="S404" s="647"/>
      <c r="T404" s="647"/>
      <c r="U404" s="647" t="str">
        <f>VLOOKUP(A404,Regularizare!$D:$U,4,FALSE)&amp;" ("&amp;VLOOKUP(A404,Regularizare!$D:$U,12,FALSE)&amp;")"</f>
        <v>2446845 (estimat)</v>
      </c>
      <c r="V404" s="647"/>
      <c r="W404" s="647"/>
      <c r="X404" s="647" t="str">
        <f>VLOOKUP(A404,Regularizare!$D:$Y,19,FALSE)&amp;" ("&amp;VLOOKUP(A404,Regularizare!$D:$U,12,FALSE)&amp;")"</f>
        <v>175218 (estimat)</v>
      </c>
      <c r="Y404" s="647"/>
      <c r="Z404" s="647"/>
      <c r="AA404" s="647">
        <f>(-1)*VLOOKUP(A404,Regularizare!$D:$Y,19,FALSE)</f>
        <v>-175218</v>
      </c>
      <c r="AB404" s="647"/>
      <c r="AC404" s="647"/>
      <c r="AD404" s="647" t="s">
        <v>69</v>
      </c>
      <c r="AE404" s="647"/>
      <c r="AF404" s="647">
        <f>AA404</f>
        <v>-175218</v>
      </c>
      <c r="AG404" s="647"/>
      <c r="AH404" s="647"/>
      <c r="AI404" s="647" t="s">
        <v>69</v>
      </c>
      <c r="AJ404" s="647"/>
      <c r="AK404" s="647" t="s">
        <v>69</v>
      </c>
      <c r="AL404" s="647"/>
      <c r="AM404" s="647"/>
    </row>
    <row r="405" spans="1:39" ht="9.75" customHeight="1">
      <c r="A405" s="727"/>
      <c r="B405" s="729"/>
      <c r="C405" s="729"/>
      <c r="D405" s="729"/>
      <c r="E405" s="729"/>
      <c r="F405" s="728"/>
      <c r="G405" s="648"/>
      <c r="H405" s="648"/>
      <c r="I405" s="673"/>
      <c r="J405" s="717" t="s">
        <v>69</v>
      </c>
      <c r="K405" s="718"/>
      <c r="L405" s="719"/>
      <c r="M405" s="720"/>
      <c r="N405" s="648"/>
      <c r="O405" s="648"/>
      <c r="P405" s="648"/>
      <c r="Q405" s="648"/>
      <c r="R405" s="647"/>
      <c r="S405" s="647"/>
      <c r="T405" s="647"/>
      <c r="U405" s="647"/>
      <c r="V405" s="647"/>
      <c r="W405" s="647"/>
      <c r="X405" s="647"/>
      <c r="Y405" s="647"/>
      <c r="Z405" s="647"/>
      <c r="AA405" s="647"/>
      <c r="AB405" s="647"/>
      <c r="AC405" s="647"/>
      <c r="AD405" s="647"/>
      <c r="AE405" s="647"/>
      <c r="AF405" s="647"/>
      <c r="AG405" s="647"/>
      <c r="AH405" s="647"/>
      <c r="AI405" s="647"/>
      <c r="AJ405" s="647"/>
      <c r="AK405" s="647"/>
      <c r="AL405" s="647"/>
      <c r="AM405" s="647"/>
    </row>
    <row r="406" spans="1:39" ht="14.1" customHeight="1">
      <c r="A406" s="687"/>
      <c r="B406" s="688"/>
      <c r="C406" s="688"/>
      <c r="D406" s="688"/>
      <c r="E406" s="688"/>
      <c r="F406" s="689"/>
      <c r="G406" s="648"/>
      <c r="H406" s="648"/>
      <c r="I406" s="673"/>
      <c r="J406" s="714">
        <f>'Date masura OD'!$AL$5</f>
        <v>45777</v>
      </c>
      <c r="K406" s="715"/>
      <c r="L406" s="716"/>
      <c r="M406" s="720"/>
      <c r="N406" s="648"/>
      <c r="O406" s="648"/>
      <c r="P406" s="648"/>
      <c r="Q406" s="648"/>
      <c r="R406" s="647"/>
      <c r="S406" s="647"/>
      <c r="T406" s="647"/>
      <c r="U406" s="647"/>
      <c r="V406" s="647"/>
      <c r="W406" s="647"/>
      <c r="X406" s="647"/>
      <c r="Y406" s="647"/>
      <c r="Z406" s="647"/>
      <c r="AA406" s="647"/>
      <c r="AB406" s="647"/>
      <c r="AC406" s="647"/>
      <c r="AD406" s="647"/>
      <c r="AE406" s="647"/>
      <c r="AF406" s="647"/>
      <c r="AG406" s="647"/>
      <c r="AH406" s="647"/>
      <c r="AI406" s="647"/>
      <c r="AJ406" s="647"/>
      <c r="AK406" s="647"/>
      <c r="AL406" s="647"/>
      <c r="AM406" s="647"/>
    </row>
    <row r="407" spans="1:39" ht="14.1" customHeight="1">
      <c r="A407" s="684" t="str">
        <f>A404</f>
        <v>V.22G90290210104573/3</v>
      </c>
      <c r="B407" s="685"/>
      <c r="C407" s="685"/>
      <c r="D407" s="685"/>
      <c r="E407" s="685"/>
      <c r="F407" s="686"/>
      <c r="G407" s="648" t="s">
        <v>696</v>
      </c>
      <c r="H407" s="648"/>
      <c r="I407" s="648"/>
      <c r="J407" s="655">
        <f t="shared" ref="J407:J412" si="22">J404</f>
        <v>45748</v>
      </c>
      <c r="K407" s="656"/>
      <c r="L407" s="657"/>
      <c r="M407" s="648" t="s">
        <v>720</v>
      </c>
      <c r="N407" s="648"/>
      <c r="O407" s="648">
        <f>O404</f>
        <v>1</v>
      </c>
      <c r="P407" s="648"/>
      <c r="Q407" s="648"/>
      <c r="R407" s="647" t="str">
        <f>VLOOKUP(A407,Regularizare!$D:$U,7,FALSE)&amp;" ("&amp;VLOOKUP(A407,Regularizare!$D:$U,15,FALSE)&amp;")"</f>
        <v>148188 (citit)</v>
      </c>
      <c r="S407" s="647"/>
      <c r="T407" s="647"/>
      <c r="U407" s="647" t="str">
        <f>VLOOKUP(A407,Regularizare!$D:$U,8,FALSE)&amp;" ("&amp;VLOOKUP(A407,Regularizare!$D:$U,16,FALSE)&amp;")"</f>
        <v>148188 (estimat)</v>
      </c>
      <c r="V407" s="647"/>
      <c r="W407" s="647"/>
      <c r="X407" s="647" t="str">
        <f>_xlfn.CONCAT(VLOOKUP(A407,Regularizare!$D:$U,8,FALSE)-VLOOKUP(A407,Regularizare!$D:$U,7,FALSE)," (",VLOOKUP(A407,Regularizare!$D:$U,16,FALSE),")")</f>
        <v>0 (estimat)</v>
      </c>
      <c r="Y407" s="647"/>
      <c r="Z407" s="647"/>
      <c r="AA407" s="647">
        <f>IF(VLOOKUP(A407,Regularizare!$D:$Y,21,FALSE)=0,VLOOKUP(A407,Regularizare!$D:$Y,21,FALSE),(-1)*VLOOKUP(A407,Regularizare!$D:$Y,21,FALSE))</f>
        <v>0</v>
      </c>
      <c r="AB407" s="647"/>
      <c r="AC407" s="647"/>
      <c r="AD407" s="647" t="s">
        <v>69</v>
      </c>
      <c r="AE407" s="647"/>
      <c r="AF407" s="647">
        <f>AA407</f>
        <v>0</v>
      </c>
      <c r="AG407" s="647"/>
      <c r="AH407" s="647"/>
      <c r="AI407" s="647" t="str">
        <f>AI404</f>
        <v>-</v>
      </c>
      <c r="AJ407" s="647"/>
      <c r="AK407" s="647" t="str">
        <f>AK404</f>
        <v>-</v>
      </c>
      <c r="AL407" s="647"/>
      <c r="AM407" s="647"/>
    </row>
    <row r="408" spans="1:39" ht="8.4499999999999993" customHeight="1">
      <c r="A408" s="727"/>
      <c r="B408" s="729"/>
      <c r="C408" s="729"/>
      <c r="D408" s="729"/>
      <c r="E408" s="729"/>
      <c r="F408" s="728"/>
      <c r="G408" s="648"/>
      <c r="H408" s="648"/>
      <c r="I408" s="648"/>
      <c r="J408" s="717" t="str">
        <f t="shared" si="22"/>
        <v>-</v>
      </c>
      <c r="K408" s="718"/>
      <c r="L408" s="719"/>
      <c r="M408" s="648"/>
      <c r="N408" s="648"/>
      <c r="O408" s="648"/>
      <c r="P408" s="648"/>
      <c r="Q408" s="648"/>
      <c r="R408" s="647"/>
      <c r="S408" s="647"/>
      <c r="T408" s="647"/>
      <c r="U408" s="647"/>
      <c r="V408" s="647"/>
      <c r="W408" s="647"/>
      <c r="X408" s="647"/>
      <c r="Y408" s="647"/>
      <c r="Z408" s="647"/>
      <c r="AA408" s="647"/>
      <c r="AB408" s="647"/>
      <c r="AC408" s="647"/>
      <c r="AD408" s="647"/>
      <c r="AE408" s="647"/>
      <c r="AF408" s="647"/>
      <c r="AG408" s="647"/>
      <c r="AH408" s="647"/>
      <c r="AI408" s="647"/>
      <c r="AJ408" s="647"/>
      <c r="AK408" s="647"/>
      <c r="AL408" s="647"/>
      <c r="AM408" s="647"/>
    </row>
    <row r="409" spans="1:39" ht="14.1" customHeight="1">
      <c r="A409" s="687"/>
      <c r="B409" s="688"/>
      <c r="C409" s="688"/>
      <c r="D409" s="688"/>
      <c r="E409" s="688"/>
      <c r="F409" s="689"/>
      <c r="G409" s="648"/>
      <c r="H409" s="648"/>
      <c r="I409" s="648"/>
      <c r="J409" s="714">
        <f t="shared" si="22"/>
        <v>45777</v>
      </c>
      <c r="K409" s="715"/>
      <c r="L409" s="716"/>
      <c r="M409" s="648"/>
      <c r="N409" s="648"/>
      <c r="O409" s="648"/>
      <c r="P409" s="648"/>
      <c r="Q409" s="648"/>
      <c r="R409" s="647"/>
      <c r="S409" s="647"/>
      <c r="T409" s="647"/>
      <c r="U409" s="647"/>
      <c r="V409" s="647"/>
      <c r="W409" s="647"/>
      <c r="X409" s="647"/>
      <c r="Y409" s="647"/>
      <c r="Z409" s="647"/>
      <c r="AA409" s="647"/>
      <c r="AB409" s="647"/>
      <c r="AC409" s="647"/>
      <c r="AD409" s="647"/>
      <c r="AE409" s="647"/>
      <c r="AF409" s="647"/>
      <c r="AG409" s="647"/>
      <c r="AH409" s="647"/>
      <c r="AI409" s="647"/>
      <c r="AJ409" s="647"/>
      <c r="AK409" s="647"/>
      <c r="AL409" s="647"/>
      <c r="AM409" s="647"/>
    </row>
    <row r="410" spans="1:39" ht="14.1" customHeight="1">
      <c r="A410" s="684" t="str">
        <f>A407</f>
        <v>V.22G90290210104573/3</v>
      </c>
      <c r="B410" s="685"/>
      <c r="C410" s="685"/>
      <c r="D410" s="685"/>
      <c r="E410" s="685"/>
      <c r="F410" s="686"/>
      <c r="G410" s="648" t="s">
        <v>731</v>
      </c>
      <c r="H410" s="648"/>
      <c r="I410" s="648"/>
      <c r="J410" s="655">
        <f t="shared" si="22"/>
        <v>45748</v>
      </c>
      <c r="K410" s="656"/>
      <c r="L410" s="657"/>
      <c r="M410" s="648" t="s">
        <v>720</v>
      </c>
      <c r="N410" s="648"/>
      <c r="O410" s="648">
        <f>O407</f>
        <v>1</v>
      </c>
      <c r="P410" s="648"/>
      <c r="Q410" s="648"/>
      <c r="R410" s="647" t="str">
        <f>VLOOKUP(A410,Regularizare!$D:$U,9,FALSE)&amp;" ("&amp;VLOOKUP(A410,Regularizare!$D:$U,17,FALSE)&amp;")"</f>
        <v>100 (citit)</v>
      </c>
      <c r="S410" s="647"/>
      <c r="T410" s="647"/>
      <c r="U410" s="647" t="str">
        <f>VLOOKUP(A410,Regularizare!$D:$U,10,FALSE)&amp;" ("&amp;VLOOKUP(A410,Regularizare!$D:$U,18,FALSE)&amp;")"</f>
        <v>100 (estimat)</v>
      </c>
      <c r="V410" s="647"/>
      <c r="W410" s="647"/>
      <c r="X410" s="647" t="str">
        <f>_xlfn.CONCAT(VLOOKUP(A410,Regularizare!$D:$U,10,FALSE)-VLOOKUP(A410,Regularizare!$D:$U,9,FALSE)," (",VLOOKUP(A410,Regularizare!$D:$U,18,FALSE),")")</f>
        <v>0 (estimat)</v>
      </c>
      <c r="Y410" s="647"/>
      <c r="Z410" s="647"/>
      <c r="AA410" s="647">
        <f>IF(VLOOKUP(A410,Regularizare!$D:$Y,22,FALSE)=0,VLOOKUP(A410,Regularizare!$D:$Y,22,FALSE),(-1)*VLOOKUP(A410,Regularizare!$D:$Y,22,FALSE))</f>
        <v>0</v>
      </c>
      <c r="AB410" s="647"/>
      <c r="AC410" s="647"/>
      <c r="AD410" s="647" t="s">
        <v>69</v>
      </c>
      <c r="AE410" s="647"/>
      <c r="AF410" s="647">
        <f>AA410</f>
        <v>0</v>
      </c>
      <c r="AG410" s="647"/>
      <c r="AH410" s="647"/>
      <c r="AI410" s="647" t="str">
        <f>AI407</f>
        <v>-</v>
      </c>
      <c r="AJ410" s="647"/>
      <c r="AK410" s="647" t="str">
        <f>AK407</f>
        <v>-</v>
      </c>
      <c r="AL410" s="647"/>
      <c r="AM410" s="647"/>
    </row>
    <row r="411" spans="1:39" ht="8.4499999999999993" customHeight="1">
      <c r="A411" s="727"/>
      <c r="B411" s="729"/>
      <c r="C411" s="729"/>
      <c r="D411" s="729"/>
      <c r="E411" s="729"/>
      <c r="F411" s="728"/>
      <c r="G411" s="648"/>
      <c r="H411" s="648"/>
      <c r="I411" s="648"/>
      <c r="J411" s="717" t="str">
        <f t="shared" si="22"/>
        <v>-</v>
      </c>
      <c r="K411" s="718"/>
      <c r="L411" s="719"/>
      <c r="M411" s="648"/>
      <c r="N411" s="648"/>
      <c r="O411" s="648"/>
      <c r="P411" s="648"/>
      <c r="Q411" s="648"/>
      <c r="R411" s="647"/>
      <c r="S411" s="647"/>
      <c r="T411" s="647"/>
      <c r="U411" s="647"/>
      <c r="V411" s="647"/>
      <c r="W411" s="647"/>
      <c r="X411" s="647"/>
      <c r="Y411" s="647"/>
      <c r="Z411" s="647"/>
      <c r="AA411" s="647"/>
      <c r="AB411" s="647"/>
      <c r="AC411" s="647"/>
      <c r="AD411" s="647"/>
      <c r="AE411" s="647"/>
      <c r="AF411" s="647"/>
      <c r="AG411" s="647"/>
      <c r="AH411" s="647"/>
      <c r="AI411" s="647"/>
      <c r="AJ411" s="647"/>
      <c r="AK411" s="647"/>
      <c r="AL411" s="647"/>
      <c r="AM411" s="647"/>
    </row>
    <row r="412" spans="1:39" ht="14.1" customHeight="1">
      <c r="A412" s="687"/>
      <c r="B412" s="688"/>
      <c r="C412" s="688"/>
      <c r="D412" s="688"/>
      <c r="E412" s="688"/>
      <c r="F412" s="689"/>
      <c r="G412" s="648"/>
      <c r="H412" s="648"/>
      <c r="I412" s="648"/>
      <c r="J412" s="714">
        <f t="shared" si="22"/>
        <v>45777</v>
      </c>
      <c r="K412" s="715"/>
      <c r="L412" s="716"/>
      <c r="M412" s="648"/>
      <c r="N412" s="648"/>
      <c r="O412" s="648"/>
      <c r="P412" s="648"/>
      <c r="Q412" s="648"/>
      <c r="R412" s="647"/>
      <c r="S412" s="647"/>
      <c r="T412" s="647"/>
      <c r="U412" s="647"/>
      <c r="V412" s="647"/>
      <c r="W412" s="647"/>
      <c r="X412" s="647"/>
      <c r="Y412" s="647"/>
      <c r="Z412" s="647"/>
      <c r="AA412" s="647"/>
      <c r="AB412" s="647"/>
      <c r="AC412" s="647"/>
      <c r="AD412" s="647"/>
      <c r="AE412" s="647"/>
      <c r="AF412" s="647"/>
      <c r="AG412" s="647"/>
      <c r="AH412" s="647"/>
      <c r="AI412" s="647"/>
      <c r="AJ412" s="647"/>
      <c r="AK412" s="647"/>
      <c r="AL412" s="647"/>
      <c r="AM412" s="647"/>
    </row>
    <row r="413" spans="1:39" ht="14.1" customHeight="1">
      <c r="A413" s="684" t="str">
        <f>A410</f>
        <v>V.22G90290210104573/3</v>
      </c>
      <c r="B413" s="685"/>
      <c r="C413" s="685"/>
      <c r="D413" s="685"/>
      <c r="E413" s="685"/>
      <c r="F413" s="686"/>
      <c r="G413" s="648" t="s">
        <v>730</v>
      </c>
      <c r="H413" s="648"/>
      <c r="I413" s="673"/>
      <c r="J413" s="655">
        <f>'Date masura OD'!$AK$5</f>
        <v>45748</v>
      </c>
      <c r="K413" s="656"/>
      <c r="L413" s="657"/>
      <c r="M413" s="720" t="s">
        <v>446</v>
      </c>
      <c r="N413" s="648"/>
      <c r="O413" s="648">
        <f>O410</f>
        <v>1</v>
      </c>
      <c r="P413" s="648"/>
      <c r="Q413" s="648"/>
      <c r="R413" s="647" t="str">
        <f>VLOOKUP(A413,Regularizare!$D:$AX,23,FALSE)&amp;" ("&amp;VLOOKUP(A413,Regularizare!$D:$AX,24,FALSE)&amp;")"</f>
        <v>2271627 (citit)</v>
      </c>
      <c r="S413" s="647"/>
      <c r="T413" s="647"/>
      <c r="U413" s="647" t="str">
        <f>VLOOKUP(A413,Regularizare!$D:$AX,25,FALSE)&amp;" ("&amp;VLOOKUP(A413,Regularizare!$D:$AX,26,FALSE)&amp;")"</f>
        <v>2446845 (citit)</v>
      </c>
      <c r="V413" s="647"/>
      <c r="W413" s="647"/>
      <c r="X413" s="647" t="str">
        <f>VLOOKUP(A413,Regularizare!$D:$AX,37,FALSE)&amp;" ("&amp;VLOOKUP(A413,Regularizare!$D:$AX,26,FALSE)&amp;")"</f>
        <v>175218 (citit)</v>
      </c>
      <c r="Y413" s="647"/>
      <c r="Z413" s="647"/>
      <c r="AA413" s="647">
        <f>VLOOKUP(A413,Regularizare!$D:$AX,37,FALSE)</f>
        <v>175218</v>
      </c>
      <c r="AB413" s="647"/>
      <c r="AC413" s="647"/>
      <c r="AD413" s="647" t="s">
        <v>69</v>
      </c>
      <c r="AE413" s="647"/>
      <c r="AF413" s="647">
        <f>AA413</f>
        <v>175218</v>
      </c>
      <c r="AG413" s="647"/>
      <c r="AH413" s="647"/>
      <c r="AI413" s="647" t="str">
        <f>AI410</f>
        <v>-</v>
      </c>
      <c r="AJ413" s="647"/>
      <c r="AK413" s="647" t="str">
        <f>AK410</f>
        <v>-</v>
      </c>
      <c r="AL413" s="647"/>
      <c r="AM413" s="647"/>
    </row>
    <row r="414" spans="1:39" ht="8.4499999999999993" customHeight="1">
      <c r="A414" s="727"/>
      <c r="B414" s="729"/>
      <c r="C414" s="729"/>
      <c r="D414" s="729"/>
      <c r="E414" s="729"/>
      <c r="F414" s="728"/>
      <c r="G414" s="648"/>
      <c r="H414" s="648"/>
      <c r="I414" s="673"/>
      <c r="J414" s="717" t="s">
        <v>69</v>
      </c>
      <c r="K414" s="718"/>
      <c r="L414" s="719"/>
      <c r="M414" s="720"/>
      <c r="N414" s="648"/>
      <c r="O414" s="648"/>
      <c r="P414" s="648"/>
      <c r="Q414" s="648"/>
      <c r="R414" s="647"/>
      <c r="S414" s="647"/>
      <c r="T414" s="647"/>
      <c r="U414" s="647"/>
      <c r="V414" s="647"/>
      <c r="W414" s="647"/>
      <c r="X414" s="647"/>
      <c r="Y414" s="647"/>
      <c r="Z414" s="647"/>
      <c r="AA414" s="647"/>
      <c r="AB414" s="647"/>
      <c r="AC414" s="647"/>
      <c r="AD414" s="647"/>
      <c r="AE414" s="647"/>
      <c r="AF414" s="647"/>
      <c r="AG414" s="647"/>
      <c r="AH414" s="647"/>
      <c r="AI414" s="647"/>
      <c r="AJ414" s="647"/>
      <c r="AK414" s="647"/>
      <c r="AL414" s="647"/>
      <c r="AM414" s="647"/>
    </row>
    <row r="415" spans="1:39" ht="14.1" customHeight="1">
      <c r="A415" s="687"/>
      <c r="B415" s="688"/>
      <c r="C415" s="688"/>
      <c r="D415" s="688"/>
      <c r="E415" s="688"/>
      <c r="F415" s="689"/>
      <c r="G415" s="648"/>
      <c r="H415" s="648"/>
      <c r="I415" s="673"/>
      <c r="J415" s="714">
        <f>'Date masura OD'!$AL$5</f>
        <v>45777</v>
      </c>
      <c r="K415" s="715"/>
      <c r="L415" s="716"/>
      <c r="M415" s="720"/>
      <c r="N415" s="648"/>
      <c r="O415" s="648"/>
      <c r="P415" s="648"/>
      <c r="Q415" s="648"/>
      <c r="R415" s="647"/>
      <c r="S415" s="647"/>
      <c r="T415" s="647"/>
      <c r="U415" s="647"/>
      <c r="V415" s="647"/>
      <c r="W415" s="647"/>
      <c r="X415" s="647"/>
      <c r="Y415" s="647"/>
      <c r="Z415" s="647"/>
      <c r="AA415" s="647"/>
      <c r="AB415" s="647"/>
      <c r="AC415" s="647"/>
      <c r="AD415" s="647"/>
      <c r="AE415" s="647"/>
      <c r="AF415" s="647"/>
      <c r="AG415" s="647"/>
      <c r="AH415" s="647"/>
      <c r="AI415" s="647"/>
      <c r="AJ415" s="647"/>
      <c r="AK415" s="647"/>
      <c r="AL415" s="647"/>
      <c r="AM415" s="647"/>
    </row>
    <row r="416" spans="1:39" ht="14.1" customHeight="1">
      <c r="A416" s="684" t="str">
        <f>A413</f>
        <v>V.22G90290210104573/3</v>
      </c>
      <c r="B416" s="685"/>
      <c r="C416" s="685"/>
      <c r="D416" s="685"/>
      <c r="E416" s="685"/>
      <c r="F416" s="686"/>
      <c r="G416" s="648" t="s">
        <v>696</v>
      </c>
      <c r="H416" s="648"/>
      <c r="I416" s="648"/>
      <c r="J416" s="655">
        <f t="shared" ref="J416:J421" si="23">J413</f>
        <v>45748</v>
      </c>
      <c r="K416" s="656"/>
      <c r="L416" s="657"/>
      <c r="M416" s="648" t="s">
        <v>720</v>
      </c>
      <c r="N416" s="648"/>
      <c r="O416" s="648">
        <f>O413</f>
        <v>1</v>
      </c>
      <c r="P416" s="648"/>
      <c r="Q416" s="648"/>
      <c r="R416" s="647" t="str">
        <f>VLOOKUP(A416,Regularizare!$D:$AX,29,FALSE)&amp;" ("&amp;VLOOKUP(A416,Regularizare!$D:$AX,30,FALSE)&amp;")"</f>
        <v>148188 (citit)</v>
      </c>
      <c r="S416" s="647"/>
      <c r="T416" s="647"/>
      <c r="U416" s="647" t="str">
        <f>VLOOKUP(A416,Regularizare!$D:$AX,31,FALSE)&amp;" ("&amp;VLOOKUP(A416,Regularizare!$D:$AX,32,FALSE)&amp;")"</f>
        <v>148188 (citit)</v>
      </c>
      <c r="V416" s="647"/>
      <c r="W416" s="647"/>
      <c r="X416" s="647" t="str">
        <f>VLOOKUP(A416,Regularizare!$D:$AX,39,FALSE)&amp;" ("&amp;VLOOKUP(A416,Regularizare!$D:$AX,32,FALSE)&amp;")"</f>
        <v>0 (citit)</v>
      </c>
      <c r="Y416" s="647"/>
      <c r="Z416" s="647"/>
      <c r="AA416" s="647">
        <f>VLOOKUP(A416,Regularizare!$D:$AX,44,FALSE)+VLOOKUP(A416,Regularizare!$D:$AX,45,FALSE)</f>
        <v>0</v>
      </c>
      <c r="AB416" s="647"/>
      <c r="AC416" s="647"/>
      <c r="AD416" s="647" t="s">
        <v>69</v>
      </c>
      <c r="AE416" s="647"/>
      <c r="AF416" s="647">
        <f>AA416</f>
        <v>0</v>
      </c>
      <c r="AG416" s="647"/>
      <c r="AH416" s="647"/>
      <c r="AI416" s="647" t="str">
        <f>AI413</f>
        <v>-</v>
      </c>
      <c r="AJ416" s="647"/>
      <c r="AK416" s="647" t="str">
        <f>AK413</f>
        <v>-</v>
      </c>
      <c r="AL416" s="647"/>
      <c r="AM416" s="647"/>
    </row>
    <row r="417" spans="1:39" ht="8.4499999999999993" customHeight="1">
      <c r="A417" s="727"/>
      <c r="B417" s="729"/>
      <c r="C417" s="729"/>
      <c r="D417" s="729"/>
      <c r="E417" s="729"/>
      <c r="F417" s="728"/>
      <c r="G417" s="648"/>
      <c r="H417" s="648"/>
      <c r="I417" s="648"/>
      <c r="J417" s="717" t="str">
        <f t="shared" si="23"/>
        <v>-</v>
      </c>
      <c r="K417" s="718"/>
      <c r="L417" s="719"/>
      <c r="M417" s="648"/>
      <c r="N417" s="648"/>
      <c r="O417" s="648"/>
      <c r="P417" s="648"/>
      <c r="Q417" s="648"/>
      <c r="R417" s="647"/>
      <c r="S417" s="647"/>
      <c r="T417" s="647"/>
      <c r="U417" s="647"/>
      <c r="V417" s="647"/>
      <c r="W417" s="647"/>
      <c r="X417" s="647"/>
      <c r="Y417" s="647"/>
      <c r="Z417" s="647"/>
      <c r="AA417" s="647"/>
      <c r="AB417" s="647"/>
      <c r="AC417" s="647"/>
      <c r="AD417" s="647"/>
      <c r="AE417" s="647"/>
      <c r="AF417" s="647"/>
      <c r="AG417" s="647"/>
      <c r="AH417" s="647"/>
      <c r="AI417" s="647"/>
      <c r="AJ417" s="647"/>
      <c r="AK417" s="647"/>
      <c r="AL417" s="647"/>
      <c r="AM417" s="647"/>
    </row>
    <row r="418" spans="1:39" ht="14.1" customHeight="1">
      <c r="A418" s="687"/>
      <c r="B418" s="688"/>
      <c r="C418" s="688"/>
      <c r="D418" s="688"/>
      <c r="E418" s="688"/>
      <c r="F418" s="689"/>
      <c r="G418" s="648"/>
      <c r="H418" s="648"/>
      <c r="I418" s="648"/>
      <c r="J418" s="714">
        <f t="shared" si="23"/>
        <v>45777</v>
      </c>
      <c r="K418" s="715"/>
      <c r="L418" s="716"/>
      <c r="M418" s="648"/>
      <c r="N418" s="648"/>
      <c r="O418" s="648"/>
      <c r="P418" s="648"/>
      <c r="Q418" s="648"/>
      <c r="R418" s="647"/>
      <c r="S418" s="647"/>
      <c r="T418" s="647"/>
      <c r="U418" s="647"/>
      <c r="V418" s="647"/>
      <c r="W418" s="647"/>
      <c r="X418" s="647"/>
      <c r="Y418" s="647"/>
      <c r="Z418" s="647"/>
      <c r="AA418" s="647"/>
      <c r="AB418" s="647"/>
      <c r="AC418" s="647"/>
      <c r="AD418" s="647"/>
      <c r="AE418" s="647"/>
      <c r="AF418" s="647"/>
      <c r="AG418" s="647"/>
      <c r="AH418" s="647"/>
      <c r="AI418" s="647"/>
      <c r="AJ418" s="647"/>
      <c r="AK418" s="647"/>
      <c r="AL418" s="647"/>
      <c r="AM418" s="647"/>
    </row>
    <row r="419" spans="1:39" ht="14.1" customHeight="1">
      <c r="A419" s="684" t="str">
        <f>A416</f>
        <v>V.22G90290210104573/3</v>
      </c>
      <c r="B419" s="685"/>
      <c r="C419" s="685"/>
      <c r="D419" s="685"/>
      <c r="E419" s="685"/>
      <c r="F419" s="686"/>
      <c r="G419" s="648" t="s">
        <v>731</v>
      </c>
      <c r="H419" s="648"/>
      <c r="I419" s="648"/>
      <c r="J419" s="655">
        <f t="shared" si="23"/>
        <v>45748</v>
      </c>
      <c r="K419" s="656"/>
      <c r="L419" s="657"/>
      <c r="M419" s="648" t="s">
        <v>720</v>
      </c>
      <c r="N419" s="648"/>
      <c r="O419" s="648">
        <f>O416</f>
        <v>1</v>
      </c>
      <c r="P419" s="648"/>
      <c r="Q419" s="648"/>
      <c r="R419" s="647" t="str">
        <f>VLOOKUP(A419,Regularizare!$D:$AX,33,FALSE)&amp;" ("&amp;VLOOKUP(A419,Regularizare!$D:$AX,34,FALSE)&amp;")"</f>
        <v>100 (citit)</v>
      </c>
      <c r="S419" s="647"/>
      <c r="T419" s="647"/>
      <c r="U419" s="647" t="str">
        <f>VLOOKUP(A419,Regularizare!$D:$AX,35,FALSE)&amp;" ("&amp;VLOOKUP(A419,Regularizare!$D:$AX,36,FALSE)&amp;")"</f>
        <v>100 (citit)</v>
      </c>
      <c r="V419" s="647"/>
      <c r="W419" s="647"/>
      <c r="X419" s="647" t="str">
        <f>VLOOKUP(A419,Regularizare!$D:$AX,40,FALSE)&amp;" ("&amp;VLOOKUP(A419,Regularizare!$D:$AX,36,FALSE)&amp;")"</f>
        <v>0 (citit)</v>
      </c>
      <c r="Y419" s="647"/>
      <c r="Z419" s="647"/>
      <c r="AA419" s="647">
        <f>VLOOKUP(A419,Regularizare!$D:$AX,46,FALSE)+VLOOKUP(A419,Regularizare!$D:$AX,47,FALSE)</f>
        <v>0</v>
      </c>
      <c r="AB419" s="647"/>
      <c r="AC419" s="647"/>
      <c r="AD419" s="647" t="s">
        <v>69</v>
      </c>
      <c r="AE419" s="647"/>
      <c r="AF419" s="647">
        <f>AA419</f>
        <v>0</v>
      </c>
      <c r="AG419" s="647"/>
      <c r="AH419" s="647"/>
      <c r="AI419" s="647" t="str">
        <f>AI416</f>
        <v>-</v>
      </c>
      <c r="AJ419" s="647"/>
      <c r="AK419" s="647" t="str">
        <f>AK416</f>
        <v>-</v>
      </c>
      <c r="AL419" s="647"/>
      <c r="AM419" s="647"/>
    </row>
    <row r="420" spans="1:39" ht="8.4499999999999993" customHeight="1">
      <c r="A420" s="727"/>
      <c r="B420" s="729"/>
      <c r="C420" s="729"/>
      <c r="D420" s="729"/>
      <c r="E420" s="729"/>
      <c r="F420" s="728"/>
      <c r="G420" s="648"/>
      <c r="H420" s="648"/>
      <c r="I420" s="648"/>
      <c r="J420" s="717" t="str">
        <f t="shared" si="23"/>
        <v>-</v>
      </c>
      <c r="K420" s="718"/>
      <c r="L420" s="719"/>
      <c r="M420" s="648"/>
      <c r="N420" s="648"/>
      <c r="O420" s="648"/>
      <c r="P420" s="648"/>
      <c r="Q420" s="648"/>
      <c r="R420" s="647"/>
      <c r="S420" s="647"/>
      <c r="T420" s="647"/>
      <c r="U420" s="647"/>
      <c r="V420" s="647"/>
      <c r="W420" s="647"/>
      <c r="X420" s="647"/>
      <c r="Y420" s="647"/>
      <c r="Z420" s="647"/>
      <c r="AA420" s="647"/>
      <c r="AB420" s="647"/>
      <c r="AC420" s="647"/>
      <c r="AD420" s="647"/>
      <c r="AE420" s="647"/>
      <c r="AF420" s="647"/>
      <c r="AG420" s="647"/>
      <c r="AH420" s="647"/>
      <c r="AI420" s="647"/>
      <c r="AJ420" s="647"/>
      <c r="AK420" s="647"/>
      <c r="AL420" s="647"/>
      <c r="AM420" s="647"/>
    </row>
    <row r="421" spans="1:39" ht="14.1" customHeight="1">
      <c r="A421" s="687"/>
      <c r="B421" s="688"/>
      <c r="C421" s="688"/>
      <c r="D421" s="688"/>
      <c r="E421" s="688"/>
      <c r="F421" s="689"/>
      <c r="G421" s="648"/>
      <c r="H421" s="648"/>
      <c r="I421" s="648"/>
      <c r="J421" s="714">
        <f t="shared" si="23"/>
        <v>45777</v>
      </c>
      <c r="K421" s="715"/>
      <c r="L421" s="716"/>
      <c r="M421" s="648"/>
      <c r="N421" s="648"/>
      <c r="O421" s="648"/>
      <c r="P421" s="648"/>
      <c r="Q421" s="648"/>
      <c r="R421" s="647"/>
      <c r="S421" s="647"/>
      <c r="T421" s="647"/>
      <c r="U421" s="647"/>
      <c r="V421" s="647"/>
      <c r="W421" s="647"/>
      <c r="X421" s="647"/>
      <c r="Y421" s="647"/>
      <c r="Z421" s="647"/>
      <c r="AA421" s="647"/>
      <c r="AB421" s="647"/>
      <c r="AC421" s="647"/>
      <c r="AD421" s="647"/>
      <c r="AE421" s="647"/>
      <c r="AF421" s="647"/>
      <c r="AG421" s="647"/>
      <c r="AH421" s="647"/>
      <c r="AI421" s="647"/>
      <c r="AJ421" s="647"/>
      <c r="AK421" s="647"/>
      <c r="AL421" s="647"/>
      <c r="AM421" s="647"/>
    </row>
    <row r="422" spans="1:39" ht="14.1" customHeight="1">
      <c r="A422" s="684" t="str">
        <f>A419</f>
        <v>V.22G90290210104573/3</v>
      </c>
      <c r="B422" s="685"/>
      <c r="C422" s="685"/>
      <c r="D422" s="685"/>
      <c r="E422" s="685"/>
      <c r="F422" s="686"/>
      <c r="G422" s="648" t="s">
        <v>730</v>
      </c>
      <c r="H422" s="648"/>
      <c r="I422" s="673"/>
      <c r="J422" s="655">
        <f>'Date masura OD'!$I$5</f>
        <v>45778</v>
      </c>
      <c r="K422" s="656"/>
      <c r="L422" s="657"/>
      <c r="M422" s="720" t="s">
        <v>446</v>
      </c>
      <c r="N422" s="648"/>
      <c r="O422" s="648">
        <f>O419</f>
        <v>1</v>
      </c>
      <c r="P422" s="648"/>
      <c r="Q422" s="648"/>
      <c r="R422" s="647" t="str">
        <f>U413</f>
        <v>2446845 (citit)</v>
      </c>
      <c r="S422" s="647"/>
      <c r="T422" s="647"/>
      <c r="U422" s="647" t="str">
        <f>VLOOKUP(A422,'Incrementare indexe'!$D:$M,4,FALSE)&amp;" (estimat)"</f>
        <v>2640933 (estimat)</v>
      </c>
      <c r="V422" s="647"/>
      <c r="W422" s="647"/>
      <c r="X422" s="647" t="str">
        <f>VLOOKUP(A422,'Incrementare indexe'!$D:$Q,11,FALSE)&amp;" (estimat)"</f>
        <v>194088 (estimat)</v>
      </c>
      <c r="Y422" s="647"/>
      <c r="Z422" s="647"/>
      <c r="AA422" s="647" t="s">
        <v>69</v>
      </c>
      <c r="AB422" s="647"/>
      <c r="AC422" s="647"/>
      <c r="AD422" s="647" t="s">
        <v>69</v>
      </c>
      <c r="AE422" s="647"/>
      <c r="AF422" s="647">
        <f>VLOOKUP(A422,'Incrementare indexe'!$D:$Q,11,FALSE)</f>
        <v>194088</v>
      </c>
      <c r="AG422" s="647"/>
      <c r="AH422" s="647"/>
      <c r="AI422" s="647">
        <f>J424-J422+1</f>
        <v>31</v>
      </c>
      <c r="AJ422" s="647"/>
      <c r="AK422" s="647">
        <f>ROUND(AF422/AI422,2)</f>
        <v>6260.9</v>
      </c>
      <c r="AL422" s="647"/>
      <c r="AM422" s="647"/>
    </row>
    <row r="423" spans="1:39" ht="8.4499999999999993" customHeight="1">
      <c r="A423" s="727"/>
      <c r="B423" s="729"/>
      <c r="C423" s="729"/>
      <c r="D423" s="729"/>
      <c r="E423" s="729"/>
      <c r="F423" s="728"/>
      <c r="G423" s="648"/>
      <c r="H423" s="648"/>
      <c r="I423" s="673"/>
      <c r="J423" s="717" t="s">
        <v>69</v>
      </c>
      <c r="K423" s="718"/>
      <c r="L423" s="719"/>
      <c r="M423" s="720"/>
      <c r="N423" s="648"/>
      <c r="O423" s="648"/>
      <c r="P423" s="648"/>
      <c r="Q423" s="648"/>
      <c r="R423" s="647"/>
      <c r="S423" s="647"/>
      <c r="T423" s="647"/>
      <c r="U423" s="647"/>
      <c r="V423" s="647"/>
      <c r="W423" s="647"/>
      <c r="X423" s="647"/>
      <c r="Y423" s="647"/>
      <c r="Z423" s="647"/>
      <c r="AA423" s="647"/>
      <c r="AB423" s="647"/>
      <c r="AC423" s="647"/>
      <c r="AD423" s="647"/>
      <c r="AE423" s="647"/>
      <c r="AF423" s="647"/>
      <c r="AG423" s="647"/>
      <c r="AH423" s="647"/>
      <c r="AI423" s="647"/>
      <c r="AJ423" s="647"/>
      <c r="AK423" s="647"/>
      <c r="AL423" s="647"/>
      <c r="AM423" s="647"/>
    </row>
    <row r="424" spans="1:39" ht="14.1" customHeight="1">
      <c r="A424" s="687"/>
      <c r="B424" s="688"/>
      <c r="C424" s="688"/>
      <c r="D424" s="688"/>
      <c r="E424" s="688"/>
      <c r="F424" s="689"/>
      <c r="G424" s="648"/>
      <c r="H424" s="648"/>
      <c r="I424" s="673"/>
      <c r="J424" s="714">
        <f>'Date masura OD'!$J$5</f>
        <v>45808</v>
      </c>
      <c r="K424" s="715"/>
      <c r="L424" s="716"/>
      <c r="M424" s="720"/>
      <c r="N424" s="648"/>
      <c r="O424" s="648"/>
      <c r="P424" s="648"/>
      <c r="Q424" s="648"/>
      <c r="R424" s="647"/>
      <c r="S424" s="647"/>
      <c r="T424" s="647"/>
      <c r="U424" s="647"/>
      <c r="V424" s="647"/>
      <c r="W424" s="647"/>
      <c r="X424" s="647"/>
      <c r="Y424" s="647"/>
      <c r="Z424" s="647"/>
      <c r="AA424" s="647"/>
      <c r="AB424" s="647"/>
      <c r="AC424" s="647"/>
      <c r="AD424" s="647"/>
      <c r="AE424" s="647"/>
      <c r="AF424" s="647"/>
      <c r="AG424" s="647"/>
      <c r="AH424" s="647"/>
      <c r="AI424" s="647"/>
      <c r="AJ424" s="647"/>
      <c r="AK424" s="647"/>
      <c r="AL424" s="647"/>
      <c r="AM424" s="647"/>
    </row>
    <row r="425" spans="1:39" ht="14.1" customHeight="1">
      <c r="A425" s="684" t="str">
        <f>A422</f>
        <v>V.22G90290210104573/3</v>
      </c>
      <c r="B425" s="685"/>
      <c r="C425" s="685"/>
      <c r="D425" s="685"/>
      <c r="E425" s="685"/>
      <c r="F425" s="686"/>
      <c r="G425" s="648" t="s">
        <v>696</v>
      </c>
      <c r="H425" s="648"/>
      <c r="I425" s="648"/>
      <c r="J425" s="655">
        <f t="shared" ref="J425:J430" si="24">J422</f>
        <v>45778</v>
      </c>
      <c r="K425" s="656"/>
      <c r="L425" s="657"/>
      <c r="M425" s="648" t="s">
        <v>720</v>
      </c>
      <c r="N425" s="648"/>
      <c r="O425" s="648">
        <f>O422</f>
        <v>1</v>
      </c>
      <c r="P425" s="648"/>
      <c r="Q425" s="648"/>
      <c r="R425" s="647" t="str">
        <f>U416</f>
        <v>148188 (citit)</v>
      </c>
      <c r="S425" s="647"/>
      <c r="T425" s="647"/>
      <c r="U425" s="647" t="str">
        <f>VLOOKUP(A425,'Incrementare indexe'!$D:$M,8,FALSE)&amp;" (estimat)"</f>
        <v>148188 (estimat)</v>
      </c>
      <c r="V425" s="647"/>
      <c r="W425" s="647"/>
      <c r="X425" s="647" t="str">
        <f>VLOOKUP(A425,'Incrementare indexe'!$D:$Q,12,FALSE)&amp;" (estimat)"</f>
        <v>0 (estimat)</v>
      </c>
      <c r="Y425" s="647"/>
      <c r="Z425" s="647"/>
      <c r="AA425" s="647" t="s">
        <v>69</v>
      </c>
      <c r="AB425" s="647"/>
      <c r="AC425" s="647"/>
      <c r="AD425" s="647" t="s">
        <v>69</v>
      </c>
      <c r="AE425" s="647"/>
      <c r="AF425" s="647">
        <f>VLOOKUP(A425,'Incrementare indexe'!$D:$Q,12,FALSE)</f>
        <v>0</v>
      </c>
      <c r="AG425" s="647"/>
      <c r="AH425" s="647"/>
      <c r="AI425" s="647">
        <f>AI422</f>
        <v>31</v>
      </c>
      <c r="AJ425" s="647"/>
      <c r="AK425" s="647">
        <f>ROUND(AF425/AI425,2)</f>
        <v>0</v>
      </c>
      <c r="AL425" s="647"/>
      <c r="AM425" s="647"/>
    </row>
    <row r="426" spans="1:39" ht="8.4499999999999993" customHeight="1">
      <c r="A426" s="727"/>
      <c r="B426" s="729"/>
      <c r="C426" s="729"/>
      <c r="D426" s="729"/>
      <c r="E426" s="729"/>
      <c r="F426" s="728"/>
      <c r="G426" s="648"/>
      <c r="H426" s="648"/>
      <c r="I426" s="648"/>
      <c r="J426" s="717" t="str">
        <f t="shared" si="24"/>
        <v>-</v>
      </c>
      <c r="K426" s="718"/>
      <c r="L426" s="719"/>
      <c r="M426" s="648"/>
      <c r="N426" s="648"/>
      <c r="O426" s="648"/>
      <c r="P426" s="648"/>
      <c r="Q426" s="648"/>
      <c r="R426" s="647"/>
      <c r="S426" s="647"/>
      <c r="T426" s="647"/>
      <c r="U426" s="647"/>
      <c r="V426" s="647"/>
      <c r="W426" s="647"/>
      <c r="X426" s="647"/>
      <c r="Y426" s="647"/>
      <c r="Z426" s="647"/>
      <c r="AA426" s="647"/>
      <c r="AB426" s="647"/>
      <c r="AC426" s="647"/>
      <c r="AD426" s="647"/>
      <c r="AE426" s="647"/>
      <c r="AF426" s="647"/>
      <c r="AG426" s="647"/>
      <c r="AH426" s="647"/>
      <c r="AI426" s="647"/>
      <c r="AJ426" s="647"/>
      <c r="AK426" s="647"/>
      <c r="AL426" s="647"/>
      <c r="AM426" s="647"/>
    </row>
    <row r="427" spans="1:39" ht="14.1" customHeight="1">
      <c r="A427" s="687"/>
      <c r="B427" s="688"/>
      <c r="C427" s="688"/>
      <c r="D427" s="688"/>
      <c r="E427" s="688"/>
      <c r="F427" s="689"/>
      <c r="G427" s="648"/>
      <c r="H427" s="648"/>
      <c r="I427" s="648"/>
      <c r="J427" s="714">
        <f t="shared" si="24"/>
        <v>45808</v>
      </c>
      <c r="K427" s="715"/>
      <c r="L427" s="716"/>
      <c r="M427" s="648"/>
      <c r="N427" s="648"/>
      <c r="O427" s="648"/>
      <c r="P427" s="648"/>
      <c r="Q427" s="648"/>
      <c r="R427" s="647"/>
      <c r="S427" s="647"/>
      <c r="T427" s="647"/>
      <c r="U427" s="647"/>
      <c r="V427" s="647"/>
      <c r="W427" s="647"/>
      <c r="X427" s="647"/>
      <c r="Y427" s="647"/>
      <c r="Z427" s="647"/>
      <c r="AA427" s="647"/>
      <c r="AB427" s="647"/>
      <c r="AC427" s="647"/>
      <c r="AD427" s="647"/>
      <c r="AE427" s="647"/>
      <c r="AF427" s="647"/>
      <c r="AG427" s="647"/>
      <c r="AH427" s="647"/>
      <c r="AI427" s="647"/>
      <c r="AJ427" s="647"/>
      <c r="AK427" s="647"/>
      <c r="AL427" s="647"/>
      <c r="AM427" s="647"/>
    </row>
    <row r="428" spans="1:39" ht="14.1" customHeight="1">
      <c r="A428" s="684" t="str">
        <f>A425</f>
        <v>V.22G90290210104573/3</v>
      </c>
      <c r="B428" s="685"/>
      <c r="C428" s="685"/>
      <c r="D428" s="685"/>
      <c r="E428" s="685"/>
      <c r="F428" s="686"/>
      <c r="G428" s="648" t="s">
        <v>731</v>
      </c>
      <c r="H428" s="648"/>
      <c r="I428" s="648"/>
      <c r="J428" s="655">
        <f t="shared" si="24"/>
        <v>45778</v>
      </c>
      <c r="K428" s="656"/>
      <c r="L428" s="657"/>
      <c r="M428" s="648" t="s">
        <v>720</v>
      </c>
      <c r="N428" s="648"/>
      <c r="O428" s="648">
        <f>O425</f>
        <v>1</v>
      </c>
      <c r="P428" s="648"/>
      <c r="Q428" s="648"/>
      <c r="R428" s="647" t="str">
        <f>U419</f>
        <v>100 (citit)</v>
      </c>
      <c r="S428" s="647"/>
      <c r="T428" s="647"/>
      <c r="U428" s="647" t="str">
        <f>VLOOKUP(A428,'Incrementare indexe'!$D:$M,10,FALSE)&amp;" (estimat)"</f>
        <v>100 (estimat)</v>
      </c>
      <c r="V428" s="647"/>
      <c r="W428" s="647"/>
      <c r="X428" s="647" t="str">
        <f>VLOOKUP(A428,'Incrementare indexe'!$D:$Q,13,FALSE)&amp;" (estimat)"</f>
        <v>0 (estimat)</v>
      </c>
      <c r="Y428" s="647"/>
      <c r="Z428" s="647"/>
      <c r="AA428" s="647" t="s">
        <v>69</v>
      </c>
      <c r="AB428" s="647"/>
      <c r="AC428" s="647"/>
      <c r="AD428" s="647" t="s">
        <v>69</v>
      </c>
      <c r="AE428" s="647"/>
      <c r="AF428" s="647">
        <f>VLOOKUP(A428,'Incrementare indexe'!$D:$Q,13,FALSE)</f>
        <v>0</v>
      </c>
      <c r="AG428" s="647"/>
      <c r="AH428" s="647"/>
      <c r="AI428" s="647">
        <f>AI425</f>
        <v>31</v>
      </c>
      <c r="AJ428" s="647"/>
      <c r="AK428" s="647">
        <f>ROUND(AF428/AI428,2)</f>
        <v>0</v>
      </c>
      <c r="AL428" s="647"/>
      <c r="AM428" s="647"/>
    </row>
    <row r="429" spans="1:39" ht="8.4499999999999993" customHeight="1">
      <c r="A429" s="727"/>
      <c r="B429" s="729"/>
      <c r="C429" s="729"/>
      <c r="D429" s="729"/>
      <c r="E429" s="729"/>
      <c r="F429" s="728"/>
      <c r="G429" s="648"/>
      <c r="H429" s="648"/>
      <c r="I429" s="648"/>
      <c r="J429" s="717" t="str">
        <f t="shared" si="24"/>
        <v>-</v>
      </c>
      <c r="K429" s="718"/>
      <c r="L429" s="719"/>
      <c r="M429" s="648"/>
      <c r="N429" s="648"/>
      <c r="O429" s="648"/>
      <c r="P429" s="648"/>
      <c r="Q429" s="648"/>
      <c r="R429" s="647"/>
      <c r="S429" s="647"/>
      <c r="T429" s="647"/>
      <c r="U429" s="647"/>
      <c r="V429" s="647"/>
      <c r="W429" s="647"/>
      <c r="X429" s="647"/>
      <c r="Y429" s="647"/>
      <c r="Z429" s="647"/>
      <c r="AA429" s="647"/>
      <c r="AB429" s="647"/>
      <c r="AC429" s="647"/>
      <c r="AD429" s="647"/>
      <c r="AE429" s="647"/>
      <c r="AF429" s="647"/>
      <c r="AG429" s="647"/>
      <c r="AH429" s="647"/>
      <c r="AI429" s="647"/>
      <c r="AJ429" s="647"/>
      <c r="AK429" s="647"/>
      <c r="AL429" s="647"/>
      <c r="AM429" s="647"/>
    </row>
    <row r="430" spans="1:39" ht="14.1" customHeight="1">
      <c r="A430" s="687"/>
      <c r="B430" s="688"/>
      <c r="C430" s="688"/>
      <c r="D430" s="688"/>
      <c r="E430" s="688"/>
      <c r="F430" s="689"/>
      <c r="G430" s="648"/>
      <c r="H430" s="648"/>
      <c r="I430" s="648"/>
      <c r="J430" s="714">
        <f t="shared" si="24"/>
        <v>45808</v>
      </c>
      <c r="K430" s="715"/>
      <c r="L430" s="716"/>
      <c r="M430" s="648"/>
      <c r="N430" s="648"/>
      <c r="O430" s="648"/>
      <c r="P430" s="648"/>
      <c r="Q430" s="648"/>
      <c r="R430" s="647"/>
      <c r="S430" s="647"/>
      <c r="T430" s="647"/>
      <c r="U430" s="647"/>
      <c r="V430" s="647"/>
      <c r="W430" s="647"/>
      <c r="X430" s="647"/>
      <c r="Y430" s="647"/>
      <c r="Z430" s="647"/>
      <c r="AA430" s="647"/>
      <c r="AB430" s="647"/>
      <c r="AC430" s="647"/>
      <c r="AD430" s="647"/>
      <c r="AE430" s="647"/>
      <c r="AF430" s="647"/>
      <c r="AG430" s="647"/>
      <c r="AH430" s="647"/>
      <c r="AI430" s="647"/>
      <c r="AJ430" s="647"/>
      <c r="AK430" s="647"/>
      <c r="AL430" s="647"/>
      <c r="AM430" s="647"/>
    </row>
    <row r="431" spans="1:39" ht="14.1" customHeight="1"/>
    <row r="432" spans="1:39" ht="14.1" customHeight="1"/>
    <row r="433" ht="14.1" customHeight="1"/>
    <row r="434" ht="14.1" customHeight="1"/>
    <row r="435" ht="14.1" customHeight="1"/>
    <row r="436" ht="14.1" customHeight="1"/>
    <row r="437" ht="14.1" customHeight="1"/>
    <row r="438" ht="14.1" customHeight="1"/>
    <row r="439" ht="14.1" customHeight="1"/>
    <row r="440" ht="14.1" customHeight="1"/>
    <row r="441" ht="14.1" customHeight="1"/>
    <row r="442" ht="14.1" customHeight="1"/>
    <row r="443" ht="14.1" customHeight="1"/>
    <row r="444" ht="14.1" customHeight="1"/>
    <row r="445" ht="14.1" customHeight="1"/>
    <row r="446" ht="14.1" customHeight="1"/>
    <row r="447" ht="14.1" customHeight="1"/>
    <row r="448" ht="14.1" customHeight="1"/>
    <row r="449" spans="1:39" ht="14.1" customHeight="1"/>
    <row r="450" spans="1:39" ht="14.1" customHeight="1"/>
    <row r="451" spans="1:39">
      <c r="A451" s="649" t="s">
        <v>748</v>
      </c>
      <c r="B451" s="649"/>
      <c r="C451" s="649"/>
      <c r="D451" s="649"/>
      <c r="E451" s="649"/>
      <c r="F451" s="649"/>
      <c r="G451" s="649"/>
      <c r="H451" s="649"/>
      <c r="I451" s="649"/>
      <c r="J451" s="649"/>
      <c r="K451" s="649"/>
      <c r="L451" s="649"/>
      <c r="M451" s="650" t="str">
        <f>VLOOKUP(AI452,'Contorizare in SDI'!$E:$I,4,FALSE)</f>
        <v>RO001E110034580/4</v>
      </c>
      <c r="N451" s="650"/>
      <c r="O451" s="650"/>
      <c r="P451" s="650"/>
      <c r="Q451" s="650"/>
      <c r="R451" s="650"/>
      <c r="S451" s="650"/>
      <c r="T451" s="650"/>
      <c r="U451" s="650"/>
      <c r="V451" s="650"/>
      <c r="W451" s="650"/>
      <c r="X451" s="650"/>
      <c r="Y451" s="650"/>
      <c r="Z451" s="650"/>
      <c r="AA451" s="650"/>
      <c r="AB451" s="650"/>
      <c r="AC451" s="650"/>
      <c r="AD451" s="650"/>
      <c r="AE451" s="650"/>
      <c r="AF451" s="650"/>
      <c r="AG451" s="650"/>
      <c r="AH451" s="650"/>
      <c r="AI451" s="650" t="s">
        <v>695</v>
      </c>
      <c r="AJ451" s="650"/>
      <c r="AK451" s="650"/>
      <c r="AL451" s="650"/>
      <c r="AM451" s="650"/>
    </row>
    <row r="452" spans="1:39">
      <c r="A452" s="649" t="s">
        <v>746</v>
      </c>
      <c r="B452" s="649"/>
      <c r="C452" s="649"/>
      <c r="D452" s="649"/>
      <c r="E452" s="649"/>
      <c r="F452" s="649"/>
      <c r="G452" s="649"/>
      <c r="H452" s="649"/>
      <c r="I452" s="649"/>
      <c r="J452" s="649"/>
      <c r="K452" s="649"/>
      <c r="L452" s="649"/>
      <c r="M452" s="650" t="str">
        <f>VLOOKUP(AI452,'Inchidere contur'!$G:$U,15,FALSE)</f>
        <v>JT_SDI</v>
      </c>
      <c r="N452" s="650"/>
      <c r="O452" s="650"/>
      <c r="P452" s="650"/>
      <c r="Q452" s="650"/>
      <c r="R452" s="650"/>
      <c r="S452" s="650"/>
      <c r="T452" s="650"/>
      <c r="U452" s="650"/>
      <c r="V452" s="650"/>
      <c r="W452" s="650"/>
      <c r="X452" s="650"/>
      <c r="Y452" s="650"/>
      <c r="Z452" s="650"/>
      <c r="AA452" s="650"/>
      <c r="AB452" s="650"/>
      <c r="AC452" s="650"/>
      <c r="AD452" s="650"/>
      <c r="AE452" s="650"/>
      <c r="AF452" s="650"/>
      <c r="AG452" s="650"/>
      <c r="AH452" s="650"/>
      <c r="AI452" s="619" t="str">
        <f>_xlfn.CONCAT($AA$294,".",4)</f>
        <v>RMEG_2.4</v>
      </c>
      <c r="AJ452" s="619"/>
      <c r="AK452" s="619"/>
      <c r="AL452" s="619"/>
      <c r="AM452" s="619"/>
    </row>
    <row r="453" spans="1:39">
      <c r="A453" s="649" t="s">
        <v>747</v>
      </c>
      <c r="B453" s="649"/>
      <c r="C453" s="649"/>
      <c r="D453" s="649"/>
      <c r="E453" s="649"/>
      <c r="F453" s="649"/>
      <c r="G453" s="649"/>
      <c r="H453" s="649"/>
      <c r="I453" s="649"/>
      <c r="J453" s="649"/>
      <c r="K453" s="649"/>
      <c r="L453" s="649"/>
      <c r="M453" s="650" t="str">
        <f>IF(LEFT(M452,2)="JT","0.4kV",IF(LEFT(M452,2)="MT","20kV","-"))</f>
        <v>0.4kV</v>
      </c>
      <c r="N453" s="650"/>
      <c r="O453" s="650"/>
      <c r="P453" s="650"/>
      <c r="Q453" s="650"/>
      <c r="R453" s="650"/>
      <c r="S453" s="650"/>
      <c r="T453" s="650"/>
      <c r="U453" s="650"/>
      <c r="V453" s="650"/>
      <c r="W453" s="650"/>
      <c r="X453" s="650"/>
      <c r="Y453" s="650"/>
      <c r="Z453" s="650"/>
      <c r="AA453" s="650"/>
      <c r="AB453" s="650"/>
      <c r="AC453" s="650"/>
      <c r="AD453" s="650"/>
      <c r="AE453" s="650"/>
      <c r="AF453" s="650"/>
      <c r="AG453" s="650"/>
      <c r="AH453" s="650"/>
      <c r="AI453" s="619"/>
      <c r="AJ453" s="619"/>
      <c r="AK453" s="619"/>
      <c r="AL453" s="619"/>
      <c r="AM453" s="619"/>
    </row>
    <row r="454" spans="1:39" ht="15.95" customHeight="1">
      <c r="A454" s="648" t="s">
        <v>697</v>
      </c>
      <c r="B454" s="648"/>
      <c r="C454" s="648"/>
      <c r="D454" s="648"/>
      <c r="E454" s="648"/>
      <c r="F454" s="648"/>
      <c r="G454" s="647" t="s">
        <v>713</v>
      </c>
      <c r="H454" s="647"/>
      <c r="I454" s="647"/>
      <c r="J454" s="647" t="s">
        <v>714</v>
      </c>
      <c r="K454" s="647"/>
      <c r="L454" s="647"/>
      <c r="M454" s="648" t="s">
        <v>519</v>
      </c>
      <c r="N454" s="648"/>
      <c r="O454" s="648" t="s">
        <v>715</v>
      </c>
      <c r="P454" s="648"/>
      <c r="Q454" s="648"/>
      <c r="R454" s="647" t="s">
        <v>732</v>
      </c>
      <c r="S454" s="647"/>
      <c r="T454" s="647"/>
      <c r="U454" s="647" t="s">
        <v>734</v>
      </c>
      <c r="V454" s="647"/>
      <c r="W454" s="647"/>
      <c r="X454" s="647" t="s">
        <v>1085</v>
      </c>
      <c r="Y454" s="647"/>
      <c r="Z454" s="647"/>
      <c r="AA454" s="647" t="s">
        <v>1086</v>
      </c>
      <c r="AB454" s="647"/>
      <c r="AC454" s="647"/>
      <c r="AD454" s="647" t="s">
        <v>717</v>
      </c>
      <c r="AE454" s="647"/>
      <c r="AF454" s="647" t="s">
        <v>718</v>
      </c>
      <c r="AG454" s="647"/>
      <c r="AH454" s="647"/>
      <c r="AI454" s="647" t="s">
        <v>719</v>
      </c>
      <c r="AJ454" s="647"/>
      <c r="AK454" s="647" t="s">
        <v>733</v>
      </c>
      <c r="AL454" s="647"/>
      <c r="AM454" s="647"/>
    </row>
    <row r="455" spans="1:39">
      <c r="A455" s="648"/>
      <c r="B455" s="648"/>
      <c r="C455" s="648"/>
      <c r="D455" s="648"/>
      <c r="E455" s="648"/>
      <c r="F455" s="648"/>
      <c r="G455" s="647"/>
      <c r="H455" s="647"/>
      <c r="I455" s="647"/>
      <c r="J455" s="647"/>
      <c r="K455" s="647"/>
      <c r="L455" s="647"/>
      <c r="M455" s="648"/>
      <c r="N455" s="648"/>
      <c r="O455" s="648"/>
      <c r="P455" s="648"/>
      <c r="Q455" s="648"/>
      <c r="R455" s="647"/>
      <c r="S455" s="647"/>
      <c r="T455" s="647"/>
      <c r="U455" s="647"/>
      <c r="V455" s="647"/>
      <c r="W455" s="647"/>
      <c r="X455" s="647"/>
      <c r="Y455" s="647"/>
      <c r="Z455" s="647"/>
      <c r="AA455" s="647"/>
      <c r="AB455" s="647"/>
      <c r="AC455" s="647"/>
      <c r="AD455" s="647"/>
      <c r="AE455" s="647"/>
      <c r="AF455" s="647"/>
      <c r="AG455" s="647"/>
      <c r="AH455" s="647"/>
      <c r="AI455" s="647"/>
      <c r="AJ455" s="647"/>
      <c r="AK455" s="647"/>
      <c r="AL455" s="647"/>
      <c r="AM455" s="647"/>
    </row>
    <row r="456" spans="1:39">
      <c r="A456" s="648"/>
      <c r="B456" s="648"/>
      <c r="C456" s="648"/>
      <c r="D456" s="648"/>
      <c r="E456" s="648"/>
      <c r="F456" s="648"/>
      <c r="G456" s="647"/>
      <c r="H456" s="647"/>
      <c r="I456" s="647"/>
      <c r="J456" s="713"/>
      <c r="K456" s="713"/>
      <c r="L456" s="713"/>
      <c r="M456" s="648"/>
      <c r="N456" s="648"/>
      <c r="O456" s="648"/>
      <c r="P456" s="648"/>
      <c r="Q456" s="648"/>
      <c r="R456" s="647"/>
      <c r="S456" s="647"/>
      <c r="T456" s="647"/>
      <c r="U456" s="647"/>
      <c r="V456" s="647"/>
      <c r="W456" s="647"/>
      <c r="X456" s="647"/>
      <c r="Y456" s="647"/>
      <c r="Z456" s="647"/>
      <c r="AA456" s="647"/>
      <c r="AB456" s="647"/>
      <c r="AC456" s="647"/>
      <c r="AD456" s="647"/>
      <c r="AE456" s="647"/>
      <c r="AF456" s="647"/>
      <c r="AG456" s="647"/>
      <c r="AH456" s="647"/>
      <c r="AI456" s="647"/>
      <c r="AJ456" s="647"/>
      <c r="AK456" s="647"/>
      <c r="AL456" s="647"/>
      <c r="AM456" s="647"/>
    </row>
    <row r="457" spans="1:39" ht="14.1" customHeight="1">
      <c r="A457" s="684" t="str">
        <f>VLOOKUP(AI452,'Contorizare in SDI'!$E:$I,5,FALSE)</f>
        <v>V.22G90290210104573/4</v>
      </c>
      <c r="B457" s="685"/>
      <c r="C457" s="685"/>
      <c r="D457" s="685"/>
      <c r="E457" s="685"/>
      <c r="F457" s="686"/>
      <c r="G457" s="648" t="s">
        <v>730</v>
      </c>
      <c r="H457" s="648"/>
      <c r="I457" s="673"/>
      <c r="J457" s="655">
        <f>'Date masura OD'!$AK$5</f>
        <v>45748</v>
      </c>
      <c r="K457" s="656"/>
      <c r="L457" s="657"/>
      <c r="M457" s="720" t="s">
        <v>446</v>
      </c>
      <c r="N457" s="648"/>
      <c r="O457" s="648">
        <f>VLOOKUP(AI452,'Incrementare indexe'!$B:$T,4,FALSE)</f>
        <v>1</v>
      </c>
      <c r="P457" s="648"/>
      <c r="Q457" s="648"/>
      <c r="R457" s="647" t="str">
        <f>VLOOKUP(A457,Regularizare!$D:$YN,3,FALSE)&amp;" ("&amp;VLOOKUP(A457,Regularizare!$D:$Y,11,FALSE)&amp;")"</f>
        <v>2225386 (citit)</v>
      </c>
      <c r="S457" s="647"/>
      <c r="T457" s="647"/>
      <c r="U457" s="647" t="str">
        <f>VLOOKUP(A457,Regularizare!$D:$U,4,FALSE)&amp;" ("&amp;VLOOKUP(A457,Regularizare!$D:$U,12,FALSE)&amp;")"</f>
        <v>2387498 (estimat)</v>
      </c>
      <c r="V457" s="647"/>
      <c r="W457" s="647"/>
      <c r="X457" s="647" t="str">
        <f>VLOOKUP(A457,Regularizare!$D:$Y,19,FALSE)&amp;" ("&amp;VLOOKUP(A457,Regularizare!$D:$U,12,FALSE)&amp;")"</f>
        <v>162112 (estimat)</v>
      </c>
      <c r="Y457" s="647"/>
      <c r="Z457" s="647"/>
      <c r="AA457" s="647">
        <f>(-1)*VLOOKUP(A457,Regularizare!$D:$Y,19,FALSE)</f>
        <v>-162112</v>
      </c>
      <c r="AB457" s="647"/>
      <c r="AC457" s="647"/>
      <c r="AD457" s="647" t="s">
        <v>69</v>
      </c>
      <c r="AE457" s="647"/>
      <c r="AF457" s="647">
        <f>AA457</f>
        <v>-162112</v>
      </c>
      <c r="AG457" s="647"/>
      <c r="AH457" s="647"/>
      <c r="AI457" s="647" t="s">
        <v>69</v>
      </c>
      <c r="AJ457" s="647"/>
      <c r="AK457" s="647" t="s">
        <v>69</v>
      </c>
      <c r="AL457" s="647"/>
      <c r="AM457" s="647"/>
    </row>
    <row r="458" spans="1:39" ht="9.75" customHeight="1">
      <c r="A458" s="727"/>
      <c r="B458" s="729"/>
      <c r="C458" s="729"/>
      <c r="D458" s="729"/>
      <c r="E458" s="729"/>
      <c r="F458" s="728"/>
      <c r="G458" s="648"/>
      <c r="H458" s="648"/>
      <c r="I458" s="673"/>
      <c r="J458" s="717" t="s">
        <v>69</v>
      </c>
      <c r="K458" s="718"/>
      <c r="L458" s="719"/>
      <c r="M458" s="720"/>
      <c r="N458" s="648"/>
      <c r="O458" s="648"/>
      <c r="P458" s="648"/>
      <c r="Q458" s="648"/>
      <c r="R458" s="647"/>
      <c r="S458" s="647"/>
      <c r="T458" s="647"/>
      <c r="U458" s="647"/>
      <c r="V458" s="647"/>
      <c r="W458" s="647"/>
      <c r="X458" s="647"/>
      <c r="Y458" s="647"/>
      <c r="Z458" s="647"/>
      <c r="AA458" s="647"/>
      <c r="AB458" s="647"/>
      <c r="AC458" s="647"/>
      <c r="AD458" s="647"/>
      <c r="AE458" s="647"/>
      <c r="AF458" s="647"/>
      <c r="AG458" s="647"/>
      <c r="AH458" s="647"/>
      <c r="AI458" s="647"/>
      <c r="AJ458" s="647"/>
      <c r="AK458" s="647"/>
      <c r="AL458" s="647"/>
      <c r="AM458" s="647"/>
    </row>
    <row r="459" spans="1:39" ht="14.1" customHeight="1">
      <c r="A459" s="687"/>
      <c r="B459" s="688"/>
      <c r="C459" s="688"/>
      <c r="D459" s="688"/>
      <c r="E459" s="688"/>
      <c r="F459" s="689"/>
      <c r="G459" s="648"/>
      <c r="H459" s="648"/>
      <c r="I459" s="673"/>
      <c r="J459" s="714">
        <f>'Date masura OD'!$AL$5</f>
        <v>45777</v>
      </c>
      <c r="K459" s="715"/>
      <c r="L459" s="716"/>
      <c r="M459" s="720"/>
      <c r="N459" s="648"/>
      <c r="O459" s="648"/>
      <c r="P459" s="648"/>
      <c r="Q459" s="648"/>
      <c r="R459" s="647"/>
      <c r="S459" s="647"/>
      <c r="T459" s="647"/>
      <c r="U459" s="647"/>
      <c r="V459" s="647"/>
      <c r="W459" s="647"/>
      <c r="X459" s="647"/>
      <c r="Y459" s="647"/>
      <c r="Z459" s="647"/>
      <c r="AA459" s="647"/>
      <c r="AB459" s="647"/>
      <c r="AC459" s="647"/>
      <c r="AD459" s="647"/>
      <c r="AE459" s="647"/>
      <c r="AF459" s="647"/>
      <c r="AG459" s="647"/>
      <c r="AH459" s="647"/>
      <c r="AI459" s="647"/>
      <c r="AJ459" s="647"/>
      <c r="AK459" s="647"/>
      <c r="AL459" s="647"/>
      <c r="AM459" s="647"/>
    </row>
    <row r="460" spans="1:39" ht="14.1" customHeight="1">
      <c r="A460" s="684" t="str">
        <f>A457</f>
        <v>V.22G90290210104573/4</v>
      </c>
      <c r="B460" s="685"/>
      <c r="C460" s="685"/>
      <c r="D460" s="685"/>
      <c r="E460" s="685"/>
      <c r="F460" s="686"/>
      <c r="G460" s="648" t="s">
        <v>696</v>
      </c>
      <c r="H460" s="648"/>
      <c r="I460" s="648"/>
      <c r="J460" s="655">
        <f t="shared" ref="J460:J465" si="25">J457</f>
        <v>45748</v>
      </c>
      <c r="K460" s="656"/>
      <c r="L460" s="657"/>
      <c r="M460" s="648" t="s">
        <v>720</v>
      </c>
      <c r="N460" s="648"/>
      <c r="O460" s="648">
        <f>O457</f>
        <v>1</v>
      </c>
      <c r="P460" s="648"/>
      <c r="Q460" s="648"/>
      <c r="R460" s="647" t="str">
        <f>VLOOKUP(A460,Regularizare!$D:$U,7,FALSE)&amp;" ("&amp;VLOOKUP(A460,Regularizare!$D:$U,15,FALSE)&amp;")"</f>
        <v>148236 (citit)</v>
      </c>
      <c r="S460" s="647"/>
      <c r="T460" s="647"/>
      <c r="U460" s="647" t="str">
        <f>VLOOKUP(A460,Regularizare!$D:$U,8,FALSE)&amp;" ("&amp;VLOOKUP(A460,Regularizare!$D:$U,16,FALSE)&amp;")"</f>
        <v>148236 (estimat)</v>
      </c>
      <c r="V460" s="647"/>
      <c r="W460" s="647"/>
      <c r="X460" s="647" t="str">
        <f>_xlfn.CONCAT(VLOOKUP(A460,Regularizare!$D:$U,8,FALSE)-VLOOKUP(A460,Regularizare!$D:$U,7,FALSE)," (",VLOOKUP(A460,Regularizare!$D:$U,16,FALSE),")")</f>
        <v>0 (estimat)</v>
      </c>
      <c r="Y460" s="647"/>
      <c r="Z460" s="647"/>
      <c r="AA460" s="647">
        <f>IF(VLOOKUP(A460,Regularizare!$D:$Y,21,FALSE)=0,VLOOKUP(A460,Regularizare!$D:$Y,21,FALSE),(-1)*VLOOKUP(A460,Regularizare!$D:$Y,21,FALSE))</f>
        <v>0</v>
      </c>
      <c r="AB460" s="647"/>
      <c r="AC460" s="647"/>
      <c r="AD460" s="647" t="s">
        <v>69</v>
      </c>
      <c r="AE460" s="647"/>
      <c r="AF460" s="647">
        <f>AA460</f>
        <v>0</v>
      </c>
      <c r="AG460" s="647"/>
      <c r="AH460" s="647"/>
      <c r="AI460" s="647" t="str">
        <f>AI457</f>
        <v>-</v>
      </c>
      <c r="AJ460" s="647"/>
      <c r="AK460" s="647" t="str">
        <f>AK457</f>
        <v>-</v>
      </c>
      <c r="AL460" s="647"/>
      <c r="AM460" s="647"/>
    </row>
    <row r="461" spans="1:39" ht="8.4499999999999993" customHeight="1">
      <c r="A461" s="727"/>
      <c r="B461" s="729"/>
      <c r="C461" s="729"/>
      <c r="D461" s="729"/>
      <c r="E461" s="729"/>
      <c r="F461" s="728"/>
      <c r="G461" s="648"/>
      <c r="H461" s="648"/>
      <c r="I461" s="648"/>
      <c r="J461" s="717" t="str">
        <f t="shared" si="25"/>
        <v>-</v>
      </c>
      <c r="K461" s="718"/>
      <c r="L461" s="719"/>
      <c r="M461" s="648"/>
      <c r="N461" s="648"/>
      <c r="O461" s="648"/>
      <c r="P461" s="648"/>
      <c r="Q461" s="648"/>
      <c r="R461" s="647"/>
      <c r="S461" s="647"/>
      <c r="T461" s="647"/>
      <c r="U461" s="647"/>
      <c r="V461" s="647"/>
      <c r="W461" s="647"/>
      <c r="X461" s="647"/>
      <c r="Y461" s="647"/>
      <c r="Z461" s="647"/>
      <c r="AA461" s="647"/>
      <c r="AB461" s="647"/>
      <c r="AC461" s="647"/>
      <c r="AD461" s="647"/>
      <c r="AE461" s="647"/>
      <c r="AF461" s="647"/>
      <c r="AG461" s="647"/>
      <c r="AH461" s="647"/>
      <c r="AI461" s="647"/>
      <c r="AJ461" s="647"/>
      <c r="AK461" s="647"/>
      <c r="AL461" s="647"/>
      <c r="AM461" s="647"/>
    </row>
    <row r="462" spans="1:39" ht="14.1" customHeight="1">
      <c r="A462" s="687"/>
      <c r="B462" s="688"/>
      <c r="C462" s="688"/>
      <c r="D462" s="688"/>
      <c r="E462" s="688"/>
      <c r="F462" s="689"/>
      <c r="G462" s="648"/>
      <c r="H462" s="648"/>
      <c r="I462" s="648"/>
      <c r="J462" s="714">
        <f t="shared" si="25"/>
        <v>45777</v>
      </c>
      <c r="K462" s="715"/>
      <c r="L462" s="716"/>
      <c r="M462" s="648"/>
      <c r="N462" s="648"/>
      <c r="O462" s="648"/>
      <c r="P462" s="648"/>
      <c r="Q462" s="648"/>
      <c r="R462" s="647"/>
      <c r="S462" s="647"/>
      <c r="T462" s="647"/>
      <c r="U462" s="647"/>
      <c r="V462" s="647"/>
      <c r="W462" s="647"/>
      <c r="X462" s="647"/>
      <c r="Y462" s="647"/>
      <c r="Z462" s="647"/>
      <c r="AA462" s="647"/>
      <c r="AB462" s="647"/>
      <c r="AC462" s="647"/>
      <c r="AD462" s="647"/>
      <c r="AE462" s="647"/>
      <c r="AF462" s="647"/>
      <c r="AG462" s="647"/>
      <c r="AH462" s="647"/>
      <c r="AI462" s="647"/>
      <c r="AJ462" s="647"/>
      <c r="AK462" s="647"/>
      <c r="AL462" s="647"/>
      <c r="AM462" s="647"/>
    </row>
    <row r="463" spans="1:39" ht="14.1" customHeight="1">
      <c r="A463" s="684" t="str">
        <f>A460</f>
        <v>V.22G90290210104573/4</v>
      </c>
      <c r="B463" s="685"/>
      <c r="C463" s="685"/>
      <c r="D463" s="685"/>
      <c r="E463" s="685"/>
      <c r="F463" s="686"/>
      <c r="G463" s="648" t="s">
        <v>731</v>
      </c>
      <c r="H463" s="648"/>
      <c r="I463" s="648"/>
      <c r="J463" s="655">
        <f t="shared" si="25"/>
        <v>45748</v>
      </c>
      <c r="K463" s="656"/>
      <c r="L463" s="657"/>
      <c r="M463" s="648" t="s">
        <v>720</v>
      </c>
      <c r="N463" s="648"/>
      <c r="O463" s="648">
        <f>O460</f>
        <v>1</v>
      </c>
      <c r="P463" s="648"/>
      <c r="Q463" s="648"/>
      <c r="R463" s="647" t="str">
        <f>VLOOKUP(A463,Regularizare!$D:$U,9,FALSE)&amp;" ("&amp;VLOOKUP(A463,Regularizare!$D:$U,17,FALSE)&amp;")"</f>
        <v>148 (citit)</v>
      </c>
      <c r="S463" s="647"/>
      <c r="T463" s="647"/>
      <c r="U463" s="647" t="str">
        <f>VLOOKUP(A463,Regularizare!$D:$U,10,FALSE)&amp;" ("&amp;VLOOKUP(A463,Regularizare!$D:$U,18,FALSE)&amp;")"</f>
        <v>148 (estimat)</v>
      </c>
      <c r="V463" s="647"/>
      <c r="W463" s="647"/>
      <c r="X463" s="647" t="str">
        <f>_xlfn.CONCAT(VLOOKUP(A463,Regularizare!$D:$U,10,FALSE)-VLOOKUP(A463,Regularizare!$D:$U,9,FALSE)," (",VLOOKUP(A463,Regularizare!$D:$U,18,FALSE),")")</f>
        <v>0 (estimat)</v>
      </c>
      <c r="Y463" s="647"/>
      <c r="Z463" s="647"/>
      <c r="AA463" s="647">
        <f>IF(VLOOKUP(A463,Regularizare!$D:$Y,22,FALSE)=0,VLOOKUP(A463,Regularizare!$D:$Y,22,FALSE),(-1)*VLOOKUP(A463,Regularizare!$D:$Y,22,FALSE))</f>
        <v>0</v>
      </c>
      <c r="AB463" s="647"/>
      <c r="AC463" s="647"/>
      <c r="AD463" s="647" t="s">
        <v>69</v>
      </c>
      <c r="AE463" s="647"/>
      <c r="AF463" s="647">
        <f>AA463</f>
        <v>0</v>
      </c>
      <c r="AG463" s="647"/>
      <c r="AH463" s="647"/>
      <c r="AI463" s="647" t="str">
        <f>AI460</f>
        <v>-</v>
      </c>
      <c r="AJ463" s="647"/>
      <c r="AK463" s="647" t="str">
        <f>AK460</f>
        <v>-</v>
      </c>
      <c r="AL463" s="647"/>
      <c r="AM463" s="647"/>
    </row>
    <row r="464" spans="1:39" ht="8.4499999999999993" customHeight="1">
      <c r="A464" s="727"/>
      <c r="B464" s="729"/>
      <c r="C464" s="729"/>
      <c r="D464" s="729"/>
      <c r="E464" s="729"/>
      <c r="F464" s="728"/>
      <c r="G464" s="648"/>
      <c r="H464" s="648"/>
      <c r="I464" s="648"/>
      <c r="J464" s="717" t="str">
        <f t="shared" si="25"/>
        <v>-</v>
      </c>
      <c r="K464" s="718"/>
      <c r="L464" s="719"/>
      <c r="M464" s="648"/>
      <c r="N464" s="648"/>
      <c r="O464" s="648"/>
      <c r="P464" s="648"/>
      <c r="Q464" s="648"/>
      <c r="R464" s="647"/>
      <c r="S464" s="647"/>
      <c r="T464" s="647"/>
      <c r="U464" s="647"/>
      <c r="V464" s="647"/>
      <c r="W464" s="647"/>
      <c r="X464" s="647"/>
      <c r="Y464" s="647"/>
      <c r="Z464" s="647"/>
      <c r="AA464" s="647"/>
      <c r="AB464" s="647"/>
      <c r="AC464" s="647"/>
      <c r="AD464" s="647"/>
      <c r="AE464" s="647"/>
      <c r="AF464" s="647"/>
      <c r="AG464" s="647"/>
      <c r="AH464" s="647"/>
      <c r="AI464" s="647"/>
      <c r="AJ464" s="647"/>
      <c r="AK464" s="647"/>
      <c r="AL464" s="647"/>
      <c r="AM464" s="647"/>
    </row>
    <row r="465" spans="1:39" ht="14.1" customHeight="1">
      <c r="A465" s="687"/>
      <c r="B465" s="688"/>
      <c r="C465" s="688"/>
      <c r="D465" s="688"/>
      <c r="E465" s="688"/>
      <c r="F465" s="689"/>
      <c r="G465" s="648"/>
      <c r="H465" s="648"/>
      <c r="I465" s="648"/>
      <c r="J465" s="714">
        <f t="shared" si="25"/>
        <v>45777</v>
      </c>
      <c r="K465" s="715"/>
      <c r="L465" s="716"/>
      <c r="M465" s="648"/>
      <c r="N465" s="648"/>
      <c r="O465" s="648"/>
      <c r="P465" s="648"/>
      <c r="Q465" s="648"/>
      <c r="R465" s="647"/>
      <c r="S465" s="647"/>
      <c r="T465" s="647"/>
      <c r="U465" s="647"/>
      <c r="V465" s="647"/>
      <c r="W465" s="647"/>
      <c r="X465" s="647"/>
      <c r="Y465" s="647"/>
      <c r="Z465" s="647"/>
      <c r="AA465" s="647"/>
      <c r="AB465" s="647"/>
      <c r="AC465" s="647"/>
      <c r="AD465" s="647"/>
      <c r="AE465" s="647"/>
      <c r="AF465" s="647"/>
      <c r="AG465" s="647"/>
      <c r="AH465" s="647"/>
      <c r="AI465" s="647"/>
      <c r="AJ465" s="647"/>
      <c r="AK465" s="647"/>
      <c r="AL465" s="647"/>
      <c r="AM465" s="647"/>
    </row>
    <row r="466" spans="1:39" ht="14.1" customHeight="1">
      <c r="A466" s="684" t="str">
        <f>A463</f>
        <v>V.22G90290210104573/4</v>
      </c>
      <c r="B466" s="685"/>
      <c r="C466" s="685"/>
      <c r="D466" s="685"/>
      <c r="E466" s="685"/>
      <c r="F466" s="686"/>
      <c r="G466" s="648" t="s">
        <v>730</v>
      </c>
      <c r="H466" s="648"/>
      <c r="I466" s="673"/>
      <c r="J466" s="655">
        <f>'Date masura OD'!$AK$5</f>
        <v>45748</v>
      </c>
      <c r="K466" s="656"/>
      <c r="L466" s="657"/>
      <c r="M466" s="720" t="s">
        <v>446</v>
      </c>
      <c r="N466" s="648"/>
      <c r="O466" s="648">
        <f>O463</f>
        <v>1</v>
      </c>
      <c r="P466" s="648"/>
      <c r="Q466" s="648"/>
      <c r="R466" s="647" t="str">
        <f>VLOOKUP(A466,Regularizare!$D:$AX,23,FALSE)&amp;" ("&amp;VLOOKUP(A466,Regularizare!$D:$AX,24,FALSE)&amp;")"</f>
        <v>2225386 (citit)</v>
      </c>
      <c r="S466" s="647"/>
      <c r="T466" s="647"/>
      <c r="U466" s="647" t="str">
        <f>VLOOKUP(A466,Regularizare!$D:$AX,25,FALSE)&amp;" ("&amp;VLOOKUP(A466,Regularizare!$D:$AX,26,FALSE)&amp;")"</f>
        <v>2387498 (citit)</v>
      </c>
      <c r="V466" s="647"/>
      <c r="W466" s="647"/>
      <c r="X466" s="647" t="str">
        <f>VLOOKUP(A466,Regularizare!$D:$AX,37,FALSE)&amp;" ("&amp;VLOOKUP(A466,Regularizare!$D:$AX,26,FALSE)&amp;")"</f>
        <v>162112 (citit)</v>
      </c>
      <c r="Y466" s="647"/>
      <c r="Z466" s="647"/>
      <c r="AA466" s="647">
        <f>VLOOKUP(A466,Regularizare!$D:$AX,37,FALSE)</f>
        <v>162112</v>
      </c>
      <c r="AB466" s="647"/>
      <c r="AC466" s="647"/>
      <c r="AD466" s="647" t="s">
        <v>69</v>
      </c>
      <c r="AE466" s="647"/>
      <c r="AF466" s="647">
        <f>AA466</f>
        <v>162112</v>
      </c>
      <c r="AG466" s="647"/>
      <c r="AH466" s="647"/>
      <c r="AI466" s="647" t="str">
        <f>AI463</f>
        <v>-</v>
      </c>
      <c r="AJ466" s="647"/>
      <c r="AK466" s="647" t="str">
        <f>AK463</f>
        <v>-</v>
      </c>
      <c r="AL466" s="647"/>
      <c r="AM466" s="647"/>
    </row>
    <row r="467" spans="1:39" ht="8.4499999999999993" customHeight="1">
      <c r="A467" s="727"/>
      <c r="B467" s="729"/>
      <c r="C467" s="729"/>
      <c r="D467" s="729"/>
      <c r="E467" s="729"/>
      <c r="F467" s="728"/>
      <c r="G467" s="648"/>
      <c r="H467" s="648"/>
      <c r="I467" s="673"/>
      <c r="J467" s="717" t="s">
        <v>69</v>
      </c>
      <c r="K467" s="718"/>
      <c r="L467" s="719"/>
      <c r="M467" s="720"/>
      <c r="N467" s="648"/>
      <c r="O467" s="648"/>
      <c r="P467" s="648"/>
      <c r="Q467" s="648"/>
      <c r="R467" s="647"/>
      <c r="S467" s="647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647"/>
      <c r="AL467" s="647"/>
      <c r="AM467" s="647"/>
    </row>
    <row r="468" spans="1:39" ht="14.1" customHeight="1">
      <c r="A468" s="687"/>
      <c r="B468" s="688"/>
      <c r="C468" s="688"/>
      <c r="D468" s="688"/>
      <c r="E468" s="688"/>
      <c r="F468" s="689"/>
      <c r="G468" s="648"/>
      <c r="H468" s="648"/>
      <c r="I468" s="673"/>
      <c r="J468" s="714">
        <f>'Date masura OD'!$AL$5</f>
        <v>45777</v>
      </c>
      <c r="K468" s="715"/>
      <c r="L468" s="716"/>
      <c r="M468" s="720"/>
      <c r="N468" s="648"/>
      <c r="O468" s="648"/>
      <c r="P468" s="648"/>
      <c r="Q468" s="648"/>
      <c r="R468" s="647"/>
      <c r="S468" s="647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647"/>
      <c r="AL468" s="647"/>
      <c r="AM468" s="647"/>
    </row>
    <row r="469" spans="1:39" ht="14.1" customHeight="1">
      <c r="A469" s="684" t="str">
        <f>A466</f>
        <v>V.22G90290210104573/4</v>
      </c>
      <c r="B469" s="685"/>
      <c r="C469" s="685"/>
      <c r="D469" s="685"/>
      <c r="E469" s="685"/>
      <c r="F469" s="686"/>
      <c r="G469" s="648" t="s">
        <v>696</v>
      </c>
      <c r="H469" s="648"/>
      <c r="I469" s="648"/>
      <c r="J469" s="655">
        <f t="shared" ref="J469:J474" si="26">J466</f>
        <v>45748</v>
      </c>
      <c r="K469" s="656"/>
      <c r="L469" s="657"/>
      <c r="M469" s="648" t="s">
        <v>720</v>
      </c>
      <c r="N469" s="648"/>
      <c r="O469" s="648">
        <f>O466</f>
        <v>1</v>
      </c>
      <c r="P469" s="648"/>
      <c r="Q469" s="648"/>
      <c r="R469" s="647" t="str">
        <f>VLOOKUP(A469,Regularizare!$D:$AX,29,FALSE)&amp;" ("&amp;VLOOKUP(A469,Regularizare!$D:$AX,30,FALSE)&amp;")"</f>
        <v>148236 (citit)</v>
      </c>
      <c r="S469" s="647"/>
      <c r="T469" s="647"/>
      <c r="U469" s="647" t="str">
        <f>VLOOKUP(A469,Regularizare!$D:$AX,31,FALSE)&amp;" ("&amp;VLOOKUP(A469,Regularizare!$D:$AX,32,FALSE)&amp;")"</f>
        <v>148236 (citit)</v>
      </c>
      <c r="V469" s="647"/>
      <c r="W469" s="647"/>
      <c r="X469" s="647" t="str">
        <f>VLOOKUP(A469,Regularizare!$D:$AX,39,FALSE)&amp;" ("&amp;VLOOKUP(A469,Regularizare!$D:$AX,32,FALSE)&amp;")"</f>
        <v>0 (citit)</v>
      </c>
      <c r="Y469" s="647"/>
      <c r="Z469" s="647"/>
      <c r="AA469" s="647">
        <f>VLOOKUP(A469,Regularizare!$D:$AX,44,FALSE)+VLOOKUP(A469,Regularizare!$D:$AX,45,FALSE)</f>
        <v>0</v>
      </c>
      <c r="AB469" s="647"/>
      <c r="AC469" s="647"/>
      <c r="AD469" s="647" t="s">
        <v>69</v>
      </c>
      <c r="AE469" s="647"/>
      <c r="AF469" s="647">
        <f>AA469</f>
        <v>0</v>
      </c>
      <c r="AG469" s="647"/>
      <c r="AH469" s="647"/>
      <c r="AI469" s="647" t="str">
        <f>AI466</f>
        <v>-</v>
      </c>
      <c r="AJ469" s="647"/>
      <c r="AK469" s="647" t="str">
        <f>AK466</f>
        <v>-</v>
      </c>
      <c r="AL469" s="647"/>
      <c r="AM469" s="647"/>
    </row>
    <row r="470" spans="1:39" ht="8.4499999999999993" customHeight="1">
      <c r="A470" s="727"/>
      <c r="B470" s="729"/>
      <c r="C470" s="729"/>
      <c r="D470" s="729"/>
      <c r="E470" s="729"/>
      <c r="F470" s="728"/>
      <c r="G470" s="648"/>
      <c r="H470" s="648"/>
      <c r="I470" s="648"/>
      <c r="J470" s="717" t="str">
        <f t="shared" si="26"/>
        <v>-</v>
      </c>
      <c r="K470" s="718"/>
      <c r="L470" s="719"/>
      <c r="M470" s="648"/>
      <c r="N470" s="648"/>
      <c r="O470" s="648"/>
      <c r="P470" s="648"/>
      <c r="Q470" s="648"/>
      <c r="R470" s="647"/>
      <c r="S470" s="647"/>
      <c r="T470" s="647"/>
      <c r="U470" s="647"/>
      <c r="V470" s="647"/>
      <c r="W470" s="647"/>
      <c r="X470" s="647"/>
      <c r="Y470" s="647"/>
      <c r="Z470" s="647"/>
      <c r="AA470" s="647"/>
      <c r="AB470" s="647"/>
      <c r="AC470" s="647"/>
      <c r="AD470" s="647"/>
      <c r="AE470" s="647"/>
      <c r="AF470" s="647"/>
      <c r="AG470" s="647"/>
      <c r="AH470" s="647"/>
      <c r="AI470" s="647"/>
      <c r="AJ470" s="647"/>
      <c r="AK470" s="647"/>
      <c r="AL470" s="647"/>
      <c r="AM470" s="647"/>
    </row>
    <row r="471" spans="1:39" ht="14.1" customHeight="1">
      <c r="A471" s="687"/>
      <c r="B471" s="688"/>
      <c r="C471" s="688"/>
      <c r="D471" s="688"/>
      <c r="E471" s="688"/>
      <c r="F471" s="689"/>
      <c r="G471" s="648"/>
      <c r="H471" s="648"/>
      <c r="I471" s="648"/>
      <c r="J471" s="714">
        <f t="shared" si="26"/>
        <v>45777</v>
      </c>
      <c r="K471" s="715"/>
      <c r="L471" s="716"/>
      <c r="M471" s="648"/>
      <c r="N471" s="648"/>
      <c r="O471" s="648"/>
      <c r="P471" s="648"/>
      <c r="Q471" s="648"/>
      <c r="R471" s="647"/>
      <c r="S471" s="647"/>
      <c r="T471" s="647"/>
      <c r="U471" s="647"/>
      <c r="V471" s="647"/>
      <c r="W471" s="647"/>
      <c r="X471" s="647"/>
      <c r="Y471" s="647"/>
      <c r="Z471" s="647"/>
      <c r="AA471" s="647"/>
      <c r="AB471" s="647"/>
      <c r="AC471" s="647"/>
      <c r="AD471" s="647"/>
      <c r="AE471" s="647"/>
      <c r="AF471" s="647"/>
      <c r="AG471" s="647"/>
      <c r="AH471" s="647"/>
      <c r="AI471" s="647"/>
      <c r="AJ471" s="647"/>
      <c r="AK471" s="647"/>
      <c r="AL471" s="647"/>
      <c r="AM471" s="647"/>
    </row>
    <row r="472" spans="1:39" ht="14.1" customHeight="1">
      <c r="A472" s="684" t="str">
        <f>A469</f>
        <v>V.22G90290210104573/4</v>
      </c>
      <c r="B472" s="685"/>
      <c r="C472" s="685"/>
      <c r="D472" s="685"/>
      <c r="E472" s="685"/>
      <c r="F472" s="686"/>
      <c r="G472" s="648" t="s">
        <v>731</v>
      </c>
      <c r="H472" s="648"/>
      <c r="I472" s="648"/>
      <c r="J472" s="655">
        <f t="shared" si="26"/>
        <v>45748</v>
      </c>
      <c r="K472" s="656"/>
      <c r="L472" s="657"/>
      <c r="M472" s="648" t="s">
        <v>720</v>
      </c>
      <c r="N472" s="648"/>
      <c r="O472" s="648">
        <f>O469</f>
        <v>1</v>
      </c>
      <c r="P472" s="648"/>
      <c r="Q472" s="648"/>
      <c r="R472" s="647" t="str">
        <f>VLOOKUP(A472,Regularizare!$D:$AX,33,FALSE)&amp;" ("&amp;VLOOKUP(A472,Regularizare!$D:$AX,34,FALSE)&amp;")"</f>
        <v>148 (citit)</v>
      </c>
      <c r="S472" s="647"/>
      <c r="T472" s="647"/>
      <c r="U472" s="647" t="str">
        <f>VLOOKUP(A472,Regularizare!$D:$AX,35,FALSE)&amp;" ("&amp;VLOOKUP(A472,Regularizare!$D:$AX,36,FALSE)&amp;")"</f>
        <v>148 (citit)</v>
      </c>
      <c r="V472" s="647"/>
      <c r="W472" s="647"/>
      <c r="X472" s="647" t="str">
        <f>VLOOKUP(A472,Regularizare!$D:$AX,40,FALSE)&amp;" ("&amp;VLOOKUP(A472,Regularizare!$D:$AX,36,FALSE)&amp;")"</f>
        <v>0 (citit)</v>
      </c>
      <c r="Y472" s="647"/>
      <c r="Z472" s="647"/>
      <c r="AA472" s="647">
        <f>VLOOKUP(A472,Regularizare!$D:$AX,46,FALSE)+VLOOKUP(A472,Regularizare!$D:$AX,47,FALSE)</f>
        <v>0</v>
      </c>
      <c r="AB472" s="647"/>
      <c r="AC472" s="647"/>
      <c r="AD472" s="647" t="s">
        <v>69</v>
      </c>
      <c r="AE472" s="647"/>
      <c r="AF472" s="647">
        <f>AA472</f>
        <v>0</v>
      </c>
      <c r="AG472" s="647"/>
      <c r="AH472" s="647"/>
      <c r="AI472" s="647" t="str">
        <f>AI469</f>
        <v>-</v>
      </c>
      <c r="AJ472" s="647"/>
      <c r="AK472" s="647" t="str">
        <f>AK469</f>
        <v>-</v>
      </c>
      <c r="AL472" s="647"/>
      <c r="AM472" s="647"/>
    </row>
    <row r="473" spans="1:39" ht="8.4499999999999993" customHeight="1">
      <c r="A473" s="727"/>
      <c r="B473" s="729"/>
      <c r="C473" s="729"/>
      <c r="D473" s="729"/>
      <c r="E473" s="729"/>
      <c r="F473" s="728"/>
      <c r="G473" s="648"/>
      <c r="H473" s="648"/>
      <c r="I473" s="648"/>
      <c r="J473" s="717" t="str">
        <f t="shared" si="26"/>
        <v>-</v>
      </c>
      <c r="K473" s="718"/>
      <c r="L473" s="719"/>
      <c r="M473" s="648"/>
      <c r="N473" s="648"/>
      <c r="O473" s="648"/>
      <c r="P473" s="648"/>
      <c r="Q473" s="648"/>
      <c r="R473" s="647"/>
      <c r="S473" s="647"/>
      <c r="T473" s="647"/>
      <c r="U473" s="647"/>
      <c r="V473" s="647"/>
      <c r="W473" s="647"/>
      <c r="X473" s="647"/>
      <c r="Y473" s="647"/>
      <c r="Z473" s="647"/>
      <c r="AA473" s="647"/>
      <c r="AB473" s="647"/>
      <c r="AC473" s="647"/>
      <c r="AD473" s="647"/>
      <c r="AE473" s="647"/>
      <c r="AF473" s="647"/>
      <c r="AG473" s="647"/>
      <c r="AH473" s="647"/>
      <c r="AI473" s="647"/>
      <c r="AJ473" s="647"/>
      <c r="AK473" s="647"/>
      <c r="AL473" s="647"/>
      <c r="AM473" s="647"/>
    </row>
    <row r="474" spans="1:39" ht="14.1" customHeight="1">
      <c r="A474" s="687"/>
      <c r="B474" s="688"/>
      <c r="C474" s="688"/>
      <c r="D474" s="688"/>
      <c r="E474" s="688"/>
      <c r="F474" s="689"/>
      <c r="G474" s="648"/>
      <c r="H474" s="648"/>
      <c r="I474" s="648"/>
      <c r="J474" s="714">
        <f t="shared" si="26"/>
        <v>45777</v>
      </c>
      <c r="K474" s="715"/>
      <c r="L474" s="716"/>
      <c r="M474" s="648"/>
      <c r="N474" s="648"/>
      <c r="O474" s="648"/>
      <c r="P474" s="648"/>
      <c r="Q474" s="648"/>
      <c r="R474" s="647"/>
      <c r="S474" s="647"/>
      <c r="T474" s="647"/>
      <c r="U474" s="647"/>
      <c r="V474" s="647"/>
      <c r="W474" s="647"/>
      <c r="X474" s="647"/>
      <c r="Y474" s="647"/>
      <c r="Z474" s="647"/>
      <c r="AA474" s="647"/>
      <c r="AB474" s="647"/>
      <c r="AC474" s="647"/>
      <c r="AD474" s="647"/>
      <c r="AE474" s="647"/>
      <c r="AF474" s="647"/>
      <c r="AG474" s="647"/>
      <c r="AH474" s="647"/>
      <c r="AI474" s="647"/>
      <c r="AJ474" s="647"/>
      <c r="AK474" s="647"/>
      <c r="AL474" s="647"/>
      <c r="AM474" s="647"/>
    </row>
    <row r="475" spans="1:39" ht="14.1" customHeight="1">
      <c r="A475" s="684" t="str">
        <f>A472</f>
        <v>V.22G90290210104573/4</v>
      </c>
      <c r="B475" s="685"/>
      <c r="C475" s="685"/>
      <c r="D475" s="685"/>
      <c r="E475" s="685"/>
      <c r="F475" s="686"/>
      <c r="G475" s="648" t="s">
        <v>730</v>
      </c>
      <c r="H475" s="648"/>
      <c r="I475" s="673"/>
      <c r="J475" s="655">
        <f>'Date masura OD'!$I$5</f>
        <v>45778</v>
      </c>
      <c r="K475" s="656"/>
      <c r="L475" s="657"/>
      <c r="M475" s="720" t="s">
        <v>446</v>
      </c>
      <c r="N475" s="648"/>
      <c r="O475" s="648">
        <f>O472</f>
        <v>1</v>
      </c>
      <c r="P475" s="648"/>
      <c r="Q475" s="648"/>
      <c r="R475" s="647" t="str">
        <f>U466</f>
        <v>2387498 (citit)</v>
      </c>
      <c r="S475" s="647"/>
      <c r="T475" s="647"/>
      <c r="U475" s="647" t="str">
        <f>VLOOKUP(A475,'Incrementare indexe'!$D:$M,4,FALSE)&amp;" (estimat)"</f>
        <v>2567072 (estimat)</v>
      </c>
      <c r="V475" s="647"/>
      <c r="W475" s="647"/>
      <c r="X475" s="647" t="str">
        <f>VLOOKUP(A475,'Incrementare indexe'!$D:$Q,11,FALSE)&amp;" (estimat)"</f>
        <v>179574 (estimat)</v>
      </c>
      <c r="Y475" s="647"/>
      <c r="Z475" s="647"/>
      <c r="AA475" s="647" t="s">
        <v>69</v>
      </c>
      <c r="AB475" s="647"/>
      <c r="AC475" s="647"/>
      <c r="AD475" s="647" t="s">
        <v>69</v>
      </c>
      <c r="AE475" s="647"/>
      <c r="AF475" s="647">
        <f>VLOOKUP(A475,'Incrementare indexe'!$D:$Q,11,FALSE)</f>
        <v>179574</v>
      </c>
      <c r="AG475" s="647"/>
      <c r="AH475" s="647"/>
      <c r="AI475" s="647">
        <f>J477-J475+1</f>
        <v>31</v>
      </c>
      <c r="AJ475" s="647"/>
      <c r="AK475" s="647">
        <f>ROUND(AF475/AI475,2)</f>
        <v>5792.71</v>
      </c>
      <c r="AL475" s="647"/>
      <c r="AM475" s="647"/>
    </row>
    <row r="476" spans="1:39" ht="8.4499999999999993" customHeight="1">
      <c r="A476" s="727"/>
      <c r="B476" s="729"/>
      <c r="C476" s="729"/>
      <c r="D476" s="729"/>
      <c r="E476" s="729"/>
      <c r="F476" s="728"/>
      <c r="G476" s="648"/>
      <c r="H476" s="648"/>
      <c r="I476" s="673"/>
      <c r="J476" s="717" t="s">
        <v>69</v>
      </c>
      <c r="K476" s="718"/>
      <c r="L476" s="719"/>
      <c r="M476" s="720"/>
      <c r="N476" s="648"/>
      <c r="O476" s="648"/>
      <c r="P476" s="648"/>
      <c r="Q476" s="648"/>
      <c r="R476" s="647"/>
      <c r="S476" s="647"/>
      <c r="T476" s="647"/>
      <c r="U476" s="647"/>
      <c r="V476" s="647"/>
      <c r="W476" s="647"/>
      <c r="X476" s="647"/>
      <c r="Y476" s="647"/>
      <c r="Z476" s="647"/>
      <c r="AA476" s="647"/>
      <c r="AB476" s="647"/>
      <c r="AC476" s="647"/>
      <c r="AD476" s="647"/>
      <c r="AE476" s="647"/>
      <c r="AF476" s="647"/>
      <c r="AG476" s="647"/>
      <c r="AH476" s="647"/>
      <c r="AI476" s="647"/>
      <c r="AJ476" s="647"/>
      <c r="AK476" s="647"/>
      <c r="AL476" s="647"/>
      <c r="AM476" s="647"/>
    </row>
    <row r="477" spans="1:39" ht="14.1" customHeight="1">
      <c r="A477" s="687"/>
      <c r="B477" s="688"/>
      <c r="C477" s="688"/>
      <c r="D477" s="688"/>
      <c r="E477" s="688"/>
      <c r="F477" s="689"/>
      <c r="G477" s="648"/>
      <c r="H477" s="648"/>
      <c r="I477" s="673"/>
      <c r="J477" s="714">
        <f>'Date masura OD'!$J$5</f>
        <v>45808</v>
      </c>
      <c r="K477" s="715"/>
      <c r="L477" s="716"/>
      <c r="M477" s="720"/>
      <c r="N477" s="648"/>
      <c r="O477" s="648"/>
      <c r="P477" s="648"/>
      <c r="Q477" s="648"/>
      <c r="R477" s="647"/>
      <c r="S477" s="647"/>
      <c r="T477" s="647"/>
      <c r="U477" s="647"/>
      <c r="V477" s="647"/>
      <c r="W477" s="647"/>
      <c r="X477" s="647"/>
      <c r="Y477" s="647"/>
      <c r="Z477" s="647"/>
      <c r="AA477" s="647"/>
      <c r="AB477" s="647"/>
      <c r="AC477" s="647"/>
      <c r="AD477" s="647"/>
      <c r="AE477" s="647"/>
      <c r="AF477" s="647"/>
      <c r="AG477" s="647"/>
      <c r="AH477" s="647"/>
      <c r="AI477" s="647"/>
      <c r="AJ477" s="647"/>
      <c r="AK477" s="647"/>
      <c r="AL477" s="647"/>
      <c r="AM477" s="647"/>
    </row>
    <row r="478" spans="1:39" ht="14.1" customHeight="1">
      <c r="A478" s="684" t="str">
        <f>A475</f>
        <v>V.22G90290210104573/4</v>
      </c>
      <c r="B478" s="685"/>
      <c r="C478" s="685"/>
      <c r="D478" s="685"/>
      <c r="E478" s="685"/>
      <c r="F478" s="686"/>
      <c r="G478" s="648" t="s">
        <v>696</v>
      </c>
      <c r="H478" s="648"/>
      <c r="I478" s="648"/>
      <c r="J478" s="655">
        <f t="shared" ref="J478:J483" si="27">J475</f>
        <v>45778</v>
      </c>
      <c r="K478" s="656"/>
      <c r="L478" s="657"/>
      <c r="M478" s="648" t="s">
        <v>720</v>
      </c>
      <c r="N478" s="648"/>
      <c r="O478" s="648">
        <f>O475</f>
        <v>1</v>
      </c>
      <c r="P478" s="648"/>
      <c r="Q478" s="648"/>
      <c r="R478" s="647" t="str">
        <f>U469</f>
        <v>148236 (citit)</v>
      </c>
      <c r="S478" s="647"/>
      <c r="T478" s="647"/>
      <c r="U478" s="647" t="str">
        <f>VLOOKUP(A478,'Incrementare indexe'!$D:$M,8,FALSE)&amp;" (estimat)"</f>
        <v>148236 (estimat)</v>
      </c>
      <c r="V478" s="647"/>
      <c r="W478" s="647"/>
      <c r="X478" s="647" t="str">
        <f>VLOOKUP(A478,'Incrementare indexe'!$D:$Q,12,FALSE)&amp;" (estimat)"</f>
        <v>0 (estimat)</v>
      </c>
      <c r="Y478" s="647"/>
      <c r="Z478" s="647"/>
      <c r="AA478" s="647" t="s">
        <v>69</v>
      </c>
      <c r="AB478" s="647"/>
      <c r="AC478" s="647"/>
      <c r="AD478" s="647" t="s">
        <v>69</v>
      </c>
      <c r="AE478" s="647"/>
      <c r="AF478" s="647">
        <f>VLOOKUP(A478,'Incrementare indexe'!$D:$Q,12,FALSE)</f>
        <v>0</v>
      </c>
      <c r="AG478" s="647"/>
      <c r="AH478" s="647"/>
      <c r="AI478" s="647">
        <f>AI475</f>
        <v>31</v>
      </c>
      <c r="AJ478" s="647"/>
      <c r="AK478" s="647">
        <f>ROUND(AF478/AI478,2)</f>
        <v>0</v>
      </c>
      <c r="AL478" s="647"/>
      <c r="AM478" s="647"/>
    </row>
    <row r="479" spans="1:39" ht="8.4499999999999993" customHeight="1">
      <c r="A479" s="727"/>
      <c r="B479" s="729"/>
      <c r="C479" s="729"/>
      <c r="D479" s="729"/>
      <c r="E479" s="729"/>
      <c r="F479" s="728"/>
      <c r="G479" s="648"/>
      <c r="H479" s="648"/>
      <c r="I479" s="648"/>
      <c r="J479" s="717" t="str">
        <f t="shared" si="27"/>
        <v>-</v>
      </c>
      <c r="K479" s="718"/>
      <c r="L479" s="719"/>
      <c r="M479" s="648"/>
      <c r="N479" s="648"/>
      <c r="O479" s="648"/>
      <c r="P479" s="648"/>
      <c r="Q479" s="648"/>
      <c r="R479" s="647"/>
      <c r="S479" s="647"/>
      <c r="T479" s="647"/>
      <c r="U479" s="647"/>
      <c r="V479" s="647"/>
      <c r="W479" s="647"/>
      <c r="X479" s="647"/>
      <c r="Y479" s="647"/>
      <c r="Z479" s="647"/>
      <c r="AA479" s="647"/>
      <c r="AB479" s="647"/>
      <c r="AC479" s="647"/>
      <c r="AD479" s="647"/>
      <c r="AE479" s="647"/>
      <c r="AF479" s="647"/>
      <c r="AG479" s="647"/>
      <c r="AH479" s="647"/>
      <c r="AI479" s="647"/>
      <c r="AJ479" s="647"/>
      <c r="AK479" s="647"/>
      <c r="AL479" s="647"/>
      <c r="AM479" s="647"/>
    </row>
    <row r="480" spans="1:39" ht="14.1" customHeight="1">
      <c r="A480" s="687"/>
      <c r="B480" s="688"/>
      <c r="C480" s="688"/>
      <c r="D480" s="688"/>
      <c r="E480" s="688"/>
      <c r="F480" s="689"/>
      <c r="G480" s="648"/>
      <c r="H480" s="648"/>
      <c r="I480" s="648"/>
      <c r="J480" s="714">
        <f t="shared" si="27"/>
        <v>45808</v>
      </c>
      <c r="K480" s="715"/>
      <c r="L480" s="716"/>
      <c r="M480" s="648"/>
      <c r="N480" s="648"/>
      <c r="O480" s="648"/>
      <c r="P480" s="648"/>
      <c r="Q480" s="648"/>
      <c r="R480" s="647"/>
      <c r="S480" s="647"/>
      <c r="T480" s="647"/>
      <c r="U480" s="647"/>
      <c r="V480" s="647"/>
      <c r="W480" s="647"/>
      <c r="X480" s="647"/>
      <c r="Y480" s="647"/>
      <c r="Z480" s="647"/>
      <c r="AA480" s="647"/>
      <c r="AB480" s="647"/>
      <c r="AC480" s="647"/>
      <c r="AD480" s="647"/>
      <c r="AE480" s="647"/>
      <c r="AF480" s="647"/>
      <c r="AG480" s="647"/>
      <c r="AH480" s="647"/>
      <c r="AI480" s="647"/>
      <c r="AJ480" s="647"/>
      <c r="AK480" s="647"/>
      <c r="AL480" s="647"/>
      <c r="AM480" s="647"/>
    </row>
    <row r="481" spans="1:39" ht="14.1" customHeight="1">
      <c r="A481" s="684" t="str">
        <f>A478</f>
        <v>V.22G90290210104573/4</v>
      </c>
      <c r="B481" s="685"/>
      <c r="C481" s="685"/>
      <c r="D481" s="685"/>
      <c r="E481" s="685"/>
      <c r="F481" s="686"/>
      <c r="G481" s="648" t="s">
        <v>731</v>
      </c>
      <c r="H481" s="648"/>
      <c r="I481" s="648"/>
      <c r="J481" s="655">
        <f t="shared" si="27"/>
        <v>45778</v>
      </c>
      <c r="K481" s="656"/>
      <c r="L481" s="657"/>
      <c r="M481" s="648" t="s">
        <v>720</v>
      </c>
      <c r="N481" s="648"/>
      <c r="O481" s="648">
        <f>O478</f>
        <v>1</v>
      </c>
      <c r="P481" s="648"/>
      <c r="Q481" s="648"/>
      <c r="R481" s="647" t="str">
        <f>U472</f>
        <v>148 (citit)</v>
      </c>
      <c r="S481" s="647"/>
      <c r="T481" s="647"/>
      <c r="U481" s="647" t="str">
        <f>VLOOKUP(A481,'Incrementare indexe'!$D:$M,10,FALSE)&amp;" (estimat)"</f>
        <v>148 (estimat)</v>
      </c>
      <c r="V481" s="647"/>
      <c r="W481" s="647"/>
      <c r="X481" s="647" t="str">
        <f>VLOOKUP(A481,'Incrementare indexe'!$D:$Q,13,FALSE)&amp;" (estimat)"</f>
        <v>0 (estimat)</v>
      </c>
      <c r="Y481" s="647"/>
      <c r="Z481" s="647"/>
      <c r="AA481" s="647" t="s">
        <v>69</v>
      </c>
      <c r="AB481" s="647"/>
      <c r="AC481" s="647"/>
      <c r="AD481" s="647" t="s">
        <v>69</v>
      </c>
      <c r="AE481" s="647"/>
      <c r="AF481" s="647">
        <f>VLOOKUP(A481,'Incrementare indexe'!$D:$Q,13,FALSE)</f>
        <v>0</v>
      </c>
      <c r="AG481" s="647"/>
      <c r="AH481" s="647"/>
      <c r="AI481" s="647">
        <f>AI478</f>
        <v>31</v>
      </c>
      <c r="AJ481" s="647"/>
      <c r="AK481" s="647">
        <f>ROUND(AF481/AI481,2)</f>
        <v>0</v>
      </c>
      <c r="AL481" s="647"/>
      <c r="AM481" s="647"/>
    </row>
    <row r="482" spans="1:39" ht="8.4499999999999993" customHeight="1">
      <c r="A482" s="727"/>
      <c r="B482" s="729"/>
      <c r="C482" s="729"/>
      <c r="D482" s="729"/>
      <c r="E482" s="729"/>
      <c r="F482" s="728"/>
      <c r="G482" s="648"/>
      <c r="H482" s="648"/>
      <c r="I482" s="648"/>
      <c r="J482" s="717" t="str">
        <f t="shared" si="27"/>
        <v>-</v>
      </c>
      <c r="K482" s="718"/>
      <c r="L482" s="719"/>
      <c r="M482" s="648"/>
      <c r="N482" s="648"/>
      <c r="O482" s="648"/>
      <c r="P482" s="648"/>
      <c r="Q482" s="648"/>
      <c r="R482" s="647"/>
      <c r="S482" s="647"/>
      <c r="T482" s="647"/>
      <c r="U482" s="647"/>
      <c r="V482" s="647"/>
      <c r="W482" s="647"/>
      <c r="X482" s="647"/>
      <c r="Y482" s="647"/>
      <c r="Z482" s="647"/>
      <c r="AA482" s="647"/>
      <c r="AB482" s="647"/>
      <c r="AC482" s="647"/>
      <c r="AD482" s="647"/>
      <c r="AE482" s="647"/>
      <c r="AF482" s="647"/>
      <c r="AG482" s="647"/>
      <c r="AH482" s="647"/>
      <c r="AI482" s="647"/>
      <c r="AJ482" s="647"/>
      <c r="AK482" s="647"/>
      <c r="AL482" s="647"/>
      <c r="AM482" s="647"/>
    </row>
    <row r="483" spans="1:39" ht="14.1" customHeight="1">
      <c r="A483" s="687"/>
      <c r="B483" s="688"/>
      <c r="C483" s="688"/>
      <c r="D483" s="688"/>
      <c r="E483" s="688"/>
      <c r="F483" s="689"/>
      <c r="G483" s="648"/>
      <c r="H483" s="648"/>
      <c r="I483" s="648"/>
      <c r="J483" s="714">
        <f t="shared" si="27"/>
        <v>45808</v>
      </c>
      <c r="K483" s="715"/>
      <c r="L483" s="716"/>
      <c r="M483" s="648"/>
      <c r="N483" s="648"/>
      <c r="O483" s="648"/>
      <c r="P483" s="648"/>
      <c r="Q483" s="648"/>
      <c r="R483" s="647"/>
      <c r="S483" s="647"/>
      <c r="T483" s="647"/>
      <c r="U483" s="647"/>
      <c r="V483" s="647"/>
      <c r="W483" s="647"/>
      <c r="X483" s="647"/>
      <c r="Y483" s="647"/>
      <c r="Z483" s="647"/>
      <c r="AA483" s="647"/>
      <c r="AB483" s="647"/>
      <c r="AC483" s="647"/>
      <c r="AD483" s="647"/>
      <c r="AE483" s="647"/>
      <c r="AF483" s="647"/>
      <c r="AG483" s="647"/>
      <c r="AH483" s="647"/>
      <c r="AI483" s="647"/>
      <c r="AJ483" s="647"/>
      <c r="AK483" s="647"/>
      <c r="AL483" s="647"/>
      <c r="AM483" s="647"/>
    </row>
    <row r="484" spans="1:39" ht="14.1" customHeight="1"/>
    <row r="485" spans="1:39" ht="14.1" customHeight="1"/>
    <row r="486" spans="1:39" ht="14.1" customHeight="1"/>
    <row r="487" spans="1:39" ht="14.1" customHeight="1"/>
    <row r="488" spans="1:39" ht="14.1" customHeight="1"/>
    <row r="489" spans="1:39" ht="14.1" customHeight="1"/>
    <row r="490" spans="1:39" ht="14.1" customHeight="1"/>
    <row r="491" spans="1:39" ht="14.1" customHeight="1"/>
    <row r="492" spans="1:39" ht="14.1" customHeight="1"/>
    <row r="493" spans="1:39" ht="14.1" customHeight="1"/>
    <row r="494" spans="1:39" ht="14.1" customHeight="1"/>
    <row r="495" spans="1:39" ht="14.1" customHeight="1"/>
    <row r="496" spans="1:39" ht="14.1" customHeight="1"/>
    <row r="497" spans="1:39" ht="14.1" customHeight="1"/>
    <row r="498" spans="1:39" ht="14.1" customHeight="1"/>
    <row r="499" spans="1:39" ht="14.1" customHeight="1"/>
    <row r="500" spans="1:39" ht="14.1" customHeight="1"/>
    <row r="501" spans="1:39" ht="14.1" customHeight="1"/>
    <row r="502" spans="1:39" ht="14.1" customHeight="1"/>
    <row r="503" spans="1:39" ht="14.1" customHeight="1"/>
    <row r="504" spans="1:39" ht="14.1" customHeight="1">
      <c r="A504" s="695" t="s">
        <v>858</v>
      </c>
      <c r="B504" s="695"/>
      <c r="C504" s="695"/>
      <c r="D504" s="695"/>
      <c r="E504" s="695"/>
      <c r="F504" s="695"/>
      <c r="G504" s="695"/>
      <c r="H504" s="695" t="str">
        <f>VLOOKUP($AA$15,'Date SPV'!$B:$H,4,FALSE)</f>
        <v>Bulevardul Pierre de Coubertin, nr. 3-5, Sector 2, Bucuresti</v>
      </c>
      <c r="I504" s="695"/>
      <c r="J504" s="695"/>
      <c r="K504" s="695"/>
      <c r="L504" s="695"/>
      <c r="M504" s="695"/>
      <c r="N504" s="695"/>
      <c r="O504" s="695"/>
      <c r="P504" s="695"/>
      <c r="Q504" s="695"/>
      <c r="R504" s="695"/>
      <c r="S504" s="695"/>
      <c r="T504" s="695"/>
      <c r="U504" s="695"/>
      <c r="V504" s="695"/>
      <c r="W504" s="695"/>
      <c r="X504" s="695"/>
      <c r="Y504" s="695"/>
      <c r="Z504" s="695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</row>
    <row r="505" spans="1:39" ht="14.1" customHeight="1">
      <c r="A505" s="695"/>
      <c r="B505" s="695"/>
      <c r="C505" s="695"/>
      <c r="D505" s="695"/>
      <c r="E505" s="695"/>
      <c r="F505" s="695"/>
      <c r="G505" s="695"/>
      <c r="H505" s="695"/>
      <c r="I505" s="695"/>
      <c r="J505" s="695"/>
      <c r="K505" s="695"/>
      <c r="L505" s="695"/>
      <c r="M505" s="695"/>
      <c r="N505" s="695"/>
      <c r="O505" s="695"/>
      <c r="P505" s="695"/>
      <c r="Q505" s="695"/>
      <c r="R505" s="695"/>
      <c r="S505" s="695"/>
      <c r="T505" s="695"/>
      <c r="U505" s="695"/>
      <c r="V505" s="695"/>
      <c r="W505" s="695"/>
      <c r="X505" s="695"/>
      <c r="Y505" s="695"/>
      <c r="Z505" s="695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</row>
    <row r="506" spans="1:39" ht="14.1" customHeight="1">
      <c r="A506" s="695" t="s">
        <v>859</v>
      </c>
      <c r="B506" s="695"/>
      <c r="C506" s="695"/>
      <c r="D506" s="695"/>
      <c r="E506" s="695"/>
      <c r="F506" s="695"/>
      <c r="G506" s="695"/>
      <c r="H506" s="712">
        <f>VLOOKUP(AA506,'Date masura OD'!$G:$BE,51,FALSE)</f>
        <v>5000415860</v>
      </c>
      <c r="I506" s="712"/>
      <c r="J506" s="712"/>
      <c r="K506" s="712"/>
      <c r="L506" s="712"/>
      <c r="M506" s="712"/>
      <c r="N506" s="712"/>
      <c r="O506" s="712"/>
      <c r="P506" s="712"/>
      <c r="Q506" s="712"/>
      <c r="R506" s="712"/>
      <c r="S506" s="712"/>
      <c r="T506" s="712"/>
      <c r="U506" s="712"/>
      <c r="V506" s="712"/>
      <c r="W506" s="712" t="s">
        <v>860</v>
      </c>
      <c r="X506" s="712"/>
      <c r="Y506" s="712"/>
      <c r="Z506" s="712"/>
      <c r="AA506" s="640" t="str">
        <f>_xlfn.CONCAT($AA$15,"_",3)</f>
        <v>RMEG_3</v>
      </c>
      <c r="AB506" s="640"/>
      <c r="AC506" s="640"/>
      <c r="AD506" s="640"/>
      <c r="AE506" s="640"/>
      <c r="AF506" s="640"/>
      <c r="AG506" s="640"/>
      <c r="AH506" s="640"/>
      <c r="AI506" s="640"/>
      <c r="AJ506" s="640"/>
      <c r="AK506" s="640"/>
      <c r="AL506" s="640"/>
      <c r="AM506" s="640"/>
    </row>
    <row r="507" spans="1:39" ht="14.1" customHeight="1">
      <c r="A507" s="695"/>
      <c r="B507" s="695"/>
      <c r="C507" s="695"/>
      <c r="D507" s="695"/>
      <c r="E507" s="695"/>
      <c r="F507" s="695"/>
      <c r="G507" s="695"/>
      <c r="H507" s="712"/>
      <c r="I507" s="712"/>
      <c r="J507" s="712"/>
      <c r="K507" s="712"/>
      <c r="L507" s="712"/>
      <c r="M507" s="712"/>
      <c r="N507" s="712"/>
      <c r="O507" s="712"/>
      <c r="P507" s="712"/>
      <c r="Q507" s="712"/>
      <c r="R507" s="712"/>
      <c r="S507" s="712"/>
      <c r="T507" s="712"/>
      <c r="U507" s="712"/>
      <c r="V507" s="712"/>
      <c r="W507" s="712"/>
      <c r="X507" s="712"/>
      <c r="Y507" s="712"/>
      <c r="Z507" s="712"/>
      <c r="AA507" s="640"/>
      <c r="AB507" s="640"/>
      <c r="AC507" s="640"/>
      <c r="AD507" s="640"/>
      <c r="AE507" s="640"/>
      <c r="AF507" s="640"/>
      <c r="AG507" s="640"/>
      <c r="AH507" s="640"/>
      <c r="AI507" s="640"/>
      <c r="AJ507" s="640"/>
      <c r="AK507" s="640"/>
      <c r="AL507" s="640"/>
      <c r="AM507" s="640"/>
    </row>
    <row r="509" spans="1:39">
      <c r="A509" s="649" t="s">
        <v>748</v>
      </c>
      <c r="B509" s="649"/>
      <c r="C509" s="649"/>
      <c r="D509" s="649"/>
      <c r="E509" s="649"/>
      <c r="F509" s="649"/>
      <c r="G509" s="649"/>
      <c r="H509" s="649"/>
      <c r="I509" s="649"/>
      <c r="J509" s="649"/>
      <c r="K509" s="649"/>
      <c r="L509" s="649"/>
      <c r="M509" s="650" t="str">
        <f>VLOOKUP(AI510,'Contorizare in SDI'!$E:$I,4,FALSE)</f>
        <v>RO001E110105365/1</v>
      </c>
      <c r="N509" s="650"/>
      <c r="O509" s="650"/>
      <c r="P509" s="650"/>
      <c r="Q509" s="650"/>
      <c r="R509" s="650"/>
      <c r="S509" s="650"/>
      <c r="T509" s="650"/>
      <c r="U509" s="650"/>
      <c r="V509" s="650"/>
      <c r="W509" s="650"/>
      <c r="X509" s="650"/>
      <c r="Y509" s="650"/>
      <c r="Z509" s="650"/>
      <c r="AA509" s="650"/>
      <c r="AB509" s="650"/>
      <c r="AC509" s="650"/>
      <c r="AD509" s="650"/>
      <c r="AE509" s="650"/>
      <c r="AF509" s="650"/>
      <c r="AG509" s="650"/>
      <c r="AH509" s="650"/>
      <c r="AI509" s="650" t="s">
        <v>695</v>
      </c>
      <c r="AJ509" s="650"/>
      <c r="AK509" s="650"/>
      <c r="AL509" s="650"/>
      <c r="AM509" s="650"/>
    </row>
    <row r="510" spans="1:39">
      <c r="A510" s="649" t="s">
        <v>746</v>
      </c>
      <c r="B510" s="649"/>
      <c r="C510" s="649"/>
      <c r="D510" s="649"/>
      <c r="E510" s="649"/>
      <c r="F510" s="649"/>
      <c r="G510" s="649"/>
      <c r="H510" s="649"/>
      <c r="I510" s="649"/>
      <c r="J510" s="649"/>
      <c r="K510" s="649"/>
      <c r="L510" s="649"/>
      <c r="M510" s="650" t="str">
        <f>VLOOKUP(AI510,'Inchidere contur'!$G:$U,15,FALSE)</f>
        <v>JT_SDI</v>
      </c>
      <c r="N510" s="650"/>
      <c r="O510" s="650"/>
      <c r="P510" s="650"/>
      <c r="Q510" s="650"/>
      <c r="R510" s="650"/>
      <c r="S510" s="650"/>
      <c r="T510" s="650"/>
      <c r="U510" s="650"/>
      <c r="V510" s="650"/>
      <c r="W510" s="650"/>
      <c r="X510" s="650"/>
      <c r="Y510" s="650"/>
      <c r="Z510" s="650"/>
      <c r="AA510" s="650"/>
      <c r="AB510" s="650"/>
      <c r="AC510" s="650"/>
      <c r="AD510" s="650"/>
      <c r="AE510" s="650"/>
      <c r="AF510" s="650"/>
      <c r="AG510" s="650"/>
      <c r="AH510" s="650"/>
      <c r="AI510" s="619" t="str">
        <f>_xlfn.CONCAT($AA$506,".",1)</f>
        <v>RMEG_3.1</v>
      </c>
      <c r="AJ510" s="619"/>
      <c r="AK510" s="619"/>
      <c r="AL510" s="619"/>
      <c r="AM510" s="619"/>
    </row>
    <row r="511" spans="1:39">
      <c r="A511" s="649" t="s">
        <v>747</v>
      </c>
      <c r="B511" s="649"/>
      <c r="C511" s="649"/>
      <c r="D511" s="649"/>
      <c r="E511" s="649"/>
      <c r="F511" s="649"/>
      <c r="G511" s="649"/>
      <c r="H511" s="649"/>
      <c r="I511" s="649"/>
      <c r="J511" s="649"/>
      <c r="K511" s="649"/>
      <c r="L511" s="649"/>
      <c r="M511" s="650" t="str">
        <f>IF(LEFT(M510,2)="JT","0.4kV",IF(LEFT(M510,2)="MT","20kV","-"))</f>
        <v>0.4kV</v>
      </c>
      <c r="N511" s="650"/>
      <c r="O511" s="650"/>
      <c r="P511" s="650"/>
      <c r="Q511" s="650"/>
      <c r="R511" s="650"/>
      <c r="S511" s="650"/>
      <c r="T511" s="650"/>
      <c r="U511" s="650"/>
      <c r="V511" s="650"/>
      <c r="W511" s="650"/>
      <c r="X511" s="650"/>
      <c r="Y511" s="650"/>
      <c r="Z511" s="650"/>
      <c r="AA511" s="650"/>
      <c r="AB511" s="650"/>
      <c r="AC511" s="650"/>
      <c r="AD511" s="650"/>
      <c r="AE511" s="650"/>
      <c r="AF511" s="650"/>
      <c r="AG511" s="650"/>
      <c r="AH511" s="650"/>
      <c r="AI511" s="619"/>
      <c r="AJ511" s="619"/>
      <c r="AK511" s="619"/>
      <c r="AL511" s="619"/>
      <c r="AM511" s="619"/>
    </row>
    <row r="512" spans="1:39" ht="15.95" customHeight="1">
      <c r="A512" s="648" t="s">
        <v>697</v>
      </c>
      <c r="B512" s="648"/>
      <c r="C512" s="648"/>
      <c r="D512" s="648"/>
      <c r="E512" s="648"/>
      <c r="F512" s="648"/>
      <c r="G512" s="647" t="s">
        <v>713</v>
      </c>
      <c r="H512" s="647"/>
      <c r="I512" s="647"/>
      <c r="J512" s="647" t="s">
        <v>714</v>
      </c>
      <c r="K512" s="647"/>
      <c r="L512" s="647"/>
      <c r="M512" s="648" t="s">
        <v>519</v>
      </c>
      <c r="N512" s="648"/>
      <c r="O512" s="648" t="s">
        <v>715</v>
      </c>
      <c r="P512" s="648"/>
      <c r="Q512" s="648"/>
      <c r="R512" s="647" t="s">
        <v>732</v>
      </c>
      <c r="S512" s="647"/>
      <c r="T512" s="647"/>
      <c r="U512" s="647" t="s">
        <v>734</v>
      </c>
      <c r="V512" s="647"/>
      <c r="W512" s="647"/>
      <c r="X512" s="647" t="s">
        <v>1085</v>
      </c>
      <c r="Y512" s="647"/>
      <c r="Z512" s="647"/>
      <c r="AA512" s="647" t="s">
        <v>1086</v>
      </c>
      <c r="AB512" s="647"/>
      <c r="AC512" s="647"/>
      <c r="AD512" s="647" t="s">
        <v>717</v>
      </c>
      <c r="AE512" s="647"/>
      <c r="AF512" s="647" t="s">
        <v>718</v>
      </c>
      <c r="AG512" s="647"/>
      <c r="AH512" s="647"/>
      <c r="AI512" s="647" t="s">
        <v>719</v>
      </c>
      <c r="AJ512" s="647"/>
      <c r="AK512" s="647" t="s">
        <v>733</v>
      </c>
      <c r="AL512" s="647"/>
      <c r="AM512" s="647"/>
    </row>
    <row r="513" spans="1:39">
      <c r="A513" s="648"/>
      <c r="B513" s="648"/>
      <c r="C513" s="648"/>
      <c r="D513" s="648"/>
      <c r="E513" s="648"/>
      <c r="F513" s="648"/>
      <c r="G513" s="647"/>
      <c r="H513" s="647"/>
      <c r="I513" s="647"/>
      <c r="J513" s="647"/>
      <c r="K513" s="647"/>
      <c r="L513" s="647"/>
      <c r="M513" s="648"/>
      <c r="N513" s="648"/>
      <c r="O513" s="648"/>
      <c r="P513" s="648"/>
      <c r="Q513" s="648"/>
      <c r="R513" s="647"/>
      <c r="S513" s="647"/>
      <c r="T513" s="647"/>
      <c r="U513" s="647"/>
      <c r="V513" s="647"/>
      <c r="W513" s="647"/>
      <c r="X513" s="647"/>
      <c r="Y513" s="647"/>
      <c r="Z513" s="647"/>
      <c r="AA513" s="647"/>
      <c r="AB513" s="647"/>
      <c r="AC513" s="647"/>
      <c r="AD513" s="647"/>
      <c r="AE513" s="647"/>
      <c r="AF513" s="647"/>
      <c r="AG513" s="647"/>
      <c r="AH513" s="647"/>
      <c r="AI513" s="647"/>
      <c r="AJ513" s="647"/>
      <c r="AK513" s="647"/>
      <c r="AL513" s="647"/>
      <c r="AM513" s="647"/>
    </row>
    <row r="514" spans="1:39">
      <c r="A514" s="648"/>
      <c r="B514" s="648"/>
      <c r="C514" s="648"/>
      <c r="D514" s="648"/>
      <c r="E514" s="648"/>
      <c r="F514" s="648"/>
      <c r="G514" s="647"/>
      <c r="H514" s="647"/>
      <c r="I514" s="647"/>
      <c r="J514" s="713"/>
      <c r="K514" s="713"/>
      <c r="L514" s="713"/>
      <c r="M514" s="648"/>
      <c r="N514" s="648"/>
      <c r="O514" s="648"/>
      <c r="P514" s="648"/>
      <c r="Q514" s="648"/>
      <c r="R514" s="647"/>
      <c r="S514" s="647"/>
      <c r="T514" s="647"/>
      <c r="U514" s="647"/>
      <c r="V514" s="647"/>
      <c r="W514" s="647"/>
      <c r="X514" s="647"/>
      <c r="Y514" s="647"/>
      <c r="Z514" s="647"/>
      <c r="AA514" s="647"/>
      <c r="AB514" s="647"/>
      <c r="AC514" s="647"/>
      <c r="AD514" s="647"/>
      <c r="AE514" s="647"/>
      <c r="AF514" s="647"/>
      <c r="AG514" s="647"/>
      <c r="AH514" s="647"/>
      <c r="AI514" s="647"/>
      <c r="AJ514" s="647"/>
      <c r="AK514" s="647"/>
      <c r="AL514" s="647"/>
      <c r="AM514" s="647"/>
    </row>
    <row r="515" spans="1:39" ht="14.1" customHeight="1">
      <c r="A515" s="684" t="str">
        <f>VLOOKUP(AI510,'Contorizare in SDI'!$E:$I,5,FALSE)</f>
        <v>V.21G90290210104559/1</v>
      </c>
      <c r="B515" s="685"/>
      <c r="C515" s="685"/>
      <c r="D515" s="685"/>
      <c r="E515" s="685"/>
      <c r="F515" s="686"/>
      <c r="G515" s="648" t="s">
        <v>730</v>
      </c>
      <c r="H515" s="648"/>
      <c r="I515" s="673"/>
      <c r="J515" s="655">
        <f>'Date masura OD'!$AK$5</f>
        <v>45748</v>
      </c>
      <c r="K515" s="656"/>
      <c r="L515" s="657"/>
      <c r="M515" s="720" t="s">
        <v>446</v>
      </c>
      <c r="N515" s="648"/>
      <c r="O515" s="648">
        <f>VLOOKUP(AI510,'Incrementare indexe'!$B:$T,4,FALSE)</f>
        <v>1</v>
      </c>
      <c r="P515" s="648"/>
      <c r="Q515" s="648"/>
      <c r="R515" s="647" t="str">
        <f>VLOOKUP(A515,Regularizare!$D:$YN,3,FALSE)&amp;" ("&amp;VLOOKUP(A515,Regularizare!$D:$Y,11,FALSE)&amp;")"</f>
        <v>1123343 (citit)</v>
      </c>
      <c r="S515" s="647"/>
      <c r="T515" s="647"/>
      <c r="U515" s="647" t="str">
        <f>VLOOKUP(A515,Regularizare!$D:$U,4,FALSE)&amp;" ("&amp;VLOOKUP(A515,Regularizare!$D:$U,12,FALSE)&amp;")"</f>
        <v>1207780 (estimat)</v>
      </c>
      <c r="V515" s="647"/>
      <c r="W515" s="647"/>
      <c r="X515" s="647" t="str">
        <f>VLOOKUP(A515,Regularizare!$D:$Y,19,FALSE)&amp;" ("&amp;VLOOKUP(A515,Regularizare!$D:$U,12,FALSE)&amp;")"</f>
        <v>84437 (estimat)</v>
      </c>
      <c r="Y515" s="647"/>
      <c r="Z515" s="647"/>
      <c r="AA515" s="647">
        <f>(-1)*VLOOKUP(A515,Regularizare!$D:$Y,19,FALSE)</f>
        <v>-84437</v>
      </c>
      <c r="AB515" s="647"/>
      <c r="AC515" s="647"/>
      <c r="AD515" s="647" t="s">
        <v>69</v>
      </c>
      <c r="AE515" s="647"/>
      <c r="AF515" s="647">
        <f>AA515</f>
        <v>-84437</v>
      </c>
      <c r="AG515" s="647"/>
      <c r="AH515" s="647"/>
      <c r="AI515" s="647" t="s">
        <v>69</v>
      </c>
      <c r="AJ515" s="647"/>
      <c r="AK515" s="647" t="s">
        <v>69</v>
      </c>
      <c r="AL515" s="647"/>
      <c r="AM515" s="647"/>
    </row>
    <row r="516" spans="1:39" ht="9.75" customHeight="1">
      <c r="A516" s="727"/>
      <c r="B516" s="729"/>
      <c r="C516" s="729"/>
      <c r="D516" s="729"/>
      <c r="E516" s="729"/>
      <c r="F516" s="728"/>
      <c r="G516" s="648"/>
      <c r="H516" s="648"/>
      <c r="I516" s="673"/>
      <c r="J516" s="717" t="s">
        <v>69</v>
      </c>
      <c r="K516" s="718"/>
      <c r="L516" s="719"/>
      <c r="M516" s="720"/>
      <c r="N516" s="648"/>
      <c r="O516" s="648"/>
      <c r="P516" s="648"/>
      <c r="Q516" s="648"/>
      <c r="R516" s="647"/>
      <c r="S516" s="647"/>
      <c r="T516" s="647"/>
      <c r="U516" s="647"/>
      <c r="V516" s="647"/>
      <c r="W516" s="647"/>
      <c r="X516" s="647"/>
      <c r="Y516" s="647"/>
      <c r="Z516" s="647"/>
      <c r="AA516" s="647"/>
      <c r="AB516" s="647"/>
      <c r="AC516" s="647"/>
      <c r="AD516" s="647"/>
      <c r="AE516" s="647"/>
      <c r="AF516" s="647"/>
      <c r="AG516" s="647"/>
      <c r="AH516" s="647"/>
      <c r="AI516" s="647"/>
      <c r="AJ516" s="647"/>
      <c r="AK516" s="647"/>
      <c r="AL516" s="647"/>
      <c r="AM516" s="647"/>
    </row>
    <row r="517" spans="1:39" ht="14.1" customHeight="1">
      <c r="A517" s="687"/>
      <c r="B517" s="688"/>
      <c r="C517" s="688"/>
      <c r="D517" s="688"/>
      <c r="E517" s="688"/>
      <c r="F517" s="689"/>
      <c r="G517" s="648"/>
      <c r="H517" s="648"/>
      <c r="I517" s="673"/>
      <c r="J517" s="714">
        <f>'Date masura OD'!$AL$5</f>
        <v>45777</v>
      </c>
      <c r="K517" s="715"/>
      <c r="L517" s="716"/>
      <c r="M517" s="720"/>
      <c r="N517" s="648"/>
      <c r="O517" s="648"/>
      <c r="P517" s="648"/>
      <c r="Q517" s="648"/>
      <c r="R517" s="647"/>
      <c r="S517" s="647"/>
      <c r="T517" s="647"/>
      <c r="U517" s="647"/>
      <c r="V517" s="647"/>
      <c r="W517" s="647"/>
      <c r="X517" s="647"/>
      <c r="Y517" s="647"/>
      <c r="Z517" s="647"/>
      <c r="AA517" s="647"/>
      <c r="AB517" s="647"/>
      <c r="AC517" s="647"/>
      <c r="AD517" s="647"/>
      <c r="AE517" s="647"/>
      <c r="AF517" s="647"/>
      <c r="AG517" s="647"/>
      <c r="AH517" s="647"/>
      <c r="AI517" s="647"/>
      <c r="AJ517" s="647"/>
      <c r="AK517" s="647"/>
      <c r="AL517" s="647"/>
      <c r="AM517" s="647"/>
    </row>
    <row r="518" spans="1:39" ht="14.1" customHeight="1">
      <c r="A518" s="684" t="str">
        <f>A515</f>
        <v>V.21G90290210104559/1</v>
      </c>
      <c r="B518" s="685"/>
      <c r="C518" s="685"/>
      <c r="D518" s="685"/>
      <c r="E518" s="685"/>
      <c r="F518" s="686"/>
      <c r="G518" s="648" t="s">
        <v>696</v>
      </c>
      <c r="H518" s="648"/>
      <c r="I518" s="648"/>
      <c r="J518" s="655">
        <f t="shared" ref="J518:J523" si="28">J515</f>
        <v>45748</v>
      </c>
      <c r="K518" s="656"/>
      <c r="L518" s="657"/>
      <c r="M518" s="648" t="s">
        <v>720</v>
      </c>
      <c r="N518" s="648"/>
      <c r="O518" s="648">
        <f>O515</f>
        <v>1</v>
      </c>
      <c r="P518" s="648"/>
      <c r="Q518" s="648"/>
      <c r="R518" s="647" t="str">
        <f>VLOOKUP(A518,Regularizare!$D:$U,7,FALSE)&amp;" ("&amp;VLOOKUP(A518,Regularizare!$D:$U,15,FALSE)&amp;")"</f>
        <v>22697 (citit)</v>
      </c>
      <c r="S518" s="647"/>
      <c r="T518" s="647"/>
      <c r="U518" s="647" t="str">
        <f>VLOOKUP(A518,Regularizare!$D:$U,8,FALSE)&amp;" ("&amp;VLOOKUP(A518,Regularizare!$D:$U,16,FALSE)&amp;")"</f>
        <v>22697 (estimat)</v>
      </c>
      <c r="V518" s="647"/>
      <c r="W518" s="647"/>
      <c r="X518" s="647" t="str">
        <f>_xlfn.CONCAT(VLOOKUP(A518,Regularizare!$D:$U,8,FALSE)-VLOOKUP(A518,Regularizare!$D:$U,7,FALSE)," (",VLOOKUP(A518,Regularizare!$D:$U,16,FALSE),")")</f>
        <v>0 (estimat)</v>
      </c>
      <c r="Y518" s="647"/>
      <c r="Z518" s="647"/>
      <c r="AA518" s="647">
        <f>IF(VLOOKUP(A518,Regularizare!$D:$Y,21,FALSE)=0,VLOOKUP(A518,Regularizare!$D:$Y,21,FALSE),(-1)*VLOOKUP(A518,Regularizare!$D:$Y,21,FALSE))</f>
        <v>0</v>
      </c>
      <c r="AB518" s="647"/>
      <c r="AC518" s="647"/>
      <c r="AD518" s="647" t="s">
        <v>69</v>
      </c>
      <c r="AE518" s="647"/>
      <c r="AF518" s="647">
        <f>AA518</f>
        <v>0</v>
      </c>
      <c r="AG518" s="647"/>
      <c r="AH518" s="647"/>
      <c r="AI518" s="647" t="str">
        <f>AI515</f>
        <v>-</v>
      </c>
      <c r="AJ518" s="647"/>
      <c r="AK518" s="647" t="str">
        <f>AK515</f>
        <v>-</v>
      </c>
      <c r="AL518" s="647"/>
      <c r="AM518" s="647"/>
    </row>
    <row r="519" spans="1:39" ht="8.4499999999999993" customHeight="1">
      <c r="A519" s="727"/>
      <c r="B519" s="729"/>
      <c r="C519" s="729"/>
      <c r="D519" s="729"/>
      <c r="E519" s="729"/>
      <c r="F519" s="728"/>
      <c r="G519" s="648"/>
      <c r="H519" s="648"/>
      <c r="I519" s="648"/>
      <c r="J519" s="717" t="str">
        <f t="shared" si="28"/>
        <v>-</v>
      </c>
      <c r="K519" s="718"/>
      <c r="L519" s="719"/>
      <c r="M519" s="648"/>
      <c r="N519" s="648"/>
      <c r="O519" s="648"/>
      <c r="P519" s="648"/>
      <c r="Q519" s="648"/>
      <c r="R519" s="647"/>
      <c r="S519" s="647"/>
      <c r="T519" s="647"/>
      <c r="U519" s="647"/>
      <c r="V519" s="647"/>
      <c r="W519" s="647"/>
      <c r="X519" s="647"/>
      <c r="Y519" s="647"/>
      <c r="Z519" s="647"/>
      <c r="AA519" s="647"/>
      <c r="AB519" s="647"/>
      <c r="AC519" s="647"/>
      <c r="AD519" s="647"/>
      <c r="AE519" s="647"/>
      <c r="AF519" s="647"/>
      <c r="AG519" s="647"/>
      <c r="AH519" s="647"/>
      <c r="AI519" s="647"/>
      <c r="AJ519" s="647"/>
      <c r="AK519" s="647"/>
      <c r="AL519" s="647"/>
      <c r="AM519" s="647"/>
    </row>
    <row r="520" spans="1:39" ht="14.1" customHeight="1">
      <c r="A520" s="687"/>
      <c r="B520" s="688"/>
      <c r="C520" s="688"/>
      <c r="D520" s="688"/>
      <c r="E520" s="688"/>
      <c r="F520" s="689"/>
      <c r="G520" s="648"/>
      <c r="H520" s="648"/>
      <c r="I520" s="648"/>
      <c r="J520" s="714">
        <f t="shared" si="28"/>
        <v>45777</v>
      </c>
      <c r="K520" s="715"/>
      <c r="L520" s="716"/>
      <c r="M520" s="648"/>
      <c r="N520" s="648"/>
      <c r="O520" s="648"/>
      <c r="P520" s="648"/>
      <c r="Q520" s="648"/>
      <c r="R520" s="647"/>
      <c r="S520" s="647"/>
      <c r="T520" s="647"/>
      <c r="U520" s="647"/>
      <c r="V520" s="647"/>
      <c r="W520" s="647"/>
      <c r="X520" s="647"/>
      <c r="Y520" s="647"/>
      <c r="Z520" s="647"/>
      <c r="AA520" s="647"/>
      <c r="AB520" s="647"/>
      <c r="AC520" s="647"/>
      <c r="AD520" s="647"/>
      <c r="AE520" s="647"/>
      <c r="AF520" s="647"/>
      <c r="AG520" s="647"/>
      <c r="AH520" s="647"/>
      <c r="AI520" s="647"/>
      <c r="AJ520" s="647"/>
      <c r="AK520" s="647"/>
      <c r="AL520" s="647"/>
      <c r="AM520" s="647"/>
    </row>
    <row r="521" spans="1:39" ht="14.1" customHeight="1">
      <c r="A521" s="684" t="str">
        <f>A518</f>
        <v>V.21G90290210104559/1</v>
      </c>
      <c r="B521" s="685"/>
      <c r="C521" s="685"/>
      <c r="D521" s="685"/>
      <c r="E521" s="685"/>
      <c r="F521" s="686"/>
      <c r="G521" s="648" t="s">
        <v>731</v>
      </c>
      <c r="H521" s="648"/>
      <c r="I521" s="648"/>
      <c r="J521" s="655">
        <f t="shared" si="28"/>
        <v>45748</v>
      </c>
      <c r="K521" s="656"/>
      <c r="L521" s="657"/>
      <c r="M521" s="648" t="s">
        <v>720</v>
      </c>
      <c r="N521" s="648"/>
      <c r="O521" s="648">
        <f>O518</f>
        <v>1</v>
      </c>
      <c r="P521" s="648"/>
      <c r="Q521" s="648"/>
      <c r="R521" s="647" t="str">
        <f>VLOOKUP(A521,Regularizare!$D:$U,9,FALSE)&amp;" ("&amp;VLOOKUP(A521,Regularizare!$D:$U,17,FALSE)&amp;")"</f>
        <v>244 (citit)</v>
      </c>
      <c r="S521" s="647"/>
      <c r="T521" s="647"/>
      <c r="U521" s="647" t="str">
        <f>VLOOKUP(A521,Regularizare!$D:$U,10,FALSE)&amp;" ("&amp;VLOOKUP(A521,Regularizare!$D:$U,18,FALSE)&amp;")"</f>
        <v>244 (estimat)</v>
      </c>
      <c r="V521" s="647"/>
      <c r="W521" s="647"/>
      <c r="X521" s="647" t="str">
        <f>_xlfn.CONCAT(VLOOKUP(A521,Regularizare!$D:$U,10,FALSE)-VLOOKUP(A521,Regularizare!$D:$U,9,FALSE)," (",VLOOKUP(A521,Regularizare!$D:$U,18,FALSE),")")</f>
        <v>0 (estimat)</v>
      </c>
      <c r="Y521" s="647"/>
      <c r="Z521" s="647"/>
      <c r="AA521" s="647">
        <f>IF(VLOOKUP(A521,Regularizare!$D:$Y,22,FALSE)=0,VLOOKUP(A521,Regularizare!$D:$Y,22,FALSE),(-1)*VLOOKUP(A521,Regularizare!$D:$Y,22,FALSE))</f>
        <v>0</v>
      </c>
      <c r="AB521" s="647"/>
      <c r="AC521" s="647"/>
      <c r="AD521" s="647" t="s">
        <v>69</v>
      </c>
      <c r="AE521" s="647"/>
      <c r="AF521" s="647">
        <f>AA521</f>
        <v>0</v>
      </c>
      <c r="AG521" s="647"/>
      <c r="AH521" s="647"/>
      <c r="AI521" s="647" t="str">
        <f>AI518</f>
        <v>-</v>
      </c>
      <c r="AJ521" s="647"/>
      <c r="AK521" s="647" t="str">
        <f>AK518</f>
        <v>-</v>
      </c>
      <c r="AL521" s="647"/>
      <c r="AM521" s="647"/>
    </row>
    <row r="522" spans="1:39" ht="8.4499999999999993" customHeight="1">
      <c r="A522" s="727"/>
      <c r="B522" s="729"/>
      <c r="C522" s="729"/>
      <c r="D522" s="729"/>
      <c r="E522" s="729"/>
      <c r="F522" s="728"/>
      <c r="G522" s="648"/>
      <c r="H522" s="648"/>
      <c r="I522" s="648"/>
      <c r="J522" s="717" t="str">
        <f t="shared" si="28"/>
        <v>-</v>
      </c>
      <c r="K522" s="718"/>
      <c r="L522" s="719"/>
      <c r="M522" s="648"/>
      <c r="N522" s="648"/>
      <c r="O522" s="648"/>
      <c r="P522" s="648"/>
      <c r="Q522" s="648"/>
      <c r="R522" s="647"/>
      <c r="S522" s="647"/>
      <c r="T522" s="647"/>
      <c r="U522" s="647"/>
      <c r="V522" s="647"/>
      <c r="W522" s="647"/>
      <c r="X522" s="647"/>
      <c r="Y522" s="647"/>
      <c r="Z522" s="647"/>
      <c r="AA522" s="647"/>
      <c r="AB522" s="647"/>
      <c r="AC522" s="647"/>
      <c r="AD522" s="647"/>
      <c r="AE522" s="647"/>
      <c r="AF522" s="647"/>
      <c r="AG522" s="647"/>
      <c r="AH522" s="647"/>
      <c r="AI522" s="647"/>
      <c r="AJ522" s="647"/>
      <c r="AK522" s="647"/>
      <c r="AL522" s="647"/>
      <c r="AM522" s="647"/>
    </row>
    <row r="523" spans="1:39" ht="14.1" customHeight="1">
      <c r="A523" s="687"/>
      <c r="B523" s="688"/>
      <c r="C523" s="688"/>
      <c r="D523" s="688"/>
      <c r="E523" s="688"/>
      <c r="F523" s="689"/>
      <c r="G523" s="648"/>
      <c r="H523" s="648"/>
      <c r="I523" s="648"/>
      <c r="J523" s="714">
        <f t="shared" si="28"/>
        <v>45777</v>
      </c>
      <c r="K523" s="715"/>
      <c r="L523" s="716"/>
      <c r="M523" s="648"/>
      <c r="N523" s="648"/>
      <c r="O523" s="648"/>
      <c r="P523" s="648"/>
      <c r="Q523" s="648"/>
      <c r="R523" s="647"/>
      <c r="S523" s="647"/>
      <c r="T523" s="647"/>
      <c r="U523" s="647"/>
      <c r="V523" s="647"/>
      <c r="W523" s="647"/>
      <c r="X523" s="647"/>
      <c r="Y523" s="647"/>
      <c r="Z523" s="647"/>
      <c r="AA523" s="647"/>
      <c r="AB523" s="647"/>
      <c r="AC523" s="647"/>
      <c r="AD523" s="647"/>
      <c r="AE523" s="647"/>
      <c r="AF523" s="647"/>
      <c r="AG523" s="647"/>
      <c r="AH523" s="647"/>
      <c r="AI523" s="647"/>
      <c r="AJ523" s="647"/>
      <c r="AK523" s="647"/>
      <c r="AL523" s="647"/>
      <c r="AM523" s="647"/>
    </row>
    <row r="524" spans="1:39" ht="14.1" customHeight="1">
      <c r="A524" s="684" t="str">
        <f>A521</f>
        <v>V.21G90290210104559/1</v>
      </c>
      <c r="B524" s="685"/>
      <c r="C524" s="685"/>
      <c r="D524" s="685"/>
      <c r="E524" s="685"/>
      <c r="F524" s="686"/>
      <c r="G524" s="648" t="s">
        <v>730</v>
      </c>
      <c r="H524" s="648"/>
      <c r="I524" s="673"/>
      <c r="J524" s="655">
        <f>'Date masura OD'!$AK$5</f>
        <v>45748</v>
      </c>
      <c r="K524" s="656"/>
      <c r="L524" s="657"/>
      <c r="M524" s="720" t="s">
        <v>446</v>
      </c>
      <c r="N524" s="648"/>
      <c r="O524" s="648">
        <f>O521</f>
        <v>1</v>
      </c>
      <c r="P524" s="648"/>
      <c r="Q524" s="648"/>
      <c r="R524" s="647" t="str">
        <f>VLOOKUP(A524,Regularizare!$D:$AX,23,FALSE)&amp;" ("&amp;VLOOKUP(A524,Regularizare!$D:$AX,24,FALSE)&amp;")"</f>
        <v>1123343 (citit)</v>
      </c>
      <c r="S524" s="647"/>
      <c r="T524" s="647"/>
      <c r="U524" s="647" t="str">
        <f>VLOOKUP(A524,Regularizare!$D:$AX,25,FALSE)&amp;" ("&amp;VLOOKUP(A524,Regularizare!$D:$AX,26,FALSE)&amp;")"</f>
        <v>1207780 (citit)</v>
      </c>
      <c r="V524" s="647"/>
      <c r="W524" s="647"/>
      <c r="X524" s="647" t="str">
        <f>VLOOKUP(A524,Regularizare!$D:$AX,37,FALSE)&amp;" ("&amp;VLOOKUP(A524,Regularizare!$D:$AX,26,FALSE)&amp;")"</f>
        <v>84437 (citit)</v>
      </c>
      <c r="Y524" s="647"/>
      <c r="Z524" s="647"/>
      <c r="AA524" s="647">
        <f>VLOOKUP(A524,Regularizare!$D:$AX,37,FALSE)</f>
        <v>84437</v>
      </c>
      <c r="AB524" s="647"/>
      <c r="AC524" s="647"/>
      <c r="AD524" s="647" t="s">
        <v>69</v>
      </c>
      <c r="AE524" s="647"/>
      <c r="AF524" s="647">
        <f>AA524</f>
        <v>84437</v>
      </c>
      <c r="AG524" s="647"/>
      <c r="AH524" s="647"/>
      <c r="AI524" s="647" t="str">
        <f>AI521</f>
        <v>-</v>
      </c>
      <c r="AJ524" s="647"/>
      <c r="AK524" s="647" t="str">
        <f>AK521</f>
        <v>-</v>
      </c>
      <c r="AL524" s="647"/>
      <c r="AM524" s="647"/>
    </row>
    <row r="525" spans="1:39" ht="8.4499999999999993" customHeight="1">
      <c r="A525" s="727"/>
      <c r="B525" s="729"/>
      <c r="C525" s="729"/>
      <c r="D525" s="729"/>
      <c r="E525" s="729"/>
      <c r="F525" s="728"/>
      <c r="G525" s="648"/>
      <c r="H525" s="648"/>
      <c r="I525" s="673"/>
      <c r="J525" s="717" t="s">
        <v>69</v>
      </c>
      <c r="K525" s="718"/>
      <c r="L525" s="719"/>
      <c r="M525" s="720"/>
      <c r="N525" s="648"/>
      <c r="O525" s="648"/>
      <c r="P525" s="648"/>
      <c r="Q525" s="648"/>
      <c r="R525" s="647"/>
      <c r="S525" s="647"/>
      <c r="T525" s="647"/>
      <c r="U525" s="647"/>
      <c r="V525" s="647"/>
      <c r="W525" s="647"/>
      <c r="X525" s="647"/>
      <c r="Y525" s="647"/>
      <c r="Z525" s="647"/>
      <c r="AA525" s="647"/>
      <c r="AB525" s="647"/>
      <c r="AC525" s="647"/>
      <c r="AD525" s="647"/>
      <c r="AE525" s="647"/>
      <c r="AF525" s="647"/>
      <c r="AG525" s="647"/>
      <c r="AH525" s="647"/>
      <c r="AI525" s="647"/>
      <c r="AJ525" s="647"/>
      <c r="AK525" s="647"/>
      <c r="AL525" s="647"/>
      <c r="AM525" s="647"/>
    </row>
    <row r="526" spans="1:39" ht="14.1" customHeight="1">
      <c r="A526" s="687"/>
      <c r="B526" s="688"/>
      <c r="C526" s="688"/>
      <c r="D526" s="688"/>
      <c r="E526" s="688"/>
      <c r="F526" s="689"/>
      <c r="G526" s="648"/>
      <c r="H526" s="648"/>
      <c r="I526" s="673"/>
      <c r="J526" s="714">
        <f>'Date masura OD'!$AL$5</f>
        <v>45777</v>
      </c>
      <c r="K526" s="715"/>
      <c r="L526" s="716"/>
      <c r="M526" s="720"/>
      <c r="N526" s="648"/>
      <c r="O526" s="648"/>
      <c r="P526" s="648"/>
      <c r="Q526" s="648"/>
      <c r="R526" s="647"/>
      <c r="S526" s="647"/>
      <c r="T526" s="647"/>
      <c r="U526" s="647"/>
      <c r="V526" s="647"/>
      <c r="W526" s="647"/>
      <c r="X526" s="647"/>
      <c r="Y526" s="647"/>
      <c r="Z526" s="647"/>
      <c r="AA526" s="647"/>
      <c r="AB526" s="647"/>
      <c r="AC526" s="647"/>
      <c r="AD526" s="647"/>
      <c r="AE526" s="647"/>
      <c r="AF526" s="647"/>
      <c r="AG526" s="647"/>
      <c r="AH526" s="647"/>
      <c r="AI526" s="647"/>
      <c r="AJ526" s="647"/>
      <c r="AK526" s="647"/>
      <c r="AL526" s="647"/>
      <c r="AM526" s="647"/>
    </row>
    <row r="527" spans="1:39" ht="14.1" customHeight="1">
      <c r="A527" s="684" t="str">
        <f>A524</f>
        <v>V.21G90290210104559/1</v>
      </c>
      <c r="B527" s="685"/>
      <c r="C527" s="685"/>
      <c r="D527" s="685"/>
      <c r="E527" s="685"/>
      <c r="F527" s="686"/>
      <c r="G527" s="648" t="s">
        <v>696</v>
      </c>
      <c r="H527" s="648"/>
      <c r="I527" s="648"/>
      <c r="J527" s="655">
        <f t="shared" ref="J527:J532" si="29">J524</f>
        <v>45748</v>
      </c>
      <c r="K527" s="656"/>
      <c r="L527" s="657"/>
      <c r="M527" s="648" t="s">
        <v>720</v>
      </c>
      <c r="N527" s="648"/>
      <c r="O527" s="648">
        <f>O524</f>
        <v>1</v>
      </c>
      <c r="P527" s="648"/>
      <c r="Q527" s="648"/>
      <c r="R527" s="647" t="str">
        <f>VLOOKUP(A527,Regularizare!$D:$AX,29,FALSE)&amp;" ("&amp;VLOOKUP(A527,Regularizare!$D:$AX,30,FALSE)&amp;")"</f>
        <v>22697 (citit)</v>
      </c>
      <c r="S527" s="647"/>
      <c r="T527" s="647"/>
      <c r="U527" s="647" t="str">
        <f>VLOOKUP(A527,Regularizare!$D:$AX,31,FALSE)&amp;" ("&amp;VLOOKUP(A527,Regularizare!$D:$AX,32,FALSE)&amp;")"</f>
        <v>22697 (citit)</v>
      </c>
      <c r="V527" s="647"/>
      <c r="W527" s="647"/>
      <c r="X527" s="647" t="str">
        <f>VLOOKUP(A527,Regularizare!$D:$AX,39,FALSE)&amp;" ("&amp;VLOOKUP(A527,Regularizare!$D:$AX,32,FALSE)&amp;")"</f>
        <v>0 (citit)</v>
      </c>
      <c r="Y527" s="647"/>
      <c r="Z527" s="647"/>
      <c r="AA527" s="647">
        <f>VLOOKUP(A527,Regularizare!$D:$AX,44,FALSE)+VLOOKUP(A527,Regularizare!$D:$AX,45,FALSE)</f>
        <v>0</v>
      </c>
      <c r="AB527" s="647"/>
      <c r="AC527" s="647"/>
      <c r="AD527" s="647" t="s">
        <v>69</v>
      </c>
      <c r="AE527" s="647"/>
      <c r="AF527" s="647">
        <f>AA527</f>
        <v>0</v>
      </c>
      <c r="AG527" s="647"/>
      <c r="AH527" s="647"/>
      <c r="AI527" s="647" t="str">
        <f>AI524</f>
        <v>-</v>
      </c>
      <c r="AJ527" s="647"/>
      <c r="AK527" s="647" t="str">
        <f>AK524</f>
        <v>-</v>
      </c>
      <c r="AL527" s="647"/>
      <c r="AM527" s="647"/>
    </row>
    <row r="528" spans="1:39" ht="8.4499999999999993" customHeight="1">
      <c r="A528" s="727"/>
      <c r="B528" s="729"/>
      <c r="C528" s="729"/>
      <c r="D528" s="729"/>
      <c r="E528" s="729"/>
      <c r="F528" s="728"/>
      <c r="G528" s="648"/>
      <c r="H528" s="648"/>
      <c r="I528" s="648"/>
      <c r="J528" s="717" t="str">
        <f t="shared" si="29"/>
        <v>-</v>
      </c>
      <c r="K528" s="718"/>
      <c r="L528" s="719"/>
      <c r="M528" s="648"/>
      <c r="N528" s="648"/>
      <c r="O528" s="648"/>
      <c r="P528" s="648"/>
      <c r="Q528" s="648"/>
      <c r="R528" s="647"/>
      <c r="S528" s="647"/>
      <c r="T528" s="647"/>
      <c r="U528" s="647"/>
      <c r="V528" s="647"/>
      <c r="W528" s="647"/>
      <c r="X528" s="647"/>
      <c r="Y528" s="647"/>
      <c r="Z528" s="647"/>
      <c r="AA528" s="647"/>
      <c r="AB528" s="647"/>
      <c r="AC528" s="647"/>
      <c r="AD528" s="647"/>
      <c r="AE528" s="647"/>
      <c r="AF528" s="647"/>
      <c r="AG528" s="647"/>
      <c r="AH528" s="647"/>
      <c r="AI528" s="647"/>
      <c r="AJ528" s="647"/>
      <c r="AK528" s="647"/>
      <c r="AL528" s="647"/>
      <c r="AM528" s="647"/>
    </row>
    <row r="529" spans="1:39" ht="14.1" customHeight="1">
      <c r="A529" s="687"/>
      <c r="B529" s="688"/>
      <c r="C529" s="688"/>
      <c r="D529" s="688"/>
      <c r="E529" s="688"/>
      <c r="F529" s="689"/>
      <c r="G529" s="648"/>
      <c r="H529" s="648"/>
      <c r="I529" s="648"/>
      <c r="J529" s="714">
        <f t="shared" si="29"/>
        <v>45777</v>
      </c>
      <c r="K529" s="715"/>
      <c r="L529" s="716"/>
      <c r="M529" s="648"/>
      <c r="N529" s="648"/>
      <c r="O529" s="648"/>
      <c r="P529" s="648"/>
      <c r="Q529" s="648"/>
      <c r="R529" s="647"/>
      <c r="S529" s="647"/>
      <c r="T529" s="647"/>
      <c r="U529" s="647"/>
      <c r="V529" s="647"/>
      <c r="W529" s="647"/>
      <c r="X529" s="647"/>
      <c r="Y529" s="647"/>
      <c r="Z529" s="647"/>
      <c r="AA529" s="647"/>
      <c r="AB529" s="647"/>
      <c r="AC529" s="647"/>
      <c r="AD529" s="647"/>
      <c r="AE529" s="647"/>
      <c r="AF529" s="647"/>
      <c r="AG529" s="647"/>
      <c r="AH529" s="647"/>
      <c r="AI529" s="647"/>
      <c r="AJ529" s="647"/>
      <c r="AK529" s="647"/>
      <c r="AL529" s="647"/>
      <c r="AM529" s="647"/>
    </row>
    <row r="530" spans="1:39" ht="14.1" customHeight="1">
      <c r="A530" s="684" t="str">
        <f>A527</f>
        <v>V.21G90290210104559/1</v>
      </c>
      <c r="B530" s="685"/>
      <c r="C530" s="685"/>
      <c r="D530" s="685"/>
      <c r="E530" s="685"/>
      <c r="F530" s="686"/>
      <c r="G530" s="648" t="s">
        <v>731</v>
      </c>
      <c r="H530" s="648"/>
      <c r="I530" s="648"/>
      <c r="J530" s="655">
        <f t="shared" si="29"/>
        <v>45748</v>
      </c>
      <c r="K530" s="656"/>
      <c r="L530" s="657"/>
      <c r="M530" s="648" t="s">
        <v>720</v>
      </c>
      <c r="N530" s="648"/>
      <c r="O530" s="648">
        <f>O527</f>
        <v>1</v>
      </c>
      <c r="P530" s="648"/>
      <c r="Q530" s="648"/>
      <c r="R530" s="647" t="str">
        <f>VLOOKUP(A530,Regularizare!$D:$AX,33,FALSE)&amp;" ("&amp;VLOOKUP(A530,Regularizare!$D:$AX,34,FALSE)&amp;")"</f>
        <v>244 (citit)</v>
      </c>
      <c r="S530" s="647"/>
      <c r="T530" s="647"/>
      <c r="U530" s="647" t="str">
        <f>VLOOKUP(A530,Regularizare!$D:$AX,35,FALSE)&amp;" ("&amp;VLOOKUP(A530,Regularizare!$D:$AX,36,FALSE)&amp;")"</f>
        <v>244 (citit)</v>
      </c>
      <c r="V530" s="647"/>
      <c r="W530" s="647"/>
      <c r="X530" s="647" t="str">
        <f>VLOOKUP(A530,Regularizare!$D:$AX,40,FALSE)&amp;" ("&amp;VLOOKUP(A530,Regularizare!$D:$AX,36,FALSE)&amp;")"</f>
        <v>0 (citit)</v>
      </c>
      <c r="Y530" s="647"/>
      <c r="Z530" s="647"/>
      <c r="AA530" s="647">
        <f>VLOOKUP(A530,Regularizare!$D:$AX,46,FALSE)+VLOOKUP(A530,Regularizare!$D:$AX,47,FALSE)</f>
        <v>0</v>
      </c>
      <c r="AB530" s="647"/>
      <c r="AC530" s="647"/>
      <c r="AD530" s="647" t="s">
        <v>69</v>
      </c>
      <c r="AE530" s="647"/>
      <c r="AF530" s="647">
        <f>AA530</f>
        <v>0</v>
      </c>
      <c r="AG530" s="647"/>
      <c r="AH530" s="647"/>
      <c r="AI530" s="647" t="str">
        <f>AI527</f>
        <v>-</v>
      </c>
      <c r="AJ530" s="647"/>
      <c r="AK530" s="647" t="str">
        <f>AK527</f>
        <v>-</v>
      </c>
      <c r="AL530" s="647"/>
      <c r="AM530" s="647"/>
    </row>
    <row r="531" spans="1:39" ht="8.4499999999999993" customHeight="1">
      <c r="A531" s="727"/>
      <c r="B531" s="729"/>
      <c r="C531" s="729"/>
      <c r="D531" s="729"/>
      <c r="E531" s="729"/>
      <c r="F531" s="728"/>
      <c r="G531" s="648"/>
      <c r="H531" s="648"/>
      <c r="I531" s="648"/>
      <c r="J531" s="717" t="str">
        <f t="shared" si="29"/>
        <v>-</v>
      </c>
      <c r="K531" s="718"/>
      <c r="L531" s="719"/>
      <c r="M531" s="648"/>
      <c r="N531" s="648"/>
      <c r="O531" s="648"/>
      <c r="P531" s="648"/>
      <c r="Q531" s="648"/>
      <c r="R531" s="647"/>
      <c r="S531" s="647"/>
      <c r="T531" s="647"/>
      <c r="U531" s="647"/>
      <c r="V531" s="647"/>
      <c r="W531" s="647"/>
      <c r="X531" s="647"/>
      <c r="Y531" s="647"/>
      <c r="Z531" s="647"/>
      <c r="AA531" s="647"/>
      <c r="AB531" s="647"/>
      <c r="AC531" s="647"/>
      <c r="AD531" s="647"/>
      <c r="AE531" s="647"/>
      <c r="AF531" s="647"/>
      <c r="AG531" s="647"/>
      <c r="AH531" s="647"/>
      <c r="AI531" s="647"/>
      <c r="AJ531" s="647"/>
      <c r="AK531" s="647"/>
      <c r="AL531" s="647"/>
      <c r="AM531" s="647"/>
    </row>
    <row r="532" spans="1:39" ht="14.1" customHeight="1">
      <c r="A532" s="687"/>
      <c r="B532" s="688"/>
      <c r="C532" s="688"/>
      <c r="D532" s="688"/>
      <c r="E532" s="688"/>
      <c r="F532" s="689"/>
      <c r="G532" s="648"/>
      <c r="H532" s="648"/>
      <c r="I532" s="648"/>
      <c r="J532" s="714">
        <f t="shared" si="29"/>
        <v>45777</v>
      </c>
      <c r="K532" s="715"/>
      <c r="L532" s="716"/>
      <c r="M532" s="648"/>
      <c r="N532" s="648"/>
      <c r="O532" s="648"/>
      <c r="P532" s="648"/>
      <c r="Q532" s="648"/>
      <c r="R532" s="647"/>
      <c r="S532" s="647"/>
      <c r="T532" s="647"/>
      <c r="U532" s="647"/>
      <c r="V532" s="647"/>
      <c r="W532" s="647"/>
      <c r="X532" s="647"/>
      <c r="Y532" s="647"/>
      <c r="Z532" s="647"/>
      <c r="AA532" s="647"/>
      <c r="AB532" s="647"/>
      <c r="AC532" s="647"/>
      <c r="AD532" s="647"/>
      <c r="AE532" s="647"/>
      <c r="AF532" s="647"/>
      <c r="AG532" s="647"/>
      <c r="AH532" s="647"/>
      <c r="AI532" s="647"/>
      <c r="AJ532" s="647"/>
      <c r="AK532" s="647"/>
      <c r="AL532" s="647"/>
      <c r="AM532" s="647"/>
    </row>
    <row r="533" spans="1:39" ht="14.1" customHeight="1">
      <c r="A533" s="684" t="str">
        <f>A530</f>
        <v>V.21G90290210104559/1</v>
      </c>
      <c r="B533" s="685"/>
      <c r="C533" s="685"/>
      <c r="D533" s="685"/>
      <c r="E533" s="685"/>
      <c r="F533" s="686"/>
      <c r="G533" s="648" t="s">
        <v>730</v>
      </c>
      <c r="H533" s="648"/>
      <c r="I533" s="673"/>
      <c r="J533" s="655">
        <f>'Date masura OD'!$I$5</f>
        <v>45778</v>
      </c>
      <c r="K533" s="656"/>
      <c r="L533" s="657"/>
      <c r="M533" s="720" t="s">
        <v>446</v>
      </c>
      <c r="N533" s="648"/>
      <c r="O533" s="648">
        <f>O530</f>
        <v>1</v>
      </c>
      <c r="P533" s="648"/>
      <c r="Q533" s="648"/>
      <c r="R533" s="647" t="str">
        <f>U524</f>
        <v>1207780 (citit)</v>
      </c>
      <c r="S533" s="647"/>
      <c r="T533" s="647"/>
      <c r="U533" s="647" t="str">
        <f>VLOOKUP(A533,'Incrementare indexe'!$D:$M,4,FALSE)&amp;" (estimat)"</f>
        <v>1297397 (estimat)</v>
      </c>
      <c r="V533" s="647"/>
      <c r="W533" s="647"/>
      <c r="X533" s="647" t="str">
        <f>VLOOKUP(A533,'Incrementare indexe'!$D:$Q,11,FALSE)&amp;" (estimat)"</f>
        <v>89617 (estimat)</v>
      </c>
      <c r="Y533" s="647"/>
      <c r="Z533" s="647"/>
      <c r="AA533" s="647" t="s">
        <v>69</v>
      </c>
      <c r="AB533" s="647"/>
      <c r="AC533" s="647"/>
      <c r="AD533" s="647" t="s">
        <v>69</v>
      </c>
      <c r="AE533" s="647"/>
      <c r="AF533" s="647">
        <f>VLOOKUP(A533,'Incrementare indexe'!$D:$Q,11,FALSE)</f>
        <v>89617</v>
      </c>
      <c r="AG533" s="647"/>
      <c r="AH533" s="647"/>
      <c r="AI533" s="647">
        <f>J535-J533+1</f>
        <v>31</v>
      </c>
      <c r="AJ533" s="647"/>
      <c r="AK533" s="647">
        <f>ROUND(AF533/AI533,2)</f>
        <v>2890.87</v>
      </c>
      <c r="AL533" s="647"/>
      <c r="AM533" s="647"/>
    </row>
    <row r="534" spans="1:39" ht="8.4499999999999993" customHeight="1">
      <c r="A534" s="727"/>
      <c r="B534" s="729"/>
      <c r="C534" s="729"/>
      <c r="D534" s="729"/>
      <c r="E534" s="729"/>
      <c r="F534" s="728"/>
      <c r="G534" s="648"/>
      <c r="H534" s="648"/>
      <c r="I534" s="673"/>
      <c r="J534" s="717" t="s">
        <v>69</v>
      </c>
      <c r="K534" s="718"/>
      <c r="L534" s="719"/>
      <c r="M534" s="720"/>
      <c r="N534" s="648"/>
      <c r="O534" s="648"/>
      <c r="P534" s="648"/>
      <c r="Q534" s="648"/>
      <c r="R534" s="647"/>
      <c r="S534" s="647"/>
      <c r="T534" s="647"/>
      <c r="U534" s="647"/>
      <c r="V534" s="647"/>
      <c r="W534" s="647"/>
      <c r="X534" s="647"/>
      <c r="Y534" s="647"/>
      <c r="Z534" s="647"/>
      <c r="AA534" s="647"/>
      <c r="AB534" s="647"/>
      <c r="AC534" s="647"/>
      <c r="AD534" s="647"/>
      <c r="AE534" s="647"/>
      <c r="AF534" s="647"/>
      <c r="AG534" s="647"/>
      <c r="AH534" s="647"/>
      <c r="AI534" s="647"/>
      <c r="AJ534" s="647"/>
      <c r="AK534" s="647"/>
      <c r="AL534" s="647"/>
      <c r="AM534" s="647"/>
    </row>
    <row r="535" spans="1:39" ht="14.1" customHeight="1">
      <c r="A535" s="687"/>
      <c r="B535" s="688"/>
      <c r="C535" s="688"/>
      <c r="D535" s="688"/>
      <c r="E535" s="688"/>
      <c r="F535" s="689"/>
      <c r="G535" s="648"/>
      <c r="H535" s="648"/>
      <c r="I535" s="673"/>
      <c r="J535" s="714">
        <f>'Date masura OD'!$J$5</f>
        <v>45808</v>
      </c>
      <c r="K535" s="715"/>
      <c r="L535" s="716"/>
      <c r="M535" s="720"/>
      <c r="N535" s="648"/>
      <c r="O535" s="648"/>
      <c r="P535" s="648"/>
      <c r="Q535" s="648"/>
      <c r="R535" s="647"/>
      <c r="S535" s="647"/>
      <c r="T535" s="647"/>
      <c r="U535" s="647"/>
      <c r="V535" s="647"/>
      <c r="W535" s="647"/>
      <c r="X535" s="647"/>
      <c r="Y535" s="647"/>
      <c r="Z535" s="647"/>
      <c r="AA535" s="647"/>
      <c r="AB535" s="647"/>
      <c r="AC535" s="647"/>
      <c r="AD535" s="647"/>
      <c r="AE535" s="647"/>
      <c r="AF535" s="647"/>
      <c r="AG535" s="647"/>
      <c r="AH535" s="647"/>
      <c r="AI535" s="647"/>
      <c r="AJ535" s="647"/>
      <c r="AK535" s="647"/>
      <c r="AL535" s="647"/>
      <c r="AM535" s="647"/>
    </row>
    <row r="536" spans="1:39" ht="14.1" customHeight="1">
      <c r="A536" s="684" t="str">
        <f>A533</f>
        <v>V.21G90290210104559/1</v>
      </c>
      <c r="B536" s="685"/>
      <c r="C536" s="685"/>
      <c r="D536" s="685"/>
      <c r="E536" s="685"/>
      <c r="F536" s="686"/>
      <c r="G536" s="648" t="s">
        <v>696</v>
      </c>
      <c r="H536" s="648"/>
      <c r="I536" s="648"/>
      <c r="J536" s="655">
        <f t="shared" ref="J536:J541" si="30">J533</f>
        <v>45778</v>
      </c>
      <c r="K536" s="656"/>
      <c r="L536" s="657"/>
      <c r="M536" s="648" t="s">
        <v>720</v>
      </c>
      <c r="N536" s="648"/>
      <c r="O536" s="648">
        <f>O533</f>
        <v>1</v>
      </c>
      <c r="P536" s="648"/>
      <c r="Q536" s="648"/>
      <c r="R536" s="647" t="str">
        <f>U527</f>
        <v>22697 (citit)</v>
      </c>
      <c r="S536" s="647"/>
      <c r="T536" s="647"/>
      <c r="U536" s="647" t="str">
        <f>VLOOKUP(A536,'Incrementare indexe'!$D:$M,8,FALSE)&amp;" (estimat)"</f>
        <v>22697 (estimat)</v>
      </c>
      <c r="V536" s="647"/>
      <c r="W536" s="647"/>
      <c r="X536" s="647" t="str">
        <f>VLOOKUP(A536,'Incrementare indexe'!$D:$Q,12,FALSE)&amp;" (estimat)"</f>
        <v>0 (estimat)</v>
      </c>
      <c r="Y536" s="647"/>
      <c r="Z536" s="647"/>
      <c r="AA536" s="647" t="s">
        <v>69</v>
      </c>
      <c r="AB536" s="647"/>
      <c r="AC536" s="647"/>
      <c r="AD536" s="647" t="s">
        <v>69</v>
      </c>
      <c r="AE536" s="647"/>
      <c r="AF536" s="647">
        <f>VLOOKUP(A536,'Incrementare indexe'!$D:$Q,12,FALSE)</f>
        <v>0</v>
      </c>
      <c r="AG536" s="647"/>
      <c r="AH536" s="647"/>
      <c r="AI536" s="647">
        <f>AI533</f>
        <v>31</v>
      </c>
      <c r="AJ536" s="647"/>
      <c r="AK536" s="647">
        <f>ROUND(AF536/AI536,2)</f>
        <v>0</v>
      </c>
      <c r="AL536" s="647"/>
      <c r="AM536" s="647"/>
    </row>
    <row r="537" spans="1:39" ht="8.4499999999999993" customHeight="1">
      <c r="A537" s="727"/>
      <c r="B537" s="729"/>
      <c r="C537" s="729"/>
      <c r="D537" s="729"/>
      <c r="E537" s="729"/>
      <c r="F537" s="728"/>
      <c r="G537" s="648"/>
      <c r="H537" s="648"/>
      <c r="I537" s="648"/>
      <c r="J537" s="717" t="str">
        <f t="shared" si="30"/>
        <v>-</v>
      </c>
      <c r="K537" s="718"/>
      <c r="L537" s="719"/>
      <c r="M537" s="648"/>
      <c r="N537" s="648"/>
      <c r="O537" s="648"/>
      <c r="P537" s="648"/>
      <c r="Q537" s="648"/>
      <c r="R537" s="647"/>
      <c r="S537" s="647"/>
      <c r="T537" s="647"/>
      <c r="U537" s="647"/>
      <c r="V537" s="647"/>
      <c r="W537" s="647"/>
      <c r="X537" s="647"/>
      <c r="Y537" s="647"/>
      <c r="Z537" s="647"/>
      <c r="AA537" s="647"/>
      <c r="AB537" s="647"/>
      <c r="AC537" s="647"/>
      <c r="AD537" s="647"/>
      <c r="AE537" s="647"/>
      <c r="AF537" s="647"/>
      <c r="AG537" s="647"/>
      <c r="AH537" s="647"/>
      <c r="AI537" s="647"/>
      <c r="AJ537" s="647"/>
      <c r="AK537" s="647"/>
      <c r="AL537" s="647"/>
      <c r="AM537" s="647"/>
    </row>
    <row r="538" spans="1:39" ht="14.1" customHeight="1">
      <c r="A538" s="687"/>
      <c r="B538" s="688"/>
      <c r="C538" s="688"/>
      <c r="D538" s="688"/>
      <c r="E538" s="688"/>
      <c r="F538" s="689"/>
      <c r="G538" s="648"/>
      <c r="H538" s="648"/>
      <c r="I538" s="648"/>
      <c r="J538" s="714">
        <f t="shared" si="30"/>
        <v>45808</v>
      </c>
      <c r="K538" s="715"/>
      <c r="L538" s="716"/>
      <c r="M538" s="648"/>
      <c r="N538" s="648"/>
      <c r="O538" s="648"/>
      <c r="P538" s="648"/>
      <c r="Q538" s="648"/>
      <c r="R538" s="647"/>
      <c r="S538" s="647"/>
      <c r="T538" s="647"/>
      <c r="U538" s="647"/>
      <c r="V538" s="647"/>
      <c r="W538" s="647"/>
      <c r="X538" s="647"/>
      <c r="Y538" s="647"/>
      <c r="Z538" s="647"/>
      <c r="AA538" s="647"/>
      <c r="AB538" s="647"/>
      <c r="AC538" s="647"/>
      <c r="AD538" s="647"/>
      <c r="AE538" s="647"/>
      <c r="AF538" s="647"/>
      <c r="AG538" s="647"/>
      <c r="AH538" s="647"/>
      <c r="AI538" s="647"/>
      <c r="AJ538" s="647"/>
      <c r="AK538" s="647"/>
      <c r="AL538" s="647"/>
      <c r="AM538" s="647"/>
    </row>
    <row r="539" spans="1:39" ht="14.1" customHeight="1">
      <c r="A539" s="684" t="str">
        <f>A536</f>
        <v>V.21G90290210104559/1</v>
      </c>
      <c r="B539" s="685"/>
      <c r="C539" s="685"/>
      <c r="D539" s="685"/>
      <c r="E539" s="685"/>
      <c r="F539" s="686"/>
      <c r="G539" s="648" t="s">
        <v>731</v>
      </c>
      <c r="H539" s="648"/>
      <c r="I539" s="648"/>
      <c r="J539" s="655">
        <f t="shared" si="30"/>
        <v>45778</v>
      </c>
      <c r="K539" s="656"/>
      <c r="L539" s="657"/>
      <c r="M539" s="648" t="s">
        <v>720</v>
      </c>
      <c r="N539" s="648"/>
      <c r="O539" s="648">
        <f>O536</f>
        <v>1</v>
      </c>
      <c r="P539" s="648"/>
      <c r="Q539" s="648"/>
      <c r="R539" s="647" t="str">
        <f>U530</f>
        <v>244 (citit)</v>
      </c>
      <c r="S539" s="647"/>
      <c r="T539" s="647"/>
      <c r="U539" s="647" t="str">
        <f>VLOOKUP(A539,'Incrementare indexe'!$D:$M,10,FALSE)&amp;" (estimat)"</f>
        <v>244 (estimat)</v>
      </c>
      <c r="V539" s="647"/>
      <c r="W539" s="647"/>
      <c r="X539" s="647" t="str">
        <f>VLOOKUP(A539,'Incrementare indexe'!$D:$Q,13,FALSE)&amp;" (estimat)"</f>
        <v>0 (estimat)</v>
      </c>
      <c r="Y539" s="647"/>
      <c r="Z539" s="647"/>
      <c r="AA539" s="647" t="s">
        <v>69</v>
      </c>
      <c r="AB539" s="647"/>
      <c r="AC539" s="647"/>
      <c r="AD539" s="647" t="s">
        <v>69</v>
      </c>
      <c r="AE539" s="647"/>
      <c r="AF539" s="647">
        <f>VLOOKUP(A539,'Incrementare indexe'!$D:$Q,13,FALSE)</f>
        <v>0</v>
      </c>
      <c r="AG539" s="647"/>
      <c r="AH539" s="647"/>
      <c r="AI539" s="647">
        <f>AI536</f>
        <v>31</v>
      </c>
      <c r="AJ539" s="647"/>
      <c r="AK539" s="647">
        <f>ROUND(AF539/AI539,2)</f>
        <v>0</v>
      </c>
      <c r="AL539" s="647"/>
      <c r="AM539" s="647"/>
    </row>
    <row r="540" spans="1:39" ht="8.4499999999999993" customHeight="1">
      <c r="A540" s="727"/>
      <c r="B540" s="729"/>
      <c r="C540" s="729"/>
      <c r="D540" s="729"/>
      <c r="E540" s="729"/>
      <c r="F540" s="728"/>
      <c r="G540" s="648"/>
      <c r="H540" s="648"/>
      <c r="I540" s="648"/>
      <c r="J540" s="717" t="str">
        <f t="shared" si="30"/>
        <v>-</v>
      </c>
      <c r="K540" s="718"/>
      <c r="L540" s="719"/>
      <c r="M540" s="648"/>
      <c r="N540" s="648"/>
      <c r="O540" s="648"/>
      <c r="P540" s="648"/>
      <c r="Q540" s="648"/>
      <c r="R540" s="647"/>
      <c r="S540" s="647"/>
      <c r="T540" s="647"/>
      <c r="U540" s="647"/>
      <c r="V540" s="647"/>
      <c r="W540" s="647"/>
      <c r="X540" s="647"/>
      <c r="Y540" s="647"/>
      <c r="Z540" s="647"/>
      <c r="AA540" s="647"/>
      <c r="AB540" s="647"/>
      <c r="AC540" s="647"/>
      <c r="AD540" s="647"/>
      <c r="AE540" s="647"/>
      <c r="AF540" s="647"/>
      <c r="AG540" s="647"/>
      <c r="AH540" s="647"/>
      <c r="AI540" s="647"/>
      <c r="AJ540" s="647"/>
      <c r="AK540" s="647"/>
      <c r="AL540" s="647"/>
      <c r="AM540" s="647"/>
    </row>
    <row r="541" spans="1:39" ht="14.1" customHeight="1">
      <c r="A541" s="687"/>
      <c r="B541" s="688"/>
      <c r="C541" s="688"/>
      <c r="D541" s="688"/>
      <c r="E541" s="688"/>
      <c r="F541" s="689"/>
      <c r="G541" s="648"/>
      <c r="H541" s="648"/>
      <c r="I541" s="648"/>
      <c r="J541" s="714">
        <f t="shared" si="30"/>
        <v>45808</v>
      </c>
      <c r="K541" s="715"/>
      <c r="L541" s="716"/>
      <c r="M541" s="648"/>
      <c r="N541" s="648"/>
      <c r="O541" s="648"/>
      <c r="P541" s="648"/>
      <c r="Q541" s="648"/>
      <c r="R541" s="647"/>
      <c r="S541" s="647"/>
      <c r="T541" s="647"/>
      <c r="U541" s="647"/>
      <c r="V541" s="647"/>
      <c r="W541" s="647"/>
      <c r="X541" s="647"/>
      <c r="Y541" s="647"/>
      <c r="Z541" s="647"/>
      <c r="AA541" s="647"/>
      <c r="AB541" s="647"/>
      <c r="AC541" s="647"/>
      <c r="AD541" s="647"/>
      <c r="AE541" s="647"/>
      <c r="AF541" s="647"/>
      <c r="AG541" s="647"/>
      <c r="AH541" s="647"/>
      <c r="AI541" s="647"/>
      <c r="AJ541" s="647"/>
      <c r="AK541" s="647"/>
      <c r="AL541" s="647"/>
      <c r="AM541" s="647"/>
    </row>
    <row r="542" spans="1:39" ht="14.1" customHeight="1"/>
    <row r="543" spans="1:39" ht="14.1" customHeight="1"/>
    <row r="544" spans="1:39" ht="14.1" customHeight="1"/>
    <row r="545" spans="1:39" ht="14.1" customHeight="1"/>
    <row r="546" spans="1:39" ht="14.1" customHeight="1"/>
    <row r="547" spans="1:39" ht="14.1" customHeight="1"/>
    <row r="548" spans="1:39" ht="14.1" customHeight="1"/>
    <row r="549" spans="1:39" ht="14.1" customHeight="1"/>
    <row r="550" spans="1:39" ht="14.1" customHeight="1"/>
    <row r="551" spans="1:39" ht="14.1" customHeight="1"/>
    <row r="552" spans="1:39" ht="14.1" customHeight="1"/>
    <row r="553" spans="1:39" ht="14.1" customHeight="1"/>
    <row r="554" spans="1:39" ht="14.1" customHeight="1"/>
    <row r="555" spans="1:39" ht="14.1" customHeight="1"/>
    <row r="556" spans="1:39" ht="14.1" customHeight="1"/>
    <row r="557" spans="1:39">
      <c r="A557" s="649" t="s">
        <v>748</v>
      </c>
      <c r="B557" s="649"/>
      <c r="C557" s="649"/>
      <c r="D557" s="649"/>
      <c r="E557" s="649"/>
      <c r="F557" s="649"/>
      <c r="G557" s="649"/>
      <c r="H557" s="649"/>
      <c r="I557" s="649"/>
      <c r="J557" s="649"/>
      <c r="K557" s="649"/>
      <c r="L557" s="649"/>
      <c r="M557" s="650" t="str">
        <f>VLOOKUP(AI558,'Contorizare in SDI'!$E:$I,4,FALSE)</f>
        <v>RO001E110105365/2</v>
      </c>
      <c r="N557" s="650"/>
      <c r="O557" s="650"/>
      <c r="P557" s="650"/>
      <c r="Q557" s="650"/>
      <c r="R557" s="650"/>
      <c r="S557" s="650"/>
      <c r="T557" s="650"/>
      <c r="U557" s="650"/>
      <c r="V557" s="650"/>
      <c r="W557" s="650"/>
      <c r="X557" s="650"/>
      <c r="Y557" s="650"/>
      <c r="Z557" s="650"/>
      <c r="AA557" s="650"/>
      <c r="AB557" s="650"/>
      <c r="AC557" s="650"/>
      <c r="AD557" s="650"/>
      <c r="AE557" s="650"/>
      <c r="AF557" s="650"/>
      <c r="AG557" s="650"/>
      <c r="AH557" s="650"/>
      <c r="AI557" s="650" t="s">
        <v>695</v>
      </c>
      <c r="AJ557" s="650"/>
      <c r="AK557" s="650"/>
      <c r="AL557" s="650"/>
      <c r="AM557" s="650"/>
    </row>
    <row r="558" spans="1:39">
      <c r="A558" s="649" t="s">
        <v>746</v>
      </c>
      <c r="B558" s="649"/>
      <c r="C558" s="649"/>
      <c r="D558" s="649"/>
      <c r="E558" s="649"/>
      <c r="F558" s="649"/>
      <c r="G558" s="649"/>
      <c r="H558" s="649"/>
      <c r="I558" s="649"/>
      <c r="J558" s="649"/>
      <c r="K558" s="649"/>
      <c r="L558" s="649"/>
      <c r="M558" s="650" t="str">
        <f>VLOOKUP(AI558,'Inchidere contur'!$G:$U,15,FALSE)</f>
        <v>JT_SDI</v>
      </c>
      <c r="N558" s="650"/>
      <c r="O558" s="650"/>
      <c r="P558" s="650"/>
      <c r="Q558" s="650"/>
      <c r="R558" s="650"/>
      <c r="S558" s="650"/>
      <c r="T558" s="650"/>
      <c r="U558" s="650"/>
      <c r="V558" s="650"/>
      <c r="W558" s="650"/>
      <c r="X558" s="650"/>
      <c r="Y558" s="650"/>
      <c r="Z558" s="650"/>
      <c r="AA558" s="650"/>
      <c r="AB558" s="650"/>
      <c r="AC558" s="650"/>
      <c r="AD558" s="650"/>
      <c r="AE558" s="650"/>
      <c r="AF558" s="650"/>
      <c r="AG558" s="650"/>
      <c r="AH558" s="650"/>
      <c r="AI558" s="619" t="str">
        <f>_xlfn.CONCAT($AA$506,".",2)</f>
        <v>RMEG_3.2</v>
      </c>
      <c r="AJ558" s="619"/>
      <c r="AK558" s="619"/>
      <c r="AL558" s="619"/>
      <c r="AM558" s="619"/>
    </row>
    <row r="559" spans="1:39">
      <c r="A559" s="649" t="s">
        <v>747</v>
      </c>
      <c r="B559" s="649"/>
      <c r="C559" s="649"/>
      <c r="D559" s="649"/>
      <c r="E559" s="649"/>
      <c r="F559" s="649"/>
      <c r="G559" s="649"/>
      <c r="H559" s="649"/>
      <c r="I559" s="649"/>
      <c r="J559" s="649"/>
      <c r="K559" s="649"/>
      <c r="L559" s="649"/>
      <c r="M559" s="650" t="str">
        <f>IF(LEFT(M558,2)="JT","0.4kV",IF(LEFT(M558,2)="MT","20kV","-"))</f>
        <v>0.4kV</v>
      </c>
      <c r="N559" s="650"/>
      <c r="O559" s="650"/>
      <c r="P559" s="650"/>
      <c r="Q559" s="650"/>
      <c r="R559" s="650"/>
      <c r="S559" s="650"/>
      <c r="T559" s="650"/>
      <c r="U559" s="650"/>
      <c r="V559" s="650"/>
      <c r="W559" s="650"/>
      <c r="X559" s="650"/>
      <c r="Y559" s="650"/>
      <c r="Z559" s="650"/>
      <c r="AA559" s="650"/>
      <c r="AB559" s="650"/>
      <c r="AC559" s="650"/>
      <c r="AD559" s="650"/>
      <c r="AE559" s="650"/>
      <c r="AF559" s="650"/>
      <c r="AG559" s="650"/>
      <c r="AH559" s="650"/>
      <c r="AI559" s="619"/>
      <c r="AJ559" s="619"/>
      <c r="AK559" s="619"/>
      <c r="AL559" s="619"/>
      <c r="AM559" s="619"/>
    </row>
    <row r="560" spans="1:39" ht="15.95" customHeight="1">
      <c r="A560" s="648" t="s">
        <v>697</v>
      </c>
      <c r="B560" s="648"/>
      <c r="C560" s="648"/>
      <c r="D560" s="648"/>
      <c r="E560" s="648"/>
      <c r="F560" s="648"/>
      <c r="G560" s="647" t="s">
        <v>713</v>
      </c>
      <c r="H560" s="647"/>
      <c r="I560" s="647"/>
      <c r="J560" s="647" t="s">
        <v>714</v>
      </c>
      <c r="K560" s="647"/>
      <c r="L560" s="647"/>
      <c r="M560" s="648" t="s">
        <v>519</v>
      </c>
      <c r="N560" s="648"/>
      <c r="O560" s="648" t="s">
        <v>715</v>
      </c>
      <c r="P560" s="648"/>
      <c r="Q560" s="648"/>
      <c r="R560" s="647" t="s">
        <v>732</v>
      </c>
      <c r="S560" s="647"/>
      <c r="T560" s="647"/>
      <c r="U560" s="647" t="s">
        <v>734</v>
      </c>
      <c r="V560" s="647"/>
      <c r="W560" s="647"/>
      <c r="X560" s="647" t="s">
        <v>1085</v>
      </c>
      <c r="Y560" s="647"/>
      <c r="Z560" s="647"/>
      <c r="AA560" s="647" t="s">
        <v>1086</v>
      </c>
      <c r="AB560" s="647"/>
      <c r="AC560" s="647"/>
      <c r="AD560" s="647" t="s">
        <v>717</v>
      </c>
      <c r="AE560" s="647"/>
      <c r="AF560" s="647" t="s">
        <v>718</v>
      </c>
      <c r="AG560" s="647"/>
      <c r="AH560" s="647"/>
      <c r="AI560" s="647" t="s">
        <v>719</v>
      </c>
      <c r="AJ560" s="647"/>
      <c r="AK560" s="647" t="s">
        <v>733</v>
      </c>
      <c r="AL560" s="647"/>
      <c r="AM560" s="647"/>
    </row>
    <row r="561" spans="1:39">
      <c r="A561" s="648"/>
      <c r="B561" s="648"/>
      <c r="C561" s="648"/>
      <c r="D561" s="648"/>
      <c r="E561" s="648"/>
      <c r="F561" s="648"/>
      <c r="G561" s="647"/>
      <c r="H561" s="647"/>
      <c r="I561" s="647"/>
      <c r="J561" s="647"/>
      <c r="K561" s="647"/>
      <c r="L561" s="647"/>
      <c r="M561" s="648"/>
      <c r="N561" s="648"/>
      <c r="O561" s="648"/>
      <c r="P561" s="648"/>
      <c r="Q561" s="648"/>
      <c r="R561" s="647"/>
      <c r="S561" s="647"/>
      <c r="T561" s="647"/>
      <c r="U561" s="647"/>
      <c r="V561" s="647"/>
      <c r="W561" s="647"/>
      <c r="X561" s="647"/>
      <c r="Y561" s="647"/>
      <c r="Z561" s="647"/>
      <c r="AA561" s="647"/>
      <c r="AB561" s="647"/>
      <c r="AC561" s="647"/>
      <c r="AD561" s="647"/>
      <c r="AE561" s="647"/>
      <c r="AF561" s="647"/>
      <c r="AG561" s="647"/>
      <c r="AH561" s="647"/>
      <c r="AI561" s="647"/>
      <c r="AJ561" s="647"/>
      <c r="AK561" s="647"/>
      <c r="AL561" s="647"/>
      <c r="AM561" s="647"/>
    </row>
    <row r="562" spans="1:39">
      <c r="A562" s="648"/>
      <c r="B562" s="648"/>
      <c r="C562" s="648"/>
      <c r="D562" s="648"/>
      <c r="E562" s="648"/>
      <c r="F562" s="648"/>
      <c r="G562" s="647"/>
      <c r="H562" s="647"/>
      <c r="I562" s="647"/>
      <c r="J562" s="713"/>
      <c r="K562" s="713"/>
      <c r="L562" s="713"/>
      <c r="M562" s="648"/>
      <c r="N562" s="648"/>
      <c r="O562" s="648"/>
      <c r="P562" s="648"/>
      <c r="Q562" s="648"/>
      <c r="R562" s="647"/>
      <c r="S562" s="647"/>
      <c r="T562" s="647"/>
      <c r="U562" s="647"/>
      <c r="V562" s="647"/>
      <c r="W562" s="647"/>
      <c r="X562" s="647"/>
      <c r="Y562" s="647"/>
      <c r="Z562" s="647"/>
      <c r="AA562" s="647"/>
      <c r="AB562" s="647"/>
      <c r="AC562" s="647"/>
      <c r="AD562" s="647"/>
      <c r="AE562" s="647"/>
      <c r="AF562" s="647"/>
      <c r="AG562" s="647"/>
      <c r="AH562" s="647"/>
      <c r="AI562" s="647"/>
      <c r="AJ562" s="647"/>
      <c r="AK562" s="647"/>
      <c r="AL562" s="647"/>
      <c r="AM562" s="647"/>
    </row>
    <row r="563" spans="1:39" ht="14.1" customHeight="1">
      <c r="A563" s="684" t="str">
        <f>VLOOKUP(AI558,'Contorizare in SDI'!$E:$I,5,FALSE)</f>
        <v>V.21G90290210104559/2</v>
      </c>
      <c r="B563" s="685"/>
      <c r="C563" s="685"/>
      <c r="D563" s="685"/>
      <c r="E563" s="685"/>
      <c r="F563" s="686"/>
      <c r="G563" s="648" t="s">
        <v>730</v>
      </c>
      <c r="H563" s="648"/>
      <c r="I563" s="673"/>
      <c r="J563" s="655">
        <f>'Date masura OD'!$AK$5</f>
        <v>45748</v>
      </c>
      <c r="K563" s="656"/>
      <c r="L563" s="657"/>
      <c r="M563" s="720" t="s">
        <v>446</v>
      </c>
      <c r="N563" s="648"/>
      <c r="O563" s="648">
        <f>VLOOKUP(AI558,'Incrementare indexe'!$B:$T,4,FALSE)</f>
        <v>1</v>
      </c>
      <c r="P563" s="648"/>
      <c r="Q563" s="648"/>
      <c r="R563" s="647" t="str">
        <f>VLOOKUP(A563,Regularizare!$D:$YN,3,FALSE)&amp;" ("&amp;VLOOKUP(A563,Regularizare!$D:$Y,11,FALSE)&amp;")"</f>
        <v>1123343 (citit)</v>
      </c>
      <c r="S563" s="647"/>
      <c r="T563" s="647"/>
      <c r="U563" s="647" t="str">
        <f>VLOOKUP(A563,Regularizare!$D:$U,4,FALSE)&amp;" ("&amp;VLOOKUP(A563,Regularizare!$D:$U,12,FALSE)&amp;")"</f>
        <v>1207780 (estimat)</v>
      </c>
      <c r="V563" s="647"/>
      <c r="W563" s="647"/>
      <c r="X563" s="647" t="str">
        <f>VLOOKUP(A563,Regularizare!$D:$Y,19,FALSE)&amp;" ("&amp;VLOOKUP(A563,Regularizare!$D:$U,12,FALSE)&amp;")"</f>
        <v>84437 (estimat)</v>
      </c>
      <c r="Y563" s="647"/>
      <c r="Z563" s="647"/>
      <c r="AA563" s="647">
        <f>(-1)*VLOOKUP(A563,Regularizare!$D:$Y,19,FALSE)</f>
        <v>-84437</v>
      </c>
      <c r="AB563" s="647"/>
      <c r="AC563" s="647"/>
      <c r="AD563" s="647" t="s">
        <v>69</v>
      </c>
      <c r="AE563" s="647"/>
      <c r="AF563" s="647">
        <f>AA563</f>
        <v>-84437</v>
      </c>
      <c r="AG563" s="647"/>
      <c r="AH563" s="647"/>
      <c r="AI563" s="647" t="s">
        <v>69</v>
      </c>
      <c r="AJ563" s="647"/>
      <c r="AK563" s="647" t="s">
        <v>69</v>
      </c>
      <c r="AL563" s="647"/>
      <c r="AM563" s="647"/>
    </row>
    <row r="564" spans="1:39" ht="9.75" customHeight="1">
      <c r="A564" s="727"/>
      <c r="B564" s="729"/>
      <c r="C564" s="729"/>
      <c r="D564" s="729"/>
      <c r="E564" s="729"/>
      <c r="F564" s="728"/>
      <c r="G564" s="648"/>
      <c r="H564" s="648"/>
      <c r="I564" s="673"/>
      <c r="J564" s="717" t="s">
        <v>69</v>
      </c>
      <c r="K564" s="718"/>
      <c r="L564" s="719"/>
      <c r="M564" s="720"/>
      <c r="N564" s="648"/>
      <c r="O564" s="648"/>
      <c r="P564" s="648"/>
      <c r="Q564" s="648"/>
      <c r="R564" s="647"/>
      <c r="S564" s="647"/>
      <c r="T564" s="647"/>
      <c r="U564" s="647"/>
      <c r="V564" s="647"/>
      <c r="W564" s="647"/>
      <c r="X564" s="647"/>
      <c r="Y564" s="647"/>
      <c r="Z564" s="647"/>
      <c r="AA564" s="647"/>
      <c r="AB564" s="647"/>
      <c r="AC564" s="647"/>
      <c r="AD564" s="647"/>
      <c r="AE564" s="647"/>
      <c r="AF564" s="647"/>
      <c r="AG564" s="647"/>
      <c r="AH564" s="647"/>
      <c r="AI564" s="647"/>
      <c r="AJ564" s="647"/>
      <c r="AK564" s="647"/>
      <c r="AL564" s="647"/>
      <c r="AM564" s="647"/>
    </row>
    <row r="565" spans="1:39" ht="14.1" customHeight="1">
      <c r="A565" s="687"/>
      <c r="B565" s="688"/>
      <c r="C565" s="688"/>
      <c r="D565" s="688"/>
      <c r="E565" s="688"/>
      <c r="F565" s="689"/>
      <c r="G565" s="648"/>
      <c r="H565" s="648"/>
      <c r="I565" s="673"/>
      <c r="J565" s="714">
        <f>'Date masura OD'!$AL$5</f>
        <v>45777</v>
      </c>
      <c r="K565" s="715"/>
      <c r="L565" s="716"/>
      <c r="M565" s="720"/>
      <c r="N565" s="648"/>
      <c r="O565" s="648"/>
      <c r="P565" s="648"/>
      <c r="Q565" s="648"/>
      <c r="R565" s="647"/>
      <c r="S565" s="647"/>
      <c r="T565" s="647"/>
      <c r="U565" s="647"/>
      <c r="V565" s="647"/>
      <c r="W565" s="647"/>
      <c r="X565" s="647"/>
      <c r="Y565" s="647"/>
      <c r="Z565" s="647"/>
      <c r="AA565" s="647"/>
      <c r="AB565" s="647"/>
      <c r="AC565" s="647"/>
      <c r="AD565" s="647"/>
      <c r="AE565" s="647"/>
      <c r="AF565" s="647"/>
      <c r="AG565" s="647"/>
      <c r="AH565" s="647"/>
      <c r="AI565" s="647"/>
      <c r="AJ565" s="647"/>
      <c r="AK565" s="647"/>
      <c r="AL565" s="647"/>
      <c r="AM565" s="647"/>
    </row>
    <row r="566" spans="1:39" ht="14.1" customHeight="1">
      <c r="A566" s="684" t="str">
        <f>A563</f>
        <v>V.21G90290210104559/2</v>
      </c>
      <c r="B566" s="685"/>
      <c r="C566" s="685"/>
      <c r="D566" s="685"/>
      <c r="E566" s="685"/>
      <c r="F566" s="686"/>
      <c r="G566" s="648" t="s">
        <v>696</v>
      </c>
      <c r="H566" s="648"/>
      <c r="I566" s="648"/>
      <c r="J566" s="655">
        <f t="shared" ref="J566:J571" si="31">J563</f>
        <v>45748</v>
      </c>
      <c r="K566" s="656"/>
      <c r="L566" s="657"/>
      <c r="M566" s="648" t="s">
        <v>720</v>
      </c>
      <c r="N566" s="648"/>
      <c r="O566" s="648">
        <f>O563</f>
        <v>1</v>
      </c>
      <c r="P566" s="648"/>
      <c r="Q566" s="648"/>
      <c r="R566" s="647" t="str">
        <f>VLOOKUP(A566,Regularizare!$D:$U,7,FALSE)&amp;" ("&amp;VLOOKUP(A566,Regularizare!$D:$U,15,FALSE)&amp;")"</f>
        <v>22697 (citit)</v>
      </c>
      <c r="S566" s="647"/>
      <c r="T566" s="647"/>
      <c r="U566" s="647" t="str">
        <f>VLOOKUP(A566,Regularizare!$D:$U,8,FALSE)&amp;" ("&amp;VLOOKUP(A566,Regularizare!$D:$U,16,FALSE)&amp;")"</f>
        <v>22697 (estimat)</v>
      </c>
      <c r="V566" s="647"/>
      <c r="W566" s="647"/>
      <c r="X566" s="647" t="str">
        <f>_xlfn.CONCAT(VLOOKUP(A566,Regularizare!$D:$U,8,FALSE)-VLOOKUP(A566,Regularizare!$D:$U,7,FALSE)," (",VLOOKUP(A566,Regularizare!$D:$U,16,FALSE),")")</f>
        <v>0 (estimat)</v>
      </c>
      <c r="Y566" s="647"/>
      <c r="Z566" s="647"/>
      <c r="AA566" s="647">
        <f>IF(VLOOKUP(A566,Regularizare!$D:$Y,21,FALSE)=0,VLOOKUP(A566,Regularizare!$D:$Y,21,FALSE),(-1)*VLOOKUP(A566,Regularizare!$D:$Y,21,FALSE))</f>
        <v>0</v>
      </c>
      <c r="AB566" s="647"/>
      <c r="AC566" s="647"/>
      <c r="AD566" s="647" t="s">
        <v>69</v>
      </c>
      <c r="AE566" s="647"/>
      <c r="AF566" s="647">
        <f>AA566</f>
        <v>0</v>
      </c>
      <c r="AG566" s="647"/>
      <c r="AH566" s="647"/>
      <c r="AI566" s="647" t="str">
        <f>AI563</f>
        <v>-</v>
      </c>
      <c r="AJ566" s="647"/>
      <c r="AK566" s="647" t="str">
        <f>AK563</f>
        <v>-</v>
      </c>
      <c r="AL566" s="647"/>
      <c r="AM566" s="647"/>
    </row>
    <row r="567" spans="1:39" ht="8.4499999999999993" customHeight="1">
      <c r="A567" s="727"/>
      <c r="B567" s="729"/>
      <c r="C567" s="729"/>
      <c r="D567" s="729"/>
      <c r="E567" s="729"/>
      <c r="F567" s="728"/>
      <c r="G567" s="648"/>
      <c r="H567" s="648"/>
      <c r="I567" s="648"/>
      <c r="J567" s="717" t="str">
        <f t="shared" si="31"/>
        <v>-</v>
      </c>
      <c r="K567" s="718"/>
      <c r="L567" s="719"/>
      <c r="M567" s="648"/>
      <c r="N567" s="648"/>
      <c r="O567" s="648"/>
      <c r="P567" s="648"/>
      <c r="Q567" s="648"/>
      <c r="R567" s="647"/>
      <c r="S567" s="647"/>
      <c r="T567" s="647"/>
      <c r="U567" s="647"/>
      <c r="V567" s="647"/>
      <c r="W567" s="647"/>
      <c r="X567" s="647"/>
      <c r="Y567" s="647"/>
      <c r="Z567" s="647"/>
      <c r="AA567" s="647"/>
      <c r="AB567" s="647"/>
      <c r="AC567" s="647"/>
      <c r="AD567" s="647"/>
      <c r="AE567" s="647"/>
      <c r="AF567" s="647"/>
      <c r="AG567" s="647"/>
      <c r="AH567" s="647"/>
      <c r="AI567" s="647"/>
      <c r="AJ567" s="647"/>
      <c r="AK567" s="647"/>
      <c r="AL567" s="647"/>
      <c r="AM567" s="647"/>
    </row>
    <row r="568" spans="1:39" ht="14.1" customHeight="1">
      <c r="A568" s="687"/>
      <c r="B568" s="688"/>
      <c r="C568" s="688"/>
      <c r="D568" s="688"/>
      <c r="E568" s="688"/>
      <c r="F568" s="689"/>
      <c r="G568" s="648"/>
      <c r="H568" s="648"/>
      <c r="I568" s="648"/>
      <c r="J568" s="714">
        <f t="shared" si="31"/>
        <v>45777</v>
      </c>
      <c r="K568" s="715"/>
      <c r="L568" s="716"/>
      <c r="M568" s="648"/>
      <c r="N568" s="648"/>
      <c r="O568" s="648"/>
      <c r="P568" s="648"/>
      <c r="Q568" s="648"/>
      <c r="R568" s="647"/>
      <c r="S568" s="647"/>
      <c r="T568" s="647"/>
      <c r="U568" s="647"/>
      <c r="V568" s="647"/>
      <c r="W568" s="647"/>
      <c r="X568" s="647"/>
      <c r="Y568" s="647"/>
      <c r="Z568" s="647"/>
      <c r="AA568" s="647"/>
      <c r="AB568" s="647"/>
      <c r="AC568" s="647"/>
      <c r="AD568" s="647"/>
      <c r="AE568" s="647"/>
      <c r="AF568" s="647"/>
      <c r="AG568" s="647"/>
      <c r="AH568" s="647"/>
      <c r="AI568" s="647"/>
      <c r="AJ568" s="647"/>
      <c r="AK568" s="647"/>
      <c r="AL568" s="647"/>
      <c r="AM568" s="647"/>
    </row>
    <row r="569" spans="1:39" ht="14.1" customHeight="1">
      <c r="A569" s="684" t="str">
        <f>A566</f>
        <v>V.21G90290210104559/2</v>
      </c>
      <c r="B569" s="685"/>
      <c r="C569" s="685"/>
      <c r="D569" s="685"/>
      <c r="E569" s="685"/>
      <c r="F569" s="686"/>
      <c r="G569" s="648" t="s">
        <v>731</v>
      </c>
      <c r="H569" s="648"/>
      <c r="I569" s="648"/>
      <c r="J569" s="655">
        <f t="shared" si="31"/>
        <v>45748</v>
      </c>
      <c r="K569" s="656"/>
      <c r="L569" s="657"/>
      <c r="M569" s="648" t="s">
        <v>720</v>
      </c>
      <c r="N569" s="648"/>
      <c r="O569" s="648">
        <f>O566</f>
        <v>1</v>
      </c>
      <c r="P569" s="648"/>
      <c r="Q569" s="648"/>
      <c r="R569" s="647" t="str">
        <f>VLOOKUP(A569,Regularizare!$D:$U,9,FALSE)&amp;" ("&amp;VLOOKUP(A569,Regularizare!$D:$U,17,FALSE)&amp;")"</f>
        <v>244 (citit)</v>
      </c>
      <c r="S569" s="647"/>
      <c r="T569" s="647"/>
      <c r="U569" s="647" t="str">
        <f>VLOOKUP(A569,Regularizare!$D:$U,10,FALSE)&amp;" ("&amp;VLOOKUP(A569,Regularizare!$D:$U,18,FALSE)&amp;")"</f>
        <v>244 (estimat)</v>
      </c>
      <c r="V569" s="647"/>
      <c r="W569" s="647"/>
      <c r="X569" s="647" t="str">
        <f>_xlfn.CONCAT(VLOOKUP(A569,Regularizare!$D:$U,10,FALSE)-VLOOKUP(A569,Regularizare!$D:$U,9,FALSE)," (",VLOOKUP(A569,Regularizare!$D:$U,18,FALSE),")")</f>
        <v>0 (estimat)</v>
      </c>
      <c r="Y569" s="647"/>
      <c r="Z569" s="647"/>
      <c r="AA569" s="647">
        <f>IF(VLOOKUP(A569,Regularizare!$D:$Y,22,FALSE)=0,VLOOKUP(A569,Regularizare!$D:$Y,22,FALSE),(-1)*VLOOKUP(A569,Regularizare!$D:$Y,22,FALSE))</f>
        <v>0</v>
      </c>
      <c r="AB569" s="647"/>
      <c r="AC569" s="647"/>
      <c r="AD569" s="647" t="s">
        <v>69</v>
      </c>
      <c r="AE569" s="647"/>
      <c r="AF569" s="647">
        <f>AA569</f>
        <v>0</v>
      </c>
      <c r="AG569" s="647"/>
      <c r="AH569" s="647"/>
      <c r="AI569" s="647" t="str">
        <f>AI566</f>
        <v>-</v>
      </c>
      <c r="AJ569" s="647"/>
      <c r="AK569" s="647" t="str">
        <f>AK566</f>
        <v>-</v>
      </c>
      <c r="AL569" s="647"/>
      <c r="AM569" s="647"/>
    </row>
    <row r="570" spans="1:39" ht="8.4499999999999993" customHeight="1">
      <c r="A570" s="727"/>
      <c r="B570" s="729"/>
      <c r="C570" s="729"/>
      <c r="D570" s="729"/>
      <c r="E570" s="729"/>
      <c r="F570" s="728"/>
      <c r="G570" s="648"/>
      <c r="H570" s="648"/>
      <c r="I570" s="648"/>
      <c r="J570" s="717" t="str">
        <f t="shared" si="31"/>
        <v>-</v>
      </c>
      <c r="K570" s="718"/>
      <c r="L570" s="719"/>
      <c r="M570" s="648"/>
      <c r="N570" s="648"/>
      <c r="O570" s="648"/>
      <c r="P570" s="648"/>
      <c r="Q570" s="648"/>
      <c r="R570" s="647"/>
      <c r="S570" s="647"/>
      <c r="T570" s="647"/>
      <c r="U570" s="647"/>
      <c r="V570" s="647"/>
      <c r="W570" s="647"/>
      <c r="X570" s="647"/>
      <c r="Y570" s="647"/>
      <c r="Z570" s="647"/>
      <c r="AA570" s="647"/>
      <c r="AB570" s="647"/>
      <c r="AC570" s="647"/>
      <c r="AD570" s="647"/>
      <c r="AE570" s="647"/>
      <c r="AF570" s="647"/>
      <c r="AG570" s="647"/>
      <c r="AH570" s="647"/>
      <c r="AI570" s="647"/>
      <c r="AJ570" s="647"/>
      <c r="AK570" s="647"/>
      <c r="AL570" s="647"/>
      <c r="AM570" s="647"/>
    </row>
    <row r="571" spans="1:39" ht="14.1" customHeight="1">
      <c r="A571" s="687"/>
      <c r="B571" s="688"/>
      <c r="C571" s="688"/>
      <c r="D571" s="688"/>
      <c r="E571" s="688"/>
      <c r="F571" s="689"/>
      <c r="G571" s="648"/>
      <c r="H571" s="648"/>
      <c r="I571" s="648"/>
      <c r="J571" s="714">
        <f t="shared" si="31"/>
        <v>45777</v>
      </c>
      <c r="K571" s="715"/>
      <c r="L571" s="716"/>
      <c r="M571" s="648"/>
      <c r="N571" s="648"/>
      <c r="O571" s="648"/>
      <c r="P571" s="648"/>
      <c r="Q571" s="648"/>
      <c r="R571" s="647"/>
      <c r="S571" s="647"/>
      <c r="T571" s="647"/>
      <c r="U571" s="647"/>
      <c r="V571" s="647"/>
      <c r="W571" s="647"/>
      <c r="X571" s="647"/>
      <c r="Y571" s="647"/>
      <c r="Z571" s="647"/>
      <c r="AA571" s="647"/>
      <c r="AB571" s="647"/>
      <c r="AC571" s="647"/>
      <c r="AD571" s="647"/>
      <c r="AE571" s="647"/>
      <c r="AF571" s="647"/>
      <c r="AG571" s="647"/>
      <c r="AH571" s="647"/>
      <c r="AI571" s="647"/>
      <c r="AJ571" s="647"/>
      <c r="AK571" s="647"/>
      <c r="AL571" s="647"/>
      <c r="AM571" s="647"/>
    </row>
    <row r="572" spans="1:39" ht="14.1" customHeight="1">
      <c r="A572" s="684" t="str">
        <f>A569</f>
        <v>V.21G90290210104559/2</v>
      </c>
      <c r="B572" s="685"/>
      <c r="C572" s="685"/>
      <c r="D572" s="685"/>
      <c r="E572" s="685"/>
      <c r="F572" s="686"/>
      <c r="G572" s="648" t="s">
        <v>730</v>
      </c>
      <c r="H572" s="648"/>
      <c r="I572" s="673"/>
      <c r="J572" s="655">
        <f>'Date masura OD'!$AK$5</f>
        <v>45748</v>
      </c>
      <c r="K572" s="656"/>
      <c r="L572" s="657"/>
      <c r="M572" s="720" t="s">
        <v>446</v>
      </c>
      <c r="N572" s="648"/>
      <c r="O572" s="648">
        <f>O569</f>
        <v>1</v>
      </c>
      <c r="P572" s="648"/>
      <c r="Q572" s="648"/>
      <c r="R572" s="647" t="str">
        <f>VLOOKUP(A572,Regularizare!$D:$AX,23,FALSE)&amp;" ("&amp;VLOOKUP(A572,Regularizare!$D:$AX,24,FALSE)&amp;")"</f>
        <v>1123343 (citit)</v>
      </c>
      <c r="S572" s="647"/>
      <c r="T572" s="647"/>
      <c r="U572" s="647" t="str">
        <f>VLOOKUP(A572,Regularizare!$D:$AX,25,FALSE)&amp;" ("&amp;VLOOKUP(A572,Regularizare!$D:$AX,26,FALSE)&amp;")"</f>
        <v>1207780 (citit)</v>
      </c>
      <c r="V572" s="647"/>
      <c r="W572" s="647"/>
      <c r="X572" s="647" t="str">
        <f>VLOOKUP(A572,Regularizare!$D:$AX,37,FALSE)&amp;" ("&amp;VLOOKUP(A572,Regularizare!$D:$AX,26,FALSE)&amp;")"</f>
        <v>84437 (citit)</v>
      </c>
      <c r="Y572" s="647"/>
      <c r="Z572" s="647"/>
      <c r="AA572" s="647">
        <f>VLOOKUP(A572,Regularizare!$D:$AX,37,FALSE)</f>
        <v>84437</v>
      </c>
      <c r="AB572" s="647"/>
      <c r="AC572" s="647"/>
      <c r="AD572" s="647" t="s">
        <v>69</v>
      </c>
      <c r="AE572" s="647"/>
      <c r="AF572" s="647">
        <f>AA572</f>
        <v>84437</v>
      </c>
      <c r="AG572" s="647"/>
      <c r="AH572" s="647"/>
      <c r="AI572" s="647" t="str">
        <f>AI569</f>
        <v>-</v>
      </c>
      <c r="AJ572" s="647"/>
      <c r="AK572" s="647" t="str">
        <f>AK569</f>
        <v>-</v>
      </c>
      <c r="AL572" s="647"/>
      <c r="AM572" s="647"/>
    </row>
    <row r="573" spans="1:39" ht="8.4499999999999993" customHeight="1">
      <c r="A573" s="727"/>
      <c r="B573" s="729"/>
      <c r="C573" s="729"/>
      <c r="D573" s="729"/>
      <c r="E573" s="729"/>
      <c r="F573" s="728"/>
      <c r="G573" s="648"/>
      <c r="H573" s="648"/>
      <c r="I573" s="673"/>
      <c r="J573" s="717" t="s">
        <v>69</v>
      </c>
      <c r="K573" s="718"/>
      <c r="L573" s="719"/>
      <c r="M573" s="720"/>
      <c r="N573" s="648"/>
      <c r="O573" s="648"/>
      <c r="P573" s="648"/>
      <c r="Q573" s="648"/>
      <c r="R573" s="647"/>
      <c r="S573" s="647"/>
      <c r="T573" s="647"/>
      <c r="U573" s="647"/>
      <c r="V573" s="647"/>
      <c r="W573" s="647"/>
      <c r="X573" s="647"/>
      <c r="Y573" s="647"/>
      <c r="Z573" s="647"/>
      <c r="AA573" s="647"/>
      <c r="AB573" s="647"/>
      <c r="AC573" s="647"/>
      <c r="AD573" s="647"/>
      <c r="AE573" s="647"/>
      <c r="AF573" s="647"/>
      <c r="AG573" s="647"/>
      <c r="AH573" s="647"/>
      <c r="AI573" s="647"/>
      <c r="AJ573" s="647"/>
      <c r="AK573" s="647"/>
      <c r="AL573" s="647"/>
      <c r="AM573" s="647"/>
    </row>
    <row r="574" spans="1:39" ht="14.1" customHeight="1">
      <c r="A574" s="687"/>
      <c r="B574" s="688"/>
      <c r="C574" s="688"/>
      <c r="D574" s="688"/>
      <c r="E574" s="688"/>
      <c r="F574" s="689"/>
      <c r="G574" s="648"/>
      <c r="H574" s="648"/>
      <c r="I574" s="673"/>
      <c r="J574" s="714">
        <f>'Date masura OD'!$AL$5</f>
        <v>45777</v>
      </c>
      <c r="K574" s="715"/>
      <c r="L574" s="716"/>
      <c r="M574" s="720"/>
      <c r="N574" s="648"/>
      <c r="O574" s="648"/>
      <c r="P574" s="648"/>
      <c r="Q574" s="648"/>
      <c r="R574" s="647"/>
      <c r="S574" s="647"/>
      <c r="T574" s="647"/>
      <c r="U574" s="647"/>
      <c r="V574" s="647"/>
      <c r="W574" s="647"/>
      <c r="X574" s="647"/>
      <c r="Y574" s="647"/>
      <c r="Z574" s="647"/>
      <c r="AA574" s="647"/>
      <c r="AB574" s="647"/>
      <c r="AC574" s="647"/>
      <c r="AD574" s="647"/>
      <c r="AE574" s="647"/>
      <c r="AF574" s="647"/>
      <c r="AG574" s="647"/>
      <c r="AH574" s="647"/>
      <c r="AI574" s="647"/>
      <c r="AJ574" s="647"/>
      <c r="AK574" s="647"/>
      <c r="AL574" s="647"/>
      <c r="AM574" s="647"/>
    </row>
    <row r="575" spans="1:39" ht="14.1" customHeight="1">
      <c r="A575" s="684" t="str">
        <f>A572</f>
        <v>V.21G90290210104559/2</v>
      </c>
      <c r="B575" s="685"/>
      <c r="C575" s="685"/>
      <c r="D575" s="685"/>
      <c r="E575" s="685"/>
      <c r="F575" s="686"/>
      <c r="G575" s="648" t="s">
        <v>696</v>
      </c>
      <c r="H575" s="648"/>
      <c r="I575" s="648"/>
      <c r="J575" s="655">
        <f t="shared" ref="J575:J580" si="32">J572</f>
        <v>45748</v>
      </c>
      <c r="K575" s="656"/>
      <c r="L575" s="657"/>
      <c r="M575" s="648" t="s">
        <v>720</v>
      </c>
      <c r="N575" s="648"/>
      <c r="O575" s="648">
        <f>O572</f>
        <v>1</v>
      </c>
      <c r="P575" s="648"/>
      <c r="Q575" s="648"/>
      <c r="R575" s="647" t="str">
        <f>VLOOKUP(A575,Regularizare!$D:$AX,29,FALSE)&amp;" ("&amp;VLOOKUP(A575,Regularizare!$D:$AX,30,FALSE)&amp;")"</f>
        <v>22697 (citit)</v>
      </c>
      <c r="S575" s="647"/>
      <c r="T575" s="647"/>
      <c r="U575" s="647" t="str">
        <f>VLOOKUP(A575,Regularizare!$D:$AX,31,FALSE)&amp;" ("&amp;VLOOKUP(A575,Regularizare!$D:$AX,32,FALSE)&amp;")"</f>
        <v>22697 (citit)</v>
      </c>
      <c r="V575" s="647"/>
      <c r="W575" s="647"/>
      <c r="X575" s="647" t="str">
        <f>VLOOKUP(A575,Regularizare!$D:$AX,39,FALSE)&amp;" ("&amp;VLOOKUP(A575,Regularizare!$D:$AX,32,FALSE)&amp;")"</f>
        <v>0 (citit)</v>
      </c>
      <c r="Y575" s="647"/>
      <c r="Z575" s="647"/>
      <c r="AA575" s="647">
        <f>VLOOKUP(A575,Regularizare!$D:$AX,44,FALSE)+VLOOKUP(A575,Regularizare!$D:$AX,45,FALSE)</f>
        <v>0</v>
      </c>
      <c r="AB575" s="647"/>
      <c r="AC575" s="647"/>
      <c r="AD575" s="647" t="s">
        <v>69</v>
      </c>
      <c r="AE575" s="647"/>
      <c r="AF575" s="647">
        <f>AA575</f>
        <v>0</v>
      </c>
      <c r="AG575" s="647"/>
      <c r="AH575" s="647"/>
      <c r="AI575" s="647" t="str">
        <f>AI572</f>
        <v>-</v>
      </c>
      <c r="AJ575" s="647"/>
      <c r="AK575" s="647" t="str">
        <f>AK572</f>
        <v>-</v>
      </c>
      <c r="AL575" s="647"/>
      <c r="AM575" s="647"/>
    </row>
    <row r="576" spans="1:39" ht="8.4499999999999993" customHeight="1">
      <c r="A576" s="727"/>
      <c r="B576" s="729"/>
      <c r="C576" s="729"/>
      <c r="D576" s="729"/>
      <c r="E576" s="729"/>
      <c r="F576" s="728"/>
      <c r="G576" s="648"/>
      <c r="H576" s="648"/>
      <c r="I576" s="648"/>
      <c r="J576" s="717" t="str">
        <f t="shared" si="32"/>
        <v>-</v>
      </c>
      <c r="K576" s="718"/>
      <c r="L576" s="719"/>
      <c r="M576" s="648"/>
      <c r="N576" s="648"/>
      <c r="O576" s="648"/>
      <c r="P576" s="648"/>
      <c r="Q576" s="648"/>
      <c r="R576" s="647"/>
      <c r="S576" s="647"/>
      <c r="T576" s="647"/>
      <c r="U576" s="647"/>
      <c r="V576" s="647"/>
      <c r="W576" s="647"/>
      <c r="X576" s="647"/>
      <c r="Y576" s="647"/>
      <c r="Z576" s="647"/>
      <c r="AA576" s="647"/>
      <c r="AB576" s="647"/>
      <c r="AC576" s="647"/>
      <c r="AD576" s="647"/>
      <c r="AE576" s="647"/>
      <c r="AF576" s="647"/>
      <c r="AG576" s="647"/>
      <c r="AH576" s="647"/>
      <c r="AI576" s="647"/>
      <c r="AJ576" s="647"/>
      <c r="AK576" s="647"/>
      <c r="AL576" s="647"/>
      <c r="AM576" s="647"/>
    </row>
    <row r="577" spans="1:39" ht="14.1" customHeight="1">
      <c r="A577" s="687"/>
      <c r="B577" s="688"/>
      <c r="C577" s="688"/>
      <c r="D577" s="688"/>
      <c r="E577" s="688"/>
      <c r="F577" s="689"/>
      <c r="G577" s="648"/>
      <c r="H577" s="648"/>
      <c r="I577" s="648"/>
      <c r="J577" s="714">
        <f t="shared" si="32"/>
        <v>45777</v>
      </c>
      <c r="K577" s="715"/>
      <c r="L577" s="716"/>
      <c r="M577" s="648"/>
      <c r="N577" s="648"/>
      <c r="O577" s="648"/>
      <c r="P577" s="648"/>
      <c r="Q577" s="648"/>
      <c r="R577" s="647"/>
      <c r="S577" s="647"/>
      <c r="T577" s="647"/>
      <c r="U577" s="647"/>
      <c r="V577" s="647"/>
      <c r="W577" s="647"/>
      <c r="X577" s="647"/>
      <c r="Y577" s="647"/>
      <c r="Z577" s="647"/>
      <c r="AA577" s="647"/>
      <c r="AB577" s="647"/>
      <c r="AC577" s="647"/>
      <c r="AD577" s="647"/>
      <c r="AE577" s="647"/>
      <c r="AF577" s="647"/>
      <c r="AG577" s="647"/>
      <c r="AH577" s="647"/>
      <c r="AI577" s="647"/>
      <c r="AJ577" s="647"/>
      <c r="AK577" s="647"/>
      <c r="AL577" s="647"/>
      <c r="AM577" s="647"/>
    </row>
    <row r="578" spans="1:39" ht="14.1" customHeight="1">
      <c r="A578" s="684" t="str">
        <f>A575</f>
        <v>V.21G90290210104559/2</v>
      </c>
      <c r="B578" s="685"/>
      <c r="C578" s="685"/>
      <c r="D578" s="685"/>
      <c r="E578" s="685"/>
      <c r="F578" s="686"/>
      <c r="G578" s="648" t="s">
        <v>731</v>
      </c>
      <c r="H578" s="648"/>
      <c r="I578" s="648"/>
      <c r="J578" s="655">
        <f t="shared" si="32"/>
        <v>45748</v>
      </c>
      <c r="K578" s="656"/>
      <c r="L578" s="657"/>
      <c r="M578" s="648" t="s">
        <v>720</v>
      </c>
      <c r="N578" s="648"/>
      <c r="O578" s="648">
        <f>O575</f>
        <v>1</v>
      </c>
      <c r="P578" s="648"/>
      <c r="Q578" s="648"/>
      <c r="R578" s="647" t="str">
        <f>VLOOKUP(A578,Regularizare!$D:$AX,33,FALSE)&amp;" ("&amp;VLOOKUP(A578,Regularizare!$D:$AX,34,FALSE)&amp;")"</f>
        <v>244 (citit)</v>
      </c>
      <c r="S578" s="647"/>
      <c r="T578" s="647"/>
      <c r="U578" s="647" t="str">
        <f>VLOOKUP(A578,Regularizare!$D:$AX,35,FALSE)&amp;" ("&amp;VLOOKUP(A578,Regularizare!$D:$AX,36,FALSE)&amp;")"</f>
        <v>244 (citit)</v>
      </c>
      <c r="V578" s="647"/>
      <c r="W578" s="647"/>
      <c r="X578" s="647" t="str">
        <f>VLOOKUP(A578,Regularizare!$D:$AX,40,FALSE)&amp;" ("&amp;VLOOKUP(A578,Regularizare!$D:$AX,36,FALSE)&amp;")"</f>
        <v>0 (citit)</v>
      </c>
      <c r="Y578" s="647"/>
      <c r="Z578" s="647"/>
      <c r="AA578" s="647">
        <f>VLOOKUP(A578,Regularizare!$D:$AX,46,FALSE)+VLOOKUP(A578,Regularizare!$D:$AX,47,FALSE)</f>
        <v>0</v>
      </c>
      <c r="AB578" s="647"/>
      <c r="AC578" s="647"/>
      <c r="AD578" s="647" t="s">
        <v>69</v>
      </c>
      <c r="AE578" s="647"/>
      <c r="AF578" s="647">
        <f>AA578</f>
        <v>0</v>
      </c>
      <c r="AG578" s="647"/>
      <c r="AH578" s="647"/>
      <c r="AI578" s="647" t="str">
        <f>AI575</f>
        <v>-</v>
      </c>
      <c r="AJ578" s="647"/>
      <c r="AK578" s="647" t="str">
        <f>AK575</f>
        <v>-</v>
      </c>
      <c r="AL578" s="647"/>
      <c r="AM578" s="647"/>
    </row>
    <row r="579" spans="1:39" ht="8.4499999999999993" customHeight="1">
      <c r="A579" s="727"/>
      <c r="B579" s="729"/>
      <c r="C579" s="729"/>
      <c r="D579" s="729"/>
      <c r="E579" s="729"/>
      <c r="F579" s="728"/>
      <c r="G579" s="648"/>
      <c r="H579" s="648"/>
      <c r="I579" s="648"/>
      <c r="J579" s="717" t="str">
        <f t="shared" si="32"/>
        <v>-</v>
      </c>
      <c r="K579" s="718"/>
      <c r="L579" s="719"/>
      <c r="M579" s="648"/>
      <c r="N579" s="648"/>
      <c r="O579" s="648"/>
      <c r="P579" s="648"/>
      <c r="Q579" s="648"/>
      <c r="R579" s="647"/>
      <c r="S579" s="647"/>
      <c r="T579" s="647"/>
      <c r="U579" s="647"/>
      <c r="V579" s="647"/>
      <c r="W579" s="647"/>
      <c r="X579" s="647"/>
      <c r="Y579" s="647"/>
      <c r="Z579" s="647"/>
      <c r="AA579" s="647"/>
      <c r="AB579" s="647"/>
      <c r="AC579" s="647"/>
      <c r="AD579" s="647"/>
      <c r="AE579" s="647"/>
      <c r="AF579" s="647"/>
      <c r="AG579" s="647"/>
      <c r="AH579" s="647"/>
      <c r="AI579" s="647"/>
      <c r="AJ579" s="647"/>
      <c r="AK579" s="647"/>
      <c r="AL579" s="647"/>
      <c r="AM579" s="647"/>
    </row>
    <row r="580" spans="1:39" ht="14.1" customHeight="1">
      <c r="A580" s="687"/>
      <c r="B580" s="688"/>
      <c r="C580" s="688"/>
      <c r="D580" s="688"/>
      <c r="E580" s="688"/>
      <c r="F580" s="689"/>
      <c r="G580" s="648"/>
      <c r="H580" s="648"/>
      <c r="I580" s="648"/>
      <c r="J580" s="714">
        <f t="shared" si="32"/>
        <v>45777</v>
      </c>
      <c r="K580" s="715"/>
      <c r="L580" s="716"/>
      <c r="M580" s="648"/>
      <c r="N580" s="648"/>
      <c r="O580" s="648"/>
      <c r="P580" s="648"/>
      <c r="Q580" s="648"/>
      <c r="R580" s="647"/>
      <c r="S580" s="647"/>
      <c r="T580" s="647"/>
      <c r="U580" s="647"/>
      <c r="V580" s="647"/>
      <c r="W580" s="647"/>
      <c r="X580" s="647"/>
      <c r="Y580" s="647"/>
      <c r="Z580" s="647"/>
      <c r="AA580" s="647"/>
      <c r="AB580" s="647"/>
      <c r="AC580" s="647"/>
      <c r="AD580" s="647"/>
      <c r="AE580" s="647"/>
      <c r="AF580" s="647"/>
      <c r="AG580" s="647"/>
      <c r="AH580" s="647"/>
      <c r="AI580" s="647"/>
      <c r="AJ580" s="647"/>
      <c r="AK580" s="647"/>
      <c r="AL580" s="647"/>
      <c r="AM580" s="647"/>
    </row>
    <row r="581" spans="1:39" ht="14.1" customHeight="1">
      <c r="A581" s="684" t="str">
        <f>A578</f>
        <v>V.21G90290210104559/2</v>
      </c>
      <c r="B581" s="685"/>
      <c r="C581" s="685"/>
      <c r="D581" s="685"/>
      <c r="E581" s="685"/>
      <c r="F581" s="686"/>
      <c r="G581" s="648" t="s">
        <v>730</v>
      </c>
      <c r="H581" s="648"/>
      <c r="I581" s="673"/>
      <c r="J581" s="655">
        <f>'Date masura OD'!$I$5</f>
        <v>45778</v>
      </c>
      <c r="K581" s="656"/>
      <c r="L581" s="657"/>
      <c r="M581" s="720" t="s">
        <v>446</v>
      </c>
      <c r="N581" s="648"/>
      <c r="O581" s="648">
        <f>O578</f>
        <v>1</v>
      </c>
      <c r="P581" s="648"/>
      <c r="Q581" s="648"/>
      <c r="R581" s="647" t="str">
        <f>U572</f>
        <v>1207780 (citit)</v>
      </c>
      <c r="S581" s="647"/>
      <c r="T581" s="647"/>
      <c r="U581" s="647" t="str">
        <f>VLOOKUP(A581,'Incrementare indexe'!$D:$M,4,FALSE)&amp;" (estimat)"</f>
        <v>1297397 (estimat)</v>
      </c>
      <c r="V581" s="647"/>
      <c r="W581" s="647"/>
      <c r="X581" s="647" t="str">
        <f>VLOOKUP(A581,'Incrementare indexe'!$D:$Q,11,FALSE)&amp;" (estimat)"</f>
        <v>89617 (estimat)</v>
      </c>
      <c r="Y581" s="647"/>
      <c r="Z581" s="647"/>
      <c r="AA581" s="647" t="s">
        <v>69</v>
      </c>
      <c r="AB581" s="647"/>
      <c r="AC581" s="647"/>
      <c r="AD581" s="647" t="s">
        <v>69</v>
      </c>
      <c r="AE581" s="647"/>
      <c r="AF581" s="647">
        <f>VLOOKUP(A581,'Incrementare indexe'!$D:$Q,11,FALSE)</f>
        <v>89617</v>
      </c>
      <c r="AG581" s="647"/>
      <c r="AH581" s="647"/>
      <c r="AI581" s="647">
        <f>J583-J581+1</f>
        <v>31</v>
      </c>
      <c r="AJ581" s="647"/>
      <c r="AK581" s="647">
        <f>ROUND(AF581/AI581,2)</f>
        <v>2890.87</v>
      </c>
      <c r="AL581" s="647"/>
      <c r="AM581" s="647"/>
    </row>
    <row r="582" spans="1:39" ht="8.4499999999999993" customHeight="1">
      <c r="A582" s="727"/>
      <c r="B582" s="729"/>
      <c r="C582" s="729"/>
      <c r="D582" s="729"/>
      <c r="E582" s="729"/>
      <c r="F582" s="728"/>
      <c r="G582" s="648"/>
      <c r="H582" s="648"/>
      <c r="I582" s="673"/>
      <c r="J582" s="717" t="s">
        <v>69</v>
      </c>
      <c r="K582" s="718"/>
      <c r="L582" s="719"/>
      <c r="M582" s="720"/>
      <c r="N582" s="648"/>
      <c r="O582" s="648"/>
      <c r="P582" s="648"/>
      <c r="Q582" s="648"/>
      <c r="R582" s="647"/>
      <c r="S582" s="647"/>
      <c r="T582" s="647"/>
      <c r="U582" s="647"/>
      <c r="V582" s="647"/>
      <c r="W582" s="647"/>
      <c r="X582" s="647"/>
      <c r="Y582" s="647"/>
      <c r="Z582" s="647"/>
      <c r="AA582" s="647"/>
      <c r="AB582" s="647"/>
      <c r="AC582" s="647"/>
      <c r="AD582" s="647"/>
      <c r="AE582" s="647"/>
      <c r="AF582" s="647"/>
      <c r="AG582" s="647"/>
      <c r="AH582" s="647"/>
      <c r="AI582" s="647"/>
      <c r="AJ582" s="647"/>
      <c r="AK582" s="647"/>
      <c r="AL582" s="647"/>
      <c r="AM582" s="647"/>
    </row>
    <row r="583" spans="1:39" ht="14.1" customHeight="1">
      <c r="A583" s="687"/>
      <c r="B583" s="688"/>
      <c r="C583" s="688"/>
      <c r="D583" s="688"/>
      <c r="E583" s="688"/>
      <c r="F583" s="689"/>
      <c r="G583" s="648"/>
      <c r="H583" s="648"/>
      <c r="I583" s="673"/>
      <c r="J583" s="714">
        <f>'Date masura OD'!$J$5</f>
        <v>45808</v>
      </c>
      <c r="K583" s="715"/>
      <c r="L583" s="716"/>
      <c r="M583" s="720"/>
      <c r="N583" s="648"/>
      <c r="O583" s="648"/>
      <c r="P583" s="648"/>
      <c r="Q583" s="648"/>
      <c r="R583" s="647"/>
      <c r="S583" s="647"/>
      <c r="T583" s="647"/>
      <c r="U583" s="647"/>
      <c r="V583" s="647"/>
      <c r="W583" s="647"/>
      <c r="X583" s="647"/>
      <c r="Y583" s="647"/>
      <c r="Z583" s="647"/>
      <c r="AA583" s="647"/>
      <c r="AB583" s="647"/>
      <c r="AC583" s="647"/>
      <c r="AD583" s="647"/>
      <c r="AE583" s="647"/>
      <c r="AF583" s="647"/>
      <c r="AG583" s="647"/>
      <c r="AH583" s="647"/>
      <c r="AI583" s="647"/>
      <c r="AJ583" s="647"/>
      <c r="AK583" s="647"/>
      <c r="AL583" s="647"/>
      <c r="AM583" s="647"/>
    </row>
    <row r="584" spans="1:39" ht="14.1" customHeight="1">
      <c r="A584" s="684" t="str">
        <f>A581</f>
        <v>V.21G90290210104559/2</v>
      </c>
      <c r="B584" s="685"/>
      <c r="C584" s="685"/>
      <c r="D584" s="685"/>
      <c r="E584" s="685"/>
      <c r="F584" s="686"/>
      <c r="G584" s="648" t="s">
        <v>696</v>
      </c>
      <c r="H584" s="648"/>
      <c r="I584" s="648"/>
      <c r="J584" s="655">
        <f t="shared" ref="J584:J589" si="33">J581</f>
        <v>45778</v>
      </c>
      <c r="K584" s="656"/>
      <c r="L584" s="657"/>
      <c r="M584" s="648" t="s">
        <v>720</v>
      </c>
      <c r="N584" s="648"/>
      <c r="O584" s="648">
        <f>O581</f>
        <v>1</v>
      </c>
      <c r="P584" s="648"/>
      <c r="Q584" s="648"/>
      <c r="R584" s="647" t="str">
        <f>U575</f>
        <v>22697 (citit)</v>
      </c>
      <c r="S584" s="647"/>
      <c r="T584" s="647"/>
      <c r="U584" s="647" t="str">
        <f>VLOOKUP(A584,'Incrementare indexe'!$D:$M,8,FALSE)&amp;" (estimat)"</f>
        <v>22697 (estimat)</v>
      </c>
      <c r="V584" s="647"/>
      <c r="W584" s="647"/>
      <c r="X584" s="647" t="str">
        <f>VLOOKUP(A584,'Incrementare indexe'!$D:$Q,12,FALSE)&amp;" (estimat)"</f>
        <v>0 (estimat)</v>
      </c>
      <c r="Y584" s="647"/>
      <c r="Z584" s="647"/>
      <c r="AA584" s="647" t="s">
        <v>69</v>
      </c>
      <c r="AB584" s="647"/>
      <c r="AC584" s="647"/>
      <c r="AD584" s="647" t="s">
        <v>69</v>
      </c>
      <c r="AE584" s="647"/>
      <c r="AF584" s="647">
        <f>VLOOKUP(A584,'Incrementare indexe'!$D:$Q,12,FALSE)</f>
        <v>0</v>
      </c>
      <c r="AG584" s="647"/>
      <c r="AH584" s="647"/>
      <c r="AI584" s="647">
        <f>AI581</f>
        <v>31</v>
      </c>
      <c r="AJ584" s="647"/>
      <c r="AK584" s="647">
        <f>ROUND(AF584/AI584,2)</f>
        <v>0</v>
      </c>
      <c r="AL584" s="647"/>
      <c r="AM584" s="647"/>
    </row>
    <row r="585" spans="1:39" ht="8.4499999999999993" customHeight="1">
      <c r="A585" s="727"/>
      <c r="B585" s="729"/>
      <c r="C585" s="729"/>
      <c r="D585" s="729"/>
      <c r="E585" s="729"/>
      <c r="F585" s="728"/>
      <c r="G585" s="648"/>
      <c r="H585" s="648"/>
      <c r="I585" s="648"/>
      <c r="J585" s="717" t="str">
        <f t="shared" si="33"/>
        <v>-</v>
      </c>
      <c r="K585" s="718"/>
      <c r="L585" s="719"/>
      <c r="M585" s="648"/>
      <c r="N585" s="648"/>
      <c r="O585" s="648"/>
      <c r="P585" s="648"/>
      <c r="Q585" s="648"/>
      <c r="R585" s="647"/>
      <c r="S585" s="647"/>
      <c r="T585" s="647"/>
      <c r="U585" s="647"/>
      <c r="V585" s="647"/>
      <c r="W585" s="647"/>
      <c r="X585" s="647"/>
      <c r="Y585" s="647"/>
      <c r="Z585" s="647"/>
      <c r="AA585" s="647"/>
      <c r="AB585" s="647"/>
      <c r="AC585" s="647"/>
      <c r="AD585" s="647"/>
      <c r="AE585" s="647"/>
      <c r="AF585" s="647"/>
      <c r="AG585" s="647"/>
      <c r="AH585" s="647"/>
      <c r="AI585" s="647"/>
      <c r="AJ585" s="647"/>
      <c r="AK585" s="647"/>
      <c r="AL585" s="647"/>
      <c r="AM585" s="647"/>
    </row>
    <row r="586" spans="1:39" ht="14.1" customHeight="1">
      <c r="A586" s="687"/>
      <c r="B586" s="688"/>
      <c r="C586" s="688"/>
      <c r="D586" s="688"/>
      <c r="E586" s="688"/>
      <c r="F586" s="689"/>
      <c r="G586" s="648"/>
      <c r="H586" s="648"/>
      <c r="I586" s="648"/>
      <c r="J586" s="714">
        <f t="shared" si="33"/>
        <v>45808</v>
      </c>
      <c r="K586" s="715"/>
      <c r="L586" s="716"/>
      <c r="M586" s="648"/>
      <c r="N586" s="648"/>
      <c r="O586" s="648"/>
      <c r="P586" s="648"/>
      <c r="Q586" s="648"/>
      <c r="R586" s="647"/>
      <c r="S586" s="647"/>
      <c r="T586" s="647"/>
      <c r="U586" s="647"/>
      <c r="V586" s="647"/>
      <c r="W586" s="647"/>
      <c r="X586" s="647"/>
      <c r="Y586" s="647"/>
      <c r="Z586" s="647"/>
      <c r="AA586" s="647"/>
      <c r="AB586" s="647"/>
      <c r="AC586" s="647"/>
      <c r="AD586" s="647"/>
      <c r="AE586" s="647"/>
      <c r="AF586" s="647"/>
      <c r="AG586" s="647"/>
      <c r="AH586" s="647"/>
      <c r="AI586" s="647"/>
      <c r="AJ586" s="647"/>
      <c r="AK586" s="647"/>
      <c r="AL586" s="647"/>
      <c r="AM586" s="647"/>
    </row>
    <row r="587" spans="1:39" ht="14.1" customHeight="1">
      <c r="A587" s="684" t="str">
        <f>A584</f>
        <v>V.21G90290210104559/2</v>
      </c>
      <c r="B587" s="685"/>
      <c r="C587" s="685"/>
      <c r="D587" s="685"/>
      <c r="E587" s="685"/>
      <c r="F587" s="686"/>
      <c r="G587" s="648" t="s">
        <v>731</v>
      </c>
      <c r="H587" s="648"/>
      <c r="I587" s="648"/>
      <c r="J587" s="655">
        <f t="shared" si="33"/>
        <v>45778</v>
      </c>
      <c r="K587" s="656"/>
      <c r="L587" s="657"/>
      <c r="M587" s="648" t="s">
        <v>720</v>
      </c>
      <c r="N587" s="648"/>
      <c r="O587" s="648">
        <f>O584</f>
        <v>1</v>
      </c>
      <c r="P587" s="648"/>
      <c r="Q587" s="648"/>
      <c r="R587" s="647" t="str">
        <f>U578</f>
        <v>244 (citit)</v>
      </c>
      <c r="S587" s="647"/>
      <c r="T587" s="647"/>
      <c r="U587" s="647" t="str">
        <f>VLOOKUP(A587,'Incrementare indexe'!$D:$M,10,FALSE)&amp;" (estimat)"</f>
        <v>244 (estimat)</v>
      </c>
      <c r="V587" s="647"/>
      <c r="W587" s="647"/>
      <c r="X587" s="647" t="str">
        <f>VLOOKUP(A587,'Incrementare indexe'!$D:$Q,13,FALSE)&amp;" (estimat)"</f>
        <v>0 (estimat)</v>
      </c>
      <c r="Y587" s="647"/>
      <c r="Z587" s="647"/>
      <c r="AA587" s="647" t="s">
        <v>69</v>
      </c>
      <c r="AB587" s="647"/>
      <c r="AC587" s="647"/>
      <c r="AD587" s="647" t="s">
        <v>69</v>
      </c>
      <c r="AE587" s="647"/>
      <c r="AF587" s="647">
        <f>VLOOKUP(A587,'Incrementare indexe'!$D:$Q,13,FALSE)</f>
        <v>0</v>
      </c>
      <c r="AG587" s="647"/>
      <c r="AH587" s="647"/>
      <c r="AI587" s="647">
        <f>AI584</f>
        <v>31</v>
      </c>
      <c r="AJ587" s="647"/>
      <c r="AK587" s="647">
        <f>ROUND(AF587/AI587,2)</f>
        <v>0</v>
      </c>
      <c r="AL587" s="647"/>
      <c r="AM587" s="647"/>
    </row>
    <row r="588" spans="1:39" ht="8.4499999999999993" customHeight="1">
      <c r="A588" s="727"/>
      <c r="B588" s="729"/>
      <c r="C588" s="729"/>
      <c r="D588" s="729"/>
      <c r="E588" s="729"/>
      <c r="F588" s="728"/>
      <c r="G588" s="648"/>
      <c r="H588" s="648"/>
      <c r="I588" s="648"/>
      <c r="J588" s="717" t="str">
        <f t="shared" si="33"/>
        <v>-</v>
      </c>
      <c r="K588" s="718"/>
      <c r="L588" s="719"/>
      <c r="M588" s="648"/>
      <c r="N588" s="648"/>
      <c r="O588" s="648"/>
      <c r="P588" s="648"/>
      <c r="Q588" s="648"/>
      <c r="R588" s="647"/>
      <c r="S588" s="647"/>
      <c r="T588" s="647"/>
      <c r="U588" s="647"/>
      <c r="V588" s="647"/>
      <c r="W588" s="647"/>
      <c r="X588" s="647"/>
      <c r="Y588" s="647"/>
      <c r="Z588" s="647"/>
      <c r="AA588" s="647"/>
      <c r="AB588" s="647"/>
      <c r="AC588" s="647"/>
      <c r="AD588" s="647"/>
      <c r="AE588" s="647"/>
      <c r="AF588" s="647"/>
      <c r="AG588" s="647"/>
      <c r="AH588" s="647"/>
      <c r="AI588" s="647"/>
      <c r="AJ588" s="647"/>
      <c r="AK588" s="647"/>
      <c r="AL588" s="647"/>
      <c r="AM588" s="647"/>
    </row>
    <row r="589" spans="1:39" ht="14.1" customHeight="1">
      <c r="A589" s="687"/>
      <c r="B589" s="688"/>
      <c r="C589" s="688"/>
      <c r="D589" s="688"/>
      <c r="E589" s="688"/>
      <c r="F589" s="689"/>
      <c r="G589" s="648"/>
      <c r="H589" s="648"/>
      <c r="I589" s="648"/>
      <c r="J589" s="714">
        <f t="shared" si="33"/>
        <v>45808</v>
      </c>
      <c r="K589" s="715"/>
      <c r="L589" s="716"/>
      <c r="M589" s="648"/>
      <c r="N589" s="648"/>
      <c r="O589" s="648"/>
      <c r="P589" s="648"/>
      <c r="Q589" s="648"/>
      <c r="R589" s="647"/>
      <c r="S589" s="647"/>
      <c r="T589" s="647"/>
      <c r="U589" s="647"/>
      <c r="V589" s="647"/>
      <c r="W589" s="647"/>
      <c r="X589" s="647"/>
      <c r="Y589" s="647"/>
      <c r="Z589" s="647"/>
      <c r="AA589" s="647"/>
      <c r="AB589" s="647"/>
      <c r="AC589" s="647"/>
      <c r="AD589" s="647"/>
      <c r="AE589" s="647"/>
      <c r="AF589" s="647"/>
      <c r="AG589" s="647"/>
      <c r="AH589" s="647"/>
      <c r="AI589" s="647"/>
      <c r="AJ589" s="647"/>
      <c r="AK589" s="647"/>
      <c r="AL589" s="647"/>
      <c r="AM589" s="647"/>
    </row>
    <row r="590" spans="1:39" ht="14.1" customHeight="1"/>
    <row r="591" spans="1:39" ht="14.1" customHeight="1"/>
    <row r="592" spans="1:39" ht="14.1" customHeight="1"/>
    <row r="593" ht="14.1" customHeight="1"/>
    <row r="594" ht="14.1" customHeight="1"/>
    <row r="595" ht="14.1" customHeight="1"/>
    <row r="596" ht="14.1" customHeight="1"/>
    <row r="597" ht="14.1" customHeight="1"/>
    <row r="598" ht="14.1" customHeight="1"/>
    <row r="599" ht="14.1" customHeight="1"/>
    <row r="600" ht="14.1" customHeight="1"/>
    <row r="601" ht="14.1" customHeight="1"/>
    <row r="602" ht="14.1" customHeight="1"/>
    <row r="603" ht="14.1" customHeight="1"/>
    <row r="604" ht="14.1" customHeight="1"/>
    <row r="605" ht="14.1" customHeight="1"/>
    <row r="606" ht="14.1" customHeight="1"/>
    <row r="607" ht="14.1" customHeight="1"/>
    <row r="608" ht="14.1" customHeight="1"/>
    <row r="609" spans="1:39" ht="14.1" customHeight="1"/>
    <row r="610" spans="1:39">
      <c r="A610" s="649" t="s">
        <v>748</v>
      </c>
      <c r="B610" s="649"/>
      <c r="C610" s="649"/>
      <c r="D610" s="649"/>
      <c r="E610" s="649"/>
      <c r="F610" s="649"/>
      <c r="G610" s="649"/>
      <c r="H610" s="649"/>
      <c r="I610" s="649"/>
      <c r="J610" s="649"/>
      <c r="K610" s="649"/>
      <c r="L610" s="649"/>
      <c r="M610" s="650" t="str">
        <f>VLOOKUP(AI611,'Contorizare in SDI'!$E:$I,4,FALSE)</f>
        <v>RO001E110105365/3</v>
      </c>
      <c r="N610" s="650"/>
      <c r="O610" s="650"/>
      <c r="P610" s="650"/>
      <c r="Q610" s="650"/>
      <c r="R610" s="650"/>
      <c r="S610" s="650"/>
      <c r="T610" s="650"/>
      <c r="U610" s="650"/>
      <c r="V610" s="650"/>
      <c r="W610" s="650"/>
      <c r="X610" s="650"/>
      <c r="Y610" s="650"/>
      <c r="Z610" s="650"/>
      <c r="AA610" s="650"/>
      <c r="AB610" s="650"/>
      <c r="AC610" s="650"/>
      <c r="AD610" s="650"/>
      <c r="AE610" s="650"/>
      <c r="AF610" s="650"/>
      <c r="AG610" s="650"/>
      <c r="AH610" s="650"/>
      <c r="AI610" s="650" t="s">
        <v>695</v>
      </c>
      <c r="AJ610" s="650"/>
      <c r="AK610" s="650"/>
      <c r="AL610" s="650"/>
      <c r="AM610" s="650"/>
    </row>
    <row r="611" spans="1:39">
      <c r="A611" s="649" t="s">
        <v>746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50" t="str">
        <f>VLOOKUP(AI611,'Inchidere contur'!$G:$U,15,FALSE)</f>
        <v>JT_SDI</v>
      </c>
      <c r="N611" s="650"/>
      <c r="O611" s="650"/>
      <c r="P611" s="650"/>
      <c r="Q611" s="650"/>
      <c r="R611" s="650"/>
      <c r="S611" s="650"/>
      <c r="T611" s="650"/>
      <c r="U611" s="650"/>
      <c r="V611" s="650"/>
      <c r="W611" s="650"/>
      <c r="X611" s="650"/>
      <c r="Y611" s="650"/>
      <c r="Z611" s="650"/>
      <c r="AA611" s="650"/>
      <c r="AB611" s="650"/>
      <c r="AC611" s="650"/>
      <c r="AD611" s="650"/>
      <c r="AE611" s="650"/>
      <c r="AF611" s="650"/>
      <c r="AG611" s="650"/>
      <c r="AH611" s="650"/>
      <c r="AI611" s="619" t="str">
        <f>_xlfn.CONCAT($AA$506,".",3)</f>
        <v>RMEG_3.3</v>
      </c>
      <c r="AJ611" s="619"/>
      <c r="AK611" s="619"/>
      <c r="AL611" s="619"/>
      <c r="AM611" s="619"/>
    </row>
    <row r="612" spans="1:39">
      <c r="A612" s="649" t="s">
        <v>747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50" t="str">
        <f>IF(LEFT(M611,2)="JT","0.4kV",IF(LEFT(M611,2)="MT","20kV","-"))</f>
        <v>0.4kV</v>
      </c>
      <c r="N612" s="650"/>
      <c r="O612" s="650"/>
      <c r="P612" s="650"/>
      <c r="Q612" s="650"/>
      <c r="R612" s="650"/>
      <c r="S612" s="650"/>
      <c r="T612" s="650"/>
      <c r="U612" s="650"/>
      <c r="V612" s="650"/>
      <c r="W612" s="650"/>
      <c r="X612" s="650"/>
      <c r="Y612" s="650"/>
      <c r="Z612" s="650"/>
      <c r="AA612" s="650"/>
      <c r="AB612" s="650"/>
      <c r="AC612" s="650"/>
      <c r="AD612" s="650"/>
      <c r="AE612" s="650"/>
      <c r="AF612" s="650"/>
      <c r="AG612" s="650"/>
      <c r="AH612" s="650"/>
      <c r="AI612" s="619"/>
      <c r="AJ612" s="619"/>
      <c r="AK612" s="619"/>
      <c r="AL612" s="619"/>
      <c r="AM612" s="619"/>
    </row>
    <row r="613" spans="1:39" ht="15.95" customHeight="1">
      <c r="A613" s="648" t="s">
        <v>697</v>
      </c>
      <c r="B613" s="648"/>
      <c r="C613" s="648"/>
      <c r="D613" s="648"/>
      <c r="E613" s="648"/>
      <c r="F613" s="648"/>
      <c r="G613" s="647" t="s">
        <v>713</v>
      </c>
      <c r="H613" s="647"/>
      <c r="I613" s="647"/>
      <c r="J613" s="647" t="s">
        <v>714</v>
      </c>
      <c r="K613" s="647"/>
      <c r="L613" s="647"/>
      <c r="M613" s="648" t="s">
        <v>519</v>
      </c>
      <c r="N613" s="648"/>
      <c r="O613" s="648" t="s">
        <v>715</v>
      </c>
      <c r="P613" s="648"/>
      <c r="Q613" s="648"/>
      <c r="R613" s="647" t="s">
        <v>732</v>
      </c>
      <c r="S613" s="647"/>
      <c r="T613" s="647"/>
      <c r="U613" s="647" t="s">
        <v>734</v>
      </c>
      <c r="V613" s="647"/>
      <c r="W613" s="647"/>
      <c r="X613" s="647" t="s">
        <v>1085</v>
      </c>
      <c r="Y613" s="647"/>
      <c r="Z613" s="647"/>
      <c r="AA613" s="647" t="s">
        <v>1086</v>
      </c>
      <c r="AB613" s="647"/>
      <c r="AC613" s="647"/>
      <c r="AD613" s="647" t="s">
        <v>717</v>
      </c>
      <c r="AE613" s="647"/>
      <c r="AF613" s="647" t="s">
        <v>718</v>
      </c>
      <c r="AG613" s="647"/>
      <c r="AH613" s="647"/>
      <c r="AI613" s="647" t="s">
        <v>719</v>
      </c>
      <c r="AJ613" s="647"/>
      <c r="AK613" s="647" t="s">
        <v>733</v>
      </c>
      <c r="AL613" s="647"/>
      <c r="AM613" s="647"/>
    </row>
    <row r="614" spans="1:39">
      <c r="A614" s="648"/>
      <c r="B614" s="648"/>
      <c r="C614" s="648"/>
      <c r="D614" s="648"/>
      <c r="E614" s="648"/>
      <c r="F614" s="648"/>
      <c r="G614" s="647"/>
      <c r="H614" s="647"/>
      <c r="I614" s="647"/>
      <c r="J614" s="647"/>
      <c r="K614" s="647"/>
      <c r="L614" s="647"/>
      <c r="M614" s="648"/>
      <c r="N614" s="648"/>
      <c r="O614" s="648"/>
      <c r="P614" s="648"/>
      <c r="Q614" s="648"/>
      <c r="R614" s="647"/>
      <c r="S614" s="647"/>
      <c r="T614" s="647"/>
      <c r="U614" s="647"/>
      <c r="V614" s="647"/>
      <c r="W614" s="647"/>
      <c r="X614" s="647"/>
      <c r="Y614" s="647"/>
      <c r="Z614" s="647"/>
      <c r="AA614" s="647"/>
      <c r="AB614" s="647"/>
      <c r="AC614" s="647"/>
      <c r="AD614" s="647"/>
      <c r="AE614" s="647"/>
      <c r="AF614" s="647"/>
      <c r="AG614" s="647"/>
      <c r="AH614" s="647"/>
      <c r="AI614" s="647"/>
      <c r="AJ614" s="647"/>
      <c r="AK614" s="647"/>
      <c r="AL614" s="647"/>
      <c r="AM614" s="647"/>
    </row>
    <row r="615" spans="1:39">
      <c r="A615" s="648"/>
      <c r="B615" s="648"/>
      <c r="C615" s="648"/>
      <c r="D615" s="648"/>
      <c r="E615" s="648"/>
      <c r="F615" s="648"/>
      <c r="G615" s="647"/>
      <c r="H615" s="647"/>
      <c r="I615" s="647"/>
      <c r="J615" s="713"/>
      <c r="K615" s="713"/>
      <c r="L615" s="713"/>
      <c r="M615" s="648"/>
      <c r="N615" s="648"/>
      <c r="O615" s="648"/>
      <c r="P615" s="648"/>
      <c r="Q615" s="648"/>
      <c r="R615" s="647"/>
      <c r="S615" s="647"/>
      <c r="T615" s="647"/>
      <c r="U615" s="647"/>
      <c r="V615" s="647"/>
      <c r="W615" s="647"/>
      <c r="X615" s="647"/>
      <c r="Y615" s="647"/>
      <c r="Z615" s="647"/>
      <c r="AA615" s="647"/>
      <c r="AB615" s="647"/>
      <c r="AC615" s="647"/>
      <c r="AD615" s="647"/>
      <c r="AE615" s="647"/>
      <c r="AF615" s="647"/>
      <c r="AG615" s="647"/>
      <c r="AH615" s="647"/>
      <c r="AI615" s="647"/>
      <c r="AJ615" s="647"/>
      <c r="AK615" s="647"/>
      <c r="AL615" s="647"/>
      <c r="AM615" s="647"/>
    </row>
    <row r="616" spans="1:39" ht="14.1" customHeight="1">
      <c r="A616" s="684" t="str">
        <f>VLOOKUP(AI611,'Contorizare in SDI'!$E:$I,5,FALSE)</f>
        <v>V.21G90290210104559/3</v>
      </c>
      <c r="B616" s="685"/>
      <c r="C616" s="685"/>
      <c r="D616" s="685"/>
      <c r="E616" s="685"/>
      <c r="F616" s="686"/>
      <c r="G616" s="648" t="s">
        <v>730</v>
      </c>
      <c r="H616" s="648"/>
      <c r="I616" s="673"/>
      <c r="J616" s="655">
        <f>'Date masura OD'!$AK$5</f>
        <v>45748</v>
      </c>
      <c r="K616" s="656"/>
      <c r="L616" s="657"/>
      <c r="M616" s="720" t="s">
        <v>446</v>
      </c>
      <c r="N616" s="648"/>
      <c r="O616" s="648">
        <f>VLOOKUP(AI611,'Incrementare indexe'!$B:$T,4,FALSE)</f>
        <v>1</v>
      </c>
      <c r="P616" s="648"/>
      <c r="Q616" s="648"/>
      <c r="R616" s="647" t="str">
        <f>VLOOKUP(A616,Regularizare!$D:$YN,3,FALSE)&amp;" ("&amp;VLOOKUP(A616,Regularizare!$D:$Y,11,FALSE)&amp;")"</f>
        <v>1123343 (citit)</v>
      </c>
      <c r="S616" s="647"/>
      <c r="T616" s="647"/>
      <c r="U616" s="647" t="str">
        <f>VLOOKUP(A616,Regularizare!$D:$U,4,FALSE)&amp;" ("&amp;VLOOKUP(A616,Regularizare!$D:$U,12,FALSE)&amp;")"</f>
        <v>1207780 (estimat)</v>
      </c>
      <c r="V616" s="647"/>
      <c r="W616" s="647"/>
      <c r="X616" s="647" t="str">
        <f>VLOOKUP(A616,Regularizare!$D:$Y,19,FALSE)&amp;" ("&amp;VLOOKUP(A616,Regularizare!$D:$U,12,FALSE)&amp;")"</f>
        <v>84437 (estimat)</v>
      </c>
      <c r="Y616" s="647"/>
      <c r="Z616" s="647"/>
      <c r="AA616" s="647">
        <f>(-1)*VLOOKUP(A616,Regularizare!$D:$Y,19,FALSE)</f>
        <v>-84437</v>
      </c>
      <c r="AB616" s="647"/>
      <c r="AC616" s="647"/>
      <c r="AD616" s="647" t="s">
        <v>69</v>
      </c>
      <c r="AE616" s="647"/>
      <c r="AF616" s="647">
        <f>AA616</f>
        <v>-84437</v>
      </c>
      <c r="AG616" s="647"/>
      <c r="AH616" s="647"/>
      <c r="AI616" s="647" t="s">
        <v>69</v>
      </c>
      <c r="AJ616" s="647"/>
      <c r="AK616" s="647" t="s">
        <v>69</v>
      </c>
      <c r="AL616" s="647"/>
      <c r="AM616" s="647"/>
    </row>
    <row r="617" spans="1:39" ht="9.75" customHeight="1">
      <c r="A617" s="727"/>
      <c r="B617" s="729"/>
      <c r="C617" s="729"/>
      <c r="D617" s="729"/>
      <c r="E617" s="729"/>
      <c r="F617" s="728"/>
      <c r="G617" s="648"/>
      <c r="H617" s="648"/>
      <c r="I617" s="673"/>
      <c r="J617" s="717" t="s">
        <v>69</v>
      </c>
      <c r="K617" s="718"/>
      <c r="L617" s="719"/>
      <c r="M617" s="720"/>
      <c r="N617" s="648"/>
      <c r="O617" s="648"/>
      <c r="P617" s="648"/>
      <c r="Q617" s="648"/>
      <c r="R617" s="647"/>
      <c r="S617" s="647"/>
      <c r="T617" s="647"/>
      <c r="U617" s="647"/>
      <c r="V617" s="647"/>
      <c r="W617" s="647"/>
      <c r="X617" s="647"/>
      <c r="Y617" s="647"/>
      <c r="Z617" s="647"/>
      <c r="AA617" s="647"/>
      <c r="AB617" s="647"/>
      <c r="AC617" s="647"/>
      <c r="AD617" s="647"/>
      <c r="AE617" s="647"/>
      <c r="AF617" s="647"/>
      <c r="AG617" s="647"/>
      <c r="AH617" s="647"/>
      <c r="AI617" s="647"/>
      <c r="AJ617" s="647"/>
      <c r="AK617" s="647"/>
      <c r="AL617" s="647"/>
      <c r="AM617" s="647"/>
    </row>
    <row r="618" spans="1:39" ht="14.1" customHeight="1">
      <c r="A618" s="687"/>
      <c r="B618" s="688"/>
      <c r="C618" s="688"/>
      <c r="D618" s="688"/>
      <c r="E618" s="688"/>
      <c r="F618" s="689"/>
      <c r="G618" s="648"/>
      <c r="H618" s="648"/>
      <c r="I618" s="673"/>
      <c r="J618" s="714">
        <f>'Date masura OD'!$AL$5</f>
        <v>45777</v>
      </c>
      <c r="K618" s="715"/>
      <c r="L618" s="716"/>
      <c r="M618" s="720"/>
      <c r="N618" s="648"/>
      <c r="O618" s="648"/>
      <c r="P618" s="648"/>
      <c r="Q618" s="648"/>
      <c r="R618" s="647"/>
      <c r="S618" s="647"/>
      <c r="T618" s="647"/>
      <c r="U618" s="647"/>
      <c r="V618" s="647"/>
      <c r="W618" s="647"/>
      <c r="X618" s="647"/>
      <c r="Y618" s="647"/>
      <c r="Z618" s="647"/>
      <c r="AA618" s="647"/>
      <c r="AB618" s="647"/>
      <c r="AC618" s="647"/>
      <c r="AD618" s="647"/>
      <c r="AE618" s="647"/>
      <c r="AF618" s="647"/>
      <c r="AG618" s="647"/>
      <c r="AH618" s="647"/>
      <c r="AI618" s="647"/>
      <c r="AJ618" s="647"/>
      <c r="AK618" s="647"/>
      <c r="AL618" s="647"/>
      <c r="AM618" s="647"/>
    </row>
    <row r="619" spans="1:39" ht="14.1" customHeight="1">
      <c r="A619" s="684" t="str">
        <f>A616</f>
        <v>V.21G90290210104559/3</v>
      </c>
      <c r="B619" s="685"/>
      <c r="C619" s="685"/>
      <c r="D619" s="685"/>
      <c r="E619" s="685"/>
      <c r="F619" s="686"/>
      <c r="G619" s="648" t="s">
        <v>696</v>
      </c>
      <c r="H619" s="648"/>
      <c r="I619" s="648"/>
      <c r="J619" s="655">
        <f t="shared" ref="J619:J624" si="34">J616</f>
        <v>45748</v>
      </c>
      <c r="K619" s="656"/>
      <c r="L619" s="657"/>
      <c r="M619" s="648" t="s">
        <v>720</v>
      </c>
      <c r="N619" s="648"/>
      <c r="O619" s="648">
        <f>O616</f>
        <v>1</v>
      </c>
      <c r="P619" s="648"/>
      <c r="Q619" s="648"/>
      <c r="R619" s="647" t="str">
        <f>VLOOKUP(A619,Regularizare!$D:$U,7,FALSE)&amp;" ("&amp;VLOOKUP(A619,Regularizare!$D:$U,15,FALSE)&amp;")"</f>
        <v>22697 (citit)</v>
      </c>
      <c r="S619" s="647"/>
      <c r="T619" s="647"/>
      <c r="U619" s="647" t="str">
        <f>VLOOKUP(A619,Regularizare!$D:$U,8,FALSE)&amp;" ("&amp;VLOOKUP(A619,Regularizare!$D:$U,16,FALSE)&amp;")"</f>
        <v>22697 (estimat)</v>
      </c>
      <c r="V619" s="647"/>
      <c r="W619" s="647"/>
      <c r="X619" s="647" t="str">
        <f>_xlfn.CONCAT(VLOOKUP(A619,Regularizare!$D:$U,8,FALSE)-VLOOKUP(A619,Regularizare!$D:$U,7,FALSE)," (",VLOOKUP(A619,Regularizare!$D:$U,16,FALSE),")")</f>
        <v>0 (estimat)</v>
      </c>
      <c r="Y619" s="647"/>
      <c r="Z619" s="647"/>
      <c r="AA619" s="647">
        <f>IF(VLOOKUP(A619,Regularizare!$D:$Y,21,FALSE)=0,VLOOKUP(A619,Regularizare!$D:$Y,21,FALSE),(-1)*VLOOKUP(A619,Regularizare!$D:$Y,21,FALSE))</f>
        <v>0</v>
      </c>
      <c r="AB619" s="647"/>
      <c r="AC619" s="647"/>
      <c r="AD619" s="647" t="s">
        <v>69</v>
      </c>
      <c r="AE619" s="647"/>
      <c r="AF619" s="647">
        <f>AA619</f>
        <v>0</v>
      </c>
      <c r="AG619" s="647"/>
      <c r="AH619" s="647"/>
      <c r="AI619" s="647" t="str">
        <f>AI616</f>
        <v>-</v>
      </c>
      <c r="AJ619" s="647"/>
      <c r="AK619" s="647" t="str">
        <f>AK616</f>
        <v>-</v>
      </c>
      <c r="AL619" s="647"/>
      <c r="AM619" s="647"/>
    </row>
    <row r="620" spans="1:39" ht="8.4499999999999993" customHeight="1">
      <c r="A620" s="727"/>
      <c r="B620" s="729"/>
      <c r="C620" s="729"/>
      <c r="D620" s="729"/>
      <c r="E620" s="729"/>
      <c r="F620" s="728"/>
      <c r="G620" s="648"/>
      <c r="H620" s="648"/>
      <c r="I620" s="648"/>
      <c r="J620" s="717" t="str">
        <f t="shared" si="34"/>
        <v>-</v>
      </c>
      <c r="K620" s="718"/>
      <c r="L620" s="719"/>
      <c r="M620" s="648"/>
      <c r="N620" s="648"/>
      <c r="O620" s="648"/>
      <c r="P620" s="648"/>
      <c r="Q620" s="648"/>
      <c r="R620" s="647"/>
      <c r="S620" s="647"/>
      <c r="T620" s="647"/>
      <c r="U620" s="647"/>
      <c r="V620" s="647"/>
      <c r="W620" s="647"/>
      <c r="X620" s="647"/>
      <c r="Y620" s="647"/>
      <c r="Z620" s="647"/>
      <c r="AA620" s="647"/>
      <c r="AB620" s="647"/>
      <c r="AC620" s="647"/>
      <c r="AD620" s="647"/>
      <c r="AE620" s="647"/>
      <c r="AF620" s="647"/>
      <c r="AG620" s="647"/>
      <c r="AH620" s="647"/>
      <c r="AI620" s="647"/>
      <c r="AJ620" s="647"/>
      <c r="AK620" s="647"/>
      <c r="AL620" s="647"/>
      <c r="AM620" s="647"/>
    </row>
    <row r="621" spans="1:39" ht="14.1" customHeight="1">
      <c r="A621" s="687"/>
      <c r="B621" s="688"/>
      <c r="C621" s="688"/>
      <c r="D621" s="688"/>
      <c r="E621" s="688"/>
      <c r="F621" s="689"/>
      <c r="G621" s="648"/>
      <c r="H621" s="648"/>
      <c r="I621" s="648"/>
      <c r="J621" s="714">
        <f t="shared" si="34"/>
        <v>45777</v>
      </c>
      <c r="K621" s="715"/>
      <c r="L621" s="716"/>
      <c r="M621" s="648"/>
      <c r="N621" s="648"/>
      <c r="O621" s="648"/>
      <c r="P621" s="648"/>
      <c r="Q621" s="648"/>
      <c r="R621" s="647"/>
      <c r="S621" s="647"/>
      <c r="T621" s="647"/>
      <c r="U621" s="647"/>
      <c r="V621" s="647"/>
      <c r="W621" s="647"/>
      <c r="X621" s="647"/>
      <c r="Y621" s="647"/>
      <c r="Z621" s="647"/>
      <c r="AA621" s="647"/>
      <c r="AB621" s="647"/>
      <c r="AC621" s="647"/>
      <c r="AD621" s="647"/>
      <c r="AE621" s="647"/>
      <c r="AF621" s="647"/>
      <c r="AG621" s="647"/>
      <c r="AH621" s="647"/>
      <c r="AI621" s="647"/>
      <c r="AJ621" s="647"/>
      <c r="AK621" s="647"/>
      <c r="AL621" s="647"/>
      <c r="AM621" s="647"/>
    </row>
    <row r="622" spans="1:39" ht="14.1" customHeight="1">
      <c r="A622" s="684" t="str">
        <f>A619</f>
        <v>V.21G90290210104559/3</v>
      </c>
      <c r="B622" s="685"/>
      <c r="C622" s="685"/>
      <c r="D622" s="685"/>
      <c r="E622" s="685"/>
      <c r="F622" s="686"/>
      <c r="G622" s="648" t="s">
        <v>731</v>
      </c>
      <c r="H622" s="648"/>
      <c r="I622" s="648"/>
      <c r="J622" s="655">
        <f t="shared" si="34"/>
        <v>45748</v>
      </c>
      <c r="K622" s="656"/>
      <c r="L622" s="657"/>
      <c r="M622" s="648" t="s">
        <v>720</v>
      </c>
      <c r="N622" s="648"/>
      <c r="O622" s="648">
        <f>O619</f>
        <v>1</v>
      </c>
      <c r="P622" s="648"/>
      <c r="Q622" s="648"/>
      <c r="R622" s="647" t="str">
        <f>VLOOKUP(A622,Regularizare!$D:$U,9,FALSE)&amp;" ("&amp;VLOOKUP(A622,Regularizare!$D:$U,17,FALSE)&amp;")"</f>
        <v>244 (citit)</v>
      </c>
      <c r="S622" s="647"/>
      <c r="T622" s="647"/>
      <c r="U622" s="647" t="str">
        <f>VLOOKUP(A622,Regularizare!$D:$U,10,FALSE)&amp;" ("&amp;VLOOKUP(A622,Regularizare!$D:$U,18,FALSE)&amp;")"</f>
        <v>244 (estimat)</v>
      </c>
      <c r="V622" s="647"/>
      <c r="W622" s="647"/>
      <c r="X622" s="647" t="str">
        <f>_xlfn.CONCAT(VLOOKUP(A622,Regularizare!$D:$U,10,FALSE)-VLOOKUP(A622,Regularizare!$D:$U,9,FALSE)," (",VLOOKUP(A622,Regularizare!$D:$U,18,FALSE),")")</f>
        <v>0 (estimat)</v>
      </c>
      <c r="Y622" s="647"/>
      <c r="Z622" s="647"/>
      <c r="AA622" s="647">
        <f>IF(VLOOKUP(A622,Regularizare!$D:$Y,22,FALSE)=0,VLOOKUP(A622,Regularizare!$D:$Y,22,FALSE),(-1)*VLOOKUP(A622,Regularizare!$D:$Y,22,FALSE))</f>
        <v>0</v>
      </c>
      <c r="AB622" s="647"/>
      <c r="AC622" s="647"/>
      <c r="AD622" s="647" t="s">
        <v>69</v>
      </c>
      <c r="AE622" s="647"/>
      <c r="AF622" s="647">
        <f>AA622</f>
        <v>0</v>
      </c>
      <c r="AG622" s="647"/>
      <c r="AH622" s="647"/>
      <c r="AI622" s="647" t="str">
        <f>AI619</f>
        <v>-</v>
      </c>
      <c r="AJ622" s="647"/>
      <c r="AK622" s="647" t="str">
        <f>AK619</f>
        <v>-</v>
      </c>
      <c r="AL622" s="647"/>
      <c r="AM622" s="647"/>
    </row>
    <row r="623" spans="1:39" ht="8.4499999999999993" customHeight="1">
      <c r="A623" s="727"/>
      <c r="B623" s="729"/>
      <c r="C623" s="729"/>
      <c r="D623" s="729"/>
      <c r="E623" s="729"/>
      <c r="F623" s="728"/>
      <c r="G623" s="648"/>
      <c r="H623" s="648"/>
      <c r="I623" s="648"/>
      <c r="J623" s="717" t="str">
        <f t="shared" si="34"/>
        <v>-</v>
      </c>
      <c r="K623" s="718"/>
      <c r="L623" s="719"/>
      <c r="M623" s="648"/>
      <c r="N623" s="648"/>
      <c r="O623" s="648"/>
      <c r="P623" s="648"/>
      <c r="Q623" s="648"/>
      <c r="R623" s="647"/>
      <c r="S623" s="647"/>
      <c r="T623" s="647"/>
      <c r="U623" s="647"/>
      <c r="V623" s="647"/>
      <c r="W623" s="647"/>
      <c r="X623" s="647"/>
      <c r="Y623" s="647"/>
      <c r="Z623" s="647"/>
      <c r="AA623" s="647"/>
      <c r="AB623" s="647"/>
      <c r="AC623" s="647"/>
      <c r="AD623" s="647"/>
      <c r="AE623" s="647"/>
      <c r="AF623" s="647"/>
      <c r="AG623" s="647"/>
      <c r="AH623" s="647"/>
      <c r="AI623" s="647"/>
      <c r="AJ623" s="647"/>
      <c r="AK623" s="647"/>
      <c r="AL623" s="647"/>
      <c r="AM623" s="647"/>
    </row>
    <row r="624" spans="1:39" ht="14.1" customHeight="1">
      <c r="A624" s="687"/>
      <c r="B624" s="688"/>
      <c r="C624" s="688"/>
      <c r="D624" s="688"/>
      <c r="E624" s="688"/>
      <c r="F624" s="689"/>
      <c r="G624" s="648"/>
      <c r="H624" s="648"/>
      <c r="I624" s="648"/>
      <c r="J624" s="714">
        <f t="shared" si="34"/>
        <v>45777</v>
      </c>
      <c r="K624" s="715"/>
      <c r="L624" s="716"/>
      <c r="M624" s="648"/>
      <c r="N624" s="648"/>
      <c r="O624" s="648"/>
      <c r="P624" s="648"/>
      <c r="Q624" s="648"/>
      <c r="R624" s="647"/>
      <c r="S624" s="647"/>
      <c r="T624" s="647"/>
      <c r="U624" s="647"/>
      <c r="V624" s="647"/>
      <c r="W624" s="647"/>
      <c r="X624" s="647"/>
      <c r="Y624" s="647"/>
      <c r="Z624" s="647"/>
      <c r="AA624" s="647"/>
      <c r="AB624" s="647"/>
      <c r="AC624" s="647"/>
      <c r="AD624" s="647"/>
      <c r="AE624" s="647"/>
      <c r="AF624" s="647"/>
      <c r="AG624" s="647"/>
      <c r="AH624" s="647"/>
      <c r="AI624" s="647"/>
      <c r="AJ624" s="647"/>
      <c r="AK624" s="647"/>
      <c r="AL624" s="647"/>
      <c r="AM624" s="647"/>
    </row>
    <row r="625" spans="1:39" ht="14.1" customHeight="1">
      <c r="A625" s="684" t="str">
        <f>A622</f>
        <v>V.21G90290210104559/3</v>
      </c>
      <c r="B625" s="685"/>
      <c r="C625" s="685"/>
      <c r="D625" s="685"/>
      <c r="E625" s="685"/>
      <c r="F625" s="686"/>
      <c r="G625" s="648" t="s">
        <v>730</v>
      </c>
      <c r="H625" s="648"/>
      <c r="I625" s="673"/>
      <c r="J625" s="655">
        <f>'Date masura OD'!$AK$5</f>
        <v>45748</v>
      </c>
      <c r="K625" s="656"/>
      <c r="L625" s="657"/>
      <c r="M625" s="720" t="s">
        <v>446</v>
      </c>
      <c r="N625" s="648"/>
      <c r="O625" s="648">
        <f>O622</f>
        <v>1</v>
      </c>
      <c r="P625" s="648"/>
      <c r="Q625" s="648"/>
      <c r="R625" s="647" t="str">
        <f>VLOOKUP(A625,Regularizare!$D:$AX,23,FALSE)&amp;" ("&amp;VLOOKUP(A625,Regularizare!$D:$AX,24,FALSE)&amp;")"</f>
        <v>1123343 (citit)</v>
      </c>
      <c r="S625" s="647"/>
      <c r="T625" s="647"/>
      <c r="U625" s="647" t="str">
        <f>VLOOKUP(A625,Regularizare!$D:$AX,25,FALSE)&amp;" ("&amp;VLOOKUP(A625,Regularizare!$D:$AX,26,FALSE)&amp;")"</f>
        <v>1207780 (citit)</v>
      </c>
      <c r="V625" s="647"/>
      <c r="W625" s="647"/>
      <c r="X625" s="647" t="str">
        <f>VLOOKUP(A625,Regularizare!$D:$AX,37,FALSE)&amp;" ("&amp;VLOOKUP(A625,Regularizare!$D:$AX,26,FALSE)&amp;")"</f>
        <v>84437 (citit)</v>
      </c>
      <c r="Y625" s="647"/>
      <c r="Z625" s="647"/>
      <c r="AA625" s="647">
        <f>VLOOKUP(A625,Regularizare!$D:$AX,37,FALSE)</f>
        <v>84437</v>
      </c>
      <c r="AB625" s="647"/>
      <c r="AC625" s="647"/>
      <c r="AD625" s="647" t="s">
        <v>69</v>
      </c>
      <c r="AE625" s="647"/>
      <c r="AF625" s="647">
        <f>AA625</f>
        <v>84437</v>
      </c>
      <c r="AG625" s="647"/>
      <c r="AH625" s="647"/>
      <c r="AI625" s="647" t="str">
        <f>AI622</f>
        <v>-</v>
      </c>
      <c r="AJ625" s="647"/>
      <c r="AK625" s="647" t="str">
        <f>AK622</f>
        <v>-</v>
      </c>
      <c r="AL625" s="647"/>
      <c r="AM625" s="647"/>
    </row>
    <row r="626" spans="1:39" ht="8.4499999999999993" customHeight="1">
      <c r="A626" s="727"/>
      <c r="B626" s="729"/>
      <c r="C626" s="729"/>
      <c r="D626" s="729"/>
      <c r="E626" s="729"/>
      <c r="F626" s="728"/>
      <c r="G626" s="648"/>
      <c r="H626" s="648"/>
      <c r="I626" s="673"/>
      <c r="J626" s="717" t="s">
        <v>69</v>
      </c>
      <c r="K626" s="718"/>
      <c r="L626" s="719"/>
      <c r="M626" s="720"/>
      <c r="N626" s="648"/>
      <c r="O626" s="648"/>
      <c r="P626" s="648"/>
      <c r="Q626" s="648"/>
      <c r="R626" s="647"/>
      <c r="S626" s="647"/>
      <c r="T626" s="647"/>
      <c r="U626" s="647"/>
      <c r="V626" s="647"/>
      <c r="W626" s="647"/>
      <c r="X626" s="647"/>
      <c r="Y626" s="647"/>
      <c r="Z626" s="647"/>
      <c r="AA626" s="647"/>
      <c r="AB626" s="647"/>
      <c r="AC626" s="647"/>
      <c r="AD626" s="647"/>
      <c r="AE626" s="647"/>
      <c r="AF626" s="647"/>
      <c r="AG626" s="647"/>
      <c r="AH626" s="647"/>
      <c r="AI626" s="647"/>
      <c r="AJ626" s="647"/>
      <c r="AK626" s="647"/>
      <c r="AL626" s="647"/>
      <c r="AM626" s="647"/>
    </row>
    <row r="627" spans="1:39" ht="14.1" customHeight="1">
      <c r="A627" s="687"/>
      <c r="B627" s="688"/>
      <c r="C627" s="688"/>
      <c r="D627" s="688"/>
      <c r="E627" s="688"/>
      <c r="F627" s="689"/>
      <c r="G627" s="648"/>
      <c r="H627" s="648"/>
      <c r="I627" s="673"/>
      <c r="J627" s="714">
        <f>'Date masura OD'!$AL$5</f>
        <v>45777</v>
      </c>
      <c r="K627" s="715"/>
      <c r="L627" s="716"/>
      <c r="M627" s="720"/>
      <c r="N627" s="648"/>
      <c r="O627" s="648"/>
      <c r="P627" s="648"/>
      <c r="Q627" s="648"/>
      <c r="R627" s="647"/>
      <c r="S627" s="647"/>
      <c r="T627" s="647"/>
      <c r="U627" s="647"/>
      <c r="V627" s="647"/>
      <c r="W627" s="647"/>
      <c r="X627" s="647"/>
      <c r="Y627" s="647"/>
      <c r="Z627" s="647"/>
      <c r="AA627" s="647"/>
      <c r="AB627" s="647"/>
      <c r="AC627" s="647"/>
      <c r="AD627" s="647"/>
      <c r="AE627" s="647"/>
      <c r="AF627" s="647"/>
      <c r="AG627" s="647"/>
      <c r="AH627" s="647"/>
      <c r="AI627" s="647"/>
      <c r="AJ627" s="647"/>
      <c r="AK627" s="647"/>
      <c r="AL627" s="647"/>
      <c r="AM627" s="647"/>
    </row>
    <row r="628" spans="1:39" ht="14.1" customHeight="1">
      <c r="A628" s="684" t="str">
        <f>A625</f>
        <v>V.21G90290210104559/3</v>
      </c>
      <c r="B628" s="685"/>
      <c r="C628" s="685"/>
      <c r="D628" s="685"/>
      <c r="E628" s="685"/>
      <c r="F628" s="686"/>
      <c r="G628" s="648" t="s">
        <v>696</v>
      </c>
      <c r="H628" s="648"/>
      <c r="I628" s="648"/>
      <c r="J628" s="655">
        <f t="shared" ref="J628:J633" si="35">J625</f>
        <v>45748</v>
      </c>
      <c r="K628" s="656"/>
      <c r="L628" s="657"/>
      <c r="M628" s="648" t="s">
        <v>720</v>
      </c>
      <c r="N628" s="648"/>
      <c r="O628" s="648">
        <f>O625</f>
        <v>1</v>
      </c>
      <c r="P628" s="648"/>
      <c r="Q628" s="648"/>
      <c r="R628" s="647" t="str">
        <f>VLOOKUP(A628,Regularizare!$D:$AX,29,FALSE)&amp;" ("&amp;VLOOKUP(A628,Regularizare!$D:$AX,30,FALSE)&amp;")"</f>
        <v>22697 (citit)</v>
      </c>
      <c r="S628" s="647"/>
      <c r="T628" s="647"/>
      <c r="U628" s="647" t="str">
        <f>VLOOKUP(A628,Regularizare!$D:$AX,31,FALSE)&amp;" ("&amp;VLOOKUP(A628,Regularizare!$D:$AX,32,FALSE)&amp;")"</f>
        <v>22697 (citit)</v>
      </c>
      <c r="V628" s="647"/>
      <c r="W628" s="647"/>
      <c r="X628" s="647" t="str">
        <f>VLOOKUP(A628,Regularizare!$D:$AX,39,FALSE)&amp;" ("&amp;VLOOKUP(A628,Regularizare!$D:$AX,32,FALSE)&amp;")"</f>
        <v>0 (citit)</v>
      </c>
      <c r="Y628" s="647"/>
      <c r="Z628" s="647"/>
      <c r="AA628" s="647">
        <f>VLOOKUP(A628,Regularizare!$D:$AX,44,FALSE)+VLOOKUP(A628,Regularizare!$D:$AX,45,FALSE)</f>
        <v>0</v>
      </c>
      <c r="AB628" s="647"/>
      <c r="AC628" s="647"/>
      <c r="AD628" s="647" t="s">
        <v>69</v>
      </c>
      <c r="AE628" s="647"/>
      <c r="AF628" s="647">
        <f>AA628</f>
        <v>0</v>
      </c>
      <c r="AG628" s="647"/>
      <c r="AH628" s="647"/>
      <c r="AI628" s="647" t="str">
        <f>AI625</f>
        <v>-</v>
      </c>
      <c r="AJ628" s="647"/>
      <c r="AK628" s="647" t="str">
        <f>AK625</f>
        <v>-</v>
      </c>
      <c r="AL628" s="647"/>
      <c r="AM628" s="647"/>
    </row>
    <row r="629" spans="1:39" ht="8.4499999999999993" customHeight="1">
      <c r="A629" s="727"/>
      <c r="B629" s="729"/>
      <c r="C629" s="729"/>
      <c r="D629" s="729"/>
      <c r="E629" s="729"/>
      <c r="F629" s="728"/>
      <c r="G629" s="648"/>
      <c r="H629" s="648"/>
      <c r="I629" s="648"/>
      <c r="J629" s="717" t="str">
        <f t="shared" si="35"/>
        <v>-</v>
      </c>
      <c r="K629" s="718"/>
      <c r="L629" s="719"/>
      <c r="M629" s="648"/>
      <c r="N629" s="648"/>
      <c r="O629" s="648"/>
      <c r="P629" s="648"/>
      <c r="Q629" s="648"/>
      <c r="R629" s="647"/>
      <c r="S629" s="647"/>
      <c r="T629" s="647"/>
      <c r="U629" s="647"/>
      <c r="V629" s="647"/>
      <c r="W629" s="647"/>
      <c r="X629" s="647"/>
      <c r="Y629" s="647"/>
      <c r="Z629" s="647"/>
      <c r="AA629" s="647"/>
      <c r="AB629" s="647"/>
      <c r="AC629" s="647"/>
      <c r="AD629" s="647"/>
      <c r="AE629" s="647"/>
      <c r="AF629" s="647"/>
      <c r="AG629" s="647"/>
      <c r="AH629" s="647"/>
      <c r="AI629" s="647"/>
      <c r="AJ629" s="647"/>
      <c r="AK629" s="647"/>
      <c r="AL629" s="647"/>
      <c r="AM629" s="647"/>
    </row>
    <row r="630" spans="1:39" ht="14.1" customHeight="1">
      <c r="A630" s="687"/>
      <c r="B630" s="688"/>
      <c r="C630" s="688"/>
      <c r="D630" s="688"/>
      <c r="E630" s="688"/>
      <c r="F630" s="689"/>
      <c r="G630" s="648"/>
      <c r="H630" s="648"/>
      <c r="I630" s="648"/>
      <c r="J630" s="714">
        <f t="shared" si="35"/>
        <v>45777</v>
      </c>
      <c r="K630" s="715"/>
      <c r="L630" s="716"/>
      <c r="M630" s="648"/>
      <c r="N630" s="648"/>
      <c r="O630" s="648"/>
      <c r="P630" s="648"/>
      <c r="Q630" s="648"/>
      <c r="R630" s="647"/>
      <c r="S630" s="647"/>
      <c r="T630" s="647"/>
      <c r="U630" s="647"/>
      <c r="V630" s="647"/>
      <c r="W630" s="647"/>
      <c r="X630" s="647"/>
      <c r="Y630" s="647"/>
      <c r="Z630" s="647"/>
      <c r="AA630" s="647"/>
      <c r="AB630" s="647"/>
      <c r="AC630" s="647"/>
      <c r="AD630" s="647"/>
      <c r="AE630" s="647"/>
      <c r="AF630" s="647"/>
      <c r="AG630" s="647"/>
      <c r="AH630" s="647"/>
      <c r="AI630" s="647"/>
      <c r="AJ630" s="647"/>
      <c r="AK630" s="647"/>
      <c r="AL630" s="647"/>
      <c r="AM630" s="647"/>
    </row>
    <row r="631" spans="1:39" ht="14.1" customHeight="1">
      <c r="A631" s="684" t="str">
        <f>A628</f>
        <v>V.21G90290210104559/3</v>
      </c>
      <c r="B631" s="685"/>
      <c r="C631" s="685"/>
      <c r="D631" s="685"/>
      <c r="E631" s="685"/>
      <c r="F631" s="686"/>
      <c r="G631" s="648" t="s">
        <v>731</v>
      </c>
      <c r="H631" s="648"/>
      <c r="I631" s="648"/>
      <c r="J631" s="655">
        <f t="shared" si="35"/>
        <v>45748</v>
      </c>
      <c r="K631" s="656"/>
      <c r="L631" s="657"/>
      <c r="M631" s="648" t="s">
        <v>720</v>
      </c>
      <c r="N631" s="648"/>
      <c r="O631" s="648">
        <f>O628</f>
        <v>1</v>
      </c>
      <c r="P631" s="648"/>
      <c r="Q631" s="648"/>
      <c r="R631" s="647" t="str">
        <f>VLOOKUP(A631,Regularizare!$D:$AX,33,FALSE)&amp;" ("&amp;VLOOKUP(A631,Regularizare!$D:$AX,34,FALSE)&amp;")"</f>
        <v>244 (citit)</v>
      </c>
      <c r="S631" s="647"/>
      <c r="T631" s="647"/>
      <c r="U631" s="647" t="str">
        <f>VLOOKUP(A631,Regularizare!$D:$AX,35,FALSE)&amp;" ("&amp;VLOOKUP(A631,Regularizare!$D:$AX,36,FALSE)&amp;")"</f>
        <v>244 (citit)</v>
      </c>
      <c r="V631" s="647"/>
      <c r="W631" s="647"/>
      <c r="X631" s="647" t="str">
        <f>VLOOKUP(A631,Regularizare!$D:$AX,40,FALSE)&amp;" ("&amp;VLOOKUP(A631,Regularizare!$D:$AX,36,FALSE)&amp;")"</f>
        <v>0 (citit)</v>
      </c>
      <c r="Y631" s="647"/>
      <c r="Z631" s="647"/>
      <c r="AA631" s="647">
        <f>VLOOKUP(A631,Regularizare!$D:$AX,46,FALSE)+VLOOKUP(A631,Regularizare!$D:$AX,47,FALSE)</f>
        <v>0</v>
      </c>
      <c r="AB631" s="647"/>
      <c r="AC631" s="647"/>
      <c r="AD631" s="647" t="s">
        <v>69</v>
      </c>
      <c r="AE631" s="647"/>
      <c r="AF631" s="647">
        <f>AA631</f>
        <v>0</v>
      </c>
      <c r="AG631" s="647"/>
      <c r="AH631" s="647"/>
      <c r="AI631" s="647" t="str">
        <f>AI628</f>
        <v>-</v>
      </c>
      <c r="AJ631" s="647"/>
      <c r="AK631" s="647" t="str">
        <f>AK628</f>
        <v>-</v>
      </c>
      <c r="AL631" s="647"/>
      <c r="AM631" s="647"/>
    </row>
    <row r="632" spans="1:39" ht="8.4499999999999993" customHeight="1">
      <c r="A632" s="727"/>
      <c r="B632" s="729"/>
      <c r="C632" s="729"/>
      <c r="D632" s="729"/>
      <c r="E632" s="729"/>
      <c r="F632" s="728"/>
      <c r="G632" s="648"/>
      <c r="H632" s="648"/>
      <c r="I632" s="648"/>
      <c r="J632" s="717" t="str">
        <f t="shared" si="35"/>
        <v>-</v>
      </c>
      <c r="K632" s="718"/>
      <c r="L632" s="719"/>
      <c r="M632" s="648"/>
      <c r="N632" s="648"/>
      <c r="O632" s="648"/>
      <c r="P632" s="648"/>
      <c r="Q632" s="648"/>
      <c r="R632" s="647"/>
      <c r="S632" s="647"/>
      <c r="T632" s="647"/>
      <c r="U632" s="647"/>
      <c r="V632" s="647"/>
      <c r="W632" s="647"/>
      <c r="X632" s="647"/>
      <c r="Y632" s="647"/>
      <c r="Z632" s="647"/>
      <c r="AA632" s="647"/>
      <c r="AB632" s="647"/>
      <c r="AC632" s="647"/>
      <c r="AD632" s="647"/>
      <c r="AE632" s="647"/>
      <c r="AF632" s="647"/>
      <c r="AG632" s="647"/>
      <c r="AH632" s="647"/>
      <c r="AI632" s="647"/>
      <c r="AJ632" s="647"/>
      <c r="AK632" s="647"/>
      <c r="AL632" s="647"/>
      <c r="AM632" s="647"/>
    </row>
    <row r="633" spans="1:39" ht="14.1" customHeight="1">
      <c r="A633" s="687"/>
      <c r="B633" s="688"/>
      <c r="C633" s="688"/>
      <c r="D633" s="688"/>
      <c r="E633" s="688"/>
      <c r="F633" s="689"/>
      <c r="G633" s="648"/>
      <c r="H633" s="648"/>
      <c r="I633" s="648"/>
      <c r="J633" s="714">
        <f t="shared" si="35"/>
        <v>45777</v>
      </c>
      <c r="K633" s="715"/>
      <c r="L633" s="716"/>
      <c r="M633" s="648"/>
      <c r="N633" s="648"/>
      <c r="O633" s="648"/>
      <c r="P633" s="648"/>
      <c r="Q633" s="648"/>
      <c r="R633" s="647"/>
      <c r="S633" s="647"/>
      <c r="T633" s="647"/>
      <c r="U633" s="647"/>
      <c r="V633" s="647"/>
      <c r="W633" s="647"/>
      <c r="X633" s="647"/>
      <c r="Y633" s="647"/>
      <c r="Z633" s="647"/>
      <c r="AA633" s="647"/>
      <c r="AB633" s="647"/>
      <c r="AC633" s="647"/>
      <c r="AD633" s="647"/>
      <c r="AE633" s="647"/>
      <c r="AF633" s="647"/>
      <c r="AG633" s="647"/>
      <c r="AH633" s="647"/>
      <c r="AI633" s="647"/>
      <c r="AJ633" s="647"/>
      <c r="AK633" s="647"/>
      <c r="AL633" s="647"/>
      <c r="AM633" s="647"/>
    </row>
    <row r="634" spans="1:39" ht="14.1" customHeight="1">
      <c r="A634" s="684" t="str">
        <f>A631</f>
        <v>V.21G90290210104559/3</v>
      </c>
      <c r="B634" s="685"/>
      <c r="C634" s="685"/>
      <c r="D634" s="685"/>
      <c r="E634" s="685"/>
      <c r="F634" s="686"/>
      <c r="G634" s="648" t="s">
        <v>730</v>
      </c>
      <c r="H634" s="648"/>
      <c r="I634" s="673"/>
      <c r="J634" s="655">
        <f>'Date masura OD'!$I$5</f>
        <v>45778</v>
      </c>
      <c r="K634" s="656"/>
      <c r="L634" s="657"/>
      <c r="M634" s="720" t="s">
        <v>446</v>
      </c>
      <c r="N634" s="648"/>
      <c r="O634" s="648">
        <f>O631</f>
        <v>1</v>
      </c>
      <c r="P634" s="648"/>
      <c r="Q634" s="648"/>
      <c r="R634" s="647" t="str">
        <f>U625</f>
        <v>1207780 (citit)</v>
      </c>
      <c r="S634" s="647"/>
      <c r="T634" s="647"/>
      <c r="U634" s="647" t="str">
        <f>VLOOKUP(A634,'Incrementare indexe'!$D:$M,4,FALSE)&amp;" (estimat)"</f>
        <v>1297397 (estimat)</v>
      </c>
      <c r="V634" s="647"/>
      <c r="W634" s="647"/>
      <c r="X634" s="647" t="str">
        <f>VLOOKUP(A634,'Incrementare indexe'!$D:$Q,11,FALSE)&amp;" (estimat)"</f>
        <v>89617 (estimat)</v>
      </c>
      <c r="Y634" s="647"/>
      <c r="Z634" s="647"/>
      <c r="AA634" s="647" t="s">
        <v>69</v>
      </c>
      <c r="AB634" s="647"/>
      <c r="AC634" s="647"/>
      <c r="AD634" s="647" t="s">
        <v>69</v>
      </c>
      <c r="AE634" s="647"/>
      <c r="AF634" s="647">
        <f>VLOOKUP(A634,'Incrementare indexe'!$D:$Q,11,FALSE)</f>
        <v>89617</v>
      </c>
      <c r="AG634" s="647"/>
      <c r="AH634" s="647"/>
      <c r="AI634" s="647">
        <f>J636-J634+1</f>
        <v>31</v>
      </c>
      <c r="AJ634" s="647"/>
      <c r="AK634" s="647">
        <f>ROUND(AF634/AI634,2)</f>
        <v>2890.87</v>
      </c>
      <c r="AL634" s="647"/>
      <c r="AM634" s="647"/>
    </row>
    <row r="635" spans="1:39" ht="8.4499999999999993" customHeight="1">
      <c r="A635" s="727"/>
      <c r="B635" s="729"/>
      <c r="C635" s="729"/>
      <c r="D635" s="729"/>
      <c r="E635" s="729"/>
      <c r="F635" s="728"/>
      <c r="G635" s="648"/>
      <c r="H635" s="648"/>
      <c r="I635" s="673"/>
      <c r="J635" s="717" t="s">
        <v>69</v>
      </c>
      <c r="K635" s="718"/>
      <c r="L635" s="719"/>
      <c r="M635" s="720"/>
      <c r="N635" s="648"/>
      <c r="O635" s="648"/>
      <c r="P635" s="648"/>
      <c r="Q635" s="648"/>
      <c r="R635" s="647"/>
      <c r="S635" s="647"/>
      <c r="T635" s="647"/>
      <c r="U635" s="647"/>
      <c r="V635" s="647"/>
      <c r="W635" s="647"/>
      <c r="X635" s="647"/>
      <c r="Y635" s="647"/>
      <c r="Z635" s="647"/>
      <c r="AA635" s="647"/>
      <c r="AB635" s="647"/>
      <c r="AC635" s="647"/>
      <c r="AD635" s="647"/>
      <c r="AE635" s="647"/>
      <c r="AF635" s="647"/>
      <c r="AG635" s="647"/>
      <c r="AH635" s="647"/>
      <c r="AI635" s="647"/>
      <c r="AJ635" s="647"/>
      <c r="AK635" s="647"/>
      <c r="AL635" s="647"/>
      <c r="AM635" s="647"/>
    </row>
    <row r="636" spans="1:39" ht="14.1" customHeight="1">
      <c r="A636" s="687"/>
      <c r="B636" s="688"/>
      <c r="C636" s="688"/>
      <c r="D636" s="688"/>
      <c r="E636" s="688"/>
      <c r="F636" s="689"/>
      <c r="G636" s="648"/>
      <c r="H636" s="648"/>
      <c r="I636" s="673"/>
      <c r="J636" s="714">
        <f>'Date masura OD'!$J$5</f>
        <v>45808</v>
      </c>
      <c r="K636" s="715"/>
      <c r="L636" s="716"/>
      <c r="M636" s="720"/>
      <c r="N636" s="648"/>
      <c r="O636" s="648"/>
      <c r="P636" s="648"/>
      <c r="Q636" s="648"/>
      <c r="R636" s="647"/>
      <c r="S636" s="647"/>
      <c r="T636" s="647"/>
      <c r="U636" s="647"/>
      <c r="V636" s="647"/>
      <c r="W636" s="647"/>
      <c r="X636" s="647"/>
      <c r="Y636" s="647"/>
      <c r="Z636" s="647"/>
      <c r="AA636" s="647"/>
      <c r="AB636" s="647"/>
      <c r="AC636" s="647"/>
      <c r="AD636" s="647"/>
      <c r="AE636" s="647"/>
      <c r="AF636" s="647"/>
      <c r="AG636" s="647"/>
      <c r="AH636" s="647"/>
      <c r="AI636" s="647"/>
      <c r="AJ636" s="647"/>
      <c r="AK636" s="647"/>
      <c r="AL636" s="647"/>
      <c r="AM636" s="647"/>
    </row>
    <row r="637" spans="1:39" ht="14.1" customHeight="1">
      <c r="A637" s="684" t="str">
        <f>A634</f>
        <v>V.21G90290210104559/3</v>
      </c>
      <c r="B637" s="685"/>
      <c r="C637" s="685"/>
      <c r="D637" s="685"/>
      <c r="E637" s="685"/>
      <c r="F637" s="686"/>
      <c r="G637" s="648" t="s">
        <v>696</v>
      </c>
      <c r="H637" s="648"/>
      <c r="I637" s="648"/>
      <c r="J637" s="655">
        <f t="shared" ref="J637:J642" si="36">J634</f>
        <v>45778</v>
      </c>
      <c r="K637" s="656"/>
      <c r="L637" s="657"/>
      <c r="M637" s="648" t="s">
        <v>720</v>
      </c>
      <c r="N637" s="648"/>
      <c r="O637" s="648">
        <f>O634</f>
        <v>1</v>
      </c>
      <c r="P637" s="648"/>
      <c r="Q637" s="648"/>
      <c r="R637" s="647" t="str">
        <f>U628</f>
        <v>22697 (citit)</v>
      </c>
      <c r="S637" s="647"/>
      <c r="T637" s="647"/>
      <c r="U637" s="647" t="str">
        <f>VLOOKUP(A637,'Incrementare indexe'!$D:$M,8,FALSE)&amp;" (estimat)"</f>
        <v>22697 (estimat)</v>
      </c>
      <c r="V637" s="647"/>
      <c r="W637" s="647"/>
      <c r="X637" s="647" t="str">
        <f>VLOOKUP(A637,'Incrementare indexe'!$D:$Q,12,FALSE)&amp;" (estimat)"</f>
        <v>0 (estimat)</v>
      </c>
      <c r="Y637" s="647"/>
      <c r="Z637" s="647"/>
      <c r="AA637" s="647" t="s">
        <v>69</v>
      </c>
      <c r="AB637" s="647"/>
      <c r="AC637" s="647"/>
      <c r="AD637" s="647" t="s">
        <v>69</v>
      </c>
      <c r="AE637" s="647"/>
      <c r="AF637" s="647">
        <f>VLOOKUP(A637,'Incrementare indexe'!$D:$Q,12,FALSE)</f>
        <v>0</v>
      </c>
      <c r="AG637" s="647"/>
      <c r="AH637" s="647"/>
      <c r="AI637" s="647">
        <f>AI634</f>
        <v>31</v>
      </c>
      <c r="AJ637" s="647"/>
      <c r="AK637" s="647">
        <f>ROUND(AF637/AI637,2)</f>
        <v>0</v>
      </c>
      <c r="AL637" s="647"/>
      <c r="AM637" s="647"/>
    </row>
    <row r="638" spans="1:39" ht="8.4499999999999993" customHeight="1">
      <c r="A638" s="727"/>
      <c r="B638" s="729"/>
      <c r="C638" s="729"/>
      <c r="D638" s="729"/>
      <c r="E638" s="729"/>
      <c r="F638" s="728"/>
      <c r="G638" s="648"/>
      <c r="H638" s="648"/>
      <c r="I638" s="648"/>
      <c r="J638" s="717" t="str">
        <f t="shared" si="36"/>
        <v>-</v>
      </c>
      <c r="K638" s="718"/>
      <c r="L638" s="719"/>
      <c r="M638" s="648"/>
      <c r="N638" s="648"/>
      <c r="O638" s="648"/>
      <c r="P638" s="648"/>
      <c r="Q638" s="648"/>
      <c r="R638" s="647"/>
      <c r="S638" s="647"/>
      <c r="T638" s="647"/>
      <c r="U638" s="647"/>
      <c r="V638" s="647"/>
      <c r="W638" s="647"/>
      <c r="X638" s="647"/>
      <c r="Y638" s="647"/>
      <c r="Z638" s="647"/>
      <c r="AA638" s="647"/>
      <c r="AB638" s="647"/>
      <c r="AC638" s="647"/>
      <c r="AD638" s="647"/>
      <c r="AE638" s="647"/>
      <c r="AF638" s="647"/>
      <c r="AG638" s="647"/>
      <c r="AH638" s="647"/>
      <c r="AI638" s="647"/>
      <c r="AJ638" s="647"/>
      <c r="AK638" s="647"/>
      <c r="AL638" s="647"/>
      <c r="AM638" s="647"/>
    </row>
    <row r="639" spans="1:39" ht="14.1" customHeight="1">
      <c r="A639" s="687"/>
      <c r="B639" s="688"/>
      <c r="C639" s="688"/>
      <c r="D639" s="688"/>
      <c r="E639" s="688"/>
      <c r="F639" s="689"/>
      <c r="G639" s="648"/>
      <c r="H639" s="648"/>
      <c r="I639" s="648"/>
      <c r="J639" s="714">
        <f t="shared" si="36"/>
        <v>45808</v>
      </c>
      <c r="K639" s="715"/>
      <c r="L639" s="716"/>
      <c r="M639" s="648"/>
      <c r="N639" s="648"/>
      <c r="O639" s="648"/>
      <c r="P639" s="648"/>
      <c r="Q639" s="648"/>
      <c r="R639" s="647"/>
      <c r="S639" s="647"/>
      <c r="T639" s="647"/>
      <c r="U639" s="647"/>
      <c r="V639" s="647"/>
      <c r="W639" s="647"/>
      <c r="X639" s="647"/>
      <c r="Y639" s="647"/>
      <c r="Z639" s="647"/>
      <c r="AA639" s="647"/>
      <c r="AB639" s="647"/>
      <c r="AC639" s="647"/>
      <c r="AD639" s="647"/>
      <c r="AE639" s="647"/>
      <c r="AF639" s="647"/>
      <c r="AG639" s="647"/>
      <c r="AH639" s="647"/>
      <c r="AI639" s="647"/>
      <c r="AJ639" s="647"/>
      <c r="AK639" s="647"/>
      <c r="AL639" s="647"/>
      <c r="AM639" s="647"/>
    </row>
    <row r="640" spans="1:39" ht="14.1" customHeight="1">
      <c r="A640" s="684" t="str">
        <f>A637</f>
        <v>V.21G90290210104559/3</v>
      </c>
      <c r="B640" s="685"/>
      <c r="C640" s="685"/>
      <c r="D640" s="685"/>
      <c r="E640" s="685"/>
      <c r="F640" s="686"/>
      <c r="G640" s="648" t="s">
        <v>731</v>
      </c>
      <c r="H640" s="648"/>
      <c r="I640" s="648"/>
      <c r="J640" s="655">
        <f t="shared" si="36"/>
        <v>45778</v>
      </c>
      <c r="K640" s="656"/>
      <c r="L640" s="657"/>
      <c r="M640" s="648" t="s">
        <v>720</v>
      </c>
      <c r="N640" s="648"/>
      <c r="O640" s="648">
        <f>O637</f>
        <v>1</v>
      </c>
      <c r="P640" s="648"/>
      <c r="Q640" s="648"/>
      <c r="R640" s="647" t="str">
        <f>U631</f>
        <v>244 (citit)</v>
      </c>
      <c r="S640" s="647"/>
      <c r="T640" s="647"/>
      <c r="U640" s="647" t="str">
        <f>VLOOKUP(A640,'Incrementare indexe'!$D:$M,10,FALSE)&amp;" (estimat)"</f>
        <v>244 (estimat)</v>
      </c>
      <c r="V640" s="647"/>
      <c r="W640" s="647"/>
      <c r="X640" s="647" t="str">
        <f>VLOOKUP(A640,'Incrementare indexe'!$D:$Q,13,FALSE)&amp;" (estimat)"</f>
        <v>0 (estimat)</v>
      </c>
      <c r="Y640" s="647"/>
      <c r="Z640" s="647"/>
      <c r="AA640" s="647" t="s">
        <v>69</v>
      </c>
      <c r="AB640" s="647"/>
      <c r="AC640" s="647"/>
      <c r="AD640" s="647" t="s">
        <v>69</v>
      </c>
      <c r="AE640" s="647"/>
      <c r="AF640" s="647">
        <f>VLOOKUP(A640,'Incrementare indexe'!$D:$Q,13,FALSE)</f>
        <v>0</v>
      </c>
      <c r="AG640" s="647"/>
      <c r="AH640" s="647"/>
      <c r="AI640" s="647">
        <f>AI637</f>
        <v>31</v>
      </c>
      <c r="AJ640" s="647"/>
      <c r="AK640" s="647">
        <f>ROUND(AF640/AI640,2)</f>
        <v>0</v>
      </c>
      <c r="AL640" s="647"/>
      <c r="AM640" s="647"/>
    </row>
    <row r="641" spans="1:39" ht="8.4499999999999993" customHeight="1">
      <c r="A641" s="727"/>
      <c r="B641" s="729"/>
      <c r="C641" s="729"/>
      <c r="D641" s="729"/>
      <c r="E641" s="729"/>
      <c r="F641" s="728"/>
      <c r="G641" s="648"/>
      <c r="H641" s="648"/>
      <c r="I641" s="648"/>
      <c r="J641" s="717" t="str">
        <f t="shared" si="36"/>
        <v>-</v>
      </c>
      <c r="K641" s="718"/>
      <c r="L641" s="719"/>
      <c r="M641" s="648"/>
      <c r="N641" s="648"/>
      <c r="O641" s="648"/>
      <c r="P641" s="648"/>
      <c r="Q641" s="648"/>
      <c r="R641" s="647"/>
      <c r="S641" s="647"/>
      <c r="T641" s="647"/>
      <c r="U641" s="647"/>
      <c r="V641" s="647"/>
      <c r="W641" s="647"/>
      <c r="X641" s="647"/>
      <c r="Y641" s="647"/>
      <c r="Z641" s="647"/>
      <c r="AA641" s="647"/>
      <c r="AB641" s="647"/>
      <c r="AC641" s="647"/>
      <c r="AD641" s="647"/>
      <c r="AE641" s="647"/>
      <c r="AF641" s="647"/>
      <c r="AG641" s="647"/>
      <c r="AH641" s="647"/>
      <c r="AI641" s="647"/>
      <c r="AJ641" s="647"/>
      <c r="AK641" s="647"/>
      <c r="AL641" s="647"/>
      <c r="AM641" s="647"/>
    </row>
    <row r="642" spans="1:39" ht="14.1" customHeight="1">
      <c r="A642" s="687"/>
      <c r="B642" s="688"/>
      <c r="C642" s="688"/>
      <c r="D642" s="688"/>
      <c r="E642" s="688"/>
      <c r="F642" s="689"/>
      <c r="G642" s="648"/>
      <c r="H642" s="648"/>
      <c r="I642" s="648"/>
      <c r="J642" s="714">
        <f t="shared" si="36"/>
        <v>45808</v>
      </c>
      <c r="K642" s="715"/>
      <c r="L642" s="716"/>
      <c r="M642" s="648"/>
      <c r="N642" s="648"/>
      <c r="O642" s="648"/>
      <c r="P642" s="648"/>
      <c r="Q642" s="648"/>
      <c r="R642" s="647"/>
      <c r="S642" s="647"/>
      <c r="T642" s="647"/>
      <c r="U642" s="647"/>
      <c r="V642" s="647"/>
      <c r="W642" s="647"/>
      <c r="X642" s="647"/>
      <c r="Y642" s="647"/>
      <c r="Z642" s="647"/>
      <c r="AA642" s="647"/>
      <c r="AB642" s="647"/>
      <c r="AC642" s="647"/>
      <c r="AD642" s="647"/>
      <c r="AE642" s="647"/>
      <c r="AF642" s="647"/>
      <c r="AG642" s="647"/>
      <c r="AH642" s="647"/>
      <c r="AI642" s="647"/>
      <c r="AJ642" s="647"/>
      <c r="AK642" s="647"/>
      <c r="AL642" s="647"/>
      <c r="AM642" s="647"/>
    </row>
    <row r="643" spans="1:39" ht="14.1" customHeight="1"/>
    <row r="644" spans="1:39" ht="14.1" customHeight="1"/>
    <row r="645" spans="1:39" ht="14.1" customHeight="1"/>
    <row r="646" spans="1:39" ht="14.1" customHeight="1"/>
    <row r="647" spans="1:39" ht="14.1" customHeight="1"/>
    <row r="648" spans="1:39" ht="14.1" customHeight="1"/>
    <row r="649" spans="1:39" ht="14.1" customHeight="1"/>
    <row r="650" spans="1:39" ht="14.1" customHeight="1"/>
    <row r="651" spans="1:39" ht="14.1" customHeight="1"/>
    <row r="652" spans="1:39" ht="14.1" customHeight="1"/>
    <row r="653" spans="1:39" ht="14.1" customHeight="1"/>
    <row r="654" spans="1:39" ht="14.1" customHeight="1"/>
    <row r="655" spans="1:39" ht="14.1" customHeight="1"/>
    <row r="656" spans="1:39" ht="14.1" customHeight="1"/>
    <row r="657" spans="1:39" ht="14.1" customHeight="1"/>
    <row r="658" spans="1:39" ht="14.1" customHeight="1"/>
    <row r="659" spans="1:39" ht="14.1" customHeight="1"/>
    <row r="660" spans="1:39" ht="14.1" customHeight="1"/>
    <row r="661" spans="1:39" ht="14.1" customHeight="1"/>
    <row r="662" spans="1:39" ht="14.1" customHeight="1"/>
    <row r="663" spans="1:39">
      <c r="A663" s="649" t="s">
        <v>748</v>
      </c>
      <c r="B663" s="649"/>
      <c r="C663" s="649"/>
      <c r="D663" s="649"/>
      <c r="E663" s="649"/>
      <c r="F663" s="649"/>
      <c r="G663" s="649"/>
      <c r="H663" s="649"/>
      <c r="I663" s="649"/>
      <c r="J663" s="649"/>
      <c r="K663" s="649"/>
      <c r="L663" s="649"/>
      <c r="M663" s="650" t="str">
        <f>VLOOKUP(AI664,'Contorizare in SDI'!$E:$I,4,FALSE)</f>
        <v>RO001E110105365/4</v>
      </c>
      <c r="N663" s="650"/>
      <c r="O663" s="650"/>
      <c r="P663" s="650"/>
      <c r="Q663" s="650"/>
      <c r="R663" s="650"/>
      <c r="S663" s="650"/>
      <c r="T663" s="650"/>
      <c r="U663" s="650"/>
      <c r="V663" s="650"/>
      <c r="W663" s="650"/>
      <c r="X663" s="650"/>
      <c r="Y663" s="650"/>
      <c r="Z663" s="650"/>
      <c r="AA663" s="650"/>
      <c r="AB663" s="650"/>
      <c r="AC663" s="650"/>
      <c r="AD663" s="650"/>
      <c r="AE663" s="650"/>
      <c r="AF663" s="650"/>
      <c r="AG663" s="650"/>
      <c r="AH663" s="650"/>
      <c r="AI663" s="650" t="s">
        <v>695</v>
      </c>
      <c r="AJ663" s="650"/>
      <c r="AK663" s="650"/>
      <c r="AL663" s="650"/>
      <c r="AM663" s="650"/>
    </row>
    <row r="664" spans="1:39">
      <c r="A664" s="649" t="s">
        <v>746</v>
      </c>
      <c r="B664" s="649"/>
      <c r="C664" s="649"/>
      <c r="D664" s="649"/>
      <c r="E664" s="649"/>
      <c r="F664" s="649"/>
      <c r="G664" s="649"/>
      <c r="H664" s="649"/>
      <c r="I664" s="649"/>
      <c r="J664" s="649"/>
      <c r="K664" s="649"/>
      <c r="L664" s="649"/>
      <c r="M664" s="650" t="str">
        <f>VLOOKUP(AI664,'Inchidere contur'!$G:$U,15,FALSE)</f>
        <v>JT_SDI</v>
      </c>
      <c r="N664" s="650"/>
      <c r="O664" s="650"/>
      <c r="P664" s="650"/>
      <c r="Q664" s="650"/>
      <c r="R664" s="650"/>
      <c r="S664" s="650"/>
      <c r="T664" s="650"/>
      <c r="U664" s="650"/>
      <c r="V664" s="650"/>
      <c r="W664" s="650"/>
      <c r="X664" s="650"/>
      <c r="Y664" s="650"/>
      <c r="Z664" s="650"/>
      <c r="AA664" s="650"/>
      <c r="AB664" s="650"/>
      <c r="AC664" s="650"/>
      <c r="AD664" s="650"/>
      <c r="AE664" s="650"/>
      <c r="AF664" s="650"/>
      <c r="AG664" s="650"/>
      <c r="AH664" s="650"/>
      <c r="AI664" s="619" t="str">
        <f>_xlfn.CONCAT($AA$506,".",4)</f>
        <v>RMEG_3.4</v>
      </c>
      <c r="AJ664" s="619"/>
      <c r="AK664" s="619"/>
      <c r="AL664" s="619"/>
      <c r="AM664" s="619"/>
    </row>
    <row r="665" spans="1:39">
      <c r="A665" s="649" t="s">
        <v>747</v>
      </c>
      <c r="B665" s="649"/>
      <c r="C665" s="649"/>
      <c r="D665" s="649"/>
      <c r="E665" s="649"/>
      <c r="F665" s="649"/>
      <c r="G665" s="649"/>
      <c r="H665" s="649"/>
      <c r="I665" s="649"/>
      <c r="J665" s="649"/>
      <c r="K665" s="649"/>
      <c r="L665" s="649"/>
      <c r="M665" s="650" t="str">
        <f>IF(LEFT(M664,2)="JT","0.4kV",IF(LEFT(M664,2)="MT","20kV","-"))</f>
        <v>0.4kV</v>
      </c>
      <c r="N665" s="650"/>
      <c r="O665" s="650"/>
      <c r="P665" s="650"/>
      <c r="Q665" s="650"/>
      <c r="R665" s="650"/>
      <c r="S665" s="650"/>
      <c r="T665" s="650"/>
      <c r="U665" s="650"/>
      <c r="V665" s="650"/>
      <c r="W665" s="650"/>
      <c r="X665" s="650"/>
      <c r="Y665" s="650"/>
      <c r="Z665" s="650"/>
      <c r="AA665" s="650"/>
      <c r="AB665" s="650"/>
      <c r="AC665" s="650"/>
      <c r="AD665" s="650"/>
      <c r="AE665" s="650"/>
      <c r="AF665" s="650"/>
      <c r="AG665" s="650"/>
      <c r="AH665" s="650"/>
      <c r="AI665" s="619"/>
      <c r="AJ665" s="619"/>
      <c r="AK665" s="619"/>
      <c r="AL665" s="619"/>
      <c r="AM665" s="619"/>
    </row>
    <row r="666" spans="1:39" ht="15.95" customHeight="1">
      <c r="A666" s="648" t="s">
        <v>697</v>
      </c>
      <c r="B666" s="648"/>
      <c r="C666" s="648"/>
      <c r="D666" s="648"/>
      <c r="E666" s="648"/>
      <c r="F666" s="648"/>
      <c r="G666" s="647" t="s">
        <v>713</v>
      </c>
      <c r="H666" s="647"/>
      <c r="I666" s="647"/>
      <c r="J666" s="647" t="s">
        <v>714</v>
      </c>
      <c r="K666" s="647"/>
      <c r="L666" s="647"/>
      <c r="M666" s="648" t="s">
        <v>519</v>
      </c>
      <c r="N666" s="648"/>
      <c r="O666" s="648" t="s">
        <v>715</v>
      </c>
      <c r="P666" s="648"/>
      <c r="Q666" s="648"/>
      <c r="R666" s="647" t="s">
        <v>732</v>
      </c>
      <c r="S666" s="647"/>
      <c r="T666" s="647"/>
      <c r="U666" s="647" t="s">
        <v>734</v>
      </c>
      <c r="V666" s="647"/>
      <c r="W666" s="647"/>
      <c r="X666" s="647" t="s">
        <v>1085</v>
      </c>
      <c r="Y666" s="647"/>
      <c r="Z666" s="647"/>
      <c r="AA666" s="647" t="s">
        <v>1086</v>
      </c>
      <c r="AB666" s="647"/>
      <c r="AC666" s="647"/>
      <c r="AD666" s="647" t="s">
        <v>717</v>
      </c>
      <c r="AE666" s="647"/>
      <c r="AF666" s="647" t="s">
        <v>718</v>
      </c>
      <c r="AG666" s="647"/>
      <c r="AH666" s="647"/>
      <c r="AI666" s="647" t="s">
        <v>719</v>
      </c>
      <c r="AJ666" s="647"/>
      <c r="AK666" s="647" t="s">
        <v>733</v>
      </c>
      <c r="AL666" s="647"/>
      <c r="AM666" s="647"/>
    </row>
    <row r="667" spans="1:39">
      <c r="A667" s="648"/>
      <c r="B667" s="648"/>
      <c r="C667" s="648"/>
      <c r="D667" s="648"/>
      <c r="E667" s="648"/>
      <c r="F667" s="648"/>
      <c r="G667" s="647"/>
      <c r="H667" s="647"/>
      <c r="I667" s="647"/>
      <c r="J667" s="647"/>
      <c r="K667" s="647"/>
      <c r="L667" s="647"/>
      <c r="M667" s="648"/>
      <c r="N667" s="648"/>
      <c r="O667" s="648"/>
      <c r="P667" s="648"/>
      <c r="Q667" s="648"/>
      <c r="R667" s="647"/>
      <c r="S667" s="647"/>
      <c r="T667" s="647"/>
      <c r="U667" s="647"/>
      <c r="V667" s="647"/>
      <c r="W667" s="647"/>
      <c r="X667" s="647"/>
      <c r="Y667" s="647"/>
      <c r="Z667" s="647"/>
      <c r="AA667" s="647"/>
      <c r="AB667" s="647"/>
      <c r="AC667" s="647"/>
      <c r="AD667" s="647"/>
      <c r="AE667" s="647"/>
      <c r="AF667" s="647"/>
      <c r="AG667" s="647"/>
      <c r="AH667" s="647"/>
      <c r="AI667" s="647"/>
      <c r="AJ667" s="647"/>
      <c r="AK667" s="647"/>
      <c r="AL667" s="647"/>
      <c r="AM667" s="647"/>
    </row>
    <row r="668" spans="1:39">
      <c r="A668" s="648"/>
      <c r="B668" s="648"/>
      <c r="C668" s="648"/>
      <c r="D668" s="648"/>
      <c r="E668" s="648"/>
      <c r="F668" s="648"/>
      <c r="G668" s="647"/>
      <c r="H668" s="647"/>
      <c r="I668" s="647"/>
      <c r="J668" s="713"/>
      <c r="K668" s="713"/>
      <c r="L668" s="713"/>
      <c r="M668" s="648"/>
      <c r="N668" s="648"/>
      <c r="O668" s="648"/>
      <c r="P668" s="648"/>
      <c r="Q668" s="648"/>
      <c r="R668" s="647"/>
      <c r="S668" s="647"/>
      <c r="T668" s="647"/>
      <c r="U668" s="647"/>
      <c r="V668" s="647"/>
      <c r="W668" s="647"/>
      <c r="X668" s="647"/>
      <c r="Y668" s="647"/>
      <c r="Z668" s="647"/>
      <c r="AA668" s="647"/>
      <c r="AB668" s="647"/>
      <c r="AC668" s="647"/>
      <c r="AD668" s="647"/>
      <c r="AE668" s="647"/>
      <c r="AF668" s="647"/>
      <c r="AG668" s="647"/>
      <c r="AH668" s="647"/>
      <c r="AI668" s="647"/>
      <c r="AJ668" s="647"/>
      <c r="AK668" s="647"/>
      <c r="AL668" s="647"/>
      <c r="AM668" s="647"/>
    </row>
    <row r="669" spans="1:39" ht="14.1" customHeight="1">
      <c r="A669" s="684" t="str">
        <f>VLOOKUP(AI664,'Contorizare in SDI'!$E:$I,5,FALSE)</f>
        <v>V.21G90290210104559/4</v>
      </c>
      <c r="B669" s="685"/>
      <c r="C669" s="685"/>
      <c r="D669" s="685"/>
      <c r="E669" s="685"/>
      <c r="F669" s="686"/>
      <c r="G669" s="648" t="s">
        <v>730</v>
      </c>
      <c r="H669" s="648"/>
      <c r="I669" s="673"/>
      <c r="J669" s="655">
        <f>'Date masura OD'!$AK$5</f>
        <v>45748</v>
      </c>
      <c r="K669" s="656"/>
      <c r="L669" s="657"/>
      <c r="M669" s="720" t="s">
        <v>446</v>
      </c>
      <c r="N669" s="648"/>
      <c r="O669" s="648">
        <f>VLOOKUP(AI664,'Incrementare indexe'!$B:$T,4,FALSE)</f>
        <v>1</v>
      </c>
      <c r="P669" s="648"/>
      <c r="Q669" s="648"/>
      <c r="R669" s="647" t="str">
        <f>VLOOKUP(A669,Regularizare!$D:$YN,3,FALSE)&amp;" ("&amp;VLOOKUP(A669,Regularizare!$D:$Y,11,FALSE)&amp;")"</f>
        <v>1479997 (citit)</v>
      </c>
      <c r="S669" s="647"/>
      <c r="T669" s="647"/>
      <c r="U669" s="647" t="str">
        <f>VLOOKUP(A669,Regularizare!$D:$U,4,FALSE)&amp;" ("&amp;VLOOKUP(A669,Regularizare!$D:$U,12,FALSE)&amp;")"</f>
        <v>1558118 (estimat)</v>
      </c>
      <c r="V669" s="647"/>
      <c r="W669" s="647"/>
      <c r="X669" s="647" t="str">
        <f>VLOOKUP(A669,Regularizare!$D:$Y,19,FALSE)&amp;" ("&amp;VLOOKUP(A669,Regularizare!$D:$U,12,FALSE)&amp;")"</f>
        <v>78121 (estimat)</v>
      </c>
      <c r="Y669" s="647"/>
      <c r="Z669" s="647"/>
      <c r="AA669" s="647">
        <f>(-1)*VLOOKUP(A669,Regularizare!$D:$Y,19,FALSE)</f>
        <v>-78121</v>
      </c>
      <c r="AB669" s="647"/>
      <c r="AC669" s="647"/>
      <c r="AD669" s="647" t="s">
        <v>69</v>
      </c>
      <c r="AE669" s="647"/>
      <c r="AF669" s="647">
        <f>AA669</f>
        <v>-78121</v>
      </c>
      <c r="AG669" s="647"/>
      <c r="AH669" s="647"/>
      <c r="AI669" s="647" t="s">
        <v>69</v>
      </c>
      <c r="AJ669" s="647"/>
      <c r="AK669" s="647" t="s">
        <v>69</v>
      </c>
      <c r="AL669" s="647"/>
      <c r="AM669" s="647"/>
    </row>
    <row r="670" spans="1:39" ht="9.75" customHeight="1">
      <c r="A670" s="727"/>
      <c r="B670" s="729"/>
      <c r="C670" s="729"/>
      <c r="D670" s="729"/>
      <c r="E670" s="729"/>
      <c r="F670" s="728"/>
      <c r="G670" s="648"/>
      <c r="H670" s="648"/>
      <c r="I670" s="673"/>
      <c r="J670" s="717" t="s">
        <v>69</v>
      </c>
      <c r="K670" s="718"/>
      <c r="L670" s="719"/>
      <c r="M670" s="720"/>
      <c r="N670" s="648"/>
      <c r="O670" s="648"/>
      <c r="P670" s="648"/>
      <c r="Q670" s="648"/>
      <c r="R670" s="647"/>
      <c r="S670" s="647"/>
      <c r="T670" s="647"/>
      <c r="U670" s="647"/>
      <c r="V670" s="647"/>
      <c r="W670" s="647"/>
      <c r="X670" s="647"/>
      <c r="Y670" s="647"/>
      <c r="Z670" s="647"/>
      <c r="AA670" s="647"/>
      <c r="AB670" s="647"/>
      <c r="AC670" s="647"/>
      <c r="AD670" s="647"/>
      <c r="AE670" s="647"/>
      <c r="AF670" s="647"/>
      <c r="AG670" s="647"/>
      <c r="AH670" s="647"/>
      <c r="AI670" s="647"/>
      <c r="AJ670" s="647"/>
      <c r="AK670" s="647"/>
      <c r="AL670" s="647"/>
      <c r="AM670" s="647"/>
    </row>
    <row r="671" spans="1:39" ht="14.1" customHeight="1">
      <c r="A671" s="687"/>
      <c r="B671" s="688"/>
      <c r="C671" s="688"/>
      <c r="D671" s="688"/>
      <c r="E671" s="688"/>
      <c r="F671" s="689"/>
      <c r="G671" s="648"/>
      <c r="H671" s="648"/>
      <c r="I671" s="673"/>
      <c r="J671" s="714">
        <f>'Date masura OD'!$AL$5</f>
        <v>45777</v>
      </c>
      <c r="K671" s="715"/>
      <c r="L671" s="716"/>
      <c r="M671" s="720"/>
      <c r="N671" s="648"/>
      <c r="O671" s="648"/>
      <c r="P671" s="648"/>
      <c r="Q671" s="648"/>
      <c r="R671" s="647"/>
      <c r="S671" s="647"/>
      <c r="T671" s="647"/>
      <c r="U671" s="647"/>
      <c r="V671" s="647"/>
      <c r="W671" s="647"/>
      <c r="X671" s="647"/>
      <c r="Y671" s="647"/>
      <c r="Z671" s="647"/>
      <c r="AA671" s="647"/>
      <c r="AB671" s="647"/>
      <c r="AC671" s="647"/>
      <c r="AD671" s="647"/>
      <c r="AE671" s="647"/>
      <c r="AF671" s="647"/>
      <c r="AG671" s="647"/>
      <c r="AH671" s="647"/>
      <c r="AI671" s="647"/>
      <c r="AJ671" s="647"/>
      <c r="AK671" s="647"/>
      <c r="AL671" s="647"/>
      <c r="AM671" s="647"/>
    </row>
    <row r="672" spans="1:39" ht="14.1" customHeight="1">
      <c r="A672" s="684" t="str">
        <f>A669</f>
        <v>V.21G90290210104559/4</v>
      </c>
      <c r="B672" s="685"/>
      <c r="C672" s="685"/>
      <c r="D672" s="685"/>
      <c r="E672" s="685"/>
      <c r="F672" s="686"/>
      <c r="G672" s="648" t="s">
        <v>696</v>
      </c>
      <c r="H672" s="648"/>
      <c r="I672" s="648"/>
      <c r="J672" s="655">
        <f t="shared" ref="J672:J677" si="37">J669</f>
        <v>45748</v>
      </c>
      <c r="K672" s="656"/>
      <c r="L672" s="657"/>
      <c r="M672" s="648" t="s">
        <v>720</v>
      </c>
      <c r="N672" s="648"/>
      <c r="O672" s="648">
        <f>O669</f>
        <v>1</v>
      </c>
      <c r="P672" s="648"/>
      <c r="Q672" s="648"/>
      <c r="R672" s="647" t="str">
        <f>VLOOKUP(A672,Regularizare!$D:$U,7,FALSE)&amp;" ("&amp;VLOOKUP(A672,Regularizare!$D:$U,15,FALSE)&amp;")"</f>
        <v>22745 (citit)</v>
      </c>
      <c r="S672" s="647"/>
      <c r="T672" s="647"/>
      <c r="U672" s="647" t="str">
        <f>VLOOKUP(A672,Regularizare!$D:$U,8,FALSE)&amp;" ("&amp;VLOOKUP(A672,Regularizare!$D:$U,16,FALSE)&amp;")"</f>
        <v>22745 (estimat)</v>
      </c>
      <c r="V672" s="647"/>
      <c r="W672" s="647"/>
      <c r="X672" s="647" t="str">
        <f>_xlfn.CONCAT(VLOOKUP(A672,Regularizare!$D:$U,8,FALSE)-VLOOKUP(A672,Regularizare!$D:$U,7,FALSE)," (",VLOOKUP(A672,Regularizare!$D:$U,16,FALSE),")")</f>
        <v>0 (estimat)</v>
      </c>
      <c r="Y672" s="647"/>
      <c r="Z672" s="647"/>
      <c r="AA672" s="647">
        <f>IF(VLOOKUP(A672,Regularizare!$D:$Y,21,FALSE)=0,VLOOKUP(A672,Regularizare!$D:$Y,21,FALSE),(-1)*VLOOKUP(A672,Regularizare!$D:$Y,21,FALSE))</f>
        <v>0</v>
      </c>
      <c r="AB672" s="647"/>
      <c r="AC672" s="647"/>
      <c r="AD672" s="647" t="s">
        <v>69</v>
      </c>
      <c r="AE672" s="647"/>
      <c r="AF672" s="647">
        <f>AA672</f>
        <v>0</v>
      </c>
      <c r="AG672" s="647"/>
      <c r="AH672" s="647"/>
      <c r="AI672" s="647" t="str">
        <f>AI669</f>
        <v>-</v>
      </c>
      <c r="AJ672" s="647"/>
      <c r="AK672" s="647" t="str">
        <f>AK669</f>
        <v>-</v>
      </c>
      <c r="AL672" s="647"/>
      <c r="AM672" s="647"/>
    </row>
    <row r="673" spans="1:39" ht="8.4499999999999993" customHeight="1">
      <c r="A673" s="727"/>
      <c r="B673" s="729"/>
      <c r="C673" s="729"/>
      <c r="D673" s="729"/>
      <c r="E673" s="729"/>
      <c r="F673" s="728"/>
      <c r="G673" s="648"/>
      <c r="H673" s="648"/>
      <c r="I673" s="648"/>
      <c r="J673" s="717" t="str">
        <f t="shared" si="37"/>
        <v>-</v>
      </c>
      <c r="K673" s="718"/>
      <c r="L673" s="719"/>
      <c r="M673" s="648"/>
      <c r="N673" s="648"/>
      <c r="O673" s="648"/>
      <c r="P673" s="648"/>
      <c r="Q673" s="648"/>
      <c r="R673" s="647"/>
      <c r="S673" s="647"/>
      <c r="T673" s="647"/>
      <c r="U673" s="647"/>
      <c r="V673" s="647"/>
      <c r="W673" s="647"/>
      <c r="X673" s="647"/>
      <c r="Y673" s="647"/>
      <c r="Z673" s="647"/>
      <c r="AA673" s="647"/>
      <c r="AB673" s="647"/>
      <c r="AC673" s="647"/>
      <c r="AD673" s="647"/>
      <c r="AE673" s="647"/>
      <c r="AF673" s="647"/>
      <c r="AG673" s="647"/>
      <c r="AH673" s="647"/>
      <c r="AI673" s="647"/>
      <c r="AJ673" s="647"/>
      <c r="AK673" s="647"/>
      <c r="AL673" s="647"/>
      <c r="AM673" s="647"/>
    </row>
    <row r="674" spans="1:39" ht="14.1" customHeight="1">
      <c r="A674" s="687"/>
      <c r="B674" s="688"/>
      <c r="C674" s="688"/>
      <c r="D674" s="688"/>
      <c r="E674" s="688"/>
      <c r="F674" s="689"/>
      <c r="G674" s="648"/>
      <c r="H674" s="648"/>
      <c r="I674" s="648"/>
      <c r="J674" s="714">
        <f t="shared" si="37"/>
        <v>45777</v>
      </c>
      <c r="K674" s="715"/>
      <c r="L674" s="716"/>
      <c r="M674" s="648"/>
      <c r="N674" s="648"/>
      <c r="O674" s="648"/>
      <c r="P674" s="648"/>
      <c r="Q674" s="648"/>
      <c r="R674" s="647"/>
      <c r="S674" s="647"/>
      <c r="T674" s="647"/>
      <c r="U674" s="647"/>
      <c r="V674" s="647"/>
      <c r="W674" s="647"/>
      <c r="X674" s="647"/>
      <c r="Y674" s="647"/>
      <c r="Z674" s="647"/>
      <c r="AA674" s="647"/>
      <c r="AB674" s="647"/>
      <c r="AC674" s="647"/>
      <c r="AD674" s="647"/>
      <c r="AE674" s="647"/>
      <c r="AF674" s="647"/>
      <c r="AG674" s="647"/>
      <c r="AH674" s="647"/>
      <c r="AI674" s="647"/>
      <c r="AJ674" s="647"/>
      <c r="AK674" s="647"/>
      <c r="AL674" s="647"/>
      <c r="AM674" s="647"/>
    </row>
    <row r="675" spans="1:39" ht="14.1" customHeight="1">
      <c r="A675" s="684" t="str">
        <f>A672</f>
        <v>V.21G90290210104559/4</v>
      </c>
      <c r="B675" s="685"/>
      <c r="C675" s="685"/>
      <c r="D675" s="685"/>
      <c r="E675" s="685"/>
      <c r="F675" s="686"/>
      <c r="G675" s="648" t="s">
        <v>731</v>
      </c>
      <c r="H675" s="648"/>
      <c r="I675" s="648"/>
      <c r="J675" s="655">
        <f t="shared" si="37"/>
        <v>45748</v>
      </c>
      <c r="K675" s="656"/>
      <c r="L675" s="657"/>
      <c r="M675" s="648" t="s">
        <v>720</v>
      </c>
      <c r="N675" s="648"/>
      <c r="O675" s="648">
        <f>O672</f>
        <v>1</v>
      </c>
      <c r="P675" s="648"/>
      <c r="Q675" s="648"/>
      <c r="R675" s="647" t="str">
        <f>VLOOKUP(A675,Regularizare!$D:$U,9,FALSE)&amp;" ("&amp;VLOOKUP(A675,Regularizare!$D:$U,17,FALSE)&amp;")"</f>
        <v>292 (citit)</v>
      </c>
      <c r="S675" s="647"/>
      <c r="T675" s="647"/>
      <c r="U675" s="647" t="str">
        <f>VLOOKUP(A675,Regularizare!$D:$U,10,FALSE)&amp;" ("&amp;VLOOKUP(A675,Regularizare!$D:$U,18,FALSE)&amp;")"</f>
        <v>292 (estimat)</v>
      </c>
      <c r="V675" s="647"/>
      <c r="W675" s="647"/>
      <c r="X675" s="647" t="str">
        <f>_xlfn.CONCAT(VLOOKUP(A675,Regularizare!$D:$U,10,FALSE)-VLOOKUP(A675,Regularizare!$D:$U,9,FALSE)," (",VLOOKUP(A675,Regularizare!$D:$U,18,FALSE),")")</f>
        <v>0 (estimat)</v>
      </c>
      <c r="Y675" s="647"/>
      <c r="Z675" s="647"/>
      <c r="AA675" s="647">
        <f>IF(VLOOKUP(A675,Regularizare!$D:$Y,22,FALSE)=0,VLOOKUP(A675,Regularizare!$D:$Y,22,FALSE),(-1)*VLOOKUP(A675,Regularizare!$D:$Y,22,FALSE))</f>
        <v>0</v>
      </c>
      <c r="AB675" s="647"/>
      <c r="AC675" s="647"/>
      <c r="AD675" s="647" t="s">
        <v>69</v>
      </c>
      <c r="AE675" s="647"/>
      <c r="AF675" s="647">
        <f>AA675</f>
        <v>0</v>
      </c>
      <c r="AG675" s="647"/>
      <c r="AH675" s="647"/>
      <c r="AI675" s="647" t="str">
        <f>AI672</f>
        <v>-</v>
      </c>
      <c r="AJ675" s="647"/>
      <c r="AK675" s="647" t="str">
        <f>AK672</f>
        <v>-</v>
      </c>
      <c r="AL675" s="647"/>
      <c r="AM675" s="647"/>
    </row>
    <row r="676" spans="1:39" ht="8.4499999999999993" customHeight="1">
      <c r="A676" s="727"/>
      <c r="B676" s="729"/>
      <c r="C676" s="729"/>
      <c r="D676" s="729"/>
      <c r="E676" s="729"/>
      <c r="F676" s="728"/>
      <c r="G676" s="648"/>
      <c r="H676" s="648"/>
      <c r="I676" s="648"/>
      <c r="J676" s="717" t="str">
        <f t="shared" si="37"/>
        <v>-</v>
      </c>
      <c r="K676" s="718"/>
      <c r="L676" s="719"/>
      <c r="M676" s="648"/>
      <c r="N676" s="648"/>
      <c r="O676" s="648"/>
      <c r="P676" s="648"/>
      <c r="Q676" s="648"/>
      <c r="R676" s="647"/>
      <c r="S676" s="647"/>
      <c r="T676" s="647"/>
      <c r="U676" s="647"/>
      <c r="V676" s="647"/>
      <c r="W676" s="647"/>
      <c r="X676" s="647"/>
      <c r="Y676" s="647"/>
      <c r="Z676" s="647"/>
      <c r="AA676" s="647"/>
      <c r="AB676" s="647"/>
      <c r="AC676" s="647"/>
      <c r="AD676" s="647"/>
      <c r="AE676" s="647"/>
      <c r="AF676" s="647"/>
      <c r="AG676" s="647"/>
      <c r="AH676" s="647"/>
      <c r="AI676" s="647"/>
      <c r="AJ676" s="647"/>
      <c r="AK676" s="647"/>
      <c r="AL676" s="647"/>
      <c r="AM676" s="647"/>
    </row>
    <row r="677" spans="1:39" ht="14.1" customHeight="1">
      <c r="A677" s="687"/>
      <c r="B677" s="688"/>
      <c r="C677" s="688"/>
      <c r="D677" s="688"/>
      <c r="E677" s="688"/>
      <c r="F677" s="689"/>
      <c r="G677" s="648"/>
      <c r="H677" s="648"/>
      <c r="I677" s="648"/>
      <c r="J677" s="714">
        <f t="shared" si="37"/>
        <v>45777</v>
      </c>
      <c r="K677" s="715"/>
      <c r="L677" s="716"/>
      <c r="M677" s="648"/>
      <c r="N677" s="648"/>
      <c r="O677" s="648"/>
      <c r="P677" s="648"/>
      <c r="Q677" s="648"/>
      <c r="R677" s="647"/>
      <c r="S677" s="647"/>
      <c r="T677" s="647"/>
      <c r="U677" s="647"/>
      <c r="V677" s="647"/>
      <c r="W677" s="647"/>
      <c r="X677" s="647"/>
      <c r="Y677" s="647"/>
      <c r="Z677" s="647"/>
      <c r="AA677" s="647"/>
      <c r="AB677" s="647"/>
      <c r="AC677" s="647"/>
      <c r="AD677" s="647"/>
      <c r="AE677" s="647"/>
      <c r="AF677" s="647"/>
      <c r="AG677" s="647"/>
      <c r="AH677" s="647"/>
      <c r="AI677" s="647"/>
      <c r="AJ677" s="647"/>
      <c r="AK677" s="647"/>
      <c r="AL677" s="647"/>
      <c r="AM677" s="647"/>
    </row>
    <row r="678" spans="1:39" ht="14.1" customHeight="1">
      <c r="A678" s="684" t="str">
        <f>A675</f>
        <v>V.21G90290210104559/4</v>
      </c>
      <c r="B678" s="685"/>
      <c r="C678" s="685"/>
      <c r="D678" s="685"/>
      <c r="E678" s="685"/>
      <c r="F678" s="686"/>
      <c r="G678" s="648" t="s">
        <v>730</v>
      </c>
      <c r="H678" s="648"/>
      <c r="I678" s="673"/>
      <c r="J678" s="655">
        <f>'Date masura OD'!$AK$5</f>
        <v>45748</v>
      </c>
      <c r="K678" s="656"/>
      <c r="L678" s="657"/>
      <c r="M678" s="720" t="s">
        <v>446</v>
      </c>
      <c r="N678" s="648"/>
      <c r="O678" s="648">
        <f>O675</f>
        <v>1</v>
      </c>
      <c r="P678" s="648"/>
      <c r="Q678" s="648"/>
      <c r="R678" s="647" t="str">
        <f>VLOOKUP(A678,Regularizare!$D:$AX,23,FALSE)&amp;" ("&amp;VLOOKUP(A678,Regularizare!$D:$AX,24,FALSE)&amp;")"</f>
        <v>1479997 (citit)</v>
      </c>
      <c r="S678" s="647"/>
      <c r="T678" s="647"/>
      <c r="U678" s="647" t="str">
        <f>VLOOKUP(A678,Regularizare!$D:$AX,25,FALSE)&amp;" ("&amp;VLOOKUP(A678,Regularizare!$D:$AX,26,FALSE)&amp;")"</f>
        <v>1558118 (citit)</v>
      </c>
      <c r="V678" s="647"/>
      <c r="W678" s="647"/>
      <c r="X678" s="647" t="str">
        <f>VLOOKUP(A678,Regularizare!$D:$AX,37,FALSE)&amp;" ("&amp;VLOOKUP(A678,Regularizare!$D:$AX,26,FALSE)&amp;")"</f>
        <v>78121 (citit)</v>
      </c>
      <c r="Y678" s="647"/>
      <c r="Z678" s="647"/>
      <c r="AA678" s="647">
        <f>VLOOKUP(A678,Regularizare!$D:$AX,37,FALSE)</f>
        <v>78121</v>
      </c>
      <c r="AB678" s="647"/>
      <c r="AC678" s="647"/>
      <c r="AD678" s="647" t="s">
        <v>69</v>
      </c>
      <c r="AE678" s="647"/>
      <c r="AF678" s="647">
        <f>AA678</f>
        <v>78121</v>
      </c>
      <c r="AG678" s="647"/>
      <c r="AH678" s="647"/>
      <c r="AI678" s="647" t="str">
        <f>AI675</f>
        <v>-</v>
      </c>
      <c r="AJ678" s="647"/>
      <c r="AK678" s="647" t="str">
        <f>AK675</f>
        <v>-</v>
      </c>
      <c r="AL678" s="647"/>
      <c r="AM678" s="647"/>
    </row>
    <row r="679" spans="1:39" ht="8.4499999999999993" customHeight="1">
      <c r="A679" s="727"/>
      <c r="B679" s="729"/>
      <c r="C679" s="729"/>
      <c r="D679" s="729"/>
      <c r="E679" s="729"/>
      <c r="F679" s="728"/>
      <c r="G679" s="648"/>
      <c r="H679" s="648"/>
      <c r="I679" s="673"/>
      <c r="J679" s="717" t="s">
        <v>69</v>
      </c>
      <c r="K679" s="718"/>
      <c r="L679" s="719"/>
      <c r="M679" s="720"/>
      <c r="N679" s="648"/>
      <c r="O679" s="648"/>
      <c r="P679" s="648"/>
      <c r="Q679" s="648"/>
      <c r="R679" s="647"/>
      <c r="S679" s="647"/>
      <c r="T679" s="647"/>
      <c r="U679" s="647"/>
      <c r="V679" s="647"/>
      <c r="W679" s="647"/>
      <c r="X679" s="647"/>
      <c r="Y679" s="647"/>
      <c r="Z679" s="647"/>
      <c r="AA679" s="647"/>
      <c r="AB679" s="647"/>
      <c r="AC679" s="647"/>
      <c r="AD679" s="647"/>
      <c r="AE679" s="647"/>
      <c r="AF679" s="647"/>
      <c r="AG679" s="647"/>
      <c r="AH679" s="647"/>
      <c r="AI679" s="647"/>
      <c r="AJ679" s="647"/>
      <c r="AK679" s="647"/>
      <c r="AL679" s="647"/>
      <c r="AM679" s="647"/>
    </row>
    <row r="680" spans="1:39" ht="14.1" customHeight="1">
      <c r="A680" s="687"/>
      <c r="B680" s="688"/>
      <c r="C680" s="688"/>
      <c r="D680" s="688"/>
      <c r="E680" s="688"/>
      <c r="F680" s="689"/>
      <c r="G680" s="648"/>
      <c r="H680" s="648"/>
      <c r="I680" s="673"/>
      <c r="J680" s="714">
        <f>'Date masura OD'!$AL$5</f>
        <v>45777</v>
      </c>
      <c r="K680" s="715"/>
      <c r="L680" s="716"/>
      <c r="M680" s="720"/>
      <c r="N680" s="648"/>
      <c r="O680" s="648"/>
      <c r="P680" s="648"/>
      <c r="Q680" s="648"/>
      <c r="R680" s="647"/>
      <c r="S680" s="647"/>
      <c r="T680" s="647"/>
      <c r="U680" s="647"/>
      <c r="V680" s="647"/>
      <c r="W680" s="647"/>
      <c r="X680" s="647"/>
      <c r="Y680" s="647"/>
      <c r="Z680" s="647"/>
      <c r="AA680" s="647"/>
      <c r="AB680" s="647"/>
      <c r="AC680" s="647"/>
      <c r="AD680" s="647"/>
      <c r="AE680" s="647"/>
      <c r="AF680" s="647"/>
      <c r="AG680" s="647"/>
      <c r="AH680" s="647"/>
      <c r="AI680" s="647"/>
      <c r="AJ680" s="647"/>
      <c r="AK680" s="647"/>
      <c r="AL680" s="647"/>
      <c r="AM680" s="647"/>
    </row>
    <row r="681" spans="1:39" ht="14.1" customHeight="1">
      <c r="A681" s="684" t="str">
        <f>A678</f>
        <v>V.21G90290210104559/4</v>
      </c>
      <c r="B681" s="685"/>
      <c r="C681" s="685"/>
      <c r="D681" s="685"/>
      <c r="E681" s="685"/>
      <c r="F681" s="686"/>
      <c r="G681" s="648" t="s">
        <v>696</v>
      </c>
      <c r="H681" s="648"/>
      <c r="I681" s="648"/>
      <c r="J681" s="655">
        <f t="shared" ref="J681:J686" si="38">J678</f>
        <v>45748</v>
      </c>
      <c r="K681" s="656"/>
      <c r="L681" s="657"/>
      <c r="M681" s="648" t="s">
        <v>720</v>
      </c>
      <c r="N681" s="648"/>
      <c r="O681" s="648">
        <f>O678</f>
        <v>1</v>
      </c>
      <c r="P681" s="648"/>
      <c r="Q681" s="648"/>
      <c r="R681" s="647" t="str">
        <f>VLOOKUP(A681,Regularizare!$D:$AX,29,FALSE)&amp;" ("&amp;VLOOKUP(A681,Regularizare!$D:$AX,30,FALSE)&amp;")"</f>
        <v>22745 (citit)</v>
      </c>
      <c r="S681" s="647"/>
      <c r="T681" s="647"/>
      <c r="U681" s="647" t="str">
        <f>VLOOKUP(A681,Regularizare!$D:$AX,31,FALSE)&amp;" ("&amp;VLOOKUP(A681,Regularizare!$D:$AX,32,FALSE)&amp;")"</f>
        <v>22745 (citit)</v>
      </c>
      <c r="V681" s="647"/>
      <c r="W681" s="647"/>
      <c r="X681" s="647" t="str">
        <f>VLOOKUP(A681,Regularizare!$D:$AX,39,FALSE)&amp;" ("&amp;VLOOKUP(A681,Regularizare!$D:$AX,32,FALSE)&amp;")"</f>
        <v>0 (citit)</v>
      </c>
      <c r="Y681" s="647"/>
      <c r="Z681" s="647"/>
      <c r="AA681" s="647">
        <f>VLOOKUP(A681,Regularizare!$D:$AX,44,FALSE)+VLOOKUP(A681,Regularizare!$D:$AX,45,FALSE)</f>
        <v>0</v>
      </c>
      <c r="AB681" s="647"/>
      <c r="AC681" s="647"/>
      <c r="AD681" s="647" t="s">
        <v>69</v>
      </c>
      <c r="AE681" s="647"/>
      <c r="AF681" s="647">
        <f>AA681</f>
        <v>0</v>
      </c>
      <c r="AG681" s="647"/>
      <c r="AH681" s="647"/>
      <c r="AI681" s="647" t="str">
        <f>AI678</f>
        <v>-</v>
      </c>
      <c r="AJ681" s="647"/>
      <c r="AK681" s="647" t="str">
        <f>AK678</f>
        <v>-</v>
      </c>
      <c r="AL681" s="647"/>
      <c r="AM681" s="647"/>
    </row>
    <row r="682" spans="1:39" ht="8.4499999999999993" customHeight="1">
      <c r="A682" s="727"/>
      <c r="B682" s="729"/>
      <c r="C682" s="729"/>
      <c r="D682" s="729"/>
      <c r="E682" s="729"/>
      <c r="F682" s="728"/>
      <c r="G682" s="648"/>
      <c r="H682" s="648"/>
      <c r="I682" s="648"/>
      <c r="J682" s="717" t="str">
        <f t="shared" si="38"/>
        <v>-</v>
      </c>
      <c r="K682" s="718"/>
      <c r="L682" s="719"/>
      <c r="M682" s="648"/>
      <c r="N682" s="648"/>
      <c r="O682" s="648"/>
      <c r="P682" s="648"/>
      <c r="Q682" s="648"/>
      <c r="R682" s="647"/>
      <c r="S682" s="647"/>
      <c r="T682" s="647"/>
      <c r="U682" s="647"/>
      <c r="V682" s="647"/>
      <c r="W682" s="647"/>
      <c r="X682" s="647"/>
      <c r="Y682" s="647"/>
      <c r="Z682" s="647"/>
      <c r="AA682" s="647"/>
      <c r="AB682" s="647"/>
      <c r="AC682" s="647"/>
      <c r="AD682" s="647"/>
      <c r="AE682" s="647"/>
      <c r="AF682" s="647"/>
      <c r="AG682" s="647"/>
      <c r="AH682" s="647"/>
      <c r="AI682" s="647"/>
      <c r="AJ682" s="647"/>
      <c r="AK682" s="647"/>
      <c r="AL682" s="647"/>
      <c r="AM682" s="647"/>
    </row>
    <row r="683" spans="1:39" ht="14.1" customHeight="1">
      <c r="A683" s="687"/>
      <c r="B683" s="688"/>
      <c r="C683" s="688"/>
      <c r="D683" s="688"/>
      <c r="E683" s="688"/>
      <c r="F683" s="689"/>
      <c r="G683" s="648"/>
      <c r="H683" s="648"/>
      <c r="I683" s="648"/>
      <c r="J683" s="714">
        <f t="shared" si="38"/>
        <v>45777</v>
      </c>
      <c r="K683" s="715"/>
      <c r="L683" s="716"/>
      <c r="M683" s="648"/>
      <c r="N683" s="648"/>
      <c r="O683" s="648"/>
      <c r="P683" s="648"/>
      <c r="Q683" s="648"/>
      <c r="R683" s="647"/>
      <c r="S683" s="647"/>
      <c r="T683" s="647"/>
      <c r="U683" s="647"/>
      <c r="V683" s="647"/>
      <c r="W683" s="647"/>
      <c r="X683" s="647"/>
      <c r="Y683" s="647"/>
      <c r="Z683" s="647"/>
      <c r="AA683" s="647"/>
      <c r="AB683" s="647"/>
      <c r="AC683" s="647"/>
      <c r="AD683" s="647"/>
      <c r="AE683" s="647"/>
      <c r="AF683" s="647"/>
      <c r="AG683" s="647"/>
      <c r="AH683" s="647"/>
      <c r="AI683" s="647"/>
      <c r="AJ683" s="647"/>
      <c r="AK683" s="647"/>
      <c r="AL683" s="647"/>
      <c r="AM683" s="647"/>
    </row>
    <row r="684" spans="1:39" ht="14.1" customHeight="1">
      <c r="A684" s="684" t="str">
        <f>A681</f>
        <v>V.21G90290210104559/4</v>
      </c>
      <c r="B684" s="685"/>
      <c r="C684" s="685"/>
      <c r="D684" s="685"/>
      <c r="E684" s="685"/>
      <c r="F684" s="686"/>
      <c r="G684" s="648" t="s">
        <v>731</v>
      </c>
      <c r="H684" s="648"/>
      <c r="I684" s="648"/>
      <c r="J684" s="655">
        <f t="shared" si="38"/>
        <v>45748</v>
      </c>
      <c r="K684" s="656"/>
      <c r="L684" s="657"/>
      <c r="M684" s="648" t="s">
        <v>720</v>
      </c>
      <c r="N684" s="648"/>
      <c r="O684" s="648">
        <f>O681</f>
        <v>1</v>
      </c>
      <c r="P684" s="648"/>
      <c r="Q684" s="648"/>
      <c r="R684" s="647" t="str">
        <f>VLOOKUP(A684,Regularizare!$D:$AX,33,FALSE)&amp;" ("&amp;VLOOKUP(A684,Regularizare!$D:$AX,34,FALSE)&amp;")"</f>
        <v>292 (citit)</v>
      </c>
      <c r="S684" s="647"/>
      <c r="T684" s="647"/>
      <c r="U684" s="647" t="str">
        <f>VLOOKUP(A684,Regularizare!$D:$AX,35,FALSE)&amp;" ("&amp;VLOOKUP(A684,Regularizare!$D:$AX,36,FALSE)&amp;")"</f>
        <v>292 (citit)</v>
      </c>
      <c r="V684" s="647"/>
      <c r="W684" s="647"/>
      <c r="X684" s="647" t="str">
        <f>VLOOKUP(A684,Regularizare!$D:$AX,40,FALSE)&amp;" ("&amp;VLOOKUP(A684,Regularizare!$D:$AX,36,FALSE)&amp;")"</f>
        <v>0 (citit)</v>
      </c>
      <c r="Y684" s="647"/>
      <c r="Z684" s="647"/>
      <c r="AA684" s="647">
        <f>VLOOKUP(A684,Regularizare!$D:$AX,46,FALSE)+VLOOKUP(A684,Regularizare!$D:$AX,47,FALSE)</f>
        <v>0</v>
      </c>
      <c r="AB684" s="647"/>
      <c r="AC684" s="647"/>
      <c r="AD684" s="647" t="s">
        <v>69</v>
      </c>
      <c r="AE684" s="647"/>
      <c r="AF684" s="647">
        <f>AA684</f>
        <v>0</v>
      </c>
      <c r="AG684" s="647"/>
      <c r="AH684" s="647"/>
      <c r="AI684" s="647" t="str">
        <f>AI681</f>
        <v>-</v>
      </c>
      <c r="AJ684" s="647"/>
      <c r="AK684" s="647" t="str">
        <f>AK681</f>
        <v>-</v>
      </c>
      <c r="AL684" s="647"/>
      <c r="AM684" s="647"/>
    </row>
    <row r="685" spans="1:39" ht="8.4499999999999993" customHeight="1">
      <c r="A685" s="727"/>
      <c r="B685" s="729"/>
      <c r="C685" s="729"/>
      <c r="D685" s="729"/>
      <c r="E685" s="729"/>
      <c r="F685" s="728"/>
      <c r="G685" s="648"/>
      <c r="H685" s="648"/>
      <c r="I685" s="648"/>
      <c r="J685" s="717" t="str">
        <f t="shared" si="38"/>
        <v>-</v>
      </c>
      <c r="K685" s="718"/>
      <c r="L685" s="719"/>
      <c r="M685" s="648"/>
      <c r="N685" s="648"/>
      <c r="O685" s="648"/>
      <c r="P685" s="648"/>
      <c r="Q685" s="648"/>
      <c r="R685" s="647"/>
      <c r="S685" s="647"/>
      <c r="T685" s="647"/>
      <c r="U685" s="647"/>
      <c r="V685" s="647"/>
      <c r="W685" s="647"/>
      <c r="X685" s="647"/>
      <c r="Y685" s="647"/>
      <c r="Z685" s="647"/>
      <c r="AA685" s="647"/>
      <c r="AB685" s="647"/>
      <c r="AC685" s="647"/>
      <c r="AD685" s="647"/>
      <c r="AE685" s="647"/>
      <c r="AF685" s="647"/>
      <c r="AG685" s="647"/>
      <c r="AH685" s="647"/>
      <c r="AI685" s="647"/>
      <c r="AJ685" s="647"/>
      <c r="AK685" s="647"/>
      <c r="AL685" s="647"/>
      <c r="AM685" s="647"/>
    </row>
    <row r="686" spans="1:39" ht="14.1" customHeight="1">
      <c r="A686" s="687"/>
      <c r="B686" s="688"/>
      <c r="C686" s="688"/>
      <c r="D686" s="688"/>
      <c r="E686" s="688"/>
      <c r="F686" s="689"/>
      <c r="G686" s="648"/>
      <c r="H686" s="648"/>
      <c r="I686" s="648"/>
      <c r="J686" s="714">
        <f t="shared" si="38"/>
        <v>45777</v>
      </c>
      <c r="K686" s="715"/>
      <c r="L686" s="716"/>
      <c r="M686" s="648"/>
      <c r="N686" s="648"/>
      <c r="O686" s="648"/>
      <c r="P686" s="648"/>
      <c r="Q686" s="648"/>
      <c r="R686" s="647"/>
      <c r="S686" s="647"/>
      <c r="T686" s="647"/>
      <c r="U686" s="647"/>
      <c r="V686" s="647"/>
      <c r="W686" s="647"/>
      <c r="X686" s="647"/>
      <c r="Y686" s="647"/>
      <c r="Z686" s="647"/>
      <c r="AA686" s="647"/>
      <c r="AB686" s="647"/>
      <c r="AC686" s="647"/>
      <c r="AD686" s="647"/>
      <c r="AE686" s="647"/>
      <c r="AF686" s="647"/>
      <c r="AG686" s="647"/>
      <c r="AH686" s="647"/>
      <c r="AI686" s="647"/>
      <c r="AJ686" s="647"/>
      <c r="AK686" s="647"/>
      <c r="AL686" s="647"/>
      <c r="AM686" s="647"/>
    </row>
    <row r="687" spans="1:39" ht="14.1" customHeight="1">
      <c r="A687" s="684" t="str">
        <f>A684</f>
        <v>V.21G90290210104559/4</v>
      </c>
      <c r="B687" s="685"/>
      <c r="C687" s="685"/>
      <c r="D687" s="685"/>
      <c r="E687" s="685"/>
      <c r="F687" s="686"/>
      <c r="G687" s="648" t="s">
        <v>730</v>
      </c>
      <c r="H687" s="648"/>
      <c r="I687" s="673"/>
      <c r="J687" s="655">
        <f>'Date masura OD'!$I$5</f>
        <v>45778</v>
      </c>
      <c r="K687" s="656"/>
      <c r="L687" s="657"/>
      <c r="M687" s="720" t="s">
        <v>446</v>
      </c>
      <c r="N687" s="648"/>
      <c r="O687" s="648">
        <f>O684</f>
        <v>1</v>
      </c>
      <c r="P687" s="648"/>
      <c r="Q687" s="648"/>
      <c r="R687" s="647" t="str">
        <f>U678</f>
        <v>1558118 (citit)</v>
      </c>
      <c r="S687" s="647"/>
      <c r="T687" s="647"/>
      <c r="U687" s="647" t="str">
        <f>VLOOKUP(A687,'Incrementare indexe'!$D:$M,4,FALSE)&amp;" (estimat)"</f>
        <v>1641030 (estimat)</v>
      </c>
      <c r="V687" s="647"/>
      <c r="W687" s="647"/>
      <c r="X687" s="647" t="str">
        <f>VLOOKUP(A687,'Incrementare indexe'!$D:$Q,11,FALSE)&amp;" (estimat)"</f>
        <v>82912 (estimat)</v>
      </c>
      <c r="Y687" s="647"/>
      <c r="Z687" s="647"/>
      <c r="AA687" s="647" t="s">
        <v>69</v>
      </c>
      <c r="AB687" s="647"/>
      <c r="AC687" s="647"/>
      <c r="AD687" s="647" t="s">
        <v>69</v>
      </c>
      <c r="AE687" s="647"/>
      <c r="AF687" s="647">
        <f>VLOOKUP(A687,'Incrementare indexe'!$D:$Q,11,FALSE)</f>
        <v>82912</v>
      </c>
      <c r="AG687" s="647"/>
      <c r="AH687" s="647"/>
      <c r="AI687" s="647">
        <f>J689-J687+1</f>
        <v>31</v>
      </c>
      <c r="AJ687" s="647"/>
      <c r="AK687" s="647">
        <f>ROUND(AF687/AI687,2)</f>
        <v>2674.58</v>
      </c>
      <c r="AL687" s="647"/>
      <c r="AM687" s="647"/>
    </row>
    <row r="688" spans="1:39" ht="8.4499999999999993" customHeight="1">
      <c r="A688" s="727"/>
      <c r="B688" s="729"/>
      <c r="C688" s="729"/>
      <c r="D688" s="729"/>
      <c r="E688" s="729"/>
      <c r="F688" s="728"/>
      <c r="G688" s="648"/>
      <c r="H688" s="648"/>
      <c r="I688" s="673"/>
      <c r="J688" s="717" t="s">
        <v>69</v>
      </c>
      <c r="K688" s="718"/>
      <c r="L688" s="719"/>
      <c r="M688" s="720"/>
      <c r="N688" s="648"/>
      <c r="O688" s="648"/>
      <c r="P688" s="648"/>
      <c r="Q688" s="648"/>
      <c r="R688" s="647"/>
      <c r="S688" s="647"/>
      <c r="T688" s="647"/>
      <c r="U688" s="647"/>
      <c r="V688" s="647"/>
      <c r="W688" s="647"/>
      <c r="X688" s="647"/>
      <c r="Y688" s="647"/>
      <c r="Z688" s="647"/>
      <c r="AA688" s="647"/>
      <c r="AB688" s="647"/>
      <c r="AC688" s="647"/>
      <c r="AD688" s="647"/>
      <c r="AE688" s="647"/>
      <c r="AF688" s="647"/>
      <c r="AG688" s="647"/>
      <c r="AH688" s="647"/>
      <c r="AI688" s="647"/>
      <c r="AJ688" s="647"/>
      <c r="AK688" s="647"/>
      <c r="AL688" s="647"/>
      <c r="AM688" s="647"/>
    </row>
    <row r="689" spans="1:39" ht="14.1" customHeight="1">
      <c r="A689" s="687"/>
      <c r="B689" s="688"/>
      <c r="C689" s="688"/>
      <c r="D689" s="688"/>
      <c r="E689" s="688"/>
      <c r="F689" s="689"/>
      <c r="G689" s="648"/>
      <c r="H689" s="648"/>
      <c r="I689" s="673"/>
      <c r="J689" s="714">
        <f>'Date masura OD'!$J$5</f>
        <v>45808</v>
      </c>
      <c r="K689" s="715"/>
      <c r="L689" s="716"/>
      <c r="M689" s="720"/>
      <c r="N689" s="648"/>
      <c r="O689" s="648"/>
      <c r="P689" s="648"/>
      <c r="Q689" s="648"/>
      <c r="R689" s="647"/>
      <c r="S689" s="647"/>
      <c r="T689" s="647"/>
      <c r="U689" s="647"/>
      <c r="V689" s="647"/>
      <c r="W689" s="647"/>
      <c r="X689" s="647"/>
      <c r="Y689" s="647"/>
      <c r="Z689" s="647"/>
      <c r="AA689" s="647"/>
      <c r="AB689" s="647"/>
      <c r="AC689" s="647"/>
      <c r="AD689" s="647"/>
      <c r="AE689" s="647"/>
      <c r="AF689" s="647"/>
      <c r="AG689" s="647"/>
      <c r="AH689" s="647"/>
      <c r="AI689" s="647"/>
      <c r="AJ689" s="647"/>
      <c r="AK689" s="647"/>
      <c r="AL689" s="647"/>
      <c r="AM689" s="647"/>
    </row>
    <row r="690" spans="1:39" ht="14.1" customHeight="1">
      <c r="A690" s="684" t="str">
        <f>A687</f>
        <v>V.21G90290210104559/4</v>
      </c>
      <c r="B690" s="685"/>
      <c r="C690" s="685"/>
      <c r="D690" s="685"/>
      <c r="E690" s="685"/>
      <c r="F690" s="686"/>
      <c r="G690" s="648" t="s">
        <v>696</v>
      </c>
      <c r="H690" s="648"/>
      <c r="I690" s="648"/>
      <c r="J690" s="655">
        <f t="shared" ref="J690:J695" si="39">J687</f>
        <v>45778</v>
      </c>
      <c r="K690" s="656"/>
      <c r="L690" s="657"/>
      <c r="M690" s="648" t="s">
        <v>720</v>
      </c>
      <c r="N690" s="648"/>
      <c r="O690" s="648">
        <f>O687</f>
        <v>1</v>
      </c>
      <c r="P690" s="648"/>
      <c r="Q690" s="648"/>
      <c r="R690" s="647" t="str">
        <f>U681</f>
        <v>22745 (citit)</v>
      </c>
      <c r="S690" s="647"/>
      <c r="T690" s="647"/>
      <c r="U690" s="647" t="str">
        <f>VLOOKUP(A690,'Incrementare indexe'!$D:$M,8,FALSE)&amp;" (estimat)"</f>
        <v>22745 (estimat)</v>
      </c>
      <c r="V690" s="647"/>
      <c r="W690" s="647"/>
      <c r="X690" s="647" t="str">
        <f>VLOOKUP(A690,'Incrementare indexe'!$D:$Q,12,FALSE)&amp;" (estimat)"</f>
        <v>0 (estimat)</v>
      </c>
      <c r="Y690" s="647"/>
      <c r="Z690" s="647"/>
      <c r="AA690" s="647" t="s">
        <v>69</v>
      </c>
      <c r="AB690" s="647"/>
      <c r="AC690" s="647"/>
      <c r="AD690" s="647" t="s">
        <v>69</v>
      </c>
      <c r="AE690" s="647"/>
      <c r="AF690" s="647">
        <f>VLOOKUP(A690,'Incrementare indexe'!$D:$Q,12,FALSE)</f>
        <v>0</v>
      </c>
      <c r="AG690" s="647"/>
      <c r="AH690" s="647"/>
      <c r="AI690" s="647">
        <f>AI687</f>
        <v>31</v>
      </c>
      <c r="AJ690" s="647"/>
      <c r="AK690" s="647">
        <f>ROUND(AF690/AI690,2)</f>
        <v>0</v>
      </c>
      <c r="AL690" s="647"/>
      <c r="AM690" s="647"/>
    </row>
    <row r="691" spans="1:39" ht="8.4499999999999993" customHeight="1">
      <c r="A691" s="727"/>
      <c r="B691" s="729"/>
      <c r="C691" s="729"/>
      <c r="D691" s="729"/>
      <c r="E691" s="729"/>
      <c r="F691" s="728"/>
      <c r="G691" s="648"/>
      <c r="H691" s="648"/>
      <c r="I691" s="648"/>
      <c r="J691" s="717" t="str">
        <f t="shared" si="39"/>
        <v>-</v>
      </c>
      <c r="K691" s="718"/>
      <c r="L691" s="719"/>
      <c r="M691" s="648"/>
      <c r="N691" s="648"/>
      <c r="O691" s="648"/>
      <c r="P691" s="648"/>
      <c r="Q691" s="648"/>
      <c r="R691" s="647"/>
      <c r="S691" s="647"/>
      <c r="T691" s="647"/>
      <c r="U691" s="647"/>
      <c r="V691" s="647"/>
      <c r="W691" s="647"/>
      <c r="X691" s="647"/>
      <c r="Y691" s="647"/>
      <c r="Z691" s="647"/>
      <c r="AA691" s="647"/>
      <c r="AB691" s="647"/>
      <c r="AC691" s="647"/>
      <c r="AD691" s="647"/>
      <c r="AE691" s="647"/>
      <c r="AF691" s="647"/>
      <c r="AG691" s="647"/>
      <c r="AH691" s="647"/>
      <c r="AI691" s="647"/>
      <c r="AJ691" s="647"/>
      <c r="AK691" s="647"/>
      <c r="AL691" s="647"/>
      <c r="AM691" s="647"/>
    </row>
    <row r="692" spans="1:39" ht="14.1" customHeight="1">
      <c r="A692" s="687"/>
      <c r="B692" s="688"/>
      <c r="C692" s="688"/>
      <c r="D692" s="688"/>
      <c r="E692" s="688"/>
      <c r="F692" s="689"/>
      <c r="G692" s="648"/>
      <c r="H692" s="648"/>
      <c r="I692" s="648"/>
      <c r="J692" s="714">
        <f t="shared" si="39"/>
        <v>45808</v>
      </c>
      <c r="K692" s="715"/>
      <c r="L692" s="716"/>
      <c r="M692" s="648"/>
      <c r="N692" s="648"/>
      <c r="O692" s="648"/>
      <c r="P692" s="648"/>
      <c r="Q692" s="648"/>
      <c r="R692" s="647"/>
      <c r="S692" s="647"/>
      <c r="T692" s="647"/>
      <c r="U692" s="647"/>
      <c r="V692" s="647"/>
      <c r="W692" s="647"/>
      <c r="X692" s="647"/>
      <c r="Y692" s="647"/>
      <c r="Z692" s="647"/>
      <c r="AA692" s="647"/>
      <c r="AB692" s="647"/>
      <c r="AC692" s="647"/>
      <c r="AD692" s="647"/>
      <c r="AE692" s="647"/>
      <c r="AF692" s="647"/>
      <c r="AG692" s="647"/>
      <c r="AH692" s="647"/>
      <c r="AI692" s="647"/>
      <c r="AJ692" s="647"/>
      <c r="AK692" s="647"/>
      <c r="AL692" s="647"/>
      <c r="AM692" s="647"/>
    </row>
    <row r="693" spans="1:39" ht="14.1" customHeight="1">
      <c r="A693" s="684" t="str">
        <f>A690</f>
        <v>V.21G90290210104559/4</v>
      </c>
      <c r="B693" s="685"/>
      <c r="C693" s="685"/>
      <c r="D693" s="685"/>
      <c r="E693" s="685"/>
      <c r="F693" s="686"/>
      <c r="G693" s="648" t="s">
        <v>731</v>
      </c>
      <c r="H693" s="648"/>
      <c r="I693" s="648"/>
      <c r="J693" s="655">
        <f t="shared" si="39"/>
        <v>45778</v>
      </c>
      <c r="K693" s="656"/>
      <c r="L693" s="657"/>
      <c r="M693" s="648" t="s">
        <v>720</v>
      </c>
      <c r="N693" s="648"/>
      <c r="O693" s="648">
        <f>O690</f>
        <v>1</v>
      </c>
      <c r="P693" s="648"/>
      <c r="Q693" s="648"/>
      <c r="R693" s="647" t="str">
        <f>U684</f>
        <v>292 (citit)</v>
      </c>
      <c r="S693" s="647"/>
      <c r="T693" s="647"/>
      <c r="U693" s="647" t="str">
        <f>VLOOKUP(A693,'Incrementare indexe'!$D:$M,10,FALSE)&amp;" (estimat)"</f>
        <v>292 (estimat)</v>
      </c>
      <c r="V693" s="647"/>
      <c r="W693" s="647"/>
      <c r="X693" s="647" t="str">
        <f>VLOOKUP(A693,'Incrementare indexe'!$D:$Q,13,FALSE)&amp;" (estimat)"</f>
        <v>0 (estimat)</v>
      </c>
      <c r="Y693" s="647"/>
      <c r="Z693" s="647"/>
      <c r="AA693" s="647" t="s">
        <v>69</v>
      </c>
      <c r="AB693" s="647"/>
      <c r="AC693" s="647"/>
      <c r="AD693" s="647" t="s">
        <v>69</v>
      </c>
      <c r="AE693" s="647"/>
      <c r="AF693" s="647">
        <f>VLOOKUP(A693,'Incrementare indexe'!$D:$Q,13,FALSE)</f>
        <v>0</v>
      </c>
      <c r="AG693" s="647"/>
      <c r="AH693" s="647"/>
      <c r="AI693" s="647">
        <f>AI690</f>
        <v>31</v>
      </c>
      <c r="AJ693" s="647"/>
      <c r="AK693" s="647">
        <f>ROUND(AF693/AI693,2)</f>
        <v>0</v>
      </c>
      <c r="AL693" s="647"/>
      <c r="AM693" s="647"/>
    </row>
    <row r="694" spans="1:39" ht="8.4499999999999993" customHeight="1">
      <c r="A694" s="727"/>
      <c r="B694" s="729"/>
      <c r="C694" s="729"/>
      <c r="D694" s="729"/>
      <c r="E694" s="729"/>
      <c r="F694" s="728"/>
      <c r="G694" s="648"/>
      <c r="H694" s="648"/>
      <c r="I694" s="648"/>
      <c r="J694" s="717" t="str">
        <f t="shared" si="39"/>
        <v>-</v>
      </c>
      <c r="K694" s="718"/>
      <c r="L694" s="719"/>
      <c r="M694" s="648"/>
      <c r="N694" s="648"/>
      <c r="O694" s="648"/>
      <c r="P694" s="648"/>
      <c r="Q694" s="648"/>
      <c r="R694" s="647"/>
      <c r="S694" s="647"/>
      <c r="T694" s="647"/>
      <c r="U694" s="647"/>
      <c r="V694" s="647"/>
      <c r="W694" s="647"/>
      <c r="X694" s="647"/>
      <c r="Y694" s="647"/>
      <c r="Z694" s="647"/>
      <c r="AA694" s="647"/>
      <c r="AB694" s="647"/>
      <c r="AC694" s="647"/>
      <c r="AD694" s="647"/>
      <c r="AE694" s="647"/>
      <c r="AF694" s="647"/>
      <c r="AG694" s="647"/>
      <c r="AH694" s="647"/>
      <c r="AI694" s="647"/>
      <c r="AJ694" s="647"/>
      <c r="AK694" s="647"/>
      <c r="AL694" s="647"/>
      <c r="AM694" s="647"/>
    </row>
    <row r="695" spans="1:39" ht="14.1" customHeight="1">
      <c r="A695" s="687"/>
      <c r="B695" s="688"/>
      <c r="C695" s="688"/>
      <c r="D695" s="688"/>
      <c r="E695" s="688"/>
      <c r="F695" s="689"/>
      <c r="G695" s="648"/>
      <c r="H695" s="648"/>
      <c r="I695" s="648"/>
      <c r="J695" s="714">
        <f t="shared" si="39"/>
        <v>45808</v>
      </c>
      <c r="K695" s="715"/>
      <c r="L695" s="716"/>
      <c r="M695" s="648"/>
      <c r="N695" s="648"/>
      <c r="O695" s="648"/>
      <c r="P695" s="648"/>
      <c r="Q695" s="648"/>
      <c r="R695" s="647"/>
      <c r="S695" s="647"/>
      <c r="T695" s="647"/>
      <c r="U695" s="647"/>
      <c r="V695" s="647"/>
      <c r="W695" s="647"/>
      <c r="X695" s="647"/>
      <c r="Y695" s="647"/>
      <c r="Z695" s="647"/>
      <c r="AA695" s="647"/>
      <c r="AB695" s="647"/>
      <c r="AC695" s="647"/>
      <c r="AD695" s="647"/>
      <c r="AE695" s="647"/>
      <c r="AF695" s="647"/>
      <c r="AG695" s="647"/>
      <c r="AH695" s="647"/>
      <c r="AI695" s="647"/>
      <c r="AJ695" s="647"/>
      <c r="AK695" s="647"/>
      <c r="AL695" s="647"/>
      <c r="AM695" s="647"/>
    </row>
    <row r="696" spans="1:39" ht="14.1" customHeight="1"/>
    <row r="697" spans="1:39" ht="14.1" customHeight="1"/>
    <row r="698" spans="1:39" ht="14.1" customHeight="1"/>
    <row r="699" spans="1:39" ht="14.1" customHeight="1"/>
    <row r="700" spans="1:39" ht="14.1" customHeight="1"/>
    <row r="701" spans="1:39" ht="14.1" customHeight="1"/>
    <row r="702" spans="1:39" ht="14.1" customHeight="1"/>
    <row r="703" spans="1:39" ht="14.1" customHeight="1"/>
    <row r="704" spans="1:39" ht="14.1" customHeight="1"/>
    <row r="705" spans="1:39" ht="14.1" customHeight="1"/>
    <row r="706" spans="1:39" ht="14.1" customHeight="1"/>
    <row r="707" spans="1:39" ht="14.1" customHeight="1"/>
    <row r="708" spans="1:39" ht="14.1" customHeight="1"/>
    <row r="709" spans="1:39" ht="14.1" customHeight="1"/>
    <row r="710" spans="1:39" ht="14.1" customHeight="1"/>
    <row r="711" spans="1:39" ht="14.1" customHeight="1"/>
    <row r="712" spans="1:39" ht="14.1" customHeight="1"/>
    <row r="713" spans="1:39" ht="14.1" customHeight="1"/>
    <row r="714" spans="1:39" ht="14.1" customHeight="1"/>
    <row r="715" spans="1:39" ht="14.1" customHeight="1"/>
    <row r="716" spans="1:39" ht="15.95" customHeight="1">
      <c r="A716" s="624" t="str">
        <f>A27</f>
        <v>DETALII FACTURA FACTURA FISCALA SERIA …........ NR …................. din date de ….......06.2025</v>
      </c>
      <c r="B716" s="624"/>
      <c r="C716" s="624"/>
      <c r="D716" s="624"/>
      <c r="E716" s="624"/>
      <c r="F716" s="624"/>
      <c r="G716" s="624"/>
      <c r="H716" s="624"/>
      <c r="I716" s="624"/>
      <c r="J716" s="624"/>
      <c r="K716" s="624"/>
      <c r="L716" s="624"/>
      <c r="M716" s="624"/>
      <c r="N716" s="624"/>
      <c r="O716" s="624"/>
      <c r="P716" s="624"/>
      <c r="Q716" s="624"/>
      <c r="R716" s="624"/>
      <c r="S716" s="624"/>
      <c r="T716" s="624"/>
      <c r="U716" s="624"/>
      <c r="V716" s="624"/>
      <c r="W716" s="624"/>
      <c r="X716" s="624"/>
      <c r="Y716" s="624"/>
      <c r="Z716" s="624"/>
      <c r="AA716" s="624"/>
      <c r="AB716" s="624"/>
      <c r="AC716" s="624"/>
      <c r="AD716" s="624"/>
      <c r="AE716" s="624"/>
      <c r="AF716" s="624"/>
      <c r="AG716" s="624"/>
      <c r="AH716" s="624"/>
      <c r="AI716" s="624"/>
      <c r="AJ716" s="624"/>
      <c r="AK716" s="624"/>
      <c r="AL716" s="624"/>
      <c r="AM716" s="624"/>
    </row>
    <row r="718" spans="1:39" ht="36" customHeight="1">
      <c r="A718" s="66" t="s">
        <v>721</v>
      </c>
      <c r="B718" s="648" t="s">
        <v>95</v>
      </c>
      <c r="C718" s="648"/>
      <c r="D718" s="648"/>
      <c r="E718" s="648"/>
      <c r="F718" s="648"/>
      <c r="G718" s="648"/>
      <c r="H718" s="648"/>
      <c r="I718" s="648"/>
      <c r="J718" s="648"/>
      <c r="K718" s="648"/>
      <c r="L718" s="64" t="s">
        <v>709</v>
      </c>
      <c r="M718" s="69"/>
      <c r="N718" s="69"/>
      <c r="O718" s="64"/>
      <c r="P718" s="69"/>
      <c r="Q718" s="69"/>
      <c r="R718" s="647" t="s">
        <v>722</v>
      </c>
      <c r="S718" s="647"/>
      <c r="T718" s="647"/>
      <c r="U718" s="647"/>
      <c r="V718" s="648" t="s">
        <v>519</v>
      </c>
      <c r="W718" s="648"/>
      <c r="X718" s="647" t="s">
        <v>723</v>
      </c>
      <c r="Y718" s="647"/>
      <c r="Z718" s="647"/>
      <c r="AA718" s="647"/>
      <c r="AB718" s="647" t="s">
        <v>724</v>
      </c>
      <c r="AC718" s="647"/>
      <c r="AD718" s="647"/>
      <c r="AE718" s="647"/>
      <c r="AF718" s="647" t="s">
        <v>725</v>
      </c>
      <c r="AG718" s="647"/>
      <c r="AH718" s="647"/>
      <c r="AI718" s="647"/>
      <c r="AJ718" s="647" t="s">
        <v>726</v>
      </c>
      <c r="AK718" s="647"/>
      <c r="AL718" s="647"/>
      <c r="AM718" s="647"/>
    </row>
    <row r="719" spans="1:39" ht="15.95" customHeight="1">
      <c r="A719" s="65">
        <v>1</v>
      </c>
      <c r="B719" s="699" t="s">
        <v>71</v>
      </c>
      <c r="C719" s="700"/>
      <c r="D719" s="700"/>
      <c r="E719" s="700"/>
      <c r="F719" s="700"/>
      <c r="G719" s="700"/>
      <c r="H719" s="700"/>
      <c r="I719" s="700"/>
      <c r="J719" s="700"/>
      <c r="K719" s="701"/>
      <c r="L719" s="702">
        <f>'Date masura OD'!$I$5</f>
        <v>45778</v>
      </c>
      <c r="M719" s="702"/>
      <c r="N719" s="702"/>
      <c r="O719" s="702">
        <f>'Date masura OD'!$J$5</f>
        <v>45808</v>
      </c>
      <c r="P719" s="702"/>
      <c r="Q719" s="702"/>
      <c r="R719" s="690" cm="1">
        <f t="array" ref="R719">INDEX(verificare!$AT$4:$CC$26,VLOOKUP($AA$15,verificare!$AR$4:$AS$26,2,FALSE),A719)</f>
        <v>1934381</v>
      </c>
      <c r="S719" s="690"/>
      <c r="T719" s="690"/>
      <c r="U719" s="690"/>
      <c r="V719" s="658" t="s">
        <v>446</v>
      </c>
      <c r="W719" s="658"/>
      <c r="X719" s="691">
        <f>HLOOKUP(VLOOKUP($AA$15,'Date SPV'!$B:$F,5,FALSE),'Preturi si tarife'!$C$2:$J$39,A719+2,FALSE)</f>
        <v>0.59499999999999997</v>
      </c>
      <c r="Y719" s="692"/>
      <c r="Z719" s="692"/>
      <c r="AA719" s="693"/>
      <c r="AB719" s="690">
        <f>ROUND(X719*R719,2)</f>
        <v>1150956.7</v>
      </c>
      <c r="AC719" s="690"/>
      <c r="AD719" s="690"/>
      <c r="AE719" s="690"/>
      <c r="AF719" s="690">
        <f>ROUND(AB719*19%,2)</f>
        <v>218681.77</v>
      </c>
      <c r="AG719" s="690"/>
      <c r="AH719" s="690"/>
      <c r="AI719" s="690"/>
      <c r="AJ719" s="690">
        <f>AB719+AF719</f>
        <v>1369638.47</v>
      </c>
      <c r="AK719" s="690"/>
      <c r="AL719" s="690"/>
      <c r="AM719" s="690"/>
    </row>
    <row r="720" spans="1:39">
      <c r="A720" s="65">
        <f>A719+1</f>
        <v>2</v>
      </c>
      <c r="B720" s="699" t="s">
        <v>72</v>
      </c>
      <c r="C720" s="700"/>
      <c r="D720" s="700"/>
      <c r="E720" s="700"/>
      <c r="F720" s="700"/>
      <c r="G720" s="700"/>
      <c r="H720" s="700"/>
      <c r="I720" s="700"/>
      <c r="J720" s="700"/>
      <c r="K720" s="701"/>
      <c r="L720" s="702">
        <f>L719</f>
        <v>45778</v>
      </c>
      <c r="M720" s="702"/>
      <c r="N720" s="702"/>
      <c r="O720" s="702">
        <f>O719</f>
        <v>45808</v>
      </c>
      <c r="P720" s="702"/>
      <c r="Q720" s="702"/>
      <c r="R720" s="772" cm="1">
        <f t="array" ref="R720">INDEX(verificare!$AT$4:$CC$26,VLOOKUP($AA$15,verificare!$AR$4:$AS$26,2,FALSE),A720)</f>
        <v>0</v>
      </c>
      <c r="S720" s="773"/>
      <c r="T720" s="773"/>
      <c r="U720" s="774"/>
      <c r="V720" s="658" t="s">
        <v>727</v>
      </c>
      <c r="W720" s="658"/>
      <c r="X720" s="691">
        <f>HLOOKUP(VLOOKUP($AA$15,'Date SPV'!$B:$F,5,FALSE),'Preturi si tarife'!$C$2:$J$39,A720+2,FALSE)</f>
        <v>0.14660000000000001</v>
      </c>
      <c r="Y720" s="692"/>
      <c r="Z720" s="692"/>
      <c r="AA720" s="693"/>
      <c r="AB720" s="690">
        <f t="shared" ref="AB720:AB754" si="40">ROUND(X720*R720,2)</f>
        <v>0</v>
      </c>
      <c r="AC720" s="690"/>
      <c r="AD720" s="690"/>
      <c r="AE720" s="690"/>
      <c r="AF720" s="690">
        <f t="shared" ref="AF720:AF755" si="41">ROUND(AB720*19%,2)</f>
        <v>0</v>
      </c>
      <c r="AG720" s="690"/>
      <c r="AH720" s="690"/>
      <c r="AI720" s="690"/>
      <c r="AJ720" s="690">
        <f t="shared" ref="AJ720:AJ755" si="42">AB720+AF720</f>
        <v>0</v>
      </c>
      <c r="AK720" s="690"/>
      <c r="AL720" s="690"/>
      <c r="AM720" s="690"/>
    </row>
    <row r="721" spans="1:39">
      <c r="A721" s="65">
        <f t="shared" ref="A721:A755" si="43">A720+1</f>
        <v>3</v>
      </c>
      <c r="B721" s="699" t="s">
        <v>73</v>
      </c>
      <c r="C721" s="700"/>
      <c r="D721" s="700"/>
      <c r="E721" s="700"/>
      <c r="F721" s="700"/>
      <c r="G721" s="700"/>
      <c r="H721" s="700"/>
      <c r="I721" s="700"/>
      <c r="J721" s="700"/>
      <c r="K721" s="701"/>
      <c r="L721" s="702">
        <f t="shared" ref="L721:L736" si="44">L720</f>
        <v>45778</v>
      </c>
      <c r="M721" s="702"/>
      <c r="N721" s="702"/>
      <c r="O721" s="702">
        <f t="shared" ref="O721:O736" si="45">O720</f>
        <v>45808</v>
      </c>
      <c r="P721" s="702"/>
      <c r="Q721" s="702"/>
      <c r="R721" s="772" cm="1">
        <f t="array" ref="R721">INDEX(verificare!$AT$4:$CC$26,VLOOKUP($AA$15,verificare!$AR$4:$AS$26,2,FALSE),A721)</f>
        <v>0</v>
      </c>
      <c r="S721" s="773"/>
      <c r="T721" s="773"/>
      <c r="U721" s="774"/>
      <c r="V721" s="658" t="s">
        <v>727</v>
      </c>
      <c r="W721" s="658"/>
      <c r="X721" s="691">
        <f>HLOOKUP(VLOOKUP($AA$15,'Date SPV'!$B:$F,5,FALSE),'Preturi si tarife'!$C$2:$J$39,A721+2,FALSE)</f>
        <v>0.43980000000000002</v>
      </c>
      <c r="Y721" s="692"/>
      <c r="Z721" s="692"/>
      <c r="AA721" s="693"/>
      <c r="AB721" s="690">
        <f t="shared" si="40"/>
        <v>0</v>
      </c>
      <c r="AC721" s="690"/>
      <c r="AD721" s="690"/>
      <c r="AE721" s="690"/>
      <c r="AF721" s="690">
        <f t="shared" si="41"/>
        <v>0</v>
      </c>
      <c r="AG721" s="690"/>
      <c r="AH721" s="690"/>
      <c r="AI721" s="690"/>
      <c r="AJ721" s="690">
        <f t="shared" si="42"/>
        <v>0</v>
      </c>
      <c r="AK721" s="690"/>
      <c r="AL721" s="690"/>
      <c r="AM721" s="690"/>
    </row>
    <row r="722" spans="1:39" ht="15.95" customHeight="1">
      <c r="A722" s="65">
        <f t="shared" si="43"/>
        <v>4</v>
      </c>
      <c r="B722" s="699" t="s">
        <v>868</v>
      </c>
      <c r="C722" s="700"/>
      <c r="D722" s="700"/>
      <c r="E722" s="700"/>
      <c r="F722" s="700"/>
      <c r="G722" s="700"/>
      <c r="H722" s="700"/>
      <c r="I722" s="700"/>
      <c r="J722" s="700"/>
      <c r="K722" s="701"/>
      <c r="L722" s="702">
        <f t="shared" si="44"/>
        <v>45778</v>
      </c>
      <c r="M722" s="702"/>
      <c r="N722" s="702"/>
      <c r="O722" s="702">
        <f t="shared" si="45"/>
        <v>45808</v>
      </c>
      <c r="P722" s="702"/>
      <c r="Q722" s="702"/>
      <c r="R722" s="772" cm="1">
        <f t="array" ref="R722">INDEX(verificare!$AT$4:$CC$26,VLOOKUP($AA$15,verificare!$AR$4:$AS$26,2,FALSE),A722)</f>
        <v>1934381</v>
      </c>
      <c r="S722" s="773"/>
      <c r="T722" s="773"/>
      <c r="U722" s="774"/>
      <c r="V722" s="658" t="s">
        <v>446</v>
      </c>
      <c r="W722" s="658"/>
      <c r="X722" s="691">
        <f>HLOOKUP(VLOOKUP($AA$15,'Date SPV'!$B:$F,5,FALSE),'Preturi si tarife'!$C$2:$J$39,A722+2,FALSE)</f>
        <v>8.6180000000000007E-2</v>
      </c>
      <c r="Y722" s="692"/>
      <c r="Z722" s="692"/>
      <c r="AA722" s="693"/>
      <c r="AB722" s="690">
        <f t="shared" si="40"/>
        <v>166704.95000000001</v>
      </c>
      <c r="AC722" s="690"/>
      <c r="AD722" s="690"/>
      <c r="AE722" s="690"/>
      <c r="AF722" s="690">
        <f t="shared" si="41"/>
        <v>31673.94</v>
      </c>
      <c r="AG722" s="690"/>
      <c r="AH722" s="690"/>
      <c r="AI722" s="690"/>
      <c r="AJ722" s="690">
        <f t="shared" si="42"/>
        <v>198378.89</v>
      </c>
      <c r="AK722" s="690"/>
      <c r="AL722" s="690"/>
      <c r="AM722" s="690"/>
    </row>
    <row r="723" spans="1:39">
      <c r="A723" s="65">
        <f t="shared" si="43"/>
        <v>5</v>
      </c>
      <c r="B723" s="699" t="s">
        <v>757</v>
      </c>
      <c r="C723" s="700"/>
      <c r="D723" s="700"/>
      <c r="E723" s="700"/>
      <c r="F723" s="700"/>
      <c r="G723" s="700"/>
      <c r="H723" s="700"/>
      <c r="I723" s="700"/>
      <c r="J723" s="700"/>
      <c r="K723" s="701"/>
      <c r="L723" s="702">
        <f t="shared" si="44"/>
        <v>45778</v>
      </c>
      <c r="M723" s="702"/>
      <c r="N723" s="702"/>
      <c r="O723" s="702">
        <f t="shared" si="45"/>
        <v>45808</v>
      </c>
      <c r="P723" s="702"/>
      <c r="Q723" s="702"/>
      <c r="R723" s="772" cm="1">
        <f t="array" ref="R723">INDEX(verificare!$AT$4:$CC$26,VLOOKUP($AA$15,verificare!$AR$4:$AS$26,2,FALSE),A723)</f>
        <v>0</v>
      </c>
      <c r="S723" s="773"/>
      <c r="T723" s="773"/>
      <c r="U723" s="774"/>
      <c r="V723" s="658" t="s">
        <v>446</v>
      </c>
      <c r="W723" s="658"/>
      <c r="X723" s="691">
        <f>HLOOKUP(VLOOKUP($AA$15,'Date SPV'!$B:$F,5,FALSE),'Preturi si tarife'!$C$2:$J$39,A723+2,FALSE)</f>
        <v>0.2079</v>
      </c>
      <c r="Y723" s="692"/>
      <c r="Z723" s="692"/>
      <c r="AA723" s="693"/>
      <c r="AB723" s="690">
        <f t="shared" si="40"/>
        <v>0</v>
      </c>
      <c r="AC723" s="690"/>
      <c r="AD723" s="690"/>
      <c r="AE723" s="690"/>
      <c r="AF723" s="690">
        <f t="shared" si="41"/>
        <v>0</v>
      </c>
      <c r="AG723" s="690"/>
      <c r="AH723" s="690"/>
      <c r="AI723" s="690"/>
      <c r="AJ723" s="690">
        <f t="shared" si="42"/>
        <v>0</v>
      </c>
      <c r="AK723" s="690"/>
      <c r="AL723" s="690"/>
      <c r="AM723" s="690"/>
    </row>
    <row r="724" spans="1:39" ht="15.95" customHeight="1">
      <c r="A724" s="65">
        <f t="shared" si="43"/>
        <v>6</v>
      </c>
      <c r="B724" s="699" t="s">
        <v>74</v>
      </c>
      <c r="C724" s="700"/>
      <c r="D724" s="700"/>
      <c r="E724" s="700"/>
      <c r="F724" s="700"/>
      <c r="G724" s="700"/>
      <c r="H724" s="700"/>
      <c r="I724" s="700"/>
      <c r="J724" s="700"/>
      <c r="K724" s="701"/>
      <c r="L724" s="702">
        <f t="shared" si="44"/>
        <v>45778</v>
      </c>
      <c r="M724" s="702"/>
      <c r="N724" s="702"/>
      <c r="O724" s="702">
        <f t="shared" si="45"/>
        <v>45808</v>
      </c>
      <c r="P724" s="702"/>
      <c r="Q724" s="702"/>
      <c r="R724" s="772" cm="1">
        <f t="array" ref="R724">INDEX(verificare!$AT$4:$CC$26,VLOOKUP($AA$15,verificare!$AR$4:$AS$26,2,FALSE),A724)</f>
        <v>1934381</v>
      </c>
      <c r="S724" s="773"/>
      <c r="T724" s="773"/>
      <c r="U724" s="774"/>
      <c r="V724" s="658" t="s">
        <v>446</v>
      </c>
      <c r="W724" s="658"/>
      <c r="X724" s="691">
        <f>HLOOKUP(VLOOKUP($AA$15,'Date SPV'!$B:$F,5,FALSE),'Preturi si tarife'!$C$2:$J$39,A724+2,FALSE)</f>
        <v>1.1509999999999999E-2</v>
      </c>
      <c r="Y724" s="692"/>
      <c r="Z724" s="692"/>
      <c r="AA724" s="693"/>
      <c r="AB724" s="690">
        <f t="shared" si="40"/>
        <v>22264.73</v>
      </c>
      <c r="AC724" s="690"/>
      <c r="AD724" s="690"/>
      <c r="AE724" s="690"/>
      <c r="AF724" s="690">
        <f t="shared" si="41"/>
        <v>4230.3</v>
      </c>
      <c r="AG724" s="690"/>
      <c r="AH724" s="690"/>
      <c r="AI724" s="690"/>
      <c r="AJ724" s="690">
        <f t="shared" si="42"/>
        <v>26495.03</v>
      </c>
      <c r="AK724" s="690"/>
      <c r="AL724" s="690"/>
      <c r="AM724" s="690"/>
    </row>
    <row r="725" spans="1:39" ht="15.95" customHeight="1">
      <c r="A725" s="65">
        <f t="shared" si="43"/>
        <v>7</v>
      </c>
      <c r="B725" s="699" t="s">
        <v>75</v>
      </c>
      <c r="C725" s="700"/>
      <c r="D725" s="700"/>
      <c r="E725" s="700"/>
      <c r="F725" s="700"/>
      <c r="G725" s="700"/>
      <c r="H725" s="700"/>
      <c r="I725" s="700"/>
      <c r="J725" s="700"/>
      <c r="K725" s="701"/>
      <c r="L725" s="702">
        <f t="shared" si="44"/>
        <v>45778</v>
      </c>
      <c r="M725" s="702"/>
      <c r="N725" s="702"/>
      <c r="O725" s="702">
        <f t="shared" si="45"/>
        <v>45808</v>
      </c>
      <c r="P725" s="702"/>
      <c r="Q725" s="702"/>
      <c r="R725" s="772" cm="1">
        <f t="array" ref="R725">INDEX(verificare!$AT$4:$CC$26,VLOOKUP($AA$15,verificare!$AR$4:$AS$26,2,FALSE),A725)</f>
        <v>1934381</v>
      </c>
      <c r="S725" s="773"/>
      <c r="T725" s="773"/>
      <c r="U725" s="774"/>
      <c r="V725" s="658" t="s">
        <v>446</v>
      </c>
      <c r="W725" s="658"/>
      <c r="X725" s="691">
        <f>HLOOKUP(VLOOKUP($AA$15,'Date SPV'!$B:$F,5,FALSE),'Preturi si tarife'!$C$2:$J$39,A725+2,FALSE)</f>
        <v>3.3030000000000004E-2</v>
      </c>
      <c r="Y725" s="692"/>
      <c r="Z725" s="692"/>
      <c r="AA725" s="693"/>
      <c r="AB725" s="690">
        <f t="shared" si="40"/>
        <v>63892.6</v>
      </c>
      <c r="AC725" s="690"/>
      <c r="AD725" s="690"/>
      <c r="AE725" s="690"/>
      <c r="AF725" s="690">
        <f t="shared" si="41"/>
        <v>12139.59</v>
      </c>
      <c r="AG725" s="690"/>
      <c r="AH725" s="690"/>
      <c r="AI725" s="690"/>
      <c r="AJ725" s="690">
        <f t="shared" si="42"/>
        <v>76032.19</v>
      </c>
      <c r="AK725" s="690"/>
      <c r="AL725" s="690"/>
      <c r="AM725" s="690"/>
    </row>
    <row r="726" spans="1:39" ht="15.95" customHeight="1">
      <c r="A726" s="65">
        <f t="shared" si="43"/>
        <v>8</v>
      </c>
      <c r="B726" s="699" t="s">
        <v>76</v>
      </c>
      <c r="C726" s="700"/>
      <c r="D726" s="700"/>
      <c r="E726" s="700"/>
      <c r="F726" s="700"/>
      <c r="G726" s="700"/>
      <c r="H726" s="700"/>
      <c r="I726" s="700"/>
      <c r="J726" s="700"/>
      <c r="K726" s="701"/>
      <c r="L726" s="702">
        <f t="shared" si="44"/>
        <v>45778</v>
      </c>
      <c r="M726" s="702"/>
      <c r="N726" s="702"/>
      <c r="O726" s="702">
        <f t="shared" si="45"/>
        <v>45808</v>
      </c>
      <c r="P726" s="702"/>
      <c r="Q726" s="702"/>
      <c r="R726" s="772" cm="1">
        <f t="array" ref="R726">INDEX(verificare!$AT$4:$CC$26,VLOOKUP($AA$15,verificare!$AR$4:$AS$26,2,FALSE),A726)</f>
        <v>1934381</v>
      </c>
      <c r="S726" s="773"/>
      <c r="T726" s="773"/>
      <c r="U726" s="774"/>
      <c r="V726" s="658" t="s">
        <v>446</v>
      </c>
      <c r="W726" s="658"/>
      <c r="X726" s="691">
        <f>HLOOKUP(VLOOKUP($AA$15,'Date SPV'!$B:$F,5,FALSE),'Preturi si tarife'!$C$2:$J$39,A726+2,FALSE)</f>
        <v>3.29E-3</v>
      </c>
      <c r="Y726" s="692"/>
      <c r="Z726" s="692"/>
      <c r="AA726" s="693"/>
      <c r="AB726" s="690">
        <f t="shared" si="40"/>
        <v>6364.11</v>
      </c>
      <c r="AC726" s="690"/>
      <c r="AD726" s="690"/>
      <c r="AE726" s="690"/>
      <c r="AF726" s="690">
        <f t="shared" si="41"/>
        <v>1209.18</v>
      </c>
      <c r="AG726" s="690"/>
      <c r="AH726" s="690"/>
      <c r="AI726" s="690"/>
      <c r="AJ726" s="690">
        <f t="shared" si="42"/>
        <v>7573.29</v>
      </c>
      <c r="AK726" s="690"/>
      <c r="AL726" s="690"/>
      <c r="AM726" s="690"/>
    </row>
    <row r="727" spans="1:39" ht="15.95" customHeight="1">
      <c r="A727" s="65">
        <f t="shared" si="43"/>
        <v>9</v>
      </c>
      <c r="B727" s="699" t="s">
        <v>77</v>
      </c>
      <c r="C727" s="700"/>
      <c r="D727" s="700"/>
      <c r="E727" s="700"/>
      <c r="F727" s="700"/>
      <c r="G727" s="700"/>
      <c r="H727" s="700"/>
      <c r="I727" s="700"/>
      <c r="J727" s="700"/>
      <c r="K727" s="701"/>
      <c r="L727" s="702">
        <f t="shared" si="44"/>
        <v>45778</v>
      </c>
      <c r="M727" s="702"/>
      <c r="N727" s="702"/>
      <c r="O727" s="702">
        <f t="shared" si="45"/>
        <v>45808</v>
      </c>
      <c r="P727" s="702"/>
      <c r="Q727" s="702"/>
      <c r="R727" s="772" cm="1">
        <f t="array" ref="R727">INDEX(verificare!$AT$4:$CC$26,VLOOKUP($AA$15,verificare!$AR$4:$AS$26,2,FALSE),A727)</f>
        <v>1934381</v>
      </c>
      <c r="S727" s="773"/>
      <c r="T727" s="773"/>
      <c r="U727" s="774"/>
      <c r="V727" s="658" t="s">
        <v>446</v>
      </c>
      <c r="W727" s="658"/>
      <c r="X727" s="691">
        <f>HLOOKUP(VLOOKUP($AA$15,'Date SPV'!$B:$F,5,FALSE),'Preturi si tarife'!$C$2:$J$39,A727+2,FALSE)</f>
        <v>3.5000000000000001E-3</v>
      </c>
      <c r="Y727" s="692"/>
      <c r="Z727" s="692"/>
      <c r="AA727" s="693"/>
      <c r="AB727" s="690">
        <f t="shared" si="40"/>
        <v>6770.33</v>
      </c>
      <c r="AC727" s="690"/>
      <c r="AD727" s="690"/>
      <c r="AE727" s="690"/>
      <c r="AF727" s="690">
        <f t="shared" si="41"/>
        <v>1286.3599999999999</v>
      </c>
      <c r="AG727" s="690"/>
      <c r="AH727" s="690"/>
      <c r="AI727" s="690"/>
      <c r="AJ727" s="690">
        <f t="shared" si="42"/>
        <v>8056.69</v>
      </c>
      <c r="AK727" s="690"/>
      <c r="AL727" s="690"/>
      <c r="AM727" s="690"/>
    </row>
    <row r="728" spans="1:39" ht="15.95" customHeight="1">
      <c r="A728" s="65">
        <f t="shared" si="43"/>
        <v>10</v>
      </c>
      <c r="B728" s="699" t="s">
        <v>78</v>
      </c>
      <c r="C728" s="700"/>
      <c r="D728" s="700"/>
      <c r="E728" s="700"/>
      <c r="F728" s="700"/>
      <c r="G728" s="700"/>
      <c r="H728" s="700"/>
      <c r="I728" s="700"/>
      <c r="J728" s="700"/>
      <c r="K728" s="701"/>
      <c r="L728" s="702">
        <f t="shared" si="44"/>
        <v>45778</v>
      </c>
      <c r="M728" s="702"/>
      <c r="N728" s="702"/>
      <c r="O728" s="702">
        <f t="shared" si="45"/>
        <v>45808</v>
      </c>
      <c r="P728" s="702"/>
      <c r="Q728" s="702"/>
      <c r="R728" s="772" cm="1">
        <f t="array" ref="R728">INDEX(verificare!$AT$4:$CC$26,VLOOKUP($AA$15,verificare!$AR$4:$AS$26,2,FALSE),A728)</f>
        <v>1934381</v>
      </c>
      <c r="S728" s="773"/>
      <c r="T728" s="773"/>
      <c r="U728" s="774"/>
      <c r="V728" s="658" t="s">
        <v>446</v>
      </c>
      <c r="W728" s="658"/>
      <c r="X728" s="691">
        <f>HLOOKUP(VLOOKUP($AA$15,'Date SPV'!$B:$F,5,FALSE),'Preturi si tarife'!$C$2:$J$39,A728+2,FALSE)</f>
        <v>7.2541599999999998E-2</v>
      </c>
      <c r="Y728" s="692"/>
      <c r="Z728" s="692"/>
      <c r="AA728" s="693"/>
      <c r="AB728" s="690">
        <f t="shared" si="40"/>
        <v>140323.09</v>
      </c>
      <c r="AC728" s="690"/>
      <c r="AD728" s="690"/>
      <c r="AE728" s="690"/>
      <c r="AF728" s="690">
        <f t="shared" si="41"/>
        <v>26661.39</v>
      </c>
      <c r="AG728" s="690"/>
      <c r="AH728" s="690"/>
      <c r="AI728" s="690"/>
      <c r="AJ728" s="690">
        <f t="shared" si="42"/>
        <v>166984.47999999998</v>
      </c>
      <c r="AK728" s="690"/>
      <c r="AL728" s="690"/>
      <c r="AM728" s="690"/>
    </row>
    <row r="729" spans="1:39" ht="15.95" customHeight="1">
      <c r="A729" s="65">
        <f t="shared" si="43"/>
        <v>11</v>
      </c>
      <c r="B729" s="699" t="s">
        <v>1313</v>
      </c>
      <c r="C729" s="700"/>
      <c r="D729" s="700"/>
      <c r="E729" s="700"/>
      <c r="F729" s="700"/>
      <c r="G729" s="700"/>
      <c r="H729" s="700"/>
      <c r="I729" s="700"/>
      <c r="J729" s="700"/>
      <c r="K729" s="701"/>
      <c r="L729" s="763">
        <f t="shared" si="44"/>
        <v>45778</v>
      </c>
      <c r="M729" s="764"/>
      <c r="N729" s="765"/>
      <c r="O729" s="763">
        <f t="shared" si="45"/>
        <v>45808</v>
      </c>
      <c r="P729" s="764"/>
      <c r="Q729" s="765"/>
      <c r="R729" s="772" cm="1">
        <f t="array" ref="R729">INDEX(verificare!$AT$4:$CC$26,VLOOKUP($AA$15,verificare!$AR$4:$AS$26,2,FALSE),A729)</f>
        <v>1934381</v>
      </c>
      <c r="S729" s="773"/>
      <c r="T729" s="773"/>
      <c r="U729" s="774"/>
      <c r="V729" s="724" t="s">
        <v>446</v>
      </c>
      <c r="W729" s="725"/>
      <c r="X729" s="691">
        <f>HLOOKUP(VLOOKUP($AA$15,'Date SPV'!$B:$F,5,FALSE),'Preturi si tarife'!$C$2:$J$39,A729+2,FALSE)</f>
        <v>2.0599999999999999E-4</v>
      </c>
      <c r="Y729" s="692"/>
      <c r="Z729" s="692"/>
      <c r="AA729" s="693"/>
      <c r="AB729" s="772">
        <f t="shared" si="40"/>
        <v>398.48</v>
      </c>
      <c r="AC729" s="773"/>
      <c r="AD729" s="773"/>
      <c r="AE729" s="774"/>
      <c r="AF729" s="772">
        <f t="shared" si="41"/>
        <v>75.709999999999994</v>
      </c>
      <c r="AG729" s="773"/>
      <c r="AH729" s="773"/>
      <c r="AI729" s="774"/>
      <c r="AJ729" s="772">
        <f t="shared" si="42"/>
        <v>474.19</v>
      </c>
      <c r="AK729" s="773"/>
      <c r="AL729" s="773"/>
      <c r="AM729" s="774"/>
    </row>
    <row r="730" spans="1:39">
      <c r="A730" s="65">
        <f t="shared" si="43"/>
        <v>12</v>
      </c>
      <c r="B730" s="699" t="s">
        <v>79</v>
      </c>
      <c r="C730" s="700"/>
      <c r="D730" s="700"/>
      <c r="E730" s="700"/>
      <c r="F730" s="700"/>
      <c r="G730" s="700"/>
      <c r="H730" s="700"/>
      <c r="I730" s="700"/>
      <c r="J730" s="700"/>
      <c r="K730" s="701"/>
      <c r="L730" s="702">
        <f>L728</f>
        <v>45778</v>
      </c>
      <c r="M730" s="702"/>
      <c r="N730" s="702"/>
      <c r="O730" s="702">
        <f>O728</f>
        <v>45808</v>
      </c>
      <c r="P730" s="702"/>
      <c r="Q730" s="702"/>
      <c r="R730" s="772" cm="1">
        <f t="array" ref="R730">INDEX(verificare!$AT$4:$CC$26,VLOOKUP($AA$15,verificare!$AR$4:$AS$26,2,FALSE),A730)</f>
        <v>1934381</v>
      </c>
      <c r="S730" s="773"/>
      <c r="T730" s="773"/>
      <c r="U730" s="774"/>
      <c r="V730" s="658" t="s">
        <v>446</v>
      </c>
      <c r="W730" s="658"/>
      <c r="X730" s="691">
        <f>HLOOKUP(VLOOKUP($AA$15,'Date SPV'!$B:$F,5,FALSE),'Preturi si tarife'!$C$2:$J$39,A730+2,FALSE)</f>
        <v>0</v>
      </c>
      <c r="Y730" s="692"/>
      <c r="Z730" s="692"/>
      <c r="AA730" s="693"/>
      <c r="AB730" s="690">
        <f t="shared" si="40"/>
        <v>0</v>
      </c>
      <c r="AC730" s="690"/>
      <c r="AD730" s="690"/>
      <c r="AE730" s="690"/>
      <c r="AF730" s="690">
        <f t="shared" si="41"/>
        <v>0</v>
      </c>
      <c r="AG730" s="690"/>
      <c r="AH730" s="690"/>
      <c r="AI730" s="690"/>
      <c r="AJ730" s="690">
        <f t="shared" si="42"/>
        <v>0</v>
      </c>
      <c r="AK730" s="690"/>
      <c r="AL730" s="690"/>
      <c r="AM730" s="690"/>
    </row>
    <row r="731" spans="1:39" ht="15.95" customHeight="1">
      <c r="A731" s="65">
        <f t="shared" si="43"/>
        <v>13</v>
      </c>
      <c r="B731" s="699" t="s">
        <v>80</v>
      </c>
      <c r="C731" s="700"/>
      <c r="D731" s="700"/>
      <c r="E731" s="700"/>
      <c r="F731" s="700"/>
      <c r="G731" s="700"/>
      <c r="H731" s="700"/>
      <c r="I731" s="700"/>
      <c r="J731" s="700"/>
      <c r="K731" s="701"/>
      <c r="L731" s="702">
        <f t="shared" si="44"/>
        <v>45778</v>
      </c>
      <c r="M731" s="702"/>
      <c r="N731" s="702"/>
      <c r="O731" s="702">
        <f t="shared" si="45"/>
        <v>45808</v>
      </c>
      <c r="P731" s="702"/>
      <c r="Q731" s="702"/>
      <c r="R731" s="772" cm="1">
        <f t="array" ref="R731">INDEX(verificare!$AT$4:$CC$26,VLOOKUP($AA$15,verificare!$AR$4:$AS$26,2,FALSE),A731)</f>
        <v>1934381</v>
      </c>
      <c r="S731" s="773"/>
      <c r="T731" s="773"/>
      <c r="U731" s="774"/>
      <c r="V731" s="658" t="s">
        <v>446</v>
      </c>
      <c r="W731" s="658"/>
      <c r="X731" s="691">
        <f>HLOOKUP(VLOOKUP($AA$15,'Date SPV'!$B:$F,5,FALSE),'Preturi si tarife'!$C$2:$J$39,A731+2,FALSE)</f>
        <v>1.1300000000000001E-2</v>
      </c>
      <c r="Y731" s="692"/>
      <c r="Z731" s="692"/>
      <c r="AA731" s="693"/>
      <c r="AB731" s="690">
        <f t="shared" si="40"/>
        <v>21858.51</v>
      </c>
      <c r="AC731" s="690"/>
      <c r="AD731" s="690"/>
      <c r="AE731" s="690"/>
      <c r="AF731" s="690">
        <f t="shared" si="41"/>
        <v>4153.12</v>
      </c>
      <c r="AG731" s="690"/>
      <c r="AH731" s="690"/>
      <c r="AI731" s="690"/>
      <c r="AJ731" s="690">
        <f t="shared" si="42"/>
        <v>26011.629999999997</v>
      </c>
      <c r="AK731" s="690"/>
      <c r="AL731" s="690"/>
      <c r="AM731" s="690"/>
    </row>
    <row r="732" spans="1:39">
      <c r="A732" s="65">
        <f t="shared" si="43"/>
        <v>14</v>
      </c>
      <c r="B732" s="699" t="s">
        <v>81</v>
      </c>
      <c r="C732" s="700"/>
      <c r="D732" s="700"/>
      <c r="E732" s="700"/>
      <c r="F732" s="700"/>
      <c r="G732" s="700"/>
      <c r="H732" s="700"/>
      <c r="I732" s="700"/>
      <c r="J732" s="700"/>
      <c r="K732" s="701"/>
      <c r="L732" s="702">
        <f t="shared" si="44"/>
        <v>45778</v>
      </c>
      <c r="M732" s="702"/>
      <c r="N732" s="702"/>
      <c r="O732" s="702">
        <f t="shared" si="45"/>
        <v>45808</v>
      </c>
      <c r="P732" s="702"/>
      <c r="Q732" s="702"/>
      <c r="R732" s="772" cm="1">
        <f t="array" ref="R732">INDEX(verificare!$AT$4:$CC$26,VLOOKUP($AA$15,verificare!$AR$4:$AS$26,2,FALSE),A732)</f>
        <v>1934381</v>
      </c>
      <c r="S732" s="773"/>
      <c r="T732" s="773"/>
      <c r="U732" s="774"/>
      <c r="V732" s="658" t="s">
        <v>446</v>
      </c>
      <c r="W732" s="658"/>
      <c r="X732" s="691">
        <f>HLOOKUP(VLOOKUP($AA$15,'Date SPV'!$B:$F,5,FALSE),'Preturi si tarife'!$C$2:$J$39,A732+2,FALSE)</f>
        <v>8.4099999999999994E-2</v>
      </c>
      <c r="Y732" s="692"/>
      <c r="Z732" s="692"/>
      <c r="AA732" s="693"/>
      <c r="AB732" s="690">
        <f t="shared" si="40"/>
        <v>162681.44</v>
      </c>
      <c r="AC732" s="690"/>
      <c r="AD732" s="690"/>
      <c r="AE732" s="690"/>
      <c r="AF732" s="690">
        <f t="shared" si="41"/>
        <v>30909.47</v>
      </c>
      <c r="AG732" s="690"/>
      <c r="AH732" s="690"/>
      <c r="AI732" s="690"/>
      <c r="AJ732" s="690">
        <f t="shared" si="42"/>
        <v>193590.91</v>
      </c>
      <c r="AK732" s="690"/>
      <c r="AL732" s="690"/>
      <c r="AM732" s="690"/>
    </row>
    <row r="733" spans="1:39">
      <c r="A733" s="65">
        <f t="shared" si="43"/>
        <v>15</v>
      </c>
      <c r="B733" s="699" t="s">
        <v>82</v>
      </c>
      <c r="C733" s="700"/>
      <c r="D733" s="700"/>
      <c r="E733" s="700"/>
      <c r="F733" s="700"/>
      <c r="G733" s="700"/>
      <c r="H733" s="700"/>
      <c r="I733" s="700"/>
      <c r="J733" s="700"/>
      <c r="K733" s="701"/>
      <c r="L733" s="702">
        <f t="shared" si="44"/>
        <v>45778</v>
      </c>
      <c r="M733" s="702"/>
      <c r="N733" s="702"/>
      <c r="O733" s="702">
        <f t="shared" si="45"/>
        <v>45808</v>
      </c>
      <c r="P733" s="702"/>
      <c r="Q733" s="702"/>
      <c r="R733" s="690" cm="1">
        <f t="array" ref="R733">INDEX(verificare!$AT$4:$CC$26,VLOOKUP($AA$15,verificare!$AR$4:$AS$26,2,FALSE),A733)</f>
        <v>13904</v>
      </c>
      <c r="S733" s="690"/>
      <c r="T733" s="690"/>
      <c r="U733" s="690"/>
      <c r="V733" s="658" t="s">
        <v>446</v>
      </c>
      <c r="W733" s="658"/>
      <c r="X733" s="691">
        <f>HLOOKUP(VLOOKUP($AA$15,'Date SPV'!$B:$F,5,FALSE),'Preturi si tarife'!$C$2:$J$39,A733+2,FALSE)</f>
        <v>0.90065760000000006</v>
      </c>
      <c r="Y733" s="692"/>
      <c r="Z733" s="692"/>
      <c r="AA733" s="693"/>
      <c r="AB733" s="690">
        <f t="shared" si="40"/>
        <v>12522.74</v>
      </c>
      <c r="AC733" s="690"/>
      <c r="AD733" s="690"/>
      <c r="AE733" s="690"/>
      <c r="AF733" s="690">
        <f t="shared" si="41"/>
        <v>2379.3200000000002</v>
      </c>
      <c r="AG733" s="690"/>
      <c r="AH733" s="690"/>
      <c r="AI733" s="690"/>
      <c r="AJ733" s="690">
        <f t="shared" si="42"/>
        <v>14902.06</v>
      </c>
      <c r="AK733" s="690"/>
      <c r="AL733" s="690"/>
      <c r="AM733" s="690"/>
    </row>
    <row r="734" spans="1:39" ht="15.95" customHeight="1">
      <c r="A734" s="65">
        <f t="shared" si="43"/>
        <v>16</v>
      </c>
      <c r="B734" s="699" t="s">
        <v>83</v>
      </c>
      <c r="C734" s="700"/>
      <c r="D734" s="700"/>
      <c r="E734" s="700"/>
      <c r="F734" s="700"/>
      <c r="G734" s="700"/>
      <c r="H734" s="700"/>
      <c r="I734" s="700"/>
      <c r="J734" s="700"/>
      <c r="K734" s="701"/>
      <c r="L734" s="702">
        <f t="shared" si="44"/>
        <v>45778</v>
      </c>
      <c r="M734" s="702"/>
      <c r="N734" s="702"/>
      <c r="O734" s="702">
        <f t="shared" si="45"/>
        <v>45808</v>
      </c>
      <c r="P734" s="702"/>
      <c r="Q734" s="702"/>
      <c r="R734" s="690" cm="1">
        <f t="array" ref="R734">INDEX(verificare!$AT$4:$CC$26,VLOOKUP($AA$15,verificare!$AR$4:$AS$26,2,FALSE),A734)</f>
        <v>0</v>
      </c>
      <c r="S734" s="690"/>
      <c r="T734" s="690"/>
      <c r="U734" s="690"/>
      <c r="V734" s="658" t="s">
        <v>446</v>
      </c>
      <c r="W734" s="658"/>
      <c r="X734" s="691">
        <f>HLOOKUP(VLOOKUP($AA$15,'Date SPV'!$B:$F,5,FALSE),'Preturi si tarife'!$C$2:$J$39,A734+2,FALSE)</f>
        <v>0.80525760000000002</v>
      </c>
      <c r="Y734" s="692"/>
      <c r="Z734" s="692"/>
      <c r="AA734" s="693"/>
      <c r="AB734" s="690">
        <f t="shared" si="40"/>
        <v>0</v>
      </c>
      <c r="AC734" s="690"/>
      <c r="AD734" s="690"/>
      <c r="AE734" s="690"/>
      <c r="AF734" s="690">
        <f t="shared" si="41"/>
        <v>0</v>
      </c>
      <c r="AG734" s="690"/>
      <c r="AH734" s="690"/>
      <c r="AI734" s="690"/>
      <c r="AJ734" s="690">
        <f t="shared" si="42"/>
        <v>0</v>
      </c>
      <c r="AK734" s="690"/>
      <c r="AL734" s="690"/>
      <c r="AM734" s="690"/>
    </row>
    <row r="735" spans="1:39" ht="15.95" customHeight="1">
      <c r="A735" s="65">
        <f t="shared" si="43"/>
        <v>17</v>
      </c>
      <c r="B735" s="699" t="s">
        <v>1129</v>
      </c>
      <c r="C735" s="700"/>
      <c r="D735" s="700"/>
      <c r="E735" s="700"/>
      <c r="F735" s="700"/>
      <c r="G735" s="700"/>
      <c r="H735" s="700"/>
      <c r="I735" s="700"/>
      <c r="J735" s="700"/>
      <c r="K735" s="701"/>
      <c r="L735" s="702">
        <f t="shared" si="44"/>
        <v>45778</v>
      </c>
      <c r="M735" s="702"/>
      <c r="N735" s="702"/>
      <c r="O735" s="702">
        <f t="shared" si="45"/>
        <v>45808</v>
      </c>
      <c r="P735" s="702"/>
      <c r="Q735" s="702"/>
      <c r="R735" s="690" cm="1">
        <f t="array" ref="R735">INDEX(verificare!$AT$4:$CC$26,VLOOKUP($AA$15,verificare!$AR$4:$AS$26,2,FALSE),A735)</f>
        <v>0</v>
      </c>
      <c r="S735" s="690"/>
      <c r="T735" s="690"/>
      <c r="U735" s="690"/>
      <c r="V735" s="658" t="s">
        <v>446</v>
      </c>
      <c r="W735" s="658"/>
      <c r="X735" s="691">
        <f>HLOOKUP(VLOOKUP($AA$15,'Date SPV'!$B:$F,5,FALSE),'Preturi si tarife'!$C$2:$J$39,A735+2,FALSE)</f>
        <v>1.1300000000000001E-2</v>
      </c>
      <c r="Y735" s="692"/>
      <c r="Z735" s="692"/>
      <c r="AA735" s="693"/>
      <c r="AB735" s="690">
        <f t="shared" si="40"/>
        <v>0</v>
      </c>
      <c r="AC735" s="690"/>
      <c r="AD735" s="690"/>
      <c r="AE735" s="690"/>
      <c r="AF735" s="690">
        <f t="shared" si="41"/>
        <v>0</v>
      </c>
      <c r="AG735" s="690"/>
      <c r="AH735" s="690"/>
      <c r="AI735" s="690"/>
      <c r="AJ735" s="690">
        <f t="shared" si="42"/>
        <v>0</v>
      </c>
      <c r="AK735" s="690"/>
      <c r="AL735" s="690"/>
      <c r="AM735" s="690"/>
    </row>
    <row r="736" spans="1:39" ht="15.95" customHeight="1">
      <c r="A736" s="65">
        <f t="shared" si="43"/>
        <v>18</v>
      </c>
      <c r="B736" s="699" t="s">
        <v>1130</v>
      </c>
      <c r="C736" s="700"/>
      <c r="D736" s="700"/>
      <c r="E736" s="700"/>
      <c r="F736" s="700"/>
      <c r="G736" s="700"/>
      <c r="H736" s="700"/>
      <c r="I736" s="700"/>
      <c r="J736" s="700"/>
      <c r="K736" s="701"/>
      <c r="L736" s="702">
        <f t="shared" si="44"/>
        <v>45778</v>
      </c>
      <c r="M736" s="702"/>
      <c r="N736" s="702"/>
      <c r="O736" s="702">
        <f t="shared" si="45"/>
        <v>45808</v>
      </c>
      <c r="P736" s="702"/>
      <c r="Q736" s="702"/>
      <c r="R736" s="690" cm="1">
        <f t="array" ref="R736">INDEX(verificare!$AT$4:$CC$26,VLOOKUP($AA$15,verificare!$AR$4:$AS$26,2,FALSE),A736)</f>
        <v>0</v>
      </c>
      <c r="S736" s="690"/>
      <c r="T736" s="690"/>
      <c r="U736" s="690"/>
      <c r="V736" s="658" t="s">
        <v>446</v>
      </c>
      <c r="W736" s="658"/>
      <c r="X736" s="691">
        <f>HLOOKUP(VLOOKUP($AA$15,'Date SPV'!$B:$F,5,FALSE),'Preturi si tarife'!$C$2:$J$39,A736+2,FALSE)</f>
        <v>8.4099999999999994E-2</v>
      </c>
      <c r="Y736" s="692"/>
      <c r="Z736" s="692"/>
      <c r="AA736" s="693"/>
      <c r="AB736" s="690">
        <f t="shared" si="40"/>
        <v>0</v>
      </c>
      <c r="AC736" s="690"/>
      <c r="AD736" s="690"/>
      <c r="AE736" s="690"/>
      <c r="AF736" s="690">
        <f t="shared" si="41"/>
        <v>0</v>
      </c>
      <c r="AG736" s="690"/>
      <c r="AH736" s="690"/>
      <c r="AI736" s="690"/>
      <c r="AJ736" s="690">
        <f t="shared" si="42"/>
        <v>0</v>
      </c>
      <c r="AK736" s="690"/>
      <c r="AL736" s="690"/>
      <c r="AM736" s="690"/>
    </row>
    <row r="737" spans="1:39">
      <c r="A737" s="65">
        <f t="shared" si="43"/>
        <v>19</v>
      </c>
      <c r="B737" s="699" t="s">
        <v>99</v>
      </c>
      <c r="C737" s="700"/>
      <c r="D737" s="700"/>
      <c r="E737" s="700"/>
      <c r="F737" s="700"/>
      <c r="G737" s="700"/>
      <c r="H737" s="700"/>
      <c r="I737" s="700"/>
      <c r="J737" s="700"/>
      <c r="K737" s="701"/>
      <c r="L737" s="702">
        <f>'Date masura OD'!$W$5</f>
        <v>45748</v>
      </c>
      <c r="M737" s="702"/>
      <c r="N737" s="702"/>
      <c r="O737" s="702">
        <f>'Date masura OD'!$X$5</f>
        <v>45777</v>
      </c>
      <c r="P737" s="702"/>
      <c r="Q737" s="702"/>
      <c r="R737" s="690" cm="1">
        <f t="array" ref="R737">INDEX(verificare!$AT$4:$CC$26,VLOOKUP($AA$15,verificare!$AR$4:$AS$26,2,FALSE),A737)</f>
        <v>0</v>
      </c>
      <c r="S737" s="690"/>
      <c r="T737" s="690"/>
      <c r="U737" s="690"/>
      <c r="V737" s="658" t="s">
        <v>446</v>
      </c>
      <c r="W737" s="658"/>
      <c r="X737" s="691">
        <f>HLOOKUP(VLOOKUP($AA$15,'Date SPV'!$B:$F,5,FALSE),'Preturi si tarife'!$C$2:$J$39,A737+2,FALSE)</f>
        <v>0.59499999999999997</v>
      </c>
      <c r="Y737" s="692"/>
      <c r="Z737" s="692"/>
      <c r="AA737" s="693"/>
      <c r="AB737" s="690">
        <f t="shared" si="40"/>
        <v>0</v>
      </c>
      <c r="AC737" s="690"/>
      <c r="AD737" s="690"/>
      <c r="AE737" s="690"/>
      <c r="AF737" s="690">
        <f t="shared" si="41"/>
        <v>0</v>
      </c>
      <c r="AG737" s="690"/>
      <c r="AH737" s="690"/>
      <c r="AI737" s="690"/>
      <c r="AJ737" s="690">
        <f t="shared" si="42"/>
        <v>0</v>
      </c>
      <c r="AK737" s="690"/>
      <c r="AL737" s="690"/>
      <c r="AM737" s="690"/>
    </row>
    <row r="738" spans="1:39">
      <c r="A738" s="65">
        <f t="shared" si="43"/>
        <v>20</v>
      </c>
      <c r="B738" s="699" t="s">
        <v>100</v>
      </c>
      <c r="C738" s="700"/>
      <c r="D738" s="700"/>
      <c r="E738" s="700"/>
      <c r="F738" s="700"/>
      <c r="G738" s="700"/>
      <c r="H738" s="700"/>
      <c r="I738" s="700"/>
      <c r="J738" s="700"/>
      <c r="K738" s="701"/>
      <c r="L738" s="702">
        <f>L737</f>
        <v>45748</v>
      </c>
      <c r="M738" s="702"/>
      <c r="N738" s="702"/>
      <c r="O738" s="702">
        <f t="shared" ref="O738:O754" si="46">O737</f>
        <v>45777</v>
      </c>
      <c r="P738" s="702"/>
      <c r="Q738" s="702"/>
      <c r="R738" s="690" cm="1">
        <f t="array" ref="R738">INDEX(verificare!$AT$4:$CC$26,VLOOKUP($AA$15,verificare!$AR$4:$AS$26,2,FALSE),A738)</f>
        <v>0</v>
      </c>
      <c r="S738" s="690"/>
      <c r="T738" s="690"/>
      <c r="U738" s="690"/>
      <c r="V738" s="658" t="s">
        <v>727</v>
      </c>
      <c r="W738" s="658"/>
      <c r="X738" s="691">
        <f>HLOOKUP(VLOOKUP($AA$15,'Date SPV'!$B:$F,5,FALSE),'Preturi si tarife'!$C$2:$J$39,A738+2,FALSE)</f>
        <v>0.14660000000000001</v>
      </c>
      <c r="Y738" s="692"/>
      <c r="Z738" s="692"/>
      <c r="AA738" s="693"/>
      <c r="AB738" s="690">
        <f t="shared" si="40"/>
        <v>0</v>
      </c>
      <c r="AC738" s="690"/>
      <c r="AD738" s="690"/>
      <c r="AE738" s="690"/>
      <c r="AF738" s="690">
        <f t="shared" si="41"/>
        <v>0</v>
      </c>
      <c r="AG738" s="690"/>
      <c r="AH738" s="690"/>
      <c r="AI738" s="690"/>
      <c r="AJ738" s="690">
        <f t="shared" si="42"/>
        <v>0</v>
      </c>
      <c r="AK738" s="690"/>
      <c r="AL738" s="690"/>
      <c r="AM738" s="690"/>
    </row>
    <row r="739" spans="1:39">
      <c r="A739" s="65">
        <f t="shared" si="43"/>
        <v>21</v>
      </c>
      <c r="B739" s="699" t="s">
        <v>101</v>
      </c>
      <c r="C739" s="700"/>
      <c r="D739" s="700"/>
      <c r="E739" s="700"/>
      <c r="F739" s="700"/>
      <c r="G739" s="700"/>
      <c r="H739" s="700"/>
      <c r="I739" s="700"/>
      <c r="J739" s="700"/>
      <c r="K739" s="701"/>
      <c r="L739" s="702">
        <f t="shared" ref="L739:L754" si="47">L738</f>
        <v>45748</v>
      </c>
      <c r="M739" s="702"/>
      <c r="N739" s="702"/>
      <c r="O739" s="702">
        <f t="shared" si="46"/>
        <v>45777</v>
      </c>
      <c r="P739" s="702"/>
      <c r="Q739" s="702"/>
      <c r="R739" s="690" cm="1">
        <f t="array" ref="R739">INDEX(verificare!$AT$4:$CC$26,VLOOKUP($AA$15,verificare!$AR$4:$AS$26,2,FALSE),A739)</f>
        <v>0</v>
      </c>
      <c r="S739" s="690"/>
      <c r="T739" s="690"/>
      <c r="U739" s="690"/>
      <c r="V739" s="658" t="s">
        <v>727</v>
      </c>
      <c r="W739" s="658"/>
      <c r="X739" s="691">
        <f>HLOOKUP(VLOOKUP($AA$15,'Date SPV'!$B:$F,5,FALSE),'Preturi si tarife'!$C$2:$J$39,A739+2,FALSE)</f>
        <v>0.43980000000000002</v>
      </c>
      <c r="Y739" s="692"/>
      <c r="Z739" s="692"/>
      <c r="AA739" s="693"/>
      <c r="AB739" s="690">
        <f t="shared" si="40"/>
        <v>0</v>
      </c>
      <c r="AC739" s="690"/>
      <c r="AD739" s="690"/>
      <c r="AE739" s="690"/>
      <c r="AF739" s="690">
        <f t="shared" si="41"/>
        <v>0</v>
      </c>
      <c r="AG739" s="690"/>
      <c r="AH739" s="690"/>
      <c r="AI739" s="690"/>
      <c r="AJ739" s="690">
        <f t="shared" si="42"/>
        <v>0</v>
      </c>
      <c r="AK739" s="690"/>
      <c r="AL739" s="690"/>
      <c r="AM739" s="690"/>
    </row>
    <row r="740" spans="1:39" ht="30.95" customHeight="1">
      <c r="A740" s="65">
        <f t="shared" si="43"/>
        <v>22</v>
      </c>
      <c r="B740" s="699" t="s">
        <v>869</v>
      </c>
      <c r="C740" s="700"/>
      <c r="D740" s="700"/>
      <c r="E740" s="700"/>
      <c r="F740" s="700"/>
      <c r="G740" s="700"/>
      <c r="H740" s="700"/>
      <c r="I740" s="700"/>
      <c r="J740" s="700"/>
      <c r="K740" s="701"/>
      <c r="L740" s="702">
        <f t="shared" si="47"/>
        <v>45748</v>
      </c>
      <c r="M740" s="702"/>
      <c r="N740" s="702"/>
      <c r="O740" s="702">
        <f t="shared" si="46"/>
        <v>45777</v>
      </c>
      <c r="P740" s="702"/>
      <c r="Q740" s="702"/>
      <c r="R740" s="690" cm="1">
        <f t="array" ref="R740">INDEX(verificare!$AT$4:$CC$26,VLOOKUP($AA$15,verificare!$AR$4:$AS$26,2,FALSE),A740)</f>
        <v>0</v>
      </c>
      <c r="S740" s="690"/>
      <c r="T740" s="690"/>
      <c r="U740" s="690"/>
      <c r="V740" s="658" t="s">
        <v>446</v>
      </c>
      <c r="W740" s="658"/>
      <c r="X740" s="691">
        <f>HLOOKUP(VLOOKUP($AA$15,'Date SPV'!$B:$F,5,FALSE),'Preturi si tarife'!$C$2:$J$39,A740+2,FALSE)</f>
        <v>8.6180000000000007E-2</v>
      </c>
      <c r="Y740" s="692"/>
      <c r="Z740" s="692"/>
      <c r="AA740" s="693"/>
      <c r="AB740" s="690">
        <f t="shared" si="40"/>
        <v>0</v>
      </c>
      <c r="AC740" s="690"/>
      <c r="AD740" s="690"/>
      <c r="AE740" s="690"/>
      <c r="AF740" s="690">
        <f t="shared" si="41"/>
        <v>0</v>
      </c>
      <c r="AG740" s="690"/>
      <c r="AH740" s="690"/>
      <c r="AI740" s="690"/>
      <c r="AJ740" s="690">
        <f t="shared" si="42"/>
        <v>0</v>
      </c>
      <c r="AK740" s="690"/>
      <c r="AL740" s="690"/>
      <c r="AM740" s="690"/>
    </row>
    <row r="741" spans="1:39" ht="15.95" customHeight="1">
      <c r="A741" s="65">
        <f t="shared" si="43"/>
        <v>23</v>
      </c>
      <c r="B741" s="699" t="s">
        <v>758</v>
      </c>
      <c r="C741" s="700"/>
      <c r="D741" s="700"/>
      <c r="E741" s="700"/>
      <c r="F741" s="700"/>
      <c r="G741" s="700"/>
      <c r="H741" s="700"/>
      <c r="I741" s="700"/>
      <c r="J741" s="700"/>
      <c r="K741" s="701"/>
      <c r="L741" s="702">
        <f t="shared" si="47"/>
        <v>45748</v>
      </c>
      <c r="M741" s="702"/>
      <c r="N741" s="702"/>
      <c r="O741" s="702">
        <f t="shared" si="46"/>
        <v>45777</v>
      </c>
      <c r="P741" s="702"/>
      <c r="Q741" s="702"/>
      <c r="R741" s="690" cm="1">
        <f t="array" ref="R741">INDEX(verificare!$AT$4:$CC$26,VLOOKUP($AA$15,verificare!$AR$4:$AS$26,2,FALSE),A741)</f>
        <v>0</v>
      </c>
      <c r="S741" s="690"/>
      <c r="T741" s="690"/>
      <c r="U741" s="690"/>
      <c r="V741" s="658" t="s">
        <v>446</v>
      </c>
      <c r="W741" s="658"/>
      <c r="X741" s="691">
        <f>HLOOKUP(VLOOKUP($AA$15,'Date SPV'!$B:$F,5,FALSE),'Preturi si tarife'!$C$2:$J$39,A741+2,FALSE)</f>
        <v>0.2079</v>
      </c>
      <c r="Y741" s="692"/>
      <c r="Z741" s="692"/>
      <c r="AA741" s="693"/>
      <c r="AB741" s="690">
        <f t="shared" si="40"/>
        <v>0</v>
      </c>
      <c r="AC741" s="690"/>
      <c r="AD741" s="690"/>
      <c r="AE741" s="690"/>
      <c r="AF741" s="690">
        <f t="shared" si="41"/>
        <v>0</v>
      </c>
      <c r="AG741" s="690"/>
      <c r="AH741" s="690"/>
      <c r="AI741" s="690"/>
      <c r="AJ741" s="690">
        <f t="shared" si="42"/>
        <v>0</v>
      </c>
      <c r="AK741" s="690"/>
      <c r="AL741" s="690"/>
      <c r="AM741" s="690"/>
    </row>
    <row r="742" spans="1:39">
      <c r="A742" s="65">
        <f t="shared" si="43"/>
        <v>24</v>
      </c>
      <c r="B742" s="699" t="s">
        <v>102</v>
      </c>
      <c r="C742" s="700"/>
      <c r="D742" s="700"/>
      <c r="E742" s="700"/>
      <c r="F742" s="700"/>
      <c r="G742" s="700"/>
      <c r="H742" s="700"/>
      <c r="I742" s="700"/>
      <c r="J742" s="700"/>
      <c r="K742" s="701"/>
      <c r="L742" s="702">
        <f t="shared" si="47"/>
        <v>45748</v>
      </c>
      <c r="M742" s="702"/>
      <c r="N742" s="702"/>
      <c r="O742" s="702">
        <f t="shared" si="46"/>
        <v>45777</v>
      </c>
      <c r="P742" s="702"/>
      <c r="Q742" s="702"/>
      <c r="R742" s="690" cm="1">
        <f t="array" ref="R742">INDEX(verificare!$AT$4:$CC$26,VLOOKUP($AA$15,verificare!$AR$4:$AS$26,2,FALSE),A742)</f>
        <v>0</v>
      </c>
      <c r="S742" s="690"/>
      <c r="T742" s="690"/>
      <c r="U742" s="690"/>
      <c r="V742" s="658" t="s">
        <v>446</v>
      </c>
      <c r="W742" s="658"/>
      <c r="X742" s="691">
        <f>HLOOKUP(VLOOKUP($AA$15,'Date SPV'!$B:$F,5,FALSE),'Preturi si tarife'!$C$2:$J$39,A742+2,FALSE)</f>
        <v>1.1509999999999999E-2</v>
      </c>
      <c r="Y742" s="692"/>
      <c r="Z742" s="692"/>
      <c r="AA742" s="693"/>
      <c r="AB742" s="690">
        <f t="shared" si="40"/>
        <v>0</v>
      </c>
      <c r="AC742" s="690"/>
      <c r="AD742" s="690"/>
      <c r="AE742" s="690"/>
      <c r="AF742" s="690">
        <f t="shared" si="41"/>
        <v>0</v>
      </c>
      <c r="AG742" s="690"/>
      <c r="AH742" s="690"/>
      <c r="AI742" s="690"/>
      <c r="AJ742" s="690">
        <f t="shared" si="42"/>
        <v>0</v>
      </c>
      <c r="AK742" s="690"/>
      <c r="AL742" s="690"/>
      <c r="AM742" s="690"/>
    </row>
    <row r="743" spans="1:39" ht="30.95" customHeight="1">
      <c r="A743" s="65">
        <f t="shared" si="43"/>
        <v>25</v>
      </c>
      <c r="B743" s="699" t="s">
        <v>103</v>
      </c>
      <c r="C743" s="700"/>
      <c r="D743" s="700"/>
      <c r="E743" s="700"/>
      <c r="F743" s="700"/>
      <c r="G743" s="700"/>
      <c r="H743" s="700"/>
      <c r="I743" s="700"/>
      <c r="J743" s="700"/>
      <c r="K743" s="701"/>
      <c r="L743" s="702">
        <f t="shared" si="47"/>
        <v>45748</v>
      </c>
      <c r="M743" s="702"/>
      <c r="N743" s="702"/>
      <c r="O743" s="702">
        <f t="shared" si="46"/>
        <v>45777</v>
      </c>
      <c r="P743" s="702"/>
      <c r="Q743" s="702"/>
      <c r="R743" s="690" cm="1">
        <f t="array" ref="R743">INDEX(verificare!$AT$4:$CC$26,VLOOKUP($AA$15,verificare!$AR$4:$AS$26,2,FALSE),A743)</f>
        <v>0</v>
      </c>
      <c r="S743" s="690"/>
      <c r="T743" s="690"/>
      <c r="U743" s="690"/>
      <c r="V743" s="658" t="s">
        <v>446</v>
      </c>
      <c r="W743" s="658"/>
      <c r="X743" s="691">
        <f>HLOOKUP(VLOOKUP($AA$15,'Date SPV'!$B:$F,5,FALSE),'Preturi si tarife'!$C$2:$J$39,A743+2,FALSE)</f>
        <v>3.3030000000000004E-2</v>
      </c>
      <c r="Y743" s="692"/>
      <c r="Z743" s="692"/>
      <c r="AA743" s="693"/>
      <c r="AB743" s="690">
        <f t="shared" si="40"/>
        <v>0</v>
      </c>
      <c r="AC743" s="690"/>
      <c r="AD743" s="690"/>
      <c r="AE743" s="690"/>
      <c r="AF743" s="690">
        <f t="shared" si="41"/>
        <v>0</v>
      </c>
      <c r="AG743" s="690"/>
      <c r="AH743" s="690"/>
      <c r="AI743" s="690"/>
      <c r="AJ743" s="690">
        <f t="shared" si="42"/>
        <v>0</v>
      </c>
      <c r="AK743" s="690"/>
      <c r="AL743" s="690"/>
      <c r="AM743" s="690"/>
    </row>
    <row r="744" spans="1:39" ht="30.95" customHeight="1">
      <c r="A744" s="65">
        <f t="shared" si="43"/>
        <v>26</v>
      </c>
      <c r="B744" s="699" t="s">
        <v>104</v>
      </c>
      <c r="C744" s="700"/>
      <c r="D744" s="700"/>
      <c r="E744" s="700"/>
      <c r="F744" s="700"/>
      <c r="G744" s="700"/>
      <c r="H744" s="700"/>
      <c r="I744" s="700"/>
      <c r="J744" s="700"/>
      <c r="K744" s="701"/>
      <c r="L744" s="702">
        <f t="shared" si="47"/>
        <v>45748</v>
      </c>
      <c r="M744" s="702"/>
      <c r="N744" s="702"/>
      <c r="O744" s="702">
        <f t="shared" si="46"/>
        <v>45777</v>
      </c>
      <c r="P744" s="702"/>
      <c r="Q744" s="702"/>
      <c r="R744" s="690" cm="1">
        <f t="array" ref="R744">INDEX(verificare!$AT$4:$CC$26,VLOOKUP($AA$15,verificare!$AR$4:$AS$26,2,FALSE),A744)</f>
        <v>0</v>
      </c>
      <c r="S744" s="690"/>
      <c r="T744" s="690"/>
      <c r="U744" s="690"/>
      <c r="V744" s="658" t="s">
        <v>446</v>
      </c>
      <c r="W744" s="658"/>
      <c r="X744" s="691">
        <f>HLOOKUP(VLOOKUP($AA$15,'Date SPV'!$B:$F,5,FALSE),'Preturi si tarife'!$C$2:$J$39,A744+2,FALSE)</f>
        <v>3.29E-3</v>
      </c>
      <c r="Y744" s="692"/>
      <c r="Z744" s="692"/>
      <c r="AA744" s="693"/>
      <c r="AB744" s="690">
        <f t="shared" si="40"/>
        <v>0</v>
      </c>
      <c r="AC744" s="690"/>
      <c r="AD744" s="690"/>
      <c r="AE744" s="690"/>
      <c r="AF744" s="690">
        <f t="shared" si="41"/>
        <v>0</v>
      </c>
      <c r="AG744" s="690"/>
      <c r="AH744" s="690"/>
      <c r="AI744" s="690"/>
      <c r="AJ744" s="690">
        <f t="shared" si="42"/>
        <v>0</v>
      </c>
      <c r="AK744" s="690"/>
      <c r="AL744" s="690"/>
      <c r="AM744" s="690"/>
    </row>
    <row r="745" spans="1:39" ht="30.95" customHeight="1">
      <c r="A745" s="65">
        <f t="shared" si="43"/>
        <v>27</v>
      </c>
      <c r="B745" s="699" t="s">
        <v>105</v>
      </c>
      <c r="C745" s="700"/>
      <c r="D745" s="700"/>
      <c r="E745" s="700"/>
      <c r="F745" s="700"/>
      <c r="G745" s="700"/>
      <c r="H745" s="700"/>
      <c r="I745" s="700"/>
      <c r="J745" s="700"/>
      <c r="K745" s="701"/>
      <c r="L745" s="702">
        <f t="shared" si="47"/>
        <v>45748</v>
      </c>
      <c r="M745" s="702"/>
      <c r="N745" s="702"/>
      <c r="O745" s="702">
        <f t="shared" si="46"/>
        <v>45777</v>
      </c>
      <c r="P745" s="702"/>
      <c r="Q745" s="702"/>
      <c r="R745" s="690" cm="1">
        <f t="array" ref="R745">INDEX(verificare!$AT$4:$CC$26,VLOOKUP($AA$15,verificare!$AR$4:$AS$26,2,FALSE),A745)</f>
        <v>0</v>
      </c>
      <c r="S745" s="690"/>
      <c r="T745" s="690"/>
      <c r="U745" s="690"/>
      <c r="V745" s="658" t="s">
        <v>446</v>
      </c>
      <c r="W745" s="658"/>
      <c r="X745" s="691">
        <f>HLOOKUP(VLOOKUP($AA$15,'Date SPV'!$B:$F,5,FALSE),'Preturi si tarife'!$C$2:$J$39,A745+2,FALSE)</f>
        <v>3.5000000000000001E-3</v>
      </c>
      <c r="Y745" s="692"/>
      <c r="Z745" s="692"/>
      <c r="AA745" s="693"/>
      <c r="AB745" s="690">
        <f t="shared" si="40"/>
        <v>0</v>
      </c>
      <c r="AC745" s="690"/>
      <c r="AD745" s="690"/>
      <c r="AE745" s="690"/>
      <c r="AF745" s="690">
        <f t="shared" si="41"/>
        <v>0</v>
      </c>
      <c r="AG745" s="690"/>
      <c r="AH745" s="690"/>
      <c r="AI745" s="690"/>
      <c r="AJ745" s="690">
        <f t="shared" si="42"/>
        <v>0</v>
      </c>
      <c r="AK745" s="690"/>
      <c r="AL745" s="690"/>
      <c r="AM745" s="690"/>
    </row>
    <row r="746" spans="1:39">
      <c r="A746" s="65">
        <f t="shared" si="43"/>
        <v>28</v>
      </c>
      <c r="B746" s="699" t="s">
        <v>106</v>
      </c>
      <c r="C746" s="700"/>
      <c r="D746" s="700"/>
      <c r="E746" s="700"/>
      <c r="F746" s="700"/>
      <c r="G746" s="700"/>
      <c r="H746" s="700"/>
      <c r="I746" s="700"/>
      <c r="J746" s="700"/>
      <c r="K746" s="701"/>
      <c r="L746" s="702">
        <f t="shared" si="47"/>
        <v>45748</v>
      </c>
      <c r="M746" s="702"/>
      <c r="N746" s="702"/>
      <c r="O746" s="702">
        <f t="shared" si="46"/>
        <v>45777</v>
      </c>
      <c r="P746" s="702"/>
      <c r="Q746" s="702"/>
      <c r="R746" s="690" cm="1">
        <f t="array" ref="R746">INDEX(verificare!$AT$4:$CC$26,VLOOKUP($AA$15,verificare!$AR$4:$AS$26,2,FALSE),A746)</f>
        <v>0</v>
      </c>
      <c r="S746" s="690"/>
      <c r="T746" s="690"/>
      <c r="U746" s="690"/>
      <c r="V746" s="658" t="s">
        <v>446</v>
      </c>
      <c r="W746" s="658"/>
      <c r="X746" s="691">
        <f>HLOOKUP(VLOOKUP($AA$15,'Date SPV'!$B:$F,5,FALSE),'Preturi si tarife'!$C$2:$J$39,A746+2,FALSE)</f>
        <v>7.2541599999999998E-2</v>
      </c>
      <c r="Y746" s="692"/>
      <c r="Z746" s="692"/>
      <c r="AA746" s="693"/>
      <c r="AB746" s="690">
        <f t="shared" si="40"/>
        <v>0</v>
      </c>
      <c r="AC746" s="690"/>
      <c r="AD746" s="690"/>
      <c r="AE746" s="690"/>
      <c r="AF746" s="690">
        <f t="shared" si="41"/>
        <v>0</v>
      </c>
      <c r="AG746" s="690"/>
      <c r="AH746" s="690"/>
      <c r="AI746" s="690"/>
      <c r="AJ746" s="690">
        <f t="shared" si="42"/>
        <v>0</v>
      </c>
      <c r="AK746" s="690"/>
      <c r="AL746" s="690"/>
      <c r="AM746" s="690"/>
    </row>
    <row r="747" spans="1:39" ht="30.95" customHeight="1">
      <c r="A747" s="65">
        <f t="shared" si="43"/>
        <v>29</v>
      </c>
      <c r="B747" s="699" t="s">
        <v>1316</v>
      </c>
      <c r="C747" s="700"/>
      <c r="D747" s="700"/>
      <c r="E747" s="700"/>
      <c r="F747" s="700"/>
      <c r="G747" s="700"/>
      <c r="H747" s="700"/>
      <c r="I747" s="700"/>
      <c r="J747" s="700"/>
      <c r="K747" s="701"/>
      <c r="L747" s="763">
        <f>L752</f>
        <v>45748</v>
      </c>
      <c r="M747" s="764"/>
      <c r="N747" s="765"/>
      <c r="O747" s="763">
        <f>O752</f>
        <v>45777</v>
      </c>
      <c r="P747" s="764"/>
      <c r="Q747" s="765"/>
      <c r="R747" s="690" cm="1">
        <f t="array" ref="R747">INDEX(verificare!$AT$4:$CC$26,VLOOKUP($AA$15,verificare!$AR$4:$AS$26,2,FALSE),A747)</f>
        <v>0</v>
      </c>
      <c r="S747" s="690"/>
      <c r="T747" s="690"/>
      <c r="U747" s="690"/>
      <c r="V747" s="724" t="s">
        <v>446</v>
      </c>
      <c r="W747" s="725"/>
      <c r="X747" s="691">
        <f>HLOOKUP(VLOOKUP($AA$15,'Date SPV'!$B:$F,5,FALSE),'Preturi si tarife'!$C$2:$J$39,A747+2,FALSE)</f>
        <v>2.0599999999999999E-4</v>
      </c>
      <c r="Y747" s="692"/>
      <c r="Z747" s="692"/>
      <c r="AA747" s="693"/>
      <c r="AB747" s="690">
        <f>ROUND(X747*R747,2)</f>
        <v>0</v>
      </c>
      <c r="AC747" s="690"/>
      <c r="AD747" s="690"/>
      <c r="AE747" s="690"/>
      <c r="AF747" s="772">
        <f>ROUND(AB747*19%,2)</f>
        <v>0</v>
      </c>
      <c r="AG747" s="773"/>
      <c r="AH747" s="773"/>
      <c r="AI747" s="774"/>
      <c r="AJ747" s="772">
        <f>AB747+AF747</f>
        <v>0</v>
      </c>
      <c r="AK747" s="773"/>
      <c r="AL747" s="773"/>
      <c r="AM747" s="774"/>
    </row>
    <row r="748" spans="1:39" ht="15.95" customHeight="1">
      <c r="A748" s="65">
        <f t="shared" si="43"/>
        <v>30</v>
      </c>
      <c r="B748" s="699" t="s">
        <v>107</v>
      </c>
      <c r="C748" s="700"/>
      <c r="D748" s="700"/>
      <c r="E748" s="700"/>
      <c r="F748" s="700"/>
      <c r="G748" s="700"/>
      <c r="H748" s="700"/>
      <c r="I748" s="700"/>
      <c r="J748" s="700"/>
      <c r="K748" s="701"/>
      <c r="L748" s="702">
        <f>L746</f>
        <v>45748</v>
      </c>
      <c r="M748" s="702"/>
      <c r="N748" s="702"/>
      <c r="O748" s="702">
        <f>O746</f>
        <v>45777</v>
      </c>
      <c r="P748" s="702"/>
      <c r="Q748" s="702"/>
      <c r="R748" s="690" cm="1">
        <f t="array" ref="R748">INDEX(verificare!$AT$4:$CC$26,VLOOKUP($AA$15,verificare!$AR$4:$AS$26,2,FALSE),A748)</f>
        <v>0</v>
      </c>
      <c r="S748" s="690"/>
      <c r="T748" s="690"/>
      <c r="U748" s="690"/>
      <c r="V748" s="658" t="s">
        <v>446</v>
      </c>
      <c r="W748" s="658"/>
      <c r="X748" s="691">
        <f>HLOOKUP(VLOOKUP($AA$15,'Date SPV'!$B:$F,5,FALSE),'Preturi si tarife'!$C$2:$J$39,A748+2,FALSE)</f>
        <v>0</v>
      </c>
      <c r="Y748" s="692"/>
      <c r="Z748" s="692"/>
      <c r="AA748" s="693"/>
      <c r="AB748" s="690">
        <f t="shared" si="40"/>
        <v>0</v>
      </c>
      <c r="AC748" s="690"/>
      <c r="AD748" s="690"/>
      <c r="AE748" s="690"/>
      <c r="AF748" s="690">
        <f t="shared" si="41"/>
        <v>0</v>
      </c>
      <c r="AG748" s="690"/>
      <c r="AH748" s="690"/>
      <c r="AI748" s="690"/>
      <c r="AJ748" s="690">
        <f t="shared" si="42"/>
        <v>0</v>
      </c>
      <c r="AK748" s="690"/>
      <c r="AL748" s="690"/>
      <c r="AM748" s="690"/>
    </row>
    <row r="749" spans="1:39" ht="30.95" customHeight="1">
      <c r="A749" s="65">
        <f t="shared" si="43"/>
        <v>31</v>
      </c>
      <c r="B749" s="699" t="s">
        <v>108</v>
      </c>
      <c r="C749" s="700"/>
      <c r="D749" s="700"/>
      <c r="E749" s="700"/>
      <c r="F749" s="700"/>
      <c r="G749" s="700"/>
      <c r="H749" s="700"/>
      <c r="I749" s="700"/>
      <c r="J749" s="700"/>
      <c r="K749" s="701"/>
      <c r="L749" s="702">
        <f>L748</f>
        <v>45748</v>
      </c>
      <c r="M749" s="702"/>
      <c r="N749" s="702"/>
      <c r="O749" s="702">
        <f>O748</f>
        <v>45777</v>
      </c>
      <c r="P749" s="702"/>
      <c r="Q749" s="702"/>
      <c r="R749" s="690" cm="1">
        <f t="array" ref="R749">INDEX(verificare!$AT$4:$CC$26,VLOOKUP($AA$15,verificare!$AR$4:$AS$26,2,FALSE),A749)</f>
        <v>0</v>
      </c>
      <c r="S749" s="690"/>
      <c r="T749" s="690"/>
      <c r="U749" s="690"/>
      <c r="V749" s="658" t="s">
        <v>446</v>
      </c>
      <c r="W749" s="658"/>
      <c r="X749" s="691">
        <f>HLOOKUP(VLOOKUP($AA$15,'Date SPV'!$B:$F,5,FALSE),'Preturi si tarife'!$C$2:$J$39,A749+2,FALSE)</f>
        <v>1.1300000000000001E-2</v>
      </c>
      <c r="Y749" s="692"/>
      <c r="Z749" s="692"/>
      <c r="AA749" s="693"/>
      <c r="AB749" s="690">
        <f t="shared" si="40"/>
        <v>0</v>
      </c>
      <c r="AC749" s="690"/>
      <c r="AD749" s="690"/>
      <c r="AE749" s="690"/>
      <c r="AF749" s="690">
        <f t="shared" si="41"/>
        <v>0</v>
      </c>
      <c r="AG749" s="690"/>
      <c r="AH749" s="690"/>
      <c r="AI749" s="690"/>
      <c r="AJ749" s="690">
        <f t="shared" si="42"/>
        <v>0</v>
      </c>
      <c r="AK749" s="690"/>
      <c r="AL749" s="690"/>
      <c r="AM749" s="690"/>
    </row>
    <row r="750" spans="1:39" ht="30.95" customHeight="1">
      <c r="A750" s="65">
        <f t="shared" si="43"/>
        <v>32</v>
      </c>
      <c r="B750" s="699" t="s">
        <v>109</v>
      </c>
      <c r="C750" s="700"/>
      <c r="D750" s="700"/>
      <c r="E750" s="700"/>
      <c r="F750" s="700"/>
      <c r="G750" s="700"/>
      <c r="H750" s="700"/>
      <c r="I750" s="700"/>
      <c r="J750" s="700"/>
      <c r="K750" s="701"/>
      <c r="L750" s="763">
        <f>L749</f>
        <v>45748</v>
      </c>
      <c r="M750" s="764"/>
      <c r="N750" s="765"/>
      <c r="O750" s="763">
        <f>O749</f>
        <v>45777</v>
      </c>
      <c r="P750" s="764"/>
      <c r="Q750" s="765"/>
      <c r="R750" s="690" cm="1">
        <f t="array" ref="R750">INDEX(verificare!$AT$4:$CC$26,VLOOKUP($AA$15,verificare!$AR$4:$AS$26,2,FALSE),A750)</f>
        <v>0</v>
      </c>
      <c r="S750" s="690"/>
      <c r="T750" s="690"/>
      <c r="U750" s="690"/>
      <c r="V750" s="724" t="s">
        <v>446</v>
      </c>
      <c r="W750" s="725"/>
      <c r="X750" s="691">
        <f>HLOOKUP(VLOOKUP($AA$15,'Date SPV'!$B:$F,5,FALSE),'Preturi si tarife'!$C$2:$J$39,A750+2,FALSE)</f>
        <v>8.4099999999999994E-2</v>
      </c>
      <c r="Y750" s="692"/>
      <c r="Z750" s="692"/>
      <c r="AA750" s="693"/>
      <c r="AB750" s="690">
        <f t="shared" si="40"/>
        <v>0</v>
      </c>
      <c r="AC750" s="690"/>
      <c r="AD750" s="690"/>
      <c r="AE750" s="690"/>
      <c r="AF750" s="690">
        <f t="shared" si="41"/>
        <v>0</v>
      </c>
      <c r="AG750" s="690"/>
      <c r="AH750" s="690"/>
      <c r="AI750" s="690"/>
      <c r="AJ750" s="690">
        <f t="shared" si="42"/>
        <v>0</v>
      </c>
      <c r="AK750" s="690"/>
      <c r="AL750" s="690"/>
      <c r="AM750" s="690"/>
    </row>
    <row r="751" spans="1:39" ht="15.95" customHeight="1">
      <c r="A751" s="65">
        <f t="shared" si="43"/>
        <v>33</v>
      </c>
      <c r="B751" s="699" t="s">
        <v>110</v>
      </c>
      <c r="C751" s="700"/>
      <c r="D751" s="700"/>
      <c r="E751" s="700"/>
      <c r="F751" s="700"/>
      <c r="G751" s="700"/>
      <c r="H751" s="700"/>
      <c r="I751" s="700"/>
      <c r="J751" s="700"/>
      <c r="K751" s="701"/>
      <c r="L751" s="702">
        <f t="shared" si="47"/>
        <v>45748</v>
      </c>
      <c r="M751" s="702"/>
      <c r="N751" s="702"/>
      <c r="O751" s="702">
        <f t="shared" si="46"/>
        <v>45777</v>
      </c>
      <c r="P751" s="702"/>
      <c r="Q751" s="702"/>
      <c r="R751" s="690" cm="1">
        <f t="array" ref="R751">INDEX(verificare!$AT$4:$CC$26,VLOOKUP($AA$15,verificare!$AR$4:$AS$26,2,FALSE),A751)</f>
        <v>0</v>
      </c>
      <c r="S751" s="690"/>
      <c r="T751" s="690"/>
      <c r="U751" s="690"/>
      <c r="V751" s="658" t="s">
        <v>446</v>
      </c>
      <c r="W751" s="658"/>
      <c r="X751" s="691">
        <f>HLOOKUP(VLOOKUP($AA$15,'Date SPV'!$B:$F,5,FALSE),'Preturi si tarife'!$C$2:$J$39,A751+2,FALSE)</f>
        <v>0.90065760000000006</v>
      </c>
      <c r="Y751" s="692"/>
      <c r="Z751" s="692"/>
      <c r="AA751" s="693"/>
      <c r="AB751" s="690">
        <f t="shared" si="40"/>
        <v>0</v>
      </c>
      <c r="AC751" s="690"/>
      <c r="AD751" s="690"/>
      <c r="AE751" s="690"/>
      <c r="AF751" s="690">
        <f t="shared" si="41"/>
        <v>0</v>
      </c>
      <c r="AG751" s="690"/>
      <c r="AH751" s="690"/>
      <c r="AI751" s="690"/>
      <c r="AJ751" s="690">
        <f t="shared" si="42"/>
        <v>0</v>
      </c>
      <c r="AK751" s="690"/>
      <c r="AL751" s="690"/>
      <c r="AM751" s="690"/>
    </row>
    <row r="752" spans="1:39">
      <c r="A752" s="65">
        <f t="shared" si="43"/>
        <v>34</v>
      </c>
      <c r="B752" s="699" t="s">
        <v>111</v>
      </c>
      <c r="C752" s="700"/>
      <c r="D752" s="700"/>
      <c r="E752" s="700"/>
      <c r="F752" s="700"/>
      <c r="G752" s="700"/>
      <c r="H752" s="700"/>
      <c r="I752" s="700"/>
      <c r="J752" s="700"/>
      <c r="K752" s="701"/>
      <c r="L752" s="702">
        <f t="shared" si="47"/>
        <v>45748</v>
      </c>
      <c r="M752" s="702"/>
      <c r="N752" s="702"/>
      <c r="O752" s="702">
        <f t="shared" si="46"/>
        <v>45777</v>
      </c>
      <c r="P752" s="702"/>
      <c r="Q752" s="702"/>
      <c r="R752" s="690" cm="1">
        <f t="array" ref="R752">INDEX(verificare!$AT$4:$CC$26,VLOOKUP($AA$15,verificare!$AR$4:$AS$26,2,FALSE),A752)</f>
        <v>0</v>
      </c>
      <c r="S752" s="690"/>
      <c r="T752" s="690"/>
      <c r="U752" s="690"/>
      <c r="V752" s="658" t="s">
        <v>446</v>
      </c>
      <c r="W752" s="658"/>
      <c r="X752" s="691">
        <f>HLOOKUP(VLOOKUP($AA$15,'Date SPV'!$B:$F,5,FALSE),'Preturi si tarife'!$C$2:$J$39,A752+2,FALSE)</f>
        <v>0.80525760000000002</v>
      </c>
      <c r="Y752" s="692"/>
      <c r="Z752" s="692"/>
      <c r="AA752" s="693"/>
      <c r="AB752" s="690">
        <f t="shared" si="40"/>
        <v>0</v>
      </c>
      <c r="AC752" s="690"/>
      <c r="AD752" s="690"/>
      <c r="AE752" s="690"/>
      <c r="AF752" s="690">
        <f t="shared" si="41"/>
        <v>0</v>
      </c>
      <c r="AG752" s="690"/>
      <c r="AH752" s="690"/>
      <c r="AI752" s="690"/>
      <c r="AJ752" s="690">
        <f t="shared" si="42"/>
        <v>0</v>
      </c>
      <c r="AK752" s="690"/>
      <c r="AL752" s="690"/>
      <c r="AM752" s="690"/>
    </row>
    <row r="753" spans="1:39" ht="30.95" customHeight="1">
      <c r="A753" s="65">
        <f t="shared" si="43"/>
        <v>35</v>
      </c>
      <c r="B753" s="699" t="s">
        <v>112</v>
      </c>
      <c r="C753" s="700"/>
      <c r="D753" s="700"/>
      <c r="E753" s="700"/>
      <c r="F753" s="700"/>
      <c r="G753" s="700"/>
      <c r="H753" s="700"/>
      <c r="I753" s="700"/>
      <c r="J753" s="700"/>
      <c r="K753" s="701"/>
      <c r="L753" s="763">
        <f t="shared" si="47"/>
        <v>45748</v>
      </c>
      <c r="M753" s="764"/>
      <c r="N753" s="765"/>
      <c r="O753" s="763">
        <f t="shared" si="46"/>
        <v>45777</v>
      </c>
      <c r="P753" s="764"/>
      <c r="Q753" s="765"/>
      <c r="R753" s="772" cm="1">
        <f t="array" ref="R753">INDEX(verificare!$AT$4:$CC$26,VLOOKUP($AA$15,verificare!$AR$4:$AS$26,2,FALSE),A753)</f>
        <v>0</v>
      </c>
      <c r="S753" s="773"/>
      <c r="T753" s="773"/>
      <c r="U753" s="774"/>
      <c r="V753" s="724" t="s">
        <v>446</v>
      </c>
      <c r="W753" s="725"/>
      <c r="X753" s="691">
        <f>HLOOKUP(VLOOKUP($AA$15,'Date SPV'!$B:$F,5,FALSE),'Preturi si tarife'!$C$2:$J$39,A753+2,FALSE)</f>
        <v>1.1300000000000001E-2</v>
      </c>
      <c r="Y753" s="692"/>
      <c r="Z753" s="692"/>
      <c r="AA753" s="693"/>
      <c r="AB753" s="690">
        <f t="shared" si="40"/>
        <v>0</v>
      </c>
      <c r="AC753" s="690"/>
      <c r="AD753" s="690"/>
      <c r="AE753" s="690"/>
      <c r="AF753" s="690">
        <f t="shared" si="41"/>
        <v>0</v>
      </c>
      <c r="AG753" s="690"/>
      <c r="AH753" s="690"/>
      <c r="AI753" s="690"/>
      <c r="AJ753" s="690">
        <f t="shared" si="42"/>
        <v>0</v>
      </c>
      <c r="AK753" s="690"/>
      <c r="AL753" s="690"/>
      <c r="AM753" s="690"/>
    </row>
    <row r="754" spans="1:39" ht="30.95" customHeight="1">
      <c r="A754" s="65">
        <f t="shared" si="43"/>
        <v>36</v>
      </c>
      <c r="B754" s="699" t="s">
        <v>113</v>
      </c>
      <c r="C754" s="700"/>
      <c r="D754" s="700"/>
      <c r="E754" s="700"/>
      <c r="F754" s="700"/>
      <c r="G754" s="700"/>
      <c r="H754" s="700"/>
      <c r="I754" s="700"/>
      <c r="J754" s="700"/>
      <c r="K754" s="701"/>
      <c r="L754" s="763">
        <f t="shared" si="47"/>
        <v>45748</v>
      </c>
      <c r="M754" s="764"/>
      <c r="N754" s="765"/>
      <c r="O754" s="763">
        <f t="shared" si="46"/>
        <v>45777</v>
      </c>
      <c r="P754" s="764"/>
      <c r="Q754" s="765"/>
      <c r="R754" s="772" cm="1">
        <f t="array" ref="R754">INDEX(verificare!$AT$4:$CC$26,VLOOKUP($AA$15,verificare!$AR$4:$AS$26,2,FALSE),A754)</f>
        <v>0</v>
      </c>
      <c r="S754" s="773"/>
      <c r="T754" s="773"/>
      <c r="U754" s="774"/>
      <c r="V754" s="724" t="s">
        <v>446</v>
      </c>
      <c r="W754" s="725"/>
      <c r="X754" s="691">
        <f>HLOOKUP(VLOOKUP($AA$15,'Date SPV'!$B:$F,5,FALSE),'Preturi si tarife'!$C$2:$J$39,A754+2,FALSE)</f>
        <v>8.4099999999999994E-2</v>
      </c>
      <c r="Y754" s="692"/>
      <c r="Z754" s="692"/>
      <c r="AA754" s="693"/>
      <c r="AB754" s="690">
        <f t="shared" si="40"/>
        <v>0</v>
      </c>
      <c r="AC754" s="690"/>
      <c r="AD754" s="690"/>
      <c r="AE754" s="690"/>
      <c r="AF754" s="690">
        <f t="shared" si="41"/>
        <v>0</v>
      </c>
      <c r="AG754" s="690"/>
      <c r="AH754" s="690"/>
      <c r="AI754" s="690"/>
      <c r="AJ754" s="690">
        <f t="shared" si="42"/>
        <v>0</v>
      </c>
      <c r="AK754" s="690"/>
      <c r="AL754" s="690"/>
      <c r="AM754" s="690"/>
    </row>
    <row r="755" spans="1:39">
      <c r="A755" s="65">
        <f t="shared" si="43"/>
        <v>37</v>
      </c>
      <c r="B755" s="699" t="s">
        <v>728</v>
      </c>
      <c r="C755" s="700"/>
      <c r="D755" s="700"/>
      <c r="E755" s="700"/>
      <c r="F755" s="700"/>
      <c r="G755" s="700"/>
      <c r="H755" s="700"/>
      <c r="I755" s="700"/>
      <c r="J755" s="700"/>
      <c r="K755" s="701"/>
      <c r="L755" s="702" t="s">
        <v>69</v>
      </c>
      <c r="M755" s="702"/>
      <c r="N755" s="702"/>
      <c r="O755" s="702" t="s">
        <v>69</v>
      </c>
      <c r="P755" s="702"/>
      <c r="Q755" s="702"/>
      <c r="R755" s="690">
        <v>0</v>
      </c>
      <c r="S755" s="690"/>
      <c r="T755" s="690"/>
      <c r="U755" s="690"/>
      <c r="V755" s="658" t="s">
        <v>69</v>
      </c>
      <c r="W755" s="658"/>
      <c r="X755" s="659" t="s">
        <v>69</v>
      </c>
      <c r="Y755" s="659"/>
      <c r="Z755" s="659"/>
      <c r="AA755" s="659"/>
      <c r="AB755" s="653">
        <v>0</v>
      </c>
      <c r="AC755" s="653"/>
      <c r="AD755" s="653"/>
      <c r="AE755" s="653"/>
      <c r="AF755" s="653">
        <f t="shared" si="41"/>
        <v>0</v>
      </c>
      <c r="AG755" s="653"/>
      <c r="AH755" s="653"/>
      <c r="AI755" s="653"/>
      <c r="AJ755" s="653">
        <f t="shared" si="42"/>
        <v>0</v>
      </c>
      <c r="AK755" s="653"/>
      <c r="AL755" s="653"/>
      <c r="AM755" s="653"/>
    </row>
    <row r="756" spans="1:39">
      <c r="A756" s="65">
        <f>A755+1</f>
        <v>38</v>
      </c>
      <c r="B756" s="699" t="s">
        <v>729</v>
      </c>
      <c r="C756" s="700"/>
      <c r="D756" s="700"/>
      <c r="E756" s="700"/>
      <c r="F756" s="700"/>
      <c r="G756" s="700"/>
      <c r="H756" s="700"/>
      <c r="I756" s="700"/>
      <c r="J756" s="700"/>
      <c r="K756" s="701"/>
      <c r="L756" s="702" t="s">
        <v>69</v>
      </c>
      <c r="M756" s="702"/>
      <c r="N756" s="702"/>
      <c r="O756" s="702" t="s">
        <v>69</v>
      </c>
      <c r="P756" s="702"/>
      <c r="Q756" s="702"/>
      <c r="R756" s="690">
        <v>0</v>
      </c>
      <c r="S756" s="690"/>
      <c r="T756" s="690"/>
      <c r="U756" s="690"/>
      <c r="V756" s="658" t="s">
        <v>69</v>
      </c>
      <c r="W756" s="658"/>
      <c r="X756" s="659" t="s">
        <v>69</v>
      </c>
      <c r="Y756" s="659"/>
      <c r="Z756" s="659"/>
      <c r="AA756" s="659"/>
      <c r="AB756" s="726">
        <f>SUM(AB719:AE755)</f>
        <v>1754737.6800000002</v>
      </c>
      <c r="AC756" s="726"/>
      <c r="AD756" s="726"/>
      <c r="AE756" s="726"/>
      <c r="AF756" s="726">
        <f>SUM(AF719:AI755)</f>
        <v>333400.14999999997</v>
      </c>
      <c r="AG756" s="726"/>
      <c r="AH756" s="726"/>
      <c r="AI756" s="726"/>
      <c r="AJ756" s="726">
        <f>SUM(AJ719:AM755)</f>
        <v>2088137.8299999996</v>
      </c>
      <c r="AK756" s="726"/>
      <c r="AL756" s="726"/>
      <c r="AM756" s="726"/>
    </row>
    <row r="757" spans="1:39" ht="15.95" customHeight="1"/>
  </sheetData>
  <mergeCells count="2534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0:L80"/>
    <mergeCell ref="M80:AH80"/>
    <mergeCell ref="AI80:AM80"/>
    <mergeCell ref="A81:L81"/>
    <mergeCell ref="M81:AH81"/>
    <mergeCell ref="AI81:AM82"/>
    <mergeCell ref="A82:L82"/>
    <mergeCell ref="M82:AH82"/>
    <mergeCell ref="AI64:AJ66"/>
    <mergeCell ref="AK64:AM66"/>
    <mergeCell ref="J65:L65"/>
    <mergeCell ref="J66:L66"/>
    <mergeCell ref="R64:T66"/>
    <mergeCell ref="U64:W66"/>
    <mergeCell ref="X64:Z66"/>
    <mergeCell ref="AA64:AC66"/>
    <mergeCell ref="AD64:AE66"/>
    <mergeCell ref="AF64:AH66"/>
    <mergeCell ref="AD86:AE88"/>
    <mergeCell ref="AF86:AH88"/>
    <mergeCell ref="AI86:AJ88"/>
    <mergeCell ref="AK86:AM88"/>
    <mergeCell ref="J87:L87"/>
    <mergeCell ref="J88:L88"/>
    <mergeCell ref="AK83:AM85"/>
    <mergeCell ref="A86:F88"/>
    <mergeCell ref="G86:I88"/>
    <mergeCell ref="J86:L86"/>
    <mergeCell ref="M86:N88"/>
    <mergeCell ref="O86:Q88"/>
    <mergeCell ref="R86:T88"/>
    <mergeCell ref="U86:W88"/>
    <mergeCell ref="X86:Z88"/>
    <mergeCell ref="AA86:AC88"/>
    <mergeCell ref="U83:W85"/>
    <mergeCell ref="X83:Z85"/>
    <mergeCell ref="AA83:AC85"/>
    <mergeCell ref="AD83:AE85"/>
    <mergeCell ref="AF83:AH85"/>
    <mergeCell ref="AI83:AJ85"/>
    <mergeCell ref="A83:F85"/>
    <mergeCell ref="G83:I85"/>
    <mergeCell ref="J83:L85"/>
    <mergeCell ref="M83:N85"/>
    <mergeCell ref="O83:Q85"/>
    <mergeCell ref="R83:T85"/>
    <mergeCell ref="AK89:AM91"/>
    <mergeCell ref="J90:L90"/>
    <mergeCell ref="J91:L91"/>
    <mergeCell ref="A92:F94"/>
    <mergeCell ref="G92:I94"/>
    <mergeCell ref="J92:L92"/>
    <mergeCell ref="M92:N94"/>
    <mergeCell ref="O92:Q94"/>
    <mergeCell ref="R92:T94"/>
    <mergeCell ref="U92:W94"/>
    <mergeCell ref="U89:W91"/>
    <mergeCell ref="X89:Z91"/>
    <mergeCell ref="AA89:AC91"/>
    <mergeCell ref="AD89:AE91"/>
    <mergeCell ref="AF89:AH91"/>
    <mergeCell ref="AI89:AJ91"/>
    <mergeCell ref="A89:F91"/>
    <mergeCell ref="G89:I91"/>
    <mergeCell ref="J89:L89"/>
    <mergeCell ref="M89:N91"/>
    <mergeCell ref="O89:Q91"/>
    <mergeCell ref="R89:T91"/>
    <mergeCell ref="AF95:AH97"/>
    <mergeCell ref="AI95:AJ97"/>
    <mergeCell ref="AK95:AM97"/>
    <mergeCell ref="J96:L96"/>
    <mergeCell ref="J97:L97"/>
    <mergeCell ref="A98:F100"/>
    <mergeCell ref="G98:I100"/>
    <mergeCell ref="J98:L98"/>
    <mergeCell ref="M98:N100"/>
    <mergeCell ref="O98:Q100"/>
    <mergeCell ref="O95:Q97"/>
    <mergeCell ref="R95:T97"/>
    <mergeCell ref="U95:W97"/>
    <mergeCell ref="X95:Z97"/>
    <mergeCell ref="AA95:AC97"/>
    <mergeCell ref="AD95:AE97"/>
    <mergeCell ref="J93:L93"/>
    <mergeCell ref="J94:L94"/>
    <mergeCell ref="A95:F97"/>
    <mergeCell ref="G95:I97"/>
    <mergeCell ref="J95:L95"/>
    <mergeCell ref="M95:N97"/>
    <mergeCell ref="X92:Z94"/>
    <mergeCell ref="AA92:AC94"/>
    <mergeCell ref="AD92:AE94"/>
    <mergeCell ref="AF92:AH94"/>
    <mergeCell ref="AI92:AJ94"/>
    <mergeCell ref="AK92:AM94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R104:T106"/>
    <mergeCell ref="U104:W106"/>
    <mergeCell ref="U101:W103"/>
    <mergeCell ref="X101:Z103"/>
    <mergeCell ref="AA101:AC103"/>
    <mergeCell ref="AD101:AE103"/>
    <mergeCell ref="AF101:AH103"/>
    <mergeCell ref="AI101:AJ103"/>
    <mergeCell ref="AI98:AJ100"/>
    <mergeCell ref="AK98:AM100"/>
    <mergeCell ref="J99:L99"/>
    <mergeCell ref="J100:L100"/>
    <mergeCell ref="A101:F103"/>
    <mergeCell ref="G101:I103"/>
    <mergeCell ref="J101:L101"/>
    <mergeCell ref="M101:N103"/>
    <mergeCell ref="O101:Q103"/>
    <mergeCell ref="R101:T103"/>
    <mergeCell ref="R98:T100"/>
    <mergeCell ref="U98:W100"/>
    <mergeCell ref="X98:Z100"/>
    <mergeCell ref="AA98:AC100"/>
    <mergeCell ref="AD98:AE100"/>
    <mergeCell ref="AF98:AH100"/>
    <mergeCell ref="AF107:AH109"/>
    <mergeCell ref="AI107:AJ109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O107:Q109"/>
    <mergeCell ref="R107:T109"/>
    <mergeCell ref="U107:W109"/>
    <mergeCell ref="X107:Z109"/>
    <mergeCell ref="AA107:AC109"/>
    <mergeCell ref="AD107:AE109"/>
    <mergeCell ref="J105:L105"/>
    <mergeCell ref="J106:L106"/>
    <mergeCell ref="A107:F109"/>
    <mergeCell ref="G107:I109"/>
    <mergeCell ref="J107:L107"/>
    <mergeCell ref="M107:N109"/>
    <mergeCell ref="X104:Z106"/>
    <mergeCell ref="AA104:AC106"/>
    <mergeCell ref="AD104:AE106"/>
    <mergeCell ref="AF104:AH106"/>
    <mergeCell ref="AI104:AJ106"/>
    <mergeCell ref="AK104:AM106"/>
    <mergeCell ref="A116:L116"/>
    <mergeCell ref="M116:AH116"/>
    <mergeCell ref="AI116:AM117"/>
    <mergeCell ref="A117:L117"/>
    <mergeCell ref="M117:AH117"/>
    <mergeCell ref="A118:F120"/>
    <mergeCell ref="G118:I120"/>
    <mergeCell ref="J118:L120"/>
    <mergeCell ref="M118:N120"/>
    <mergeCell ref="O118:Q120"/>
    <mergeCell ref="AI110:AJ112"/>
    <mergeCell ref="AK110:AM112"/>
    <mergeCell ref="J111:L111"/>
    <mergeCell ref="J112:L112"/>
    <mergeCell ref="AI115:AM115"/>
    <mergeCell ref="R110:T112"/>
    <mergeCell ref="U110:W112"/>
    <mergeCell ref="X110:Z112"/>
    <mergeCell ref="AA110:AC112"/>
    <mergeCell ref="AD110:AE112"/>
    <mergeCell ref="AF110:AH112"/>
    <mergeCell ref="A115:AH115"/>
    <mergeCell ref="A124:F126"/>
    <mergeCell ref="G124:I126"/>
    <mergeCell ref="J124:L124"/>
    <mergeCell ref="M124:N126"/>
    <mergeCell ref="O124:Q126"/>
    <mergeCell ref="R124:T126"/>
    <mergeCell ref="AA121:AC123"/>
    <mergeCell ref="AD121:AE123"/>
    <mergeCell ref="AF121:AH123"/>
    <mergeCell ref="AI121:AJ123"/>
    <mergeCell ref="AK121:AM123"/>
    <mergeCell ref="J122:L122"/>
    <mergeCell ref="J123:L123"/>
    <mergeCell ref="AI118:AJ120"/>
    <mergeCell ref="AK118:AM120"/>
    <mergeCell ref="A121:F123"/>
    <mergeCell ref="G121:I123"/>
    <mergeCell ref="J121:L121"/>
    <mergeCell ref="M121:N123"/>
    <mergeCell ref="O121:Q123"/>
    <mergeCell ref="R121:T123"/>
    <mergeCell ref="U121:W123"/>
    <mergeCell ref="X121:Z123"/>
    <mergeCell ref="R118:T120"/>
    <mergeCell ref="U118:W120"/>
    <mergeCell ref="X118:Z120"/>
    <mergeCell ref="AA118:AC120"/>
    <mergeCell ref="AD118:AE120"/>
    <mergeCell ref="AF118:AH120"/>
    <mergeCell ref="J128:L128"/>
    <mergeCell ref="J129:L129"/>
    <mergeCell ref="A133:L133"/>
    <mergeCell ref="M133:AH133"/>
    <mergeCell ref="AI133:AM133"/>
    <mergeCell ref="A134:L134"/>
    <mergeCell ref="M134:AH134"/>
    <mergeCell ref="AI134:AM135"/>
    <mergeCell ref="A135:L135"/>
    <mergeCell ref="M135:AH135"/>
    <mergeCell ref="X127:Z129"/>
    <mergeCell ref="AA127:AC129"/>
    <mergeCell ref="AD127:AE129"/>
    <mergeCell ref="AF127:AH129"/>
    <mergeCell ref="AI127:AJ129"/>
    <mergeCell ref="AK127:AM129"/>
    <mergeCell ref="AK124:AM126"/>
    <mergeCell ref="J125:L125"/>
    <mergeCell ref="J126:L126"/>
    <mergeCell ref="A127:F129"/>
    <mergeCell ref="G127:I129"/>
    <mergeCell ref="J127:L127"/>
    <mergeCell ref="M127:N129"/>
    <mergeCell ref="O127:Q129"/>
    <mergeCell ref="R127:T129"/>
    <mergeCell ref="U127:W129"/>
    <mergeCell ref="U124:W126"/>
    <mergeCell ref="X124:Z126"/>
    <mergeCell ref="AA124:AC126"/>
    <mergeCell ref="AD124:AE126"/>
    <mergeCell ref="AF124:AH126"/>
    <mergeCell ref="AI124:AJ126"/>
    <mergeCell ref="AD139:AE141"/>
    <mergeCell ref="AF139:AH141"/>
    <mergeCell ref="AI139:AJ141"/>
    <mergeCell ref="AK139:AM141"/>
    <mergeCell ref="J140:L140"/>
    <mergeCell ref="J141:L141"/>
    <mergeCell ref="AK136:AM138"/>
    <mergeCell ref="A139:F141"/>
    <mergeCell ref="G139:I141"/>
    <mergeCell ref="J139:L139"/>
    <mergeCell ref="M139:N141"/>
    <mergeCell ref="O139:Q141"/>
    <mergeCell ref="R139:T141"/>
    <mergeCell ref="U139:W141"/>
    <mergeCell ref="X139:Z141"/>
    <mergeCell ref="AA139:AC141"/>
    <mergeCell ref="U136:W138"/>
    <mergeCell ref="X136:Z138"/>
    <mergeCell ref="AA136:AC138"/>
    <mergeCell ref="AD136:AE138"/>
    <mergeCell ref="AF136:AH138"/>
    <mergeCell ref="AI136:AJ138"/>
    <mergeCell ref="A136:F138"/>
    <mergeCell ref="G136:I138"/>
    <mergeCell ref="J136:L138"/>
    <mergeCell ref="M136:N138"/>
    <mergeCell ref="O136:Q138"/>
    <mergeCell ref="R136:T138"/>
    <mergeCell ref="AK142:AM144"/>
    <mergeCell ref="J143:L143"/>
    <mergeCell ref="J144:L144"/>
    <mergeCell ref="A145:F147"/>
    <mergeCell ref="G145:I147"/>
    <mergeCell ref="J145:L145"/>
    <mergeCell ref="M145:N147"/>
    <mergeCell ref="O145:Q147"/>
    <mergeCell ref="R145:T147"/>
    <mergeCell ref="U145:W147"/>
    <mergeCell ref="U142:W144"/>
    <mergeCell ref="X142:Z144"/>
    <mergeCell ref="AA142:AC144"/>
    <mergeCell ref="AD142:AE144"/>
    <mergeCell ref="AF142:AH144"/>
    <mergeCell ref="AI142:AJ144"/>
    <mergeCell ref="A142:F144"/>
    <mergeCell ref="G142:I144"/>
    <mergeCell ref="J142:L142"/>
    <mergeCell ref="M142:N144"/>
    <mergeCell ref="O142:Q144"/>
    <mergeCell ref="R142:T144"/>
    <mergeCell ref="AF148:AH150"/>
    <mergeCell ref="AI148:AJ150"/>
    <mergeCell ref="AK148:AM150"/>
    <mergeCell ref="J149:L149"/>
    <mergeCell ref="J150:L150"/>
    <mergeCell ref="A151:F153"/>
    <mergeCell ref="G151:I153"/>
    <mergeCell ref="J151:L151"/>
    <mergeCell ref="M151:N153"/>
    <mergeCell ref="O151:Q153"/>
    <mergeCell ref="O148:Q150"/>
    <mergeCell ref="R148:T150"/>
    <mergeCell ref="U148:W150"/>
    <mergeCell ref="X148:Z150"/>
    <mergeCell ref="AA148:AC150"/>
    <mergeCell ref="AD148:AE150"/>
    <mergeCell ref="J146:L146"/>
    <mergeCell ref="J147:L147"/>
    <mergeCell ref="A148:F150"/>
    <mergeCell ref="G148:I150"/>
    <mergeCell ref="J148:L148"/>
    <mergeCell ref="M148:N150"/>
    <mergeCell ref="X145:Z147"/>
    <mergeCell ref="AA145:AC147"/>
    <mergeCell ref="AD145:AE147"/>
    <mergeCell ref="AF145:AH147"/>
    <mergeCell ref="AI145:AJ147"/>
    <mergeCell ref="AK145:AM147"/>
    <mergeCell ref="AK154:AM156"/>
    <mergeCell ref="J155:L155"/>
    <mergeCell ref="J156:L156"/>
    <mergeCell ref="A157:F159"/>
    <mergeCell ref="G157:I159"/>
    <mergeCell ref="J157:L157"/>
    <mergeCell ref="M157:N159"/>
    <mergeCell ref="O157:Q159"/>
    <mergeCell ref="R157:T159"/>
    <mergeCell ref="U157:W159"/>
    <mergeCell ref="U154:W156"/>
    <mergeCell ref="X154:Z156"/>
    <mergeCell ref="AA154:AC156"/>
    <mergeCell ref="AD154:AE156"/>
    <mergeCell ref="AF154:AH156"/>
    <mergeCell ref="AI154:AJ156"/>
    <mergeCell ref="AI151:AJ153"/>
    <mergeCell ref="AK151:AM153"/>
    <mergeCell ref="J152:L152"/>
    <mergeCell ref="J153:L153"/>
    <mergeCell ref="A154:F156"/>
    <mergeCell ref="G154:I156"/>
    <mergeCell ref="J154:L154"/>
    <mergeCell ref="M154:N156"/>
    <mergeCell ref="O154:Q156"/>
    <mergeCell ref="R154:T156"/>
    <mergeCell ref="R151:T153"/>
    <mergeCell ref="U151:W153"/>
    <mergeCell ref="X151:Z153"/>
    <mergeCell ref="AA151:AC153"/>
    <mergeCell ref="AD151:AE153"/>
    <mergeCell ref="AF151:AH153"/>
    <mergeCell ref="AF160:AH162"/>
    <mergeCell ref="AI160:AJ162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O160:Q162"/>
    <mergeCell ref="R160:T162"/>
    <mergeCell ref="U160:W162"/>
    <mergeCell ref="X160:Z162"/>
    <mergeCell ref="AA160:AC162"/>
    <mergeCell ref="AD160:AE162"/>
    <mergeCell ref="J158:L158"/>
    <mergeCell ref="J159:L159"/>
    <mergeCell ref="A160:F162"/>
    <mergeCell ref="G160:I162"/>
    <mergeCell ref="J160:L160"/>
    <mergeCell ref="M160:N162"/>
    <mergeCell ref="X157:Z159"/>
    <mergeCell ref="AA157:AC159"/>
    <mergeCell ref="AD157:AE159"/>
    <mergeCell ref="AF157:AH159"/>
    <mergeCell ref="AI157:AJ159"/>
    <mergeCell ref="AK157:AM159"/>
    <mergeCell ref="A297:L297"/>
    <mergeCell ref="M297:AH297"/>
    <mergeCell ref="AI297:AM297"/>
    <mergeCell ref="A298:L298"/>
    <mergeCell ref="M298:AH298"/>
    <mergeCell ref="AI298:AM299"/>
    <mergeCell ref="A299:L299"/>
    <mergeCell ref="M299:AH299"/>
    <mergeCell ref="A292:G293"/>
    <mergeCell ref="H292:AM293"/>
    <mergeCell ref="A294:G295"/>
    <mergeCell ref="H294:V295"/>
    <mergeCell ref="W294:Z295"/>
    <mergeCell ref="AA294:AM295"/>
    <mergeCell ref="A189:F191"/>
    <mergeCell ref="G189:I191"/>
    <mergeCell ref="AI163:AJ165"/>
    <mergeCell ref="AK163:AM165"/>
    <mergeCell ref="J164:L164"/>
    <mergeCell ref="J165:L165"/>
    <mergeCell ref="R163:T165"/>
    <mergeCell ref="U163:W165"/>
    <mergeCell ref="X163:Z165"/>
    <mergeCell ref="AA163:AC165"/>
    <mergeCell ref="AD163:AE165"/>
    <mergeCell ref="AF163:AH165"/>
    <mergeCell ref="A186:L186"/>
    <mergeCell ref="M186:AH186"/>
    <mergeCell ref="AI186:AM186"/>
    <mergeCell ref="A187:L187"/>
    <mergeCell ref="M187:AH187"/>
    <mergeCell ref="AI187:AM188"/>
    <mergeCell ref="AD303:AE305"/>
    <mergeCell ref="AF303:AH305"/>
    <mergeCell ref="AI303:AJ305"/>
    <mergeCell ref="AK303:AM305"/>
    <mergeCell ref="J304:L304"/>
    <mergeCell ref="J305:L305"/>
    <mergeCell ref="AK300:AM302"/>
    <mergeCell ref="A303:F305"/>
    <mergeCell ref="G303:I305"/>
    <mergeCell ref="J303:L303"/>
    <mergeCell ref="M303:N305"/>
    <mergeCell ref="O303:Q305"/>
    <mergeCell ref="R303:T305"/>
    <mergeCell ref="U303:W305"/>
    <mergeCell ref="X303:Z305"/>
    <mergeCell ref="AA303:AC305"/>
    <mergeCell ref="U300:W302"/>
    <mergeCell ref="X300:Z302"/>
    <mergeCell ref="AA300:AC302"/>
    <mergeCell ref="AD300:AE302"/>
    <mergeCell ref="AF300:AH302"/>
    <mergeCell ref="AI300:AJ302"/>
    <mergeCell ref="A300:F302"/>
    <mergeCell ref="G300:I302"/>
    <mergeCell ref="J300:L302"/>
    <mergeCell ref="M300:N302"/>
    <mergeCell ref="O300:Q302"/>
    <mergeCell ref="R300:T302"/>
    <mergeCell ref="AK306:AM308"/>
    <mergeCell ref="J307:L307"/>
    <mergeCell ref="J308:L308"/>
    <mergeCell ref="A309:F311"/>
    <mergeCell ref="G309:I311"/>
    <mergeCell ref="J309:L309"/>
    <mergeCell ref="M309:N311"/>
    <mergeCell ref="O309:Q311"/>
    <mergeCell ref="R309:T311"/>
    <mergeCell ref="U309:W311"/>
    <mergeCell ref="U306:W308"/>
    <mergeCell ref="X306:Z308"/>
    <mergeCell ref="AA306:AC308"/>
    <mergeCell ref="AD306:AE308"/>
    <mergeCell ref="AF306:AH308"/>
    <mergeCell ref="AI306:AJ308"/>
    <mergeCell ref="A306:F308"/>
    <mergeCell ref="G306:I308"/>
    <mergeCell ref="J306:L306"/>
    <mergeCell ref="M306:N308"/>
    <mergeCell ref="O306:Q308"/>
    <mergeCell ref="R306:T308"/>
    <mergeCell ref="AF312:AH314"/>
    <mergeCell ref="AI312:AJ314"/>
    <mergeCell ref="AK312:AM314"/>
    <mergeCell ref="J313:L313"/>
    <mergeCell ref="J314:L314"/>
    <mergeCell ref="A315:F317"/>
    <mergeCell ref="G315:I317"/>
    <mergeCell ref="J315:L315"/>
    <mergeCell ref="M315:N317"/>
    <mergeCell ref="O315:Q317"/>
    <mergeCell ref="O312:Q314"/>
    <mergeCell ref="R312:T314"/>
    <mergeCell ref="U312:W314"/>
    <mergeCell ref="X312:Z314"/>
    <mergeCell ref="AA312:AC314"/>
    <mergeCell ref="AD312:AE314"/>
    <mergeCell ref="J310:L310"/>
    <mergeCell ref="J311:L311"/>
    <mergeCell ref="A312:F314"/>
    <mergeCell ref="G312:I314"/>
    <mergeCell ref="J312:L312"/>
    <mergeCell ref="M312:N314"/>
    <mergeCell ref="X309:Z311"/>
    <mergeCell ref="AA309:AC311"/>
    <mergeCell ref="AD309:AE311"/>
    <mergeCell ref="AF309:AH311"/>
    <mergeCell ref="AI309:AJ311"/>
    <mergeCell ref="AK309:AM311"/>
    <mergeCell ref="AF318:AH320"/>
    <mergeCell ref="AI318:AJ320"/>
    <mergeCell ref="AI315:AJ317"/>
    <mergeCell ref="AK315:AM317"/>
    <mergeCell ref="J316:L316"/>
    <mergeCell ref="J317:L317"/>
    <mergeCell ref="A318:F320"/>
    <mergeCell ref="G318:I320"/>
    <mergeCell ref="J318:L318"/>
    <mergeCell ref="M318:N320"/>
    <mergeCell ref="O318:Q320"/>
    <mergeCell ref="R318:T320"/>
    <mergeCell ref="R315:T317"/>
    <mergeCell ref="U315:W317"/>
    <mergeCell ref="X315:Z317"/>
    <mergeCell ref="AA315:AC317"/>
    <mergeCell ref="AD315:AE317"/>
    <mergeCell ref="AF315:AH317"/>
    <mergeCell ref="AD324:AE326"/>
    <mergeCell ref="A324:F326"/>
    <mergeCell ref="G324:I326"/>
    <mergeCell ref="J324:L324"/>
    <mergeCell ref="M324:N326"/>
    <mergeCell ref="J320:L320"/>
    <mergeCell ref="A321:F323"/>
    <mergeCell ref="G321:I323"/>
    <mergeCell ref="J321:L321"/>
    <mergeCell ref="M321:N323"/>
    <mergeCell ref="O321:Q323"/>
    <mergeCell ref="R321:T323"/>
    <mergeCell ref="U321:W323"/>
    <mergeCell ref="U318:W320"/>
    <mergeCell ref="X318:Z320"/>
    <mergeCell ref="AA318:AC320"/>
    <mergeCell ref="AD318:AE320"/>
    <mergeCell ref="A716:AM716"/>
    <mergeCell ref="B718:K718"/>
    <mergeCell ref="R718:U718"/>
    <mergeCell ref="V718:W718"/>
    <mergeCell ref="X718:AA718"/>
    <mergeCell ref="AB718:AE718"/>
    <mergeCell ref="R327:T329"/>
    <mergeCell ref="U327:W329"/>
    <mergeCell ref="X327:Z329"/>
    <mergeCell ref="AA327:AC329"/>
    <mergeCell ref="AD327:AE329"/>
    <mergeCell ref="AF327:AH329"/>
    <mergeCell ref="A346:L346"/>
    <mergeCell ref="M346:AH346"/>
    <mergeCell ref="AI346:AM347"/>
    <mergeCell ref="A347:L347"/>
    <mergeCell ref="M347:AH347"/>
    <mergeCell ref="A348:F350"/>
    <mergeCell ref="G348:I350"/>
    <mergeCell ref="J348:L350"/>
    <mergeCell ref="M348:N350"/>
    <mergeCell ref="O348:Q350"/>
    <mergeCell ref="A327:F329"/>
    <mergeCell ref="G327:I329"/>
    <mergeCell ref="J327:L327"/>
    <mergeCell ref="M327:N329"/>
    <mergeCell ref="O327:Q329"/>
    <mergeCell ref="AA351:AC353"/>
    <mergeCell ref="AD351:AE353"/>
    <mergeCell ref="AF351:AH353"/>
    <mergeCell ref="AI351:AJ353"/>
    <mergeCell ref="AK351:AM353"/>
    <mergeCell ref="AJ719:AM719"/>
    <mergeCell ref="B720:K720"/>
    <mergeCell ref="L720:N720"/>
    <mergeCell ref="O720:Q720"/>
    <mergeCell ref="R720:U720"/>
    <mergeCell ref="V720:W720"/>
    <mergeCell ref="X720:AA720"/>
    <mergeCell ref="AB720:AE720"/>
    <mergeCell ref="AF720:AI720"/>
    <mergeCell ref="AJ720:AM720"/>
    <mergeCell ref="AF718:AI718"/>
    <mergeCell ref="AJ718:AM718"/>
    <mergeCell ref="B719:K719"/>
    <mergeCell ref="L719:N719"/>
    <mergeCell ref="O719:Q719"/>
    <mergeCell ref="R719:U719"/>
    <mergeCell ref="V719:W719"/>
    <mergeCell ref="X719:AA719"/>
    <mergeCell ref="AB719:AE719"/>
    <mergeCell ref="AF719:AI719"/>
    <mergeCell ref="AF722:AI722"/>
    <mergeCell ref="AJ722:AM722"/>
    <mergeCell ref="B723:K723"/>
    <mergeCell ref="L723:N723"/>
    <mergeCell ref="O723:Q723"/>
    <mergeCell ref="R723:U723"/>
    <mergeCell ref="V723:W723"/>
    <mergeCell ref="X723:AA723"/>
    <mergeCell ref="AB723:AE723"/>
    <mergeCell ref="AF723:AI723"/>
    <mergeCell ref="AB721:AE721"/>
    <mergeCell ref="AF721:AI721"/>
    <mergeCell ref="AJ721:AM721"/>
    <mergeCell ref="B722:K722"/>
    <mergeCell ref="L722:N722"/>
    <mergeCell ref="O722:Q722"/>
    <mergeCell ref="R722:U722"/>
    <mergeCell ref="V722:W722"/>
    <mergeCell ref="X722:AA722"/>
    <mergeCell ref="AB722:AE722"/>
    <mergeCell ref="B721:K721"/>
    <mergeCell ref="L721:N721"/>
    <mergeCell ref="O721:Q721"/>
    <mergeCell ref="R721:U721"/>
    <mergeCell ref="V721:W721"/>
    <mergeCell ref="X721:AA721"/>
    <mergeCell ref="AB725:AE725"/>
    <mergeCell ref="AF725:AI725"/>
    <mergeCell ref="AJ725:AM725"/>
    <mergeCell ref="B726:K726"/>
    <mergeCell ref="L726:N726"/>
    <mergeCell ref="O726:Q726"/>
    <mergeCell ref="R726:U726"/>
    <mergeCell ref="V726:W726"/>
    <mergeCell ref="X726:AA726"/>
    <mergeCell ref="AB726:AE726"/>
    <mergeCell ref="B725:K725"/>
    <mergeCell ref="L725:N725"/>
    <mergeCell ref="O725:Q725"/>
    <mergeCell ref="R725:U725"/>
    <mergeCell ref="V725:W725"/>
    <mergeCell ref="X725:AA725"/>
    <mergeCell ref="AJ723:AM723"/>
    <mergeCell ref="B724:K724"/>
    <mergeCell ref="L724:N724"/>
    <mergeCell ref="O724:Q724"/>
    <mergeCell ref="R724:U724"/>
    <mergeCell ref="V724:W724"/>
    <mergeCell ref="X724:AA724"/>
    <mergeCell ref="AB724:AE724"/>
    <mergeCell ref="AF724:AI724"/>
    <mergeCell ref="AJ724:AM724"/>
    <mergeCell ref="AJ727:AM727"/>
    <mergeCell ref="B728:K728"/>
    <mergeCell ref="L728:N728"/>
    <mergeCell ref="O728:Q728"/>
    <mergeCell ref="R728:U728"/>
    <mergeCell ref="V728:W728"/>
    <mergeCell ref="X728:AA728"/>
    <mergeCell ref="AB728:AE728"/>
    <mergeCell ref="AF728:AI728"/>
    <mergeCell ref="AJ728:AM728"/>
    <mergeCell ref="B729:K729"/>
    <mergeCell ref="L729:N729"/>
    <mergeCell ref="O729:Q729"/>
    <mergeCell ref="R729:U729"/>
    <mergeCell ref="V729:W729"/>
    <mergeCell ref="X729:AA729"/>
    <mergeCell ref="AF726:AI726"/>
    <mergeCell ref="AJ726:AM726"/>
    <mergeCell ref="B727:K727"/>
    <mergeCell ref="L727:N727"/>
    <mergeCell ref="O727:Q727"/>
    <mergeCell ref="R727:U727"/>
    <mergeCell ref="V727:W727"/>
    <mergeCell ref="X727:AA727"/>
    <mergeCell ref="AB727:AE727"/>
    <mergeCell ref="AF727:AI727"/>
    <mergeCell ref="AB729:AE729"/>
    <mergeCell ref="AF729:AI729"/>
    <mergeCell ref="AJ729:AM729"/>
    <mergeCell ref="AF731:AI731"/>
    <mergeCell ref="AJ731:AM731"/>
    <mergeCell ref="B732:K732"/>
    <mergeCell ref="L732:N732"/>
    <mergeCell ref="O732:Q732"/>
    <mergeCell ref="R732:U732"/>
    <mergeCell ref="V732:W732"/>
    <mergeCell ref="X732:AA732"/>
    <mergeCell ref="AB732:AE732"/>
    <mergeCell ref="AF732:AI732"/>
    <mergeCell ref="AB730:AE730"/>
    <mergeCell ref="AF730:AI730"/>
    <mergeCell ref="AJ730:AM730"/>
    <mergeCell ref="B731:K731"/>
    <mergeCell ref="L731:N731"/>
    <mergeCell ref="O731:Q731"/>
    <mergeCell ref="R731:U731"/>
    <mergeCell ref="V731:W731"/>
    <mergeCell ref="X731:AA731"/>
    <mergeCell ref="AB731:AE731"/>
    <mergeCell ref="B730:K730"/>
    <mergeCell ref="L730:N730"/>
    <mergeCell ref="O730:Q730"/>
    <mergeCell ref="R730:U730"/>
    <mergeCell ref="V730:W730"/>
    <mergeCell ref="X730:AA730"/>
    <mergeCell ref="AB734:AE734"/>
    <mergeCell ref="AF734:AI734"/>
    <mergeCell ref="AJ734:AM734"/>
    <mergeCell ref="B735:K735"/>
    <mergeCell ref="L735:N735"/>
    <mergeCell ref="O735:Q735"/>
    <mergeCell ref="R735:U735"/>
    <mergeCell ref="V735:W735"/>
    <mergeCell ref="X735:AA735"/>
    <mergeCell ref="AB735:AE735"/>
    <mergeCell ref="B734:K734"/>
    <mergeCell ref="L734:N734"/>
    <mergeCell ref="O734:Q734"/>
    <mergeCell ref="R734:U734"/>
    <mergeCell ref="V734:W734"/>
    <mergeCell ref="X734:AA734"/>
    <mergeCell ref="AJ732:AM732"/>
    <mergeCell ref="B733:K733"/>
    <mergeCell ref="L733:N733"/>
    <mergeCell ref="O733:Q733"/>
    <mergeCell ref="R733:U733"/>
    <mergeCell ref="V733:W733"/>
    <mergeCell ref="X733:AA733"/>
    <mergeCell ref="AB733:AE733"/>
    <mergeCell ref="AF733:AI733"/>
    <mergeCell ref="AJ733:AM733"/>
    <mergeCell ref="AJ736:AM736"/>
    <mergeCell ref="B737:K737"/>
    <mergeCell ref="L737:N737"/>
    <mergeCell ref="O737:Q737"/>
    <mergeCell ref="R737:U737"/>
    <mergeCell ref="V737:W737"/>
    <mergeCell ref="X737:AA737"/>
    <mergeCell ref="AB737:AE737"/>
    <mergeCell ref="AF737:AI737"/>
    <mergeCell ref="AJ737:AM737"/>
    <mergeCell ref="AF735:AI735"/>
    <mergeCell ref="AJ735:AM735"/>
    <mergeCell ref="B736:K736"/>
    <mergeCell ref="L736:N736"/>
    <mergeCell ref="O736:Q736"/>
    <mergeCell ref="R736:U736"/>
    <mergeCell ref="V736:W736"/>
    <mergeCell ref="X736:AA736"/>
    <mergeCell ref="AB736:AE736"/>
    <mergeCell ref="AF736:AI736"/>
    <mergeCell ref="AF739:AI739"/>
    <mergeCell ref="AJ739:AM739"/>
    <mergeCell ref="B740:K740"/>
    <mergeCell ref="L740:N740"/>
    <mergeCell ref="O740:Q740"/>
    <mergeCell ref="R740:U740"/>
    <mergeCell ref="V740:W740"/>
    <mergeCell ref="X740:AA740"/>
    <mergeCell ref="AB740:AE740"/>
    <mergeCell ref="AF740:AI740"/>
    <mergeCell ref="AB738:AE738"/>
    <mergeCell ref="AF738:AI738"/>
    <mergeCell ref="AJ738:AM738"/>
    <mergeCell ref="B739:K739"/>
    <mergeCell ref="L739:N739"/>
    <mergeCell ref="O739:Q739"/>
    <mergeCell ref="R739:U739"/>
    <mergeCell ref="V739:W739"/>
    <mergeCell ref="X739:AA739"/>
    <mergeCell ref="AB739:AE739"/>
    <mergeCell ref="B738:K738"/>
    <mergeCell ref="L738:N738"/>
    <mergeCell ref="O738:Q738"/>
    <mergeCell ref="R738:U738"/>
    <mergeCell ref="V738:W738"/>
    <mergeCell ref="X738:AA738"/>
    <mergeCell ref="AB742:AE742"/>
    <mergeCell ref="AF742:AI742"/>
    <mergeCell ref="AJ742:AM742"/>
    <mergeCell ref="B743:K743"/>
    <mergeCell ref="L743:N743"/>
    <mergeCell ref="O743:Q743"/>
    <mergeCell ref="R743:U743"/>
    <mergeCell ref="V743:W743"/>
    <mergeCell ref="X743:AA743"/>
    <mergeCell ref="AB743:AE743"/>
    <mergeCell ref="B742:K742"/>
    <mergeCell ref="L742:N742"/>
    <mergeCell ref="O742:Q742"/>
    <mergeCell ref="R742:U742"/>
    <mergeCell ref="V742:W742"/>
    <mergeCell ref="X742:AA742"/>
    <mergeCell ref="AJ740:AM740"/>
    <mergeCell ref="B741:K741"/>
    <mergeCell ref="L741:N741"/>
    <mergeCell ref="O741:Q741"/>
    <mergeCell ref="R741:U741"/>
    <mergeCell ref="V741:W741"/>
    <mergeCell ref="X741:AA741"/>
    <mergeCell ref="AB741:AE741"/>
    <mergeCell ref="AF741:AI741"/>
    <mergeCell ref="AJ741:AM741"/>
    <mergeCell ref="AF748:AI748"/>
    <mergeCell ref="AJ748:AM748"/>
    <mergeCell ref="B749:K749"/>
    <mergeCell ref="L749:N749"/>
    <mergeCell ref="O749:Q749"/>
    <mergeCell ref="R749:U749"/>
    <mergeCell ref="V749:W749"/>
    <mergeCell ref="X749:AA749"/>
    <mergeCell ref="AB749:AE749"/>
    <mergeCell ref="AF749:AI749"/>
    <mergeCell ref="AB746:AE746"/>
    <mergeCell ref="AF746:AI746"/>
    <mergeCell ref="AJ746:AM746"/>
    <mergeCell ref="B748:K748"/>
    <mergeCell ref="L748:N748"/>
    <mergeCell ref="O748:Q748"/>
    <mergeCell ref="R748:U748"/>
    <mergeCell ref="V748:W748"/>
    <mergeCell ref="X748:AA748"/>
    <mergeCell ref="AB748:AE748"/>
    <mergeCell ref="B746:K746"/>
    <mergeCell ref="L746:N746"/>
    <mergeCell ref="O746:Q746"/>
    <mergeCell ref="R746:U746"/>
    <mergeCell ref="V746:W746"/>
    <mergeCell ref="X746:AA746"/>
    <mergeCell ref="B747:K747"/>
    <mergeCell ref="L747:N747"/>
    <mergeCell ref="O747:Q747"/>
    <mergeCell ref="R747:U747"/>
    <mergeCell ref="V747:W747"/>
    <mergeCell ref="X747:AA747"/>
    <mergeCell ref="R752:U752"/>
    <mergeCell ref="V752:W752"/>
    <mergeCell ref="X752:AA752"/>
    <mergeCell ref="AB752:AE752"/>
    <mergeCell ref="B751:K751"/>
    <mergeCell ref="L751:N751"/>
    <mergeCell ref="O751:Q751"/>
    <mergeCell ref="R751:U751"/>
    <mergeCell ref="V751:W751"/>
    <mergeCell ref="X751:AA751"/>
    <mergeCell ref="AJ749:AM749"/>
    <mergeCell ref="B750:K750"/>
    <mergeCell ref="L750:N750"/>
    <mergeCell ref="O750:Q750"/>
    <mergeCell ref="R750:U750"/>
    <mergeCell ref="V750:W750"/>
    <mergeCell ref="X750:AA750"/>
    <mergeCell ref="AB750:AE750"/>
    <mergeCell ref="AF750:AI750"/>
    <mergeCell ref="AJ750:AM750"/>
    <mergeCell ref="A188:L188"/>
    <mergeCell ref="M188:AH188"/>
    <mergeCell ref="AB755:AE755"/>
    <mergeCell ref="AF755:AI755"/>
    <mergeCell ref="AJ755:AM755"/>
    <mergeCell ref="B756:K756"/>
    <mergeCell ref="L756:N756"/>
    <mergeCell ref="O756:Q756"/>
    <mergeCell ref="R756:U756"/>
    <mergeCell ref="V756:W756"/>
    <mergeCell ref="X756:AA756"/>
    <mergeCell ref="AB756:AE756"/>
    <mergeCell ref="B755:K755"/>
    <mergeCell ref="L755:N755"/>
    <mergeCell ref="O755:Q755"/>
    <mergeCell ref="R755:U755"/>
    <mergeCell ref="V755:W755"/>
    <mergeCell ref="X755:AA755"/>
    <mergeCell ref="AJ753:AM753"/>
    <mergeCell ref="B754:K754"/>
    <mergeCell ref="L754:N754"/>
    <mergeCell ref="O754:Q754"/>
    <mergeCell ref="R754:U754"/>
    <mergeCell ref="V754:W754"/>
    <mergeCell ref="X754:AA754"/>
    <mergeCell ref="AB754:AE754"/>
    <mergeCell ref="AA189:AC191"/>
    <mergeCell ref="AD189:AE191"/>
    <mergeCell ref="AF189:AH191"/>
    <mergeCell ref="AI189:AJ191"/>
    <mergeCell ref="AK189:AM191"/>
    <mergeCell ref="A192:F194"/>
    <mergeCell ref="J189:L191"/>
    <mergeCell ref="M189:N191"/>
    <mergeCell ref="O189:Q191"/>
    <mergeCell ref="R189:T191"/>
    <mergeCell ref="U189:W191"/>
    <mergeCell ref="X189:Z191"/>
    <mergeCell ref="AF756:AI756"/>
    <mergeCell ref="AJ756:AM756"/>
    <mergeCell ref="AF754:AI754"/>
    <mergeCell ref="AJ754:AM754"/>
    <mergeCell ref="AF752:AI752"/>
    <mergeCell ref="AJ752:AM752"/>
    <mergeCell ref="B753:K753"/>
    <mergeCell ref="L753:N753"/>
    <mergeCell ref="O753:Q753"/>
    <mergeCell ref="R753:U753"/>
    <mergeCell ref="V753:W753"/>
    <mergeCell ref="X753:AA753"/>
    <mergeCell ref="AB753:AE753"/>
    <mergeCell ref="AF753:AI753"/>
    <mergeCell ref="AB751:AE751"/>
    <mergeCell ref="AF751:AI751"/>
    <mergeCell ref="AK195:AM197"/>
    <mergeCell ref="J196:L196"/>
    <mergeCell ref="J197:L197"/>
    <mergeCell ref="A198:F200"/>
    <mergeCell ref="G198:I200"/>
    <mergeCell ref="J198:L198"/>
    <mergeCell ref="AJ751:AM751"/>
    <mergeCell ref="B752:K752"/>
    <mergeCell ref="L752:N752"/>
    <mergeCell ref="O752:Q752"/>
    <mergeCell ref="U195:W197"/>
    <mergeCell ref="X195:Z197"/>
    <mergeCell ref="AA195:AC197"/>
    <mergeCell ref="AD195:AE197"/>
    <mergeCell ref="AF195:AH197"/>
    <mergeCell ref="AI195:AJ197"/>
    <mergeCell ref="AI192:AJ194"/>
    <mergeCell ref="AK192:AM194"/>
    <mergeCell ref="J193:L193"/>
    <mergeCell ref="J194:L194"/>
    <mergeCell ref="A195:F197"/>
    <mergeCell ref="G195:I197"/>
    <mergeCell ref="J195:L195"/>
    <mergeCell ref="M195:N197"/>
    <mergeCell ref="O195:Q197"/>
    <mergeCell ref="R195:T197"/>
    <mergeCell ref="R192:T194"/>
    <mergeCell ref="U192:W194"/>
    <mergeCell ref="X192:Z194"/>
    <mergeCell ref="AA192:AC194"/>
    <mergeCell ref="AD192:AE194"/>
    <mergeCell ref="AF192:AH194"/>
    <mergeCell ref="G192:I194"/>
    <mergeCell ref="J192:L192"/>
    <mergeCell ref="M192:N194"/>
    <mergeCell ref="O192:Q194"/>
    <mergeCell ref="AF201:AH203"/>
    <mergeCell ref="AI201:AJ203"/>
    <mergeCell ref="AK201:AM203"/>
    <mergeCell ref="J202:L202"/>
    <mergeCell ref="J203:L203"/>
    <mergeCell ref="A204:F206"/>
    <mergeCell ref="G204:I206"/>
    <mergeCell ref="J204:L204"/>
    <mergeCell ref="M204:N206"/>
    <mergeCell ref="O204:Q206"/>
    <mergeCell ref="O201:Q203"/>
    <mergeCell ref="R201:T203"/>
    <mergeCell ref="U201:W203"/>
    <mergeCell ref="X201:Z203"/>
    <mergeCell ref="AA201:AC203"/>
    <mergeCell ref="AD201:AE203"/>
    <mergeCell ref="J199:L199"/>
    <mergeCell ref="J200:L200"/>
    <mergeCell ref="A201:F203"/>
    <mergeCell ref="G201:I203"/>
    <mergeCell ref="J201:L201"/>
    <mergeCell ref="M201:N203"/>
    <mergeCell ref="X198:Z200"/>
    <mergeCell ref="AA198:AC200"/>
    <mergeCell ref="AD198:AE200"/>
    <mergeCell ref="AF198:AH200"/>
    <mergeCell ref="AI198:AJ200"/>
    <mergeCell ref="AK198:AM200"/>
    <mergeCell ref="M198:N200"/>
    <mergeCell ref="O198:Q200"/>
    <mergeCell ref="R198:T200"/>
    <mergeCell ref="U198:W200"/>
    <mergeCell ref="AK207:AM209"/>
    <mergeCell ref="J208:L208"/>
    <mergeCell ref="J209:L209"/>
    <mergeCell ref="A210:F212"/>
    <mergeCell ref="G210:I212"/>
    <mergeCell ref="J210:L210"/>
    <mergeCell ref="M210:N212"/>
    <mergeCell ref="O210:Q212"/>
    <mergeCell ref="R210:T212"/>
    <mergeCell ref="U210:W212"/>
    <mergeCell ref="U207:W209"/>
    <mergeCell ref="X207:Z209"/>
    <mergeCell ref="AA207:AC209"/>
    <mergeCell ref="AD207:AE209"/>
    <mergeCell ref="AF207:AH209"/>
    <mergeCell ref="AI207:AJ209"/>
    <mergeCell ref="AI204:AJ206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R204:T206"/>
    <mergeCell ref="U204:W206"/>
    <mergeCell ref="X204:Z206"/>
    <mergeCell ref="AA204:AC206"/>
    <mergeCell ref="AD204:AE206"/>
    <mergeCell ref="AF204:AH206"/>
    <mergeCell ref="AF213:AH215"/>
    <mergeCell ref="AI213:AJ215"/>
    <mergeCell ref="AK213:AM215"/>
    <mergeCell ref="J214:L214"/>
    <mergeCell ref="J215:L215"/>
    <mergeCell ref="A216:F218"/>
    <mergeCell ref="G216:I218"/>
    <mergeCell ref="J216:L216"/>
    <mergeCell ref="M216:N218"/>
    <mergeCell ref="O216:Q218"/>
    <mergeCell ref="O213:Q215"/>
    <mergeCell ref="R213:T215"/>
    <mergeCell ref="U213:W215"/>
    <mergeCell ref="X213:Z215"/>
    <mergeCell ref="AA213:AC215"/>
    <mergeCell ref="AD213:AE215"/>
    <mergeCell ref="J211:L211"/>
    <mergeCell ref="J212:L212"/>
    <mergeCell ref="A213:F215"/>
    <mergeCell ref="G213:I215"/>
    <mergeCell ref="J213:L213"/>
    <mergeCell ref="M213:N215"/>
    <mergeCell ref="X210:Z212"/>
    <mergeCell ref="AA210:AC212"/>
    <mergeCell ref="AD210:AE212"/>
    <mergeCell ref="AF210:AH212"/>
    <mergeCell ref="AI210:AJ212"/>
    <mergeCell ref="AK210:AM212"/>
    <mergeCell ref="AA242:AC244"/>
    <mergeCell ref="A239:L239"/>
    <mergeCell ref="M239:AH239"/>
    <mergeCell ref="A240:L240"/>
    <mergeCell ref="M240:AH240"/>
    <mergeCell ref="AI216:AJ218"/>
    <mergeCell ref="AK216:AM218"/>
    <mergeCell ref="J217:L217"/>
    <mergeCell ref="J218:L218"/>
    <mergeCell ref="R216:T218"/>
    <mergeCell ref="U216:W218"/>
    <mergeCell ref="X216:Z218"/>
    <mergeCell ref="AA216:AC218"/>
    <mergeCell ref="AD216:AE218"/>
    <mergeCell ref="AF216:AH218"/>
    <mergeCell ref="AD242:AE244"/>
    <mergeCell ref="AF242:AH244"/>
    <mergeCell ref="AI242:AJ244"/>
    <mergeCell ref="AK242:AM244"/>
    <mergeCell ref="AI239:AM239"/>
    <mergeCell ref="AI240:AM241"/>
    <mergeCell ref="A241:L241"/>
    <mergeCell ref="M241:AH241"/>
    <mergeCell ref="A242:F244"/>
    <mergeCell ref="G242:I244"/>
    <mergeCell ref="A251:F253"/>
    <mergeCell ref="G251:I253"/>
    <mergeCell ref="M251:N253"/>
    <mergeCell ref="R254:T256"/>
    <mergeCell ref="J245:L245"/>
    <mergeCell ref="J246:L246"/>
    <mergeCell ref="A245:F247"/>
    <mergeCell ref="G245:I247"/>
    <mergeCell ref="M245:N247"/>
    <mergeCell ref="O245:Q247"/>
    <mergeCell ref="R245:T247"/>
    <mergeCell ref="J242:L244"/>
    <mergeCell ref="M242:N244"/>
    <mergeCell ref="O242:Q244"/>
    <mergeCell ref="R242:T244"/>
    <mergeCell ref="U242:W244"/>
    <mergeCell ref="X242:Z244"/>
    <mergeCell ref="J268:L268"/>
    <mergeCell ref="O263:Q265"/>
    <mergeCell ref="R263:T265"/>
    <mergeCell ref="U263:W265"/>
    <mergeCell ref="X263:Z265"/>
    <mergeCell ref="J263:L263"/>
    <mergeCell ref="J264:L264"/>
    <mergeCell ref="J265:L265"/>
    <mergeCell ref="AA251:AC253"/>
    <mergeCell ref="AD251:AE253"/>
    <mergeCell ref="AF251:AH253"/>
    <mergeCell ref="AA254:AC256"/>
    <mergeCell ref="AD254:AE256"/>
    <mergeCell ref="J254:L254"/>
    <mergeCell ref="J255:L255"/>
    <mergeCell ref="J256:L256"/>
    <mergeCell ref="O251:Q253"/>
    <mergeCell ref="R251:T253"/>
    <mergeCell ref="U251:W253"/>
    <mergeCell ref="X251:Z253"/>
    <mergeCell ref="J251:L251"/>
    <mergeCell ref="J252:L252"/>
    <mergeCell ref="J253:L253"/>
    <mergeCell ref="AI251:AJ253"/>
    <mergeCell ref="AK251:AM253"/>
    <mergeCell ref="A254:F256"/>
    <mergeCell ref="G254:I256"/>
    <mergeCell ref="M254:N256"/>
    <mergeCell ref="O254:Q256"/>
    <mergeCell ref="J259:L259"/>
    <mergeCell ref="U254:W256"/>
    <mergeCell ref="X254:Z256"/>
    <mergeCell ref="AI245:AJ247"/>
    <mergeCell ref="AK245:AM247"/>
    <mergeCell ref="A248:F250"/>
    <mergeCell ref="G248:I250"/>
    <mergeCell ref="M248:N250"/>
    <mergeCell ref="O248:Q250"/>
    <mergeCell ref="R248:T250"/>
    <mergeCell ref="U248:W250"/>
    <mergeCell ref="X248:Z250"/>
    <mergeCell ref="AA248:AC250"/>
    <mergeCell ref="AD248:AE250"/>
    <mergeCell ref="AF248:AH250"/>
    <mergeCell ref="AI248:AJ250"/>
    <mergeCell ref="AK248:AM250"/>
    <mergeCell ref="J248:L248"/>
    <mergeCell ref="J249:L249"/>
    <mergeCell ref="J250:L250"/>
    <mergeCell ref="X245:Z247"/>
    <mergeCell ref="AA245:AC247"/>
    <mergeCell ref="AD245:AE247"/>
    <mergeCell ref="AF245:AH247"/>
    <mergeCell ref="J247:L247"/>
    <mergeCell ref="U245:W247"/>
    <mergeCell ref="AK257:AM259"/>
    <mergeCell ref="A260:F262"/>
    <mergeCell ref="G260:I262"/>
    <mergeCell ref="M260:N262"/>
    <mergeCell ref="O260:Q262"/>
    <mergeCell ref="R260:T262"/>
    <mergeCell ref="U260:W262"/>
    <mergeCell ref="X260:Z262"/>
    <mergeCell ref="AA260:AC262"/>
    <mergeCell ref="AD260:AE262"/>
    <mergeCell ref="AF254:AH256"/>
    <mergeCell ref="AI254:AJ256"/>
    <mergeCell ref="AK254:AM256"/>
    <mergeCell ref="A257:F259"/>
    <mergeCell ref="G257:I259"/>
    <mergeCell ref="M257:N259"/>
    <mergeCell ref="O257:Q259"/>
    <mergeCell ref="R257:T259"/>
    <mergeCell ref="U257:W259"/>
    <mergeCell ref="X257:Z259"/>
    <mergeCell ref="AF260:AH262"/>
    <mergeCell ref="AI260:AJ262"/>
    <mergeCell ref="AK260:AM262"/>
    <mergeCell ref="J260:L260"/>
    <mergeCell ref="J261:L261"/>
    <mergeCell ref="J262:L262"/>
    <mergeCell ref="AA257:AC259"/>
    <mergeCell ref="AD257:AE259"/>
    <mergeCell ref="AF257:AH259"/>
    <mergeCell ref="AI257:AJ259"/>
    <mergeCell ref="J257:L257"/>
    <mergeCell ref="J258:L258"/>
    <mergeCell ref="AI266:AJ268"/>
    <mergeCell ref="AK266:AM268"/>
    <mergeCell ref="A269:F271"/>
    <mergeCell ref="G269:I271"/>
    <mergeCell ref="M269:N271"/>
    <mergeCell ref="O269:Q271"/>
    <mergeCell ref="R269:T271"/>
    <mergeCell ref="U269:W271"/>
    <mergeCell ref="X269:Z271"/>
    <mergeCell ref="AA269:AC271"/>
    <mergeCell ref="AD263:AE265"/>
    <mergeCell ref="AF263:AH265"/>
    <mergeCell ref="AI263:AJ265"/>
    <mergeCell ref="AK263:AM265"/>
    <mergeCell ref="A266:F268"/>
    <mergeCell ref="G266:I268"/>
    <mergeCell ref="M266:N268"/>
    <mergeCell ref="O266:Q268"/>
    <mergeCell ref="R266:T268"/>
    <mergeCell ref="U266:W268"/>
    <mergeCell ref="A263:F265"/>
    <mergeCell ref="G263:I265"/>
    <mergeCell ref="M263:N265"/>
    <mergeCell ref="AA263:AC265"/>
    <mergeCell ref="J269:L269"/>
    <mergeCell ref="J270:L270"/>
    <mergeCell ref="X266:Z268"/>
    <mergeCell ref="AA266:AC268"/>
    <mergeCell ref="AD266:AE268"/>
    <mergeCell ref="AF266:AH268"/>
    <mergeCell ref="J266:L266"/>
    <mergeCell ref="J267:L267"/>
    <mergeCell ref="AD269:AE271"/>
    <mergeCell ref="AF269:AH271"/>
    <mergeCell ref="AI269:AJ271"/>
    <mergeCell ref="AK269:AM271"/>
    <mergeCell ref="J271:L271"/>
    <mergeCell ref="A345:L345"/>
    <mergeCell ref="M345:AH345"/>
    <mergeCell ref="AI345:AM345"/>
    <mergeCell ref="AI327:AJ329"/>
    <mergeCell ref="AK327:AM329"/>
    <mergeCell ref="J328:L328"/>
    <mergeCell ref="J329:L329"/>
    <mergeCell ref="J322:L322"/>
    <mergeCell ref="J323:L323"/>
    <mergeCell ref="X321:Z323"/>
    <mergeCell ref="AA321:AC323"/>
    <mergeCell ref="AD321:AE323"/>
    <mergeCell ref="AF321:AH323"/>
    <mergeCell ref="AI321:AJ323"/>
    <mergeCell ref="AK321:AM323"/>
    <mergeCell ref="AK318:AM320"/>
    <mergeCell ref="J319:L319"/>
    <mergeCell ref="AF324:AH326"/>
    <mergeCell ref="AI324:AJ326"/>
    <mergeCell ref="AK324:AM326"/>
    <mergeCell ref="J325:L325"/>
    <mergeCell ref="J326:L326"/>
    <mergeCell ref="O324:Q326"/>
    <mergeCell ref="R324:T326"/>
    <mergeCell ref="U324:W326"/>
    <mergeCell ref="X324:Z326"/>
    <mergeCell ref="AA324:AC326"/>
    <mergeCell ref="J352:L352"/>
    <mergeCell ref="J353:L353"/>
    <mergeCell ref="AI348:AJ350"/>
    <mergeCell ref="AK348:AM350"/>
    <mergeCell ref="A351:F353"/>
    <mergeCell ref="G351:I353"/>
    <mergeCell ref="J351:L351"/>
    <mergeCell ref="M351:N353"/>
    <mergeCell ref="O351:Q353"/>
    <mergeCell ref="R351:T353"/>
    <mergeCell ref="U351:W353"/>
    <mergeCell ref="X351:Z353"/>
    <mergeCell ref="R348:T350"/>
    <mergeCell ref="U348:W350"/>
    <mergeCell ref="X348:Z350"/>
    <mergeCell ref="AA348:AC350"/>
    <mergeCell ref="AD348:AE350"/>
    <mergeCell ref="AF348:AH350"/>
    <mergeCell ref="AK354:AM356"/>
    <mergeCell ref="J355:L355"/>
    <mergeCell ref="J356:L356"/>
    <mergeCell ref="A357:F359"/>
    <mergeCell ref="G357:I359"/>
    <mergeCell ref="J357:L357"/>
    <mergeCell ref="M357:N359"/>
    <mergeCell ref="O357:Q359"/>
    <mergeCell ref="R357:T359"/>
    <mergeCell ref="U357:W359"/>
    <mergeCell ref="U354:W356"/>
    <mergeCell ref="X354:Z356"/>
    <mergeCell ref="AA354:AC356"/>
    <mergeCell ref="AD354:AE356"/>
    <mergeCell ref="AF354:AH356"/>
    <mergeCell ref="AI354:AJ356"/>
    <mergeCell ref="A354:F356"/>
    <mergeCell ref="G354:I356"/>
    <mergeCell ref="J354:L354"/>
    <mergeCell ref="M354:N356"/>
    <mergeCell ref="O354:Q356"/>
    <mergeCell ref="R354:T356"/>
    <mergeCell ref="AF360:AH362"/>
    <mergeCell ref="AI360:AJ362"/>
    <mergeCell ref="AK360:AM362"/>
    <mergeCell ref="J361:L361"/>
    <mergeCell ref="J362:L362"/>
    <mergeCell ref="A363:F365"/>
    <mergeCell ref="G363:I365"/>
    <mergeCell ref="J363:L363"/>
    <mergeCell ref="M363:N365"/>
    <mergeCell ref="O363:Q365"/>
    <mergeCell ref="O360:Q362"/>
    <mergeCell ref="R360:T362"/>
    <mergeCell ref="U360:W362"/>
    <mergeCell ref="X360:Z362"/>
    <mergeCell ref="AA360:AC362"/>
    <mergeCell ref="AD360:AE362"/>
    <mergeCell ref="J358:L358"/>
    <mergeCell ref="J359:L359"/>
    <mergeCell ref="A360:F362"/>
    <mergeCell ref="G360:I362"/>
    <mergeCell ref="J360:L360"/>
    <mergeCell ref="M360:N362"/>
    <mergeCell ref="X357:Z359"/>
    <mergeCell ref="AA357:AC359"/>
    <mergeCell ref="AD357:AE359"/>
    <mergeCell ref="AF357:AH359"/>
    <mergeCell ref="AI357:AJ359"/>
    <mergeCell ref="AK357:AM359"/>
    <mergeCell ref="AK366:AM368"/>
    <mergeCell ref="J367:L367"/>
    <mergeCell ref="J368:L368"/>
    <mergeCell ref="A369:F371"/>
    <mergeCell ref="G369:I371"/>
    <mergeCell ref="J369:L369"/>
    <mergeCell ref="M369:N371"/>
    <mergeCell ref="O369:Q371"/>
    <mergeCell ref="R369:T371"/>
    <mergeCell ref="U369:W371"/>
    <mergeCell ref="U366:W368"/>
    <mergeCell ref="X366:Z368"/>
    <mergeCell ref="AA366:AC368"/>
    <mergeCell ref="AD366:AE368"/>
    <mergeCell ref="AF366:AH368"/>
    <mergeCell ref="AI366:AJ368"/>
    <mergeCell ref="AI363:AJ365"/>
    <mergeCell ref="AK363:AM365"/>
    <mergeCell ref="J364:L364"/>
    <mergeCell ref="J365:L365"/>
    <mergeCell ref="A366:F368"/>
    <mergeCell ref="G366:I368"/>
    <mergeCell ref="J366:L366"/>
    <mergeCell ref="M366:N368"/>
    <mergeCell ref="O366:Q368"/>
    <mergeCell ref="R366:T368"/>
    <mergeCell ref="R363:T365"/>
    <mergeCell ref="U363:W365"/>
    <mergeCell ref="X363:Z365"/>
    <mergeCell ref="AA363:AC365"/>
    <mergeCell ref="AD363:AE365"/>
    <mergeCell ref="AF363:AH365"/>
    <mergeCell ref="AF372:AH374"/>
    <mergeCell ref="AI372:AJ374"/>
    <mergeCell ref="AK372:AM374"/>
    <mergeCell ref="J373:L373"/>
    <mergeCell ref="J374:L374"/>
    <mergeCell ref="A375:F377"/>
    <mergeCell ref="G375:I377"/>
    <mergeCell ref="J375:L375"/>
    <mergeCell ref="M375:N377"/>
    <mergeCell ref="O375:Q377"/>
    <mergeCell ref="O372:Q374"/>
    <mergeCell ref="R372:T374"/>
    <mergeCell ref="U372:W374"/>
    <mergeCell ref="X372:Z374"/>
    <mergeCell ref="AA372:AC374"/>
    <mergeCell ref="AD372:AE374"/>
    <mergeCell ref="J370:L370"/>
    <mergeCell ref="J371:L371"/>
    <mergeCell ref="A372:F374"/>
    <mergeCell ref="G372:I374"/>
    <mergeCell ref="J372:L372"/>
    <mergeCell ref="M372:N374"/>
    <mergeCell ref="X369:Z371"/>
    <mergeCell ref="AA369:AC371"/>
    <mergeCell ref="AD369:AE371"/>
    <mergeCell ref="AF369:AH371"/>
    <mergeCell ref="AI369:AJ371"/>
    <mergeCell ref="AK369:AM371"/>
    <mergeCell ref="AA401:AC403"/>
    <mergeCell ref="A398:L398"/>
    <mergeCell ref="M398:AH398"/>
    <mergeCell ref="A399:L399"/>
    <mergeCell ref="M399:AH399"/>
    <mergeCell ref="AI375:AJ377"/>
    <mergeCell ref="AK375:AM377"/>
    <mergeCell ref="J376:L376"/>
    <mergeCell ref="J377:L377"/>
    <mergeCell ref="R375:T377"/>
    <mergeCell ref="U375:W377"/>
    <mergeCell ref="X375:Z377"/>
    <mergeCell ref="AA375:AC377"/>
    <mergeCell ref="AD375:AE377"/>
    <mergeCell ref="AF375:AH377"/>
    <mergeCell ref="AD401:AE403"/>
    <mergeCell ref="AF401:AH403"/>
    <mergeCell ref="AI401:AJ403"/>
    <mergeCell ref="AK401:AM403"/>
    <mergeCell ref="AI398:AM398"/>
    <mergeCell ref="AI399:AM400"/>
    <mergeCell ref="A400:L400"/>
    <mergeCell ref="M400:AH400"/>
    <mergeCell ref="A401:F403"/>
    <mergeCell ref="G401:I403"/>
    <mergeCell ref="A410:F412"/>
    <mergeCell ref="G410:I412"/>
    <mergeCell ref="M410:N412"/>
    <mergeCell ref="R413:T415"/>
    <mergeCell ref="J404:L404"/>
    <mergeCell ref="J405:L405"/>
    <mergeCell ref="A404:F406"/>
    <mergeCell ref="G404:I406"/>
    <mergeCell ref="M404:N406"/>
    <mergeCell ref="O404:Q406"/>
    <mergeCell ref="R404:T406"/>
    <mergeCell ref="J401:L403"/>
    <mergeCell ref="M401:N403"/>
    <mergeCell ref="O401:Q403"/>
    <mergeCell ref="R401:T403"/>
    <mergeCell ref="U401:W403"/>
    <mergeCell ref="X401:Z403"/>
    <mergeCell ref="J427:L427"/>
    <mergeCell ref="O422:Q424"/>
    <mergeCell ref="R422:T424"/>
    <mergeCell ref="U422:W424"/>
    <mergeCell ref="X422:Z424"/>
    <mergeCell ref="J422:L422"/>
    <mergeCell ref="J423:L423"/>
    <mergeCell ref="J424:L424"/>
    <mergeCell ref="AA410:AC412"/>
    <mergeCell ref="AD410:AE412"/>
    <mergeCell ref="AF410:AH412"/>
    <mergeCell ref="AA413:AC415"/>
    <mergeCell ref="AD413:AE415"/>
    <mergeCell ref="J413:L413"/>
    <mergeCell ref="J414:L414"/>
    <mergeCell ref="J415:L415"/>
    <mergeCell ref="O410:Q412"/>
    <mergeCell ref="R410:T412"/>
    <mergeCell ref="U410:W412"/>
    <mergeCell ref="X410:Z412"/>
    <mergeCell ref="J410:L410"/>
    <mergeCell ref="J411:L411"/>
    <mergeCell ref="J412:L412"/>
    <mergeCell ref="AI410:AJ412"/>
    <mergeCell ref="AK410:AM412"/>
    <mergeCell ref="A413:F415"/>
    <mergeCell ref="G413:I415"/>
    <mergeCell ref="M413:N415"/>
    <mergeCell ref="O413:Q415"/>
    <mergeCell ref="J418:L418"/>
    <mergeCell ref="U413:W415"/>
    <mergeCell ref="X413:Z415"/>
    <mergeCell ref="AI404:AJ406"/>
    <mergeCell ref="AK404:AM406"/>
    <mergeCell ref="A407:F409"/>
    <mergeCell ref="G407:I409"/>
    <mergeCell ref="M407:N409"/>
    <mergeCell ref="O407:Q409"/>
    <mergeCell ref="R407:T409"/>
    <mergeCell ref="U407:W409"/>
    <mergeCell ref="X407:Z409"/>
    <mergeCell ref="AA407:AC409"/>
    <mergeCell ref="AD407:AE409"/>
    <mergeCell ref="AF407:AH409"/>
    <mergeCell ref="AI407:AJ409"/>
    <mergeCell ref="AK407:AM409"/>
    <mergeCell ref="J407:L407"/>
    <mergeCell ref="J408:L408"/>
    <mergeCell ref="J409:L409"/>
    <mergeCell ref="X404:Z406"/>
    <mergeCell ref="AA404:AC406"/>
    <mergeCell ref="AD404:AE406"/>
    <mergeCell ref="AF404:AH406"/>
    <mergeCell ref="J406:L406"/>
    <mergeCell ref="U404:W406"/>
    <mergeCell ref="AK416:AM418"/>
    <mergeCell ref="A419:F421"/>
    <mergeCell ref="G419:I421"/>
    <mergeCell ref="M419:N421"/>
    <mergeCell ref="O419:Q421"/>
    <mergeCell ref="R419:T421"/>
    <mergeCell ref="U419:W421"/>
    <mergeCell ref="X419:Z421"/>
    <mergeCell ref="AA419:AC421"/>
    <mergeCell ref="AD419:AE421"/>
    <mergeCell ref="AF413:AH415"/>
    <mergeCell ref="AI413:AJ415"/>
    <mergeCell ref="AK413:AM415"/>
    <mergeCell ref="A416:F418"/>
    <mergeCell ref="G416:I418"/>
    <mergeCell ref="M416:N418"/>
    <mergeCell ref="O416:Q418"/>
    <mergeCell ref="R416:T418"/>
    <mergeCell ref="U416:W418"/>
    <mergeCell ref="X416:Z418"/>
    <mergeCell ref="AF419:AH421"/>
    <mergeCell ref="AI419:AJ421"/>
    <mergeCell ref="AK419:AM421"/>
    <mergeCell ref="J419:L419"/>
    <mergeCell ref="J420:L420"/>
    <mergeCell ref="J421:L421"/>
    <mergeCell ref="AA416:AC418"/>
    <mergeCell ref="AD416:AE418"/>
    <mergeCell ref="AF416:AH418"/>
    <mergeCell ref="AI416:AJ418"/>
    <mergeCell ref="J416:L416"/>
    <mergeCell ref="J417:L417"/>
    <mergeCell ref="AI425:AJ427"/>
    <mergeCell ref="AK425:AM427"/>
    <mergeCell ref="A428:F430"/>
    <mergeCell ref="G428:I430"/>
    <mergeCell ref="M428:N430"/>
    <mergeCell ref="O428:Q430"/>
    <mergeCell ref="R428:T430"/>
    <mergeCell ref="U428:W430"/>
    <mergeCell ref="X428:Z430"/>
    <mergeCell ref="AA428:AC430"/>
    <mergeCell ref="AD422:AE424"/>
    <mergeCell ref="AF422:AH424"/>
    <mergeCell ref="AI422:AJ424"/>
    <mergeCell ref="AK422:AM424"/>
    <mergeCell ref="A425:F427"/>
    <mergeCell ref="G425:I427"/>
    <mergeCell ref="M425:N427"/>
    <mergeCell ref="O425:Q427"/>
    <mergeCell ref="R425:T427"/>
    <mergeCell ref="U425:W427"/>
    <mergeCell ref="A422:F424"/>
    <mergeCell ref="G422:I424"/>
    <mergeCell ref="M422:N424"/>
    <mergeCell ref="AA422:AC424"/>
    <mergeCell ref="J428:L428"/>
    <mergeCell ref="J429:L429"/>
    <mergeCell ref="X425:Z427"/>
    <mergeCell ref="AA425:AC427"/>
    <mergeCell ref="AD425:AE427"/>
    <mergeCell ref="AF425:AH427"/>
    <mergeCell ref="J425:L425"/>
    <mergeCell ref="J426:L426"/>
    <mergeCell ref="A452:L452"/>
    <mergeCell ref="M452:AH452"/>
    <mergeCell ref="AI452:AM453"/>
    <mergeCell ref="A453:L453"/>
    <mergeCell ref="M453:AH453"/>
    <mergeCell ref="A454:F456"/>
    <mergeCell ref="G454:I456"/>
    <mergeCell ref="J454:L456"/>
    <mergeCell ref="M454:N456"/>
    <mergeCell ref="O454:Q456"/>
    <mergeCell ref="AD428:AE430"/>
    <mergeCell ref="AF428:AH430"/>
    <mergeCell ref="AI428:AJ430"/>
    <mergeCell ref="AK428:AM430"/>
    <mergeCell ref="J430:L430"/>
    <mergeCell ref="A451:L451"/>
    <mergeCell ref="M451:AH451"/>
    <mergeCell ref="AI451:AM451"/>
    <mergeCell ref="O460:Q462"/>
    <mergeCell ref="R460:T462"/>
    <mergeCell ref="AA457:AC459"/>
    <mergeCell ref="AD457:AE459"/>
    <mergeCell ref="AF457:AH459"/>
    <mergeCell ref="AI457:AJ459"/>
    <mergeCell ref="AK457:AM459"/>
    <mergeCell ref="J458:L458"/>
    <mergeCell ref="J459:L459"/>
    <mergeCell ref="AI454:AJ456"/>
    <mergeCell ref="AK454:AM456"/>
    <mergeCell ref="A457:F459"/>
    <mergeCell ref="G457:I459"/>
    <mergeCell ref="J457:L457"/>
    <mergeCell ref="M457:N459"/>
    <mergeCell ref="O457:Q459"/>
    <mergeCell ref="R457:T459"/>
    <mergeCell ref="U457:W459"/>
    <mergeCell ref="X457:Z459"/>
    <mergeCell ref="R454:T456"/>
    <mergeCell ref="U454:W456"/>
    <mergeCell ref="X454:Z456"/>
    <mergeCell ref="AA454:AC456"/>
    <mergeCell ref="AD454:AE456"/>
    <mergeCell ref="AF454:AH456"/>
    <mergeCell ref="J464:L464"/>
    <mergeCell ref="J465:L465"/>
    <mergeCell ref="A466:F468"/>
    <mergeCell ref="G466:I468"/>
    <mergeCell ref="J466:L466"/>
    <mergeCell ref="M466:N468"/>
    <mergeCell ref="X463:Z465"/>
    <mergeCell ref="AA463:AC465"/>
    <mergeCell ref="AD463:AE465"/>
    <mergeCell ref="AF463:AH465"/>
    <mergeCell ref="AI463:AJ465"/>
    <mergeCell ref="AK463:AM465"/>
    <mergeCell ref="AK460:AM462"/>
    <mergeCell ref="J461:L461"/>
    <mergeCell ref="J462:L462"/>
    <mergeCell ref="A463:F465"/>
    <mergeCell ref="G463:I465"/>
    <mergeCell ref="J463:L463"/>
    <mergeCell ref="M463:N465"/>
    <mergeCell ref="O463:Q465"/>
    <mergeCell ref="R463:T465"/>
    <mergeCell ref="U463:W465"/>
    <mergeCell ref="U460:W462"/>
    <mergeCell ref="X460:Z462"/>
    <mergeCell ref="AA460:AC462"/>
    <mergeCell ref="AD460:AE462"/>
    <mergeCell ref="AF460:AH462"/>
    <mergeCell ref="AI460:AJ462"/>
    <mergeCell ref="A460:F462"/>
    <mergeCell ref="G460:I462"/>
    <mergeCell ref="J460:L460"/>
    <mergeCell ref="M460:N462"/>
    <mergeCell ref="AI469:AJ471"/>
    <mergeCell ref="AK469:AM471"/>
    <mergeCell ref="J470:L470"/>
    <mergeCell ref="J471:L471"/>
    <mergeCell ref="A472:F474"/>
    <mergeCell ref="G472:I474"/>
    <mergeCell ref="J472:L472"/>
    <mergeCell ref="M472:N474"/>
    <mergeCell ref="O472:Q474"/>
    <mergeCell ref="R472:T474"/>
    <mergeCell ref="R469:T471"/>
    <mergeCell ref="U469:W471"/>
    <mergeCell ref="X469:Z471"/>
    <mergeCell ref="AA469:AC471"/>
    <mergeCell ref="AD469:AE471"/>
    <mergeCell ref="AF469:AH471"/>
    <mergeCell ref="AF466:AH468"/>
    <mergeCell ref="AI466:AJ468"/>
    <mergeCell ref="AK466:AM468"/>
    <mergeCell ref="J467:L467"/>
    <mergeCell ref="J468:L468"/>
    <mergeCell ref="A469:F471"/>
    <mergeCell ref="G469:I471"/>
    <mergeCell ref="J469:L469"/>
    <mergeCell ref="M469:N471"/>
    <mergeCell ref="O469:Q471"/>
    <mergeCell ref="O466:Q468"/>
    <mergeCell ref="R466:T468"/>
    <mergeCell ref="U466:W468"/>
    <mergeCell ref="X466:Z468"/>
    <mergeCell ref="AA466:AC468"/>
    <mergeCell ref="AD466:AE468"/>
    <mergeCell ref="J476:L476"/>
    <mergeCell ref="J477:L477"/>
    <mergeCell ref="A478:F480"/>
    <mergeCell ref="G478:I480"/>
    <mergeCell ref="J478:L478"/>
    <mergeCell ref="M478:N480"/>
    <mergeCell ref="X475:Z477"/>
    <mergeCell ref="AA475:AC477"/>
    <mergeCell ref="AD475:AE477"/>
    <mergeCell ref="AF475:AH477"/>
    <mergeCell ref="AI475:AJ477"/>
    <mergeCell ref="AK475:AM477"/>
    <mergeCell ref="AK472:AM474"/>
    <mergeCell ref="J473:L473"/>
    <mergeCell ref="J474:L474"/>
    <mergeCell ref="A475:F477"/>
    <mergeCell ref="G475:I477"/>
    <mergeCell ref="J475:L475"/>
    <mergeCell ref="M475:N477"/>
    <mergeCell ref="O475:Q477"/>
    <mergeCell ref="R475:T477"/>
    <mergeCell ref="U475:W477"/>
    <mergeCell ref="U472:W474"/>
    <mergeCell ref="X472:Z474"/>
    <mergeCell ref="AA472:AC474"/>
    <mergeCell ref="AD472:AE474"/>
    <mergeCell ref="AF472:AH474"/>
    <mergeCell ref="AI472:AJ474"/>
    <mergeCell ref="AI481:AJ483"/>
    <mergeCell ref="AK481:AM483"/>
    <mergeCell ref="J482:L482"/>
    <mergeCell ref="J483:L483"/>
    <mergeCell ref="A504:G505"/>
    <mergeCell ref="H504:AM505"/>
    <mergeCell ref="R481:T483"/>
    <mergeCell ref="U481:W483"/>
    <mergeCell ref="X481:Z483"/>
    <mergeCell ref="AA481:AC483"/>
    <mergeCell ref="AD481:AE483"/>
    <mergeCell ref="AF481:AH483"/>
    <mergeCell ref="AF478:AH480"/>
    <mergeCell ref="AI478:AJ480"/>
    <mergeCell ref="AK478:AM480"/>
    <mergeCell ref="J479:L479"/>
    <mergeCell ref="J480:L480"/>
    <mergeCell ref="A481:F483"/>
    <mergeCell ref="G481:I483"/>
    <mergeCell ref="J481:L481"/>
    <mergeCell ref="M481:N483"/>
    <mergeCell ref="O481:Q483"/>
    <mergeCell ref="O478:Q480"/>
    <mergeCell ref="R478:T480"/>
    <mergeCell ref="U478:W480"/>
    <mergeCell ref="X478:Z480"/>
    <mergeCell ref="AA478:AC480"/>
    <mergeCell ref="AD478:AE480"/>
    <mergeCell ref="A510:L510"/>
    <mergeCell ref="M510:AH510"/>
    <mergeCell ref="AI510:AM511"/>
    <mergeCell ref="A511:L511"/>
    <mergeCell ref="M511:AH511"/>
    <mergeCell ref="A512:F514"/>
    <mergeCell ref="G512:I514"/>
    <mergeCell ref="J512:L514"/>
    <mergeCell ref="M512:N514"/>
    <mergeCell ref="O512:Q514"/>
    <mergeCell ref="A506:G507"/>
    <mergeCell ref="H506:V507"/>
    <mergeCell ref="W506:Z507"/>
    <mergeCell ref="AA506:AM507"/>
    <mergeCell ref="A509:L509"/>
    <mergeCell ref="M509:AH509"/>
    <mergeCell ref="AI509:AM509"/>
    <mergeCell ref="AA515:AC517"/>
    <mergeCell ref="AD515:AE517"/>
    <mergeCell ref="AF515:AH517"/>
    <mergeCell ref="AI515:AJ517"/>
    <mergeCell ref="AK515:AM517"/>
    <mergeCell ref="J516:L516"/>
    <mergeCell ref="J517:L517"/>
    <mergeCell ref="AI512:AJ514"/>
    <mergeCell ref="AK512:AM514"/>
    <mergeCell ref="A515:F517"/>
    <mergeCell ref="G515:I517"/>
    <mergeCell ref="J515:L515"/>
    <mergeCell ref="M515:N517"/>
    <mergeCell ref="O515:Q517"/>
    <mergeCell ref="R515:T517"/>
    <mergeCell ref="U515:W517"/>
    <mergeCell ref="X515:Z517"/>
    <mergeCell ref="R512:T514"/>
    <mergeCell ref="U512:W514"/>
    <mergeCell ref="X512:Z514"/>
    <mergeCell ref="AA512:AC514"/>
    <mergeCell ref="AD512:AE514"/>
    <mergeCell ref="AF512:AH514"/>
    <mergeCell ref="AK518:AM520"/>
    <mergeCell ref="J519:L519"/>
    <mergeCell ref="J520:L520"/>
    <mergeCell ref="A521:F523"/>
    <mergeCell ref="G521:I523"/>
    <mergeCell ref="J521:L521"/>
    <mergeCell ref="M521:N523"/>
    <mergeCell ref="O521:Q523"/>
    <mergeCell ref="R521:T523"/>
    <mergeCell ref="U521:W523"/>
    <mergeCell ref="U518:W520"/>
    <mergeCell ref="X518:Z520"/>
    <mergeCell ref="AA518:AC520"/>
    <mergeCell ref="AD518:AE520"/>
    <mergeCell ref="AF518:AH520"/>
    <mergeCell ref="AI518:AJ520"/>
    <mergeCell ref="A518:F520"/>
    <mergeCell ref="G518:I520"/>
    <mergeCell ref="J518:L518"/>
    <mergeCell ref="M518:N520"/>
    <mergeCell ref="O518:Q520"/>
    <mergeCell ref="R518:T520"/>
    <mergeCell ref="AF524:AH526"/>
    <mergeCell ref="AI524:AJ526"/>
    <mergeCell ref="AK524:AM526"/>
    <mergeCell ref="J525:L525"/>
    <mergeCell ref="J526:L526"/>
    <mergeCell ref="A527:F529"/>
    <mergeCell ref="G527:I529"/>
    <mergeCell ref="J527:L527"/>
    <mergeCell ref="M527:N529"/>
    <mergeCell ref="O527:Q529"/>
    <mergeCell ref="O524:Q526"/>
    <mergeCell ref="R524:T526"/>
    <mergeCell ref="U524:W526"/>
    <mergeCell ref="X524:Z526"/>
    <mergeCell ref="AA524:AC526"/>
    <mergeCell ref="AD524:AE526"/>
    <mergeCell ref="J522:L522"/>
    <mergeCell ref="J523:L523"/>
    <mergeCell ref="A524:F526"/>
    <mergeCell ref="G524:I526"/>
    <mergeCell ref="J524:L524"/>
    <mergeCell ref="M524:N526"/>
    <mergeCell ref="X521:Z523"/>
    <mergeCell ref="AA521:AC523"/>
    <mergeCell ref="AD521:AE523"/>
    <mergeCell ref="AF521:AH523"/>
    <mergeCell ref="AI521:AJ523"/>
    <mergeCell ref="AK521:AM523"/>
    <mergeCell ref="AK530:AM532"/>
    <mergeCell ref="J531:L531"/>
    <mergeCell ref="J532:L532"/>
    <mergeCell ref="A533:F535"/>
    <mergeCell ref="G533:I535"/>
    <mergeCell ref="J533:L533"/>
    <mergeCell ref="M533:N535"/>
    <mergeCell ref="O533:Q535"/>
    <mergeCell ref="R533:T535"/>
    <mergeCell ref="U533:W535"/>
    <mergeCell ref="U530:W532"/>
    <mergeCell ref="X530:Z532"/>
    <mergeCell ref="AA530:AC532"/>
    <mergeCell ref="AD530:AE532"/>
    <mergeCell ref="AF530:AH532"/>
    <mergeCell ref="AI530:AJ532"/>
    <mergeCell ref="AI527:AJ529"/>
    <mergeCell ref="AK527:AM529"/>
    <mergeCell ref="J528:L528"/>
    <mergeCell ref="J529:L529"/>
    <mergeCell ref="A530:F532"/>
    <mergeCell ref="G530:I532"/>
    <mergeCell ref="J530:L530"/>
    <mergeCell ref="M530:N532"/>
    <mergeCell ref="O530:Q532"/>
    <mergeCell ref="R530:T532"/>
    <mergeCell ref="R527:T529"/>
    <mergeCell ref="U527:W529"/>
    <mergeCell ref="X527:Z529"/>
    <mergeCell ref="AA527:AC529"/>
    <mergeCell ref="AD527:AE529"/>
    <mergeCell ref="AF527:AH529"/>
    <mergeCell ref="AF536:AH538"/>
    <mergeCell ref="AI536:AJ538"/>
    <mergeCell ref="AK536:AM538"/>
    <mergeCell ref="J537:L537"/>
    <mergeCell ref="J538:L538"/>
    <mergeCell ref="A539:F541"/>
    <mergeCell ref="G539:I541"/>
    <mergeCell ref="J539:L539"/>
    <mergeCell ref="M539:N541"/>
    <mergeCell ref="O539:Q541"/>
    <mergeCell ref="O536:Q538"/>
    <mergeCell ref="R536:T538"/>
    <mergeCell ref="U536:W538"/>
    <mergeCell ref="X536:Z538"/>
    <mergeCell ref="AA536:AC538"/>
    <mergeCell ref="AD536:AE538"/>
    <mergeCell ref="J534:L534"/>
    <mergeCell ref="J535:L535"/>
    <mergeCell ref="A536:F538"/>
    <mergeCell ref="G536:I538"/>
    <mergeCell ref="J536:L536"/>
    <mergeCell ref="M536:N538"/>
    <mergeCell ref="X533:Z535"/>
    <mergeCell ref="AA533:AC535"/>
    <mergeCell ref="AD533:AE535"/>
    <mergeCell ref="AF533:AH535"/>
    <mergeCell ref="AI533:AJ535"/>
    <mergeCell ref="AK533:AM535"/>
    <mergeCell ref="A558:L558"/>
    <mergeCell ref="M558:AH558"/>
    <mergeCell ref="AI558:AM559"/>
    <mergeCell ref="A559:L559"/>
    <mergeCell ref="M559:AH559"/>
    <mergeCell ref="A560:F562"/>
    <mergeCell ref="G560:I562"/>
    <mergeCell ref="J560:L562"/>
    <mergeCell ref="M560:N562"/>
    <mergeCell ref="O560:Q562"/>
    <mergeCell ref="AI539:AJ541"/>
    <mergeCell ref="AK539:AM541"/>
    <mergeCell ref="J540:L540"/>
    <mergeCell ref="J541:L541"/>
    <mergeCell ref="A557:L557"/>
    <mergeCell ref="M557:AH557"/>
    <mergeCell ref="AI557:AM557"/>
    <mergeCell ref="R539:T541"/>
    <mergeCell ref="U539:W541"/>
    <mergeCell ref="X539:Z541"/>
    <mergeCell ref="AA539:AC541"/>
    <mergeCell ref="AD539:AE541"/>
    <mergeCell ref="AF539:AH541"/>
    <mergeCell ref="AA563:AC565"/>
    <mergeCell ref="AD563:AE565"/>
    <mergeCell ref="AF563:AH565"/>
    <mergeCell ref="AI563:AJ565"/>
    <mergeCell ref="AK563:AM565"/>
    <mergeCell ref="J564:L564"/>
    <mergeCell ref="J565:L565"/>
    <mergeCell ref="AI560:AJ562"/>
    <mergeCell ref="AK560:AM562"/>
    <mergeCell ref="A563:F565"/>
    <mergeCell ref="G563:I565"/>
    <mergeCell ref="J563:L563"/>
    <mergeCell ref="M563:N565"/>
    <mergeCell ref="O563:Q565"/>
    <mergeCell ref="R563:T565"/>
    <mergeCell ref="U563:W565"/>
    <mergeCell ref="X563:Z565"/>
    <mergeCell ref="R560:T562"/>
    <mergeCell ref="U560:W562"/>
    <mergeCell ref="X560:Z562"/>
    <mergeCell ref="AA560:AC562"/>
    <mergeCell ref="AD560:AE562"/>
    <mergeCell ref="AF560:AH562"/>
    <mergeCell ref="AK566:AM568"/>
    <mergeCell ref="J567:L567"/>
    <mergeCell ref="J568:L568"/>
    <mergeCell ref="A569:F571"/>
    <mergeCell ref="G569:I571"/>
    <mergeCell ref="J569:L569"/>
    <mergeCell ref="M569:N571"/>
    <mergeCell ref="O569:Q571"/>
    <mergeCell ref="R569:T571"/>
    <mergeCell ref="U569:W571"/>
    <mergeCell ref="U566:W568"/>
    <mergeCell ref="X566:Z568"/>
    <mergeCell ref="AA566:AC568"/>
    <mergeCell ref="AD566:AE568"/>
    <mergeCell ref="AF566:AH568"/>
    <mergeCell ref="AI566:AJ568"/>
    <mergeCell ref="A566:F568"/>
    <mergeCell ref="G566:I568"/>
    <mergeCell ref="J566:L566"/>
    <mergeCell ref="M566:N568"/>
    <mergeCell ref="O566:Q568"/>
    <mergeCell ref="R566:T568"/>
    <mergeCell ref="AF572:AH574"/>
    <mergeCell ref="AI572:AJ574"/>
    <mergeCell ref="AK572:AM574"/>
    <mergeCell ref="J573:L573"/>
    <mergeCell ref="J574:L574"/>
    <mergeCell ref="A575:F577"/>
    <mergeCell ref="G575:I577"/>
    <mergeCell ref="J575:L575"/>
    <mergeCell ref="M575:N577"/>
    <mergeCell ref="O575:Q577"/>
    <mergeCell ref="O572:Q574"/>
    <mergeCell ref="R572:T574"/>
    <mergeCell ref="U572:W574"/>
    <mergeCell ref="X572:Z574"/>
    <mergeCell ref="AA572:AC574"/>
    <mergeCell ref="AD572:AE574"/>
    <mergeCell ref="J570:L570"/>
    <mergeCell ref="J571:L571"/>
    <mergeCell ref="A572:F574"/>
    <mergeCell ref="G572:I574"/>
    <mergeCell ref="J572:L572"/>
    <mergeCell ref="M572:N574"/>
    <mergeCell ref="X569:Z571"/>
    <mergeCell ref="AA569:AC571"/>
    <mergeCell ref="AD569:AE571"/>
    <mergeCell ref="AF569:AH571"/>
    <mergeCell ref="AI569:AJ571"/>
    <mergeCell ref="AK569:AM571"/>
    <mergeCell ref="AK578:AM580"/>
    <mergeCell ref="J579:L579"/>
    <mergeCell ref="J580:L580"/>
    <mergeCell ref="A581:F583"/>
    <mergeCell ref="G581:I583"/>
    <mergeCell ref="J581:L581"/>
    <mergeCell ref="M581:N583"/>
    <mergeCell ref="O581:Q583"/>
    <mergeCell ref="R581:T583"/>
    <mergeCell ref="U581:W583"/>
    <mergeCell ref="U578:W580"/>
    <mergeCell ref="X578:Z580"/>
    <mergeCell ref="AA578:AC580"/>
    <mergeCell ref="AD578:AE580"/>
    <mergeCell ref="AF578:AH580"/>
    <mergeCell ref="AI578:AJ580"/>
    <mergeCell ref="AI575:AJ577"/>
    <mergeCell ref="AK575:AM577"/>
    <mergeCell ref="J576:L576"/>
    <mergeCell ref="J577:L577"/>
    <mergeCell ref="A578:F580"/>
    <mergeCell ref="G578:I580"/>
    <mergeCell ref="J578:L578"/>
    <mergeCell ref="M578:N580"/>
    <mergeCell ref="O578:Q580"/>
    <mergeCell ref="R578:T580"/>
    <mergeCell ref="R575:T577"/>
    <mergeCell ref="U575:W577"/>
    <mergeCell ref="X575:Z577"/>
    <mergeCell ref="AA575:AC577"/>
    <mergeCell ref="AD575:AE577"/>
    <mergeCell ref="AF575:AH577"/>
    <mergeCell ref="AF584:AH586"/>
    <mergeCell ref="AI584:AJ586"/>
    <mergeCell ref="AK584:AM586"/>
    <mergeCell ref="J585:L585"/>
    <mergeCell ref="J586:L586"/>
    <mergeCell ref="A587:F589"/>
    <mergeCell ref="G587:I589"/>
    <mergeCell ref="J587:L587"/>
    <mergeCell ref="M587:N589"/>
    <mergeCell ref="O587:Q589"/>
    <mergeCell ref="O584:Q586"/>
    <mergeCell ref="R584:T586"/>
    <mergeCell ref="U584:W586"/>
    <mergeCell ref="X584:Z586"/>
    <mergeCell ref="AA584:AC586"/>
    <mergeCell ref="AD584:AE586"/>
    <mergeCell ref="J582:L582"/>
    <mergeCell ref="J583:L583"/>
    <mergeCell ref="A584:F586"/>
    <mergeCell ref="G584:I586"/>
    <mergeCell ref="J584:L584"/>
    <mergeCell ref="M584:N586"/>
    <mergeCell ref="X581:Z583"/>
    <mergeCell ref="AA581:AC583"/>
    <mergeCell ref="AD581:AE583"/>
    <mergeCell ref="AF581:AH583"/>
    <mergeCell ref="AI581:AJ583"/>
    <mergeCell ref="AK581:AM583"/>
    <mergeCell ref="A611:L611"/>
    <mergeCell ref="M611:AH611"/>
    <mergeCell ref="AI611:AM612"/>
    <mergeCell ref="A612:L612"/>
    <mergeCell ref="M612:AH612"/>
    <mergeCell ref="A613:F615"/>
    <mergeCell ref="G613:I615"/>
    <mergeCell ref="J613:L615"/>
    <mergeCell ref="M613:N615"/>
    <mergeCell ref="O613:Q615"/>
    <mergeCell ref="AI587:AJ589"/>
    <mergeCell ref="AK587:AM589"/>
    <mergeCell ref="J588:L588"/>
    <mergeCell ref="J589:L589"/>
    <mergeCell ref="A610:L610"/>
    <mergeCell ref="M610:AH610"/>
    <mergeCell ref="AI610:AM610"/>
    <mergeCell ref="R587:T589"/>
    <mergeCell ref="U587:W589"/>
    <mergeCell ref="X587:Z589"/>
    <mergeCell ref="AA587:AC589"/>
    <mergeCell ref="AD587:AE589"/>
    <mergeCell ref="AF587:AH589"/>
    <mergeCell ref="AA616:AC618"/>
    <mergeCell ref="AD616:AE618"/>
    <mergeCell ref="AF616:AH618"/>
    <mergeCell ref="AI616:AJ618"/>
    <mergeCell ref="AK616:AM618"/>
    <mergeCell ref="J617:L617"/>
    <mergeCell ref="J618:L618"/>
    <mergeCell ref="AI613:AJ615"/>
    <mergeCell ref="AK613:AM615"/>
    <mergeCell ref="A616:F618"/>
    <mergeCell ref="G616:I618"/>
    <mergeCell ref="J616:L616"/>
    <mergeCell ref="M616:N618"/>
    <mergeCell ref="O616:Q618"/>
    <mergeCell ref="R616:T618"/>
    <mergeCell ref="U616:W618"/>
    <mergeCell ref="X616:Z618"/>
    <mergeCell ref="R613:T615"/>
    <mergeCell ref="U613:W615"/>
    <mergeCell ref="X613:Z615"/>
    <mergeCell ref="AA613:AC615"/>
    <mergeCell ref="AD613:AE615"/>
    <mergeCell ref="AF613:AH615"/>
    <mergeCell ref="AK619:AM621"/>
    <mergeCell ref="J620:L620"/>
    <mergeCell ref="J621:L621"/>
    <mergeCell ref="A622:F624"/>
    <mergeCell ref="G622:I624"/>
    <mergeCell ref="J622:L622"/>
    <mergeCell ref="M622:N624"/>
    <mergeCell ref="O622:Q624"/>
    <mergeCell ref="R622:T624"/>
    <mergeCell ref="U622:W624"/>
    <mergeCell ref="U619:W621"/>
    <mergeCell ref="X619:Z621"/>
    <mergeCell ref="AA619:AC621"/>
    <mergeCell ref="AD619:AE621"/>
    <mergeCell ref="AF619:AH621"/>
    <mergeCell ref="AI619:AJ621"/>
    <mergeCell ref="A619:F621"/>
    <mergeCell ref="G619:I621"/>
    <mergeCell ref="J619:L619"/>
    <mergeCell ref="M619:N621"/>
    <mergeCell ref="O619:Q621"/>
    <mergeCell ref="R619:T621"/>
    <mergeCell ref="AF625:AH627"/>
    <mergeCell ref="AI625:AJ627"/>
    <mergeCell ref="AK625:AM627"/>
    <mergeCell ref="J626:L626"/>
    <mergeCell ref="J627:L627"/>
    <mergeCell ref="A628:F630"/>
    <mergeCell ref="G628:I630"/>
    <mergeCell ref="J628:L628"/>
    <mergeCell ref="M628:N630"/>
    <mergeCell ref="O628:Q630"/>
    <mergeCell ref="O625:Q627"/>
    <mergeCell ref="R625:T627"/>
    <mergeCell ref="U625:W627"/>
    <mergeCell ref="X625:Z627"/>
    <mergeCell ref="AA625:AC627"/>
    <mergeCell ref="AD625:AE627"/>
    <mergeCell ref="J623:L623"/>
    <mergeCell ref="J624:L624"/>
    <mergeCell ref="A625:F627"/>
    <mergeCell ref="G625:I627"/>
    <mergeCell ref="J625:L625"/>
    <mergeCell ref="M625:N627"/>
    <mergeCell ref="X622:Z624"/>
    <mergeCell ref="AA622:AC624"/>
    <mergeCell ref="AD622:AE624"/>
    <mergeCell ref="AF622:AH624"/>
    <mergeCell ref="AI622:AJ624"/>
    <mergeCell ref="AK622:AM624"/>
    <mergeCell ref="AK631:AM633"/>
    <mergeCell ref="J632:L632"/>
    <mergeCell ref="J633:L633"/>
    <mergeCell ref="A634:F636"/>
    <mergeCell ref="G634:I636"/>
    <mergeCell ref="J634:L634"/>
    <mergeCell ref="M634:N636"/>
    <mergeCell ref="O634:Q636"/>
    <mergeCell ref="R634:T636"/>
    <mergeCell ref="U634:W636"/>
    <mergeCell ref="U631:W633"/>
    <mergeCell ref="X631:Z633"/>
    <mergeCell ref="AA631:AC633"/>
    <mergeCell ref="AD631:AE633"/>
    <mergeCell ref="AF631:AH633"/>
    <mergeCell ref="AI631:AJ633"/>
    <mergeCell ref="AI628:AJ630"/>
    <mergeCell ref="AK628:AM630"/>
    <mergeCell ref="J629:L629"/>
    <mergeCell ref="J630:L630"/>
    <mergeCell ref="A631:F633"/>
    <mergeCell ref="G631:I633"/>
    <mergeCell ref="J631:L631"/>
    <mergeCell ref="M631:N633"/>
    <mergeCell ref="O631:Q633"/>
    <mergeCell ref="R631:T633"/>
    <mergeCell ref="R628:T630"/>
    <mergeCell ref="U628:W630"/>
    <mergeCell ref="X628:Z630"/>
    <mergeCell ref="AA628:AC630"/>
    <mergeCell ref="AD628:AE630"/>
    <mergeCell ref="AF628:AH630"/>
    <mergeCell ref="AF637:AH639"/>
    <mergeCell ref="AI637:AJ639"/>
    <mergeCell ref="AK637:AM639"/>
    <mergeCell ref="J638:L638"/>
    <mergeCell ref="J639:L639"/>
    <mergeCell ref="A640:F642"/>
    <mergeCell ref="G640:I642"/>
    <mergeCell ref="J640:L640"/>
    <mergeCell ref="M640:N642"/>
    <mergeCell ref="O640:Q642"/>
    <mergeCell ref="O637:Q639"/>
    <mergeCell ref="R637:T639"/>
    <mergeCell ref="U637:W639"/>
    <mergeCell ref="X637:Z639"/>
    <mergeCell ref="AA637:AC639"/>
    <mergeCell ref="AD637:AE639"/>
    <mergeCell ref="J635:L635"/>
    <mergeCell ref="J636:L636"/>
    <mergeCell ref="A637:F639"/>
    <mergeCell ref="G637:I639"/>
    <mergeCell ref="J637:L637"/>
    <mergeCell ref="M637:N639"/>
    <mergeCell ref="X634:Z636"/>
    <mergeCell ref="AA634:AC636"/>
    <mergeCell ref="AD634:AE636"/>
    <mergeCell ref="AF634:AH636"/>
    <mergeCell ref="AI634:AJ636"/>
    <mergeCell ref="AK634:AM636"/>
    <mergeCell ref="A664:L664"/>
    <mergeCell ref="M664:AH664"/>
    <mergeCell ref="AI664:AM665"/>
    <mergeCell ref="A665:L665"/>
    <mergeCell ref="M665:AH665"/>
    <mergeCell ref="A666:F668"/>
    <mergeCell ref="G666:I668"/>
    <mergeCell ref="J666:L668"/>
    <mergeCell ref="M666:N668"/>
    <mergeCell ref="O666:Q668"/>
    <mergeCell ref="AI640:AJ642"/>
    <mergeCell ref="AK640:AM642"/>
    <mergeCell ref="J641:L641"/>
    <mergeCell ref="J642:L642"/>
    <mergeCell ref="A663:L663"/>
    <mergeCell ref="M663:AH663"/>
    <mergeCell ref="AI663:AM663"/>
    <mergeCell ref="R640:T642"/>
    <mergeCell ref="U640:W642"/>
    <mergeCell ref="X640:Z642"/>
    <mergeCell ref="AA640:AC642"/>
    <mergeCell ref="AD640:AE642"/>
    <mergeCell ref="AF640:AH642"/>
    <mergeCell ref="O672:Q674"/>
    <mergeCell ref="R672:T674"/>
    <mergeCell ref="AA669:AC671"/>
    <mergeCell ref="AD669:AE671"/>
    <mergeCell ref="AF669:AH671"/>
    <mergeCell ref="AI669:AJ671"/>
    <mergeCell ref="AK669:AM671"/>
    <mergeCell ref="J670:L670"/>
    <mergeCell ref="J671:L671"/>
    <mergeCell ref="AI666:AJ668"/>
    <mergeCell ref="AK666:AM668"/>
    <mergeCell ref="A669:F671"/>
    <mergeCell ref="G669:I671"/>
    <mergeCell ref="J669:L669"/>
    <mergeCell ref="M669:N671"/>
    <mergeCell ref="O669:Q671"/>
    <mergeCell ref="R669:T671"/>
    <mergeCell ref="U669:W671"/>
    <mergeCell ref="X669:Z671"/>
    <mergeCell ref="R666:T668"/>
    <mergeCell ref="U666:W668"/>
    <mergeCell ref="X666:Z668"/>
    <mergeCell ref="AA666:AC668"/>
    <mergeCell ref="AD666:AE668"/>
    <mergeCell ref="AF666:AH668"/>
    <mergeCell ref="J676:L676"/>
    <mergeCell ref="J677:L677"/>
    <mergeCell ref="A678:F680"/>
    <mergeCell ref="G678:I680"/>
    <mergeCell ref="J678:L678"/>
    <mergeCell ref="M678:N680"/>
    <mergeCell ref="X675:Z677"/>
    <mergeCell ref="AA675:AC677"/>
    <mergeCell ref="AD675:AE677"/>
    <mergeCell ref="AF675:AH677"/>
    <mergeCell ref="AI675:AJ677"/>
    <mergeCell ref="AK675:AM677"/>
    <mergeCell ref="AK672:AM674"/>
    <mergeCell ref="J673:L673"/>
    <mergeCell ref="J674:L674"/>
    <mergeCell ref="A675:F677"/>
    <mergeCell ref="G675:I677"/>
    <mergeCell ref="J675:L675"/>
    <mergeCell ref="M675:N677"/>
    <mergeCell ref="O675:Q677"/>
    <mergeCell ref="R675:T677"/>
    <mergeCell ref="U675:W677"/>
    <mergeCell ref="U672:W674"/>
    <mergeCell ref="X672:Z674"/>
    <mergeCell ref="AA672:AC674"/>
    <mergeCell ref="AD672:AE674"/>
    <mergeCell ref="AF672:AH674"/>
    <mergeCell ref="AI672:AJ674"/>
    <mergeCell ref="A672:F674"/>
    <mergeCell ref="G672:I674"/>
    <mergeCell ref="J672:L672"/>
    <mergeCell ref="M672:N674"/>
    <mergeCell ref="AI681:AJ683"/>
    <mergeCell ref="AK681:AM683"/>
    <mergeCell ref="J682:L682"/>
    <mergeCell ref="J683:L683"/>
    <mergeCell ref="A684:F686"/>
    <mergeCell ref="G684:I686"/>
    <mergeCell ref="J684:L684"/>
    <mergeCell ref="M684:N686"/>
    <mergeCell ref="O684:Q686"/>
    <mergeCell ref="R684:T686"/>
    <mergeCell ref="R681:T683"/>
    <mergeCell ref="U681:W683"/>
    <mergeCell ref="X681:Z683"/>
    <mergeCell ref="AA681:AC683"/>
    <mergeCell ref="AD681:AE683"/>
    <mergeCell ref="AF681:AH683"/>
    <mergeCell ref="AF678:AH680"/>
    <mergeCell ref="AI678:AJ680"/>
    <mergeCell ref="AK678:AM680"/>
    <mergeCell ref="J679:L679"/>
    <mergeCell ref="J680:L680"/>
    <mergeCell ref="A681:F683"/>
    <mergeCell ref="G681:I683"/>
    <mergeCell ref="J681:L681"/>
    <mergeCell ref="M681:N683"/>
    <mergeCell ref="O681:Q683"/>
    <mergeCell ref="O678:Q680"/>
    <mergeCell ref="R678:T680"/>
    <mergeCell ref="U678:W680"/>
    <mergeCell ref="X678:Z680"/>
    <mergeCell ref="AA678:AC680"/>
    <mergeCell ref="AD678:AE680"/>
    <mergeCell ref="J688:L688"/>
    <mergeCell ref="J689:L689"/>
    <mergeCell ref="A690:F692"/>
    <mergeCell ref="G690:I692"/>
    <mergeCell ref="J690:L690"/>
    <mergeCell ref="M690:N692"/>
    <mergeCell ref="X687:Z689"/>
    <mergeCell ref="AA687:AC689"/>
    <mergeCell ref="AD687:AE689"/>
    <mergeCell ref="AF687:AH689"/>
    <mergeCell ref="AI687:AJ689"/>
    <mergeCell ref="AK687:AM689"/>
    <mergeCell ref="AK684:AM686"/>
    <mergeCell ref="J685:L685"/>
    <mergeCell ref="J686:L686"/>
    <mergeCell ref="A687:F689"/>
    <mergeCell ref="G687:I689"/>
    <mergeCell ref="J687:L687"/>
    <mergeCell ref="M687:N689"/>
    <mergeCell ref="O687:Q689"/>
    <mergeCell ref="R687:T689"/>
    <mergeCell ref="U687:W689"/>
    <mergeCell ref="U684:W686"/>
    <mergeCell ref="X684:Z686"/>
    <mergeCell ref="AA684:AC686"/>
    <mergeCell ref="AD684:AE686"/>
    <mergeCell ref="AF684:AH686"/>
    <mergeCell ref="AI684:AJ686"/>
    <mergeCell ref="AI693:AJ695"/>
    <mergeCell ref="AK693:AM695"/>
    <mergeCell ref="J694:L694"/>
    <mergeCell ref="J695:L695"/>
    <mergeCell ref="R693:T695"/>
    <mergeCell ref="U693:W695"/>
    <mergeCell ref="X693:Z695"/>
    <mergeCell ref="AA693:AC695"/>
    <mergeCell ref="AD693:AE695"/>
    <mergeCell ref="AF693:AH695"/>
    <mergeCell ref="AF690:AH692"/>
    <mergeCell ref="AI690:AJ692"/>
    <mergeCell ref="AK690:AM692"/>
    <mergeCell ref="J691:L691"/>
    <mergeCell ref="J692:L692"/>
    <mergeCell ref="A693:F695"/>
    <mergeCell ref="G693:I695"/>
    <mergeCell ref="J693:L693"/>
    <mergeCell ref="M693:N695"/>
    <mergeCell ref="O693:Q695"/>
    <mergeCell ref="O690:Q692"/>
    <mergeCell ref="R690:T692"/>
    <mergeCell ref="U690:W692"/>
    <mergeCell ref="X690:Z692"/>
    <mergeCell ref="AA690:AC692"/>
    <mergeCell ref="AD690:AE692"/>
    <mergeCell ref="AB747:AE747"/>
    <mergeCell ref="AF747:AI747"/>
    <mergeCell ref="AJ747:AM747"/>
    <mergeCell ref="AJ744:AM744"/>
    <mergeCell ref="B745:K745"/>
    <mergeCell ref="L745:N745"/>
    <mergeCell ref="O745:Q745"/>
    <mergeCell ref="R745:U745"/>
    <mergeCell ref="V745:W745"/>
    <mergeCell ref="X745:AA745"/>
    <mergeCell ref="AB745:AE745"/>
    <mergeCell ref="AF745:AI745"/>
    <mergeCell ref="AJ745:AM745"/>
    <mergeCell ref="AF743:AI743"/>
    <mergeCell ref="AJ743:AM743"/>
    <mergeCell ref="B744:K744"/>
    <mergeCell ref="L744:N744"/>
    <mergeCell ref="O744:Q744"/>
    <mergeCell ref="R744:U744"/>
    <mergeCell ref="V744:W744"/>
    <mergeCell ref="X744:AA744"/>
    <mergeCell ref="AB744:AE744"/>
    <mergeCell ref="AF744:AI744"/>
  </mergeCells>
  <hyperlinks>
    <hyperlink ref="G11" r:id="rId1" xr:uid="{BB7FB1B4-B316-7A4C-95A0-867D0972E9F4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B54C7-4AE1-0947-8A6A-72284D2FC59D}">
  <dimension ref="A1:AM238"/>
  <sheetViews>
    <sheetView view="pageLayout" zoomScale="140" zoomScaleNormal="100" zoomScalePageLayoutView="140" workbookViewId="0">
      <selection activeCell="Y28" sqref="Y28"/>
    </sheetView>
  </sheetViews>
  <sheetFormatPr defaultColWidth="10.625" defaultRowHeight="15.75"/>
  <cols>
    <col min="1" max="4" width="2.375" customWidth="1"/>
    <col min="5" max="5" width="0.625" customWidth="1"/>
    <col min="6" max="6" width="0.875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Severin Shopping Center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nr.26,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RO30831966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J40/12452/2012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RO25 RZBR 0000 0600 1747 6142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18/31.01.2024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39/28.02.2024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12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AB237</f>
        <v>352708.21999999991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AF237</f>
        <v>67014.539999999979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AJ237</f>
        <v>419722.75999999989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419722.75999999989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R200+R214+R215+R218</f>
        <v>365259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1.1491099740184358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VLOOKUP($AA$15,'Date SPV'!$B:$H,4,FALSE)</f>
        <v>Bulevardul Mihai Viteazu, nr. 78, Drobeta-Turnu Severin, jud. Mehedinti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5000372622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_xlfn.CONCAT($AA$15,"_",1)</f>
        <v>RSEV_1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59401040000145272271526125/1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RSEV_1.1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1372642632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1977839 (citit)</v>
      </c>
      <c r="S40" s="647"/>
      <c r="T40" s="647"/>
      <c r="U40" s="647" t="str">
        <f>VLOOKUP(A40,Regularizare!$D:$U,4,FALSE)&amp;" ("&amp;VLOOKUP(A40,Regularizare!$D:$U,12,FALSE)&amp;")"</f>
        <v>2066026 (estimat)</v>
      </c>
      <c r="V40" s="647"/>
      <c r="W40" s="647"/>
      <c r="X40" s="647" t="str">
        <f>VLOOKUP(A40,Regularizare!$D:$Y,19,FALSE)&amp;" ("&amp;VLOOKUP(A40,Regularizare!$D:$U,12,FALSE)&amp;")"</f>
        <v>88187 (estimat)</v>
      </c>
      <c r="Y40" s="647"/>
      <c r="Z40" s="647"/>
      <c r="AA40" s="647">
        <f>(-1)*VLOOKUP(A40,Regularizare!$D:$Y,19,FALSE)</f>
        <v>-88187</v>
      </c>
      <c r="AB40" s="647"/>
      <c r="AC40" s="647"/>
      <c r="AD40" s="647" t="s">
        <v>69</v>
      </c>
      <c r="AE40" s="647"/>
      <c r="AF40" s="647">
        <f>AA40</f>
        <v>-88187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1372642632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166429 (citit)</v>
      </c>
      <c r="S43" s="647"/>
      <c r="T43" s="647"/>
      <c r="U43" s="647" t="str">
        <f>VLOOKUP(A43,Regularizare!$D:$U,8,FALSE)&amp;" ("&amp;VLOOKUP(A43,Regularizare!$D:$U,16,FALSE)&amp;")"</f>
        <v>166429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1372642632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46151 (citit)</v>
      </c>
      <c r="S46" s="647"/>
      <c r="T46" s="647"/>
      <c r="U46" s="647" t="str">
        <f>VLOOKUP(A46,Regularizare!$D:$U,10,FALSE)&amp;" ("&amp;VLOOKUP(A46,Regularizare!$D:$U,18,FALSE)&amp;")"</f>
        <v>46151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1372642632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1977839 (citit)</v>
      </c>
      <c r="S49" s="647"/>
      <c r="T49" s="647"/>
      <c r="U49" s="647" t="str">
        <f>VLOOKUP(A49,Regularizare!$D:$AX,25,FALSE)&amp;" ("&amp;VLOOKUP(A49,Regularizare!$D:$AX,26,FALSE)&amp;")"</f>
        <v>2066026 (citit)</v>
      </c>
      <c r="V49" s="647"/>
      <c r="W49" s="647"/>
      <c r="X49" s="647" t="str">
        <f>VLOOKUP(A49,Regularizare!$D:$AX,37,FALSE)&amp;" ("&amp;VLOOKUP(A49,Regularizare!$D:$AX,26,FALSE)&amp;")"</f>
        <v>88187 (citit)</v>
      </c>
      <c r="Y49" s="647"/>
      <c r="Z49" s="647"/>
      <c r="AA49" s="647">
        <f>VLOOKUP(A49,Regularizare!$D:$AX,37,FALSE)</f>
        <v>88187</v>
      </c>
      <c r="AB49" s="647"/>
      <c r="AC49" s="647"/>
      <c r="AD49" s="647" t="s">
        <v>69</v>
      </c>
      <c r="AE49" s="647"/>
      <c r="AF49" s="647">
        <f>AA49</f>
        <v>88187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1372642632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166429 (citit)</v>
      </c>
      <c r="S52" s="647"/>
      <c r="T52" s="647"/>
      <c r="U52" s="647" t="str">
        <f>VLOOKUP(A52,Regularizare!$D:$AX,31,FALSE)&amp;" ("&amp;VLOOKUP(A52,Regularizare!$D:$AX,32,FALSE)&amp;")"</f>
        <v>168876 (citit)</v>
      </c>
      <c r="V52" s="647"/>
      <c r="W52" s="647"/>
      <c r="X52" s="647" t="str">
        <f>VLOOKUP(A52,Regularizare!$D:$AX,39,FALSE)&amp;" ("&amp;VLOOKUP(A52,Regularizare!$D:$AX,32,FALSE)&amp;")"</f>
        <v>2447 (citit)</v>
      </c>
      <c r="Y52" s="647"/>
      <c r="Z52" s="647"/>
      <c r="AA52" s="647">
        <f>VLOOKUP(A52,Regularizare!$D:$AX,44,FALSE)+VLOOKUP(A52,Regularizare!$D:$AX,45,FALSE)</f>
        <v>2447</v>
      </c>
      <c r="AB52" s="647"/>
      <c r="AC52" s="647"/>
      <c r="AD52" s="647" t="s">
        <v>69</v>
      </c>
      <c r="AE52" s="647"/>
      <c r="AF52" s="647">
        <f>AA52</f>
        <v>2447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1372642632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46151 (citit)</v>
      </c>
      <c r="S55" s="647"/>
      <c r="T55" s="647"/>
      <c r="U55" s="647" t="str">
        <f>VLOOKUP(A55,Regularizare!$D:$AX,35,FALSE)&amp;" ("&amp;VLOOKUP(A55,Regularizare!$D:$AX,36,FALSE)&amp;")"</f>
        <v>46153 (citit)</v>
      </c>
      <c r="V55" s="647"/>
      <c r="W55" s="647"/>
      <c r="X55" s="647" t="str">
        <f>VLOOKUP(A55,Regularizare!$D:$AX,40,FALSE)&amp;" ("&amp;VLOOKUP(A55,Regularizare!$D:$AX,36,FALSE)&amp;")"</f>
        <v>2 (citit)</v>
      </c>
      <c r="Y55" s="647"/>
      <c r="Z55" s="647"/>
      <c r="AA55" s="647">
        <f>VLOOKUP(A55,Regularizare!$D:$AX,46,FALSE)+VLOOKUP(A55,Regularizare!$D:$AX,47,FALSE)</f>
        <v>2</v>
      </c>
      <c r="AB55" s="647"/>
      <c r="AC55" s="647"/>
      <c r="AD55" s="647" t="s">
        <v>69</v>
      </c>
      <c r="AE55" s="647"/>
      <c r="AF55" s="647">
        <f>AA55</f>
        <v>2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1372642632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2066026 (citit)</v>
      </c>
      <c r="S58" s="647"/>
      <c r="T58" s="647"/>
      <c r="U58" s="647" t="str">
        <f>VLOOKUP(A58,'Incrementare indexe'!$D:$M,4,FALSE)&amp;" (estimat)"</f>
        <v>2138161 (estimat)</v>
      </c>
      <c r="V58" s="647"/>
      <c r="W58" s="647"/>
      <c r="X58" s="647" t="str">
        <f>VLOOKUP(A58,'Incrementare indexe'!$D:$Q,11,FALSE)&amp;" (estimat)"</f>
        <v>72135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72135</v>
      </c>
      <c r="AG58" s="647"/>
      <c r="AH58" s="647"/>
      <c r="AI58" s="647">
        <f>J60-J58+1</f>
        <v>31</v>
      </c>
      <c r="AJ58" s="647"/>
      <c r="AK58" s="647">
        <f>ROUND(AF58/AI58,2)</f>
        <v>2326.94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1372642632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168876 (citit)</v>
      </c>
      <c r="S61" s="647"/>
      <c r="T61" s="647"/>
      <c r="U61" s="647" t="str">
        <f>VLOOKUP(A61,'Incrementare indexe'!$D:$M,8,FALSE)&amp;" (estimat)"</f>
        <v>168876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1372642632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46153 (citit)</v>
      </c>
      <c r="S64" s="647"/>
      <c r="T64" s="647"/>
      <c r="U64" s="647" t="str">
        <f>VLOOKUP(A64,'Incrementare indexe'!$D:$M,10,FALSE)&amp;" (estimat)"</f>
        <v>46153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196"/>
      <c r="B67" s="196"/>
      <c r="C67" s="196"/>
      <c r="D67" s="196"/>
      <c r="E67" s="196"/>
      <c r="F67" s="196"/>
      <c r="G67" s="196"/>
      <c r="H67" s="196"/>
      <c r="I67" s="196"/>
      <c r="J67" s="197"/>
      <c r="K67" s="197"/>
      <c r="L67" s="197"/>
      <c r="M67" s="196"/>
      <c r="N67" s="196"/>
      <c r="O67" s="196"/>
      <c r="P67" s="196"/>
      <c r="Q67" s="196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721" t="s">
        <v>1196</v>
      </c>
      <c r="B70" s="722"/>
      <c r="C70" s="722"/>
      <c r="D70" s="722"/>
      <c r="E70" s="722"/>
      <c r="F70" s="722"/>
      <c r="G70" s="722"/>
      <c r="H70" s="722"/>
      <c r="I70" s="722"/>
      <c r="J70" s="722"/>
      <c r="K70" s="722"/>
      <c r="L70" s="722"/>
      <c r="M70" s="722"/>
      <c r="N70" s="722"/>
      <c r="O70" s="722"/>
      <c r="P70" s="722"/>
      <c r="Q70" s="722"/>
      <c r="R70" s="722"/>
      <c r="S70" s="722"/>
      <c r="T70" s="722"/>
      <c r="U70" s="722"/>
      <c r="V70" s="722"/>
      <c r="W70" s="722"/>
      <c r="X70" s="722"/>
      <c r="Y70" s="722"/>
      <c r="Z70" s="722"/>
      <c r="AA70" s="722"/>
      <c r="AB70" s="722"/>
      <c r="AC70" s="722"/>
      <c r="AD70" s="722"/>
      <c r="AE70" s="722"/>
      <c r="AF70" s="722"/>
      <c r="AG70" s="722"/>
      <c r="AH70" s="723"/>
      <c r="AI70" s="650" t="s">
        <v>695</v>
      </c>
      <c r="AJ70" s="650"/>
      <c r="AK70" s="650"/>
      <c r="AL70" s="650"/>
      <c r="AM70" s="650"/>
    </row>
    <row r="71" spans="1:39" ht="14.1" customHeight="1">
      <c r="A71" s="649" t="s">
        <v>746</v>
      </c>
      <c r="B71" s="649"/>
      <c r="C71" s="649"/>
      <c r="D71" s="649"/>
      <c r="E71" s="649"/>
      <c r="F71" s="649"/>
      <c r="G71" s="649"/>
      <c r="H71" s="649"/>
      <c r="I71" s="649"/>
      <c r="J71" s="649"/>
      <c r="K71" s="649"/>
      <c r="L71" s="649"/>
      <c r="M71" s="650" t="s">
        <v>514</v>
      </c>
      <c r="N71" s="650"/>
      <c r="O71" s="650"/>
      <c r="P71" s="650"/>
      <c r="Q71" s="650"/>
      <c r="R71" s="650"/>
      <c r="S71" s="650"/>
      <c r="T71" s="650"/>
      <c r="U71" s="650"/>
      <c r="V71" s="650"/>
      <c r="W71" s="650"/>
      <c r="X71" s="650"/>
      <c r="Y71" s="650"/>
      <c r="Z71" s="650"/>
      <c r="AA71" s="650"/>
      <c r="AB71" s="650"/>
      <c r="AC71" s="650"/>
      <c r="AD71" s="650"/>
      <c r="AE71" s="650"/>
      <c r="AF71" s="650"/>
      <c r="AG71" s="650"/>
      <c r="AH71" s="650"/>
      <c r="AI71" s="619" t="str">
        <f>_xlfn.CONCAT(AI35,"/PV")</f>
        <v>RSEV_1.1/PV</v>
      </c>
      <c r="AJ71" s="619"/>
      <c r="AK71" s="619"/>
      <c r="AL71" s="619"/>
      <c r="AM71" s="619"/>
    </row>
    <row r="72" spans="1:39" ht="14.1" customHeight="1">
      <c r="A72" s="649" t="s">
        <v>747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1087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19"/>
      <c r="AJ72" s="619"/>
      <c r="AK72" s="619"/>
      <c r="AL72" s="619"/>
      <c r="AM72" s="619"/>
    </row>
    <row r="73" spans="1:39" ht="14.1" customHeight="1">
      <c r="A73" s="648" t="s">
        <v>697</v>
      </c>
      <c r="B73" s="648"/>
      <c r="C73" s="648"/>
      <c r="D73" s="648"/>
      <c r="E73" s="648"/>
      <c r="F73" s="648"/>
      <c r="G73" s="647" t="s">
        <v>713</v>
      </c>
      <c r="H73" s="647"/>
      <c r="I73" s="647"/>
      <c r="J73" s="647" t="s">
        <v>714</v>
      </c>
      <c r="K73" s="647"/>
      <c r="L73" s="647"/>
      <c r="M73" s="648" t="s">
        <v>519</v>
      </c>
      <c r="N73" s="648"/>
      <c r="O73" s="648" t="s">
        <v>715</v>
      </c>
      <c r="P73" s="648"/>
      <c r="Q73" s="648"/>
      <c r="R73" s="647" t="s">
        <v>732</v>
      </c>
      <c r="S73" s="647"/>
      <c r="T73" s="647"/>
      <c r="U73" s="647" t="s">
        <v>734</v>
      </c>
      <c r="V73" s="647"/>
      <c r="W73" s="647"/>
      <c r="X73" s="647" t="s">
        <v>1085</v>
      </c>
      <c r="Y73" s="647"/>
      <c r="Z73" s="647"/>
      <c r="AA73" s="647" t="s">
        <v>1086</v>
      </c>
      <c r="AB73" s="647"/>
      <c r="AC73" s="647"/>
      <c r="AD73" s="647" t="s">
        <v>717</v>
      </c>
      <c r="AE73" s="647"/>
      <c r="AF73" s="647" t="s">
        <v>718</v>
      </c>
      <c r="AG73" s="647"/>
      <c r="AH73" s="647"/>
      <c r="AI73" s="647" t="s">
        <v>719</v>
      </c>
      <c r="AJ73" s="647"/>
      <c r="AK73" s="647" t="s">
        <v>733</v>
      </c>
      <c r="AL73" s="647"/>
      <c r="AM73" s="647"/>
    </row>
    <row r="74" spans="1:39" ht="14.1" customHeight="1">
      <c r="A74" s="648"/>
      <c r="B74" s="648"/>
      <c r="C74" s="648"/>
      <c r="D74" s="648"/>
      <c r="E74" s="648"/>
      <c r="F74" s="648"/>
      <c r="G74" s="647"/>
      <c r="H74" s="647"/>
      <c r="I74" s="647"/>
      <c r="J74" s="647"/>
      <c r="K74" s="647"/>
      <c r="L74" s="647"/>
      <c r="M74" s="648"/>
      <c r="N74" s="648"/>
      <c r="O74" s="648"/>
      <c r="P74" s="648"/>
      <c r="Q74" s="648"/>
      <c r="R74" s="647"/>
      <c r="S74" s="647"/>
      <c r="T74" s="647"/>
      <c r="U74" s="647"/>
      <c r="V74" s="647"/>
      <c r="W74" s="647"/>
      <c r="X74" s="647"/>
      <c r="Y74" s="647"/>
      <c r="Z74" s="647"/>
      <c r="AA74" s="647"/>
      <c r="AB74" s="647"/>
      <c r="AC74" s="647"/>
      <c r="AD74" s="647"/>
      <c r="AE74" s="647"/>
      <c r="AF74" s="647"/>
      <c r="AG74" s="647"/>
      <c r="AH74" s="647"/>
      <c r="AI74" s="647"/>
      <c r="AJ74" s="647"/>
      <c r="AK74" s="647"/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713"/>
      <c r="K75" s="713"/>
      <c r="L75" s="713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78">
        <f>VLOOKUP(AI71,'Incrementare indexe'!$B:$I,3,FALSE)</f>
        <v>1371623899</v>
      </c>
      <c r="B76" s="679"/>
      <c r="C76" s="679"/>
      <c r="D76" s="679"/>
      <c r="E76" s="679"/>
      <c r="F76" s="680"/>
      <c r="G76" s="647" t="s">
        <v>1088</v>
      </c>
      <c r="H76" s="647"/>
      <c r="I76" s="675"/>
      <c r="J76" s="655">
        <f>'Date masura OD'!$I$5</f>
        <v>45778</v>
      </c>
      <c r="K76" s="656"/>
      <c r="L76" s="657"/>
      <c r="M76" s="720" t="s">
        <v>446</v>
      </c>
      <c r="N76" s="648"/>
      <c r="O76" s="648">
        <f>VLOOKUP(AI71,'Incrementare indexe'!$B:$I,4,FALSE)</f>
        <v>1</v>
      </c>
      <c r="P76" s="648"/>
      <c r="Q76" s="648"/>
      <c r="R76" s="647" t="str">
        <f>VLOOKUP(AI71,'Incrementare indexe'!$B:$I,7,FALSE)&amp;" (citit)"</f>
        <v>881274 (citit)</v>
      </c>
      <c r="S76" s="647"/>
      <c r="T76" s="647"/>
      <c r="U76" s="647" t="str">
        <f>VLOOKUP(AI71,'Incrementare indexe'!$B:$I,8,FALSE)&amp;" (citit)"</f>
        <v>964337 (citit)</v>
      </c>
      <c r="V76" s="647"/>
      <c r="W76" s="647"/>
      <c r="X76" s="647" t="str">
        <f>(VLOOKUP(AI71,'Incrementare indexe'!$B:$I,8,FALSE)-VLOOKUP(AI71,'Incrementare indexe'!$B:$I,7,FALSE))&amp;" (citit)"</f>
        <v>83063 (citit)</v>
      </c>
      <c r="Y76" s="647"/>
      <c r="Z76" s="647"/>
      <c r="AA76" s="647" t="s">
        <v>69</v>
      </c>
      <c r="AB76" s="647"/>
      <c r="AC76" s="647"/>
      <c r="AD76" s="647" t="s">
        <v>69</v>
      </c>
      <c r="AE76" s="647"/>
      <c r="AF76" s="647">
        <f>(VLOOKUP(AI71,'Incrementare indexe'!$B:$I,8,FALSE)-VLOOKUP(AI71,'Incrementare indexe'!$B:$I,7,FALSE))</f>
        <v>83063</v>
      </c>
      <c r="AG76" s="647"/>
      <c r="AH76" s="647"/>
      <c r="AI76" s="647">
        <f>J78-J76+1</f>
        <v>31</v>
      </c>
      <c r="AJ76" s="647"/>
      <c r="AK76" s="647">
        <f>ROUND(AF76/AI76,2)</f>
        <v>2679.45</v>
      </c>
      <c r="AL76" s="647"/>
      <c r="AM76" s="647"/>
    </row>
    <row r="77" spans="1:39" ht="14.1" customHeight="1">
      <c r="A77" s="717"/>
      <c r="B77" s="718"/>
      <c r="C77" s="718"/>
      <c r="D77" s="718"/>
      <c r="E77" s="718"/>
      <c r="F77" s="719"/>
      <c r="G77" s="647"/>
      <c r="H77" s="647"/>
      <c r="I77" s="675"/>
      <c r="J77" s="717" t="s">
        <v>69</v>
      </c>
      <c r="K77" s="718"/>
      <c r="L77" s="719"/>
      <c r="M77" s="720"/>
      <c r="N77" s="648"/>
      <c r="O77" s="648"/>
      <c r="P77" s="648"/>
      <c r="Q77" s="648"/>
      <c r="R77" s="647"/>
      <c r="S77" s="647"/>
      <c r="T77" s="647"/>
      <c r="U77" s="647"/>
      <c r="V77" s="647"/>
      <c r="W77" s="647"/>
      <c r="X77" s="647"/>
      <c r="Y77" s="647"/>
      <c r="Z77" s="647"/>
      <c r="AA77" s="647"/>
      <c r="AB77" s="647"/>
      <c r="AC77" s="647"/>
      <c r="AD77" s="647"/>
      <c r="AE77" s="647"/>
      <c r="AF77" s="647"/>
      <c r="AG77" s="647"/>
      <c r="AH77" s="647"/>
      <c r="AI77" s="647"/>
      <c r="AJ77" s="647"/>
      <c r="AK77" s="647"/>
      <c r="AL77" s="647"/>
      <c r="AM77" s="647"/>
    </row>
    <row r="78" spans="1:39" ht="14.1" customHeight="1">
      <c r="A78" s="681"/>
      <c r="B78" s="682"/>
      <c r="C78" s="682"/>
      <c r="D78" s="682"/>
      <c r="E78" s="682"/>
      <c r="F78" s="683"/>
      <c r="G78" s="647"/>
      <c r="H78" s="647"/>
      <c r="I78" s="675"/>
      <c r="J78" s="714">
        <f>'Date masura OD'!$J$5</f>
        <v>45808</v>
      </c>
      <c r="K78" s="715"/>
      <c r="L78" s="716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78">
        <f>A76</f>
        <v>1371623899</v>
      </c>
      <c r="B79" s="679"/>
      <c r="C79" s="679"/>
      <c r="D79" s="679"/>
      <c r="E79" s="679"/>
      <c r="F79" s="680"/>
      <c r="G79" s="648" t="s">
        <v>696</v>
      </c>
      <c r="H79" s="648"/>
      <c r="I79" s="648"/>
      <c r="J79" s="655">
        <f t="shared" ref="J79:J84" si="3">J76</f>
        <v>45778</v>
      </c>
      <c r="K79" s="656"/>
      <c r="L79" s="657"/>
      <c r="M79" s="648" t="s">
        <v>720</v>
      </c>
      <c r="N79" s="648"/>
      <c r="O79" s="648">
        <f>O76</f>
        <v>1</v>
      </c>
      <c r="P79" s="648"/>
      <c r="Q79" s="648"/>
      <c r="R79" s="647" t="s">
        <v>1089</v>
      </c>
      <c r="S79" s="647"/>
      <c r="T79" s="647"/>
      <c r="U79" s="647" t="s">
        <v>1089</v>
      </c>
      <c r="V79" s="647"/>
      <c r="W79" s="647"/>
      <c r="X79" s="647" t="s">
        <v>1089</v>
      </c>
      <c r="Y79" s="647"/>
      <c r="Z79" s="647"/>
      <c r="AA79" s="647" t="s">
        <v>69</v>
      </c>
      <c r="AB79" s="647"/>
      <c r="AC79" s="647"/>
      <c r="AD79" s="647" t="s">
        <v>69</v>
      </c>
      <c r="AE79" s="647"/>
      <c r="AF79" s="647">
        <v>0</v>
      </c>
      <c r="AG79" s="647"/>
      <c r="AH79" s="647"/>
      <c r="AI79" s="647">
        <f>AI76</f>
        <v>31</v>
      </c>
      <c r="AJ79" s="647"/>
      <c r="AK79" s="647">
        <f>ROUND(AF79/AI79,2)</f>
        <v>0</v>
      </c>
      <c r="AL79" s="647"/>
      <c r="AM79" s="647"/>
    </row>
    <row r="80" spans="1:39" ht="14.1" customHeight="1">
      <c r="A80" s="717"/>
      <c r="B80" s="718"/>
      <c r="C80" s="718"/>
      <c r="D80" s="718"/>
      <c r="E80" s="718"/>
      <c r="F80" s="719"/>
      <c r="G80" s="648"/>
      <c r="H80" s="648"/>
      <c r="I80" s="648"/>
      <c r="J80" s="717" t="str">
        <f t="shared" si="3"/>
        <v>-</v>
      </c>
      <c r="K80" s="718"/>
      <c r="L80" s="719"/>
      <c r="M80" s="648"/>
      <c r="N80" s="648"/>
      <c r="O80" s="648"/>
      <c r="P80" s="648"/>
      <c r="Q80" s="648"/>
      <c r="R80" s="647"/>
      <c r="S80" s="647"/>
      <c r="T80" s="647"/>
      <c r="U80" s="647"/>
      <c r="V80" s="647"/>
      <c r="W80" s="647"/>
      <c r="X80" s="647"/>
      <c r="Y80" s="647"/>
      <c r="Z80" s="647"/>
      <c r="AA80" s="647"/>
      <c r="AB80" s="647"/>
      <c r="AC80" s="647"/>
      <c r="AD80" s="647"/>
      <c r="AE80" s="647"/>
      <c r="AF80" s="647"/>
      <c r="AG80" s="647"/>
      <c r="AH80" s="647"/>
      <c r="AI80" s="647"/>
      <c r="AJ80" s="647"/>
      <c r="AK80" s="647"/>
      <c r="AL80" s="647"/>
      <c r="AM80" s="647"/>
    </row>
    <row r="81" spans="1:39" ht="14.1" customHeight="1">
      <c r="A81" s="681"/>
      <c r="B81" s="682"/>
      <c r="C81" s="682"/>
      <c r="D81" s="682"/>
      <c r="E81" s="682"/>
      <c r="F81" s="683"/>
      <c r="G81" s="648"/>
      <c r="H81" s="648"/>
      <c r="I81" s="648"/>
      <c r="J81" s="714">
        <f t="shared" si="3"/>
        <v>45808</v>
      </c>
      <c r="K81" s="715"/>
      <c r="L81" s="716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78">
        <f>A79</f>
        <v>1371623899</v>
      </c>
      <c r="B82" s="679"/>
      <c r="C82" s="679"/>
      <c r="D82" s="679"/>
      <c r="E82" s="679"/>
      <c r="F82" s="680"/>
      <c r="G82" s="648" t="s">
        <v>731</v>
      </c>
      <c r="H82" s="648"/>
      <c r="I82" s="648"/>
      <c r="J82" s="655">
        <f t="shared" si="3"/>
        <v>45778</v>
      </c>
      <c r="K82" s="656"/>
      <c r="L82" s="657"/>
      <c r="M82" s="648" t="s">
        <v>720</v>
      </c>
      <c r="N82" s="648"/>
      <c r="O82" s="648">
        <f>O79</f>
        <v>1</v>
      </c>
      <c r="P82" s="648"/>
      <c r="Q82" s="648"/>
      <c r="R82" s="647" t="s">
        <v>1089</v>
      </c>
      <c r="S82" s="647"/>
      <c r="T82" s="647"/>
      <c r="U82" s="647" t="s">
        <v>1089</v>
      </c>
      <c r="V82" s="647"/>
      <c r="W82" s="647"/>
      <c r="X82" s="647" t="s">
        <v>1089</v>
      </c>
      <c r="Y82" s="647"/>
      <c r="Z82" s="647"/>
      <c r="AA82" s="647" t="s">
        <v>69</v>
      </c>
      <c r="AB82" s="647"/>
      <c r="AC82" s="647"/>
      <c r="AD82" s="647" t="s">
        <v>69</v>
      </c>
      <c r="AE82" s="647"/>
      <c r="AF82" s="647">
        <v>0</v>
      </c>
      <c r="AG82" s="647"/>
      <c r="AH82" s="647"/>
      <c r="AI82" s="647">
        <f>AI79</f>
        <v>31</v>
      </c>
      <c r="AJ82" s="647"/>
      <c r="AK82" s="647">
        <f>ROUND(AF82/AI82,2)</f>
        <v>0</v>
      </c>
      <c r="AL82" s="647"/>
      <c r="AM82" s="647"/>
    </row>
    <row r="83" spans="1:39" ht="14.1" customHeight="1">
      <c r="A83" s="717"/>
      <c r="B83" s="718"/>
      <c r="C83" s="718"/>
      <c r="D83" s="718"/>
      <c r="E83" s="718"/>
      <c r="F83" s="719"/>
      <c r="G83" s="648"/>
      <c r="H83" s="648"/>
      <c r="I83" s="648"/>
      <c r="J83" s="717" t="str">
        <f t="shared" si="3"/>
        <v>-</v>
      </c>
      <c r="K83" s="718"/>
      <c r="L83" s="719"/>
      <c r="M83" s="648"/>
      <c r="N83" s="648"/>
      <c r="O83" s="648"/>
      <c r="P83" s="648"/>
      <c r="Q83" s="648"/>
      <c r="R83" s="647"/>
      <c r="S83" s="647"/>
      <c r="T83" s="647"/>
      <c r="U83" s="647"/>
      <c r="V83" s="647"/>
      <c r="W83" s="647"/>
      <c r="X83" s="647"/>
      <c r="Y83" s="647"/>
      <c r="Z83" s="647"/>
      <c r="AA83" s="647"/>
      <c r="AB83" s="647"/>
      <c r="AC83" s="647"/>
      <c r="AD83" s="647"/>
      <c r="AE83" s="647"/>
      <c r="AF83" s="647"/>
      <c r="AG83" s="647"/>
      <c r="AH83" s="647"/>
      <c r="AI83" s="647"/>
      <c r="AJ83" s="647"/>
      <c r="AK83" s="647"/>
      <c r="AL83" s="647"/>
      <c r="AM83" s="647"/>
    </row>
    <row r="84" spans="1:39" ht="14.1" customHeight="1">
      <c r="A84" s="681"/>
      <c r="B84" s="682"/>
      <c r="C84" s="682"/>
      <c r="D84" s="682"/>
      <c r="E84" s="682"/>
      <c r="F84" s="683"/>
      <c r="G84" s="648"/>
      <c r="H84" s="648"/>
      <c r="I84" s="648"/>
      <c r="J84" s="714">
        <f t="shared" si="3"/>
        <v>45808</v>
      </c>
      <c r="K84" s="715"/>
      <c r="L84" s="716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54"/>
      <c r="B85" s="54"/>
      <c r="C85" s="54"/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</row>
    <row r="86" spans="1:39" ht="14.1" customHeight="1"/>
    <row r="87" spans="1:39" ht="14.1" customHeight="1"/>
    <row r="88" spans="1:39" ht="14.1" customHeight="1"/>
    <row r="89" spans="1:39" ht="14.1" customHeight="1">
      <c r="A89" s="695" t="s">
        <v>858</v>
      </c>
      <c r="B89" s="695"/>
      <c r="C89" s="695"/>
      <c r="D89" s="695"/>
      <c r="E89" s="695"/>
      <c r="F89" s="695"/>
      <c r="G89" s="695"/>
      <c r="H89" s="695" t="str">
        <f>VLOOKUP($AA$15,'Date SPV'!$B:$H,4,FALSE)</f>
        <v>Bulevardul Mihai Viteazu, nr. 78, Drobeta-Turnu Severin, jud. Mehedinti</v>
      </c>
      <c r="I89" s="695"/>
      <c r="J89" s="695"/>
      <c r="K89" s="695"/>
      <c r="L89" s="695"/>
      <c r="M89" s="695"/>
      <c r="N89" s="695"/>
      <c r="O89" s="695"/>
      <c r="P89" s="695"/>
      <c r="Q89" s="695"/>
      <c r="R89" s="695"/>
      <c r="S89" s="695"/>
      <c r="T89" s="695"/>
      <c r="U89" s="695"/>
      <c r="V89" s="695"/>
      <c r="W89" s="695"/>
      <c r="X89" s="695"/>
      <c r="Y89" s="695"/>
      <c r="Z89" s="695"/>
      <c r="AA89" s="695"/>
      <c r="AB89" s="695"/>
      <c r="AC89" s="695"/>
      <c r="AD89" s="695"/>
      <c r="AE89" s="695"/>
      <c r="AF89" s="695"/>
      <c r="AG89" s="695"/>
      <c r="AH89" s="695"/>
      <c r="AI89" s="695"/>
      <c r="AJ89" s="695"/>
      <c r="AK89" s="695"/>
      <c r="AL89" s="695"/>
      <c r="AM89" s="695"/>
    </row>
    <row r="90" spans="1:39" ht="14.1" customHeight="1">
      <c r="A90" s="695"/>
      <c r="B90" s="695"/>
      <c r="C90" s="695"/>
      <c r="D90" s="695"/>
      <c r="E90" s="695"/>
      <c r="F90" s="695"/>
      <c r="G90" s="695"/>
      <c r="H90" s="695"/>
      <c r="I90" s="695"/>
      <c r="J90" s="695"/>
      <c r="K90" s="695"/>
      <c r="L90" s="695"/>
      <c r="M90" s="695"/>
      <c r="N90" s="695"/>
      <c r="O90" s="695"/>
      <c r="P90" s="695"/>
      <c r="Q90" s="695"/>
      <c r="R90" s="695"/>
      <c r="S90" s="695"/>
      <c r="T90" s="695"/>
      <c r="U90" s="695"/>
      <c r="V90" s="695"/>
      <c r="W90" s="695"/>
      <c r="X90" s="695"/>
      <c r="Y90" s="695"/>
      <c r="Z90" s="695"/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</row>
    <row r="91" spans="1:39" ht="14.1" customHeight="1">
      <c r="A91" s="695" t="s">
        <v>859</v>
      </c>
      <c r="B91" s="695"/>
      <c r="C91" s="695"/>
      <c r="D91" s="695"/>
      <c r="E91" s="695"/>
      <c r="F91" s="695"/>
      <c r="G91" s="695"/>
      <c r="H91" s="712">
        <f>VLOOKUP(AA91,'Date masura OD'!$G:$BE,51,FALSE)</f>
        <v>5000372614</v>
      </c>
      <c r="I91" s="712"/>
      <c r="J91" s="712"/>
      <c r="K91" s="712"/>
      <c r="L91" s="712"/>
      <c r="M91" s="712"/>
      <c r="N91" s="712"/>
      <c r="O91" s="712"/>
      <c r="P91" s="712"/>
      <c r="Q91" s="712"/>
      <c r="R91" s="712"/>
      <c r="S91" s="712"/>
      <c r="T91" s="712"/>
      <c r="U91" s="712"/>
      <c r="V91" s="712"/>
      <c r="W91" s="712" t="s">
        <v>860</v>
      </c>
      <c r="X91" s="712"/>
      <c r="Y91" s="712"/>
      <c r="Z91" s="712"/>
      <c r="AA91" s="640" t="str">
        <f>_xlfn.CONCAT($AA$15,"_",2)</f>
        <v>RSEV_2</v>
      </c>
      <c r="AB91" s="640"/>
      <c r="AC91" s="640"/>
      <c r="AD91" s="640"/>
      <c r="AE91" s="640"/>
      <c r="AF91" s="640"/>
      <c r="AG91" s="640"/>
      <c r="AH91" s="640"/>
      <c r="AI91" s="640"/>
      <c r="AJ91" s="640"/>
      <c r="AK91" s="640"/>
      <c r="AL91" s="640"/>
      <c r="AM91" s="640"/>
    </row>
    <row r="92" spans="1:39" ht="14.1" customHeight="1">
      <c r="A92" s="695"/>
      <c r="B92" s="695"/>
      <c r="C92" s="695"/>
      <c r="D92" s="695"/>
      <c r="E92" s="695"/>
      <c r="F92" s="695"/>
      <c r="G92" s="695"/>
      <c r="H92" s="712"/>
      <c r="I92" s="712"/>
      <c r="J92" s="712"/>
      <c r="K92" s="712"/>
      <c r="L92" s="712"/>
      <c r="M92" s="712"/>
      <c r="N92" s="712"/>
      <c r="O92" s="712"/>
      <c r="P92" s="712"/>
      <c r="Q92" s="712"/>
      <c r="R92" s="712"/>
      <c r="S92" s="712"/>
      <c r="T92" s="712"/>
      <c r="U92" s="712"/>
      <c r="V92" s="712"/>
      <c r="W92" s="712"/>
      <c r="X92" s="712"/>
      <c r="Y92" s="712"/>
      <c r="Z92" s="712"/>
      <c r="AA92" s="640"/>
      <c r="AB92" s="640"/>
      <c r="AC92" s="640"/>
      <c r="AD92" s="640"/>
      <c r="AE92" s="640"/>
      <c r="AF92" s="640"/>
      <c r="AG92" s="640"/>
      <c r="AH92" s="640"/>
      <c r="AI92" s="640"/>
      <c r="AJ92" s="640"/>
      <c r="AK92" s="640"/>
      <c r="AL92" s="640"/>
      <c r="AM92" s="640"/>
    </row>
    <row r="94" spans="1:39">
      <c r="A94" s="649" t="s">
        <v>748</v>
      </c>
      <c r="B94" s="649"/>
      <c r="C94" s="649"/>
      <c r="D94" s="649"/>
      <c r="E94" s="649"/>
      <c r="F94" s="649"/>
      <c r="G94" s="649"/>
      <c r="H94" s="649"/>
      <c r="I94" s="649"/>
      <c r="J94" s="649"/>
      <c r="K94" s="649"/>
      <c r="L94" s="649"/>
      <c r="M94" s="650" t="str">
        <f>VLOOKUP(AI95,'Contorizare in SDI'!$E:$I,4,FALSE)</f>
        <v>59401040000153661371602579/1</v>
      </c>
      <c r="N94" s="650"/>
      <c r="O94" s="650"/>
      <c r="P94" s="650"/>
      <c r="Q94" s="650"/>
      <c r="R94" s="650"/>
      <c r="S94" s="650"/>
      <c r="T94" s="650"/>
      <c r="U94" s="650"/>
      <c r="V94" s="650"/>
      <c r="W94" s="650"/>
      <c r="X94" s="650"/>
      <c r="Y94" s="650"/>
      <c r="Z94" s="650"/>
      <c r="AA94" s="650"/>
      <c r="AB94" s="650"/>
      <c r="AC94" s="650"/>
      <c r="AD94" s="650"/>
      <c r="AE94" s="650"/>
      <c r="AF94" s="650"/>
      <c r="AG94" s="650"/>
      <c r="AH94" s="650"/>
      <c r="AI94" s="650" t="s">
        <v>695</v>
      </c>
      <c r="AJ94" s="650"/>
      <c r="AK94" s="650"/>
      <c r="AL94" s="650"/>
      <c r="AM94" s="650"/>
    </row>
    <row r="95" spans="1:39">
      <c r="A95" s="649" t="s">
        <v>746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50" t="str">
        <f>VLOOKUP(AI95,'Inchidere contur'!$G:$U,15,FALSE)</f>
        <v>JT_SDI</v>
      </c>
      <c r="N95" s="650"/>
      <c r="O95" s="650"/>
      <c r="P95" s="650"/>
      <c r="Q95" s="650"/>
      <c r="R95" s="650"/>
      <c r="S95" s="650"/>
      <c r="T95" s="650"/>
      <c r="U95" s="650"/>
      <c r="V95" s="650"/>
      <c r="W95" s="650"/>
      <c r="X95" s="650"/>
      <c r="Y95" s="650"/>
      <c r="Z95" s="650"/>
      <c r="AA95" s="650"/>
      <c r="AB95" s="650"/>
      <c r="AC95" s="650"/>
      <c r="AD95" s="650"/>
      <c r="AE95" s="650"/>
      <c r="AF95" s="650"/>
      <c r="AG95" s="650"/>
      <c r="AH95" s="650"/>
      <c r="AI95" s="619" t="str">
        <f>_xlfn.CONCAT(AA91,".",1)</f>
        <v>RSEV_2.1</v>
      </c>
      <c r="AJ95" s="619"/>
      <c r="AK95" s="619"/>
      <c r="AL95" s="619"/>
      <c r="AM95" s="619"/>
    </row>
    <row r="96" spans="1:39">
      <c r="A96" s="649" t="s">
        <v>747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50" t="str">
        <f>IF(LEFT(M95,2)="JT","0.4kV",IF(LEFT(M95,2)="MT","20kV","-"))</f>
        <v>0.4kV</v>
      </c>
      <c r="N96" s="650"/>
      <c r="O96" s="650"/>
      <c r="P96" s="650"/>
      <c r="Q96" s="650"/>
      <c r="R96" s="650"/>
      <c r="S96" s="650"/>
      <c r="T96" s="650"/>
      <c r="U96" s="650"/>
      <c r="V96" s="650"/>
      <c r="W96" s="650"/>
      <c r="X96" s="650"/>
      <c r="Y96" s="650"/>
      <c r="Z96" s="650"/>
      <c r="AA96" s="650"/>
      <c r="AB96" s="650"/>
      <c r="AC96" s="650"/>
      <c r="AD96" s="650"/>
      <c r="AE96" s="650"/>
      <c r="AF96" s="650"/>
      <c r="AG96" s="650"/>
      <c r="AH96" s="650"/>
      <c r="AI96" s="619"/>
      <c r="AJ96" s="619"/>
      <c r="AK96" s="619"/>
      <c r="AL96" s="619"/>
      <c r="AM96" s="619"/>
    </row>
    <row r="97" spans="1:39" ht="15.95" customHeight="1">
      <c r="A97" s="648" t="s">
        <v>697</v>
      </c>
      <c r="B97" s="648"/>
      <c r="C97" s="648"/>
      <c r="D97" s="648"/>
      <c r="E97" s="648"/>
      <c r="F97" s="648"/>
      <c r="G97" s="647" t="s">
        <v>713</v>
      </c>
      <c r="H97" s="647"/>
      <c r="I97" s="647"/>
      <c r="J97" s="647" t="s">
        <v>714</v>
      </c>
      <c r="K97" s="647"/>
      <c r="L97" s="647"/>
      <c r="M97" s="648" t="s">
        <v>519</v>
      </c>
      <c r="N97" s="648"/>
      <c r="O97" s="648" t="s">
        <v>715</v>
      </c>
      <c r="P97" s="648"/>
      <c r="Q97" s="648"/>
      <c r="R97" s="647" t="s">
        <v>732</v>
      </c>
      <c r="S97" s="647"/>
      <c r="T97" s="647"/>
      <c r="U97" s="647" t="s">
        <v>734</v>
      </c>
      <c r="V97" s="647"/>
      <c r="W97" s="647"/>
      <c r="X97" s="647" t="s">
        <v>1085</v>
      </c>
      <c r="Y97" s="647"/>
      <c r="Z97" s="647"/>
      <c r="AA97" s="647" t="s">
        <v>1086</v>
      </c>
      <c r="AB97" s="647"/>
      <c r="AC97" s="647"/>
      <c r="AD97" s="647" t="s">
        <v>717</v>
      </c>
      <c r="AE97" s="647"/>
      <c r="AF97" s="647" t="s">
        <v>718</v>
      </c>
      <c r="AG97" s="647"/>
      <c r="AH97" s="647"/>
      <c r="AI97" s="647" t="s">
        <v>719</v>
      </c>
      <c r="AJ97" s="647"/>
      <c r="AK97" s="647" t="s">
        <v>733</v>
      </c>
      <c r="AL97" s="647"/>
      <c r="AM97" s="647"/>
    </row>
    <row r="98" spans="1:39">
      <c r="A98" s="648"/>
      <c r="B98" s="648"/>
      <c r="C98" s="648"/>
      <c r="D98" s="648"/>
      <c r="E98" s="648"/>
      <c r="F98" s="648"/>
      <c r="G98" s="647"/>
      <c r="H98" s="647"/>
      <c r="I98" s="647"/>
      <c r="J98" s="647"/>
      <c r="K98" s="647"/>
      <c r="L98" s="647"/>
      <c r="M98" s="648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>
      <c r="A99" s="648"/>
      <c r="B99" s="648"/>
      <c r="C99" s="648"/>
      <c r="D99" s="648"/>
      <c r="E99" s="648"/>
      <c r="F99" s="648"/>
      <c r="G99" s="647"/>
      <c r="H99" s="647"/>
      <c r="I99" s="647"/>
      <c r="J99" s="713"/>
      <c r="K99" s="713"/>
      <c r="L99" s="713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4">
        <f>VLOOKUP(AI95,'Contorizare in SDI'!$E:$I,5,FALSE)</f>
        <v>1372641256</v>
      </c>
      <c r="B100" s="685"/>
      <c r="C100" s="685"/>
      <c r="D100" s="685"/>
      <c r="E100" s="685"/>
      <c r="F100" s="686"/>
      <c r="G100" s="648" t="s">
        <v>730</v>
      </c>
      <c r="H100" s="648"/>
      <c r="I100" s="673"/>
      <c r="J100" s="655">
        <f>'Date masura OD'!$AK$5</f>
        <v>45748</v>
      </c>
      <c r="K100" s="656"/>
      <c r="L100" s="657"/>
      <c r="M100" s="720" t="s">
        <v>446</v>
      </c>
      <c r="N100" s="648"/>
      <c r="O100" s="648">
        <f>VLOOKUP(AI95,'Incrementare indexe'!$B:$T,4,FALSE)</f>
        <v>1</v>
      </c>
      <c r="P100" s="648"/>
      <c r="Q100" s="648"/>
      <c r="R100" s="647" t="str">
        <f>VLOOKUP(A100,Regularizare!$D:$YN,3,FALSE)&amp;" ("&amp;VLOOKUP(A100,Regularizare!$D:$Y,11,FALSE)&amp;")"</f>
        <v>2314911 (citit)</v>
      </c>
      <c r="S100" s="647"/>
      <c r="T100" s="647"/>
      <c r="U100" s="647" t="str">
        <f>VLOOKUP(A100,Regularizare!$D:$U,4,FALSE)&amp;" ("&amp;VLOOKUP(A100,Regularizare!$D:$U,12,FALSE)&amp;")"</f>
        <v>2417385 (estimat)</v>
      </c>
      <c r="V100" s="647"/>
      <c r="W100" s="647"/>
      <c r="X100" s="647" t="str">
        <f>VLOOKUP(A100,Regularizare!$D:$Y,19,FALSE)&amp;" ("&amp;VLOOKUP(A100,Regularizare!$D:$U,12,FALSE)&amp;")"</f>
        <v>102474 (estimat)</v>
      </c>
      <c r="Y100" s="647"/>
      <c r="Z100" s="647"/>
      <c r="AA100" s="647">
        <f>(-1)*VLOOKUP(A100,Regularizare!$D:$Y,19,FALSE)</f>
        <v>-102474</v>
      </c>
      <c r="AB100" s="647"/>
      <c r="AC100" s="647"/>
      <c r="AD100" s="647" t="s">
        <v>69</v>
      </c>
      <c r="AE100" s="647"/>
      <c r="AF100" s="647">
        <f>AA100</f>
        <v>-102474</v>
      </c>
      <c r="AG100" s="647"/>
      <c r="AH100" s="647"/>
      <c r="AI100" s="647" t="s">
        <v>69</v>
      </c>
      <c r="AJ100" s="647"/>
      <c r="AK100" s="647" t="s">
        <v>69</v>
      </c>
      <c r="AL100" s="647"/>
      <c r="AM100" s="647"/>
    </row>
    <row r="101" spans="1:39" ht="9.75" customHeight="1">
      <c r="A101" s="727"/>
      <c r="B101" s="729"/>
      <c r="C101" s="729"/>
      <c r="D101" s="729"/>
      <c r="E101" s="729"/>
      <c r="F101" s="728"/>
      <c r="G101" s="648"/>
      <c r="H101" s="648"/>
      <c r="I101" s="673"/>
      <c r="J101" s="717" t="s">
        <v>69</v>
      </c>
      <c r="K101" s="718"/>
      <c r="L101" s="719"/>
      <c r="M101" s="720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87"/>
      <c r="B102" s="688"/>
      <c r="C102" s="688"/>
      <c r="D102" s="688"/>
      <c r="E102" s="688"/>
      <c r="F102" s="689"/>
      <c r="G102" s="648"/>
      <c r="H102" s="648"/>
      <c r="I102" s="673"/>
      <c r="J102" s="714">
        <f>'Date masura OD'!$AL$5</f>
        <v>45777</v>
      </c>
      <c r="K102" s="715"/>
      <c r="L102" s="716"/>
      <c r="M102" s="720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4">
        <f>A100</f>
        <v>1372641256</v>
      </c>
      <c r="B103" s="685"/>
      <c r="C103" s="685"/>
      <c r="D103" s="685"/>
      <c r="E103" s="685"/>
      <c r="F103" s="686"/>
      <c r="G103" s="648" t="s">
        <v>696</v>
      </c>
      <c r="H103" s="648"/>
      <c r="I103" s="648"/>
      <c r="J103" s="655">
        <f t="shared" ref="J103:J108" si="4">J100</f>
        <v>45748</v>
      </c>
      <c r="K103" s="656"/>
      <c r="L103" s="657"/>
      <c r="M103" s="648" t="s">
        <v>720</v>
      </c>
      <c r="N103" s="648"/>
      <c r="O103" s="648">
        <f>O100</f>
        <v>1</v>
      </c>
      <c r="P103" s="648"/>
      <c r="Q103" s="648"/>
      <c r="R103" s="647" t="str">
        <f>VLOOKUP(A103,Regularizare!$D:$U,7,FALSE)&amp;" ("&amp;VLOOKUP(A103,Regularizare!$D:$U,15,FALSE)&amp;")"</f>
        <v>79223 (citit)</v>
      </c>
      <c r="S103" s="647"/>
      <c r="T103" s="647"/>
      <c r="U103" s="647" t="str">
        <f>VLOOKUP(A103,Regularizare!$D:$U,8,FALSE)&amp;" ("&amp;VLOOKUP(A103,Regularizare!$D:$U,16,FALSE)&amp;")"</f>
        <v>79223 (estimat)</v>
      </c>
      <c r="V103" s="647"/>
      <c r="W103" s="647"/>
      <c r="X103" s="647" t="str">
        <f>_xlfn.CONCAT(VLOOKUP(A103,Regularizare!$D:$U,8,FALSE)-VLOOKUP(A103,Regularizare!$D:$U,7,FALSE)," (",VLOOKUP(A103,Regularizare!$D:$U,16,FALSE),")")</f>
        <v>0 (estimat)</v>
      </c>
      <c r="Y103" s="647"/>
      <c r="Z103" s="647"/>
      <c r="AA103" s="647">
        <f>IF(VLOOKUP(A103,Regularizare!$D:$Y,21,FALSE)=0,VLOOKUP(A103,Regularizare!$D:$Y,21,FALSE),(-1)*VLOOKUP(A103,Regularizare!$D:$Y,21,FALSE))</f>
        <v>0</v>
      </c>
      <c r="AB103" s="647"/>
      <c r="AC103" s="647"/>
      <c r="AD103" s="647" t="s">
        <v>69</v>
      </c>
      <c r="AE103" s="647"/>
      <c r="AF103" s="647">
        <f>AA103</f>
        <v>0</v>
      </c>
      <c r="AG103" s="647"/>
      <c r="AH103" s="647"/>
      <c r="AI103" s="647" t="str">
        <f>AI100</f>
        <v>-</v>
      </c>
      <c r="AJ103" s="647"/>
      <c r="AK103" s="647" t="str">
        <f>AK100</f>
        <v>-</v>
      </c>
      <c r="AL103" s="647"/>
      <c r="AM103" s="647"/>
    </row>
    <row r="104" spans="1:39" ht="8.4499999999999993" customHeight="1">
      <c r="A104" s="727"/>
      <c r="B104" s="729"/>
      <c r="C104" s="729"/>
      <c r="D104" s="729"/>
      <c r="E104" s="729"/>
      <c r="F104" s="728"/>
      <c r="G104" s="648"/>
      <c r="H104" s="648"/>
      <c r="I104" s="648"/>
      <c r="J104" s="717" t="str">
        <f t="shared" si="4"/>
        <v>-</v>
      </c>
      <c r="K104" s="718"/>
      <c r="L104" s="719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7"/>
      <c r="B105" s="688"/>
      <c r="C105" s="688"/>
      <c r="D105" s="688"/>
      <c r="E105" s="688"/>
      <c r="F105" s="689"/>
      <c r="G105" s="648"/>
      <c r="H105" s="648"/>
      <c r="I105" s="648"/>
      <c r="J105" s="714">
        <f t="shared" si="4"/>
        <v>45777</v>
      </c>
      <c r="K105" s="715"/>
      <c r="L105" s="716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4">
        <f>A103</f>
        <v>1372641256</v>
      </c>
      <c r="B106" s="685"/>
      <c r="C106" s="685"/>
      <c r="D106" s="685"/>
      <c r="E106" s="685"/>
      <c r="F106" s="686"/>
      <c r="G106" s="648" t="s">
        <v>731</v>
      </c>
      <c r="H106" s="648"/>
      <c r="I106" s="648"/>
      <c r="J106" s="655">
        <f t="shared" si="4"/>
        <v>45748</v>
      </c>
      <c r="K106" s="656"/>
      <c r="L106" s="657"/>
      <c r="M106" s="648" t="s">
        <v>720</v>
      </c>
      <c r="N106" s="648"/>
      <c r="O106" s="648">
        <f>O103</f>
        <v>1</v>
      </c>
      <c r="P106" s="648"/>
      <c r="Q106" s="648"/>
      <c r="R106" s="647" t="str">
        <f>VLOOKUP(A106,Regularizare!$D:$U,9,FALSE)&amp;" ("&amp;VLOOKUP(A106,Regularizare!$D:$U,17,FALSE)&amp;")"</f>
        <v>39592 (citit)</v>
      </c>
      <c r="S106" s="647"/>
      <c r="T106" s="647"/>
      <c r="U106" s="647" t="str">
        <f>VLOOKUP(A106,Regularizare!$D:$U,10,FALSE)&amp;" ("&amp;VLOOKUP(A106,Regularizare!$D:$U,18,FALSE)&amp;")"</f>
        <v>39592 (estimat)</v>
      </c>
      <c r="V106" s="647"/>
      <c r="W106" s="647"/>
      <c r="X106" s="647" t="str">
        <f>_xlfn.CONCAT(VLOOKUP(A106,Regularizare!$D:$U,10,FALSE)-VLOOKUP(A106,Regularizare!$D:$U,9,FALSE)," (",VLOOKUP(A106,Regularizare!$D:$U,18,FALSE),")")</f>
        <v>0 (estimat)</v>
      </c>
      <c r="Y106" s="647"/>
      <c r="Z106" s="647"/>
      <c r="AA106" s="647">
        <f>IF(VLOOKUP(A106,Regularizare!$D:$Y,22,FALSE)=0,VLOOKUP(A106,Regularizare!$D:$Y,22,FALSE),(-1)*VLOOKUP(A106,Regularizare!$D:$Y,22,FALSE))</f>
        <v>0</v>
      </c>
      <c r="AB106" s="647"/>
      <c r="AC106" s="647"/>
      <c r="AD106" s="647" t="s">
        <v>69</v>
      </c>
      <c r="AE106" s="647"/>
      <c r="AF106" s="647">
        <f>AA106</f>
        <v>0</v>
      </c>
      <c r="AG106" s="647"/>
      <c r="AH106" s="647"/>
      <c r="AI106" s="647" t="str">
        <f>AI103</f>
        <v>-</v>
      </c>
      <c r="AJ106" s="647"/>
      <c r="AK106" s="647" t="str">
        <f>AK103</f>
        <v>-</v>
      </c>
      <c r="AL106" s="647"/>
      <c r="AM106" s="647"/>
    </row>
    <row r="107" spans="1:39" ht="8.4499999999999993" customHeight="1">
      <c r="A107" s="727"/>
      <c r="B107" s="729"/>
      <c r="C107" s="729"/>
      <c r="D107" s="729"/>
      <c r="E107" s="729"/>
      <c r="F107" s="728"/>
      <c r="G107" s="648"/>
      <c r="H107" s="648"/>
      <c r="I107" s="648"/>
      <c r="J107" s="717" t="str">
        <f t="shared" si="4"/>
        <v>-</v>
      </c>
      <c r="K107" s="718"/>
      <c r="L107" s="719"/>
      <c r="M107" s="648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7"/>
      <c r="B108" s="688"/>
      <c r="C108" s="688"/>
      <c r="D108" s="688"/>
      <c r="E108" s="688"/>
      <c r="F108" s="689"/>
      <c r="G108" s="648"/>
      <c r="H108" s="648"/>
      <c r="I108" s="648"/>
      <c r="J108" s="714">
        <f t="shared" si="4"/>
        <v>45777</v>
      </c>
      <c r="K108" s="715"/>
      <c r="L108" s="716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4">
        <f>A106</f>
        <v>1372641256</v>
      </c>
      <c r="B109" s="685"/>
      <c r="C109" s="685"/>
      <c r="D109" s="685"/>
      <c r="E109" s="685"/>
      <c r="F109" s="686"/>
      <c r="G109" s="648" t="s">
        <v>730</v>
      </c>
      <c r="H109" s="648"/>
      <c r="I109" s="673"/>
      <c r="J109" s="655">
        <f>'Date masura OD'!$AK$5</f>
        <v>45748</v>
      </c>
      <c r="K109" s="656"/>
      <c r="L109" s="657"/>
      <c r="M109" s="720" t="s">
        <v>446</v>
      </c>
      <c r="N109" s="648"/>
      <c r="O109" s="648">
        <f>O106</f>
        <v>1</v>
      </c>
      <c r="P109" s="648"/>
      <c r="Q109" s="648"/>
      <c r="R109" s="647" t="str">
        <f>VLOOKUP(A109,Regularizare!$D:$AX,23,FALSE)&amp;" ("&amp;VLOOKUP(A109,Regularizare!$D:$AX,24,FALSE)&amp;")"</f>
        <v>2314911 (citit)</v>
      </c>
      <c r="S109" s="647"/>
      <c r="T109" s="647"/>
      <c r="U109" s="647" t="str">
        <f>VLOOKUP(A109,Regularizare!$D:$AX,25,FALSE)&amp;" ("&amp;VLOOKUP(A109,Regularizare!$D:$AX,26,FALSE)&amp;")"</f>
        <v>2417385 (citit)</v>
      </c>
      <c r="V109" s="647"/>
      <c r="W109" s="647"/>
      <c r="X109" s="647" t="str">
        <f>VLOOKUP(A109,Regularizare!$D:$AX,37,FALSE)&amp;" ("&amp;VLOOKUP(A109,Regularizare!$D:$AX,26,FALSE)&amp;")"</f>
        <v>102474 (citit)</v>
      </c>
      <c r="Y109" s="647"/>
      <c r="Z109" s="647"/>
      <c r="AA109" s="647">
        <f>VLOOKUP(A109,Regularizare!$D:$AX,37,FALSE)</f>
        <v>102474</v>
      </c>
      <c r="AB109" s="647"/>
      <c r="AC109" s="647"/>
      <c r="AD109" s="647" t="s">
        <v>69</v>
      </c>
      <c r="AE109" s="647"/>
      <c r="AF109" s="647">
        <f>AA109</f>
        <v>102474</v>
      </c>
      <c r="AG109" s="647"/>
      <c r="AH109" s="647"/>
      <c r="AI109" s="647" t="str">
        <f>AI106</f>
        <v>-</v>
      </c>
      <c r="AJ109" s="647"/>
      <c r="AK109" s="647" t="str">
        <f>AK106</f>
        <v>-</v>
      </c>
      <c r="AL109" s="647"/>
      <c r="AM109" s="647"/>
    </row>
    <row r="110" spans="1:39" ht="8.4499999999999993" customHeight="1">
      <c r="A110" s="727"/>
      <c r="B110" s="729"/>
      <c r="C110" s="729"/>
      <c r="D110" s="729"/>
      <c r="E110" s="729"/>
      <c r="F110" s="728"/>
      <c r="G110" s="648"/>
      <c r="H110" s="648"/>
      <c r="I110" s="673"/>
      <c r="J110" s="717" t="s">
        <v>69</v>
      </c>
      <c r="K110" s="718"/>
      <c r="L110" s="719"/>
      <c r="M110" s="720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87"/>
      <c r="B111" s="688"/>
      <c r="C111" s="688"/>
      <c r="D111" s="688"/>
      <c r="E111" s="688"/>
      <c r="F111" s="689"/>
      <c r="G111" s="648"/>
      <c r="H111" s="648"/>
      <c r="I111" s="673"/>
      <c r="J111" s="714">
        <f>'Date masura OD'!$AL$5</f>
        <v>45777</v>
      </c>
      <c r="K111" s="715"/>
      <c r="L111" s="716"/>
      <c r="M111" s="720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4">
        <f>A109</f>
        <v>1372641256</v>
      </c>
      <c r="B112" s="685"/>
      <c r="C112" s="685"/>
      <c r="D112" s="685"/>
      <c r="E112" s="685"/>
      <c r="F112" s="686"/>
      <c r="G112" s="648" t="s">
        <v>696</v>
      </c>
      <c r="H112" s="648"/>
      <c r="I112" s="648"/>
      <c r="J112" s="655">
        <f t="shared" ref="J112:J117" si="5">J109</f>
        <v>45748</v>
      </c>
      <c r="K112" s="656"/>
      <c r="L112" s="657"/>
      <c r="M112" s="648" t="s">
        <v>720</v>
      </c>
      <c r="N112" s="648"/>
      <c r="O112" s="648">
        <f>O109</f>
        <v>1</v>
      </c>
      <c r="P112" s="648"/>
      <c r="Q112" s="648"/>
      <c r="R112" s="647" t="str">
        <f>VLOOKUP(A112,Regularizare!$D:$AX,29,FALSE)&amp;" ("&amp;VLOOKUP(A112,Regularizare!$D:$AX,30,FALSE)&amp;")"</f>
        <v>79223 (citit)</v>
      </c>
      <c r="S112" s="647"/>
      <c r="T112" s="647"/>
      <c r="U112" s="647" t="str">
        <f>VLOOKUP(A112,Regularizare!$D:$AX,31,FALSE)&amp;" ("&amp;VLOOKUP(A112,Regularizare!$D:$AX,32,FALSE)&amp;")"</f>
        <v>79328 (citit)</v>
      </c>
      <c r="V112" s="647"/>
      <c r="W112" s="647"/>
      <c r="X112" s="647" t="str">
        <f>VLOOKUP(A112,Regularizare!$D:$AX,39,FALSE)&amp;" ("&amp;VLOOKUP(A112,Regularizare!$D:$AX,32,FALSE)&amp;")"</f>
        <v>105 (citit)</v>
      </c>
      <c r="Y112" s="647"/>
      <c r="Z112" s="647"/>
      <c r="AA112" s="647">
        <f>VLOOKUP(A112,Regularizare!$D:$AX,44,FALSE)+VLOOKUP(A112,Regularizare!$D:$AX,45,FALSE)</f>
        <v>105</v>
      </c>
      <c r="AB112" s="647"/>
      <c r="AC112" s="647"/>
      <c r="AD112" s="647" t="s">
        <v>69</v>
      </c>
      <c r="AE112" s="647"/>
      <c r="AF112" s="647">
        <f>AA112</f>
        <v>105</v>
      </c>
      <c r="AG112" s="647"/>
      <c r="AH112" s="647"/>
      <c r="AI112" s="647" t="str">
        <f>AI109</f>
        <v>-</v>
      </c>
      <c r="AJ112" s="647"/>
      <c r="AK112" s="647" t="str">
        <f>AK109</f>
        <v>-</v>
      </c>
      <c r="AL112" s="647"/>
      <c r="AM112" s="647"/>
    </row>
    <row r="113" spans="1:39" ht="8.4499999999999993" customHeight="1">
      <c r="A113" s="727"/>
      <c r="B113" s="729"/>
      <c r="C113" s="729"/>
      <c r="D113" s="729"/>
      <c r="E113" s="729"/>
      <c r="F113" s="728"/>
      <c r="G113" s="648"/>
      <c r="H113" s="648"/>
      <c r="I113" s="648"/>
      <c r="J113" s="717" t="str">
        <f t="shared" si="5"/>
        <v>-</v>
      </c>
      <c r="K113" s="718"/>
      <c r="L113" s="719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>
      <c r="A114" s="687"/>
      <c r="B114" s="688"/>
      <c r="C114" s="688"/>
      <c r="D114" s="688"/>
      <c r="E114" s="688"/>
      <c r="F114" s="689"/>
      <c r="G114" s="648"/>
      <c r="H114" s="648"/>
      <c r="I114" s="648"/>
      <c r="J114" s="714">
        <f t="shared" si="5"/>
        <v>45777</v>
      </c>
      <c r="K114" s="715"/>
      <c r="L114" s="716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4">
        <f>A112</f>
        <v>1372641256</v>
      </c>
      <c r="B115" s="685"/>
      <c r="C115" s="685"/>
      <c r="D115" s="685"/>
      <c r="E115" s="685"/>
      <c r="F115" s="686"/>
      <c r="G115" s="648" t="s">
        <v>731</v>
      </c>
      <c r="H115" s="648"/>
      <c r="I115" s="648"/>
      <c r="J115" s="655">
        <f t="shared" si="5"/>
        <v>45748</v>
      </c>
      <c r="K115" s="656"/>
      <c r="L115" s="657"/>
      <c r="M115" s="648" t="s">
        <v>720</v>
      </c>
      <c r="N115" s="648"/>
      <c r="O115" s="648">
        <f>O112</f>
        <v>1</v>
      </c>
      <c r="P115" s="648"/>
      <c r="Q115" s="648"/>
      <c r="R115" s="647" t="str">
        <f>VLOOKUP(A115,Regularizare!$D:$AX,33,FALSE)&amp;" ("&amp;VLOOKUP(A115,Regularizare!$D:$AX,34,FALSE)&amp;")"</f>
        <v>39592 (citit)</v>
      </c>
      <c r="S115" s="647"/>
      <c r="T115" s="647"/>
      <c r="U115" s="647" t="str">
        <f>VLOOKUP(A115,Regularizare!$D:$AX,35,FALSE)&amp;" ("&amp;VLOOKUP(A115,Regularizare!$D:$AX,36,FALSE)&amp;")"</f>
        <v>39632 (citit)</v>
      </c>
      <c r="V115" s="647"/>
      <c r="W115" s="647"/>
      <c r="X115" s="647" t="str">
        <f>VLOOKUP(A115,Regularizare!$D:$AX,40,FALSE)&amp;" ("&amp;VLOOKUP(A115,Regularizare!$D:$AX,36,FALSE)&amp;")"</f>
        <v>40 (citit)</v>
      </c>
      <c r="Y115" s="647"/>
      <c r="Z115" s="647"/>
      <c r="AA115" s="647">
        <f>VLOOKUP(A115,Regularizare!$D:$AX,46,FALSE)+VLOOKUP(A115,Regularizare!$D:$AX,47,FALSE)</f>
        <v>40</v>
      </c>
      <c r="AB115" s="647"/>
      <c r="AC115" s="647"/>
      <c r="AD115" s="647" t="s">
        <v>69</v>
      </c>
      <c r="AE115" s="647"/>
      <c r="AF115" s="647">
        <f>AA115</f>
        <v>40</v>
      </c>
      <c r="AG115" s="647"/>
      <c r="AH115" s="647"/>
      <c r="AI115" s="647" t="str">
        <f>AI112</f>
        <v>-</v>
      </c>
      <c r="AJ115" s="647"/>
      <c r="AK115" s="647" t="str">
        <f>AK112</f>
        <v>-</v>
      </c>
      <c r="AL115" s="647"/>
      <c r="AM115" s="647"/>
    </row>
    <row r="116" spans="1:39" ht="8.4499999999999993" customHeight="1">
      <c r="A116" s="727"/>
      <c r="B116" s="729"/>
      <c r="C116" s="729"/>
      <c r="D116" s="729"/>
      <c r="E116" s="729"/>
      <c r="F116" s="728"/>
      <c r="G116" s="648"/>
      <c r="H116" s="648"/>
      <c r="I116" s="648"/>
      <c r="J116" s="717" t="str">
        <f t="shared" si="5"/>
        <v>-</v>
      </c>
      <c r="K116" s="718"/>
      <c r="L116" s="719"/>
      <c r="M116" s="648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87"/>
      <c r="B117" s="688"/>
      <c r="C117" s="688"/>
      <c r="D117" s="688"/>
      <c r="E117" s="688"/>
      <c r="F117" s="689"/>
      <c r="G117" s="648"/>
      <c r="H117" s="648"/>
      <c r="I117" s="648"/>
      <c r="J117" s="714">
        <f t="shared" si="5"/>
        <v>45777</v>
      </c>
      <c r="K117" s="715"/>
      <c r="L117" s="716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84">
        <f>A115</f>
        <v>1372641256</v>
      </c>
      <c r="B118" s="685"/>
      <c r="C118" s="685"/>
      <c r="D118" s="685"/>
      <c r="E118" s="685"/>
      <c r="F118" s="686"/>
      <c r="G118" s="648" t="s">
        <v>730</v>
      </c>
      <c r="H118" s="648"/>
      <c r="I118" s="673"/>
      <c r="J118" s="655">
        <f>'Date masura OD'!$I$5</f>
        <v>45778</v>
      </c>
      <c r="K118" s="656"/>
      <c r="L118" s="657"/>
      <c r="M118" s="720" t="s">
        <v>446</v>
      </c>
      <c r="N118" s="648"/>
      <c r="O118" s="648">
        <f>O115</f>
        <v>1</v>
      </c>
      <c r="P118" s="648"/>
      <c r="Q118" s="648"/>
      <c r="R118" s="647" t="str">
        <f>U109</f>
        <v>2417385 (citit)</v>
      </c>
      <c r="S118" s="647"/>
      <c r="T118" s="647"/>
      <c r="U118" s="647" t="str">
        <f>VLOOKUP(A118,'Incrementare indexe'!$D:$M,4,FALSE)&amp;" (estimat)"</f>
        <v>2512325 (estimat)</v>
      </c>
      <c r="V118" s="647"/>
      <c r="W118" s="647"/>
      <c r="X118" s="647" t="str">
        <f>VLOOKUP(A118,'Incrementare indexe'!$D:$Q,11,FALSE)&amp;" (estimat)"</f>
        <v>94940 (estimat)</v>
      </c>
      <c r="Y118" s="647"/>
      <c r="Z118" s="647"/>
      <c r="AA118" s="647" t="s">
        <v>69</v>
      </c>
      <c r="AB118" s="647"/>
      <c r="AC118" s="647"/>
      <c r="AD118" s="647" t="s">
        <v>69</v>
      </c>
      <c r="AE118" s="647"/>
      <c r="AF118" s="647">
        <f>VLOOKUP(A118,'Incrementare indexe'!$D:$Q,11,FALSE)</f>
        <v>94940</v>
      </c>
      <c r="AG118" s="647"/>
      <c r="AH118" s="647"/>
      <c r="AI118" s="647">
        <f>J120-J118+1</f>
        <v>31</v>
      </c>
      <c r="AJ118" s="647"/>
      <c r="AK118" s="647">
        <f>ROUND(AF118/AI118,2)</f>
        <v>3062.58</v>
      </c>
      <c r="AL118" s="647"/>
      <c r="AM118" s="647"/>
    </row>
    <row r="119" spans="1:39" ht="8.4499999999999993" customHeight="1">
      <c r="A119" s="727"/>
      <c r="B119" s="729"/>
      <c r="C119" s="729"/>
      <c r="D119" s="729"/>
      <c r="E119" s="729"/>
      <c r="F119" s="728"/>
      <c r="G119" s="648"/>
      <c r="H119" s="648"/>
      <c r="I119" s="673"/>
      <c r="J119" s="717" t="s">
        <v>69</v>
      </c>
      <c r="K119" s="718"/>
      <c r="L119" s="719"/>
      <c r="M119" s="720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87"/>
      <c r="B120" s="688"/>
      <c r="C120" s="688"/>
      <c r="D120" s="688"/>
      <c r="E120" s="688"/>
      <c r="F120" s="689"/>
      <c r="G120" s="648"/>
      <c r="H120" s="648"/>
      <c r="I120" s="673"/>
      <c r="J120" s="714">
        <f>'Date masura OD'!$J$5</f>
        <v>45808</v>
      </c>
      <c r="K120" s="715"/>
      <c r="L120" s="716"/>
      <c r="M120" s="720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84">
        <f>A118</f>
        <v>1372641256</v>
      </c>
      <c r="B121" s="685"/>
      <c r="C121" s="685"/>
      <c r="D121" s="685"/>
      <c r="E121" s="685"/>
      <c r="F121" s="686"/>
      <c r="G121" s="648" t="s">
        <v>696</v>
      </c>
      <c r="H121" s="648"/>
      <c r="I121" s="648"/>
      <c r="J121" s="655">
        <f t="shared" ref="J121:J126" si="6">J118</f>
        <v>45778</v>
      </c>
      <c r="K121" s="656"/>
      <c r="L121" s="657"/>
      <c r="M121" s="648" t="s">
        <v>720</v>
      </c>
      <c r="N121" s="648"/>
      <c r="O121" s="648">
        <f>O118</f>
        <v>1</v>
      </c>
      <c r="P121" s="648"/>
      <c r="Q121" s="648"/>
      <c r="R121" s="647" t="str">
        <f>U112</f>
        <v>79328 (citit)</v>
      </c>
      <c r="S121" s="647"/>
      <c r="T121" s="647"/>
      <c r="U121" s="647" t="str">
        <f>VLOOKUP(A121,'Incrementare indexe'!$D:$M,8,FALSE)&amp;" (estimat)"</f>
        <v>79328 (estimat)</v>
      </c>
      <c r="V121" s="647"/>
      <c r="W121" s="647"/>
      <c r="X121" s="647" t="str">
        <f>VLOOKUP(A121,'Incrementare indexe'!$D:$Q,12,FALSE)&amp;" (estimat)"</f>
        <v>0 (estimat)</v>
      </c>
      <c r="Y121" s="647"/>
      <c r="Z121" s="647"/>
      <c r="AA121" s="647" t="s">
        <v>69</v>
      </c>
      <c r="AB121" s="647"/>
      <c r="AC121" s="647"/>
      <c r="AD121" s="647" t="s">
        <v>69</v>
      </c>
      <c r="AE121" s="647"/>
      <c r="AF121" s="647">
        <f>VLOOKUP(A121,'Incrementare indexe'!$D:$Q,12,FALSE)</f>
        <v>0</v>
      </c>
      <c r="AG121" s="647"/>
      <c r="AH121" s="647"/>
      <c r="AI121" s="647">
        <f>AI118</f>
        <v>31</v>
      </c>
      <c r="AJ121" s="647"/>
      <c r="AK121" s="647">
        <f>ROUND(AF121/AI121,2)</f>
        <v>0</v>
      </c>
      <c r="AL121" s="647"/>
      <c r="AM121" s="647"/>
    </row>
    <row r="122" spans="1:39" ht="8.4499999999999993" customHeight="1">
      <c r="A122" s="727"/>
      <c r="B122" s="729"/>
      <c r="C122" s="729"/>
      <c r="D122" s="729"/>
      <c r="E122" s="729"/>
      <c r="F122" s="728"/>
      <c r="G122" s="648"/>
      <c r="H122" s="648"/>
      <c r="I122" s="648"/>
      <c r="J122" s="717" t="str">
        <f t="shared" si="6"/>
        <v>-</v>
      </c>
      <c r="K122" s="718"/>
      <c r="L122" s="719"/>
      <c r="M122" s="648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87"/>
      <c r="B123" s="688"/>
      <c r="C123" s="688"/>
      <c r="D123" s="688"/>
      <c r="E123" s="688"/>
      <c r="F123" s="689"/>
      <c r="G123" s="648"/>
      <c r="H123" s="648"/>
      <c r="I123" s="648"/>
      <c r="J123" s="714">
        <f t="shared" si="6"/>
        <v>45808</v>
      </c>
      <c r="K123" s="715"/>
      <c r="L123" s="716"/>
      <c r="M123" s="648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4">
        <f>A121</f>
        <v>1372641256</v>
      </c>
      <c r="B124" s="685"/>
      <c r="C124" s="685"/>
      <c r="D124" s="685"/>
      <c r="E124" s="685"/>
      <c r="F124" s="686"/>
      <c r="G124" s="648" t="s">
        <v>731</v>
      </c>
      <c r="H124" s="648"/>
      <c r="I124" s="648"/>
      <c r="J124" s="655">
        <f t="shared" si="6"/>
        <v>45778</v>
      </c>
      <c r="K124" s="656"/>
      <c r="L124" s="657"/>
      <c r="M124" s="648" t="s">
        <v>720</v>
      </c>
      <c r="N124" s="648"/>
      <c r="O124" s="648">
        <f>O121</f>
        <v>1</v>
      </c>
      <c r="P124" s="648"/>
      <c r="Q124" s="648"/>
      <c r="R124" s="647" t="str">
        <f>U115</f>
        <v>39632 (citit)</v>
      </c>
      <c r="S124" s="647"/>
      <c r="T124" s="647"/>
      <c r="U124" s="647" t="str">
        <f>VLOOKUP(A124,'Incrementare indexe'!$D:$M,10,FALSE)&amp;" (estimat)"</f>
        <v>39632 (estimat)</v>
      </c>
      <c r="V124" s="647"/>
      <c r="W124" s="647"/>
      <c r="X124" s="647" t="str">
        <f>VLOOKUP(A124,'Incrementare indexe'!$D:$Q,13,FALSE)&amp;" (estimat)"</f>
        <v>0 (estimat)</v>
      </c>
      <c r="Y124" s="647"/>
      <c r="Z124" s="647"/>
      <c r="AA124" s="647" t="s">
        <v>69</v>
      </c>
      <c r="AB124" s="647"/>
      <c r="AC124" s="647"/>
      <c r="AD124" s="647" t="s">
        <v>69</v>
      </c>
      <c r="AE124" s="647"/>
      <c r="AF124" s="647">
        <f>VLOOKUP(A124,'Incrementare indexe'!$D:$Q,13,FALSE)</f>
        <v>0</v>
      </c>
      <c r="AG124" s="647"/>
      <c r="AH124" s="647"/>
      <c r="AI124" s="647">
        <f>AI121</f>
        <v>31</v>
      </c>
      <c r="AJ124" s="647"/>
      <c r="AK124" s="647">
        <f>ROUND(AF124/AI124,2)</f>
        <v>0</v>
      </c>
      <c r="AL124" s="647"/>
      <c r="AM124" s="647"/>
    </row>
    <row r="125" spans="1:39" ht="8.4499999999999993" customHeight="1">
      <c r="A125" s="727"/>
      <c r="B125" s="729"/>
      <c r="C125" s="729"/>
      <c r="D125" s="729"/>
      <c r="E125" s="729"/>
      <c r="F125" s="728"/>
      <c r="G125" s="648"/>
      <c r="H125" s="648"/>
      <c r="I125" s="648"/>
      <c r="J125" s="717" t="str">
        <f t="shared" si="6"/>
        <v>-</v>
      </c>
      <c r="K125" s="718"/>
      <c r="L125" s="719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87"/>
      <c r="B126" s="688"/>
      <c r="C126" s="688"/>
      <c r="D126" s="688"/>
      <c r="E126" s="688"/>
      <c r="F126" s="689"/>
      <c r="G126" s="648"/>
      <c r="H126" s="648"/>
      <c r="I126" s="648"/>
      <c r="J126" s="714">
        <f t="shared" si="6"/>
        <v>45808</v>
      </c>
      <c r="K126" s="715"/>
      <c r="L126" s="716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195"/>
      <c r="B127" s="195"/>
      <c r="C127" s="195"/>
      <c r="D127" s="195"/>
      <c r="E127" s="195"/>
      <c r="F127" s="195"/>
      <c r="G127" s="196"/>
      <c r="H127" s="196"/>
      <c r="I127" s="196"/>
      <c r="J127" s="197"/>
      <c r="K127" s="197"/>
      <c r="L127" s="197"/>
      <c r="M127" s="196"/>
      <c r="N127" s="196"/>
      <c r="O127" s="196"/>
      <c r="P127" s="196"/>
      <c r="Q127" s="196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</row>
    <row r="128" spans="1:39" ht="14.1" customHeight="1">
      <c r="A128" s="195"/>
      <c r="B128" s="195"/>
      <c r="C128" s="195"/>
      <c r="D128" s="195"/>
      <c r="E128" s="195"/>
      <c r="F128" s="195"/>
      <c r="G128" s="196"/>
      <c r="H128" s="196"/>
      <c r="I128" s="196"/>
      <c r="J128" s="197"/>
      <c r="K128" s="197"/>
      <c r="L128" s="197"/>
      <c r="M128" s="196"/>
      <c r="N128" s="196"/>
      <c r="O128" s="196"/>
      <c r="P128" s="196"/>
      <c r="Q128" s="196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</row>
    <row r="129" spans="1:39" ht="14.1" customHeight="1">
      <c r="A129" s="195"/>
      <c r="B129" s="195"/>
      <c r="C129" s="195"/>
      <c r="D129" s="195"/>
      <c r="E129" s="195"/>
      <c r="F129" s="195"/>
      <c r="G129" s="196"/>
      <c r="H129" s="196"/>
      <c r="I129" s="196"/>
      <c r="J129" s="197"/>
      <c r="K129" s="197"/>
      <c r="L129" s="197"/>
      <c r="M129" s="196"/>
      <c r="N129" s="196"/>
      <c r="O129" s="196"/>
      <c r="P129" s="196"/>
      <c r="Q129" s="196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</row>
    <row r="130" spans="1:39" ht="14.1" customHeight="1">
      <c r="A130" s="195"/>
      <c r="B130" s="195"/>
      <c r="C130" s="195"/>
      <c r="D130" s="195"/>
      <c r="E130" s="195"/>
      <c r="F130" s="195"/>
      <c r="G130" s="196"/>
      <c r="H130" s="196"/>
      <c r="I130" s="196"/>
      <c r="J130" s="197"/>
      <c r="K130" s="197"/>
      <c r="L130" s="197"/>
      <c r="M130" s="196"/>
      <c r="N130" s="196"/>
      <c r="O130" s="196"/>
      <c r="P130" s="196"/>
      <c r="Q130" s="196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</row>
    <row r="131" spans="1:39" ht="14.1" customHeight="1">
      <c r="A131" s="195"/>
      <c r="B131" s="195"/>
      <c r="C131" s="195"/>
      <c r="D131" s="195"/>
      <c r="E131" s="195"/>
      <c r="F131" s="195"/>
      <c r="G131" s="196"/>
      <c r="H131" s="196"/>
      <c r="I131" s="196"/>
      <c r="J131" s="197"/>
      <c r="K131" s="197"/>
      <c r="L131" s="197"/>
      <c r="M131" s="196"/>
      <c r="N131" s="196"/>
      <c r="O131" s="196"/>
      <c r="P131" s="196"/>
      <c r="Q131" s="196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</row>
    <row r="132" spans="1:39" ht="14.1" customHeight="1">
      <c r="A132" s="195"/>
      <c r="B132" s="195"/>
      <c r="C132" s="195"/>
      <c r="D132" s="195"/>
      <c r="E132" s="195"/>
      <c r="F132" s="195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195"/>
      <c r="B133" s="195"/>
      <c r="C133" s="195"/>
      <c r="D133" s="195"/>
      <c r="E133" s="195"/>
      <c r="F133" s="195"/>
      <c r="G133" s="196"/>
      <c r="H133" s="196"/>
      <c r="I133" s="196"/>
      <c r="J133" s="197"/>
      <c r="K133" s="197"/>
      <c r="L133" s="197"/>
      <c r="M133" s="196"/>
      <c r="N133" s="196"/>
      <c r="O133" s="196"/>
      <c r="P133" s="196"/>
      <c r="Q133" s="196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</row>
    <row r="134" spans="1:39" ht="14.1" customHeight="1">
      <c r="A134" s="721" t="s">
        <v>1196</v>
      </c>
      <c r="B134" s="722"/>
      <c r="C134" s="722"/>
      <c r="D134" s="722"/>
      <c r="E134" s="722"/>
      <c r="F134" s="722"/>
      <c r="G134" s="722"/>
      <c r="H134" s="722"/>
      <c r="I134" s="722"/>
      <c r="J134" s="722"/>
      <c r="K134" s="722"/>
      <c r="L134" s="722"/>
      <c r="M134" s="722"/>
      <c r="N134" s="722"/>
      <c r="O134" s="722"/>
      <c r="P134" s="722"/>
      <c r="Q134" s="722"/>
      <c r="R134" s="722"/>
      <c r="S134" s="722"/>
      <c r="T134" s="722"/>
      <c r="U134" s="722"/>
      <c r="V134" s="722"/>
      <c r="W134" s="722"/>
      <c r="X134" s="722"/>
      <c r="Y134" s="722"/>
      <c r="Z134" s="722"/>
      <c r="AA134" s="722"/>
      <c r="AB134" s="722"/>
      <c r="AC134" s="722"/>
      <c r="AD134" s="722"/>
      <c r="AE134" s="722"/>
      <c r="AF134" s="722"/>
      <c r="AG134" s="722"/>
      <c r="AH134" s="723"/>
      <c r="AI134" s="721" t="s">
        <v>695</v>
      </c>
      <c r="AJ134" s="722"/>
      <c r="AK134" s="722"/>
      <c r="AL134" s="722"/>
      <c r="AM134" s="723"/>
    </row>
    <row r="135" spans="1:39" ht="14.1" customHeight="1">
      <c r="A135" s="649" t="s">
        <v>746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">
        <v>514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 t="str">
        <f>_xlfn.CONCAT(AI95,"/PV")</f>
        <v>RSEV_2.1/PV</v>
      </c>
      <c r="AJ135" s="619"/>
      <c r="AK135" s="619"/>
      <c r="AL135" s="619"/>
      <c r="AM135" s="619"/>
    </row>
    <row r="136" spans="1:39" ht="14.1" customHeight="1">
      <c r="A136" s="649" t="s">
        <v>747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">
        <v>1087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/>
      <c r="AJ136" s="619"/>
      <c r="AK136" s="619"/>
      <c r="AL136" s="619"/>
      <c r="AM136" s="619"/>
    </row>
    <row r="137" spans="1:39" ht="14.1" customHeight="1">
      <c r="A137" s="648" t="s">
        <v>697</v>
      </c>
      <c r="B137" s="648"/>
      <c r="C137" s="648"/>
      <c r="D137" s="648"/>
      <c r="E137" s="648"/>
      <c r="F137" s="648"/>
      <c r="G137" s="647" t="s">
        <v>713</v>
      </c>
      <c r="H137" s="647"/>
      <c r="I137" s="647"/>
      <c r="J137" s="647" t="s">
        <v>714</v>
      </c>
      <c r="K137" s="647"/>
      <c r="L137" s="647"/>
      <c r="M137" s="648" t="s">
        <v>519</v>
      </c>
      <c r="N137" s="648"/>
      <c r="O137" s="648" t="s">
        <v>715</v>
      </c>
      <c r="P137" s="648"/>
      <c r="Q137" s="648"/>
      <c r="R137" s="647" t="s">
        <v>732</v>
      </c>
      <c r="S137" s="647"/>
      <c r="T137" s="647"/>
      <c r="U137" s="647" t="s">
        <v>734</v>
      </c>
      <c r="V137" s="647"/>
      <c r="W137" s="647"/>
      <c r="X137" s="647" t="s">
        <v>1085</v>
      </c>
      <c r="Y137" s="647"/>
      <c r="Z137" s="647"/>
      <c r="AA137" s="647" t="s">
        <v>1086</v>
      </c>
      <c r="AB137" s="647"/>
      <c r="AC137" s="647"/>
      <c r="AD137" s="647" t="s">
        <v>717</v>
      </c>
      <c r="AE137" s="647"/>
      <c r="AF137" s="647" t="s">
        <v>718</v>
      </c>
      <c r="AG137" s="647"/>
      <c r="AH137" s="647"/>
      <c r="AI137" s="647" t="s">
        <v>719</v>
      </c>
      <c r="AJ137" s="647"/>
      <c r="AK137" s="647" t="s">
        <v>733</v>
      </c>
      <c r="AL137" s="647"/>
      <c r="AM137" s="647"/>
    </row>
    <row r="138" spans="1:39" ht="14.1" customHeight="1">
      <c r="A138" s="648"/>
      <c r="B138" s="648"/>
      <c r="C138" s="648"/>
      <c r="D138" s="648"/>
      <c r="E138" s="648"/>
      <c r="F138" s="648"/>
      <c r="G138" s="647"/>
      <c r="H138" s="647"/>
      <c r="I138" s="647"/>
      <c r="J138" s="647"/>
      <c r="K138" s="647"/>
      <c r="L138" s="647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48"/>
      <c r="B139" s="648"/>
      <c r="C139" s="648"/>
      <c r="D139" s="648"/>
      <c r="E139" s="648"/>
      <c r="F139" s="648"/>
      <c r="G139" s="647"/>
      <c r="H139" s="647"/>
      <c r="I139" s="647"/>
      <c r="J139" s="713"/>
      <c r="K139" s="713"/>
      <c r="L139" s="713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78">
        <f>VLOOKUP(AI135,'Incrementare indexe'!$B:$I,3,FALSE)</f>
        <v>1371624214</v>
      </c>
      <c r="B140" s="679"/>
      <c r="C140" s="679"/>
      <c r="D140" s="679"/>
      <c r="E140" s="679"/>
      <c r="F140" s="680"/>
      <c r="G140" s="647" t="s">
        <v>1088</v>
      </c>
      <c r="H140" s="647"/>
      <c r="I140" s="675"/>
      <c r="J140" s="655">
        <f>'Date masura OD'!$I$5</f>
        <v>45778</v>
      </c>
      <c r="K140" s="656"/>
      <c r="L140" s="657"/>
      <c r="M140" s="720" t="s">
        <v>446</v>
      </c>
      <c r="N140" s="648"/>
      <c r="O140" s="648">
        <f>VLOOKUP(AI135,'Incrementare indexe'!$B:$I,4,FALSE)</f>
        <v>1</v>
      </c>
      <c r="P140" s="648"/>
      <c r="Q140" s="648"/>
      <c r="R140" s="647" t="str">
        <f>VLOOKUP(AI135,'Incrementare indexe'!$B:$I,7,FALSE)&amp;" (citit)"</f>
        <v>908224 (citit)</v>
      </c>
      <c r="S140" s="647"/>
      <c r="T140" s="647"/>
      <c r="U140" s="647" t="str">
        <f>VLOOKUP(AI135,'Incrementare indexe'!$B:$I,8,FALSE)&amp;" (citit)"</f>
        <v>982822 (citit)</v>
      </c>
      <c r="V140" s="647"/>
      <c r="W140" s="647"/>
      <c r="X140" s="647" t="str">
        <f>(VLOOKUP(AI135,'Incrementare indexe'!$B:$I,8,FALSE)-VLOOKUP(AI135,'Incrementare indexe'!$B:$I,7,FALSE))&amp;" (citit)"</f>
        <v>74598 (citit)</v>
      </c>
      <c r="Y140" s="647"/>
      <c r="Z140" s="647"/>
      <c r="AA140" s="647" t="s">
        <v>69</v>
      </c>
      <c r="AB140" s="647"/>
      <c r="AC140" s="647"/>
      <c r="AD140" s="647" t="s">
        <v>69</v>
      </c>
      <c r="AE140" s="647"/>
      <c r="AF140" s="647">
        <f>(VLOOKUP(AI135,'Incrementare indexe'!$B:$I,8,FALSE)-VLOOKUP(AI135,'Incrementare indexe'!$B:$I,7,FALSE))</f>
        <v>74598</v>
      </c>
      <c r="AG140" s="647"/>
      <c r="AH140" s="647"/>
      <c r="AI140" s="647">
        <f>J142-J140+1</f>
        <v>31</v>
      </c>
      <c r="AJ140" s="647"/>
      <c r="AK140" s="647">
        <f>ROUND(AF140/AI140,2)</f>
        <v>2406.39</v>
      </c>
      <c r="AL140" s="647"/>
      <c r="AM140" s="647"/>
    </row>
    <row r="141" spans="1:39" ht="14.1" customHeight="1">
      <c r="A141" s="717"/>
      <c r="B141" s="718"/>
      <c r="C141" s="718"/>
      <c r="D141" s="718"/>
      <c r="E141" s="718"/>
      <c r="F141" s="719"/>
      <c r="G141" s="647"/>
      <c r="H141" s="647"/>
      <c r="I141" s="675"/>
      <c r="J141" s="717" t="s">
        <v>69</v>
      </c>
      <c r="K141" s="718"/>
      <c r="L141" s="719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1"/>
      <c r="B142" s="682"/>
      <c r="C142" s="682"/>
      <c r="D142" s="682"/>
      <c r="E142" s="682"/>
      <c r="F142" s="683"/>
      <c r="G142" s="647"/>
      <c r="H142" s="647"/>
      <c r="I142" s="675"/>
      <c r="J142" s="714">
        <f>'Date masura OD'!$J$5</f>
        <v>45808</v>
      </c>
      <c r="K142" s="715"/>
      <c r="L142" s="716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1371624214</v>
      </c>
      <c r="B143" s="679"/>
      <c r="C143" s="679"/>
      <c r="D143" s="679"/>
      <c r="E143" s="679"/>
      <c r="F143" s="680"/>
      <c r="G143" s="648" t="s">
        <v>696</v>
      </c>
      <c r="H143" s="648"/>
      <c r="I143" s="648"/>
      <c r="J143" s="655">
        <f t="shared" ref="J143:J148" si="7">J140</f>
        <v>45778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">
        <v>1089</v>
      </c>
      <c r="S143" s="647"/>
      <c r="T143" s="647"/>
      <c r="U143" s="647" t="s">
        <v>1089</v>
      </c>
      <c r="V143" s="647"/>
      <c r="W143" s="647"/>
      <c r="X143" s="647" t="s">
        <v>1089</v>
      </c>
      <c r="Y143" s="647"/>
      <c r="Z143" s="647"/>
      <c r="AA143" s="647" t="s">
        <v>69</v>
      </c>
      <c r="AB143" s="647"/>
      <c r="AC143" s="647"/>
      <c r="AD143" s="647" t="s">
        <v>69</v>
      </c>
      <c r="AE143" s="647"/>
      <c r="AF143" s="647">
        <v>0</v>
      </c>
      <c r="AG143" s="647"/>
      <c r="AH143" s="647"/>
      <c r="AI143" s="647">
        <f>AI140</f>
        <v>31</v>
      </c>
      <c r="AJ143" s="647"/>
      <c r="AK143" s="647">
        <f>ROUND(AF143/AI143,2)</f>
        <v>0</v>
      </c>
      <c r="AL143" s="647"/>
      <c r="AM143" s="647"/>
    </row>
    <row r="144" spans="1:39" ht="14.1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7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7"/>
        <v>45808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1371624214</v>
      </c>
      <c r="B146" s="679"/>
      <c r="C146" s="679"/>
      <c r="D146" s="679"/>
      <c r="E146" s="679"/>
      <c r="F146" s="680"/>
      <c r="G146" s="648" t="s">
        <v>731</v>
      </c>
      <c r="H146" s="648"/>
      <c r="I146" s="648"/>
      <c r="J146" s="655">
        <f t="shared" si="7"/>
        <v>45778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">
        <v>1089</v>
      </c>
      <c r="S146" s="647"/>
      <c r="T146" s="647"/>
      <c r="U146" s="647" t="s">
        <v>1089</v>
      </c>
      <c r="V146" s="647"/>
      <c r="W146" s="647"/>
      <c r="X146" s="647" t="s">
        <v>1089</v>
      </c>
      <c r="Y146" s="647"/>
      <c r="Z146" s="647"/>
      <c r="AA146" s="647" t="s">
        <v>69</v>
      </c>
      <c r="AB146" s="647"/>
      <c r="AC146" s="647"/>
      <c r="AD146" s="647" t="s">
        <v>69</v>
      </c>
      <c r="AE146" s="647"/>
      <c r="AF146" s="647">
        <v>0</v>
      </c>
      <c r="AG146" s="647"/>
      <c r="AH146" s="647"/>
      <c r="AI146" s="647">
        <f>AI143</f>
        <v>31</v>
      </c>
      <c r="AJ146" s="647"/>
      <c r="AK146" s="647">
        <f>ROUND(AF146/AI146,2)</f>
        <v>0</v>
      </c>
      <c r="AL146" s="647"/>
      <c r="AM146" s="647"/>
    </row>
    <row r="147" spans="1:39" ht="14.1" customHeight="1">
      <c r="A147" s="717"/>
      <c r="B147" s="718"/>
      <c r="C147" s="718"/>
      <c r="D147" s="718"/>
      <c r="E147" s="718"/>
      <c r="F147" s="719"/>
      <c r="G147" s="648"/>
      <c r="H147" s="648"/>
      <c r="I147" s="648"/>
      <c r="J147" s="717" t="str">
        <f t="shared" si="7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48"/>
      <c r="J148" s="714">
        <f t="shared" si="7"/>
        <v>45808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196"/>
      <c r="B149" s="196"/>
      <c r="C149" s="196"/>
      <c r="D149" s="196"/>
      <c r="E149" s="196"/>
      <c r="F149" s="196"/>
      <c r="G149" s="196"/>
      <c r="H149" s="196"/>
      <c r="I149" s="196"/>
      <c r="J149" s="197"/>
      <c r="K149" s="197"/>
      <c r="L149" s="197"/>
      <c r="M149" s="196"/>
      <c r="N149" s="196"/>
      <c r="O149" s="196"/>
      <c r="P149" s="196"/>
      <c r="Q149" s="196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</row>
    <row r="150" spans="1:39" ht="14.1" customHeight="1">
      <c r="A150" s="695" t="s">
        <v>858</v>
      </c>
      <c r="B150" s="695"/>
      <c r="C150" s="695"/>
      <c r="D150" s="695"/>
      <c r="E150" s="695"/>
      <c r="F150" s="695"/>
      <c r="G150" s="695"/>
      <c r="H150" s="695" t="str">
        <f>VLOOKUP($AA$15,'Date SPV'!$B:$H,4,FALSE)</f>
        <v>Bulevardul Mihai Viteazu, nr. 78, Drobeta-Turnu Severin, jud. Mehedinti</v>
      </c>
      <c r="I150" s="695"/>
      <c r="J150" s="695"/>
      <c r="K150" s="695"/>
      <c r="L150" s="695"/>
      <c r="M150" s="695"/>
      <c r="N150" s="695"/>
      <c r="O150" s="695"/>
      <c r="P150" s="695"/>
      <c r="Q150" s="695"/>
      <c r="R150" s="695"/>
      <c r="S150" s="695"/>
      <c r="T150" s="695"/>
      <c r="U150" s="695"/>
      <c r="V150" s="695"/>
      <c r="W150" s="695"/>
      <c r="X150" s="695"/>
      <c r="Y150" s="695"/>
      <c r="Z150" s="695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</row>
    <row r="151" spans="1:39" ht="14.1" customHeight="1">
      <c r="A151" s="695"/>
      <c r="B151" s="695"/>
      <c r="C151" s="695"/>
      <c r="D151" s="695"/>
      <c r="E151" s="695"/>
      <c r="F151" s="695"/>
      <c r="G151" s="695"/>
      <c r="H151" s="695"/>
      <c r="I151" s="695"/>
      <c r="J151" s="695"/>
      <c r="K151" s="695"/>
      <c r="L151" s="695"/>
      <c r="M151" s="695"/>
      <c r="N151" s="695"/>
      <c r="O151" s="695"/>
      <c r="P151" s="695"/>
      <c r="Q151" s="695"/>
      <c r="R151" s="695"/>
      <c r="S151" s="695"/>
      <c r="T151" s="695"/>
      <c r="U151" s="695"/>
      <c r="V151" s="695"/>
      <c r="W151" s="695"/>
      <c r="X151" s="695"/>
      <c r="Y151" s="695"/>
      <c r="Z151" s="695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</row>
    <row r="152" spans="1:39" ht="14.1" customHeight="1">
      <c r="A152" s="695" t="s">
        <v>859</v>
      </c>
      <c r="B152" s="695"/>
      <c r="C152" s="695"/>
      <c r="D152" s="695"/>
      <c r="E152" s="695"/>
      <c r="F152" s="695"/>
      <c r="G152" s="695"/>
      <c r="H152" s="712">
        <f>VLOOKUP(AA152,'Date masura OD'!$G:$BE,51,FALSE)</f>
        <v>5000646662</v>
      </c>
      <c r="I152" s="712"/>
      <c r="J152" s="712"/>
      <c r="K152" s="712"/>
      <c r="L152" s="712"/>
      <c r="M152" s="712"/>
      <c r="N152" s="712"/>
      <c r="O152" s="712"/>
      <c r="P152" s="712"/>
      <c r="Q152" s="712"/>
      <c r="R152" s="712"/>
      <c r="S152" s="712"/>
      <c r="T152" s="712"/>
      <c r="U152" s="712"/>
      <c r="V152" s="712"/>
      <c r="W152" s="712" t="s">
        <v>860</v>
      </c>
      <c r="X152" s="712"/>
      <c r="Y152" s="712"/>
      <c r="Z152" s="712"/>
      <c r="AA152" s="640" t="str">
        <f>_xlfn.CONCAT($AA$15,"_",3)</f>
        <v>RSEV_3</v>
      </c>
      <c r="AB152" s="640"/>
      <c r="AC152" s="640"/>
      <c r="AD152" s="640"/>
      <c r="AE152" s="640"/>
      <c r="AF152" s="640"/>
      <c r="AG152" s="640"/>
      <c r="AH152" s="640"/>
      <c r="AI152" s="640"/>
      <c r="AJ152" s="640"/>
      <c r="AK152" s="640"/>
      <c r="AL152" s="640"/>
      <c r="AM152" s="640"/>
    </row>
    <row r="153" spans="1:39" ht="14.1" customHeight="1">
      <c r="A153" s="695"/>
      <c r="B153" s="695"/>
      <c r="C153" s="695"/>
      <c r="D153" s="695"/>
      <c r="E153" s="695"/>
      <c r="F153" s="695"/>
      <c r="G153" s="695"/>
      <c r="H153" s="712"/>
      <c r="I153" s="712"/>
      <c r="J153" s="712"/>
      <c r="K153" s="712"/>
      <c r="L153" s="712"/>
      <c r="M153" s="712"/>
      <c r="N153" s="712"/>
      <c r="O153" s="712"/>
      <c r="P153" s="712"/>
      <c r="Q153" s="712"/>
      <c r="R153" s="712"/>
      <c r="S153" s="712"/>
      <c r="T153" s="712"/>
      <c r="U153" s="712"/>
      <c r="V153" s="712"/>
      <c r="W153" s="712"/>
      <c r="X153" s="712"/>
      <c r="Y153" s="712"/>
      <c r="Z153" s="712"/>
      <c r="AA153" s="640"/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</row>
    <row r="154" spans="1:39">
      <c r="A154" s="649" t="s">
        <v>748</v>
      </c>
      <c r="B154" s="649"/>
      <c r="C154" s="649"/>
      <c r="D154" s="649"/>
      <c r="E154" s="649"/>
      <c r="F154" s="649"/>
      <c r="G154" s="649"/>
      <c r="H154" s="649"/>
      <c r="I154" s="649"/>
      <c r="J154" s="649"/>
      <c r="K154" s="649"/>
      <c r="L154" s="649"/>
      <c r="M154" s="650" t="str">
        <f>VLOOKUP(AI155,'Contorizare in SDI'!$E:$I,4,FALSE)</f>
        <v>59401040000171945071723445</v>
      </c>
      <c r="N154" s="650"/>
      <c r="O154" s="650"/>
      <c r="P154" s="650"/>
      <c r="Q154" s="650"/>
      <c r="R154" s="650"/>
      <c r="S154" s="650"/>
      <c r="T154" s="650"/>
      <c r="U154" s="650"/>
      <c r="V154" s="650"/>
      <c r="W154" s="650"/>
      <c r="X154" s="650"/>
      <c r="Y154" s="650"/>
      <c r="Z154" s="650"/>
      <c r="AA154" s="650"/>
      <c r="AB154" s="650"/>
      <c r="AC154" s="650"/>
      <c r="AD154" s="650"/>
      <c r="AE154" s="650"/>
      <c r="AF154" s="650"/>
      <c r="AG154" s="650"/>
      <c r="AH154" s="650"/>
      <c r="AI154" s="650" t="s">
        <v>695</v>
      </c>
      <c r="AJ154" s="650"/>
      <c r="AK154" s="650"/>
      <c r="AL154" s="650"/>
      <c r="AM154" s="650"/>
    </row>
    <row r="155" spans="1:39">
      <c r="A155" s="649" t="s">
        <v>746</v>
      </c>
      <c r="B155" s="649"/>
      <c r="C155" s="649"/>
      <c r="D155" s="649"/>
      <c r="E155" s="649"/>
      <c r="F155" s="649"/>
      <c r="G155" s="649"/>
      <c r="H155" s="649"/>
      <c r="I155" s="649"/>
      <c r="J155" s="649"/>
      <c r="K155" s="649"/>
      <c r="L155" s="649"/>
      <c r="M155" s="650" t="str">
        <f>VLOOKUP(AI155,'Inchidere contur'!$G:$U,15,FALSE)</f>
        <v>MT_OD</v>
      </c>
      <c r="N155" s="650"/>
      <c r="O155" s="650"/>
      <c r="P155" s="650"/>
      <c r="Q155" s="650"/>
      <c r="R155" s="650"/>
      <c r="S155" s="650"/>
      <c r="T155" s="650"/>
      <c r="U155" s="650"/>
      <c r="V155" s="650"/>
      <c r="W155" s="650"/>
      <c r="X155" s="650"/>
      <c r="Y155" s="650"/>
      <c r="Z155" s="650"/>
      <c r="AA155" s="650"/>
      <c r="AB155" s="650"/>
      <c r="AC155" s="650"/>
      <c r="AD155" s="650"/>
      <c r="AE155" s="650"/>
      <c r="AF155" s="650"/>
      <c r="AG155" s="650"/>
      <c r="AH155" s="650"/>
      <c r="AI155" s="619" t="str">
        <f>_xlfn.CONCAT(AA152)</f>
        <v>RSEV_3</v>
      </c>
      <c r="AJ155" s="619"/>
      <c r="AK155" s="619"/>
      <c r="AL155" s="619"/>
      <c r="AM155" s="619"/>
    </row>
    <row r="156" spans="1:39">
      <c r="A156" s="649" t="s">
        <v>747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50" t="str">
        <f>IF(LEFT(M155,2)="JT","0.4kV",IF(LEFT(M155,2)="MT","20kV","-"))</f>
        <v>20kV</v>
      </c>
      <c r="N156" s="650"/>
      <c r="O156" s="650"/>
      <c r="P156" s="650"/>
      <c r="Q156" s="650"/>
      <c r="R156" s="650"/>
      <c r="S156" s="650"/>
      <c r="T156" s="650"/>
      <c r="U156" s="650"/>
      <c r="V156" s="650"/>
      <c r="W156" s="650"/>
      <c r="X156" s="650"/>
      <c r="Y156" s="650"/>
      <c r="Z156" s="650"/>
      <c r="AA156" s="650"/>
      <c r="AB156" s="650"/>
      <c r="AC156" s="650"/>
      <c r="AD156" s="650"/>
      <c r="AE156" s="650"/>
      <c r="AF156" s="650"/>
      <c r="AG156" s="650"/>
      <c r="AH156" s="650"/>
      <c r="AI156" s="619"/>
      <c r="AJ156" s="619"/>
      <c r="AK156" s="619"/>
      <c r="AL156" s="619"/>
      <c r="AM156" s="619"/>
    </row>
    <row r="157" spans="1:39" ht="15.95" customHeight="1">
      <c r="A157" s="648" t="s">
        <v>697</v>
      </c>
      <c r="B157" s="648"/>
      <c r="C157" s="648"/>
      <c r="D157" s="648"/>
      <c r="E157" s="648"/>
      <c r="F157" s="648"/>
      <c r="G157" s="647" t="s">
        <v>713</v>
      </c>
      <c r="H157" s="647"/>
      <c r="I157" s="647"/>
      <c r="J157" s="647" t="s">
        <v>714</v>
      </c>
      <c r="K157" s="647"/>
      <c r="L157" s="647"/>
      <c r="M157" s="648" t="s">
        <v>519</v>
      </c>
      <c r="N157" s="648"/>
      <c r="O157" s="648" t="s">
        <v>715</v>
      </c>
      <c r="P157" s="648"/>
      <c r="Q157" s="648"/>
      <c r="R157" s="647" t="s">
        <v>732</v>
      </c>
      <c r="S157" s="647"/>
      <c r="T157" s="647"/>
      <c r="U157" s="647" t="s">
        <v>734</v>
      </c>
      <c r="V157" s="647"/>
      <c r="W157" s="647"/>
      <c r="X157" s="647" t="s">
        <v>1085</v>
      </c>
      <c r="Y157" s="647"/>
      <c r="Z157" s="647"/>
      <c r="AA157" s="647" t="s">
        <v>1086</v>
      </c>
      <c r="AB157" s="647"/>
      <c r="AC157" s="647"/>
      <c r="AD157" s="647" t="s">
        <v>717</v>
      </c>
      <c r="AE157" s="647"/>
      <c r="AF157" s="647" t="s">
        <v>718</v>
      </c>
      <c r="AG157" s="647"/>
      <c r="AH157" s="647"/>
      <c r="AI157" s="647" t="s">
        <v>719</v>
      </c>
      <c r="AJ157" s="647"/>
      <c r="AK157" s="647" t="s">
        <v>733</v>
      </c>
      <c r="AL157" s="647"/>
      <c r="AM157" s="647"/>
    </row>
    <row r="158" spans="1:39">
      <c r="A158" s="648"/>
      <c r="B158" s="648"/>
      <c r="C158" s="648"/>
      <c r="D158" s="648"/>
      <c r="E158" s="648"/>
      <c r="F158" s="648"/>
      <c r="G158" s="647"/>
      <c r="H158" s="647"/>
      <c r="I158" s="647"/>
      <c r="J158" s="647"/>
      <c r="K158" s="647"/>
      <c r="L158" s="647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>
      <c r="A159" s="648"/>
      <c r="B159" s="648"/>
      <c r="C159" s="648"/>
      <c r="D159" s="648"/>
      <c r="E159" s="648"/>
      <c r="F159" s="648"/>
      <c r="G159" s="647"/>
      <c r="H159" s="647"/>
      <c r="I159" s="647"/>
      <c r="J159" s="713"/>
      <c r="K159" s="713"/>
      <c r="L159" s="713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4">
        <f>VLOOKUP(AI155,'Contorizare in SDI'!$E:$I,5,FALSE)</f>
        <v>90078095</v>
      </c>
      <c r="B160" s="685"/>
      <c r="C160" s="685"/>
      <c r="D160" s="685"/>
      <c r="E160" s="685"/>
      <c r="F160" s="686"/>
      <c r="G160" s="648" t="s">
        <v>730</v>
      </c>
      <c r="H160" s="648"/>
      <c r="I160" s="673"/>
      <c r="J160" s="655">
        <f>'Date masura OD'!$AK$5</f>
        <v>45748</v>
      </c>
      <c r="K160" s="656"/>
      <c r="L160" s="657"/>
      <c r="M160" s="720" t="s">
        <v>446</v>
      </c>
      <c r="N160" s="648"/>
      <c r="O160" s="648">
        <f>VLOOKUP(AI155,'Date masura OD'!$G:$BB,2,FALSE)</f>
        <v>1</v>
      </c>
      <c r="P160" s="648"/>
      <c r="Q160" s="648"/>
      <c r="R160" s="647" t="str">
        <f>VLOOKUP(AI155,'Date masura OD'!$G:$BB,20,FALSE)&amp;" ("&amp;VLOOKUP(AI155,'Date masura OD'!$G:$BB,19,FALSE)&amp;")"</f>
        <v>814361 (estimare)</v>
      </c>
      <c r="S160" s="647"/>
      <c r="T160" s="647"/>
      <c r="U160" s="647" t="str">
        <f>VLOOKUP(AI155,'Date masura OD'!$G:$BB,21,FALSE)&amp;" ("&amp;VLOOKUP(AI155,'Date masura OD'!$G:$BB,19,FALSE)&amp;")"</f>
        <v>855463 (estimare)</v>
      </c>
      <c r="V160" s="647"/>
      <c r="W160" s="647"/>
      <c r="X160" s="647" t="str">
        <f>VLOOKUP(AI155,'Date masura OD'!$G:$BB,26,FALSE)&amp;" ("&amp;VLOOKUP(AI155,'Date masura OD'!$G:$BB,19,FALSE)&amp;")"</f>
        <v>41102 (estimare)</v>
      </c>
      <c r="Y160" s="647"/>
      <c r="Z160" s="647"/>
      <c r="AA160" s="647">
        <f>(-1)*VLOOKUP(AI155,'Date masura OD'!$G:$BB,26,FALSE)</f>
        <v>-41102</v>
      </c>
      <c r="AB160" s="647"/>
      <c r="AC160" s="647"/>
      <c r="AD160" s="647" t="s">
        <v>69</v>
      </c>
      <c r="AE160" s="647"/>
      <c r="AF160" s="647">
        <f>AA160</f>
        <v>-41102</v>
      </c>
      <c r="AG160" s="647"/>
      <c r="AH160" s="647"/>
      <c r="AI160" s="647" t="s">
        <v>69</v>
      </c>
      <c r="AJ160" s="647"/>
      <c r="AK160" s="647" t="s">
        <v>69</v>
      </c>
      <c r="AL160" s="647"/>
      <c r="AM160" s="647"/>
    </row>
    <row r="161" spans="1:39" ht="9.75" customHeight="1">
      <c r="A161" s="727"/>
      <c r="B161" s="729"/>
      <c r="C161" s="729"/>
      <c r="D161" s="729"/>
      <c r="E161" s="729"/>
      <c r="F161" s="728"/>
      <c r="G161" s="648"/>
      <c r="H161" s="648"/>
      <c r="I161" s="673"/>
      <c r="J161" s="717" t="s">
        <v>69</v>
      </c>
      <c r="K161" s="718"/>
      <c r="L161" s="719"/>
      <c r="M161" s="720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7"/>
      <c r="B162" s="688"/>
      <c r="C162" s="688"/>
      <c r="D162" s="688"/>
      <c r="E162" s="688"/>
      <c r="F162" s="689"/>
      <c r="G162" s="648"/>
      <c r="H162" s="648"/>
      <c r="I162" s="673"/>
      <c r="J162" s="714">
        <f>'Date masura OD'!$AL$5</f>
        <v>45777</v>
      </c>
      <c r="K162" s="715"/>
      <c r="L162" s="716"/>
      <c r="M162" s="720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4">
        <f>A160</f>
        <v>90078095</v>
      </c>
      <c r="B163" s="685"/>
      <c r="C163" s="685"/>
      <c r="D163" s="685"/>
      <c r="E163" s="685"/>
      <c r="F163" s="686"/>
      <c r="G163" s="648" t="s">
        <v>696</v>
      </c>
      <c r="H163" s="648"/>
      <c r="I163" s="648"/>
      <c r="J163" s="655">
        <f t="shared" ref="J163:J168" si="8">J160</f>
        <v>45748</v>
      </c>
      <c r="K163" s="656"/>
      <c r="L163" s="657"/>
      <c r="M163" s="648" t="s">
        <v>720</v>
      </c>
      <c r="N163" s="648"/>
      <c r="O163" s="648">
        <f>O160</f>
        <v>1</v>
      </c>
      <c r="P163" s="648"/>
      <c r="Q163" s="648"/>
      <c r="R163" s="647" t="str">
        <f>VLOOKUP(AI155,'Date masura OD'!$G:$BB,22,FALSE)&amp;" ("&amp;VLOOKUP(AI155,'Date masura OD'!$G:$BB,19,FALSE)&amp;")"</f>
        <v>263058 (estimare)</v>
      </c>
      <c r="S163" s="647"/>
      <c r="T163" s="647"/>
      <c r="U163" s="647" t="str">
        <f>VLOOKUP(AI155,'Date masura OD'!$G:$BB,23,FALSE)&amp;" ("&amp;VLOOKUP(AI155,'Date masura OD'!$G:$BB,19,FALSE)&amp;")"</f>
        <v>263058 (estimare)</v>
      </c>
      <c r="V163" s="647"/>
      <c r="W163" s="647"/>
      <c r="X163" s="647" t="str">
        <f>VLOOKUP(AI155,'Date masura OD'!$G:$BB,27,FALSE)&amp;" ("&amp;VLOOKUP(AI155,'Date masura OD'!$G:$BB,19,FALSE)&amp;")"</f>
        <v>0 (estimare)</v>
      </c>
      <c r="Y163" s="647"/>
      <c r="Z163" s="647"/>
      <c r="AA163" s="647">
        <f>(-1)*VLOOKUP(AI155,'Date masura OD'!$G:$BB,27,FALSE)</f>
        <v>0</v>
      </c>
      <c r="AB163" s="647"/>
      <c r="AC163" s="647"/>
      <c r="AD163" s="647" t="s">
        <v>69</v>
      </c>
      <c r="AE163" s="647"/>
      <c r="AF163" s="647">
        <f>AA163</f>
        <v>0</v>
      </c>
      <c r="AG163" s="647"/>
      <c r="AH163" s="647"/>
      <c r="AI163" s="647" t="str">
        <f>AI160</f>
        <v>-</v>
      </c>
      <c r="AJ163" s="647"/>
      <c r="AK163" s="647" t="str">
        <f>AK160</f>
        <v>-</v>
      </c>
      <c r="AL163" s="647"/>
      <c r="AM163" s="647"/>
    </row>
    <row r="164" spans="1:39" ht="8.4499999999999993" customHeight="1">
      <c r="A164" s="727"/>
      <c r="B164" s="729"/>
      <c r="C164" s="729"/>
      <c r="D164" s="729"/>
      <c r="E164" s="729"/>
      <c r="F164" s="728"/>
      <c r="G164" s="648"/>
      <c r="H164" s="648"/>
      <c r="I164" s="648"/>
      <c r="J164" s="717" t="str">
        <f t="shared" si="8"/>
        <v>-</v>
      </c>
      <c r="K164" s="718"/>
      <c r="L164" s="719"/>
      <c r="M164" s="648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7"/>
      <c r="B165" s="688"/>
      <c r="C165" s="688"/>
      <c r="D165" s="688"/>
      <c r="E165" s="688"/>
      <c r="F165" s="689"/>
      <c r="G165" s="648"/>
      <c r="H165" s="648"/>
      <c r="I165" s="648"/>
      <c r="J165" s="714">
        <f t="shared" si="8"/>
        <v>45777</v>
      </c>
      <c r="K165" s="715"/>
      <c r="L165" s="716"/>
      <c r="M165" s="648"/>
      <c r="N165" s="648"/>
      <c r="O165" s="648"/>
      <c r="P165" s="648"/>
      <c r="Q165" s="648"/>
      <c r="R165" s="647"/>
      <c r="S165" s="647"/>
      <c r="T165" s="647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84">
        <f>A163</f>
        <v>90078095</v>
      </c>
      <c r="B166" s="685"/>
      <c r="C166" s="685"/>
      <c r="D166" s="685"/>
      <c r="E166" s="685"/>
      <c r="F166" s="686"/>
      <c r="G166" s="648" t="s">
        <v>731</v>
      </c>
      <c r="H166" s="648"/>
      <c r="I166" s="648"/>
      <c r="J166" s="655">
        <f t="shared" si="8"/>
        <v>45748</v>
      </c>
      <c r="K166" s="656"/>
      <c r="L166" s="657"/>
      <c r="M166" s="648" t="s">
        <v>720</v>
      </c>
      <c r="N166" s="648"/>
      <c r="O166" s="648">
        <f>O163</f>
        <v>1</v>
      </c>
      <c r="P166" s="648"/>
      <c r="Q166" s="648"/>
      <c r="R166" s="647" t="str">
        <f>VLOOKUP(AI155,'Date masura OD'!$G:$BB,24,FALSE)&amp;" ("&amp;VLOOKUP(AI155,'Date masura OD'!$G:$BB,19,FALSE)&amp;")"</f>
        <v>0 (estimare)</v>
      </c>
      <c r="S166" s="647"/>
      <c r="T166" s="647"/>
      <c r="U166" s="647" t="str">
        <f>VLOOKUP(AI155,'Date masura OD'!$G:$BB,25,FALSE)&amp;" ("&amp;VLOOKUP(AI155,'Date masura OD'!$G:$BB,19,FALSE)&amp;")"</f>
        <v>0 (estimare)</v>
      </c>
      <c r="V166" s="647"/>
      <c r="W166" s="647"/>
      <c r="X166" s="647" t="str">
        <f>VLOOKUP(AI155,'Date masura OD'!$G:$BB,29,FALSE)&amp;" ("&amp;VLOOKUP(AI155,'Date masura OD'!$G:$BB,19,FALSE)&amp;")"</f>
        <v>0 (estimare)</v>
      </c>
      <c r="Y166" s="647"/>
      <c r="Z166" s="647"/>
      <c r="AA166" s="647">
        <f>(-1)*VLOOKUP(AI155,'Date masura OD'!$G:$BB,29,FALSE)</f>
        <v>0</v>
      </c>
      <c r="AB166" s="647"/>
      <c r="AC166" s="647"/>
      <c r="AD166" s="647" t="s">
        <v>69</v>
      </c>
      <c r="AE166" s="647"/>
      <c r="AF166" s="647">
        <f>AA166</f>
        <v>0</v>
      </c>
      <c r="AG166" s="647"/>
      <c r="AH166" s="647"/>
      <c r="AI166" s="647" t="str">
        <f>AI163</f>
        <v>-</v>
      </c>
      <c r="AJ166" s="647"/>
      <c r="AK166" s="647" t="str">
        <f>AK163</f>
        <v>-</v>
      </c>
      <c r="AL166" s="647"/>
      <c r="AM166" s="647"/>
    </row>
    <row r="167" spans="1:39" ht="8.4499999999999993" customHeight="1">
      <c r="A167" s="727"/>
      <c r="B167" s="729"/>
      <c r="C167" s="729"/>
      <c r="D167" s="729"/>
      <c r="E167" s="729"/>
      <c r="F167" s="728"/>
      <c r="G167" s="648"/>
      <c r="H167" s="648"/>
      <c r="I167" s="648"/>
      <c r="J167" s="717" t="str">
        <f t="shared" si="8"/>
        <v>-</v>
      </c>
      <c r="K167" s="718"/>
      <c r="L167" s="719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7"/>
      <c r="B168" s="688"/>
      <c r="C168" s="688"/>
      <c r="D168" s="688"/>
      <c r="E168" s="688"/>
      <c r="F168" s="689"/>
      <c r="G168" s="648"/>
      <c r="H168" s="648"/>
      <c r="I168" s="648"/>
      <c r="J168" s="714">
        <f t="shared" si="8"/>
        <v>45777</v>
      </c>
      <c r="K168" s="715"/>
      <c r="L168" s="716"/>
      <c r="M168" s="648"/>
      <c r="N168" s="648"/>
      <c r="O168" s="648"/>
      <c r="P168" s="648"/>
      <c r="Q168" s="648"/>
      <c r="R168" s="647"/>
      <c r="S168" s="647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47"/>
      <c r="AL168" s="647"/>
      <c r="AM168" s="647"/>
    </row>
    <row r="169" spans="1:39" ht="14.1" customHeight="1">
      <c r="A169" s="684">
        <f>A166</f>
        <v>90078095</v>
      </c>
      <c r="B169" s="685"/>
      <c r="C169" s="685"/>
      <c r="D169" s="685"/>
      <c r="E169" s="685"/>
      <c r="F169" s="686"/>
      <c r="G169" s="648" t="s">
        <v>730</v>
      </c>
      <c r="H169" s="648"/>
      <c r="I169" s="673"/>
      <c r="J169" s="655">
        <f>'Date masura OD'!$AK$5</f>
        <v>45748</v>
      </c>
      <c r="K169" s="656"/>
      <c r="L169" s="657"/>
      <c r="M169" s="720" t="s">
        <v>446</v>
      </c>
      <c r="N169" s="648"/>
      <c r="O169" s="648">
        <f>O166</f>
        <v>1</v>
      </c>
      <c r="P169" s="648"/>
      <c r="Q169" s="648"/>
      <c r="R169" s="647" t="str">
        <f>VLOOKUP(AI155,'Date masura OD'!$G:$BB,35,FALSE)&amp;" ("&amp;VLOOKUP(AI155,'Date masura OD'!$G:$BB,33,FALSE)&amp;")"</f>
        <v>814361 (citire)</v>
      </c>
      <c r="S169" s="647"/>
      <c r="T169" s="647"/>
      <c r="U169" s="647" t="str">
        <f>VLOOKUP(AI155,'Date masura OD'!$G:$BB,36,FALSE)&amp;" ("&amp;VLOOKUP(AI155,'Date masura OD'!$G:$BB,33,FALSE)&amp;")"</f>
        <v>855463 (citire)</v>
      </c>
      <c r="V169" s="647"/>
      <c r="W169" s="647"/>
      <c r="X169" s="647" t="str">
        <f>VLOOKUP(AI155,'Date masura OD'!$G:$BB,41,FALSE)&amp;" ("&amp;VLOOKUP(AI155,'Date masura OD'!$G:$BB,33,FALSE)&amp;")"</f>
        <v>41102 (citire)</v>
      </c>
      <c r="Y169" s="647"/>
      <c r="Z169" s="647"/>
      <c r="AA169" s="647">
        <f>VLOOKUP(AI155,'Date masura OD'!$G:$BB,41,FALSE)</f>
        <v>41102</v>
      </c>
      <c r="AB169" s="647"/>
      <c r="AC169" s="647"/>
      <c r="AD169" s="647" t="s">
        <v>69</v>
      </c>
      <c r="AE169" s="647"/>
      <c r="AF169" s="647">
        <f>AA169</f>
        <v>41102</v>
      </c>
      <c r="AG169" s="647"/>
      <c r="AH169" s="647"/>
      <c r="AI169" s="647" t="str">
        <f>AI166</f>
        <v>-</v>
      </c>
      <c r="AJ169" s="647"/>
      <c r="AK169" s="647" t="str">
        <f>AK166</f>
        <v>-</v>
      </c>
      <c r="AL169" s="647"/>
      <c r="AM169" s="647"/>
    </row>
    <row r="170" spans="1:39" ht="8.4499999999999993" customHeight="1">
      <c r="A170" s="727"/>
      <c r="B170" s="729"/>
      <c r="C170" s="729"/>
      <c r="D170" s="729"/>
      <c r="E170" s="729"/>
      <c r="F170" s="728"/>
      <c r="G170" s="648"/>
      <c r="H170" s="648"/>
      <c r="I170" s="673"/>
      <c r="J170" s="717" t="s">
        <v>69</v>
      </c>
      <c r="K170" s="718"/>
      <c r="L170" s="719"/>
      <c r="M170" s="720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87"/>
      <c r="B171" s="688"/>
      <c r="C171" s="688"/>
      <c r="D171" s="688"/>
      <c r="E171" s="688"/>
      <c r="F171" s="689"/>
      <c r="G171" s="648"/>
      <c r="H171" s="648"/>
      <c r="I171" s="673"/>
      <c r="J171" s="714">
        <f>'Date masura OD'!$AL$5</f>
        <v>45777</v>
      </c>
      <c r="K171" s="715"/>
      <c r="L171" s="716"/>
      <c r="M171" s="720"/>
      <c r="N171" s="648"/>
      <c r="O171" s="648"/>
      <c r="P171" s="648"/>
      <c r="Q171" s="648"/>
      <c r="R171" s="647"/>
      <c r="S171" s="647"/>
      <c r="T171" s="647"/>
      <c r="U171" s="647"/>
      <c r="V171" s="647"/>
      <c r="W171" s="647"/>
      <c r="X171" s="647"/>
      <c r="Y171" s="647"/>
      <c r="Z171" s="647"/>
      <c r="AA171" s="647"/>
      <c r="AB171" s="647"/>
      <c r="AC171" s="647"/>
      <c r="AD171" s="647"/>
      <c r="AE171" s="647"/>
      <c r="AF171" s="647"/>
      <c r="AG171" s="647"/>
      <c r="AH171" s="647"/>
      <c r="AI171" s="647"/>
      <c r="AJ171" s="647"/>
      <c r="AK171" s="647"/>
      <c r="AL171" s="647"/>
      <c r="AM171" s="647"/>
    </row>
    <row r="172" spans="1:39" ht="14.1" customHeight="1">
      <c r="A172" s="684">
        <f>A169</f>
        <v>90078095</v>
      </c>
      <c r="B172" s="685"/>
      <c r="C172" s="685"/>
      <c r="D172" s="685"/>
      <c r="E172" s="685"/>
      <c r="F172" s="686"/>
      <c r="G172" s="648" t="s">
        <v>696</v>
      </c>
      <c r="H172" s="648"/>
      <c r="I172" s="648"/>
      <c r="J172" s="655">
        <f t="shared" ref="J172:J177" si="9">J169</f>
        <v>45748</v>
      </c>
      <c r="K172" s="656"/>
      <c r="L172" s="657"/>
      <c r="M172" s="648" t="s">
        <v>720</v>
      </c>
      <c r="N172" s="648"/>
      <c r="O172" s="648">
        <f>O169</f>
        <v>1</v>
      </c>
      <c r="P172" s="648"/>
      <c r="Q172" s="648"/>
      <c r="R172" s="647" t="str">
        <f>VLOOKUP(AI155,'Date masura OD'!$G:$BB,37,FALSE)&amp;" ("&amp;VLOOKUP(AI155,'Date masura OD'!$G:$BB,33,FALSE)&amp;")"</f>
        <v>263058 (citire)</v>
      </c>
      <c r="S172" s="647"/>
      <c r="T172" s="647"/>
      <c r="U172" s="647" t="str">
        <f>VLOOKUP(AI155,'Date masura OD'!$G:$BB,38,FALSE)&amp;" ("&amp;VLOOKUP(AI155,'Date masura OD'!$G:$BB,33,FALSE)&amp;")"</f>
        <v>274747 (citire)</v>
      </c>
      <c r="V172" s="647"/>
      <c r="W172" s="647"/>
      <c r="X172" s="647" t="str">
        <f>VLOOKUP(AI155,'Date masura OD'!$G:$BB,42,FALSE)&amp;" ("&amp;VLOOKUP(AI155,'Date masura OD'!$G:$BB,33,FALSE)&amp;")"</f>
        <v>11689 (citire)</v>
      </c>
      <c r="Y172" s="647"/>
      <c r="Z172" s="647"/>
      <c r="AA172" s="647">
        <f>VLOOKUP(AI155,'Date masura OD'!$G:$BB,42,FALSE)</f>
        <v>11689</v>
      </c>
      <c r="AB172" s="647"/>
      <c r="AC172" s="647"/>
      <c r="AD172" s="647" t="s">
        <v>69</v>
      </c>
      <c r="AE172" s="647"/>
      <c r="AF172" s="647">
        <f>AA172</f>
        <v>11689</v>
      </c>
      <c r="AG172" s="647"/>
      <c r="AH172" s="647"/>
      <c r="AI172" s="647" t="str">
        <f>AI169</f>
        <v>-</v>
      </c>
      <c r="AJ172" s="647"/>
      <c r="AK172" s="647" t="str">
        <f>AK169</f>
        <v>-</v>
      </c>
      <c r="AL172" s="647"/>
      <c r="AM172" s="647"/>
    </row>
    <row r="173" spans="1:39" ht="8.4499999999999993" customHeight="1">
      <c r="A173" s="727"/>
      <c r="B173" s="729"/>
      <c r="C173" s="729"/>
      <c r="D173" s="729"/>
      <c r="E173" s="729"/>
      <c r="F173" s="728"/>
      <c r="G173" s="648"/>
      <c r="H173" s="648"/>
      <c r="I173" s="648"/>
      <c r="J173" s="717" t="str">
        <f t="shared" si="9"/>
        <v>-</v>
      </c>
      <c r="K173" s="718"/>
      <c r="L173" s="719"/>
      <c r="M173" s="648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87"/>
      <c r="B174" s="688"/>
      <c r="C174" s="688"/>
      <c r="D174" s="688"/>
      <c r="E174" s="688"/>
      <c r="F174" s="689"/>
      <c r="G174" s="648"/>
      <c r="H174" s="648"/>
      <c r="I174" s="648"/>
      <c r="J174" s="714">
        <f t="shared" si="9"/>
        <v>45777</v>
      </c>
      <c r="K174" s="715"/>
      <c r="L174" s="716"/>
      <c r="M174" s="648"/>
      <c r="N174" s="648"/>
      <c r="O174" s="648"/>
      <c r="P174" s="648"/>
      <c r="Q174" s="648"/>
      <c r="R174" s="647"/>
      <c r="S174" s="647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647"/>
      <c r="AL174" s="647"/>
      <c r="AM174" s="647"/>
    </row>
    <row r="175" spans="1:39" ht="14.1" customHeight="1">
      <c r="A175" s="684">
        <f>A172</f>
        <v>90078095</v>
      </c>
      <c r="B175" s="685"/>
      <c r="C175" s="685"/>
      <c r="D175" s="685"/>
      <c r="E175" s="685"/>
      <c r="F175" s="686"/>
      <c r="G175" s="648" t="s">
        <v>731</v>
      </c>
      <c r="H175" s="648"/>
      <c r="I175" s="648"/>
      <c r="J175" s="655">
        <f t="shared" si="9"/>
        <v>45748</v>
      </c>
      <c r="K175" s="656"/>
      <c r="L175" s="657"/>
      <c r="M175" s="648" t="s">
        <v>720</v>
      </c>
      <c r="N175" s="648"/>
      <c r="O175" s="648">
        <f>O172</f>
        <v>1</v>
      </c>
      <c r="P175" s="648"/>
      <c r="Q175" s="648"/>
      <c r="R175" s="647" t="str">
        <f>VLOOKUP(AI155,'Date masura OD'!$G:$BB,39,FALSE)&amp;" ("&amp;VLOOKUP(AI155,'Date masura OD'!$G:$BB,33,FALSE)&amp;")"</f>
        <v>0 (citire)</v>
      </c>
      <c r="S175" s="647"/>
      <c r="T175" s="647"/>
      <c r="U175" s="647" t="str">
        <f>VLOOKUP(AI155,'Date masura OD'!$G:$BB,40,FALSE)&amp;" ("&amp;VLOOKUP(AI155,'Date masura OD'!$G:$BB,33,FALSE)&amp;")"</f>
        <v>1 (citire)</v>
      </c>
      <c r="V175" s="647"/>
      <c r="W175" s="647"/>
      <c r="X175" s="647" t="str">
        <f>VLOOKUP(AI155,'Date masura OD'!$G:$BB,43,FALSE)&amp;" ("&amp;VLOOKUP(AI155,'Date masura OD'!$G:$BB,33,FALSE)&amp;")"</f>
        <v>1 (citire)</v>
      </c>
      <c r="Y175" s="647"/>
      <c r="Z175" s="647"/>
      <c r="AA175" s="647">
        <f>VLOOKUP(AI155,'Date masura OD'!$G:$BB,43,FALSE)</f>
        <v>1</v>
      </c>
      <c r="AB175" s="647"/>
      <c r="AC175" s="647"/>
      <c r="AD175" s="647" t="s">
        <v>69</v>
      </c>
      <c r="AE175" s="647"/>
      <c r="AF175" s="647">
        <f>AA175</f>
        <v>1</v>
      </c>
      <c r="AG175" s="647"/>
      <c r="AH175" s="647"/>
      <c r="AI175" s="647" t="str">
        <f>AI172</f>
        <v>-</v>
      </c>
      <c r="AJ175" s="647"/>
      <c r="AK175" s="647" t="str">
        <f>AK172</f>
        <v>-</v>
      </c>
      <c r="AL175" s="647"/>
      <c r="AM175" s="647"/>
    </row>
    <row r="176" spans="1:39" ht="8.4499999999999993" customHeight="1">
      <c r="A176" s="727"/>
      <c r="B176" s="729"/>
      <c r="C176" s="729"/>
      <c r="D176" s="729"/>
      <c r="E176" s="729"/>
      <c r="F176" s="728"/>
      <c r="G176" s="648"/>
      <c r="H176" s="648"/>
      <c r="I176" s="648"/>
      <c r="J176" s="717" t="str">
        <f t="shared" si="9"/>
        <v>-</v>
      </c>
      <c r="K176" s="718"/>
      <c r="L176" s="719"/>
      <c r="M176" s="648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7"/>
      <c r="B177" s="688"/>
      <c r="C177" s="688"/>
      <c r="D177" s="688"/>
      <c r="E177" s="688"/>
      <c r="F177" s="689"/>
      <c r="G177" s="648"/>
      <c r="H177" s="648"/>
      <c r="I177" s="648"/>
      <c r="J177" s="714">
        <f t="shared" si="9"/>
        <v>45777</v>
      </c>
      <c r="K177" s="715"/>
      <c r="L177" s="716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84">
        <f>A175</f>
        <v>90078095</v>
      </c>
      <c r="B178" s="685"/>
      <c r="C178" s="685"/>
      <c r="D178" s="685"/>
      <c r="E178" s="685"/>
      <c r="F178" s="686"/>
      <c r="G178" s="648" t="s">
        <v>730</v>
      </c>
      <c r="H178" s="648"/>
      <c r="I178" s="673"/>
      <c r="J178" s="655">
        <f>'Date masura OD'!$I$5</f>
        <v>45778</v>
      </c>
      <c r="K178" s="656"/>
      <c r="L178" s="657"/>
      <c r="M178" s="720" t="s">
        <v>446</v>
      </c>
      <c r="N178" s="648"/>
      <c r="O178" s="648">
        <f>O175</f>
        <v>1</v>
      </c>
      <c r="P178" s="648"/>
      <c r="Q178" s="648"/>
      <c r="R178" s="647" t="str">
        <f>U169</f>
        <v>855463 (citire)</v>
      </c>
      <c r="S178" s="647"/>
      <c r="T178" s="647"/>
      <c r="U178" s="647" t="str">
        <f>VLOOKUP(AI155,'Date masura OD'!$G:$BB,7,FALSE)&amp;" (estimat)"</f>
        <v>894423 (estimat)</v>
      </c>
      <c r="V178" s="647"/>
      <c r="W178" s="647"/>
      <c r="X178" s="647" t="str">
        <f>VLOOKUP(AI155,'Date masura OD'!$G:$BB,12,FALSE)&amp;" (estimat)"</f>
        <v>38960 (estimat)</v>
      </c>
      <c r="Y178" s="647"/>
      <c r="Z178" s="647"/>
      <c r="AA178" s="647" t="s">
        <v>69</v>
      </c>
      <c r="AB178" s="647"/>
      <c r="AC178" s="647"/>
      <c r="AD178" s="647" t="s">
        <v>69</v>
      </c>
      <c r="AE178" s="647"/>
      <c r="AF178" s="647">
        <f>VLOOKUP(AI155,'Date masura OD'!$G:$BB,12,FALSE)</f>
        <v>38960</v>
      </c>
      <c r="AG178" s="647"/>
      <c r="AH178" s="647"/>
      <c r="AI178" s="647">
        <f>J180-J178+1</f>
        <v>31</v>
      </c>
      <c r="AJ178" s="647"/>
      <c r="AK178" s="647">
        <f>ROUND(AF178/AI178,2)</f>
        <v>1256.77</v>
      </c>
      <c r="AL178" s="647"/>
      <c r="AM178" s="647"/>
    </row>
    <row r="179" spans="1:39" ht="8.4499999999999993" customHeight="1">
      <c r="A179" s="727"/>
      <c r="B179" s="729"/>
      <c r="C179" s="729"/>
      <c r="D179" s="729"/>
      <c r="E179" s="729"/>
      <c r="F179" s="728"/>
      <c r="G179" s="648"/>
      <c r="H179" s="648"/>
      <c r="I179" s="673"/>
      <c r="J179" s="717" t="s">
        <v>69</v>
      </c>
      <c r="K179" s="718"/>
      <c r="L179" s="719"/>
      <c r="M179" s="720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7"/>
      <c r="B180" s="688"/>
      <c r="C180" s="688"/>
      <c r="D180" s="688"/>
      <c r="E180" s="688"/>
      <c r="F180" s="689"/>
      <c r="G180" s="648"/>
      <c r="H180" s="648"/>
      <c r="I180" s="673"/>
      <c r="J180" s="714">
        <f>'Date masura OD'!$J$5</f>
        <v>45808</v>
      </c>
      <c r="K180" s="715"/>
      <c r="L180" s="716"/>
      <c r="M180" s="720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84">
        <f>A178</f>
        <v>90078095</v>
      </c>
      <c r="B181" s="685"/>
      <c r="C181" s="685"/>
      <c r="D181" s="685"/>
      <c r="E181" s="685"/>
      <c r="F181" s="686"/>
      <c r="G181" s="648" t="s">
        <v>696</v>
      </c>
      <c r="H181" s="648"/>
      <c r="I181" s="648"/>
      <c r="J181" s="655">
        <f t="shared" ref="J181:J186" si="10">J178</f>
        <v>45778</v>
      </c>
      <c r="K181" s="656"/>
      <c r="L181" s="657"/>
      <c r="M181" s="648" t="s">
        <v>720</v>
      </c>
      <c r="N181" s="648"/>
      <c r="O181" s="648">
        <f>O178</f>
        <v>1</v>
      </c>
      <c r="P181" s="648"/>
      <c r="Q181" s="648"/>
      <c r="R181" s="647" t="str">
        <f>U172</f>
        <v>274747 (citire)</v>
      </c>
      <c r="S181" s="647"/>
      <c r="T181" s="647"/>
      <c r="U181" s="647" t="str">
        <f>VLOOKUP(AI155,'Date masura OD'!$G:$BB,9,FALSE)&amp;" (estimat)"</f>
        <v>274747 (estimat)</v>
      </c>
      <c r="V181" s="647"/>
      <c r="W181" s="647"/>
      <c r="X181" s="647" t="str">
        <f>VLOOKUP(AI155,'Date masura OD'!$G:$BB,13,FALSE)&amp;" (estimat)"</f>
        <v>0 (estimat)</v>
      </c>
      <c r="Y181" s="647"/>
      <c r="Z181" s="647"/>
      <c r="AA181" s="647" t="s">
        <v>69</v>
      </c>
      <c r="AB181" s="647"/>
      <c r="AC181" s="647"/>
      <c r="AD181" s="647" t="s">
        <v>69</v>
      </c>
      <c r="AE181" s="647"/>
      <c r="AF181" s="647">
        <f>VLOOKUP(AI155,'Date masura OD'!$G:$BB,13,FALSE)</f>
        <v>0</v>
      </c>
      <c r="AG181" s="647"/>
      <c r="AH181" s="647"/>
      <c r="AI181" s="647">
        <f>AI178</f>
        <v>31</v>
      </c>
      <c r="AJ181" s="647"/>
      <c r="AK181" s="647">
        <f>ROUND(AF181/AI181,2)</f>
        <v>0</v>
      </c>
      <c r="AL181" s="647"/>
      <c r="AM181" s="647"/>
    </row>
    <row r="182" spans="1:39" ht="8.4499999999999993" customHeight="1">
      <c r="A182" s="727"/>
      <c r="B182" s="729"/>
      <c r="C182" s="729"/>
      <c r="D182" s="729"/>
      <c r="E182" s="729"/>
      <c r="F182" s="728"/>
      <c r="G182" s="648"/>
      <c r="H182" s="648"/>
      <c r="I182" s="648"/>
      <c r="J182" s="717" t="str">
        <f t="shared" si="10"/>
        <v>-</v>
      </c>
      <c r="K182" s="718"/>
      <c r="L182" s="719"/>
      <c r="M182" s="648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87"/>
      <c r="B183" s="688"/>
      <c r="C183" s="688"/>
      <c r="D183" s="688"/>
      <c r="E183" s="688"/>
      <c r="F183" s="689"/>
      <c r="G183" s="648"/>
      <c r="H183" s="648"/>
      <c r="I183" s="648"/>
      <c r="J183" s="714">
        <f t="shared" si="10"/>
        <v>45808</v>
      </c>
      <c r="K183" s="715"/>
      <c r="L183" s="716"/>
      <c r="M183" s="648"/>
      <c r="N183" s="648"/>
      <c r="O183" s="648"/>
      <c r="P183" s="648"/>
      <c r="Q183" s="648"/>
      <c r="R183" s="647"/>
      <c r="S183" s="647"/>
      <c r="T183" s="647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>
      <c r="A184" s="684">
        <f>A181</f>
        <v>90078095</v>
      </c>
      <c r="B184" s="685"/>
      <c r="C184" s="685"/>
      <c r="D184" s="685"/>
      <c r="E184" s="685"/>
      <c r="F184" s="686"/>
      <c r="G184" s="648" t="s">
        <v>731</v>
      </c>
      <c r="H184" s="648"/>
      <c r="I184" s="648"/>
      <c r="J184" s="655">
        <f t="shared" si="10"/>
        <v>45778</v>
      </c>
      <c r="K184" s="656"/>
      <c r="L184" s="657"/>
      <c r="M184" s="648" t="s">
        <v>720</v>
      </c>
      <c r="N184" s="648"/>
      <c r="O184" s="648">
        <f>O181</f>
        <v>1</v>
      </c>
      <c r="P184" s="648"/>
      <c r="Q184" s="648"/>
      <c r="R184" s="647" t="str">
        <f>U175</f>
        <v>1 (citire)</v>
      </c>
      <c r="S184" s="647"/>
      <c r="T184" s="647"/>
      <c r="U184" s="647" t="str">
        <f>VLOOKUP(AI155,'Date masura OD'!$G:$BB,11,FALSE)&amp;" (estimat)"</f>
        <v>1 (estimat)</v>
      </c>
      <c r="V184" s="647"/>
      <c r="W184" s="647"/>
      <c r="X184" s="647" t="str">
        <f>VLOOKUP(AI155,'Date masura OD'!$G:$BB,15,FALSE)&amp;" (estimat)"</f>
        <v>0 (estimat)</v>
      </c>
      <c r="Y184" s="647"/>
      <c r="Z184" s="647"/>
      <c r="AA184" s="647" t="s">
        <v>69</v>
      </c>
      <c r="AB184" s="647"/>
      <c r="AC184" s="647"/>
      <c r="AD184" s="647" t="s">
        <v>69</v>
      </c>
      <c r="AE184" s="647"/>
      <c r="AF184" s="647">
        <f>VLOOKUP(AI155,'Date masura OD'!$G:$BB,15,FALSE)</f>
        <v>0</v>
      </c>
      <c r="AG184" s="647"/>
      <c r="AH184" s="647"/>
      <c r="AI184" s="647">
        <f>AI181</f>
        <v>31</v>
      </c>
      <c r="AJ184" s="647"/>
      <c r="AK184" s="647">
        <f>ROUND(AF184/AI184,2)</f>
        <v>0</v>
      </c>
      <c r="AL184" s="647"/>
      <c r="AM184" s="647"/>
    </row>
    <row r="185" spans="1:39" ht="8.4499999999999993" customHeight="1">
      <c r="A185" s="727"/>
      <c r="B185" s="729"/>
      <c r="C185" s="729"/>
      <c r="D185" s="729"/>
      <c r="E185" s="729"/>
      <c r="F185" s="728"/>
      <c r="G185" s="648"/>
      <c r="H185" s="648"/>
      <c r="I185" s="648"/>
      <c r="J185" s="717" t="str">
        <f t="shared" si="10"/>
        <v>-</v>
      </c>
      <c r="K185" s="718"/>
      <c r="L185" s="719"/>
      <c r="M185" s="648"/>
      <c r="N185" s="648"/>
      <c r="O185" s="648"/>
      <c r="P185" s="648"/>
      <c r="Q185" s="648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7"/>
      <c r="AG185" s="647"/>
      <c r="AH185" s="647"/>
      <c r="AI185" s="647"/>
      <c r="AJ185" s="647"/>
      <c r="AK185" s="647"/>
      <c r="AL185" s="647"/>
      <c r="AM185" s="647"/>
    </row>
    <row r="186" spans="1:39" ht="14.1" customHeight="1">
      <c r="A186" s="687"/>
      <c r="B186" s="688"/>
      <c r="C186" s="688"/>
      <c r="D186" s="688"/>
      <c r="E186" s="688"/>
      <c r="F186" s="689"/>
      <c r="G186" s="648"/>
      <c r="H186" s="648"/>
      <c r="I186" s="648"/>
      <c r="J186" s="714">
        <f t="shared" si="10"/>
        <v>45808</v>
      </c>
      <c r="K186" s="715"/>
      <c r="L186" s="716"/>
      <c r="M186" s="648"/>
      <c r="N186" s="648"/>
      <c r="O186" s="648"/>
      <c r="P186" s="648"/>
      <c r="Q186" s="648"/>
      <c r="R186" s="647"/>
      <c r="S186" s="647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</row>
    <row r="187" spans="1:39" ht="14.1" customHeight="1">
      <c r="A187" s="678" t="s">
        <v>1084</v>
      </c>
      <c r="B187" s="679"/>
      <c r="C187" s="679"/>
      <c r="D187" s="679"/>
      <c r="E187" s="679"/>
      <c r="F187" s="680"/>
      <c r="G187" s="648" t="s">
        <v>1413</v>
      </c>
      <c r="H187" s="648"/>
      <c r="I187" s="648"/>
      <c r="J187" s="655">
        <f>'Date masura OD'!$AK$5</f>
        <v>45748</v>
      </c>
      <c r="K187" s="656"/>
      <c r="L187" s="657"/>
      <c r="M187" s="720" t="s">
        <v>446</v>
      </c>
      <c r="N187" s="648"/>
      <c r="O187" s="648">
        <v>1</v>
      </c>
      <c r="P187" s="648"/>
      <c r="Q187" s="648"/>
      <c r="R187" s="647">
        <v>0</v>
      </c>
      <c r="S187" s="647"/>
      <c r="T187" s="647"/>
      <c r="U187" s="647">
        <v>0</v>
      </c>
      <c r="V187" s="647"/>
      <c r="W187" s="647"/>
      <c r="X187" s="647">
        <v>0</v>
      </c>
      <c r="Y187" s="647"/>
      <c r="Z187" s="647"/>
      <c r="AA187" s="647" t="s">
        <v>69</v>
      </c>
      <c r="AB187" s="647"/>
      <c r="AC187" s="647"/>
      <c r="AD187" s="647" t="s">
        <v>69</v>
      </c>
      <c r="AE187" s="647"/>
      <c r="AF187" s="647">
        <f>VLOOKUP(A187,'Date masura OD'!G:BB,44,FALSE)</f>
        <v>1563</v>
      </c>
      <c r="AG187" s="647"/>
      <c r="AH187" s="647"/>
      <c r="AI187" s="647">
        <f>AI184</f>
        <v>31</v>
      </c>
      <c r="AJ187" s="647"/>
      <c r="AK187" s="647">
        <f>ROUND(AF187/AI187,2)</f>
        <v>50.42</v>
      </c>
      <c r="AL187" s="647"/>
      <c r="AM187" s="647"/>
    </row>
    <row r="188" spans="1:39" ht="14.1" customHeight="1">
      <c r="A188" s="717"/>
      <c r="B188" s="718"/>
      <c r="C188" s="718"/>
      <c r="D188" s="718"/>
      <c r="E188" s="718"/>
      <c r="F188" s="719"/>
      <c r="G188" s="648"/>
      <c r="H188" s="648"/>
      <c r="I188" s="648"/>
      <c r="J188" s="717" t="s">
        <v>69</v>
      </c>
      <c r="K188" s="718"/>
      <c r="L188" s="719"/>
      <c r="M188" s="720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>
      <c r="A189" s="681"/>
      <c r="B189" s="682"/>
      <c r="C189" s="682"/>
      <c r="D189" s="682"/>
      <c r="E189" s="682"/>
      <c r="F189" s="683"/>
      <c r="G189" s="648"/>
      <c r="H189" s="648"/>
      <c r="I189" s="648"/>
      <c r="J189" s="714">
        <f>'Date masura OD'!$AL$5</f>
        <v>45777</v>
      </c>
      <c r="K189" s="715"/>
      <c r="L189" s="716"/>
      <c r="M189" s="720"/>
      <c r="N189" s="648"/>
      <c r="O189" s="648"/>
      <c r="P189" s="648"/>
      <c r="Q189" s="648"/>
      <c r="R189" s="647"/>
      <c r="S189" s="647"/>
      <c r="T189" s="647"/>
      <c r="U189" s="647"/>
      <c r="V189" s="647"/>
      <c r="W189" s="647"/>
      <c r="X189" s="647"/>
      <c r="Y189" s="647"/>
      <c r="Z189" s="647"/>
      <c r="AA189" s="647"/>
      <c r="AB189" s="647"/>
      <c r="AC189" s="647"/>
      <c r="AD189" s="647"/>
      <c r="AE189" s="647"/>
      <c r="AF189" s="647"/>
      <c r="AG189" s="647"/>
      <c r="AH189" s="647"/>
      <c r="AI189" s="647"/>
      <c r="AJ189" s="647"/>
      <c r="AK189" s="647"/>
      <c r="AL189" s="647"/>
      <c r="AM189" s="647"/>
    </row>
    <row r="190" spans="1:39" ht="14.1" customHeight="1">
      <c r="A190" s="678" t="s">
        <v>1084</v>
      </c>
      <c r="B190" s="679"/>
      <c r="C190" s="679"/>
      <c r="D190" s="679"/>
      <c r="E190" s="679"/>
      <c r="F190" s="680"/>
      <c r="G190" s="648" t="s">
        <v>1414</v>
      </c>
      <c r="H190" s="648"/>
      <c r="I190" s="648"/>
      <c r="J190" s="655">
        <f t="shared" ref="J190:J195" si="11">J187</f>
        <v>45748</v>
      </c>
      <c r="K190" s="656"/>
      <c r="L190" s="657"/>
      <c r="M190" s="648" t="s">
        <v>720</v>
      </c>
      <c r="N190" s="648"/>
      <c r="O190" s="648">
        <v>1</v>
      </c>
      <c r="P190" s="648"/>
      <c r="Q190" s="648"/>
      <c r="R190" s="647">
        <v>0</v>
      </c>
      <c r="S190" s="647"/>
      <c r="T190" s="647"/>
      <c r="U190" s="647">
        <v>0</v>
      </c>
      <c r="V190" s="647"/>
      <c r="W190" s="647"/>
      <c r="X190" s="647">
        <v>0</v>
      </c>
      <c r="Y190" s="647"/>
      <c r="Z190" s="647"/>
      <c r="AA190" s="647" t="s">
        <v>69</v>
      </c>
      <c r="AB190" s="647"/>
      <c r="AC190" s="647"/>
      <c r="AD190" s="647" t="s">
        <v>69</v>
      </c>
      <c r="AE190" s="647"/>
      <c r="AF190" s="647">
        <f>SUM(VLOOKUP(A187,'Date masura OD'!G:BB,45,FALSE)+VLOOKUP(A187,'Date masura OD'!G:BB,46,FALSE))</f>
        <v>3152</v>
      </c>
      <c r="AG190" s="647"/>
      <c r="AH190" s="647"/>
      <c r="AI190" s="647">
        <f>AI187</f>
        <v>31</v>
      </c>
      <c r="AJ190" s="647"/>
      <c r="AK190" s="647">
        <f>ROUND(AF190/AI190,2)</f>
        <v>101.68</v>
      </c>
      <c r="AL190" s="647"/>
      <c r="AM190" s="647"/>
    </row>
    <row r="191" spans="1:39" ht="14.1" customHeight="1">
      <c r="A191" s="717"/>
      <c r="B191" s="718"/>
      <c r="C191" s="718"/>
      <c r="D191" s="718"/>
      <c r="E191" s="718"/>
      <c r="F191" s="719"/>
      <c r="G191" s="648"/>
      <c r="H191" s="648"/>
      <c r="I191" s="648"/>
      <c r="J191" s="717" t="str">
        <f t="shared" si="11"/>
        <v>-</v>
      </c>
      <c r="K191" s="718"/>
      <c r="L191" s="719"/>
      <c r="M191" s="648"/>
      <c r="N191" s="648"/>
      <c r="O191" s="648"/>
      <c r="P191" s="648"/>
      <c r="Q191" s="648"/>
      <c r="R191" s="647"/>
      <c r="S191" s="647"/>
      <c r="T191" s="647"/>
      <c r="U191" s="647"/>
      <c r="V191" s="647"/>
      <c r="W191" s="647"/>
      <c r="X191" s="647"/>
      <c r="Y191" s="647"/>
      <c r="Z191" s="647"/>
      <c r="AA191" s="647"/>
      <c r="AB191" s="647"/>
      <c r="AC191" s="647"/>
      <c r="AD191" s="647"/>
      <c r="AE191" s="647"/>
      <c r="AF191" s="647"/>
      <c r="AG191" s="647"/>
      <c r="AH191" s="647"/>
      <c r="AI191" s="647"/>
      <c r="AJ191" s="647"/>
      <c r="AK191" s="647"/>
      <c r="AL191" s="647"/>
      <c r="AM191" s="647"/>
    </row>
    <row r="192" spans="1:39" ht="14.1" customHeight="1">
      <c r="A192" s="681"/>
      <c r="B192" s="682"/>
      <c r="C192" s="682"/>
      <c r="D192" s="682"/>
      <c r="E192" s="682"/>
      <c r="F192" s="683"/>
      <c r="G192" s="648"/>
      <c r="H192" s="648"/>
      <c r="I192" s="648"/>
      <c r="J192" s="714">
        <f t="shared" si="11"/>
        <v>45777</v>
      </c>
      <c r="K192" s="715"/>
      <c r="L192" s="716"/>
      <c r="M192" s="648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 ht="14.1" customHeight="1">
      <c r="A193" s="678" t="s">
        <v>1084</v>
      </c>
      <c r="B193" s="679"/>
      <c r="C193" s="679"/>
      <c r="D193" s="679"/>
      <c r="E193" s="679"/>
      <c r="F193" s="680"/>
      <c r="G193" s="648" t="s">
        <v>1415</v>
      </c>
      <c r="H193" s="648"/>
      <c r="I193" s="648"/>
      <c r="J193" s="655">
        <f t="shared" si="11"/>
        <v>45748</v>
      </c>
      <c r="K193" s="656"/>
      <c r="L193" s="657"/>
      <c r="M193" s="648" t="s">
        <v>720</v>
      </c>
      <c r="N193" s="648"/>
      <c r="O193" s="648">
        <v>1</v>
      </c>
      <c r="P193" s="648"/>
      <c r="Q193" s="648"/>
      <c r="R193" s="647">
        <v>0</v>
      </c>
      <c r="S193" s="647"/>
      <c r="T193" s="647"/>
      <c r="U193" s="647">
        <v>0</v>
      </c>
      <c r="V193" s="647"/>
      <c r="W193" s="647"/>
      <c r="X193" s="647">
        <v>0</v>
      </c>
      <c r="Y193" s="647"/>
      <c r="Z193" s="647"/>
      <c r="AA193" s="647" t="s">
        <v>69</v>
      </c>
      <c r="AB193" s="647"/>
      <c r="AC193" s="647"/>
      <c r="AD193" s="647" t="s">
        <v>69</v>
      </c>
      <c r="AE193" s="647"/>
      <c r="AF193" s="647">
        <f>SUM(VLOOKUP(A187,'Date masura OD'!G:BB,47,FALSE)+VLOOKUP(A187,'Date masura OD'!G:BB,48,FALSE))</f>
        <v>0</v>
      </c>
      <c r="AG193" s="647"/>
      <c r="AH193" s="647"/>
      <c r="AI193" s="647">
        <f>AI190</f>
        <v>31</v>
      </c>
      <c r="AJ193" s="647"/>
      <c r="AK193" s="647">
        <f>ROUND(AF193/AI193,2)</f>
        <v>0</v>
      </c>
      <c r="AL193" s="647"/>
      <c r="AM193" s="647"/>
    </row>
    <row r="194" spans="1:39" ht="14.1" customHeight="1">
      <c r="A194" s="717"/>
      <c r="B194" s="718"/>
      <c r="C194" s="718"/>
      <c r="D194" s="718"/>
      <c r="E194" s="718"/>
      <c r="F194" s="719"/>
      <c r="G194" s="648"/>
      <c r="H194" s="648"/>
      <c r="I194" s="648"/>
      <c r="J194" s="717" t="str">
        <f t="shared" si="11"/>
        <v>-</v>
      </c>
      <c r="K194" s="718"/>
      <c r="L194" s="719"/>
      <c r="M194" s="648"/>
      <c r="N194" s="648"/>
      <c r="O194" s="648"/>
      <c r="P194" s="648"/>
      <c r="Q194" s="648"/>
      <c r="R194" s="647"/>
      <c r="S194" s="647"/>
      <c r="T194" s="647"/>
      <c r="U194" s="647"/>
      <c r="V194" s="647"/>
      <c r="W194" s="647"/>
      <c r="X194" s="647"/>
      <c r="Y194" s="647"/>
      <c r="Z194" s="647"/>
      <c r="AA194" s="647"/>
      <c r="AB194" s="647"/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</row>
    <row r="195" spans="1:39" ht="14.1" customHeight="1">
      <c r="A195" s="681"/>
      <c r="B195" s="682"/>
      <c r="C195" s="682"/>
      <c r="D195" s="682"/>
      <c r="E195" s="682"/>
      <c r="F195" s="683"/>
      <c r="G195" s="648"/>
      <c r="H195" s="648"/>
      <c r="I195" s="648"/>
      <c r="J195" s="714">
        <f t="shared" si="11"/>
        <v>45777</v>
      </c>
      <c r="K195" s="715"/>
      <c r="L195" s="716"/>
      <c r="M195" s="648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/>
    <row r="197" spans="1:39" ht="15.95" customHeight="1">
      <c r="A197" s="624" t="str">
        <f>A27</f>
        <v>DETALII FACTURA FACTURA FISCALA SERIA …........ NR …................. din date de ….......06.2025</v>
      </c>
      <c r="B197" s="624"/>
      <c r="C197" s="624"/>
      <c r="D197" s="624"/>
      <c r="E197" s="624"/>
      <c r="F197" s="624"/>
      <c r="G197" s="624"/>
      <c r="H197" s="624"/>
      <c r="I197" s="624"/>
      <c r="J197" s="624"/>
      <c r="K197" s="624"/>
      <c r="L197" s="624"/>
      <c r="M197" s="624"/>
      <c r="N197" s="624"/>
      <c r="O197" s="624"/>
      <c r="P197" s="624"/>
      <c r="Q197" s="624"/>
      <c r="R197" s="624"/>
      <c r="S197" s="624"/>
      <c r="T197" s="624"/>
      <c r="U197" s="624"/>
      <c r="V197" s="624"/>
      <c r="W197" s="624"/>
      <c r="X197" s="624"/>
      <c r="Y197" s="624"/>
      <c r="Z197" s="624"/>
      <c r="AA197" s="624"/>
      <c r="AB197" s="624"/>
      <c r="AC197" s="624"/>
      <c r="AD197" s="624"/>
      <c r="AE197" s="624"/>
      <c r="AF197" s="624"/>
      <c r="AG197" s="624"/>
      <c r="AH197" s="624"/>
      <c r="AI197" s="624"/>
      <c r="AJ197" s="624"/>
      <c r="AK197" s="624"/>
      <c r="AL197" s="624"/>
      <c r="AM197" s="624"/>
    </row>
    <row r="199" spans="1:39" ht="36" customHeight="1">
      <c r="A199" s="66" t="s">
        <v>721</v>
      </c>
      <c r="B199" s="648" t="s">
        <v>95</v>
      </c>
      <c r="C199" s="648"/>
      <c r="D199" s="648"/>
      <c r="E199" s="648"/>
      <c r="F199" s="648"/>
      <c r="G199" s="648"/>
      <c r="H199" s="648"/>
      <c r="I199" s="648"/>
      <c r="J199" s="648"/>
      <c r="K199" s="648"/>
      <c r="L199" s="64" t="s">
        <v>709</v>
      </c>
      <c r="M199" s="69"/>
      <c r="N199" s="69"/>
      <c r="O199" s="64"/>
      <c r="P199" s="69"/>
      <c r="Q199" s="69"/>
      <c r="R199" s="647" t="s">
        <v>722</v>
      </c>
      <c r="S199" s="647"/>
      <c r="T199" s="647"/>
      <c r="U199" s="647"/>
      <c r="V199" s="648" t="s">
        <v>519</v>
      </c>
      <c r="W199" s="648"/>
      <c r="X199" s="647" t="s">
        <v>723</v>
      </c>
      <c r="Y199" s="647"/>
      <c r="Z199" s="647"/>
      <c r="AA199" s="647"/>
      <c r="AB199" s="647" t="s">
        <v>724</v>
      </c>
      <c r="AC199" s="647"/>
      <c r="AD199" s="647"/>
      <c r="AE199" s="647"/>
      <c r="AF199" s="647" t="s">
        <v>725</v>
      </c>
      <c r="AG199" s="647"/>
      <c r="AH199" s="647"/>
      <c r="AI199" s="647"/>
      <c r="AJ199" s="647" t="s">
        <v>726</v>
      </c>
      <c r="AK199" s="647"/>
      <c r="AL199" s="647"/>
      <c r="AM199" s="647"/>
    </row>
    <row r="200" spans="1:39" ht="15.95" customHeight="1">
      <c r="A200" s="65">
        <v>1</v>
      </c>
      <c r="B200" s="699" t="s">
        <v>71</v>
      </c>
      <c r="C200" s="700"/>
      <c r="D200" s="700"/>
      <c r="E200" s="700"/>
      <c r="F200" s="700"/>
      <c r="G200" s="700"/>
      <c r="H200" s="700"/>
      <c r="I200" s="700"/>
      <c r="J200" s="700"/>
      <c r="K200" s="701"/>
      <c r="L200" s="702">
        <f>'Date masura OD'!$I$5</f>
        <v>45778</v>
      </c>
      <c r="M200" s="702"/>
      <c r="N200" s="702"/>
      <c r="O200" s="702">
        <f>'Date masura OD'!$J$5</f>
        <v>45808</v>
      </c>
      <c r="P200" s="702"/>
      <c r="Q200" s="702"/>
      <c r="R200" s="690" cm="1">
        <f t="array" ref="R200">INDEX(verificare!$AT$4:$CC$26,VLOOKUP($AA$15,verificare!$AR$4:$AS$26,2,FALSE),A200)</f>
        <v>206035</v>
      </c>
      <c r="S200" s="690"/>
      <c r="T200" s="690"/>
      <c r="U200" s="690"/>
      <c r="V200" s="658" t="s">
        <v>446</v>
      </c>
      <c r="W200" s="658"/>
      <c r="X200" s="691">
        <f>HLOOKUP(VLOOKUP($AA$15,'Date SPV'!$B:$F,5,FALSE),'Preturi si tarife'!$C$2:$J$39,A200+2,FALSE)</f>
        <v>0.59499999999999997</v>
      </c>
      <c r="Y200" s="692"/>
      <c r="Z200" s="692"/>
      <c r="AA200" s="693"/>
      <c r="AB200" s="690">
        <f>ROUND(X200*R200,2)</f>
        <v>122590.83</v>
      </c>
      <c r="AC200" s="690"/>
      <c r="AD200" s="690"/>
      <c r="AE200" s="690"/>
      <c r="AF200" s="690">
        <f>ROUND(AB200*19%,2)</f>
        <v>23292.26</v>
      </c>
      <c r="AG200" s="690"/>
      <c r="AH200" s="690"/>
      <c r="AI200" s="690"/>
      <c r="AJ200" s="690">
        <f>AB200+AF200</f>
        <v>145883.09</v>
      </c>
      <c r="AK200" s="690"/>
      <c r="AL200" s="690"/>
      <c r="AM200" s="690"/>
    </row>
    <row r="201" spans="1:39">
      <c r="A201" s="65">
        <f>A200+1</f>
        <v>2</v>
      </c>
      <c r="B201" s="699" t="s">
        <v>72</v>
      </c>
      <c r="C201" s="700"/>
      <c r="D201" s="700"/>
      <c r="E201" s="700"/>
      <c r="F201" s="700"/>
      <c r="G201" s="700"/>
      <c r="H201" s="700"/>
      <c r="I201" s="700"/>
      <c r="J201" s="700"/>
      <c r="K201" s="701"/>
      <c r="L201" s="702">
        <f>L200</f>
        <v>45778</v>
      </c>
      <c r="M201" s="702"/>
      <c r="N201" s="702"/>
      <c r="O201" s="702">
        <f>O200</f>
        <v>45808</v>
      </c>
      <c r="P201" s="702"/>
      <c r="Q201" s="702"/>
      <c r="R201" s="772" cm="1">
        <f t="array" ref="R201">INDEX(verificare!$AT$4:$CC$26,VLOOKUP($AA$15,verificare!$AR$4:$AS$26,2,FALSE),A201)</f>
        <v>0</v>
      </c>
      <c r="S201" s="773"/>
      <c r="T201" s="773"/>
      <c r="U201" s="774"/>
      <c r="V201" s="658" t="s">
        <v>727</v>
      </c>
      <c r="W201" s="658"/>
      <c r="X201" s="691">
        <f>HLOOKUP(VLOOKUP($AA$15,'Date SPV'!$B:$F,5,FALSE),'Preturi si tarife'!$C$2:$J$39,A201+2,FALSE)</f>
        <v>0.14649999999999999</v>
      </c>
      <c r="Y201" s="692"/>
      <c r="Z201" s="692"/>
      <c r="AA201" s="693"/>
      <c r="AB201" s="690">
        <f t="shared" ref="AB201:AB235" si="12">ROUND(X201*R201,2)</f>
        <v>0</v>
      </c>
      <c r="AC201" s="690"/>
      <c r="AD201" s="690"/>
      <c r="AE201" s="690"/>
      <c r="AF201" s="690">
        <f t="shared" ref="AF201:AF236" si="13">ROUND(AB201*19%,2)</f>
        <v>0</v>
      </c>
      <c r="AG201" s="690"/>
      <c r="AH201" s="690"/>
      <c r="AI201" s="690"/>
      <c r="AJ201" s="690">
        <f t="shared" ref="AJ201:AJ236" si="14">AB201+AF201</f>
        <v>0</v>
      </c>
      <c r="AK201" s="690"/>
      <c r="AL201" s="690"/>
      <c r="AM201" s="690"/>
    </row>
    <row r="202" spans="1:39">
      <c r="A202" s="65">
        <f t="shared" ref="A202:A236" si="15">A201+1</f>
        <v>3</v>
      </c>
      <c r="B202" s="699" t="s">
        <v>73</v>
      </c>
      <c r="C202" s="700"/>
      <c r="D202" s="700"/>
      <c r="E202" s="700"/>
      <c r="F202" s="700"/>
      <c r="G202" s="700"/>
      <c r="H202" s="700"/>
      <c r="I202" s="700"/>
      <c r="J202" s="700"/>
      <c r="K202" s="701"/>
      <c r="L202" s="702">
        <f t="shared" ref="L202:L217" si="16">L201</f>
        <v>45778</v>
      </c>
      <c r="M202" s="702"/>
      <c r="N202" s="702"/>
      <c r="O202" s="702">
        <f t="shared" ref="O202:O217" si="17">O201</f>
        <v>45808</v>
      </c>
      <c r="P202" s="702"/>
      <c r="Q202" s="702"/>
      <c r="R202" s="772" cm="1">
        <f t="array" ref="R202">INDEX(verificare!$AT$4:$CC$26,VLOOKUP($AA$15,verificare!$AR$4:$AS$26,2,FALSE),A202)</f>
        <v>0</v>
      </c>
      <c r="S202" s="773"/>
      <c r="T202" s="773"/>
      <c r="U202" s="774"/>
      <c r="V202" s="658" t="s">
        <v>727</v>
      </c>
      <c r="W202" s="658"/>
      <c r="X202" s="691">
        <f>HLOOKUP(VLOOKUP($AA$15,'Date SPV'!$B:$F,5,FALSE),'Preturi si tarife'!$C$2:$J$39,A202+2,FALSE)</f>
        <v>0.4395</v>
      </c>
      <c r="Y202" s="692"/>
      <c r="Z202" s="692"/>
      <c r="AA202" s="693"/>
      <c r="AB202" s="690">
        <f t="shared" si="12"/>
        <v>0</v>
      </c>
      <c r="AC202" s="690"/>
      <c r="AD202" s="690"/>
      <c r="AE202" s="690"/>
      <c r="AF202" s="690">
        <f t="shared" si="13"/>
        <v>0</v>
      </c>
      <c r="AG202" s="690"/>
      <c r="AH202" s="690"/>
      <c r="AI202" s="690"/>
      <c r="AJ202" s="690">
        <f t="shared" si="14"/>
        <v>0</v>
      </c>
      <c r="AK202" s="690"/>
      <c r="AL202" s="690"/>
      <c r="AM202" s="690"/>
    </row>
    <row r="203" spans="1:39" ht="15.95" customHeight="1">
      <c r="A203" s="65">
        <f t="shared" si="15"/>
        <v>4</v>
      </c>
      <c r="B203" s="699" t="s">
        <v>868</v>
      </c>
      <c r="C203" s="700"/>
      <c r="D203" s="700"/>
      <c r="E203" s="700"/>
      <c r="F203" s="700"/>
      <c r="G203" s="700"/>
      <c r="H203" s="700"/>
      <c r="I203" s="700"/>
      <c r="J203" s="700"/>
      <c r="K203" s="701"/>
      <c r="L203" s="702">
        <f t="shared" si="16"/>
        <v>45778</v>
      </c>
      <c r="M203" s="702"/>
      <c r="N203" s="702"/>
      <c r="O203" s="702">
        <f t="shared" si="17"/>
        <v>45808</v>
      </c>
      <c r="P203" s="702"/>
      <c r="Q203" s="702"/>
      <c r="R203" s="772" cm="1">
        <f t="array" ref="R203">INDEX(verificare!$AT$4:$CC$26,VLOOKUP($AA$15,verificare!$AR$4:$AS$26,2,FALSE),A203)</f>
        <v>206035</v>
      </c>
      <c r="S203" s="773"/>
      <c r="T203" s="773"/>
      <c r="U203" s="774"/>
      <c r="V203" s="658" t="s">
        <v>446</v>
      </c>
      <c r="W203" s="658"/>
      <c r="X203" s="691">
        <f>HLOOKUP(VLOOKUP($AA$15,'Date SPV'!$B:$F,5,FALSE),'Preturi si tarife'!$C$2:$J$39,A203+2,FALSE)</f>
        <v>0.13613999999999998</v>
      </c>
      <c r="Y203" s="692"/>
      <c r="Z203" s="692"/>
      <c r="AA203" s="693"/>
      <c r="AB203" s="690">
        <f t="shared" si="12"/>
        <v>28049.599999999999</v>
      </c>
      <c r="AC203" s="690"/>
      <c r="AD203" s="690"/>
      <c r="AE203" s="690"/>
      <c r="AF203" s="690">
        <f t="shared" si="13"/>
        <v>5329.42</v>
      </c>
      <c r="AG203" s="690"/>
      <c r="AH203" s="690"/>
      <c r="AI203" s="690"/>
      <c r="AJ203" s="690">
        <f t="shared" si="14"/>
        <v>33379.019999999997</v>
      </c>
      <c r="AK203" s="690"/>
      <c r="AL203" s="690"/>
      <c r="AM203" s="690"/>
    </row>
    <row r="204" spans="1:39">
      <c r="A204" s="65">
        <f t="shared" si="15"/>
        <v>5</v>
      </c>
      <c r="B204" s="699" t="s">
        <v>757</v>
      </c>
      <c r="C204" s="700"/>
      <c r="D204" s="700"/>
      <c r="E204" s="700"/>
      <c r="F204" s="700"/>
      <c r="G204" s="700"/>
      <c r="H204" s="700"/>
      <c r="I204" s="700"/>
      <c r="J204" s="700"/>
      <c r="K204" s="701"/>
      <c r="L204" s="702">
        <f t="shared" si="16"/>
        <v>45778</v>
      </c>
      <c r="M204" s="702"/>
      <c r="N204" s="702"/>
      <c r="O204" s="702">
        <f t="shared" si="17"/>
        <v>45808</v>
      </c>
      <c r="P204" s="702"/>
      <c r="Q204" s="702"/>
      <c r="R204" s="772" cm="1">
        <f t="array" ref="R204">INDEX(verificare!$AT$4:$CC$26,VLOOKUP($AA$15,verificare!$AR$4:$AS$26,2,FALSE),A204)</f>
        <v>0</v>
      </c>
      <c r="S204" s="773"/>
      <c r="T204" s="773"/>
      <c r="U204" s="774"/>
      <c r="V204" s="658" t="s">
        <v>446</v>
      </c>
      <c r="W204" s="658"/>
      <c r="X204" s="691">
        <f>HLOOKUP(VLOOKUP($AA$15,'Date SPV'!$B:$F,5,FALSE),'Preturi si tarife'!$C$2:$J$39,A204+2,FALSE)</f>
        <v>0.22738999999999998</v>
      </c>
      <c r="Y204" s="692"/>
      <c r="Z204" s="692"/>
      <c r="AA204" s="693"/>
      <c r="AB204" s="690">
        <f t="shared" si="12"/>
        <v>0</v>
      </c>
      <c r="AC204" s="690"/>
      <c r="AD204" s="690"/>
      <c r="AE204" s="690"/>
      <c r="AF204" s="690">
        <f t="shared" si="13"/>
        <v>0</v>
      </c>
      <c r="AG204" s="690"/>
      <c r="AH204" s="690"/>
      <c r="AI204" s="690"/>
      <c r="AJ204" s="690">
        <f t="shared" si="14"/>
        <v>0</v>
      </c>
      <c r="AK204" s="690"/>
      <c r="AL204" s="690"/>
      <c r="AM204" s="690"/>
    </row>
    <row r="205" spans="1:39" ht="15.95" customHeight="1">
      <c r="A205" s="65">
        <f t="shared" si="15"/>
        <v>6</v>
      </c>
      <c r="B205" s="699" t="s">
        <v>74</v>
      </c>
      <c r="C205" s="700"/>
      <c r="D205" s="700"/>
      <c r="E205" s="700"/>
      <c r="F205" s="700"/>
      <c r="G205" s="700"/>
      <c r="H205" s="700"/>
      <c r="I205" s="700"/>
      <c r="J205" s="700"/>
      <c r="K205" s="701"/>
      <c r="L205" s="702">
        <f t="shared" si="16"/>
        <v>45778</v>
      </c>
      <c r="M205" s="702"/>
      <c r="N205" s="702"/>
      <c r="O205" s="702">
        <f t="shared" si="17"/>
        <v>45808</v>
      </c>
      <c r="P205" s="702"/>
      <c r="Q205" s="702"/>
      <c r="R205" s="772" cm="1">
        <f t="array" ref="R205">INDEX(verificare!$AT$4:$CC$26,VLOOKUP($AA$15,verificare!$AR$4:$AS$26,2,FALSE),A205)</f>
        <v>206035</v>
      </c>
      <c r="S205" s="773"/>
      <c r="T205" s="773"/>
      <c r="U205" s="774"/>
      <c r="V205" s="658" t="s">
        <v>446</v>
      </c>
      <c r="W205" s="658"/>
      <c r="X205" s="691">
        <f>HLOOKUP(VLOOKUP($AA$15,'Date SPV'!$B:$F,5,FALSE),'Preturi si tarife'!$C$2:$J$39,A205+2,FALSE)</f>
        <v>1.1509999999999999E-2</v>
      </c>
      <c r="Y205" s="692"/>
      <c r="Z205" s="692"/>
      <c r="AA205" s="693"/>
      <c r="AB205" s="690">
        <f t="shared" si="12"/>
        <v>2371.46</v>
      </c>
      <c r="AC205" s="690"/>
      <c r="AD205" s="690"/>
      <c r="AE205" s="690"/>
      <c r="AF205" s="690">
        <f t="shared" si="13"/>
        <v>450.58</v>
      </c>
      <c r="AG205" s="690"/>
      <c r="AH205" s="690"/>
      <c r="AI205" s="690"/>
      <c r="AJ205" s="690">
        <f t="shared" si="14"/>
        <v>2822.04</v>
      </c>
      <c r="AK205" s="690"/>
      <c r="AL205" s="690"/>
      <c r="AM205" s="690"/>
    </row>
    <row r="206" spans="1:39" ht="15.95" customHeight="1">
      <c r="A206" s="65">
        <f t="shared" si="15"/>
        <v>7</v>
      </c>
      <c r="B206" s="699" t="s">
        <v>75</v>
      </c>
      <c r="C206" s="700"/>
      <c r="D206" s="700"/>
      <c r="E206" s="700"/>
      <c r="F206" s="700"/>
      <c r="G206" s="700"/>
      <c r="H206" s="700"/>
      <c r="I206" s="700"/>
      <c r="J206" s="700"/>
      <c r="K206" s="701"/>
      <c r="L206" s="702">
        <f t="shared" si="16"/>
        <v>45778</v>
      </c>
      <c r="M206" s="702"/>
      <c r="N206" s="702"/>
      <c r="O206" s="702">
        <f t="shared" si="17"/>
        <v>45808</v>
      </c>
      <c r="P206" s="702"/>
      <c r="Q206" s="702"/>
      <c r="R206" s="772" cm="1">
        <f t="array" ref="R206">INDEX(verificare!$AT$4:$CC$26,VLOOKUP($AA$15,verificare!$AR$4:$AS$26,2,FALSE),A206)</f>
        <v>206035</v>
      </c>
      <c r="S206" s="773"/>
      <c r="T206" s="773"/>
      <c r="U206" s="774"/>
      <c r="V206" s="658" t="s">
        <v>446</v>
      </c>
      <c r="W206" s="658"/>
      <c r="X206" s="691">
        <f>HLOOKUP(VLOOKUP($AA$15,'Date SPV'!$B:$F,5,FALSE),'Preturi si tarife'!$C$2:$J$39,A206+2,FALSE)</f>
        <v>3.3030000000000004E-2</v>
      </c>
      <c r="Y206" s="692"/>
      <c r="Z206" s="692"/>
      <c r="AA206" s="693"/>
      <c r="AB206" s="690">
        <f t="shared" si="12"/>
        <v>6805.34</v>
      </c>
      <c r="AC206" s="690"/>
      <c r="AD206" s="690"/>
      <c r="AE206" s="690"/>
      <c r="AF206" s="690">
        <f t="shared" si="13"/>
        <v>1293.01</v>
      </c>
      <c r="AG206" s="690"/>
      <c r="AH206" s="690"/>
      <c r="AI206" s="690"/>
      <c r="AJ206" s="690">
        <f t="shared" si="14"/>
        <v>8098.35</v>
      </c>
      <c r="AK206" s="690"/>
      <c r="AL206" s="690"/>
      <c r="AM206" s="690"/>
    </row>
    <row r="207" spans="1:39" ht="15.95" customHeight="1">
      <c r="A207" s="65">
        <f t="shared" si="15"/>
        <v>8</v>
      </c>
      <c r="B207" s="699" t="s">
        <v>76</v>
      </c>
      <c r="C207" s="700"/>
      <c r="D207" s="700"/>
      <c r="E207" s="700"/>
      <c r="F207" s="700"/>
      <c r="G207" s="700"/>
      <c r="H207" s="700"/>
      <c r="I207" s="700"/>
      <c r="J207" s="700"/>
      <c r="K207" s="701"/>
      <c r="L207" s="702">
        <f t="shared" si="16"/>
        <v>45778</v>
      </c>
      <c r="M207" s="702"/>
      <c r="N207" s="702"/>
      <c r="O207" s="702">
        <f t="shared" si="17"/>
        <v>45808</v>
      </c>
      <c r="P207" s="702"/>
      <c r="Q207" s="702"/>
      <c r="R207" s="772" cm="1">
        <f t="array" ref="R207">INDEX(verificare!$AT$4:$CC$26,VLOOKUP($AA$15,verificare!$AR$4:$AS$26,2,FALSE),A207)</f>
        <v>206035</v>
      </c>
      <c r="S207" s="773"/>
      <c r="T207" s="773"/>
      <c r="U207" s="774"/>
      <c r="V207" s="658" t="s">
        <v>446</v>
      </c>
      <c r="W207" s="658"/>
      <c r="X207" s="691">
        <f>HLOOKUP(VLOOKUP($AA$15,'Date SPV'!$B:$F,5,FALSE),'Preturi si tarife'!$C$2:$J$39,A207+2,FALSE)</f>
        <v>3.29E-3</v>
      </c>
      <c r="Y207" s="692"/>
      <c r="Z207" s="692"/>
      <c r="AA207" s="693"/>
      <c r="AB207" s="690">
        <f t="shared" si="12"/>
        <v>677.86</v>
      </c>
      <c r="AC207" s="690"/>
      <c r="AD207" s="690"/>
      <c r="AE207" s="690"/>
      <c r="AF207" s="690">
        <f t="shared" si="13"/>
        <v>128.79</v>
      </c>
      <c r="AG207" s="690"/>
      <c r="AH207" s="690"/>
      <c r="AI207" s="690"/>
      <c r="AJ207" s="690">
        <f t="shared" si="14"/>
        <v>806.65</v>
      </c>
      <c r="AK207" s="690"/>
      <c r="AL207" s="690"/>
      <c r="AM207" s="690"/>
    </row>
    <row r="208" spans="1:39" ht="15.95" customHeight="1">
      <c r="A208" s="65">
        <f t="shared" si="15"/>
        <v>9</v>
      </c>
      <c r="B208" s="699" t="s">
        <v>77</v>
      </c>
      <c r="C208" s="700"/>
      <c r="D208" s="700"/>
      <c r="E208" s="700"/>
      <c r="F208" s="700"/>
      <c r="G208" s="700"/>
      <c r="H208" s="700"/>
      <c r="I208" s="700"/>
      <c r="J208" s="700"/>
      <c r="K208" s="701"/>
      <c r="L208" s="702">
        <f t="shared" si="16"/>
        <v>45778</v>
      </c>
      <c r="M208" s="702"/>
      <c r="N208" s="702"/>
      <c r="O208" s="702">
        <f t="shared" si="17"/>
        <v>45808</v>
      </c>
      <c r="P208" s="702"/>
      <c r="Q208" s="702"/>
      <c r="R208" s="772" cm="1">
        <f t="array" ref="R208">INDEX(verificare!$AT$4:$CC$26,VLOOKUP($AA$15,verificare!$AR$4:$AS$26,2,FALSE),A208)</f>
        <v>206035</v>
      </c>
      <c r="S208" s="773"/>
      <c r="T208" s="773"/>
      <c r="U208" s="774"/>
      <c r="V208" s="658" t="s">
        <v>446</v>
      </c>
      <c r="W208" s="658"/>
      <c r="X208" s="691">
        <f>HLOOKUP(VLOOKUP($AA$15,'Date SPV'!$B:$F,5,FALSE),'Preturi si tarife'!$C$2:$J$39,A208+2,FALSE)</f>
        <v>3.5000000000000001E-3</v>
      </c>
      <c r="Y208" s="692"/>
      <c r="Z208" s="692"/>
      <c r="AA208" s="693"/>
      <c r="AB208" s="690">
        <f t="shared" si="12"/>
        <v>721.12</v>
      </c>
      <c r="AC208" s="690"/>
      <c r="AD208" s="690"/>
      <c r="AE208" s="690"/>
      <c r="AF208" s="690">
        <f t="shared" si="13"/>
        <v>137.01</v>
      </c>
      <c r="AG208" s="690"/>
      <c r="AH208" s="690"/>
      <c r="AI208" s="690"/>
      <c r="AJ208" s="690">
        <f t="shared" si="14"/>
        <v>858.13</v>
      </c>
      <c r="AK208" s="690"/>
      <c r="AL208" s="690"/>
      <c r="AM208" s="690"/>
    </row>
    <row r="209" spans="1:39" ht="15.95" customHeight="1">
      <c r="A209" s="65">
        <f t="shared" si="15"/>
        <v>10</v>
      </c>
      <c r="B209" s="699" t="s">
        <v>78</v>
      </c>
      <c r="C209" s="700"/>
      <c r="D209" s="700"/>
      <c r="E209" s="700"/>
      <c r="F209" s="700"/>
      <c r="G209" s="700"/>
      <c r="H209" s="700"/>
      <c r="I209" s="700"/>
      <c r="J209" s="700"/>
      <c r="K209" s="701"/>
      <c r="L209" s="702">
        <f t="shared" si="16"/>
        <v>45778</v>
      </c>
      <c r="M209" s="702"/>
      <c r="N209" s="702"/>
      <c r="O209" s="702">
        <f t="shared" si="17"/>
        <v>45808</v>
      </c>
      <c r="P209" s="702"/>
      <c r="Q209" s="702"/>
      <c r="R209" s="772" cm="1">
        <f t="array" ref="R209">INDEX(verificare!$AT$4:$CC$26,VLOOKUP($AA$15,verificare!$AR$4:$AS$26,2,FALSE),A209)</f>
        <v>206035</v>
      </c>
      <c r="S209" s="773"/>
      <c r="T209" s="773"/>
      <c r="U209" s="774"/>
      <c r="V209" s="658" t="s">
        <v>446</v>
      </c>
      <c r="W209" s="658"/>
      <c r="X209" s="691">
        <f>HLOOKUP(VLOOKUP($AA$15,'Date SPV'!$B:$F,5,FALSE),'Preturi si tarife'!$C$2:$J$39,A209+2,FALSE)</f>
        <v>7.2541599999999998E-2</v>
      </c>
      <c r="Y209" s="692"/>
      <c r="Z209" s="692"/>
      <c r="AA209" s="693"/>
      <c r="AB209" s="690">
        <f t="shared" si="12"/>
        <v>14946.11</v>
      </c>
      <c r="AC209" s="690"/>
      <c r="AD209" s="690"/>
      <c r="AE209" s="690"/>
      <c r="AF209" s="690">
        <f t="shared" si="13"/>
        <v>2839.76</v>
      </c>
      <c r="AG209" s="690"/>
      <c r="AH209" s="690"/>
      <c r="AI209" s="690"/>
      <c r="AJ209" s="690">
        <f t="shared" si="14"/>
        <v>17785.870000000003</v>
      </c>
      <c r="AK209" s="690"/>
      <c r="AL209" s="690"/>
      <c r="AM209" s="690"/>
    </row>
    <row r="210" spans="1:39" ht="15.95" customHeight="1">
      <c r="A210" s="65">
        <f t="shared" si="15"/>
        <v>11</v>
      </c>
      <c r="B210" s="699" t="s">
        <v>1313</v>
      </c>
      <c r="C210" s="700"/>
      <c r="D210" s="700"/>
      <c r="E210" s="700"/>
      <c r="F210" s="700"/>
      <c r="G210" s="700"/>
      <c r="H210" s="700"/>
      <c r="I210" s="700"/>
      <c r="J210" s="700"/>
      <c r="K210" s="701"/>
      <c r="L210" s="702">
        <f t="shared" si="16"/>
        <v>45778</v>
      </c>
      <c r="M210" s="702"/>
      <c r="N210" s="702"/>
      <c r="O210" s="702">
        <f t="shared" si="17"/>
        <v>45808</v>
      </c>
      <c r="P210" s="702"/>
      <c r="Q210" s="702"/>
      <c r="R210" s="772" cm="1">
        <f t="array" ref="R210">INDEX(verificare!$AT$4:$CC$26,VLOOKUP($AA$15,verificare!$AR$4:$AS$26,2,FALSE),A210)</f>
        <v>206035</v>
      </c>
      <c r="S210" s="773"/>
      <c r="T210" s="773"/>
      <c r="U210" s="774"/>
      <c r="V210" s="724" t="s">
        <v>446</v>
      </c>
      <c r="W210" s="725"/>
      <c r="X210" s="691">
        <f>HLOOKUP(VLOOKUP($AA$15,'Date SPV'!$B:$F,5,FALSE),'Preturi si tarife'!$C$2:$J$39,A210+2,FALSE)</f>
        <v>2.0599999999999999E-4</v>
      </c>
      <c r="Y210" s="692"/>
      <c r="Z210" s="692"/>
      <c r="AA210" s="693"/>
      <c r="AB210" s="772">
        <f>ROUND(X210*R210,2)</f>
        <v>42.44</v>
      </c>
      <c r="AC210" s="773"/>
      <c r="AD210" s="773"/>
      <c r="AE210" s="774"/>
      <c r="AF210" s="772">
        <f>ROUND(AB210*19%,2)</f>
        <v>8.06</v>
      </c>
      <c r="AG210" s="773"/>
      <c r="AH210" s="773"/>
      <c r="AI210" s="774"/>
      <c r="AJ210" s="772">
        <f>AB210+AF210</f>
        <v>50.5</v>
      </c>
      <c r="AK210" s="773"/>
      <c r="AL210" s="773"/>
      <c r="AM210" s="774"/>
    </row>
    <row r="211" spans="1:39">
      <c r="A211" s="65">
        <f t="shared" si="15"/>
        <v>12</v>
      </c>
      <c r="B211" s="699" t="s">
        <v>79</v>
      </c>
      <c r="C211" s="700"/>
      <c r="D211" s="700"/>
      <c r="E211" s="700"/>
      <c r="F211" s="700"/>
      <c r="G211" s="700"/>
      <c r="H211" s="700"/>
      <c r="I211" s="700"/>
      <c r="J211" s="700"/>
      <c r="K211" s="701"/>
      <c r="L211" s="702">
        <f>L209</f>
        <v>45778</v>
      </c>
      <c r="M211" s="702"/>
      <c r="N211" s="702"/>
      <c r="O211" s="702">
        <f>O209</f>
        <v>45808</v>
      </c>
      <c r="P211" s="702"/>
      <c r="Q211" s="702"/>
      <c r="R211" s="772" cm="1">
        <f t="array" ref="R211">INDEX(verificare!$AT$4:$CC$26,VLOOKUP($AA$15,verificare!$AR$4:$AS$26,2,FALSE),A211)</f>
        <v>206035</v>
      </c>
      <c r="S211" s="773"/>
      <c r="T211" s="773"/>
      <c r="U211" s="774"/>
      <c r="V211" s="658" t="s">
        <v>446</v>
      </c>
      <c r="W211" s="658"/>
      <c r="X211" s="691">
        <f>HLOOKUP(VLOOKUP($AA$15,'Date SPV'!$B:$F,5,FALSE),'Preturi si tarife'!$C$2:$J$39,A211+2,FALSE)</f>
        <v>0</v>
      </c>
      <c r="Y211" s="692"/>
      <c r="Z211" s="692"/>
      <c r="AA211" s="693"/>
      <c r="AB211" s="690">
        <f t="shared" si="12"/>
        <v>0</v>
      </c>
      <c r="AC211" s="690"/>
      <c r="AD211" s="690"/>
      <c r="AE211" s="690"/>
      <c r="AF211" s="690">
        <f t="shared" si="13"/>
        <v>0</v>
      </c>
      <c r="AG211" s="690"/>
      <c r="AH211" s="690"/>
      <c r="AI211" s="690"/>
      <c r="AJ211" s="690">
        <f t="shared" si="14"/>
        <v>0</v>
      </c>
      <c r="AK211" s="690"/>
      <c r="AL211" s="690"/>
      <c r="AM211" s="690"/>
    </row>
    <row r="212" spans="1:39" ht="15.95" customHeight="1">
      <c r="A212" s="65">
        <f t="shared" si="15"/>
        <v>13</v>
      </c>
      <c r="B212" s="699" t="s">
        <v>80</v>
      </c>
      <c r="C212" s="700"/>
      <c r="D212" s="700"/>
      <c r="E212" s="700"/>
      <c r="F212" s="700"/>
      <c r="G212" s="700"/>
      <c r="H212" s="700"/>
      <c r="I212" s="700"/>
      <c r="J212" s="700"/>
      <c r="K212" s="701"/>
      <c r="L212" s="702">
        <f t="shared" si="16"/>
        <v>45778</v>
      </c>
      <c r="M212" s="702"/>
      <c r="N212" s="702"/>
      <c r="O212" s="702">
        <f t="shared" si="17"/>
        <v>45808</v>
      </c>
      <c r="P212" s="702"/>
      <c r="Q212" s="702"/>
      <c r="R212" s="772" cm="1">
        <f t="array" ref="R212">INDEX(verificare!$AT$4:$CC$26,VLOOKUP($AA$15,verificare!$AR$4:$AS$26,2,FALSE),A212)</f>
        <v>167075</v>
      </c>
      <c r="S212" s="773"/>
      <c r="T212" s="773"/>
      <c r="U212" s="774"/>
      <c r="V212" s="658" t="s">
        <v>446</v>
      </c>
      <c r="W212" s="658"/>
      <c r="X212" s="691">
        <f>HLOOKUP(VLOOKUP($AA$15,'Date SPV'!$B:$F,5,FALSE),'Preturi si tarife'!$C$2:$J$39,A212+2,FALSE)</f>
        <v>1.7000000000000001E-2</v>
      </c>
      <c r="Y212" s="692"/>
      <c r="Z212" s="692"/>
      <c r="AA212" s="693"/>
      <c r="AB212" s="690">
        <f t="shared" si="12"/>
        <v>2840.28</v>
      </c>
      <c r="AC212" s="690"/>
      <c r="AD212" s="690"/>
      <c r="AE212" s="690"/>
      <c r="AF212" s="690">
        <f t="shared" si="13"/>
        <v>539.65</v>
      </c>
      <c r="AG212" s="690"/>
      <c r="AH212" s="690"/>
      <c r="AI212" s="690"/>
      <c r="AJ212" s="690">
        <f t="shared" si="14"/>
        <v>3379.9300000000003</v>
      </c>
      <c r="AK212" s="690"/>
      <c r="AL212" s="690"/>
      <c r="AM212" s="690"/>
    </row>
    <row r="213" spans="1:39">
      <c r="A213" s="65">
        <f t="shared" si="15"/>
        <v>14</v>
      </c>
      <c r="B213" s="699" t="s">
        <v>81</v>
      </c>
      <c r="C213" s="700"/>
      <c r="D213" s="700"/>
      <c r="E213" s="700"/>
      <c r="F213" s="700"/>
      <c r="G213" s="700"/>
      <c r="H213" s="700"/>
      <c r="I213" s="700"/>
      <c r="J213" s="700"/>
      <c r="K213" s="701"/>
      <c r="L213" s="702">
        <f t="shared" si="16"/>
        <v>45778</v>
      </c>
      <c r="M213" s="702"/>
      <c r="N213" s="702"/>
      <c r="O213" s="702">
        <f t="shared" si="17"/>
        <v>45808</v>
      </c>
      <c r="P213" s="702"/>
      <c r="Q213" s="702"/>
      <c r="R213" s="772" cm="1">
        <f t="array" ref="R213">INDEX(verificare!$AT$4:$CC$26,VLOOKUP($AA$15,verificare!$AR$4:$AS$26,2,FALSE),A213)</f>
        <v>167075</v>
      </c>
      <c r="S213" s="773"/>
      <c r="T213" s="773"/>
      <c r="U213" s="774"/>
      <c r="V213" s="658" t="s">
        <v>446</v>
      </c>
      <c r="W213" s="658"/>
      <c r="X213" s="691">
        <f>HLOOKUP(VLOOKUP($AA$15,'Date SPV'!$B:$F,5,FALSE),'Preturi si tarife'!$C$2:$J$39,A213+2,FALSE)</f>
        <v>0.10290000000000001</v>
      </c>
      <c r="Y213" s="692"/>
      <c r="Z213" s="692"/>
      <c r="AA213" s="693"/>
      <c r="AB213" s="690">
        <f t="shared" si="12"/>
        <v>17192.02</v>
      </c>
      <c r="AC213" s="690"/>
      <c r="AD213" s="690"/>
      <c r="AE213" s="690"/>
      <c r="AF213" s="690">
        <f t="shared" si="13"/>
        <v>3266.48</v>
      </c>
      <c r="AG213" s="690"/>
      <c r="AH213" s="690"/>
      <c r="AI213" s="690"/>
      <c r="AJ213" s="690">
        <f t="shared" si="14"/>
        <v>20458.5</v>
      </c>
      <c r="AK213" s="690"/>
      <c r="AL213" s="690"/>
      <c r="AM213" s="690"/>
    </row>
    <row r="214" spans="1:39">
      <c r="A214" s="65">
        <f t="shared" si="15"/>
        <v>15</v>
      </c>
      <c r="B214" s="699" t="s">
        <v>82</v>
      </c>
      <c r="C214" s="700"/>
      <c r="D214" s="700"/>
      <c r="E214" s="700"/>
      <c r="F214" s="700"/>
      <c r="G214" s="700"/>
      <c r="H214" s="700"/>
      <c r="I214" s="700"/>
      <c r="J214" s="700"/>
      <c r="K214" s="701"/>
      <c r="L214" s="702">
        <f t="shared" si="16"/>
        <v>45778</v>
      </c>
      <c r="M214" s="702"/>
      <c r="N214" s="702"/>
      <c r="O214" s="702">
        <f t="shared" si="17"/>
        <v>45808</v>
      </c>
      <c r="P214" s="702"/>
      <c r="Q214" s="702"/>
      <c r="R214" s="690" cm="1">
        <f t="array" ref="R214">INDEX(verificare!$AT$4:$CC$26,VLOOKUP($AA$15,verificare!$AR$4:$AS$26,2,FALSE),A214)</f>
        <v>157661</v>
      </c>
      <c r="S214" s="690"/>
      <c r="T214" s="690"/>
      <c r="U214" s="690"/>
      <c r="V214" s="658" t="s">
        <v>446</v>
      </c>
      <c r="W214" s="658"/>
      <c r="X214" s="691">
        <f>HLOOKUP(VLOOKUP($AA$15,'Date SPV'!$B:$F,5,FALSE),'Preturi si tarife'!$C$2:$J$39,A214+2,FALSE)</f>
        <v>0.97511760000000003</v>
      </c>
      <c r="Y214" s="692"/>
      <c r="Z214" s="692"/>
      <c r="AA214" s="693"/>
      <c r="AB214" s="690">
        <f t="shared" si="12"/>
        <v>153738.01999999999</v>
      </c>
      <c r="AC214" s="690"/>
      <c r="AD214" s="690"/>
      <c r="AE214" s="690"/>
      <c r="AF214" s="690">
        <f t="shared" si="13"/>
        <v>29210.22</v>
      </c>
      <c r="AG214" s="690"/>
      <c r="AH214" s="690"/>
      <c r="AI214" s="690"/>
      <c r="AJ214" s="690">
        <f t="shared" si="14"/>
        <v>182948.24</v>
      </c>
      <c r="AK214" s="690"/>
      <c r="AL214" s="690"/>
      <c r="AM214" s="690"/>
    </row>
    <row r="215" spans="1:39" ht="15.95" customHeight="1">
      <c r="A215" s="65">
        <f t="shared" si="15"/>
        <v>16</v>
      </c>
      <c r="B215" s="699" t="s">
        <v>83</v>
      </c>
      <c r="C215" s="700"/>
      <c r="D215" s="700"/>
      <c r="E215" s="700"/>
      <c r="F215" s="700"/>
      <c r="G215" s="700"/>
      <c r="H215" s="700"/>
      <c r="I215" s="700"/>
      <c r="J215" s="700"/>
      <c r="K215" s="701"/>
      <c r="L215" s="702">
        <f t="shared" si="16"/>
        <v>45778</v>
      </c>
      <c r="M215" s="702"/>
      <c r="N215" s="702"/>
      <c r="O215" s="702">
        <f t="shared" si="17"/>
        <v>45808</v>
      </c>
      <c r="P215" s="702"/>
      <c r="Q215" s="702"/>
      <c r="R215" s="690" cm="1">
        <f t="array" ref="R215">INDEX(verificare!$AT$4:$CC$26,VLOOKUP($AA$15,verificare!$AR$4:$AS$26,2,FALSE),A215)</f>
        <v>0</v>
      </c>
      <c r="S215" s="690"/>
      <c r="T215" s="690"/>
      <c r="U215" s="690"/>
      <c r="V215" s="658" t="s">
        <v>446</v>
      </c>
      <c r="W215" s="658"/>
      <c r="X215" s="691">
        <f>HLOOKUP(VLOOKUP($AA$15,'Date SPV'!$B:$F,5,FALSE),'Preturi si tarife'!$C$2:$J$39,A215+2,FALSE)</f>
        <v>0.85521760000000002</v>
      </c>
      <c r="Y215" s="692"/>
      <c r="Z215" s="692"/>
      <c r="AA215" s="693"/>
      <c r="AB215" s="690">
        <f t="shared" si="12"/>
        <v>0</v>
      </c>
      <c r="AC215" s="690"/>
      <c r="AD215" s="690"/>
      <c r="AE215" s="690"/>
      <c r="AF215" s="690">
        <f t="shared" si="13"/>
        <v>0</v>
      </c>
      <c r="AG215" s="690"/>
      <c r="AH215" s="690"/>
      <c r="AI215" s="690"/>
      <c r="AJ215" s="690">
        <f t="shared" si="14"/>
        <v>0</v>
      </c>
      <c r="AK215" s="690"/>
      <c r="AL215" s="690"/>
      <c r="AM215" s="690"/>
    </row>
    <row r="216" spans="1:39" ht="15.95" customHeight="1">
      <c r="A216" s="65">
        <f t="shared" si="15"/>
        <v>17</v>
      </c>
      <c r="B216" s="699" t="s">
        <v>1129</v>
      </c>
      <c r="C216" s="700"/>
      <c r="D216" s="700"/>
      <c r="E216" s="700"/>
      <c r="F216" s="700"/>
      <c r="G216" s="700"/>
      <c r="H216" s="700"/>
      <c r="I216" s="700"/>
      <c r="J216" s="700"/>
      <c r="K216" s="701"/>
      <c r="L216" s="702">
        <f t="shared" si="16"/>
        <v>45778</v>
      </c>
      <c r="M216" s="702"/>
      <c r="N216" s="702"/>
      <c r="O216" s="702">
        <f t="shared" si="17"/>
        <v>45808</v>
      </c>
      <c r="P216" s="702"/>
      <c r="Q216" s="702"/>
      <c r="R216" s="690" cm="1">
        <f t="array" ref="R216">INDEX(verificare!$AT$4:$CC$26,VLOOKUP($AA$15,verificare!$AR$4:$AS$26,2,FALSE),A216)</f>
        <v>0</v>
      </c>
      <c r="S216" s="690"/>
      <c r="T216" s="690"/>
      <c r="U216" s="690"/>
      <c r="V216" s="658" t="s">
        <v>446</v>
      </c>
      <c r="W216" s="658"/>
      <c r="X216" s="691">
        <f>HLOOKUP(VLOOKUP($AA$15,'Date SPV'!$B:$F,5,FALSE),'Preturi si tarife'!$C$2:$J$39,A216+2,FALSE)</f>
        <v>1.7000000000000001E-2</v>
      </c>
      <c r="Y216" s="692"/>
      <c r="Z216" s="692"/>
      <c r="AA216" s="693"/>
      <c r="AB216" s="690">
        <f t="shared" si="12"/>
        <v>0</v>
      </c>
      <c r="AC216" s="690"/>
      <c r="AD216" s="690"/>
      <c r="AE216" s="690"/>
      <c r="AF216" s="690">
        <f t="shared" si="13"/>
        <v>0</v>
      </c>
      <c r="AG216" s="690"/>
      <c r="AH216" s="690"/>
      <c r="AI216" s="690"/>
      <c r="AJ216" s="690">
        <f t="shared" si="14"/>
        <v>0</v>
      </c>
      <c r="AK216" s="690"/>
      <c r="AL216" s="690"/>
      <c r="AM216" s="690"/>
    </row>
    <row r="217" spans="1:39" ht="15.95" customHeight="1">
      <c r="A217" s="65">
        <f t="shared" si="15"/>
        <v>18</v>
      </c>
      <c r="B217" s="699" t="s">
        <v>1130</v>
      </c>
      <c r="C217" s="700"/>
      <c r="D217" s="700"/>
      <c r="E217" s="700"/>
      <c r="F217" s="700"/>
      <c r="G217" s="700"/>
      <c r="H217" s="700"/>
      <c r="I217" s="700"/>
      <c r="J217" s="700"/>
      <c r="K217" s="701"/>
      <c r="L217" s="702">
        <f t="shared" si="16"/>
        <v>45778</v>
      </c>
      <c r="M217" s="702"/>
      <c r="N217" s="702"/>
      <c r="O217" s="702">
        <f t="shared" si="17"/>
        <v>45808</v>
      </c>
      <c r="P217" s="702"/>
      <c r="Q217" s="702"/>
      <c r="R217" s="690" cm="1">
        <f t="array" ref="R217">INDEX(verificare!$AT$4:$CC$26,VLOOKUP($AA$15,verificare!$AR$4:$AS$26,2,FALSE),A217)</f>
        <v>0</v>
      </c>
      <c r="S217" s="690"/>
      <c r="T217" s="690"/>
      <c r="U217" s="690"/>
      <c r="V217" s="658" t="s">
        <v>446</v>
      </c>
      <c r="W217" s="658"/>
      <c r="X217" s="691">
        <f>HLOOKUP(VLOOKUP($AA$15,'Date SPV'!$B:$F,5,FALSE),'Preturi si tarife'!$C$2:$J$39,A217+2,FALSE)</f>
        <v>0.10290000000000001</v>
      </c>
      <c r="Y217" s="692"/>
      <c r="Z217" s="692"/>
      <c r="AA217" s="693"/>
      <c r="AB217" s="690">
        <f t="shared" si="12"/>
        <v>0</v>
      </c>
      <c r="AC217" s="690"/>
      <c r="AD217" s="690"/>
      <c r="AE217" s="690"/>
      <c r="AF217" s="690">
        <f t="shared" si="13"/>
        <v>0</v>
      </c>
      <c r="AG217" s="690"/>
      <c r="AH217" s="690"/>
      <c r="AI217" s="690"/>
      <c r="AJ217" s="690">
        <f t="shared" si="14"/>
        <v>0</v>
      </c>
      <c r="AK217" s="690"/>
      <c r="AL217" s="690"/>
      <c r="AM217" s="690"/>
    </row>
    <row r="218" spans="1:39">
      <c r="A218" s="65">
        <f t="shared" si="15"/>
        <v>19</v>
      </c>
      <c r="B218" s="699" t="s">
        <v>99</v>
      </c>
      <c r="C218" s="700"/>
      <c r="D218" s="700"/>
      <c r="E218" s="700"/>
      <c r="F218" s="700"/>
      <c r="G218" s="700"/>
      <c r="H218" s="700"/>
      <c r="I218" s="700"/>
      <c r="J218" s="700"/>
      <c r="K218" s="701"/>
      <c r="L218" s="702">
        <f>'Date masura OD'!$W$5</f>
        <v>45748</v>
      </c>
      <c r="M218" s="702"/>
      <c r="N218" s="702"/>
      <c r="O218" s="702">
        <f>'Date masura OD'!$X$5</f>
        <v>45777</v>
      </c>
      <c r="P218" s="702"/>
      <c r="Q218" s="702"/>
      <c r="R218" s="690" cm="1">
        <f t="array" ref="R218">INDEX(verificare!$AT$4:$CC$26,VLOOKUP($AA$15,verificare!$AR$4:$AS$26,2,FALSE),A218)</f>
        <v>1563</v>
      </c>
      <c r="S218" s="690"/>
      <c r="T218" s="690"/>
      <c r="U218" s="690"/>
      <c r="V218" s="658" t="s">
        <v>446</v>
      </c>
      <c r="W218" s="658"/>
      <c r="X218" s="691">
        <f>HLOOKUP(VLOOKUP($AA$15,'Date SPV'!$B:$F,5,FALSE),'Preturi si tarife'!$C$2:$J$39,A218+2,FALSE)</f>
        <v>0.59499999999999997</v>
      </c>
      <c r="Y218" s="692"/>
      <c r="Z218" s="692"/>
      <c r="AA218" s="693"/>
      <c r="AB218" s="690">
        <f t="shared" si="12"/>
        <v>929.99</v>
      </c>
      <c r="AC218" s="690"/>
      <c r="AD218" s="690"/>
      <c r="AE218" s="690"/>
      <c r="AF218" s="690">
        <f t="shared" si="13"/>
        <v>176.7</v>
      </c>
      <c r="AG218" s="690"/>
      <c r="AH218" s="690"/>
      <c r="AI218" s="690"/>
      <c r="AJ218" s="690">
        <f t="shared" si="14"/>
        <v>1106.69</v>
      </c>
      <c r="AK218" s="690"/>
      <c r="AL218" s="690"/>
      <c r="AM218" s="690"/>
    </row>
    <row r="219" spans="1:39">
      <c r="A219" s="65">
        <f t="shared" si="15"/>
        <v>20</v>
      </c>
      <c r="B219" s="699" t="s">
        <v>100</v>
      </c>
      <c r="C219" s="700"/>
      <c r="D219" s="700"/>
      <c r="E219" s="700"/>
      <c r="F219" s="700"/>
      <c r="G219" s="700"/>
      <c r="H219" s="700"/>
      <c r="I219" s="700"/>
      <c r="J219" s="700"/>
      <c r="K219" s="701"/>
      <c r="L219" s="702">
        <f>L218</f>
        <v>45748</v>
      </c>
      <c r="M219" s="702"/>
      <c r="N219" s="702"/>
      <c r="O219" s="702">
        <f t="shared" ref="O219:O235" si="18">O218</f>
        <v>45777</v>
      </c>
      <c r="P219" s="702"/>
      <c r="Q219" s="702"/>
      <c r="R219" s="690" cm="1">
        <f t="array" ref="R219">INDEX(verificare!$AT$4:$CC$26,VLOOKUP($AA$15,verificare!$AR$4:$AS$26,2,FALSE),A219)</f>
        <v>3853</v>
      </c>
      <c r="S219" s="690"/>
      <c r="T219" s="690"/>
      <c r="U219" s="690"/>
      <c r="V219" s="658" t="s">
        <v>727</v>
      </c>
      <c r="W219" s="658"/>
      <c r="X219" s="691">
        <f>HLOOKUP(VLOOKUP($AA$15,'Date SPV'!$B:$F,5,FALSE),'Preturi si tarife'!$C$2:$J$39,A219+2,FALSE)</f>
        <v>0.14649999999999999</v>
      </c>
      <c r="Y219" s="692"/>
      <c r="Z219" s="692"/>
      <c r="AA219" s="693"/>
      <c r="AB219" s="690">
        <f t="shared" si="12"/>
        <v>564.46</v>
      </c>
      <c r="AC219" s="690"/>
      <c r="AD219" s="690"/>
      <c r="AE219" s="690"/>
      <c r="AF219" s="690">
        <f t="shared" si="13"/>
        <v>107.25</v>
      </c>
      <c r="AG219" s="690"/>
      <c r="AH219" s="690"/>
      <c r="AI219" s="690"/>
      <c r="AJ219" s="690">
        <f t="shared" si="14"/>
        <v>671.71</v>
      </c>
      <c r="AK219" s="690"/>
      <c r="AL219" s="690"/>
      <c r="AM219" s="690"/>
    </row>
    <row r="220" spans="1:39">
      <c r="A220" s="65">
        <f t="shared" si="15"/>
        <v>21</v>
      </c>
      <c r="B220" s="699" t="s">
        <v>101</v>
      </c>
      <c r="C220" s="700"/>
      <c r="D220" s="700"/>
      <c r="E220" s="700"/>
      <c r="F220" s="700"/>
      <c r="G220" s="700"/>
      <c r="H220" s="700"/>
      <c r="I220" s="700"/>
      <c r="J220" s="700"/>
      <c r="K220" s="701"/>
      <c r="L220" s="702">
        <f t="shared" ref="L220:L235" si="19">L219</f>
        <v>45748</v>
      </c>
      <c r="M220" s="702"/>
      <c r="N220" s="702"/>
      <c r="O220" s="702">
        <f t="shared" si="18"/>
        <v>45777</v>
      </c>
      <c r="P220" s="702"/>
      <c r="Q220" s="702"/>
      <c r="R220" s="690" cm="1">
        <f t="array" ref="R220">INDEX(verificare!$AT$4:$CC$26,VLOOKUP($AA$15,verificare!$AR$4:$AS$26,2,FALSE),A220)</f>
        <v>1893</v>
      </c>
      <c r="S220" s="690"/>
      <c r="T220" s="690"/>
      <c r="U220" s="690"/>
      <c r="V220" s="658" t="s">
        <v>727</v>
      </c>
      <c r="W220" s="658"/>
      <c r="X220" s="691">
        <f>HLOOKUP(VLOOKUP($AA$15,'Date SPV'!$B:$F,5,FALSE),'Preturi si tarife'!$C$2:$J$39,A220+2,FALSE)</f>
        <v>0.4395</v>
      </c>
      <c r="Y220" s="692"/>
      <c r="Z220" s="692"/>
      <c r="AA220" s="693"/>
      <c r="AB220" s="690">
        <f t="shared" si="12"/>
        <v>831.97</v>
      </c>
      <c r="AC220" s="690"/>
      <c r="AD220" s="690"/>
      <c r="AE220" s="690"/>
      <c r="AF220" s="690">
        <f t="shared" si="13"/>
        <v>158.07</v>
      </c>
      <c r="AG220" s="690"/>
      <c r="AH220" s="690"/>
      <c r="AI220" s="690"/>
      <c r="AJ220" s="690">
        <f t="shared" si="14"/>
        <v>990.04</v>
      </c>
      <c r="AK220" s="690"/>
      <c r="AL220" s="690"/>
      <c r="AM220" s="690"/>
    </row>
    <row r="221" spans="1:39" ht="30.95" customHeight="1">
      <c r="A221" s="65">
        <f t="shared" si="15"/>
        <v>22</v>
      </c>
      <c r="B221" s="699" t="s">
        <v>869</v>
      </c>
      <c r="C221" s="700"/>
      <c r="D221" s="700"/>
      <c r="E221" s="700"/>
      <c r="F221" s="700"/>
      <c r="G221" s="700"/>
      <c r="H221" s="700"/>
      <c r="I221" s="700"/>
      <c r="J221" s="700"/>
      <c r="K221" s="701"/>
      <c r="L221" s="702">
        <f t="shared" si="19"/>
        <v>45748</v>
      </c>
      <c r="M221" s="702"/>
      <c r="N221" s="702"/>
      <c r="O221" s="702">
        <f t="shared" si="18"/>
        <v>45777</v>
      </c>
      <c r="P221" s="702"/>
      <c r="Q221" s="702"/>
      <c r="R221" s="690" cm="1">
        <f t="array" ref="R221">INDEX(verificare!$AT$4:$CC$26,VLOOKUP($AA$15,verificare!$AR$4:$AS$26,2,FALSE),A221)</f>
        <v>1563</v>
      </c>
      <c r="S221" s="690"/>
      <c r="T221" s="690"/>
      <c r="U221" s="690"/>
      <c r="V221" s="658" t="s">
        <v>446</v>
      </c>
      <c r="W221" s="658"/>
      <c r="X221" s="691">
        <f>HLOOKUP(VLOOKUP($AA$15,'Date SPV'!$B:$F,5,FALSE),'Preturi si tarife'!$C$2:$J$39,A221+2,FALSE)</f>
        <v>0.13613999999999998</v>
      </c>
      <c r="Y221" s="692"/>
      <c r="Z221" s="692"/>
      <c r="AA221" s="693"/>
      <c r="AB221" s="690">
        <f t="shared" si="12"/>
        <v>212.79</v>
      </c>
      <c r="AC221" s="690"/>
      <c r="AD221" s="690"/>
      <c r="AE221" s="690"/>
      <c r="AF221" s="690">
        <f t="shared" si="13"/>
        <v>40.43</v>
      </c>
      <c r="AG221" s="690"/>
      <c r="AH221" s="690"/>
      <c r="AI221" s="690"/>
      <c r="AJ221" s="690">
        <f t="shared" si="14"/>
        <v>253.22</v>
      </c>
      <c r="AK221" s="690"/>
      <c r="AL221" s="690"/>
      <c r="AM221" s="690"/>
    </row>
    <row r="222" spans="1:39" ht="15.95" customHeight="1">
      <c r="A222" s="65">
        <f t="shared" si="15"/>
        <v>23</v>
      </c>
      <c r="B222" s="699" t="s">
        <v>758</v>
      </c>
      <c r="C222" s="700"/>
      <c r="D222" s="700"/>
      <c r="E222" s="700"/>
      <c r="F222" s="700"/>
      <c r="G222" s="700"/>
      <c r="H222" s="700"/>
      <c r="I222" s="700"/>
      <c r="J222" s="700"/>
      <c r="K222" s="701"/>
      <c r="L222" s="702">
        <f t="shared" si="19"/>
        <v>45748</v>
      </c>
      <c r="M222" s="702"/>
      <c r="N222" s="702"/>
      <c r="O222" s="702">
        <f t="shared" si="18"/>
        <v>45777</v>
      </c>
      <c r="P222" s="702"/>
      <c r="Q222" s="702"/>
      <c r="R222" s="690" cm="1">
        <f t="array" ref="R222">INDEX(verificare!$AT$4:$CC$26,VLOOKUP($AA$15,verificare!$AR$4:$AS$26,2,FALSE),A222)</f>
        <v>0</v>
      </c>
      <c r="S222" s="690"/>
      <c r="T222" s="690"/>
      <c r="U222" s="690"/>
      <c r="V222" s="658" t="s">
        <v>446</v>
      </c>
      <c r="W222" s="658"/>
      <c r="X222" s="691">
        <f>HLOOKUP(VLOOKUP($AA$15,'Date SPV'!$B:$F,5,FALSE),'Preturi si tarife'!$C$2:$J$39,A222+2,FALSE)</f>
        <v>0.22738999999999998</v>
      </c>
      <c r="Y222" s="692"/>
      <c r="Z222" s="692"/>
      <c r="AA222" s="693"/>
      <c r="AB222" s="690">
        <f t="shared" si="12"/>
        <v>0</v>
      </c>
      <c r="AC222" s="690"/>
      <c r="AD222" s="690"/>
      <c r="AE222" s="690"/>
      <c r="AF222" s="690">
        <f t="shared" si="13"/>
        <v>0</v>
      </c>
      <c r="AG222" s="690"/>
      <c r="AH222" s="690"/>
      <c r="AI222" s="690"/>
      <c r="AJ222" s="690">
        <f t="shared" si="14"/>
        <v>0</v>
      </c>
      <c r="AK222" s="690"/>
      <c r="AL222" s="690"/>
      <c r="AM222" s="690"/>
    </row>
    <row r="223" spans="1:39">
      <c r="A223" s="65">
        <f t="shared" si="15"/>
        <v>24</v>
      </c>
      <c r="B223" s="699" t="s">
        <v>102</v>
      </c>
      <c r="C223" s="700"/>
      <c r="D223" s="700"/>
      <c r="E223" s="700"/>
      <c r="F223" s="700"/>
      <c r="G223" s="700"/>
      <c r="H223" s="700"/>
      <c r="I223" s="700"/>
      <c r="J223" s="700"/>
      <c r="K223" s="701"/>
      <c r="L223" s="702">
        <f t="shared" si="19"/>
        <v>45748</v>
      </c>
      <c r="M223" s="702"/>
      <c r="N223" s="702"/>
      <c r="O223" s="702">
        <f t="shared" si="18"/>
        <v>45777</v>
      </c>
      <c r="P223" s="702"/>
      <c r="Q223" s="702"/>
      <c r="R223" s="690" cm="1">
        <f t="array" ref="R223">INDEX(verificare!$AT$4:$CC$26,VLOOKUP($AA$15,verificare!$AR$4:$AS$26,2,FALSE),A223)</f>
        <v>1563</v>
      </c>
      <c r="S223" s="690"/>
      <c r="T223" s="690"/>
      <c r="U223" s="690"/>
      <c r="V223" s="658" t="s">
        <v>446</v>
      </c>
      <c r="W223" s="658"/>
      <c r="X223" s="691">
        <f>HLOOKUP(VLOOKUP($AA$15,'Date SPV'!$B:$F,5,FALSE),'Preturi si tarife'!$C$2:$J$39,A223+2,FALSE)</f>
        <v>1.1509999999999999E-2</v>
      </c>
      <c r="Y223" s="692"/>
      <c r="Z223" s="692"/>
      <c r="AA223" s="693"/>
      <c r="AB223" s="690">
        <f t="shared" si="12"/>
        <v>17.989999999999998</v>
      </c>
      <c r="AC223" s="690"/>
      <c r="AD223" s="690"/>
      <c r="AE223" s="690"/>
      <c r="AF223" s="690">
        <f t="shared" si="13"/>
        <v>3.42</v>
      </c>
      <c r="AG223" s="690"/>
      <c r="AH223" s="690"/>
      <c r="AI223" s="690"/>
      <c r="AJ223" s="690">
        <f t="shared" si="14"/>
        <v>21.409999999999997</v>
      </c>
      <c r="AK223" s="690"/>
      <c r="AL223" s="690"/>
      <c r="AM223" s="690"/>
    </row>
    <row r="224" spans="1:39" ht="30.95" customHeight="1">
      <c r="A224" s="65">
        <f t="shared" si="15"/>
        <v>25</v>
      </c>
      <c r="B224" s="699" t="s">
        <v>103</v>
      </c>
      <c r="C224" s="700"/>
      <c r="D224" s="700"/>
      <c r="E224" s="700"/>
      <c r="F224" s="700"/>
      <c r="G224" s="700"/>
      <c r="H224" s="700"/>
      <c r="I224" s="700"/>
      <c r="J224" s="700"/>
      <c r="K224" s="701"/>
      <c r="L224" s="702">
        <f t="shared" si="19"/>
        <v>45748</v>
      </c>
      <c r="M224" s="702"/>
      <c r="N224" s="702"/>
      <c r="O224" s="702">
        <f t="shared" si="18"/>
        <v>45777</v>
      </c>
      <c r="P224" s="702"/>
      <c r="Q224" s="702"/>
      <c r="R224" s="690" cm="1">
        <f t="array" ref="R224">INDEX(verificare!$AT$4:$CC$26,VLOOKUP($AA$15,verificare!$AR$4:$AS$26,2,FALSE),A224)</f>
        <v>1563</v>
      </c>
      <c r="S224" s="690"/>
      <c r="T224" s="690"/>
      <c r="U224" s="690"/>
      <c r="V224" s="658" t="s">
        <v>446</v>
      </c>
      <c r="W224" s="658"/>
      <c r="X224" s="691">
        <f>HLOOKUP(VLOOKUP($AA$15,'Date SPV'!$B:$F,5,FALSE),'Preturi si tarife'!$C$2:$J$39,A224+2,FALSE)</f>
        <v>3.3030000000000004E-2</v>
      </c>
      <c r="Y224" s="692"/>
      <c r="Z224" s="692"/>
      <c r="AA224" s="693"/>
      <c r="AB224" s="690">
        <f t="shared" si="12"/>
        <v>51.63</v>
      </c>
      <c r="AC224" s="690"/>
      <c r="AD224" s="690"/>
      <c r="AE224" s="690"/>
      <c r="AF224" s="690">
        <f t="shared" si="13"/>
        <v>9.81</v>
      </c>
      <c r="AG224" s="690"/>
      <c r="AH224" s="690"/>
      <c r="AI224" s="690"/>
      <c r="AJ224" s="690">
        <f t="shared" si="14"/>
        <v>61.440000000000005</v>
      </c>
      <c r="AK224" s="690"/>
      <c r="AL224" s="690"/>
      <c r="AM224" s="690"/>
    </row>
    <row r="225" spans="1:39" ht="30.95" customHeight="1">
      <c r="A225" s="65">
        <f t="shared" si="15"/>
        <v>26</v>
      </c>
      <c r="B225" s="699" t="s">
        <v>104</v>
      </c>
      <c r="C225" s="700"/>
      <c r="D225" s="700"/>
      <c r="E225" s="700"/>
      <c r="F225" s="700"/>
      <c r="G225" s="700"/>
      <c r="H225" s="700"/>
      <c r="I225" s="700"/>
      <c r="J225" s="700"/>
      <c r="K225" s="701"/>
      <c r="L225" s="702">
        <f t="shared" si="19"/>
        <v>45748</v>
      </c>
      <c r="M225" s="702"/>
      <c r="N225" s="702"/>
      <c r="O225" s="702">
        <f t="shared" si="18"/>
        <v>45777</v>
      </c>
      <c r="P225" s="702"/>
      <c r="Q225" s="702"/>
      <c r="R225" s="690" cm="1">
        <f t="array" ref="R225">INDEX(verificare!$AT$4:$CC$26,VLOOKUP($AA$15,verificare!$AR$4:$AS$26,2,FALSE),A225)</f>
        <v>1563</v>
      </c>
      <c r="S225" s="690"/>
      <c r="T225" s="690"/>
      <c r="U225" s="690"/>
      <c r="V225" s="658" t="s">
        <v>446</v>
      </c>
      <c r="W225" s="658"/>
      <c r="X225" s="691">
        <f>HLOOKUP(VLOOKUP($AA$15,'Date SPV'!$B:$F,5,FALSE),'Preturi si tarife'!$C$2:$J$39,A225+2,FALSE)</f>
        <v>3.29E-3</v>
      </c>
      <c r="Y225" s="692"/>
      <c r="Z225" s="692"/>
      <c r="AA225" s="693"/>
      <c r="AB225" s="690">
        <f t="shared" si="12"/>
        <v>5.14</v>
      </c>
      <c r="AC225" s="690"/>
      <c r="AD225" s="690"/>
      <c r="AE225" s="690"/>
      <c r="AF225" s="690">
        <f t="shared" si="13"/>
        <v>0.98</v>
      </c>
      <c r="AG225" s="690"/>
      <c r="AH225" s="690"/>
      <c r="AI225" s="690"/>
      <c r="AJ225" s="690">
        <f t="shared" si="14"/>
        <v>6.1199999999999992</v>
      </c>
      <c r="AK225" s="690"/>
      <c r="AL225" s="690"/>
      <c r="AM225" s="690"/>
    </row>
    <row r="226" spans="1:39" ht="30.95" customHeight="1">
      <c r="A226" s="65">
        <f t="shared" si="15"/>
        <v>27</v>
      </c>
      <c r="B226" s="699" t="s">
        <v>105</v>
      </c>
      <c r="C226" s="700"/>
      <c r="D226" s="700"/>
      <c r="E226" s="700"/>
      <c r="F226" s="700"/>
      <c r="G226" s="700"/>
      <c r="H226" s="700"/>
      <c r="I226" s="700"/>
      <c r="J226" s="700"/>
      <c r="K226" s="701"/>
      <c r="L226" s="702">
        <f t="shared" si="19"/>
        <v>45748</v>
      </c>
      <c r="M226" s="702"/>
      <c r="N226" s="702"/>
      <c r="O226" s="702">
        <f t="shared" si="18"/>
        <v>45777</v>
      </c>
      <c r="P226" s="702"/>
      <c r="Q226" s="702"/>
      <c r="R226" s="690" cm="1">
        <f t="array" ref="R226">INDEX(verificare!$AT$4:$CC$26,VLOOKUP($AA$15,verificare!$AR$4:$AS$26,2,FALSE),A226)</f>
        <v>1563</v>
      </c>
      <c r="S226" s="690"/>
      <c r="T226" s="690"/>
      <c r="U226" s="690"/>
      <c r="V226" s="658" t="s">
        <v>446</v>
      </c>
      <c r="W226" s="658"/>
      <c r="X226" s="691">
        <f>HLOOKUP(VLOOKUP($AA$15,'Date SPV'!$B:$F,5,FALSE),'Preturi si tarife'!$C$2:$J$39,A226+2,FALSE)</f>
        <v>3.5000000000000001E-3</v>
      </c>
      <c r="Y226" s="692"/>
      <c r="Z226" s="692"/>
      <c r="AA226" s="693"/>
      <c r="AB226" s="690">
        <f t="shared" si="12"/>
        <v>5.47</v>
      </c>
      <c r="AC226" s="690"/>
      <c r="AD226" s="690"/>
      <c r="AE226" s="690"/>
      <c r="AF226" s="690">
        <f t="shared" si="13"/>
        <v>1.04</v>
      </c>
      <c r="AG226" s="690"/>
      <c r="AH226" s="690"/>
      <c r="AI226" s="690"/>
      <c r="AJ226" s="690">
        <f t="shared" si="14"/>
        <v>6.51</v>
      </c>
      <c r="AK226" s="690"/>
      <c r="AL226" s="690"/>
      <c r="AM226" s="690"/>
    </row>
    <row r="227" spans="1:39">
      <c r="A227" s="65">
        <f t="shared" si="15"/>
        <v>28</v>
      </c>
      <c r="B227" s="699" t="s">
        <v>106</v>
      </c>
      <c r="C227" s="700"/>
      <c r="D227" s="700"/>
      <c r="E227" s="700"/>
      <c r="F227" s="700"/>
      <c r="G227" s="700"/>
      <c r="H227" s="700"/>
      <c r="I227" s="700"/>
      <c r="J227" s="700"/>
      <c r="K227" s="701"/>
      <c r="L227" s="702">
        <f t="shared" si="19"/>
        <v>45748</v>
      </c>
      <c r="M227" s="702"/>
      <c r="N227" s="702"/>
      <c r="O227" s="702">
        <f t="shared" si="18"/>
        <v>45777</v>
      </c>
      <c r="P227" s="702"/>
      <c r="Q227" s="702"/>
      <c r="R227" s="690" cm="1">
        <f t="array" ref="R227">INDEX(verificare!$AT$4:$CC$26,VLOOKUP($AA$15,verificare!$AR$4:$AS$26,2,FALSE),A227)</f>
        <v>1563</v>
      </c>
      <c r="S227" s="690"/>
      <c r="T227" s="690"/>
      <c r="U227" s="690"/>
      <c r="V227" s="658" t="s">
        <v>446</v>
      </c>
      <c r="W227" s="658"/>
      <c r="X227" s="691">
        <f>HLOOKUP(VLOOKUP($AA$15,'Date SPV'!$B:$F,5,FALSE),'Preturi si tarife'!$C$2:$J$39,A227+2,FALSE)</f>
        <v>7.2541599999999998E-2</v>
      </c>
      <c r="Y227" s="692"/>
      <c r="Z227" s="692"/>
      <c r="AA227" s="693"/>
      <c r="AB227" s="690">
        <f t="shared" si="12"/>
        <v>113.38</v>
      </c>
      <c r="AC227" s="690"/>
      <c r="AD227" s="690"/>
      <c r="AE227" s="690"/>
      <c r="AF227" s="690">
        <f t="shared" si="13"/>
        <v>21.54</v>
      </c>
      <c r="AG227" s="690"/>
      <c r="AH227" s="690"/>
      <c r="AI227" s="690"/>
      <c r="AJ227" s="690">
        <f t="shared" si="14"/>
        <v>134.91999999999999</v>
      </c>
      <c r="AK227" s="690"/>
      <c r="AL227" s="690"/>
      <c r="AM227" s="690"/>
    </row>
    <row r="228" spans="1:39" ht="30.95" customHeight="1">
      <c r="A228" s="65">
        <f t="shared" si="15"/>
        <v>29</v>
      </c>
      <c r="B228" s="699" t="s">
        <v>1316</v>
      </c>
      <c r="C228" s="700"/>
      <c r="D228" s="700"/>
      <c r="E228" s="700"/>
      <c r="F228" s="700"/>
      <c r="G228" s="700"/>
      <c r="H228" s="700"/>
      <c r="I228" s="700"/>
      <c r="J228" s="700"/>
      <c r="K228" s="701"/>
      <c r="L228" s="763">
        <f>L233</f>
        <v>45748</v>
      </c>
      <c r="M228" s="764"/>
      <c r="N228" s="765"/>
      <c r="O228" s="763">
        <f>O233</f>
        <v>45777</v>
      </c>
      <c r="P228" s="764"/>
      <c r="Q228" s="765"/>
      <c r="R228" s="690" cm="1">
        <f t="array" ref="R228">INDEX(verificare!$AT$4:$CC$26,VLOOKUP($AA$15,verificare!$AR$4:$AS$26,2,FALSE),A228)</f>
        <v>1563</v>
      </c>
      <c r="S228" s="690"/>
      <c r="T228" s="690"/>
      <c r="U228" s="690"/>
      <c r="V228" s="724" t="s">
        <v>446</v>
      </c>
      <c r="W228" s="725"/>
      <c r="X228" s="691">
        <f>HLOOKUP(VLOOKUP($AA$15,'Date SPV'!$B:$F,5,FALSE),'Preturi si tarife'!$C$2:$J$39,A228+2,FALSE)</f>
        <v>2.0599999999999999E-4</v>
      </c>
      <c r="Y228" s="692"/>
      <c r="Z228" s="692"/>
      <c r="AA228" s="693"/>
      <c r="AB228" s="690">
        <f>ROUND(X228*R228,2)</f>
        <v>0.32</v>
      </c>
      <c r="AC228" s="690"/>
      <c r="AD228" s="690"/>
      <c r="AE228" s="690"/>
      <c r="AF228" s="772">
        <f>ROUND(AB228*19%,2)</f>
        <v>0.06</v>
      </c>
      <c r="AG228" s="773"/>
      <c r="AH228" s="773"/>
      <c r="AI228" s="774"/>
      <c r="AJ228" s="772">
        <f>AB228+AF228</f>
        <v>0.38</v>
      </c>
      <c r="AK228" s="773"/>
      <c r="AL228" s="773"/>
      <c r="AM228" s="774"/>
    </row>
    <row r="229" spans="1:39" ht="15.95" customHeight="1">
      <c r="A229" s="65">
        <f t="shared" si="15"/>
        <v>30</v>
      </c>
      <c r="B229" s="699" t="s">
        <v>107</v>
      </c>
      <c r="C229" s="700"/>
      <c r="D229" s="700"/>
      <c r="E229" s="700"/>
      <c r="F229" s="700"/>
      <c r="G229" s="700"/>
      <c r="H229" s="700"/>
      <c r="I229" s="700"/>
      <c r="J229" s="700"/>
      <c r="K229" s="701"/>
      <c r="L229" s="702">
        <f>L227</f>
        <v>45748</v>
      </c>
      <c r="M229" s="702"/>
      <c r="N229" s="702"/>
      <c r="O229" s="702">
        <f>O227</f>
        <v>45777</v>
      </c>
      <c r="P229" s="702"/>
      <c r="Q229" s="702"/>
      <c r="R229" s="690" cm="1">
        <f t="array" ref="R229">INDEX(verificare!$AT$4:$CC$26,VLOOKUP($AA$15,verificare!$AR$4:$AS$26,2,FALSE),A229)</f>
        <v>1563</v>
      </c>
      <c r="S229" s="690"/>
      <c r="T229" s="690"/>
      <c r="U229" s="690"/>
      <c r="V229" s="658" t="s">
        <v>446</v>
      </c>
      <c r="W229" s="658"/>
      <c r="X229" s="691">
        <f>HLOOKUP(VLOOKUP($AA$15,'Date SPV'!$B:$F,5,FALSE),'Preturi si tarife'!$C$2:$J$39,A229+2,FALSE)</f>
        <v>0</v>
      </c>
      <c r="Y229" s="692"/>
      <c r="Z229" s="692"/>
      <c r="AA229" s="693"/>
      <c r="AB229" s="690">
        <f t="shared" si="12"/>
        <v>0</v>
      </c>
      <c r="AC229" s="690"/>
      <c r="AD229" s="690"/>
      <c r="AE229" s="690"/>
      <c r="AF229" s="690">
        <f t="shared" si="13"/>
        <v>0</v>
      </c>
      <c r="AG229" s="690"/>
      <c r="AH229" s="690"/>
      <c r="AI229" s="690"/>
      <c r="AJ229" s="690">
        <f t="shared" si="14"/>
        <v>0</v>
      </c>
      <c r="AK229" s="690"/>
      <c r="AL229" s="690"/>
      <c r="AM229" s="690"/>
    </row>
    <row r="230" spans="1:39" ht="30.95" customHeight="1">
      <c r="A230" s="65">
        <f t="shared" si="15"/>
        <v>31</v>
      </c>
      <c r="B230" s="699" t="s">
        <v>108</v>
      </c>
      <c r="C230" s="700"/>
      <c r="D230" s="700"/>
      <c r="E230" s="700"/>
      <c r="F230" s="700"/>
      <c r="G230" s="700"/>
      <c r="H230" s="700"/>
      <c r="I230" s="700"/>
      <c r="J230" s="700"/>
      <c r="K230" s="701"/>
      <c r="L230" s="702">
        <f t="shared" si="19"/>
        <v>45748</v>
      </c>
      <c r="M230" s="702"/>
      <c r="N230" s="702"/>
      <c r="O230" s="702">
        <f t="shared" si="18"/>
        <v>45777</v>
      </c>
      <c r="P230" s="702"/>
      <c r="Q230" s="702"/>
      <c r="R230" s="690" cm="1">
        <f t="array" ref="R230">INDEX(verificare!$AT$4:$CC$26,VLOOKUP($AA$15,verificare!$AR$4:$AS$26,2,FALSE),A230)</f>
        <v>0</v>
      </c>
      <c r="S230" s="690"/>
      <c r="T230" s="690"/>
      <c r="U230" s="690"/>
      <c r="V230" s="658" t="s">
        <v>446</v>
      </c>
      <c r="W230" s="658"/>
      <c r="X230" s="691">
        <f>HLOOKUP(VLOOKUP($AA$15,'Date SPV'!$B:$F,5,FALSE),'Preturi si tarife'!$C$2:$J$39,A230+2,FALSE)</f>
        <v>1.7000000000000001E-2</v>
      </c>
      <c r="Y230" s="692"/>
      <c r="Z230" s="692"/>
      <c r="AA230" s="693"/>
      <c r="AB230" s="690">
        <f t="shared" si="12"/>
        <v>0</v>
      </c>
      <c r="AC230" s="690"/>
      <c r="AD230" s="690"/>
      <c r="AE230" s="690"/>
      <c r="AF230" s="690">
        <f t="shared" si="13"/>
        <v>0</v>
      </c>
      <c r="AG230" s="690"/>
      <c r="AH230" s="690"/>
      <c r="AI230" s="690"/>
      <c r="AJ230" s="690">
        <f t="shared" si="14"/>
        <v>0</v>
      </c>
      <c r="AK230" s="690"/>
      <c r="AL230" s="690"/>
      <c r="AM230" s="690"/>
    </row>
    <row r="231" spans="1:39" ht="30.95" customHeight="1">
      <c r="A231" s="65">
        <f t="shared" si="15"/>
        <v>32</v>
      </c>
      <c r="B231" s="699" t="s">
        <v>109</v>
      </c>
      <c r="C231" s="700"/>
      <c r="D231" s="700"/>
      <c r="E231" s="700"/>
      <c r="F231" s="700"/>
      <c r="G231" s="700"/>
      <c r="H231" s="700"/>
      <c r="I231" s="700"/>
      <c r="J231" s="700"/>
      <c r="K231" s="701"/>
      <c r="L231" s="763">
        <f t="shared" si="19"/>
        <v>45748</v>
      </c>
      <c r="M231" s="764"/>
      <c r="N231" s="765"/>
      <c r="O231" s="763">
        <f t="shared" si="18"/>
        <v>45777</v>
      </c>
      <c r="P231" s="764"/>
      <c r="Q231" s="765"/>
      <c r="R231" s="690" cm="1">
        <f t="array" ref="R231">INDEX(verificare!$AT$4:$CC$26,VLOOKUP($AA$15,verificare!$AR$4:$AS$26,2,FALSE),A231)</f>
        <v>0</v>
      </c>
      <c r="S231" s="690"/>
      <c r="T231" s="690"/>
      <c r="U231" s="690"/>
      <c r="V231" s="724" t="s">
        <v>446</v>
      </c>
      <c r="W231" s="725"/>
      <c r="X231" s="691">
        <f>HLOOKUP(VLOOKUP($AA$15,'Date SPV'!$B:$F,5,FALSE),'Preturi si tarife'!$C$2:$J$39,A231+2,FALSE)</f>
        <v>0.10290000000000001</v>
      </c>
      <c r="Y231" s="692"/>
      <c r="Z231" s="692"/>
      <c r="AA231" s="693"/>
      <c r="AB231" s="690">
        <f t="shared" si="12"/>
        <v>0</v>
      </c>
      <c r="AC231" s="690"/>
      <c r="AD231" s="690"/>
      <c r="AE231" s="690"/>
      <c r="AF231" s="690">
        <f t="shared" si="13"/>
        <v>0</v>
      </c>
      <c r="AG231" s="690"/>
      <c r="AH231" s="690"/>
      <c r="AI231" s="690"/>
      <c r="AJ231" s="690">
        <f t="shared" si="14"/>
        <v>0</v>
      </c>
      <c r="AK231" s="690"/>
      <c r="AL231" s="690"/>
      <c r="AM231" s="690"/>
    </row>
    <row r="232" spans="1:39" ht="15.95" customHeight="1">
      <c r="A232" s="65">
        <f t="shared" si="15"/>
        <v>33</v>
      </c>
      <c r="B232" s="699" t="s">
        <v>110</v>
      </c>
      <c r="C232" s="700"/>
      <c r="D232" s="700"/>
      <c r="E232" s="700"/>
      <c r="F232" s="700"/>
      <c r="G232" s="700"/>
      <c r="H232" s="700"/>
      <c r="I232" s="700"/>
      <c r="J232" s="700"/>
      <c r="K232" s="701"/>
      <c r="L232" s="702">
        <f t="shared" si="19"/>
        <v>45748</v>
      </c>
      <c r="M232" s="702"/>
      <c r="N232" s="702"/>
      <c r="O232" s="702">
        <f t="shared" si="18"/>
        <v>45777</v>
      </c>
      <c r="P232" s="702"/>
      <c r="Q232" s="702"/>
      <c r="R232" s="690" cm="1">
        <f t="array" ref="R232">INDEX(verificare!$AT$4:$CC$26,VLOOKUP($AA$15,verificare!$AR$4:$AS$26,2,FALSE),A232)</f>
        <v>0</v>
      </c>
      <c r="S232" s="690"/>
      <c r="T232" s="690"/>
      <c r="U232" s="690"/>
      <c r="V232" s="658" t="s">
        <v>446</v>
      </c>
      <c r="W232" s="658"/>
      <c r="X232" s="691">
        <f>HLOOKUP(VLOOKUP($AA$15,'Date SPV'!$B:$F,5,FALSE),'Preturi si tarife'!$C$2:$J$39,A232+2,FALSE)</f>
        <v>0.97511760000000003</v>
      </c>
      <c r="Y232" s="692"/>
      <c r="Z232" s="692"/>
      <c r="AA232" s="693"/>
      <c r="AB232" s="690">
        <f t="shared" si="12"/>
        <v>0</v>
      </c>
      <c r="AC232" s="690"/>
      <c r="AD232" s="690"/>
      <c r="AE232" s="690"/>
      <c r="AF232" s="690">
        <f t="shared" si="13"/>
        <v>0</v>
      </c>
      <c r="AG232" s="690"/>
      <c r="AH232" s="690"/>
      <c r="AI232" s="690"/>
      <c r="AJ232" s="690">
        <f t="shared" si="14"/>
        <v>0</v>
      </c>
      <c r="AK232" s="690"/>
      <c r="AL232" s="690"/>
      <c r="AM232" s="690"/>
    </row>
    <row r="233" spans="1:39">
      <c r="A233" s="65">
        <f t="shared" si="15"/>
        <v>34</v>
      </c>
      <c r="B233" s="699" t="s">
        <v>111</v>
      </c>
      <c r="C233" s="700"/>
      <c r="D233" s="700"/>
      <c r="E233" s="700"/>
      <c r="F233" s="700"/>
      <c r="G233" s="700"/>
      <c r="H233" s="700"/>
      <c r="I233" s="700"/>
      <c r="J233" s="700"/>
      <c r="K233" s="701"/>
      <c r="L233" s="702">
        <f t="shared" si="19"/>
        <v>45748</v>
      </c>
      <c r="M233" s="702"/>
      <c r="N233" s="702"/>
      <c r="O233" s="702">
        <f t="shared" si="18"/>
        <v>45777</v>
      </c>
      <c r="P233" s="702"/>
      <c r="Q233" s="702"/>
      <c r="R233" s="690" cm="1">
        <f t="array" ref="R233">INDEX(verificare!$AT$4:$CC$26,VLOOKUP($AA$15,verificare!$AR$4:$AS$26,2,FALSE),A233)</f>
        <v>0</v>
      </c>
      <c r="S233" s="690"/>
      <c r="T233" s="690"/>
      <c r="U233" s="690"/>
      <c r="V233" s="658" t="s">
        <v>446</v>
      </c>
      <c r="W233" s="658"/>
      <c r="X233" s="691">
        <f>HLOOKUP(VLOOKUP($AA$15,'Date SPV'!$B:$F,5,FALSE),'Preturi si tarife'!$C$2:$J$39,A233+2,FALSE)</f>
        <v>0.85521760000000002</v>
      </c>
      <c r="Y233" s="692"/>
      <c r="Z233" s="692"/>
      <c r="AA233" s="693"/>
      <c r="AB233" s="690">
        <f t="shared" si="12"/>
        <v>0</v>
      </c>
      <c r="AC233" s="690"/>
      <c r="AD233" s="690"/>
      <c r="AE233" s="690"/>
      <c r="AF233" s="690">
        <f t="shared" si="13"/>
        <v>0</v>
      </c>
      <c r="AG233" s="690"/>
      <c r="AH233" s="690"/>
      <c r="AI233" s="690"/>
      <c r="AJ233" s="690">
        <f t="shared" si="14"/>
        <v>0</v>
      </c>
      <c r="AK233" s="690"/>
      <c r="AL233" s="690"/>
      <c r="AM233" s="690"/>
    </row>
    <row r="234" spans="1:39" ht="30.95" customHeight="1">
      <c r="A234" s="65">
        <f t="shared" si="15"/>
        <v>35</v>
      </c>
      <c r="B234" s="699" t="s">
        <v>112</v>
      </c>
      <c r="C234" s="700"/>
      <c r="D234" s="700"/>
      <c r="E234" s="700"/>
      <c r="F234" s="700"/>
      <c r="G234" s="700"/>
      <c r="H234" s="700"/>
      <c r="I234" s="700"/>
      <c r="J234" s="700"/>
      <c r="K234" s="701"/>
      <c r="L234" s="763">
        <f t="shared" si="19"/>
        <v>45748</v>
      </c>
      <c r="M234" s="764"/>
      <c r="N234" s="765"/>
      <c r="O234" s="763">
        <f t="shared" si="18"/>
        <v>45777</v>
      </c>
      <c r="P234" s="764"/>
      <c r="Q234" s="765"/>
      <c r="R234" s="772" cm="1">
        <f t="array" ref="R234">INDEX(verificare!$AT$4:$CC$26,VLOOKUP($AA$15,verificare!$AR$4:$AS$26,2,FALSE),A234)</f>
        <v>0</v>
      </c>
      <c r="S234" s="773"/>
      <c r="T234" s="773"/>
      <c r="U234" s="774"/>
      <c r="V234" s="724" t="s">
        <v>446</v>
      </c>
      <c r="W234" s="725"/>
      <c r="X234" s="691">
        <f>HLOOKUP(VLOOKUP($AA$15,'Date SPV'!$B:$F,5,FALSE),'Preturi si tarife'!$C$2:$J$39,A234+2,FALSE)</f>
        <v>1.7000000000000001E-2</v>
      </c>
      <c r="Y234" s="692"/>
      <c r="Z234" s="692"/>
      <c r="AA234" s="693"/>
      <c r="AB234" s="690">
        <f t="shared" si="12"/>
        <v>0</v>
      </c>
      <c r="AC234" s="690"/>
      <c r="AD234" s="690"/>
      <c r="AE234" s="690"/>
      <c r="AF234" s="690">
        <f t="shared" si="13"/>
        <v>0</v>
      </c>
      <c r="AG234" s="690"/>
      <c r="AH234" s="690"/>
      <c r="AI234" s="690"/>
      <c r="AJ234" s="690">
        <f t="shared" si="14"/>
        <v>0</v>
      </c>
      <c r="AK234" s="690"/>
      <c r="AL234" s="690"/>
      <c r="AM234" s="690"/>
    </row>
    <row r="235" spans="1:39" ht="30.95" customHeight="1">
      <c r="A235" s="65">
        <f t="shared" si="15"/>
        <v>36</v>
      </c>
      <c r="B235" s="699" t="s">
        <v>113</v>
      </c>
      <c r="C235" s="700"/>
      <c r="D235" s="700"/>
      <c r="E235" s="700"/>
      <c r="F235" s="700"/>
      <c r="G235" s="700"/>
      <c r="H235" s="700"/>
      <c r="I235" s="700"/>
      <c r="J235" s="700"/>
      <c r="K235" s="701"/>
      <c r="L235" s="763">
        <f t="shared" si="19"/>
        <v>45748</v>
      </c>
      <c r="M235" s="764"/>
      <c r="N235" s="765"/>
      <c r="O235" s="763">
        <f t="shared" si="18"/>
        <v>45777</v>
      </c>
      <c r="P235" s="764"/>
      <c r="Q235" s="765"/>
      <c r="R235" s="772" cm="1">
        <f t="array" ref="R235">INDEX(verificare!$AT$4:$CC$26,VLOOKUP($AA$15,verificare!$AR$4:$AS$26,2,FALSE),A235)</f>
        <v>0</v>
      </c>
      <c r="S235" s="773"/>
      <c r="T235" s="773"/>
      <c r="U235" s="774"/>
      <c r="V235" s="724" t="s">
        <v>446</v>
      </c>
      <c r="W235" s="725"/>
      <c r="X235" s="691">
        <f>HLOOKUP(VLOOKUP($AA$15,'Date SPV'!$B:$F,5,FALSE),'Preturi si tarife'!$C$2:$J$39,A235+2,FALSE)</f>
        <v>0.10290000000000001</v>
      </c>
      <c r="Y235" s="692"/>
      <c r="Z235" s="692"/>
      <c r="AA235" s="693"/>
      <c r="AB235" s="690">
        <f t="shared" si="12"/>
        <v>0</v>
      </c>
      <c r="AC235" s="690"/>
      <c r="AD235" s="690"/>
      <c r="AE235" s="690"/>
      <c r="AF235" s="690">
        <f t="shared" si="13"/>
        <v>0</v>
      </c>
      <c r="AG235" s="690"/>
      <c r="AH235" s="690"/>
      <c r="AI235" s="690"/>
      <c r="AJ235" s="690">
        <f t="shared" si="14"/>
        <v>0</v>
      </c>
      <c r="AK235" s="690"/>
      <c r="AL235" s="690"/>
      <c r="AM235" s="690"/>
    </row>
    <row r="236" spans="1:39">
      <c r="A236" s="65">
        <f t="shared" si="15"/>
        <v>37</v>
      </c>
      <c r="B236" s="699" t="s">
        <v>728</v>
      </c>
      <c r="C236" s="700"/>
      <c r="D236" s="700"/>
      <c r="E236" s="700"/>
      <c r="F236" s="700"/>
      <c r="G236" s="700"/>
      <c r="H236" s="700"/>
      <c r="I236" s="700"/>
      <c r="J236" s="700"/>
      <c r="K236" s="701"/>
      <c r="L236" s="702" t="s">
        <v>69</v>
      </c>
      <c r="M236" s="702"/>
      <c r="N236" s="702"/>
      <c r="O236" s="702" t="s">
        <v>69</v>
      </c>
      <c r="P236" s="702"/>
      <c r="Q236" s="702"/>
      <c r="R236" s="690">
        <v>0</v>
      </c>
      <c r="S236" s="690"/>
      <c r="T236" s="690"/>
      <c r="U236" s="690"/>
      <c r="V236" s="658" t="s">
        <v>69</v>
      </c>
      <c r="W236" s="658"/>
      <c r="X236" s="659" t="s">
        <v>69</v>
      </c>
      <c r="Y236" s="659"/>
      <c r="Z236" s="659"/>
      <c r="AA236" s="659"/>
      <c r="AB236" s="653">
        <v>0</v>
      </c>
      <c r="AC236" s="653"/>
      <c r="AD236" s="653"/>
      <c r="AE236" s="653"/>
      <c r="AF236" s="653">
        <f t="shared" si="13"/>
        <v>0</v>
      </c>
      <c r="AG236" s="653"/>
      <c r="AH236" s="653"/>
      <c r="AI236" s="653"/>
      <c r="AJ236" s="653">
        <f t="shared" si="14"/>
        <v>0</v>
      </c>
      <c r="AK236" s="653"/>
      <c r="AL236" s="653"/>
      <c r="AM236" s="653"/>
    </row>
    <row r="237" spans="1:39">
      <c r="A237" s="65">
        <f>A236+1</f>
        <v>38</v>
      </c>
      <c r="B237" s="699" t="s">
        <v>729</v>
      </c>
      <c r="C237" s="700"/>
      <c r="D237" s="700"/>
      <c r="E237" s="700"/>
      <c r="F237" s="700"/>
      <c r="G237" s="700"/>
      <c r="H237" s="700"/>
      <c r="I237" s="700"/>
      <c r="J237" s="700"/>
      <c r="K237" s="701"/>
      <c r="L237" s="702" t="s">
        <v>69</v>
      </c>
      <c r="M237" s="702"/>
      <c r="N237" s="702"/>
      <c r="O237" s="702" t="s">
        <v>69</v>
      </c>
      <c r="P237" s="702"/>
      <c r="Q237" s="702"/>
      <c r="R237" s="690">
        <v>0</v>
      </c>
      <c r="S237" s="690"/>
      <c r="T237" s="690"/>
      <c r="U237" s="690"/>
      <c r="V237" s="658" t="s">
        <v>69</v>
      </c>
      <c r="W237" s="658"/>
      <c r="X237" s="659" t="s">
        <v>69</v>
      </c>
      <c r="Y237" s="659"/>
      <c r="Z237" s="659"/>
      <c r="AA237" s="659"/>
      <c r="AB237" s="726">
        <f>SUM(AB200:AE236)</f>
        <v>352708.21999999991</v>
      </c>
      <c r="AC237" s="726"/>
      <c r="AD237" s="726"/>
      <c r="AE237" s="726"/>
      <c r="AF237" s="726">
        <f>SUM(AF200:AI236)</f>
        <v>67014.539999999979</v>
      </c>
      <c r="AG237" s="726"/>
      <c r="AH237" s="726"/>
      <c r="AI237" s="726"/>
      <c r="AJ237" s="726">
        <f>SUM(AJ200:AM236)</f>
        <v>419722.75999999989</v>
      </c>
      <c r="AK237" s="726"/>
      <c r="AL237" s="726"/>
      <c r="AM237" s="726"/>
    </row>
    <row r="238" spans="1:39" ht="15.95" customHeight="1"/>
  </sheetData>
  <mergeCells count="1084">
    <mergeCell ref="AI134:AM134"/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71:L71"/>
    <mergeCell ref="M71:AH71"/>
    <mergeCell ref="AI71:AM72"/>
    <mergeCell ref="A72:L72"/>
    <mergeCell ref="M72:AH72"/>
    <mergeCell ref="A73:F75"/>
    <mergeCell ref="G73:I75"/>
    <mergeCell ref="J73:L75"/>
    <mergeCell ref="M73:N75"/>
    <mergeCell ref="O73:Q75"/>
    <mergeCell ref="AI64:AJ66"/>
    <mergeCell ref="AK64:AM66"/>
    <mergeCell ref="J65:L65"/>
    <mergeCell ref="J66:L66"/>
    <mergeCell ref="AI70:AM70"/>
    <mergeCell ref="R64:T66"/>
    <mergeCell ref="U64:W66"/>
    <mergeCell ref="X64:Z66"/>
    <mergeCell ref="AA64:AC66"/>
    <mergeCell ref="AD64:AE66"/>
    <mergeCell ref="AF64:AH66"/>
    <mergeCell ref="A70:AH70"/>
    <mergeCell ref="AA76:AC78"/>
    <mergeCell ref="AD76:AE78"/>
    <mergeCell ref="AF76:AH78"/>
    <mergeCell ref="AI76:AJ78"/>
    <mergeCell ref="AK76:AM78"/>
    <mergeCell ref="J77:L77"/>
    <mergeCell ref="J78:L78"/>
    <mergeCell ref="AI73:AJ75"/>
    <mergeCell ref="AK73:AM75"/>
    <mergeCell ref="A76:F78"/>
    <mergeCell ref="G76:I78"/>
    <mergeCell ref="J76:L76"/>
    <mergeCell ref="M76:N78"/>
    <mergeCell ref="O76:Q78"/>
    <mergeCell ref="R76:T78"/>
    <mergeCell ref="U76:W78"/>
    <mergeCell ref="X76:Z78"/>
    <mergeCell ref="R73:T75"/>
    <mergeCell ref="U73:W75"/>
    <mergeCell ref="X73:Z75"/>
    <mergeCell ref="AA73:AC75"/>
    <mergeCell ref="AD73:AE75"/>
    <mergeCell ref="AF73:AH75"/>
    <mergeCell ref="J83:L83"/>
    <mergeCell ref="J84:L84"/>
    <mergeCell ref="X82:Z84"/>
    <mergeCell ref="AA82:AC84"/>
    <mergeCell ref="AD82:AE84"/>
    <mergeCell ref="AF82:AH84"/>
    <mergeCell ref="AI82:AJ84"/>
    <mergeCell ref="AK82:AM84"/>
    <mergeCell ref="AK79:AM81"/>
    <mergeCell ref="J80:L80"/>
    <mergeCell ref="J81:L81"/>
    <mergeCell ref="A82:F84"/>
    <mergeCell ref="G82:I84"/>
    <mergeCell ref="J82:L82"/>
    <mergeCell ref="M82:N84"/>
    <mergeCell ref="O82:Q84"/>
    <mergeCell ref="R82:T84"/>
    <mergeCell ref="U82:W84"/>
    <mergeCell ref="U79:W81"/>
    <mergeCell ref="X79:Z81"/>
    <mergeCell ref="AA79:AC81"/>
    <mergeCell ref="AD79:AE81"/>
    <mergeCell ref="AF79:AH81"/>
    <mergeCell ref="AI79:AJ81"/>
    <mergeCell ref="A79:F81"/>
    <mergeCell ref="G79:I81"/>
    <mergeCell ref="J79:L79"/>
    <mergeCell ref="M79:N81"/>
    <mergeCell ref="O79:Q81"/>
    <mergeCell ref="R79:T81"/>
    <mergeCell ref="A154:L154"/>
    <mergeCell ref="M154:AH154"/>
    <mergeCell ref="AI154:AM154"/>
    <mergeCell ref="A155:L155"/>
    <mergeCell ref="J142:L142"/>
    <mergeCell ref="J143:L143"/>
    <mergeCell ref="X140:Z142"/>
    <mergeCell ref="AA140:AC142"/>
    <mergeCell ref="AD140:AE142"/>
    <mergeCell ref="AF140:AH142"/>
    <mergeCell ref="J140:L140"/>
    <mergeCell ref="J141:L141"/>
    <mergeCell ref="U137:W139"/>
    <mergeCell ref="X137:Z139"/>
    <mergeCell ref="AA137:AC139"/>
    <mergeCell ref="AD137:AE139"/>
    <mergeCell ref="J137:L139"/>
    <mergeCell ref="M137:N139"/>
    <mergeCell ref="O137:Q139"/>
    <mergeCell ref="R137:T139"/>
    <mergeCell ref="AF137:AH139"/>
    <mergeCell ref="AI137:AJ139"/>
    <mergeCell ref="AK137:AM139"/>
    <mergeCell ref="AD143:AE145"/>
    <mergeCell ref="AF143:AH145"/>
    <mergeCell ref="AI143:AJ145"/>
    <mergeCell ref="AK143:AM145"/>
    <mergeCell ref="J144:L144"/>
    <mergeCell ref="J145:L145"/>
    <mergeCell ref="AI140:AJ142"/>
    <mergeCell ref="AK140:AM142"/>
    <mergeCell ref="A143:F145"/>
    <mergeCell ref="J161:L161"/>
    <mergeCell ref="J162:L162"/>
    <mergeCell ref="A163:F165"/>
    <mergeCell ref="G163:I165"/>
    <mergeCell ref="J163:L163"/>
    <mergeCell ref="M163:N165"/>
    <mergeCell ref="X160:Z162"/>
    <mergeCell ref="AA160:AC162"/>
    <mergeCell ref="AD160:AE162"/>
    <mergeCell ref="AF160:AH162"/>
    <mergeCell ref="AI160:AJ162"/>
    <mergeCell ref="AK160:AM162"/>
    <mergeCell ref="AK157:AM159"/>
    <mergeCell ref="A160:F162"/>
    <mergeCell ref="G160:I162"/>
    <mergeCell ref="J160:L160"/>
    <mergeCell ref="M160:N162"/>
    <mergeCell ref="O160:Q162"/>
    <mergeCell ref="R160:T162"/>
    <mergeCell ref="U160:W162"/>
    <mergeCell ref="U157:W159"/>
    <mergeCell ref="X157:Z159"/>
    <mergeCell ref="AA157:AC159"/>
    <mergeCell ref="AD157:AE159"/>
    <mergeCell ref="AF157:AH159"/>
    <mergeCell ref="AI157:AJ159"/>
    <mergeCell ref="A157:F159"/>
    <mergeCell ref="G157:I159"/>
    <mergeCell ref="M157:N159"/>
    <mergeCell ref="O157:Q159"/>
    <mergeCell ref="R157:T159"/>
    <mergeCell ref="J157:L159"/>
    <mergeCell ref="G169:I171"/>
    <mergeCell ref="J169:L169"/>
    <mergeCell ref="M169:N171"/>
    <mergeCell ref="O169:Q171"/>
    <mergeCell ref="R169:T171"/>
    <mergeCell ref="R166:T168"/>
    <mergeCell ref="U166:W168"/>
    <mergeCell ref="X166:Z168"/>
    <mergeCell ref="AA166:AC168"/>
    <mergeCell ref="AD166:AE168"/>
    <mergeCell ref="AF166:AH168"/>
    <mergeCell ref="AF163:AH165"/>
    <mergeCell ref="AI163:AJ165"/>
    <mergeCell ref="AK163:AM165"/>
    <mergeCell ref="J164:L164"/>
    <mergeCell ref="J165:L165"/>
    <mergeCell ref="A166:F168"/>
    <mergeCell ref="G166:I168"/>
    <mergeCell ref="J166:L166"/>
    <mergeCell ref="M166:N168"/>
    <mergeCell ref="O166:Q168"/>
    <mergeCell ref="O163:Q165"/>
    <mergeCell ref="R163:T165"/>
    <mergeCell ref="U163:W165"/>
    <mergeCell ref="X163:Z165"/>
    <mergeCell ref="AA163:AC165"/>
    <mergeCell ref="AD163:AE165"/>
    <mergeCell ref="J170:L170"/>
    <mergeCell ref="J171:L171"/>
    <mergeCell ref="A94:L94"/>
    <mergeCell ref="M94:AH94"/>
    <mergeCell ref="AI94:AM94"/>
    <mergeCell ref="A95:L95"/>
    <mergeCell ref="M95:AH95"/>
    <mergeCell ref="AI95:AM96"/>
    <mergeCell ref="A96:L96"/>
    <mergeCell ref="M96:AH96"/>
    <mergeCell ref="A89:G90"/>
    <mergeCell ref="H89:AM90"/>
    <mergeCell ref="A91:G92"/>
    <mergeCell ref="H91:V92"/>
    <mergeCell ref="W91:Z92"/>
    <mergeCell ref="AA91:AM92"/>
    <mergeCell ref="A137:F139"/>
    <mergeCell ref="G137:I139"/>
    <mergeCell ref="U184:W186"/>
    <mergeCell ref="X184:Z186"/>
    <mergeCell ref="AA184:AC186"/>
    <mergeCell ref="AD184:AE186"/>
    <mergeCell ref="AI178:AJ180"/>
    <mergeCell ref="AK178:AM180"/>
    <mergeCell ref="J179:L179"/>
    <mergeCell ref="J180:L180"/>
    <mergeCell ref="R181:T183"/>
    <mergeCell ref="U181:W183"/>
    <mergeCell ref="X181:Z183"/>
    <mergeCell ref="R178:T180"/>
    <mergeCell ref="U178:W180"/>
    <mergeCell ref="X178:Z180"/>
    <mergeCell ref="AA178:AC180"/>
    <mergeCell ref="AD178:AE180"/>
    <mergeCell ref="O103:Q105"/>
    <mergeCell ref="R103:T105"/>
    <mergeCell ref="AD100:AE102"/>
    <mergeCell ref="AF100:AH102"/>
    <mergeCell ref="AI100:AJ102"/>
    <mergeCell ref="AK100:AM102"/>
    <mergeCell ref="J101:L101"/>
    <mergeCell ref="J102:L102"/>
    <mergeCell ref="AK97:AM99"/>
    <mergeCell ref="A100:F102"/>
    <mergeCell ref="G100:I102"/>
    <mergeCell ref="J100:L100"/>
    <mergeCell ref="M100:N102"/>
    <mergeCell ref="O100:Q102"/>
    <mergeCell ref="R100:T102"/>
    <mergeCell ref="U100:W102"/>
    <mergeCell ref="X100:Z102"/>
    <mergeCell ref="AA100:AC102"/>
    <mergeCell ref="U97:W99"/>
    <mergeCell ref="X97:Z99"/>
    <mergeCell ref="AA97:AC99"/>
    <mergeCell ref="AD97:AE99"/>
    <mergeCell ref="AF97:AH99"/>
    <mergeCell ref="AI97:AJ99"/>
    <mergeCell ref="A97:F99"/>
    <mergeCell ref="G97:I99"/>
    <mergeCell ref="J97:L99"/>
    <mergeCell ref="M97:N99"/>
    <mergeCell ref="O97:Q99"/>
    <mergeCell ref="R97:T99"/>
    <mergeCell ref="J107:L107"/>
    <mergeCell ref="J108:L108"/>
    <mergeCell ref="A109:F111"/>
    <mergeCell ref="G109:I111"/>
    <mergeCell ref="J109:L109"/>
    <mergeCell ref="M109:N111"/>
    <mergeCell ref="X106:Z108"/>
    <mergeCell ref="AA106:AC108"/>
    <mergeCell ref="AD106:AE108"/>
    <mergeCell ref="AF106:AH108"/>
    <mergeCell ref="AI106:AJ108"/>
    <mergeCell ref="AK106:AM108"/>
    <mergeCell ref="AK103:AM105"/>
    <mergeCell ref="J104:L104"/>
    <mergeCell ref="J105:L105"/>
    <mergeCell ref="A106:F108"/>
    <mergeCell ref="G106:I108"/>
    <mergeCell ref="J106:L106"/>
    <mergeCell ref="M106:N108"/>
    <mergeCell ref="O106:Q108"/>
    <mergeCell ref="R106:T108"/>
    <mergeCell ref="U106:W108"/>
    <mergeCell ref="U103:W105"/>
    <mergeCell ref="X103:Z105"/>
    <mergeCell ref="AA103:AC105"/>
    <mergeCell ref="AD103:AE105"/>
    <mergeCell ref="AF103:AH105"/>
    <mergeCell ref="AI103:AJ105"/>
    <mergeCell ref="A103:F105"/>
    <mergeCell ref="G103:I105"/>
    <mergeCell ref="J103:L103"/>
    <mergeCell ref="M103:N105"/>
    <mergeCell ref="AI112:AJ114"/>
    <mergeCell ref="AK112:AM114"/>
    <mergeCell ref="J113:L113"/>
    <mergeCell ref="J114:L114"/>
    <mergeCell ref="A115:F117"/>
    <mergeCell ref="G115:I117"/>
    <mergeCell ref="J115:L115"/>
    <mergeCell ref="M115:N117"/>
    <mergeCell ref="O115:Q117"/>
    <mergeCell ref="R115:T117"/>
    <mergeCell ref="R112:T114"/>
    <mergeCell ref="U112:W114"/>
    <mergeCell ref="X112:Z114"/>
    <mergeCell ref="AA112:AC114"/>
    <mergeCell ref="AD112:AE114"/>
    <mergeCell ref="AF112:AH114"/>
    <mergeCell ref="AF109:AH111"/>
    <mergeCell ref="AI109:AJ111"/>
    <mergeCell ref="AK109:AM111"/>
    <mergeCell ref="J110:L110"/>
    <mergeCell ref="J111:L111"/>
    <mergeCell ref="A112:F114"/>
    <mergeCell ref="G112:I114"/>
    <mergeCell ref="J112:L112"/>
    <mergeCell ref="M112:N114"/>
    <mergeCell ref="O112:Q114"/>
    <mergeCell ref="O109:Q111"/>
    <mergeCell ref="R109:T111"/>
    <mergeCell ref="U109:W111"/>
    <mergeCell ref="X109:Z111"/>
    <mergeCell ref="AA109:AC111"/>
    <mergeCell ref="AD109:AE111"/>
    <mergeCell ref="J119:L119"/>
    <mergeCell ref="J120:L120"/>
    <mergeCell ref="A121:F123"/>
    <mergeCell ref="G121:I123"/>
    <mergeCell ref="J121:L121"/>
    <mergeCell ref="M121:N123"/>
    <mergeCell ref="X118:Z120"/>
    <mergeCell ref="AA118:AC120"/>
    <mergeCell ref="AD118:AE120"/>
    <mergeCell ref="AF118:AH120"/>
    <mergeCell ref="AI118:AJ120"/>
    <mergeCell ref="AK118:AM120"/>
    <mergeCell ref="AI124:AJ126"/>
    <mergeCell ref="AK124:AM126"/>
    <mergeCell ref="J125:L125"/>
    <mergeCell ref="J126:L126"/>
    <mergeCell ref="AK115:AM117"/>
    <mergeCell ref="J116:L116"/>
    <mergeCell ref="J117:L117"/>
    <mergeCell ref="A118:F120"/>
    <mergeCell ref="G118:I120"/>
    <mergeCell ref="J118:L118"/>
    <mergeCell ref="M118:N120"/>
    <mergeCell ref="O118:Q120"/>
    <mergeCell ref="R118:T120"/>
    <mergeCell ref="U118:W120"/>
    <mergeCell ref="U115:W117"/>
    <mergeCell ref="X115:Z117"/>
    <mergeCell ref="AA115:AC117"/>
    <mergeCell ref="AD115:AE117"/>
    <mergeCell ref="AF115:AH117"/>
    <mergeCell ref="AI115:AJ117"/>
    <mergeCell ref="U172:W174"/>
    <mergeCell ref="U169:W171"/>
    <mergeCell ref="X169:Z171"/>
    <mergeCell ref="AA169:AC171"/>
    <mergeCell ref="AD169:AE171"/>
    <mergeCell ref="AF169:AH171"/>
    <mergeCell ref="AK146:AM148"/>
    <mergeCell ref="J147:L147"/>
    <mergeCell ref="J148:L148"/>
    <mergeCell ref="M156:AH156"/>
    <mergeCell ref="AF121:AH123"/>
    <mergeCell ref="AI121:AJ123"/>
    <mergeCell ref="AK121:AM123"/>
    <mergeCell ref="J122:L122"/>
    <mergeCell ref="J123:L123"/>
    <mergeCell ref="A124:F126"/>
    <mergeCell ref="G124:I126"/>
    <mergeCell ref="J124:L124"/>
    <mergeCell ref="M124:N126"/>
    <mergeCell ref="O124:Q126"/>
    <mergeCell ref="O121:Q123"/>
    <mergeCell ref="R121:T123"/>
    <mergeCell ref="U121:W123"/>
    <mergeCell ref="X121:Z123"/>
    <mergeCell ref="AA121:AC123"/>
    <mergeCell ref="AD121:AE123"/>
    <mergeCell ref="AI169:AJ171"/>
    <mergeCell ref="AI166:AJ168"/>
    <mergeCell ref="AK166:AM168"/>
    <mergeCell ref="J167:L167"/>
    <mergeCell ref="J168:L168"/>
    <mergeCell ref="A169:F171"/>
    <mergeCell ref="AF199:AI199"/>
    <mergeCell ref="AJ199:AM199"/>
    <mergeCell ref="B200:K200"/>
    <mergeCell ref="L200:N200"/>
    <mergeCell ref="O200:Q200"/>
    <mergeCell ref="R200:U200"/>
    <mergeCell ref="V200:W200"/>
    <mergeCell ref="X200:AA200"/>
    <mergeCell ref="AB200:AE200"/>
    <mergeCell ref="AF200:AI200"/>
    <mergeCell ref="A197:AM197"/>
    <mergeCell ref="B199:K199"/>
    <mergeCell ref="R199:U199"/>
    <mergeCell ref="V199:W199"/>
    <mergeCell ref="X199:AA199"/>
    <mergeCell ref="AB199:AE199"/>
    <mergeCell ref="R124:T126"/>
    <mergeCell ref="U124:W126"/>
    <mergeCell ref="X124:Z126"/>
    <mergeCell ref="AA124:AC126"/>
    <mergeCell ref="AD124:AE126"/>
    <mergeCell ref="AF124:AH126"/>
    <mergeCell ref="AF178:AH180"/>
    <mergeCell ref="AF175:AH177"/>
    <mergeCell ref="AI175:AJ177"/>
    <mergeCell ref="AK175:AM177"/>
    <mergeCell ref="J176:L176"/>
    <mergeCell ref="J177:L177"/>
    <mergeCell ref="J172:L172"/>
    <mergeCell ref="M172:N174"/>
    <mergeCell ref="O172:Q174"/>
    <mergeCell ref="R172:T174"/>
    <mergeCell ref="AB202:AE202"/>
    <mergeCell ref="AF202:AI202"/>
    <mergeCell ref="AJ202:AM202"/>
    <mergeCell ref="B203:K203"/>
    <mergeCell ref="L203:N203"/>
    <mergeCell ref="O203:Q203"/>
    <mergeCell ref="R203:U203"/>
    <mergeCell ref="V203:W203"/>
    <mergeCell ref="X203:AA203"/>
    <mergeCell ref="AB203:AE203"/>
    <mergeCell ref="B202:K202"/>
    <mergeCell ref="L202:N202"/>
    <mergeCell ref="O202:Q202"/>
    <mergeCell ref="R202:U202"/>
    <mergeCell ref="V202:W202"/>
    <mergeCell ref="X202:AA202"/>
    <mergeCell ref="AJ200:AM200"/>
    <mergeCell ref="B201:K201"/>
    <mergeCell ref="L201:N201"/>
    <mergeCell ref="O201:Q201"/>
    <mergeCell ref="R201:U201"/>
    <mergeCell ref="V201:W201"/>
    <mergeCell ref="X201:AA201"/>
    <mergeCell ref="AB201:AE201"/>
    <mergeCell ref="AF201:AI201"/>
    <mergeCell ref="AJ201:AM201"/>
    <mergeCell ref="AJ204:AM204"/>
    <mergeCell ref="B205:K205"/>
    <mergeCell ref="L205:N205"/>
    <mergeCell ref="O205:Q205"/>
    <mergeCell ref="R205:U205"/>
    <mergeCell ref="V205:W205"/>
    <mergeCell ref="X205:AA205"/>
    <mergeCell ref="AB205:AE205"/>
    <mergeCell ref="AF205:AI205"/>
    <mergeCell ref="AJ205:AM205"/>
    <mergeCell ref="AF203:AI203"/>
    <mergeCell ref="AJ203:AM203"/>
    <mergeCell ref="B204:K204"/>
    <mergeCell ref="L204:N204"/>
    <mergeCell ref="O204:Q204"/>
    <mergeCell ref="R204:U204"/>
    <mergeCell ref="V204:W204"/>
    <mergeCell ref="X204:AA204"/>
    <mergeCell ref="AB204:AE204"/>
    <mergeCell ref="AF204:AI204"/>
    <mergeCell ref="AB211:AE211"/>
    <mergeCell ref="AF211:AI211"/>
    <mergeCell ref="AJ211:AM211"/>
    <mergeCell ref="B212:K212"/>
    <mergeCell ref="L212:N212"/>
    <mergeCell ref="O212:Q212"/>
    <mergeCell ref="R212:U212"/>
    <mergeCell ref="V212:W212"/>
    <mergeCell ref="X212:AA212"/>
    <mergeCell ref="AB212:AE212"/>
    <mergeCell ref="B211:K211"/>
    <mergeCell ref="L211:N211"/>
    <mergeCell ref="O211:Q211"/>
    <mergeCell ref="R211:U211"/>
    <mergeCell ref="V211:W211"/>
    <mergeCell ref="X211:AA211"/>
    <mergeCell ref="AJ208:AM208"/>
    <mergeCell ref="B209:K209"/>
    <mergeCell ref="L209:N209"/>
    <mergeCell ref="O209:Q209"/>
    <mergeCell ref="R209:U209"/>
    <mergeCell ref="V209:W209"/>
    <mergeCell ref="X209:AA209"/>
    <mergeCell ref="AB209:AE209"/>
    <mergeCell ref="AF209:AI209"/>
    <mergeCell ref="AJ209:AM209"/>
    <mergeCell ref="B208:K208"/>
    <mergeCell ref="L208:N208"/>
    <mergeCell ref="O208:Q208"/>
    <mergeCell ref="R208:U208"/>
    <mergeCell ref="V208:W208"/>
    <mergeCell ref="X208:AA208"/>
    <mergeCell ref="AJ213:AM213"/>
    <mergeCell ref="B214:K214"/>
    <mergeCell ref="L214:N214"/>
    <mergeCell ref="O214:Q214"/>
    <mergeCell ref="R214:U214"/>
    <mergeCell ref="V214:W214"/>
    <mergeCell ref="X214:AA214"/>
    <mergeCell ref="AB214:AE214"/>
    <mergeCell ref="AF214:AI214"/>
    <mergeCell ref="AJ214:AM214"/>
    <mergeCell ref="AF212:AI212"/>
    <mergeCell ref="AJ212:AM212"/>
    <mergeCell ref="B213:K213"/>
    <mergeCell ref="L213:N213"/>
    <mergeCell ref="O213:Q213"/>
    <mergeCell ref="R213:U213"/>
    <mergeCell ref="V213:W213"/>
    <mergeCell ref="X213:AA213"/>
    <mergeCell ref="AB213:AE213"/>
    <mergeCell ref="AF213:AI213"/>
    <mergeCell ref="AF216:AI216"/>
    <mergeCell ref="AJ216:AM216"/>
    <mergeCell ref="B217:K217"/>
    <mergeCell ref="L217:N217"/>
    <mergeCell ref="O217:Q217"/>
    <mergeCell ref="R217:U217"/>
    <mergeCell ref="V217:W217"/>
    <mergeCell ref="X217:AA217"/>
    <mergeCell ref="AB217:AE217"/>
    <mergeCell ref="AF217:AI217"/>
    <mergeCell ref="AB215:AE215"/>
    <mergeCell ref="AF215:AI215"/>
    <mergeCell ref="AJ215:AM215"/>
    <mergeCell ref="B216:K216"/>
    <mergeCell ref="L216:N216"/>
    <mergeCell ref="O216:Q216"/>
    <mergeCell ref="R216:U216"/>
    <mergeCell ref="V216:W216"/>
    <mergeCell ref="X216:AA216"/>
    <mergeCell ref="AB216:AE216"/>
    <mergeCell ref="B215:K215"/>
    <mergeCell ref="L215:N215"/>
    <mergeCell ref="O215:Q215"/>
    <mergeCell ref="R215:U215"/>
    <mergeCell ref="V215:W215"/>
    <mergeCell ref="X215:AA215"/>
    <mergeCell ref="AB219:AE219"/>
    <mergeCell ref="AF219:AI219"/>
    <mergeCell ref="AJ219:AM219"/>
    <mergeCell ref="B220:K220"/>
    <mergeCell ref="L220:N220"/>
    <mergeCell ref="O220:Q220"/>
    <mergeCell ref="R220:U220"/>
    <mergeCell ref="V220:W220"/>
    <mergeCell ref="X220:AA220"/>
    <mergeCell ref="AB220:AE220"/>
    <mergeCell ref="B219:K219"/>
    <mergeCell ref="L219:N219"/>
    <mergeCell ref="O219:Q219"/>
    <mergeCell ref="R219:U219"/>
    <mergeCell ref="V219:W219"/>
    <mergeCell ref="X219:AA219"/>
    <mergeCell ref="AJ217:AM217"/>
    <mergeCell ref="B218:K218"/>
    <mergeCell ref="L218:N218"/>
    <mergeCell ref="O218:Q218"/>
    <mergeCell ref="R218:U218"/>
    <mergeCell ref="V218:W218"/>
    <mergeCell ref="X218:AA218"/>
    <mergeCell ref="AB218:AE218"/>
    <mergeCell ref="AF218:AI218"/>
    <mergeCell ref="AJ218:AM218"/>
    <mergeCell ref="AJ221:AM221"/>
    <mergeCell ref="B222:K222"/>
    <mergeCell ref="L222:N222"/>
    <mergeCell ref="O222:Q222"/>
    <mergeCell ref="R222:U222"/>
    <mergeCell ref="V222:W222"/>
    <mergeCell ref="X222:AA222"/>
    <mergeCell ref="AB222:AE222"/>
    <mergeCell ref="AF222:AI222"/>
    <mergeCell ref="AJ222:AM222"/>
    <mergeCell ref="AF220:AI220"/>
    <mergeCell ref="AJ220:AM220"/>
    <mergeCell ref="B221:K221"/>
    <mergeCell ref="L221:N221"/>
    <mergeCell ref="O221:Q221"/>
    <mergeCell ref="R221:U221"/>
    <mergeCell ref="V221:W221"/>
    <mergeCell ref="X221:AA221"/>
    <mergeCell ref="AB221:AE221"/>
    <mergeCell ref="AF221:AI221"/>
    <mergeCell ref="AF224:AI224"/>
    <mergeCell ref="AJ224:AM224"/>
    <mergeCell ref="B225:K225"/>
    <mergeCell ref="L225:N225"/>
    <mergeCell ref="O225:Q225"/>
    <mergeCell ref="R225:U225"/>
    <mergeCell ref="V225:W225"/>
    <mergeCell ref="X225:AA225"/>
    <mergeCell ref="AB225:AE225"/>
    <mergeCell ref="AF225:AI225"/>
    <mergeCell ref="AB223:AE223"/>
    <mergeCell ref="AF223:AI223"/>
    <mergeCell ref="AJ223:AM223"/>
    <mergeCell ref="B224:K224"/>
    <mergeCell ref="L224:N224"/>
    <mergeCell ref="O224:Q224"/>
    <mergeCell ref="R224:U224"/>
    <mergeCell ref="V224:W224"/>
    <mergeCell ref="X224:AA224"/>
    <mergeCell ref="AB224:AE224"/>
    <mergeCell ref="B223:K223"/>
    <mergeCell ref="L223:N223"/>
    <mergeCell ref="O223:Q223"/>
    <mergeCell ref="R223:U223"/>
    <mergeCell ref="V223:W223"/>
    <mergeCell ref="X223:AA223"/>
    <mergeCell ref="O227:Q227"/>
    <mergeCell ref="R227:U227"/>
    <mergeCell ref="V227:W227"/>
    <mergeCell ref="X227:AA227"/>
    <mergeCell ref="AJ225:AM225"/>
    <mergeCell ref="B226:K226"/>
    <mergeCell ref="L226:N226"/>
    <mergeCell ref="O226:Q226"/>
    <mergeCell ref="R226:U226"/>
    <mergeCell ref="V226:W226"/>
    <mergeCell ref="X226:AA226"/>
    <mergeCell ref="AB226:AE226"/>
    <mergeCell ref="AF226:AI226"/>
    <mergeCell ref="AJ226:AM226"/>
    <mergeCell ref="B228:K228"/>
    <mergeCell ref="L228:N228"/>
    <mergeCell ref="O228:Q228"/>
    <mergeCell ref="R228:U228"/>
    <mergeCell ref="V228:W228"/>
    <mergeCell ref="X228:AA228"/>
    <mergeCell ref="AB228:AE228"/>
    <mergeCell ref="AF228:AI228"/>
    <mergeCell ref="AJ228:AM228"/>
    <mergeCell ref="AB227:AE227"/>
    <mergeCell ref="AF227:AI227"/>
    <mergeCell ref="AJ227:AM227"/>
    <mergeCell ref="B227:K227"/>
    <mergeCell ref="L227:N227"/>
    <mergeCell ref="AJ230:AM230"/>
    <mergeCell ref="B231:K231"/>
    <mergeCell ref="L231:N231"/>
    <mergeCell ref="O231:Q231"/>
    <mergeCell ref="R231:U231"/>
    <mergeCell ref="V231:W231"/>
    <mergeCell ref="X231:AA231"/>
    <mergeCell ref="AB231:AE231"/>
    <mergeCell ref="AF231:AI231"/>
    <mergeCell ref="AJ231:AM231"/>
    <mergeCell ref="AF229:AI229"/>
    <mergeCell ref="AJ229:AM229"/>
    <mergeCell ref="B230:K230"/>
    <mergeCell ref="L230:N230"/>
    <mergeCell ref="O230:Q230"/>
    <mergeCell ref="R230:U230"/>
    <mergeCell ref="V230:W230"/>
    <mergeCell ref="X230:AA230"/>
    <mergeCell ref="AB230:AE230"/>
    <mergeCell ref="AF230:AI230"/>
    <mergeCell ref="B229:K229"/>
    <mergeCell ref="L229:N229"/>
    <mergeCell ref="O229:Q229"/>
    <mergeCell ref="R229:U229"/>
    <mergeCell ref="V229:W229"/>
    <mergeCell ref="X229:AA229"/>
    <mergeCell ref="AB229:AE229"/>
    <mergeCell ref="X235:AA235"/>
    <mergeCell ref="AB235:AE235"/>
    <mergeCell ref="AF235:AI235"/>
    <mergeCell ref="AJ235:AM235"/>
    <mergeCell ref="AF233:AI233"/>
    <mergeCell ref="AJ233:AM233"/>
    <mergeCell ref="B234:K234"/>
    <mergeCell ref="L234:N234"/>
    <mergeCell ref="O234:Q234"/>
    <mergeCell ref="R234:U234"/>
    <mergeCell ref="V234:W234"/>
    <mergeCell ref="X234:AA234"/>
    <mergeCell ref="AB234:AE234"/>
    <mergeCell ref="AF234:AI234"/>
    <mergeCell ref="AB232:AE232"/>
    <mergeCell ref="AF232:AI232"/>
    <mergeCell ref="AJ232:AM232"/>
    <mergeCell ref="B233:K233"/>
    <mergeCell ref="L233:N233"/>
    <mergeCell ref="O233:Q233"/>
    <mergeCell ref="R233:U233"/>
    <mergeCell ref="V233:W233"/>
    <mergeCell ref="X233:AA233"/>
    <mergeCell ref="AB233:AE233"/>
    <mergeCell ref="B232:K232"/>
    <mergeCell ref="L232:N232"/>
    <mergeCell ref="O232:Q232"/>
    <mergeCell ref="R232:U232"/>
    <mergeCell ref="V232:W232"/>
    <mergeCell ref="X232:AA232"/>
    <mergeCell ref="AF237:AI237"/>
    <mergeCell ref="AJ237:AM237"/>
    <mergeCell ref="A135:L135"/>
    <mergeCell ref="M135:AH135"/>
    <mergeCell ref="AI135:AM136"/>
    <mergeCell ref="A136:L136"/>
    <mergeCell ref="M136:AH136"/>
    <mergeCell ref="AB236:AE236"/>
    <mergeCell ref="AF236:AI236"/>
    <mergeCell ref="AJ236:AM236"/>
    <mergeCell ref="B237:K237"/>
    <mergeCell ref="L237:N237"/>
    <mergeCell ref="O237:Q237"/>
    <mergeCell ref="R237:U237"/>
    <mergeCell ref="V237:W237"/>
    <mergeCell ref="X237:AA237"/>
    <mergeCell ref="AB237:AE237"/>
    <mergeCell ref="B236:K236"/>
    <mergeCell ref="L236:N236"/>
    <mergeCell ref="O236:Q236"/>
    <mergeCell ref="R236:U236"/>
    <mergeCell ref="V236:W236"/>
    <mergeCell ref="X236:AA236"/>
    <mergeCell ref="AJ234:AM234"/>
    <mergeCell ref="B235:K235"/>
    <mergeCell ref="L235:N235"/>
    <mergeCell ref="O235:Q235"/>
    <mergeCell ref="R235:U235"/>
    <mergeCell ref="V235:W235"/>
    <mergeCell ref="M155:AH155"/>
    <mergeCell ref="AI155:AM156"/>
    <mergeCell ref="A156:L156"/>
    <mergeCell ref="A172:F174"/>
    <mergeCell ref="G172:I174"/>
    <mergeCell ref="AA146:AC148"/>
    <mergeCell ref="AD146:AE148"/>
    <mergeCell ref="AF146:AH148"/>
    <mergeCell ref="AI146:AJ148"/>
    <mergeCell ref="A146:F148"/>
    <mergeCell ref="G146:I148"/>
    <mergeCell ref="J146:L146"/>
    <mergeCell ref="M146:N148"/>
    <mergeCell ref="O146:Q148"/>
    <mergeCell ref="R146:T148"/>
    <mergeCell ref="G178:I180"/>
    <mergeCell ref="J178:L178"/>
    <mergeCell ref="M178:N180"/>
    <mergeCell ref="O178:Q180"/>
    <mergeCell ref="O175:Q177"/>
    <mergeCell ref="R175:T177"/>
    <mergeCell ref="U175:W177"/>
    <mergeCell ref="X175:Z177"/>
    <mergeCell ref="AA175:AC177"/>
    <mergeCell ref="AD175:AE177"/>
    <mergeCell ref="J173:L173"/>
    <mergeCell ref="J174:L174"/>
    <mergeCell ref="A175:F177"/>
    <mergeCell ref="G175:I177"/>
    <mergeCell ref="A178:F180"/>
    <mergeCell ref="J175:L175"/>
    <mergeCell ref="M175:N177"/>
    <mergeCell ref="X172:Z174"/>
    <mergeCell ref="AA172:AC174"/>
    <mergeCell ref="AD172:AE174"/>
    <mergeCell ref="O143:Q145"/>
    <mergeCell ref="R143:T145"/>
    <mergeCell ref="U143:W145"/>
    <mergeCell ref="X143:Z145"/>
    <mergeCell ref="AA143:AC145"/>
    <mergeCell ref="A140:F142"/>
    <mergeCell ref="G140:I142"/>
    <mergeCell ref="M140:N142"/>
    <mergeCell ref="O140:Q142"/>
    <mergeCell ref="R140:T142"/>
    <mergeCell ref="U140:W142"/>
    <mergeCell ref="G143:I145"/>
    <mergeCell ref="M143:N145"/>
    <mergeCell ref="A134:AH134"/>
    <mergeCell ref="AF184:AH186"/>
    <mergeCell ref="AI184:AJ186"/>
    <mergeCell ref="AK184:AM186"/>
    <mergeCell ref="J185:L185"/>
    <mergeCell ref="J186:L186"/>
    <mergeCell ref="A184:F186"/>
    <mergeCell ref="G184:I186"/>
    <mergeCell ref="J184:L184"/>
    <mergeCell ref="M184:N186"/>
    <mergeCell ref="O184:Q186"/>
    <mergeCell ref="R184:T186"/>
    <mergeCell ref="AA181:AC183"/>
    <mergeCell ref="AD181:AE183"/>
    <mergeCell ref="AF181:AH183"/>
    <mergeCell ref="AI181:AJ183"/>
    <mergeCell ref="AK181:AM183"/>
    <mergeCell ref="J182:L182"/>
    <mergeCell ref="J183:L183"/>
    <mergeCell ref="A181:F183"/>
    <mergeCell ref="G181:I183"/>
    <mergeCell ref="J181:L181"/>
    <mergeCell ref="M181:N183"/>
    <mergeCell ref="O181:Q183"/>
    <mergeCell ref="A150:G151"/>
    <mergeCell ref="H150:AM151"/>
    <mergeCell ref="A152:G153"/>
    <mergeCell ref="H152:V153"/>
    <mergeCell ref="W152:Z153"/>
    <mergeCell ref="AA152:AM153"/>
    <mergeCell ref="U146:W148"/>
    <mergeCell ref="X146:Z148"/>
    <mergeCell ref="A187:F189"/>
    <mergeCell ref="G187:I189"/>
    <mergeCell ref="J187:L187"/>
    <mergeCell ref="M187:N189"/>
    <mergeCell ref="O187:Q189"/>
    <mergeCell ref="R187:T189"/>
    <mergeCell ref="U187:W189"/>
    <mergeCell ref="X187:Z189"/>
    <mergeCell ref="AA187:AC189"/>
    <mergeCell ref="AD187:AE189"/>
    <mergeCell ref="AF187:AH189"/>
    <mergeCell ref="AI187:AJ189"/>
    <mergeCell ref="AK187:AM189"/>
    <mergeCell ref="J188:L188"/>
    <mergeCell ref="J189:L189"/>
    <mergeCell ref="AF172:AH174"/>
    <mergeCell ref="AI172:AJ174"/>
    <mergeCell ref="AK172:AM174"/>
    <mergeCell ref="AK169:AM171"/>
    <mergeCell ref="A190:F192"/>
    <mergeCell ref="G190:I192"/>
    <mergeCell ref="J190:L190"/>
    <mergeCell ref="M190:N192"/>
    <mergeCell ref="O190:Q192"/>
    <mergeCell ref="R190:T192"/>
    <mergeCell ref="U190:W192"/>
    <mergeCell ref="X190:Z192"/>
    <mergeCell ref="AA190:AC192"/>
    <mergeCell ref="AD190:AE192"/>
    <mergeCell ref="AF190:AH192"/>
    <mergeCell ref="AI190:AJ192"/>
    <mergeCell ref="AK190:AM192"/>
    <mergeCell ref="J191:L191"/>
    <mergeCell ref="J192:L192"/>
    <mergeCell ref="A193:F195"/>
    <mergeCell ref="G193:I195"/>
    <mergeCell ref="J193:L193"/>
    <mergeCell ref="M193:N195"/>
    <mergeCell ref="O193:Q195"/>
    <mergeCell ref="R193:T195"/>
    <mergeCell ref="U193:W195"/>
    <mergeCell ref="X193:Z195"/>
    <mergeCell ref="AA193:AC195"/>
    <mergeCell ref="AD193:AE195"/>
    <mergeCell ref="AF193:AH195"/>
    <mergeCell ref="AI193:AJ195"/>
    <mergeCell ref="AK193:AM195"/>
    <mergeCell ref="J194:L194"/>
    <mergeCell ref="J195:L195"/>
    <mergeCell ref="B210:K210"/>
    <mergeCell ref="L210:N210"/>
    <mergeCell ref="O210:Q210"/>
    <mergeCell ref="R210:U210"/>
    <mergeCell ref="V210:W210"/>
    <mergeCell ref="X210:AA210"/>
    <mergeCell ref="AB210:AE210"/>
    <mergeCell ref="AF210:AI210"/>
    <mergeCell ref="AJ210:AM210"/>
    <mergeCell ref="AF207:AI207"/>
    <mergeCell ref="AJ207:AM207"/>
    <mergeCell ref="AB208:AE208"/>
    <mergeCell ref="AF208:AI208"/>
    <mergeCell ref="AB206:AE206"/>
    <mergeCell ref="AF206:AI206"/>
    <mergeCell ref="AJ206:AM206"/>
    <mergeCell ref="B207:K207"/>
    <mergeCell ref="L207:N207"/>
    <mergeCell ref="O207:Q207"/>
    <mergeCell ref="R207:U207"/>
    <mergeCell ref="V207:W207"/>
    <mergeCell ref="X207:AA207"/>
    <mergeCell ref="AB207:AE207"/>
    <mergeCell ref="B206:K206"/>
    <mergeCell ref="L206:N206"/>
    <mergeCell ref="O206:Q206"/>
    <mergeCell ref="R206:U206"/>
    <mergeCell ref="V206:W206"/>
    <mergeCell ref="X206:AA206"/>
  </mergeCells>
  <hyperlinks>
    <hyperlink ref="G11" r:id="rId1" xr:uid="{17D7DE19-BBF3-264A-B878-3717080C1974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C97E8-8017-E243-97A5-03A305ED6D03}">
  <dimension ref="A1:AM348"/>
  <sheetViews>
    <sheetView view="pageLayout" zoomScale="140" zoomScaleNormal="100" zoomScalePageLayoutView="140" workbookViewId="0">
      <selection activeCell="AB28" sqref="AB28"/>
    </sheetView>
  </sheetViews>
  <sheetFormatPr defaultColWidth="10.625" defaultRowHeight="15.75"/>
  <cols>
    <col min="1" max="5" width="2.375" customWidth="1"/>
    <col min="6" max="6" width="0.5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Iris Titan Shopping Center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nr.45,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RO20986980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J40/8102/2005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RO16 RZBR 0000 0600 1024 4372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19/31.01.2024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40/28.02.2024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16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 ht="25.5" customHeight="1">
      <c r="A17" s="54"/>
      <c r="B17" s="55"/>
      <c r="C17" s="694" t="s">
        <v>710</v>
      </c>
      <c r="D17" s="694"/>
      <c r="E17" s="694"/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/>
      <c r="U17" s="694"/>
      <c r="V17" s="694"/>
      <c r="W17" s="694"/>
      <c r="X17" s="694"/>
      <c r="Y17" s="694"/>
      <c r="Z17" s="694"/>
      <c r="AA17" s="694"/>
      <c r="AB17" s="694"/>
    </row>
    <row r="18" spans="1:39" ht="25.5" customHeight="1">
      <c r="A18" s="619">
        <v>1</v>
      </c>
      <c r="B18" s="619"/>
      <c r="C18" s="710" t="s">
        <v>862</v>
      </c>
      <c r="D18" s="710"/>
      <c r="E18" s="710"/>
      <c r="F18" s="710"/>
      <c r="G18" s="710"/>
      <c r="H18" s="710"/>
      <c r="I18" s="710"/>
      <c r="J18" s="710"/>
      <c r="K18" s="710"/>
      <c r="L18" s="710"/>
      <c r="M18" s="710"/>
      <c r="N18" s="710"/>
      <c r="O18" s="710"/>
      <c r="P18" s="710"/>
      <c r="Q18" s="710"/>
      <c r="R18" s="710"/>
      <c r="S18" s="710"/>
      <c r="T18" s="710"/>
      <c r="U18" s="710"/>
      <c r="V18" s="710"/>
      <c r="W18" s="710"/>
      <c r="X18" s="710"/>
      <c r="Y18" s="710"/>
      <c r="Z18" s="710"/>
      <c r="AA18" s="710"/>
      <c r="AB18" s="710"/>
      <c r="AC18" s="711">
        <f>AB348</f>
        <v>802185.87999999977</v>
      </c>
      <c r="AD18" s="711"/>
      <c r="AE18" s="711"/>
      <c r="AF18" s="711"/>
      <c r="AG18" s="711"/>
      <c r="AH18" s="711"/>
      <c r="AI18" s="711"/>
      <c r="AJ18" s="711"/>
      <c r="AK18" s="710" t="s">
        <v>711</v>
      </c>
      <c r="AL18" s="710"/>
      <c r="AM18" s="710"/>
    </row>
    <row r="19" spans="1:39" ht="25.5" customHeight="1">
      <c r="A19" s="619">
        <v>2</v>
      </c>
      <c r="B19" s="619"/>
      <c r="C19" s="710" t="s">
        <v>740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AF348</f>
        <v>152415.32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3</v>
      </c>
      <c r="B20" s="619"/>
      <c r="C20" s="710" t="s">
        <v>741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AJ348</f>
        <v>954601.20000000007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4</v>
      </c>
      <c r="B21" s="619"/>
      <c r="C21" s="710" t="s">
        <v>742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v>0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6</v>
      </c>
      <c r="B22" s="619"/>
      <c r="C22" s="710" t="s">
        <v>743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f>AC20</f>
        <v>954601.20000000007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7</v>
      </c>
      <c r="B23" s="619"/>
      <c r="C23" s="710" t="s">
        <v>744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R311+R325+R326+R329</f>
        <v>890131</v>
      </c>
      <c r="AD23" s="711"/>
      <c r="AE23" s="711"/>
      <c r="AF23" s="711"/>
      <c r="AG23" s="711"/>
      <c r="AH23" s="711"/>
      <c r="AI23" s="711"/>
      <c r="AJ23" s="711"/>
      <c r="AK23" s="710" t="s">
        <v>446</v>
      </c>
      <c r="AL23" s="710"/>
      <c r="AM23" s="710"/>
    </row>
    <row r="24" spans="1:39" ht="25.5" customHeight="1">
      <c r="A24" s="619">
        <v>8</v>
      </c>
      <c r="B24" s="619"/>
      <c r="C24" s="710" t="s">
        <v>745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AC22/AC23</f>
        <v>1.0724277662501362</v>
      </c>
      <c r="AD24" s="711"/>
      <c r="AE24" s="711"/>
      <c r="AF24" s="711"/>
      <c r="AG24" s="711"/>
      <c r="AH24" s="711"/>
      <c r="AI24" s="711"/>
      <c r="AJ24" s="711"/>
      <c r="AK24" s="710" t="s">
        <v>712</v>
      </c>
      <c r="AL24" s="710"/>
      <c r="AM24" s="710"/>
    </row>
    <row r="25" spans="1:39" ht="25.5" customHeight="1">
      <c r="A25" s="246"/>
      <c r="B25" s="246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247"/>
      <c r="AD25" s="247"/>
      <c r="AE25" s="247"/>
      <c r="AF25" s="247"/>
      <c r="AG25" s="247"/>
      <c r="AH25" s="247"/>
      <c r="AI25" s="247"/>
      <c r="AJ25" s="247"/>
      <c r="AK25" s="55"/>
      <c r="AL25" s="55"/>
      <c r="AM25" s="55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VLOOKUP($AA$15,'Date SPV'!$B:$H,4,FALSE)</f>
        <v>Bulevardul 1 Decembrie 1918, nr. 33A, Sector 3, Bucuresti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5000581151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_xlfn.CONCAT($AA$15,"_",1)</f>
        <v>RITS_1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RO001E109430703/1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RITS_1.1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 t="str">
        <f>VLOOKUP(AI35,'Contorizare in SDI'!$E:$I,5,FALSE)</f>
        <v>V.20G90290210095138/1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3687119 (citit)</v>
      </c>
      <c r="S40" s="647"/>
      <c r="T40" s="647"/>
      <c r="U40" s="647" t="str">
        <f>VLOOKUP(A40,Regularizare!$D:$U,4,FALSE)&amp;" ("&amp;VLOOKUP(A40,Regularizare!$D:$U,12,FALSE)&amp;")"</f>
        <v>3934551 (estimat)</v>
      </c>
      <c r="V40" s="647"/>
      <c r="W40" s="647"/>
      <c r="X40" s="647" t="str">
        <f>VLOOKUP(A40,Regularizare!$D:$Y,19,FALSE)&amp;" ("&amp;VLOOKUP(A40,Regularizare!$D:$U,12,FALSE)&amp;")"</f>
        <v>247432 (estimat)</v>
      </c>
      <c r="Y40" s="647"/>
      <c r="Z40" s="647"/>
      <c r="AA40" s="647">
        <f>(-1)*VLOOKUP(A40,Regularizare!$D:$Y,19,FALSE)</f>
        <v>-247432</v>
      </c>
      <c r="AB40" s="647"/>
      <c r="AC40" s="647"/>
      <c r="AD40" s="647" t="s">
        <v>69</v>
      </c>
      <c r="AE40" s="647"/>
      <c r="AF40" s="647">
        <f>AA40</f>
        <v>-247432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 t="str">
        <f>A40</f>
        <v>V.20G90290210095138/1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5456 (citit)</v>
      </c>
      <c r="S43" s="647"/>
      <c r="T43" s="647"/>
      <c r="U43" s="647" t="str">
        <f>VLOOKUP(A43,Regularizare!$D:$U,8,FALSE)&amp;" ("&amp;VLOOKUP(A43,Regularizare!$D:$U,16,FALSE)&amp;")"</f>
        <v>5456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 t="str">
        <f>A43</f>
        <v>V.20G90290210095138/1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121895 (citit)</v>
      </c>
      <c r="S46" s="647"/>
      <c r="T46" s="647"/>
      <c r="U46" s="647" t="str">
        <f>VLOOKUP(A46,Regularizare!$D:$U,10,FALSE)&amp;" ("&amp;VLOOKUP(A46,Regularizare!$D:$U,18,FALSE)&amp;")"</f>
        <v>121895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 t="str">
        <f>A46</f>
        <v>V.20G90290210095138/1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3687119 (citit)</v>
      </c>
      <c r="S49" s="647"/>
      <c r="T49" s="647"/>
      <c r="U49" s="647" t="str">
        <f>VLOOKUP(A49,Regularizare!$D:$AX,25,FALSE)&amp;" ("&amp;VLOOKUP(A49,Regularizare!$D:$AX,26,FALSE)&amp;")"</f>
        <v>3934551 (citit)</v>
      </c>
      <c r="V49" s="647"/>
      <c r="W49" s="647"/>
      <c r="X49" s="647" t="str">
        <f>VLOOKUP(A49,Regularizare!$D:$AX,37,FALSE)&amp;" ("&amp;VLOOKUP(A49,Regularizare!$D:$AX,26,FALSE)&amp;")"</f>
        <v>247432 (citit)</v>
      </c>
      <c r="Y49" s="647"/>
      <c r="Z49" s="647"/>
      <c r="AA49" s="647">
        <f>VLOOKUP(A49,Regularizare!$D:$AX,37,FALSE)</f>
        <v>247432</v>
      </c>
      <c r="AB49" s="647"/>
      <c r="AC49" s="647"/>
      <c r="AD49" s="647" t="s">
        <v>69</v>
      </c>
      <c r="AE49" s="647"/>
      <c r="AF49" s="647">
        <f>AA49</f>
        <v>247432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 t="str">
        <f>A49</f>
        <v>V.20G90290210095138/1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5456 (citit)</v>
      </c>
      <c r="S52" s="647"/>
      <c r="T52" s="647"/>
      <c r="U52" s="647" t="str">
        <f>VLOOKUP(A52,Regularizare!$D:$AX,31,FALSE)&amp;" ("&amp;VLOOKUP(A52,Regularizare!$D:$AX,32,FALSE)&amp;")"</f>
        <v>5456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 t="str">
        <f>A52</f>
        <v>V.20G90290210095138/1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121895 (citit)</v>
      </c>
      <c r="S55" s="647"/>
      <c r="T55" s="647"/>
      <c r="U55" s="647" t="str">
        <f>VLOOKUP(A55,Regularizare!$D:$AX,35,FALSE)&amp;" ("&amp;VLOOKUP(A55,Regularizare!$D:$AX,36,FALSE)&amp;")"</f>
        <v>121895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 t="str">
        <f>A55</f>
        <v>V.20G90290210095138/1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3934551 (citit)</v>
      </c>
      <c r="S58" s="647"/>
      <c r="T58" s="647"/>
      <c r="U58" s="647" t="str">
        <f>VLOOKUP(A58,'Incrementare indexe'!$D:$M,4,FALSE)&amp;" (estimat)"</f>
        <v>4200185 (estimat)</v>
      </c>
      <c r="V58" s="647"/>
      <c r="W58" s="647"/>
      <c r="X58" s="647" t="str">
        <f>VLOOKUP(A58,'Incrementare indexe'!$D:$Q,11,FALSE)&amp;" (estimat)"</f>
        <v>265634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265634</v>
      </c>
      <c r="AG58" s="647"/>
      <c r="AH58" s="647"/>
      <c r="AI58" s="647">
        <f>J60-J58+1</f>
        <v>31</v>
      </c>
      <c r="AJ58" s="647"/>
      <c r="AK58" s="647">
        <f>ROUND(AF58/AI58,2)</f>
        <v>8568.84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 t="str">
        <f>A58</f>
        <v>V.20G90290210095138/1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5456 (citit)</v>
      </c>
      <c r="S61" s="647"/>
      <c r="T61" s="647"/>
      <c r="U61" s="647" t="str">
        <f>VLOOKUP(A61,'Incrementare indexe'!$D:$M,8,FALSE)&amp;" (estimat)"</f>
        <v>5456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 t="str">
        <f>A61</f>
        <v>V.20G90290210095138/1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121895 (citit)</v>
      </c>
      <c r="S64" s="647"/>
      <c r="T64" s="647"/>
      <c r="U64" s="647" t="str">
        <f>VLOOKUP(A64,'Incrementare indexe'!$D:$M,10,FALSE)&amp;" (estimat)"</f>
        <v>121895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54"/>
      <c r="B67" s="54"/>
      <c r="C67" s="54"/>
      <c r="D67" s="54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</row>
    <row r="68" spans="1:39" ht="14.1" customHeight="1">
      <c r="A68" s="54"/>
      <c r="B68" s="54"/>
      <c r="C68" s="54"/>
      <c r="D68" s="54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</row>
    <row r="69" spans="1:39" ht="14.1" customHeight="1">
      <c r="A69" s="54"/>
      <c r="B69" s="54"/>
      <c r="C69" s="54"/>
      <c r="D69" s="54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</row>
    <row r="70" spans="1:39" ht="14.1" customHeight="1">
      <c r="A70" s="54"/>
      <c r="B70" s="54"/>
      <c r="C70" s="54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</row>
    <row r="71" spans="1:39" ht="14.1" customHeight="1">
      <c r="A71" s="54"/>
      <c r="B71" s="54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</row>
    <row r="72" spans="1:39" ht="14.1" customHeight="1">
      <c r="A72" s="54"/>
      <c r="B72" s="54"/>
      <c r="C72" s="54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</row>
    <row r="73" spans="1:39" ht="14.1" customHeight="1">
      <c r="A73" s="54"/>
      <c r="B73" s="54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</row>
    <row r="74" spans="1:39" ht="14.1" customHeight="1">
      <c r="A74" s="54"/>
      <c r="B74" s="54"/>
      <c r="C74" s="54"/>
      <c r="D74" s="54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</row>
    <row r="75" spans="1:39" ht="14.1" customHeight="1">
      <c r="A75" s="54"/>
      <c r="B75" s="54"/>
      <c r="C75" s="54"/>
      <c r="D75" s="54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</row>
    <row r="76" spans="1:39" ht="14.1" customHeight="1">
      <c r="A76" s="54"/>
      <c r="B76" s="54"/>
      <c r="C76" s="54"/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</row>
    <row r="77" spans="1:39" ht="14.1" customHeight="1">
      <c r="A77" s="54"/>
      <c r="B77" s="54"/>
      <c r="C77" s="54"/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14.1" customHeight="1">
      <c r="A79" s="695" t="s">
        <v>858</v>
      </c>
      <c r="B79" s="695"/>
      <c r="C79" s="695"/>
      <c r="D79" s="695"/>
      <c r="E79" s="695"/>
      <c r="F79" s="695"/>
      <c r="G79" s="695"/>
      <c r="H79" s="695" t="str">
        <f>VLOOKUP($AA$15,'Date SPV'!$B:$H,4,FALSE)</f>
        <v>Bulevardul 1 Decembrie 1918, nr. 33A, Sector 3, Bucuresti</v>
      </c>
      <c r="I79" s="695"/>
      <c r="J79" s="695"/>
      <c r="K79" s="695"/>
      <c r="L79" s="695"/>
      <c r="M79" s="695"/>
      <c r="N79" s="695"/>
      <c r="O79" s="695"/>
      <c r="P79" s="695"/>
      <c r="Q79" s="695"/>
      <c r="R79" s="695"/>
      <c r="S79" s="695"/>
      <c r="T79" s="695"/>
      <c r="U79" s="695"/>
      <c r="V79" s="695"/>
      <c r="W79" s="695"/>
      <c r="X79" s="695"/>
      <c r="Y79" s="695"/>
      <c r="Z79" s="695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</row>
    <row r="80" spans="1:39" ht="14.1" customHeight="1">
      <c r="A80" s="695"/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695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</row>
    <row r="81" spans="1:39" ht="14.1" customHeight="1">
      <c r="A81" s="695" t="s">
        <v>859</v>
      </c>
      <c r="B81" s="695"/>
      <c r="C81" s="695"/>
      <c r="D81" s="695"/>
      <c r="E81" s="695"/>
      <c r="F81" s="695"/>
      <c r="G81" s="695"/>
      <c r="H81" s="712">
        <f>VLOOKUP(AA81,'Date masura OD'!$G:$BE,51,FALSE)</f>
        <v>5000581150</v>
      </c>
      <c r="I81" s="712"/>
      <c r="J81" s="712"/>
      <c r="K81" s="712"/>
      <c r="L81" s="712"/>
      <c r="M81" s="712"/>
      <c r="N81" s="712"/>
      <c r="O81" s="712"/>
      <c r="P81" s="712"/>
      <c r="Q81" s="712"/>
      <c r="R81" s="712"/>
      <c r="S81" s="712"/>
      <c r="T81" s="712"/>
      <c r="U81" s="712"/>
      <c r="V81" s="712"/>
      <c r="W81" s="712" t="s">
        <v>860</v>
      </c>
      <c r="X81" s="712"/>
      <c r="Y81" s="712"/>
      <c r="Z81" s="712"/>
      <c r="AA81" s="640" t="str">
        <f>_xlfn.CONCAT($AA$15,"_",2)</f>
        <v>RITS_2</v>
      </c>
      <c r="AB81" s="640"/>
      <c r="AC81" s="640"/>
      <c r="AD81" s="640"/>
      <c r="AE81" s="640"/>
      <c r="AF81" s="640"/>
      <c r="AG81" s="640"/>
      <c r="AH81" s="640"/>
      <c r="AI81" s="640"/>
      <c r="AJ81" s="640"/>
      <c r="AK81" s="640"/>
      <c r="AL81" s="640"/>
      <c r="AM81" s="640"/>
    </row>
    <row r="82" spans="1:39" ht="14.1" customHeight="1">
      <c r="A82" s="695"/>
      <c r="B82" s="695"/>
      <c r="C82" s="695"/>
      <c r="D82" s="695"/>
      <c r="E82" s="695"/>
      <c r="F82" s="695"/>
      <c r="G82" s="695"/>
      <c r="H82" s="712"/>
      <c r="I82" s="712"/>
      <c r="J82" s="712"/>
      <c r="K82" s="712"/>
      <c r="L82" s="712"/>
      <c r="M82" s="712"/>
      <c r="N82" s="712"/>
      <c r="O82" s="712"/>
      <c r="P82" s="712"/>
      <c r="Q82" s="712"/>
      <c r="R82" s="712"/>
      <c r="S82" s="712"/>
      <c r="T82" s="712"/>
      <c r="U82" s="712"/>
      <c r="V82" s="712"/>
      <c r="W82" s="712"/>
      <c r="X82" s="712"/>
      <c r="Y82" s="712"/>
      <c r="Z82" s="712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</row>
    <row r="83" spans="1:39">
      <c r="A83" s="649" t="s">
        <v>748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VLOOKUP(AI84,'Contorizare in SDI'!$E:$I,4,FALSE)</f>
        <v>RO001E109430691/1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50" t="s">
        <v>695</v>
      </c>
      <c r="AJ83" s="650"/>
      <c r="AK83" s="650"/>
      <c r="AL83" s="650"/>
      <c r="AM83" s="650"/>
    </row>
    <row r="84" spans="1:39">
      <c r="A84" s="649" t="s">
        <v>746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50" t="str">
        <f>VLOOKUP(AI84,'Inchidere contur'!$G:$U,15,FALSE)</f>
        <v>JT_SDI</v>
      </c>
      <c r="N84" s="650"/>
      <c r="O84" s="650"/>
      <c r="P84" s="650"/>
      <c r="Q84" s="650"/>
      <c r="R84" s="650"/>
      <c r="S84" s="650"/>
      <c r="T84" s="650"/>
      <c r="U84" s="650"/>
      <c r="V84" s="650"/>
      <c r="W84" s="650"/>
      <c r="X84" s="650"/>
      <c r="Y84" s="650"/>
      <c r="Z84" s="650"/>
      <c r="AA84" s="650"/>
      <c r="AB84" s="650"/>
      <c r="AC84" s="650"/>
      <c r="AD84" s="650"/>
      <c r="AE84" s="650"/>
      <c r="AF84" s="650"/>
      <c r="AG84" s="650"/>
      <c r="AH84" s="650"/>
      <c r="AI84" s="619" t="str">
        <f>_xlfn.CONCAT(AA81,".",1)</f>
        <v>RITS_2.1</v>
      </c>
      <c r="AJ84" s="619"/>
      <c r="AK84" s="619"/>
      <c r="AL84" s="619"/>
      <c r="AM84" s="619"/>
    </row>
    <row r="85" spans="1:39">
      <c r="A85" s="649" t="s">
        <v>747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50" t="str">
        <f>IF(LEFT(M84,2)="JT","0.4kV",IF(LEFT(M84,2)="MT","20kV","-"))</f>
        <v>0.4kV</v>
      </c>
      <c r="N85" s="650"/>
      <c r="O85" s="650"/>
      <c r="P85" s="650"/>
      <c r="Q85" s="650"/>
      <c r="R85" s="650"/>
      <c r="S85" s="650"/>
      <c r="T85" s="650"/>
      <c r="U85" s="650"/>
      <c r="V85" s="650"/>
      <c r="W85" s="650"/>
      <c r="X85" s="650"/>
      <c r="Y85" s="650"/>
      <c r="Z85" s="650"/>
      <c r="AA85" s="650"/>
      <c r="AB85" s="650"/>
      <c r="AC85" s="650"/>
      <c r="AD85" s="650"/>
      <c r="AE85" s="650"/>
      <c r="AF85" s="650"/>
      <c r="AG85" s="650"/>
      <c r="AH85" s="650"/>
      <c r="AI85" s="619"/>
      <c r="AJ85" s="619"/>
      <c r="AK85" s="619"/>
      <c r="AL85" s="619"/>
      <c r="AM85" s="619"/>
    </row>
    <row r="86" spans="1:39" ht="15.95" customHeight="1">
      <c r="A86" s="648" t="s">
        <v>697</v>
      </c>
      <c r="B86" s="648"/>
      <c r="C86" s="648"/>
      <c r="D86" s="648"/>
      <c r="E86" s="648"/>
      <c r="F86" s="648"/>
      <c r="G86" s="647" t="s">
        <v>713</v>
      </c>
      <c r="H86" s="647"/>
      <c r="I86" s="647"/>
      <c r="J86" s="647" t="s">
        <v>714</v>
      </c>
      <c r="K86" s="647"/>
      <c r="L86" s="647"/>
      <c r="M86" s="648" t="s">
        <v>519</v>
      </c>
      <c r="N86" s="648"/>
      <c r="O86" s="648" t="s">
        <v>715</v>
      </c>
      <c r="P86" s="648"/>
      <c r="Q86" s="648"/>
      <c r="R86" s="647" t="s">
        <v>732</v>
      </c>
      <c r="S86" s="647"/>
      <c r="T86" s="647"/>
      <c r="U86" s="647" t="s">
        <v>734</v>
      </c>
      <c r="V86" s="647"/>
      <c r="W86" s="647"/>
      <c r="X86" s="647" t="s">
        <v>1085</v>
      </c>
      <c r="Y86" s="647"/>
      <c r="Z86" s="647"/>
      <c r="AA86" s="647" t="s">
        <v>1086</v>
      </c>
      <c r="AB86" s="647"/>
      <c r="AC86" s="647"/>
      <c r="AD86" s="647" t="s">
        <v>717</v>
      </c>
      <c r="AE86" s="647"/>
      <c r="AF86" s="647" t="s">
        <v>718</v>
      </c>
      <c r="AG86" s="647"/>
      <c r="AH86" s="647"/>
      <c r="AI86" s="647" t="s">
        <v>719</v>
      </c>
      <c r="AJ86" s="647"/>
      <c r="AK86" s="647" t="s">
        <v>733</v>
      </c>
      <c r="AL86" s="647"/>
      <c r="AM86" s="647"/>
    </row>
    <row r="87" spans="1:39">
      <c r="A87" s="648"/>
      <c r="B87" s="648"/>
      <c r="C87" s="648"/>
      <c r="D87" s="648"/>
      <c r="E87" s="648"/>
      <c r="F87" s="648"/>
      <c r="G87" s="647"/>
      <c r="H87" s="647"/>
      <c r="I87" s="647"/>
      <c r="J87" s="647"/>
      <c r="K87" s="647"/>
      <c r="L87" s="647"/>
      <c r="M87" s="648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>
      <c r="A88" s="648"/>
      <c r="B88" s="648"/>
      <c r="C88" s="648"/>
      <c r="D88" s="648"/>
      <c r="E88" s="648"/>
      <c r="F88" s="648"/>
      <c r="G88" s="647"/>
      <c r="H88" s="647"/>
      <c r="I88" s="647"/>
      <c r="J88" s="713"/>
      <c r="K88" s="713"/>
      <c r="L88" s="713"/>
      <c r="M88" s="648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4">
        <f>VLOOKUP(AI84,'Contorizare in SDI'!$E:$I,5,FALSE)</f>
        <v>1373707619</v>
      </c>
      <c r="B89" s="685"/>
      <c r="C89" s="685"/>
      <c r="D89" s="685"/>
      <c r="E89" s="685"/>
      <c r="F89" s="686"/>
      <c r="G89" s="648" t="s">
        <v>730</v>
      </c>
      <c r="H89" s="648"/>
      <c r="I89" s="673"/>
      <c r="J89" s="655">
        <f>'Date masura OD'!$AK$5</f>
        <v>45748</v>
      </c>
      <c r="K89" s="656"/>
      <c r="L89" s="657"/>
      <c r="M89" s="720" t="s">
        <v>446</v>
      </c>
      <c r="N89" s="648"/>
      <c r="O89" s="648">
        <f>VLOOKUP(AI84,'Incrementare indexe'!$B:$T,4,FALSE)</f>
        <v>1</v>
      </c>
      <c r="P89" s="648"/>
      <c r="Q89" s="648"/>
      <c r="R89" s="647" t="str">
        <f>VLOOKUP(A89,Regularizare!$D:$YN,3,FALSE)&amp;" ("&amp;VLOOKUP(A89,Regularizare!$D:$Y,11,FALSE)&amp;")"</f>
        <v>4185188 (citit)</v>
      </c>
      <c r="S89" s="647"/>
      <c r="T89" s="647"/>
      <c r="U89" s="647" t="str">
        <f>VLOOKUP(A89,Regularizare!$D:$U,4,FALSE)&amp;" ("&amp;VLOOKUP(A89,Regularizare!$D:$U,12,FALSE)&amp;")"</f>
        <v>4457076 (estimat)</v>
      </c>
      <c r="V89" s="647"/>
      <c r="W89" s="647"/>
      <c r="X89" s="647" t="str">
        <f>VLOOKUP(A89,Regularizare!$D:$Y,19,FALSE)&amp;" ("&amp;VLOOKUP(A89,Regularizare!$D:$U,12,FALSE)&amp;")"</f>
        <v>271888 (estimat)</v>
      </c>
      <c r="Y89" s="647"/>
      <c r="Z89" s="647"/>
      <c r="AA89" s="647">
        <f>(-1)*VLOOKUP(A89,Regularizare!$D:$Y,19,FALSE)</f>
        <v>-271888</v>
      </c>
      <c r="AB89" s="647"/>
      <c r="AC89" s="647"/>
      <c r="AD89" s="647" t="s">
        <v>69</v>
      </c>
      <c r="AE89" s="647"/>
      <c r="AF89" s="647">
        <f>AA89</f>
        <v>-271888</v>
      </c>
      <c r="AG89" s="647"/>
      <c r="AH89" s="647"/>
      <c r="AI89" s="647" t="s">
        <v>69</v>
      </c>
      <c r="AJ89" s="647"/>
      <c r="AK89" s="647" t="s">
        <v>69</v>
      </c>
      <c r="AL89" s="647"/>
      <c r="AM89" s="647"/>
    </row>
    <row r="90" spans="1:39" ht="9.75" customHeight="1">
      <c r="A90" s="727"/>
      <c r="B90" s="729"/>
      <c r="C90" s="729"/>
      <c r="D90" s="729"/>
      <c r="E90" s="729"/>
      <c r="F90" s="728"/>
      <c r="G90" s="648"/>
      <c r="H90" s="648"/>
      <c r="I90" s="673"/>
      <c r="J90" s="717" t="s">
        <v>69</v>
      </c>
      <c r="K90" s="718"/>
      <c r="L90" s="719"/>
      <c r="M90" s="720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7"/>
      <c r="B91" s="688"/>
      <c r="C91" s="688"/>
      <c r="D91" s="688"/>
      <c r="E91" s="688"/>
      <c r="F91" s="689"/>
      <c r="G91" s="648"/>
      <c r="H91" s="648"/>
      <c r="I91" s="673"/>
      <c r="J91" s="714">
        <f>'Date masura OD'!$AL$5</f>
        <v>45777</v>
      </c>
      <c r="K91" s="715"/>
      <c r="L91" s="716"/>
      <c r="M91" s="720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4">
        <f>A89</f>
        <v>1373707619</v>
      </c>
      <c r="B92" s="685"/>
      <c r="C92" s="685"/>
      <c r="D92" s="685"/>
      <c r="E92" s="685"/>
      <c r="F92" s="686"/>
      <c r="G92" s="648" t="s">
        <v>696</v>
      </c>
      <c r="H92" s="648"/>
      <c r="I92" s="648"/>
      <c r="J92" s="655">
        <f t="shared" ref="J92:J97" si="3">J89</f>
        <v>45748</v>
      </c>
      <c r="K92" s="656"/>
      <c r="L92" s="657"/>
      <c r="M92" s="648" t="s">
        <v>720</v>
      </c>
      <c r="N92" s="648"/>
      <c r="O92" s="648">
        <f>O89</f>
        <v>1</v>
      </c>
      <c r="P92" s="648"/>
      <c r="Q92" s="648"/>
      <c r="R92" s="647" t="str">
        <f>VLOOKUP(A92,Regularizare!$D:$U,7,FALSE)&amp;" ("&amp;VLOOKUP(A92,Regularizare!$D:$U,15,FALSE)&amp;")"</f>
        <v>400639 (citit)</v>
      </c>
      <c r="S92" s="647"/>
      <c r="T92" s="647"/>
      <c r="U92" s="647" t="str">
        <f>VLOOKUP(A92,Regularizare!$D:$U,8,FALSE)&amp;" ("&amp;VLOOKUP(A92,Regularizare!$D:$U,16,FALSE)&amp;")"</f>
        <v>400639 (estimat)</v>
      </c>
      <c r="V92" s="647"/>
      <c r="W92" s="647"/>
      <c r="X92" s="647" t="str">
        <f>_xlfn.CONCAT(VLOOKUP(A92,Regularizare!$D:$U,8,FALSE)-VLOOKUP(A92,Regularizare!$D:$U,7,FALSE)," (",VLOOKUP(A92,Regularizare!$D:$U,16,FALSE),")")</f>
        <v>0 (estimat)</v>
      </c>
      <c r="Y92" s="647"/>
      <c r="Z92" s="647"/>
      <c r="AA92" s="647">
        <f>IF(VLOOKUP(A92,Regularizare!$D:$Y,21,FALSE)=0,VLOOKUP(A92,Regularizare!$D:$Y,21,FALSE),(-1)*VLOOKUP(A92,Regularizare!$D:$Y,21,FALSE))</f>
        <v>0</v>
      </c>
      <c r="AB92" s="647"/>
      <c r="AC92" s="647"/>
      <c r="AD92" s="647" t="s">
        <v>69</v>
      </c>
      <c r="AE92" s="647"/>
      <c r="AF92" s="647">
        <f>AA92</f>
        <v>0</v>
      </c>
      <c r="AG92" s="647"/>
      <c r="AH92" s="647"/>
      <c r="AI92" s="647" t="str">
        <f>AI89</f>
        <v>-</v>
      </c>
      <c r="AJ92" s="647"/>
      <c r="AK92" s="647" t="str">
        <f>AK89</f>
        <v>-</v>
      </c>
      <c r="AL92" s="647"/>
      <c r="AM92" s="647"/>
    </row>
    <row r="93" spans="1:39" ht="8.4499999999999993" customHeight="1">
      <c r="A93" s="727"/>
      <c r="B93" s="729"/>
      <c r="C93" s="729"/>
      <c r="D93" s="729"/>
      <c r="E93" s="729"/>
      <c r="F93" s="728"/>
      <c r="G93" s="648"/>
      <c r="H93" s="648"/>
      <c r="I93" s="648"/>
      <c r="J93" s="717" t="str">
        <f t="shared" si="3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7"/>
      <c r="B94" s="688"/>
      <c r="C94" s="688"/>
      <c r="D94" s="688"/>
      <c r="E94" s="688"/>
      <c r="F94" s="689"/>
      <c r="G94" s="648"/>
      <c r="H94" s="648"/>
      <c r="I94" s="648"/>
      <c r="J94" s="714">
        <f t="shared" si="3"/>
        <v>45777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4">
        <f>A92</f>
        <v>1373707619</v>
      </c>
      <c r="B95" s="685"/>
      <c r="C95" s="685"/>
      <c r="D95" s="685"/>
      <c r="E95" s="685"/>
      <c r="F95" s="686"/>
      <c r="G95" s="648" t="s">
        <v>731</v>
      </c>
      <c r="H95" s="648"/>
      <c r="I95" s="648"/>
      <c r="J95" s="655">
        <f t="shared" si="3"/>
        <v>45748</v>
      </c>
      <c r="K95" s="656"/>
      <c r="L95" s="657"/>
      <c r="M95" s="648" t="s">
        <v>720</v>
      </c>
      <c r="N95" s="648"/>
      <c r="O95" s="648">
        <f>O92</f>
        <v>1</v>
      </c>
      <c r="P95" s="648"/>
      <c r="Q95" s="648"/>
      <c r="R95" s="647" t="str">
        <f>VLOOKUP(A95,Regularizare!$D:$U,9,FALSE)&amp;" ("&amp;VLOOKUP(A95,Regularizare!$D:$U,17,FALSE)&amp;")"</f>
        <v>508 (citit)</v>
      </c>
      <c r="S95" s="647"/>
      <c r="T95" s="647"/>
      <c r="U95" s="647" t="str">
        <f>VLOOKUP(A95,Regularizare!$D:$U,10,FALSE)&amp;" ("&amp;VLOOKUP(A95,Regularizare!$D:$U,18,FALSE)&amp;")"</f>
        <v>508 (estimat)</v>
      </c>
      <c r="V95" s="647"/>
      <c r="W95" s="647"/>
      <c r="X95" s="647" t="str">
        <f>_xlfn.CONCAT(VLOOKUP(A95,Regularizare!$D:$U,10,FALSE)-VLOOKUP(A95,Regularizare!$D:$U,9,FALSE)," (",VLOOKUP(A95,Regularizare!$D:$U,18,FALSE),")")</f>
        <v>0 (estimat)</v>
      </c>
      <c r="Y95" s="647"/>
      <c r="Z95" s="647"/>
      <c r="AA95" s="647">
        <f>IF(VLOOKUP(A95,Regularizare!$D:$Y,22,FALSE)=0,VLOOKUP(A95,Regularizare!$D:$Y,22,FALSE),(-1)*VLOOKUP(A95,Regularizare!$D:$Y,22,FALSE))</f>
        <v>0</v>
      </c>
      <c r="AB95" s="647"/>
      <c r="AC95" s="647"/>
      <c r="AD95" s="647" t="s">
        <v>69</v>
      </c>
      <c r="AE95" s="647"/>
      <c r="AF95" s="647">
        <f>AA95</f>
        <v>0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27"/>
      <c r="B96" s="729"/>
      <c r="C96" s="729"/>
      <c r="D96" s="729"/>
      <c r="E96" s="729"/>
      <c r="F96" s="728"/>
      <c r="G96" s="648"/>
      <c r="H96" s="648"/>
      <c r="I96" s="648"/>
      <c r="J96" s="717" t="str">
        <f t="shared" si="3"/>
        <v>-</v>
      </c>
      <c r="K96" s="718"/>
      <c r="L96" s="719"/>
      <c r="M96" s="648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7"/>
      <c r="B97" s="688"/>
      <c r="C97" s="688"/>
      <c r="D97" s="688"/>
      <c r="E97" s="688"/>
      <c r="F97" s="689"/>
      <c r="G97" s="648"/>
      <c r="H97" s="648"/>
      <c r="I97" s="648"/>
      <c r="J97" s="714">
        <f t="shared" si="3"/>
        <v>45777</v>
      </c>
      <c r="K97" s="715"/>
      <c r="L97" s="716"/>
      <c r="M97" s="648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4">
        <f>A95</f>
        <v>1373707619</v>
      </c>
      <c r="B98" s="685"/>
      <c r="C98" s="685"/>
      <c r="D98" s="685"/>
      <c r="E98" s="685"/>
      <c r="F98" s="686"/>
      <c r="G98" s="648" t="s">
        <v>730</v>
      </c>
      <c r="H98" s="648"/>
      <c r="I98" s="673"/>
      <c r="J98" s="655">
        <f>'Date masura OD'!$AK$5</f>
        <v>45748</v>
      </c>
      <c r="K98" s="656"/>
      <c r="L98" s="657"/>
      <c r="M98" s="720" t="s">
        <v>446</v>
      </c>
      <c r="N98" s="648"/>
      <c r="O98" s="648">
        <f>O95</f>
        <v>1</v>
      </c>
      <c r="P98" s="648"/>
      <c r="Q98" s="648"/>
      <c r="R98" s="647" t="str">
        <f>VLOOKUP(A98,Regularizare!$D:$AX,23,FALSE)&amp;" ("&amp;VLOOKUP(A98,Regularizare!$D:$AX,24,FALSE)&amp;")"</f>
        <v>4185188 (citit)</v>
      </c>
      <c r="S98" s="647"/>
      <c r="T98" s="647"/>
      <c r="U98" s="647" t="str">
        <f>VLOOKUP(A98,Regularizare!$D:$AX,25,FALSE)&amp;" ("&amp;VLOOKUP(A98,Regularizare!$D:$AX,26,FALSE)&amp;")"</f>
        <v>4457076 (citit)</v>
      </c>
      <c r="V98" s="647"/>
      <c r="W98" s="647"/>
      <c r="X98" s="647" t="str">
        <f>VLOOKUP(A98,Regularizare!$D:$AX,37,FALSE)&amp;" ("&amp;VLOOKUP(A98,Regularizare!$D:$AX,26,FALSE)&amp;")"</f>
        <v>271888 (citit)</v>
      </c>
      <c r="Y98" s="647"/>
      <c r="Z98" s="647"/>
      <c r="AA98" s="647">
        <f>VLOOKUP(A98,Regularizare!$D:$AX,37,FALSE)</f>
        <v>271888</v>
      </c>
      <c r="AB98" s="647"/>
      <c r="AC98" s="647"/>
      <c r="AD98" s="647" t="s">
        <v>69</v>
      </c>
      <c r="AE98" s="647"/>
      <c r="AF98" s="647">
        <f>AA98</f>
        <v>271888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27"/>
      <c r="B99" s="729"/>
      <c r="C99" s="729"/>
      <c r="D99" s="729"/>
      <c r="E99" s="729"/>
      <c r="F99" s="728"/>
      <c r="G99" s="648"/>
      <c r="H99" s="648"/>
      <c r="I99" s="673"/>
      <c r="J99" s="717" t="s">
        <v>69</v>
      </c>
      <c r="K99" s="718"/>
      <c r="L99" s="719"/>
      <c r="M99" s="720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7"/>
      <c r="B100" s="688"/>
      <c r="C100" s="688"/>
      <c r="D100" s="688"/>
      <c r="E100" s="688"/>
      <c r="F100" s="689"/>
      <c r="G100" s="648"/>
      <c r="H100" s="648"/>
      <c r="I100" s="673"/>
      <c r="J100" s="714">
        <f>'Date masura OD'!$AL$5</f>
        <v>45777</v>
      </c>
      <c r="K100" s="715"/>
      <c r="L100" s="716"/>
      <c r="M100" s="720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4">
        <f>A98</f>
        <v>1373707619</v>
      </c>
      <c r="B101" s="685"/>
      <c r="C101" s="685"/>
      <c r="D101" s="685"/>
      <c r="E101" s="685"/>
      <c r="F101" s="686"/>
      <c r="G101" s="648" t="s">
        <v>696</v>
      </c>
      <c r="H101" s="648"/>
      <c r="I101" s="648"/>
      <c r="J101" s="655">
        <f t="shared" ref="J101:J106" si="4">J98</f>
        <v>45748</v>
      </c>
      <c r="K101" s="656"/>
      <c r="L101" s="657"/>
      <c r="M101" s="648" t="s">
        <v>720</v>
      </c>
      <c r="N101" s="648"/>
      <c r="O101" s="648">
        <f>O98</f>
        <v>1</v>
      </c>
      <c r="P101" s="648"/>
      <c r="Q101" s="648"/>
      <c r="R101" s="647" t="str">
        <f>VLOOKUP(A101,Regularizare!$D:$AX,29,FALSE)&amp;" ("&amp;VLOOKUP(A101,Regularizare!$D:$AX,30,FALSE)&amp;")"</f>
        <v>400639 (citit)</v>
      </c>
      <c r="S101" s="647"/>
      <c r="T101" s="647"/>
      <c r="U101" s="647" t="str">
        <f>VLOOKUP(A101,Regularizare!$D:$AX,31,FALSE)&amp;" ("&amp;VLOOKUP(A101,Regularizare!$D:$AX,32,FALSE)&amp;")"</f>
        <v>400639 (citit)</v>
      </c>
      <c r="V101" s="647"/>
      <c r="W101" s="647"/>
      <c r="X101" s="647" t="str">
        <f>VLOOKUP(A101,Regularizare!$D:$AX,39,FALSE)&amp;" ("&amp;VLOOKUP(A101,Regularizare!$D:$AX,32,FALSE)&amp;")"</f>
        <v>0 (citit)</v>
      </c>
      <c r="Y101" s="647"/>
      <c r="Z101" s="647"/>
      <c r="AA101" s="647">
        <f>VLOOKUP(A101,Regularizare!$D:$AX,44,FALSE)+VLOOKUP(A101,Regularizare!$D:$AX,45,FALSE)</f>
        <v>0</v>
      </c>
      <c r="AB101" s="647"/>
      <c r="AC101" s="647"/>
      <c r="AD101" s="647" t="s">
        <v>69</v>
      </c>
      <c r="AE101" s="647"/>
      <c r="AF101" s="647">
        <f>AA101</f>
        <v>0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27"/>
      <c r="B102" s="729"/>
      <c r="C102" s="729"/>
      <c r="D102" s="729"/>
      <c r="E102" s="729"/>
      <c r="F102" s="728"/>
      <c r="G102" s="648"/>
      <c r="H102" s="648"/>
      <c r="I102" s="648"/>
      <c r="J102" s="717" t="str">
        <f t="shared" si="4"/>
        <v>-</v>
      </c>
      <c r="K102" s="718"/>
      <c r="L102" s="719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7"/>
      <c r="B103" s="688"/>
      <c r="C103" s="688"/>
      <c r="D103" s="688"/>
      <c r="E103" s="688"/>
      <c r="F103" s="689"/>
      <c r="G103" s="648"/>
      <c r="H103" s="648"/>
      <c r="I103" s="648"/>
      <c r="J103" s="714">
        <f t="shared" si="4"/>
        <v>45777</v>
      </c>
      <c r="K103" s="715"/>
      <c r="L103" s="716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4">
        <f>A101</f>
        <v>1373707619</v>
      </c>
      <c r="B104" s="685"/>
      <c r="C104" s="685"/>
      <c r="D104" s="685"/>
      <c r="E104" s="685"/>
      <c r="F104" s="686"/>
      <c r="G104" s="648" t="s">
        <v>731</v>
      </c>
      <c r="H104" s="648"/>
      <c r="I104" s="648"/>
      <c r="J104" s="655">
        <f t="shared" si="4"/>
        <v>45748</v>
      </c>
      <c r="K104" s="656"/>
      <c r="L104" s="657"/>
      <c r="M104" s="648" t="s">
        <v>720</v>
      </c>
      <c r="N104" s="648"/>
      <c r="O104" s="648">
        <f>O101</f>
        <v>1</v>
      </c>
      <c r="P104" s="648"/>
      <c r="Q104" s="648"/>
      <c r="R104" s="647" t="str">
        <f>VLOOKUP(A104,Regularizare!$D:$AX,33,FALSE)&amp;" ("&amp;VLOOKUP(A104,Regularizare!$D:$AX,34,FALSE)&amp;")"</f>
        <v>508 (citit)</v>
      </c>
      <c r="S104" s="647"/>
      <c r="T104" s="647"/>
      <c r="U104" s="647" t="str">
        <f>VLOOKUP(A104,Regularizare!$D:$AX,35,FALSE)&amp;" ("&amp;VLOOKUP(A104,Regularizare!$D:$AX,36,FALSE)&amp;")"</f>
        <v>508 (citit)</v>
      </c>
      <c r="V104" s="647"/>
      <c r="W104" s="647"/>
      <c r="X104" s="647" t="str">
        <f>VLOOKUP(A104,Regularizare!$D:$AX,40,FALSE)&amp;" ("&amp;VLOOKUP(A104,Regularizare!$D:$AX,36,FALSE)&amp;")"</f>
        <v>0 (citit)</v>
      </c>
      <c r="Y104" s="647"/>
      <c r="Z104" s="647"/>
      <c r="AA104" s="647">
        <f>VLOOKUP(A104,Regularizare!$D:$AX,46,FALSE)+VLOOKUP(A104,Regularizare!$D:$AX,47,FALSE)</f>
        <v>0</v>
      </c>
      <c r="AB104" s="647"/>
      <c r="AC104" s="647"/>
      <c r="AD104" s="647" t="s">
        <v>69</v>
      </c>
      <c r="AE104" s="647"/>
      <c r="AF104" s="647">
        <f>AA104</f>
        <v>0</v>
      </c>
      <c r="AG104" s="647"/>
      <c r="AH104" s="647"/>
      <c r="AI104" s="647" t="str">
        <f>AI101</f>
        <v>-</v>
      </c>
      <c r="AJ104" s="647"/>
      <c r="AK104" s="647" t="str">
        <f>AK101</f>
        <v>-</v>
      </c>
      <c r="AL104" s="647"/>
      <c r="AM104" s="647"/>
    </row>
    <row r="105" spans="1:39" ht="8.4499999999999993" customHeight="1">
      <c r="A105" s="727"/>
      <c r="B105" s="729"/>
      <c r="C105" s="729"/>
      <c r="D105" s="729"/>
      <c r="E105" s="729"/>
      <c r="F105" s="728"/>
      <c r="G105" s="648"/>
      <c r="H105" s="648"/>
      <c r="I105" s="648"/>
      <c r="J105" s="717" t="str">
        <f t="shared" si="4"/>
        <v>-</v>
      </c>
      <c r="K105" s="718"/>
      <c r="L105" s="719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7"/>
      <c r="B106" s="688"/>
      <c r="C106" s="688"/>
      <c r="D106" s="688"/>
      <c r="E106" s="688"/>
      <c r="F106" s="689"/>
      <c r="G106" s="648"/>
      <c r="H106" s="648"/>
      <c r="I106" s="648"/>
      <c r="J106" s="714">
        <f t="shared" si="4"/>
        <v>45777</v>
      </c>
      <c r="K106" s="715"/>
      <c r="L106" s="716"/>
      <c r="M106" s="648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4">
        <f>A104</f>
        <v>1373707619</v>
      </c>
      <c r="B107" s="685"/>
      <c r="C107" s="685"/>
      <c r="D107" s="685"/>
      <c r="E107" s="685"/>
      <c r="F107" s="686"/>
      <c r="G107" s="648" t="s">
        <v>730</v>
      </c>
      <c r="H107" s="648"/>
      <c r="I107" s="673"/>
      <c r="J107" s="655">
        <f>'Date masura OD'!$I$5</f>
        <v>45778</v>
      </c>
      <c r="K107" s="656"/>
      <c r="L107" s="657"/>
      <c r="M107" s="720" t="s">
        <v>446</v>
      </c>
      <c r="N107" s="648"/>
      <c r="O107" s="648">
        <f>O104</f>
        <v>1</v>
      </c>
      <c r="P107" s="648"/>
      <c r="Q107" s="648"/>
      <c r="R107" s="647" t="str">
        <f>U98</f>
        <v>4457076 (citit)</v>
      </c>
      <c r="S107" s="647"/>
      <c r="T107" s="647"/>
      <c r="U107" s="647" t="str">
        <f>VLOOKUP(A107,'Incrementare indexe'!$D:$M,4,FALSE)&amp;" (estimat)"</f>
        <v>4764791 (estimat)</v>
      </c>
      <c r="V107" s="647"/>
      <c r="W107" s="647"/>
      <c r="X107" s="647" t="str">
        <f>VLOOKUP(A107,'Incrementare indexe'!$D:$Q,11,FALSE)&amp;" (estimat)"</f>
        <v>307715 (estimat)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f>VLOOKUP(A107,'Incrementare indexe'!$D:$Q,11,FALSE)</f>
        <v>307715</v>
      </c>
      <c r="AG107" s="647"/>
      <c r="AH107" s="647"/>
      <c r="AI107" s="647">
        <f>J109-J107+1</f>
        <v>31</v>
      </c>
      <c r="AJ107" s="647"/>
      <c r="AK107" s="647">
        <f>ROUND(AF107/AI107,2)</f>
        <v>9926.2900000000009</v>
      </c>
      <c r="AL107" s="647"/>
      <c r="AM107" s="647"/>
    </row>
    <row r="108" spans="1:39" ht="8.4499999999999993" customHeight="1">
      <c r="A108" s="727"/>
      <c r="B108" s="729"/>
      <c r="C108" s="729"/>
      <c r="D108" s="729"/>
      <c r="E108" s="729"/>
      <c r="F108" s="728"/>
      <c r="G108" s="648"/>
      <c r="H108" s="648"/>
      <c r="I108" s="673"/>
      <c r="J108" s="717" t="s">
        <v>69</v>
      </c>
      <c r="K108" s="718"/>
      <c r="L108" s="719"/>
      <c r="M108" s="720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7"/>
      <c r="B109" s="688"/>
      <c r="C109" s="688"/>
      <c r="D109" s="688"/>
      <c r="E109" s="688"/>
      <c r="F109" s="689"/>
      <c r="G109" s="648"/>
      <c r="H109" s="648"/>
      <c r="I109" s="673"/>
      <c r="J109" s="714">
        <f>'Date masura OD'!$J$5</f>
        <v>45808</v>
      </c>
      <c r="K109" s="715"/>
      <c r="L109" s="716"/>
      <c r="M109" s="720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4">
        <f>A107</f>
        <v>1373707619</v>
      </c>
      <c r="B110" s="685"/>
      <c r="C110" s="685"/>
      <c r="D110" s="685"/>
      <c r="E110" s="685"/>
      <c r="F110" s="686"/>
      <c r="G110" s="648" t="s">
        <v>696</v>
      </c>
      <c r="H110" s="648"/>
      <c r="I110" s="648"/>
      <c r="J110" s="655">
        <f t="shared" ref="J110:J115" si="5">J107</f>
        <v>45778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U101</f>
        <v>400639 (citit)</v>
      </c>
      <c r="S110" s="647"/>
      <c r="T110" s="647"/>
      <c r="U110" s="647" t="str">
        <f>VLOOKUP(A110,'Incrementare indexe'!$D:$M,8,FALSE)&amp;" (estimat)"</f>
        <v>400639 (estimat)</v>
      </c>
      <c r="V110" s="647"/>
      <c r="W110" s="647"/>
      <c r="X110" s="647" t="str">
        <f>VLOOKUP(A110,'Incrementare indexe'!$D:$Q,12,FALSE)&amp;" (estimat)"</f>
        <v>0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indexe'!$D:$Q,12,FALSE)</f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8.4499999999999993" customHeight="1">
      <c r="A111" s="727"/>
      <c r="B111" s="729"/>
      <c r="C111" s="729"/>
      <c r="D111" s="729"/>
      <c r="E111" s="729"/>
      <c r="F111" s="728"/>
      <c r="G111" s="648"/>
      <c r="H111" s="648"/>
      <c r="I111" s="648"/>
      <c r="J111" s="717" t="str">
        <f t="shared" si="5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7"/>
      <c r="B112" s="688"/>
      <c r="C112" s="688"/>
      <c r="D112" s="688"/>
      <c r="E112" s="688"/>
      <c r="F112" s="689"/>
      <c r="G112" s="648"/>
      <c r="H112" s="648"/>
      <c r="I112" s="648"/>
      <c r="J112" s="714">
        <f t="shared" si="5"/>
        <v>45808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4">
        <f>A110</f>
        <v>1373707619</v>
      </c>
      <c r="B113" s="685"/>
      <c r="C113" s="685"/>
      <c r="D113" s="685"/>
      <c r="E113" s="685"/>
      <c r="F113" s="686"/>
      <c r="G113" s="648" t="s">
        <v>731</v>
      </c>
      <c r="H113" s="648"/>
      <c r="I113" s="648"/>
      <c r="J113" s="655">
        <f t="shared" si="5"/>
        <v>45778</v>
      </c>
      <c r="K113" s="656"/>
      <c r="L113" s="657"/>
      <c r="M113" s="648" t="s">
        <v>720</v>
      </c>
      <c r="N113" s="648"/>
      <c r="O113" s="648">
        <f>O110</f>
        <v>1</v>
      </c>
      <c r="P113" s="648"/>
      <c r="Q113" s="648"/>
      <c r="R113" s="647" t="str">
        <f>U104</f>
        <v>508 (citit)</v>
      </c>
      <c r="S113" s="647"/>
      <c r="T113" s="647"/>
      <c r="U113" s="647" t="str">
        <f>VLOOKUP(A113,'Incrementare indexe'!$D:$M,10,FALSE)&amp;" (estimat)"</f>
        <v>508 (estimat)</v>
      </c>
      <c r="V113" s="647"/>
      <c r="W113" s="647"/>
      <c r="X113" s="647" t="str">
        <f>VLOOKUP(A113,'Incrementare indexe'!$D:$Q,13,FALSE)&amp;" (estimat)"</f>
        <v>0 (estimat)</v>
      </c>
      <c r="Y113" s="647"/>
      <c r="Z113" s="647"/>
      <c r="AA113" s="647" t="s">
        <v>69</v>
      </c>
      <c r="AB113" s="647"/>
      <c r="AC113" s="647"/>
      <c r="AD113" s="647" t="s">
        <v>69</v>
      </c>
      <c r="AE113" s="647"/>
      <c r="AF113" s="647">
        <f>VLOOKUP(A113,'Incrementare indexe'!$D:$Q,13,FALSE)</f>
        <v>0</v>
      </c>
      <c r="AG113" s="647"/>
      <c r="AH113" s="647"/>
      <c r="AI113" s="647">
        <f>AI110</f>
        <v>31</v>
      </c>
      <c r="AJ113" s="647"/>
      <c r="AK113" s="647">
        <f>ROUND(AF113/AI113,2)</f>
        <v>0</v>
      </c>
      <c r="AL113" s="647"/>
      <c r="AM113" s="647"/>
    </row>
    <row r="114" spans="1:39" ht="8.4499999999999993" customHeight="1">
      <c r="A114" s="727"/>
      <c r="B114" s="729"/>
      <c r="C114" s="729"/>
      <c r="D114" s="729"/>
      <c r="E114" s="729"/>
      <c r="F114" s="728"/>
      <c r="G114" s="648"/>
      <c r="H114" s="648"/>
      <c r="I114" s="648"/>
      <c r="J114" s="717" t="str">
        <f t="shared" si="5"/>
        <v>-</v>
      </c>
      <c r="K114" s="718"/>
      <c r="L114" s="719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7"/>
      <c r="B115" s="688"/>
      <c r="C115" s="688"/>
      <c r="D115" s="688"/>
      <c r="E115" s="688"/>
      <c r="F115" s="689"/>
      <c r="G115" s="648"/>
      <c r="H115" s="648"/>
      <c r="I115" s="648"/>
      <c r="J115" s="714">
        <f t="shared" si="5"/>
        <v>45808</v>
      </c>
      <c r="K115" s="715"/>
      <c r="L115" s="716"/>
      <c r="M115" s="648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195"/>
      <c r="B116" s="195"/>
      <c r="C116" s="195"/>
      <c r="D116" s="195"/>
      <c r="E116" s="195"/>
      <c r="F116" s="195"/>
      <c r="G116" s="196"/>
      <c r="H116" s="196"/>
      <c r="I116" s="196"/>
      <c r="J116" s="197"/>
      <c r="K116" s="197"/>
      <c r="L116" s="197"/>
      <c r="M116" s="196"/>
      <c r="N116" s="196"/>
      <c r="O116" s="196"/>
      <c r="P116" s="196"/>
      <c r="Q116" s="196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</row>
    <row r="117" spans="1:39" ht="14.1" customHeight="1">
      <c r="A117" s="721" t="s">
        <v>1196</v>
      </c>
      <c r="B117" s="722"/>
      <c r="C117" s="722"/>
      <c r="D117" s="722"/>
      <c r="E117" s="722"/>
      <c r="F117" s="722"/>
      <c r="G117" s="722"/>
      <c r="H117" s="722"/>
      <c r="I117" s="722"/>
      <c r="J117" s="722"/>
      <c r="K117" s="722"/>
      <c r="L117" s="722"/>
      <c r="M117" s="722"/>
      <c r="N117" s="722"/>
      <c r="O117" s="722"/>
      <c r="P117" s="722"/>
      <c r="Q117" s="722"/>
      <c r="R117" s="722"/>
      <c r="S117" s="722"/>
      <c r="T117" s="722"/>
      <c r="U117" s="722"/>
      <c r="V117" s="722"/>
      <c r="W117" s="722"/>
      <c r="X117" s="722"/>
      <c r="Y117" s="722"/>
      <c r="Z117" s="722"/>
      <c r="AA117" s="722"/>
      <c r="AB117" s="722"/>
      <c r="AC117" s="722"/>
      <c r="AD117" s="722"/>
      <c r="AE117" s="722"/>
      <c r="AF117" s="722"/>
      <c r="AG117" s="722"/>
      <c r="AH117" s="723"/>
      <c r="AI117" s="650" t="s">
        <v>695</v>
      </c>
      <c r="AJ117" s="650"/>
      <c r="AK117" s="650"/>
      <c r="AL117" s="650"/>
      <c r="AM117" s="650"/>
    </row>
    <row r="118" spans="1:39" ht="14.1" customHeight="1">
      <c r="A118" s="649" t="s">
        <v>746</v>
      </c>
      <c r="B118" s="649"/>
      <c r="C118" s="649"/>
      <c r="D118" s="649"/>
      <c r="E118" s="649"/>
      <c r="F118" s="649"/>
      <c r="G118" s="649"/>
      <c r="H118" s="649"/>
      <c r="I118" s="649"/>
      <c r="J118" s="649"/>
      <c r="K118" s="649"/>
      <c r="L118" s="649"/>
      <c r="M118" s="650" t="s">
        <v>514</v>
      </c>
      <c r="N118" s="650"/>
      <c r="O118" s="650"/>
      <c r="P118" s="650"/>
      <c r="Q118" s="650"/>
      <c r="R118" s="650"/>
      <c r="S118" s="650"/>
      <c r="T118" s="650"/>
      <c r="U118" s="650"/>
      <c r="V118" s="650"/>
      <c r="W118" s="650"/>
      <c r="X118" s="650"/>
      <c r="Y118" s="650"/>
      <c r="Z118" s="650"/>
      <c r="AA118" s="650"/>
      <c r="AB118" s="650"/>
      <c r="AC118" s="650"/>
      <c r="AD118" s="650"/>
      <c r="AE118" s="650"/>
      <c r="AF118" s="650"/>
      <c r="AG118" s="650"/>
      <c r="AH118" s="650"/>
      <c r="AI118" s="619" t="str">
        <f>_xlfn.CONCAT(AI84,"/PV")</f>
        <v>RITS_2.1/PV</v>
      </c>
      <c r="AJ118" s="619"/>
      <c r="AK118" s="619"/>
      <c r="AL118" s="619"/>
      <c r="AM118" s="619"/>
    </row>
    <row r="119" spans="1:39" ht="14.1" customHeight="1">
      <c r="A119" s="649" t="s">
        <v>747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50" t="s">
        <v>1087</v>
      </c>
      <c r="N119" s="650"/>
      <c r="O119" s="650"/>
      <c r="P119" s="650"/>
      <c r="Q119" s="650"/>
      <c r="R119" s="650"/>
      <c r="S119" s="650"/>
      <c r="T119" s="650"/>
      <c r="U119" s="650"/>
      <c r="V119" s="650"/>
      <c r="W119" s="650"/>
      <c r="X119" s="650"/>
      <c r="Y119" s="650"/>
      <c r="Z119" s="650"/>
      <c r="AA119" s="650"/>
      <c r="AB119" s="650"/>
      <c r="AC119" s="650"/>
      <c r="AD119" s="650"/>
      <c r="AE119" s="650"/>
      <c r="AF119" s="650"/>
      <c r="AG119" s="650"/>
      <c r="AH119" s="650"/>
      <c r="AI119" s="619"/>
      <c r="AJ119" s="619"/>
      <c r="AK119" s="619"/>
      <c r="AL119" s="619"/>
      <c r="AM119" s="619"/>
    </row>
    <row r="120" spans="1:39" ht="14.1" customHeight="1">
      <c r="A120" s="648" t="s">
        <v>697</v>
      </c>
      <c r="B120" s="648"/>
      <c r="C120" s="648"/>
      <c r="D120" s="648"/>
      <c r="E120" s="648"/>
      <c r="F120" s="648"/>
      <c r="G120" s="647" t="s">
        <v>713</v>
      </c>
      <c r="H120" s="647"/>
      <c r="I120" s="647"/>
      <c r="J120" s="647" t="s">
        <v>714</v>
      </c>
      <c r="K120" s="647"/>
      <c r="L120" s="647"/>
      <c r="M120" s="648" t="s">
        <v>519</v>
      </c>
      <c r="N120" s="648"/>
      <c r="O120" s="648" t="s">
        <v>715</v>
      </c>
      <c r="P120" s="648"/>
      <c r="Q120" s="648"/>
      <c r="R120" s="647" t="s">
        <v>732</v>
      </c>
      <c r="S120" s="647"/>
      <c r="T120" s="647"/>
      <c r="U120" s="647" t="s">
        <v>734</v>
      </c>
      <c r="V120" s="647"/>
      <c r="W120" s="647"/>
      <c r="X120" s="647" t="s">
        <v>1085</v>
      </c>
      <c r="Y120" s="647"/>
      <c r="Z120" s="647"/>
      <c r="AA120" s="647" t="s">
        <v>1086</v>
      </c>
      <c r="AB120" s="647"/>
      <c r="AC120" s="647"/>
      <c r="AD120" s="647" t="s">
        <v>717</v>
      </c>
      <c r="AE120" s="647"/>
      <c r="AF120" s="647" t="s">
        <v>718</v>
      </c>
      <c r="AG120" s="647"/>
      <c r="AH120" s="647"/>
      <c r="AI120" s="647" t="s">
        <v>719</v>
      </c>
      <c r="AJ120" s="647"/>
      <c r="AK120" s="647" t="s">
        <v>733</v>
      </c>
      <c r="AL120" s="647"/>
      <c r="AM120" s="647"/>
    </row>
    <row r="121" spans="1:39" ht="14.1" customHeight="1">
      <c r="A121" s="648"/>
      <c r="B121" s="648"/>
      <c r="C121" s="648"/>
      <c r="D121" s="648"/>
      <c r="E121" s="648"/>
      <c r="F121" s="648"/>
      <c r="G121" s="647"/>
      <c r="H121" s="647"/>
      <c r="I121" s="647"/>
      <c r="J121" s="647"/>
      <c r="K121" s="647"/>
      <c r="L121" s="647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48"/>
      <c r="B122" s="648"/>
      <c r="C122" s="648"/>
      <c r="D122" s="648"/>
      <c r="E122" s="648"/>
      <c r="F122" s="648"/>
      <c r="G122" s="647"/>
      <c r="H122" s="647"/>
      <c r="I122" s="647"/>
      <c r="J122" s="713"/>
      <c r="K122" s="713"/>
      <c r="L122" s="713"/>
      <c r="M122" s="648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78">
        <f>VLOOKUP(AI118,'Incrementare indexe'!$B:$I,3,FALSE)</f>
        <v>1373706938</v>
      </c>
      <c r="B123" s="679"/>
      <c r="C123" s="679"/>
      <c r="D123" s="679"/>
      <c r="E123" s="679"/>
      <c r="F123" s="680"/>
      <c r="G123" s="647" t="s">
        <v>1088</v>
      </c>
      <c r="H123" s="647"/>
      <c r="I123" s="675"/>
      <c r="J123" s="655">
        <f>'Date masura OD'!$I$5</f>
        <v>45778</v>
      </c>
      <c r="K123" s="656"/>
      <c r="L123" s="657"/>
      <c r="M123" s="720" t="s">
        <v>446</v>
      </c>
      <c r="N123" s="648"/>
      <c r="O123" s="648">
        <f>VLOOKUP(AI118,'Incrementare indexe'!$B:$I,4,FALSE)</f>
        <v>1</v>
      </c>
      <c r="P123" s="648"/>
      <c r="Q123" s="648"/>
      <c r="R123" s="647" t="str">
        <f>VLOOKUP(AI118,'Incrementare indexe'!$B:$I,7,FALSE)&amp;" (citit)"</f>
        <v>284951 (citit)</v>
      </c>
      <c r="S123" s="647"/>
      <c r="T123" s="647"/>
      <c r="U123" s="647" t="str">
        <f>VLOOKUP(AI118,'Incrementare indexe'!$B:$I,8,FALSE)&amp;" (citit)"</f>
        <v>314008 (citit)</v>
      </c>
      <c r="V123" s="647"/>
      <c r="W123" s="647"/>
      <c r="X123" s="647" t="str">
        <f>(VLOOKUP(AI118,'Incrementare indexe'!$B:$I,8,FALSE)-VLOOKUP(AI118,'Incrementare indexe'!$B:$I,7,FALSE))&amp;" (citit)"</f>
        <v>29057 (citit)</v>
      </c>
      <c r="Y123" s="647"/>
      <c r="Z123" s="647"/>
      <c r="AA123" s="647" t="s">
        <v>69</v>
      </c>
      <c r="AB123" s="647"/>
      <c r="AC123" s="647"/>
      <c r="AD123" s="647" t="s">
        <v>69</v>
      </c>
      <c r="AE123" s="647"/>
      <c r="AF123" s="647">
        <f>(VLOOKUP(AI118,'Incrementare indexe'!$B:$I,8,FALSE)-VLOOKUP(AI118,'Incrementare indexe'!$B:$I,7,FALSE))</f>
        <v>29057</v>
      </c>
      <c r="AG123" s="647"/>
      <c r="AH123" s="647"/>
      <c r="AI123" s="647">
        <f>J125-J123+1</f>
        <v>31</v>
      </c>
      <c r="AJ123" s="647"/>
      <c r="AK123" s="647">
        <f>ROUND(AF123/AI123,2)</f>
        <v>937.32</v>
      </c>
      <c r="AL123" s="647"/>
      <c r="AM123" s="647"/>
    </row>
    <row r="124" spans="1:39" ht="14.1" customHeight="1">
      <c r="A124" s="717"/>
      <c r="B124" s="718"/>
      <c r="C124" s="718"/>
      <c r="D124" s="718"/>
      <c r="E124" s="718"/>
      <c r="F124" s="719"/>
      <c r="G124" s="647"/>
      <c r="H124" s="647"/>
      <c r="I124" s="675"/>
      <c r="J124" s="717" t="s">
        <v>69</v>
      </c>
      <c r="K124" s="718"/>
      <c r="L124" s="719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81"/>
      <c r="B125" s="682"/>
      <c r="C125" s="682"/>
      <c r="D125" s="682"/>
      <c r="E125" s="682"/>
      <c r="F125" s="683"/>
      <c r="G125" s="647"/>
      <c r="H125" s="647"/>
      <c r="I125" s="675"/>
      <c r="J125" s="714">
        <f>'Date masura OD'!$J$5</f>
        <v>45808</v>
      </c>
      <c r="K125" s="715"/>
      <c r="L125" s="716"/>
      <c r="M125" s="720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678">
        <f>A123</f>
        <v>1373706938</v>
      </c>
      <c r="B126" s="679"/>
      <c r="C126" s="679"/>
      <c r="D126" s="679"/>
      <c r="E126" s="679"/>
      <c r="F126" s="680"/>
      <c r="G126" s="648" t="s">
        <v>696</v>
      </c>
      <c r="H126" s="648"/>
      <c r="I126" s="648"/>
      <c r="J126" s="655">
        <f t="shared" ref="J126:J131" si="6">J123</f>
        <v>45778</v>
      </c>
      <c r="K126" s="656"/>
      <c r="L126" s="657"/>
      <c r="M126" s="648" t="s">
        <v>720</v>
      </c>
      <c r="N126" s="648"/>
      <c r="O126" s="648">
        <f>O123</f>
        <v>1</v>
      </c>
      <c r="P126" s="648"/>
      <c r="Q126" s="648"/>
      <c r="R126" s="647" t="s">
        <v>1089</v>
      </c>
      <c r="S126" s="647"/>
      <c r="T126" s="647"/>
      <c r="U126" s="647" t="s">
        <v>1089</v>
      </c>
      <c r="V126" s="647"/>
      <c r="W126" s="647"/>
      <c r="X126" s="647" t="s">
        <v>1089</v>
      </c>
      <c r="Y126" s="647"/>
      <c r="Z126" s="647"/>
      <c r="AA126" s="647" t="s">
        <v>69</v>
      </c>
      <c r="AB126" s="647"/>
      <c r="AC126" s="647"/>
      <c r="AD126" s="647" t="s">
        <v>69</v>
      </c>
      <c r="AE126" s="647"/>
      <c r="AF126" s="647">
        <v>0</v>
      </c>
      <c r="AG126" s="647"/>
      <c r="AH126" s="647"/>
      <c r="AI126" s="647">
        <f>AI123</f>
        <v>31</v>
      </c>
      <c r="AJ126" s="647"/>
      <c r="AK126" s="647">
        <f>ROUND(AF126/AI126,2)</f>
        <v>0</v>
      </c>
      <c r="AL126" s="647"/>
      <c r="AM126" s="647"/>
    </row>
    <row r="127" spans="1:39" ht="14.1" customHeight="1">
      <c r="A127" s="717"/>
      <c r="B127" s="718"/>
      <c r="C127" s="718"/>
      <c r="D127" s="718"/>
      <c r="E127" s="718"/>
      <c r="F127" s="719"/>
      <c r="G127" s="648"/>
      <c r="H127" s="648"/>
      <c r="I127" s="648"/>
      <c r="J127" s="717" t="str">
        <f t="shared" si="6"/>
        <v>-</v>
      </c>
      <c r="K127" s="718"/>
      <c r="L127" s="719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81"/>
      <c r="B128" s="682"/>
      <c r="C128" s="682"/>
      <c r="D128" s="682"/>
      <c r="E128" s="682"/>
      <c r="F128" s="683"/>
      <c r="G128" s="648"/>
      <c r="H128" s="648"/>
      <c r="I128" s="648"/>
      <c r="J128" s="714">
        <f t="shared" si="6"/>
        <v>45808</v>
      </c>
      <c r="K128" s="715"/>
      <c r="L128" s="716"/>
      <c r="M128" s="648"/>
      <c r="N128" s="648"/>
      <c r="O128" s="648"/>
      <c r="P128" s="648"/>
      <c r="Q128" s="648"/>
      <c r="R128" s="647"/>
      <c r="S128" s="647"/>
      <c r="T128" s="647"/>
      <c r="U128" s="647"/>
      <c r="V128" s="647"/>
      <c r="W128" s="647"/>
      <c r="X128" s="647"/>
      <c r="Y128" s="647"/>
      <c r="Z128" s="647"/>
      <c r="AA128" s="647"/>
      <c r="AB128" s="647"/>
      <c r="AC128" s="647"/>
      <c r="AD128" s="647"/>
      <c r="AE128" s="647"/>
      <c r="AF128" s="647"/>
      <c r="AG128" s="647"/>
      <c r="AH128" s="647"/>
      <c r="AI128" s="647"/>
      <c r="AJ128" s="647"/>
      <c r="AK128" s="647"/>
      <c r="AL128" s="647"/>
      <c r="AM128" s="647"/>
    </row>
    <row r="129" spans="1:39" ht="14.1" customHeight="1">
      <c r="A129" s="678">
        <f>A126</f>
        <v>1373706938</v>
      </c>
      <c r="B129" s="679"/>
      <c r="C129" s="679"/>
      <c r="D129" s="679"/>
      <c r="E129" s="679"/>
      <c r="F129" s="680"/>
      <c r="G129" s="648" t="s">
        <v>731</v>
      </c>
      <c r="H129" s="648"/>
      <c r="I129" s="648"/>
      <c r="J129" s="655">
        <f t="shared" si="6"/>
        <v>45778</v>
      </c>
      <c r="K129" s="656"/>
      <c r="L129" s="657"/>
      <c r="M129" s="648" t="s">
        <v>720</v>
      </c>
      <c r="N129" s="648"/>
      <c r="O129" s="648">
        <f>O126</f>
        <v>1</v>
      </c>
      <c r="P129" s="648"/>
      <c r="Q129" s="648"/>
      <c r="R129" s="647" t="s">
        <v>1089</v>
      </c>
      <c r="S129" s="647"/>
      <c r="T129" s="647"/>
      <c r="U129" s="647" t="s">
        <v>1089</v>
      </c>
      <c r="V129" s="647"/>
      <c r="W129" s="647"/>
      <c r="X129" s="647" t="s">
        <v>1089</v>
      </c>
      <c r="Y129" s="647"/>
      <c r="Z129" s="647"/>
      <c r="AA129" s="647" t="s">
        <v>69</v>
      </c>
      <c r="AB129" s="647"/>
      <c r="AC129" s="647"/>
      <c r="AD129" s="647" t="s">
        <v>69</v>
      </c>
      <c r="AE129" s="647"/>
      <c r="AF129" s="647">
        <v>0</v>
      </c>
      <c r="AG129" s="647"/>
      <c r="AH129" s="647"/>
      <c r="AI129" s="647">
        <f>AI126</f>
        <v>31</v>
      </c>
      <c r="AJ129" s="647"/>
      <c r="AK129" s="647">
        <f>ROUND(AF129/AI129,2)</f>
        <v>0</v>
      </c>
      <c r="AL129" s="647"/>
      <c r="AM129" s="647"/>
    </row>
    <row r="130" spans="1:39" ht="14.1" customHeight="1">
      <c r="A130" s="717"/>
      <c r="B130" s="718"/>
      <c r="C130" s="718"/>
      <c r="D130" s="718"/>
      <c r="E130" s="718"/>
      <c r="F130" s="719"/>
      <c r="G130" s="648"/>
      <c r="H130" s="648"/>
      <c r="I130" s="648"/>
      <c r="J130" s="717" t="str">
        <f t="shared" si="6"/>
        <v>-</v>
      </c>
      <c r="K130" s="718"/>
      <c r="L130" s="719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681"/>
      <c r="B131" s="682"/>
      <c r="C131" s="682"/>
      <c r="D131" s="682"/>
      <c r="E131" s="682"/>
      <c r="F131" s="683"/>
      <c r="G131" s="648"/>
      <c r="H131" s="648"/>
      <c r="I131" s="648"/>
      <c r="J131" s="714">
        <f t="shared" si="6"/>
        <v>45808</v>
      </c>
      <c r="K131" s="715"/>
      <c r="L131" s="716"/>
      <c r="M131" s="648"/>
      <c r="N131" s="648"/>
      <c r="O131" s="648"/>
      <c r="P131" s="648"/>
      <c r="Q131" s="648"/>
      <c r="R131" s="647"/>
      <c r="S131" s="647"/>
      <c r="T131" s="647"/>
      <c r="U131" s="647"/>
      <c r="V131" s="647"/>
      <c r="W131" s="647"/>
      <c r="X131" s="647"/>
      <c r="Y131" s="647"/>
      <c r="Z131" s="647"/>
      <c r="AA131" s="647"/>
      <c r="AB131" s="647"/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</row>
    <row r="132" spans="1:39" ht="14.1" customHeight="1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190"/>
      <c r="AJ132" s="190"/>
      <c r="AK132" s="190"/>
      <c r="AL132" s="190"/>
      <c r="AM132" s="190"/>
    </row>
    <row r="133" spans="1:39" ht="8.4499999999999993" customHeight="1">
      <c r="A133" s="695" t="s">
        <v>858</v>
      </c>
      <c r="B133" s="695"/>
      <c r="C133" s="695"/>
      <c r="D133" s="695"/>
      <c r="E133" s="695"/>
      <c r="F133" s="695"/>
      <c r="G133" s="695"/>
      <c r="H133" s="695" t="str">
        <f>VLOOKUP($AA$15,'Date SPV'!$B:$H,4,FALSE)</f>
        <v>Bulevardul 1 Decembrie 1918, nr. 33A, Sector 3, Bucuresti</v>
      </c>
      <c r="I133" s="695"/>
      <c r="J133" s="695"/>
      <c r="K133" s="695"/>
      <c r="L133" s="695"/>
      <c r="M133" s="695"/>
      <c r="N133" s="695"/>
      <c r="O133" s="695"/>
      <c r="P133" s="695"/>
      <c r="Q133" s="695"/>
      <c r="R133" s="695"/>
      <c r="S133" s="695"/>
      <c r="T133" s="695"/>
      <c r="U133" s="695"/>
      <c r="V133" s="695"/>
      <c r="W133" s="695"/>
      <c r="X133" s="695"/>
      <c r="Y133" s="695"/>
      <c r="Z133" s="695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</row>
    <row r="134" spans="1:39" ht="14.1" customHeight="1">
      <c r="A134" s="695"/>
      <c r="B134" s="695"/>
      <c r="C134" s="695"/>
      <c r="D134" s="695"/>
      <c r="E134" s="695"/>
      <c r="F134" s="695"/>
      <c r="G134" s="695"/>
      <c r="H134" s="695"/>
      <c r="I134" s="695"/>
      <c r="J134" s="695"/>
      <c r="K134" s="695"/>
      <c r="L134" s="695"/>
      <c r="M134" s="695"/>
      <c r="N134" s="695"/>
      <c r="O134" s="695"/>
      <c r="P134" s="695"/>
      <c r="Q134" s="695"/>
      <c r="R134" s="695"/>
      <c r="S134" s="695"/>
      <c r="T134" s="695"/>
      <c r="U134" s="695"/>
      <c r="V134" s="695"/>
      <c r="W134" s="695"/>
      <c r="X134" s="695"/>
      <c r="Y134" s="695"/>
      <c r="Z134" s="695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</row>
    <row r="135" spans="1:39" ht="14.1" customHeight="1">
      <c r="A135" s="695" t="s">
        <v>859</v>
      </c>
      <c r="B135" s="695"/>
      <c r="C135" s="695"/>
      <c r="D135" s="695"/>
      <c r="E135" s="695"/>
      <c r="F135" s="695"/>
      <c r="G135" s="695"/>
      <c r="H135" s="712">
        <f>VLOOKUP(AA135,'Date masura OD'!$G:$BE,51,FALSE)</f>
        <v>5000581150</v>
      </c>
      <c r="I135" s="712"/>
      <c r="J135" s="712"/>
      <c r="K135" s="712"/>
      <c r="L135" s="712"/>
      <c r="M135" s="712"/>
      <c r="N135" s="712"/>
      <c r="O135" s="712"/>
      <c r="P135" s="712"/>
      <c r="Q135" s="712"/>
      <c r="R135" s="712"/>
      <c r="S135" s="712"/>
      <c r="T135" s="712"/>
      <c r="U135" s="712"/>
      <c r="V135" s="712"/>
      <c r="W135" s="712" t="s">
        <v>860</v>
      </c>
      <c r="X135" s="712"/>
      <c r="Y135" s="712"/>
      <c r="Z135" s="712"/>
      <c r="AA135" s="640" t="str">
        <f>_xlfn.CONCAT($AA$15,"_",2)</f>
        <v>RITS_2</v>
      </c>
      <c r="AB135" s="640"/>
      <c r="AC135" s="640"/>
      <c r="AD135" s="640"/>
      <c r="AE135" s="640"/>
      <c r="AF135" s="640"/>
      <c r="AG135" s="640"/>
      <c r="AH135" s="640"/>
      <c r="AI135" s="640"/>
      <c r="AJ135" s="640"/>
      <c r="AK135" s="640"/>
      <c r="AL135" s="640"/>
      <c r="AM135" s="640"/>
    </row>
    <row r="136" spans="1:39" ht="8.4499999999999993" customHeight="1">
      <c r="A136" s="695"/>
      <c r="B136" s="695"/>
      <c r="C136" s="695"/>
      <c r="D136" s="695"/>
      <c r="E136" s="695"/>
      <c r="F136" s="695"/>
      <c r="G136" s="695"/>
      <c r="H136" s="712"/>
      <c r="I136" s="712"/>
      <c r="J136" s="712"/>
      <c r="K136" s="712"/>
      <c r="L136" s="712"/>
      <c r="M136" s="712"/>
      <c r="N136" s="712"/>
      <c r="O136" s="712"/>
      <c r="P136" s="712"/>
      <c r="Q136" s="712"/>
      <c r="R136" s="712"/>
      <c r="S136" s="712"/>
      <c r="T136" s="712"/>
      <c r="U136" s="712"/>
      <c r="V136" s="712"/>
      <c r="W136" s="712"/>
      <c r="X136" s="712"/>
      <c r="Y136" s="712"/>
      <c r="Z136" s="712"/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</row>
    <row r="137" spans="1:39" ht="14.1" customHeight="1"/>
    <row r="138" spans="1:39" ht="14.1" customHeight="1">
      <c r="A138" s="649" t="s">
        <v>748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tr">
        <f>VLOOKUP(AI139,'Contorizare in SDI'!$E:$I,4,FALSE)</f>
        <v>RO001E109430691/2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50" t="s">
        <v>695</v>
      </c>
      <c r="AJ138" s="650"/>
      <c r="AK138" s="650"/>
      <c r="AL138" s="650"/>
      <c r="AM138" s="650"/>
    </row>
    <row r="139" spans="1:39" ht="12.95" customHeight="1">
      <c r="A139" s="649" t="s">
        <v>746</v>
      </c>
      <c r="B139" s="649"/>
      <c r="C139" s="649"/>
      <c r="D139" s="649"/>
      <c r="E139" s="649"/>
      <c r="F139" s="649"/>
      <c r="G139" s="649"/>
      <c r="H139" s="649"/>
      <c r="I139" s="649"/>
      <c r="J139" s="649"/>
      <c r="K139" s="649"/>
      <c r="L139" s="649"/>
      <c r="M139" s="650" t="str">
        <f>VLOOKUP(AI139,'Inchidere contur'!$G:$U,15,FALSE)</f>
        <v>JT_SDI</v>
      </c>
      <c r="N139" s="650"/>
      <c r="O139" s="650"/>
      <c r="P139" s="650"/>
      <c r="Q139" s="650"/>
      <c r="R139" s="650"/>
      <c r="S139" s="650"/>
      <c r="T139" s="650"/>
      <c r="U139" s="650"/>
      <c r="V139" s="650"/>
      <c r="W139" s="650"/>
      <c r="X139" s="650"/>
      <c r="Y139" s="650"/>
      <c r="Z139" s="650"/>
      <c r="AA139" s="650"/>
      <c r="AB139" s="650"/>
      <c r="AC139" s="650"/>
      <c r="AD139" s="650"/>
      <c r="AE139" s="650"/>
      <c r="AF139" s="650"/>
      <c r="AG139" s="650"/>
      <c r="AH139" s="650"/>
      <c r="AI139" s="619" t="str">
        <f>_xlfn.CONCAT(AA135,".",2)</f>
        <v>RITS_2.2</v>
      </c>
      <c r="AJ139" s="619"/>
      <c r="AK139" s="619"/>
      <c r="AL139" s="619"/>
      <c r="AM139" s="619"/>
    </row>
    <row r="140" spans="1:39" ht="14.1" customHeight="1">
      <c r="A140" s="649" t="s">
        <v>747</v>
      </c>
      <c r="B140" s="649"/>
      <c r="C140" s="649"/>
      <c r="D140" s="649"/>
      <c r="E140" s="649"/>
      <c r="F140" s="649"/>
      <c r="G140" s="649"/>
      <c r="H140" s="649"/>
      <c r="I140" s="649"/>
      <c r="J140" s="649"/>
      <c r="K140" s="649"/>
      <c r="L140" s="649"/>
      <c r="M140" s="650" t="str">
        <f>IF(LEFT(M139,2)="JT","0.4kV",IF(LEFT(M139,2)="MT","20kV","-"))</f>
        <v>0.4kV</v>
      </c>
      <c r="N140" s="650"/>
      <c r="O140" s="650"/>
      <c r="P140" s="650"/>
      <c r="Q140" s="650"/>
      <c r="R140" s="650"/>
      <c r="S140" s="650"/>
      <c r="T140" s="650"/>
      <c r="U140" s="650"/>
      <c r="V140" s="650"/>
      <c r="W140" s="650"/>
      <c r="X140" s="650"/>
      <c r="Y140" s="650"/>
      <c r="Z140" s="650"/>
      <c r="AA140" s="650"/>
      <c r="AB140" s="650"/>
      <c r="AC140" s="650"/>
      <c r="AD140" s="650"/>
      <c r="AE140" s="650"/>
      <c r="AF140" s="650"/>
      <c r="AG140" s="650"/>
      <c r="AH140" s="650"/>
      <c r="AI140" s="619"/>
      <c r="AJ140" s="619"/>
      <c r="AK140" s="619"/>
      <c r="AL140" s="619"/>
      <c r="AM140" s="619"/>
    </row>
    <row r="141" spans="1:39" ht="14.1" customHeight="1">
      <c r="A141" s="648" t="s">
        <v>697</v>
      </c>
      <c r="B141" s="648"/>
      <c r="C141" s="648"/>
      <c r="D141" s="648"/>
      <c r="E141" s="648"/>
      <c r="F141" s="648"/>
      <c r="G141" s="647" t="s">
        <v>713</v>
      </c>
      <c r="H141" s="647"/>
      <c r="I141" s="647"/>
      <c r="J141" s="647" t="s">
        <v>714</v>
      </c>
      <c r="K141" s="647"/>
      <c r="L141" s="647"/>
      <c r="M141" s="648" t="s">
        <v>519</v>
      </c>
      <c r="N141" s="648"/>
      <c r="O141" s="648" t="s">
        <v>715</v>
      </c>
      <c r="P141" s="648"/>
      <c r="Q141" s="648"/>
      <c r="R141" s="647" t="s">
        <v>732</v>
      </c>
      <c r="S141" s="647"/>
      <c r="T141" s="647"/>
      <c r="U141" s="647" t="s">
        <v>734</v>
      </c>
      <c r="V141" s="647"/>
      <c r="W141" s="647"/>
      <c r="X141" s="647" t="s">
        <v>1085</v>
      </c>
      <c r="Y141" s="647"/>
      <c r="Z141" s="647"/>
      <c r="AA141" s="647" t="s">
        <v>1086</v>
      </c>
      <c r="AB141" s="647"/>
      <c r="AC141" s="647"/>
      <c r="AD141" s="647" t="s">
        <v>717</v>
      </c>
      <c r="AE141" s="647"/>
      <c r="AF141" s="647" t="s">
        <v>718</v>
      </c>
      <c r="AG141" s="647"/>
      <c r="AH141" s="647"/>
      <c r="AI141" s="647" t="s">
        <v>719</v>
      </c>
      <c r="AJ141" s="647"/>
      <c r="AK141" s="647" t="s">
        <v>733</v>
      </c>
      <c r="AL141" s="647"/>
      <c r="AM141" s="647"/>
    </row>
    <row r="142" spans="1:39" ht="8.4499999999999993" customHeight="1">
      <c r="A142" s="648"/>
      <c r="B142" s="648"/>
      <c r="C142" s="648"/>
      <c r="D142" s="648"/>
      <c r="E142" s="648"/>
      <c r="F142" s="648"/>
      <c r="G142" s="647"/>
      <c r="H142" s="647"/>
      <c r="I142" s="647"/>
      <c r="J142" s="647"/>
      <c r="K142" s="647"/>
      <c r="L142" s="647"/>
      <c r="M142" s="648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48"/>
      <c r="B143" s="648"/>
      <c r="C143" s="648"/>
      <c r="D143" s="648"/>
      <c r="E143" s="648"/>
      <c r="F143" s="648"/>
      <c r="G143" s="647"/>
      <c r="H143" s="647"/>
      <c r="I143" s="647"/>
      <c r="J143" s="713"/>
      <c r="K143" s="713"/>
      <c r="L143" s="713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4">
        <f>VLOOKUP(AI139,'Contorizare in SDI'!$E:$I,5,FALSE)</f>
        <v>1373706854</v>
      </c>
      <c r="B144" s="685"/>
      <c r="C144" s="685"/>
      <c r="D144" s="685"/>
      <c r="E144" s="685"/>
      <c r="F144" s="686"/>
      <c r="G144" s="648" t="s">
        <v>730</v>
      </c>
      <c r="H144" s="648"/>
      <c r="I144" s="673"/>
      <c r="J144" s="655">
        <f>'Date masura OD'!$AK$5</f>
        <v>45748</v>
      </c>
      <c r="K144" s="656"/>
      <c r="L144" s="657"/>
      <c r="M144" s="720" t="s">
        <v>446</v>
      </c>
      <c r="N144" s="648"/>
      <c r="O144" s="648">
        <f>VLOOKUP(AI139,'Incrementare indexe'!$B:$T,4,FALSE)</f>
        <v>1</v>
      </c>
      <c r="P144" s="648"/>
      <c r="Q144" s="648"/>
      <c r="R144" s="647" t="str">
        <f>VLOOKUP(A144,Regularizare!$D:$YN,3,FALSE)&amp;" ("&amp;VLOOKUP(A144,Regularizare!$D:$Y,11,FALSE)&amp;")"</f>
        <v>1489098 (citit)</v>
      </c>
      <c r="S144" s="647"/>
      <c r="T144" s="647"/>
      <c r="U144" s="647" t="str">
        <f>VLOOKUP(A144,Regularizare!$D:$U,4,FALSE)&amp;" ("&amp;VLOOKUP(A144,Regularizare!$D:$U,12,FALSE)&amp;")"</f>
        <v>1545884 (estimat)</v>
      </c>
      <c r="V144" s="647"/>
      <c r="W144" s="647"/>
      <c r="X144" s="647" t="str">
        <f>VLOOKUP(A144,Regularizare!$D:$Y,19,FALSE)&amp;" ("&amp;VLOOKUP(A144,Regularizare!$D:$U,12,FALSE)&amp;")"</f>
        <v>56786 (estimat)</v>
      </c>
      <c r="Y144" s="647"/>
      <c r="Z144" s="647"/>
      <c r="AA144" s="647">
        <f>(-1)*VLOOKUP(A144,Regularizare!$D:$Y,19,FALSE)</f>
        <v>-56786</v>
      </c>
      <c r="AB144" s="647"/>
      <c r="AC144" s="647"/>
      <c r="AD144" s="647" t="s">
        <v>69</v>
      </c>
      <c r="AE144" s="647"/>
      <c r="AF144" s="647">
        <f>AA144</f>
        <v>-56786</v>
      </c>
      <c r="AG144" s="647"/>
      <c r="AH144" s="647"/>
      <c r="AI144" s="647" t="s">
        <v>69</v>
      </c>
      <c r="AJ144" s="647"/>
      <c r="AK144" s="647" t="s">
        <v>69</v>
      </c>
      <c r="AL144" s="647"/>
      <c r="AM144" s="647"/>
    </row>
    <row r="145" spans="1:39" ht="8.4499999999999993" customHeight="1">
      <c r="A145" s="727"/>
      <c r="B145" s="729"/>
      <c r="C145" s="729"/>
      <c r="D145" s="729"/>
      <c r="E145" s="729"/>
      <c r="F145" s="728"/>
      <c r="G145" s="648"/>
      <c r="H145" s="648"/>
      <c r="I145" s="673"/>
      <c r="J145" s="717" t="s">
        <v>69</v>
      </c>
      <c r="K145" s="718"/>
      <c r="L145" s="719"/>
      <c r="M145" s="720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87"/>
      <c r="B146" s="688"/>
      <c r="C146" s="688"/>
      <c r="D146" s="688"/>
      <c r="E146" s="688"/>
      <c r="F146" s="689"/>
      <c r="G146" s="648"/>
      <c r="H146" s="648"/>
      <c r="I146" s="673"/>
      <c r="J146" s="714">
        <f>'Date masura OD'!$AL$5</f>
        <v>45777</v>
      </c>
      <c r="K146" s="715"/>
      <c r="L146" s="716"/>
      <c r="M146" s="720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4">
        <f>A144</f>
        <v>1373706854</v>
      </c>
      <c r="B147" s="685"/>
      <c r="C147" s="685"/>
      <c r="D147" s="685"/>
      <c r="E147" s="685"/>
      <c r="F147" s="686"/>
      <c r="G147" s="648" t="s">
        <v>696</v>
      </c>
      <c r="H147" s="648"/>
      <c r="I147" s="648"/>
      <c r="J147" s="655">
        <f t="shared" ref="J147:J152" si="7">J144</f>
        <v>45748</v>
      </c>
      <c r="K147" s="656"/>
      <c r="L147" s="657"/>
      <c r="M147" s="648" t="s">
        <v>720</v>
      </c>
      <c r="N147" s="648"/>
      <c r="O147" s="648">
        <f>O144</f>
        <v>1</v>
      </c>
      <c r="P147" s="648"/>
      <c r="Q147" s="648"/>
      <c r="R147" s="647" t="str">
        <f>VLOOKUP(A147,Regularizare!$D:$U,7,FALSE)&amp;" ("&amp;VLOOKUP(A147,Regularizare!$D:$U,15,FALSE)&amp;")"</f>
        <v>349116 (citit)</v>
      </c>
      <c r="S147" s="647"/>
      <c r="T147" s="647"/>
      <c r="U147" s="647" t="str">
        <f>VLOOKUP(A147,Regularizare!$D:$U,8,FALSE)&amp;" ("&amp;VLOOKUP(A147,Regularizare!$D:$U,16,FALSE)&amp;")"</f>
        <v>349116 (estimat)</v>
      </c>
      <c r="V147" s="647"/>
      <c r="W147" s="647"/>
      <c r="X147" s="647" t="str">
        <f>_xlfn.CONCAT(VLOOKUP(A147,Regularizare!$D:$U,8,FALSE)-VLOOKUP(A147,Regularizare!$D:$U,7,FALSE)," (",VLOOKUP(A147,Regularizare!$D:$U,16,FALSE),")")</f>
        <v>0 (estimat)</v>
      </c>
      <c r="Y147" s="647"/>
      <c r="Z147" s="647"/>
      <c r="AA147" s="647">
        <f>IF(VLOOKUP(A147,Regularizare!$D:$Y,21,FALSE)=0,VLOOKUP(A147,Regularizare!$D:$Y,21,FALSE),(-1)*VLOOKUP(A147,Regularizare!$D:$Y,21,FALSE))</f>
        <v>0</v>
      </c>
      <c r="AB147" s="647"/>
      <c r="AC147" s="647"/>
      <c r="AD147" s="647" t="s">
        <v>69</v>
      </c>
      <c r="AE147" s="647"/>
      <c r="AF147" s="647">
        <f>AA147</f>
        <v>0</v>
      </c>
      <c r="AG147" s="647"/>
      <c r="AH147" s="647"/>
      <c r="AI147" s="647" t="str">
        <f>AI144</f>
        <v>-</v>
      </c>
      <c r="AJ147" s="647"/>
      <c r="AK147" s="647" t="str">
        <f>AK144</f>
        <v>-</v>
      </c>
      <c r="AL147" s="647"/>
      <c r="AM147" s="647"/>
    </row>
    <row r="148" spans="1:39" ht="8.4499999999999993" customHeight="1">
      <c r="A148" s="727"/>
      <c r="B148" s="729"/>
      <c r="C148" s="729"/>
      <c r="D148" s="729"/>
      <c r="E148" s="729"/>
      <c r="F148" s="728"/>
      <c r="G148" s="648"/>
      <c r="H148" s="648"/>
      <c r="I148" s="648"/>
      <c r="J148" s="717" t="str">
        <f t="shared" si="7"/>
        <v>-</v>
      </c>
      <c r="K148" s="718"/>
      <c r="L148" s="719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687"/>
      <c r="B149" s="688"/>
      <c r="C149" s="688"/>
      <c r="D149" s="688"/>
      <c r="E149" s="688"/>
      <c r="F149" s="689"/>
      <c r="G149" s="648"/>
      <c r="H149" s="648"/>
      <c r="I149" s="648"/>
      <c r="J149" s="714">
        <f t="shared" si="7"/>
        <v>45777</v>
      </c>
      <c r="K149" s="715"/>
      <c r="L149" s="716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4">
        <f>A147</f>
        <v>1373706854</v>
      </c>
      <c r="B150" s="685"/>
      <c r="C150" s="685"/>
      <c r="D150" s="685"/>
      <c r="E150" s="685"/>
      <c r="F150" s="686"/>
      <c r="G150" s="648" t="s">
        <v>731</v>
      </c>
      <c r="H150" s="648"/>
      <c r="I150" s="648"/>
      <c r="J150" s="655">
        <f t="shared" si="7"/>
        <v>45748</v>
      </c>
      <c r="K150" s="656"/>
      <c r="L150" s="657"/>
      <c r="M150" s="648" t="s">
        <v>720</v>
      </c>
      <c r="N150" s="648"/>
      <c r="O150" s="648">
        <f>O147</f>
        <v>1</v>
      </c>
      <c r="P150" s="648"/>
      <c r="Q150" s="648"/>
      <c r="R150" s="647" t="str">
        <f>VLOOKUP(A150,Regularizare!$D:$U,9,FALSE)&amp;" ("&amp;VLOOKUP(A150,Regularizare!$D:$U,17,FALSE)&amp;")"</f>
        <v>36 (citit)</v>
      </c>
      <c r="S150" s="647"/>
      <c r="T150" s="647"/>
      <c r="U150" s="647" t="str">
        <f>VLOOKUP(A150,Regularizare!$D:$U,10,FALSE)&amp;" ("&amp;VLOOKUP(A150,Regularizare!$D:$U,18,FALSE)&amp;")"</f>
        <v>36 (estimat)</v>
      </c>
      <c r="V150" s="647"/>
      <c r="W150" s="647"/>
      <c r="X150" s="647" t="str">
        <f>_xlfn.CONCAT(VLOOKUP(A150,Regularizare!$D:$U,10,FALSE)-VLOOKUP(A150,Regularizare!$D:$U,9,FALSE)," (",VLOOKUP(A150,Regularizare!$D:$U,18,FALSE),")")</f>
        <v>0 (estimat)</v>
      </c>
      <c r="Y150" s="647"/>
      <c r="Z150" s="647"/>
      <c r="AA150" s="647">
        <f>IF(VLOOKUP(A150,Regularizare!$D:$Y,22,FALSE)=0,VLOOKUP(A150,Regularizare!$D:$Y,22,FALSE),(-1)*VLOOKUP(A150,Regularizare!$D:$Y,22,FALSE))</f>
        <v>0</v>
      </c>
      <c r="AB150" s="647"/>
      <c r="AC150" s="647"/>
      <c r="AD150" s="647" t="s">
        <v>69</v>
      </c>
      <c r="AE150" s="647"/>
      <c r="AF150" s="647">
        <f>AA150</f>
        <v>0</v>
      </c>
      <c r="AG150" s="647"/>
      <c r="AH150" s="647"/>
      <c r="AI150" s="647" t="str">
        <f>AI147</f>
        <v>-</v>
      </c>
      <c r="AJ150" s="647"/>
      <c r="AK150" s="647" t="str">
        <f>AK147</f>
        <v>-</v>
      </c>
      <c r="AL150" s="647"/>
      <c r="AM150" s="647"/>
    </row>
    <row r="151" spans="1:39" ht="8.4499999999999993" customHeight="1">
      <c r="A151" s="727"/>
      <c r="B151" s="729"/>
      <c r="C151" s="729"/>
      <c r="D151" s="729"/>
      <c r="E151" s="729"/>
      <c r="F151" s="728"/>
      <c r="G151" s="648"/>
      <c r="H151" s="648"/>
      <c r="I151" s="648"/>
      <c r="J151" s="717" t="str">
        <f t="shared" si="7"/>
        <v>-</v>
      </c>
      <c r="K151" s="718"/>
      <c r="L151" s="719"/>
      <c r="M151" s="648"/>
      <c r="N151" s="648"/>
      <c r="O151" s="648"/>
      <c r="P151" s="648"/>
      <c r="Q151" s="648"/>
      <c r="R151" s="647"/>
      <c r="S151" s="647"/>
      <c r="T151" s="647"/>
      <c r="U151" s="647"/>
      <c r="V151" s="647"/>
      <c r="W151" s="647"/>
      <c r="X151" s="647"/>
      <c r="Y151" s="647"/>
      <c r="Z151" s="647"/>
      <c r="AA151" s="647"/>
      <c r="AB151" s="647"/>
      <c r="AC151" s="647"/>
      <c r="AD151" s="647"/>
      <c r="AE151" s="647"/>
      <c r="AF151" s="647"/>
      <c r="AG151" s="647"/>
      <c r="AH151" s="647"/>
      <c r="AI151" s="647"/>
      <c r="AJ151" s="647"/>
      <c r="AK151" s="647"/>
      <c r="AL151" s="647"/>
      <c r="AM151" s="647"/>
    </row>
    <row r="152" spans="1:39" ht="14.1" customHeight="1">
      <c r="A152" s="687"/>
      <c r="B152" s="688"/>
      <c r="C152" s="688"/>
      <c r="D152" s="688"/>
      <c r="E152" s="688"/>
      <c r="F152" s="689"/>
      <c r="G152" s="648"/>
      <c r="H152" s="648"/>
      <c r="I152" s="648"/>
      <c r="J152" s="714">
        <f t="shared" si="7"/>
        <v>45777</v>
      </c>
      <c r="K152" s="715"/>
      <c r="L152" s="716"/>
      <c r="M152" s="648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4">
        <f>A150</f>
        <v>1373706854</v>
      </c>
      <c r="B153" s="685"/>
      <c r="C153" s="685"/>
      <c r="D153" s="685"/>
      <c r="E153" s="685"/>
      <c r="F153" s="686"/>
      <c r="G153" s="648" t="s">
        <v>730</v>
      </c>
      <c r="H153" s="648"/>
      <c r="I153" s="673"/>
      <c r="J153" s="655">
        <f>'Date masura OD'!$AK$5</f>
        <v>45748</v>
      </c>
      <c r="K153" s="656"/>
      <c r="L153" s="657"/>
      <c r="M153" s="720" t="s">
        <v>446</v>
      </c>
      <c r="N153" s="648"/>
      <c r="O153" s="648">
        <f>O150</f>
        <v>1</v>
      </c>
      <c r="P153" s="648"/>
      <c r="Q153" s="648"/>
      <c r="R153" s="647" t="str">
        <f>VLOOKUP(A153,Regularizare!$D:$AX,23,FALSE)&amp;" ("&amp;VLOOKUP(A153,Regularizare!$D:$AX,24,FALSE)&amp;")"</f>
        <v>1489098 (citit)</v>
      </c>
      <c r="S153" s="647"/>
      <c r="T153" s="647"/>
      <c r="U153" s="647" t="str">
        <f>VLOOKUP(A153,Regularizare!$D:$AX,25,FALSE)&amp;" ("&amp;VLOOKUP(A153,Regularizare!$D:$AX,26,FALSE)&amp;")"</f>
        <v>1545884 (citit)</v>
      </c>
      <c r="V153" s="647"/>
      <c r="W153" s="647"/>
      <c r="X153" s="647" t="str">
        <f>VLOOKUP(A153,Regularizare!$D:$AX,37,FALSE)&amp;" ("&amp;VLOOKUP(A153,Regularizare!$D:$AX,26,FALSE)&amp;")"</f>
        <v>56786 (citit)</v>
      </c>
      <c r="Y153" s="647"/>
      <c r="Z153" s="647"/>
      <c r="AA153" s="647">
        <f>VLOOKUP(A153,Regularizare!$D:$AX,37,FALSE)</f>
        <v>56786</v>
      </c>
      <c r="AB153" s="647"/>
      <c r="AC153" s="647"/>
      <c r="AD153" s="647" t="s">
        <v>69</v>
      </c>
      <c r="AE153" s="647"/>
      <c r="AF153" s="647">
        <f>AA153</f>
        <v>56786</v>
      </c>
      <c r="AG153" s="647"/>
      <c r="AH153" s="647"/>
      <c r="AI153" s="647" t="str">
        <f>AI150</f>
        <v>-</v>
      </c>
      <c r="AJ153" s="647"/>
      <c r="AK153" s="647" t="str">
        <f>AK150</f>
        <v>-</v>
      </c>
      <c r="AL153" s="647"/>
      <c r="AM153" s="647"/>
    </row>
    <row r="154" spans="1:39" ht="8.4499999999999993" customHeight="1">
      <c r="A154" s="727"/>
      <c r="B154" s="729"/>
      <c r="C154" s="729"/>
      <c r="D154" s="729"/>
      <c r="E154" s="729"/>
      <c r="F154" s="728"/>
      <c r="G154" s="648"/>
      <c r="H154" s="648"/>
      <c r="I154" s="673"/>
      <c r="J154" s="717" t="s">
        <v>69</v>
      </c>
      <c r="K154" s="718"/>
      <c r="L154" s="719"/>
      <c r="M154" s="720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87"/>
      <c r="B155" s="688"/>
      <c r="C155" s="688"/>
      <c r="D155" s="688"/>
      <c r="E155" s="688"/>
      <c r="F155" s="689"/>
      <c r="G155" s="648"/>
      <c r="H155" s="648"/>
      <c r="I155" s="673"/>
      <c r="J155" s="714">
        <f>'Date masura OD'!$AL$5</f>
        <v>45777</v>
      </c>
      <c r="K155" s="715"/>
      <c r="L155" s="716"/>
      <c r="M155" s="720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4">
        <f>A153</f>
        <v>1373706854</v>
      </c>
      <c r="B156" s="685"/>
      <c r="C156" s="685"/>
      <c r="D156" s="685"/>
      <c r="E156" s="685"/>
      <c r="F156" s="686"/>
      <c r="G156" s="648" t="s">
        <v>696</v>
      </c>
      <c r="H156" s="648"/>
      <c r="I156" s="648"/>
      <c r="J156" s="655">
        <f t="shared" ref="J156:J161" si="8">J153</f>
        <v>45748</v>
      </c>
      <c r="K156" s="656"/>
      <c r="L156" s="657"/>
      <c r="M156" s="648" t="s">
        <v>720</v>
      </c>
      <c r="N156" s="648"/>
      <c r="O156" s="648">
        <f>O153</f>
        <v>1</v>
      </c>
      <c r="P156" s="648"/>
      <c r="Q156" s="648"/>
      <c r="R156" s="647" t="str">
        <f>VLOOKUP(A156,Regularizare!$D:$AX,29,FALSE)&amp;" ("&amp;VLOOKUP(A156,Regularizare!$D:$AX,30,FALSE)&amp;")"</f>
        <v>349116 (citit)</v>
      </c>
      <c r="S156" s="647"/>
      <c r="T156" s="647"/>
      <c r="U156" s="647" t="str">
        <f>VLOOKUP(A156,Regularizare!$D:$AX,31,FALSE)&amp;" ("&amp;VLOOKUP(A156,Regularizare!$D:$AX,32,FALSE)&amp;")"</f>
        <v>349116 (citit)</v>
      </c>
      <c r="V156" s="647"/>
      <c r="W156" s="647"/>
      <c r="X156" s="647" t="str">
        <f>VLOOKUP(A156,Regularizare!$D:$AX,39,FALSE)&amp;" ("&amp;VLOOKUP(A156,Regularizare!$D:$AX,32,FALSE)&amp;")"</f>
        <v>0 (citit)</v>
      </c>
      <c r="Y156" s="647"/>
      <c r="Z156" s="647"/>
      <c r="AA156" s="647">
        <f>VLOOKUP(A156,Regularizare!$D:$AX,44,FALSE)+VLOOKUP(A156,Regularizare!$D:$AX,45,FALSE)</f>
        <v>0</v>
      </c>
      <c r="AB156" s="647"/>
      <c r="AC156" s="647"/>
      <c r="AD156" s="647" t="s">
        <v>69</v>
      </c>
      <c r="AE156" s="647"/>
      <c r="AF156" s="647">
        <f>AA156</f>
        <v>0</v>
      </c>
      <c r="AG156" s="647"/>
      <c r="AH156" s="647"/>
      <c r="AI156" s="647" t="str">
        <f>AI153</f>
        <v>-</v>
      </c>
      <c r="AJ156" s="647"/>
      <c r="AK156" s="647" t="str">
        <f>AK153</f>
        <v>-</v>
      </c>
      <c r="AL156" s="647"/>
      <c r="AM156" s="647"/>
    </row>
    <row r="157" spans="1:39" ht="14.1" customHeight="1">
      <c r="A157" s="727"/>
      <c r="B157" s="729"/>
      <c r="C157" s="729"/>
      <c r="D157" s="729"/>
      <c r="E157" s="729"/>
      <c r="F157" s="728"/>
      <c r="G157" s="648"/>
      <c r="H157" s="648"/>
      <c r="I157" s="648"/>
      <c r="J157" s="717" t="str">
        <f t="shared" si="8"/>
        <v>-</v>
      </c>
      <c r="K157" s="718"/>
      <c r="L157" s="719"/>
      <c r="M157" s="648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87"/>
      <c r="B158" s="688"/>
      <c r="C158" s="688"/>
      <c r="D158" s="688"/>
      <c r="E158" s="688"/>
      <c r="F158" s="689"/>
      <c r="G158" s="648"/>
      <c r="H158" s="648"/>
      <c r="I158" s="648"/>
      <c r="J158" s="714">
        <f t="shared" si="8"/>
        <v>45777</v>
      </c>
      <c r="K158" s="715"/>
      <c r="L158" s="716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4">
        <f>A156</f>
        <v>1373706854</v>
      </c>
      <c r="B159" s="685"/>
      <c r="C159" s="685"/>
      <c r="D159" s="685"/>
      <c r="E159" s="685"/>
      <c r="F159" s="686"/>
      <c r="G159" s="648" t="s">
        <v>731</v>
      </c>
      <c r="H159" s="648"/>
      <c r="I159" s="648"/>
      <c r="J159" s="655">
        <f t="shared" si="8"/>
        <v>45748</v>
      </c>
      <c r="K159" s="656"/>
      <c r="L159" s="657"/>
      <c r="M159" s="648" t="s">
        <v>720</v>
      </c>
      <c r="N159" s="648"/>
      <c r="O159" s="648">
        <f>O156</f>
        <v>1</v>
      </c>
      <c r="P159" s="648"/>
      <c r="Q159" s="648"/>
      <c r="R159" s="647" t="str">
        <f>VLOOKUP(A159,Regularizare!$D:$AX,33,FALSE)&amp;" ("&amp;VLOOKUP(A159,Regularizare!$D:$AX,34,FALSE)&amp;")"</f>
        <v>36 (citit)</v>
      </c>
      <c r="S159" s="647"/>
      <c r="T159" s="647"/>
      <c r="U159" s="647" t="str">
        <f>VLOOKUP(A159,Regularizare!$D:$AX,35,FALSE)&amp;" ("&amp;VLOOKUP(A159,Regularizare!$D:$AX,36,FALSE)&amp;")"</f>
        <v>36 (citit)</v>
      </c>
      <c r="V159" s="647"/>
      <c r="W159" s="647"/>
      <c r="X159" s="647" t="str">
        <f>VLOOKUP(A159,Regularizare!$D:$AX,40,FALSE)&amp;" ("&amp;VLOOKUP(A159,Regularizare!$D:$AX,36,FALSE)&amp;")"</f>
        <v>0 (citit)</v>
      </c>
      <c r="Y159" s="647"/>
      <c r="Z159" s="647"/>
      <c r="AA159" s="647">
        <f>VLOOKUP(A159,Regularizare!$D:$AX,46,FALSE)+VLOOKUP(A159,Regularizare!$D:$AX,47,FALSE)</f>
        <v>0</v>
      </c>
      <c r="AB159" s="647"/>
      <c r="AC159" s="647"/>
      <c r="AD159" s="647" t="s">
        <v>69</v>
      </c>
      <c r="AE159" s="647"/>
      <c r="AF159" s="647">
        <f>AA159</f>
        <v>0</v>
      </c>
      <c r="AG159" s="647"/>
      <c r="AH159" s="647"/>
      <c r="AI159" s="647" t="str">
        <f>AI156</f>
        <v>-</v>
      </c>
      <c r="AJ159" s="647"/>
      <c r="AK159" s="647" t="str">
        <f>AK156</f>
        <v>-</v>
      </c>
      <c r="AL159" s="647"/>
      <c r="AM159" s="647"/>
    </row>
    <row r="160" spans="1:39" ht="14.1" customHeight="1">
      <c r="A160" s="727"/>
      <c r="B160" s="729"/>
      <c r="C160" s="729"/>
      <c r="D160" s="729"/>
      <c r="E160" s="729"/>
      <c r="F160" s="728"/>
      <c r="G160" s="648"/>
      <c r="H160" s="648"/>
      <c r="I160" s="648"/>
      <c r="J160" s="717" t="str">
        <f t="shared" si="8"/>
        <v>-</v>
      </c>
      <c r="K160" s="718"/>
      <c r="L160" s="719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87"/>
      <c r="B161" s="688"/>
      <c r="C161" s="688"/>
      <c r="D161" s="688"/>
      <c r="E161" s="688"/>
      <c r="F161" s="689"/>
      <c r="G161" s="648"/>
      <c r="H161" s="648"/>
      <c r="I161" s="648"/>
      <c r="J161" s="714">
        <f t="shared" si="8"/>
        <v>45777</v>
      </c>
      <c r="K161" s="715"/>
      <c r="L161" s="716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4">
        <f>A159</f>
        <v>1373706854</v>
      </c>
      <c r="B162" s="685"/>
      <c r="C162" s="685"/>
      <c r="D162" s="685"/>
      <c r="E162" s="685"/>
      <c r="F162" s="686"/>
      <c r="G162" s="648" t="s">
        <v>730</v>
      </c>
      <c r="H162" s="648"/>
      <c r="I162" s="673"/>
      <c r="J162" s="655">
        <f>'Date masura OD'!$I$5</f>
        <v>45778</v>
      </c>
      <c r="K162" s="656"/>
      <c r="L162" s="657"/>
      <c r="M162" s="720" t="s">
        <v>446</v>
      </c>
      <c r="N162" s="648"/>
      <c r="O162" s="648">
        <f>O159</f>
        <v>1</v>
      </c>
      <c r="P162" s="648"/>
      <c r="Q162" s="648"/>
      <c r="R162" s="647" t="str">
        <f>U153</f>
        <v>1545884 (citit)</v>
      </c>
      <c r="S162" s="647"/>
      <c r="T162" s="647"/>
      <c r="U162" s="647" t="str">
        <f>VLOOKUP(A162,'Incrementare indexe'!$D:$M,4,FALSE)&amp;" (estimat)"</f>
        <v>1617197 (estimat)</v>
      </c>
      <c r="V162" s="647"/>
      <c r="W162" s="647"/>
      <c r="X162" s="647" t="str">
        <f>VLOOKUP(A162,'Incrementare indexe'!$D:$Q,11,FALSE)&amp;" (estimat)"</f>
        <v>71313 (estimat)</v>
      </c>
      <c r="Y162" s="647"/>
      <c r="Z162" s="647"/>
      <c r="AA162" s="647" t="s">
        <v>69</v>
      </c>
      <c r="AB162" s="647"/>
      <c r="AC162" s="647"/>
      <c r="AD162" s="647" t="s">
        <v>69</v>
      </c>
      <c r="AE162" s="647"/>
      <c r="AF162" s="647">
        <f>VLOOKUP(A162,'Incrementare indexe'!$D:$Q,11,FALSE)</f>
        <v>71313</v>
      </c>
      <c r="AG162" s="647"/>
      <c r="AH162" s="647"/>
      <c r="AI162" s="647">
        <f>J164-J162+1</f>
        <v>31</v>
      </c>
      <c r="AJ162" s="647"/>
      <c r="AK162" s="647">
        <f>ROUND(AF162/AI162,2)</f>
        <v>2300.42</v>
      </c>
      <c r="AL162" s="647"/>
      <c r="AM162" s="647"/>
    </row>
    <row r="163" spans="1:39" ht="14.1" customHeight="1">
      <c r="A163" s="727"/>
      <c r="B163" s="729"/>
      <c r="C163" s="729"/>
      <c r="D163" s="729"/>
      <c r="E163" s="729"/>
      <c r="F163" s="728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7"/>
      <c r="B164" s="688"/>
      <c r="C164" s="688"/>
      <c r="D164" s="688"/>
      <c r="E164" s="688"/>
      <c r="F164" s="689"/>
      <c r="G164" s="648"/>
      <c r="H164" s="648"/>
      <c r="I164" s="673"/>
      <c r="J164" s="714">
        <f>'Date masura OD'!$J$5</f>
        <v>45808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4">
        <f>A162</f>
        <v>1373706854</v>
      </c>
      <c r="B165" s="685"/>
      <c r="C165" s="685"/>
      <c r="D165" s="685"/>
      <c r="E165" s="685"/>
      <c r="F165" s="686"/>
      <c r="G165" s="648" t="s">
        <v>696</v>
      </c>
      <c r="H165" s="648"/>
      <c r="I165" s="648"/>
      <c r="J165" s="655">
        <f t="shared" ref="J165:J170" si="9">J162</f>
        <v>45778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U156</f>
        <v>349116 (citit)</v>
      </c>
      <c r="S165" s="647"/>
      <c r="T165" s="647"/>
      <c r="U165" s="647" t="str">
        <f>VLOOKUP(A165,'Incrementare indexe'!$D:$M,8,FALSE)&amp;" (estimat)"</f>
        <v>349116 (estimat)</v>
      </c>
      <c r="V165" s="647"/>
      <c r="W165" s="647"/>
      <c r="X165" s="647" t="str">
        <f>VLOOKUP(A165,'Incrementare indexe'!$D:$Q,12,FALSE)&amp;" (estimat)"</f>
        <v>0 (estimat)</v>
      </c>
      <c r="Y165" s="647"/>
      <c r="Z165" s="647"/>
      <c r="AA165" s="647" t="s">
        <v>69</v>
      </c>
      <c r="AB165" s="647"/>
      <c r="AC165" s="647"/>
      <c r="AD165" s="647" t="s">
        <v>69</v>
      </c>
      <c r="AE165" s="647"/>
      <c r="AF165" s="647">
        <f>VLOOKUP(A165,'Incrementare indexe'!$D:$Q,12,FALSE)</f>
        <v>0</v>
      </c>
      <c r="AG165" s="647"/>
      <c r="AH165" s="647"/>
      <c r="AI165" s="647">
        <f>AI162</f>
        <v>31</v>
      </c>
      <c r="AJ165" s="647"/>
      <c r="AK165" s="647">
        <f>ROUND(AF165/AI165,2)</f>
        <v>0</v>
      </c>
      <c r="AL165" s="647"/>
      <c r="AM165" s="647"/>
    </row>
    <row r="166" spans="1:39" ht="14.1" customHeight="1">
      <c r="A166" s="727"/>
      <c r="B166" s="729"/>
      <c r="C166" s="729"/>
      <c r="D166" s="729"/>
      <c r="E166" s="729"/>
      <c r="F166" s="728"/>
      <c r="G166" s="648"/>
      <c r="H166" s="648"/>
      <c r="I166" s="648"/>
      <c r="J166" s="717" t="str">
        <f t="shared" si="9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7"/>
      <c r="B167" s="688"/>
      <c r="C167" s="688"/>
      <c r="D167" s="688"/>
      <c r="E167" s="688"/>
      <c r="F167" s="689"/>
      <c r="G167" s="648"/>
      <c r="H167" s="648"/>
      <c r="I167" s="648"/>
      <c r="J167" s="714">
        <f t="shared" si="9"/>
        <v>45808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4">
        <f>A165</f>
        <v>1373706854</v>
      </c>
      <c r="B168" s="685"/>
      <c r="C168" s="685"/>
      <c r="D168" s="685"/>
      <c r="E168" s="685"/>
      <c r="F168" s="686"/>
      <c r="G168" s="648" t="s">
        <v>731</v>
      </c>
      <c r="H168" s="648"/>
      <c r="I168" s="648"/>
      <c r="J168" s="655">
        <f t="shared" si="9"/>
        <v>45778</v>
      </c>
      <c r="K168" s="656"/>
      <c r="L168" s="657"/>
      <c r="M168" s="648" t="s">
        <v>720</v>
      </c>
      <c r="N168" s="648"/>
      <c r="O168" s="648">
        <f>O165</f>
        <v>1</v>
      </c>
      <c r="P168" s="648"/>
      <c r="Q168" s="648"/>
      <c r="R168" s="647" t="str">
        <f>U159</f>
        <v>36 (citit)</v>
      </c>
      <c r="S168" s="647"/>
      <c r="T168" s="647"/>
      <c r="U168" s="647" t="str">
        <f>VLOOKUP(A168,'Incrementare indexe'!$D:$M,10,FALSE)&amp;" (estimat)"</f>
        <v>36 (estimat)</v>
      </c>
      <c r="V168" s="647"/>
      <c r="W168" s="647"/>
      <c r="X168" s="647" t="str">
        <f>VLOOKUP(A168,'Incrementare indexe'!$D:$Q,13,FALSE)&amp;" (estimat)"</f>
        <v>0 (estimat)</v>
      </c>
      <c r="Y168" s="647"/>
      <c r="Z168" s="647"/>
      <c r="AA168" s="647" t="s">
        <v>69</v>
      </c>
      <c r="AB168" s="647"/>
      <c r="AC168" s="647"/>
      <c r="AD168" s="647" t="s">
        <v>69</v>
      </c>
      <c r="AE168" s="647"/>
      <c r="AF168" s="647">
        <f>VLOOKUP(A168,'Incrementare indexe'!$D:$Q,13,FALSE)</f>
        <v>0</v>
      </c>
      <c r="AG168" s="647"/>
      <c r="AH168" s="647"/>
      <c r="AI168" s="647">
        <f>AI165</f>
        <v>31</v>
      </c>
      <c r="AJ168" s="647"/>
      <c r="AK168" s="647">
        <f>ROUND(AF168/AI168,2)</f>
        <v>0</v>
      </c>
      <c r="AL168" s="647"/>
      <c r="AM168" s="647"/>
    </row>
    <row r="169" spans="1:39" ht="14.1" customHeight="1">
      <c r="A169" s="727"/>
      <c r="B169" s="729"/>
      <c r="C169" s="729"/>
      <c r="D169" s="729"/>
      <c r="E169" s="729"/>
      <c r="F169" s="728"/>
      <c r="G169" s="648"/>
      <c r="H169" s="648"/>
      <c r="I169" s="648"/>
      <c r="J169" s="717" t="str">
        <f t="shared" si="9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7"/>
      <c r="B170" s="688"/>
      <c r="C170" s="688"/>
      <c r="D170" s="688"/>
      <c r="E170" s="688"/>
      <c r="F170" s="689"/>
      <c r="G170" s="648"/>
      <c r="H170" s="648"/>
      <c r="I170" s="648"/>
      <c r="J170" s="714">
        <f t="shared" si="9"/>
        <v>45808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195"/>
      <c r="B171" s="195"/>
      <c r="C171" s="195"/>
      <c r="D171" s="195"/>
      <c r="E171" s="195"/>
      <c r="F171" s="195"/>
      <c r="G171" s="196"/>
      <c r="H171" s="196"/>
      <c r="I171" s="196"/>
      <c r="J171" s="197"/>
      <c r="K171" s="197"/>
      <c r="L171" s="197"/>
      <c r="M171" s="196"/>
      <c r="N171" s="196"/>
      <c r="O171" s="196"/>
      <c r="P171" s="196"/>
      <c r="Q171" s="196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</row>
    <row r="172" spans="1:39" ht="14.1" customHeight="1">
      <c r="A172" s="195"/>
      <c r="B172" s="195"/>
      <c r="C172" s="195"/>
      <c r="D172" s="195"/>
      <c r="E172" s="195"/>
      <c r="F172" s="195"/>
      <c r="G172" s="196"/>
      <c r="H172" s="196"/>
      <c r="I172" s="196"/>
      <c r="J172" s="197"/>
      <c r="K172" s="197"/>
      <c r="L172" s="197"/>
      <c r="M172" s="196"/>
      <c r="N172" s="196"/>
      <c r="O172" s="196"/>
      <c r="P172" s="196"/>
      <c r="Q172" s="196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</row>
    <row r="173" spans="1:39" ht="14.1" customHeight="1">
      <c r="A173" s="721" t="s">
        <v>1196</v>
      </c>
      <c r="B173" s="722"/>
      <c r="C173" s="722"/>
      <c r="D173" s="722"/>
      <c r="E173" s="722"/>
      <c r="F173" s="722"/>
      <c r="G173" s="722"/>
      <c r="H173" s="722"/>
      <c r="I173" s="722"/>
      <c r="J173" s="722"/>
      <c r="K173" s="722"/>
      <c r="L173" s="722"/>
      <c r="M173" s="722"/>
      <c r="N173" s="722"/>
      <c r="O173" s="722"/>
      <c r="P173" s="722"/>
      <c r="Q173" s="722"/>
      <c r="R173" s="722"/>
      <c r="S173" s="722"/>
      <c r="T173" s="722"/>
      <c r="U173" s="722"/>
      <c r="V173" s="722"/>
      <c r="W173" s="722"/>
      <c r="X173" s="722"/>
      <c r="Y173" s="722"/>
      <c r="Z173" s="722"/>
      <c r="AA173" s="722"/>
      <c r="AB173" s="722"/>
      <c r="AC173" s="722"/>
      <c r="AD173" s="722"/>
      <c r="AE173" s="722"/>
      <c r="AF173" s="722"/>
      <c r="AG173" s="722"/>
      <c r="AH173" s="723"/>
      <c r="AI173" s="650" t="s">
        <v>695</v>
      </c>
      <c r="AJ173" s="650"/>
      <c r="AK173" s="650"/>
      <c r="AL173" s="650"/>
      <c r="AM173" s="650"/>
    </row>
    <row r="174" spans="1:39" ht="14.1" customHeight="1">
      <c r="A174" s="649" t="s">
        <v>746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50" t="s">
        <v>514</v>
      </c>
      <c r="N174" s="650"/>
      <c r="O174" s="650"/>
      <c r="P174" s="650"/>
      <c r="Q174" s="650"/>
      <c r="R174" s="650"/>
      <c r="S174" s="650"/>
      <c r="T174" s="650"/>
      <c r="U174" s="650"/>
      <c r="V174" s="650"/>
      <c r="W174" s="650"/>
      <c r="X174" s="650"/>
      <c r="Y174" s="650"/>
      <c r="Z174" s="650"/>
      <c r="AA174" s="650"/>
      <c r="AB174" s="650"/>
      <c r="AC174" s="650"/>
      <c r="AD174" s="650"/>
      <c r="AE174" s="650"/>
      <c r="AF174" s="650"/>
      <c r="AG174" s="650"/>
      <c r="AH174" s="650"/>
      <c r="AI174" s="619" t="str">
        <f>_xlfn.CONCAT(AI139,"/PV")</f>
        <v>RITS_2.2/PV</v>
      </c>
      <c r="AJ174" s="619"/>
      <c r="AK174" s="619"/>
      <c r="AL174" s="619"/>
      <c r="AM174" s="619"/>
    </row>
    <row r="175" spans="1:39" ht="14.1" customHeight="1">
      <c r="A175" s="649" t="s">
        <v>747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50" t="s">
        <v>1087</v>
      </c>
      <c r="N175" s="650"/>
      <c r="O175" s="650"/>
      <c r="P175" s="650"/>
      <c r="Q175" s="650"/>
      <c r="R175" s="650"/>
      <c r="S175" s="650"/>
      <c r="T175" s="650"/>
      <c r="U175" s="650"/>
      <c r="V175" s="650"/>
      <c r="W175" s="650"/>
      <c r="X175" s="650"/>
      <c r="Y175" s="650"/>
      <c r="Z175" s="650"/>
      <c r="AA175" s="650"/>
      <c r="AB175" s="650"/>
      <c r="AC175" s="650"/>
      <c r="AD175" s="650"/>
      <c r="AE175" s="650"/>
      <c r="AF175" s="650"/>
      <c r="AG175" s="650"/>
      <c r="AH175" s="650"/>
      <c r="AI175" s="619"/>
      <c r="AJ175" s="619"/>
      <c r="AK175" s="619"/>
      <c r="AL175" s="619"/>
      <c r="AM175" s="619"/>
    </row>
    <row r="176" spans="1:39" ht="14.1" customHeight="1">
      <c r="A176" s="648" t="s">
        <v>697</v>
      </c>
      <c r="B176" s="648"/>
      <c r="C176" s="648"/>
      <c r="D176" s="648"/>
      <c r="E176" s="648"/>
      <c r="F176" s="648"/>
      <c r="G176" s="647" t="s">
        <v>713</v>
      </c>
      <c r="H176" s="647"/>
      <c r="I176" s="647"/>
      <c r="J176" s="647" t="s">
        <v>714</v>
      </c>
      <c r="K176" s="647"/>
      <c r="L176" s="647"/>
      <c r="M176" s="648" t="s">
        <v>519</v>
      </c>
      <c r="N176" s="648"/>
      <c r="O176" s="648" t="s">
        <v>715</v>
      </c>
      <c r="P176" s="648"/>
      <c r="Q176" s="648"/>
      <c r="R176" s="647" t="s">
        <v>732</v>
      </c>
      <c r="S176" s="647"/>
      <c r="T176" s="647"/>
      <c r="U176" s="647" t="s">
        <v>734</v>
      </c>
      <c r="V176" s="647"/>
      <c r="W176" s="647"/>
      <c r="X176" s="647" t="s">
        <v>1085</v>
      </c>
      <c r="Y176" s="647"/>
      <c r="Z176" s="647"/>
      <c r="AA176" s="647" t="s">
        <v>1086</v>
      </c>
      <c r="AB176" s="647"/>
      <c r="AC176" s="647"/>
      <c r="AD176" s="647" t="s">
        <v>717</v>
      </c>
      <c r="AE176" s="647"/>
      <c r="AF176" s="647" t="s">
        <v>718</v>
      </c>
      <c r="AG176" s="647"/>
      <c r="AH176" s="647"/>
      <c r="AI176" s="647" t="s">
        <v>719</v>
      </c>
      <c r="AJ176" s="647"/>
      <c r="AK176" s="647" t="s">
        <v>733</v>
      </c>
      <c r="AL176" s="647"/>
      <c r="AM176" s="647"/>
    </row>
    <row r="177" spans="1:39" ht="14.1" customHeight="1">
      <c r="A177" s="648"/>
      <c r="B177" s="648"/>
      <c r="C177" s="648"/>
      <c r="D177" s="648"/>
      <c r="E177" s="648"/>
      <c r="F177" s="648"/>
      <c r="G177" s="647"/>
      <c r="H177" s="647"/>
      <c r="I177" s="647"/>
      <c r="J177" s="647"/>
      <c r="K177" s="647"/>
      <c r="L177" s="647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 ht="14.1" customHeight="1">
      <c r="A178" s="648"/>
      <c r="B178" s="648"/>
      <c r="C178" s="648"/>
      <c r="D178" s="648"/>
      <c r="E178" s="648"/>
      <c r="F178" s="648"/>
      <c r="G178" s="647"/>
      <c r="H178" s="647"/>
      <c r="I178" s="647"/>
      <c r="J178" s="713"/>
      <c r="K178" s="713"/>
      <c r="L178" s="713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78">
        <f>VLOOKUP(AI174,'Incrementare indexe'!$B:$I,3,FALSE)</f>
        <v>1373706594</v>
      </c>
      <c r="B179" s="679"/>
      <c r="C179" s="679"/>
      <c r="D179" s="679"/>
      <c r="E179" s="679"/>
      <c r="F179" s="680"/>
      <c r="G179" s="647" t="s">
        <v>1088</v>
      </c>
      <c r="H179" s="647"/>
      <c r="I179" s="675"/>
      <c r="J179" s="655">
        <f>'Date masura OD'!$I$5</f>
        <v>45778</v>
      </c>
      <c r="K179" s="656"/>
      <c r="L179" s="657"/>
      <c r="M179" s="720" t="s">
        <v>446</v>
      </c>
      <c r="N179" s="648"/>
      <c r="O179" s="648">
        <f>VLOOKUP(AI174,'Incrementare indexe'!$B:$I,4,FALSE)</f>
        <v>1</v>
      </c>
      <c r="P179" s="648"/>
      <c r="Q179" s="648"/>
      <c r="R179" s="647" t="str">
        <f>VLOOKUP(AI174,'Incrementare indexe'!$B:$I,7,FALSE)&amp;" (citit)"</f>
        <v>360100 (citit)</v>
      </c>
      <c r="S179" s="647"/>
      <c r="T179" s="647"/>
      <c r="U179" s="647" t="str">
        <f>VLOOKUP(AI174,'Incrementare indexe'!$B:$I,8,FALSE)&amp;" (citit)"</f>
        <v>426577 (citit)</v>
      </c>
      <c r="V179" s="647"/>
      <c r="W179" s="647"/>
      <c r="X179" s="647" t="str">
        <f>(VLOOKUP(AI174,'Incrementare indexe'!$B:$I,8,FALSE)-VLOOKUP(AI174,'Incrementare indexe'!$B:$I,7,FALSE))&amp;" (citit)"</f>
        <v>66477 (citit)</v>
      </c>
      <c r="Y179" s="647"/>
      <c r="Z179" s="647"/>
      <c r="AA179" s="647" t="s">
        <v>69</v>
      </c>
      <c r="AB179" s="647"/>
      <c r="AC179" s="647"/>
      <c r="AD179" s="647" t="s">
        <v>69</v>
      </c>
      <c r="AE179" s="647"/>
      <c r="AF179" s="647">
        <f>(VLOOKUP(AI174,'Incrementare indexe'!$B:$I,8,FALSE)-VLOOKUP(AI174,'Incrementare indexe'!$B:$I,7,FALSE))</f>
        <v>66477</v>
      </c>
      <c r="AG179" s="647"/>
      <c r="AH179" s="647"/>
      <c r="AI179" s="647">
        <f>J181-J179+1</f>
        <v>31</v>
      </c>
      <c r="AJ179" s="647"/>
      <c r="AK179" s="647">
        <f>ROUND(AF179/AI179,2)</f>
        <v>2144.42</v>
      </c>
      <c r="AL179" s="647"/>
      <c r="AM179" s="647"/>
    </row>
    <row r="180" spans="1:39" ht="14.1" customHeight="1">
      <c r="A180" s="717"/>
      <c r="B180" s="718"/>
      <c r="C180" s="718"/>
      <c r="D180" s="718"/>
      <c r="E180" s="718"/>
      <c r="F180" s="719"/>
      <c r="G180" s="647"/>
      <c r="H180" s="647"/>
      <c r="I180" s="675"/>
      <c r="J180" s="717" t="s">
        <v>69</v>
      </c>
      <c r="K180" s="718"/>
      <c r="L180" s="719"/>
      <c r="M180" s="720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81"/>
      <c r="B181" s="682"/>
      <c r="C181" s="682"/>
      <c r="D181" s="682"/>
      <c r="E181" s="682"/>
      <c r="F181" s="683"/>
      <c r="G181" s="647"/>
      <c r="H181" s="647"/>
      <c r="I181" s="675"/>
      <c r="J181" s="714">
        <f>'Date masura OD'!$J$5</f>
        <v>45808</v>
      </c>
      <c r="K181" s="715"/>
      <c r="L181" s="716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78">
        <f>A179</f>
        <v>1373706594</v>
      </c>
      <c r="B182" s="679"/>
      <c r="C182" s="679"/>
      <c r="D182" s="679"/>
      <c r="E182" s="679"/>
      <c r="F182" s="680"/>
      <c r="G182" s="648" t="s">
        <v>696</v>
      </c>
      <c r="H182" s="648"/>
      <c r="I182" s="648"/>
      <c r="J182" s="655">
        <f t="shared" ref="J182:J187" si="10">J179</f>
        <v>45778</v>
      </c>
      <c r="K182" s="656"/>
      <c r="L182" s="657"/>
      <c r="M182" s="648" t="s">
        <v>720</v>
      </c>
      <c r="N182" s="648"/>
      <c r="O182" s="648">
        <f>O179</f>
        <v>1</v>
      </c>
      <c r="P182" s="648"/>
      <c r="Q182" s="648"/>
      <c r="R182" s="647" t="s">
        <v>1089</v>
      </c>
      <c r="S182" s="647"/>
      <c r="T182" s="647"/>
      <c r="U182" s="647" t="s">
        <v>1089</v>
      </c>
      <c r="V182" s="647"/>
      <c r="W182" s="647"/>
      <c r="X182" s="647" t="s">
        <v>1089</v>
      </c>
      <c r="Y182" s="647"/>
      <c r="Z182" s="647"/>
      <c r="AA182" s="647" t="s">
        <v>69</v>
      </c>
      <c r="AB182" s="647"/>
      <c r="AC182" s="647"/>
      <c r="AD182" s="647" t="s">
        <v>69</v>
      </c>
      <c r="AE182" s="647"/>
      <c r="AF182" s="647">
        <v>0</v>
      </c>
      <c r="AG182" s="647"/>
      <c r="AH182" s="647"/>
      <c r="AI182" s="647">
        <f>AI179</f>
        <v>31</v>
      </c>
      <c r="AJ182" s="647"/>
      <c r="AK182" s="647">
        <f>ROUND(AF182/AI182,2)</f>
        <v>0</v>
      </c>
      <c r="AL182" s="647"/>
      <c r="AM182" s="647"/>
    </row>
    <row r="183" spans="1:39" ht="14.1" customHeight="1">
      <c r="A183" s="717"/>
      <c r="B183" s="718"/>
      <c r="C183" s="718"/>
      <c r="D183" s="718"/>
      <c r="E183" s="718"/>
      <c r="F183" s="719"/>
      <c r="G183" s="648"/>
      <c r="H183" s="648"/>
      <c r="I183" s="648"/>
      <c r="J183" s="717" t="str">
        <f t="shared" si="10"/>
        <v>-</v>
      </c>
      <c r="K183" s="718"/>
      <c r="L183" s="719"/>
      <c r="M183" s="648"/>
      <c r="N183" s="648"/>
      <c r="O183" s="648"/>
      <c r="P183" s="648"/>
      <c r="Q183" s="648"/>
      <c r="R183" s="647"/>
      <c r="S183" s="647"/>
      <c r="T183" s="647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>
      <c r="A184" s="681"/>
      <c r="B184" s="682"/>
      <c r="C184" s="682"/>
      <c r="D184" s="682"/>
      <c r="E184" s="682"/>
      <c r="F184" s="683"/>
      <c r="G184" s="648"/>
      <c r="H184" s="648"/>
      <c r="I184" s="648"/>
      <c r="J184" s="714">
        <f t="shared" si="10"/>
        <v>45808</v>
      </c>
      <c r="K184" s="715"/>
      <c r="L184" s="716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78">
        <f>A182</f>
        <v>1373706594</v>
      </c>
      <c r="B185" s="679"/>
      <c r="C185" s="679"/>
      <c r="D185" s="679"/>
      <c r="E185" s="679"/>
      <c r="F185" s="680"/>
      <c r="G185" s="648" t="s">
        <v>731</v>
      </c>
      <c r="H185" s="648"/>
      <c r="I185" s="648"/>
      <c r="J185" s="655">
        <f t="shared" si="10"/>
        <v>45778</v>
      </c>
      <c r="K185" s="656"/>
      <c r="L185" s="657"/>
      <c r="M185" s="648" t="s">
        <v>720</v>
      </c>
      <c r="N185" s="648"/>
      <c r="O185" s="648">
        <f>O182</f>
        <v>1</v>
      </c>
      <c r="P185" s="648"/>
      <c r="Q185" s="648"/>
      <c r="R185" s="647" t="s">
        <v>1089</v>
      </c>
      <c r="S185" s="647"/>
      <c r="T185" s="647"/>
      <c r="U185" s="647" t="s">
        <v>1089</v>
      </c>
      <c r="V185" s="647"/>
      <c r="W185" s="647"/>
      <c r="X185" s="647" t="s">
        <v>1089</v>
      </c>
      <c r="Y185" s="647"/>
      <c r="Z185" s="647"/>
      <c r="AA185" s="647" t="s">
        <v>69</v>
      </c>
      <c r="AB185" s="647"/>
      <c r="AC185" s="647"/>
      <c r="AD185" s="647" t="s">
        <v>69</v>
      </c>
      <c r="AE185" s="647"/>
      <c r="AF185" s="647">
        <v>0</v>
      </c>
      <c r="AG185" s="647"/>
      <c r="AH185" s="647"/>
      <c r="AI185" s="647">
        <f>AI182</f>
        <v>31</v>
      </c>
      <c r="AJ185" s="647"/>
      <c r="AK185" s="647">
        <f>ROUND(AF185/AI185,2)</f>
        <v>0</v>
      </c>
      <c r="AL185" s="647"/>
      <c r="AM185" s="647"/>
    </row>
    <row r="186" spans="1:39" ht="14.1" customHeight="1">
      <c r="A186" s="717"/>
      <c r="B186" s="718"/>
      <c r="C186" s="718"/>
      <c r="D186" s="718"/>
      <c r="E186" s="718"/>
      <c r="F186" s="719"/>
      <c r="G186" s="648"/>
      <c r="H186" s="648"/>
      <c r="I186" s="648"/>
      <c r="J186" s="717" t="str">
        <f t="shared" si="10"/>
        <v>-</v>
      </c>
      <c r="K186" s="718"/>
      <c r="L186" s="719"/>
      <c r="M186" s="648"/>
      <c r="N186" s="648"/>
      <c r="O186" s="648"/>
      <c r="P186" s="648"/>
      <c r="Q186" s="648"/>
      <c r="R186" s="647"/>
      <c r="S186" s="647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</row>
    <row r="187" spans="1:39" ht="14.1" customHeight="1">
      <c r="A187" s="681"/>
      <c r="B187" s="682"/>
      <c r="C187" s="682"/>
      <c r="D187" s="682"/>
      <c r="E187" s="682"/>
      <c r="F187" s="683"/>
      <c r="G187" s="648"/>
      <c r="H187" s="648"/>
      <c r="I187" s="648"/>
      <c r="J187" s="714">
        <f t="shared" si="10"/>
        <v>45808</v>
      </c>
      <c r="K187" s="715"/>
      <c r="L187" s="716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186"/>
      <c r="B188" s="186"/>
      <c r="C188" s="186"/>
      <c r="D188" s="186"/>
      <c r="E188" s="186"/>
      <c r="F188" s="186"/>
      <c r="G188" s="187"/>
      <c r="H188" s="187"/>
      <c r="I188" s="187"/>
      <c r="J188" s="187"/>
      <c r="K188" s="187"/>
      <c r="L188" s="187"/>
      <c r="M188" s="186"/>
      <c r="N188" s="186"/>
      <c r="O188" s="186"/>
      <c r="P188" s="186"/>
      <c r="Q188" s="186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</row>
    <row r="189" spans="1:39" ht="14.1" customHeight="1">
      <c r="A189" s="186"/>
      <c r="B189" s="186"/>
      <c r="C189" s="186"/>
      <c r="D189" s="186"/>
      <c r="E189" s="186"/>
      <c r="F189" s="186"/>
      <c r="G189" s="186"/>
      <c r="H189" s="186"/>
      <c r="I189" s="186"/>
      <c r="J189" s="191"/>
      <c r="K189" s="191"/>
      <c r="L189" s="191"/>
      <c r="M189" s="186"/>
      <c r="N189" s="186"/>
      <c r="O189" s="186"/>
      <c r="P189" s="186"/>
      <c r="Q189" s="186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</row>
    <row r="190" spans="1:39" ht="8.4499999999999993" customHeight="1">
      <c r="A190" s="695" t="s">
        <v>858</v>
      </c>
      <c r="B190" s="695"/>
      <c r="C190" s="695"/>
      <c r="D190" s="695"/>
      <c r="E190" s="695"/>
      <c r="F190" s="695"/>
      <c r="G190" s="695"/>
      <c r="H190" s="695" t="str">
        <f>VLOOKUP($AA$15,'Date SPV'!$B:$H,4,FALSE)</f>
        <v>Bulevardul 1 Decembrie 1918, nr. 33A, Sector 3, Bucuresti</v>
      </c>
      <c r="I190" s="695"/>
      <c r="J190" s="695"/>
      <c r="K190" s="695"/>
      <c r="L190" s="695"/>
      <c r="M190" s="695"/>
      <c r="N190" s="695"/>
      <c r="O190" s="695"/>
      <c r="P190" s="695"/>
      <c r="Q190" s="695"/>
      <c r="R190" s="695"/>
      <c r="S190" s="695"/>
      <c r="T190" s="695"/>
      <c r="U190" s="695"/>
      <c r="V190" s="695"/>
      <c r="W190" s="695"/>
      <c r="X190" s="695"/>
      <c r="Y190" s="695"/>
      <c r="Z190" s="695"/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</row>
    <row r="191" spans="1:39" ht="14.1" customHeight="1">
      <c r="A191" s="695"/>
      <c r="B191" s="695"/>
      <c r="C191" s="695"/>
      <c r="D191" s="695"/>
      <c r="E191" s="695"/>
      <c r="F191" s="695"/>
      <c r="G191" s="695"/>
      <c r="H191" s="695"/>
      <c r="I191" s="695"/>
      <c r="J191" s="695"/>
      <c r="K191" s="695"/>
      <c r="L191" s="695"/>
      <c r="M191" s="695"/>
      <c r="N191" s="695"/>
      <c r="O191" s="695"/>
      <c r="P191" s="695"/>
      <c r="Q191" s="695"/>
      <c r="R191" s="695"/>
      <c r="S191" s="695"/>
      <c r="T191" s="695"/>
      <c r="U191" s="695"/>
      <c r="V191" s="695"/>
      <c r="W191" s="695"/>
      <c r="X191" s="695"/>
      <c r="Y191" s="695"/>
      <c r="Z191" s="695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</row>
    <row r="192" spans="1:39" ht="14.1" customHeight="1">
      <c r="A192" s="695" t="s">
        <v>859</v>
      </c>
      <c r="B192" s="695"/>
      <c r="C192" s="695"/>
      <c r="D192" s="695"/>
      <c r="E192" s="695"/>
      <c r="F192" s="695"/>
      <c r="G192" s="695"/>
      <c r="H192" s="712">
        <f>VLOOKUP(AA192,'Date masura OD'!$G:$BE,51,FALSE)</f>
        <v>5000581152</v>
      </c>
      <c r="I192" s="712"/>
      <c r="J192" s="712"/>
      <c r="K192" s="712"/>
      <c r="L192" s="712"/>
      <c r="M192" s="712"/>
      <c r="N192" s="712"/>
      <c r="O192" s="712"/>
      <c r="P192" s="712"/>
      <c r="Q192" s="712"/>
      <c r="R192" s="712"/>
      <c r="S192" s="712"/>
      <c r="T192" s="712"/>
      <c r="U192" s="712"/>
      <c r="V192" s="712"/>
      <c r="W192" s="712" t="s">
        <v>860</v>
      </c>
      <c r="X192" s="712"/>
      <c r="Y192" s="712"/>
      <c r="Z192" s="712"/>
      <c r="AA192" s="640" t="str">
        <f>_xlfn.CONCAT($AA$15,"_",3)</f>
        <v>RITS_3</v>
      </c>
      <c r="AB192" s="640"/>
      <c r="AC192" s="640"/>
      <c r="AD192" s="640"/>
      <c r="AE192" s="640"/>
      <c r="AF192" s="640"/>
      <c r="AG192" s="640"/>
      <c r="AH192" s="640"/>
      <c r="AI192" s="640"/>
      <c r="AJ192" s="640"/>
      <c r="AK192" s="640"/>
      <c r="AL192" s="640"/>
      <c r="AM192" s="640"/>
    </row>
    <row r="193" spans="1:39" ht="8.4499999999999993" customHeight="1">
      <c r="A193" s="695"/>
      <c r="B193" s="695"/>
      <c r="C193" s="695"/>
      <c r="D193" s="695"/>
      <c r="E193" s="695"/>
      <c r="F193" s="695"/>
      <c r="G193" s="695"/>
      <c r="H193" s="712"/>
      <c r="I193" s="712"/>
      <c r="J193" s="712"/>
      <c r="K193" s="712"/>
      <c r="L193" s="712"/>
      <c r="M193" s="712"/>
      <c r="N193" s="712"/>
      <c r="O193" s="712"/>
      <c r="P193" s="712"/>
      <c r="Q193" s="712"/>
      <c r="R193" s="712"/>
      <c r="S193" s="712"/>
      <c r="T193" s="712"/>
      <c r="U193" s="712"/>
      <c r="V193" s="712"/>
      <c r="W193" s="712"/>
      <c r="X193" s="712"/>
      <c r="Y193" s="712"/>
      <c r="Z193" s="712"/>
      <c r="AA193" s="640"/>
      <c r="AB193" s="640"/>
      <c r="AC193" s="640"/>
      <c r="AD193" s="640"/>
      <c r="AE193" s="640"/>
      <c r="AF193" s="640"/>
      <c r="AG193" s="640"/>
      <c r="AH193" s="640"/>
      <c r="AI193" s="640"/>
      <c r="AJ193" s="640"/>
      <c r="AK193" s="640"/>
      <c r="AL193" s="640"/>
      <c r="AM193" s="640"/>
    </row>
    <row r="194" spans="1:39" ht="14.1" customHeight="1"/>
    <row r="195" spans="1:39" ht="14.1" customHeight="1">
      <c r="A195" s="649" t="s">
        <v>748</v>
      </c>
      <c r="B195" s="649"/>
      <c r="C195" s="649"/>
      <c r="D195" s="649"/>
      <c r="E195" s="649"/>
      <c r="F195" s="649"/>
      <c r="G195" s="649"/>
      <c r="H195" s="649"/>
      <c r="I195" s="649"/>
      <c r="J195" s="649"/>
      <c r="K195" s="649"/>
      <c r="L195" s="649"/>
      <c r="M195" s="650" t="str">
        <f>VLOOKUP(AI196,'Contorizare in SDI'!$E:$I,4,FALSE)</f>
        <v>RO001E109430714/1</v>
      </c>
      <c r="N195" s="650"/>
      <c r="O195" s="650"/>
      <c r="P195" s="650"/>
      <c r="Q195" s="650"/>
      <c r="R195" s="650"/>
      <c r="S195" s="650"/>
      <c r="T195" s="650"/>
      <c r="U195" s="650"/>
      <c r="V195" s="650"/>
      <c r="W195" s="650"/>
      <c r="X195" s="650"/>
      <c r="Y195" s="650"/>
      <c r="Z195" s="650"/>
      <c r="AA195" s="650"/>
      <c r="AB195" s="650"/>
      <c r="AC195" s="650"/>
      <c r="AD195" s="650"/>
      <c r="AE195" s="650"/>
      <c r="AF195" s="650"/>
      <c r="AG195" s="650"/>
      <c r="AH195" s="650"/>
      <c r="AI195" s="650" t="s">
        <v>695</v>
      </c>
      <c r="AJ195" s="650"/>
      <c r="AK195" s="650"/>
      <c r="AL195" s="650"/>
      <c r="AM195" s="650"/>
    </row>
    <row r="196" spans="1:39">
      <c r="A196" s="649" t="s">
        <v>746</v>
      </c>
      <c r="B196" s="649"/>
      <c r="C196" s="649"/>
      <c r="D196" s="649"/>
      <c r="E196" s="649"/>
      <c r="F196" s="649"/>
      <c r="G196" s="649"/>
      <c r="H196" s="649"/>
      <c r="I196" s="649"/>
      <c r="J196" s="649"/>
      <c r="K196" s="649"/>
      <c r="L196" s="649"/>
      <c r="M196" s="650" t="str">
        <f>VLOOKUP(AI196,'Inchidere contur'!$G:$U,15,FALSE)</f>
        <v>JT_SDI</v>
      </c>
      <c r="N196" s="650"/>
      <c r="O196" s="650"/>
      <c r="P196" s="650"/>
      <c r="Q196" s="650"/>
      <c r="R196" s="650"/>
      <c r="S196" s="650"/>
      <c r="T196" s="650"/>
      <c r="U196" s="650"/>
      <c r="V196" s="650"/>
      <c r="W196" s="650"/>
      <c r="X196" s="650"/>
      <c r="Y196" s="650"/>
      <c r="Z196" s="650"/>
      <c r="AA196" s="650"/>
      <c r="AB196" s="650"/>
      <c r="AC196" s="650"/>
      <c r="AD196" s="650"/>
      <c r="AE196" s="650"/>
      <c r="AF196" s="650"/>
      <c r="AG196" s="650"/>
      <c r="AH196" s="650"/>
      <c r="AI196" s="619" t="str">
        <f>_xlfn.CONCAT(AA192,".",1)</f>
        <v>RITS_3.1</v>
      </c>
      <c r="AJ196" s="619"/>
      <c r="AK196" s="619"/>
      <c r="AL196" s="619"/>
      <c r="AM196" s="619"/>
    </row>
    <row r="197" spans="1:39" ht="14.1" customHeight="1">
      <c r="A197" s="649" t="s">
        <v>747</v>
      </c>
      <c r="B197" s="649"/>
      <c r="C197" s="649"/>
      <c r="D197" s="649"/>
      <c r="E197" s="649"/>
      <c r="F197" s="649"/>
      <c r="G197" s="649"/>
      <c r="H197" s="649"/>
      <c r="I197" s="649"/>
      <c r="J197" s="649"/>
      <c r="K197" s="649"/>
      <c r="L197" s="649"/>
      <c r="M197" s="650" t="str">
        <f>IF(LEFT(M196,2)="JT","0.4kV",IF(LEFT(M196,2)="MT","20kV","-"))</f>
        <v>0.4kV</v>
      </c>
      <c r="N197" s="650"/>
      <c r="O197" s="650"/>
      <c r="P197" s="650"/>
      <c r="Q197" s="650"/>
      <c r="R197" s="650"/>
      <c r="S197" s="650"/>
      <c r="T197" s="650"/>
      <c r="U197" s="650"/>
      <c r="V197" s="650"/>
      <c r="W197" s="650"/>
      <c r="X197" s="650"/>
      <c r="Y197" s="650"/>
      <c r="Z197" s="650"/>
      <c r="AA197" s="650"/>
      <c r="AB197" s="650"/>
      <c r="AC197" s="650"/>
      <c r="AD197" s="650"/>
      <c r="AE197" s="650"/>
      <c r="AF197" s="650"/>
      <c r="AG197" s="650"/>
      <c r="AH197" s="650"/>
      <c r="AI197" s="619"/>
      <c r="AJ197" s="619"/>
      <c r="AK197" s="619"/>
      <c r="AL197" s="619"/>
      <c r="AM197" s="619"/>
    </row>
    <row r="198" spans="1:39" ht="14.1" customHeight="1">
      <c r="A198" s="648" t="s">
        <v>697</v>
      </c>
      <c r="B198" s="648"/>
      <c r="C198" s="648"/>
      <c r="D198" s="648"/>
      <c r="E198" s="648"/>
      <c r="F198" s="648"/>
      <c r="G198" s="647" t="s">
        <v>713</v>
      </c>
      <c r="H198" s="647"/>
      <c r="I198" s="647"/>
      <c r="J198" s="647" t="s">
        <v>714</v>
      </c>
      <c r="K198" s="647"/>
      <c r="L198" s="647"/>
      <c r="M198" s="648" t="s">
        <v>519</v>
      </c>
      <c r="N198" s="648"/>
      <c r="O198" s="648" t="s">
        <v>715</v>
      </c>
      <c r="P198" s="648"/>
      <c r="Q198" s="648"/>
      <c r="R198" s="647" t="s">
        <v>732</v>
      </c>
      <c r="S198" s="647"/>
      <c r="T198" s="647"/>
      <c r="U198" s="647" t="s">
        <v>734</v>
      </c>
      <c r="V198" s="647"/>
      <c r="W198" s="647"/>
      <c r="X198" s="647" t="s">
        <v>1085</v>
      </c>
      <c r="Y198" s="647"/>
      <c r="Z198" s="647"/>
      <c r="AA198" s="647" t="s">
        <v>1086</v>
      </c>
      <c r="AB198" s="647"/>
      <c r="AC198" s="647"/>
      <c r="AD198" s="647" t="s">
        <v>717</v>
      </c>
      <c r="AE198" s="647"/>
      <c r="AF198" s="647" t="s">
        <v>718</v>
      </c>
      <c r="AG198" s="647"/>
      <c r="AH198" s="647"/>
      <c r="AI198" s="647" t="s">
        <v>719</v>
      </c>
      <c r="AJ198" s="647"/>
      <c r="AK198" s="647" t="s">
        <v>733</v>
      </c>
      <c r="AL198" s="647"/>
      <c r="AM198" s="647"/>
    </row>
    <row r="199" spans="1:39" ht="8.4499999999999993" customHeight="1">
      <c r="A199" s="648"/>
      <c r="B199" s="648"/>
      <c r="C199" s="648"/>
      <c r="D199" s="648"/>
      <c r="E199" s="648"/>
      <c r="F199" s="648"/>
      <c r="G199" s="647"/>
      <c r="H199" s="647"/>
      <c r="I199" s="647"/>
      <c r="J199" s="647"/>
      <c r="K199" s="647"/>
      <c r="L199" s="647"/>
      <c r="M199" s="648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48"/>
      <c r="B200" s="648"/>
      <c r="C200" s="648"/>
      <c r="D200" s="648"/>
      <c r="E200" s="648"/>
      <c r="F200" s="648"/>
      <c r="G200" s="647"/>
      <c r="H200" s="647"/>
      <c r="I200" s="647"/>
      <c r="J200" s="713"/>
      <c r="K200" s="713"/>
      <c r="L200" s="713"/>
      <c r="M200" s="648"/>
      <c r="N200" s="648"/>
      <c r="O200" s="648"/>
      <c r="P200" s="648"/>
      <c r="Q200" s="648"/>
      <c r="R200" s="647"/>
      <c r="S200" s="647"/>
      <c r="T200" s="647"/>
      <c r="U200" s="647"/>
      <c r="V200" s="647"/>
      <c r="W200" s="647"/>
      <c r="X200" s="647"/>
      <c r="Y200" s="647"/>
      <c r="Z200" s="647"/>
      <c r="AA200" s="647"/>
      <c r="AB200" s="647"/>
      <c r="AC200" s="647"/>
      <c r="AD200" s="647"/>
      <c r="AE200" s="647"/>
      <c r="AF200" s="647"/>
      <c r="AG200" s="647"/>
      <c r="AH200" s="647"/>
      <c r="AI200" s="647"/>
      <c r="AJ200" s="647"/>
      <c r="AK200" s="647"/>
      <c r="AL200" s="647"/>
      <c r="AM200" s="647"/>
    </row>
    <row r="201" spans="1:39" ht="14.1" customHeight="1">
      <c r="A201" s="684" t="str">
        <f>VLOOKUP(AI196,'Contorizare in SDI'!$E:$I,5,FALSE)</f>
        <v>V.20G90290210100725/1</v>
      </c>
      <c r="B201" s="685"/>
      <c r="C201" s="685"/>
      <c r="D201" s="685"/>
      <c r="E201" s="685"/>
      <c r="F201" s="686"/>
      <c r="G201" s="648" t="s">
        <v>730</v>
      </c>
      <c r="H201" s="648"/>
      <c r="I201" s="673"/>
      <c r="J201" s="655">
        <f>'Date masura OD'!$AK$5</f>
        <v>45748</v>
      </c>
      <c r="K201" s="656"/>
      <c r="L201" s="657"/>
      <c r="M201" s="720" t="s">
        <v>446</v>
      </c>
      <c r="N201" s="648"/>
      <c r="O201" s="648">
        <f>VLOOKUP(AI196,'Incrementare indexe'!$B:$T,4,FALSE)</f>
        <v>0</v>
      </c>
      <c r="P201" s="648"/>
      <c r="Q201" s="648"/>
      <c r="R201" s="647" t="str">
        <f>VLOOKUP(A201,Regularizare!$D:$YN,3,FALSE)&amp;" ("&amp;VLOOKUP(A201,Regularizare!$D:$Y,11,FALSE)&amp;")"</f>
        <v>418326 (citit)</v>
      </c>
      <c r="S201" s="647"/>
      <c r="T201" s="647"/>
      <c r="U201" s="647" t="str">
        <f>VLOOKUP(A201,Regularizare!$D:$U,4,FALSE)&amp;" ("&amp;VLOOKUP(A201,Regularizare!$D:$U,12,FALSE)&amp;")"</f>
        <v>441354 (estimat)</v>
      </c>
      <c r="V201" s="647"/>
      <c r="W201" s="647"/>
      <c r="X201" s="647" t="str">
        <f>VLOOKUP(A201,Regularizare!$D:$Y,19,FALSE)&amp;" ("&amp;VLOOKUP(A201,Regularizare!$D:$U,12,FALSE)&amp;")"</f>
        <v>23028 (estimat)</v>
      </c>
      <c r="Y201" s="647"/>
      <c r="Z201" s="647"/>
      <c r="AA201" s="647">
        <f>(-1)*VLOOKUP(A201,Regularizare!$D:$Y,19,FALSE)</f>
        <v>-23028</v>
      </c>
      <c r="AB201" s="647"/>
      <c r="AC201" s="647"/>
      <c r="AD201" s="647" t="s">
        <v>69</v>
      </c>
      <c r="AE201" s="647"/>
      <c r="AF201" s="647">
        <f>AA201</f>
        <v>-23028</v>
      </c>
      <c r="AG201" s="647"/>
      <c r="AH201" s="647"/>
      <c r="AI201" s="647" t="s">
        <v>69</v>
      </c>
      <c r="AJ201" s="647"/>
      <c r="AK201" s="647" t="s">
        <v>69</v>
      </c>
      <c r="AL201" s="647"/>
      <c r="AM201" s="647"/>
    </row>
    <row r="202" spans="1:39" ht="8.4499999999999993" customHeight="1">
      <c r="A202" s="727"/>
      <c r="B202" s="729"/>
      <c r="C202" s="729"/>
      <c r="D202" s="729"/>
      <c r="E202" s="729"/>
      <c r="F202" s="728"/>
      <c r="G202" s="648"/>
      <c r="H202" s="648"/>
      <c r="I202" s="673"/>
      <c r="J202" s="717" t="s">
        <v>69</v>
      </c>
      <c r="K202" s="718"/>
      <c r="L202" s="719"/>
      <c r="M202" s="720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7"/>
      <c r="B203" s="688"/>
      <c r="C203" s="688"/>
      <c r="D203" s="688"/>
      <c r="E203" s="688"/>
      <c r="F203" s="689"/>
      <c r="G203" s="648"/>
      <c r="H203" s="648"/>
      <c r="I203" s="673"/>
      <c r="J203" s="714">
        <f>'Date masura OD'!$AL$5</f>
        <v>45777</v>
      </c>
      <c r="K203" s="715"/>
      <c r="L203" s="716"/>
      <c r="M203" s="720"/>
      <c r="N203" s="648"/>
      <c r="O203" s="648"/>
      <c r="P203" s="648"/>
      <c r="Q203" s="648"/>
      <c r="R203" s="647"/>
      <c r="S203" s="647"/>
      <c r="T203" s="647"/>
      <c r="U203" s="647"/>
      <c r="V203" s="647"/>
      <c r="W203" s="647"/>
      <c r="X203" s="647"/>
      <c r="Y203" s="647"/>
      <c r="Z203" s="647"/>
      <c r="AA203" s="647"/>
      <c r="AB203" s="647"/>
      <c r="AC203" s="647"/>
      <c r="AD203" s="647"/>
      <c r="AE203" s="647"/>
      <c r="AF203" s="647"/>
      <c r="AG203" s="647"/>
      <c r="AH203" s="647"/>
      <c r="AI203" s="647"/>
      <c r="AJ203" s="647"/>
      <c r="AK203" s="647"/>
      <c r="AL203" s="647"/>
      <c r="AM203" s="647"/>
    </row>
    <row r="204" spans="1:39" ht="14.1" customHeight="1">
      <c r="A204" s="684" t="str">
        <f>A201</f>
        <v>V.20G90290210100725/1</v>
      </c>
      <c r="B204" s="685"/>
      <c r="C204" s="685"/>
      <c r="D204" s="685"/>
      <c r="E204" s="685"/>
      <c r="F204" s="686"/>
      <c r="G204" s="648" t="s">
        <v>696</v>
      </c>
      <c r="H204" s="648"/>
      <c r="I204" s="648"/>
      <c r="J204" s="655">
        <f t="shared" ref="J204:J209" si="11">J201</f>
        <v>45748</v>
      </c>
      <c r="K204" s="656"/>
      <c r="L204" s="657"/>
      <c r="M204" s="648" t="s">
        <v>720</v>
      </c>
      <c r="N204" s="648"/>
      <c r="O204" s="648">
        <f>O201</f>
        <v>0</v>
      </c>
      <c r="P204" s="648"/>
      <c r="Q204" s="648"/>
      <c r="R204" s="647" t="str">
        <f>VLOOKUP(A204,Regularizare!$D:$U,7,FALSE)&amp;" ("&amp;VLOOKUP(A204,Regularizare!$D:$U,15,FALSE)&amp;")"</f>
        <v>54299 (citit)</v>
      </c>
      <c r="S204" s="647"/>
      <c r="T204" s="647"/>
      <c r="U204" s="647" t="str">
        <f>VLOOKUP(A204,Regularizare!$D:$U,8,FALSE)&amp;" ("&amp;VLOOKUP(A204,Regularizare!$D:$U,16,FALSE)&amp;")"</f>
        <v>54299 (estimat)</v>
      </c>
      <c r="V204" s="647"/>
      <c r="W204" s="647"/>
      <c r="X204" s="647" t="str">
        <f>_xlfn.CONCAT(VLOOKUP(A204,Regularizare!$D:$U,8,FALSE)-VLOOKUP(A204,Regularizare!$D:$U,7,FALSE)," (",VLOOKUP(A204,Regularizare!$D:$U,16,FALSE),")")</f>
        <v>0 (estimat)</v>
      </c>
      <c r="Y204" s="647"/>
      <c r="Z204" s="647"/>
      <c r="AA204" s="647">
        <f>IF(VLOOKUP(A204,Regularizare!$D:$Y,21,FALSE)=0,VLOOKUP(A204,Regularizare!$D:$Y,21,FALSE),(-1)*VLOOKUP(A204,Regularizare!$D:$Y,21,FALSE))</f>
        <v>0</v>
      </c>
      <c r="AB204" s="647"/>
      <c r="AC204" s="647"/>
      <c r="AD204" s="647" t="s">
        <v>69</v>
      </c>
      <c r="AE204" s="647"/>
      <c r="AF204" s="647">
        <f>AA204</f>
        <v>0</v>
      </c>
      <c r="AG204" s="647"/>
      <c r="AH204" s="647"/>
      <c r="AI204" s="647" t="str">
        <f>AI201</f>
        <v>-</v>
      </c>
      <c r="AJ204" s="647"/>
      <c r="AK204" s="647" t="str">
        <f>AK201</f>
        <v>-</v>
      </c>
      <c r="AL204" s="647"/>
      <c r="AM204" s="647"/>
    </row>
    <row r="205" spans="1:39" ht="8.4499999999999993" customHeight="1">
      <c r="A205" s="727"/>
      <c r="B205" s="729"/>
      <c r="C205" s="729"/>
      <c r="D205" s="729"/>
      <c r="E205" s="729"/>
      <c r="F205" s="728"/>
      <c r="G205" s="648"/>
      <c r="H205" s="648"/>
      <c r="I205" s="648"/>
      <c r="J205" s="717" t="str">
        <f t="shared" si="11"/>
        <v>-</v>
      </c>
      <c r="K205" s="718"/>
      <c r="L205" s="719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7"/>
      <c r="B206" s="688"/>
      <c r="C206" s="688"/>
      <c r="D206" s="688"/>
      <c r="E206" s="688"/>
      <c r="F206" s="689"/>
      <c r="G206" s="648"/>
      <c r="H206" s="648"/>
      <c r="I206" s="648"/>
      <c r="J206" s="714">
        <f t="shared" si="11"/>
        <v>45777</v>
      </c>
      <c r="K206" s="715"/>
      <c r="L206" s="716"/>
      <c r="M206" s="648"/>
      <c r="N206" s="648"/>
      <c r="O206" s="648"/>
      <c r="P206" s="648"/>
      <c r="Q206" s="648"/>
      <c r="R206" s="647"/>
      <c r="S206" s="647"/>
      <c r="T206" s="647"/>
      <c r="U206" s="647"/>
      <c r="V206" s="647"/>
      <c r="W206" s="647"/>
      <c r="X206" s="647"/>
      <c r="Y206" s="647"/>
      <c r="Z206" s="647"/>
      <c r="AA206" s="647"/>
      <c r="AB206" s="647"/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</row>
    <row r="207" spans="1:39" ht="14.1" customHeight="1">
      <c r="A207" s="684" t="str">
        <f>A204</f>
        <v>V.20G90290210100725/1</v>
      </c>
      <c r="B207" s="685"/>
      <c r="C207" s="685"/>
      <c r="D207" s="685"/>
      <c r="E207" s="685"/>
      <c r="F207" s="686"/>
      <c r="G207" s="648" t="s">
        <v>731</v>
      </c>
      <c r="H207" s="648"/>
      <c r="I207" s="648"/>
      <c r="J207" s="655">
        <f t="shared" si="11"/>
        <v>45748</v>
      </c>
      <c r="K207" s="656"/>
      <c r="L207" s="657"/>
      <c r="M207" s="648" t="s">
        <v>720</v>
      </c>
      <c r="N207" s="648"/>
      <c r="O207" s="648">
        <f>O204</f>
        <v>0</v>
      </c>
      <c r="P207" s="648"/>
      <c r="Q207" s="648"/>
      <c r="R207" s="647" t="str">
        <f>VLOOKUP(A207,Regularizare!$D:$U,9,FALSE)&amp;" ("&amp;VLOOKUP(A207,Regularizare!$D:$U,17,FALSE)&amp;")"</f>
        <v>6347 (citit)</v>
      </c>
      <c r="S207" s="647"/>
      <c r="T207" s="647"/>
      <c r="U207" s="647" t="str">
        <f>VLOOKUP(A207,Regularizare!$D:$U,10,FALSE)&amp;" ("&amp;VLOOKUP(A207,Regularizare!$D:$U,18,FALSE)&amp;")"</f>
        <v>6347 (estimat)</v>
      </c>
      <c r="V207" s="647"/>
      <c r="W207" s="647"/>
      <c r="X207" s="647" t="str">
        <f>_xlfn.CONCAT(VLOOKUP(A207,Regularizare!$D:$U,10,FALSE)-VLOOKUP(A207,Regularizare!$D:$U,9,FALSE)," (",VLOOKUP(A207,Regularizare!$D:$U,18,FALSE),")")</f>
        <v>0 (estimat)</v>
      </c>
      <c r="Y207" s="647"/>
      <c r="Z207" s="647"/>
      <c r="AA207" s="647">
        <f>IF(VLOOKUP(A207,Regularizare!$D:$Y,22,FALSE)=0,VLOOKUP(A207,Regularizare!$D:$Y,22,FALSE),(-1)*VLOOKUP(A207,Regularizare!$D:$Y,22,FALSE))</f>
        <v>0</v>
      </c>
      <c r="AB207" s="647"/>
      <c r="AC207" s="647"/>
      <c r="AD207" s="647" t="s">
        <v>69</v>
      </c>
      <c r="AE207" s="647"/>
      <c r="AF207" s="647">
        <f>AA207</f>
        <v>0</v>
      </c>
      <c r="AG207" s="647"/>
      <c r="AH207" s="647"/>
      <c r="AI207" s="647" t="str">
        <f>AI204</f>
        <v>-</v>
      </c>
      <c r="AJ207" s="647"/>
      <c r="AK207" s="647" t="str">
        <f>AK204</f>
        <v>-</v>
      </c>
      <c r="AL207" s="647"/>
      <c r="AM207" s="647"/>
    </row>
    <row r="208" spans="1:39" ht="8.4499999999999993" customHeight="1">
      <c r="A208" s="727"/>
      <c r="B208" s="729"/>
      <c r="C208" s="729"/>
      <c r="D208" s="729"/>
      <c r="E208" s="729"/>
      <c r="F208" s="728"/>
      <c r="G208" s="648"/>
      <c r="H208" s="648"/>
      <c r="I208" s="648"/>
      <c r="J208" s="717" t="str">
        <f t="shared" si="11"/>
        <v>-</v>
      </c>
      <c r="K208" s="718"/>
      <c r="L208" s="719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7"/>
      <c r="B209" s="688"/>
      <c r="C209" s="688"/>
      <c r="D209" s="688"/>
      <c r="E209" s="688"/>
      <c r="F209" s="689"/>
      <c r="G209" s="648"/>
      <c r="H209" s="648"/>
      <c r="I209" s="648"/>
      <c r="J209" s="714">
        <f t="shared" si="11"/>
        <v>45777</v>
      </c>
      <c r="K209" s="715"/>
      <c r="L209" s="716"/>
      <c r="M209" s="648"/>
      <c r="N209" s="648"/>
      <c r="O209" s="648"/>
      <c r="P209" s="648"/>
      <c r="Q209" s="648"/>
      <c r="R209" s="647"/>
      <c r="S209" s="647"/>
      <c r="T209" s="647"/>
      <c r="U209" s="647"/>
      <c r="V209" s="647"/>
      <c r="W209" s="647"/>
      <c r="X209" s="647"/>
      <c r="Y209" s="647"/>
      <c r="Z209" s="647"/>
      <c r="AA209" s="647"/>
      <c r="AB209" s="647"/>
      <c r="AC209" s="647"/>
      <c r="AD209" s="647"/>
      <c r="AE209" s="647"/>
      <c r="AF209" s="647"/>
      <c r="AG209" s="647"/>
      <c r="AH209" s="647"/>
      <c r="AI209" s="647"/>
      <c r="AJ209" s="647"/>
      <c r="AK209" s="647"/>
      <c r="AL209" s="647"/>
      <c r="AM209" s="647"/>
    </row>
    <row r="210" spans="1:39" ht="14.1" customHeight="1">
      <c r="A210" s="684" t="str">
        <f>A207</f>
        <v>V.20G90290210100725/1</v>
      </c>
      <c r="B210" s="685"/>
      <c r="C210" s="685"/>
      <c r="D210" s="685"/>
      <c r="E210" s="685"/>
      <c r="F210" s="686"/>
      <c r="G210" s="648" t="s">
        <v>730</v>
      </c>
      <c r="H210" s="648"/>
      <c r="I210" s="673"/>
      <c r="J210" s="655">
        <f>'Date masura OD'!$AK$5</f>
        <v>45748</v>
      </c>
      <c r="K210" s="656"/>
      <c r="L210" s="657"/>
      <c r="M210" s="720" t="s">
        <v>446</v>
      </c>
      <c r="N210" s="648"/>
      <c r="O210" s="648">
        <f>O207</f>
        <v>0</v>
      </c>
      <c r="P210" s="648"/>
      <c r="Q210" s="648"/>
      <c r="R210" s="647" t="str">
        <f>VLOOKUP(A210,Regularizare!$D:$AX,23,FALSE)&amp;" ("&amp;VLOOKUP(A210,Regularizare!$D:$AX,24,FALSE)&amp;")"</f>
        <v>418326 (citit)</v>
      </c>
      <c r="S210" s="647"/>
      <c r="T210" s="647"/>
      <c r="U210" s="647" t="str">
        <f>VLOOKUP(A210,Regularizare!$D:$AX,25,FALSE)&amp;" ("&amp;VLOOKUP(A210,Regularizare!$D:$AX,26,FALSE)&amp;")"</f>
        <v>441354 (citit)</v>
      </c>
      <c r="V210" s="647"/>
      <c r="W210" s="647"/>
      <c r="X210" s="647" t="str">
        <f>VLOOKUP(A210,Regularizare!$D:$AX,37,FALSE)&amp;" ("&amp;VLOOKUP(A210,Regularizare!$D:$AX,26,FALSE)&amp;")"</f>
        <v>23028 (citit)</v>
      </c>
      <c r="Y210" s="647"/>
      <c r="Z210" s="647"/>
      <c r="AA210" s="647">
        <f>VLOOKUP(A210,Regularizare!$D:$AX,37,FALSE)</f>
        <v>23028</v>
      </c>
      <c r="AB210" s="647"/>
      <c r="AC210" s="647"/>
      <c r="AD210" s="647" t="s">
        <v>69</v>
      </c>
      <c r="AE210" s="647"/>
      <c r="AF210" s="647">
        <f>AA210</f>
        <v>23028</v>
      </c>
      <c r="AG210" s="647"/>
      <c r="AH210" s="647"/>
      <c r="AI210" s="647" t="str">
        <f>AI207</f>
        <v>-</v>
      </c>
      <c r="AJ210" s="647"/>
      <c r="AK210" s="647" t="str">
        <f>AK207</f>
        <v>-</v>
      </c>
      <c r="AL210" s="647"/>
      <c r="AM210" s="647"/>
    </row>
    <row r="211" spans="1:39" ht="8.4499999999999993" customHeight="1">
      <c r="A211" s="727"/>
      <c r="B211" s="729"/>
      <c r="C211" s="729"/>
      <c r="D211" s="729"/>
      <c r="E211" s="729"/>
      <c r="F211" s="728"/>
      <c r="G211" s="648"/>
      <c r="H211" s="648"/>
      <c r="I211" s="673"/>
      <c r="J211" s="717" t="s">
        <v>69</v>
      </c>
      <c r="K211" s="718"/>
      <c r="L211" s="719"/>
      <c r="M211" s="720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7"/>
      <c r="B212" s="688"/>
      <c r="C212" s="688"/>
      <c r="D212" s="688"/>
      <c r="E212" s="688"/>
      <c r="F212" s="689"/>
      <c r="G212" s="648"/>
      <c r="H212" s="648"/>
      <c r="I212" s="673"/>
      <c r="J212" s="714">
        <f>'Date masura OD'!$AL$5</f>
        <v>45777</v>
      </c>
      <c r="K212" s="715"/>
      <c r="L212" s="716"/>
      <c r="M212" s="720"/>
      <c r="N212" s="648"/>
      <c r="O212" s="648"/>
      <c r="P212" s="648"/>
      <c r="Q212" s="648"/>
      <c r="R212" s="647"/>
      <c r="S212" s="647"/>
      <c r="T212" s="647"/>
      <c r="U212" s="647"/>
      <c r="V212" s="647"/>
      <c r="W212" s="647"/>
      <c r="X212" s="647"/>
      <c r="Y212" s="647"/>
      <c r="Z212" s="647"/>
      <c r="AA212" s="647"/>
      <c r="AB212" s="647"/>
      <c r="AC212" s="647"/>
      <c r="AD212" s="647"/>
      <c r="AE212" s="647"/>
      <c r="AF212" s="647"/>
      <c r="AG212" s="647"/>
      <c r="AH212" s="647"/>
      <c r="AI212" s="647"/>
      <c r="AJ212" s="647"/>
      <c r="AK212" s="647"/>
      <c r="AL212" s="647"/>
      <c r="AM212" s="647"/>
    </row>
    <row r="213" spans="1:39" ht="14.1" customHeight="1">
      <c r="A213" s="684" t="str">
        <f>A210</f>
        <v>V.20G90290210100725/1</v>
      </c>
      <c r="B213" s="685"/>
      <c r="C213" s="685"/>
      <c r="D213" s="685"/>
      <c r="E213" s="685"/>
      <c r="F213" s="686"/>
      <c r="G213" s="648" t="s">
        <v>696</v>
      </c>
      <c r="H213" s="648"/>
      <c r="I213" s="648"/>
      <c r="J213" s="655">
        <f t="shared" ref="J213:J218" si="12">J210</f>
        <v>45748</v>
      </c>
      <c r="K213" s="656"/>
      <c r="L213" s="657"/>
      <c r="M213" s="648" t="s">
        <v>720</v>
      </c>
      <c r="N213" s="648"/>
      <c r="O213" s="648">
        <f>O210</f>
        <v>0</v>
      </c>
      <c r="P213" s="648"/>
      <c r="Q213" s="648"/>
      <c r="R213" s="647" t="str">
        <f>VLOOKUP(A213,Regularizare!$D:$AX,29,FALSE)&amp;" ("&amp;VLOOKUP(A213,Regularizare!$D:$AX,30,FALSE)&amp;")"</f>
        <v>54299 (citit)</v>
      </c>
      <c r="S213" s="647"/>
      <c r="T213" s="647"/>
      <c r="U213" s="647" t="str">
        <f>VLOOKUP(A213,Regularizare!$D:$AX,31,FALSE)&amp;" ("&amp;VLOOKUP(A213,Regularizare!$D:$AX,32,FALSE)&amp;")"</f>
        <v>57591 (citit)</v>
      </c>
      <c r="V213" s="647"/>
      <c r="W213" s="647"/>
      <c r="X213" s="647" t="str">
        <f>VLOOKUP(A213,Regularizare!$D:$AX,39,FALSE)&amp;" ("&amp;VLOOKUP(A213,Regularizare!$D:$AX,32,FALSE)&amp;")"</f>
        <v>3292 (citit)</v>
      </c>
      <c r="Y213" s="647"/>
      <c r="Z213" s="647"/>
      <c r="AA213" s="647">
        <f>VLOOKUP(A213,Regularizare!$D:$AX,44,FALSE)+VLOOKUP(A213,Regularizare!$D:$AX,45,FALSE)</f>
        <v>3292</v>
      </c>
      <c r="AB213" s="647"/>
      <c r="AC213" s="647"/>
      <c r="AD213" s="647" t="s">
        <v>69</v>
      </c>
      <c r="AE213" s="647"/>
      <c r="AF213" s="647">
        <f>AA213</f>
        <v>3292</v>
      </c>
      <c r="AG213" s="647"/>
      <c r="AH213" s="647"/>
      <c r="AI213" s="647" t="str">
        <f>AI210</f>
        <v>-</v>
      </c>
      <c r="AJ213" s="647"/>
      <c r="AK213" s="647" t="str">
        <f>AK210</f>
        <v>-</v>
      </c>
      <c r="AL213" s="647"/>
      <c r="AM213" s="647"/>
    </row>
    <row r="214" spans="1:39" ht="14.1" customHeight="1">
      <c r="A214" s="727"/>
      <c r="B214" s="729"/>
      <c r="C214" s="729"/>
      <c r="D214" s="729"/>
      <c r="E214" s="729"/>
      <c r="F214" s="728"/>
      <c r="G214" s="648"/>
      <c r="H214" s="648"/>
      <c r="I214" s="648"/>
      <c r="J214" s="717" t="str">
        <f t="shared" si="12"/>
        <v>-</v>
      </c>
      <c r="K214" s="718"/>
      <c r="L214" s="719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7"/>
      <c r="B215" s="688"/>
      <c r="C215" s="688"/>
      <c r="D215" s="688"/>
      <c r="E215" s="688"/>
      <c r="F215" s="689"/>
      <c r="G215" s="648"/>
      <c r="H215" s="648"/>
      <c r="I215" s="648"/>
      <c r="J215" s="714">
        <f t="shared" si="12"/>
        <v>45777</v>
      </c>
      <c r="K215" s="715"/>
      <c r="L215" s="716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4" t="str">
        <f>A213</f>
        <v>V.20G90290210100725/1</v>
      </c>
      <c r="B216" s="685"/>
      <c r="C216" s="685"/>
      <c r="D216" s="685"/>
      <c r="E216" s="685"/>
      <c r="F216" s="686"/>
      <c r="G216" s="648" t="s">
        <v>731</v>
      </c>
      <c r="H216" s="648"/>
      <c r="I216" s="648"/>
      <c r="J216" s="655">
        <f t="shared" si="12"/>
        <v>45748</v>
      </c>
      <c r="K216" s="656"/>
      <c r="L216" s="657"/>
      <c r="M216" s="648" t="s">
        <v>720</v>
      </c>
      <c r="N216" s="648"/>
      <c r="O216" s="648">
        <f>O213</f>
        <v>0</v>
      </c>
      <c r="P216" s="648"/>
      <c r="Q216" s="648"/>
      <c r="R216" s="647" t="str">
        <f>VLOOKUP(A216,Regularizare!$D:$AX,33,FALSE)&amp;" ("&amp;VLOOKUP(A216,Regularizare!$D:$AX,34,FALSE)&amp;")"</f>
        <v>6347 (citit)</v>
      </c>
      <c r="S216" s="647"/>
      <c r="T216" s="647"/>
      <c r="U216" s="647" t="str">
        <f>VLOOKUP(A216,Regularizare!$D:$AX,35,FALSE)&amp;" ("&amp;VLOOKUP(A216,Regularizare!$D:$AX,36,FALSE)&amp;")"</f>
        <v>6347 (citit)</v>
      </c>
      <c r="V216" s="647"/>
      <c r="W216" s="647"/>
      <c r="X216" s="647" t="str">
        <f>VLOOKUP(A216,Regularizare!$D:$AX,40,FALSE)&amp;" ("&amp;VLOOKUP(A216,Regularizare!$D:$AX,36,FALSE)&amp;")"</f>
        <v>0 (citit)</v>
      </c>
      <c r="Y216" s="647"/>
      <c r="Z216" s="647"/>
      <c r="AA216" s="647">
        <f>VLOOKUP(A216,Regularizare!$D:$AX,46,FALSE)+VLOOKUP(A216,Regularizare!$D:$AX,47,FALSE)</f>
        <v>0</v>
      </c>
      <c r="AB216" s="647"/>
      <c r="AC216" s="647"/>
      <c r="AD216" s="647" t="s">
        <v>69</v>
      </c>
      <c r="AE216" s="647"/>
      <c r="AF216" s="647">
        <f>AA216</f>
        <v>0</v>
      </c>
      <c r="AG216" s="647"/>
      <c r="AH216" s="647"/>
      <c r="AI216" s="647" t="str">
        <f>AI213</f>
        <v>-</v>
      </c>
      <c r="AJ216" s="647"/>
      <c r="AK216" s="647" t="str">
        <f>AK213</f>
        <v>-</v>
      </c>
      <c r="AL216" s="647"/>
      <c r="AM216" s="647"/>
    </row>
    <row r="217" spans="1:39" ht="14.1" customHeight="1">
      <c r="A217" s="727"/>
      <c r="B217" s="729"/>
      <c r="C217" s="729"/>
      <c r="D217" s="729"/>
      <c r="E217" s="729"/>
      <c r="F217" s="728"/>
      <c r="G217" s="648"/>
      <c r="H217" s="648"/>
      <c r="I217" s="648"/>
      <c r="J217" s="717" t="str">
        <f t="shared" si="12"/>
        <v>-</v>
      </c>
      <c r="K217" s="718"/>
      <c r="L217" s="719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7"/>
      <c r="B218" s="688"/>
      <c r="C218" s="688"/>
      <c r="D218" s="688"/>
      <c r="E218" s="688"/>
      <c r="F218" s="689"/>
      <c r="G218" s="648"/>
      <c r="H218" s="648"/>
      <c r="I218" s="648"/>
      <c r="J218" s="714">
        <f t="shared" si="12"/>
        <v>45777</v>
      </c>
      <c r="K218" s="715"/>
      <c r="L218" s="716"/>
      <c r="M218" s="648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>
      <c r="A219" s="684" t="str">
        <f>A216</f>
        <v>V.20G90290210100725/1</v>
      </c>
      <c r="B219" s="685"/>
      <c r="C219" s="685"/>
      <c r="D219" s="685"/>
      <c r="E219" s="685"/>
      <c r="F219" s="686"/>
      <c r="G219" s="648" t="s">
        <v>730</v>
      </c>
      <c r="H219" s="648"/>
      <c r="I219" s="673"/>
      <c r="J219" s="655">
        <f>'Date masura OD'!$I$5</f>
        <v>45778</v>
      </c>
      <c r="K219" s="656"/>
      <c r="L219" s="657"/>
      <c r="M219" s="720" t="s">
        <v>446</v>
      </c>
      <c r="N219" s="648"/>
      <c r="O219" s="648">
        <f>O216</f>
        <v>0</v>
      </c>
      <c r="P219" s="648"/>
      <c r="Q219" s="648"/>
      <c r="R219" s="647" t="str">
        <f>U210</f>
        <v>441354 (citit)</v>
      </c>
      <c r="S219" s="647"/>
      <c r="T219" s="647"/>
      <c r="U219" s="647" t="str">
        <f>VLOOKUP(A219,'Incrementare indexe'!$D:$M,4,FALSE)&amp;" (estimat)"</f>
        <v>463752 (estimat)</v>
      </c>
      <c r="V219" s="647"/>
      <c r="W219" s="647"/>
      <c r="X219" s="647" t="str">
        <f>VLOOKUP(A219,'Incrementare indexe'!$D:$Q,11,FALSE)&amp;" (estimat)"</f>
        <v>22398 (estimat)</v>
      </c>
      <c r="Y219" s="647"/>
      <c r="Z219" s="647"/>
      <c r="AA219" s="647" t="s">
        <v>69</v>
      </c>
      <c r="AB219" s="647"/>
      <c r="AC219" s="647"/>
      <c r="AD219" s="647" t="s">
        <v>69</v>
      </c>
      <c r="AE219" s="647"/>
      <c r="AF219" s="647">
        <f>VLOOKUP(A219,'Incrementare indexe'!$D:$Q,11,FALSE)</f>
        <v>22398</v>
      </c>
      <c r="AG219" s="647"/>
      <c r="AH219" s="647"/>
      <c r="AI219" s="647">
        <f>J221-J219+1</f>
        <v>31</v>
      </c>
      <c r="AJ219" s="647"/>
      <c r="AK219" s="647">
        <f>ROUND(AF219/AI219,2)</f>
        <v>722.52</v>
      </c>
      <c r="AL219" s="647"/>
      <c r="AM219" s="647"/>
    </row>
    <row r="220" spans="1:39" ht="14.1" customHeight="1">
      <c r="A220" s="727"/>
      <c r="B220" s="729"/>
      <c r="C220" s="729"/>
      <c r="D220" s="729"/>
      <c r="E220" s="729"/>
      <c r="F220" s="728"/>
      <c r="G220" s="648"/>
      <c r="H220" s="648"/>
      <c r="I220" s="673"/>
      <c r="J220" s="717" t="s">
        <v>69</v>
      </c>
      <c r="K220" s="718"/>
      <c r="L220" s="719"/>
      <c r="M220" s="720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87"/>
      <c r="B221" s="688"/>
      <c r="C221" s="688"/>
      <c r="D221" s="688"/>
      <c r="E221" s="688"/>
      <c r="F221" s="689"/>
      <c r="G221" s="648"/>
      <c r="H221" s="648"/>
      <c r="I221" s="673"/>
      <c r="J221" s="714">
        <f>'Date masura OD'!$J$5</f>
        <v>45808</v>
      </c>
      <c r="K221" s="715"/>
      <c r="L221" s="716"/>
      <c r="M221" s="720"/>
      <c r="N221" s="648"/>
      <c r="O221" s="648"/>
      <c r="P221" s="648"/>
      <c r="Q221" s="648"/>
      <c r="R221" s="647"/>
      <c r="S221" s="647"/>
      <c r="T221" s="647"/>
      <c r="U221" s="647"/>
      <c r="V221" s="647"/>
      <c r="W221" s="647"/>
      <c r="X221" s="647"/>
      <c r="Y221" s="647"/>
      <c r="Z221" s="647"/>
      <c r="AA221" s="647"/>
      <c r="AB221" s="647"/>
      <c r="AC221" s="647"/>
      <c r="AD221" s="647"/>
      <c r="AE221" s="647"/>
      <c r="AF221" s="647"/>
      <c r="AG221" s="647"/>
      <c r="AH221" s="647"/>
      <c r="AI221" s="647"/>
      <c r="AJ221" s="647"/>
      <c r="AK221" s="647"/>
      <c r="AL221" s="647"/>
      <c r="AM221" s="647"/>
    </row>
    <row r="222" spans="1:39" ht="14.1" customHeight="1">
      <c r="A222" s="684" t="str">
        <f>A219</f>
        <v>V.20G90290210100725/1</v>
      </c>
      <c r="B222" s="685"/>
      <c r="C222" s="685"/>
      <c r="D222" s="685"/>
      <c r="E222" s="685"/>
      <c r="F222" s="686"/>
      <c r="G222" s="648" t="s">
        <v>696</v>
      </c>
      <c r="H222" s="648"/>
      <c r="I222" s="648"/>
      <c r="J222" s="655">
        <f t="shared" ref="J222:J227" si="13">J219</f>
        <v>45778</v>
      </c>
      <c r="K222" s="656"/>
      <c r="L222" s="657"/>
      <c r="M222" s="648" t="s">
        <v>720</v>
      </c>
      <c r="N222" s="648"/>
      <c r="O222" s="648">
        <f>O219</f>
        <v>0</v>
      </c>
      <c r="P222" s="648"/>
      <c r="Q222" s="648"/>
      <c r="R222" s="647" t="str">
        <f>U213</f>
        <v>57591 (citit)</v>
      </c>
      <c r="S222" s="647"/>
      <c r="T222" s="647"/>
      <c r="U222" s="647" t="str">
        <f>VLOOKUP(A222,'Incrementare indexe'!$D:$M,8,FALSE)&amp;" (estimat)"</f>
        <v>57591 (estimat)</v>
      </c>
      <c r="V222" s="647"/>
      <c r="W222" s="647"/>
      <c r="X222" s="647" t="str">
        <f>VLOOKUP(A222,'Incrementare indexe'!$D:$Q,12,FALSE)&amp;" (estimat)"</f>
        <v>0 (estimat)</v>
      </c>
      <c r="Y222" s="647"/>
      <c r="Z222" s="647"/>
      <c r="AA222" s="647" t="s">
        <v>69</v>
      </c>
      <c r="AB222" s="647"/>
      <c r="AC222" s="647"/>
      <c r="AD222" s="647" t="s">
        <v>69</v>
      </c>
      <c r="AE222" s="647"/>
      <c r="AF222" s="647">
        <f>VLOOKUP(A222,'Incrementare indexe'!$D:$Q,12,FALSE)</f>
        <v>0</v>
      </c>
      <c r="AG222" s="647"/>
      <c r="AH222" s="647"/>
      <c r="AI222" s="647">
        <f>AI219</f>
        <v>31</v>
      </c>
      <c r="AJ222" s="647"/>
      <c r="AK222" s="647">
        <f>ROUND(AF222/AI222,2)</f>
        <v>0</v>
      </c>
      <c r="AL222" s="647"/>
      <c r="AM222" s="647"/>
    </row>
    <row r="223" spans="1:39" ht="14.1" customHeight="1">
      <c r="A223" s="727"/>
      <c r="B223" s="729"/>
      <c r="C223" s="729"/>
      <c r="D223" s="729"/>
      <c r="E223" s="729"/>
      <c r="F223" s="728"/>
      <c r="G223" s="648"/>
      <c r="H223" s="648"/>
      <c r="I223" s="648"/>
      <c r="J223" s="717" t="str">
        <f t="shared" si="13"/>
        <v>-</v>
      </c>
      <c r="K223" s="718"/>
      <c r="L223" s="719"/>
      <c r="M223" s="648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87"/>
      <c r="B224" s="688"/>
      <c r="C224" s="688"/>
      <c r="D224" s="688"/>
      <c r="E224" s="688"/>
      <c r="F224" s="689"/>
      <c r="G224" s="648"/>
      <c r="H224" s="648"/>
      <c r="I224" s="648"/>
      <c r="J224" s="714">
        <f t="shared" si="13"/>
        <v>45808</v>
      </c>
      <c r="K224" s="715"/>
      <c r="L224" s="716"/>
      <c r="M224" s="648"/>
      <c r="N224" s="648"/>
      <c r="O224" s="648"/>
      <c r="P224" s="648"/>
      <c r="Q224" s="648"/>
      <c r="R224" s="647"/>
      <c r="S224" s="647"/>
      <c r="T224" s="647"/>
      <c r="U224" s="647"/>
      <c r="V224" s="647"/>
      <c r="W224" s="647"/>
      <c r="X224" s="647"/>
      <c r="Y224" s="647"/>
      <c r="Z224" s="647"/>
      <c r="AA224" s="647"/>
      <c r="AB224" s="647"/>
      <c r="AC224" s="647"/>
      <c r="AD224" s="647"/>
      <c r="AE224" s="647"/>
      <c r="AF224" s="647"/>
      <c r="AG224" s="647"/>
      <c r="AH224" s="647"/>
      <c r="AI224" s="647"/>
      <c r="AJ224" s="647"/>
      <c r="AK224" s="647"/>
      <c r="AL224" s="647"/>
      <c r="AM224" s="647"/>
    </row>
    <row r="225" spans="1:39" ht="14.1" customHeight="1">
      <c r="A225" s="684" t="str">
        <f>A222</f>
        <v>V.20G90290210100725/1</v>
      </c>
      <c r="B225" s="685"/>
      <c r="C225" s="685"/>
      <c r="D225" s="685"/>
      <c r="E225" s="685"/>
      <c r="F225" s="686"/>
      <c r="G225" s="648" t="s">
        <v>731</v>
      </c>
      <c r="H225" s="648"/>
      <c r="I225" s="648"/>
      <c r="J225" s="655">
        <f t="shared" si="13"/>
        <v>45778</v>
      </c>
      <c r="K225" s="656"/>
      <c r="L225" s="657"/>
      <c r="M225" s="648" t="s">
        <v>720</v>
      </c>
      <c r="N225" s="648"/>
      <c r="O225" s="648">
        <f>O222</f>
        <v>0</v>
      </c>
      <c r="P225" s="648"/>
      <c r="Q225" s="648"/>
      <c r="R225" s="647" t="str">
        <f>U216</f>
        <v>6347 (citit)</v>
      </c>
      <c r="S225" s="647"/>
      <c r="T225" s="647"/>
      <c r="U225" s="647" t="str">
        <f>VLOOKUP(A225,'Incrementare indexe'!$D:$M,10,FALSE)&amp;" (estimat)"</f>
        <v>6347 (estimat)</v>
      </c>
      <c r="V225" s="647"/>
      <c r="W225" s="647"/>
      <c r="X225" s="647" t="str">
        <f>VLOOKUP(A225,'Incrementare indexe'!$D:$Q,13,FALSE)&amp;" (estimat)"</f>
        <v>0 (estimat)</v>
      </c>
      <c r="Y225" s="647"/>
      <c r="Z225" s="647"/>
      <c r="AA225" s="647" t="s">
        <v>69</v>
      </c>
      <c r="AB225" s="647"/>
      <c r="AC225" s="647"/>
      <c r="AD225" s="647" t="s">
        <v>69</v>
      </c>
      <c r="AE225" s="647"/>
      <c r="AF225" s="647">
        <f>VLOOKUP(A225,'Incrementare indexe'!$D:$Q,13,FALSE)</f>
        <v>0</v>
      </c>
      <c r="AG225" s="647"/>
      <c r="AH225" s="647"/>
      <c r="AI225" s="647">
        <f>AI222</f>
        <v>31</v>
      </c>
      <c r="AJ225" s="647"/>
      <c r="AK225" s="647">
        <f>ROUND(AF225/AI225,2)</f>
        <v>0</v>
      </c>
      <c r="AL225" s="647"/>
      <c r="AM225" s="647"/>
    </row>
    <row r="226" spans="1:39" ht="14.1" customHeight="1">
      <c r="A226" s="727"/>
      <c r="B226" s="729"/>
      <c r="C226" s="729"/>
      <c r="D226" s="729"/>
      <c r="E226" s="729"/>
      <c r="F226" s="728"/>
      <c r="G226" s="648"/>
      <c r="H226" s="648"/>
      <c r="I226" s="648"/>
      <c r="J226" s="717" t="str">
        <f t="shared" si="13"/>
        <v>-</v>
      </c>
      <c r="K226" s="718"/>
      <c r="L226" s="719"/>
      <c r="M226" s="648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687"/>
      <c r="B227" s="688"/>
      <c r="C227" s="688"/>
      <c r="D227" s="688"/>
      <c r="E227" s="688"/>
      <c r="F227" s="689"/>
      <c r="G227" s="648"/>
      <c r="H227" s="648"/>
      <c r="I227" s="648"/>
      <c r="J227" s="714">
        <f t="shared" si="13"/>
        <v>45808</v>
      </c>
      <c r="K227" s="715"/>
      <c r="L227" s="716"/>
      <c r="M227" s="648"/>
      <c r="N227" s="648"/>
      <c r="O227" s="648"/>
      <c r="P227" s="648"/>
      <c r="Q227" s="648"/>
      <c r="R227" s="647"/>
      <c r="S227" s="647"/>
      <c r="T227" s="647"/>
      <c r="U227" s="647"/>
      <c r="V227" s="647"/>
      <c r="W227" s="647"/>
      <c r="X227" s="647"/>
      <c r="Y227" s="647"/>
      <c r="Z227" s="647"/>
      <c r="AA227" s="647"/>
      <c r="AB227" s="647"/>
      <c r="AC227" s="647"/>
      <c r="AD227" s="647"/>
      <c r="AE227" s="647"/>
      <c r="AF227" s="647"/>
      <c r="AG227" s="647"/>
      <c r="AH227" s="647"/>
      <c r="AI227" s="647"/>
      <c r="AJ227" s="647"/>
      <c r="AK227" s="647"/>
      <c r="AL227" s="647"/>
      <c r="AM227" s="647"/>
    </row>
    <row r="228" spans="1:39" ht="14.1" customHeight="1">
      <c r="A228" s="195"/>
      <c r="B228" s="195"/>
      <c r="C228" s="195"/>
      <c r="D228" s="195"/>
      <c r="E228" s="195"/>
      <c r="F228" s="195"/>
      <c r="G228" s="196"/>
      <c r="H228" s="196"/>
      <c r="I228" s="196"/>
      <c r="J228" s="197"/>
      <c r="K228" s="197"/>
      <c r="L228" s="197"/>
      <c r="M228" s="196"/>
      <c r="N228" s="196"/>
      <c r="O228" s="196"/>
      <c r="P228" s="196"/>
      <c r="Q228" s="196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</row>
    <row r="229" spans="1:39" ht="14.1" customHeight="1">
      <c r="A229" s="195"/>
      <c r="B229" s="195"/>
      <c r="C229" s="195"/>
      <c r="D229" s="195"/>
      <c r="E229" s="195"/>
      <c r="F229" s="195"/>
      <c r="G229" s="196"/>
      <c r="H229" s="196"/>
      <c r="I229" s="196"/>
      <c r="J229" s="197"/>
      <c r="K229" s="197"/>
      <c r="L229" s="197"/>
      <c r="M229" s="196"/>
      <c r="N229" s="196"/>
      <c r="O229" s="196"/>
      <c r="P229" s="196"/>
      <c r="Q229" s="196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</row>
    <row r="230" spans="1:39" ht="14.1" customHeight="1">
      <c r="A230" s="195"/>
      <c r="B230" s="195"/>
      <c r="C230" s="195"/>
      <c r="D230" s="195"/>
      <c r="E230" s="195"/>
      <c r="F230" s="195"/>
      <c r="G230" s="196"/>
      <c r="H230" s="196"/>
      <c r="I230" s="196"/>
      <c r="J230" s="197"/>
      <c r="K230" s="197"/>
      <c r="L230" s="197"/>
      <c r="M230" s="196"/>
      <c r="N230" s="196"/>
      <c r="O230" s="196"/>
      <c r="P230" s="196"/>
      <c r="Q230" s="196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</row>
    <row r="231" spans="1:39" ht="14.1" customHeight="1">
      <c r="A231" s="195"/>
      <c r="B231" s="195"/>
      <c r="C231" s="195"/>
      <c r="D231" s="195"/>
      <c r="E231" s="195"/>
      <c r="F231" s="195"/>
      <c r="G231" s="196"/>
      <c r="H231" s="196"/>
      <c r="I231" s="196"/>
      <c r="J231" s="197"/>
      <c r="K231" s="197"/>
      <c r="L231" s="197"/>
      <c r="M231" s="196"/>
      <c r="N231" s="196"/>
      <c r="O231" s="196"/>
      <c r="P231" s="196"/>
      <c r="Q231" s="196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</row>
    <row r="232" spans="1:39" ht="8.4499999999999993" customHeight="1">
      <c r="A232" s="695" t="s">
        <v>858</v>
      </c>
      <c r="B232" s="695"/>
      <c r="C232" s="695"/>
      <c r="D232" s="695"/>
      <c r="E232" s="695"/>
      <c r="F232" s="695"/>
      <c r="G232" s="695"/>
      <c r="H232" s="695" t="str">
        <f>VLOOKUP($AA$15,'Date SPV'!$B:$H,4,FALSE)</f>
        <v>Bulevardul 1 Decembrie 1918, nr. 33A, Sector 3, Bucuresti</v>
      </c>
      <c r="I232" s="695"/>
      <c r="J232" s="695"/>
      <c r="K232" s="695"/>
      <c r="L232" s="695"/>
      <c r="M232" s="695"/>
      <c r="N232" s="695"/>
      <c r="O232" s="695"/>
      <c r="P232" s="695"/>
      <c r="Q232" s="695"/>
      <c r="R232" s="695"/>
      <c r="S232" s="695"/>
      <c r="T232" s="695"/>
      <c r="U232" s="695"/>
      <c r="V232" s="695"/>
      <c r="W232" s="695"/>
      <c r="X232" s="695"/>
      <c r="Y232" s="695"/>
      <c r="Z232" s="695"/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5"/>
    </row>
    <row r="233" spans="1:39" ht="18" customHeight="1">
      <c r="A233" s="695"/>
      <c r="B233" s="695"/>
      <c r="C233" s="695"/>
      <c r="D233" s="695"/>
      <c r="E233" s="695"/>
      <c r="F233" s="695"/>
      <c r="G233" s="695"/>
      <c r="H233" s="695"/>
      <c r="I233" s="695"/>
      <c r="J233" s="695"/>
      <c r="K233" s="695"/>
      <c r="L233" s="695"/>
      <c r="M233" s="695"/>
      <c r="N233" s="695"/>
      <c r="O233" s="695"/>
      <c r="P233" s="695"/>
      <c r="Q233" s="695"/>
      <c r="R233" s="695"/>
      <c r="S233" s="695"/>
      <c r="T233" s="695"/>
      <c r="U233" s="695"/>
      <c r="V233" s="695"/>
      <c r="W233" s="695"/>
      <c r="X233" s="695"/>
      <c r="Y233" s="695"/>
      <c r="Z233" s="695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</row>
    <row r="234" spans="1:39" ht="14.1" customHeight="1">
      <c r="A234" s="695" t="s">
        <v>859</v>
      </c>
      <c r="B234" s="695"/>
      <c r="C234" s="695"/>
      <c r="D234" s="695"/>
      <c r="E234" s="695"/>
      <c r="F234" s="695"/>
      <c r="G234" s="695"/>
      <c r="H234" s="712">
        <f>VLOOKUP(AA234,'Date masura OD'!$G:$BE,51,FALSE)</f>
        <v>5000581153</v>
      </c>
      <c r="I234" s="712"/>
      <c r="J234" s="712"/>
      <c r="K234" s="712"/>
      <c r="L234" s="712"/>
      <c r="M234" s="712"/>
      <c r="N234" s="712"/>
      <c r="O234" s="712"/>
      <c r="P234" s="712"/>
      <c r="Q234" s="712"/>
      <c r="R234" s="712"/>
      <c r="S234" s="712"/>
      <c r="T234" s="712"/>
      <c r="U234" s="712"/>
      <c r="V234" s="712"/>
      <c r="W234" s="712" t="s">
        <v>860</v>
      </c>
      <c r="X234" s="712"/>
      <c r="Y234" s="712"/>
      <c r="Z234" s="712"/>
      <c r="AA234" s="640" t="str">
        <f>_xlfn.CONCAT($AA$15,"_",4)</f>
        <v>RITS_4</v>
      </c>
      <c r="AB234" s="640"/>
      <c r="AC234" s="640"/>
      <c r="AD234" s="640"/>
      <c r="AE234" s="640"/>
      <c r="AF234" s="640"/>
      <c r="AG234" s="640"/>
      <c r="AH234" s="640"/>
      <c r="AI234" s="640"/>
      <c r="AJ234" s="640"/>
      <c r="AK234" s="640"/>
      <c r="AL234" s="640"/>
      <c r="AM234" s="640"/>
    </row>
    <row r="235" spans="1:39" ht="8.4499999999999993" customHeight="1">
      <c r="A235" s="695"/>
      <c r="B235" s="695"/>
      <c r="C235" s="695"/>
      <c r="D235" s="695"/>
      <c r="E235" s="695"/>
      <c r="F235" s="695"/>
      <c r="G235" s="695"/>
      <c r="H235" s="712"/>
      <c r="I235" s="712"/>
      <c r="J235" s="712"/>
      <c r="K235" s="712"/>
      <c r="L235" s="712"/>
      <c r="M235" s="712"/>
      <c r="N235" s="712"/>
      <c r="O235" s="712"/>
      <c r="P235" s="712"/>
      <c r="Q235" s="712"/>
      <c r="R235" s="712"/>
      <c r="S235" s="712"/>
      <c r="T235" s="712"/>
      <c r="U235" s="712"/>
      <c r="V235" s="712"/>
      <c r="W235" s="712"/>
      <c r="X235" s="712"/>
      <c r="Y235" s="712"/>
      <c r="Z235" s="712"/>
      <c r="AA235" s="640"/>
      <c r="AB235" s="640"/>
      <c r="AC235" s="640"/>
      <c r="AD235" s="640"/>
      <c r="AE235" s="640"/>
      <c r="AF235" s="640"/>
      <c r="AG235" s="640"/>
      <c r="AH235" s="640"/>
      <c r="AI235" s="640"/>
      <c r="AJ235" s="640"/>
      <c r="AK235" s="640"/>
      <c r="AL235" s="640"/>
      <c r="AM235" s="640"/>
    </row>
    <row r="236" spans="1:39" ht="8.4499999999999993" customHeight="1">
      <c r="A236" s="274"/>
      <c r="B236" s="274"/>
      <c r="C236" s="274"/>
      <c r="D236" s="274"/>
      <c r="E236" s="274"/>
      <c r="F236" s="274"/>
      <c r="G236" s="274"/>
      <c r="H236" s="275"/>
      <c r="I236" s="275"/>
      <c r="J236" s="275"/>
      <c r="K236" s="275"/>
      <c r="L236" s="275"/>
      <c r="M236" s="275"/>
      <c r="N236" s="275"/>
      <c r="O236" s="275"/>
      <c r="P236" s="275"/>
      <c r="Q236" s="275"/>
      <c r="R236" s="275"/>
      <c r="S236" s="275"/>
      <c r="T236" s="275"/>
      <c r="U236" s="275"/>
      <c r="V236" s="275"/>
      <c r="W236" s="275"/>
      <c r="X236" s="275"/>
      <c r="Y236" s="275"/>
      <c r="Z236" s="275"/>
      <c r="AA236" s="276"/>
      <c r="AB236" s="276"/>
      <c r="AC236" s="276"/>
      <c r="AD236" s="276"/>
      <c r="AE236" s="276"/>
      <c r="AF236" s="276"/>
      <c r="AG236" s="276"/>
      <c r="AH236" s="276"/>
      <c r="AI236" s="276"/>
      <c r="AJ236" s="276"/>
      <c r="AK236" s="276"/>
      <c r="AL236" s="276"/>
      <c r="AM236" s="276"/>
    </row>
    <row r="237" spans="1:39" ht="14.1" customHeight="1"/>
    <row r="238" spans="1:39" ht="14.1" customHeight="1">
      <c r="A238" s="649" t="s">
        <v>748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50" t="str">
        <f>VLOOKUP(AI239,'Contorizare in SDI'!$E:$I,4,FALSE)</f>
        <v>RO001E109430736/1</v>
      </c>
      <c r="N238" s="650"/>
      <c r="O238" s="650"/>
      <c r="P238" s="650"/>
      <c r="Q238" s="650"/>
      <c r="R238" s="650"/>
      <c r="S238" s="650"/>
      <c r="T238" s="650"/>
      <c r="U238" s="650"/>
      <c r="V238" s="650"/>
      <c r="W238" s="650"/>
      <c r="X238" s="650"/>
      <c r="Y238" s="650"/>
      <c r="Z238" s="650"/>
      <c r="AA238" s="650"/>
      <c r="AB238" s="650"/>
      <c r="AC238" s="650"/>
      <c r="AD238" s="650"/>
      <c r="AE238" s="650"/>
      <c r="AF238" s="650"/>
      <c r="AG238" s="650"/>
      <c r="AH238" s="650"/>
      <c r="AI238" s="650" t="s">
        <v>695</v>
      </c>
      <c r="AJ238" s="650"/>
      <c r="AK238" s="650"/>
      <c r="AL238" s="650"/>
      <c r="AM238" s="650"/>
    </row>
    <row r="239" spans="1:39">
      <c r="A239" s="649" t="s">
        <v>746</v>
      </c>
      <c r="B239" s="649"/>
      <c r="C239" s="649"/>
      <c r="D239" s="649"/>
      <c r="E239" s="649"/>
      <c r="F239" s="649"/>
      <c r="G239" s="649"/>
      <c r="H239" s="649"/>
      <c r="I239" s="649"/>
      <c r="J239" s="649"/>
      <c r="K239" s="649"/>
      <c r="L239" s="649"/>
      <c r="M239" s="650" t="str">
        <f>VLOOKUP(AI239,'Inchidere contur'!$G:$U,15,FALSE)</f>
        <v>JT_SDI</v>
      </c>
      <c r="N239" s="650"/>
      <c r="O239" s="650"/>
      <c r="P239" s="650"/>
      <c r="Q239" s="650"/>
      <c r="R239" s="650"/>
      <c r="S239" s="650"/>
      <c r="T239" s="650"/>
      <c r="U239" s="650"/>
      <c r="V239" s="650"/>
      <c r="W239" s="650"/>
      <c r="X239" s="650"/>
      <c r="Y239" s="650"/>
      <c r="Z239" s="650"/>
      <c r="AA239" s="650"/>
      <c r="AB239" s="650"/>
      <c r="AC239" s="650"/>
      <c r="AD239" s="650"/>
      <c r="AE239" s="650"/>
      <c r="AF239" s="650"/>
      <c r="AG239" s="650"/>
      <c r="AH239" s="650"/>
      <c r="AI239" s="619" t="str">
        <f>_xlfn.CONCAT(AA234,".",1)</f>
        <v>RITS_4.1</v>
      </c>
      <c r="AJ239" s="619"/>
      <c r="AK239" s="619"/>
      <c r="AL239" s="619"/>
      <c r="AM239" s="619"/>
    </row>
    <row r="240" spans="1:39" ht="14.1" customHeight="1">
      <c r="A240" s="649" t="s">
        <v>747</v>
      </c>
      <c r="B240" s="649"/>
      <c r="C240" s="649"/>
      <c r="D240" s="649"/>
      <c r="E240" s="649"/>
      <c r="F240" s="649"/>
      <c r="G240" s="649"/>
      <c r="H240" s="649"/>
      <c r="I240" s="649"/>
      <c r="J240" s="649"/>
      <c r="K240" s="649"/>
      <c r="L240" s="649"/>
      <c r="M240" s="650" t="str">
        <f>IF(LEFT(M239,2)="JT","0.4kV",IF(LEFT(M239,2)="MT","20kV","-"))</f>
        <v>0.4kV</v>
      </c>
      <c r="N240" s="650"/>
      <c r="O240" s="650"/>
      <c r="P240" s="650"/>
      <c r="Q240" s="650"/>
      <c r="R240" s="650"/>
      <c r="S240" s="650"/>
      <c r="T240" s="650"/>
      <c r="U240" s="650"/>
      <c r="V240" s="650"/>
      <c r="W240" s="650"/>
      <c r="X240" s="650"/>
      <c r="Y240" s="650"/>
      <c r="Z240" s="650"/>
      <c r="AA240" s="650"/>
      <c r="AB240" s="650"/>
      <c r="AC240" s="650"/>
      <c r="AD240" s="650"/>
      <c r="AE240" s="650"/>
      <c r="AF240" s="650"/>
      <c r="AG240" s="650"/>
      <c r="AH240" s="650"/>
      <c r="AI240" s="619"/>
      <c r="AJ240" s="619"/>
      <c r="AK240" s="619"/>
      <c r="AL240" s="619"/>
      <c r="AM240" s="619"/>
    </row>
    <row r="241" spans="1:39" ht="14.1" customHeight="1">
      <c r="A241" s="648" t="s">
        <v>697</v>
      </c>
      <c r="B241" s="648"/>
      <c r="C241" s="648"/>
      <c r="D241" s="648"/>
      <c r="E241" s="648"/>
      <c r="F241" s="648"/>
      <c r="G241" s="647" t="s">
        <v>713</v>
      </c>
      <c r="H241" s="647"/>
      <c r="I241" s="647"/>
      <c r="J241" s="647" t="s">
        <v>714</v>
      </c>
      <c r="K241" s="647"/>
      <c r="L241" s="647"/>
      <c r="M241" s="648" t="s">
        <v>519</v>
      </c>
      <c r="N241" s="648"/>
      <c r="O241" s="648" t="s">
        <v>715</v>
      </c>
      <c r="P241" s="648"/>
      <c r="Q241" s="648"/>
      <c r="R241" s="647" t="s">
        <v>732</v>
      </c>
      <c r="S241" s="647"/>
      <c r="T241" s="647"/>
      <c r="U241" s="647" t="s">
        <v>734</v>
      </c>
      <c r="V241" s="647"/>
      <c r="W241" s="647"/>
      <c r="X241" s="647" t="s">
        <v>1085</v>
      </c>
      <c r="Y241" s="647"/>
      <c r="Z241" s="647"/>
      <c r="AA241" s="647" t="s">
        <v>1086</v>
      </c>
      <c r="AB241" s="647"/>
      <c r="AC241" s="647"/>
      <c r="AD241" s="647" t="s">
        <v>717</v>
      </c>
      <c r="AE241" s="647"/>
      <c r="AF241" s="647" t="s">
        <v>718</v>
      </c>
      <c r="AG241" s="647"/>
      <c r="AH241" s="647"/>
      <c r="AI241" s="647" t="s">
        <v>719</v>
      </c>
      <c r="AJ241" s="647"/>
      <c r="AK241" s="647" t="s">
        <v>733</v>
      </c>
      <c r="AL241" s="647"/>
      <c r="AM241" s="647"/>
    </row>
    <row r="242" spans="1:39" ht="8.4499999999999993" customHeight="1">
      <c r="A242" s="648"/>
      <c r="B242" s="648"/>
      <c r="C242" s="648"/>
      <c r="D242" s="648"/>
      <c r="E242" s="648"/>
      <c r="F242" s="648"/>
      <c r="G242" s="647"/>
      <c r="H242" s="647"/>
      <c r="I242" s="647"/>
      <c r="J242" s="647"/>
      <c r="K242" s="647"/>
      <c r="L242" s="647"/>
      <c r="M242" s="648"/>
      <c r="N242" s="648"/>
      <c r="O242" s="648"/>
      <c r="P242" s="648"/>
      <c r="Q242" s="648"/>
      <c r="R242" s="647"/>
      <c r="S242" s="647"/>
      <c r="T242" s="647"/>
      <c r="U242" s="647"/>
      <c r="V242" s="647"/>
      <c r="W242" s="647"/>
      <c r="X242" s="647"/>
      <c r="Y242" s="647"/>
      <c r="Z242" s="647"/>
      <c r="AA242" s="647"/>
      <c r="AB242" s="647"/>
      <c r="AC242" s="647"/>
      <c r="AD242" s="647"/>
      <c r="AE242" s="647"/>
      <c r="AF242" s="647"/>
      <c r="AG242" s="647"/>
      <c r="AH242" s="647"/>
      <c r="AI242" s="647"/>
      <c r="AJ242" s="647"/>
      <c r="AK242" s="647"/>
      <c r="AL242" s="647"/>
      <c r="AM242" s="647"/>
    </row>
    <row r="243" spans="1:39" ht="14.1" customHeight="1">
      <c r="A243" s="648"/>
      <c r="B243" s="648"/>
      <c r="C243" s="648"/>
      <c r="D243" s="648"/>
      <c r="E243" s="648"/>
      <c r="F243" s="648"/>
      <c r="G243" s="647"/>
      <c r="H243" s="647"/>
      <c r="I243" s="647"/>
      <c r="J243" s="713"/>
      <c r="K243" s="713"/>
      <c r="L243" s="713"/>
      <c r="M243" s="648"/>
      <c r="N243" s="648"/>
      <c r="O243" s="648"/>
      <c r="P243" s="648"/>
      <c r="Q243" s="648"/>
      <c r="R243" s="647"/>
      <c r="S243" s="647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647"/>
      <c r="AL243" s="647"/>
      <c r="AM243" s="647"/>
    </row>
    <row r="244" spans="1:39" ht="14.1" customHeight="1">
      <c r="A244" s="684" t="str">
        <f>VLOOKUP(AI239,'Contorizare in SDI'!$E:$I,5,FALSE)</f>
        <v>V.20G90290210100775/1</v>
      </c>
      <c r="B244" s="685"/>
      <c r="C244" s="685"/>
      <c r="D244" s="685"/>
      <c r="E244" s="685"/>
      <c r="F244" s="686"/>
      <c r="G244" s="648" t="s">
        <v>730</v>
      </c>
      <c r="H244" s="648"/>
      <c r="I244" s="673"/>
      <c r="J244" s="655">
        <f>'Date masura OD'!$AK$5</f>
        <v>45748</v>
      </c>
      <c r="K244" s="656"/>
      <c r="L244" s="657"/>
      <c r="M244" s="720" t="s">
        <v>446</v>
      </c>
      <c r="N244" s="648"/>
      <c r="O244" s="648">
        <f>VLOOKUP(AI239,'Incrementare indexe'!$B:$T,4,FALSE)</f>
        <v>1</v>
      </c>
      <c r="P244" s="648"/>
      <c r="Q244" s="648"/>
      <c r="R244" s="647" t="str">
        <f>VLOOKUP(A244,Regularizare!$D:$YN,3,FALSE)&amp;" ("&amp;VLOOKUP(A244,Regularizare!$D:$Y,11,FALSE)&amp;")"</f>
        <v>1403221 (citit)</v>
      </c>
      <c r="S244" s="647"/>
      <c r="T244" s="647"/>
      <c r="U244" s="647" t="str">
        <f>VLOOKUP(A244,Regularizare!$D:$U,4,FALSE)&amp;" ("&amp;VLOOKUP(A244,Regularizare!$D:$U,12,FALSE)&amp;")"</f>
        <v>1461579 (estimat)</v>
      </c>
      <c r="V244" s="647"/>
      <c r="W244" s="647"/>
      <c r="X244" s="647" t="str">
        <f>VLOOKUP(A244,Regularizare!$D:$Y,19,FALSE)&amp;" ("&amp;VLOOKUP(A244,Regularizare!$D:$U,12,FALSE)&amp;")"</f>
        <v>58358 (estimat)</v>
      </c>
      <c r="Y244" s="647"/>
      <c r="Z244" s="647"/>
      <c r="AA244" s="647">
        <f>(-1)*VLOOKUP(A244,Regularizare!$D:$Y,19,FALSE)</f>
        <v>-58358</v>
      </c>
      <c r="AB244" s="647"/>
      <c r="AC244" s="647"/>
      <c r="AD244" s="647" t="s">
        <v>69</v>
      </c>
      <c r="AE244" s="647"/>
      <c r="AF244" s="647">
        <f>AA244</f>
        <v>-58358</v>
      </c>
      <c r="AG244" s="647"/>
      <c r="AH244" s="647"/>
      <c r="AI244" s="647" t="s">
        <v>69</v>
      </c>
      <c r="AJ244" s="647"/>
      <c r="AK244" s="647" t="s">
        <v>69</v>
      </c>
      <c r="AL244" s="647"/>
      <c r="AM244" s="647"/>
    </row>
    <row r="245" spans="1:39" ht="8.4499999999999993" customHeight="1">
      <c r="A245" s="727"/>
      <c r="B245" s="729"/>
      <c r="C245" s="729"/>
      <c r="D245" s="729"/>
      <c r="E245" s="729"/>
      <c r="F245" s="728"/>
      <c r="G245" s="648"/>
      <c r="H245" s="648"/>
      <c r="I245" s="673"/>
      <c r="J245" s="717" t="s">
        <v>69</v>
      </c>
      <c r="K245" s="718"/>
      <c r="L245" s="719"/>
      <c r="M245" s="720"/>
      <c r="N245" s="648"/>
      <c r="O245" s="648"/>
      <c r="P245" s="648"/>
      <c r="Q245" s="648"/>
      <c r="R245" s="647"/>
      <c r="S245" s="647"/>
      <c r="T245" s="647"/>
      <c r="U245" s="647"/>
      <c r="V245" s="647"/>
      <c r="W245" s="647"/>
      <c r="X245" s="647"/>
      <c r="Y245" s="647"/>
      <c r="Z245" s="647"/>
      <c r="AA245" s="647"/>
      <c r="AB245" s="647"/>
      <c r="AC245" s="647"/>
      <c r="AD245" s="647"/>
      <c r="AE245" s="647"/>
      <c r="AF245" s="647"/>
      <c r="AG245" s="647"/>
      <c r="AH245" s="647"/>
      <c r="AI245" s="647"/>
      <c r="AJ245" s="647"/>
      <c r="AK245" s="647"/>
      <c r="AL245" s="647"/>
      <c r="AM245" s="647"/>
    </row>
    <row r="246" spans="1:39" ht="14.1" customHeight="1">
      <c r="A246" s="687"/>
      <c r="B246" s="688"/>
      <c r="C246" s="688"/>
      <c r="D246" s="688"/>
      <c r="E246" s="688"/>
      <c r="F246" s="689"/>
      <c r="G246" s="648"/>
      <c r="H246" s="648"/>
      <c r="I246" s="673"/>
      <c r="J246" s="714">
        <f>'Date masura OD'!$AL$5</f>
        <v>45777</v>
      </c>
      <c r="K246" s="715"/>
      <c r="L246" s="716"/>
      <c r="M246" s="720"/>
      <c r="N246" s="648"/>
      <c r="O246" s="648"/>
      <c r="P246" s="648"/>
      <c r="Q246" s="648"/>
      <c r="R246" s="647"/>
      <c r="S246" s="647"/>
      <c r="T246" s="647"/>
      <c r="U246" s="647"/>
      <c r="V246" s="647"/>
      <c r="W246" s="647"/>
      <c r="X246" s="647"/>
      <c r="Y246" s="647"/>
      <c r="Z246" s="647"/>
      <c r="AA246" s="647"/>
      <c r="AB246" s="647"/>
      <c r="AC246" s="647"/>
      <c r="AD246" s="647"/>
      <c r="AE246" s="647"/>
      <c r="AF246" s="647"/>
      <c r="AG246" s="647"/>
      <c r="AH246" s="647"/>
      <c r="AI246" s="647"/>
      <c r="AJ246" s="647"/>
      <c r="AK246" s="647"/>
      <c r="AL246" s="647"/>
      <c r="AM246" s="647"/>
    </row>
    <row r="247" spans="1:39" ht="14.1" customHeight="1">
      <c r="A247" s="684" t="str">
        <f>A244</f>
        <v>V.20G90290210100775/1</v>
      </c>
      <c r="B247" s="685"/>
      <c r="C247" s="685"/>
      <c r="D247" s="685"/>
      <c r="E247" s="685"/>
      <c r="F247" s="686"/>
      <c r="G247" s="648" t="s">
        <v>696</v>
      </c>
      <c r="H247" s="648"/>
      <c r="I247" s="648"/>
      <c r="J247" s="655">
        <f t="shared" ref="J247:J252" si="14">J244</f>
        <v>45748</v>
      </c>
      <c r="K247" s="656"/>
      <c r="L247" s="657"/>
      <c r="M247" s="648" t="s">
        <v>720</v>
      </c>
      <c r="N247" s="648"/>
      <c r="O247" s="648">
        <f>O244</f>
        <v>1</v>
      </c>
      <c r="P247" s="648"/>
      <c r="Q247" s="648"/>
      <c r="R247" s="647" t="str">
        <f>VLOOKUP(A247,Regularizare!$D:$U,7,FALSE)&amp;" ("&amp;VLOOKUP(A247,Regularizare!$D:$U,15,FALSE)&amp;")"</f>
        <v>88393 (citit)</v>
      </c>
      <c r="S247" s="647"/>
      <c r="T247" s="647"/>
      <c r="U247" s="647" t="str">
        <f>VLOOKUP(A247,Regularizare!$D:$U,8,FALSE)&amp;" ("&amp;VLOOKUP(A247,Regularizare!$D:$U,16,FALSE)&amp;")"</f>
        <v>88393 (estimat)</v>
      </c>
      <c r="V247" s="647"/>
      <c r="W247" s="647"/>
      <c r="X247" s="647" t="str">
        <f>_xlfn.CONCAT(VLOOKUP(A247,Regularizare!$D:$U,8,FALSE)-VLOOKUP(A247,Regularizare!$D:$U,7,FALSE)," (",VLOOKUP(A247,Regularizare!$D:$U,16,FALSE),")")</f>
        <v>0 (estimat)</v>
      </c>
      <c r="Y247" s="647"/>
      <c r="Z247" s="647"/>
      <c r="AA247" s="647">
        <f>IF(VLOOKUP(A247,Regularizare!$D:$Y,21,FALSE)=0,VLOOKUP(A247,Regularizare!$D:$Y,21,FALSE),(-1)*VLOOKUP(A247,Regularizare!$D:$Y,21,FALSE))</f>
        <v>0</v>
      </c>
      <c r="AB247" s="647"/>
      <c r="AC247" s="647"/>
      <c r="AD247" s="647" t="s">
        <v>69</v>
      </c>
      <c r="AE247" s="647"/>
      <c r="AF247" s="647">
        <f>AA247</f>
        <v>0</v>
      </c>
      <c r="AG247" s="647"/>
      <c r="AH247" s="647"/>
      <c r="AI247" s="647" t="str">
        <f>AI244</f>
        <v>-</v>
      </c>
      <c r="AJ247" s="647"/>
      <c r="AK247" s="647" t="str">
        <f>AK244</f>
        <v>-</v>
      </c>
      <c r="AL247" s="647"/>
      <c r="AM247" s="647"/>
    </row>
    <row r="248" spans="1:39" ht="8.4499999999999993" customHeight="1">
      <c r="A248" s="727"/>
      <c r="B248" s="729"/>
      <c r="C248" s="729"/>
      <c r="D248" s="729"/>
      <c r="E248" s="729"/>
      <c r="F248" s="728"/>
      <c r="G248" s="648"/>
      <c r="H248" s="648"/>
      <c r="I248" s="648"/>
      <c r="J248" s="717" t="str">
        <f t="shared" si="14"/>
        <v>-</v>
      </c>
      <c r="K248" s="718"/>
      <c r="L248" s="719"/>
      <c r="M248" s="648"/>
      <c r="N248" s="648"/>
      <c r="O248" s="648"/>
      <c r="P248" s="648"/>
      <c r="Q248" s="648"/>
      <c r="R248" s="647"/>
      <c r="S248" s="647"/>
      <c r="T248" s="647"/>
      <c r="U248" s="647"/>
      <c r="V248" s="647"/>
      <c r="W248" s="647"/>
      <c r="X248" s="647"/>
      <c r="Y248" s="647"/>
      <c r="Z248" s="647"/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</row>
    <row r="249" spans="1:39" ht="14.1" customHeight="1">
      <c r="A249" s="687"/>
      <c r="B249" s="688"/>
      <c r="C249" s="688"/>
      <c r="D249" s="688"/>
      <c r="E249" s="688"/>
      <c r="F249" s="689"/>
      <c r="G249" s="648"/>
      <c r="H249" s="648"/>
      <c r="I249" s="648"/>
      <c r="J249" s="714">
        <f t="shared" si="14"/>
        <v>45777</v>
      </c>
      <c r="K249" s="715"/>
      <c r="L249" s="716"/>
      <c r="M249" s="648"/>
      <c r="N249" s="648"/>
      <c r="O249" s="648"/>
      <c r="P249" s="648"/>
      <c r="Q249" s="648"/>
      <c r="R249" s="647"/>
      <c r="S249" s="647"/>
      <c r="T249" s="647"/>
      <c r="U249" s="647"/>
      <c r="V249" s="647"/>
      <c r="W249" s="647"/>
      <c r="X249" s="647"/>
      <c r="Y249" s="647"/>
      <c r="Z249" s="647"/>
      <c r="AA249" s="647"/>
      <c r="AB249" s="647"/>
      <c r="AC249" s="647"/>
      <c r="AD249" s="647"/>
      <c r="AE249" s="647"/>
      <c r="AF249" s="647"/>
      <c r="AG249" s="647"/>
      <c r="AH249" s="647"/>
      <c r="AI249" s="647"/>
      <c r="AJ249" s="647"/>
      <c r="AK249" s="647"/>
      <c r="AL249" s="647"/>
      <c r="AM249" s="647"/>
    </row>
    <row r="250" spans="1:39" ht="14.1" customHeight="1">
      <c r="A250" s="684" t="str">
        <f>A247</f>
        <v>V.20G90290210100775/1</v>
      </c>
      <c r="B250" s="685"/>
      <c r="C250" s="685"/>
      <c r="D250" s="685"/>
      <c r="E250" s="685"/>
      <c r="F250" s="686"/>
      <c r="G250" s="648" t="s">
        <v>731</v>
      </c>
      <c r="H250" s="648"/>
      <c r="I250" s="648"/>
      <c r="J250" s="655">
        <f t="shared" si="14"/>
        <v>45748</v>
      </c>
      <c r="K250" s="656"/>
      <c r="L250" s="657"/>
      <c r="M250" s="648" t="s">
        <v>720</v>
      </c>
      <c r="N250" s="648"/>
      <c r="O250" s="648">
        <f>O247</f>
        <v>1</v>
      </c>
      <c r="P250" s="648"/>
      <c r="Q250" s="648"/>
      <c r="R250" s="647" t="str">
        <f>VLOOKUP(A250,Regularizare!$D:$U,9,FALSE)&amp;" ("&amp;VLOOKUP(A250,Regularizare!$D:$U,17,FALSE)&amp;")"</f>
        <v>857 (citit)</v>
      </c>
      <c r="S250" s="647"/>
      <c r="T250" s="647"/>
      <c r="U250" s="647" t="str">
        <f>VLOOKUP(A250,Regularizare!$D:$U,10,FALSE)&amp;" ("&amp;VLOOKUP(A250,Regularizare!$D:$U,18,FALSE)&amp;")"</f>
        <v>857 (estimat)</v>
      </c>
      <c r="V250" s="647"/>
      <c r="W250" s="647"/>
      <c r="X250" s="647" t="str">
        <f>_xlfn.CONCAT(VLOOKUP(A250,Regularizare!$D:$U,10,FALSE)-VLOOKUP(A250,Regularizare!$D:$U,9,FALSE)," (",VLOOKUP(A250,Regularizare!$D:$U,18,FALSE),")")</f>
        <v>0 (estimat)</v>
      </c>
      <c r="Y250" s="647"/>
      <c r="Z250" s="647"/>
      <c r="AA250" s="647">
        <f>IF(VLOOKUP(A250,Regularizare!$D:$Y,22,FALSE)=0,VLOOKUP(A250,Regularizare!$D:$Y,22,FALSE),(-1)*VLOOKUP(A250,Regularizare!$D:$Y,22,FALSE))</f>
        <v>0</v>
      </c>
      <c r="AB250" s="647"/>
      <c r="AC250" s="647"/>
      <c r="AD250" s="647" t="s">
        <v>69</v>
      </c>
      <c r="AE250" s="647"/>
      <c r="AF250" s="647">
        <f>AA250</f>
        <v>0</v>
      </c>
      <c r="AG250" s="647"/>
      <c r="AH250" s="647"/>
      <c r="AI250" s="647" t="str">
        <f>AI247</f>
        <v>-</v>
      </c>
      <c r="AJ250" s="647"/>
      <c r="AK250" s="647" t="str">
        <f>AK247</f>
        <v>-</v>
      </c>
      <c r="AL250" s="647"/>
      <c r="AM250" s="647"/>
    </row>
    <row r="251" spans="1:39" ht="8.4499999999999993" customHeight="1">
      <c r="A251" s="727"/>
      <c r="B251" s="729"/>
      <c r="C251" s="729"/>
      <c r="D251" s="729"/>
      <c r="E251" s="729"/>
      <c r="F251" s="728"/>
      <c r="G251" s="648"/>
      <c r="H251" s="648"/>
      <c r="I251" s="648"/>
      <c r="J251" s="717" t="str">
        <f t="shared" si="14"/>
        <v>-</v>
      </c>
      <c r="K251" s="718"/>
      <c r="L251" s="719"/>
      <c r="M251" s="648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87"/>
      <c r="B252" s="688"/>
      <c r="C252" s="688"/>
      <c r="D252" s="688"/>
      <c r="E252" s="688"/>
      <c r="F252" s="689"/>
      <c r="G252" s="648"/>
      <c r="H252" s="648"/>
      <c r="I252" s="648"/>
      <c r="J252" s="714">
        <f t="shared" si="14"/>
        <v>45777</v>
      </c>
      <c r="K252" s="715"/>
      <c r="L252" s="716"/>
      <c r="M252" s="648"/>
      <c r="N252" s="648"/>
      <c r="O252" s="648"/>
      <c r="P252" s="648"/>
      <c r="Q252" s="648"/>
      <c r="R252" s="647"/>
      <c r="S252" s="647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647"/>
      <c r="AL252" s="647"/>
      <c r="AM252" s="647"/>
    </row>
    <row r="253" spans="1:39" ht="14.1" customHeight="1">
      <c r="A253" s="684" t="str">
        <f>A250</f>
        <v>V.20G90290210100775/1</v>
      </c>
      <c r="B253" s="685"/>
      <c r="C253" s="685"/>
      <c r="D253" s="685"/>
      <c r="E253" s="685"/>
      <c r="F253" s="686"/>
      <c r="G253" s="648" t="s">
        <v>730</v>
      </c>
      <c r="H253" s="648"/>
      <c r="I253" s="673"/>
      <c r="J253" s="655">
        <f>'Date masura OD'!$AK$5</f>
        <v>45748</v>
      </c>
      <c r="K253" s="656"/>
      <c r="L253" s="657"/>
      <c r="M253" s="720" t="s">
        <v>446</v>
      </c>
      <c r="N253" s="648"/>
      <c r="O253" s="648">
        <f>O250</f>
        <v>1</v>
      </c>
      <c r="P253" s="648"/>
      <c r="Q253" s="648"/>
      <c r="R253" s="647" t="str">
        <f>VLOOKUP(A253,Regularizare!$D:$AX,23,FALSE)&amp;" ("&amp;VLOOKUP(A253,Regularizare!$D:$AX,24,FALSE)&amp;")"</f>
        <v>1403221 (citit)</v>
      </c>
      <c r="S253" s="647"/>
      <c r="T253" s="647"/>
      <c r="U253" s="647" t="str">
        <f>VLOOKUP(A253,Regularizare!$D:$AX,25,FALSE)&amp;" ("&amp;VLOOKUP(A253,Regularizare!$D:$AX,26,FALSE)&amp;")"</f>
        <v>1461579 (citit)</v>
      </c>
      <c r="V253" s="647"/>
      <c r="W253" s="647"/>
      <c r="X253" s="647" t="str">
        <f>VLOOKUP(A253,Regularizare!$D:$AX,37,FALSE)&amp;" ("&amp;VLOOKUP(A253,Regularizare!$D:$AX,26,FALSE)&amp;")"</f>
        <v>58358 (citit)</v>
      </c>
      <c r="Y253" s="647"/>
      <c r="Z253" s="647"/>
      <c r="AA253" s="647">
        <f>VLOOKUP(A253,Regularizare!$D:$AX,37,FALSE)</f>
        <v>58358</v>
      </c>
      <c r="AB253" s="647"/>
      <c r="AC253" s="647"/>
      <c r="AD253" s="647" t="s">
        <v>69</v>
      </c>
      <c r="AE253" s="647"/>
      <c r="AF253" s="647">
        <f>AA253</f>
        <v>58358</v>
      </c>
      <c r="AG253" s="647"/>
      <c r="AH253" s="647"/>
      <c r="AI253" s="647" t="str">
        <f>AI250</f>
        <v>-</v>
      </c>
      <c r="AJ253" s="647"/>
      <c r="AK253" s="647" t="str">
        <f>AK250</f>
        <v>-</v>
      </c>
      <c r="AL253" s="647"/>
      <c r="AM253" s="647"/>
    </row>
    <row r="254" spans="1:39" ht="8.4499999999999993" customHeight="1">
      <c r="A254" s="727"/>
      <c r="B254" s="729"/>
      <c r="C254" s="729"/>
      <c r="D254" s="729"/>
      <c r="E254" s="729"/>
      <c r="F254" s="728"/>
      <c r="G254" s="648"/>
      <c r="H254" s="648"/>
      <c r="I254" s="673"/>
      <c r="J254" s="717" t="s">
        <v>69</v>
      </c>
      <c r="K254" s="718"/>
      <c r="L254" s="719"/>
      <c r="M254" s="720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87"/>
      <c r="B255" s="688"/>
      <c r="C255" s="688"/>
      <c r="D255" s="688"/>
      <c r="E255" s="688"/>
      <c r="F255" s="689"/>
      <c r="G255" s="648"/>
      <c r="H255" s="648"/>
      <c r="I255" s="673"/>
      <c r="J255" s="714">
        <f>'Date masura OD'!$AL$5</f>
        <v>45777</v>
      </c>
      <c r="K255" s="715"/>
      <c r="L255" s="716"/>
      <c r="M255" s="720"/>
      <c r="N255" s="648"/>
      <c r="O255" s="648"/>
      <c r="P255" s="648"/>
      <c r="Q255" s="648"/>
      <c r="R255" s="647"/>
      <c r="S255" s="647"/>
      <c r="T255" s="647"/>
      <c r="U255" s="647"/>
      <c r="V255" s="647"/>
      <c r="W255" s="647"/>
      <c r="X255" s="647"/>
      <c r="Y255" s="647"/>
      <c r="Z255" s="647"/>
      <c r="AA255" s="647"/>
      <c r="AB255" s="647"/>
      <c r="AC255" s="647"/>
      <c r="AD255" s="647"/>
      <c r="AE255" s="647"/>
      <c r="AF255" s="647"/>
      <c r="AG255" s="647"/>
      <c r="AH255" s="647"/>
      <c r="AI255" s="647"/>
      <c r="AJ255" s="647"/>
      <c r="AK255" s="647"/>
      <c r="AL255" s="647"/>
      <c r="AM255" s="647"/>
    </row>
    <row r="256" spans="1:39" ht="14.1" customHeight="1">
      <c r="A256" s="684" t="str">
        <f>A253</f>
        <v>V.20G90290210100775/1</v>
      </c>
      <c r="B256" s="685"/>
      <c r="C256" s="685"/>
      <c r="D256" s="685"/>
      <c r="E256" s="685"/>
      <c r="F256" s="686"/>
      <c r="G256" s="648" t="s">
        <v>696</v>
      </c>
      <c r="H256" s="648"/>
      <c r="I256" s="648"/>
      <c r="J256" s="655">
        <f t="shared" ref="J256:J261" si="15">J253</f>
        <v>45748</v>
      </c>
      <c r="K256" s="656"/>
      <c r="L256" s="657"/>
      <c r="M256" s="648" t="s">
        <v>720</v>
      </c>
      <c r="N256" s="648"/>
      <c r="O256" s="648">
        <f>O253</f>
        <v>1</v>
      </c>
      <c r="P256" s="648"/>
      <c r="Q256" s="648"/>
      <c r="R256" s="647" t="str">
        <f>VLOOKUP(A256,Regularizare!$D:$AX,29,FALSE)&amp;" ("&amp;VLOOKUP(A256,Regularizare!$D:$AX,30,FALSE)&amp;")"</f>
        <v>88393 (citit)</v>
      </c>
      <c r="S256" s="647"/>
      <c r="T256" s="647"/>
      <c r="U256" s="647" t="str">
        <f>VLOOKUP(A256,Regularizare!$D:$AX,31,FALSE)&amp;" ("&amp;VLOOKUP(A256,Regularizare!$D:$AX,32,FALSE)&amp;")"</f>
        <v>88393 (citit)</v>
      </c>
      <c r="V256" s="647"/>
      <c r="W256" s="647"/>
      <c r="X256" s="647" t="str">
        <f>VLOOKUP(A256,Regularizare!$D:$AX,39,FALSE)&amp;" ("&amp;VLOOKUP(A256,Regularizare!$D:$AX,32,FALSE)&amp;")"</f>
        <v>0 (citit)</v>
      </c>
      <c r="Y256" s="647"/>
      <c r="Z256" s="647"/>
      <c r="AA256" s="647">
        <f>VLOOKUP(A256,Regularizare!$D:$AX,44,FALSE)+VLOOKUP(A256,Regularizare!$D:$AX,45,FALSE)</f>
        <v>0</v>
      </c>
      <c r="AB256" s="647"/>
      <c r="AC256" s="647"/>
      <c r="AD256" s="647" t="s">
        <v>69</v>
      </c>
      <c r="AE256" s="647"/>
      <c r="AF256" s="647">
        <f>AA256</f>
        <v>0</v>
      </c>
      <c r="AG256" s="647"/>
      <c r="AH256" s="647"/>
      <c r="AI256" s="647" t="str">
        <f>AI253</f>
        <v>-</v>
      </c>
      <c r="AJ256" s="647"/>
      <c r="AK256" s="647" t="str">
        <f>AK253</f>
        <v>-</v>
      </c>
      <c r="AL256" s="647"/>
      <c r="AM256" s="647"/>
    </row>
    <row r="257" spans="1:39" ht="14.1" customHeight="1">
      <c r="A257" s="727"/>
      <c r="B257" s="729"/>
      <c r="C257" s="729"/>
      <c r="D257" s="729"/>
      <c r="E257" s="729"/>
      <c r="F257" s="728"/>
      <c r="G257" s="648"/>
      <c r="H257" s="648"/>
      <c r="I257" s="648"/>
      <c r="J257" s="717" t="str">
        <f t="shared" si="15"/>
        <v>-</v>
      </c>
      <c r="K257" s="718"/>
      <c r="L257" s="719"/>
      <c r="M257" s="648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87"/>
      <c r="B258" s="688"/>
      <c r="C258" s="688"/>
      <c r="D258" s="688"/>
      <c r="E258" s="688"/>
      <c r="F258" s="689"/>
      <c r="G258" s="648"/>
      <c r="H258" s="648"/>
      <c r="I258" s="648"/>
      <c r="J258" s="714">
        <f t="shared" si="15"/>
        <v>45777</v>
      </c>
      <c r="K258" s="715"/>
      <c r="L258" s="716"/>
      <c r="M258" s="648"/>
      <c r="N258" s="648"/>
      <c r="O258" s="648"/>
      <c r="P258" s="648"/>
      <c r="Q258" s="648"/>
      <c r="R258" s="647"/>
      <c r="S258" s="647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</row>
    <row r="259" spans="1:39" ht="14.1" customHeight="1">
      <c r="A259" s="684" t="str">
        <f>A256</f>
        <v>V.20G90290210100775/1</v>
      </c>
      <c r="B259" s="685"/>
      <c r="C259" s="685"/>
      <c r="D259" s="685"/>
      <c r="E259" s="685"/>
      <c r="F259" s="686"/>
      <c r="G259" s="648" t="s">
        <v>731</v>
      </c>
      <c r="H259" s="648"/>
      <c r="I259" s="648"/>
      <c r="J259" s="655">
        <f t="shared" si="15"/>
        <v>45748</v>
      </c>
      <c r="K259" s="656"/>
      <c r="L259" s="657"/>
      <c r="M259" s="648" t="s">
        <v>720</v>
      </c>
      <c r="N259" s="648"/>
      <c r="O259" s="648">
        <f>O256</f>
        <v>1</v>
      </c>
      <c r="P259" s="648"/>
      <c r="Q259" s="648"/>
      <c r="R259" s="647" t="str">
        <f>VLOOKUP(A259,Regularizare!$D:$AX,33,FALSE)&amp;" ("&amp;VLOOKUP(A259,Regularizare!$D:$AX,34,FALSE)&amp;")"</f>
        <v>857 (citit)</v>
      </c>
      <c r="S259" s="647"/>
      <c r="T259" s="647"/>
      <c r="U259" s="647" t="str">
        <f>VLOOKUP(A259,Regularizare!$D:$AX,35,FALSE)&amp;" ("&amp;VLOOKUP(A259,Regularizare!$D:$AX,36,FALSE)&amp;")"</f>
        <v>857 (citit)</v>
      </c>
      <c r="V259" s="647"/>
      <c r="W259" s="647"/>
      <c r="X259" s="647" t="str">
        <f>VLOOKUP(A259,Regularizare!$D:$AX,40,FALSE)&amp;" ("&amp;VLOOKUP(A259,Regularizare!$D:$AX,36,FALSE)&amp;")"</f>
        <v>0 (citit)</v>
      </c>
      <c r="Y259" s="647"/>
      <c r="Z259" s="647"/>
      <c r="AA259" s="647">
        <f>VLOOKUP(A259,Regularizare!$D:$AX,46,FALSE)+VLOOKUP(A259,Regularizare!$D:$AX,47,FALSE)</f>
        <v>0</v>
      </c>
      <c r="AB259" s="647"/>
      <c r="AC259" s="647"/>
      <c r="AD259" s="647" t="s">
        <v>69</v>
      </c>
      <c r="AE259" s="647"/>
      <c r="AF259" s="647">
        <f>AA259</f>
        <v>0</v>
      </c>
      <c r="AG259" s="647"/>
      <c r="AH259" s="647"/>
      <c r="AI259" s="647" t="str">
        <f>AI256</f>
        <v>-</v>
      </c>
      <c r="AJ259" s="647"/>
      <c r="AK259" s="647" t="str">
        <f>AK256</f>
        <v>-</v>
      </c>
      <c r="AL259" s="647"/>
      <c r="AM259" s="647"/>
    </row>
    <row r="260" spans="1:39" ht="14.1" customHeight="1">
      <c r="A260" s="727"/>
      <c r="B260" s="729"/>
      <c r="C260" s="729"/>
      <c r="D260" s="729"/>
      <c r="E260" s="729"/>
      <c r="F260" s="728"/>
      <c r="G260" s="648"/>
      <c r="H260" s="648"/>
      <c r="I260" s="648"/>
      <c r="J260" s="717" t="str">
        <f t="shared" si="15"/>
        <v>-</v>
      </c>
      <c r="K260" s="718"/>
      <c r="L260" s="719"/>
      <c r="M260" s="648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87"/>
      <c r="B261" s="688"/>
      <c r="C261" s="688"/>
      <c r="D261" s="688"/>
      <c r="E261" s="688"/>
      <c r="F261" s="689"/>
      <c r="G261" s="648"/>
      <c r="H261" s="648"/>
      <c r="I261" s="648"/>
      <c r="J261" s="714">
        <f t="shared" si="15"/>
        <v>45777</v>
      </c>
      <c r="K261" s="715"/>
      <c r="L261" s="716"/>
      <c r="M261" s="648"/>
      <c r="N261" s="648"/>
      <c r="O261" s="648"/>
      <c r="P261" s="648"/>
      <c r="Q261" s="648"/>
      <c r="R261" s="647"/>
      <c r="S261" s="647"/>
      <c r="T261" s="647"/>
      <c r="U261" s="647"/>
      <c r="V261" s="647"/>
      <c r="W261" s="647"/>
      <c r="X261" s="647"/>
      <c r="Y261" s="647"/>
      <c r="Z261" s="647"/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</row>
    <row r="262" spans="1:39" ht="14.1" customHeight="1">
      <c r="A262" s="684" t="str">
        <f>A259</f>
        <v>V.20G90290210100775/1</v>
      </c>
      <c r="B262" s="685"/>
      <c r="C262" s="685"/>
      <c r="D262" s="685"/>
      <c r="E262" s="685"/>
      <c r="F262" s="686"/>
      <c r="G262" s="648" t="s">
        <v>730</v>
      </c>
      <c r="H262" s="648"/>
      <c r="I262" s="673"/>
      <c r="J262" s="655">
        <f>'Date masura OD'!$I$5</f>
        <v>45778</v>
      </c>
      <c r="K262" s="656"/>
      <c r="L262" s="657"/>
      <c r="M262" s="720" t="s">
        <v>446</v>
      </c>
      <c r="N262" s="648"/>
      <c r="O262" s="648">
        <f>O259</f>
        <v>1</v>
      </c>
      <c r="P262" s="648"/>
      <c r="Q262" s="648"/>
      <c r="R262" s="647" t="str">
        <f>U253</f>
        <v>1461579 (citit)</v>
      </c>
      <c r="S262" s="647"/>
      <c r="T262" s="647"/>
      <c r="U262" s="647" t="str">
        <f>VLOOKUP(A262,'Incrementare indexe'!$D:$M,4,FALSE)&amp;" (estimat)"</f>
        <v>1526809 (estimat)</v>
      </c>
      <c r="V262" s="647"/>
      <c r="W262" s="647"/>
      <c r="X262" s="647" t="str">
        <f>VLOOKUP(A262,'Incrementare indexe'!$D:$Q,11,FALSE)&amp;" (estimat)"</f>
        <v>65230 (estimat)</v>
      </c>
      <c r="Y262" s="647"/>
      <c r="Z262" s="647"/>
      <c r="AA262" s="647" t="s">
        <v>69</v>
      </c>
      <c r="AB262" s="647"/>
      <c r="AC262" s="647"/>
      <c r="AD262" s="647" t="s">
        <v>69</v>
      </c>
      <c r="AE262" s="647"/>
      <c r="AF262" s="647">
        <f>VLOOKUP(A262,'Incrementare indexe'!$D:$Q,11,FALSE)</f>
        <v>65230</v>
      </c>
      <c r="AG262" s="647"/>
      <c r="AH262" s="647"/>
      <c r="AI262" s="647">
        <f>J264-J262+1</f>
        <v>31</v>
      </c>
      <c r="AJ262" s="647"/>
      <c r="AK262" s="647">
        <f>ROUND(AF262/AI262,2)</f>
        <v>2104.19</v>
      </c>
      <c r="AL262" s="647"/>
      <c r="AM262" s="647"/>
    </row>
    <row r="263" spans="1:39" ht="14.1" customHeight="1">
      <c r="A263" s="727"/>
      <c r="B263" s="729"/>
      <c r="C263" s="729"/>
      <c r="D263" s="729"/>
      <c r="E263" s="729"/>
      <c r="F263" s="728"/>
      <c r="G263" s="648"/>
      <c r="H263" s="648"/>
      <c r="I263" s="673"/>
      <c r="J263" s="717" t="s">
        <v>69</v>
      </c>
      <c r="K263" s="718"/>
      <c r="L263" s="719"/>
      <c r="M263" s="720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87"/>
      <c r="B264" s="688"/>
      <c r="C264" s="688"/>
      <c r="D264" s="688"/>
      <c r="E264" s="688"/>
      <c r="F264" s="689"/>
      <c r="G264" s="648"/>
      <c r="H264" s="648"/>
      <c r="I264" s="673"/>
      <c r="J264" s="714">
        <f>'Date masura OD'!$J$5</f>
        <v>45808</v>
      </c>
      <c r="K264" s="715"/>
      <c r="L264" s="716"/>
      <c r="M264" s="720"/>
      <c r="N264" s="648"/>
      <c r="O264" s="648"/>
      <c r="P264" s="648"/>
      <c r="Q264" s="648"/>
      <c r="R264" s="647"/>
      <c r="S264" s="647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647"/>
      <c r="AL264" s="647"/>
      <c r="AM264" s="647"/>
    </row>
    <row r="265" spans="1:39" ht="14.1" customHeight="1">
      <c r="A265" s="684" t="str">
        <f>A262</f>
        <v>V.20G90290210100775/1</v>
      </c>
      <c r="B265" s="685"/>
      <c r="C265" s="685"/>
      <c r="D265" s="685"/>
      <c r="E265" s="685"/>
      <c r="F265" s="686"/>
      <c r="G265" s="648" t="s">
        <v>696</v>
      </c>
      <c r="H265" s="648"/>
      <c r="I265" s="648"/>
      <c r="J265" s="655">
        <f t="shared" ref="J265:J270" si="16">J262</f>
        <v>45778</v>
      </c>
      <c r="K265" s="656"/>
      <c r="L265" s="657"/>
      <c r="M265" s="648" t="s">
        <v>720</v>
      </c>
      <c r="N265" s="648"/>
      <c r="O265" s="648">
        <f>O262</f>
        <v>1</v>
      </c>
      <c r="P265" s="648"/>
      <c r="Q265" s="648"/>
      <c r="R265" s="647" t="str">
        <f>U256</f>
        <v>88393 (citit)</v>
      </c>
      <c r="S265" s="647"/>
      <c r="T265" s="647"/>
      <c r="U265" s="647" t="str">
        <f>VLOOKUP(A265,'Incrementare indexe'!$D:$M,8,FALSE)&amp;" (estimat)"</f>
        <v>88393 (estimat)</v>
      </c>
      <c r="V265" s="647"/>
      <c r="W265" s="647"/>
      <c r="X265" s="647" t="str">
        <f>VLOOKUP(A265,'Incrementare indexe'!$D:$Q,12,FALSE)&amp;" (estimat)"</f>
        <v>0 (estimat)</v>
      </c>
      <c r="Y265" s="647"/>
      <c r="Z265" s="647"/>
      <c r="AA265" s="647" t="s">
        <v>69</v>
      </c>
      <c r="AB265" s="647"/>
      <c r="AC265" s="647"/>
      <c r="AD265" s="647" t="s">
        <v>69</v>
      </c>
      <c r="AE265" s="647"/>
      <c r="AF265" s="647">
        <f>VLOOKUP(A265,'Incrementare indexe'!$D:$Q,12,FALSE)</f>
        <v>0</v>
      </c>
      <c r="AG265" s="647"/>
      <c r="AH265" s="647"/>
      <c r="AI265" s="647">
        <f>AI262</f>
        <v>31</v>
      </c>
      <c r="AJ265" s="647"/>
      <c r="AK265" s="647">
        <f>ROUND(AF265/AI265,2)</f>
        <v>0</v>
      </c>
      <c r="AL265" s="647"/>
      <c r="AM265" s="647"/>
    </row>
    <row r="266" spans="1:39" ht="14.1" customHeight="1">
      <c r="A266" s="727"/>
      <c r="B266" s="729"/>
      <c r="C266" s="729"/>
      <c r="D266" s="729"/>
      <c r="E266" s="729"/>
      <c r="F266" s="728"/>
      <c r="G266" s="648"/>
      <c r="H266" s="648"/>
      <c r="I266" s="648"/>
      <c r="J266" s="717" t="str">
        <f t="shared" si="16"/>
        <v>-</v>
      </c>
      <c r="K266" s="718"/>
      <c r="L266" s="719"/>
      <c r="M266" s="648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87"/>
      <c r="B267" s="688"/>
      <c r="C267" s="688"/>
      <c r="D267" s="688"/>
      <c r="E267" s="688"/>
      <c r="F267" s="689"/>
      <c r="G267" s="648"/>
      <c r="H267" s="648"/>
      <c r="I267" s="648"/>
      <c r="J267" s="714">
        <f t="shared" si="16"/>
        <v>45808</v>
      </c>
      <c r="K267" s="715"/>
      <c r="L267" s="716"/>
      <c r="M267" s="648"/>
      <c r="N267" s="648"/>
      <c r="O267" s="648"/>
      <c r="P267" s="648"/>
      <c r="Q267" s="648"/>
      <c r="R267" s="647"/>
      <c r="S267" s="647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</row>
    <row r="268" spans="1:39" ht="14.1" customHeight="1">
      <c r="A268" s="684" t="str">
        <f>A265</f>
        <v>V.20G90290210100775/1</v>
      </c>
      <c r="B268" s="685"/>
      <c r="C268" s="685"/>
      <c r="D268" s="685"/>
      <c r="E268" s="685"/>
      <c r="F268" s="686"/>
      <c r="G268" s="648" t="s">
        <v>731</v>
      </c>
      <c r="H268" s="648"/>
      <c r="I268" s="648"/>
      <c r="J268" s="655">
        <f t="shared" si="16"/>
        <v>45778</v>
      </c>
      <c r="K268" s="656"/>
      <c r="L268" s="657"/>
      <c r="M268" s="648" t="s">
        <v>720</v>
      </c>
      <c r="N268" s="648"/>
      <c r="O268" s="648">
        <f>O265</f>
        <v>1</v>
      </c>
      <c r="P268" s="648"/>
      <c r="Q268" s="648"/>
      <c r="R268" s="647" t="str">
        <f>U259</f>
        <v>857 (citit)</v>
      </c>
      <c r="S268" s="647"/>
      <c r="T268" s="647"/>
      <c r="U268" s="647" t="str">
        <f>VLOOKUP(A268,'Incrementare indexe'!$D:$M,10,FALSE)&amp;" (estimat)"</f>
        <v>857 (estimat)</v>
      </c>
      <c r="V268" s="647"/>
      <c r="W268" s="647"/>
      <c r="X268" s="647" t="str">
        <f>VLOOKUP(A268,'Incrementare indexe'!$D:$Q,13,FALSE)&amp;" (estimat)"</f>
        <v>0 (estimat)</v>
      </c>
      <c r="Y268" s="647"/>
      <c r="Z268" s="647"/>
      <c r="AA268" s="647" t="s">
        <v>69</v>
      </c>
      <c r="AB268" s="647"/>
      <c r="AC268" s="647"/>
      <c r="AD268" s="647" t="s">
        <v>69</v>
      </c>
      <c r="AE268" s="647"/>
      <c r="AF268" s="647">
        <f>VLOOKUP(A268,'Incrementare indexe'!$D:$Q,13,FALSE)</f>
        <v>0</v>
      </c>
      <c r="AG268" s="647"/>
      <c r="AH268" s="647"/>
      <c r="AI268" s="647">
        <f>AI265</f>
        <v>31</v>
      </c>
      <c r="AJ268" s="647"/>
      <c r="AK268" s="647">
        <f>ROUND(AF268/AI268,2)</f>
        <v>0</v>
      </c>
      <c r="AL268" s="647"/>
      <c r="AM268" s="647"/>
    </row>
    <row r="269" spans="1:39" ht="14.1" customHeight="1">
      <c r="A269" s="727"/>
      <c r="B269" s="729"/>
      <c r="C269" s="729"/>
      <c r="D269" s="729"/>
      <c r="E269" s="729"/>
      <c r="F269" s="728"/>
      <c r="G269" s="648"/>
      <c r="H269" s="648"/>
      <c r="I269" s="648"/>
      <c r="J269" s="717" t="str">
        <f t="shared" si="16"/>
        <v>-</v>
      </c>
      <c r="K269" s="718"/>
      <c r="L269" s="719"/>
      <c r="M269" s="648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87"/>
      <c r="B270" s="688"/>
      <c r="C270" s="688"/>
      <c r="D270" s="688"/>
      <c r="E270" s="688"/>
      <c r="F270" s="689"/>
      <c r="G270" s="648"/>
      <c r="H270" s="648"/>
      <c r="I270" s="648"/>
      <c r="J270" s="714">
        <f t="shared" si="16"/>
        <v>45808</v>
      </c>
      <c r="K270" s="715"/>
      <c r="L270" s="716"/>
      <c r="M270" s="648"/>
      <c r="N270" s="648"/>
      <c r="O270" s="648"/>
      <c r="P270" s="648"/>
      <c r="Q270" s="648"/>
      <c r="R270" s="647"/>
      <c r="S270" s="647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647"/>
      <c r="AL270" s="647"/>
      <c r="AM270" s="647"/>
    </row>
    <row r="272" spans="1:39">
      <c r="A272" s="649" t="s">
        <v>748</v>
      </c>
      <c r="B272" s="649"/>
      <c r="C272" s="649"/>
      <c r="D272" s="649"/>
      <c r="E272" s="649"/>
      <c r="F272" s="649"/>
      <c r="G272" s="649"/>
      <c r="H272" s="649"/>
      <c r="I272" s="649"/>
      <c r="J272" s="649"/>
      <c r="K272" s="649"/>
      <c r="L272" s="649"/>
      <c r="M272" s="650" t="str">
        <f>VLOOKUP(AI273,'Contorizare in SDI'!$E:$I,4,FALSE)</f>
        <v>RO001E109430736/2</v>
      </c>
      <c r="N272" s="650"/>
      <c r="O272" s="650"/>
      <c r="P272" s="650"/>
      <c r="Q272" s="650"/>
      <c r="R272" s="650"/>
      <c r="S272" s="650"/>
      <c r="T272" s="650"/>
      <c r="U272" s="650"/>
      <c r="V272" s="650"/>
      <c r="W272" s="650"/>
      <c r="X272" s="650"/>
      <c r="Y272" s="650"/>
      <c r="Z272" s="650"/>
      <c r="AA272" s="650"/>
      <c r="AB272" s="650"/>
      <c r="AC272" s="650"/>
      <c r="AD272" s="650"/>
      <c r="AE272" s="650"/>
      <c r="AF272" s="650"/>
      <c r="AG272" s="650"/>
      <c r="AH272" s="650"/>
      <c r="AI272" s="650" t="s">
        <v>695</v>
      </c>
      <c r="AJ272" s="650"/>
      <c r="AK272" s="650"/>
      <c r="AL272" s="650"/>
      <c r="AM272" s="650"/>
    </row>
    <row r="273" spans="1:39">
      <c r="A273" s="649" t="s">
        <v>746</v>
      </c>
      <c r="B273" s="649"/>
      <c r="C273" s="649"/>
      <c r="D273" s="649"/>
      <c r="E273" s="649"/>
      <c r="F273" s="649"/>
      <c r="G273" s="649"/>
      <c r="H273" s="649"/>
      <c r="I273" s="649"/>
      <c r="J273" s="649"/>
      <c r="K273" s="649"/>
      <c r="L273" s="649"/>
      <c r="M273" s="650" t="str">
        <f>VLOOKUP(AI273,'Inchidere contur'!$G:$U,15,FALSE)</f>
        <v>JT_SDI</v>
      </c>
      <c r="N273" s="650"/>
      <c r="O273" s="650"/>
      <c r="P273" s="650"/>
      <c r="Q273" s="650"/>
      <c r="R273" s="650"/>
      <c r="S273" s="650"/>
      <c r="T273" s="650"/>
      <c r="U273" s="650"/>
      <c r="V273" s="650"/>
      <c r="W273" s="650"/>
      <c r="X273" s="650"/>
      <c r="Y273" s="650"/>
      <c r="Z273" s="650"/>
      <c r="AA273" s="650"/>
      <c r="AB273" s="650"/>
      <c r="AC273" s="650"/>
      <c r="AD273" s="650"/>
      <c r="AE273" s="650"/>
      <c r="AF273" s="650"/>
      <c r="AG273" s="650"/>
      <c r="AH273" s="650"/>
      <c r="AI273" s="619" t="str">
        <f>_xlfn.CONCAT(AA234,".",2)</f>
        <v>RITS_4.2</v>
      </c>
      <c r="AJ273" s="619"/>
      <c r="AK273" s="619"/>
      <c r="AL273" s="619"/>
      <c r="AM273" s="619"/>
    </row>
    <row r="274" spans="1:39" ht="14.1" customHeight="1">
      <c r="A274" s="649" t="s">
        <v>747</v>
      </c>
      <c r="B274" s="649"/>
      <c r="C274" s="649"/>
      <c r="D274" s="649"/>
      <c r="E274" s="649"/>
      <c r="F274" s="649"/>
      <c r="G274" s="649"/>
      <c r="H274" s="649"/>
      <c r="I274" s="649"/>
      <c r="J274" s="649"/>
      <c r="K274" s="649"/>
      <c r="L274" s="649"/>
      <c r="M274" s="650" t="str">
        <f>IF(LEFT(M273,2)="JT","0.4kV",IF(LEFT(M273,2)="MT","20kV","-"))</f>
        <v>0.4kV</v>
      </c>
      <c r="N274" s="650"/>
      <c r="O274" s="650"/>
      <c r="P274" s="650"/>
      <c r="Q274" s="650"/>
      <c r="R274" s="650"/>
      <c r="S274" s="650"/>
      <c r="T274" s="650"/>
      <c r="U274" s="650"/>
      <c r="V274" s="650"/>
      <c r="W274" s="650"/>
      <c r="X274" s="650"/>
      <c r="Y274" s="650"/>
      <c r="Z274" s="650"/>
      <c r="AA274" s="650"/>
      <c r="AB274" s="650"/>
      <c r="AC274" s="650"/>
      <c r="AD274" s="650"/>
      <c r="AE274" s="650"/>
      <c r="AF274" s="650"/>
      <c r="AG274" s="650"/>
      <c r="AH274" s="650"/>
      <c r="AI274" s="619"/>
      <c r="AJ274" s="619"/>
      <c r="AK274" s="619"/>
      <c r="AL274" s="619"/>
      <c r="AM274" s="619"/>
    </row>
    <row r="275" spans="1:39" ht="14.1" customHeight="1">
      <c r="A275" s="648" t="s">
        <v>697</v>
      </c>
      <c r="B275" s="648"/>
      <c r="C275" s="648"/>
      <c r="D275" s="648"/>
      <c r="E275" s="648"/>
      <c r="F275" s="648"/>
      <c r="G275" s="647" t="s">
        <v>713</v>
      </c>
      <c r="H275" s="647"/>
      <c r="I275" s="647"/>
      <c r="J275" s="647" t="s">
        <v>714</v>
      </c>
      <c r="K275" s="647"/>
      <c r="L275" s="647"/>
      <c r="M275" s="648" t="s">
        <v>519</v>
      </c>
      <c r="N275" s="648"/>
      <c r="O275" s="648" t="s">
        <v>715</v>
      </c>
      <c r="P275" s="648"/>
      <c r="Q275" s="648"/>
      <c r="R275" s="647" t="s">
        <v>732</v>
      </c>
      <c r="S275" s="647"/>
      <c r="T275" s="647"/>
      <c r="U275" s="647" t="s">
        <v>734</v>
      </c>
      <c r="V275" s="647"/>
      <c r="W275" s="647"/>
      <c r="X275" s="647" t="s">
        <v>1085</v>
      </c>
      <c r="Y275" s="647"/>
      <c r="Z275" s="647"/>
      <c r="AA275" s="647" t="s">
        <v>1086</v>
      </c>
      <c r="AB275" s="647"/>
      <c r="AC275" s="647"/>
      <c r="AD275" s="647" t="s">
        <v>717</v>
      </c>
      <c r="AE275" s="647"/>
      <c r="AF275" s="647" t="s">
        <v>718</v>
      </c>
      <c r="AG275" s="647"/>
      <c r="AH275" s="647"/>
      <c r="AI275" s="647" t="s">
        <v>719</v>
      </c>
      <c r="AJ275" s="647"/>
      <c r="AK275" s="647" t="s">
        <v>733</v>
      </c>
      <c r="AL275" s="647"/>
      <c r="AM275" s="647"/>
    </row>
    <row r="276" spans="1:39" ht="8.4499999999999993" customHeight="1">
      <c r="A276" s="648"/>
      <c r="B276" s="648"/>
      <c r="C276" s="648"/>
      <c r="D276" s="648"/>
      <c r="E276" s="648"/>
      <c r="F276" s="648"/>
      <c r="G276" s="647"/>
      <c r="H276" s="647"/>
      <c r="I276" s="647"/>
      <c r="J276" s="647"/>
      <c r="K276" s="647"/>
      <c r="L276" s="647"/>
      <c r="M276" s="648"/>
      <c r="N276" s="648"/>
      <c r="O276" s="648"/>
      <c r="P276" s="648"/>
      <c r="Q276" s="648"/>
      <c r="R276" s="647"/>
      <c r="S276" s="647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647"/>
      <c r="AL276" s="647"/>
      <c r="AM276" s="647"/>
    </row>
    <row r="277" spans="1:39" ht="14.1" customHeight="1">
      <c r="A277" s="648"/>
      <c r="B277" s="648"/>
      <c r="C277" s="648"/>
      <c r="D277" s="648"/>
      <c r="E277" s="648"/>
      <c r="F277" s="648"/>
      <c r="G277" s="647"/>
      <c r="H277" s="647"/>
      <c r="I277" s="647"/>
      <c r="J277" s="713"/>
      <c r="K277" s="713"/>
      <c r="L277" s="713"/>
      <c r="M277" s="648"/>
      <c r="N277" s="648"/>
      <c r="O277" s="648"/>
      <c r="P277" s="648"/>
      <c r="Q277" s="648"/>
      <c r="R277" s="647"/>
      <c r="S277" s="647"/>
      <c r="T277" s="647"/>
      <c r="U277" s="647"/>
      <c r="V277" s="647"/>
      <c r="W277" s="647"/>
      <c r="X277" s="647"/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647"/>
      <c r="AL277" s="647"/>
      <c r="AM277" s="647"/>
    </row>
    <row r="278" spans="1:39" ht="14.1" customHeight="1">
      <c r="A278" s="684" t="str">
        <f>VLOOKUP(AI273,'Contorizare in SDI'!$E:$I,5,FALSE)</f>
        <v>V.20G90290210100775/2</v>
      </c>
      <c r="B278" s="685"/>
      <c r="C278" s="685"/>
      <c r="D278" s="685"/>
      <c r="E278" s="685"/>
      <c r="F278" s="686"/>
      <c r="G278" s="648" t="s">
        <v>730</v>
      </c>
      <c r="H278" s="648"/>
      <c r="I278" s="673"/>
      <c r="J278" s="655">
        <f>'Date masura OD'!$AK$5</f>
        <v>45748</v>
      </c>
      <c r="K278" s="656"/>
      <c r="L278" s="657"/>
      <c r="M278" s="720" t="s">
        <v>446</v>
      </c>
      <c r="N278" s="648"/>
      <c r="O278" s="648">
        <f>VLOOKUP(AI273,'Incrementare indexe'!$B:$T,4,FALSE)</f>
        <v>1</v>
      </c>
      <c r="P278" s="648"/>
      <c r="Q278" s="648"/>
      <c r="R278" s="647" t="str">
        <f>VLOOKUP(A278,Regularizare!$D:$YN,3,FALSE)&amp;" ("&amp;VLOOKUP(A278,Regularizare!$D:$Y,11,FALSE)&amp;")"</f>
        <v>1490481 (citit)</v>
      </c>
      <c r="S278" s="647"/>
      <c r="T278" s="647"/>
      <c r="U278" s="647" t="str">
        <f>VLOOKUP(A278,Regularizare!$D:$U,4,FALSE)&amp;" ("&amp;VLOOKUP(A278,Regularizare!$D:$U,12,FALSE)&amp;")"</f>
        <v>1546225 (estimat)</v>
      </c>
      <c r="V278" s="647"/>
      <c r="W278" s="647"/>
      <c r="X278" s="647" t="str">
        <f>VLOOKUP(A278,Regularizare!$D:$Y,19,FALSE)&amp;" ("&amp;VLOOKUP(A278,Regularizare!$D:$U,12,FALSE)&amp;")"</f>
        <v>55744 (estimat)</v>
      </c>
      <c r="Y278" s="647"/>
      <c r="Z278" s="647"/>
      <c r="AA278" s="647">
        <f>(-1)*VLOOKUP(A278,Regularizare!$D:$Y,19,FALSE)</f>
        <v>-55744</v>
      </c>
      <c r="AB278" s="647"/>
      <c r="AC278" s="647"/>
      <c r="AD278" s="647" t="s">
        <v>69</v>
      </c>
      <c r="AE278" s="647"/>
      <c r="AF278" s="647">
        <f>AA278</f>
        <v>-55744</v>
      </c>
      <c r="AG278" s="647"/>
      <c r="AH278" s="647"/>
      <c r="AI278" s="647" t="s">
        <v>69</v>
      </c>
      <c r="AJ278" s="647"/>
      <c r="AK278" s="647" t="s">
        <v>69</v>
      </c>
      <c r="AL278" s="647"/>
      <c r="AM278" s="647"/>
    </row>
    <row r="279" spans="1:39" ht="8.4499999999999993" customHeight="1">
      <c r="A279" s="727"/>
      <c r="B279" s="729"/>
      <c r="C279" s="729"/>
      <c r="D279" s="729"/>
      <c r="E279" s="729"/>
      <c r="F279" s="728"/>
      <c r="G279" s="648"/>
      <c r="H279" s="648"/>
      <c r="I279" s="673"/>
      <c r="J279" s="717" t="s">
        <v>69</v>
      </c>
      <c r="K279" s="718"/>
      <c r="L279" s="719"/>
      <c r="M279" s="720"/>
      <c r="N279" s="648"/>
      <c r="O279" s="648"/>
      <c r="P279" s="648"/>
      <c r="Q279" s="648"/>
      <c r="R279" s="647"/>
      <c r="S279" s="647"/>
      <c r="T279" s="647"/>
      <c r="U279" s="647"/>
      <c r="V279" s="647"/>
      <c r="W279" s="647"/>
      <c r="X279" s="647"/>
      <c r="Y279" s="647"/>
      <c r="Z279" s="647"/>
      <c r="AA279" s="647"/>
      <c r="AB279" s="647"/>
      <c r="AC279" s="647"/>
      <c r="AD279" s="647"/>
      <c r="AE279" s="647"/>
      <c r="AF279" s="647"/>
      <c r="AG279" s="647"/>
      <c r="AH279" s="647"/>
      <c r="AI279" s="647"/>
      <c r="AJ279" s="647"/>
      <c r="AK279" s="647"/>
      <c r="AL279" s="647"/>
      <c r="AM279" s="647"/>
    </row>
    <row r="280" spans="1:39" ht="14.1" customHeight="1">
      <c r="A280" s="687"/>
      <c r="B280" s="688"/>
      <c r="C280" s="688"/>
      <c r="D280" s="688"/>
      <c r="E280" s="688"/>
      <c r="F280" s="689"/>
      <c r="G280" s="648"/>
      <c r="H280" s="648"/>
      <c r="I280" s="673"/>
      <c r="J280" s="714">
        <f>'Date masura OD'!$AL$5</f>
        <v>45777</v>
      </c>
      <c r="K280" s="715"/>
      <c r="L280" s="716"/>
      <c r="M280" s="720"/>
      <c r="N280" s="648"/>
      <c r="O280" s="648"/>
      <c r="P280" s="648"/>
      <c r="Q280" s="648"/>
      <c r="R280" s="647"/>
      <c r="S280" s="647"/>
      <c r="T280" s="647"/>
      <c r="U280" s="647"/>
      <c r="V280" s="647"/>
      <c r="W280" s="647"/>
      <c r="X280" s="647"/>
      <c r="Y280" s="647"/>
      <c r="Z280" s="647"/>
      <c r="AA280" s="647"/>
      <c r="AB280" s="647"/>
      <c r="AC280" s="647"/>
      <c r="AD280" s="647"/>
      <c r="AE280" s="647"/>
      <c r="AF280" s="647"/>
      <c r="AG280" s="647"/>
      <c r="AH280" s="647"/>
      <c r="AI280" s="647"/>
      <c r="AJ280" s="647"/>
      <c r="AK280" s="647"/>
      <c r="AL280" s="647"/>
      <c r="AM280" s="647"/>
    </row>
    <row r="281" spans="1:39" ht="14.1" customHeight="1">
      <c r="A281" s="684" t="str">
        <f>A278</f>
        <v>V.20G90290210100775/2</v>
      </c>
      <c r="B281" s="685"/>
      <c r="C281" s="685"/>
      <c r="D281" s="685"/>
      <c r="E281" s="685"/>
      <c r="F281" s="686"/>
      <c r="G281" s="648" t="s">
        <v>696</v>
      </c>
      <c r="H281" s="648"/>
      <c r="I281" s="648"/>
      <c r="J281" s="655">
        <f t="shared" ref="J281:J286" si="17">J278</f>
        <v>45748</v>
      </c>
      <c r="K281" s="656"/>
      <c r="L281" s="657"/>
      <c r="M281" s="648" t="s">
        <v>720</v>
      </c>
      <c r="N281" s="648"/>
      <c r="O281" s="648">
        <f>O278</f>
        <v>1</v>
      </c>
      <c r="P281" s="648"/>
      <c r="Q281" s="648"/>
      <c r="R281" s="647" t="str">
        <f>VLOOKUP(A281,Regularizare!$D:$U,7,FALSE)&amp;" ("&amp;VLOOKUP(A281,Regularizare!$D:$U,15,FALSE)&amp;")"</f>
        <v>88441 (citit)</v>
      </c>
      <c r="S281" s="647"/>
      <c r="T281" s="647"/>
      <c r="U281" s="647" t="str">
        <f>VLOOKUP(A281,Regularizare!$D:$U,8,FALSE)&amp;" ("&amp;VLOOKUP(A281,Regularizare!$D:$U,16,FALSE)&amp;")"</f>
        <v>88441 (estimat)</v>
      </c>
      <c r="V281" s="647"/>
      <c r="W281" s="647"/>
      <c r="X281" s="647" t="str">
        <f>_xlfn.CONCAT(VLOOKUP(A281,Regularizare!$D:$U,8,FALSE)-VLOOKUP(A281,Regularizare!$D:$U,7,FALSE)," (",VLOOKUP(A281,Regularizare!$D:$U,16,FALSE),")")</f>
        <v>0 (estimat)</v>
      </c>
      <c r="Y281" s="647"/>
      <c r="Z281" s="647"/>
      <c r="AA281" s="647">
        <f>IF(VLOOKUP(A281,Regularizare!$D:$Y,21,FALSE)=0,VLOOKUP(A281,Regularizare!$D:$Y,21,FALSE),(-1)*VLOOKUP(A281,Regularizare!$D:$Y,21,FALSE))</f>
        <v>0</v>
      </c>
      <c r="AB281" s="647"/>
      <c r="AC281" s="647"/>
      <c r="AD281" s="647" t="s">
        <v>69</v>
      </c>
      <c r="AE281" s="647"/>
      <c r="AF281" s="647">
        <f>AA281</f>
        <v>0</v>
      </c>
      <c r="AG281" s="647"/>
      <c r="AH281" s="647"/>
      <c r="AI281" s="647" t="str">
        <f>AI278</f>
        <v>-</v>
      </c>
      <c r="AJ281" s="647"/>
      <c r="AK281" s="647" t="str">
        <f>AK278</f>
        <v>-</v>
      </c>
      <c r="AL281" s="647"/>
      <c r="AM281" s="647"/>
    </row>
    <row r="282" spans="1:39" ht="8.4499999999999993" customHeight="1">
      <c r="A282" s="727"/>
      <c r="B282" s="729"/>
      <c r="C282" s="729"/>
      <c r="D282" s="729"/>
      <c r="E282" s="729"/>
      <c r="F282" s="728"/>
      <c r="G282" s="648"/>
      <c r="H282" s="648"/>
      <c r="I282" s="648"/>
      <c r="J282" s="717" t="str">
        <f t="shared" si="17"/>
        <v>-</v>
      </c>
      <c r="K282" s="718"/>
      <c r="L282" s="719"/>
      <c r="M282" s="648"/>
      <c r="N282" s="648"/>
      <c r="O282" s="648"/>
      <c r="P282" s="648"/>
      <c r="Q282" s="648"/>
      <c r="R282" s="647"/>
      <c r="S282" s="647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647"/>
      <c r="AL282" s="647"/>
      <c r="AM282" s="647"/>
    </row>
    <row r="283" spans="1:39" ht="14.1" customHeight="1">
      <c r="A283" s="687"/>
      <c r="B283" s="688"/>
      <c r="C283" s="688"/>
      <c r="D283" s="688"/>
      <c r="E283" s="688"/>
      <c r="F283" s="689"/>
      <c r="G283" s="648"/>
      <c r="H283" s="648"/>
      <c r="I283" s="648"/>
      <c r="J283" s="714">
        <f t="shared" si="17"/>
        <v>45777</v>
      </c>
      <c r="K283" s="715"/>
      <c r="L283" s="716"/>
      <c r="M283" s="648"/>
      <c r="N283" s="648"/>
      <c r="O283" s="648"/>
      <c r="P283" s="648"/>
      <c r="Q283" s="648"/>
      <c r="R283" s="647"/>
      <c r="S283" s="647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647"/>
      <c r="AL283" s="647"/>
      <c r="AM283" s="647"/>
    </row>
    <row r="284" spans="1:39" ht="14.1" customHeight="1">
      <c r="A284" s="684" t="str">
        <f>A281</f>
        <v>V.20G90290210100775/2</v>
      </c>
      <c r="B284" s="685"/>
      <c r="C284" s="685"/>
      <c r="D284" s="685"/>
      <c r="E284" s="685"/>
      <c r="F284" s="686"/>
      <c r="G284" s="648" t="s">
        <v>731</v>
      </c>
      <c r="H284" s="648"/>
      <c r="I284" s="648"/>
      <c r="J284" s="655">
        <f t="shared" si="17"/>
        <v>45748</v>
      </c>
      <c r="K284" s="656"/>
      <c r="L284" s="657"/>
      <c r="M284" s="648" t="s">
        <v>720</v>
      </c>
      <c r="N284" s="648"/>
      <c r="O284" s="648">
        <f>O281</f>
        <v>1</v>
      </c>
      <c r="P284" s="648"/>
      <c r="Q284" s="648"/>
      <c r="R284" s="647" t="str">
        <f>VLOOKUP(A284,Regularizare!$D:$U,9,FALSE)&amp;" ("&amp;VLOOKUP(A284,Regularizare!$D:$U,17,FALSE)&amp;")"</f>
        <v>905 (citit)</v>
      </c>
      <c r="S284" s="647"/>
      <c r="T284" s="647"/>
      <c r="U284" s="647" t="str">
        <f>VLOOKUP(A284,Regularizare!$D:$U,10,FALSE)&amp;" ("&amp;VLOOKUP(A284,Regularizare!$D:$U,18,FALSE)&amp;")"</f>
        <v>905 (estimat)</v>
      </c>
      <c r="V284" s="647"/>
      <c r="W284" s="647"/>
      <c r="X284" s="647" t="str">
        <f>_xlfn.CONCAT(VLOOKUP(A284,Regularizare!$D:$U,10,FALSE)-VLOOKUP(A284,Regularizare!$D:$U,9,FALSE)," (",VLOOKUP(A284,Regularizare!$D:$U,18,FALSE),")")</f>
        <v>0 (estimat)</v>
      </c>
      <c r="Y284" s="647"/>
      <c r="Z284" s="647"/>
      <c r="AA284" s="647">
        <f>IF(VLOOKUP(A284,Regularizare!$D:$Y,22,FALSE)=0,VLOOKUP(A284,Regularizare!$D:$Y,22,FALSE),(-1)*VLOOKUP(A284,Regularizare!$D:$Y,22,FALSE))</f>
        <v>0</v>
      </c>
      <c r="AB284" s="647"/>
      <c r="AC284" s="647"/>
      <c r="AD284" s="647" t="s">
        <v>69</v>
      </c>
      <c r="AE284" s="647"/>
      <c r="AF284" s="647">
        <f>AA284</f>
        <v>0</v>
      </c>
      <c r="AG284" s="647"/>
      <c r="AH284" s="647"/>
      <c r="AI284" s="647" t="str">
        <f>AI281</f>
        <v>-</v>
      </c>
      <c r="AJ284" s="647"/>
      <c r="AK284" s="647" t="str">
        <f>AK281</f>
        <v>-</v>
      </c>
      <c r="AL284" s="647"/>
      <c r="AM284" s="647"/>
    </row>
    <row r="285" spans="1:39" ht="8.4499999999999993" customHeight="1">
      <c r="A285" s="727"/>
      <c r="B285" s="729"/>
      <c r="C285" s="729"/>
      <c r="D285" s="729"/>
      <c r="E285" s="729"/>
      <c r="F285" s="728"/>
      <c r="G285" s="648"/>
      <c r="H285" s="648"/>
      <c r="I285" s="648"/>
      <c r="J285" s="717" t="str">
        <f t="shared" si="17"/>
        <v>-</v>
      </c>
      <c r="K285" s="718"/>
      <c r="L285" s="719"/>
      <c r="M285" s="648"/>
      <c r="N285" s="648"/>
      <c r="O285" s="648"/>
      <c r="P285" s="648"/>
      <c r="Q285" s="648"/>
      <c r="R285" s="647"/>
      <c r="S285" s="647"/>
      <c r="T285" s="647"/>
      <c r="U285" s="647"/>
      <c r="V285" s="647"/>
      <c r="W285" s="647"/>
      <c r="X285" s="647"/>
      <c r="Y285" s="647"/>
      <c r="Z285" s="647"/>
      <c r="AA285" s="647"/>
      <c r="AB285" s="647"/>
      <c r="AC285" s="647"/>
      <c r="AD285" s="647"/>
      <c r="AE285" s="647"/>
      <c r="AF285" s="647"/>
      <c r="AG285" s="647"/>
      <c r="AH285" s="647"/>
      <c r="AI285" s="647"/>
      <c r="AJ285" s="647"/>
      <c r="AK285" s="647"/>
      <c r="AL285" s="647"/>
      <c r="AM285" s="647"/>
    </row>
    <row r="286" spans="1:39" ht="14.1" customHeight="1">
      <c r="A286" s="687"/>
      <c r="B286" s="688"/>
      <c r="C286" s="688"/>
      <c r="D286" s="688"/>
      <c r="E286" s="688"/>
      <c r="F286" s="689"/>
      <c r="G286" s="648"/>
      <c r="H286" s="648"/>
      <c r="I286" s="648"/>
      <c r="J286" s="714">
        <f t="shared" si="17"/>
        <v>45777</v>
      </c>
      <c r="K286" s="715"/>
      <c r="L286" s="716"/>
      <c r="M286" s="648"/>
      <c r="N286" s="648"/>
      <c r="O286" s="648"/>
      <c r="P286" s="648"/>
      <c r="Q286" s="648"/>
      <c r="R286" s="647"/>
      <c r="S286" s="647"/>
      <c r="T286" s="647"/>
      <c r="U286" s="647"/>
      <c r="V286" s="647"/>
      <c r="W286" s="647"/>
      <c r="X286" s="647"/>
      <c r="Y286" s="647"/>
      <c r="Z286" s="647"/>
      <c r="AA286" s="647"/>
      <c r="AB286" s="647"/>
      <c r="AC286" s="647"/>
      <c r="AD286" s="647"/>
      <c r="AE286" s="647"/>
      <c r="AF286" s="647"/>
      <c r="AG286" s="647"/>
      <c r="AH286" s="647"/>
      <c r="AI286" s="647"/>
      <c r="AJ286" s="647"/>
      <c r="AK286" s="647"/>
      <c r="AL286" s="647"/>
      <c r="AM286" s="647"/>
    </row>
    <row r="287" spans="1:39" ht="14.1" customHeight="1">
      <c r="A287" s="684" t="str">
        <f>A284</f>
        <v>V.20G90290210100775/2</v>
      </c>
      <c r="B287" s="685"/>
      <c r="C287" s="685"/>
      <c r="D287" s="685"/>
      <c r="E287" s="685"/>
      <c r="F287" s="686"/>
      <c r="G287" s="648" t="s">
        <v>730</v>
      </c>
      <c r="H287" s="648"/>
      <c r="I287" s="673"/>
      <c r="J287" s="655">
        <f>'Date masura OD'!$AK$5</f>
        <v>45748</v>
      </c>
      <c r="K287" s="656"/>
      <c r="L287" s="657"/>
      <c r="M287" s="720" t="s">
        <v>446</v>
      </c>
      <c r="N287" s="648"/>
      <c r="O287" s="648">
        <f>O284</f>
        <v>1</v>
      </c>
      <c r="P287" s="648"/>
      <c r="Q287" s="648"/>
      <c r="R287" s="647" t="str">
        <f>VLOOKUP(A287,Regularizare!$D:$AX,23,FALSE)&amp;" ("&amp;VLOOKUP(A287,Regularizare!$D:$AX,24,FALSE)&amp;")"</f>
        <v>1490481 (citit)</v>
      </c>
      <c r="S287" s="647"/>
      <c r="T287" s="647"/>
      <c r="U287" s="647" t="str">
        <f>VLOOKUP(A287,Regularizare!$D:$AX,25,FALSE)&amp;" ("&amp;VLOOKUP(A287,Regularizare!$D:$AX,26,FALSE)&amp;")"</f>
        <v>1546225 (citit)</v>
      </c>
      <c r="V287" s="647"/>
      <c r="W287" s="647"/>
      <c r="X287" s="647" t="str">
        <f>VLOOKUP(A287,Regularizare!$D:$AX,37,FALSE)&amp;" ("&amp;VLOOKUP(A287,Regularizare!$D:$AX,26,FALSE)&amp;")"</f>
        <v>55744 (citit)</v>
      </c>
      <c r="Y287" s="647"/>
      <c r="Z287" s="647"/>
      <c r="AA287" s="647">
        <f>VLOOKUP(A287,Regularizare!$D:$AX,37,FALSE)</f>
        <v>55744</v>
      </c>
      <c r="AB287" s="647"/>
      <c r="AC287" s="647"/>
      <c r="AD287" s="647" t="s">
        <v>69</v>
      </c>
      <c r="AE287" s="647"/>
      <c r="AF287" s="647">
        <f>AA287</f>
        <v>55744</v>
      </c>
      <c r="AG287" s="647"/>
      <c r="AH287" s="647"/>
      <c r="AI287" s="647" t="str">
        <f>AI284</f>
        <v>-</v>
      </c>
      <c r="AJ287" s="647"/>
      <c r="AK287" s="647" t="str">
        <f>AK284</f>
        <v>-</v>
      </c>
      <c r="AL287" s="647"/>
      <c r="AM287" s="647"/>
    </row>
    <row r="288" spans="1:39" ht="8.4499999999999993" customHeight="1">
      <c r="A288" s="727"/>
      <c r="B288" s="729"/>
      <c r="C288" s="729"/>
      <c r="D288" s="729"/>
      <c r="E288" s="729"/>
      <c r="F288" s="728"/>
      <c r="G288" s="648"/>
      <c r="H288" s="648"/>
      <c r="I288" s="673"/>
      <c r="J288" s="717" t="s">
        <v>69</v>
      </c>
      <c r="K288" s="718"/>
      <c r="L288" s="719"/>
      <c r="M288" s="720"/>
      <c r="N288" s="648"/>
      <c r="O288" s="648"/>
      <c r="P288" s="648"/>
      <c r="Q288" s="648"/>
      <c r="R288" s="647"/>
      <c r="S288" s="647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647"/>
      <c r="AL288" s="647"/>
      <c r="AM288" s="647"/>
    </row>
    <row r="289" spans="1:39" ht="14.1" customHeight="1">
      <c r="A289" s="687"/>
      <c r="B289" s="688"/>
      <c r="C289" s="688"/>
      <c r="D289" s="688"/>
      <c r="E289" s="688"/>
      <c r="F289" s="689"/>
      <c r="G289" s="648"/>
      <c r="H289" s="648"/>
      <c r="I289" s="673"/>
      <c r="J289" s="714">
        <f>'Date masura OD'!$AL$5</f>
        <v>45777</v>
      </c>
      <c r="K289" s="715"/>
      <c r="L289" s="716"/>
      <c r="M289" s="720"/>
      <c r="N289" s="648"/>
      <c r="O289" s="648"/>
      <c r="P289" s="648"/>
      <c r="Q289" s="648"/>
      <c r="R289" s="647"/>
      <c r="S289" s="647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647"/>
      <c r="AL289" s="647"/>
      <c r="AM289" s="647"/>
    </row>
    <row r="290" spans="1:39" ht="14.1" customHeight="1">
      <c r="A290" s="684" t="str">
        <f>A287</f>
        <v>V.20G90290210100775/2</v>
      </c>
      <c r="B290" s="685"/>
      <c r="C290" s="685"/>
      <c r="D290" s="685"/>
      <c r="E290" s="685"/>
      <c r="F290" s="686"/>
      <c r="G290" s="648" t="s">
        <v>696</v>
      </c>
      <c r="H290" s="648"/>
      <c r="I290" s="648"/>
      <c r="J290" s="655">
        <f t="shared" ref="J290:J295" si="18">J287</f>
        <v>45748</v>
      </c>
      <c r="K290" s="656"/>
      <c r="L290" s="657"/>
      <c r="M290" s="648" t="s">
        <v>720</v>
      </c>
      <c r="N290" s="648"/>
      <c r="O290" s="648">
        <f>O287</f>
        <v>1</v>
      </c>
      <c r="P290" s="648"/>
      <c r="Q290" s="648"/>
      <c r="R290" s="647" t="str">
        <f>VLOOKUP(A290,Regularizare!$D:$AX,29,FALSE)&amp;" ("&amp;VLOOKUP(A290,Regularizare!$D:$AX,30,FALSE)&amp;")"</f>
        <v>88441 (citit)</v>
      </c>
      <c r="S290" s="647"/>
      <c r="T290" s="647"/>
      <c r="U290" s="647" t="str">
        <f>VLOOKUP(A290,Regularizare!$D:$AX,31,FALSE)&amp;" ("&amp;VLOOKUP(A290,Regularizare!$D:$AX,32,FALSE)&amp;")"</f>
        <v>88441 (citit)</v>
      </c>
      <c r="V290" s="647"/>
      <c r="W290" s="647"/>
      <c r="X290" s="647" t="str">
        <f>VLOOKUP(A290,Regularizare!$D:$AX,39,FALSE)&amp;" ("&amp;VLOOKUP(A290,Regularizare!$D:$AX,32,FALSE)&amp;")"</f>
        <v>0 (citit)</v>
      </c>
      <c r="Y290" s="647"/>
      <c r="Z290" s="647"/>
      <c r="AA290" s="647">
        <f>VLOOKUP(A290,Regularizare!$D:$AX,44,FALSE)+VLOOKUP(A290,Regularizare!$D:$AX,45,FALSE)</f>
        <v>0</v>
      </c>
      <c r="AB290" s="647"/>
      <c r="AC290" s="647"/>
      <c r="AD290" s="647" t="s">
        <v>69</v>
      </c>
      <c r="AE290" s="647"/>
      <c r="AF290" s="647">
        <f>AA290</f>
        <v>0</v>
      </c>
      <c r="AG290" s="647"/>
      <c r="AH290" s="647"/>
      <c r="AI290" s="647" t="str">
        <f>AI287</f>
        <v>-</v>
      </c>
      <c r="AJ290" s="647"/>
      <c r="AK290" s="647" t="str">
        <f>AK287</f>
        <v>-</v>
      </c>
      <c r="AL290" s="647"/>
      <c r="AM290" s="647"/>
    </row>
    <row r="291" spans="1:39" ht="14.1" customHeight="1">
      <c r="A291" s="727"/>
      <c r="B291" s="729"/>
      <c r="C291" s="729"/>
      <c r="D291" s="729"/>
      <c r="E291" s="729"/>
      <c r="F291" s="728"/>
      <c r="G291" s="648"/>
      <c r="H291" s="648"/>
      <c r="I291" s="648"/>
      <c r="J291" s="717" t="str">
        <f t="shared" si="18"/>
        <v>-</v>
      </c>
      <c r="K291" s="718"/>
      <c r="L291" s="719"/>
      <c r="M291" s="648"/>
      <c r="N291" s="648"/>
      <c r="O291" s="648"/>
      <c r="P291" s="648"/>
      <c r="Q291" s="648"/>
      <c r="R291" s="647"/>
      <c r="S291" s="647"/>
      <c r="T291" s="647"/>
      <c r="U291" s="647"/>
      <c r="V291" s="647"/>
      <c r="W291" s="647"/>
      <c r="X291" s="647"/>
      <c r="Y291" s="647"/>
      <c r="Z291" s="647"/>
      <c r="AA291" s="647"/>
      <c r="AB291" s="647"/>
      <c r="AC291" s="647"/>
      <c r="AD291" s="647"/>
      <c r="AE291" s="647"/>
      <c r="AF291" s="647"/>
      <c r="AG291" s="647"/>
      <c r="AH291" s="647"/>
      <c r="AI291" s="647"/>
      <c r="AJ291" s="647"/>
      <c r="AK291" s="647"/>
      <c r="AL291" s="647"/>
      <c r="AM291" s="647"/>
    </row>
    <row r="292" spans="1:39" ht="14.1" customHeight="1">
      <c r="A292" s="687"/>
      <c r="B292" s="688"/>
      <c r="C292" s="688"/>
      <c r="D292" s="688"/>
      <c r="E292" s="688"/>
      <c r="F292" s="689"/>
      <c r="G292" s="648"/>
      <c r="H292" s="648"/>
      <c r="I292" s="648"/>
      <c r="J292" s="714">
        <f t="shared" si="18"/>
        <v>45777</v>
      </c>
      <c r="K292" s="715"/>
      <c r="L292" s="716"/>
      <c r="M292" s="648"/>
      <c r="N292" s="648"/>
      <c r="O292" s="648"/>
      <c r="P292" s="648"/>
      <c r="Q292" s="648"/>
      <c r="R292" s="647"/>
      <c r="S292" s="647"/>
      <c r="T292" s="647"/>
      <c r="U292" s="647"/>
      <c r="V292" s="647"/>
      <c r="W292" s="647"/>
      <c r="X292" s="647"/>
      <c r="Y292" s="647"/>
      <c r="Z292" s="647"/>
      <c r="AA292" s="647"/>
      <c r="AB292" s="647"/>
      <c r="AC292" s="647"/>
      <c r="AD292" s="647"/>
      <c r="AE292" s="647"/>
      <c r="AF292" s="647"/>
      <c r="AG292" s="647"/>
      <c r="AH292" s="647"/>
      <c r="AI292" s="647"/>
      <c r="AJ292" s="647"/>
      <c r="AK292" s="647"/>
      <c r="AL292" s="647"/>
      <c r="AM292" s="647"/>
    </row>
    <row r="293" spans="1:39" ht="14.1" customHeight="1">
      <c r="A293" s="684" t="str">
        <f>A290</f>
        <v>V.20G90290210100775/2</v>
      </c>
      <c r="B293" s="685"/>
      <c r="C293" s="685"/>
      <c r="D293" s="685"/>
      <c r="E293" s="685"/>
      <c r="F293" s="686"/>
      <c r="G293" s="648" t="s">
        <v>731</v>
      </c>
      <c r="H293" s="648"/>
      <c r="I293" s="648"/>
      <c r="J293" s="655">
        <f t="shared" si="18"/>
        <v>45748</v>
      </c>
      <c r="K293" s="656"/>
      <c r="L293" s="657"/>
      <c r="M293" s="648" t="s">
        <v>720</v>
      </c>
      <c r="N293" s="648"/>
      <c r="O293" s="648">
        <f>O290</f>
        <v>1</v>
      </c>
      <c r="P293" s="648"/>
      <c r="Q293" s="648"/>
      <c r="R293" s="647" t="str">
        <f>VLOOKUP(A293,Regularizare!$D:$AX,33,FALSE)&amp;" ("&amp;VLOOKUP(A293,Regularizare!$D:$AX,34,FALSE)&amp;")"</f>
        <v>905 (citit)</v>
      </c>
      <c r="S293" s="647"/>
      <c r="T293" s="647"/>
      <c r="U293" s="647" t="str">
        <f>VLOOKUP(A293,Regularizare!$D:$AX,35,FALSE)&amp;" ("&amp;VLOOKUP(A293,Regularizare!$D:$AX,36,FALSE)&amp;")"</f>
        <v>905 (citit)</v>
      </c>
      <c r="V293" s="647"/>
      <c r="W293" s="647"/>
      <c r="X293" s="647" t="str">
        <f>VLOOKUP(A293,Regularizare!$D:$AX,40,FALSE)&amp;" ("&amp;VLOOKUP(A293,Regularizare!$D:$AX,36,FALSE)&amp;")"</f>
        <v>0 (citit)</v>
      </c>
      <c r="Y293" s="647"/>
      <c r="Z293" s="647"/>
      <c r="AA293" s="647">
        <f>VLOOKUP(A293,Regularizare!$D:$AX,46,FALSE)+VLOOKUP(A293,Regularizare!$D:$AX,47,FALSE)</f>
        <v>0</v>
      </c>
      <c r="AB293" s="647"/>
      <c r="AC293" s="647"/>
      <c r="AD293" s="647" t="s">
        <v>69</v>
      </c>
      <c r="AE293" s="647"/>
      <c r="AF293" s="647">
        <f>AA293</f>
        <v>0</v>
      </c>
      <c r="AG293" s="647"/>
      <c r="AH293" s="647"/>
      <c r="AI293" s="647" t="str">
        <f>AI290</f>
        <v>-</v>
      </c>
      <c r="AJ293" s="647"/>
      <c r="AK293" s="647" t="str">
        <f>AK290</f>
        <v>-</v>
      </c>
      <c r="AL293" s="647"/>
      <c r="AM293" s="647"/>
    </row>
    <row r="294" spans="1:39" ht="14.1" customHeight="1">
      <c r="A294" s="727"/>
      <c r="B294" s="729"/>
      <c r="C294" s="729"/>
      <c r="D294" s="729"/>
      <c r="E294" s="729"/>
      <c r="F294" s="728"/>
      <c r="G294" s="648"/>
      <c r="H294" s="648"/>
      <c r="I294" s="648"/>
      <c r="J294" s="717" t="str">
        <f t="shared" si="18"/>
        <v>-</v>
      </c>
      <c r="K294" s="718"/>
      <c r="L294" s="719"/>
      <c r="M294" s="648"/>
      <c r="N294" s="648"/>
      <c r="O294" s="648"/>
      <c r="P294" s="648"/>
      <c r="Q294" s="648"/>
      <c r="R294" s="647"/>
      <c r="S294" s="647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647"/>
      <c r="AL294" s="647"/>
      <c r="AM294" s="647"/>
    </row>
    <row r="295" spans="1:39" ht="14.1" customHeight="1">
      <c r="A295" s="687"/>
      <c r="B295" s="688"/>
      <c r="C295" s="688"/>
      <c r="D295" s="688"/>
      <c r="E295" s="688"/>
      <c r="F295" s="689"/>
      <c r="G295" s="648"/>
      <c r="H295" s="648"/>
      <c r="I295" s="648"/>
      <c r="J295" s="714">
        <f t="shared" si="18"/>
        <v>45777</v>
      </c>
      <c r="K295" s="715"/>
      <c r="L295" s="716"/>
      <c r="M295" s="648"/>
      <c r="N295" s="648"/>
      <c r="O295" s="648"/>
      <c r="P295" s="648"/>
      <c r="Q295" s="648"/>
      <c r="R295" s="647"/>
      <c r="S295" s="647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647"/>
      <c r="AL295" s="647"/>
      <c r="AM295" s="647"/>
    </row>
    <row r="296" spans="1:39" ht="14.1" customHeight="1">
      <c r="A296" s="684" t="str">
        <f>A293</f>
        <v>V.20G90290210100775/2</v>
      </c>
      <c r="B296" s="685"/>
      <c r="C296" s="685"/>
      <c r="D296" s="685"/>
      <c r="E296" s="685"/>
      <c r="F296" s="686"/>
      <c r="G296" s="648" t="s">
        <v>730</v>
      </c>
      <c r="H296" s="648"/>
      <c r="I296" s="673"/>
      <c r="J296" s="655">
        <f>'Date masura OD'!$I$5</f>
        <v>45778</v>
      </c>
      <c r="K296" s="656"/>
      <c r="L296" s="657"/>
      <c r="M296" s="720" t="s">
        <v>446</v>
      </c>
      <c r="N296" s="648"/>
      <c r="O296" s="648">
        <f>O293</f>
        <v>1</v>
      </c>
      <c r="P296" s="648"/>
      <c r="Q296" s="648"/>
      <c r="R296" s="647" t="str">
        <f>U287</f>
        <v>1546225 (citit)</v>
      </c>
      <c r="S296" s="647"/>
      <c r="T296" s="647"/>
      <c r="U296" s="647" t="str">
        <f>VLOOKUP(A296,'Incrementare indexe'!$D:$M,4,FALSE)&amp;" (estimat)"</f>
        <v>1608532 (estimat)</v>
      </c>
      <c r="V296" s="647"/>
      <c r="W296" s="647"/>
      <c r="X296" s="647" t="str">
        <f>VLOOKUP(A296,'Incrementare indexe'!$D:$Q,11,FALSE)&amp;" (estimat)"</f>
        <v>62307 (estimat)</v>
      </c>
      <c r="Y296" s="647"/>
      <c r="Z296" s="647"/>
      <c r="AA296" s="647" t="s">
        <v>69</v>
      </c>
      <c r="AB296" s="647"/>
      <c r="AC296" s="647"/>
      <c r="AD296" s="647" t="s">
        <v>69</v>
      </c>
      <c r="AE296" s="647"/>
      <c r="AF296" s="647">
        <f>VLOOKUP(A296,'Incrementare indexe'!$D:$Q,11,FALSE)</f>
        <v>62307</v>
      </c>
      <c r="AG296" s="647"/>
      <c r="AH296" s="647"/>
      <c r="AI296" s="647">
        <f>J298-J296+1</f>
        <v>31</v>
      </c>
      <c r="AJ296" s="647"/>
      <c r="AK296" s="647">
        <f>ROUND(AF296/AI296,2)</f>
        <v>2009.9</v>
      </c>
      <c r="AL296" s="647"/>
      <c r="AM296" s="647"/>
    </row>
    <row r="297" spans="1:39" ht="14.1" customHeight="1">
      <c r="A297" s="727"/>
      <c r="B297" s="729"/>
      <c r="C297" s="729"/>
      <c r="D297" s="729"/>
      <c r="E297" s="729"/>
      <c r="F297" s="728"/>
      <c r="G297" s="648"/>
      <c r="H297" s="648"/>
      <c r="I297" s="673"/>
      <c r="J297" s="717" t="s">
        <v>69</v>
      </c>
      <c r="K297" s="718"/>
      <c r="L297" s="719"/>
      <c r="M297" s="720"/>
      <c r="N297" s="648"/>
      <c r="O297" s="648"/>
      <c r="P297" s="648"/>
      <c r="Q297" s="648"/>
      <c r="R297" s="647"/>
      <c r="S297" s="647"/>
      <c r="T297" s="647"/>
      <c r="U297" s="647"/>
      <c r="V297" s="647"/>
      <c r="W297" s="647"/>
      <c r="X297" s="647"/>
      <c r="Y297" s="647"/>
      <c r="Z297" s="647"/>
      <c r="AA297" s="647"/>
      <c r="AB297" s="647"/>
      <c r="AC297" s="647"/>
      <c r="AD297" s="647"/>
      <c r="AE297" s="647"/>
      <c r="AF297" s="647"/>
      <c r="AG297" s="647"/>
      <c r="AH297" s="647"/>
      <c r="AI297" s="647"/>
      <c r="AJ297" s="647"/>
      <c r="AK297" s="647"/>
      <c r="AL297" s="647"/>
      <c r="AM297" s="647"/>
    </row>
    <row r="298" spans="1:39" ht="14.1" customHeight="1">
      <c r="A298" s="687"/>
      <c r="B298" s="688"/>
      <c r="C298" s="688"/>
      <c r="D298" s="688"/>
      <c r="E298" s="688"/>
      <c r="F298" s="689"/>
      <c r="G298" s="648"/>
      <c r="H298" s="648"/>
      <c r="I298" s="673"/>
      <c r="J298" s="714">
        <f>'Date masura OD'!$J$5</f>
        <v>45808</v>
      </c>
      <c r="K298" s="715"/>
      <c r="L298" s="716"/>
      <c r="M298" s="720"/>
      <c r="N298" s="648"/>
      <c r="O298" s="648"/>
      <c r="P298" s="648"/>
      <c r="Q298" s="648"/>
      <c r="R298" s="647"/>
      <c r="S298" s="647"/>
      <c r="T298" s="647"/>
      <c r="U298" s="647"/>
      <c r="V298" s="647"/>
      <c r="W298" s="647"/>
      <c r="X298" s="647"/>
      <c r="Y298" s="647"/>
      <c r="Z298" s="647"/>
      <c r="AA298" s="647"/>
      <c r="AB298" s="647"/>
      <c r="AC298" s="647"/>
      <c r="AD298" s="647"/>
      <c r="AE298" s="647"/>
      <c r="AF298" s="647"/>
      <c r="AG298" s="647"/>
      <c r="AH298" s="647"/>
      <c r="AI298" s="647"/>
      <c r="AJ298" s="647"/>
      <c r="AK298" s="647"/>
      <c r="AL298" s="647"/>
      <c r="AM298" s="647"/>
    </row>
    <row r="299" spans="1:39" ht="14.1" customHeight="1">
      <c r="A299" s="684" t="str">
        <f>A296</f>
        <v>V.20G90290210100775/2</v>
      </c>
      <c r="B299" s="685"/>
      <c r="C299" s="685"/>
      <c r="D299" s="685"/>
      <c r="E299" s="685"/>
      <c r="F299" s="686"/>
      <c r="G299" s="648" t="s">
        <v>696</v>
      </c>
      <c r="H299" s="648"/>
      <c r="I299" s="648"/>
      <c r="J299" s="655">
        <f t="shared" ref="J299:J304" si="19">J296</f>
        <v>45778</v>
      </c>
      <c r="K299" s="656"/>
      <c r="L299" s="657"/>
      <c r="M299" s="648" t="s">
        <v>720</v>
      </c>
      <c r="N299" s="648"/>
      <c r="O299" s="648">
        <f>O296</f>
        <v>1</v>
      </c>
      <c r="P299" s="648"/>
      <c r="Q299" s="648"/>
      <c r="R299" s="647" t="str">
        <f>U290</f>
        <v>88441 (citit)</v>
      </c>
      <c r="S299" s="647"/>
      <c r="T299" s="647"/>
      <c r="U299" s="647" t="str">
        <f>VLOOKUP(A299,'Incrementare indexe'!$D:$M,8,FALSE)&amp;" (estimat)"</f>
        <v>88441 (estimat)</v>
      </c>
      <c r="V299" s="647"/>
      <c r="W299" s="647"/>
      <c r="X299" s="647" t="str">
        <f>VLOOKUP(A299,'Incrementare indexe'!$D:$Q,12,FALSE)&amp;" (estimat)"</f>
        <v>0 (estimat)</v>
      </c>
      <c r="Y299" s="647"/>
      <c r="Z299" s="647"/>
      <c r="AA299" s="647" t="s">
        <v>69</v>
      </c>
      <c r="AB299" s="647"/>
      <c r="AC299" s="647"/>
      <c r="AD299" s="647" t="s">
        <v>69</v>
      </c>
      <c r="AE299" s="647"/>
      <c r="AF299" s="647">
        <f>VLOOKUP(A299,'Incrementare indexe'!$D:$Q,12,FALSE)</f>
        <v>0</v>
      </c>
      <c r="AG299" s="647"/>
      <c r="AH299" s="647"/>
      <c r="AI299" s="647">
        <f>AI296</f>
        <v>31</v>
      </c>
      <c r="AJ299" s="647"/>
      <c r="AK299" s="647">
        <f>ROUND(AF299/AI299,2)</f>
        <v>0</v>
      </c>
      <c r="AL299" s="647"/>
      <c r="AM299" s="647"/>
    </row>
    <row r="300" spans="1:39" ht="14.1" customHeight="1">
      <c r="A300" s="727"/>
      <c r="B300" s="729"/>
      <c r="C300" s="729"/>
      <c r="D300" s="729"/>
      <c r="E300" s="729"/>
      <c r="F300" s="728"/>
      <c r="G300" s="648"/>
      <c r="H300" s="648"/>
      <c r="I300" s="648"/>
      <c r="J300" s="717" t="str">
        <f t="shared" si="19"/>
        <v>-</v>
      </c>
      <c r="K300" s="718"/>
      <c r="L300" s="719"/>
      <c r="M300" s="648"/>
      <c r="N300" s="648"/>
      <c r="O300" s="648"/>
      <c r="P300" s="648"/>
      <c r="Q300" s="648"/>
      <c r="R300" s="647"/>
      <c r="S300" s="647"/>
      <c r="T300" s="647"/>
      <c r="U300" s="647"/>
      <c r="V300" s="647"/>
      <c r="W300" s="647"/>
      <c r="X300" s="647"/>
      <c r="Y300" s="647"/>
      <c r="Z300" s="647"/>
      <c r="AA300" s="647"/>
      <c r="AB300" s="647"/>
      <c r="AC300" s="647"/>
      <c r="AD300" s="647"/>
      <c r="AE300" s="647"/>
      <c r="AF300" s="647"/>
      <c r="AG300" s="647"/>
      <c r="AH300" s="647"/>
      <c r="AI300" s="647"/>
      <c r="AJ300" s="647"/>
      <c r="AK300" s="647"/>
      <c r="AL300" s="647"/>
      <c r="AM300" s="647"/>
    </row>
    <row r="301" spans="1:39" ht="14.1" customHeight="1">
      <c r="A301" s="687"/>
      <c r="B301" s="688"/>
      <c r="C301" s="688"/>
      <c r="D301" s="688"/>
      <c r="E301" s="688"/>
      <c r="F301" s="689"/>
      <c r="G301" s="648"/>
      <c r="H301" s="648"/>
      <c r="I301" s="648"/>
      <c r="J301" s="714">
        <f t="shared" si="19"/>
        <v>45808</v>
      </c>
      <c r="K301" s="715"/>
      <c r="L301" s="716"/>
      <c r="M301" s="648"/>
      <c r="N301" s="648"/>
      <c r="O301" s="648"/>
      <c r="P301" s="648"/>
      <c r="Q301" s="648"/>
      <c r="R301" s="647"/>
      <c r="S301" s="647"/>
      <c r="T301" s="647"/>
      <c r="U301" s="647"/>
      <c r="V301" s="647"/>
      <c r="W301" s="647"/>
      <c r="X301" s="647"/>
      <c r="Y301" s="647"/>
      <c r="Z301" s="647"/>
      <c r="AA301" s="647"/>
      <c r="AB301" s="647"/>
      <c r="AC301" s="647"/>
      <c r="AD301" s="647"/>
      <c r="AE301" s="647"/>
      <c r="AF301" s="647"/>
      <c r="AG301" s="647"/>
      <c r="AH301" s="647"/>
      <c r="AI301" s="647"/>
      <c r="AJ301" s="647"/>
      <c r="AK301" s="647"/>
      <c r="AL301" s="647"/>
      <c r="AM301" s="647"/>
    </row>
    <row r="302" spans="1:39" ht="14.1" customHeight="1">
      <c r="A302" s="684" t="str">
        <f>A299</f>
        <v>V.20G90290210100775/2</v>
      </c>
      <c r="B302" s="685"/>
      <c r="C302" s="685"/>
      <c r="D302" s="685"/>
      <c r="E302" s="685"/>
      <c r="F302" s="686"/>
      <c r="G302" s="648" t="s">
        <v>731</v>
      </c>
      <c r="H302" s="648"/>
      <c r="I302" s="648"/>
      <c r="J302" s="655">
        <f t="shared" si="19"/>
        <v>45778</v>
      </c>
      <c r="K302" s="656"/>
      <c r="L302" s="657"/>
      <c r="M302" s="648" t="s">
        <v>720</v>
      </c>
      <c r="N302" s="648"/>
      <c r="O302" s="648">
        <f>O299</f>
        <v>1</v>
      </c>
      <c r="P302" s="648"/>
      <c r="Q302" s="648"/>
      <c r="R302" s="647" t="str">
        <f>U293</f>
        <v>905 (citit)</v>
      </c>
      <c r="S302" s="647"/>
      <c r="T302" s="647"/>
      <c r="U302" s="647" t="str">
        <f>VLOOKUP(A302,'Incrementare indexe'!$D:$M,10,FALSE)&amp;" (estimat)"</f>
        <v>905 (estimat)</v>
      </c>
      <c r="V302" s="647"/>
      <c r="W302" s="647"/>
      <c r="X302" s="647" t="str">
        <f>VLOOKUP(A302,'Incrementare indexe'!$D:$Q,13,FALSE)&amp;" (estimat)"</f>
        <v>0 (estimat)</v>
      </c>
      <c r="Y302" s="647"/>
      <c r="Z302" s="647"/>
      <c r="AA302" s="647" t="s">
        <v>69</v>
      </c>
      <c r="AB302" s="647"/>
      <c r="AC302" s="647"/>
      <c r="AD302" s="647" t="s">
        <v>69</v>
      </c>
      <c r="AE302" s="647"/>
      <c r="AF302" s="647">
        <f>VLOOKUP(A302,'Incrementare indexe'!$D:$Q,13,FALSE)</f>
        <v>0</v>
      </c>
      <c r="AG302" s="647"/>
      <c r="AH302" s="647"/>
      <c r="AI302" s="647">
        <f>AI299</f>
        <v>31</v>
      </c>
      <c r="AJ302" s="647"/>
      <c r="AK302" s="647">
        <f>ROUND(AF302/AI302,2)</f>
        <v>0</v>
      </c>
      <c r="AL302" s="647"/>
      <c r="AM302" s="647"/>
    </row>
    <row r="303" spans="1:39" ht="14.1" customHeight="1">
      <c r="A303" s="727"/>
      <c r="B303" s="729"/>
      <c r="C303" s="729"/>
      <c r="D303" s="729"/>
      <c r="E303" s="729"/>
      <c r="F303" s="728"/>
      <c r="G303" s="648"/>
      <c r="H303" s="648"/>
      <c r="I303" s="648"/>
      <c r="J303" s="717" t="str">
        <f t="shared" si="19"/>
        <v>-</v>
      </c>
      <c r="K303" s="718"/>
      <c r="L303" s="719"/>
      <c r="M303" s="648"/>
      <c r="N303" s="648"/>
      <c r="O303" s="648"/>
      <c r="P303" s="648"/>
      <c r="Q303" s="648"/>
      <c r="R303" s="647"/>
      <c r="S303" s="647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647"/>
      <c r="AL303" s="647"/>
      <c r="AM303" s="647"/>
    </row>
    <row r="304" spans="1:39" ht="14.1" customHeight="1">
      <c r="A304" s="687"/>
      <c r="B304" s="688"/>
      <c r="C304" s="688"/>
      <c r="D304" s="688"/>
      <c r="E304" s="688"/>
      <c r="F304" s="689"/>
      <c r="G304" s="648"/>
      <c r="H304" s="648"/>
      <c r="I304" s="648"/>
      <c r="J304" s="714">
        <f t="shared" si="19"/>
        <v>45808</v>
      </c>
      <c r="K304" s="715"/>
      <c r="L304" s="716"/>
      <c r="M304" s="648"/>
      <c r="N304" s="648"/>
      <c r="O304" s="648"/>
      <c r="P304" s="648"/>
      <c r="Q304" s="648"/>
      <c r="R304" s="647"/>
      <c r="S304" s="647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647"/>
      <c r="AG304" s="647"/>
      <c r="AH304" s="647"/>
      <c r="AI304" s="647"/>
      <c r="AJ304" s="647"/>
      <c r="AK304" s="647"/>
      <c r="AL304" s="647"/>
      <c r="AM304" s="647"/>
    </row>
    <row r="305" spans="1:39" ht="14.1" customHeight="1"/>
    <row r="306" spans="1:39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</row>
    <row r="307" spans="1:39" ht="15.9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</row>
    <row r="308" spans="1:39">
      <c r="A308" s="624" t="str">
        <f>A27</f>
        <v>DETALII FACTURA FACTURA FISCALA SERIA …........ NR …................. din date de ….......06.2025</v>
      </c>
      <c r="B308" s="624"/>
      <c r="C308" s="624"/>
      <c r="D308" s="624"/>
      <c r="E308" s="624"/>
      <c r="F308" s="624"/>
      <c r="G308" s="624"/>
      <c r="H308" s="624"/>
      <c r="I308" s="624"/>
      <c r="J308" s="624"/>
      <c r="K308" s="624"/>
      <c r="L308" s="624"/>
      <c r="M308" s="624"/>
      <c r="N308" s="624"/>
      <c r="O308" s="624"/>
      <c r="P308" s="624"/>
      <c r="Q308" s="624"/>
      <c r="R308" s="624"/>
      <c r="S308" s="624"/>
      <c r="T308" s="624"/>
      <c r="U308" s="624"/>
      <c r="V308" s="624"/>
      <c r="W308" s="624"/>
      <c r="X308" s="624"/>
      <c r="Y308" s="624"/>
      <c r="Z308" s="624"/>
      <c r="AA308" s="624"/>
      <c r="AB308" s="624"/>
      <c r="AC308" s="624"/>
      <c r="AD308" s="624"/>
      <c r="AE308" s="624"/>
      <c r="AF308" s="624"/>
      <c r="AG308" s="624"/>
      <c r="AH308" s="624"/>
      <c r="AI308" s="624"/>
      <c r="AJ308" s="624"/>
      <c r="AK308" s="624"/>
      <c r="AL308" s="624"/>
      <c r="AM308" s="624"/>
    </row>
    <row r="310" spans="1:39" ht="33.75">
      <c r="A310" s="66" t="s">
        <v>721</v>
      </c>
      <c r="B310" s="648" t="s">
        <v>95</v>
      </c>
      <c r="C310" s="648"/>
      <c r="D310" s="648"/>
      <c r="E310" s="648"/>
      <c r="F310" s="648"/>
      <c r="G310" s="648"/>
      <c r="H310" s="648"/>
      <c r="I310" s="648"/>
      <c r="J310" s="648"/>
      <c r="K310" s="648"/>
      <c r="L310" s="64" t="s">
        <v>709</v>
      </c>
      <c r="M310" s="69"/>
      <c r="N310" s="69"/>
      <c r="O310" s="64"/>
      <c r="P310" s="69"/>
      <c r="Q310" s="69"/>
      <c r="R310" s="647" t="s">
        <v>722</v>
      </c>
      <c r="S310" s="647"/>
      <c r="T310" s="647"/>
      <c r="U310" s="647"/>
      <c r="V310" s="648" t="s">
        <v>519</v>
      </c>
      <c r="W310" s="648"/>
      <c r="X310" s="647" t="s">
        <v>723</v>
      </c>
      <c r="Y310" s="647"/>
      <c r="Z310" s="647"/>
      <c r="AA310" s="647"/>
      <c r="AB310" s="647" t="s">
        <v>724</v>
      </c>
      <c r="AC310" s="647"/>
      <c r="AD310" s="647"/>
      <c r="AE310" s="647"/>
      <c r="AF310" s="647" t="s">
        <v>725</v>
      </c>
      <c r="AG310" s="647"/>
      <c r="AH310" s="647"/>
      <c r="AI310" s="647"/>
      <c r="AJ310" s="647" t="s">
        <v>726</v>
      </c>
      <c r="AK310" s="647"/>
      <c r="AL310" s="647"/>
      <c r="AM310" s="647"/>
    </row>
    <row r="311" spans="1:39">
      <c r="A311" s="65">
        <v>1</v>
      </c>
      <c r="B311" s="699" t="s">
        <v>71</v>
      </c>
      <c r="C311" s="700"/>
      <c r="D311" s="700"/>
      <c r="E311" s="700"/>
      <c r="F311" s="700"/>
      <c r="G311" s="700"/>
      <c r="H311" s="700"/>
      <c r="I311" s="700"/>
      <c r="J311" s="700"/>
      <c r="K311" s="701"/>
      <c r="L311" s="702">
        <f>'Date masura OD'!$I$5</f>
        <v>45778</v>
      </c>
      <c r="M311" s="702"/>
      <c r="N311" s="702"/>
      <c r="O311" s="702">
        <f>'Date masura OD'!$J$5</f>
        <v>45808</v>
      </c>
      <c r="P311" s="702"/>
      <c r="Q311" s="702"/>
      <c r="R311" s="690" cm="1">
        <f t="array" ref="R311">INDEX(verificare!$AT$4:$CC$26,VLOOKUP($AA$15,verificare!$AR$4:$AS$26,2,FALSE),A311)</f>
        <v>794597</v>
      </c>
      <c r="S311" s="690"/>
      <c r="T311" s="690"/>
      <c r="U311" s="690"/>
      <c r="V311" s="658" t="s">
        <v>446</v>
      </c>
      <c r="W311" s="658"/>
      <c r="X311" s="691">
        <f>HLOOKUP(VLOOKUP($AA$15,'Date SPV'!$B:$F,5,FALSE),'Preturi si tarife'!$C$2:$J$39,A311+2,FALSE)</f>
        <v>0.59499999999999997</v>
      </c>
      <c r="Y311" s="692"/>
      <c r="Z311" s="692"/>
      <c r="AA311" s="693"/>
      <c r="AB311" s="690">
        <f>ROUND(X311*R311,2)</f>
        <v>472785.22</v>
      </c>
      <c r="AC311" s="690"/>
      <c r="AD311" s="690"/>
      <c r="AE311" s="690"/>
      <c r="AF311" s="690">
        <f>ROUND(AB311*19%,2)</f>
        <v>89829.19</v>
      </c>
      <c r="AG311" s="690"/>
      <c r="AH311" s="690"/>
      <c r="AI311" s="690"/>
      <c r="AJ311" s="690">
        <f>AB311+AF311</f>
        <v>562614.40999999992</v>
      </c>
      <c r="AK311" s="690"/>
      <c r="AL311" s="690"/>
      <c r="AM311" s="690"/>
    </row>
    <row r="312" spans="1:39" ht="15.95" customHeight="1">
      <c r="A312" s="65">
        <f>A311+1</f>
        <v>2</v>
      </c>
      <c r="B312" s="699" t="s">
        <v>72</v>
      </c>
      <c r="C312" s="700"/>
      <c r="D312" s="700"/>
      <c r="E312" s="700"/>
      <c r="F312" s="700"/>
      <c r="G312" s="700"/>
      <c r="H312" s="700"/>
      <c r="I312" s="700"/>
      <c r="J312" s="700"/>
      <c r="K312" s="701"/>
      <c r="L312" s="702">
        <f>L311</f>
        <v>45778</v>
      </c>
      <c r="M312" s="702"/>
      <c r="N312" s="702"/>
      <c r="O312" s="702">
        <f>O311</f>
        <v>45808</v>
      </c>
      <c r="P312" s="702"/>
      <c r="Q312" s="702"/>
      <c r="R312" s="772" cm="1">
        <f t="array" ref="R312">INDEX(verificare!$AT$4:$CC$26,VLOOKUP($AA$15,verificare!$AR$4:$AS$26,2,FALSE),A312)</f>
        <v>0</v>
      </c>
      <c r="S312" s="773"/>
      <c r="T312" s="773"/>
      <c r="U312" s="774"/>
      <c r="V312" s="658" t="s">
        <v>727</v>
      </c>
      <c r="W312" s="658"/>
      <c r="X312" s="691">
        <f>HLOOKUP(VLOOKUP($AA$15,'Date SPV'!$B:$F,5,FALSE),'Preturi si tarife'!$C$2:$J$39,A312+2,FALSE)</f>
        <v>0.14660000000000001</v>
      </c>
      <c r="Y312" s="692"/>
      <c r="Z312" s="692"/>
      <c r="AA312" s="693"/>
      <c r="AB312" s="690">
        <f t="shared" ref="AB312:AB346" si="20">ROUND(X312*R312,2)</f>
        <v>0</v>
      </c>
      <c r="AC312" s="690"/>
      <c r="AD312" s="690"/>
      <c r="AE312" s="690"/>
      <c r="AF312" s="690">
        <f t="shared" ref="AF312:AF347" si="21">ROUND(AB312*19%,2)</f>
        <v>0</v>
      </c>
      <c r="AG312" s="690"/>
      <c r="AH312" s="690"/>
      <c r="AI312" s="690"/>
      <c r="AJ312" s="690">
        <f t="shared" ref="AJ312:AJ347" si="22">AB312+AF312</f>
        <v>0</v>
      </c>
      <c r="AK312" s="690"/>
      <c r="AL312" s="690"/>
      <c r="AM312" s="690"/>
    </row>
    <row r="313" spans="1:39">
      <c r="A313" s="65">
        <f t="shared" ref="A313:A347" si="23">A312+1</f>
        <v>3</v>
      </c>
      <c r="B313" s="699" t="s">
        <v>73</v>
      </c>
      <c r="C313" s="700"/>
      <c r="D313" s="700"/>
      <c r="E313" s="700"/>
      <c r="F313" s="700"/>
      <c r="G313" s="700"/>
      <c r="H313" s="700"/>
      <c r="I313" s="700"/>
      <c r="J313" s="700"/>
      <c r="K313" s="701"/>
      <c r="L313" s="702">
        <f t="shared" ref="L313:L328" si="24">L312</f>
        <v>45778</v>
      </c>
      <c r="M313" s="702"/>
      <c r="N313" s="702"/>
      <c r="O313" s="702">
        <f t="shared" ref="O313:O328" si="25">O312</f>
        <v>45808</v>
      </c>
      <c r="P313" s="702"/>
      <c r="Q313" s="702"/>
      <c r="R313" s="772" cm="1">
        <f t="array" ref="R313">INDEX(verificare!$AT$4:$CC$26,VLOOKUP($AA$15,verificare!$AR$4:$AS$26,2,FALSE),A313)</f>
        <v>0</v>
      </c>
      <c r="S313" s="773"/>
      <c r="T313" s="773"/>
      <c r="U313" s="774"/>
      <c r="V313" s="658" t="s">
        <v>727</v>
      </c>
      <c r="W313" s="658"/>
      <c r="X313" s="691">
        <f>HLOOKUP(VLOOKUP($AA$15,'Date SPV'!$B:$F,5,FALSE),'Preturi si tarife'!$C$2:$J$39,A313+2,FALSE)</f>
        <v>0.43980000000000002</v>
      </c>
      <c r="Y313" s="692"/>
      <c r="Z313" s="692"/>
      <c r="AA313" s="693"/>
      <c r="AB313" s="690">
        <f t="shared" si="20"/>
        <v>0</v>
      </c>
      <c r="AC313" s="690"/>
      <c r="AD313" s="690"/>
      <c r="AE313" s="690"/>
      <c r="AF313" s="690">
        <f t="shared" si="21"/>
        <v>0</v>
      </c>
      <c r="AG313" s="690"/>
      <c r="AH313" s="690"/>
      <c r="AI313" s="690"/>
      <c r="AJ313" s="690">
        <f t="shared" si="22"/>
        <v>0</v>
      </c>
      <c r="AK313" s="690"/>
      <c r="AL313" s="690"/>
      <c r="AM313" s="690"/>
    </row>
    <row r="314" spans="1:39">
      <c r="A314" s="65">
        <f t="shared" si="23"/>
        <v>4</v>
      </c>
      <c r="B314" s="699" t="s">
        <v>868</v>
      </c>
      <c r="C314" s="700"/>
      <c r="D314" s="700"/>
      <c r="E314" s="700"/>
      <c r="F314" s="700"/>
      <c r="G314" s="700"/>
      <c r="H314" s="700"/>
      <c r="I314" s="700"/>
      <c r="J314" s="700"/>
      <c r="K314" s="701"/>
      <c r="L314" s="702">
        <f t="shared" si="24"/>
        <v>45778</v>
      </c>
      <c r="M314" s="702"/>
      <c r="N314" s="702"/>
      <c r="O314" s="702">
        <f t="shared" si="25"/>
        <v>45808</v>
      </c>
      <c r="P314" s="702"/>
      <c r="Q314" s="702"/>
      <c r="R314" s="772" cm="1">
        <f t="array" ref="R314">INDEX(verificare!$AT$4:$CC$26,VLOOKUP($AA$15,verificare!$AR$4:$AS$26,2,FALSE),A314)</f>
        <v>794597</v>
      </c>
      <c r="S314" s="773"/>
      <c r="T314" s="773"/>
      <c r="U314" s="774"/>
      <c r="V314" s="658" t="s">
        <v>446</v>
      </c>
      <c r="W314" s="658"/>
      <c r="X314" s="691">
        <f>HLOOKUP(VLOOKUP($AA$15,'Date SPV'!$B:$F,5,FALSE),'Preturi si tarife'!$C$2:$J$39,A314+2,FALSE)</f>
        <v>8.6180000000000007E-2</v>
      </c>
      <c r="Y314" s="692"/>
      <c r="Z314" s="692"/>
      <c r="AA314" s="693"/>
      <c r="AB314" s="690">
        <f t="shared" si="20"/>
        <v>68478.37</v>
      </c>
      <c r="AC314" s="690"/>
      <c r="AD314" s="690"/>
      <c r="AE314" s="690"/>
      <c r="AF314" s="690">
        <f t="shared" si="21"/>
        <v>13010.89</v>
      </c>
      <c r="AG314" s="690"/>
      <c r="AH314" s="690"/>
      <c r="AI314" s="690"/>
      <c r="AJ314" s="690">
        <f t="shared" si="22"/>
        <v>81489.259999999995</v>
      </c>
      <c r="AK314" s="690"/>
      <c r="AL314" s="690"/>
      <c r="AM314" s="690"/>
    </row>
    <row r="315" spans="1:39">
      <c r="A315" s="65">
        <f t="shared" si="23"/>
        <v>5</v>
      </c>
      <c r="B315" s="699" t="s">
        <v>757</v>
      </c>
      <c r="C315" s="700"/>
      <c r="D315" s="700"/>
      <c r="E315" s="700"/>
      <c r="F315" s="700"/>
      <c r="G315" s="700"/>
      <c r="H315" s="700"/>
      <c r="I315" s="700"/>
      <c r="J315" s="700"/>
      <c r="K315" s="701"/>
      <c r="L315" s="702">
        <f t="shared" si="24"/>
        <v>45778</v>
      </c>
      <c r="M315" s="702"/>
      <c r="N315" s="702"/>
      <c r="O315" s="702">
        <f t="shared" si="25"/>
        <v>45808</v>
      </c>
      <c r="P315" s="702"/>
      <c r="Q315" s="702"/>
      <c r="R315" s="772" cm="1">
        <f t="array" ref="R315">INDEX(verificare!$AT$4:$CC$26,VLOOKUP($AA$15,verificare!$AR$4:$AS$26,2,FALSE),A315)</f>
        <v>0</v>
      </c>
      <c r="S315" s="773"/>
      <c r="T315" s="773"/>
      <c r="U315" s="774"/>
      <c r="V315" s="658" t="s">
        <v>446</v>
      </c>
      <c r="W315" s="658"/>
      <c r="X315" s="691">
        <f>HLOOKUP(VLOOKUP($AA$15,'Date SPV'!$B:$F,5,FALSE),'Preturi si tarife'!$C$2:$J$39,A315+2,FALSE)</f>
        <v>0.2079</v>
      </c>
      <c r="Y315" s="692"/>
      <c r="Z315" s="692"/>
      <c r="AA315" s="693"/>
      <c r="AB315" s="690">
        <f t="shared" si="20"/>
        <v>0</v>
      </c>
      <c r="AC315" s="690"/>
      <c r="AD315" s="690"/>
      <c r="AE315" s="690"/>
      <c r="AF315" s="690">
        <f t="shared" si="21"/>
        <v>0</v>
      </c>
      <c r="AG315" s="690"/>
      <c r="AH315" s="690"/>
      <c r="AI315" s="690"/>
      <c r="AJ315" s="690">
        <f t="shared" si="22"/>
        <v>0</v>
      </c>
      <c r="AK315" s="690"/>
      <c r="AL315" s="690"/>
      <c r="AM315" s="690"/>
    </row>
    <row r="316" spans="1:39" ht="30.95" customHeight="1">
      <c r="A316" s="65">
        <f t="shared" si="23"/>
        <v>6</v>
      </c>
      <c r="B316" s="699" t="s">
        <v>74</v>
      </c>
      <c r="C316" s="700"/>
      <c r="D316" s="700"/>
      <c r="E316" s="700"/>
      <c r="F316" s="700"/>
      <c r="G316" s="700"/>
      <c r="H316" s="700"/>
      <c r="I316" s="700"/>
      <c r="J316" s="700"/>
      <c r="K316" s="701"/>
      <c r="L316" s="702">
        <f t="shared" si="24"/>
        <v>45778</v>
      </c>
      <c r="M316" s="702"/>
      <c r="N316" s="702"/>
      <c r="O316" s="702">
        <f t="shared" si="25"/>
        <v>45808</v>
      </c>
      <c r="P316" s="702"/>
      <c r="Q316" s="702"/>
      <c r="R316" s="772" cm="1">
        <f t="array" ref="R316">INDEX(verificare!$AT$4:$CC$26,VLOOKUP($AA$15,verificare!$AR$4:$AS$26,2,FALSE),A316)</f>
        <v>794597</v>
      </c>
      <c r="S316" s="773"/>
      <c r="T316" s="773"/>
      <c r="U316" s="774"/>
      <c r="V316" s="658" t="s">
        <v>446</v>
      </c>
      <c r="W316" s="658"/>
      <c r="X316" s="691">
        <f>HLOOKUP(VLOOKUP($AA$15,'Date SPV'!$B:$F,5,FALSE),'Preturi si tarife'!$C$2:$J$39,A316+2,FALSE)</f>
        <v>1.1509999999999999E-2</v>
      </c>
      <c r="Y316" s="692"/>
      <c r="Z316" s="692"/>
      <c r="AA316" s="693"/>
      <c r="AB316" s="690">
        <f t="shared" si="20"/>
        <v>9145.81</v>
      </c>
      <c r="AC316" s="690"/>
      <c r="AD316" s="690"/>
      <c r="AE316" s="690"/>
      <c r="AF316" s="690">
        <f t="shared" si="21"/>
        <v>1737.7</v>
      </c>
      <c r="AG316" s="690"/>
      <c r="AH316" s="690"/>
      <c r="AI316" s="690"/>
      <c r="AJ316" s="690">
        <f t="shared" si="22"/>
        <v>10883.51</v>
      </c>
      <c r="AK316" s="690"/>
      <c r="AL316" s="690"/>
      <c r="AM316" s="690"/>
    </row>
    <row r="317" spans="1:39" ht="15.95" customHeight="1">
      <c r="A317" s="65">
        <f t="shared" si="23"/>
        <v>7</v>
      </c>
      <c r="B317" s="699" t="s">
        <v>75</v>
      </c>
      <c r="C317" s="700"/>
      <c r="D317" s="700"/>
      <c r="E317" s="700"/>
      <c r="F317" s="700"/>
      <c r="G317" s="700"/>
      <c r="H317" s="700"/>
      <c r="I317" s="700"/>
      <c r="J317" s="700"/>
      <c r="K317" s="701"/>
      <c r="L317" s="702">
        <f t="shared" si="24"/>
        <v>45778</v>
      </c>
      <c r="M317" s="702"/>
      <c r="N317" s="702"/>
      <c r="O317" s="702">
        <f t="shared" si="25"/>
        <v>45808</v>
      </c>
      <c r="P317" s="702"/>
      <c r="Q317" s="702"/>
      <c r="R317" s="772" cm="1">
        <f t="array" ref="R317">INDEX(verificare!$AT$4:$CC$26,VLOOKUP($AA$15,verificare!$AR$4:$AS$26,2,FALSE),A317)</f>
        <v>794597</v>
      </c>
      <c r="S317" s="773"/>
      <c r="T317" s="773"/>
      <c r="U317" s="774"/>
      <c r="V317" s="658" t="s">
        <v>446</v>
      </c>
      <c r="W317" s="658"/>
      <c r="X317" s="691">
        <f>HLOOKUP(VLOOKUP($AA$15,'Date SPV'!$B:$F,5,FALSE),'Preturi si tarife'!$C$2:$J$39,A317+2,FALSE)</f>
        <v>3.3030000000000004E-2</v>
      </c>
      <c r="Y317" s="692"/>
      <c r="Z317" s="692"/>
      <c r="AA317" s="693"/>
      <c r="AB317" s="690">
        <f t="shared" si="20"/>
        <v>26245.54</v>
      </c>
      <c r="AC317" s="690"/>
      <c r="AD317" s="690"/>
      <c r="AE317" s="690"/>
      <c r="AF317" s="690">
        <f t="shared" si="21"/>
        <v>4986.6499999999996</v>
      </c>
      <c r="AG317" s="690"/>
      <c r="AH317" s="690"/>
      <c r="AI317" s="690"/>
      <c r="AJ317" s="690">
        <f t="shared" si="22"/>
        <v>31232.190000000002</v>
      </c>
      <c r="AK317" s="690"/>
      <c r="AL317" s="690"/>
      <c r="AM317" s="690"/>
    </row>
    <row r="318" spans="1:39">
      <c r="A318" s="65">
        <f t="shared" si="23"/>
        <v>8</v>
      </c>
      <c r="B318" s="699" t="s">
        <v>76</v>
      </c>
      <c r="C318" s="700"/>
      <c r="D318" s="700"/>
      <c r="E318" s="700"/>
      <c r="F318" s="700"/>
      <c r="G318" s="700"/>
      <c r="H318" s="700"/>
      <c r="I318" s="700"/>
      <c r="J318" s="700"/>
      <c r="K318" s="701"/>
      <c r="L318" s="702">
        <f t="shared" si="24"/>
        <v>45778</v>
      </c>
      <c r="M318" s="702"/>
      <c r="N318" s="702"/>
      <c r="O318" s="702">
        <f t="shared" si="25"/>
        <v>45808</v>
      </c>
      <c r="P318" s="702"/>
      <c r="Q318" s="702"/>
      <c r="R318" s="772" cm="1">
        <f t="array" ref="R318">INDEX(verificare!$AT$4:$CC$26,VLOOKUP($AA$15,verificare!$AR$4:$AS$26,2,FALSE),A318)</f>
        <v>794597</v>
      </c>
      <c r="S318" s="773"/>
      <c r="T318" s="773"/>
      <c r="U318" s="774"/>
      <c r="V318" s="658" t="s">
        <v>446</v>
      </c>
      <c r="W318" s="658"/>
      <c r="X318" s="691">
        <f>HLOOKUP(VLOOKUP($AA$15,'Date SPV'!$B:$F,5,FALSE),'Preturi si tarife'!$C$2:$J$39,A318+2,FALSE)</f>
        <v>3.29E-3</v>
      </c>
      <c r="Y318" s="692"/>
      <c r="Z318" s="692"/>
      <c r="AA318" s="693"/>
      <c r="AB318" s="690">
        <f t="shared" si="20"/>
        <v>2614.2199999999998</v>
      </c>
      <c r="AC318" s="690"/>
      <c r="AD318" s="690"/>
      <c r="AE318" s="690"/>
      <c r="AF318" s="690">
        <f t="shared" si="21"/>
        <v>496.7</v>
      </c>
      <c r="AG318" s="690"/>
      <c r="AH318" s="690"/>
      <c r="AI318" s="690"/>
      <c r="AJ318" s="690">
        <f t="shared" si="22"/>
        <v>3110.9199999999996</v>
      </c>
      <c r="AK318" s="690"/>
      <c r="AL318" s="690"/>
      <c r="AM318" s="690"/>
    </row>
    <row r="319" spans="1:39" ht="30.95" customHeight="1">
      <c r="A319" s="65">
        <f t="shared" si="23"/>
        <v>9</v>
      </c>
      <c r="B319" s="699" t="s">
        <v>77</v>
      </c>
      <c r="C319" s="700"/>
      <c r="D319" s="700"/>
      <c r="E319" s="700"/>
      <c r="F319" s="700"/>
      <c r="G319" s="700"/>
      <c r="H319" s="700"/>
      <c r="I319" s="700"/>
      <c r="J319" s="700"/>
      <c r="K319" s="701"/>
      <c r="L319" s="702">
        <f t="shared" si="24"/>
        <v>45778</v>
      </c>
      <c r="M319" s="702"/>
      <c r="N319" s="702"/>
      <c r="O319" s="702">
        <f t="shared" si="25"/>
        <v>45808</v>
      </c>
      <c r="P319" s="702"/>
      <c r="Q319" s="702"/>
      <c r="R319" s="772" cm="1">
        <f t="array" ref="R319">INDEX(verificare!$AT$4:$CC$26,VLOOKUP($AA$15,verificare!$AR$4:$AS$26,2,FALSE),A319)</f>
        <v>794597</v>
      </c>
      <c r="S319" s="773"/>
      <c r="T319" s="773"/>
      <c r="U319" s="774"/>
      <c r="V319" s="658" t="s">
        <v>446</v>
      </c>
      <c r="W319" s="658"/>
      <c r="X319" s="691">
        <f>HLOOKUP(VLOOKUP($AA$15,'Date SPV'!$B:$F,5,FALSE),'Preturi si tarife'!$C$2:$J$39,A319+2,FALSE)</f>
        <v>3.5000000000000001E-3</v>
      </c>
      <c r="Y319" s="692"/>
      <c r="Z319" s="692"/>
      <c r="AA319" s="693"/>
      <c r="AB319" s="690">
        <f t="shared" si="20"/>
        <v>2781.09</v>
      </c>
      <c r="AC319" s="690"/>
      <c r="AD319" s="690"/>
      <c r="AE319" s="690"/>
      <c r="AF319" s="690">
        <f t="shared" si="21"/>
        <v>528.41</v>
      </c>
      <c r="AG319" s="690"/>
      <c r="AH319" s="690"/>
      <c r="AI319" s="690"/>
      <c r="AJ319" s="690">
        <f t="shared" si="22"/>
        <v>3309.5</v>
      </c>
      <c r="AK319" s="690"/>
      <c r="AL319" s="690"/>
      <c r="AM319" s="690"/>
    </row>
    <row r="320" spans="1:39" ht="30.95" customHeight="1">
      <c r="A320" s="65">
        <f t="shared" si="23"/>
        <v>10</v>
      </c>
      <c r="B320" s="699" t="s">
        <v>78</v>
      </c>
      <c r="C320" s="700"/>
      <c r="D320" s="700"/>
      <c r="E320" s="700"/>
      <c r="F320" s="700"/>
      <c r="G320" s="700"/>
      <c r="H320" s="700"/>
      <c r="I320" s="700"/>
      <c r="J320" s="700"/>
      <c r="K320" s="701"/>
      <c r="L320" s="702">
        <f t="shared" si="24"/>
        <v>45778</v>
      </c>
      <c r="M320" s="702"/>
      <c r="N320" s="702"/>
      <c r="O320" s="702">
        <f t="shared" si="25"/>
        <v>45808</v>
      </c>
      <c r="P320" s="702"/>
      <c r="Q320" s="702"/>
      <c r="R320" s="772" cm="1">
        <f t="array" ref="R320">INDEX(verificare!$AT$4:$CC$26,VLOOKUP($AA$15,verificare!$AR$4:$AS$26,2,FALSE),A320)</f>
        <v>794597</v>
      </c>
      <c r="S320" s="773"/>
      <c r="T320" s="773"/>
      <c r="U320" s="774"/>
      <c r="V320" s="658" t="s">
        <v>446</v>
      </c>
      <c r="W320" s="658"/>
      <c r="X320" s="691">
        <f>HLOOKUP(VLOOKUP($AA$15,'Date SPV'!$B:$F,5,FALSE),'Preturi si tarife'!$C$2:$J$39,A320+2,FALSE)</f>
        <v>7.2541599999999998E-2</v>
      </c>
      <c r="Y320" s="692"/>
      <c r="Z320" s="692"/>
      <c r="AA320" s="693"/>
      <c r="AB320" s="690">
        <f t="shared" si="20"/>
        <v>57641.34</v>
      </c>
      <c r="AC320" s="690"/>
      <c r="AD320" s="690"/>
      <c r="AE320" s="690"/>
      <c r="AF320" s="690">
        <f t="shared" si="21"/>
        <v>10951.85</v>
      </c>
      <c r="AG320" s="690"/>
      <c r="AH320" s="690"/>
      <c r="AI320" s="690"/>
      <c r="AJ320" s="690">
        <f t="shared" si="22"/>
        <v>68593.19</v>
      </c>
      <c r="AK320" s="690"/>
      <c r="AL320" s="690"/>
      <c r="AM320" s="690"/>
    </row>
    <row r="321" spans="1:39" ht="15.95" customHeight="1">
      <c r="A321" s="65">
        <f t="shared" si="23"/>
        <v>11</v>
      </c>
      <c r="B321" s="699" t="s">
        <v>1313</v>
      </c>
      <c r="C321" s="700"/>
      <c r="D321" s="700"/>
      <c r="E321" s="700"/>
      <c r="F321" s="700"/>
      <c r="G321" s="700"/>
      <c r="H321" s="700"/>
      <c r="I321" s="700"/>
      <c r="J321" s="700"/>
      <c r="K321" s="701"/>
      <c r="L321" s="702">
        <f t="shared" si="24"/>
        <v>45778</v>
      </c>
      <c r="M321" s="702"/>
      <c r="N321" s="702"/>
      <c r="O321" s="702">
        <f t="shared" si="25"/>
        <v>45808</v>
      </c>
      <c r="P321" s="702"/>
      <c r="Q321" s="702"/>
      <c r="R321" s="772" cm="1">
        <f t="array" ref="R321">INDEX(verificare!$AT$4:$CC$26,VLOOKUP($AA$15,verificare!$AR$4:$AS$26,2,FALSE),A321)</f>
        <v>794597</v>
      </c>
      <c r="S321" s="773"/>
      <c r="T321" s="773"/>
      <c r="U321" s="774"/>
      <c r="V321" s="724" t="s">
        <v>446</v>
      </c>
      <c r="W321" s="725"/>
      <c r="X321" s="691">
        <f>HLOOKUP(VLOOKUP($AA$15,'Date SPV'!$B:$F,5,FALSE),'Preturi si tarife'!$C$2:$J$39,A321+2,FALSE)</f>
        <v>2.0599999999999999E-4</v>
      </c>
      <c r="Y321" s="692"/>
      <c r="Z321" s="692"/>
      <c r="AA321" s="693"/>
      <c r="AB321" s="772">
        <f t="shared" si="20"/>
        <v>163.69</v>
      </c>
      <c r="AC321" s="773"/>
      <c r="AD321" s="773"/>
      <c r="AE321" s="774"/>
      <c r="AF321" s="772">
        <f t="shared" si="21"/>
        <v>31.1</v>
      </c>
      <c r="AG321" s="773"/>
      <c r="AH321" s="773"/>
      <c r="AI321" s="774"/>
      <c r="AJ321" s="772">
        <f t="shared" si="22"/>
        <v>194.79</v>
      </c>
      <c r="AK321" s="773"/>
      <c r="AL321" s="773"/>
      <c r="AM321" s="774"/>
    </row>
    <row r="322" spans="1:39" ht="30.95" customHeight="1">
      <c r="A322" s="65">
        <f t="shared" si="23"/>
        <v>12</v>
      </c>
      <c r="B322" s="699" t="s">
        <v>79</v>
      </c>
      <c r="C322" s="700"/>
      <c r="D322" s="700"/>
      <c r="E322" s="700"/>
      <c r="F322" s="700"/>
      <c r="G322" s="700"/>
      <c r="H322" s="700"/>
      <c r="I322" s="700"/>
      <c r="J322" s="700"/>
      <c r="K322" s="701"/>
      <c r="L322" s="702">
        <f>L320</f>
        <v>45778</v>
      </c>
      <c r="M322" s="702"/>
      <c r="N322" s="702"/>
      <c r="O322" s="702">
        <f>O320</f>
        <v>45808</v>
      </c>
      <c r="P322" s="702"/>
      <c r="Q322" s="702"/>
      <c r="R322" s="772" cm="1">
        <f t="array" ref="R322">INDEX(verificare!$AT$4:$CC$26,VLOOKUP($AA$15,verificare!$AR$4:$AS$26,2,FALSE),A322)</f>
        <v>794597</v>
      </c>
      <c r="S322" s="773"/>
      <c r="T322" s="773"/>
      <c r="U322" s="774"/>
      <c r="V322" s="658" t="s">
        <v>446</v>
      </c>
      <c r="W322" s="658"/>
      <c r="X322" s="691">
        <f>HLOOKUP(VLOOKUP($AA$15,'Date SPV'!$B:$F,5,FALSE),'Preturi si tarife'!$C$2:$J$39,A322+2,FALSE)</f>
        <v>0</v>
      </c>
      <c r="Y322" s="692"/>
      <c r="Z322" s="692"/>
      <c r="AA322" s="693"/>
      <c r="AB322" s="690">
        <f t="shared" si="20"/>
        <v>0</v>
      </c>
      <c r="AC322" s="690"/>
      <c r="AD322" s="690"/>
      <c r="AE322" s="690"/>
      <c r="AF322" s="690">
        <f t="shared" si="21"/>
        <v>0</v>
      </c>
      <c r="AG322" s="690"/>
      <c r="AH322" s="690"/>
      <c r="AI322" s="690"/>
      <c r="AJ322" s="690">
        <f t="shared" si="22"/>
        <v>0</v>
      </c>
      <c r="AK322" s="690"/>
      <c r="AL322" s="690"/>
      <c r="AM322" s="690"/>
    </row>
    <row r="323" spans="1:39">
      <c r="A323" s="65">
        <f t="shared" si="23"/>
        <v>13</v>
      </c>
      <c r="B323" s="699" t="s">
        <v>80</v>
      </c>
      <c r="C323" s="700"/>
      <c r="D323" s="700"/>
      <c r="E323" s="700"/>
      <c r="F323" s="700"/>
      <c r="G323" s="700"/>
      <c r="H323" s="700"/>
      <c r="I323" s="700"/>
      <c r="J323" s="700"/>
      <c r="K323" s="701"/>
      <c r="L323" s="702">
        <f t="shared" si="24"/>
        <v>45778</v>
      </c>
      <c r="M323" s="702"/>
      <c r="N323" s="702"/>
      <c r="O323" s="702">
        <f t="shared" si="25"/>
        <v>45808</v>
      </c>
      <c r="P323" s="702"/>
      <c r="Q323" s="702"/>
      <c r="R323" s="772" cm="1">
        <f t="array" ref="R323">INDEX(verificare!$AT$4:$CC$26,VLOOKUP($AA$15,verificare!$AR$4:$AS$26,2,FALSE),A323)</f>
        <v>794597</v>
      </c>
      <c r="S323" s="773"/>
      <c r="T323" s="773"/>
      <c r="U323" s="774"/>
      <c r="V323" s="658" t="s">
        <v>446</v>
      </c>
      <c r="W323" s="658"/>
      <c r="X323" s="691">
        <f>HLOOKUP(VLOOKUP($AA$15,'Date SPV'!$B:$F,5,FALSE),'Preturi si tarife'!$C$2:$J$39,A323+2,FALSE)</f>
        <v>1.1300000000000001E-2</v>
      </c>
      <c r="Y323" s="692"/>
      <c r="Z323" s="692"/>
      <c r="AA323" s="693"/>
      <c r="AB323" s="690">
        <f t="shared" si="20"/>
        <v>8978.9500000000007</v>
      </c>
      <c r="AC323" s="690"/>
      <c r="AD323" s="690"/>
      <c r="AE323" s="690"/>
      <c r="AF323" s="690">
        <f t="shared" si="21"/>
        <v>1706</v>
      </c>
      <c r="AG323" s="690"/>
      <c r="AH323" s="690"/>
      <c r="AI323" s="690"/>
      <c r="AJ323" s="690">
        <f t="shared" si="22"/>
        <v>10684.95</v>
      </c>
      <c r="AK323" s="690"/>
      <c r="AL323" s="690"/>
      <c r="AM323" s="690"/>
    </row>
    <row r="324" spans="1:39" ht="15.95" customHeight="1">
      <c r="A324" s="65">
        <f t="shared" si="23"/>
        <v>14</v>
      </c>
      <c r="B324" s="699" t="s">
        <v>81</v>
      </c>
      <c r="C324" s="700"/>
      <c r="D324" s="700"/>
      <c r="E324" s="700"/>
      <c r="F324" s="700"/>
      <c r="G324" s="700"/>
      <c r="H324" s="700"/>
      <c r="I324" s="700"/>
      <c r="J324" s="700"/>
      <c r="K324" s="701"/>
      <c r="L324" s="702">
        <f t="shared" si="24"/>
        <v>45778</v>
      </c>
      <c r="M324" s="702"/>
      <c r="N324" s="702"/>
      <c r="O324" s="702">
        <f t="shared" si="25"/>
        <v>45808</v>
      </c>
      <c r="P324" s="702"/>
      <c r="Q324" s="702"/>
      <c r="R324" s="772" cm="1">
        <f t="array" ref="R324">INDEX(verificare!$AT$4:$CC$26,VLOOKUP($AA$15,verificare!$AR$4:$AS$26,2,FALSE),A324)</f>
        <v>794597</v>
      </c>
      <c r="S324" s="773"/>
      <c r="T324" s="773"/>
      <c r="U324" s="774"/>
      <c r="V324" s="658" t="s">
        <v>446</v>
      </c>
      <c r="W324" s="658"/>
      <c r="X324" s="691">
        <f>HLOOKUP(VLOOKUP($AA$15,'Date SPV'!$B:$F,5,FALSE),'Preturi si tarife'!$C$2:$J$39,A324+2,FALSE)</f>
        <v>8.4099999999999994E-2</v>
      </c>
      <c r="Y324" s="692"/>
      <c r="Z324" s="692"/>
      <c r="AA324" s="693"/>
      <c r="AB324" s="690">
        <f t="shared" si="20"/>
        <v>66825.61</v>
      </c>
      <c r="AC324" s="690"/>
      <c r="AD324" s="690"/>
      <c r="AE324" s="690"/>
      <c r="AF324" s="690">
        <f t="shared" si="21"/>
        <v>12696.87</v>
      </c>
      <c r="AG324" s="690"/>
      <c r="AH324" s="690"/>
      <c r="AI324" s="690"/>
      <c r="AJ324" s="690">
        <f t="shared" si="22"/>
        <v>79522.48</v>
      </c>
      <c r="AK324" s="690"/>
      <c r="AL324" s="690"/>
      <c r="AM324" s="690"/>
    </row>
    <row r="325" spans="1:39" ht="30.95" customHeight="1">
      <c r="A325" s="65">
        <f t="shared" si="23"/>
        <v>15</v>
      </c>
      <c r="B325" s="699" t="s">
        <v>82</v>
      </c>
      <c r="C325" s="700"/>
      <c r="D325" s="700"/>
      <c r="E325" s="700"/>
      <c r="F325" s="700"/>
      <c r="G325" s="700"/>
      <c r="H325" s="700"/>
      <c r="I325" s="700"/>
      <c r="J325" s="700"/>
      <c r="K325" s="701"/>
      <c r="L325" s="702">
        <f t="shared" si="24"/>
        <v>45778</v>
      </c>
      <c r="M325" s="702"/>
      <c r="N325" s="702"/>
      <c r="O325" s="702">
        <f t="shared" si="25"/>
        <v>45808</v>
      </c>
      <c r="P325" s="702"/>
      <c r="Q325" s="702"/>
      <c r="R325" s="690" cm="1">
        <f t="array" ref="R325">INDEX(verificare!$AT$4:$CC$26,VLOOKUP($AA$15,verificare!$AR$4:$AS$26,2,FALSE),A325)</f>
        <v>69308</v>
      </c>
      <c r="S325" s="690"/>
      <c r="T325" s="690"/>
      <c r="U325" s="690"/>
      <c r="V325" s="658" t="s">
        <v>446</v>
      </c>
      <c r="W325" s="658"/>
      <c r="X325" s="691">
        <f>HLOOKUP(VLOOKUP($AA$15,'Date SPV'!$B:$F,5,FALSE),'Preturi si tarife'!$C$2:$J$39,A325+2,FALSE)</f>
        <v>0.90065760000000006</v>
      </c>
      <c r="Y325" s="692"/>
      <c r="Z325" s="692"/>
      <c r="AA325" s="693"/>
      <c r="AB325" s="690">
        <f t="shared" si="20"/>
        <v>62422.78</v>
      </c>
      <c r="AC325" s="690"/>
      <c r="AD325" s="690"/>
      <c r="AE325" s="690"/>
      <c r="AF325" s="690">
        <f t="shared" si="21"/>
        <v>11860.33</v>
      </c>
      <c r="AG325" s="690"/>
      <c r="AH325" s="690"/>
      <c r="AI325" s="690"/>
      <c r="AJ325" s="690">
        <f t="shared" si="22"/>
        <v>74283.11</v>
      </c>
      <c r="AK325" s="690"/>
      <c r="AL325" s="690"/>
      <c r="AM325" s="690"/>
    </row>
    <row r="326" spans="1:39" ht="30.95" customHeight="1">
      <c r="A326" s="65">
        <f t="shared" si="23"/>
        <v>16</v>
      </c>
      <c r="B326" s="699" t="s">
        <v>83</v>
      </c>
      <c r="C326" s="700"/>
      <c r="D326" s="700"/>
      <c r="E326" s="700"/>
      <c r="F326" s="700"/>
      <c r="G326" s="700"/>
      <c r="H326" s="700"/>
      <c r="I326" s="700"/>
      <c r="J326" s="700"/>
      <c r="K326" s="701"/>
      <c r="L326" s="702">
        <f t="shared" si="24"/>
        <v>45778</v>
      </c>
      <c r="M326" s="702"/>
      <c r="N326" s="702"/>
      <c r="O326" s="702">
        <f t="shared" si="25"/>
        <v>45808</v>
      </c>
      <c r="P326" s="702"/>
      <c r="Q326" s="702"/>
      <c r="R326" s="690" cm="1">
        <f t="array" ref="R326">INDEX(verificare!$AT$4:$CC$26,VLOOKUP($AA$15,verificare!$AR$4:$AS$26,2,FALSE),A326)</f>
        <v>26226</v>
      </c>
      <c r="S326" s="690"/>
      <c r="T326" s="690"/>
      <c r="U326" s="690"/>
      <c r="V326" s="658" t="s">
        <v>446</v>
      </c>
      <c r="W326" s="658"/>
      <c r="X326" s="691">
        <f>HLOOKUP(VLOOKUP($AA$15,'Date SPV'!$B:$F,5,FALSE),'Preturi si tarife'!$C$2:$J$39,A326+2,FALSE)</f>
        <v>0.80525760000000002</v>
      </c>
      <c r="Y326" s="692"/>
      <c r="Z326" s="692"/>
      <c r="AA326" s="693"/>
      <c r="AB326" s="690">
        <f t="shared" si="20"/>
        <v>21118.69</v>
      </c>
      <c r="AC326" s="690"/>
      <c r="AD326" s="690"/>
      <c r="AE326" s="690"/>
      <c r="AF326" s="690">
        <f t="shared" si="21"/>
        <v>4012.55</v>
      </c>
      <c r="AG326" s="690"/>
      <c r="AH326" s="690"/>
      <c r="AI326" s="690"/>
      <c r="AJ326" s="690">
        <f t="shared" si="22"/>
        <v>25131.239999999998</v>
      </c>
      <c r="AK326" s="690"/>
      <c r="AL326" s="690"/>
      <c r="AM326" s="690"/>
    </row>
    <row r="327" spans="1:39" ht="15.95" customHeight="1">
      <c r="A327" s="65">
        <f t="shared" si="23"/>
        <v>17</v>
      </c>
      <c r="B327" s="699" t="s">
        <v>1129</v>
      </c>
      <c r="C327" s="700"/>
      <c r="D327" s="700"/>
      <c r="E327" s="700"/>
      <c r="F327" s="700"/>
      <c r="G327" s="700"/>
      <c r="H327" s="700"/>
      <c r="I327" s="700"/>
      <c r="J327" s="700"/>
      <c r="K327" s="701"/>
      <c r="L327" s="702">
        <f t="shared" si="24"/>
        <v>45778</v>
      </c>
      <c r="M327" s="702"/>
      <c r="N327" s="702"/>
      <c r="O327" s="702">
        <f t="shared" si="25"/>
        <v>45808</v>
      </c>
      <c r="P327" s="702"/>
      <c r="Q327" s="702"/>
      <c r="R327" s="690" cm="1">
        <f t="array" ref="R327">INDEX(verificare!$AT$4:$CC$26,VLOOKUP($AA$15,verificare!$AR$4:$AS$26,2,FALSE),A327)</f>
        <v>26226</v>
      </c>
      <c r="S327" s="690"/>
      <c r="T327" s="690"/>
      <c r="U327" s="690"/>
      <c r="V327" s="658" t="s">
        <v>446</v>
      </c>
      <c r="W327" s="658"/>
      <c r="X327" s="691">
        <f>HLOOKUP(VLOOKUP($AA$15,'Date SPV'!$B:$F,5,FALSE),'Preturi si tarife'!$C$2:$J$39,A327+2,FALSE)</f>
        <v>1.1300000000000001E-2</v>
      </c>
      <c r="Y327" s="692"/>
      <c r="Z327" s="692"/>
      <c r="AA327" s="693"/>
      <c r="AB327" s="690">
        <f t="shared" si="20"/>
        <v>296.35000000000002</v>
      </c>
      <c r="AC327" s="690"/>
      <c r="AD327" s="690"/>
      <c r="AE327" s="690"/>
      <c r="AF327" s="690">
        <f t="shared" si="21"/>
        <v>56.31</v>
      </c>
      <c r="AG327" s="690"/>
      <c r="AH327" s="690"/>
      <c r="AI327" s="690"/>
      <c r="AJ327" s="690">
        <f t="shared" si="22"/>
        <v>352.66</v>
      </c>
      <c r="AK327" s="690"/>
      <c r="AL327" s="690"/>
      <c r="AM327" s="690"/>
    </row>
    <row r="328" spans="1:39">
      <c r="A328" s="65">
        <f t="shared" si="23"/>
        <v>18</v>
      </c>
      <c r="B328" s="699" t="s">
        <v>1130</v>
      </c>
      <c r="C328" s="700"/>
      <c r="D328" s="700"/>
      <c r="E328" s="700"/>
      <c r="F328" s="700"/>
      <c r="G328" s="700"/>
      <c r="H328" s="700"/>
      <c r="I328" s="700"/>
      <c r="J328" s="700"/>
      <c r="K328" s="701"/>
      <c r="L328" s="702">
        <f t="shared" si="24"/>
        <v>45778</v>
      </c>
      <c r="M328" s="702"/>
      <c r="N328" s="702"/>
      <c r="O328" s="702">
        <f t="shared" si="25"/>
        <v>45808</v>
      </c>
      <c r="P328" s="702"/>
      <c r="Q328" s="702"/>
      <c r="R328" s="690" cm="1">
        <f t="array" ref="R328">INDEX(verificare!$AT$4:$CC$26,VLOOKUP($AA$15,verificare!$AR$4:$AS$26,2,FALSE),A328)</f>
        <v>26226</v>
      </c>
      <c r="S328" s="690"/>
      <c r="T328" s="690"/>
      <c r="U328" s="690"/>
      <c r="V328" s="658" t="s">
        <v>446</v>
      </c>
      <c r="W328" s="658"/>
      <c r="X328" s="691">
        <f>HLOOKUP(VLOOKUP($AA$15,'Date SPV'!$B:$F,5,FALSE),'Preturi si tarife'!$C$2:$J$39,A328+2,FALSE)</f>
        <v>8.4099999999999994E-2</v>
      </c>
      <c r="Y328" s="692"/>
      <c r="Z328" s="692"/>
      <c r="AA328" s="693"/>
      <c r="AB328" s="690">
        <f t="shared" si="20"/>
        <v>2205.61</v>
      </c>
      <c r="AC328" s="690"/>
      <c r="AD328" s="690"/>
      <c r="AE328" s="690"/>
      <c r="AF328" s="690">
        <f t="shared" si="21"/>
        <v>419.07</v>
      </c>
      <c r="AG328" s="690"/>
      <c r="AH328" s="690"/>
      <c r="AI328" s="690"/>
      <c r="AJ328" s="690">
        <f t="shared" si="22"/>
        <v>2624.6800000000003</v>
      </c>
      <c r="AK328" s="690"/>
      <c r="AL328" s="690"/>
      <c r="AM328" s="690"/>
    </row>
    <row r="329" spans="1:39" ht="30.95" customHeight="1">
      <c r="A329" s="65">
        <f t="shared" si="23"/>
        <v>19</v>
      </c>
      <c r="B329" s="699" t="s">
        <v>99</v>
      </c>
      <c r="C329" s="700"/>
      <c r="D329" s="700"/>
      <c r="E329" s="700"/>
      <c r="F329" s="700"/>
      <c r="G329" s="700"/>
      <c r="H329" s="700"/>
      <c r="I329" s="700"/>
      <c r="J329" s="700"/>
      <c r="K329" s="701"/>
      <c r="L329" s="702">
        <f>'Date masura OD'!$W$5</f>
        <v>45748</v>
      </c>
      <c r="M329" s="702"/>
      <c r="N329" s="702"/>
      <c r="O329" s="702">
        <f>'Date masura OD'!$X$5</f>
        <v>45777</v>
      </c>
      <c r="P329" s="702"/>
      <c r="Q329" s="702"/>
      <c r="R329" s="690" cm="1">
        <f t="array" ref="R329">INDEX(verificare!$AT$4:$CC$26,VLOOKUP($AA$15,verificare!$AR$4:$AS$26,2,FALSE),A329)</f>
        <v>0</v>
      </c>
      <c r="S329" s="690"/>
      <c r="T329" s="690"/>
      <c r="U329" s="690"/>
      <c r="V329" s="658" t="s">
        <v>446</v>
      </c>
      <c r="W329" s="658"/>
      <c r="X329" s="691">
        <f>HLOOKUP(VLOOKUP($AA$15,'Date SPV'!$B:$F,5,FALSE),'Preturi si tarife'!$C$2:$J$39,A329+2,FALSE)</f>
        <v>0.59499999999999997</v>
      </c>
      <c r="Y329" s="692"/>
      <c r="Z329" s="692"/>
      <c r="AA329" s="693"/>
      <c r="AB329" s="690">
        <f t="shared" si="20"/>
        <v>0</v>
      </c>
      <c r="AC329" s="690"/>
      <c r="AD329" s="690"/>
      <c r="AE329" s="690"/>
      <c r="AF329" s="690">
        <f t="shared" si="21"/>
        <v>0</v>
      </c>
      <c r="AG329" s="690"/>
      <c r="AH329" s="690"/>
      <c r="AI329" s="690"/>
      <c r="AJ329" s="690">
        <f t="shared" si="22"/>
        <v>0</v>
      </c>
      <c r="AK329" s="690"/>
      <c r="AL329" s="690"/>
      <c r="AM329" s="690"/>
    </row>
    <row r="330" spans="1:39" ht="30.95" customHeight="1">
      <c r="A330" s="65">
        <f t="shared" si="23"/>
        <v>20</v>
      </c>
      <c r="B330" s="699" t="s">
        <v>100</v>
      </c>
      <c r="C330" s="700"/>
      <c r="D330" s="700"/>
      <c r="E330" s="700"/>
      <c r="F330" s="700"/>
      <c r="G330" s="700"/>
      <c r="H330" s="700"/>
      <c r="I330" s="700"/>
      <c r="J330" s="700"/>
      <c r="K330" s="701"/>
      <c r="L330" s="702">
        <f>L329</f>
        <v>45748</v>
      </c>
      <c r="M330" s="702"/>
      <c r="N330" s="702"/>
      <c r="O330" s="702">
        <f t="shared" ref="O330:O346" si="26">O329</f>
        <v>45777</v>
      </c>
      <c r="P330" s="702"/>
      <c r="Q330" s="702"/>
      <c r="R330" s="690" cm="1">
        <f t="array" ref="R330">INDEX(verificare!$AT$4:$CC$26,VLOOKUP($AA$15,verificare!$AR$4:$AS$26,2,FALSE),A330)</f>
        <v>3292</v>
      </c>
      <c r="S330" s="690"/>
      <c r="T330" s="690"/>
      <c r="U330" s="690"/>
      <c r="V330" s="658" t="s">
        <v>727</v>
      </c>
      <c r="W330" s="658"/>
      <c r="X330" s="691">
        <f>HLOOKUP(VLOOKUP($AA$15,'Date SPV'!$B:$F,5,FALSE),'Preturi si tarife'!$C$2:$J$39,A330+2,FALSE)</f>
        <v>0.14660000000000001</v>
      </c>
      <c r="Y330" s="692"/>
      <c r="Z330" s="692"/>
      <c r="AA330" s="693"/>
      <c r="AB330" s="690">
        <f t="shared" si="20"/>
        <v>482.61</v>
      </c>
      <c r="AC330" s="690"/>
      <c r="AD330" s="690"/>
      <c r="AE330" s="690"/>
      <c r="AF330" s="690">
        <f t="shared" si="21"/>
        <v>91.7</v>
      </c>
      <c r="AG330" s="690"/>
      <c r="AH330" s="690"/>
      <c r="AI330" s="690"/>
      <c r="AJ330" s="690">
        <f t="shared" si="22"/>
        <v>574.31000000000006</v>
      </c>
      <c r="AK330" s="690"/>
      <c r="AL330" s="690"/>
      <c r="AM330" s="690"/>
    </row>
    <row r="331" spans="1:39">
      <c r="A331" s="65">
        <f t="shared" si="23"/>
        <v>21</v>
      </c>
      <c r="B331" s="699" t="s">
        <v>101</v>
      </c>
      <c r="C331" s="700"/>
      <c r="D331" s="700"/>
      <c r="E331" s="700"/>
      <c r="F331" s="700"/>
      <c r="G331" s="700"/>
      <c r="H331" s="700"/>
      <c r="I331" s="700"/>
      <c r="J331" s="700"/>
      <c r="K331" s="701"/>
      <c r="L331" s="702">
        <f t="shared" ref="L331:L346" si="27">L330</f>
        <v>45748</v>
      </c>
      <c r="M331" s="702"/>
      <c r="N331" s="702"/>
      <c r="O331" s="702">
        <f t="shared" si="26"/>
        <v>45777</v>
      </c>
      <c r="P331" s="702"/>
      <c r="Q331" s="702"/>
      <c r="R331" s="690" cm="1">
        <f t="array" ref="R331">INDEX(verificare!$AT$4:$CC$26,VLOOKUP($AA$15,verificare!$AR$4:$AS$26,2,FALSE),A331)</f>
        <v>0</v>
      </c>
      <c r="S331" s="690"/>
      <c r="T331" s="690"/>
      <c r="U331" s="690"/>
      <c r="V331" s="658" t="s">
        <v>727</v>
      </c>
      <c r="W331" s="658"/>
      <c r="X331" s="691">
        <f>HLOOKUP(VLOOKUP($AA$15,'Date SPV'!$B:$F,5,FALSE),'Preturi si tarife'!$C$2:$J$39,A331+2,FALSE)</f>
        <v>0.43980000000000002</v>
      </c>
      <c r="Y331" s="692"/>
      <c r="Z331" s="692"/>
      <c r="AA331" s="693"/>
      <c r="AB331" s="690">
        <f t="shared" si="20"/>
        <v>0</v>
      </c>
      <c r="AC331" s="690"/>
      <c r="AD331" s="690"/>
      <c r="AE331" s="690"/>
      <c r="AF331" s="690">
        <f t="shared" si="21"/>
        <v>0</v>
      </c>
      <c r="AG331" s="690"/>
      <c r="AH331" s="690"/>
      <c r="AI331" s="690"/>
      <c r="AJ331" s="690">
        <f t="shared" si="22"/>
        <v>0</v>
      </c>
      <c r="AK331" s="690"/>
      <c r="AL331" s="690"/>
      <c r="AM331" s="690"/>
    </row>
    <row r="332" spans="1:39">
      <c r="A332" s="65">
        <f t="shared" si="23"/>
        <v>22</v>
      </c>
      <c r="B332" s="699" t="s">
        <v>869</v>
      </c>
      <c r="C332" s="700"/>
      <c r="D332" s="700"/>
      <c r="E332" s="700"/>
      <c r="F332" s="700"/>
      <c r="G332" s="700"/>
      <c r="H332" s="700"/>
      <c r="I332" s="700"/>
      <c r="J332" s="700"/>
      <c r="K332" s="701"/>
      <c r="L332" s="702">
        <f t="shared" si="27"/>
        <v>45748</v>
      </c>
      <c r="M332" s="702"/>
      <c r="N332" s="702"/>
      <c r="O332" s="702">
        <f t="shared" si="26"/>
        <v>45777</v>
      </c>
      <c r="P332" s="702"/>
      <c r="Q332" s="702"/>
      <c r="R332" s="690" cm="1">
        <f t="array" ref="R332">INDEX(verificare!$AT$4:$CC$26,VLOOKUP($AA$15,verificare!$AR$4:$AS$26,2,FALSE),A332)</f>
        <v>0</v>
      </c>
      <c r="S332" s="690"/>
      <c r="T332" s="690"/>
      <c r="U332" s="690"/>
      <c r="V332" s="658" t="s">
        <v>446</v>
      </c>
      <c r="W332" s="658"/>
      <c r="X332" s="691">
        <f>HLOOKUP(VLOOKUP($AA$15,'Date SPV'!$B:$F,5,FALSE),'Preturi si tarife'!$C$2:$J$39,A332+2,FALSE)</f>
        <v>8.6180000000000007E-2</v>
      </c>
      <c r="Y332" s="692"/>
      <c r="Z332" s="692"/>
      <c r="AA332" s="693"/>
      <c r="AB332" s="690">
        <f t="shared" si="20"/>
        <v>0</v>
      </c>
      <c r="AC332" s="690"/>
      <c r="AD332" s="690"/>
      <c r="AE332" s="690"/>
      <c r="AF332" s="690">
        <f t="shared" si="21"/>
        <v>0</v>
      </c>
      <c r="AG332" s="690"/>
      <c r="AH332" s="690"/>
      <c r="AI332" s="690"/>
      <c r="AJ332" s="690">
        <f t="shared" si="22"/>
        <v>0</v>
      </c>
      <c r="AK332" s="690"/>
      <c r="AL332" s="690"/>
      <c r="AM332" s="690"/>
    </row>
    <row r="333" spans="1:39" ht="15.95" customHeight="1">
      <c r="A333" s="65">
        <f t="shared" si="23"/>
        <v>23</v>
      </c>
      <c r="B333" s="699" t="s">
        <v>758</v>
      </c>
      <c r="C333" s="700"/>
      <c r="D333" s="700"/>
      <c r="E333" s="700"/>
      <c r="F333" s="700"/>
      <c r="G333" s="700"/>
      <c r="H333" s="700"/>
      <c r="I333" s="700"/>
      <c r="J333" s="700"/>
      <c r="K333" s="701"/>
      <c r="L333" s="702">
        <f t="shared" si="27"/>
        <v>45748</v>
      </c>
      <c r="M333" s="702"/>
      <c r="N333" s="702"/>
      <c r="O333" s="702">
        <f t="shared" si="26"/>
        <v>45777</v>
      </c>
      <c r="P333" s="702"/>
      <c r="Q333" s="702"/>
      <c r="R333" s="690" cm="1">
        <f t="array" ref="R333">INDEX(verificare!$AT$4:$CC$26,VLOOKUP($AA$15,verificare!$AR$4:$AS$26,2,FALSE),A333)</f>
        <v>0</v>
      </c>
      <c r="S333" s="690"/>
      <c r="T333" s="690"/>
      <c r="U333" s="690"/>
      <c r="V333" s="658" t="s">
        <v>446</v>
      </c>
      <c r="W333" s="658"/>
      <c r="X333" s="691">
        <f>HLOOKUP(VLOOKUP($AA$15,'Date SPV'!$B:$F,5,FALSE),'Preturi si tarife'!$C$2:$J$39,A333+2,FALSE)</f>
        <v>0.2079</v>
      </c>
      <c r="Y333" s="692"/>
      <c r="Z333" s="692"/>
      <c r="AA333" s="693"/>
      <c r="AB333" s="690">
        <f t="shared" si="20"/>
        <v>0</v>
      </c>
      <c r="AC333" s="690"/>
      <c r="AD333" s="690"/>
      <c r="AE333" s="690"/>
      <c r="AF333" s="690">
        <f t="shared" si="21"/>
        <v>0</v>
      </c>
      <c r="AG333" s="690"/>
      <c r="AH333" s="690"/>
      <c r="AI333" s="690"/>
      <c r="AJ333" s="690">
        <f t="shared" si="22"/>
        <v>0</v>
      </c>
      <c r="AK333" s="690"/>
      <c r="AL333" s="690"/>
      <c r="AM333" s="690"/>
    </row>
    <row r="334" spans="1:39">
      <c r="A334" s="65">
        <f t="shared" si="23"/>
        <v>24</v>
      </c>
      <c r="B334" s="699" t="s">
        <v>102</v>
      </c>
      <c r="C334" s="700"/>
      <c r="D334" s="700"/>
      <c r="E334" s="700"/>
      <c r="F334" s="700"/>
      <c r="G334" s="700"/>
      <c r="H334" s="700"/>
      <c r="I334" s="700"/>
      <c r="J334" s="700"/>
      <c r="K334" s="701"/>
      <c r="L334" s="702">
        <f t="shared" si="27"/>
        <v>45748</v>
      </c>
      <c r="M334" s="702"/>
      <c r="N334" s="702"/>
      <c r="O334" s="702">
        <f t="shared" si="26"/>
        <v>45777</v>
      </c>
      <c r="P334" s="702"/>
      <c r="Q334" s="702"/>
      <c r="R334" s="690" cm="1">
        <f t="array" ref="R334">INDEX(verificare!$AT$4:$CC$26,VLOOKUP($AA$15,verificare!$AR$4:$AS$26,2,FALSE),A334)</f>
        <v>0</v>
      </c>
      <c r="S334" s="690"/>
      <c r="T334" s="690"/>
      <c r="U334" s="690"/>
      <c r="V334" s="658" t="s">
        <v>446</v>
      </c>
      <c r="W334" s="658"/>
      <c r="X334" s="691">
        <f>HLOOKUP(VLOOKUP($AA$15,'Date SPV'!$B:$F,5,FALSE),'Preturi si tarife'!$C$2:$J$39,A334+2,FALSE)</f>
        <v>1.1509999999999999E-2</v>
      </c>
      <c r="Y334" s="692"/>
      <c r="Z334" s="692"/>
      <c r="AA334" s="693"/>
      <c r="AB334" s="690">
        <f t="shared" si="20"/>
        <v>0</v>
      </c>
      <c r="AC334" s="690"/>
      <c r="AD334" s="690"/>
      <c r="AE334" s="690"/>
      <c r="AF334" s="690">
        <f t="shared" si="21"/>
        <v>0</v>
      </c>
      <c r="AG334" s="690"/>
      <c r="AH334" s="690"/>
      <c r="AI334" s="690"/>
      <c r="AJ334" s="690">
        <f t="shared" si="22"/>
        <v>0</v>
      </c>
      <c r="AK334" s="690"/>
      <c r="AL334" s="690"/>
      <c r="AM334" s="690"/>
    </row>
    <row r="335" spans="1:39">
      <c r="A335" s="65">
        <f t="shared" si="23"/>
        <v>25</v>
      </c>
      <c r="B335" s="699" t="s">
        <v>103</v>
      </c>
      <c r="C335" s="700"/>
      <c r="D335" s="700"/>
      <c r="E335" s="700"/>
      <c r="F335" s="700"/>
      <c r="G335" s="700"/>
      <c r="H335" s="700"/>
      <c r="I335" s="700"/>
      <c r="J335" s="700"/>
      <c r="K335" s="701"/>
      <c r="L335" s="702">
        <f t="shared" si="27"/>
        <v>45748</v>
      </c>
      <c r="M335" s="702"/>
      <c r="N335" s="702"/>
      <c r="O335" s="702">
        <f t="shared" si="26"/>
        <v>45777</v>
      </c>
      <c r="P335" s="702"/>
      <c r="Q335" s="702"/>
      <c r="R335" s="690" cm="1">
        <f t="array" ref="R335">INDEX(verificare!$AT$4:$CC$26,VLOOKUP($AA$15,verificare!$AR$4:$AS$26,2,FALSE),A335)</f>
        <v>0</v>
      </c>
      <c r="S335" s="690"/>
      <c r="T335" s="690"/>
      <c r="U335" s="690"/>
      <c r="V335" s="658" t="s">
        <v>446</v>
      </c>
      <c r="W335" s="658"/>
      <c r="X335" s="691">
        <f>HLOOKUP(VLOOKUP($AA$15,'Date SPV'!$B:$F,5,FALSE),'Preturi si tarife'!$C$2:$J$39,A335+2,FALSE)</f>
        <v>3.3030000000000004E-2</v>
      </c>
      <c r="Y335" s="692"/>
      <c r="Z335" s="692"/>
      <c r="AA335" s="693"/>
      <c r="AB335" s="690">
        <f t="shared" si="20"/>
        <v>0</v>
      </c>
      <c r="AC335" s="690"/>
      <c r="AD335" s="690"/>
      <c r="AE335" s="690"/>
      <c r="AF335" s="690">
        <f t="shared" si="21"/>
        <v>0</v>
      </c>
      <c r="AG335" s="690"/>
      <c r="AH335" s="690"/>
      <c r="AI335" s="690"/>
      <c r="AJ335" s="690">
        <f t="shared" si="22"/>
        <v>0</v>
      </c>
      <c r="AK335" s="690"/>
      <c r="AL335" s="690"/>
      <c r="AM335" s="690"/>
    </row>
    <row r="336" spans="1:39">
      <c r="A336" s="65">
        <f t="shared" si="23"/>
        <v>26</v>
      </c>
      <c r="B336" s="699" t="s">
        <v>104</v>
      </c>
      <c r="C336" s="700"/>
      <c r="D336" s="700"/>
      <c r="E336" s="700"/>
      <c r="F336" s="700"/>
      <c r="G336" s="700"/>
      <c r="H336" s="700"/>
      <c r="I336" s="700"/>
      <c r="J336" s="700"/>
      <c r="K336" s="701"/>
      <c r="L336" s="702">
        <f t="shared" si="27"/>
        <v>45748</v>
      </c>
      <c r="M336" s="702"/>
      <c r="N336" s="702"/>
      <c r="O336" s="702">
        <f t="shared" si="26"/>
        <v>45777</v>
      </c>
      <c r="P336" s="702"/>
      <c r="Q336" s="702"/>
      <c r="R336" s="690" cm="1">
        <f t="array" ref="R336">INDEX(verificare!$AT$4:$CC$26,VLOOKUP($AA$15,verificare!$AR$4:$AS$26,2,FALSE),A336)</f>
        <v>0</v>
      </c>
      <c r="S336" s="690"/>
      <c r="T336" s="690"/>
      <c r="U336" s="690"/>
      <c r="V336" s="658" t="s">
        <v>446</v>
      </c>
      <c r="W336" s="658"/>
      <c r="X336" s="691">
        <f>HLOOKUP(VLOOKUP($AA$15,'Date SPV'!$B:$F,5,FALSE),'Preturi si tarife'!$C$2:$J$39,A336+2,FALSE)</f>
        <v>3.29E-3</v>
      </c>
      <c r="Y336" s="692"/>
      <c r="Z336" s="692"/>
      <c r="AA336" s="693"/>
      <c r="AB336" s="690">
        <f t="shared" si="20"/>
        <v>0</v>
      </c>
      <c r="AC336" s="690"/>
      <c r="AD336" s="690"/>
      <c r="AE336" s="690"/>
      <c r="AF336" s="690">
        <f t="shared" si="21"/>
        <v>0</v>
      </c>
      <c r="AG336" s="690"/>
      <c r="AH336" s="690"/>
      <c r="AI336" s="690"/>
      <c r="AJ336" s="690">
        <f t="shared" si="22"/>
        <v>0</v>
      </c>
      <c r="AK336" s="690"/>
      <c r="AL336" s="690"/>
      <c r="AM336" s="690"/>
    </row>
    <row r="337" spans="1:39">
      <c r="A337" s="65">
        <f t="shared" si="23"/>
        <v>27</v>
      </c>
      <c r="B337" s="699" t="s">
        <v>105</v>
      </c>
      <c r="C337" s="700"/>
      <c r="D337" s="700"/>
      <c r="E337" s="700"/>
      <c r="F337" s="700"/>
      <c r="G337" s="700"/>
      <c r="H337" s="700"/>
      <c r="I337" s="700"/>
      <c r="J337" s="700"/>
      <c r="K337" s="701"/>
      <c r="L337" s="702">
        <f t="shared" si="27"/>
        <v>45748</v>
      </c>
      <c r="M337" s="702"/>
      <c r="N337" s="702"/>
      <c r="O337" s="702">
        <f t="shared" si="26"/>
        <v>45777</v>
      </c>
      <c r="P337" s="702"/>
      <c r="Q337" s="702"/>
      <c r="R337" s="690" cm="1">
        <f t="array" ref="R337">INDEX(verificare!$AT$4:$CC$26,VLOOKUP($AA$15,verificare!$AR$4:$AS$26,2,FALSE),A337)</f>
        <v>0</v>
      </c>
      <c r="S337" s="690"/>
      <c r="T337" s="690"/>
      <c r="U337" s="690"/>
      <c r="V337" s="658" t="s">
        <v>446</v>
      </c>
      <c r="W337" s="658"/>
      <c r="X337" s="691">
        <f>HLOOKUP(VLOOKUP($AA$15,'Date SPV'!$B:$F,5,FALSE),'Preturi si tarife'!$C$2:$J$39,A337+2,FALSE)</f>
        <v>3.5000000000000001E-3</v>
      </c>
      <c r="Y337" s="692"/>
      <c r="Z337" s="692"/>
      <c r="AA337" s="693"/>
      <c r="AB337" s="690">
        <f t="shared" si="20"/>
        <v>0</v>
      </c>
      <c r="AC337" s="690"/>
      <c r="AD337" s="690"/>
      <c r="AE337" s="690"/>
      <c r="AF337" s="690">
        <f t="shared" si="21"/>
        <v>0</v>
      </c>
      <c r="AG337" s="690"/>
      <c r="AH337" s="690"/>
      <c r="AI337" s="690"/>
      <c r="AJ337" s="690">
        <f t="shared" si="22"/>
        <v>0</v>
      </c>
      <c r="AK337" s="690"/>
      <c r="AL337" s="690"/>
      <c r="AM337" s="690"/>
    </row>
    <row r="338" spans="1:39">
      <c r="A338" s="65">
        <f t="shared" si="23"/>
        <v>28</v>
      </c>
      <c r="B338" s="699" t="s">
        <v>106</v>
      </c>
      <c r="C338" s="700"/>
      <c r="D338" s="700"/>
      <c r="E338" s="700"/>
      <c r="F338" s="700"/>
      <c r="G338" s="700"/>
      <c r="H338" s="700"/>
      <c r="I338" s="700"/>
      <c r="J338" s="700"/>
      <c r="K338" s="701"/>
      <c r="L338" s="702">
        <f t="shared" si="27"/>
        <v>45748</v>
      </c>
      <c r="M338" s="702"/>
      <c r="N338" s="702"/>
      <c r="O338" s="702">
        <f t="shared" si="26"/>
        <v>45777</v>
      </c>
      <c r="P338" s="702"/>
      <c r="Q338" s="702"/>
      <c r="R338" s="690" cm="1">
        <f t="array" ref="R338">INDEX(verificare!$AT$4:$CC$26,VLOOKUP($AA$15,verificare!$AR$4:$AS$26,2,FALSE),A338)</f>
        <v>0</v>
      </c>
      <c r="S338" s="690"/>
      <c r="T338" s="690"/>
      <c r="U338" s="690"/>
      <c r="V338" s="658" t="s">
        <v>446</v>
      </c>
      <c r="W338" s="658"/>
      <c r="X338" s="691">
        <f>HLOOKUP(VLOOKUP($AA$15,'Date SPV'!$B:$F,5,FALSE),'Preturi si tarife'!$C$2:$J$39,A338+2,FALSE)</f>
        <v>7.2541599999999998E-2</v>
      </c>
      <c r="Y338" s="692"/>
      <c r="Z338" s="692"/>
      <c r="AA338" s="693"/>
      <c r="AB338" s="690">
        <f t="shared" si="20"/>
        <v>0</v>
      </c>
      <c r="AC338" s="690"/>
      <c r="AD338" s="690"/>
      <c r="AE338" s="690"/>
      <c r="AF338" s="690">
        <f t="shared" si="21"/>
        <v>0</v>
      </c>
      <c r="AG338" s="690"/>
      <c r="AH338" s="690"/>
      <c r="AI338" s="690"/>
      <c r="AJ338" s="690">
        <f t="shared" si="22"/>
        <v>0</v>
      </c>
      <c r="AK338" s="690"/>
      <c r="AL338" s="690"/>
      <c r="AM338" s="690"/>
    </row>
    <row r="339" spans="1:39" ht="30.95" customHeight="1">
      <c r="A339" s="65">
        <f t="shared" si="23"/>
        <v>29</v>
      </c>
      <c r="B339" s="699" t="s">
        <v>1316</v>
      </c>
      <c r="C339" s="700"/>
      <c r="D339" s="700"/>
      <c r="E339" s="700"/>
      <c r="F339" s="700"/>
      <c r="G339" s="700"/>
      <c r="H339" s="700"/>
      <c r="I339" s="700"/>
      <c r="J339" s="700"/>
      <c r="K339" s="701"/>
      <c r="L339" s="763">
        <f>L344</f>
        <v>45748</v>
      </c>
      <c r="M339" s="764"/>
      <c r="N339" s="765"/>
      <c r="O339" s="763">
        <f>O344</f>
        <v>45777</v>
      </c>
      <c r="P339" s="764"/>
      <c r="Q339" s="765"/>
      <c r="R339" s="690" cm="1">
        <f t="array" ref="R339">INDEX(verificare!$AT$4:$CC$26,VLOOKUP($AA$15,verificare!$AR$4:$AS$26,2,FALSE),A339)</f>
        <v>0</v>
      </c>
      <c r="S339" s="690"/>
      <c r="T339" s="690"/>
      <c r="U339" s="690"/>
      <c r="V339" s="724" t="s">
        <v>446</v>
      </c>
      <c r="W339" s="725"/>
      <c r="X339" s="691">
        <f>HLOOKUP(VLOOKUP($AA$15,'Date SPV'!$B:$F,5,FALSE),'Preturi si tarife'!$C$2:$J$39,A339+2,FALSE)</f>
        <v>2.0599999999999999E-4</v>
      </c>
      <c r="Y339" s="692"/>
      <c r="Z339" s="692"/>
      <c r="AA339" s="693"/>
      <c r="AB339" s="690">
        <f>ROUND(X339*R339,2)</f>
        <v>0</v>
      </c>
      <c r="AC339" s="690"/>
      <c r="AD339" s="690"/>
      <c r="AE339" s="690"/>
      <c r="AF339" s="772">
        <f>ROUND(AB339*19%,2)</f>
        <v>0</v>
      </c>
      <c r="AG339" s="773"/>
      <c r="AH339" s="773"/>
      <c r="AI339" s="774"/>
      <c r="AJ339" s="772">
        <f>AB339+AF339</f>
        <v>0</v>
      </c>
      <c r="AK339" s="773"/>
      <c r="AL339" s="773"/>
      <c r="AM339" s="774"/>
    </row>
    <row r="340" spans="1:39">
      <c r="A340" s="65">
        <f t="shared" si="23"/>
        <v>30</v>
      </c>
      <c r="B340" s="699" t="s">
        <v>107</v>
      </c>
      <c r="C340" s="700"/>
      <c r="D340" s="700"/>
      <c r="E340" s="700"/>
      <c r="F340" s="700"/>
      <c r="G340" s="700"/>
      <c r="H340" s="700"/>
      <c r="I340" s="700"/>
      <c r="J340" s="700"/>
      <c r="K340" s="701"/>
      <c r="L340" s="702">
        <f>L338</f>
        <v>45748</v>
      </c>
      <c r="M340" s="702"/>
      <c r="N340" s="702"/>
      <c r="O340" s="702">
        <f>O338</f>
        <v>45777</v>
      </c>
      <c r="P340" s="702"/>
      <c r="Q340" s="702"/>
      <c r="R340" s="690" cm="1">
        <f t="array" ref="R340">INDEX(verificare!$AT$4:$CC$26,VLOOKUP($AA$15,verificare!$AR$4:$AS$26,2,FALSE),A340)</f>
        <v>0</v>
      </c>
      <c r="S340" s="690"/>
      <c r="T340" s="690"/>
      <c r="U340" s="690"/>
      <c r="V340" s="658" t="s">
        <v>446</v>
      </c>
      <c r="W340" s="658"/>
      <c r="X340" s="691">
        <f>HLOOKUP(VLOOKUP($AA$15,'Date SPV'!$B:$F,5,FALSE),'Preturi si tarife'!$C$2:$J$39,A340+2,FALSE)</f>
        <v>0</v>
      </c>
      <c r="Y340" s="692"/>
      <c r="Z340" s="692"/>
      <c r="AA340" s="693"/>
      <c r="AB340" s="690">
        <f t="shared" si="20"/>
        <v>0</v>
      </c>
      <c r="AC340" s="690"/>
      <c r="AD340" s="690"/>
      <c r="AE340" s="690"/>
      <c r="AF340" s="690">
        <f t="shared" si="21"/>
        <v>0</v>
      </c>
      <c r="AG340" s="690"/>
      <c r="AH340" s="690"/>
      <c r="AI340" s="690"/>
      <c r="AJ340" s="690">
        <f t="shared" si="22"/>
        <v>0</v>
      </c>
      <c r="AK340" s="690"/>
      <c r="AL340" s="690"/>
      <c r="AM340" s="690"/>
    </row>
    <row r="341" spans="1:39">
      <c r="A341" s="65">
        <f t="shared" si="23"/>
        <v>31</v>
      </c>
      <c r="B341" s="699" t="s">
        <v>108</v>
      </c>
      <c r="C341" s="700"/>
      <c r="D341" s="700"/>
      <c r="E341" s="700"/>
      <c r="F341" s="700"/>
      <c r="G341" s="700"/>
      <c r="H341" s="700"/>
      <c r="I341" s="700"/>
      <c r="J341" s="700"/>
      <c r="K341" s="701"/>
      <c r="L341" s="702">
        <f t="shared" si="27"/>
        <v>45748</v>
      </c>
      <c r="M341" s="702"/>
      <c r="N341" s="702"/>
      <c r="O341" s="702">
        <f t="shared" si="26"/>
        <v>45777</v>
      </c>
      <c r="P341" s="702"/>
      <c r="Q341" s="702"/>
      <c r="R341" s="690" cm="1">
        <f t="array" ref="R341">INDEX(verificare!$AT$4:$CC$26,VLOOKUP($AA$15,verificare!$AR$4:$AS$26,2,FALSE),A341)</f>
        <v>0</v>
      </c>
      <c r="S341" s="690"/>
      <c r="T341" s="690"/>
      <c r="U341" s="690"/>
      <c r="V341" s="658" t="s">
        <v>446</v>
      </c>
      <c r="W341" s="658"/>
      <c r="X341" s="691">
        <f>HLOOKUP(VLOOKUP($AA$15,'Date SPV'!$B:$F,5,FALSE),'Preturi si tarife'!$C$2:$J$39,A341+2,FALSE)</f>
        <v>1.1300000000000001E-2</v>
      </c>
      <c r="Y341" s="692"/>
      <c r="Z341" s="692"/>
      <c r="AA341" s="693"/>
      <c r="AB341" s="690">
        <f t="shared" si="20"/>
        <v>0</v>
      </c>
      <c r="AC341" s="690"/>
      <c r="AD341" s="690"/>
      <c r="AE341" s="690"/>
      <c r="AF341" s="690">
        <f t="shared" si="21"/>
        <v>0</v>
      </c>
      <c r="AG341" s="690"/>
      <c r="AH341" s="690"/>
      <c r="AI341" s="690"/>
      <c r="AJ341" s="690">
        <f t="shared" si="22"/>
        <v>0</v>
      </c>
      <c r="AK341" s="690"/>
      <c r="AL341" s="690"/>
      <c r="AM341" s="690"/>
    </row>
    <row r="342" spans="1:39">
      <c r="A342" s="65">
        <f t="shared" si="23"/>
        <v>32</v>
      </c>
      <c r="B342" s="699" t="s">
        <v>109</v>
      </c>
      <c r="C342" s="700"/>
      <c r="D342" s="700"/>
      <c r="E342" s="700"/>
      <c r="F342" s="700"/>
      <c r="G342" s="700"/>
      <c r="H342" s="700"/>
      <c r="I342" s="700"/>
      <c r="J342" s="700"/>
      <c r="K342" s="701"/>
      <c r="L342" s="763">
        <f t="shared" si="27"/>
        <v>45748</v>
      </c>
      <c r="M342" s="764"/>
      <c r="N342" s="765"/>
      <c r="O342" s="763">
        <f t="shared" si="26"/>
        <v>45777</v>
      </c>
      <c r="P342" s="764"/>
      <c r="Q342" s="765"/>
      <c r="R342" s="690" cm="1">
        <f t="array" ref="R342">INDEX(verificare!$AT$4:$CC$26,VLOOKUP($AA$15,verificare!$AR$4:$AS$26,2,FALSE),A342)</f>
        <v>0</v>
      </c>
      <c r="S342" s="690"/>
      <c r="T342" s="690"/>
      <c r="U342" s="690"/>
      <c r="V342" s="724" t="s">
        <v>446</v>
      </c>
      <c r="W342" s="725"/>
      <c r="X342" s="691">
        <f>HLOOKUP(VLOOKUP($AA$15,'Date SPV'!$B:$F,5,FALSE),'Preturi si tarife'!$C$2:$J$39,A342+2,FALSE)</f>
        <v>8.4099999999999994E-2</v>
      </c>
      <c r="Y342" s="692"/>
      <c r="Z342" s="692"/>
      <c r="AA342" s="693"/>
      <c r="AB342" s="690">
        <f t="shared" si="20"/>
        <v>0</v>
      </c>
      <c r="AC342" s="690"/>
      <c r="AD342" s="690"/>
      <c r="AE342" s="690"/>
      <c r="AF342" s="690">
        <f t="shared" si="21"/>
        <v>0</v>
      </c>
      <c r="AG342" s="690"/>
      <c r="AH342" s="690"/>
      <c r="AI342" s="690"/>
      <c r="AJ342" s="690">
        <f t="shared" si="22"/>
        <v>0</v>
      </c>
      <c r="AK342" s="690"/>
      <c r="AL342" s="690"/>
      <c r="AM342" s="690"/>
    </row>
    <row r="343" spans="1:39">
      <c r="A343" s="65">
        <f t="shared" si="23"/>
        <v>33</v>
      </c>
      <c r="B343" s="699" t="s">
        <v>110</v>
      </c>
      <c r="C343" s="700"/>
      <c r="D343" s="700"/>
      <c r="E343" s="700"/>
      <c r="F343" s="700"/>
      <c r="G343" s="700"/>
      <c r="H343" s="700"/>
      <c r="I343" s="700"/>
      <c r="J343" s="700"/>
      <c r="K343" s="701"/>
      <c r="L343" s="702">
        <f t="shared" si="27"/>
        <v>45748</v>
      </c>
      <c r="M343" s="702"/>
      <c r="N343" s="702"/>
      <c r="O343" s="702">
        <f t="shared" si="26"/>
        <v>45777</v>
      </c>
      <c r="P343" s="702"/>
      <c r="Q343" s="702"/>
      <c r="R343" s="690" cm="1">
        <f t="array" ref="R343">INDEX(verificare!$AT$4:$CC$26,VLOOKUP($AA$15,verificare!$AR$4:$AS$26,2,FALSE),A343)</f>
        <v>0</v>
      </c>
      <c r="S343" s="690"/>
      <c r="T343" s="690"/>
      <c r="U343" s="690"/>
      <c r="V343" s="658" t="s">
        <v>446</v>
      </c>
      <c r="W343" s="658"/>
      <c r="X343" s="691">
        <f>HLOOKUP(VLOOKUP($AA$15,'Date SPV'!$B:$F,5,FALSE),'Preturi si tarife'!$C$2:$J$39,A343+2,FALSE)</f>
        <v>0.90065760000000006</v>
      </c>
      <c r="Y343" s="692"/>
      <c r="Z343" s="692"/>
      <c r="AA343" s="693"/>
      <c r="AB343" s="690">
        <f t="shared" si="20"/>
        <v>0</v>
      </c>
      <c r="AC343" s="690"/>
      <c r="AD343" s="690"/>
      <c r="AE343" s="690"/>
      <c r="AF343" s="690">
        <f t="shared" si="21"/>
        <v>0</v>
      </c>
      <c r="AG343" s="690"/>
      <c r="AH343" s="690"/>
      <c r="AI343" s="690"/>
      <c r="AJ343" s="690">
        <f t="shared" si="22"/>
        <v>0</v>
      </c>
      <c r="AK343" s="690"/>
      <c r="AL343" s="690"/>
      <c r="AM343" s="690"/>
    </row>
    <row r="344" spans="1:39">
      <c r="A344" s="65">
        <f t="shared" si="23"/>
        <v>34</v>
      </c>
      <c r="B344" s="699" t="s">
        <v>111</v>
      </c>
      <c r="C344" s="700"/>
      <c r="D344" s="700"/>
      <c r="E344" s="700"/>
      <c r="F344" s="700"/>
      <c r="G344" s="700"/>
      <c r="H344" s="700"/>
      <c r="I344" s="700"/>
      <c r="J344" s="700"/>
      <c r="K344" s="701"/>
      <c r="L344" s="702">
        <f t="shared" si="27"/>
        <v>45748</v>
      </c>
      <c r="M344" s="702"/>
      <c r="N344" s="702"/>
      <c r="O344" s="702">
        <f t="shared" si="26"/>
        <v>45777</v>
      </c>
      <c r="P344" s="702"/>
      <c r="Q344" s="702"/>
      <c r="R344" s="690" cm="1">
        <f t="array" ref="R344">INDEX(verificare!$AT$4:$CC$26,VLOOKUP($AA$15,verificare!$AR$4:$AS$26,2,FALSE),A344)</f>
        <v>0</v>
      </c>
      <c r="S344" s="690"/>
      <c r="T344" s="690"/>
      <c r="U344" s="690"/>
      <c r="V344" s="658" t="s">
        <v>446</v>
      </c>
      <c r="W344" s="658"/>
      <c r="X344" s="691">
        <f>HLOOKUP(VLOOKUP($AA$15,'Date SPV'!$B:$F,5,FALSE),'Preturi si tarife'!$C$2:$J$39,A344+2,FALSE)</f>
        <v>0.80525760000000002</v>
      </c>
      <c r="Y344" s="692"/>
      <c r="Z344" s="692"/>
      <c r="AA344" s="693"/>
      <c r="AB344" s="690">
        <f t="shared" si="20"/>
        <v>0</v>
      </c>
      <c r="AC344" s="690"/>
      <c r="AD344" s="690"/>
      <c r="AE344" s="690"/>
      <c r="AF344" s="690">
        <f t="shared" si="21"/>
        <v>0</v>
      </c>
      <c r="AG344" s="690"/>
      <c r="AH344" s="690"/>
      <c r="AI344" s="690"/>
      <c r="AJ344" s="690">
        <f t="shared" si="22"/>
        <v>0</v>
      </c>
      <c r="AK344" s="690"/>
      <c r="AL344" s="690"/>
      <c r="AM344" s="690"/>
    </row>
    <row r="345" spans="1:39">
      <c r="A345" s="65">
        <f t="shared" si="23"/>
        <v>35</v>
      </c>
      <c r="B345" s="699" t="s">
        <v>112</v>
      </c>
      <c r="C345" s="700"/>
      <c r="D345" s="700"/>
      <c r="E345" s="700"/>
      <c r="F345" s="700"/>
      <c r="G345" s="700"/>
      <c r="H345" s="700"/>
      <c r="I345" s="700"/>
      <c r="J345" s="700"/>
      <c r="K345" s="701"/>
      <c r="L345" s="763">
        <f t="shared" si="27"/>
        <v>45748</v>
      </c>
      <c r="M345" s="764"/>
      <c r="N345" s="765"/>
      <c r="O345" s="763">
        <f t="shared" si="26"/>
        <v>45777</v>
      </c>
      <c r="P345" s="764"/>
      <c r="Q345" s="765"/>
      <c r="R345" s="772" cm="1">
        <f t="array" ref="R345">INDEX(verificare!$AT$4:$CC$26,VLOOKUP($AA$15,verificare!$AR$4:$AS$26,2,FALSE),A345)</f>
        <v>0</v>
      </c>
      <c r="S345" s="773"/>
      <c r="T345" s="773"/>
      <c r="U345" s="774"/>
      <c r="V345" s="724" t="s">
        <v>446</v>
      </c>
      <c r="W345" s="725"/>
      <c r="X345" s="691">
        <f>HLOOKUP(VLOOKUP($AA$15,'Date SPV'!$B:$F,5,FALSE),'Preturi si tarife'!$C$2:$J$39,A345+2,FALSE)</f>
        <v>1.1300000000000001E-2</v>
      </c>
      <c r="Y345" s="692"/>
      <c r="Z345" s="692"/>
      <c r="AA345" s="693"/>
      <c r="AB345" s="690">
        <f t="shared" si="20"/>
        <v>0</v>
      </c>
      <c r="AC345" s="690"/>
      <c r="AD345" s="690"/>
      <c r="AE345" s="690"/>
      <c r="AF345" s="690">
        <f t="shared" si="21"/>
        <v>0</v>
      </c>
      <c r="AG345" s="690"/>
      <c r="AH345" s="690"/>
      <c r="AI345" s="690"/>
      <c r="AJ345" s="690">
        <f t="shared" si="22"/>
        <v>0</v>
      </c>
      <c r="AK345" s="690"/>
      <c r="AL345" s="690"/>
      <c r="AM345" s="690"/>
    </row>
    <row r="346" spans="1:39" ht="21.6" customHeight="1">
      <c r="A346" s="65">
        <f t="shared" si="23"/>
        <v>36</v>
      </c>
      <c r="B346" s="699" t="s">
        <v>113</v>
      </c>
      <c r="C346" s="700"/>
      <c r="D346" s="700"/>
      <c r="E346" s="700"/>
      <c r="F346" s="700"/>
      <c r="G346" s="700"/>
      <c r="H346" s="700"/>
      <c r="I346" s="700"/>
      <c r="J346" s="700"/>
      <c r="K346" s="701"/>
      <c r="L346" s="763">
        <f t="shared" si="27"/>
        <v>45748</v>
      </c>
      <c r="M346" s="764"/>
      <c r="N346" s="765"/>
      <c r="O346" s="763">
        <f t="shared" si="26"/>
        <v>45777</v>
      </c>
      <c r="P346" s="764"/>
      <c r="Q346" s="765"/>
      <c r="R346" s="772" cm="1">
        <f t="array" ref="R346">INDEX(verificare!$AT$4:$CC$26,VLOOKUP($AA$15,verificare!$AR$4:$AS$26,2,FALSE),A346)</f>
        <v>0</v>
      </c>
      <c r="S346" s="773"/>
      <c r="T346" s="773"/>
      <c r="U346" s="774"/>
      <c r="V346" s="724" t="s">
        <v>446</v>
      </c>
      <c r="W346" s="725"/>
      <c r="X346" s="691">
        <f>HLOOKUP(VLOOKUP($AA$15,'Date SPV'!$B:$F,5,FALSE),'Preturi si tarife'!$C$2:$J$39,A346+2,FALSE)</f>
        <v>8.4099999999999994E-2</v>
      </c>
      <c r="Y346" s="692"/>
      <c r="Z346" s="692"/>
      <c r="AA346" s="693"/>
      <c r="AB346" s="690">
        <f t="shared" si="20"/>
        <v>0</v>
      </c>
      <c r="AC346" s="690"/>
      <c r="AD346" s="690"/>
      <c r="AE346" s="690"/>
      <c r="AF346" s="690">
        <f t="shared" si="21"/>
        <v>0</v>
      </c>
      <c r="AG346" s="690"/>
      <c r="AH346" s="690"/>
      <c r="AI346" s="690"/>
      <c r="AJ346" s="690">
        <f t="shared" si="22"/>
        <v>0</v>
      </c>
      <c r="AK346" s="690"/>
      <c r="AL346" s="690"/>
      <c r="AM346" s="690"/>
    </row>
    <row r="347" spans="1:39">
      <c r="A347" s="65">
        <f t="shared" si="23"/>
        <v>37</v>
      </c>
      <c r="B347" s="699" t="s">
        <v>728</v>
      </c>
      <c r="C347" s="700"/>
      <c r="D347" s="700"/>
      <c r="E347" s="700"/>
      <c r="F347" s="700"/>
      <c r="G347" s="700"/>
      <c r="H347" s="700"/>
      <c r="I347" s="700"/>
      <c r="J347" s="700"/>
      <c r="K347" s="701"/>
      <c r="L347" s="702" t="s">
        <v>69</v>
      </c>
      <c r="M347" s="702"/>
      <c r="N347" s="702"/>
      <c r="O347" s="702" t="s">
        <v>69</v>
      </c>
      <c r="P347" s="702"/>
      <c r="Q347" s="702"/>
      <c r="R347" s="690">
        <v>0</v>
      </c>
      <c r="S347" s="690"/>
      <c r="T347" s="690"/>
      <c r="U347" s="690"/>
      <c r="V347" s="658" t="s">
        <v>69</v>
      </c>
      <c r="W347" s="658"/>
      <c r="X347" s="659" t="s">
        <v>69</v>
      </c>
      <c r="Y347" s="659"/>
      <c r="Z347" s="659"/>
      <c r="AA347" s="659"/>
      <c r="AB347" s="653">
        <v>0</v>
      </c>
      <c r="AC347" s="653"/>
      <c r="AD347" s="653"/>
      <c r="AE347" s="653"/>
      <c r="AF347" s="653">
        <f t="shared" si="21"/>
        <v>0</v>
      </c>
      <c r="AG347" s="653"/>
      <c r="AH347" s="653"/>
      <c r="AI347" s="653"/>
      <c r="AJ347" s="653">
        <f t="shared" si="22"/>
        <v>0</v>
      </c>
      <c r="AK347" s="653"/>
      <c r="AL347" s="653"/>
      <c r="AM347" s="653"/>
    </row>
    <row r="348" spans="1:39">
      <c r="A348" s="65">
        <f>A347+1</f>
        <v>38</v>
      </c>
      <c r="B348" s="699" t="s">
        <v>729</v>
      </c>
      <c r="C348" s="700"/>
      <c r="D348" s="700"/>
      <c r="E348" s="700"/>
      <c r="F348" s="700"/>
      <c r="G348" s="700"/>
      <c r="H348" s="700"/>
      <c r="I348" s="700"/>
      <c r="J348" s="700"/>
      <c r="K348" s="701"/>
      <c r="L348" s="702" t="s">
        <v>69</v>
      </c>
      <c r="M348" s="702"/>
      <c r="N348" s="702"/>
      <c r="O348" s="702" t="s">
        <v>69</v>
      </c>
      <c r="P348" s="702"/>
      <c r="Q348" s="702"/>
      <c r="R348" s="690">
        <v>0</v>
      </c>
      <c r="S348" s="690"/>
      <c r="T348" s="690"/>
      <c r="U348" s="690"/>
      <c r="V348" s="658" t="s">
        <v>69</v>
      </c>
      <c r="W348" s="658"/>
      <c r="X348" s="659" t="s">
        <v>69</v>
      </c>
      <c r="Y348" s="659"/>
      <c r="Z348" s="659"/>
      <c r="AA348" s="659"/>
      <c r="AB348" s="726">
        <f>SUM(AB311:AE347)</f>
        <v>802185.87999999977</v>
      </c>
      <c r="AC348" s="726"/>
      <c r="AD348" s="726"/>
      <c r="AE348" s="726"/>
      <c r="AF348" s="726">
        <f>SUM(AF311:AI347)</f>
        <v>152415.32</v>
      </c>
      <c r="AG348" s="726"/>
      <c r="AH348" s="726"/>
      <c r="AI348" s="726"/>
      <c r="AJ348" s="726">
        <f>SUM(AJ311:AM347)</f>
        <v>954601.20000000007</v>
      </c>
      <c r="AK348" s="726"/>
      <c r="AL348" s="726"/>
      <c r="AM348" s="726"/>
    </row>
  </sheetData>
  <mergeCells count="1519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1:B21"/>
    <mergeCell ref="C21:AB21"/>
    <mergeCell ref="AC21:AJ21"/>
    <mergeCell ref="AK21:AM21"/>
    <mergeCell ref="A22:B22"/>
    <mergeCell ref="C22:AB22"/>
    <mergeCell ref="AC22:AJ22"/>
    <mergeCell ref="AK22:AM22"/>
    <mergeCell ref="A19:B19"/>
    <mergeCell ref="C19:AB19"/>
    <mergeCell ref="AC19:AJ19"/>
    <mergeCell ref="AK19:AM19"/>
    <mergeCell ref="A20:B20"/>
    <mergeCell ref="C20:AB20"/>
    <mergeCell ref="AC20:AJ20"/>
    <mergeCell ref="AK20:AM20"/>
    <mergeCell ref="A15:F15"/>
    <mergeCell ref="G15:S15"/>
    <mergeCell ref="U15:Z15"/>
    <mergeCell ref="AA15:AM15"/>
    <mergeCell ref="C17:AB17"/>
    <mergeCell ref="A18:B18"/>
    <mergeCell ref="C18:AB18"/>
    <mergeCell ref="AC18:AJ18"/>
    <mergeCell ref="AK18:AM18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3:B23"/>
    <mergeCell ref="C23:AB23"/>
    <mergeCell ref="AC23:AJ23"/>
    <mergeCell ref="AK23:AM23"/>
    <mergeCell ref="A24:B24"/>
    <mergeCell ref="C24:AB24"/>
    <mergeCell ref="AC24:AJ24"/>
    <mergeCell ref="AK24:AM24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3:L83"/>
    <mergeCell ref="M83:AH83"/>
    <mergeCell ref="AI83:AM83"/>
    <mergeCell ref="A84:L84"/>
    <mergeCell ref="M84:AH84"/>
    <mergeCell ref="AI84:AM85"/>
    <mergeCell ref="A85:L85"/>
    <mergeCell ref="M85:AH85"/>
    <mergeCell ref="A79:G80"/>
    <mergeCell ref="H79:AM80"/>
    <mergeCell ref="A81:G82"/>
    <mergeCell ref="H81:V82"/>
    <mergeCell ref="W81:Z82"/>
    <mergeCell ref="AA81:AM82"/>
    <mergeCell ref="AI64:AJ66"/>
    <mergeCell ref="AK64:AM66"/>
    <mergeCell ref="J65:L65"/>
    <mergeCell ref="J66:L66"/>
    <mergeCell ref="R64:T66"/>
    <mergeCell ref="U64:W66"/>
    <mergeCell ref="X64:Z66"/>
    <mergeCell ref="AA64:AC66"/>
    <mergeCell ref="AD64:AE66"/>
    <mergeCell ref="AF64:AH66"/>
    <mergeCell ref="AD89:AE91"/>
    <mergeCell ref="AF89:AH91"/>
    <mergeCell ref="AI89:AJ91"/>
    <mergeCell ref="AK89:AM91"/>
    <mergeCell ref="J90:L90"/>
    <mergeCell ref="J91:L91"/>
    <mergeCell ref="AK86:AM88"/>
    <mergeCell ref="A89:F91"/>
    <mergeCell ref="G89:I91"/>
    <mergeCell ref="J89:L89"/>
    <mergeCell ref="M89:N91"/>
    <mergeCell ref="O89:Q91"/>
    <mergeCell ref="R89:T91"/>
    <mergeCell ref="U89:W91"/>
    <mergeCell ref="X89:Z91"/>
    <mergeCell ref="AA89:AC91"/>
    <mergeCell ref="U86:W88"/>
    <mergeCell ref="X86:Z88"/>
    <mergeCell ref="AA86:AC88"/>
    <mergeCell ref="AD86:AE88"/>
    <mergeCell ref="AF86:AH88"/>
    <mergeCell ref="AI86:AJ88"/>
    <mergeCell ref="A86:F88"/>
    <mergeCell ref="G86:I88"/>
    <mergeCell ref="J86:L88"/>
    <mergeCell ref="M86:N88"/>
    <mergeCell ref="O86:Q88"/>
    <mergeCell ref="R86:T88"/>
    <mergeCell ref="AK92:AM94"/>
    <mergeCell ref="J93:L93"/>
    <mergeCell ref="J94:L94"/>
    <mergeCell ref="A95:F97"/>
    <mergeCell ref="G95:I97"/>
    <mergeCell ref="J95:L95"/>
    <mergeCell ref="M95:N97"/>
    <mergeCell ref="O95:Q97"/>
    <mergeCell ref="R95:T97"/>
    <mergeCell ref="U95:W97"/>
    <mergeCell ref="U92:W94"/>
    <mergeCell ref="X92:Z94"/>
    <mergeCell ref="AA92:AC94"/>
    <mergeCell ref="AD92:AE94"/>
    <mergeCell ref="AF92:AH94"/>
    <mergeCell ref="AI92:AJ94"/>
    <mergeCell ref="A92:F94"/>
    <mergeCell ref="G92:I94"/>
    <mergeCell ref="J92:L92"/>
    <mergeCell ref="M92:N94"/>
    <mergeCell ref="O92:Q94"/>
    <mergeCell ref="R92:T94"/>
    <mergeCell ref="AF98:AH100"/>
    <mergeCell ref="AI98:AJ100"/>
    <mergeCell ref="AK98:AM100"/>
    <mergeCell ref="J99:L99"/>
    <mergeCell ref="J100:L100"/>
    <mergeCell ref="A101:F103"/>
    <mergeCell ref="G101:I103"/>
    <mergeCell ref="J101:L101"/>
    <mergeCell ref="M101:N103"/>
    <mergeCell ref="O101:Q103"/>
    <mergeCell ref="O98:Q100"/>
    <mergeCell ref="R98:T100"/>
    <mergeCell ref="U98:W100"/>
    <mergeCell ref="X98:Z100"/>
    <mergeCell ref="AA98:AC100"/>
    <mergeCell ref="AD98:AE100"/>
    <mergeCell ref="J96:L96"/>
    <mergeCell ref="J97:L97"/>
    <mergeCell ref="A98:F100"/>
    <mergeCell ref="G98:I100"/>
    <mergeCell ref="J98:L98"/>
    <mergeCell ref="M98:N100"/>
    <mergeCell ref="X95:Z97"/>
    <mergeCell ref="AA95:AC97"/>
    <mergeCell ref="AD95:AE97"/>
    <mergeCell ref="AF95:AH97"/>
    <mergeCell ref="AI95:AJ97"/>
    <mergeCell ref="AK95:AM97"/>
    <mergeCell ref="AK104:AM106"/>
    <mergeCell ref="J105:L105"/>
    <mergeCell ref="J106:L106"/>
    <mergeCell ref="A107:F109"/>
    <mergeCell ref="G107:I109"/>
    <mergeCell ref="J107:L107"/>
    <mergeCell ref="M107:N109"/>
    <mergeCell ref="O107:Q109"/>
    <mergeCell ref="R107:T109"/>
    <mergeCell ref="U107:W109"/>
    <mergeCell ref="U104:W106"/>
    <mergeCell ref="X104:Z106"/>
    <mergeCell ref="AA104:AC106"/>
    <mergeCell ref="AD104:AE106"/>
    <mergeCell ref="AF104:AH106"/>
    <mergeCell ref="AI104:AJ106"/>
    <mergeCell ref="AI101:AJ103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R104:T106"/>
    <mergeCell ref="R101:T103"/>
    <mergeCell ref="U101:W103"/>
    <mergeCell ref="X101:Z103"/>
    <mergeCell ref="AA101:AC103"/>
    <mergeCell ref="AD101:AE103"/>
    <mergeCell ref="AF101:AH103"/>
    <mergeCell ref="AF110:AH112"/>
    <mergeCell ref="AI110:AJ112"/>
    <mergeCell ref="AK110:AM112"/>
    <mergeCell ref="J111:L111"/>
    <mergeCell ref="J112:L112"/>
    <mergeCell ref="A113:F115"/>
    <mergeCell ref="G113:I115"/>
    <mergeCell ref="J113:L113"/>
    <mergeCell ref="M113:N115"/>
    <mergeCell ref="O113:Q115"/>
    <mergeCell ref="O110:Q112"/>
    <mergeCell ref="R110:T112"/>
    <mergeCell ref="U110:W112"/>
    <mergeCell ref="X110:Z112"/>
    <mergeCell ref="AA110:AC112"/>
    <mergeCell ref="AD110:AE112"/>
    <mergeCell ref="J108:L108"/>
    <mergeCell ref="J109:L109"/>
    <mergeCell ref="A110:F112"/>
    <mergeCell ref="G110:I112"/>
    <mergeCell ref="J110:L110"/>
    <mergeCell ref="M110:N112"/>
    <mergeCell ref="X107:Z109"/>
    <mergeCell ref="AA107:AC109"/>
    <mergeCell ref="AD107:AE109"/>
    <mergeCell ref="AF107:AH109"/>
    <mergeCell ref="AI107:AJ109"/>
    <mergeCell ref="AK107:AM109"/>
    <mergeCell ref="A195:L195"/>
    <mergeCell ref="M195:AH195"/>
    <mergeCell ref="AI195:AM195"/>
    <mergeCell ref="A196:L196"/>
    <mergeCell ref="M196:AH196"/>
    <mergeCell ref="AI196:AM197"/>
    <mergeCell ref="A197:L197"/>
    <mergeCell ref="M197:AH197"/>
    <mergeCell ref="A190:G191"/>
    <mergeCell ref="H190:AM191"/>
    <mergeCell ref="A192:G193"/>
    <mergeCell ref="H192:V193"/>
    <mergeCell ref="W192:Z193"/>
    <mergeCell ref="AA192:AM193"/>
    <mergeCell ref="AI113:AJ115"/>
    <mergeCell ref="AK113:AM115"/>
    <mergeCell ref="J114:L114"/>
    <mergeCell ref="J115:L115"/>
    <mergeCell ref="R113:T115"/>
    <mergeCell ref="U113:W115"/>
    <mergeCell ref="X113:Z115"/>
    <mergeCell ref="AA113:AC115"/>
    <mergeCell ref="AD113:AE115"/>
    <mergeCell ref="AF113:AH115"/>
    <mergeCell ref="A133:G134"/>
    <mergeCell ref="H133:AM134"/>
    <mergeCell ref="A135:G136"/>
    <mergeCell ref="H135:V136"/>
    <mergeCell ref="W135:Z136"/>
    <mergeCell ref="AA135:AM136"/>
    <mergeCell ref="A138:L138"/>
    <mergeCell ref="M138:AH138"/>
    <mergeCell ref="AD201:AE203"/>
    <mergeCell ref="AF201:AH203"/>
    <mergeCell ref="AI201:AJ203"/>
    <mergeCell ref="AK201:AM203"/>
    <mergeCell ref="J202:L202"/>
    <mergeCell ref="J203:L203"/>
    <mergeCell ref="AK198:AM200"/>
    <mergeCell ref="A201:F203"/>
    <mergeCell ref="G201:I203"/>
    <mergeCell ref="J201:L201"/>
    <mergeCell ref="M201:N203"/>
    <mergeCell ref="O201:Q203"/>
    <mergeCell ref="R201:T203"/>
    <mergeCell ref="U201:W203"/>
    <mergeCell ref="X201:Z203"/>
    <mergeCell ref="AA201:AC203"/>
    <mergeCell ref="U198:W200"/>
    <mergeCell ref="X198:Z200"/>
    <mergeCell ref="AA198:AC200"/>
    <mergeCell ref="AD198:AE200"/>
    <mergeCell ref="AF198:AH200"/>
    <mergeCell ref="AI198:AJ200"/>
    <mergeCell ref="A198:F200"/>
    <mergeCell ref="G198:I200"/>
    <mergeCell ref="J198:L200"/>
    <mergeCell ref="M198:N200"/>
    <mergeCell ref="O198:Q200"/>
    <mergeCell ref="R198:T200"/>
    <mergeCell ref="AK204:AM206"/>
    <mergeCell ref="J205:L205"/>
    <mergeCell ref="J206:L206"/>
    <mergeCell ref="A207:F209"/>
    <mergeCell ref="G207:I209"/>
    <mergeCell ref="J207:L207"/>
    <mergeCell ref="M207:N209"/>
    <mergeCell ref="O207:Q209"/>
    <mergeCell ref="R207:T209"/>
    <mergeCell ref="U207:W209"/>
    <mergeCell ref="U204:W206"/>
    <mergeCell ref="X204:Z206"/>
    <mergeCell ref="AA204:AC206"/>
    <mergeCell ref="AD204:AE206"/>
    <mergeCell ref="AF204:AH206"/>
    <mergeCell ref="AI204:AJ206"/>
    <mergeCell ref="A204:F206"/>
    <mergeCell ref="G204:I206"/>
    <mergeCell ref="J204:L204"/>
    <mergeCell ref="M204:N206"/>
    <mergeCell ref="O204:Q206"/>
    <mergeCell ref="R204:T206"/>
    <mergeCell ref="AF210:AH212"/>
    <mergeCell ref="AI210:AJ212"/>
    <mergeCell ref="AK210:AM212"/>
    <mergeCell ref="J211:L211"/>
    <mergeCell ref="J212:L212"/>
    <mergeCell ref="A213:F215"/>
    <mergeCell ref="G213:I215"/>
    <mergeCell ref="J213:L213"/>
    <mergeCell ref="M213:N215"/>
    <mergeCell ref="O213:Q215"/>
    <mergeCell ref="O210:Q212"/>
    <mergeCell ref="R210:T212"/>
    <mergeCell ref="U210:W212"/>
    <mergeCell ref="X210:Z212"/>
    <mergeCell ref="AA210:AC212"/>
    <mergeCell ref="AD210:AE212"/>
    <mergeCell ref="J208:L208"/>
    <mergeCell ref="J209:L209"/>
    <mergeCell ref="A210:F212"/>
    <mergeCell ref="G210:I212"/>
    <mergeCell ref="J210:L210"/>
    <mergeCell ref="M210:N212"/>
    <mergeCell ref="X207:Z209"/>
    <mergeCell ref="AA207:AC209"/>
    <mergeCell ref="AD207:AE209"/>
    <mergeCell ref="AF207:AH209"/>
    <mergeCell ref="AI207:AJ209"/>
    <mergeCell ref="AK207:AM209"/>
    <mergeCell ref="AK216:AM218"/>
    <mergeCell ref="J217:L217"/>
    <mergeCell ref="J218:L218"/>
    <mergeCell ref="A219:F221"/>
    <mergeCell ref="G219:I221"/>
    <mergeCell ref="J219:L219"/>
    <mergeCell ref="M219:N221"/>
    <mergeCell ref="O219:Q221"/>
    <mergeCell ref="R219:T221"/>
    <mergeCell ref="U219:W221"/>
    <mergeCell ref="U216:W218"/>
    <mergeCell ref="X216:Z218"/>
    <mergeCell ref="AA216:AC218"/>
    <mergeCell ref="AD216:AE218"/>
    <mergeCell ref="AF216:AH218"/>
    <mergeCell ref="AI216:AJ218"/>
    <mergeCell ref="AI213:AJ215"/>
    <mergeCell ref="AK213:AM215"/>
    <mergeCell ref="J214:L214"/>
    <mergeCell ref="J215:L215"/>
    <mergeCell ref="A216:F218"/>
    <mergeCell ref="G216:I218"/>
    <mergeCell ref="J216:L216"/>
    <mergeCell ref="M216:N218"/>
    <mergeCell ref="O216:Q218"/>
    <mergeCell ref="R216:T218"/>
    <mergeCell ref="R213:T215"/>
    <mergeCell ref="U213:W215"/>
    <mergeCell ref="X213:Z215"/>
    <mergeCell ref="AA213:AC215"/>
    <mergeCell ref="AD213:AE215"/>
    <mergeCell ref="AF213:AH215"/>
    <mergeCell ref="AF222:AH224"/>
    <mergeCell ref="AI222:AJ224"/>
    <mergeCell ref="AK222:AM224"/>
    <mergeCell ref="J223:L223"/>
    <mergeCell ref="J224:L224"/>
    <mergeCell ref="A225:F227"/>
    <mergeCell ref="G225:I227"/>
    <mergeCell ref="J225:L225"/>
    <mergeCell ref="M225:N227"/>
    <mergeCell ref="O225:Q227"/>
    <mergeCell ref="O222:Q224"/>
    <mergeCell ref="R222:T224"/>
    <mergeCell ref="U222:W224"/>
    <mergeCell ref="X222:Z224"/>
    <mergeCell ref="AA222:AC224"/>
    <mergeCell ref="AD222:AE224"/>
    <mergeCell ref="J220:L220"/>
    <mergeCell ref="J221:L221"/>
    <mergeCell ref="A222:F224"/>
    <mergeCell ref="G222:I224"/>
    <mergeCell ref="J222:L222"/>
    <mergeCell ref="M222:N224"/>
    <mergeCell ref="X219:Z221"/>
    <mergeCell ref="AA219:AC221"/>
    <mergeCell ref="AD219:AE221"/>
    <mergeCell ref="AF219:AH221"/>
    <mergeCell ref="AI219:AJ221"/>
    <mergeCell ref="AK219:AM221"/>
    <mergeCell ref="AI225:AJ227"/>
    <mergeCell ref="AK225:AM227"/>
    <mergeCell ref="J226:L226"/>
    <mergeCell ref="J227:L227"/>
    <mergeCell ref="A308:AM308"/>
    <mergeCell ref="B310:K310"/>
    <mergeCell ref="R310:U310"/>
    <mergeCell ref="V310:W310"/>
    <mergeCell ref="X310:AA310"/>
    <mergeCell ref="AB310:AE310"/>
    <mergeCell ref="R225:T227"/>
    <mergeCell ref="U225:W227"/>
    <mergeCell ref="X225:Z227"/>
    <mergeCell ref="AA225:AC227"/>
    <mergeCell ref="AD225:AE227"/>
    <mergeCell ref="AF225:AH227"/>
    <mergeCell ref="AI238:AM238"/>
    <mergeCell ref="A239:L239"/>
    <mergeCell ref="M239:AH239"/>
    <mergeCell ref="AI239:AM240"/>
    <mergeCell ref="A240:L240"/>
    <mergeCell ref="M240:AH240"/>
    <mergeCell ref="AK241:AM243"/>
    <mergeCell ref="A244:F246"/>
    <mergeCell ref="G244:I246"/>
    <mergeCell ref="J244:L244"/>
    <mergeCell ref="M244:N246"/>
    <mergeCell ref="O244:Q246"/>
    <mergeCell ref="R244:T246"/>
    <mergeCell ref="U244:W246"/>
    <mergeCell ref="X244:Z246"/>
    <mergeCell ref="AA244:AC246"/>
    <mergeCell ref="U241:W243"/>
    <mergeCell ref="X241:Z243"/>
    <mergeCell ref="AA241:AC243"/>
    <mergeCell ref="AD241:AE243"/>
    <mergeCell ref="AJ311:AM311"/>
    <mergeCell ref="B312:K312"/>
    <mergeCell ref="L312:N312"/>
    <mergeCell ref="O312:Q312"/>
    <mergeCell ref="R312:U312"/>
    <mergeCell ref="V312:W312"/>
    <mergeCell ref="X312:AA312"/>
    <mergeCell ref="AB312:AE312"/>
    <mergeCell ref="AF312:AI312"/>
    <mergeCell ref="AJ312:AM312"/>
    <mergeCell ref="AF310:AI310"/>
    <mergeCell ref="AJ310:AM310"/>
    <mergeCell ref="B311:K311"/>
    <mergeCell ref="L311:N311"/>
    <mergeCell ref="O311:Q311"/>
    <mergeCell ref="R311:U311"/>
    <mergeCell ref="V311:W311"/>
    <mergeCell ref="X311:AA311"/>
    <mergeCell ref="AB311:AE311"/>
    <mergeCell ref="AF311:AI311"/>
    <mergeCell ref="AF314:AI314"/>
    <mergeCell ref="AJ314:AM314"/>
    <mergeCell ref="B315:K315"/>
    <mergeCell ref="L315:N315"/>
    <mergeCell ref="O315:Q315"/>
    <mergeCell ref="R315:U315"/>
    <mergeCell ref="V315:W315"/>
    <mergeCell ref="X315:AA315"/>
    <mergeCell ref="AB315:AE315"/>
    <mergeCell ref="AF315:AI315"/>
    <mergeCell ref="AB313:AE313"/>
    <mergeCell ref="AF313:AI313"/>
    <mergeCell ref="AJ313:AM313"/>
    <mergeCell ref="B314:K314"/>
    <mergeCell ref="L314:N314"/>
    <mergeCell ref="O314:Q314"/>
    <mergeCell ref="R314:U314"/>
    <mergeCell ref="V314:W314"/>
    <mergeCell ref="X314:AA314"/>
    <mergeCell ref="AB314:AE314"/>
    <mergeCell ref="B313:K313"/>
    <mergeCell ref="L313:N313"/>
    <mergeCell ref="O313:Q313"/>
    <mergeCell ref="R313:U313"/>
    <mergeCell ref="V313:W313"/>
    <mergeCell ref="X313:AA313"/>
    <mergeCell ref="AB317:AE317"/>
    <mergeCell ref="AF317:AI317"/>
    <mergeCell ref="AJ317:AM317"/>
    <mergeCell ref="B318:K318"/>
    <mergeCell ref="L318:N318"/>
    <mergeCell ref="O318:Q318"/>
    <mergeCell ref="R318:U318"/>
    <mergeCell ref="V318:W318"/>
    <mergeCell ref="X318:AA318"/>
    <mergeCell ref="AB318:AE318"/>
    <mergeCell ref="B317:K317"/>
    <mergeCell ref="L317:N317"/>
    <mergeCell ref="O317:Q317"/>
    <mergeCell ref="R317:U317"/>
    <mergeCell ref="V317:W317"/>
    <mergeCell ref="X317:AA317"/>
    <mergeCell ref="AJ315:AM315"/>
    <mergeCell ref="B316:K316"/>
    <mergeCell ref="L316:N316"/>
    <mergeCell ref="O316:Q316"/>
    <mergeCell ref="R316:U316"/>
    <mergeCell ref="V316:W316"/>
    <mergeCell ref="X316:AA316"/>
    <mergeCell ref="AB316:AE316"/>
    <mergeCell ref="AF316:AI316"/>
    <mergeCell ref="AJ316:AM316"/>
    <mergeCell ref="AJ319:AM319"/>
    <mergeCell ref="B320:K320"/>
    <mergeCell ref="L320:N320"/>
    <mergeCell ref="O320:Q320"/>
    <mergeCell ref="R320:U320"/>
    <mergeCell ref="V320:W320"/>
    <mergeCell ref="X320:AA320"/>
    <mergeCell ref="AB320:AE320"/>
    <mergeCell ref="AF320:AI320"/>
    <mergeCell ref="AJ320:AM320"/>
    <mergeCell ref="B321:K321"/>
    <mergeCell ref="L321:N321"/>
    <mergeCell ref="O321:Q321"/>
    <mergeCell ref="R321:U321"/>
    <mergeCell ref="V321:W321"/>
    <mergeCell ref="X321:AA321"/>
    <mergeCell ref="AF318:AI318"/>
    <mergeCell ref="AJ318:AM318"/>
    <mergeCell ref="B319:K319"/>
    <mergeCell ref="L319:N319"/>
    <mergeCell ref="O319:Q319"/>
    <mergeCell ref="R319:U319"/>
    <mergeCell ref="V319:W319"/>
    <mergeCell ref="X319:AA319"/>
    <mergeCell ref="AB319:AE319"/>
    <mergeCell ref="AF319:AI319"/>
    <mergeCell ref="AB321:AE321"/>
    <mergeCell ref="AF321:AI321"/>
    <mergeCell ref="AJ321:AM321"/>
    <mergeCell ref="AF323:AI323"/>
    <mergeCell ref="AJ323:AM323"/>
    <mergeCell ref="B324:K324"/>
    <mergeCell ref="L324:N324"/>
    <mergeCell ref="O324:Q324"/>
    <mergeCell ref="R324:U324"/>
    <mergeCell ref="V324:W324"/>
    <mergeCell ref="X324:AA324"/>
    <mergeCell ref="AB324:AE324"/>
    <mergeCell ref="AF324:AI324"/>
    <mergeCell ref="AB322:AE322"/>
    <mergeCell ref="AF322:AI322"/>
    <mergeCell ref="AJ322:AM322"/>
    <mergeCell ref="B323:K323"/>
    <mergeCell ref="L323:N323"/>
    <mergeCell ref="O323:Q323"/>
    <mergeCell ref="R323:U323"/>
    <mergeCell ref="V323:W323"/>
    <mergeCell ref="X323:AA323"/>
    <mergeCell ref="AB323:AE323"/>
    <mergeCell ref="B322:K322"/>
    <mergeCell ref="L322:N322"/>
    <mergeCell ref="O322:Q322"/>
    <mergeCell ref="R322:U322"/>
    <mergeCell ref="V322:W322"/>
    <mergeCell ref="X322:AA322"/>
    <mergeCell ref="AB326:AE326"/>
    <mergeCell ref="AF326:AI326"/>
    <mergeCell ref="AJ326:AM326"/>
    <mergeCell ref="B327:K327"/>
    <mergeCell ref="L327:N327"/>
    <mergeCell ref="O327:Q327"/>
    <mergeCell ref="R327:U327"/>
    <mergeCell ref="V327:W327"/>
    <mergeCell ref="X327:AA327"/>
    <mergeCell ref="AB327:AE327"/>
    <mergeCell ref="B326:K326"/>
    <mergeCell ref="L326:N326"/>
    <mergeCell ref="O326:Q326"/>
    <mergeCell ref="R326:U326"/>
    <mergeCell ref="V326:W326"/>
    <mergeCell ref="X326:AA326"/>
    <mergeCell ref="AJ324:AM324"/>
    <mergeCell ref="B325:K325"/>
    <mergeCell ref="L325:N325"/>
    <mergeCell ref="O325:Q325"/>
    <mergeCell ref="R325:U325"/>
    <mergeCell ref="V325:W325"/>
    <mergeCell ref="X325:AA325"/>
    <mergeCell ref="AB325:AE325"/>
    <mergeCell ref="AF325:AI325"/>
    <mergeCell ref="AJ325:AM325"/>
    <mergeCell ref="AJ328:AM328"/>
    <mergeCell ref="B329:K329"/>
    <mergeCell ref="L329:N329"/>
    <mergeCell ref="O329:Q329"/>
    <mergeCell ref="R329:U329"/>
    <mergeCell ref="V329:W329"/>
    <mergeCell ref="X329:AA329"/>
    <mergeCell ref="AB329:AE329"/>
    <mergeCell ref="AF329:AI329"/>
    <mergeCell ref="AJ329:AM329"/>
    <mergeCell ref="AF327:AI327"/>
    <mergeCell ref="AJ327:AM327"/>
    <mergeCell ref="B328:K328"/>
    <mergeCell ref="L328:N328"/>
    <mergeCell ref="O328:Q328"/>
    <mergeCell ref="R328:U328"/>
    <mergeCell ref="V328:W328"/>
    <mergeCell ref="X328:AA328"/>
    <mergeCell ref="AB328:AE328"/>
    <mergeCell ref="AF328:AI328"/>
    <mergeCell ref="AF331:AI331"/>
    <mergeCell ref="AJ331:AM331"/>
    <mergeCell ref="B332:K332"/>
    <mergeCell ref="L332:N332"/>
    <mergeCell ref="O332:Q332"/>
    <mergeCell ref="R332:U332"/>
    <mergeCell ref="V332:W332"/>
    <mergeCell ref="X332:AA332"/>
    <mergeCell ref="AB332:AE332"/>
    <mergeCell ref="AF332:AI332"/>
    <mergeCell ref="AB330:AE330"/>
    <mergeCell ref="AF330:AI330"/>
    <mergeCell ref="AJ330:AM330"/>
    <mergeCell ref="B331:K331"/>
    <mergeCell ref="L331:N331"/>
    <mergeCell ref="O331:Q331"/>
    <mergeCell ref="R331:U331"/>
    <mergeCell ref="V331:W331"/>
    <mergeCell ref="X331:AA331"/>
    <mergeCell ref="AB331:AE331"/>
    <mergeCell ref="B330:K330"/>
    <mergeCell ref="L330:N330"/>
    <mergeCell ref="O330:Q330"/>
    <mergeCell ref="R330:U330"/>
    <mergeCell ref="V330:W330"/>
    <mergeCell ref="X330:AA330"/>
    <mergeCell ref="AB334:AE334"/>
    <mergeCell ref="AF334:AI334"/>
    <mergeCell ref="AJ334:AM334"/>
    <mergeCell ref="B335:K335"/>
    <mergeCell ref="L335:N335"/>
    <mergeCell ref="O335:Q335"/>
    <mergeCell ref="R335:U335"/>
    <mergeCell ref="V335:W335"/>
    <mergeCell ref="X335:AA335"/>
    <mergeCell ref="AB335:AE335"/>
    <mergeCell ref="B334:K334"/>
    <mergeCell ref="L334:N334"/>
    <mergeCell ref="O334:Q334"/>
    <mergeCell ref="R334:U334"/>
    <mergeCell ref="V334:W334"/>
    <mergeCell ref="X334:AA334"/>
    <mergeCell ref="AJ332:AM332"/>
    <mergeCell ref="B333:K333"/>
    <mergeCell ref="L333:N333"/>
    <mergeCell ref="O333:Q333"/>
    <mergeCell ref="R333:U333"/>
    <mergeCell ref="V333:W333"/>
    <mergeCell ref="X333:AA333"/>
    <mergeCell ref="AB333:AE333"/>
    <mergeCell ref="AF333:AI333"/>
    <mergeCell ref="AJ333:AM333"/>
    <mergeCell ref="AF340:AI340"/>
    <mergeCell ref="AJ340:AM340"/>
    <mergeCell ref="B341:K341"/>
    <mergeCell ref="L341:N341"/>
    <mergeCell ref="O341:Q341"/>
    <mergeCell ref="R341:U341"/>
    <mergeCell ref="V341:W341"/>
    <mergeCell ref="X341:AA341"/>
    <mergeCell ref="AB341:AE341"/>
    <mergeCell ref="AF341:AI341"/>
    <mergeCell ref="AB338:AE338"/>
    <mergeCell ref="AF338:AI338"/>
    <mergeCell ref="AJ338:AM338"/>
    <mergeCell ref="B340:K340"/>
    <mergeCell ref="L340:N340"/>
    <mergeCell ref="O340:Q340"/>
    <mergeCell ref="R340:U340"/>
    <mergeCell ref="V340:W340"/>
    <mergeCell ref="X340:AA340"/>
    <mergeCell ref="AB340:AE340"/>
    <mergeCell ref="B338:K338"/>
    <mergeCell ref="L338:N338"/>
    <mergeCell ref="O338:Q338"/>
    <mergeCell ref="R338:U338"/>
    <mergeCell ref="V338:W338"/>
    <mergeCell ref="X338:AA338"/>
    <mergeCell ref="B339:K339"/>
    <mergeCell ref="L339:N339"/>
    <mergeCell ref="O339:Q339"/>
    <mergeCell ref="R339:U339"/>
    <mergeCell ref="V339:W339"/>
    <mergeCell ref="X339:AA339"/>
    <mergeCell ref="AB343:AE343"/>
    <mergeCell ref="AF343:AI343"/>
    <mergeCell ref="AJ343:AM343"/>
    <mergeCell ref="B344:K344"/>
    <mergeCell ref="L344:N344"/>
    <mergeCell ref="O344:Q344"/>
    <mergeCell ref="R344:U344"/>
    <mergeCell ref="V344:W344"/>
    <mergeCell ref="X344:AA344"/>
    <mergeCell ref="AB344:AE344"/>
    <mergeCell ref="B343:K343"/>
    <mergeCell ref="L343:N343"/>
    <mergeCell ref="O343:Q343"/>
    <mergeCell ref="R343:U343"/>
    <mergeCell ref="V343:W343"/>
    <mergeCell ref="X343:AA343"/>
    <mergeCell ref="AJ341:AM341"/>
    <mergeCell ref="B342:K342"/>
    <mergeCell ref="L342:N342"/>
    <mergeCell ref="O342:Q342"/>
    <mergeCell ref="R342:U342"/>
    <mergeCell ref="V342:W342"/>
    <mergeCell ref="X342:AA342"/>
    <mergeCell ref="AB342:AE342"/>
    <mergeCell ref="AF342:AI342"/>
    <mergeCell ref="AJ342:AM342"/>
    <mergeCell ref="AJ345:AM345"/>
    <mergeCell ref="B346:K346"/>
    <mergeCell ref="L346:N346"/>
    <mergeCell ref="O346:Q346"/>
    <mergeCell ref="R346:U346"/>
    <mergeCell ref="V346:W346"/>
    <mergeCell ref="X346:AA346"/>
    <mergeCell ref="AB346:AE346"/>
    <mergeCell ref="AF346:AI346"/>
    <mergeCell ref="AJ346:AM346"/>
    <mergeCell ref="AF344:AI344"/>
    <mergeCell ref="AJ344:AM344"/>
    <mergeCell ref="B345:K345"/>
    <mergeCell ref="L345:N345"/>
    <mergeCell ref="O345:Q345"/>
    <mergeCell ref="R345:U345"/>
    <mergeCell ref="V345:W345"/>
    <mergeCell ref="X345:AA345"/>
    <mergeCell ref="AB345:AE345"/>
    <mergeCell ref="AF345:AI345"/>
    <mergeCell ref="AF348:AI348"/>
    <mergeCell ref="AJ348:AM348"/>
    <mergeCell ref="A232:G233"/>
    <mergeCell ref="H232:AM233"/>
    <mergeCell ref="A234:G235"/>
    <mergeCell ref="H234:V235"/>
    <mergeCell ref="W234:Z235"/>
    <mergeCell ref="AA234:AM235"/>
    <mergeCell ref="A238:L238"/>
    <mergeCell ref="M238:AH238"/>
    <mergeCell ref="AB347:AE347"/>
    <mergeCell ref="AF347:AI347"/>
    <mergeCell ref="AJ347:AM347"/>
    <mergeCell ref="B348:K348"/>
    <mergeCell ref="L348:N348"/>
    <mergeCell ref="O348:Q348"/>
    <mergeCell ref="R348:U348"/>
    <mergeCell ref="V348:W348"/>
    <mergeCell ref="X348:AA348"/>
    <mergeCell ref="AB348:AE348"/>
    <mergeCell ref="B347:K347"/>
    <mergeCell ref="L347:N347"/>
    <mergeCell ref="O347:Q347"/>
    <mergeCell ref="R347:U347"/>
    <mergeCell ref="V347:W347"/>
    <mergeCell ref="X347:AA347"/>
    <mergeCell ref="AD244:AE246"/>
    <mergeCell ref="AF244:AH246"/>
    <mergeCell ref="AI244:AJ246"/>
    <mergeCell ref="AK244:AM246"/>
    <mergeCell ref="J245:L245"/>
    <mergeCell ref="J246:L246"/>
    <mergeCell ref="AF241:AH243"/>
    <mergeCell ref="AI241:AJ243"/>
    <mergeCell ref="A241:F243"/>
    <mergeCell ref="G241:I243"/>
    <mergeCell ref="J241:L243"/>
    <mergeCell ref="M241:N243"/>
    <mergeCell ref="O241:Q243"/>
    <mergeCell ref="R241:T243"/>
    <mergeCell ref="AK247:AM249"/>
    <mergeCell ref="J248:L248"/>
    <mergeCell ref="J249:L249"/>
    <mergeCell ref="A250:F252"/>
    <mergeCell ref="G250:I252"/>
    <mergeCell ref="J250:L250"/>
    <mergeCell ref="M250:N252"/>
    <mergeCell ref="O250:Q252"/>
    <mergeCell ref="R250:T252"/>
    <mergeCell ref="U250:W252"/>
    <mergeCell ref="U247:W249"/>
    <mergeCell ref="X247:Z249"/>
    <mergeCell ref="AA247:AC249"/>
    <mergeCell ref="AD247:AE249"/>
    <mergeCell ref="AF247:AH249"/>
    <mergeCell ref="AI247:AJ249"/>
    <mergeCell ref="A247:F249"/>
    <mergeCell ref="G247:I249"/>
    <mergeCell ref="J247:L247"/>
    <mergeCell ref="M247:N249"/>
    <mergeCell ref="O247:Q249"/>
    <mergeCell ref="R247:T249"/>
    <mergeCell ref="AF253:AH255"/>
    <mergeCell ref="AI253:AJ255"/>
    <mergeCell ref="AK253:AM255"/>
    <mergeCell ref="J254:L254"/>
    <mergeCell ref="J255:L255"/>
    <mergeCell ref="A256:F258"/>
    <mergeCell ref="G256:I258"/>
    <mergeCell ref="J256:L256"/>
    <mergeCell ref="M256:N258"/>
    <mergeCell ref="O256:Q258"/>
    <mergeCell ref="O253:Q255"/>
    <mergeCell ref="R253:T255"/>
    <mergeCell ref="U253:W255"/>
    <mergeCell ref="X253:Z255"/>
    <mergeCell ref="AA253:AC255"/>
    <mergeCell ref="AD253:AE255"/>
    <mergeCell ref="J251:L251"/>
    <mergeCell ref="J252:L252"/>
    <mergeCell ref="A253:F255"/>
    <mergeCell ref="G253:I255"/>
    <mergeCell ref="J253:L253"/>
    <mergeCell ref="M253:N255"/>
    <mergeCell ref="X250:Z252"/>
    <mergeCell ref="AA250:AC252"/>
    <mergeCell ref="AD250:AE252"/>
    <mergeCell ref="AF250:AH252"/>
    <mergeCell ref="AI250:AJ252"/>
    <mergeCell ref="AK250:AM252"/>
    <mergeCell ref="AK259:AM261"/>
    <mergeCell ref="J260:L260"/>
    <mergeCell ref="J261:L261"/>
    <mergeCell ref="A262:F264"/>
    <mergeCell ref="G262:I264"/>
    <mergeCell ref="J262:L262"/>
    <mergeCell ref="M262:N264"/>
    <mergeCell ref="O262:Q264"/>
    <mergeCell ref="R262:T264"/>
    <mergeCell ref="U262:W264"/>
    <mergeCell ref="U259:W261"/>
    <mergeCell ref="X259:Z261"/>
    <mergeCell ref="AA259:AC261"/>
    <mergeCell ref="AD259:AE261"/>
    <mergeCell ref="AF259:AH261"/>
    <mergeCell ref="AI259:AJ261"/>
    <mergeCell ref="AI256:AJ258"/>
    <mergeCell ref="AK256:AM258"/>
    <mergeCell ref="J257:L257"/>
    <mergeCell ref="J258:L258"/>
    <mergeCell ref="A259:F261"/>
    <mergeCell ref="G259:I261"/>
    <mergeCell ref="J259:L259"/>
    <mergeCell ref="M259:N261"/>
    <mergeCell ref="O259:Q261"/>
    <mergeCell ref="R259:T261"/>
    <mergeCell ref="R256:T258"/>
    <mergeCell ref="U256:W258"/>
    <mergeCell ref="X256:Z258"/>
    <mergeCell ref="AA256:AC258"/>
    <mergeCell ref="AD256:AE258"/>
    <mergeCell ref="AF256:AH258"/>
    <mergeCell ref="AF265:AH267"/>
    <mergeCell ref="AI265:AJ267"/>
    <mergeCell ref="AK265:AM267"/>
    <mergeCell ref="J266:L266"/>
    <mergeCell ref="J267:L267"/>
    <mergeCell ref="A268:F270"/>
    <mergeCell ref="G268:I270"/>
    <mergeCell ref="J268:L268"/>
    <mergeCell ref="M268:N270"/>
    <mergeCell ref="O268:Q270"/>
    <mergeCell ref="O265:Q267"/>
    <mergeCell ref="R265:T267"/>
    <mergeCell ref="U265:W267"/>
    <mergeCell ref="X265:Z267"/>
    <mergeCell ref="AA265:AC267"/>
    <mergeCell ref="AD265:AE267"/>
    <mergeCell ref="J263:L263"/>
    <mergeCell ref="J264:L264"/>
    <mergeCell ref="A265:F267"/>
    <mergeCell ref="G265:I267"/>
    <mergeCell ref="J265:L265"/>
    <mergeCell ref="M265:N267"/>
    <mergeCell ref="X262:Z264"/>
    <mergeCell ref="AA262:AC264"/>
    <mergeCell ref="AD262:AE264"/>
    <mergeCell ref="AF262:AH264"/>
    <mergeCell ref="AI262:AJ264"/>
    <mergeCell ref="AK262:AM264"/>
    <mergeCell ref="A273:L273"/>
    <mergeCell ref="M273:AH273"/>
    <mergeCell ref="AI273:AM274"/>
    <mergeCell ref="A274:L274"/>
    <mergeCell ref="M274:AH274"/>
    <mergeCell ref="A275:F277"/>
    <mergeCell ref="G275:I277"/>
    <mergeCell ref="J275:L277"/>
    <mergeCell ref="M275:N277"/>
    <mergeCell ref="O275:Q277"/>
    <mergeCell ref="AI268:AJ270"/>
    <mergeCell ref="AK268:AM270"/>
    <mergeCell ref="J269:L269"/>
    <mergeCell ref="J270:L270"/>
    <mergeCell ref="A272:L272"/>
    <mergeCell ref="M272:AH272"/>
    <mergeCell ref="AI272:AM272"/>
    <mergeCell ref="R268:T270"/>
    <mergeCell ref="U268:W270"/>
    <mergeCell ref="X268:Z270"/>
    <mergeCell ref="AA268:AC270"/>
    <mergeCell ref="AD268:AE270"/>
    <mergeCell ref="AF268:AH270"/>
    <mergeCell ref="O281:Q283"/>
    <mergeCell ref="R281:T283"/>
    <mergeCell ref="AA278:AC280"/>
    <mergeCell ref="AD278:AE280"/>
    <mergeCell ref="AF278:AH280"/>
    <mergeCell ref="AI278:AJ280"/>
    <mergeCell ref="AK278:AM280"/>
    <mergeCell ref="J279:L279"/>
    <mergeCell ref="J280:L280"/>
    <mergeCell ref="AI275:AJ277"/>
    <mergeCell ref="AK275:AM277"/>
    <mergeCell ref="A278:F280"/>
    <mergeCell ref="G278:I280"/>
    <mergeCell ref="J278:L278"/>
    <mergeCell ref="M278:N280"/>
    <mergeCell ref="O278:Q280"/>
    <mergeCell ref="R278:T280"/>
    <mergeCell ref="U278:W280"/>
    <mergeCell ref="X278:Z280"/>
    <mergeCell ref="R275:T277"/>
    <mergeCell ref="U275:W277"/>
    <mergeCell ref="X275:Z277"/>
    <mergeCell ref="AA275:AC277"/>
    <mergeCell ref="AD275:AE277"/>
    <mergeCell ref="AF275:AH277"/>
    <mergeCell ref="J285:L285"/>
    <mergeCell ref="J286:L286"/>
    <mergeCell ref="A287:F289"/>
    <mergeCell ref="G287:I289"/>
    <mergeCell ref="J287:L287"/>
    <mergeCell ref="M287:N289"/>
    <mergeCell ref="X284:Z286"/>
    <mergeCell ref="AA284:AC286"/>
    <mergeCell ref="AD284:AE286"/>
    <mergeCell ref="AF284:AH286"/>
    <mergeCell ref="AI284:AJ286"/>
    <mergeCell ref="AK284:AM286"/>
    <mergeCell ref="AK281:AM283"/>
    <mergeCell ref="J282:L282"/>
    <mergeCell ref="J283:L283"/>
    <mergeCell ref="A284:F286"/>
    <mergeCell ref="G284:I286"/>
    <mergeCell ref="J284:L284"/>
    <mergeCell ref="M284:N286"/>
    <mergeCell ref="O284:Q286"/>
    <mergeCell ref="R284:T286"/>
    <mergeCell ref="U284:W286"/>
    <mergeCell ref="U281:W283"/>
    <mergeCell ref="X281:Z283"/>
    <mergeCell ref="AA281:AC283"/>
    <mergeCell ref="AD281:AE283"/>
    <mergeCell ref="AF281:AH283"/>
    <mergeCell ref="AI281:AJ283"/>
    <mergeCell ref="A281:F283"/>
    <mergeCell ref="G281:I283"/>
    <mergeCell ref="J281:L281"/>
    <mergeCell ref="M281:N283"/>
    <mergeCell ref="AI290:AJ292"/>
    <mergeCell ref="AK290:AM292"/>
    <mergeCell ref="J291:L291"/>
    <mergeCell ref="J292:L292"/>
    <mergeCell ref="A293:F295"/>
    <mergeCell ref="G293:I295"/>
    <mergeCell ref="J293:L293"/>
    <mergeCell ref="M293:N295"/>
    <mergeCell ref="O293:Q295"/>
    <mergeCell ref="R293:T295"/>
    <mergeCell ref="R290:T292"/>
    <mergeCell ref="U290:W292"/>
    <mergeCell ref="X290:Z292"/>
    <mergeCell ref="AA290:AC292"/>
    <mergeCell ref="AD290:AE292"/>
    <mergeCell ref="AF290:AH292"/>
    <mergeCell ref="AF287:AH289"/>
    <mergeCell ref="AI287:AJ289"/>
    <mergeCell ref="AK287:AM289"/>
    <mergeCell ref="J288:L288"/>
    <mergeCell ref="J289:L289"/>
    <mergeCell ref="A290:F292"/>
    <mergeCell ref="G290:I292"/>
    <mergeCell ref="J290:L290"/>
    <mergeCell ref="M290:N292"/>
    <mergeCell ref="O290:Q292"/>
    <mergeCell ref="O287:Q289"/>
    <mergeCell ref="R287:T289"/>
    <mergeCell ref="U287:W289"/>
    <mergeCell ref="X287:Z289"/>
    <mergeCell ref="AA287:AC289"/>
    <mergeCell ref="AD287:AE289"/>
    <mergeCell ref="J297:L297"/>
    <mergeCell ref="J298:L298"/>
    <mergeCell ref="A299:F301"/>
    <mergeCell ref="G299:I301"/>
    <mergeCell ref="J299:L299"/>
    <mergeCell ref="M299:N301"/>
    <mergeCell ref="X296:Z298"/>
    <mergeCell ref="AA296:AC298"/>
    <mergeCell ref="AD296:AE298"/>
    <mergeCell ref="AF296:AH298"/>
    <mergeCell ref="AI296:AJ298"/>
    <mergeCell ref="AK296:AM298"/>
    <mergeCell ref="AK293:AM295"/>
    <mergeCell ref="J294:L294"/>
    <mergeCell ref="J295:L295"/>
    <mergeCell ref="A296:F298"/>
    <mergeCell ref="G296:I298"/>
    <mergeCell ref="J296:L296"/>
    <mergeCell ref="M296:N298"/>
    <mergeCell ref="O296:Q298"/>
    <mergeCell ref="R296:T298"/>
    <mergeCell ref="U296:W298"/>
    <mergeCell ref="U293:W295"/>
    <mergeCell ref="X293:Z295"/>
    <mergeCell ref="AA293:AC295"/>
    <mergeCell ref="AD293:AE295"/>
    <mergeCell ref="AF293:AH295"/>
    <mergeCell ref="AI293:AJ295"/>
    <mergeCell ref="AI302:AJ304"/>
    <mergeCell ref="AK302:AM304"/>
    <mergeCell ref="J303:L303"/>
    <mergeCell ref="J304:L304"/>
    <mergeCell ref="R302:T304"/>
    <mergeCell ref="U302:W304"/>
    <mergeCell ref="X302:Z304"/>
    <mergeCell ref="AA302:AC304"/>
    <mergeCell ref="AD302:AE304"/>
    <mergeCell ref="AF302:AH304"/>
    <mergeCell ref="AF299:AH301"/>
    <mergeCell ref="AI299:AJ301"/>
    <mergeCell ref="AK299:AM301"/>
    <mergeCell ref="J300:L300"/>
    <mergeCell ref="J301:L301"/>
    <mergeCell ref="A302:F304"/>
    <mergeCell ref="G302:I304"/>
    <mergeCell ref="J302:L302"/>
    <mergeCell ref="M302:N304"/>
    <mergeCell ref="O302:Q304"/>
    <mergeCell ref="O299:Q301"/>
    <mergeCell ref="R299:T301"/>
    <mergeCell ref="U299:W301"/>
    <mergeCell ref="X299:Z301"/>
    <mergeCell ref="AA299:AC301"/>
    <mergeCell ref="AD299:AE301"/>
    <mergeCell ref="AI138:AM138"/>
    <mergeCell ref="A139:L139"/>
    <mergeCell ref="M139:AH139"/>
    <mergeCell ref="AI139:AM140"/>
    <mergeCell ref="A140:L140"/>
    <mergeCell ref="M140:AH140"/>
    <mergeCell ref="A141:F143"/>
    <mergeCell ref="G141:I143"/>
    <mergeCell ref="J141:L143"/>
    <mergeCell ref="M141:N143"/>
    <mergeCell ref="O141:Q143"/>
    <mergeCell ref="R141:T143"/>
    <mergeCell ref="U141:W143"/>
    <mergeCell ref="X141:Z143"/>
    <mergeCell ref="AA141:AC143"/>
    <mergeCell ref="AD141:AE143"/>
    <mergeCell ref="AF141:AH143"/>
    <mergeCell ref="AI141:AJ143"/>
    <mergeCell ref="AK141:AM143"/>
    <mergeCell ref="A144:F146"/>
    <mergeCell ref="G144:I146"/>
    <mergeCell ref="J144:L144"/>
    <mergeCell ref="M144:N146"/>
    <mergeCell ref="O144:Q146"/>
    <mergeCell ref="R144:T146"/>
    <mergeCell ref="U144:W146"/>
    <mergeCell ref="X144:Z146"/>
    <mergeCell ref="AA144:AC146"/>
    <mergeCell ref="AD144:AE146"/>
    <mergeCell ref="AF144:AH146"/>
    <mergeCell ref="AI144:AJ146"/>
    <mergeCell ref="AK144:AM146"/>
    <mergeCell ref="J145:L145"/>
    <mergeCell ref="J146:L146"/>
    <mergeCell ref="A147:F149"/>
    <mergeCell ref="G147:I149"/>
    <mergeCell ref="J147:L147"/>
    <mergeCell ref="M147:N149"/>
    <mergeCell ref="O147:Q149"/>
    <mergeCell ref="R147:T149"/>
    <mergeCell ref="U147:W149"/>
    <mergeCell ref="X147:Z149"/>
    <mergeCell ref="AA147:AC149"/>
    <mergeCell ref="AD147:AE149"/>
    <mergeCell ref="AF147:AH149"/>
    <mergeCell ref="AI147:AJ149"/>
    <mergeCell ref="AK147:AM149"/>
    <mergeCell ref="J148:L148"/>
    <mergeCell ref="J149:L149"/>
    <mergeCell ref="A150:F152"/>
    <mergeCell ref="G150:I152"/>
    <mergeCell ref="J150:L150"/>
    <mergeCell ref="M150:N152"/>
    <mergeCell ref="O150:Q152"/>
    <mergeCell ref="R150:T152"/>
    <mergeCell ref="U150:W152"/>
    <mergeCell ref="X150:Z152"/>
    <mergeCell ref="AA150:AC152"/>
    <mergeCell ref="AD150:AE152"/>
    <mergeCell ref="AF150:AH152"/>
    <mergeCell ref="AI150:AJ152"/>
    <mergeCell ref="AK150:AM152"/>
    <mergeCell ref="J151:L151"/>
    <mergeCell ref="J152:L152"/>
    <mergeCell ref="A153:F155"/>
    <mergeCell ref="G153:I155"/>
    <mergeCell ref="J153:L153"/>
    <mergeCell ref="M153:N155"/>
    <mergeCell ref="O153:Q155"/>
    <mergeCell ref="R153:T155"/>
    <mergeCell ref="U153:W155"/>
    <mergeCell ref="X153:Z155"/>
    <mergeCell ref="AA153:AC155"/>
    <mergeCell ref="AD153:AE155"/>
    <mergeCell ref="AF153:AH155"/>
    <mergeCell ref="AI153:AJ155"/>
    <mergeCell ref="AK153:AM155"/>
    <mergeCell ref="J154:L154"/>
    <mergeCell ref="J155:L155"/>
    <mergeCell ref="A156:F158"/>
    <mergeCell ref="G156:I158"/>
    <mergeCell ref="J156:L156"/>
    <mergeCell ref="M156:N158"/>
    <mergeCell ref="O156:Q158"/>
    <mergeCell ref="R156:T158"/>
    <mergeCell ref="U156:W158"/>
    <mergeCell ref="X156:Z158"/>
    <mergeCell ref="AA156:AC158"/>
    <mergeCell ref="AD156:AE158"/>
    <mergeCell ref="AF156:AH158"/>
    <mergeCell ref="AI156:AJ158"/>
    <mergeCell ref="AK156:AM158"/>
    <mergeCell ref="J157:L157"/>
    <mergeCell ref="J158:L158"/>
    <mergeCell ref="A159:F161"/>
    <mergeCell ref="G159:I161"/>
    <mergeCell ref="J159:L159"/>
    <mergeCell ref="M159:N161"/>
    <mergeCell ref="O159:Q161"/>
    <mergeCell ref="R159:T161"/>
    <mergeCell ref="U159:W161"/>
    <mergeCell ref="X159:Z161"/>
    <mergeCell ref="AA159:AC161"/>
    <mergeCell ref="AD159:AE161"/>
    <mergeCell ref="AF159:AH161"/>
    <mergeCell ref="AI159:AJ161"/>
    <mergeCell ref="AK159:AM161"/>
    <mergeCell ref="J160:L160"/>
    <mergeCell ref="J161:L161"/>
    <mergeCell ref="J162:L162"/>
    <mergeCell ref="M162:N164"/>
    <mergeCell ref="O162:Q164"/>
    <mergeCell ref="R162:T164"/>
    <mergeCell ref="U162:W164"/>
    <mergeCell ref="X162:Z164"/>
    <mergeCell ref="AA162:AC164"/>
    <mergeCell ref="AD162:AE164"/>
    <mergeCell ref="AF162:AH164"/>
    <mergeCell ref="AI162:AJ164"/>
    <mergeCell ref="AK162:AM164"/>
    <mergeCell ref="J163:L163"/>
    <mergeCell ref="J164:L164"/>
    <mergeCell ref="A165:F167"/>
    <mergeCell ref="G165:I167"/>
    <mergeCell ref="J165:L165"/>
    <mergeCell ref="M165:N167"/>
    <mergeCell ref="O165:Q167"/>
    <mergeCell ref="R165:T167"/>
    <mergeCell ref="U165:W167"/>
    <mergeCell ref="X165:Z167"/>
    <mergeCell ref="AA165:AC167"/>
    <mergeCell ref="AD165:AE167"/>
    <mergeCell ref="AF165:AH167"/>
    <mergeCell ref="AI165:AJ167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R168:T170"/>
    <mergeCell ref="U168:W170"/>
    <mergeCell ref="X168:Z170"/>
    <mergeCell ref="AA168:AC170"/>
    <mergeCell ref="AD168:AE170"/>
    <mergeCell ref="AF168:AH170"/>
    <mergeCell ref="AI168:AJ170"/>
    <mergeCell ref="AK168:AM170"/>
    <mergeCell ref="J169:L169"/>
    <mergeCell ref="J170:L170"/>
    <mergeCell ref="AI117:AM117"/>
    <mergeCell ref="A118:L118"/>
    <mergeCell ref="M118:AH118"/>
    <mergeCell ref="AI118:AM119"/>
    <mergeCell ref="A119:L119"/>
    <mergeCell ref="M119:AH119"/>
    <mergeCell ref="A120:F122"/>
    <mergeCell ref="G120:I122"/>
    <mergeCell ref="J120:L122"/>
    <mergeCell ref="M120:N122"/>
    <mergeCell ref="O120:Q122"/>
    <mergeCell ref="R120:T122"/>
    <mergeCell ref="U120:W122"/>
    <mergeCell ref="X120:Z122"/>
    <mergeCell ref="AA120:AC122"/>
    <mergeCell ref="A162:F164"/>
    <mergeCell ref="G162:I164"/>
    <mergeCell ref="AD120:AE122"/>
    <mergeCell ref="AF120:AH122"/>
    <mergeCell ref="AI120:AJ122"/>
    <mergeCell ref="AK120:AM122"/>
    <mergeCell ref="A123:F125"/>
    <mergeCell ref="G123:I125"/>
    <mergeCell ref="J123:L123"/>
    <mergeCell ref="M123:N125"/>
    <mergeCell ref="O123:Q125"/>
    <mergeCell ref="R123:T125"/>
    <mergeCell ref="U123:W125"/>
    <mergeCell ref="X123:Z125"/>
    <mergeCell ref="AA123:AC125"/>
    <mergeCell ref="AD123:AE125"/>
    <mergeCell ref="AF123:AH125"/>
    <mergeCell ref="AI123:AJ125"/>
    <mergeCell ref="AK123:AM125"/>
    <mergeCell ref="J124:L124"/>
    <mergeCell ref="J125:L125"/>
    <mergeCell ref="AI176:AJ178"/>
    <mergeCell ref="AK176:AM178"/>
    <mergeCell ref="A126:F128"/>
    <mergeCell ref="G126:I128"/>
    <mergeCell ref="J126:L126"/>
    <mergeCell ref="M126:N128"/>
    <mergeCell ref="O126:Q128"/>
    <mergeCell ref="R126:T128"/>
    <mergeCell ref="U126:W128"/>
    <mergeCell ref="X126:Z128"/>
    <mergeCell ref="AA126:AC128"/>
    <mergeCell ref="AD126:AE128"/>
    <mergeCell ref="AF126:AH128"/>
    <mergeCell ref="AI126:AJ128"/>
    <mergeCell ref="AK126:AM128"/>
    <mergeCell ref="J127:L127"/>
    <mergeCell ref="J128:L128"/>
    <mergeCell ref="A129:F131"/>
    <mergeCell ref="G129:I131"/>
    <mergeCell ref="J129:L129"/>
    <mergeCell ref="M129:N131"/>
    <mergeCell ref="O129:Q131"/>
    <mergeCell ref="R129:T131"/>
    <mergeCell ref="U129:W131"/>
    <mergeCell ref="X129:Z131"/>
    <mergeCell ref="AA129:AC131"/>
    <mergeCell ref="AD129:AE131"/>
    <mergeCell ref="AF129:AH131"/>
    <mergeCell ref="AI129:AJ131"/>
    <mergeCell ref="AK129:AM131"/>
    <mergeCell ref="J130:L130"/>
    <mergeCell ref="J131:L131"/>
    <mergeCell ref="A182:F184"/>
    <mergeCell ref="G182:I184"/>
    <mergeCell ref="J182:L182"/>
    <mergeCell ref="M182:N184"/>
    <mergeCell ref="O182:Q184"/>
    <mergeCell ref="R182:T184"/>
    <mergeCell ref="U182:W184"/>
    <mergeCell ref="X182:Z184"/>
    <mergeCell ref="AA182:AC184"/>
    <mergeCell ref="AD182:AE184"/>
    <mergeCell ref="AF182:AH184"/>
    <mergeCell ref="AI182:AJ184"/>
    <mergeCell ref="AK182:AM184"/>
    <mergeCell ref="J183:L183"/>
    <mergeCell ref="J184:L184"/>
    <mergeCell ref="AI173:AM173"/>
    <mergeCell ref="A174:L174"/>
    <mergeCell ref="M174:AH174"/>
    <mergeCell ref="AI174:AM175"/>
    <mergeCell ref="A175:L175"/>
    <mergeCell ref="M175:AH175"/>
    <mergeCell ref="A176:F178"/>
    <mergeCell ref="G176:I178"/>
    <mergeCell ref="J176:L178"/>
    <mergeCell ref="M176:N178"/>
    <mergeCell ref="O176:Q178"/>
    <mergeCell ref="R176:T178"/>
    <mergeCell ref="U176:W178"/>
    <mergeCell ref="X176:Z178"/>
    <mergeCell ref="AA176:AC178"/>
    <mergeCell ref="AD176:AE178"/>
    <mergeCell ref="AF176:AH178"/>
    <mergeCell ref="A117:AH117"/>
    <mergeCell ref="A173:AH173"/>
    <mergeCell ref="A185:F187"/>
    <mergeCell ref="G185:I187"/>
    <mergeCell ref="J185:L185"/>
    <mergeCell ref="M185:N187"/>
    <mergeCell ref="O185:Q187"/>
    <mergeCell ref="R185:T187"/>
    <mergeCell ref="U185:W187"/>
    <mergeCell ref="X185:Z187"/>
    <mergeCell ref="AA185:AC187"/>
    <mergeCell ref="AD185:AE187"/>
    <mergeCell ref="AF185:AH187"/>
    <mergeCell ref="AI185:AJ187"/>
    <mergeCell ref="AK185:AM187"/>
    <mergeCell ref="J186:L186"/>
    <mergeCell ref="J187:L187"/>
    <mergeCell ref="A179:F181"/>
    <mergeCell ref="G179:I181"/>
    <mergeCell ref="J179:L179"/>
    <mergeCell ref="M179:N181"/>
    <mergeCell ref="O179:Q181"/>
    <mergeCell ref="R179:T181"/>
    <mergeCell ref="U179:W181"/>
    <mergeCell ref="X179:Z181"/>
    <mergeCell ref="AA179:AC181"/>
    <mergeCell ref="AD179:AE181"/>
    <mergeCell ref="AF179:AH181"/>
    <mergeCell ref="AI179:AJ181"/>
    <mergeCell ref="AK179:AM181"/>
    <mergeCell ref="J180:L180"/>
    <mergeCell ref="J181:L181"/>
    <mergeCell ref="AB339:AE339"/>
    <mergeCell ref="AF339:AI339"/>
    <mergeCell ref="AJ339:AM339"/>
    <mergeCell ref="AJ336:AM336"/>
    <mergeCell ref="B337:K337"/>
    <mergeCell ref="L337:N337"/>
    <mergeCell ref="O337:Q337"/>
    <mergeCell ref="R337:U337"/>
    <mergeCell ref="V337:W337"/>
    <mergeCell ref="X337:AA337"/>
    <mergeCell ref="AB337:AE337"/>
    <mergeCell ref="AF337:AI337"/>
    <mergeCell ref="AJ337:AM337"/>
    <mergeCell ref="AF335:AI335"/>
    <mergeCell ref="AJ335:AM335"/>
    <mergeCell ref="B336:K336"/>
    <mergeCell ref="L336:N336"/>
    <mergeCell ref="O336:Q336"/>
    <mergeCell ref="R336:U336"/>
    <mergeCell ref="V336:W336"/>
    <mergeCell ref="X336:AA336"/>
    <mergeCell ref="AB336:AE336"/>
    <mergeCell ref="AF336:AI336"/>
  </mergeCells>
  <hyperlinks>
    <hyperlink ref="G11" r:id="rId1" xr:uid="{B56F7B9B-C720-6A40-BE19-45BC312447CE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7E13-8B70-C44A-9B87-766C3DA64781}">
  <dimension ref="A1:AM333"/>
  <sheetViews>
    <sheetView view="pageLayout" zoomScaleNormal="100" workbookViewId="0">
      <selection activeCell="AE29" sqref="AE29"/>
    </sheetView>
  </sheetViews>
  <sheetFormatPr defaultColWidth="10.625" defaultRowHeight="15.75"/>
  <cols>
    <col min="1" max="5" width="2.375" customWidth="1"/>
    <col min="6" max="6" width="0.125" customWidth="1"/>
    <col min="7" max="19" width="2.375" customWidth="1"/>
    <col min="20" max="20" width="3.25" customWidth="1"/>
    <col min="21" max="22" width="2.375" customWidth="1"/>
    <col min="23" max="23" width="2.625" customWidth="1"/>
    <col min="24" max="25" width="2.375" customWidth="1"/>
    <col min="26" max="26" width="3.125" customWidth="1"/>
    <col min="2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NRE Sibiu Shopping City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nr.50,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RO20795661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J40/1471/2007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RO89 RZBR 0000 0600 1873 4632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20/28.02.2024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41/28.02.2024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18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AB332</f>
        <v>470820.21000000008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AF332</f>
        <v>89455.83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AJ332</f>
        <v>560276.03999999992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560276.03999999992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R295+R309+R310+R313</f>
        <v>500600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1.1192090291650019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 ht="25.5" customHeight="1">
      <c r="A26" s="246"/>
      <c r="B26" s="246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247"/>
      <c r="AD26" s="247"/>
      <c r="AE26" s="247"/>
      <c r="AF26" s="247"/>
      <c r="AG26" s="247"/>
      <c r="AH26" s="247"/>
      <c r="AI26" s="247"/>
      <c r="AJ26" s="247"/>
      <c r="AK26" s="55"/>
      <c r="AL26" s="55"/>
      <c r="AM26" s="55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</row>
    <row r="30" spans="1:39" ht="14.1" customHeight="1">
      <c r="A30" s="695" t="s">
        <v>858</v>
      </c>
      <c r="B30" s="695"/>
      <c r="C30" s="695"/>
      <c r="D30" s="695"/>
      <c r="E30" s="695"/>
      <c r="F30" s="695"/>
      <c r="G30" s="695"/>
      <c r="H30" s="695" t="str">
        <f>VLOOKUP($AA$16,'Date SPV'!$B:$H,4,FALSE)</f>
        <v>Sos. Sibiului, nr. 5, loc. Sibiu, jud. Sibiu</v>
      </c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5"/>
      <c r="Q31" s="695"/>
      <c r="R31" s="695"/>
      <c r="S31" s="695"/>
      <c r="T31" s="695"/>
      <c r="U31" s="695"/>
      <c r="V31" s="695"/>
      <c r="W31" s="695"/>
      <c r="X31" s="695"/>
      <c r="Y31" s="695"/>
      <c r="Z31" s="695"/>
      <c r="AA31" s="695"/>
      <c r="AB31" s="695"/>
      <c r="AC31" s="695"/>
      <c r="AD31" s="695"/>
      <c r="AE31" s="695"/>
      <c r="AF31" s="695"/>
      <c r="AG31" s="695"/>
      <c r="AH31" s="695"/>
      <c r="AI31" s="695"/>
      <c r="AJ31" s="695"/>
      <c r="AK31" s="695"/>
      <c r="AL31" s="695"/>
      <c r="AM31" s="695"/>
    </row>
    <row r="32" spans="1:39" ht="14.1" customHeight="1">
      <c r="A32" s="695" t="s">
        <v>859</v>
      </c>
      <c r="B32" s="695"/>
      <c r="C32" s="695"/>
      <c r="D32" s="695"/>
      <c r="E32" s="695"/>
      <c r="F32" s="695"/>
      <c r="G32" s="695"/>
      <c r="H32" s="712">
        <f>VLOOKUP(AA32,'Date masura OD'!$G:$BE,51,FALSE)</f>
        <v>5000126215</v>
      </c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 t="s">
        <v>860</v>
      </c>
      <c r="X32" s="712"/>
      <c r="Y32" s="712"/>
      <c r="Z32" s="712"/>
      <c r="AA32" s="640" t="str">
        <f>_xlfn.CONCAT($AA$16,"_",1)</f>
        <v>RNSS_1</v>
      </c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 ht="14.1" customHeight="1">
      <c r="A33" s="695"/>
      <c r="B33" s="695"/>
      <c r="C33" s="695"/>
      <c r="D33" s="695"/>
      <c r="E33" s="695"/>
      <c r="F33" s="695"/>
      <c r="G33" s="695"/>
      <c r="H33" s="712"/>
      <c r="I33" s="712"/>
      <c r="J33" s="712"/>
      <c r="K33" s="712"/>
      <c r="L33" s="712"/>
      <c r="M33" s="712"/>
      <c r="N33" s="712"/>
      <c r="O33" s="712"/>
      <c r="P33" s="712"/>
      <c r="Q33" s="712"/>
      <c r="R33" s="712"/>
      <c r="S33" s="712"/>
      <c r="T33" s="712"/>
      <c r="U33" s="712"/>
      <c r="V33" s="712"/>
      <c r="W33" s="712"/>
      <c r="X33" s="712"/>
      <c r="Y33" s="712"/>
      <c r="Z33" s="712"/>
      <c r="AA33" s="640"/>
      <c r="AB33" s="640"/>
      <c r="AC33" s="640"/>
      <c r="AD33" s="640"/>
      <c r="AE33" s="640"/>
      <c r="AF33" s="640"/>
      <c r="AG33" s="640"/>
      <c r="AH33" s="640"/>
      <c r="AI33" s="640"/>
      <c r="AJ33" s="640"/>
      <c r="AK33" s="640"/>
      <c r="AL33" s="640"/>
      <c r="AM33" s="640"/>
    </row>
    <row r="35" spans="1:39">
      <c r="A35" s="649" t="s">
        <v>748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VLOOKUP(AI36,'Contorizare in SDI'!$E:$I,4,FALSE)</f>
        <v>594020200001925328/1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">
        <v>695</v>
      </c>
      <c r="AJ35" s="650"/>
      <c r="AK35" s="650"/>
      <c r="AL35" s="650"/>
      <c r="AM35" s="650"/>
    </row>
    <row r="36" spans="1:39">
      <c r="A36" s="649" t="s">
        <v>746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VLOOKUP(AI36,'Inchidere contur'!$G:$U,15,FALSE)</f>
        <v>JT_SDI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 t="str">
        <f>_xlfn.CONCAT(AA32,".",1)</f>
        <v>RNSS_1.1</v>
      </c>
      <c r="AJ36" s="619"/>
      <c r="AK36" s="619"/>
      <c r="AL36" s="619"/>
      <c r="AM36" s="619"/>
    </row>
    <row r="37" spans="1:39">
      <c r="A37" s="649" t="s">
        <v>747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50" t="str">
        <f>IF(LEFT(M36,2)="JT","0.4kV",IF(LEFT(M36,2)="MT","20kV","-"))</f>
        <v>0.4kV</v>
      </c>
      <c r="N37" s="650"/>
      <c r="O37" s="650"/>
      <c r="P37" s="650"/>
      <c r="Q37" s="650"/>
      <c r="R37" s="650"/>
      <c r="S37" s="650"/>
      <c r="T37" s="650"/>
      <c r="U37" s="650"/>
      <c r="V37" s="650"/>
      <c r="W37" s="650"/>
      <c r="X37" s="650"/>
      <c r="Y37" s="650"/>
      <c r="Z37" s="650"/>
      <c r="AA37" s="650"/>
      <c r="AB37" s="650"/>
      <c r="AC37" s="650"/>
      <c r="AD37" s="650"/>
      <c r="AE37" s="650"/>
      <c r="AF37" s="650"/>
      <c r="AG37" s="650"/>
      <c r="AH37" s="650"/>
      <c r="AI37" s="619"/>
      <c r="AJ37" s="619"/>
      <c r="AK37" s="619"/>
      <c r="AL37" s="619"/>
      <c r="AM37" s="619"/>
    </row>
    <row r="38" spans="1:39" ht="15.95" customHeight="1">
      <c r="A38" s="648" t="s">
        <v>697</v>
      </c>
      <c r="B38" s="648"/>
      <c r="C38" s="648"/>
      <c r="D38" s="648"/>
      <c r="E38" s="648"/>
      <c r="F38" s="648"/>
      <c r="G38" s="647" t="s">
        <v>713</v>
      </c>
      <c r="H38" s="647"/>
      <c r="I38" s="647"/>
      <c r="J38" s="647" t="s">
        <v>714</v>
      </c>
      <c r="K38" s="647"/>
      <c r="L38" s="647"/>
      <c r="M38" s="648" t="s">
        <v>519</v>
      </c>
      <c r="N38" s="648"/>
      <c r="O38" s="648" t="s">
        <v>715</v>
      </c>
      <c r="P38" s="648"/>
      <c r="Q38" s="648"/>
      <c r="R38" s="647" t="s">
        <v>732</v>
      </c>
      <c r="S38" s="647"/>
      <c r="T38" s="647"/>
      <c r="U38" s="647" t="s">
        <v>734</v>
      </c>
      <c r="V38" s="647"/>
      <c r="W38" s="647"/>
      <c r="X38" s="647" t="s">
        <v>1085</v>
      </c>
      <c r="Y38" s="647"/>
      <c r="Z38" s="647"/>
      <c r="AA38" s="647" t="s">
        <v>1086</v>
      </c>
      <c r="AB38" s="647"/>
      <c r="AC38" s="647"/>
      <c r="AD38" s="647" t="s">
        <v>717</v>
      </c>
      <c r="AE38" s="647"/>
      <c r="AF38" s="647" t="s">
        <v>718</v>
      </c>
      <c r="AG38" s="647"/>
      <c r="AH38" s="647"/>
      <c r="AI38" s="647" t="s">
        <v>719</v>
      </c>
      <c r="AJ38" s="647"/>
      <c r="AK38" s="647" t="s">
        <v>733</v>
      </c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647"/>
      <c r="K39" s="647"/>
      <c r="L39" s="647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>
      <c r="A40" s="648"/>
      <c r="B40" s="648"/>
      <c r="C40" s="648"/>
      <c r="D40" s="648"/>
      <c r="E40" s="648"/>
      <c r="F40" s="648"/>
      <c r="G40" s="647"/>
      <c r="H40" s="647"/>
      <c r="I40" s="647"/>
      <c r="J40" s="713"/>
      <c r="K40" s="713"/>
      <c r="L40" s="713"/>
      <c r="M40" s="648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78">
        <f>VLOOKUP(AI36,'Contorizare in SDI'!$E:$I,5,FALSE)</f>
        <v>1372643267</v>
      </c>
      <c r="B41" s="679"/>
      <c r="C41" s="679"/>
      <c r="D41" s="679"/>
      <c r="E41" s="679"/>
      <c r="F41" s="680"/>
      <c r="G41" s="648" t="s">
        <v>730</v>
      </c>
      <c r="H41" s="648"/>
      <c r="I41" s="673"/>
      <c r="J41" s="655">
        <f>'Date masura OD'!$AK$5</f>
        <v>45748</v>
      </c>
      <c r="K41" s="656"/>
      <c r="L41" s="657"/>
      <c r="M41" s="720" t="s">
        <v>446</v>
      </c>
      <c r="N41" s="648"/>
      <c r="O41" s="648">
        <f>VLOOKUP(AI36,'Incrementare indexe'!$B:$T,4,FALSE)</f>
        <v>1</v>
      </c>
      <c r="P41" s="648"/>
      <c r="Q41" s="648"/>
      <c r="R41" s="647" t="str">
        <f>VLOOKUP(A41,Regularizare!$D:$YN,3,FALSE)&amp;" ("&amp;VLOOKUP(A41,Regularizare!$D:$Y,11,FALSE)&amp;")"</f>
        <v>2652194 (citit)</v>
      </c>
      <c r="S41" s="647"/>
      <c r="T41" s="647"/>
      <c r="U41" s="647" t="str">
        <f>VLOOKUP(A41,Regularizare!$D:$U,4,FALSE)&amp;" ("&amp;VLOOKUP(A41,Regularizare!$D:$U,12,FALSE)&amp;")"</f>
        <v>2777818 (estimat)</v>
      </c>
      <c r="V41" s="647"/>
      <c r="W41" s="647"/>
      <c r="X41" s="647" t="str">
        <f>VLOOKUP(A41,Regularizare!$D:$Y,19,FALSE)&amp;" ("&amp;VLOOKUP(A41,Regularizare!$D:$U,12,FALSE)&amp;")"</f>
        <v>125624 (estimat)</v>
      </c>
      <c r="Y41" s="647"/>
      <c r="Z41" s="647"/>
      <c r="AA41" s="647">
        <f>(-1)*VLOOKUP(A41,Regularizare!$D:$Y,19,FALSE)</f>
        <v>-125624</v>
      </c>
      <c r="AB41" s="647"/>
      <c r="AC41" s="647"/>
      <c r="AD41" s="647" t="s">
        <v>69</v>
      </c>
      <c r="AE41" s="647"/>
      <c r="AF41" s="647">
        <f>AA41</f>
        <v>-125624</v>
      </c>
      <c r="AG41" s="647"/>
      <c r="AH41" s="647"/>
      <c r="AI41" s="647" t="s">
        <v>69</v>
      </c>
      <c r="AJ41" s="647"/>
      <c r="AK41" s="647" t="s">
        <v>69</v>
      </c>
      <c r="AL41" s="647"/>
      <c r="AM41" s="647"/>
    </row>
    <row r="42" spans="1:39" ht="9.75" customHeight="1">
      <c r="A42" s="717"/>
      <c r="B42" s="718"/>
      <c r="C42" s="718"/>
      <c r="D42" s="718"/>
      <c r="E42" s="718"/>
      <c r="F42" s="719"/>
      <c r="G42" s="648"/>
      <c r="H42" s="648"/>
      <c r="I42" s="673"/>
      <c r="J42" s="717" t="s">
        <v>69</v>
      </c>
      <c r="K42" s="718"/>
      <c r="L42" s="719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1"/>
      <c r="B43" s="682"/>
      <c r="C43" s="682"/>
      <c r="D43" s="682"/>
      <c r="E43" s="682"/>
      <c r="F43" s="683"/>
      <c r="G43" s="648"/>
      <c r="H43" s="648"/>
      <c r="I43" s="673"/>
      <c r="J43" s="714">
        <f>'Date masura OD'!$AL$5</f>
        <v>45777</v>
      </c>
      <c r="K43" s="715"/>
      <c r="L43" s="716"/>
      <c r="M43" s="720"/>
      <c r="N43" s="648"/>
      <c r="O43" s="648"/>
      <c r="P43" s="648"/>
      <c r="Q43" s="648"/>
      <c r="R43" s="647"/>
      <c r="S43" s="647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78">
        <f>A41</f>
        <v>1372643267</v>
      </c>
      <c r="B44" s="679"/>
      <c r="C44" s="679"/>
      <c r="D44" s="679"/>
      <c r="E44" s="679"/>
      <c r="F44" s="680"/>
      <c r="G44" s="648" t="s">
        <v>696</v>
      </c>
      <c r="H44" s="648"/>
      <c r="I44" s="648"/>
      <c r="J44" s="655">
        <f t="shared" ref="J44:J49" si="0">J41</f>
        <v>45748</v>
      </c>
      <c r="K44" s="656"/>
      <c r="L44" s="657"/>
      <c r="M44" s="648" t="s">
        <v>720</v>
      </c>
      <c r="N44" s="648"/>
      <c r="O44" s="648">
        <f>O41</f>
        <v>1</v>
      </c>
      <c r="P44" s="648"/>
      <c r="Q44" s="648"/>
      <c r="R44" s="647" t="str">
        <f>VLOOKUP(A44,Regularizare!$D:$U,7,FALSE)&amp;" ("&amp;VLOOKUP(A44,Regularizare!$D:$U,15,FALSE)&amp;")"</f>
        <v>170726 (citit)</v>
      </c>
      <c r="S44" s="647"/>
      <c r="T44" s="647"/>
      <c r="U44" s="647" t="str">
        <f>VLOOKUP(A44,Regularizare!$D:$U,8,FALSE)&amp;" ("&amp;VLOOKUP(A44,Regularizare!$D:$U,16,FALSE)&amp;")"</f>
        <v>170726 (estimat)</v>
      </c>
      <c r="V44" s="647"/>
      <c r="W44" s="647"/>
      <c r="X44" s="647" t="str">
        <f>_xlfn.CONCAT(VLOOKUP(A44,Regularizare!$D:$U,8,FALSE)-VLOOKUP(A44,Regularizare!$D:$U,7,FALSE)," (",VLOOKUP(A44,Regularizare!$D:$U,16,FALSE),")")</f>
        <v>0 (estimat)</v>
      </c>
      <c r="Y44" s="647"/>
      <c r="Z44" s="647"/>
      <c r="AA44" s="647">
        <f>IF(VLOOKUP(A44,Regularizare!$D:$Y,21,FALSE)=0,VLOOKUP(A44,Regularizare!$D:$Y,21,FALSE),(-1)*VLOOKUP(A44,Regularizare!$D:$Y,21,FALSE))</f>
        <v>0</v>
      </c>
      <c r="AB44" s="647"/>
      <c r="AC44" s="647"/>
      <c r="AD44" s="647" t="s">
        <v>69</v>
      </c>
      <c r="AE44" s="647"/>
      <c r="AF44" s="647">
        <f>AA44</f>
        <v>0</v>
      </c>
      <c r="AG44" s="647"/>
      <c r="AH44" s="647"/>
      <c r="AI44" s="647" t="str">
        <f>AI41</f>
        <v>-</v>
      </c>
      <c r="AJ44" s="647"/>
      <c r="AK44" s="647" t="str">
        <f>AK41</f>
        <v>-</v>
      </c>
      <c r="AL44" s="647"/>
      <c r="AM44" s="647"/>
    </row>
    <row r="45" spans="1:39" ht="8.4499999999999993" customHeight="1">
      <c r="A45" s="717"/>
      <c r="B45" s="718"/>
      <c r="C45" s="718"/>
      <c r="D45" s="718"/>
      <c r="E45" s="718"/>
      <c r="F45" s="719"/>
      <c r="G45" s="648"/>
      <c r="H45" s="648"/>
      <c r="I45" s="648"/>
      <c r="J45" s="717" t="str">
        <f t="shared" si="0"/>
        <v>-</v>
      </c>
      <c r="K45" s="718"/>
      <c r="L45" s="719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1"/>
      <c r="B46" s="682"/>
      <c r="C46" s="682"/>
      <c r="D46" s="682"/>
      <c r="E46" s="682"/>
      <c r="F46" s="683"/>
      <c r="G46" s="648"/>
      <c r="H46" s="648"/>
      <c r="I46" s="648"/>
      <c r="J46" s="714">
        <f t="shared" si="0"/>
        <v>45777</v>
      </c>
      <c r="K46" s="715"/>
      <c r="L46" s="716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78">
        <f>A44</f>
        <v>1372643267</v>
      </c>
      <c r="B47" s="679"/>
      <c r="C47" s="679"/>
      <c r="D47" s="679"/>
      <c r="E47" s="679"/>
      <c r="F47" s="680"/>
      <c r="G47" s="648" t="s">
        <v>731</v>
      </c>
      <c r="H47" s="648"/>
      <c r="I47" s="648"/>
      <c r="J47" s="655">
        <f t="shared" si="0"/>
        <v>45748</v>
      </c>
      <c r="K47" s="656"/>
      <c r="L47" s="657"/>
      <c r="M47" s="648" t="s">
        <v>720</v>
      </c>
      <c r="N47" s="648"/>
      <c r="O47" s="648">
        <f>O44</f>
        <v>1</v>
      </c>
      <c r="P47" s="648"/>
      <c r="Q47" s="648"/>
      <c r="R47" s="647" t="str">
        <f>VLOOKUP(A47,Regularizare!$D:$U,9,FALSE)&amp;" ("&amp;VLOOKUP(A47,Regularizare!$D:$U,17,FALSE)&amp;")"</f>
        <v>8683 (citit)</v>
      </c>
      <c r="S47" s="647"/>
      <c r="T47" s="647"/>
      <c r="U47" s="647" t="str">
        <f>VLOOKUP(A47,Regularizare!$D:$U,10,FALSE)&amp;" ("&amp;VLOOKUP(A47,Regularizare!$D:$U,18,FALSE)&amp;")"</f>
        <v>8683 (estimat)</v>
      </c>
      <c r="V47" s="647"/>
      <c r="W47" s="647"/>
      <c r="X47" s="647" t="str">
        <f>_xlfn.CONCAT(VLOOKUP(A47,Regularizare!$D:$U,10,FALSE)-VLOOKUP(A47,Regularizare!$D:$U,9,FALSE)," (",VLOOKUP(A47,Regularizare!$D:$U,18,FALSE),")")</f>
        <v>0 (estimat)</v>
      </c>
      <c r="Y47" s="647"/>
      <c r="Z47" s="647"/>
      <c r="AA47" s="647">
        <f>IF(VLOOKUP(A47,Regularizare!$D:$Y,22,FALSE)=0,VLOOKUP(A47,Regularizare!$D:$Y,22,FALSE),(-1)*VLOOKUP(A47,Regularizare!$D:$Y,22,FALSE))</f>
        <v>0</v>
      </c>
      <c r="AB47" s="647"/>
      <c r="AC47" s="647"/>
      <c r="AD47" s="647" t="s">
        <v>69</v>
      </c>
      <c r="AE47" s="647"/>
      <c r="AF47" s="647">
        <f>AA47</f>
        <v>0</v>
      </c>
      <c r="AG47" s="647"/>
      <c r="AH47" s="647"/>
      <c r="AI47" s="647" t="str">
        <f>AI44</f>
        <v>-</v>
      </c>
      <c r="AJ47" s="647"/>
      <c r="AK47" s="647" t="str">
        <f>AK44</f>
        <v>-</v>
      </c>
      <c r="AL47" s="647"/>
      <c r="AM47" s="647"/>
    </row>
    <row r="48" spans="1:39" ht="8.4499999999999993" customHeight="1">
      <c r="A48" s="717"/>
      <c r="B48" s="718"/>
      <c r="C48" s="718"/>
      <c r="D48" s="718"/>
      <c r="E48" s="718"/>
      <c r="F48" s="719"/>
      <c r="G48" s="648"/>
      <c r="H48" s="648"/>
      <c r="I48" s="648"/>
      <c r="J48" s="717" t="str">
        <f t="shared" si="0"/>
        <v>-</v>
      </c>
      <c r="K48" s="718"/>
      <c r="L48" s="719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1"/>
      <c r="B49" s="682"/>
      <c r="C49" s="682"/>
      <c r="D49" s="682"/>
      <c r="E49" s="682"/>
      <c r="F49" s="683"/>
      <c r="G49" s="648"/>
      <c r="H49" s="648"/>
      <c r="I49" s="648"/>
      <c r="J49" s="714">
        <f t="shared" si="0"/>
        <v>45777</v>
      </c>
      <c r="K49" s="715"/>
      <c r="L49" s="716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78">
        <f>A47</f>
        <v>1372643267</v>
      </c>
      <c r="B50" s="679"/>
      <c r="C50" s="679"/>
      <c r="D50" s="679"/>
      <c r="E50" s="679"/>
      <c r="F50" s="680"/>
      <c r="G50" s="648" t="s">
        <v>730</v>
      </c>
      <c r="H50" s="648"/>
      <c r="I50" s="673"/>
      <c r="J50" s="655">
        <f>'Date masura OD'!$AK$5</f>
        <v>45748</v>
      </c>
      <c r="K50" s="656"/>
      <c r="L50" s="657"/>
      <c r="M50" s="720" t="s">
        <v>446</v>
      </c>
      <c r="N50" s="648"/>
      <c r="O50" s="648">
        <f>O47</f>
        <v>1</v>
      </c>
      <c r="P50" s="648"/>
      <c r="Q50" s="648"/>
      <c r="R50" s="647" t="str">
        <f>VLOOKUP(A50,Regularizare!$D:$AX,23,FALSE)&amp;" ("&amp;VLOOKUP(A50,Regularizare!$D:$AX,24,FALSE)&amp;")"</f>
        <v>2652194 (citit)</v>
      </c>
      <c r="S50" s="647"/>
      <c r="T50" s="647"/>
      <c r="U50" s="647" t="str">
        <f>VLOOKUP(A50,Regularizare!$D:$AX,25,FALSE)&amp;" ("&amp;VLOOKUP(A50,Regularizare!$D:$AX,26,FALSE)&amp;")"</f>
        <v>2777818 (citit)</v>
      </c>
      <c r="V50" s="647"/>
      <c r="W50" s="647"/>
      <c r="X50" s="647" t="str">
        <f>VLOOKUP(A50,Regularizare!$D:$AX,37,FALSE)&amp;" ("&amp;VLOOKUP(A50,Regularizare!$D:$AX,26,FALSE)&amp;")"</f>
        <v>125624 (citit)</v>
      </c>
      <c r="Y50" s="647"/>
      <c r="Z50" s="647"/>
      <c r="AA50" s="647">
        <f>VLOOKUP(A50,Regularizare!$D:$AX,37,FALSE)</f>
        <v>125624</v>
      </c>
      <c r="AB50" s="647"/>
      <c r="AC50" s="647"/>
      <c r="AD50" s="647" t="s">
        <v>69</v>
      </c>
      <c r="AE50" s="647"/>
      <c r="AF50" s="647">
        <f>AA50</f>
        <v>125624</v>
      </c>
      <c r="AG50" s="647"/>
      <c r="AH50" s="647"/>
      <c r="AI50" s="647" t="str">
        <f>AI47</f>
        <v>-</v>
      </c>
      <c r="AJ50" s="647"/>
      <c r="AK50" s="647" t="str">
        <f>AK47</f>
        <v>-</v>
      </c>
      <c r="AL50" s="647"/>
      <c r="AM50" s="647"/>
    </row>
    <row r="51" spans="1:39" ht="8.4499999999999993" customHeight="1">
      <c r="A51" s="717"/>
      <c r="B51" s="718"/>
      <c r="C51" s="718"/>
      <c r="D51" s="718"/>
      <c r="E51" s="718"/>
      <c r="F51" s="719"/>
      <c r="G51" s="648"/>
      <c r="H51" s="648"/>
      <c r="I51" s="673"/>
      <c r="J51" s="717" t="s">
        <v>69</v>
      </c>
      <c r="K51" s="718"/>
      <c r="L51" s="719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1"/>
      <c r="B52" s="682"/>
      <c r="C52" s="682"/>
      <c r="D52" s="682"/>
      <c r="E52" s="682"/>
      <c r="F52" s="683"/>
      <c r="G52" s="648"/>
      <c r="H52" s="648"/>
      <c r="I52" s="673"/>
      <c r="J52" s="714">
        <f>'Date masura OD'!$AL$5</f>
        <v>45777</v>
      </c>
      <c r="K52" s="715"/>
      <c r="L52" s="716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78">
        <f>A50</f>
        <v>1372643267</v>
      </c>
      <c r="B53" s="679"/>
      <c r="C53" s="679"/>
      <c r="D53" s="679"/>
      <c r="E53" s="679"/>
      <c r="F53" s="680"/>
      <c r="G53" s="648" t="s">
        <v>696</v>
      </c>
      <c r="H53" s="648"/>
      <c r="I53" s="648"/>
      <c r="J53" s="655">
        <f t="shared" ref="J53:J58" si="1">J50</f>
        <v>45748</v>
      </c>
      <c r="K53" s="656"/>
      <c r="L53" s="657"/>
      <c r="M53" s="648" t="s">
        <v>720</v>
      </c>
      <c r="N53" s="648"/>
      <c r="O53" s="648">
        <f>O50</f>
        <v>1</v>
      </c>
      <c r="P53" s="648"/>
      <c r="Q53" s="648"/>
      <c r="R53" s="647" t="str">
        <f>VLOOKUP(A53,Regularizare!$D:$AX,29,FALSE)&amp;" ("&amp;VLOOKUP(A53,Regularizare!$D:$AX,30,FALSE)&amp;")"</f>
        <v>170726 (citit)</v>
      </c>
      <c r="S53" s="647"/>
      <c r="T53" s="647"/>
      <c r="U53" s="647" t="str">
        <f>VLOOKUP(A53,Regularizare!$D:$AX,31,FALSE)&amp;" ("&amp;VLOOKUP(A53,Regularizare!$D:$AX,32,FALSE)&amp;")"</f>
        <v>171022 (citit)</v>
      </c>
      <c r="V53" s="647"/>
      <c r="W53" s="647"/>
      <c r="X53" s="647" t="str">
        <f>VLOOKUP(A53,Regularizare!$D:$AX,39,FALSE)&amp;" ("&amp;VLOOKUP(A53,Regularizare!$D:$AX,32,FALSE)&amp;")"</f>
        <v>296 (citit)</v>
      </c>
      <c r="Y53" s="647"/>
      <c r="Z53" s="647"/>
      <c r="AA53" s="647">
        <f>VLOOKUP(A53,Regularizare!$D:$AX,44,FALSE)+VLOOKUP(A53,Regularizare!$D:$AX,45,FALSE)</f>
        <v>296</v>
      </c>
      <c r="AB53" s="647"/>
      <c r="AC53" s="647"/>
      <c r="AD53" s="647" t="s">
        <v>69</v>
      </c>
      <c r="AE53" s="647"/>
      <c r="AF53" s="647">
        <f>AA53</f>
        <v>296</v>
      </c>
      <c r="AG53" s="647"/>
      <c r="AH53" s="647"/>
      <c r="AI53" s="647" t="str">
        <f>AI50</f>
        <v>-</v>
      </c>
      <c r="AJ53" s="647"/>
      <c r="AK53" s="647" t="str">
        <f>AK50</f>
        <v>-</v>
      </c>
      <c r="AL53" s="647"/>
      <c r="AM53" s="647"/>
    </row>
    <row r="54" spans="1:39" ht="8.4499999999999993" customHeight="1">
      <c r="A54" s="717"/>
      <c r="B54" s="718"/>
      <c r="C54" s="718"/>
      <c r="D54" s="718"/>
      <c r="E54" s="718"/>
      <c r="F54" s="719"/>
      <c r="G54" s="648"/>
      <c r="H54" s="648"/>
      <c r="I54" s="648"/>
      <c r="J54" s="717" t="str">
        <f t="shared" si="1"/>
        <v>-</v>
      </c>
      <c r="K54" s="718"/>
      <c r="L54" s="719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1"/>
      <c r="B55" s="682"/>
      <c r="C55" s="682"/>
      <c r="D55" s="682"/>
      <c r="E55" s="682"/>
      <c r="F55" s="683"/>
      <c r="G55" s="648"/>
      <c r="H55" s="648"/>
      <c r="I55" s="648"/>
      <c r="J55" s="714">
        <f t="shared" si="1"/>
        <v>45777</v>
      </c>
      <c r="K55" s="715"/>
      <c r="L55" s="716"/>
      <c r="M55" s="648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78">
        <f>A53</f>
        <v>1372643267</v>
      </c>
      <c r="B56" s="679"/>
      <c r="C56" s="679"/>
      <c r="D56" s="679"/>
      <c r="E56" s="679"/>
      <c r="F56" s="680"/>
      <c r="G56" s="648" t="s">
        <v>731</v>
      </c>
      <c r="H56" s="648"/>
      <c r="I56" s="648"/>
      <c r="J56" s="655">
        <f t="shared" si="1"/>
        <v>45748</v>
      </c>
      <c r="K56" s="656"/>
      <c r="L56" s="657"/>
      <c r="M56" s="648" t="s">
        <v>720</v>
      </c>
      <c r="N56" s="648"/>
      <c r="O56" s="648">
        <f>O53</f>
        <v>1</v>
      </c>
      <c r="P56" s="648"/>
      <c r="Q56" s="648"/>
      <c r="R56" s="647" t="str">
        <f>VLOOKUP(A56,Regularizare!$D:$AX,33,FALSE)&amp;" ("&amp;VLOOKUP(A56,Regularizare!$D:$AX,34,FALSE)&amp;")"</f>
        <v>8683 (citit)</v>
      </c>
      <c r="S56" s="647"/>
      <c r="T56" s="647"/>
      <c r="U56" s="647" t="str">
        <f>VLOOKUP(A56,Regularizare!$D:$AX,35,FALSE)&amp;" ("&amp;VLOOKUP(A56,Regularizare!$D:$AX,36,FALSE)&amp;")"</f>
        <v>8685 (citit)</v>
      </c>
      <c r="V56" s="647"/>
      <c r="W56" s="647"/>
      <c r="X56" s="647" t="str">
        <f>VLOOKUP(A56,Regularizare!$D:$AX,40,FALSE)&amp;" ("&amp;VLOOKUP(A56,Regularizare!$D:$AX,36,FALSE)&amp;")"</f>
        <v>2 (citit)</v>
      </c>
      <c r="Y56" s="647"/>
      <c r="Z56" s="647"/>
      <c r="AA56" s="647">
        <f>VLOOKUP(A56,Regularizare!$D:$AX,46,FALSE)+VLOOKUP(A56,Regularizare!$D:$AX,47,FALSE)</f>
        <v>2</v>
      </c>
      <c r="AB56" s="647"/>
      <c r="AC56" s="647"/>
      <c r="AD56" s="647" t="s">
        <v>69</v>
      </c>
      <c r="AE56" s="647"/>
      <c r="AF56" s="647">
        <f>AA56</f>
        <v>2</v>
      </c>
      <c r="AG56" s="647"/>
      <c r="AH56" s="647"/>
      <c r="AI56" s="647" t="str">
        <f>AI53</f>
        <v>-</v>
      </c>
      <c r="AJ56" s="647"/>
      <c r="AK56" s="647" t="str">
        <f>AK53</f>
        <v>-</v>
      </c>
      <c r="AL56" s="647"/>
      <c r="AM56" s="647"/>
    </row>
    <row r="57" spans="1:39" ht="8.4499999999999993" customHeight="1">
      <c r="A57" s="717"/>
      <c r="B57" s="718"/>
      <c r="C57" s="718"/>
      <c r="D57" s="718"/>
      <c r="E57" s="718"/>
      <c r="F57" s="719"/>
      <c r="G57" s="648"/>
      <c r="H57" s="648"/>
      <c r="I57" s="648"/>
      <c r="J57" s="717" t="str">
        <f t="shared" si="1"/>
        <v>-</v>
      </c>
      <c r="K57" s="718"/>
      <c r="L57" s="719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1"/>
      <c r="B58" s="682"/>
      <c r="C58" s="682"/>
      <c r="D58" s="682"/>
      <c r="E58" s="682"/>
      <c r="F58" s="683"/>
      <c r="G58" s="648"/>
      <c r="H58" s="648"/>
      <c r="I58" s="648"/>
      <c r="J58" s="714">
        <f t="shared" si="1"/>
        <v>45777</v>
      </c>
      <c r="K58" s="715"/>
      <c r="L58" s="716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A56</f>
        <v>1372643267</v>
      </c>
      <c r="B59" s="679"/>
      <c r="C59" s="679"/>
      <c r="D59" s="679"/>
      <c r="E59" s="679"/>
      <c r="F59" s="680"/>
      <c r="G59" s="648" t="s">
        <v>730</v>
      </c>
      <c r="H59" s="648"/>
      <c r="I59" s="673"/>
      <c r="J59" s="655">
        <f>'Date masura OD'!$I$5</f>
        <v>45778</v>
      </c>
      <c r="K59" s="656"/>
      <c r="L59" s="657"/>
      <c r="M59" s="720" t="s">
        <v>446</v>
      </c>
      <c r="N59" s="648"/>
      <c r="O59" s="648">
        <f>O56</f>
        <v>1</v>
      </c>
      <c r="P59" s="648"/>
      <c r="Q59" s="648"/>
      <c r="R59" s="647" t="str">
        <f>U50</f>
        <v>2777818 (citit)</v>
      </c>
      <c r="S59" s="647"/>
      <c r="T59" s="647"/>
      <c r="U59" s="647" t="str">
        <f>VLOOKUP(A59,'Incrementare indexe'!$D:$M,4,FALSE)&amp;" (estimat)"</f>
        <v>2914770 (estimat)</v>
      </c>
      <c r="V59" s="647"/>
      <c r="W59" s="647"/>
      <c r="X59" s="647" t="str">
        <f>VLOOKUP(A59,'Incrementare indexe'!$D:$Q,11,FALSE)&amp;" (estimat)"</f>
        <v>136952 (estimat)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VLOOKUP(A59,'Incrementare indexe'!$D:$Q,11,FALSE)</f>
        <v>136952</v>
      </c>
      <c r="AG59" s="647"/>
      <c r="AH59" s="647"/>
      <c r="AI59" s="647">
        <f>J61-J59+1</f>
        <v>31</v>
      </c>
      <c r="AJ59" s="647"/>
      <c r="AK59" s="647">
        <f>ROUND(AF59/AI59,2)</f>
        <v>4417.8100000000004</v>
      </c>
      <c r="AL59" s="647"/>
      <c r="AM59" s="647"/>
    </row>
    <row r="60" spans="1:39" ht="8.4499999999999993" customHeight="1">
      <c r="A60" s="717"/>
      <c r="B60" s="718"/>
      <c r="C60" s="718"/>
      <c r="D60" s="718"/>
      <c r="E60" s="718"/>
      <c r="F60" s="719"/>
      <c r="G60" s="648"/>
      <c r="H60" s="648"/>
      <c r="I60" s="673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8"/>
      <c r="H61" s="648"/>
      <c r="I61" s="673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1372643267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 t="shared" ref="J62:J67" si="2">J59</f>
        <v>45778</v>
      </c>
      <c r="K62" s="656"/>
      <c r="L62" s="657"/>
      <c r="M62" s="648" t="s">
        <v>720</v>
      </c>
      <c r="N62" s="648"/>
      <c r="O62" s="648">
        <f>O59</f>
        <v>1</v>
      </c>
      <c r="P62" s="648"/>
      <c r="Q62" s="648"/>
      <c r="R62" s="647" t="str">
        <f>U53</f>
        <v>171022 (citit)</v>
      </c>
      <c r="S62" s="647"/>
      <c r="T62" s="647"/>
      <c r="U62" s="647" t="str">
        <f>VLOOKUP(A62,'Incrementare indexe'!$D:$M,8,FALSE)&amp;" (estimat)"</f>
        <v>171022 (estimat)</v>
      </c>
      <c r="V62" s="647"/>
      <c r="W62" s="647"/>
      <c r="X62" s="647" t="str">
        <f>VLOOKUP(A62,'Incrementare indexe'!$D:$Q,12,FALSE)&amp;" (estimat)"</f>
        <v>0 (estimat)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f>VLOOKUP(A62,'Incrementare indexe'!$D:$Q,12,FALSE)</f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8.4499999999999993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 t="shared" si="2"/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 t="shared" si="2"/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1372643267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si="2"/>
        <v>45778</v>
      </c>
      <c r="K65" s="656"/>
      <c r="L65" s="657"/>
      <c r="M65" s="648" t="s">
        <v>720</v>
      </c>
      <c r="N65" s="648"/>
      <c r="O65" s="648">
        <f>O62</f>
        <v>1</v>
      </c>
      <c r="P65" s="648"/>
      <c r="Q65" s="648"/>
      <c r="R65" s="647" t="str">
        <f>U56</f>
        <v>8685 (citit)</v>
      </c>
      <c r="S65" s="647"/>
      <c r="T65" s="647"/>
      <c r="U65" s="647" t="str">
        <f>VLOOKUP(A65,'Incrementare indexe'!$D:$M,10,FALSE)&amp;" (estimat)"</f>
        <v>8685 (estimat)</v>
      </c>
      <c r="V65" s="647"/>
      <c r="W65" s="647"/>
      <c r="X65" s="647" t="str">
        <f>VLOOKUP(A65,'Incrementare indexe'!$D:$Q,13,FALSE)&amp;" (estimat)"</f>
        <v>0 (estimat)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f>VLOOKUP(A65,'Incrementare indexe'!$D:$Q,13,FALSE)</f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8.4499999999999993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2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2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54"/>
      <c r="B80" s="54"/>
      <c r="C80" s="54"/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</row>
    <row r="81" spans="1:39" ht="14.1" customHeight="1">
      <c r="A81" s="721" t="s">
        <v>1196</v>
      </c>
      <c r="B81" s="722"/>
      <c r="C81" s="722"/>
      <c r="D81" s="722"/>
      <c r="E81" s="722"/>
      <c r="F81" s="722"/>
      <c r="G81" s="722"/>
      <c r="H81" s="722"/>
      <c r="I81" s="722"/>
      <c r="J81" s="722"/>
      <c r="K81" s="722"/>
      <c r="L81" s="722"/>
      <c r="M81" s="722"/>
      <c r="N81" s="722"/>
      <c r="O81" s="722"/>
      <c r="P81" s="722"/>
      <c r="Q81" s="722"/>
      <c r="R81" s="722"/>
      <c r="S81" s="722"/>
      <c r="T81" s="722"/>
      <c r="U81" s="722"/>
      <c r="V81" s="722"/>
      <c r="W81" s="722"/>
      <c r="X81" s="722"/>
      <c r="Y81" s="722"/>
      <c r="Z81" s="722"/>
      <c r="AA81" s="722"/>
      <c r="AB81" s="722"/>
      <c r="AC81" s="722"/>
      <c r="AD81" s="722"/>
      <c r="AE81" s="722"/>
      <c r="AF81" s="722"/>
      <c r="AG81" s="722"/>
      <c r="AH81" s="723"/>
      <c r="AI81" s="650" t="s">
        <v>695</v>
      </c>
      <c r="AJ81" s="650"/>
      <c r="AK81" s="650"/>
      <c r="AL81" s="650"/>
      <c r="AM81" s="650"/>
    </row>
    <row r="82" spans="1:39" ht="14.1" customHeight="1">
      <c r="A82" s="649" t="s">
        <v>746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514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 t="str">
        <f>_xlfn.CONCAT(AI36,"/PV")</f>
        <v>RNSS_1.1/PV</v>
      </c>
      <c r="AJ82" s="619"/>
      <c r="AK82" s="619"/>
      <c r="AL82" s="619"/>
      <c r="AM82" s="619"/>
    </row>
    <row r="83" spans="1:39" ht="14.1" customHeight="1">
      <c r="A83" s="649" t="s">
        <v>747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">
        <v>1087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19"/>
      <c r="AJ83" s="619"/>
      <c r="AK83" s="619"/>
      <c r="AL83" s="619"/>
      <c r="AM83" s="619"/>
    </row>
    <row r="84" spans="1:39" ht="14.1" customHeight="1">
      <c r="A84" s="648" t="s">
        <v>697</v>
      </c>
      <c r="B84" s="648"/>
      <c r="C84" s="648"/>
      <c r="D84" s="648"/>
      <c r="E84" s="648"/>
      <c r="F84" s="648"/>
      <c r="G84" s="647" t="s">
        <v>713</v>
      </c>
      <c r="H84" s="647"/>
      <c r="I84" s="647"/>
      <c r="J84" s="647" t="s">
        <v>714</v>
      </c>
      <c r="K84" s="647"/>
      <c r="L84" s="647"/>
      <c r="M84" s="648" t="s">
        <v>519</v>
      </c>
      <c r="N84" s="648"/>
      <c r="O84" s="648" t="s">
        <v>715</v>
      </c>
      <c r="P84" s="648"/>
      <c r="Q84" s="648"/>
      <c r="R84" s="647" t="s">
        <v>732</v>
      </c>
      <c r="S84" s="647"/>
      <c r="T84" s="647"/>
      <c r="U84" s="647" t="s">
        <v>734</v>
      </c>
      <c r="V84" s="647"/>
      <c r="W84" s="647"/>
      <c r="X84" s="647" t="s">
        <v>1085</v>
      </c>
      <c r="Y84" s="647"/>
      <c r="Z84" s="647"/>
      <c r="AA84" s="647" t="s">
        <v>1086</v>
      </c>
      <c r="AB84" s="647"/>
      <c r="AC84" s="647"/>
      <c r="AD84" s="647" t="s">
        <v>717</v>
      </c>
      <c r="AE84" s="647"/>
      <c r="AF84" s="647" t="s">
        <v>718</v>
      </c>
      <c r="AG84" s="647"/>
      <c r="AH84" s="647"/>
      <c r="AI84" s="647" t="s">
        <v>719</v>
      </c>
      <c r="AJ84" s="647"/>
      <c r="AK84" s="647" t="s">
        <v>733</v>
      </c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647"/>
      <c r="K85" s="647"/>
      <c r="L85" s="647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48"/>
      <c r="B86" s="648"/>
      <c r="C86" s="648"/>
      <c r="D86" s="648"/>
      <c r="E86" s="648"/>
      <c r="F86" s="648"/>
      <c r="G86" s="647"/>
      <c r="H86" s="647"/>
      <c r="I86" s="647"/>
      <c r="J86" s="713"/>
      <c r="K86" s="713"/>
      <c r="L86" s="713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VLOOKUP(AI82,'Incrementare indexe'!$B:$I,3,FALSE)</f>
        <v>1373264334</v>
      </c>
      <c r="B87" s="679"/>
      <c r="C87" s="679"/>
      <c r="D87" s="679"/>
      <c r="E87" s="679"/>
      <c r="F87" s="680"/>
      <c r="G87" s="647" t="s">
        <v>1088</v>
      </c>
      <c r="H87" s="647"/>
      <c r="I87" s="675"/>
      <c r="J87" s="655">
        <f>'Date masura OD'!$I$5</f>
        <v>45778</v>
      </c>
      <c r="K87" s="656"/>
      <c r="L87" s="657"/>
      <c r="M87" s="720" t="s">
        <v>446</v>
      </c>
      <c r="N87" s="648"/>
      <c r="O87" s="648">
        <f>VLOOKUP(AI82,'Incrementare indexe'!$B:$I,4,FALSE)</f>
        <v>1</v>
      </c>
      <c r="P87" s="648"/>
      <c r="Q87" s="648"/>
      <c r="R87" s="647" t="str">
        <f>VLOOKUP(AI82,'Incrementare indexe'!$B:$I,7,FALSE)&amp;" (citit)"</f>
        <v>1189708 (citit)</v>
      </c>
      <c r="S87" s="647"/>
      <c r="T87" s="647"/>
      <c r="U87" s="647" t="str">
        <f>VLOOKUP(AI82,'Incrementare indexe'!$B:$I,8,FALSE)&amp;" (citit)"</f>
        <v>1282877 (citit)</v>
      </c>
      <c r="V87" s="647"/>
      <c r="W87" s="647"/>
      <c r="X87" s="647" t="str">
        <f>(VLOOKUP(AI82,'Incrementare indexe'!$B:$I,8,FALSE)-VLOOKUP(AI82,'Incrementare indexe'!$B:$I,7,FALSE))&amp;" (citit)"</f>
        <v>93169 (citit)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f>(VLOOKUP(AI82,'Incrementare indexe'!$B:$I,8,FALSE)-VLOOKUP(AI82,'Incrementare indexe'!$B:$I,7,FALSE))</f>
        <v>93169</v>
      </c>
      <c r="AG87" s="647"/>
      <c r="AH87" s="647"/>
      <c r="AI87" s="647">
        <f>J89-J87+1</f>
        <v>31</v>
      </c>
      <c r="AJ87" s="647"/>
      <c r="AK87" s="647">
        <f>ROUND(AF87/AI87,2)</f>
        <v>3005.45</v>
      </c>
      <c r="AL87" s="647"/>
      <c r="AM87" s="647"/>
    </row>
    <row r="88" spans="1:39" ht="14.1" customHeight="1">
      <c r="A88" s="717"/>
      <c r="B88" s="718"/>
      <c r="C88" s="718"/>
      <c r="D88" s="718"/>
      <c r="E88" s="718"/>
      <c r="F88" s="719"/>
      <c r="G88" s="647"/>
      <c r="H88" s="647"/>
      <c r="I88" s="675"/>
      <c r="J88" s="717" t="s">
        <v>69</v>
      </c>
      <c r="K88" s="718"/>
      <c r="L88" s="719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7"/>
      <c r="H89" s="647"/>
      <c r="I89" s="675"/>
      <c r="J89" s="714">
        <f>'Date masura OD'!$J$5</f>
        <v>45808</v>
      </c>
      <c r="K89" s="715"/>
      <c r="L89" s="716"/>
      <c r="M89" s="720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1373264334</v>
      </c>
      <c r="B90" s="679"/>
      <c r="C90" s="679"/>
      <c r="D90" s="679"/>
      <c r="E90" s="679"/>
      <c r="F90" s="680"/>
      <c r="G90" s="648" t="s">
        <v>696</v>
      </c>
      <c r="H90" s="648"/>
      <c r="I90" s="648"/>
      <c r="J90" s="655">
        <f t="shared" ref="J90:J95" si="3">J87</f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14.1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78">
        <f>A90</f>
        <v>1373264334</v>
      </c>
      <c r="B93" s="679"/>
      <c r="C93" s="679"/>
      <c r="D93" s="679"/>
      <c r="E93" s="679"/>
      <c r="F93" s="680"/>
      <c r="G93" s="648" t="s">
        <v>731</v>
      </c>
      <c r="H93" s="648"/>
      <c r="I93" s="648"/>
      <c r="J93" s="655">
        <f t="shared" si="3"/>
        <v>45778</v>
      </c>
      <c r="K93" s="656"/>
      <c r="L93" s="657"/>
      <c r="M93" s="648" t="s">
        <v>720</v>
      </c>
      <c r="N93" s="648"/>
      <c r="O93" s="648">
        <f>O90</f>
        <v>1</v>
      </c>
      <c r="P93" s="648"/>
      <c r="Q93" s="648"/>
      <c r="R93" s="647" t="s">
        <v>1089</v>
      </c>
      <c r="S93" s="647"/>
      <c r="T93" s="647"/>
      <c r="U93" s="647" t="s">
        <v>1089</v>
      </c>
      <c r="V93" s="647"/>
      <c r="W93" s="647"/>
      <c r="X93" s="647" t="s">
        <v>1089</v>
      </c>
      <c r="Y93" s="647"/>
      <c r="Z93" s="647"/>
      <c r="AA93" s="647" t="s">
        <v>69</v>
      </c>
      <c r="AB93" s="647"/>
      <c r="AC93" s="647"/>
      <c r="AD93" s="647" t="s">
        <v>69</v>
      </c>
      <c r="AE93" s="647"/>
      <c r="AF93" s="647">
        <v>0</v>
      </c>
      <c r="AG93" s="647"/>
      <c r="AH93" s="647"/>
      <c r="AI93" s="647">
        <f>AI90</f>
        <v>31</v>
      </c>
      <c r="AJ93" s="647"/>
      <c r="AK93" s="647">
        <f>ROUND(AF93/AI93,2)</f>
        <v>0</v>
      </c>
      <c r="AL93" s="647"/>
      <c r="AM93" s="647"/>
    </row>
    <row r="94" spans="1:39" ht="14.1" customHeight="1">
      <c r="A94" s="717"/>
      <c r="B94" s="718"/>
      <c r="C94" s="718"/>
      <c r="D94" s="718"/>
      <c r="E94" s="718"/>
      <c r="F94" s="719"/>
      <c r="G94" s="648"/>
      <c r="H94" s="648"/>
      <c r="I94" s="648"/>
      <c r="J94" s="717" t="str">
        <f t="shared" si="3"/>
        <v>-</v>
      </c>
      <c r="K94" s="718"/>
      <c r="L94" s="719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1"/>
      <c r="B95" s="682"/>
      <c r="C95" s="682"/>
      <c r="D95" s="682"/>
      <c r="E95" s="682"/>
      <c r="F95" s="683"/>
      <c r="G95" s="648"/>
      <c r="H95" s="648"/>
      <c r="I95" s="648"/>
      <c r="J95" s="714">
        <f t="shared" si="3"/>
        <v>45808</v>
      </c>
      <c r="K95" s="715"/>
      <c r="L95" s="716"/>
      <c r="M95" s="648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54"/>
      <c r="B96" s="54"/>
      <c r="C96" s="54"/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1:39" ht="14.1" customHeight="1"/>
    <row r="98" spans="1:39">
      <c r="A98" s="649" t="s">
        <v>748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50" t="str">
        <f>VLOOKUP(AI99,'Contorizare in SDI'!$E:$I,4,FALSE)</f>
        <v>594020200001925328/2</v>
      </c>
      <c r="N98" s="650"/>
      <c r="O98" s="650"/>
      <c r="P98" s="650"/>
      <c r="Q98" s="650"/>
      <c r="R98" s="650"/>
      <c r="S98" s="650"/>
      <c r="T98" s="650"/>
      <c r="U98" s="650"/>
      <c r="V98" s="650"/>
      <c r="W98" s="650"/>
      <c r="X98" s="650"/>
      <c r="Y98" s="650"/>
      <c r="Z98" s="650"/>
      <c r="AA98" s="650"/>
      <c r="AB98" s="650"/>
      <c r="AC98" s="650"/>
      <c r="AD98" s="650"/>
      <c r="AE98" s="650"/>
      <c r="AF98" s="650"/>
      <c r="AG98" s="650"/>
      <c r="AH98" s="650"/>
      <c r="AI98" s="650" t="s">
        <v>695</v>
      </c>
      <c r="AJ98" s="650"/>
      <c r="AK98" s="650"/>
      <c r="AL98" s="650"/>
      <c r="AM98" s="650"/>
    </row>
    <row r="99" spans="1:39">
      <c r="A99" s="649" t="s">
        <v>746</v>
      </c>
      <c r="B99" s="649"/>
      <c r="C99" s="649"/>
      <c r="D99" s="649"/>
      <c r="E99" s="649"/>
      <c r="F99" s="649"/>
      <c r="G99" s="649"/>
      <c r="H99" s="649"/>
      <c r="I99" s="649"/>
      <c r="J99" s="649"/>
      <c r="K99" s="649"/>
      <c r="L99" s="649"/>
      <c r="M99" s="650" t="str">
        <f>VLOOKUP(AI99,'Inchidere contur'!$G:$U,15,FALSE)</f>
        <v>JT_SDI</v>
      </c>
      <c r="N99" s="650"/>
      <c r="O99" s="650"/>
      <c r="P99" s="650"/>
      <c r="Q99" s="650"/>
      <c r="R99" s="650"/>
      <c r="S99" s="650"/>
      <c r="T99" s="650"/>
      <c r="U99" s="650"/>
      <c r="V99" s="650"/>
      <c r="W99" s="650"/>
      <c r="X99" s="650"/>
      <c r="Y99" s="650"/>
      <c r="Z99" s="650"/>
      <c r="AA99" s="650"/>
      <c r="AB99" s="650"/>
      <c r="AC99" s="650"/>
      <c r="AD99" s="650"/>
      <c r="AE99" s="650"/>
      <c r="AF99" s="650"/>
      <c r="AG99" s="650"/>
      <c r="AH99" s="650"/>
      <c r="AI99" s="619" t="str">
        <f>_xlfn.CONCAT(AA32,".",2)</f>
        <v>RNSS_1.2</v>
      </c>
      <c r="AJ99" s="619"/>
      <c r="AK99" s="619"/>
      <c r="AL99" s="619"/>
      <c r="AM99" s="619"/>
    </row>
    <row r="100" spans="1:39">
      <c r="A100" s="649" t="s">
        <v>747</v>
      </c>
      <c r="B100" s="649"/>
      <c r="C100" s="649"/>
      <c r="D100" s="649"/>
      <c r="E100" s="649"/>
      <c r="F100" s="649"/>
      <c r="G100" s="649"/>
      <c r="H100" s="649"/>
      <c r="I100" s="649"/>
      <c r="J100" s="649"/>
      <c r="K100" s="649"/>
      <c r="L100" s="649"/>
      <c r="M100" s="650" t="str">
        <f>IF(LEFT(M99,2)="JT","0.4kV",IF(LEFT(M99,2)="MT","20kV","-"))</f>
        <v>0.4kV</v>
      </c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19"/>
      <c r="AJ100" s="619"/>
      <c r="AK100" s="619"/>
      <c r="AL100" s="619"/>
      <c r="AM100" s="619"/>
    </row>
    <row r="101" spans="1:39" ht="15.95" customHeight="1">
      <c r="A101" s="648" t="s">
        <v>697</v>
      </c>
      <c r="B101" s="648"/>
      <c r="C101" s="648"/>
      <c r="D101" s="648"/>
      <c r="E101" s="648"/>
      <c r="F101" s="648"/>
      <c r="G101" s="647" t="s">
        <v>713</v>
      </c>
      <c r="H101" s="647"/>
      <c r="I101" s="647"/>
      <c r="J101" s="647" t="s">
        <v>714</v>
      </c>
      <c r="K101" s="647"/>
      <c r="L101" s="647"/>
      <c r="M101" s="648" t="s">
        <v>519</v>
      </c>
      <c r="N101" s="648"/>
      <c r="O101" s="648" t="s">
        <v>715</v>
      </c>
      <c r="P101" s="648"/>
      <c r="Q101" s="648"/>
      <c r="R101" s="647" t="s">
        <v>732</v>
      </c>
      <c r="S101" s="647"/>
      <c r="T101" s="647"/>
      <c r="U101" s="647" t="s">
        <v>734</v>
      </c>
      <c r="V101" s="647"/>
      <c r="W101" s="647"/>
      <c r="X101" s="647" t="s">
        <v>1085</v>
      </c>
      <c r="Y101" s="647"/>
      <c r="Z101" s="647"/>
      <c r="AA101" s="647" t="s">
        <v>1086</v>
      </c>
      <c r="AB101" s="647"/>
      <c r="AC101" s="647"/>
      <c r="AD101" s="647" t="s">
        <v>717</v>
      </c>
      <c r="AE101" s="647"/>
      <c r="AF101" s="647" t="s">
        <v>718</v>
      </c>
      <c r="AG101" s="647"/>
      <c r="AH101" s="647"/>
      <c r="AI101" s="647" t="s">
        <v>719</v>
      </c>
      <c r="AJ101" s="647"/>
      <c r="AK101" s="647" t="s">
        <v>733</v>
      </c>
      <c r="AL101" s="647"/>
      <c r="AM101" s="647"/>
    </row>
    <row r="102" spans="1:39">
      <c r="A102" s="648"/>
      <c r="B102" s="648"/>
      <c r="C102" s="648"/>
      <c r="D102" s="648"/>
      <c r="E102" s="648"/>
      <c r="F102" s="648"/>
      <c r="G102" s="647"/>
      <c r="H102" s="647"/>
      <c r="I102" s="647"/>
      <c r="J102" s="647"/>
      <c r="K102" s="647"/>
      <c r="L102" s="647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>
      <c r="A103" s="648"/>
      <c r="B103" s="648"/>
      <c r="C103" s="648"/>
      <c r="D103" s="648"/>
      <c r="E103" s="648"/>
      <c r="F103" s="648"/>
      <c r="G103" s="647"/>
      <c r="H103" s="647"/>
      <c r="I103" s="647"/>
      <c r="J103" s="713"/>
      <c r="K103" s="713"/>
      <c r="L103" s="713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78">
        <f>VLOOKUP(AI99,'Contorizare in SDI'!$E:$I,5,FALSE)</f>
        <v>1372640777</v>
      </c>
      <c r="B104" s="679"/>
      <c r="C104" s="679"/>
      <c r="D104" s="679"/>
      <c r="E104" s="679"/>
      <c r="F104" s="680"/>
      <c r="G104" s="648" t="s">
        <v>730</v>
      </c>
      <c r="H104" s="648"/>
      <c r="I104" s="673"/>
      <c r="J104" s="655">
        <f>'Date masura OD'!$AK$5</f>
        <v>45748</v>
      </c>
      <c r="K104" s="656"/>
      <c r="L104" s="657"/>
      <c r="M104" s="720" t="s">
        <v>446</v>
      </c>
      <c r="N104" s="648"/>
      <c r="O104" s="648">
        <f>VLOOKUP(AI99,'Incrementare indexe'!$B:$T,4,FALSE)</f>
        <v>1</v>
      </c>
      <c r="P104" s="648"/>
      <c r="Q104" s="648"/>
      <c r="R104" s="647" t="str">
        <f>VLOOKUP(A104,Regularizare!$D:$YN,3,FALSE)&amp;" ("&amp;VLOOKUP(A104,Regularizare!$D:$Y,11,FALSE)&amp;")"</f>
        <v>2185032 (citit)</v>
      </c>
      <c r="S104" s="647"/>
      <c r="T104" s="647"/>
      <c r="U104" s="647" t="str">
        <f>VLOOKUP(A104,Regularizare!$D:$U,4,FALSE)&amp;" ("&amp;VLOOKUP(A104,Regularizare!$D:$U,12,FALSE)&amp;")"</f>
        <v>2284460 (estimat)</v>
      </c>
      <c r="V104" s="647"/>
      <c r="W104" s="647"/>
      <c r="X104" s="647" t="str">
        <f>VLOOKUP(A104,Regularizare!$D:$Y,19,FALSE)&amp;" ("&amp;VLOOKUP(A104,Regularizare!$D:$U,12,FALSE)&amp;")"</f>
        <v>99428 (estimat)</v>
      </c>
      <c r="Y104" s="647"/>
      <c r="Z104" s="647"/>
      <c r="AA104" s="647">
        <f>(-1)*VLOOKUP(A104,Regularizare!$D:$Y,19,FALSE)</f>
        <v>-99428</v>
      </c>
      <c r="AB104" s="647"/>
      <c r="AC104" s="647"/>
      <c r="AD104" s="647" t="s">
        <v>69</v>
      </c>
      <c r="AE104" s="647"/>
      <c r="AF104" s="647">
        <f>AA104</f>
        <v>-99428</v>
      </c>
      <c r="AG104" s="647"/>
      <c r="AH104" s="647"/>
      <c r="AI104" s="647" t="s">
        <v>69</v>
      </c>
      <c r="AJ104" s="647"/>
      <c r="AK104" s="647" t="s">
        <v>69</v>
      </c>
      <c r="AL104" s="647"/>
      <c r="AM104" s="647"/>
    </row>
    <row r="105" spans="1:39" ht="9.75" customHeight="1">
      <c r="A105" s="717"/>
      <c r="B105" s="718"/>
      <c r="C105" s="718"/>
      <c r="D105" s="718"/>
      <c r="E105" s="718"/>
      <c r="F105" s="719"/>
      <c r="G105" s="648"/>
      <c r="H105" s="648"/>
      <c r="I105" s="673"/>
      <c r="J105" s="717" t="s">
        <v>69</v>
      </c>
      <c r="K105" s="718"/>
      <c r="L105" s="719"/>
      <c r="M105" s="720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1"/>
      <c r="B106" s="682"/>
      <c r="C106" s="682"/>
      <c r="D106" s="682"/>
      <c r="E106" s="682"/>
      <c r="F106" s="683"/>
      <c r="G106" s="648"/>
      <c r="H106" s="648"/>
      <c r="I106" s="673"/>
      <c r="J106" s="714">
        <f>'Date masura OD'!$AL$5</f>
        <v>45777</v>
      </c>
      <c r="K106" s="715"/>
      <c r="L106" s="716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78">
        <f>A104</f>
        <v>1372640777</v>
      </c>
      <c r="B107" s="679"/>
      <c r="C107" s="679"/>
      <c r="D107" s="679"/>
      <c r="E107" s="679"/>
      <c r="F107" s="680"/>
      <c r="G107" s="648" t="s">
        <v>696</v>
      </c>
      <c r="H107" s="648"/>
      <c r="I107" s="648"/>
      <c r="J107" s="655">
        <f t="shared" ref="J107:J112" si="4">J104</f>
        <v>45748</v>
      </c>
      <c r="K107" s="656"/>
      <c r="L107" s="657"/>
      <c r="M107" s="648" t="s">
        <v>720</v>
      </c>
      <c r="N107" s="648"/>
      <c r="O107" s="648">
        <f>O104</f>
        <v>1</v>
      </c>
      <c r="P107" s="648"/>
      <c r="Q107" s="648"/>
      <c r="R107" s="647" t="str">
        <f>VLOOKUP(A107,Regularizare!$D:$U,7,FALSE)&amp;" ("&amp;VLOOKUP(A107,Regularizare!$D:$U,15,FALSE)&amp;")"</f>
        <v>156232 (citit)</v>
      </c>
      <c r="S107" s="647"/>
      <c r="T107" s="647"/>
      <c r="U107" s="647" t="str">
        <f>VLOOKUP(A107,Regularizare!$D:$U,8,FALSE)&amp;" ("&amp;VLOOKUP(A107,Regularizare!$D:$U,16,FALSE)&amp;")"</f>
        <v>156232 (estimat)</v>
      </c>
      <c r="V107" s="647"/>
      <c r="W107" s="647"/>
      <c r="X107" s="647" t="str">
        <f>_xlfn.CONCAT(VLOOKUP(A107,Regularizare!$D:$U,8,FALSE)-VLOOKUP(A107,Regularizare!$D:$U,7,FALSE)," (",VLOOKUP(A107,Regularizare!$D:$U,16,FALSE),")")</f>
        <v>0 (estimat)</v>
      </c>
      <c r="Y107" s="647"/>
      <c r="Z107" s="647"/>
      <c r="AA107" s="647">
        <f>IF(VLOOKUP(A107,Regularizare!$D:$Y,21,FALSE)=0,VLOOKUP(A107,Regularizare!$D:$Y,21,FALSE),(-1)*VLOOKUP(A107,Regularizare!$D:$Y,21,FALSE))</f>
        <v>0</v>
      </c>
      <c r="AB107" s="647"/>
      <c r="AC107" s="647"/>
      <c r="AD107" s="647" t="s">
        <v>69</v>
      </c>
      <c r="AE107" s="647"/>
      <c r="AF107" s="647">
        <f>AA107</f>
        <v>0</v>
      </c>
      <c r="AG107" s="647"/>
      <c r="AH107" s="647"/>
      <c r="AI107" s="647" t="str">
        <f>AI104</f>
        <v>-</v>
      </c>
      <c r="AJ107" s="647"/>
      <c r="AK107" s="647" t="str">
        <f>AK104</f>
        <v>-</v>
      </c>
      <c r="AL107" s="647"/>
      <c r="AM107" s="647"/>
    </row>
    <row r="108" spans="1:39" ht="8.4499999999999993" customHeight="1">
      <c r="A108" s="717"/>
      <c r="B108" s="718"/>
      <c r="C108" s="718"/>
      <c r="D108" s="718"/>
      <c r="E108" s="718"/>
      <c r="F108" s="719"/>
      <c r="G108" s="648"/>
      <c r="H108" s="648"/>
      <c r="I108" s="648"/>
      <c r="J108" s="717" t="str">
        <f t="shared" si="4"/>
        <v>-</v>
      </c>
      <c r="K108" s="718"/>
      <c r="L108" s="719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1"/>
      <c r="B109" s="682"/>
      <c r="C109" s="682"/>
      <c r="D109" s="682"/>
      <c r="E109" s="682"/>
      <c r="F109" s="683"/>
      <c r="G109" s="648"/>
      <c r="H109" s="648"/>
      <c r="I109" s="648"/>
      <c r="J109" s="714">
        <f t="shared" si="4"/>
        <v>45777</v>
      </c>
      <c r="K109" s="715"/>
      <c r="L109" s="716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78">
        <f>A107</f>
        <v>1372640777</v>
      </c>
      <c r="B110" s="679"/>
      <c r="C110" s="679"/>
      <c r="D110" s="679"/>
      <c r="E110" s="679"/>
      <c r="F110" s="680"/>
      <c r="G110" s="648" t="s">
        <v>731</v>
      </c>
      <c r="H110" s="648"/>
      <c r="I110" s="648"/>
      <c r="J110" s="655">
        <f t="shared" si="4"/>
        <v>45748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VLOOKUP(A110,Regularizare!$D:$U,9,FALSE)&amp;" ("&amp;VLOOKUP(A110,Regularizare!$D:$U,17,FALSE)&amp;")"</f>
        <v>25305 (citit)</v>
      </c>
      <c r="S110" s="647"/>
      <c r="T110" s="647"/>
      <c r="U110" s="647" t="str">
        <f>VLOOKUP(A110,Regularizare!$D:$U,10,FALSE)&amp;" ("&amp;VLOOKUP(A110,Regularizare!$D:$U,18,FALSE)&amp;")"</f>
        <v>25305 (estimat)</v>
      </c>
      <c r="V110" s="647"/>
      <c r="W110" s="647"/>
      <c r="X110" s="647" t="str">
        <f>_xlfn.CONCAT(VLOOKUP(A110,Regularizare!$D:$U,10,FALSE)-VLOOKUP(A110,Regularizare!$D:$U,9,FALSE)," (",VLOOKUP(A110,Regularizare!$D:$U,18,FALSE),")")</f>
        <v>0 (estimat)</v>
      </c>
      <c r="Y110" s="647"/>
      <c r="Z110" s="647"/>
      <c r="AA110" s="647">
        <f>IF(VLOOKUP(A110,Regularizare!$D:$Y,22,FALSE)=0,VLOOKUP(A110,Regularizare!$D:$Y,22,FALSE),(-1)*VLOOKUP(A110,Regularizare!$D:$Y,22,FALSE))</f>
        <v>0</v>
      </c>
      <c r="AB110" s="647"/>
      <c r="AC110" s="647"/>
      <c r="AD110" s="647" t="s">
        <v>69</v>
      </c>
      <c r="AE110" s="647"/>
      <c r="AF110" s="647">
        <f>AA110</f>
        <v>0</v>
      </c>
      <c r="AG110" s="647"/>
      <c r="AH110" s="647"/>
      <c r="AI110" s="647" t="str">
        <f>AI107</f>
        <v>-</v>
      </c>
      <c r="AJ110" s="647"/>
      <c r="AK110" s="647" t="str">
        <f>AK107</f>
        <v>-</v>
      </c>
      <c r="AL110" s="647"/>
      <c r="AM110" s="647"/>
    </row>
    <row r="111" spans="1:39" ht="8.4499999999999993" customHeight="1">
      <c r="A111" s="717"/>
      <c r="B111" s="718"/>
      <c r="C111" s="718"/>
      <c r="D111" s="718"/>
      <c r="E111" s="718"/>
      <c r="F111" s="719"/>
      <c r="G111" s="648"/>
      <c r="H111" s="648"/>
      <c r="I111" s="648"/>
      <c r="J111" s="717" t="str">
        <f t="shared" si="4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1"/>
      <c r="B112" s="682"/>
      <c r="C112" s="682"/>
      <c r="D112" s="682"/>
      <c r="E112" s="682"/>
      <c r="F112" s="683"/>
      <c r="G112" s="648"/>
      <c r="H112" s="648"/>
      <c r="I112" s="648"/>
      <c r="J112" s="714">
        <f t="shared" si="4"/>
        <v>45777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78">
        <f>A110</f>
        <v>1372640777</v>
      </c>
      <c r="B113" s="679"/>
      <c r="C113" s="679"/>
      <c r="D113" s="679"/>
      <c r="E113" s="679"/>
      <c r="F113" s="680"/>
      <c r="G113" s="648" t="s">
        <v>730</v>
      </c>
      <c r="H113" s="648"/>
      <c r="I113" s="673"/>
      <c r="J113" s="655">
        <f>'Date masura OD'!$AK$5</f>
        <v>45748</v>
      </c>
      <c r="K113" s="656"/>
      <c r="L113" s="657"/>
      <c r="M113" s="720" t="s">
        <v>446</v>
      </c>
      <c r="N113" s="648"/>
      <c r="O113" s="648">
        <f>O110</f>
        <v>1</v>
      </c>
      <c r="P113" s="648"/>
      <c r="Q113" s="648"/>
      <c r="R113" s="647" t="str">
        <f>VLOOKUP(A113,Regularizare!$D:$AX,23,FALSE)&amp;" ("&amp;VLOOKUP(A113,Regularizare!$D:$AX,24,FALSE)&amp;")"</f>
        <v>2185032 (citit)</v>
      </c>
      <c r="S113" s="647"/>
      <c r="T113" s="647"/>
      <c r="U113" s="647" t="str">
        <f>VLOOKUP(A113,Regularizare!$D:$AX,25,FALSE)&amp;" ("&amp;VLOOKUP(A113,Regularizare!$D:$AX,26,FALSE)&amp;")"</f>
        <v>2284460 (citit)</v>
      </c>
      <c r="V113" s="647"/>
      <c r="W113" s="647"/>
      <c r="X113" s="647" t="str">
        <f>VLOOKUP(A113,Regularizare!$D:$AX,37,FALSE)&amp;" ("&amp;VLOOKUP(A113,Regularizare!$D:$AX,26,FALSE)&amp;")"</f>
        <v>99428 (citit)</v>
      </c>
      <c r="Y113" s="647"/>
      <c r="Z113" s="647"/>
      <c r="AA113" s="647">
        <f>VLOOKUP(A113,Regularizare!$D:$AX,37,FALSE)</f>
        <v>99428</v>
      </c>
      <c r="AB113" s="647"/>
      <c r="AC113" s="647"/>
      <c r="AD113" s="647" t="s">
        <v>69</v>
      </c>
      <c r="AE113" s="647"/>
      <c r="AF113" s="647">
        <f>AA113</f>
        <v>99428</v>
      </c>
      <c r="AG113" s="647"/>
      <c r="AH113" s="647"/>
      <c r="AI113" s="647" t="str">
        <f>AI110</f>
        <v>-</v>
      </c>
      <c r="AJ113" s="647"/>
      <c r="AK113" s="647" t="str">
        <f>AK110</f>
        <v>-</v>
      </c>
      <c r="AL113" s="647"/>
      <c r="AM113" s="647"/>
    </row>
    <row r="114" spans="1:39" ht="8.4499999999999993" customHeight="1">
      <c r="A114" s="717"/>
      <c r="B114" s="718"/>
      <c r="C114" s="718"/>
      <c r="D114" s="718"/>
      <c r="E114" s="718"/>
      <c r="F114" s="719"/>
      <c r="G114" s="648"/>
      <c r="H114" s="648"/>
      <c r="I114" s="673"/>
      <c r="J114" s="717" t="s">
        <v>69</v>
      </c>
      <c r="K114" s="718"/>
      <c r="L114" s="719"/>
      <c r="M114" s="720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1"/>
      <c r="B115" s="682"/>
      <c r="C115" s="682"/>
      <c r="D115" s="682"/>
      <c r="E115" s="682"/>
      <c r="F115" s="683"/>
      <c r="G115" s="648"/>
      <c r="H115" s="648"/>
      <c r="I115" s="673"/>
      <c r="J115" s="714">
        <f>'Date masura OD'!$AL$5</f>
        <v>45777</v>
      </c>
      <c r="K115" s="715"/>
      <c r="L115" s="716"/>
      <c r="M115" s="720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78">
        <f>A113</f>
        <v>1372640777</v>
      </c>
      <c r="B116" s="679"/>
      <c r="C116" s="679"/>
      <c r="D116" s="679"/>
      <c r="E116" s="679"/>
      <c r="F116" s="680"/>
      <c r="G116" s="648" t="s">
        <v>696</v>
      </c>
      <c r="H116" s="648"/>
      <c r="I116" s="648"/>
      <c r="J116" s="655">
        <f t="shared" ref="J116:J121" si="5">J113</f>
        <v>45748</v>
      </c>
      <c r="K116" s="656"/>
      <c r="L116" s="657"/>
      <c r="M116" s="648" t="s">
        <v>720</v>
      </c>
      <c r="N116" s="648"/>
      <c r="O116" s="648">
        <f>O113</f>
        <v>1</v>
      </c>
      <c r="P116" s="648"/>
      <c r="Q116" s="648"/>
      <c r="R116" s="647" t="str">
        <f>VLOOKUP(A116,Regularizare!$D:$AX,29,FALSE)&amp;" ("&amp;VLOOKUP(A116,Regularizare!$D:$AX,30,FALSE)&amp;")"</f>
        <v>156232 (citit)</v>
      </c>
      <c r="S116" s="647"/>
      <c r="T116" s="647"/>
      <c r="U116" s="647" t="str">
        <f>VLOOKUP(A116,Regularizare!$D:$AX,31,FALSE)&amp;" ("&amp;VLOOKUP(A116,Regularizare!$D:$AX,32,FALSE)&amp;")"</f>
        <v>156465 (citit)</v>
      </c>
      <c r="V116" s="647"/>
      <c r="W116" s="647"/>
      <c r="X116" s="647" t="str">
        <f>VLOOKUP(A116,Regularizare!$D:$AX,39,FALSE)&amp;" ("&amp;VLOOKUP(A116,Regularizare!$D:$AX,32,FALSE)&amp;")"</f>
        <v>233 (citit)</v>
      </c>
      <c r="Y116" s="647"/>
      <c r="Z116" s="647"/>
      <c r="AA116" s="647">
        <f>VLOOKUP(A116,Regularizare!$D:$AX,44,FALSE)+VLOOKUP(A116,Regularizare!$D:$AX,45,FALSE)</f>
        <v>233</v>
      </c>
      <c r="AB116" s="647"/>
      <c r="AC116" s="647"/>
      <c r="AD116" s="647" t="s">
        <v>69</v>
      </c>
      <c r="AE116" s="647"/>
      <c r="AF116" s="647">
        <f>AA116</f>
        <v>233</v>
      </c>
      <c r="AG116" s="647"/>
      <c r="AH116" s="647"/>
      <c r="AI116" s="647" t="str">
        <f>AI113</f>
        <v>-</v>
      </c>
      <c r="AJ116" s="647"/>
      <c r="AK116" s="647" t="str">
        <f>AK113</f>
        <v>-</v>
      </c>
      <c r="AL116" s="647"/>
      <c r="AM116" s="647"/>
    </row>
    <row r="117" spans="1:39" ht="8.4499999999999993" customHeight="1">
      <c r="A117" s="717"/>
      <c r="B117" s="718"/>
      <c r="C117" s="718"/>
      <c r="D117" s="718"/>
      <c r="E117" s="718"/>
      <c r="F117" s="719"/>
      <c r="G117" s="648"/>
      <c r="H117" s="648"/>
      <c r="I117" s="648"/>
      <c r="J117" s="717" t="str">
        <f t="shared" si="5"/>
        <v>-</v>
      </c>
      <c r="K117" s="718"/>
      <c r="L117" s="719"/>
      <c r="M117" s="648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81"/>
      <c r="B118" s="682"/>
      <c r="C118" s="682"/>
      <c r="D118" s="682"/>
      <c r="E118" s="682"/>
      <c r="F118" s="683"/>
      <c r="G118" s="648"/>
      <c r="H118" s="648"/>
      <c r="I118" s="648"/>
      <c r="J118" s="714">
        <f t="shared" si="5"/>
        <v>45777</v>
      </c>
      <c r="K118" s="715"/>
      <c r="L118" s="716"/>
      <c r="M118" s="648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>
      <c r="A119" s="678">
        <f>A116</f>
        <v>1372640777</v>
      </c>
      <c r="B119" s="679"/>
      <c r="C119" s="679"/>
      <c r="D119" s="679"/>
      <c r="E119" s="679"/>
      <c r="F119" s="680"/>
      <c r="G119" s="648" t="s">
        <v>731</v>
      </c>
      <c r="H119" s="648"/>
      <c r="I119" s="648"/>
      <c r="J119" s="655">
        <f t="shared" si="5"/>
        <v>45748</v>
      </c>
      <c r="K119" s="656"/>
      <c r="L119" s="657"/>
      <c r="M119" s="648" t="s">
        <v>720</v>
      </c>
      <c r="N119" s="648"/>
      <c r="O119" s="648">
        <f>O116</f>
        <v>1</v>
      </c>
      <c r="P119" s="648"/>
      <c r="Q119" s="648"/>
      <c r="R119" s="647" t="str">
        <f>VLOOKUP(A119,Regularizare!$D:$AX,33,FALSE)&amp;" ("&amp;VLOOKUP(A119,Regularizare!$D:$AX,34,FALSE)&amp;")"</f>
        <v>25305 (citit)</v>
      </c>
      <c r="S119" s="647"/>
      <c r="T119" s="647"/>
      <c r="U119" s="647" t="str">
        <f>VLOOKUP(A119,Regularizare!$D:$AX,35,FALSE)&amp;" ("&amp;VLOOKUP(A119,Regularizare!$D:$AX,36,FALSE)&amp;")"</f>
        <v>25305 (citit)</v>
      </c>
      <c r="V119" s="647"/>
      <c r="W119" s="647"/>
      <c r="X119" s="647" t="str">
        <f>VLOOKUP(A119,Regularizare!$D:$AX,40,FALSE)&amp;" ("&amp;VLOOKUP(A119,Regularizare!$D:$AX,36,FALSE)&amp;")"</f>
        <v>0 (citit)</v>
      </c>
      <c r="Y119" s="647"/>
      <c r="Z119" s="647"/>
      <c r="AA119" s="647">
        <f>VLOOKUP(A119,Regularizare!$D:$AX,46,FALSE)+VLOOKUP(A119,Regularizare!$D:$AX,47,FALSE)</f>
        <v>0</v>
      </c>
      <c r="AB119" s="647"/>
      <c r="AC119" s="647"/>
      <c r="AD119" s="647" t="s">
        <v>69</v>
      </c>
      <c r="AE119" s="647"/>
      <c r="AF119" s="647">
        <f>AA119</f>
        <v>0</v>
      </c>
      <c r="AG119" s="647"/>
      <c r="AH119" s="647"/>
      <c r="AI119" s="647" t="str">
        <f>AI116</f>
        <v>-</v>
      </c>
      <c r="AJ119" s="647"/>
      <c r="AK119" s="647" t="str">
        <f>AK116</f>
        <v>-</v>
      </c>
      <c r="AL119" s="647"/>
      <c r="AM119" s="647"/>
    </row>
    <row r="120" spans="1:39" ht="8.4499999999999993" customHeight="1">
      <c r="A120" s="717"/>
      <c r="B120" s="718"/>
      <c r="C120" s="718"/>
      <c r="D120" s="718"/>
      <c r="E120" s="718"/>
      <c r="F120" s="719"/>
      <c r="G120" s="648"/>
      <c r="H120" s="648"/>
      <c r="I120" s="648"/>
      <c r="J120" s="717" t="str">
        <f t="shared" si="5"/>
        <v>-</v>
      </c>
      <c r="K120" s="718"/>
      <c r="L120" s="719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81"/>
      <c r="B121" s="682"/>
      <c r="C121" s="682"/>
      <c r="D121" s="682"/>
      <c r="E121" s="682"/>
      <c r="F121" s="683"/>
      <c r="G121" s="648"/>
      <c r="H121" s="648"/>
      <c r="I121" s="648"/>
      <c r="J121" s="714">
        <f t="shared" si="5"/>
        <v>45777</v>
      </c>
      <c r="K121" s="715"/>
      <c r="L121" s="716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78">
        <f>A119</f>
        <v>1372640777</v>
      </c>
      <c r="B122" s="679"/>
      <c r="C122" s="679"/>
      <c r="D122" s="679"/>
      <c r="E122" s="679"/>
      <c r="F122" s="680"/>
      <c r="G122" s="648" t="s">
        <v>730</v>
      </c>
      <c r="H122" s="648"/>
      <c r="I122" s="673"/>
      <c r="J122" s="655">
        <f>'Date masura OD'!$I$5</f>
        <v>45778</v>
      </c>
      <c r="K122" s="656"/>
      <c r="L122" s="657"/>
      <c r="M122" s="720" t="s">
        <v>446</v>
      </c>
      <c r="N122" s="648"/>
      <c r="O122" s="648">
        <f>O119</f>
        <v>1</v>
      </c>
      <c r="P122" s="648"/>
      <c r="Q122" s="648"/>
      <c r="R122" s="647" t="str">
        <f>U113</f>
        <v>2284460 (citit)</v>
      </c>
      <c r="S122" s="647"/>
      <c r="T122" s="647"/>
      <c r="U122" s="647" t="str">
        <f>VLOOKUP(A122,'Incrementare indexe'!$D:$M,4,FALSE)&amp;" (estimat)"</f>
        <v>2403017 (estimat)</v>
      </c>
      <c r="V122" s="647"/>
      <c r="W122" s="647"/>
      <c r="X122" s="647" t="str">
        <f>VLOOKUP(A122,'Incrementare indexe'!$D:$Q,11,FALSE)&amp;" (estimat)"</f>
        <v>118557 (estimat)</v>
      </c>
      <c r="Y122" s="647"/>
      <c r="Z122" s="647"/>
      <c r="AA122" s="647" t="s">
        <v>69</v>
      </c>
      <c r="AB122" s="647"/>
      <c r="AC122" s="647"/>
      <c r="AD122" s="647" t="s">
        <v>69</v>
      </c>
      <c r="AE122" s="647"/>
      <c r="AF122" s="647">
        <f>VLOOKUP(A122,'Incrementare indexe'!$D:$Q,11,FALSE)</f>
        <v>118557</v>
      </c>
      <c r="AG122" s="647"/>
      <c r="AH122" s="647"/>
      <c r="AI122" s="647">
        <f>J124-J122+1</f>
        <v>31</v>
      </c>
      <c r="AJ122" s="647"/>
      <c r="AK122" s="647">
        <f>ROUND(AF122/AI122,2)</f>
        <v>3824.42</v>
      </c>
      <c r="AL122" s="647"/>
      <c r="AM122" s="647"/>
    </row>
    <row r="123" spans="1:39" ht="8.4499999999999993" customHeight="1">
      <c r="A123" s="717"/>
      <c r="B123" s="718"/>
      <c r="C123" s="718"/>
      <c r="D123" s="718"/>
      <c r="E123" s="718"/>
      <c r="F123" s="719"/>
      <c r="G123" s="648"/>
      <c r="H123" s="648"/>
      <c r="I123" s="673"/>
      <c r="J123" s="717" t="s">
        <v>69</v>
      </c>
      <c r="K123" s="718"/>
      <c r="L123" s="719"/>
      <c r="M123" s="720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1"/>
      <c r="B124" s="682"/>
      <c r="C124" s="682"/>
      <c r="D124" s="682"/>
      <c r="E124" s="682"/>
      <c r="F124" s="683"/>
      <c r="G124" s="648"/>
      <c r="H124" s="648"/>
      <c r="I124" s="673"/>
      <c r="J124" s="714">
        <f>'Date masura OD'!$J$5</f>
        <v>45808</v>
      </c>
      <c r="K124" s="715"/>
      <c r="L124" s="716"/>
      <c r="M124" s="720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78">
        <f>A122</f>
        <v>1372640777</v>
      </c>
      <c r="B125" s="679"/>
      <c r="C125" s="679"/>
      <c r="D125" s="679"/>
      <c r="E125" s="679"/>
      <c r="F125" s="680"/>
      <c r="G125" s="648" t="s">
        <v>696</v>
      </c>
      <c r="H125" s="648"/>
      <c r="I125" s="648"/>
      <c r="J125" s="655">
        <f t="shared" ref="J125:J130" si="6">J122</f>
        <v>45778</v>
      </c>
      <c r="K125" s="656"/>
      <c r="L125" s="657"/>
      <c r="M125" s="648" t="s">
        <v>720</v>
      </c>
      <c r="N125" s="648"/>
      <c r="O125" s="648">
        <f>O122</f>
        <v>1</v>
      </c>
      <c r="P125" s="648"/>
      <c r="Q125" s="648"/>
      <c r="R125" s="647" t="str">
        <f>U116</f>
        <v>156465 (citit)</v>
      </c>
      <c r="S125" s="647"/>
      <c r="T125" s="647"/>
      <c r="U125" s="647" t="str">
        <f>VLOOKUP(A125,'Incrementare indexe'!$D:$M,8,FALSE)&amp;" (estimat)"</f>
        <v>156465 (estimat)</v>
      </c>
      <c r="V125" s="647"/>
      <c r="W125" s="647"/>
      <c r="X125" s="647" t="str">
        <f>VLOOKUP(A125,'Incrementare indexe'!$D:$Q,12,FALSE)&amp;" (estimat)"</f>
        <v>0 (estimat)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f>VLOOKUP(A125,'Incrementare indexe'!$D:$Q,12,FALSE)</f>
        <v>0</v>
      </c>
      <c r="AG125" s="647"/>
      <c r="AH125" s="647"/>
      <c r="AI125" s="647">
        <f>AI122</f>
        <v>31</v>
      </c>
      <c r="AJ125" s="647"/>
      <c r="AK125" s="647">
        <f>ROUND(AF125/AI125,2)</f>
        <v>0</v>
      </c>
      <c r="AL125" s="647"/>
      <c r="AM125" s="647"/>
    </row>
    <row r="126" spans="1:39" ht="8.4499999999999993" customHeight="1">
      <c r="A126" s="717"/>
      <c r="B126" s="718"/>
      <c r="C126" s="718"/>
      <c r="D126" s="718"/>
      <c r="E126" s="718"/>
      <c r="F126" s="719"/>
      <c r="G126" s="648"/>
      <c r="H126" s="648"/>
      <c r="I126" s="648"/>
      <c r="J126" s="717" t="str">
        <f t="shared" si="6"/>
        <v>-</v>
      </c>
      <c r="K126" s="718"/>
      <c r="L126" s="719"/>
      <c r="M126" s="648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1"/>
      <c r="B127" s="682"/>
      <c r="C127" s="682"/>
      <c r="D127" s="682"/>
      <c r="E127" s="682"/>
      <c r="F127" s="683"/>
      <c r="G127" s="648"/>
      <c r="H127" s="648"/>
      <c r="I127" s="648"/>
      <c r="J127" s="714">
        <f t="shared" si="6"/>
        <v>45808</v>
      </c>
      <c r="K127" s="715"/>
      <c r="L127" s="716"/>
      <c r="M127" s="648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78">
        <f>A125</f>
        <v>1372640777</v>
      </c>
      <c r="B128" s="679"/>
      <c r="C128" s="679"/>
      <c r="D128" s="679"/>
      <c r="E128" s="679"/>
      <c r="F128" s="680"/>
      <c r="G128" s="648" t="s">
        <v>731</v>
      </c>
      <c r="H128" s="648"/>
      <c r="I128" s="648"/>
      <c r="J128" s="655">
        <f t="shared" si="6"/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tr">
        <f>U119</f>
        <v>25305 (citit)</v>
      </c>
      <c r="S128" s="647"/>
      <c r="T128" s="647"/>
      <c r="U128" s="647" t="str">
        <f>VLOOKUP(A128,'Incrementare indexe'!$D:$M,10,FALSE)&amp;" (estimat)"</f>
        <v>25305 (estimat)</v>
      </c>
      <c r="V128" s="647"/>
      <c r="W128" s="647"/>
      <c r="X128" s="647" t="str">
        <f>VLOOKUP(A128,'Incrementare indexe'!$D:$Q,13,FALSE)&amp;" (estimat)"</f>
        <v>0 (estimat)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f>VLOOKUP(A128,'Incrementare indexe'!$D:$Q,13,FALSE)</f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8.4499999999999993" customHeight="1">
      <c r="A129" s="717"/>
      <c r="B129" s="718"/>
      <c r="C129" s="718"/>
      <c r="D129" s="718"/>
      <c r="E129" s="718"/>
      <c r="F129" s="719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1"/>
      <c r="B130" s="682"/>
      <c r="C130" s="682"/>
      <c r="D130" s="682"/>
      <c r="E130" s="682"/>
      <c r="F130" s="683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196"/>
      <c r="B131" s="196"/>
      <c r="C131" s="196"/>
      <c r="D131" s="196"/>
      <c r="E131" s="196"/>
      <c r="F131" s="196"/>
      <c r="G131" s="196"/>
      <c r="H131" s="196"/>
      <c r="I131" s="196"/>
      <c r="J131" s="197"/>
      <c r="K131" s="197"/>
      <c r="L131" s="197"/>
      <c r="M131" s="196"/>
      <c r="N131" s="196"/>
      <c r="O131" s="196"/>
      <c r="P131" s="196"/>
      <c r="Q131" s="196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</row>
    <row r="132" spans="1:39" ht="14.1" customHeight="1">
      <c r="A132" s="196"/>
      <c r="B132" s="196"/>
      <c r="C132" s="196"/>
      <c r="D132" s="196"/>
      <c r="E132" s="196"/>
      <c r="F132" s="196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</row>
    <row r="134" spans="1:39" ht="14.1" customHeight="1">
      <c r="A134" s="721" t="s">
        <v>1196</v>
      </c>
      <c r="B134" s="722"/>
      <c r="C134" s="722"/>
      <c r="D134" s="722"/>
      <c r="E134" s="722"/>
      <c r="F134" s="722"/>
      <c r="G134" s="722"/>
      <c r="H134" s="722"/>
      <c r="I134" s="722"/>
      <c r="J134" s="722"/>
      <c r="K134" s="722"/>
      <c r="L134" s="722"/>
      <c r="M134" s="722"/>
      <c r="N134" s="722"/>
      <c r="O134" s="722"/>
      <c r="P134" s="722"/>
      <c r="Q134" s="722"/>
      <c r="R134" s="722"/>
      <c r="S134" s="722"/>
      <c r="T134" s="722"/>
      <c r="U134" s="722"/>
      <c r="V134" s="722"/>
      <c r="W134" s="722"/>
      <c r="X134" s="722"/>
      <c r="Y134" s="722"/>
      <c r="Z134" s="722"/>
      <c r="AA134" s="722"/>
      <c r="AB134" s="722"/>
      <c r="AC134" s="722"/>
      <c r="AD134" s="722"/>
      <c r="AE134" s="722"/>
      <c r="AF134" s="722"/>
      <c r="AG134" s="722"/>
      <c r="AH134" s="723"/>
      <c r="AI134" s="650" t="s">
        <v>695</v>
      </c>
      <c r="AJ134" s="650"/>
      <c r="AK134" s="650"/>
      <c r="AL134" s="650"/>
      <c r="AM134" s="650"/>
    </row>
    <row r="135" spans="1:39" ht="14.1" customHeight="1">
      <c r="A135" s="649" t="s">
        <v>746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">
        <v>514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 t="str">
        <f>_xlfn.CONCAT(AI99,"/PV")</f>
        <v>RNSS_1.2/PV</v>
      </c>
      <c r="AJ135" s="619"/>
      <c r="AK135" s="619"/>
      <c r="AL135" s="619"/>
      <c r="AM135" s="619"/>
    </row>
    <row r="136" spans="1:39" ht="14.1" customHeight="1">
      <c r="A136" s="649" t="s">
        <v>747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">
        <v>1087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19"/>
      <c r="AJ136" s="619"/>
      <c r="AK136" s="619"/>
      <c r="AL136" s="619"/>
      <c r="AM136" s="619"/>
    </row>
    <row r="137" spans="1:39" ht="14.1" customHeight="1">
      <c r="A137" s="648" t="s">
        <v>697</v>
      </c>
      <c r="B137" s="648"/>
      <c r="C137" s="648"/>
      <c r="D137" s="648"/>
      <c r="E137" s="648"/>
      <c r="F137" s="648"/>
      <c r="G137" s="647" t="s">
        <v>713</v>
      </c>
      <c r="H137" s="647"/>
      <c r="I137" s="647"/>
      <c r="J137" s="647" t="s">
        <v>714</v>
      </c>
      <c r="K137" s="647"/>
      <c r="L137" s="647"/>
      <c r="M137" s="648" t="s">
        <v>519</v>
      </c>
      <c r="N137" s="648"/>
      <c r="O137" s="648" t="s">
        <v>715</v>
      </c>
      <c r="P137" s="648"/>
      <c r="Q137" s="648"/>
      <c r="R137" s="647" t="s">
        <v>732</v>
      </c>
      <c r="S137" s="647"/>
      <c r="T137" s="647"/>
      <c r="U137" s="647" t="s">
        <v>734</v>
      </c>
      <c r="V137" s="647"/>
      <c r="W137" s="647"/>
      <c r="X137" s="647" t="s">
        <v>1085</v>
      </c>
      <c r="Y137" s="647"/>
      <c r="Z137" s="647"/>
      <c r="AA137" s="647" t="s">
        <v>1086</v>
      </c>
      <c r="AB137" s="647"/>
      <c r="AC137" s="647"/>
      <c r="AD137" s="647" t="s">
        <v>717</v>
      </c>
      <c r="AE137" s="647"/>
      <c r="AF137" s="647" t="s">
        <v>718</v>
      </c>
      <c r="AG137" s="647"/>
      <c r="AH137" s="647"/>
      <c r="AI137" s="647" t="s">
        <v>719</v>
      </c>
      <c r="AJ137" s="647"/>
      <c r="AK137" s="647" t="s">
        <v>733</v>
      </c>
      <c r="AL137" s="647"/>
      <c r="AM137" s="647"/>
    </row>
    <row r="138" spans="1:39" ht="14.1" customHeight="1">
      <c r="A138" s="648"/>
      <c r="B138" s="648"/>
      <c r="C138" s="648"/>
      <c r="D138" s="648"/>
      <c r="E138" s="648"/>
      <c r="F138" s="648"/>
      <c r="G138" s="647"/>
      <c r="H138" s="647"/>
      <c r="I138" s="647"/>
      <c r="J138" s="647"/>
      <c r="K138" s="647"/>
      <c r="L138" s="647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48"/>
      <c r="B139" s="648"/>
      <c r="C139" s="648"/>
      <c r="D139" s="648"/>
      <c r="E139" s="648"/>
      <c r="F139" s="648"/>
      <c r="G139" s="647"/>
      <c r="H139" s="647"/>
      <c r="I139" s="647"/>
      <c r="J139" s="713"/>
      <c r="K139" s="713"/>
      <c r="L139" s="713"/>
      <c r="M139" s="648"/>
      <c r="N139" s="648"/>
      <c r="O139" s="648"/>
      <c r="P139" s="648"/>
      <c r="Q139" s="648"/>
      <c r="R139" s="647"/>
      <c r="S139" s="647"/>
      <c r="T139" s="647"/>
      <c r="U139" s="647"/>
      <c r="V139" s="647"/>
      <c r="W139" s="647"/>
      <c r="X139" s="647"/>
      <c r="Y139" s="647"/>
      <c r="Z139" s="647"/>
      <c r="AA139" s="647"/>
      <c r="AB139" s="647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</row>
    <row r="140" spans="1:39" ht="14.1" customHeight="1">
      <c r="A140" s="678">
        <f>VLOOKUP(AI135,'Incrementare indexe'!$B:$I,3,FALSE)</f>
        <v>1372644177</v>
      </c>
      <c r="B140" s="679"/>
      <c r="C140" s="679"/>
      <c r="D140" s="679"/>
      <c r="E140" s="679"/>
      <c r="F140" s="680"/>
      <c r="G140" s="647" t="s">
        <v>1088</v>
      </c>
      <c r="H140" s="647"/>
      <c r="I140" s="675"/>
      <c r="J140" s="655">
        <f>'Date masura OD'!$I$5</f>
        <v>45778</v>
      </c>
      <c r="K140" s="656"/>
      <c r="L140" s="657"/>
      <c r="M140" s="720" t="s">
        <v>446</v>
      </c>
      <c r="N140" s="648"/>
      <c r="O140" s="648">
        <f>VLOOKUP(AI135,'Incrementare indexe'!$B:$I,4,FALSE)</f>
        <v>1</v>
      </c>
      <c r="P140" s="648"/>
      <c r="Q140" s="648"/>
      <c r="R140" s="647" t="str">
        <f>VLOOKUP(AI135,'Incrementare indexe'!$B:$I,7,FALSE)&amp;" (citit)"</f>
        <v>1224362 (citit)</v>
      </c>
      <c r="S140" s="647"/>
      <c r="T140" s="647"/>
      <c r="U140" s="647" t="str">
        <f>VLOOKUP(AI135,'Incrementare indexe'!$B:$I,8,FALSE)&amp;" (citit)"</f>
        <v>1319228 (citit)</v>
      </c>
      <c r="V140" s="647"/>
      <c r="W140" s="647"/>
      <c r="X140" s="647" t="str">
        <f>(VLOOKUP(AI135,'Incrementare indexe'!$B:$I,8,FALSE)-VLOOKUP(AI135,'Incrementare indexe'!$B:$I,7,FALSE))&amp;" (citit)"</f>
        <v>94866 (citit)</v>
      </c>
      <c r="Y140" s="647"/>
      <c r="Z140" s="647"/>
      <c r="AA140" s="647" t="s">
        <v>69</v>
      </c>
      <c r="AB140" s="647"/>
      <c r="AC140" s="647"/>
      <c r="AD140" s="647" t="s">
        <v>69</v>
      </c>
      <c r="AE140" s="647"/>
      <c r="AF140" s="647">
        <f>(VLOOKUP(AI135,'Incrementare indexe'!$B:$I,8,FALSE)-VLOOKUP(AI135,'Incrementare indexe'!$B:$I,7,FALSE))</f>
        <v>94866</v>
      </c>
      <c r="AG140" s="647"/>
      <c r="AH140" s="647"/>
      <c r="AI140" s="647">
        <f>J142-J140+1</f>
        <v>31</v>
      </c>
      <c r="AJ140" s="647"/>
      <c r="AK140" s="647">
        <f>ROUND(AF140/AI140,2)</f>
        <v>3060.19</v>
      </c>
      <c r="AL140" s="647"/>
      <c r="AM140" s="647"/>
    </row>
    <row r="141" spans="1:39" ht="14.1" customHeight="1">
      <c r="A141" s="717"/>
      <c r="B141" s="718"/>
      <c r="C141" s="718"/>
      <c r="D141" s="718"/>
      <c r="E141" s="718"/>
      <c r="F141" s="719"/>
      <c r="G141" s="647"/>
      <c r="H141" s="647"/>
      <c r="I141" s="675"/>
      <c r="J141" s="717" t="s">
        <v>69</v>
      </c>
      <c r="K141" s="718"/>
      <c r="L141" s="719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1"/>
      <c r="B142" s="682"/>
      <c r="C142" s="682"/>
      <c r="D142" s="682"/>
      <c r="E142" s="682"/>
      <c r="F142" s="683"/>
      <c r="G142" s="647"/>
      <c r="H142" s="647"/>
      <c r="I142" s="675"/>
      <c r="J142" s="714">
        <f>'Date masura OD'!$J$5</f>
        <v>45808</v>
      </c>
      <c r="K142" s="715"/>
      <c r="L142" s="716"/>
      <c r="M142" s="720"/>
      <c r="N142" s="648"/>
      <c r="O142" s="648"/>
      <c r="P142" s="648"/>
      <c r="Q142" s="648"/>
      <c r="R142" s="647"/>
      <c r="S142" s="647"/>
      <c r="T142" s="647"/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647"/>
      <c r="AL142" s="647"/>
      <c r="AM142" s="647"/>
    </row>
    <row r="143" spans="1:39" ht="14.1" customHeight="1">
      <c r="A143" s="678">
        <f>A140</f>
        <v>1372644177</v>
      </c>
      <c r="B143" s="679"/>
      <c r="C143" s="679"/>
      <c r="D143" s="679"/>
      <c r="E143" s="679"/>
      <c r="F143" s="680"/>
      <c r="G143" s="648" t="s">
        <v>696</v>
      </c>
      <c r="H143" s="648"/>
      <c r="I143" s="648"/>
      <c r="J143" s="655">
        <f t="shared" ref="J143:J148" si="7">J140</f>
        <v>45778</v>
      </c>
      <c r="K143" s="656"/>
      <c r="L143" s="657"/>
      <c r="M143" s="648" t="s">
        <v>720</v>
      </c>
      <c r="N143" s="648"/>
      <c r="O143" s="648">
        <f>O140</f>
        <v>1</v>
      </c>
      <c r="P143" s="648"/>
      <c r="Q143" s="648"/>
      <c r="R143" s="647" t="s">
        <v>1089</v>
      </c>
      <c r="S143" s="647"/>
      <c r="T143" s="647"/>
      <c r="U143" s="647" t="s">
        <v>1089</v>
      </c>
      <c r="V143" s="647"/>
      <c r="W143" s="647"/>
      <c r="X143" s="647" t="s">
        <v>1089</v>
      </c>
      <c r="Y143" s="647"/>
      <c r="Z143" s="647"/>
      <c r="AA143" s="647" t="s">
        <v>69</v>
      </c>
      <c r="AB143" s="647"/>
      <c r="AC143" s="647"/>
      <c r="AD143" s="647" t="s">
        <v>69</v>
      </c>
      <c r="AE143" s="647"/>
      <c r="AF143" s="647">
        <v>0</v>
      </c>
      <c r="AG143" s="647"/>
      <c r="AH143" s="647"/>
      <c r="AI143" s="647">
        <f>AI140</f>
        <v>31</v>
      </c>
      <c r="AJ143" s="647"/>
      <c r="AK143" s="647">
        <f>ROUND(AF143/AI143,2)</f>
        <v>0</v>
      </c>
      <c r="AL143" s="647"/>
      <c r="AM143" s="647"/>
    </row>
    <row r="144" spans="1:39" ht="14.1" customHeight="1">
      <c r="A144" s="717"/>
      <c r="B144" s="718"/>
      <c r="C144" s="718"/>
      <c r="D144" s="718"/>
      <c r="E144" s="718"/>
      <c r="F144" s="719"/>
      <c r="G144" s="648"/>
      <c r="H144" s="648"/>
      <c r="I144" s="648"/>
      <c r="J144" s="717" t="str">
        <f t="shared" si="7"/>
        <v>-</v>
      </c>
      <c r="K144" s="718"/>
      <c r="L144" s="719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1"/>
      <c r="B145" s="682"/>
      <c r="C145" s="682"/>
      <c r="D145" s="682"/>
      <c r="E145" s="682"/>
      <c r="F145" s="683"/>
      <c r="G145" s="648"/>
      <c r="H145" s="648"/>
      <c r="I145" s="648"/>
      <c r="J145" s="714">
        <f t="shared" si="7"/>
        <v>45808</v>
      </c>
      <c r="K145" s="715"/>
      <c r="L145" s="716"/>
      <c r="M145" s="648"/>
      <c r="N145" s="648"/>
      <c r="O145" s="648"/>
      <c r="P145" s="648"/>
      <c r="Q145" s="648"/>
      <c r="R145" s="647"/>
      <c r="S145" s="647"/>
      <c r="T145" s="647"/>
      <c r="U145" s="647"/>
      <c r="V145" s="647"/>
      <c r="W145" s="647"/>
      <c r="X145" s="647"/>
      <c r="Y145" s="647"/>
      <c r="Z145" s="647"/>
      <c r="AA145" s="647"/>
      <c r="AB145" s="647"/>
      <c r="AC145" s="647"/>
      <c r="AD145" s="647"/>
      <c r="AE145" s="647"/>
      <c r="AF145" s="647"/>
      <c r="AG145" s="647"/>
      <c r="AH145" s="647"/>
      <c r="AI145" s="647"/>
      <c r="AJ145" s="647"/>
      <c r="AK145" s="647"/>
      <c r="AL145" s="647"/>
      <c r="AM145" s="647"/>
    </row>
    <row r="146" spans="1:39" ht="14.1" customHeight="1">
      <c r="A146" s="678">
        <f>A143</f>
        <v>1372644177</v>
      </c>
      <c r="B146" s="679"/>
      <c r="C146" s="679"/>
      <c r="D146" s="679"/>
      <c r="E146" s="679"/>
      <c r="F146" s="680"/>
      <c r="G146" s="648" t="s">
        <v>731</v>
      </c>
      <c r="H146" s="648"/>
      <c r="I146" s="648"/>
      <c r="J146" s="655">
        <f t="shared" si="7"/>
        <v>45778</v>
      </c>
      <c r="K146" s="656"/>
      <c r="L146" s="657"/>
      <c r="M146" s="648" t="s">
        <v>720</v>
      </c>
      <c r="N146" s="648"/>
      <c r="O146" s="648">
        <f>O143</f>
        <v>1</v>
      </c>
      <c r="P146" s="648"/>
      <c r="Q146" s="648"/>
      <c r="R146" s="647" t="s">
        <v>1089</v>
      </c>
      <c r="S146" s="647"/>
      <c r="T146" s="647"/>
      <c r="U146" s="647" t="s">
        <v>1089</v>
      </c>
      <c r="V146" s="647"/>
      <c r="W146" s="647"/>
      <c r="X146" s="647" t="s">
        <v>1089</v>
      </c>
      <c r="Y146" s="647"/>
      <c r="Z146" s="647"/>
      <c r="AA146" s="647" t="s">
        <v>69</v>
      </c>
      <c r="AB146" s="647"/>
      <c r="AC146" s="647"/>
      <c r="AD146" s="647" t="s">
        <v>69</v>
      </c>
      <c r="AE146" s="647"/>
      <c r="AF146" s="647">
        <v>0</v>
      </c>
      <c r="AG146" s="647"/>
      <c r="AH146" s="647"/>
      <c r="AI146" s="647">
        <f>AI143</f>
        <v>31</v>
      </c>
      <c r="AJ146" s="647"/>
      <c r="AK146" s="647">
        <f>ROUND(AF146/AI146,2)</f>
        <v>0</v>
      </c>
      <c r="AL146" s="647"/>
      <c r="AM146" s="647"/>
    </row>
    <row r="147" spans="1:39" ht="14.1" customHeight="1">
      <c r="A147" s="717"/>
      <c r="B147" s="718"/>
      <c r="C147" s="718"/>
      <c r="D147" s="718"/>
      <c r="E147" s="718"/>
      <c r="F147" s="719"/>
      <c r="G147" s="648"/>
      <c r="H147" s="648"/>
      <c r="I147" s="648"/>
      <c r="J147" s="717" t="str">
        <f t="shared" si="7"/>
        <v>-</v>
      </c>
      <c r="K147" s="718"/>
      <c r="L147" s="719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1"/>
      <c r="B148" s="682"/>
      <c r="C148" s="682"/>
      <c r="D148" s="682"/>
      <c r="E148" s="682"/>
      <c r="F148" s="683"/>
      <c r="G148" s="648"/>
      <c r="H148" s="648"/>
      <c r="I148" s="648"/>
      <c r="J148" s="714">
        <f t="shared" si="7"/>
        <v>45808</v>
      </c>
      <c r="K148" s="715"/>
      <c r="L148" s="716"/>
      <c r="M148" s="648"/>
      <c r="N148" s="648"/>
      <c r="O148" s="648"/>
      <c r="P148" s="648"/>
      <c r="Q148" s="648"/>
      <c r="R148" s="647"/>
      <c r="S148" s="647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647"/>
      <c r="AL148" s="647"/>
      <c r="AM148" s="647"/>
    </row>
    <row r="149" spans="1:39" ht="14.1" customHeight="1">
      <c r="A149" s="196"/>
      <c r="B149" s="196"/>
      <c r="C149" s="196"/>
      <c r="D149" s="196"/>
      <c r="E149" s="196"/>
      <c r="F149" s="196"/>
      <c r="G149" s="196"/>
      <c r="H149" s="196"/>
      <c r="I149" s="196"/>
      <c r="J149" s="197"/>
      <c r="K149" s="197"/>
      <c r="L149" s="197"/>
      <c r="M149" s="196"/>
      <c r="N149" s="196"/>
      <c r="O149" s="196"/>
      <c r="P149" s="196"/>
      <c r="Q149" s="196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</row>
    <row r="150" spans="1:39" ht="14.1" customHeight="1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</row>
    <row r="151" spans="1:39" ht="14.1" customHeight="1">
      <c r="A151" s="695" t="s">
        <v>858</v>
      </c>
      <c r="B151" s="695"/>
      <c r="C151" s="695"/>
      <c r="D151" s="695"/>
      <c r="E151" s="695"/>
      <c r="F151" s="695"/>
      <c r="G151" s="695"/>
      <c r="H151" s="695" t="str">
        <f>VLOOKUP($AA$16,'Date SPV'!$B:$H,4,FALSE)</f>
        <v>Sos. Sibiului, nr. 5, loc. Sibiu, jud. Sibiu</v>
      </c>
      <c r="I151" s="695"/>
      <c r="J151" s="695"/>
      <c r="K151" s="695"/>
      <c r="L151" s="695"/>
      <c r="M151" s="695"/>
      <c r="N151" s="695"/>
      <c r="O151" s="695"/>
      <c r="P151" s="695"/>
      <c r="Q151" s="695"/>
      <c r="R151" s="695"/>
      <c r="S151" s="695"/>
      <c r="T151" s="695"/>
      <c r="U151" s="695"/>
      <c r="V151" s="695"/>
      <c r="W151" s="695"/>
      <c r="X151" s="695"/>
      <c r="Y151" s="695"/>
      <c r="Z151" s="695"/>
      <c r="AA151" s="695"/>
      <c r="AB151" s="695"/>
      <c r="AC151" s="695"/>
      <c r="AD151" s="695"/>
      <c r="AE151" s="695"/>
      <c r="AF151" s="695"/>
      <c r="AG151" s="695"/>
      <c r="AH151" s="695"/>
      <c r="AI151" s="695"/>
      <c r="AJ151" s="695"/>
      <c r="AK151" s="695"/>
      <c r="AL151" s="695"/>
      <c r="AM151" s="695"/>
    </row>
    <row r="152" spans="1:39" ht="14.1" customHeight="1">
      <c r="A152" s="695"/>
      <c r="B152" s="695"/>
      <c r="C152" s="695"/>
      <c r="D152" s="695"/>
      <c r="E152" s="695"/>
      <c r="F152" s="695"/>
      <c r="G152" s="695"/>
      <c r="H152" s="695"/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95"/>
      <c r="V152" s="695"/>
      <c r="W152" s="695"/>
      <c r="X152" s="695"/>
      <c r="Y152" s="695"/>
      <c r="Z152" s="695"/>
      <c r="AA152" s="695"/>
      <c r="AB152" s="695"/>
      <c r="AC152" s="695"/>
      <c r="AD152" s="695"/>
      <c r="AE152" s="695"/>
      <c r="AF152" s="695"/>
      <c r="AG152" s="695"/>
      <c r="AH152" s="695"/>
      <c r="AI152" s="695"/>
      <c r="AJ152" s="695"/>
      <c r="AK152" s="695"/>
      <c r="AL152" s="695"/>
      <c r="AM152" s="695"/>
    </row>
    <row r="153" spans="1:39" ht="14.1" customHeight="1">
      <c r="A153" s="695" t="s">
        <v>859</v>
      </c>
      <c r="B153" s="695"/>
      <c r="C153" s="695"/>
      <c r="D153" s="695"/>
      <c r="E153" s="695"/>
      <c r="F153" s="695"/>
      <c r="G153" s="695"/>
      <c r="H153" s="712">
        <f>VLOOKUP(AA153,'Date masura OD'!$G:$BE,51,FALSE)</f>
        <v>5000126191</v>
      </c>
      <c r="I153" s="712"/>
      <c r="J153" s="712"/>
      <c r="K153" s="712"/>
      <c r="L153" s="712"/>
      <c r="M153" s="712"/>
      <c r="N153" s="712"/>
      <c r="O153" s="712"/>
      <c r="P153" s="712"/>
      <c r="Q153" s="712"/>
      <c r="R153" s="712"/>
      <c r="S153" s="712"/>
      <c r="T153" s="712"/>
      <c r="U153" s="712"/>
      <c r="V153" s="712"/>
      <c r="W153" s="712" t="s">
        <v>860</v>
      </c>
      <c r="X153" s="712"/>
      <c r="Y153" s="712"/>
      <c r="Z153" s="712"/>
      <c r="AA153" s="640" t="str">
        <f>_xlfn.CONCAT($AA$16,"_",2)</f>
        <v>RNSS_2</v>
      </c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</row>
    <row r="154" spans="1:39" ht="14.1" customHeight="1">
      <c r="A154" s="695"/>
      <c r="B154" s="695"/>
      <c r="C154" s="695"/>
      <c r="D154" s="695"/>
      <c r="E154" s="695"/>
      <c r="F154" s="695"/>
      <c r="G154" s="695"/>
      <c r="H154" s="712"/>
      <c r="I154" s="712"/>
      <c r="J154" s="712"/>
      <c r="K154" s="712"/>
      <c r="L154" s="712"/>
      <c r="M154" s="712"/>
      <c r="N154" s="712"/>
      <c r="O154" s="712"/>
      <c r="P154" s="712"/>
      <c r="Q154" s="712"/>
      <c r="R154" s="712"/>
      <c r="S154" s="712"/>
      <c r="T154" s="712"/>
      <c r="U154" s="712"/>
      <c r="V154" s="712"/>
      <c r="W154" s="712"/>
      <c r="X154" s="712"/>
      <c r="Y154" s="712"/>
      <c r="Z154" s="712"/>
      <c r="AA154" s="640"/>
      <c r="AB154" s="640"/>
      <c r="AC154" s="640"/>
      <c r="AD154" s="640"/>
      <c r="AE154" s="640"/>
      <c r="AF154" s="640"/>
      <c r="AG154" s="640"/>
      <c r="AH154" s="640"/>
      <c r="AI154" s="640"/>
      <c r="AJ154" s="640"/>
      <c r="AK154" s="640"/>
      <c r="AL154" s="640"/>
      <c r="AM154" s="640"/>
    </row>
    <row r="156" spans="1:39">
      <c r="A156" s="649" t="s">
        <v>748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50" t="str">
        <f>VLOOKUP(AI157,'Contorizare in SDI'!$E:$I,4,FALSE)</f>
        <v>594020200001926066/1</v>
      </c>
      <c r="N156" s="650"/>
      <c r="O156" s="650"/>
      <c r="P156" s="650"/>
      <c r="Q156" s="650"/>
      <c r="R156" s="650"/>
      <c r="S156" s="650"/>
      <c r="T156" s="650"/>
      <c r="U156" s="650"/>
      <c r="V156" s="650"/>
      <c r="W156" s="650"/>
      <c r="X156" s="650"/>
      <c r="Y156" s="650"/>
      <c r="Z156" s="650"/>
      <c r="AA156" s="650"/>
      <c r="AB156" s="650"/>
      <c r="AC156" s="650"/>
      <c r="AD156" s="650"/>
      <c r="AE156" s="650"/>
      <c r="AF156" s="650"/>
      <c r="AG156" s="650"/>
      <c r="AH156" s="650"/>
      <c r="AI156" s="650" t="s">
        <v>695</v>
      </c>
      <c r="AJ156" s="650"/>
      <c r="AK156" s="650"/>
      <c r="AL156" s="650"/>
      <c r="AM156" s="650"/>
    </row>
    <row r="157" spans="1:39">
      <c r="A157" s="649" t="s">
        <v>746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50" t="str">
        <f>VLOOKUP(AI157,'Inchidere contur'!$G:$U,15,FALSE)</f>
        <v>JT_SDI</v>
      </c>
      <c r="N157" s="650"/>
      <c r="O157" s="650"/>
      <c r="P157" s="650"/>
      <c r="Q157" s="650"/>
      <c r="R157" s="650"/>
      <c r="S157" s="650"/>
      <c r="T157" s="650"/>
      <c r="U157" s="650"/>
      <c r="V157" s="650"/>
      <c r="W157" s="650"/>
      <c r="X157" s="650"/>
      <c r="Y157" s="650"/>
      <c r="Z157" s="650"/>
      <c r="AA157" s="650"/>
      <c r="AB157" s="650"/>
      <c r="AC157" s="650"/>
      <c r="AD157" s="650"/>
      <c r="AE157" s="650"/>
      <c r="AF157" s="650"/>
      <c r="AG157" s="650"/>
      <c r="AH157" s="650"/>
      <c r="AI157" s="619" t="str">
        <f>_xlfn.CONCAT(AA153,".",1)</f>
        <v>RNSS_2.1</v>
      </c>
      <c r="AJ157" s="619"/>
      <c r="AK157" s="619"/>
      <c r="AL157" s="619"/>
      <c r="AM157" s="619"/>
    </row>
    <row r="158" spans="1:39">
      <c r="A158" s="649" t="s">
        <v>747</v>
      </c>
      <c r="B158" s="649"/>
      <c r="C158" s="649"/>
      <c r="D158" s="649"/>
      <c r="E158" s="649"/>
      <c r="F158" s="649"/>
      <c r="G158" s="649"/>
      <c r="H158" s="649"/>
      <c r="I158" s="649"/>
      <c r="J158" s="649"/>
      <c r="K158" s="649"/>
      <c r="L158" s="649"/>
      <c r="M158" s="650" t="str">
        <f>IF(LEFT(M157,2)="JT","0.4kV",IF(LEFT(M157,2)="MT","20kV","-"))</f>
        <v>0.4kV</v>
      </c>
      <c r="N158" s="650"/>
      <c r="O158" s="650"/>
      <c r="P158" s="650"/>
      <c r="Q158" s="650"/>
      <c r="R158" s="650"/>
      <c r="S158" s="650"/>
      <c r="T158" s="650"/>
      <c r="U158" s="650"/>
      <c r="V158" s="650"/>
      <c r="W158" s="650"/>
      <c r="X158" s="650"/>
      <c r="Y158" s="650"/>
      <c r="Z158" s="650"/>
      <c r="AA158" s="650"/>
      <c r="AB158" s="650"/>
      <c r="AC158" s="650"/>
      <c r="AD158" s="650"/>
      <c r="AE158" s="650"/>
      <c r="AF158" s="650"/>
      <c r="AG158" s="650"/>
      <c r="AH158" s="650"/>
      <c r="AI158" s="619"/>
      <c r="AJ158" s="619"/>
      <c r="AK158" s="619"/>
      <c r="AL158" s="619"/>
      <c r="AM158" s="619"/>
    </row>
    <row r="159" spans="1:39" ht="15.95" customHeight="1">
      <c r="A159" s="648" t="s">
        <v>697</v>
      </c>
      <c r="B159" s="648"/>
      <c r="C159" s="648"/>
      <c r="D159" s="648"/>
      <c r="E159" s="648"/>
      <c r="F159" s="648"/>
      <c r="G159" s="647" t="s">
        <v>713</v>
      </c>
      <c r="H159" s="647"/>
      <c r="I159" s="647"/>
      <c r="J159" s="647" t="s">
        <v>714</v>
      </c>
      <c r="K159" s="647"/>
      <c r="L159" s="647"/>
      <c r="M159" s="648" t="s">
        <v>519</v>
      </c>
      <c r="N159" s="648"/>
      <c r="O159" s="648" t="s">
        <v>715</v>
      </c>
      <c r="P159" s="648"/>
      <c r="Q159" s="648"/>
      <c r="R159" s="647" t="s">
        <v>732</v>
      </c>
      <c r="S159" s="647"/>
      <c r="T159" s="647"/>
      <c r="U159" s="647" t="s">
        <v>734</v>
      </c>
      <c r="V159" s="647"/>
      <c r="W159" s="647"/>
      <c r="X159" s="647" t="s">
        <v>1085</v>
      </c>
      <c r="Y159" s="647"/>
      <c r="Z159" s="647"/>
      <c r="AA159" s="647" t="s">
        <v>1086</v>
      </c>
      <c r="AB159" s="647"/>
      <c r="AC159" s="647"/>
      <c r="AD159" s="647" t="s">
        <v>717</v>
      </c>
      <c r="AE159" s="647"/>
      <c r="AF159" s="647" t="s">
        <v>718</v>
      </c>
      <c r="AG159" s="647"/>
      <c r="AH159" s="647"/>
      <c r="AI159" s="647" t="s">
        <v>719</v>
      </c>
      <c r="AJ159" s="647"/>
      <c r="AK159" s="647" t="s">
        <v>733</v>
      </c>
      <c r="AL159" s="647"/>
      <c r="AM159" s="647"/>
    </row>
    <row r="160" spans="1:39">
      <c r="A160" s="648"/>
      <c r="B160" s="648"/>
      <c r="C160" s="648"/>
      <c r="D160" s="648"/>
      <c r="E160" s="648"/>
      <c r="F160" s="648"/>
      <c r="G160" s="647"/>
      <c r="H160" s="647"/>
      <c r="I160" s="647"/>
      <c r="J160" s="647"/>
      <c r="K160" s="647"/>
      <c r="L160" s="647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>
      <c r="A161" s="648"/>
      <c r="B161" s="648"/>
      <c r="C161" s="648"/>
      <c r="D161" s="648"/>
      <c r="E161" s="648"/>
      <c r="F161" s="648"/>
      <c r="G161" s="647"/>
      <c r="H161" s="647"/>
      <c r="I161" s="647"/>
      <c r="J161" s="713"/>
      <c r="K161" s="713"/>
      <c r="L161" s="713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4" t="str">
        <f>VLOOKUP(AI157,'Contorizare in SDI'!$E:$I,5,FALSE)</f>
        <v>V.2691276/1</v>
      </c>
      <c r="B162" s="685"/>
      <c r="C162" s="685"/>
      <c r="D162" s="685"/>
      <c r="E162" s="685"/>
      <c r="F162" s="686"/>
      <c r="G162" s="648" t="s">
        <v>730</v>
      </c>
      <c r="H162" s="648"/>
      <c r="I162" s="673"/>
      <c r="J162" s="655">
        <f>'Date masura OD'!$AK$5</f>
        <v>45748</v>
      </c>
      <c r="K162" s="656"/>
      <c r="L162" s="657"/>
      <c r="M162" s="720" t="s">
        <v>446</v>
      </c>
      <c r="N162" s="648"/>
      <c r="O162" s="648">
        <f>VLOOKUP(AI157,'Incrementare indexe'!$B:$T,4,FALSE)</f>
        <v>1</v>
      </c>
      <c r="P162" s="648"/>
      <c r="Q162" s="648"/>
      <c r="R162" s="647" t="str">
        <f>VLOOKUP(A162,Regularizare!$D:$YN,3,FALSE)&amp;" ("&amp;VLOOKUP(A162,Regularizare!$D:$Y,11,FALSE)&amp;")"</f>
        <v>285331 (citit)</v>
      </c>
      <c r="S162" s="647"/>
      <c r="T162" s="647"/>
      <c r="U162" s="647" t="str">
        <f>VLOOKUP(A162,Regularizare!$D:$U,4,FALSE)&amp;" ("&amp;VLOOKUP(A162,Regularizare!$D:$U,12,FALSE)&amp;")"</f>
        <v>304999 (estimat)</v>
      </c>
      <c r="V162" s="647"/>
      <c r="W162" s="647"/>
      <c r="X162" s="647" t="str">
        <f>VLOOKUP(A162,Regularizare!$D:$Y,19,FALSE)&amp;" ("&amp;VLOOKUP(A162,Regularizare!$D:$U,12,FALSE)&amp;")"</f>
        <v>19668 (estimat)</v>
      </c>
      <c r="Y162" s="647"/>
      <c r="Z162" s="647"/>
      <c r="AA162" s="647">
        <f>(-1)*VLOOKUP(A162,Regularizare!$D:$Y,19,FALSE)</f>
        <v>-19668</v>
      </c>
      <c r="AB162" s="647"/>
      <c r="AC162" s="647"/>
      <c r="AD162" s="647" t="s">
        <v>69</v>
      </c>
      <c r="AE162" s="647"/>
      <c r="AF162" s="647">
        <f>AA162</f>
        <v>-19668</v>
      </c>
      <c r="AG162" s="647"/>
      <c r="AH162" s="647"/>
      <c r="AI162" s="647" t="s">
        <v>69</v>
      </c>
      <c r="AJ162" s="647"/>
      <c r="AK162" s="647" t="s">
        <v>69</v>
      </c>
      <c r="AL162" s="647"/>
      <c r="AM162" s="647"/>
    </row>
    <row r="163" spans="1:39" ht="9.75" customHeight="1">
      <c r="A163" s="727"/>
      <c r="B163" s="729"/>
      <c r="C163" s="729"/>
      <c r="D163" s="729"/>
      <c r="E163" s="729"/>
      <c r="F163" s="728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7"/>
      <c r="B164" s="688"/>
      <c r="C164" s="688"/>
      <c r="D164" s="688"/>
      <c r="E164" s="688"/>
      <c r="F164" s="689"/>
      <c r="G164" s="648"/>
      <c r="H164" s="648"/>
      <c r="I164" s="673"/>
      <c r="J164" s="714">
        <f>'Date masura OD'!$AL$5</f>
        <v>45777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4" t="str">
        <f>A162</f>
        <v>V.2691276/1</v>
      </c>
      <c r="B165" s="685"/>
      <c r="C165" s="685"/>
      <c r="D165" s="685"/>
      <c r="E165" s="685"/>
      <c r="F165" s="686"/>
      <c r="G165" s="648" t="s">
        <v>696</v>
      </c>
      <c r="H165" s="648"/>
      <c r="I165" s="648"/>
      <c r="J165" s="655">
        <f t="shared" ref="J165:J170" si="8">J162</f>
        <v>45748</v>
      </c>
      <c r="K165" s="656"/>
      <c r="L165" s="657"/>
      <c r="M165" s="648" t="s">
        <v>720</v>
      </c>
      <c r="N165" s="648"/>
      <c r="O165" s="648">
        <f>O162</f>
        <v>1</v>
      </c>
      <c r="P165" s="648"/>
      <c r="Q165" s="648"/>
      <c r="R165" s="647" t="str">
        <f>VLOOKUP(A165,Regularizare!$D:$U,7,FALSE)&amp;" ("&amp;VLOOKUP(A165,Regularizare!$D:$U,15,FALSE)&amp;")"</f>
        <v>34925 (citit)</v>
      </c>
      <c r="S165" s="647"/>
      <c r="T165" s="647"/>
      <c r="U165" s="647" t="str">
        <f>VLOOKUP(A165,Regularizare!$D:$U,8,FALSE)&amp;" ("&amp;VLOOKUP(A165,Regularizare!$D:$U,16,FALSE)&amp;")"</f>
        <v>34925 (estimat)</v>
      </c>
      <c r="V165" s="647"/>
      <c r="W165" s="647"/>
      <c r="X165" s="647" t="str">
        <f>_xlfn.CONCAT(VLOOKUP(A165,Regularizare!$D:$U,8,FALSE)-VLOOKUP(A165,Regularizare!$D:$U,7,FALSE)," (",VLOOKUP(A165,Regularizare!$D:$U,16,FALSE),")")</f>
        <v>0 (estimat)</v>
      </c>
      <c r="Y165" s="647"/>
      <c r="Z165" s="647"/>
      <c r="AA165" s="647">
        <f>IF(VLOOKUP(A165,Regularizare!$D:$Y,21,FALSE)=0,VLOOKUP(A165,Regularizare!$D:$Y,21,FALSE),(-1)*VLOOKUP(A165,Regularizare!$D:$Y,21,FALSE))</f>
        <v>0</v>
      </c>
      <c r="AB165" s="647"/>
      <c r="AC165" s="647"/>
      <c r="AD165" s="647" t="s">
        <v>69</v>
      </c>
      <c r="AE165" s="647"/>
      <c r="AF165" s="647">
        <f>AA165</f>
        <v>0</v>
      </c>
      <c r="AG165" s="647"/>
      <c r="AH165" s="647"/>
      <c r="AI165" s="647" t="str">
        <f>AI162</f>
        <v>-</v>
      </c>
      <c r="AJ165" s="647"/>
      <c r="AK165" s="647" t="str">
        <f>AK162</f>
        <v>-</v>
      </c>
      <c r="AL165" s="647"/>
      <c r="AM165" s="647"/>
    </row>
    <row r="166" spans="1:39" ht="8.4499999999999993" customHeight="1">
      <c r="A166" s="727"/>
      <c r="B166" s="729"/>
      <c r="C166" s="729"/>
      <c r="D166" s="729"/>
      <c r="E166" s="729"/>
      <c r="F166" s="728"/>
      <c r="G166" s="648"/>
      <c r="H166" s="648"/>
      <c r="I166" s="648"/>
      <c r="J166" s="717" t="str">
        <f t="shared" si="8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7"/>
      <c r="B167" s="688"/>
      <c r="C167" s="688"/>
      <c r="D167" s="688"/>
      <c r="E167" s="688"/>
      <c r="F167" s="689"/>
      <c r="G167" s="648"/>
      <c r="H167" s="648"/>
      <c r="I167" s="648"/>
      <c r="J167" s="714">
        <f t="shared" si="8"/>
        <v>45777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4" t="str">
        <f>A165</f>
        <v>V.2691276/1</v>
      </c>
      <c r="B168" s="685"/>
      <c r="C168" s="685"/>
      <c r="D168" s="685"/>
      <c r="E168" s="685"/>
      <c r="F168" s="686"/>
      <c r="G168" s="648" t="s">
        <v>731</v>
      </c>
      <c r="H168" s="648"/>
      <c r="I168" s="648"/>
      <c r="J168" s="655">
        <f t="shared" si="8"/>
        <v>45748</v>
      </c>
      <c r="K168" s="656"/>
      <c r="L168" s="657"/>
      <c r="M168" s="648" t="s">
        <v>720</v>
      </c>
      <c r="N168" s="648"/>
      <c r="O168" s="648">
        <f>O165</f>
        <v>1</v>
      </c>
      <c r="P168" s="648"/>
      <c r="Q168" s="648"/>
      <c r="R168" s="647" t="str">
        <f>VLOOKUP(A168,Regularizare!$D:$U,9,FALSE)&amp;" ("&amp;VLOOKUP(A168,Regularizare!$D:$U,17,FALSE)&amp;")"</f>
        <v>4471 (citit)</v>
      </c>
      <c r="S168" s="647"/>
      <c r="T168" s="647"/>
      <c r="U168" s="647" t="str">
        <f>VLOOKUP(A168,Regularizare!$D:$U,10,FALSE)&amp;" ("&amp;VLOOKUP(A168,Regularizare!$D:$U,18,FALSE)&amp;")"</f>
        <v>4471 (estimat)</v>
      </c>
      <c r="V168" s="647"/>
      <c r="W168" s="647"/>
      <c r="X168" s="647" t="str">
        <f>_xlfn.CONCAT(VLOOKUP(A168,Regularizare!$D:$U,10,FALSE)-VLOOKUP(A168,Regularizare!$D:$U,9,FALSE)," (",VLOOKUP(A168,Regularizare!$D:$U,18,FALSE),")")</f>
        <v>0 (estimat)</v>
      </c>
      <c r="Y168" s="647"/>
      <c r="Z168" s="647"/>
      <c r="AA168" s="647">
        <f>IF(VLOOKUP(A168,Regularizare!$D:$Y,22,FALSE)=0,VLOOKUP(A168,Regularizare!$D:$Y,22,FALSE),(-1)*VLOOKUP(A168,Regularizare!$D:$Y,22,FALSE))</f>
        <v>0</v>
      </c>
      <c r="AB168" s="647"/>
      <c r="AC168" s="647"/>
      <c r="AD168" s="647" t="s">
        <v>69</v>
      </c>
      <c r="AE168" s="647"/>
      <c r="AF168" s="647">
        <f>AA168</f>
        <v>0</v>
      </c>
      <c r="AG168" s="647"/>
      <c r="AH168" s="647"/>
      <c r="AI168" s="647" t="str">
        <f>AI165</f>
        <v>-</v>
      </c>
      <c r="AJ168" s="647"/>
      <c r="AK168" s="647" t="str">
        <f>AK165</f>
        <v>-</v>
      </c>
      <c r="AL168" s="647"/>
      <c r="AM168" s="647"/>
    </row>
    <row r="169" spans="1:39" ht="8.4499999999999993" customHeight="1">
      <c r="A169" s="727"/>
      <c r="B169" s="729"/>
      <c r="C169" s="729"/>
      <c r="D169" s="729"/>
      <c r="E169" s="729"/>
      <c r="F169" s="728"/>
      <c r="G169" s="648"/>
      <c r="H169" s="648"/>
      <c r="I169" s="648"/>
      <c r="J169" s="717" t="str">
        <f t="shared" si="8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7"/>
      <c r="B170" s="688"/>
      <c r="C170" s="688"/>
      <c r="D170" s="688"/>
      <c r="E170" s="688"/>
      <c r="F170" s="689"/>
      <c r="G170" s="648"/>
      <c r="H170" s="648"/>
      <c r="I170" s="648"/>
      <c r="J170" s="714">
        <f t="shared" si="8"/>
        <v>45777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84" t="str">
        <f>A168</f>
        <v>V.2691276/1</v>
      </c>
      <c r="B171" s="685"/>
      <c r="C171" s="685"/>
      <c r="D171" s="685"/>
      <c r="E171" s="685"/>
      <c r="F171" s="686"/>
      <c r="G171" s="648" t="s">
        <v>730</v>
      </c>
      <c r="H171" s="648"/>
      <c r="I171" s="673"/>
      <c r="J171" s="655">
        <f>'Date masura OD'!$AK$5</f>
        <v>45748</v>
      </c>
      <c r="K171" s="656"/>
      <c r="L171" s="657"/>
      <c r="M171" s="720" t="s">
        <v>446</v>
      </c>
      <c r="N171" s="648"/>
      <c r="O171" s="648">
        <f>O168</f>
        <v>1</v>
      </c>
      <c r="P171" s="648"/>
      <c r="Q171" s="648"/>
      <c r="R171" s="647" t="str">
        <f>VLOOKUP(A171,Regularizare!$D:$AX,23,FALSE)&amp;" ("&amp;VLOOKUP(A171,Regularizare!$D:$AX,24,FALSE)&amp;")"</f>
        <v>285331 (citit)</v>
      </c>
      <c r="S171" s="647"/>
      <c r="T171" s="647"/>
      <c r="U171" s="647" t="str">
        <f>VLOOKUP(A171,Regularizare!$D:$AX,25,FALSE)&amp;" ("&amp;VLOOKUP(A171,Regularizare!$D:$AX,26,FALSE)&amp;")"</f>
        <v>304999 (citit)</v>
      </c>
      <c r="V171" s="647"/>
      <c r="W171" s="647"/>
      <c r="X171" s="647" t="str">
        <f>VLOOKUP(A171,Regularizare!$D:$AX,37,FALSE)&amp;" ("&amp;VLOOKUP(A171,Regularizare!$D:$AX,26,FALSE)&amp;")"</f>
        <v>19668 (citit)</v>
      </c>
      <c r="Y171" s="647"/>
      <c r="Z171" s="647"/>
      <c r="AA171" s="647">
        <f>VLOOKUP(A171,Regularizare!$D:$AX,37,FALSE)</f>
        <v>19668</v>
      </c>
      <c r="AB171" s="647"/>
      <c r="AC171" s="647"/>
      <c r="AD171" s="647" t="s">
        <v>69</v>
      </c>
      <c r="AE171" s="647"/>
      <c r="AF171" s="647">
        <f>AA171</f>
        <v>19668</v>
      </c>
      <c r="AG171" s="647"/>
      <c r="AH171" s="647"/>
      <c r="AI171" s="647" t="str">
        <f>AI168</f>
        <v>-</v>
      </c>
      <c r="AJ171" s="647"/>
      <c r="AK171" s="647" t="str">
        <f>AK168</f>
        <v>-</v>
      </c>
      <c r="AL171" s="647"/>
      <c r="AM171" s="647"/>
    </row>
    <row r="172" spans="1:39" ht="8.4499999999999993" customHeight="1">
      <c r="A172" s="727"/>
      <c r="B172" s="729"/>
      <c r="C172" s="729"/>
      <c r="D172" s="729"/>
      <c r="E172" s="729"/>
      <c r="F172" s="728"/>
      <c r="G172" s="648"/>
      <c r="H172" s="648"/>
      <c r="I172" s="673"/>
      <c r="J172" s="717" t="s">
        <v>69</v>
      </c>
      <c r="K172" s="718"/>
      <c r="L172" s="719"/>
      <c r="M172" s="720"/>
      <c r="N172" s="648"/>
      <c r="O172" s="648"/>
      <c r="P172" s="648"/>
      <c r="Q172" s="648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7"/>
      <c r="AG172" s="647"/>
      <c r="AH172" s="647"/>
      <c r="AI172" s="647"/>
      <c r="AJ172" s="647"/>
      <c r="AK172" s="647"/>
      <c r="AL172" s="647"/>
      <c r="AM172" s="647"/>
    </row>
    <row r="173" spans="1:39" ht="14.1" customHeight="1">
      <c r="A173" s="687"/>
      <c r="B173" s="688"/>
      <c r="C173" s="688"/>
      <c r="D173" s="688"/>
      <c r="E173" s="688"/>
      <c r="F173" s="689"/>
      <c r="G173" s="648"/>
      <c r="H173" s="648"/>
      <c r="I173" s="673"/>
      <c r="J173" s="714">
        <f>'Date masura OD'!$AL$5</f>
        <v>45777</v>
      </c>
      <c r="K173" s="715"/>
      <c r="L173" s="716"/>
      <c r="M173" s="720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84" t="str">
        <f>A171</f>
        <v>V.2691276/1</v>
      </c>
      <c r="B174" s="685"/>
      <c r="C174" s="685"/>
      <c r="D174" s="685"/>
      <c r="E174" s="685"/>
      <c r="F174" s="686"/>
      <c r="G174" s="648" t="s">
        <v>696</v>
      </c>
      <c r="H174" s="648"/>
      <c r="I174" s="648"/>
      <c r="J174" s="655">
        <f t="shared" ref="J174:J179" si="9">J171</f>
        <v>45748</v>
      </c>
      <c r="K174" s="656"/>
      <c r="L174" s="657"/>
      <c r="M174" s="648" t="s">
        <v>720</v>
      </c>
      <c r="N174" s="648"/>
      <c r="O174" s="648">
        <f>O171</f>
        <v>1</v>
      </c>
      <c r="P174" s="648"/>
      <c r="Q174" s="648"/>
      <c r="R174" s="647" t="str">
        <f>VLOOKUP(A174,Regularizare!$D:$AX,29,FALSE)&amp;" ("&amp;VLOOKUP(A174,Regularizare!$D:$AX,30,FALSE)&amp;")"</f>
        <v>34925 (citit)</v>
      </c>
      <c r="S174" s="647"/>
      <c r="T174" s="647"/>
      <c r="U174" s="647" t="str">
        <f>VLOOKUP(A174,Regularizare!$D:$AX,31,FALSE)&amp;" ("&amp;VLOOKUP(A174,Regularizare!$D:$AX,32,FALSE)&amp;")"</f>
        <v>35114 (citit)</v>
      </c>
      <c r="V174" s="647"/>
      <c r="W174" s="647"/>
      <c r="X174" s="647" t="str">
        <f>VLOOKUP(A174,Regularizare!$D:$AX,39,FALSE)&amp;" ("&amp;VLOOKUP(A174,Regularizare!$D:$AX,32,FALSE)&amp;")"</f>
        <v>189 (citit)</v>
      </c>
      <c r="Y174" s="647"/>
      <c r="Z174" s="647"/>
      <c r="AA174" s="647">
        <f>VLOOKUP(A174,Regularizare!$D:$AX,44,FALSE)+VLOOKUP(A174,Regularizare!$D:$AX,45,FALSE)</f>
        <v>189</v>
      </c>
      <c r="AB174" s="647"/>
      <c r="AC174" s="647"/>
      <c r="AD174" s="647" t="s">
        <v>69</v>
      </c>
      <c r="AE174" s="647"/>
      <c r="AF174" s="647">
        <f>AA174</f>
        <v>189</v>
      </c>
      <c r="AG174" s="647"/>
      <c r="AH174" s="647"/>
      <c r="AI174" s="647" t="str">
        <f>AI171</f>
        <v>-</v>
      </c>
      <c r="AJ174" s="647"/>
      <c r="AK174" s="647" t="str">
        <f>AK171</f>
        <v>-</v>
      </c>
      <c r="AL174" s="647"/>
      <c r="AM174" s="647"/>
    </row>
    <row r="175" spans="1:39" ht="8.4499999999999993" customHeight="1">
      <c r="A175" s="727"/>
      <c r="B175" s="729"/>
      <c r="C175" s="729"/>
      <c r="D175" s="729"/>
      <c r="E175" s="729"/>
      <c r="F175" s="728"/>
      <c r="G175" s="648"/>
      <c r="H175" s="648"/>
      <c r="I175" s="648"/>
      <c r="J175" s="717" t="str">
        <f t="shared" si="9"/>
        <v>-</v>
      </c>
      <c r="K175" s="718"/>
      <c r="L175" s="719"/>
      <c r="M175" s="648"/>
      <c r="N175" s="648"/>
      <c r="O175" s="648"/>
      <c r="P175" s="648"/>
      <c r="Q175" s="648"/>
      <c r="R175" s="647"/>
      <c r="S175" s="647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647"/>
      <c r="AL175" s="647"/>
      <c r="AM175" s="647"/>
    </row>
    <row r="176" spans="1:39" ht="14.1" customHeight="1">
      <c r="A176" s="687"/>
      <c r="B176" s="688"/>
      <c r="C176" s="688"/>
      <c r="D176" s="688"/>
      <c r="E176" s="688"/>
      <c r="F176" s="689"/>
      <c r="G176" s="648"/>
      <c r="H176" s="648"/>
      <c r="I176" s="648"/>
      <c r="J176" s="714">
        <f t="shared" si="9"/>
        <v>45777</v>
      </c>
      <c r="K176" s="715"/>
      <c r="L176" s="716"/>
      <c r="M176" s="648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4" t="str">
        <f>A174</f>
        <v>V.2691276/1</v>
      </c>
      <c r="B177" s="685"/>
      <c r="C177" s="685"/>
      <c r="D177" s="685"/>
      <c r="E177" s="685"/>
      <c r="F177" s="686"/>
      <c r="G177" s="648" t="s">
        <v>731</v>
      </c>
      <c r="H177" s="648"/>
      <c r="I177" s="648"/>
      <c r="J177" s="655">
        <f t="shared" si="9"/>
        <v>45748</v>
      </c>
      <c r="K177" s="656"/>
      <c r="L177" s="657"/>
      <c r="M177" s="648" t="s">
        <v>720</v>
      </c>
      <c r="N177" s="648"/>
      <c r="O177" s="648">
        <f>O174</f>
        <v>1</v>
      </c>
      <c r="P177" s="648"/>
      <c r="Q177" s="648"/>
      <c r="R177" s="647" t="str">
        <f>VLOOKUP(A177,Regularizare!$D:$AX,33,FALSE)&amp;" ("&amp;VLOOKUP(A177,Regularizare!$D:$AX,34,FALSE)&amp;")"</f>
        <v>4471 (citit)</v>
      </c>
      <c r="S177" s="647"/>
      <c r="T177" s="647"/>
      <c r="U177" s="647" t="str">
        <f>VLOOKUP(A177,Regularizare!$D:$AX,35,FALSE)&amp;" ("&amp;VLOOKUP(A177,Regularizare!$D:$AX,36,FALSE)&amp;")"</f>
        <v>4471 (citit)</v>
      </c>
      <c r="V177" s="647"/>
      <c r="W177" s="647"/>
      <c r="X177" s="647" t="str">
        <f>VLOOKUP(A177,Regularizare!$D:$AX,40,FALSE)&amp;" ("&amp;VLOOKUP(A177,Regularizare!$D:$AX,36,FALSE)&amp;")"</f>
        <v>0 (citit)</v>
      </c>
      <c r="Y177" s="647"/>
      <c r="Z177" s="647"/>
      <c r="AA177" s="647">
        <f>VLOOKUP(A177,Regularizare!$D:$AX,46,FALSE)+VLOOKUP(A177,Regularizare!$D:$AX,47,FALSE)</f>
        <v>0</v>
      </c>
      <c r="AB177" s="647"/>
      <c r="AC177" s="647"/>
      <c r="AD177" s="647" t="s">
        <v>69</v>
      </c>
      <c r="AE177" s="647"/>
      <c r="AF177" s="647">
        <f>AA177</f>
        <v>0</v>
      </c>
      <c r="AG177" s="647"/>
      <c r="AH177" s="647"/>
      <c r="AI177" s="647" t="str">
        <f>AI174</f>
        <v>-</v>
      </c>
      <c r="AJ177" s="647"/>
      <c r="AK177" s="647" t="str">
        <f>AK174</f>
        <v>-</v>
      </c>
      <c r="AL177" s="647"/>
      <c r="AM177" s="647"/>
    </row>
    <row r="178" spans="1:39" ht="8.4499999999999993" customHeight="1">
      <c r="A178" s="727"/>
      <c r="B178" s="729"/>
      <c r="C178" s="729"/>
      <c r="D178" s="729"/>
      <c r="E178" s="729"/>
      <c r="F178" s="728"/>
      <c r="G178" s="648"/>
      <c r="H178" s="648"/>
      <c r="I178" s="648"/>
      <c r="J178" s="717" t="str">
        <f t="shared" si="9"/>
        <v>-</v>
      </c>
      <c r="K178" s="718"/>
      <c r="L178" s="719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87"/>
      <c r="B179" s="688"/>
      <c r="C179" s="688"/>
      <c r="D179" s="688"/>
      <c r="E179" s="688"/>
      <c r="F179" s="689"/>
      <c r="G179" s="648"/>
      <c r="H179" s="648"/>
      <c r="I179" s="648"/>
      <c r="J179" s="714">
        <f t="shared" si="9"/>
        <v>45777</v>
      </c>
      <c r="K179" s="715"/>
      <c r="L179" s="716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4" t="str">
        <f>A177</f>
        <v>V.2691276/1</v>
      </c>
      <c r="B180" s="685"/>
      <c r="C180" s="685"/>
      <c r="D180" s="685"/>
      <c r="E180" s="685"/>
      <c r="F180" s="686"/>
      <c r="G180" s="648" t="s">
        <v>730</v>
      </c>
      <c r="H180" s="648"/>
      <c r="I180" s="673"/>
      <c r="J180" s="655">
        <f>'Date masura OD'!$I$5</f>
        <v>45778</v>
      </c>
      <c r="K180" s="656"/>
      <c r="L180" s="657"/>
      <c r="M180" s="720" t="s">
        <v>446</v>
      </c>
      <c r="N180" s="648"/>
      <c r="O180" s="648">
        <f>O177</f>
        <v>1</v>
      </c>
      <c r="P180" s="648"/>
      <c r="Q180" s="648"/>
      <c r="R180" s="647" t="str">
        <f>U171</f>
        <v>304999 (citit)</v>
      </c>
      <c r="S180" s="647"/>
      <c r="T180" s="647"/>
      <c r="U180" s="647" t="str">
        <f>VLOOKUP(A180,'Incrementare indexe'!$D:$M,4,FALSE)&amp;" (estimat)"</f>
        <v>324076 (estimat)</v>
      </c>
      <c r="V180" s="647"/>
      <c r="W180" s="647"/>
      <c r="X180" s="647" t="str">
        <f>VLOOKUP(A180,'Incrementare indexe'!$D:$Q,11,FALSE)&amp;" (estimat)"</f>
        <v>19077 (estimat)</v>
      </c>
      <c r="Y180" s="647"/>
      <c r="Z180" s="647"/>
      <c r="AA180" s="647" t="s">
        <v>69</v>
      </c>
      <c r="AB180" s="647"/>
      <c r="AC180" s="647"/>
      <c r="AD180" s="647" t="s">
        <v>69</v>
      </c>
      <c r="AE180" s="647"/>
      <c r="AF180" s="647">
        <f>VLOOKUP(A180,'Incrementare indexe'!$D:$Q,11,FALSE)</f>
        <v>19077</v>
      </c>
      <c r="AG180" s="647"/>
      <c r="AH180" s="647"/>
      <c r="AI180" s="647">
        <f>J182-J180+1</f>
        <v>31</v>
      </c>
      <c r="AJ180" s="647"/>
      <c r="AK180" s="647">
        <f>ROUND(AF180/AI180,2)</f>
        <v>615.39</v>
      </c>
      <c r="AL180" s="647"/>
      <c r="AM180" s="647"/>
    </row>
    <row r="181" spans="1:39" ht="8.4499999999999993" customHeight="1">
      <c r="A181" s="727"/>
      <c r="B181" s="729"/>
      <c r="C181" s="729"/>
      <c r="D181" s="729"/>
      <c r="E181" s="729"/>
      <c r="F181" s="728"/>
      <c r="G181" s="648"/>
      <c r="H181" s="648"/>
      <c r="I181" s="673"/>
      <c r="J181" s="717" t="s">
        <v>69</v>
      </c>
      <c r="K181" s="718"/>
      <c r="L181" s="719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87"/>
      <c r="B182" s="688"/>
      <c r="C182" s="688"/>
      <c r="D182" s="688"/>
      <c r="E182" s="688"/>
      <c r="F182" s="689"/>
      <c r="G182" s="648"/>
      <c r="H182" s="648"/>
      <c r="I182" s="673"/>
      <c r="J182" s="714">
        <f>'Date masura OD'!$J$5</f>
        <v>45808</v>
      </c>
      <c r="K182" s="715"/>
      <c r="L182" s="716"/>
      <c r="M182" s="720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84" t="str">
        <f>A180</f>
        <v>V.2691276/1</v>
      </c>
      <c r="B183" s="685"/>
      <c r="C183" s="685"/>
      <c r="D183" s="685"/>
      <c r="E183" s="685"/>
      <c r="F183" s="686"/>
      <c r="G183" s="648" t="s">
        <v>696</v>
      </c>
      <c r="H183" s="648"/>
      <c r="I183" s="648"/>
      <c r="J183" s="655">
        <f t="shared" ref="J183:J188" si="10">J180</f>
        <v>45778</v>
      </c>
      <c r="K183" s="656"/>
      <c r="L183" s="657"/>
      <c r="M183" s="648" t="s">
        <v>720</v>
      </c>
      <c r="N183" s="648"/>
      <c r="O183" s="648">
        <f>O180</f>
        <v>1</v>
      </c>
      <c r="P183" s="648"/>
      <c r="Q183" s="648"/>
      <c r="R183" s="647" t="str">
        <f>U174</f>
        <v>35114 (citit)</v>
      </c>
      <c r="S183" s="647"/>
      <c r="T183" s="647"/>
      <c r="U183" s="647" t="str">
        <f>VLOOKUP(A183,'Incrementare indexe'!$D:$M,8,FALSE)&amp;" (estimat)"</f>
        <v>35114 (estimat)</v>
      </c>
      <c r="V183" s="647"/>
      <c r="W183" s="647"/>
      <c r="X183" s="647" t="str">
        <f>VLOOKUP(A183,'Incrementare indexe'!$D:$Q,12,FALSE)&amp;" (estimat)"</f>
        <v>0 (estimat)</v>
      </c>
      <c r="Y183" s="647"/>
      <c r="Z183" s="647"/>
      <c r="AA183" s="647" t="s">
        <v>69</v>
      </c>
      <c r="AB183" s="647"/>
      <c r="AC183" s="647"/>
      <c r="AD183" s="647" t="s">
        <v>69</v>
      </c>
      <c r="AE183" s="647"/>
      <c r="AF183" s="647">
        <f>VLOOKUP(A183,'Incrementare indexe'!$D:$Q,12,FALSE)</f>
        <v>0</v>
      </c>
      <c r="AG183" s="647"/>
      <c r="AH183" s="647"/>
      <c r="AI183" s="647">
        <f>AI180</f>
        <v>31</v>
      </c>
      <c r="AJ183" s="647"/>
      <c r="AK183" s="647">
        <f>ROUND(AF183/AI183,2)</f>
        <v>0</v>
      </c>
      <c r="AL183" s="647"/>
      <c r="AM183" s="647"/>
    </row>
    <row r="184" spans="1:39" ht="8.4499999999999993" customHeight="1">
      <c r="A184" s="727"/>
      <c r="B184" s="729"/>
      <c r="C184" s="729"/>
      <c r="D184" s="729"/>
      <c r="E184" s="729"/>
      <c r="F184" s="728"/>
      <c r="G184" s="648"/>
      <c r="H184" s="648"/>
      <c r="I184" s="648"/>
      <c r="J184" s="717" t="str">
        <f t="shared" si="10"/>
        <v>-</v>
      </c>
      <c r="K184" s="718"/>
      <c r="L184" s="719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87"/>
      <c r="B185" s="688"/>
      <c r="C185" s="688"/>
      <c r="D185" s="688"/>
      <c r="E185" s="688"/>
      <c r="F185" s="689"/>
      <c r="G185" s="648"/>
      <c r="H185" s="648"/>
      <c r="I185" s="648"/>
      <c r="J185" s="714">
        <f t="shared" si="10"/>
        <v>45808</v>
      </c>
      <c r="K185" s="715"/>
      <c r="L185" s="716"/>
      <c r="M185" s="648"/>
      <c r="N185" s="648"/>
      <c r="O185" s="648"/>
      <c r="P185" s="648"/>
      <c r="Q185" s="648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7"/>
      <c r="AG185" s="647"/>
      <c r="AH185" s="647"/>
      <c r="AI185" s="647"/>
      <c r="AJ185" s="647"/>
      <c r="AK185" s="647"/>
      <c r="AL185" s="647"/>
      <c r="AM185" s="647"/>
    </row>
    <row r="186" spans="1:39" ht="14.1" customHeight="1">
      <c r="A186" s="684" t="str">
        <f>A183</f>
        <v>V.2691276/1</v>
      </c>
      <c r="B186" s="685"/>
      <c r="C186" s="685"/>
      <c r="D186" s="685"/>
      <c r="E186" s="685"/>
      <c r="F186" s="686"/>
      <c r="G186" s="648" t="s">
        <v>731</v>
      </c>
      <c r="H186" s="648"/>
      <c r="I186" s="648"/>
      <c r="J186" s="655">
        <f t="shared" si="10"/>
        <v>45778</v>
      </c>
      <c r="K186" s="656"/>
      <c r="L186" s="657"/>
      <c r="M186" s="648" t="s">
        <v>720</v>
      </c>
      <c r="N186" s="648"/>
      <c r="O186" s="648">
        <f>O183</f>
        <v>1</v>
      </c>
      <c r="P186" s="648"/>
      <c r="Q186" s="648"/>
      <c r="R186" s="647" t="str">
        <f>U177</f>
        <v>4471 (citit)</v>
      </c>
      <c r="S186" s="647"/>
      <c r="T186" s="647"/>
      <c r="U186" s="647" t="str">
        <f>VLOOKUP(A186,'Incrementare indexe'!$D:$M,10,FALSE)&amp;" (estimat)"</f>
        <v>4471 (estimat)</v>
      </c>
      <c r="V186" s="647"/>
      <c r="W186" s="647"/>
      <c r="X186" s="647" t="str">
        <f>VLOOKUP(A186,'Incrementare indexe'!$D:$Q,13,FALSE)&amp;" (estimat)"</f>
        <v>0 (estimat)</v>
      </c>
      <c r="Y186" s="647"/>
      <c r="Z186" s="647"/>
      <c r="AA186" s="647" t="s">
        <v>69</v>
      </c>
      <c r="AB186" s="647"/>
      <c r="AC186" s="647"/>
      <c r="AD186" s="647" t="s">
        <v>69</v>
      </c>
      <c r="AE186" s="647"/>
      <c r="AF186" s="647">
        <f>VLOOKUP(A186,'Incrementare indexe'!$D:$Q,13,FALSE)</f>
        <v>0</v>
      </c>
      <c r="AG186" s="647"/>
      <c r="AH186" s="647"/>
      <c r="AI186" s="647">
        <f>AI183</f>
        <v>31</v>
      </c>
      <c r="AJ186" s="647"/>
      <c r="AK186" s="647">
        <f>ROUND(AF186/AI186,2)</f>
        <v>0</v>
      </c>
      <c r="AL186" s="647"/>
      <c r="AM186" s="647"/>
    </row>
    <row r="187" spans="1:39" ht="8.4499999999999993" customHeight="1">
      <c r="A187" s="727"/>
      <c r="B187" s="729"/>
      <c r="C187" s="729"/>
      <c r="D187" s="729"/>
      <c r="E187" s="729"/>
      <c r="F187" s="728"/>
      <c r="G187" s="648"/>
      <c r="H187" s="648"/>
      <c r="I187" s="648"/>
      <c r="J187" s="717" t="str">
        <f t="shared" si="10"/>
        <v>-</v>
      </c>
      <c r="K187" s="718"/>
      <c r="L187" s="719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87"/>
      <c r="B188" s="688"/>
      <c r="C188" s="688"/>
      <c r="D188" s="688"/>
      <c r="E188" s="688"/>
      <c r="F188" s="689"/>
      <c r="G188" s="648"/>
      <c r="H188" s="648"/>
      <c r="I188" s="648"/>
      <c r="J188" s="714">
        <f t="shared" si="10"/>
        <v>45808</v>
      </c>
      <c r="K188" s="715"/>
      <c r="L188" s="716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/>
    <row r="190" spans="1:39" ht="14.1" customHeight="1">
      <c r="A190" s="186"/>
      <c r="B190" s="186"/>
      <c r="C190" s="186"/>
      <c r="D190" s="186"/>
      <c r="E190" s="186"/>
      <c r="F190" s="186"/>
      <c r="G190" s="187"/>
      <c r="H190" s="187"/>
      <c r="I190" s="187"/>
      <c r="J190" s="187"/>
      <c r="K190" s="187"/>
      <c r="L190" s="187"/>
      <c r="M190" s="186"/>
      <c r="N190" s="186"/>
      <c r="O190" s="186"/>
      <c r="P190" s="186"/>
      <c r="Q190" s="186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</row>
    <row r="191" spans="1:39" ht="14.1" customHeight="1">
      <c r="A191" s="186"/>
      <c r="B191" s="186"/>
      <c r="C191" s="186"/>
      <c r="D191" s="186"/>
      <c r="E191" s="186"/>
      <c r="F191" s="186"/>
      <c r="G191" s="187"/>
      <c r="H191" s="187"/>
      <c r="I191" s="187"/>
      <c r="J191" s="187"/>
      <c r="K191" s="187"/>
      <c r="L191" s="187"/>
      <c r="M191" s="186"/>
      <c r="N191" s="186"/>
      <c r="O191" s="186"/>
      <c r="P191" s="186"/>
      <c r="Q191" s="186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</row>
    <row r="192" spans="1:39" ht="14.1" customHeight="1">
      <c r="A192" s="695" t="s">
        <v>858</v>
      </c>
      <c r="B192" s="695"/>
      <c r="C192" s="695"/>
      <c r="D192" s="695"/>
      <c r="E192" s="695"/>
      <c r="F192" s="695"/>
      <c r="G192" s="695"/>
      <c r="H192" s="695" t="str">
        <f>VLOOKUP($AA$16,'Date SPV'!$B:$H,4,FALSE)</f>
        <v>Sos. Sibiului, nr. 5, loc. Sibiu, jud. Sibiu</v>
      </c>
      <c r="I192" s="695"/>
      <c r="J192" s="695"/>
      <c r="K192" s="695"/>
      <c r="L192" s="695"/>
      <c r="M192" s="695"/>
      <c r="N192" s="695"/>
      <c r="O192" s="695"/>
      <c r="P192" s="695"/>
      <c r="Q192" s="695"/>
      <c r="R192" s="695"/>
      <c r="S192" s="695"/>
      <c r="T192" s="695"/>
      <c r="U192" s="695"/>
      <c r="V192" s="695"/>
      <c r="W192" s="695"/>
      <c r="X192" s="695"/>
      <c r="Y192" s="695"/>
      <c r="Z192" s="695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</row>
    <row r="193" spans="1:39" ht="14.1" customHeight="1">
      <c r="A193" s="695"/>
      <c r="B193" s="695"/>
      <c r="C193" s="695"/>
      <c r="D193" s="695"/>
      <c r="E193" s="695"/>
      <c r="F193" s="695"/>
      <c r="G193" s="695"/>
      <c r="H193" s="695"/>
      <c r="I193" s="695"/>
      <c r="J193" s="695"/>
      <c r="K193" s="695"/>
      <c r="L193" s="695"/>
      <c r="M193" s="695"/>
      <c r="N193" s="695"/>
      <c r="O193" s="695"/>
      <c r="P193" s="695"/>
      <c r="Q193" s="695"/>
      <c r="R193" s="695"/>
      <c r="S193" s="695"/>
      <c r="T193" s="695"/>
      <c r="U193" s="695"/>
      <c r="V193" s="695"/>
      <c r="W193" s="695"/>
      <c r="X193" s="695"/>
      <c r="Y193" s="695"/>
      <c r="Z193" s="695"/>
      <c r="AA193" s="695"/>
      <c r="AB193" s="695"/>
      <c r="AC193" s="695"/>
      <c r="AD193" s="695"/>
      <c r="AE193" s="695"/>
      <c r="AF193" s="695"/>
      <c r="AG193" s="695"/>
      <c r="AH193" s="695"/>
      <c r="AI193" s="695"/>
      <c r="AJ193" s="695"/>
      <c r="AK193" s="695"/>
      <c r="AL193" s="695"/>
      <c r="AM193" s="695"/>
    </row>
    <row r="194" spans="1:39" ht="14.1" customHeight="1">
      <c r="A194" s="695" t="s">
        <v>859</v>
      </c>
      <c r="B194" s="695"/>
      <c r="C194" s="695"/>
      <c r="D194" s="695"/>
      <c r="E194" s="695"/>
      <c r="F194" s="695"/>
      <c r="G194" s="695"/>
      <c r="H194" s="712">
        <f>VLOOKUP(AA194,'Date masura OD'!$G:$BE,51,FALSE)</f>
        <v>5000126225</v>
      </c>
      <c r="I194" s="712"/>
      <c r="J194" s="712"/>
      <c r="K194" s="712"/>
      <c r="L194" s="712"/>
      <c r="M194" s="712"/>
      <c r="N194" s="712"/>
      <c r="O194" s="712"/>
      <c r="P194" s="712"/>
      <c r="Q194" s="712"/>
      <c r="R194" s="712"/>
      <c r="S194" s="712"/>
      <c r="T194" s="712"/>
      <c r="U194" s="712"/>
      <c r="V194" s="712"/>
      <c r="W194" s="712" t="s">
        <v>860</v>
      </c>
      <c r="X194" s="712"/>
      <c r="Y194" s="712"/>
      <c r="Z194" s="712"/>
      <c r="AA194" s="640" t="str">
        <f>_xlfn.CONCAT($AA$16,"_",3)</f>
        <v>RNSS_3</v>
      </c>
      <c r="AB194" s="640"/>
      <c r="AC194" s="640"/>
      <c r="AD194" s="640"/>
      <c r="AE194" s="640"/>
      <c r="AF194" s="640"/>
      <c r="AG194" s="640"/>
      <c r="AH194" s="640"/>
      <c r="AI194" s="640"/>
      <c r="AJ194" s="640"/>
      <c r="AK194" s="640"/>
      <c r="AL194" s="640"/>
      <c r="AM194" s="640"/>
    </row>
    <row r="195" spans="1:39" ht="14.1" customHeight="1">
      <c r="A195" s="695"/>
      <c r="B195" s="695"/>
      <c r="C195" s="695"/>
      <c r="D195" s="695"/>
      <c r="E195" s="695"/>
      <c r="F195" s="695"/>
      <c r="G195" s="695"/>
      <c r="H195" s="712"/>
      <c r="I195" s="712"/>
      <c r="J195" s="712"/>
      <c r="K195" s="712"/>
      <c r="L195" s="712"/>
      <c r="M195" s="712"/>
      <c r="N195" s="712"/>
      <c r="O195" s="712"/>
      <c r="P195" s="712"/>
      <c r="Q195" s="712"/>
      <c r="R195" s="712"/>
      <c r="S195" s="712"/>
      <c r="T195" s="712"/>
      <c r="U195" s="712"/>
      <c r="V195" s="712"/>
      <c r="W195" s="712"/>
      <c r="X195" s="712"/>
      <c r="Y195" s="712"/>
      <c r="Z195" s="712"/>
      <c r="AA195" s="640"/>
      <c r="AB195" s="640"/>
      <c r="AC195" s="640"/>
      <c r="AD195" s="640"/>
      <c r="AE195" s="640"/>
      <c r="AF195" s="640"/>
      <c r="AG195" s="640"/>
      <c r="AH195" s="640"/>
      <c r="AI195" s="640"/>
      <c r="AJ195" s="640"/>
      <c r="AK195" s="640"/>
      <c r="AL195" s="640"/>
      <c r="AM195" s="640"/>
    </row>
    <row r="197" spans="1:39">
      <c r="A197" s="649" t="s">
        <v>748</v>
      </c>
      <c r="B197" s="649"/>
      <c r="C197" s="649"/>
      <c r="D197" s="649"/>
      <c r="E197" s="649"/>
      <c r="F197" s="649"/>
      <c r="G197" s="649"/>
      <c r="H197" s="649"/>
      <c r="I197" s="649"/>
      <c r="J197" s="649"/>
      <c r="K197" s="649"/>
      <c r="L197" s="649"/>
      <c r="M197" s="650" t="str">
        <f>VLOOKUP(AI198,'Contorizare in SDI'!$E:$I,4,FALSE)</f>
        <v>594020200000000477/1</v>
      </c>
      <c r="N197" s="650"/>
      <c r="O197" s="650"/>
      <c r="P197" s="650"/>
      <c r="Q197" s="650"/>
      <c r="R197" s="650"/>
      <c r="S197" s="650"/>
      <c r="T197" s="650"/>
      <c r="U197" s="650"/>
      <c r="V197" s="650"/>
      <c r="W197" s="650"/>
      <c r="X197" s="650"/>
      <c r="Y197" s="650"/>
      <c r="Z197" s="650"/>
      <c r="AA197" s="650"/>
      <c r="AB197" s="650"/>
      <c r="AC197" s="650"/>
      <c r="AD197" s="650"/>
      <c r="AE197" s="650"/>
      <c r="AF197" s="650"/>
      <c r="AG197" s="650"/>
      <c r="AH197" s="650"/>
      <c r="AI197" s="650" t="s">
        <v>695</v>
      </c>
      <c r="AJ197" s="650"/>
      <c r="AK197" s="650"/>
      <c r="AL197" s="650"/>
      <c r="AM197" s="650"/>
    </row>
    <row r="198" spans="1:39">
      <c r="A198" s="649" t="s">
        <v>746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50" t="str">
        <f>VLOOKUP(AI198,'Inchidere contur'!$G:$U,15,FALSE)</f>
        <v>JT_SDI</v>
      </c>
      <c r="N198" s="650"/>
      <c r="O198" s="650"/>
      <c r="P198" s="650"/>
      <c r="Q198" s="650"/>
      <c r="R198" s="650"/>
      <c r="S198" s="650"/>
      <c r="T198" s="650"/>
      <c r="U198" s="650"/>
      <c r="V198" s="650"/>
      <c r="W198" s="650"/>
      <c r="X198" s="650"/>
      <c r="Y198" s="650"/>
      <c r="Z198" s="650"/>
      <c r="AA198" s="650"/>
      <c r="AB198" s="650"/>
      <c r="AC198" s="650"/>
      <c r="AD198" s="650"/>
      <c r="AE198" s="650"/>
      <c r="AF198" s="650"/>
      <c r="AG198" s="650"/>
      <c r="AH198" s="650"/>
      <c r="AI198" s="619" t="str">
        <f>_xlfn.CONCAT(AA194,".",1)</f>
        <v>RNSS_3.1</v>
      </c>
      <c r="AJ198" s="619"/>
      <c r="AK198" s="619"/>
      <c r="AL198" s="619"/>
      <c r="AM198" s="619"/>
    </row>
    <row r="199" spans="1:39">
      <c r="A199" s="649" t="s">
        <v>747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50" t="str">
        <f>IF(LEFT(M198,2)="JT","0.4kV",IF(LEFT(M198,2)="MT","20kV","-"))</f>
        <v>0.4kV</v>
      </c>
      <c r="N199" s="650"/>
      <c r="O199" s="650"/>
      <c r="P199" s="650"/>
      <c r="Q199" s="650"/>
      <c r="R199" s="650"/>
      <c r="S199" s="650"/>
      <c r="T199" s="650"/>
      <c r="U199" s="650"/>
      <c r="V199" s="650"/>
      <c r="W199" s="650"/>
      <c r="X199" s="650"/>
      <c r="Y199" s="650"/>
      <c r="Z199" s="650"/>
      <c r="AA199" s="650"/>
      <c r="AB199" s="650"/>
      <c r="AC199" s="650"/>
      <c r="AD199" s="650"/>
      <c r="AE199" s="650"/>
      <c r="AF199" s="650"/>
      <c r="AG199" s="650"/>
      <c r="AH199" s="650"/>
      <c r="AI199" s="619"/>
      <c r="AJ199" s="619"/>
      <c r="AK199" s="619"/>
      <c r="AL199" s="619"/>
      <c r="AM199" s="619"/>
    </row>
    <row r="200" spans="1:39" ht="15.95" customHeight="1">
      <c r="A200" s="648" t="s">
        <v>697</v>
      </c>
      <c r="B200" s="648"/>
      <c r="C200" s="648"/>
      <c r="D200" s="648"/>
      <c r="E200" s="648"/>
      <c r="F200" s="648"/>
      <c r="G200" s="647" t="s">
        <v>713</v>
      </c>
      <c r="H200" s="647"/>
      <c r="I200" s="647"/>
      <c r="J200" s="647" t="s">
        <v>714</v>
      </c>
      <c r="K200" s="647"/>
      <c r="L200" s="647"/>
      <c r="M200" s="648" t="s">
        <v>519</v>
      </c>
      <c r="N200" s="648"/>
      <c r="O200" s="648" t="s">
        <v>715</v>
      </c>
      <c r="P200" s="648"/>
      <c r="Q200" s="648"/>
      <c r="R200" s="647" t="s">
        <v>732</v>
      </c>
      <c r="S200" s="647"/>
      <c r="T200" s="647"/>
      <c r="U200" s="647" t="s">
        <v>734</v>
      </c>
      <c r="V200" s="647"/>
      <c r="W200" s="647"/>
      <c r="X200" s="647" t="s">
        <v>1085</v>
      </c>
      <c r="Y200" s="647"/>
      <c r="Z200" s="647"/>
      <c r="AA200" s="647" t="s">
        <v>1086</v>
      </c>
      <c r="AB200" s="647"/>
      <c r="AC200" s="647"/>
      <c r="AD200" s="647" t="s">
        <v>717</v>
      </c>
      <c r="AE200" s="647"/>
      <c r="AF200" s="647" t="s">
        <v>718</v>
      </c>
      <c r="AG200" s="647"/>
      <c r="AH200" s="647"/>
      <c r="AI200" s="647" t="s">
        <v>719</v>
      </c>
      <c r="AJ200" s="647"/>
      <c r="AK200" s="647" t="s">
        <v>733</v>
      </c>
      <c r="AL200" s="647"/>
      <c r="AM200" s="647"/>
    </row>
    <row r="201" spans="1:39">
      <c r="A201" s="648"/>
      <c r="B201" s="648"/>
      <c r="C201" s="648"/>
      <c r="D201" s="648"/>
      <c r="E201" s="648"/>
      <c r="F201" s="648"/>
      <c r="G201" s="647"/>
      <c r="H201" s="647"/>
      <c r="I201" s="647"/>
      <c r="J201" s="647"/>
      <c r="K201" s="647"/>
      <c r="L201" s="647"/>
      <c r="M201" s="648"/>
      <c r="N201" s="648"/>
      <c r="O201" s="648"/>
      <c r="P201" s="648"/>
      <c r="Q201" s="648"/>
      <c r="R201" s="647"/>
      <c r="S201" s="647"/>
      <c r="T201" s="647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>
      <c r="A202" s="648"/>
      <c r="B202" s="648"/>
      <c r="C202" s="648"/>
      <c r="D202" s="648"/>
      <c r="E202" s="648"/>
      <c r="F202" s="648"/>
      <c r="G202" s="647"/>
      <c r="H202" s="647"/>
      <c r="I202" s="647"/>
      <c r="J202" s="713"/>
      <c r="K202" s="713"/>
      <c r="L202" s="713"/>
      <c r="M202" s="648"/>
      <c r="N202" s="648"/>
      <c r="O202" s="648"/>
      <c r="P202" s="648"/>
      <c r="Q202" s="648"/>
      <c r="R202" s="647"/>
      <c r="S202" s="647"/>
      <c r="T202" s="647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4" t="str">
        <f>VLOOKUP(AI198,'Contorizare in SDI'!$E:$I,5,FALSE)</f>
        <v>V.2705169/1</v>
      </c>
      <c r="B203" s="685"/>
      <c r="C203" s="685"/>
      <c r="D203" s="685"/>
      <c r="E203" s="685"/>
      <c r="F203" s="686"/>
      <c r="G203" s="648" t="s">
        <v>730</v>
      </c>
      <c r="H203" s="648"/>
      <c r="I203" s="673"/>
      <c r="J203" s="655">
        <f>'Date masura OD'!$AK$5</f>
        <v>45748</v>
      </c>
      <c r="K203" s="656"/>
      <c r="L203" s="657"/>
      <c r="M203" s="720" t="s">
        <v>446</v>
      </c>
      <c r="N203" s="648"/>
      <c r="O203" s="648">
        <f>VLOOKUP(AI198,'Incrementare indexe'!$B:$T,4,FALSE)</f>
        <v>1</v>
      </c>
      <c r="P203" s="648"/>
      <c r="Q203" s="648"/>
      <c r="R203" s="647" t="str">
        <f>VLOOKUP(A203,Regularizare!$D:$YN,3,FALSE)&amp;" ("&amp;VLOOKUP(A203,Regularizare!$D:$Y,11,FALSE)&amp;")"</f>
        <v>533511 (citit)</v>
      </c>
      <c r="S203" s="647"/>
      <c r="T203" s="647"/>
      <c r="U203" s="647" t="str">
        <f>VLOOKUP(A203,Regularizare!$D:$U,4,FALSE)&amp;" ("&amp;VLOOKUP(A203,Regularizare!$D:$U,12,FALSE)&amp;")"</f>
        <v>573809 (estimat)</v>
      </c>
      <c r="V203" s="647"/>
      <c r="W203" s="647"/>
      <c r="X203" s="647" t="str">
        <f>VLOOKUP(A203,Regularizare!$D:$Y,19,FALSE)&amp;" ("&amp;VLOOKUP(A203,Regularizare!$D:$U,12,FALSE)&amp;")"</f>
        <v>40298 (estimat)</v>
      </c>
      <c r="Y203" s="647"/>
      <c r="Z203" s="647"/>
      <c r="AA203" s="647">
        <f>(-1)*VLOOKUP(A203,Regularizare!$D:$Y,19,FALSE)</f>
        <v>-40298</v>
      </c>
      <c r="AB203" s="647"/>
      <c r="AC203" s="647"/>
      <c r="AD203" s="647" t="s">
        <v>69</v>
      </c>
      <c r="AE203" s="647"/>
      <c r="AF203" s="647">
        <f>AA203</f>
        <v>-40298</v>
      </c>
      <c r="AG203" s="647"/>
      <c r="AH203" s="647"/>
      <c r="AI203" s="647" t="s">
        <v>69</v>
      </c>
      <c r="AJ203" s="647"/>
      <c r="AK203" s="647" t="s">
        <v>69</v>
      </c>
      <c r="AL203" s="647"/>
      <c r="AM203" s="647"/>
    </row>
    <row r="204" spans="1:39" ht="9.75" customHeight="1">
      <c r="A204" s="727"/>
      <c r="B204" s="729"/>
      <c r="C204" s="729"/>
      <c r="D204" s="729"/>
      <c r="E204" s="729"/>
      <c r="F204" s="728"/>
      <c r="G204" s="648"/>
      <c r="H204" s="648"/>
      <c r="I204" s="673"/>
      <c r="J204" s="717" t="s">
        <v>69</v>
      </c>
      <c r="K204" s="718"/>
      <c r="L204" s="719"/>
      <c r="M204" s="720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7"/>
      <c r="B205" s="688"/>
      <c r="C205" s="688"/>
      <c r="D205" s="688"/>
      <c r="E205" s="688"/>
      <c r="F205" s="689"/>
      <c r="G205" s="648"/>
      <c r="H205" s="648"/>
      <c r="I205" s="673"/>
      <c r="J205" s="714">
        <f>'Date masura OD'!$AL$5</f>
        <v>45777</v>
      </c>
      <c r="K205" s="715"/>
      <c r="L205" s="716"/>
      <c r="M205" s="720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684" t="str">
        <f>A203</f>
        <v>V.2705169/1</v>
      </c>
      <c r="B206" s="685"/>
      <c r="C206" s="685"/>
      <c r="D206" s="685"/>
      <c r="E206" s="685"/>
      <c r="F206" s="686"/>
      <c r="G206" s="648" t="s">
        <v>696</v>
      </c>
      <c r="H206" s="648"/>
      <c r="I206" s="648"/>
      <c r="J206" s="655">
        <f t="shared" ref="J206:J211" si="11">J203</f>
        <v>45748</v>
      </c>
      <c r="K206" s="656"/>
      <c r="L206" s="657"/>
      <c r="M206" s="648" t="s">
        <v>720</v>
      </c>
      <c r="N206" s="648"/>
      <c r="O206" s="648">
        <f>O203</f>
        <v>1</v>
      </c>
      <c r="P206" s="648"/>
      <c r="Q206" s="648"/>
      <c r="R206" s="647" t="str">
        <f>VLOOKUP(A206,Regularizare!$D:$U,7,FALSE)&amp;" ("&amp;VLOOKUP(A206,Regularizare!$D:$U,15,FALSE)&amp;")"</f>
        <v>46160 (citit)</v>
      </c>
      <c r="S206" s="647"/>
      <c r="T206" s="647"/>
      <c r="U206" s="647" t="str">
        <f>VLOOKUP(A206,Regularizare!$D:$U,8,FALSE)&amp;" ("&amp;VLOOKUP(A206,Regularizare!$D:$U,16,FALSE)&amp;")"</f>
        <v>46160 (estimat)</v>
      </c>
      <c r="V206" s="647"/>
      <c r="W206" s="647"/>
      <c r="X206" s="647" t="str">
        <f>_xlfn.CONCAT(VLOOKUP(A206,Regularizare!$D:$U,8,FALSE)-VLOOKUP(A206,Regularizare!$D:$U,7,FALSE)," (",VLOOKUP(A206,Regularizare!$D:$U,16,FALSE),")")</f>
        <v>0 (estimat)</v>
      </c>
      <c r="Y206" s="647"/>
      <c r="Z206" s="647"/>
      <c r="AA206" s="647">
        <f>IF(VLOOKUP(A206,Regularizare!$D:$Y,21,FALSE)=0,VLOOKUP(A206,Regularizare!$D:$Y,21,FALSE),(-1)*VLOOKUP(A206,Regularizare!$D:$Y,21,FALSE))</f>
        <v>0</v>
      </c>
      <c r="AB206" s="647"/>
      <c r="AC206" s="647"/>
      <c r="AD206" s="647" t="s">
        <v>69</v>
      </c>
      <c r="AE206" s="647"/>
      <c r="AF206" s="647">
        <f>AA206</f>
        <v>0</v>
      </c>
      <c r="AG206" s="647"/>
      <c r="AH206" s="647"/>
      <c r="AI206" s="647" t="str">
        <f>AI203</f>
        <v>-</v>
      </c>
      <c r="AJ206" s="647"/>
      <c r="AK206" s="647" t="str">
        <f>AK203</f>
        <v>-</v>
      </c>
      <c r="AL206" s="647"/>
      <c r="AM206" s="647"/>
    </row>
    <row r="207" spans="1:39" ht="8.4499999999999993" customHeight="1">
      <c r="A207" s="727"/>
      <c r="B207" s="729"/>
      <c r="C207" s="729"/>
      <c r="D207" s="729"/>
      <c r="E207" s="729"/>
      <c r="F207" s="728"/>
      <c r="G207" s="648"/>
      <c r="H207" s="648"/>
      <c r="I207" s="648"/>
      <c r="J207" s="717" t="str">
        <f t="shared" si="11"/>
        <v>-</v>
      </c>
      <c r="K207" s="718"/>
      <c r="L207" s="719"/>
      <c r="M207" s="648"/>
      <c r="N207" s="648"/>
      <c r="O207" s="648"/>
      <c r="P207" s="648"/>
      <c r="Q207" s="648"/>
      <c r="R207" s="647"/>
      <c r="S207" s="647"/>
      <c r="T207" s="647"/>
      <c r="U207" s="647"/>
      <c r="V207" s="647"/>
      <c r="W207" s="647"/>
      <c r="X207" s="647"/>
      <c r="Y207" s="647"/>
      <c r="Z207" s="647"/>
      <c r="AA207" s="647"/>
      <c r="AB207" s="647"/>
      <c r="AC207" s="647"/>
      <c r="AD207" s="647"/>
      <c r="AE207" s="647"/>
      <c r="AF207" s="647"/>
      <c r="AG207" s="647"/>
      <c r="AH207" s="647"/>
      <c r="AI207" s="647"/>
      <c r="AJ207" s="647"/>
      <c r="AK207" s="647"/>
      <c r="AL207" s="647"/>
      <c r="AM207" s="647"/>
    </row>
    <row r="208" spans="1:39" ht="14.1" customHeight="1">
      <c r="A208" s="687"/>
      <c r="B208" s="688"/>
      <c r="C208" s="688"/>
      <c r="D208" s="688"/>
      <c r="E208" s="688"/>
      <c r="F208" s="689"/>
      <c r="G208" s="648"/>
      <c r="H208" s="648"/>
      <c r="I208" s="648"/>
      <c r="J208" s="714">
        <f t="shared" si="11"/>
        <v>45777</v>
      </c>
      <c r="K208" s="715"/>
      <c r="L208" s="716"/>
      <c r="M208" s="648"/>
      <c r="N208" s="648"/>
      <c r="O208" s="648"/>
      <c r="P208" s="648"/>
      <c r="Q208" s="648"/>
      <c r="R208" s="647"/>
      <c r="S208" s="647"/>
      <c r="T208" s="647"/>
      <c r="U208" s="647"/>
      <c r="V208" s="647"/>
      <c r="W208" s="647"/>
      <c r="X208" s="647"/>
      <c r="Y208" s="647"/>
      <c r="Z208" s="647"/>
      <c r="AA208" s="647"/>
      <c r="AB208" s="647"/>
      <c r="AC208" s="647"/>
      <c r="AD208" s="647"/>
      <c r="AE208" s="647"/>
      <c r="AF208" s="647"/>
      <c r="AG208" s="647"/>
      <c r="AH208" s="647"/>
      <c r="AI208" s="647"/>
      <c r="AJ208" s="647"/>
      <c r="AK208" s="647"/>
      <c r="AL208" s="647"/>
      <c r="AM208" s="647"/>
    </row>
    <row r="209" spans="1:39" ht="14.1" customHeight="1">
      <c r="A209" s="684" t="str">
        <f>A206</f>
        <v>V.2705169/1</v>
      </c>
      <c r="B209" s="685"/>
      <c r="C209" s="685"/>
      <c r="D209" s="685"/>
      <c r="E209" s="685"/>
      <c r="F209" s="686"/>
      <c r="G209" s="648" t="s">
        <v>731</v>
      </c>
      <c r="H209" s="648"/>
      <c r="I209" s="648"/>
      <c r="J209" s="655">
        <f t="shared" si="11"/>
        <v>45748</v>
      </c>
      <c r="K209" s="656"/>
      <c r="L209" s="657"/>
      <c r="M209" s="648" t="s">
        <v>720</v>
      </c>
      <c r="N209" s="648"/>
      <c r="O209" s="648">
        <f>O206</f>
        <v>1</v>
      </c>
      <c r="P209" s="648"/>
      <c r="Q209" s="648"/>
      <c r="R209" s="647" t="str">
        <f>VLOOKUP(A209,Regularizare!$D:$U,9,FALSE)&amp;" ("&amp;VLOOKUP(A209,Regularizare!$D:$U,17,FALSE)&amp;")"</f>
        <v>4646 (citit)</v>
      </c>
      <c r="S209" s="647"/>
      <c r="T209" s="647"/>
      <c r="U209" s="647" t="str">
        <f>VLOOKUP(A209,Regularizare!$D:$U,10,FALSE)&amp;" ("&amp;VLOOKUP(A209,Regularizare!$D:$U,18,FALSE)&amp;")"</f>
        <v>4646 (estimat)</v>
      </c>
      <c r="V209" s="647"/>
      <c r="W209" s="647"/>
      <c r="X209" s="647" t="str">
        <f>_xlfn.CONCAT(VLOOKUP(A209,Regularizare!$D:$U,10,FALSE)-VLOOKUP(A209,Regularizare!$D:$U,9,FALSE)," (",VLOOKUP(A209,Regularizare!$D:$U,18,FALSE),")")</f>
        <v>0 (estimat)</v>
      </c>
      <c r="Y209" s="647"/>
      <c r="Z209" s="647"/>
      <c r="AA209" s="647">
        <f>IF(VLOOKUP(A209,Regularizare!$D:$Y,22,FALSE)=0,VLOOKUP(A209,Regularizare!$D:$Y,22,FALSE),(-1)*VLOOKUP(A209,Regularizare!$D:$Y,22,FALSE))</f>
        <v>0</v>
      </c>
      <c r="AB209" s="647"/>
      <c r="AC209" s="647"/>
      <c r="AD209" s="647" t="s">
        <v>69</v>
      </c>
      <c r="AE209" s="647"/>
      <c r="AF209" s="647">
        <f>AA209</f>
        <v>0</v>
      </c>
      <c r="AG209" s="647"/>
      <c r="AH209" s="647"/>
      <c r="AI209" s="647" t="str">
        <f>AI206</f>
        <v>-</v>
      </c>
      <c r="AJ209" s="647"/>
      <c r="AK209" s="647" t="str">
        <f>AK206</f>
        <v>-</v>
      </c>
      <c r="AL209" s="647"/>
      <c r="AM209" s="647"/>
    </row>
    <row r="210" spans="1:39" ht="8.4499999999999993" customHeight="1">
      <c r="A210" s="727"/>
      <c r="B210" s="729"/>
      <c r="C210" s="729"/>
      <c r="D210" s="729"/>
      <c r="E210" s="729"/>
      <c r="F210" s="728"/>
      <c r="G210" s="648"/>
      <c r="H210" s="648"/>
      <c r="I210" s="648"/>
      <c r="J210" s="717" t="str">
        <f t="shared" si="11"/>
        <v>-</v>
      </c>
      <c r="K210" s="718"/>
      <c r="L210" s="719"/>
      <c r="M210" s="648"/>
      <c r="N210" s="648"/>
      <c r="O210" s="648"/>
      <c r="P210" s="648"/>
      <c r="Q210" s="648"/>
      <c r="R210" s="647"/>
      <c r="S210" s="647"/>
      <c r="T210" s="647"/>
      <c r="U210" s="647"/>
      <c r="V210" s="647"/>
      <c r="W210" s="647"/>
      <c r="X210" s="647"/>
      <c r="Y210" s="647"/>
      <c r="Z210" s="647"/>
      <c r="AA210" s="647"/>
      <c r="AB210" s="647"/>
      <c r="AC210" s="647"/>
      <c r="AD210" s="647"/>
      <c r="AE210" s="647"/>
      <c r="AF210" s="647"/>
      <c r="AG210" s="647"/>
      <c r="AH210" s="647"/>
      <c r="AI210" s="647"/>
      <c r="AJ210" s="647"/>
      <c r="AK210" s="647"/>
      <c r="AL210" s="647"/>
      <c r="AM210" s="647"/>
    </row>
    <row r="211" spans="1:39" ht="14.1" customHeight="1">
      <c r="A211" s="687"/>
      <c r="B211" s="688"/>
      <c r="C211" s="688"/>
      <c r="D211" s="688"/>
      <c r="E211" s="688"/>
      <c r="F211" s="689"/>
      <c r="G211" s="648"/>
      <c r="H211" s="648"/>
      <c r="I211" s="648"/>
      <c r="J211" s="714">
        <f t="shared" si="11"/>
        <v>45777</v>
      </c>
      <c r="K211" s="715"/>
      <c r="L211" s="716"/>
      <c r="M211" s="648"/>
      <c r="N211" s="648"/>
      <c r="O211" s="648"/>
      <c r="P211" s="648"/>
      <c r="Q211" s="648"/>
      <c r="R211" s="647"/>
      <c r="S211" s="647"/>
      <c r="T211" s="647"/>
      <c r="U211" s="647"/>
      <c r="V211" s="647"/>
      <c r="W211" s="647"/>
      <c r="X211" s="647"/>
      <c r="Y211" s="647"/>
      <c r="Z211" s="647"/>
      <c r="AA211" s="647"/>
      <c r="AB211" s="647"/>
      <c r="AC211" s="647"/>
      <c r="AD211" s="647"/>
      <c r="AE211" s="647"/>
      <c r="AF211" s="647"/>
      <c r="AG211" s="647"/>
      <c r="AH211" s="647"/>
      <c r="AI211" s="647"/>
      <c r="AJ211" s="647"/>
      <c r="AK211" s="647"/>
      <c r="AL211" s="647"/>
      <c r="AM211" s="647"/>
    </row>
    <row r="212" spans="1:39" ht="14.1" customHeight="1">
      <c r="A212" s="684" t="str">
        <f>A209</f>
        <v>V.2705169/1</v>
      </c>
      <c r="B212" s="685"/>
      <c r="C212" s="685"/>
      <c r="D212" s="685"/>
      <c r="E212" s="685"/>
      <c r="F212" s="686"/>
      <c r="G212" s="648" t="s">
        <v>730</v>
      </c>
      <c r="H212" s="648"/>
      <c r="I212" s="673"/>
      <c r="J212" s="655">
        <f>'Date masura OD'!$AK$5</f>
        <v>45748</v>
      </c>
      <c r="K212" s="656"/>
      <c r="L212" s="657"/>
      <c r="M212" s="720" t="s">
        <v>446</v>
      </c>
      <c r="N212" s="648"/>
      <c r="O212" s="648">
        <f>O209</f>
        <v>1</v>
      </c>
      <c r="P212" s="648"/>
      <c r="Q212" s="648"/>
      <c r="R212" s="647" t="str">
        <f>VLOOKUP(A212,Regularizare!$D:$AX,23,FALSE)&amp;" ("&amp;VLOOKUP(A212,Regularizare!$D:$AX,24,FALSE)&amp;")"</f>
        <v>533511 (citit)</v>
      </c>
      <c r="S212" s="647"/>
      <c r="T212" s="647"/>
      <c r="U212" s="647" t="str">
        <f>VLOOKUP(A212,Regularizare!$D:$AX,25,FALSE)&amp;" ("&amp;VLOOKUP(A212,Regularizare!$D:$AX,26,FALSE)&amp;")"</f>
        <v>573809 (citit)</v>
      </c>
      <c r="V212" s="647"/>
      <c r="W212" s="647"/>
      <c r="X212" s="647" t="str">
        <f>VLOOKUP(A212,Regularizare!$D:$AX,37,FALSE)&amp;" ("&amp;VLOOKUP(A212,Regularizare!$D:$AX,26,FALSE)&amp;")"</f>
        <v>40298 (citit)</v>
      </c>
      <c r="Y212" s="647"/>
      <c r="Z212" s="647"/>
      <c r="AA212" s="647">
        <f>VLOOKUP(A212,Regularizare!$D:$AX,37,FALSE)</f>
        <v>40298</v>
      </c>
      <c r="AB212" s="647"/>
      <c r="AC212" s="647"/>
      <c r="AD212" s="647" t="s">
        <v>69</v>
      </c>
      <c r="AE212" s="647"/>
      <c r="AF212" s="647">
        <f>AA212</f>
        <v>40298</v>
      </c>
      <c r="AG212" s="647"/>
      <c r="AH212" s="647"/>
      <c r="AI212" s="647" t="str">
        <f>AI209</f>
        <v>-</v>
      </c>
      <c r="AJ212" s="647"/>
      <c r="AK212" s="647" t="str">
        <f>AK209</f>
        <v>-</v>
      </c>
      <c r="AL212" s="647"/>
      <c r="AM212" s="647"/>
    </row>
    <row r="213" spans="1:39" ht="8.4499999999999993" customHeight="1">
      <c r="A213" s="727"/>
      <c r="B213" s="729"/>
      <c r="C213" s="729"/>
      <c r="D213" s="729"/>
      <c r="E213" s="729"/>
      <c r="F213" s="728"/>
      <c r="G213" s="648"/>
      <c r="H213" s="648"/>
      <c r="I213" s="673"/>
      <c r="J213" s="717" t="s">
        <v>69</v>
      </c>
      <c r="K213" s="718"/>
      <c r="L213" s="719"/>
      <c r="M213" s="720"/>
      <c r="N213" s="648"/>
      <c r="O213" s="648"/>
      <c r="P213" s="648"/>
      <c r="Q213" s="648"/>
      <c r="R213" s="647"/>
      <c r="S213" s="647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</row>
    <row r="214" spans="1:39" ht="14.1" customHeight="1">
      <c r="A214" s="687"/>
      <c r="B214" s="688"/>
      <c r="C214" s="688"/>
      <c r="D214" s="688"/>
      <c r="E214" s="688"/>
      <c r="F214" s="689"/>
      <c r="G214" s="648"/>
      <c r="H214" s="648"/>
      <c r="I214" s="673"/>
      <c r="J214" s="714">
        <f>'Date masura OD'!$AL$5</f>
        <v>45777</v>
      </c>
      <c r="K214" s="715"/>
      <c r="L214" s="716"/>
      <c r="M214" s="720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 ht="14.1" customHeight="1">
      <c r="A215" s="684" t="str">
        <f>A212</f>
        <v>V.2705169/1</v>
      </c>
      <c r="B215" s="685"/>
      <c r="C215" s="685"/>
      <c r="D215" s="685"/>
      <c r="E215" s="685"/>
      <c r="F215" s="686"/>
      <c r="G215" s="648" t="s">
        <v>696</v>
      </c>
      <c r="H215" s="648"/>
      <c r="I215" s="648"/>
      <c r="J215" s="655">
        <f t="shared" ref="J215:J220" si="12">J212</f>
        <v>45748</v>
      </c>
      <c r="K215" s="656"/>
      <c r="L215" s="657"/>
      <c r="M215" s="648" t="s">
        <v>720</v>
      </c>
      <c r="N215" s="648"/>
      <c r="O215" s="648">
        <f>O212</f>
        <v>1</v>
      </c>
      <c r="P215" s="648"/>
      <c r="Q215" s="648"/>
      <c r="R215" s="647" t="str">
        <f>VLOOKUP(A215,Regularizare!$D:$AX,29,FALSE)&amp;" ("&amp;VLOOKUP(A215,Regularizare!$D:$AX,30,FALSE)&amp;")"</f>
        <v>46160 (citit)</v>
      </c>
      <c r="S215" s="647"/>
      <c r="T215" s="647"/>
      <c r="U215" s="647" t="str">
        <f>VLOOKUP(A215,Regularizare!$D:$AX,31,FALSE)&amp;" ("&amp;VLOOKUP(A215,Regularizare!$D:$AX,32,FALSE)&amp;")"</f>
        <v>46631 (citit)</v>
      </c>
      <c r="V215" s="647"/>
      <c r="W215" s="647"/>
      <c r="X215" s="647" t="str">
        <f>VLOOKUP(A215,Regularizare!$D:$AX,39,FALSE)&amp;" ("&amp;VLOOKUP(A215,Regularizare!$D:$AX,32,FALSE)&amp;")"</f>
        <v>471 (citit)</v>
      </c>
      <c r="Y215" s="647"/>
      <c r="Z215" s="647"/>
      <c r="AA215" s="647">
        <f>VLOOKUP(A215,Regularizare!$D:$AX,44,FALSE)+VLOOKUP(A215,Regularizare!$D:$AX,45,FALSE)</f>
        <v>471</v>
      </c>
      <c r="AB215" s="647"/>
      <c r="AC215" s="647"/>
      <c r="AD215" s="647" t="s">
        <v>69</v>
      </c>
      <c r="AE215" s="647"/>
      <c r="AF215" s="647">
        <f>AA215</f>
        <v>471</v>
      </c>
      <c r="AG215" s="647"/>
      <c r="AH215" s="647"/>
      <c r="AI215" s="647" t="str">
        <f>AI212</f>
        <v>-</v>
      </c>
      <c r="AJ215" s="647"/>
      <c r="AK215" s="647" t="str">
        <f>AK212</f>
        <v>-</v>
      </c>
      <c r="AL215" s="647"/>
      <c r="AM215" s="647"/>
    </row>
    <row r="216" spans="1:39" ht="8.4499999999999993" customHeight="1">
      <c r="A216" s="727"/>
      <c r="B216" s="729"/>
      <c r="C216" s="729"/>
      <c r="D216" s="729"/>
      <c r="E216" s="729"/>
      <c r="F216" s="728"/>
      <c r="G216" s="648"/>
      <c r="H216" s="648"/>
      <c r="I216" s="648"/>
      <c r="J216" s="717" t="str">
        <f t="shared" si="12"/>
        <v>-</v>
      </c>
      <c r="K216" s="718"/>
      <c r="L216" s="719"/>
      <c r="M216" s="648"/>
      <c r="N216" s="648"/>
      <c r="O216" s="648"/>
      <c r="P216" s="648"/>
      <c r="Q216" s="648"/>
      <c r="R216" s="647"/>
      <c r="S216" s="647"/>
      <c r="T216" s="647"/>
      <c r="U216" s="647"/>
      <c r="V216" s="647"/>
      <c r="W216" s="647"/>
      <c r="X216" s="647"/>
      <c r="Y216" s="647"/>
      <c r="Z216" s="647"/>
      <c r="AA216" s="647"/>
      <c r="AB216" s="647"/>
      <c r="AC216" s="647"/>
      <c r="AD216" s="647"/>
      <c r="AE216" s="647"/>
      <c r="AF216" s="647"/>
      <c r="AG216" s="647"/>
      <c r="AH216" s="647"/>
      <c r="AI216" s="647"/>
      <c r="AJ216" s="647"/>
      <c r="AK216" s="647"/>
      <c r="AL216" s="647"/>
      <c r="AM216" s="647"/>
    </row>
    <row r="217" spans="1:39" ht="14.1" customHeight="1">
      <c r="A217" s="687"/>
      <c r="B217" s="688"/>
      <c r="C217" s="688"/>
      <c r="D217" s="688"/>
      <c r="E217" s="688"/>
      <c r="F217" s="689"/>
      <c r="G217" s="648"/>
      <c r="H217" s="648"/>
      <c r="I217" s="648"/>
      <c r="J217" s="714">
        <f t="shared" si="12"/>
        <v>45777</v>
      </c>
      <c r="K217" s="715"/>
      <c r="L217" s="716"/>
      <c r="M217" s="648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4" t="str">
        <f>A215</f>
        <v>V.2705169/1</v>
      </c>
      <c r="B218" s="685"/>
      <c r="C218" s="685"/>
      <c r="D218" s="685"/>
      <c r="E218" s="685"/>
      <c r="F218" s="686"/>
      <c r="G218" s="648" t="s">
        <v>731</v>
      </c>
      <c r="H218" s="648"/>
      <c r="I218" s="648"/>
      <c r="J218" s="655">
        <f t="shared" si="12"/>
        <v>45748</v>
      </c>
      <c r="K218" s="656"/>
      <c r="L218" s="657"/>
      <c r="M218" s="648" t="s">
        <v>720</v>
      </c>
      <c r="N218" s="648"/>
      <c r="O218" s="648">
        <f>O215</f>
        <v>1</v>
      </c>
      <c r="P218" s="648"/>
      <c r="Q218" s="648"/>
      <c r="R218" s="647" t="str">
        <f>VLOOKUP(A218,Regularizare!$D:$AX,33,FALSE)&amp;" ("&amp;VLOOKUP(A218,Regularizare!$D:$AX,34,FALSE)&amp;")"</f>
        <v>4646 (citit)</v>
      </c>
      <c r="S218" s="647"/>
      <c r="T218" s="647"/>
      <c r="U218" s="647" t="str">
        <f>VLOOKUP(A218,Regularizare!$D:$AX,35,FALSE)&amp;" ("&amp;VLOOKUP(A218,Regularizare!$D:$AX,36,FALSE)&amp;")"</f>
        <v>4646 (citit)</v>
      </c>
      <c r="V218" s="647"/>
      <c r="W218" s="647"/>
      <c r="X218" s="647" t="str">
        <f>VLOOKUP(A218,Regularizare!$D:$AX,40,FALSE)&amp;" ("&amp;VLOOKUP(A218,Regularizare!$D:$AX,36,FALSE)&amp;")"</f>
        <v>0 (citit)</v>
      </c>
      <c r="Y218" s="647"/>
      <c r="Z218" s="647"/>
      <c r="AA218" s="647">
        <f>VLOOKUP(A218,Regularizare!$D:$AX,46,FALSE)+VLOOKUP(A218,Regularizare!$D:$AX,47,FALSE)</f>
        <v>0</v>
      </c>
      <c r="AB218" s="647"/>
      <c r="AC218" s="647"/>
      <c r="AD218" s="647" t="s">
        <v>69</v>
      </c>
      <c r="AE218" s="647"/>
      <c r="AF218" s="647">
        <f>AA218</f>
        <v>0</v>
      </c>
      <c r="AG218" s="647"/>
      <c r="AH218" s="647"/>
      <c r="AI218" s="647" t="str">
        <f>AI215</f>
        <v>-</v>
      </c>
      <c r="AJ218" s="647"/>
      <c r="AK218" s="647" t="str">
        <f>AK215</f>
        <v>-</v>
      </c>
      <c r="AL218" s="647"/>
      <c r="AM218" s="647"/>
    </row>
    <row r="219" spans="1:39" ht="8.4499999999999993" customHeight="1">
      <c r="A219" s="727"/>
      <c r="B219" s="729"/>
      <c r="C219" s="729"/>
      <c r="D219" s="729"/>
      <c r="E219" s="729"/>
      <c r="F219" s="728"/>
      <c r="G219" s="648"/>
      <c r="H219" s="648"/>
      <c r="I219" s="648"/>
      <c r="J219" s="717" t="str">
        <f t="shared" si="12"/>
        <v>-</v>
      </c>
      <c r="K219" s="718"/>
      <c r="L219" s="719"/>
      <c r="M219" s="648"/>
      <c r="N219" s="648"/>
      <c r="O219" s="648"/>
      <c r="P219" s="648"/>
      <c r="Q219" s="648"/>
      <c r="R219" s="647"/>
      <c r="S219" s="647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</row>
    <row r="220" spans="1:39" ht="14.1" customHeight="1">
      <c r="A220" s="687"/>
      <c r="B220" s="688"/>
      <c r="C220" s="688"/>
      <c r="D220" s="688"/>
      <c r="E220" s="688"/>
      <c r="F220" s="689"/>
      <c r="G220" s="648"/>
      <c r="H220" s="648"/>
      <c r="I220" s="648"/>
      <c r="J220" s="714">
        <f t="shared" si="12"/>
        <v>45777</v>
      </c>
      <c r="K220" s="715"/>
      <c r="L220" s="716"/>
      <c r="M220" s="648"/>
      <c r="N220" s="648"/>
      <c r="O220" s="648"/>
      <c r="P220" s="648"/>
      <c r="Q220" s="648"/>
      <c r="R220" s="647"/>
      <c r="S220" s="647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84" t="str">
        <f>A218</f>
        <v>V.2705169/1</v>
      </c>
      <c r="B221" s="685"/>
      <c r="C221" s="685"/>
      <c r="D221" s="685"/>
      <c r="E221" s="685"/>
      <c r="F221" s="686"/>
      <c r="G221" s="648" t="s">
        <v>730</v>
      </c>
      <c r="H221" s="648"/>
      <c r="I221" s="673"/>
      <c r="J221" s="655">
        <f>'Date masura OD'!$I$5</f>
        <v>45778</v>
      </c>
      <c r="K221" s="656"/>
      <c r="L221" s="657"/>
      <c r="M221" s="720" t="s">
        <v>446</v>
      </c>
      <c r="N221" s="648"/>
      <c r="O221" s="648">
        <f>O218</f>
        <v>1</v>
      </c>
      <c r="P221" s="648"/>
      <c r="Q221" s="648"/>
      <c r="R221" s="647" t="str">
        <f>U212</f>
        <v>573809 (citit)</v>
      </c>
      <c r="S221" s="647"/>
      <c r="T221" s="647"/>
      <c r="U221" s="647" t="str">
        <f>VLOOKUP(A221,'Incrementare indexe'!$D:$M,4,FALSE)&amp;" (estimat)"</f>
        <v>608835 (estimat)</v>
      </c>
      <c r="V221" s="647"/>
      <c r="W221" s="647"/>
      <c r="X221" s="647" t="str">
        <f>VLOOKUP(A221,'Incrementare indexe'!$D:$Q,11,FALSE)&amp;" (estimat)"</f>
        <v>35026 (estimat)</v>
      </c>
      <c r="Y221" s="647"/>
      <c r="Z221" s="647"/>
      <c r="AA221" s="647" t="s">
        <v>69</v>
      </c>
      <c r="AB221" s="647"/>
      <c r="AC221" s="647"/>
      <c r="AD221" s="647" t="s">
        <v>69</v>
      </c>
      <c r="AE221" s="647"/>
      <c r="AF221" s="647">
        <f>VLOOKUP(A221,'Incrementare indexe'!$D:$Q,11,FALSE)</f>
        <v>35026</v>
      </c>
      <c r="AG221" s="647"/>
      <c r="AH221" s="647"/>
      <c r="AI221" s="647">
        <f>J223-J221+1</f>
        <v>31</v>
      </c>
      <c r="AJ221" s="647"/>
      <c r="AK221" s="647">
        <f>ROUND(AF221/AI221,2)</f>
        <v>1129.8699999999999</v>
      </c>
      <c r="AL221" s="647"/>
      <c r="AM221" s="647"/>
    </row>
    <row r="222" spans="1:39" ht="8.4499999999999993" customHeight="1">
      <c r="A222" s="727"/>
      <c r="B222" s="729"/>
      <c r="C222" s="729"/>
      <c r="D222" s="729"/>
      <c r="E222" s="729"/>
      <c r="F222" s="728"/>
      <c r="G222" s="648"/>
      <c r="H222" s="648"/>
      <c r="I222" s="673"/>
      <c r="J222" s="717" t="s">
        <v>69</v>
      </c>
      <c r="K222" s="718"/>
      <c r="L222" s="719"/>
      <c r="M222" s="720"/>
      <c r="N222" s="648"/>
      <c r="O222" s="648"/>
      <c r="P222" s="648"/>
      <c r="Q222" s="648"/>
      <c r="R222" s="647"/>
      <c r="S222" s="647"/>
      <c r="T222" s="647"/>
      <c r="U222" s="647"/>
      <c r="V222" s="647"/>
      <c r="W222" s="647"/>
      <c r="X222" s="647"/>
      <c r="Y222" s="647"/>
      <c r="Z222" s="647"/>
      <c r="AA222" s="647"/>
      <c r="AB222" s="647"/>
      <c r="AC222" s="647"/>
      <c r="AD222" s="647"/>
      <c r="AE222" s="647"/>
      <c r="AF222" s="647"/>
      <c r="AG222" s="647"/>
      <c r="AH222" s="647"/>
      <c r="AI222" s="647"/>
      <c r="AJ222" s="647"/>
      <c r="AK222" s="647"/>
      <c r="AL222" s="647"/>
      <c r="AM222" s="647"/>
    </row>
    <row r="223" spans="1:39" ht="14.1" customHeight="1">
      <c r="A223" s="687"/>
      <c r="B223" s="688"/>
      <c r="C223" s="688"/>
      <c r="D223" s="688"/>
      <c r="E223" s="688"/>
      <c r="F223" s="689"/>
      <c r="G223" s="648"/>
      <c r="H223" s="648"/>
      <c r="I223" s="673"/>
      <c r="J223" s="714">
        <f>'Date masura OD'!$J$5</f>
        <v>45808</v>
      </c>
      <c r="K223" s="715"/>
      <c r="L223" s="716"/>
      <c r="M223" s="720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84" t="str">
        <f>A221</f>
        <v>V.2705169/1</v>
      </c>
      <c r="B224" s="685"/>
      <c r="C224" s="685"/>
      <c r="D224" s="685"/>
      <c r="E224" s="685"/>
      <c r="F224" s="686"/>
      <c r="G224" s="648" t="s">
        <v>696</v>
      </c>
      <c r="H224" s="648"/>
      <c r="I224" s="648"/>
      <c r="J224" s="655">
        <f t="shared" ref="J224:J229" si="13">J221</f>
        <v>45778</v>
      </c>
      <c r="K224" s="656"/>
      <c r="L224" s="657"/>
      <c r="M224" s="648" t="s">
        <v>720</v>
      </c>
      <c r="N224" s="648"/>
      <c r="O224" s="648">
        <f>O221</f>
        <v>1</v>
      </c>
      <c r="P224" s="648"/>
      <c r="Q224" s="648"/>
      <c r="R224" s="647" t="str">
        <f>U215</f>
        <v>46631 (citit)</v>
      </c>
      <c r="S224" s="647"/>
      <c r="T224" s="647"/>
      <c r="U224" s="647" t="str">
        <f>VLOOKUP(A224,'Incrementare indexe'!$D:$M,8,FALSE)&amp;" (estimat)"</f>
        <v>46631 (estimat)</v>
      </c>
      <c r="V224" s="647"/>
      <c r="W224" s="647"/>
      <c r="X224" s="647" t="str">
        <f>VLOOKUP(A224,'Incrementare indexe'!$D:$Q,12,FALSE)&amp;" (estimat)"</f>
        <v>0 (estimat)</v>
      </c>
      <c r="Y224" s="647"/>
      <c r="Z224" s="647"/>
      <c r="AA224" s="647" t="s">
        <v>69</v>
      </c>
      <c r="AB224" s="647"/>
      <c r="AC224" s="647"/>
      <c r="AD224" s="647" t="s">
        <v>69</v>
      </c>
      <c r="AE224" s="647"/>
      <c r="AF224" s="647">
        <f>VLOOKUP(A224,'Incrementare indexe'!$D:$Q,12,FALSE)</f>
        <v>0</v>
      </c>
      <c r="AG224" s="647"/>
      <c r="AH224" s="647"/>
      <c r="AI224" s="647">
        <f>AI221</f>
        <v>31</v>
      </c>
      <c r="AJ224" s="647"/>
      <c r="AK224" s="647">
        <f>ROUND(AF224/AI224,2)</f>
        <v>0</v>
      </c>
      <c r="AL224" s="647"/>
      <c r="AM224" s="647"/>
    </row>
    <row r="225" spans="1:39" ht="8.4499999999999993" customHeight="1">
      <c r="A225" s="727"/>
      <c r="B225" s="729"/>
      <c r="C225" s="729"/>
      <c r="D225" s="729"/>
      <c r="E225" s="729"/>
      <c r="F225" s="728"/>
      <c r="G225" s="648"/>
      <c r="H225" s="648"/>
      <c r="I225" s="648"/>
      <c r="J225" s="717" t="str">
        <f t="shared" si="13"/>
        <v>-</v>
      </c>
      <c r="K225" s="718"/>
      <c r="L225" s="719"/>
      <c r="M225" s="648"/>
      <c r="N225" s="648"/>
      <c r="O225" s="648"/>
      <c r="P225" s="648"/>
      <c r="Q225" s="648"/>
      <c r="R225" s="647"/>
      <c r="S225" s="647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647"/>
      <c r="AL225" s="647"/>
      <c r="AM225" s="647"/>
    </row>
    <row r="226" spans="1:39" ht="14.1" customHeight="1">
      <c r="A226" s="687"/>
      <c r="B226" s="688"/>
      <c r="C226" s="688"/>
      <c r="D226" s="688"/>
      <c r="E226" s="688"/>
      <c r="F226" s="689"/>
      <c r="G226" s="648"/>
      <c r="H226" s="648"/>
      <c r="I226" s="648"/>
      <c r="J226" s="714">
        <f t="shared" si="13"/>
        <v>45808</v>
      </c>
      <c r="K226" s="715"/>
      <c r="L226" s="716"/>
      <c r="M226" s="648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684" t="str">
        <f>A224</f>
        <v>V.2705169/1</v>
      </c>
      <c r="B227" s="685"/>
      <c r="C227" s="685"/>
      <c r="D227" s="685"/>
      <c r="E227" s="685"/>
      <c r="F227" s="686"/>
      <c r="G227" s="648" t="s">
        <v>731</v>
      </c>
      <c r="H227" s="648"/>
      <c r="I227" s="648"/>
      <c r="J227" s="655">
        <f t="shared" si="13"/>
        <v>45778</v>
      </c>
      <c r="K227" s="656"/>
      <c r="L227" s="657"/>
      <c r="M227" s="648" t="s">
        <v>720</v>
      </c>
      <c r="N227" s="648"/>
      <c r="O227" s="648">
        <f>O224</f>
        <v>1</v>
      </c>
      <c r="P227" s="648"/>
      <c r="Q227" s="648"/>
      <c r="R227" s="647" t="str">
        <f>U218</f>
        <v>4646 (citit)</v>
      </c>
      <c r="S227" s="647"/>
      <c r="T227" s="647"/>
      <c r="U227" s="647" t="str">
        <f>VLOOKUP(A227,'Incrementare indexe'!$D:$M,10,FALSE)&amp;" (estimat)"</f>
        <v>4646 (estimat)</v>
      </c>
      <c r="V227" s="647"/>
      <c r="W227" s="647"/>
      <c r="X227" s="647" t="str">
        <f>VLOOKUP(A227,'Incrementare indexe'!$D:$Q,13,FALSE)&amp;" (estimat)"</f>
        <v>0 (estimat)</v>
      </c>
      <c r="Y227" s="647"/>
      <c r="Z227" s="647"/>
      <c r="AA227" s="647" t="s">
        <v>69</v>
      </c>
      <c r="AB227" s="647"/>
      <c r="AC227" s="647"/>
      <c r="AD227" s="647" t="s">
        <v>69</v>
      </c>
      <c r="AE227" s="647"/>
      <c r="AF227" s="647">
        <f>VLOOKUP(A227,'Incrementare indexe'!$D:$Q,13,FALSE)</f>
        <v>0</v>
      </c>
      <c r="AG227" s="647"/>
      <c r="AH227" s="647"/>
      <c r="AI227" s="647">
        <f>AI224</f>
        <v>31</v>
      </c>
      <c r="AJ227" s="647"/>
      <c r="AK227" s="647">
        <f>ROUND(AF227/AI227,2)</f>
        <v>0</v>
      </c>
      <c r="AL227" s="647"/>
      <c r="AM227" s="647"/>
    </row>
    <row r="228" spans="1:39" ht="8.4499999999999993" customHeight="1">
      <c r="A228" s="727"/>
      <c r="B228" s="729"/>
      <c r="C228" s="729"/>
      <c r="D228" s="729"/>
      <c r="E228" s="729"/>
      <c r="F228" s="728"/>
      <c r="G228" s="648"/>
      <c r="H228" s="648"/>
      <c r="I228" s="648"/>
      <c r="J228" s="717" t="str">
        <f t="shared" si="13"/>
        <v>-</v>
      </c>
      <c r="K228" s="718"/>
      <c r="L228" s="719"/>
      <c r="M228" s="648"/>
      <c r="N228" s="648"/>
      <c r="O228" s="648"/>
      <c r="P228" s="648"/>
      <c r="Q228" s="648"/>
      <c r="R228" s="647"/>
      <c r="S228" s="647"/>
      <c r="T228" s="647"/>
      <c r="U228" s="647"/>
      <c r="V228" s="647"/>
      <c r="W228" s="647"/>
      <c r="X228" s="647"/>
      <c r="Y228" s="647"/>
      <c r="Z228" s="647"/>
      <c r="AA228" s="647"/>
      <c r="AB228" s="647"/>
      <c r="AC228" s="647"/>
      <c r="AD228" s="647"/>
      <c r="AE228" s="647"/>
      <c r="AF228" s="647"/>
      <c r="AG228" s="647"/>
      <c r="AH228" s="647"/>
      <c r="AI228" s="647"/>
      <c r="AJ228" s="647"/>
      <c r="AK228" s="647"/>
      <c r="AL228" s="647"/>
      <c r="AM228" s="647"/>
    </row>
    <row r="229" spans="1:39" ht="14.1" customHeight="1">
      <c r="A229" s="687"/>
      <c r="B229" s="688"/>
      <c r="C229" s="688"/>
      <c r="D229" s="688"/>
      <c r="E229" s="688"/>
      <c r="F229" s="689"/>
      <c r="G229" s="648"/>
      <c r="H229" s="648"/>
      <c r="I229" s="648"/>
      <c r="J229" s="714">
        <f t="shared" si="13"/>
        <v>45808</v>
      </c>
      <c r="K229" s="715"/>
      <c r="L229" s="716"/>
      <c r="M229" s="648"/>
      <c r="N229" s="648"/>
      <c r="O229" s="648"/>
      <c r="P229" s="648"/>
      <c r="Q229" s="648"/>
      <c r="R229" s="647"/>
      <c r="S229" s="647"/>
      <c r="T229" s="647"/>
      <c r="U229" s="647"/>
      <c r="V229" s="647"/>
      <c r="W229" s="647"/>
      <c r="X229" s="647"/>
      <c r="Y229" s="647"/>
      <c r="Z229" s="647"/>
      <c r="AA229" s="647"/>
      <c r="AB229" s="647"/>
      <c r="AC229" s="647"/>
      <c r="AD229" s="647"/>
      <c r="AE229" s="647"/>
      <c r="AF229" s="647"/>
      <c r="AG229" s="647"/>
      <c r="AH229" s="647"/>
      <c r="AI229" s="647"/>
      <c r="AJ229" s="647"/>
      <c r="AK229" s="647"/>
      <c r="AL229" s="647"/>
      <c r="AM229" s="647"/>
    </row>
    <row r="230" spans="1:39" ht="14.1" customHeight="1"/>
    <row r="231" spans="1:39" ht="14.1" customHeight="1"/>
    <row r="232" spans="1:39" ht="14.1" customHeight="1"/>
    <row r="233" spans="1:39" ht="14.1" customHeight="1"/>
    <row r="234" spans="1:39" ht="14.1" customHeight="1"/>
    <row r="235" spans="1:39" ht="14.1" customHeight="1"/>
    <row r="236" spans="1:39" ht="14.1" customHeight="1"/>
    <row r="237" spans="1:39" ht="14.1" customHeight="1"/>
    <row r="238" spans="1:39" ht="14.1" customHeight="1"/>
    <row r="239" spans="1:39" ht="14.1" customHeight="1">
      <c r="A239" s="695" t="s">
        <v>858</v>
      </c>
      <c r="B239" s="695"/>
      <c r="C239" s="695"/>
      <c r="D239" s="695"/>
      <c r="E239" s="695"/>
      <c r="F239" s="695"/>
      <c r="G239" s="695"/>
      <c r="H239" s="695" t="str">
        <f>VLOOKUP($AA$16,'Date SPV'!$B:$H,4,FALSE)</f>
        <v>Sos. Sibiului, nr. 5, loc. Sibiu, jud. Sibiu</v>
      </c>
      <c r="I239" s="695"/>
      <c r="J239" s="695"/>
      <c r="K239" s="695"/>
      <c r="L239" s="695"/>
      <c r="M239" s="695"/>
      <c r="N239" s="695"/>
      <c r="O239" s="695"/>
      <c r="P239" s="695"/>
      <c r="Q239" s="695"/>
      <c r="R239" s="695"/>
      <c r="S239" s="695"/>
      <c r="T239" s="695"/>
      <c r="U239" s="695"/>
      <c r="V239" s="695"/>
      <c r="W239" s="695"/>
      <c r="X239" s="695"/>
      <c r="Y239" s="695"/>
      <c r="Z239" s="695"/>
      <c r="AA239" s="695"/>
      <c r="AB239" s="695"/>
      <c r="AC239" s="695"/>
      <c r="AD239" s="695"/>
      <c r="AE239" s="695"/>
      <c r="AF239" s="695"/>
      <c r="AG239" s="695"/>
      <c r="AH239" s="695"/>
      <c r="AI239" s="695"/>
      <c r="AJ239" s="695"/>
      <c r="AK239" s="695"/>
      <c r="AL239" s="695"/>
      <c r="AM239" s="695"/>
    </row>
    <row r="240" spans="1:39" ht="14.1" customHeight="1">
      <c r="A240" s="695"/>
      <c r="B240" s="695"/>
      <c r="C240" s="695"/>
      <c r="D240" s="695"/>
      <c r="E240" s="695"/>
      <c r="F240" s="695"/>
      <c r="G240" s="695"/>
      <c r="H240" s="695"/>
      <c r="I240" s="695"/>
      <c r="J240" s="695"/>
      <c r="K240" s="695"/>
      <c r="L240" s="695"/>
      <c r="M240" s="695"/>
      <c r="N240" s="695"/>
      <c r="O240" s="695"/>
      <c r="P240" s="695"/>
      <c r="Q240" s="695"/>
      <c r="R240" s="695"/>
      <c r="S240" s="695"/>
      <c r="T240" s="695"/>
      <c r="U240" s="695"/>
      <c r="V240" s="695"/>
      <c r="W240" s="695"/>
      <c r="X240" s="695"/>
      <c r="Y240" s="695"/>
      <c r="Z240" s="695"/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</row>
    <row r="241" spans="1:39" ht="14.1" customHeight="1">
      <c r="A241" s="695" t="s">
        <v>859</v>
      </c>
      <c r="B241" s="695"/>
      <c r="C241" s="695"/>
      <c r="D241" s="695"/>
      <c r="E241" s="695"/>
      <c r="F241" s="695"/>
      <c r="G241" s="695"/>
      <c r="H241" s="712">
        <f>VLOOKUP(AA241,'Date masura OD'!$G:$BE,51,FALSE)</f>
        <v>5000126206</v>
      </c>
      <c r="I241" s="712"/>
      <c r="J241" s="712"/>
      <c r="K241" s="712"/>
      <c r="L241" s="712"/>
      <c r="M241" s="712"/>
      <c r="N241" s="712"/>
      <c r="O241" s="712"/>
      <c r="P241" s="712"/>
      <c r="Q241" s="712"/>
      <c r="R241" s="712"/>
      <c r="S241" s="712"/>
      <c r="T241" s="712"/>
      <c r="U241" s="712"/>
      <c r="V241" s="712"/>
      <c r="W241" s="712" t="s">
        <v>860</v>
      </c>
      <c r="X241" s="712"/>
      <c r="Y241" s="712"/>
      <c r="Z241" s="712"/>
      <c r="AA241" s="640" t="str">
        <f>_xlfn.CONCAT($AA$16,"_",4)</f>
        <v>RNSS_4</v>
      </c>
      <c r="AB241" s="640"/>
      <c r="AC241" s="640"/>
      <c r="AD241" s="640"/>
      <c r="AE241" s="640"/>
      <c r="AF241" s="640"/>
      <c r="AG241" s="640"/>
      <c r="AH241" s="640"/>
      <c r="AI241" s="640"/>
      <c r="AJ241" s="640"/>
      <c r="AK241" s="640"/>
      <c r="AL241" s="640"/>
      <c r="AM241" s="640"/>
    </row>
    <row r="242" spans="1:39" ht="14.1" customHeight="1">
      <c r="A242" s="695"/>
      <c r="B242" s="695"/>
      <c r="C242" s="695"/>
      <c r="D242" s="695"/>
      <c r="E242" s="695"/>
      <c r="F242" s="695"/>
      <c r="G242" s="695"/>
      <c r="H242" s="712"/>
      <c r="I242" s="712"/>
      <c r="J242" s="712"/>
      <c r="K242" s="712"/>
      <c r="L242" s="712"/>
      <c r="M242" s="712"/>
      <c r="N242" s="712"/>
      <c r="O242" s="712"/>
      <c r="P242" s="712"/>
      <c r="Q242" s="712"/>
      <c r="R242" s="712"/>
      <c r="S242" s="712"/>
      <c r="T242" s="712"/>
      <c r="U242" s="712"/>
      <c r="V242" s="712"/>
      <c r="W242" s="712"/>
      <c r="X242" s="712"/>
      <c r="Y242" s="712"/>
      <c r="Z242" s="712"/>
      <c r="AA242" s="640"/>
      <c r="AB242" s="640"/>
      <c r="AC242" s="640"/>
      <c r="AD242" s="640"/>
      <c r="AE242" s="640"/>
      <c r="AF242" s="640"/>
      <c r="AG242" s="640"/>
      <c r="AH242" s="640"/>
      <c r="AI242" s="640"/>
      <c r="AJ242" s="640"/>
      <c r="AK242" s="640"/>
      <c r="AL242" s="640"/>
      <c r="AM242" s="640"/>
    </row>
    <row r="244" spans="1:39">
      <c r="A244" s="649" t="s">
        <v>748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50" t="str">
        <f>VLOOKUP(AI245,'Contorizare in SDI'!$E:$I,4,FALSE)</f>
        <v>594020200001926035</v>
      </c>
      <c r="N244" s="650"/>
      <c r="O244" s="650"/>
      <c r="P244" s="650"/>
      <c r="Q244" s="650"/>
      <c r="R244" s="650"/>
      <c r="S244" s="650"/>
      <c r="T244" s="650"/>
      <c r="U244" s="650"/>
      <c r="V244" s="650"/>
      <c r="W244" s="650"/>
      <c r="X244" s="650"/>
      <c r="Y244" s="650"/>
      <c r="Z244" s="650"/>
      <c r="AA244" s="650"/>
      <c r="AB244" s="650"/>
      <c r="AC244" s="650"/>
      <c r="AD244" s="650"/>
      <c r="AE244" s="650"/>
      <c r="AF244" s="650"/>
      <c r="AG244" s="650"/>
      <c r="AH244" s="650"/>
      <c r="AI244" s="650" t="s">
        <v>695</v>
      </c>
      <c r="AJ244" s="650"/>
      <c r="AK244" s="650"/>
      <c r="AL244" s="650"/>
      <c r="AM244" s="650"/>
    </row>
    <row r="245" spans="1:39">
      <c r="A245" s="649" t="s">
        <v>746</v>
      </c>
      <c r="B245" s="649"/>
      <c r="C245" s="649"/>
      <c r="D245" s="649"/>
      <c r="E245" s="649"/>
      <c r="F245" s="649"/>
      <c r="G245" s="649"/>
      <c r="H245" s="649"/>
      <c r="I245" s="649"/>
      <c r="J245" s="649"/>
      <c r="K245" s="649"/>
      <c r="L245" s="649"/>
      <c r="M245" s="650" t="str">
        <f>VLOOKUP(AI245,'Inchidere contur'!$G:$U,15,FALSE)</f>
        <v>JT_OD</v>
      </c>
      <c r="N245" s="650"/>
      <c r="O245" s="650"/>
      <c r="P245" s="650"/>
      <c r="Q245" s="650"/>
      <c r="R245" s="650"/>
      <c r="S245" s="650"/>
      <c r="T245" s="650"/>
      <c r="U245" s="650"/>
      <c r="V245" s="650"/>
      <c r="W245" s="650"/>
      <c r="X245" s="650"/>
      <c r="Y245" s="650"/>
      <c r="Z245" s="650"/>
      <c r="AA245" s="650"/>
      <c r="AB245" s="650"/>
      <c r="AC245" s="650"/>
      <c r="AD245" s="650"/>
      <c r="AE245" s="650"/>
      <c r="AF245" s="650"/>
      <c r="AG245" s="650"/>
      <c r="AH245" s="650"/>
      <c r="AI245" s="619" t="str">
        <f>_xlfn.CONCAT(AA241)</f>
        <v>RNSS_4</v>
      </c>
      <c r="AJ245" s="619"/>
      <c r="AK245" s="619"/>
      <c r="AL245" s="619"/>
      <c r="AM245" s="619"/>
    </row>
    <row r="246" spans="1:39">
      <c r="A246" s="649" t="s">
        <v>747</v>
      </c>
      <c r="B246" s="649"/>
      <c r="C246" s="649"/>
      <c r="D246" s="649"/>
      <c r="E246" s="649"/>
      <c r="F246" s="649"/>
      <c r="G246" s="649"/>
      <c r="H246" s="649"/>
      <c r="I246" s="649"/>
      <c r="J246" s="649"/>
      <c r="K246" s="649"/>
      <c r="L246" s="649"/>
      <c r="M246" s="650" t="str">
        <f>IF(LEFT(M245,2)="JT","0.4kV",IF(LEFT(M245,2)="MT","20kV","-"))</f>
        <v>0.4kV</v>
      </c>
      <c r="N246" s="650"/>
      <c r="O246" s="650"/>
      <c r="P246" s="650"/>
      <c r="Q246" s="650"/>
      <c r="R246" s="650"/>
      <c r="S246" s="650"/>
      <c r="T246" s="650"/>
      <c r="U246" s="650"/>
      <c r="V246" s="650"/>
      <c r="W246" s="650"/>
      <c r="X246" s="650"/>
      <c r="Y246" s="650"/>
      <c r="Z246" s="650"/>
      <c r="AA246" s="650"/>
      <c r="AB246" s="650"/>
      <c r="AC246" s="650"/>
      <c r="AD246" s="650"/>
      <c r="AE246" s="650"/>
      <c r="AF246" s="650"/>
      <c r="AG246" s="650"/>
      <c r="AH246" s="650"/>
      <c r="AI246" s="619"/>
      <c r="AJ246" s="619"/>
      <c r="AK246" s="619"/>
      <c r="AL246" s="619"/>
      <c r="AM246" s="619"/>
    </row>
    <row r="247" spans="1:39" ht="15.95" customHeight="1">
      <c r="A247" s="648" t="s">
        <v>697</v>
      </c>
      <c r="B247" s="648"/>
      <c r="C247" s="648"/>
      <c r="D247" s="648"/>
      <c r="E247" s="648"/>
      <c r="F247" s="648"/>
      <c r="G247" s="647" t="s">
        <v>713</v>
      </c>
      <c r="H247" s="647"/>
      <c r="I247" s="647"/>
      <c r="J247" s="647" t="s">
        <v>714</v>
      </c>
      <c r="K247" s="647"/>
      <c r="L247" s="647"/>
      <c r="M247" s="648" t="s">
        <v>519</v>
      </c>
      <c r="N247" s="648"/>
      <c r="O247" s="648" t="s">
        <v>715</v>
      </c>
      <c r="P247" s="648"/>
      <c r="Q247" s="648"/>
      <c r="R247" s="647" t="s">
        <v>732</v>
      </c>
      <c r="S247" s="647"/>
      <c r="T247" s="647"/>
      <c r="U247" s="647" t="s">
        <v>734</v>
      </c>
      <c r="V247" s="647"/>
      <c r="W247" s="647"/>
      <c r="X247" s="647" t="s">
        <v>1085</v>
      </c>
      <c r="Y247" s="647"/>
      <c r="Z247" s="647"/>
      <c r="AA247" s="647" t="s">
        <v>1086</v>
      </c>
      <c r="AB247" s="647"/>
      <c r="AC247" s="647"/>
      <c r="AD247" s="647" t="s">
        <v>717</v>
      </c>
      <c r="AE247" s="647"/>
      <c r="AF247" s="647" t="s">
        <v>718</v>
      </c>
      <c r="AG247" s="647"/>
      <c r="AH247" s="647"/>
      <c r="AI247" s="647" t="s">
        <v>719</v>
      </c>
      <c r="AJ247" s="647"/>
      <c r="AK247" s="647" t="s">
        <v>733</v>
      </c>
      <c r="AL247" s="647"/>
      <c r="AM247" s="647"/>
    </row>
    <row r="248" spans="1:39">
      <c r="A248" s="648"/>
      <c r="B248" s="648"/>
      <c r="C248" s="648"/>
      <c r="D248" s="648"/>
      <c r="E248" s="648"/>
      <c r="F248" s="648"/>
      <c r="G248" s="647"/>
      <c r="H248" s="647"/>
      <c r="I248" s="647"/>
      <c r="J248" s="647"/>
      <c r="K248" s="647"/>
      <c r="L248" s="647"/>
      <c r="M248" s="648"/>
      <c r="N248" s="648"/>
      <c r="O248" s="648"/>
      <c r="P248" s="648"/>
      <c r="Q248" s="648"/>
      <c r="R248" s="647"/>
      <c r="S248" s="647"/>
      <c r="T248" s="647"/>
      <c r="U248" s="647"/>
      <c r="V248" s="647"/>
      <c r="W248" s="647"/>
      <c r="X248" s="647"/>
      <c r="Y248" s="647"/>
      <c r="Z248" s="647"/>
      <c r="AA248" s="647"/>
      <c r="AB248" s="647"/>
      <c r="AC248" s="647"/>
      <c r="AD248" s="647"/>
      <c r="AE248" s="647"/>
      <c r="AF248" s="647"/>
      <c r="AG248" s="647"/>
      <c r="AH248" s="647"/>
      <c r="AI248" s="647"/>
      <c r="AJ248" s="647"/>
      <c r="AK248" s="647"/>
      <c r="AL248" s="647"/>
      <c r="AM248" s="647"/>
    </row>
    <row r="249" spans="1:39">
      <c r="A249" s="648"/>
      <c r="B249" s="648"/>
      <c r="C249" s="648"/>
      <c r="D249" s="648"/>
      <c r="E249" s="648"/>
      <c r="F249" s="648"/>
      <c r="G249" s="647"/>
      <c r="H249" s="647"/>
      <c r="I249" s="647"/>
      <c r="J249" s="713"/>
      <c r="K249" s="713"/>
      <c r="L249" s="713"/>
      <c r="M249" s="648"/>
      <c r="N249" s="648"/>
      <c r="O249" s="648"/>
      <c r="P249" s="648"/>
      <c r="Q249" s="648"/>
      <c r="R249" s="647"/>
      <c r="S249" s="647"/>
      <c r="T249" s="647"/>
      <c r="U249" s="647"/>
      <c r="V249" s="647"/>
      <c r="W249" s="647"/>
      <c r="X249" s="647"/>
      <c r="Y249" s="647"/>
      <c r="Z249" s="647"/>
      <c r="AA249" s="647"/>
      <c r="AB249" s="647"/>
      <c r="AC249" s="647"/>
      <c r="AD249" s="647"/>
      <c r="AE249" s="647"/>
      <c r="AF249" s="647"/>
      <c r="AG249" s="647"/>
      <c r="AH249" s="647"/>
      <c r="AI249" s="647"/>
      <c r="AJ249" s="647"/>
      <c r="AK249" s="647"/>
      <c r="AL249" s="647"/>
      <c r="AM249" s="647"/>
    </row>
    <row r="250" spans="1:39" ht="14.1" customHeight="1">
      <c r="A250" s="684">
        <f>VLOOKUP(AI245,'Contorizare in SDI'!$E:$I,5,FALSE)</f>
        <v>2825515</v>
      </c>
      <c r="B250" s="685"/>
      <c r="C250" s="685"/>
      <c r="D250" s="685"/>
      <c r="E250" s="685"/>
      <c r="F250" s="686"/>
      <c r="G250" s="648" t="s">
        <v>730</v>
      </c>
      <c r="H250" s="648"/>
      <c r="I250" s="673"/>
      <c r="J250" s="655">
        <f>'Date masura OD'!$AK$5</f>
        <v>45748</v>
      </c>
      <c r="K250" s="656"/>
      <c r="L250" s="657"/>
      <c r="M250" s="720" t="s">
        <v>446</v>
      </c>
      <c r="N250" s="648"/>
      <c r="O250" s="648">
        <f>VLOOKUP(AI245,'Date masura OD'!$G:$BB,2,FALSE)</f>
        <v>50</v>
      </c>
      <c r="P250" s="648"/>
      <c r="Q250" s="648"/>
      <c r="R250" s="647" t="str">
        <f>VLOOKUP(AI245,'Date masura OD'!$G:$BB,20,FALSE)&amp;" ("&amp;VLOOKUP(AI245,'Date masura OD'!$G:$BB,19,FALSE)&amp;")"</f>
        <v>9856.13 (estimare)</v>
      </c>
      <c r="S250" s="647"/>
      <c r="T250" s="647"/>
      <c r="U250" s="647" t="str">
        <f>VLOOKUP(AI245,'Date masura OD'!$G:$BB,21,FALSE)&amp;" ("&amp;VLOOKUP(AI245,'Date masura OD'!$G:$BB,19,FALSE)&amp;")"</f>
        <v>9924.64 (estimare)</v>
      </c>
      <c r="V250" s="647"/>
      <c r="W250" s="647"/>
      <c r="X250" s="647" t="str">
        <f>VLOOKUP(AI245,'Date masura OD'!$G:$BB,26,FALSE)&amp;" ("&amp;VLOOKUP(AI245,'Date masura OD'!$G:$BB,19,FALSE)&amp;")"</f>
        <v>3426 (estimare)</v>
      </c>
      <c r="Y250" s="647"/>
      <c r="Z250" s="647"/>
      <c r="AA250" s="647">
        <f>(-1)*VLOOKUP(AI245,'Date masura OD'!$G:$BB,26,FALSE)</f>
        <v>-3426</v>
      </c>
      <c r="AB250" s="647"/>
      <c r="AC250" s="647"/>
      <c r="AD250" s="647" t="s">
        <v>69</v>
      </c>
      <c r="AE250" s="647"/>
      <c r="AF250" s="647">
        <f>AA250</f>
        <v>-3426</v>
      </c>
      <c r="AG250" s="647"/>
      <c r="AH250" s="647"/>
      <c r="AI250" s="647" t="s">
        <v>69</v>
      </c>
      <c r="AJ250" s="647"/>
      <c r="AK250" s="647" t="s">
        <v>69</v>
      </c>
      <c r="AL250" s="647"/>
      <c r="AM250" s="647"/>
    </row>
    <row r="251" spans="1:39" ht="9.75" customHeight="1">
      <c r="A251" s="727"/>
      <c r="B251" s="729"/>
      <c r="C251" s="729"/>
      <c r="D251" s="729"/>
      <c r="E251" s="729"/>
      <c r="F251" s="728"/>
      <c r="G251" s="648"/>
      <c r="H251" s="648"/>
      <c r="I251" s="673"/>
      <c r="J251" s="717" t="s">
        <v>69</v>
      </c>
      <c r="K251" s="718"/>
      <c r="L251" s="719"/>
      <c r="M251" s="720"/>
      <c r="N251" s="648"/>
      <c r="O251" s="648"/>
      <c r="P251" s="648"/>
      <c r="Q251" s="648"/>
      <c r="R251" s="647"/>
      <c r="S251" s="647"/>
      <c r="T251" s="647"/>
      <c r="U251" s="647"/>
      <c r="V251" s="647"/>
      <c r="W251" s="647"/>
      <c r="X251" s="647"/>
      <c r="Y251" s="647"/>
      <c r="Z251" s="647"/>
      <c r="AA251" s="647"/>
      <c r="AB251" s="647"/>
      <c r="AC251" s="647"/>
      <c r="AD251" s="647"/>
      <c r="AE251" s="647"/>
      <c r="AF251" s="647"/>
      <c r="AG251" s="647"/>
      <c r="AH251" s="647"/>
      <c r="AI251" s="647"/>
      <c r="AJ251" s="647"/>
      <c r="AK251" s="647"/>
      <c r="AL251" s="647"/>
      <c r="AM251" s="647"/>
    </row>
    <row r="252" spans="1:39" ht="14.1" customHeight="1">
      <c r="A252" s="687"/>
      <c r="B252" s="688"/>
      <c r="C252" s="688"/>
      <c r="D252" s="688"/>
      <c r="E252" s="688"/>
      <c r="F252" s="689"/>
      <c r="G252" s="648"/>
      <c r="H252" s="648"/>
      <c r="I252" s="673"/>
      <c r="J252" s="714">
        <f>'Date masura OD'!$AL$5</f>
        <v>45777</v>
      </c>
      <c r="K252" s="715"/>
      <c r="L252" s="716"/>
      <c r="M252" s="720"/>
      <c r="N252" s="648"/>
      <c r="O252" s="648"/>
      <c r="P252" s="648"/>
      <c r="Q252" s="648"/>
      <c r="R252" s="647"/>
      <c r="S252" s="647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647"/>
      <c r="AL252" s="647"/>
      <c r="AM252" s="647"/>
    </row>
    <row r="253" spans="1:39" ht="14.1" customHeight="1">
      <c r="A253" s="684">
        <f>A250</f>
        <v>2825515</v>
      </c>
      <c r="B253" s="685"/>
      <c r="C253" s="685"/>
      <c r="D253" s="685"/>
      <c r="E253" s="685"/>
      <c r="F253" s="686"/>
      <c r="G253" s="648" t="s">
        <v>696</v>
      </c>
      <c r="H253" s="648"/>
      <c r="I253" s="648"/>
      <c r="J253" s="655">
        <f t="shared" ref="J253:J258" si="14">J250</f>
        <v>45748</v>
      </c>
      <c r="K253" s="656"/>
      <c r="L253" s="657"/>
      <c r="M253" s="648" t="s">
        <v>720</v>
      </c>
      <c r="N253" s="648"/>
      <c r="O253" s="648">
        <f>O250</f>
        <v>50</v>
      </c>
      <c r="P253" s="648"/>
      <c r="Q253" s="648"/>
      <c r="R253" s="647" t="str">
        <f>VLOOKUP(AI245,'Date masura OD'!$G:$BB,22,FALSE)&amp;" ("&amp;VLOOKUP(AI245,'Date masura OD'!$G:$BB,19,FALSE)&amp;")"</f>
        <v>452.16 (estimare)</v>
      </c>
      <c r="S253" s="647"/>
      <c r="T253" s="647"/>
      <c r="U253" s="647" t="str">
        <f>VLOOKUP(AI245,'Date masura OD'!$G:$BB,23,FALSE)&amp;" ("&amp;VLOOKUP(AI245,'Date masura OD'!$G:$BB,19,FALSE)&amp;")"</f>
        <v>452.16 (estimare)</v>
      </c>
      <c r="V253" s="647"/>
      <c r="W253" s="647"/>
      <c r="X253" s="647" t="str">
        <f>VLOOKUP(AI245,'Date masura OD'!$G:$BB,27,FALSE)&amp;" ("&amp;VLOOKUP(AI245,'Date masura OD'!$G:$BB,19,FALSE)&amp;")"</f>
        <v>0 (estimare)</v>
      </c>
      <c r="Y253" s="647"/>
      <c r="Z253" s="647"/>
      <c r="AA253" s="647">
        <f>(-1)*VLOOKUP(AI245,'Date masura OD'!$G:$BB,27,FALSE)</f>
        <v>0</v>
      </c>
      <c r="AB253" s="647"/>
      <c r="AC253" s="647"/>
      <c r="AD253" s="647" t="s">
        <v>69</v>
      </c>
      <c r="AE253" s="647"/>
      <c r="AF253" s="647">
        <f>AA253</f>
        <v>0</v>
      </c>
      <c r="AG253" s="647"/>
      <c r="AH253" s="647"/>
      <c r="AI253" s="647" t="str">
        <f>AI250</f>
        <v>-</v>
      </c>
      <c r="AJ253" s="647"/>
      <c r="AK253" s="647" t="str">
        <f>AK250</f>
        <v>-</v>
      </c>
      <c r="AL253" s="647"/>
      <c r="AM253" s="647"/>
    </row>
    <row r="254" spans="1:39" ht="8.4499999999999993" customHeight="1">
      <c r="A254" s="727"/>
      <c r="B254" s="729"/>
      <c r="C254" s="729"/>
      <c r="D254" s="729"/>
      <c r="E254" s="729"/>
      <c r="F254" s="728"/>
      <c r="G254" s="648"/>
      <c r="H254" s="648"/>
      <c r="I254" s="648"/>
      <c r="J254" s="717" t="str">
        <f t="shared" si="14"/>
        <v>-</v>
      </c>
      <c r="K254" s="718"/>
      <c r="L254" s="719"/>
      <c r="M254" s="648"/>
      <c r="N254" s="648"/>
      <c r="O254" s="648"/>
      <c r="P254" s="648"/>
      <c r="Q254" s="648"/>
      <c r="R254" s="647"/>
      <c r="S254" s="647"/>
      <c r="T254" s="647"/>
      <c r="U254" s="647"/>
      <c r="V254" s="647"/>
      <c r="W254" s="647"/>
      <c r="X254" s="647"/>
      <c r="Y254" s="647"/>
      <c r="Z254" s="647"/>
      <c r="AA254" s="647"/>
      <c r="AB254" s="647"/>
      <c r="AC254" s="647"/>
      <c r="AD254" s="647"/>
      <c r="AE254" s="647"/>
      <c r="AF254" s="647"/>
      <c r="AG254" s="647"/>
      <c r="AH254" s="647"/>
      <c r="AI254" s="647"/>
      <c r="AJ254" s="647"/>
      <c r="AK254" s="647"/>
      <c r="AL254" s="647"/>
      <c r="AM254" s="647"/>
    </row>
    <row r="255" spans="1:39" ht="14.1" customHeight="1">
      <c r="A255" s="687"/>
      <c r="B255" s="688"/>
      <c r="C255" s="688"/>
      <c r="D255" s="688"/>
      <c r="E255" s="688"/>
      <c r="F255" s="689"/>
      <c r="G255" s="648"/>
      <c r="H255" s="648"/>
      <c r="I255" s="648"/>
      <c r="J255" s="714">
        <f t="shared" si="14"/>
        <v>45777</v>
      </c>
      <c r="K255" s="715"/>
      <c r="L255" s="716"/>
      <c r="M255" s="648"/>
      <c r="N255" s="648"/>
      <c r="O255" s="648"/>
      <c r="P255" s="648"/>
      <c r="Q255" s="648"/>
      <c r="R255" s="647"/>
      <c r="S255" s="647"/>
      <c r="T255" s="647"/>
      <c r="U255" s="647"/>
      <c r="V255" s="647"/>
      <c r="W255" s="647"/>
      <c r="X255" s="647"/>
      <c r="Y255" s="647"/>
      <c r="Z255" s="647"/>
      <c r="AA255" s="647"/>
      <c r="AB255" s="647"/>
      <c r="AC255" s="647"/>
      <c r="AD255" s="647"/>
      <c r="AE255" s="647"/>
      <c r="AF255" s="647"/>
      <c r="AG255" s="647"/>
      <c r="AH255" s="647"/>
      <c r="AI255" s="647"/>
      <c r="AJ255" s="647"/>
      <c r="AK255" s="647"/>
      <c r="AL255" s="647"/>
      <c r="AM255" s="647"/>
    </row>
    <row r="256" spans="1:39" ht="14.1" customHeight="1">
      <c r="A256" s="684">
        <f>A253</f>
        <v>2825515</v>
      </c>
      <c r="B256" s="685"/>
      <c r="C256" s="685"/>
      <c r="D256" s="685"/>
      <c r="E256" s="685"/>
      <c r="F256" s="686"/>
      <c r="G256" s="648" t="s">
        <v>731</v>
      </c>
      <c r="H256" s="648"/>
      <c r="I256" s="648"/>
      <c r="J256" s="655">
        <f t="shared" si="14"/>
        <v>45748</v>
      </c>
      <c r="K256" s="656"/>
      <c r="L256" s="657"/>
      <c r="M256" s="648" t="s">
        <v>720</v>
      </c>
      <c r="N256" s="648"/>
      <c r="O256" s="648">
        <f>O253</f>
        <v>50</v>
      </c>
      <c r="P256" s="648"/>
      <c r="Q256" s="648"/>
      <c r="R256" s="647" t="str">
        <f>VLOOKUP(AI245,'Date masura OD'!$G:$BB,24,FALSE)&amp;" ("&amp;VLOOKUP(AI245,'Date masura OD'!$G:$BB,19,FALSE)&amp;")"</f>
        <v>788.16 (estimare)</v>
      </c>
      <c r="S256" s="647"/>
      <c r="T256" s="647"/>
      <c r="U256" s="647" t="str">
        <f>VLOOKUP(AI245,'Date masura OD'!$G:$BB,25,FALSE)&amp;" ("&amp;VLOOKUP(AI245,'Date masura OD'!$G:$BB,19,FALSE)&amp;")"</f>
        <v>788.16 (estimare)</v>
      </c>
      <c r="V256" s="647"/>
      <c r="W256" s="647"/>
      <c r="X256" s="647" t="str">
        <f>VLOOKUP(AI245,'Date masura OD'!$G:$BB,29,FALSE)&amp;" ("&amp;VLOOKUP(AI245,'Date masura OD'!$G:$BB,19,FALSE)&amp;")"</f>
        <v>0 (estimare)</v>
      </c>
      <c r="Y256" s="647"/>
      <c r="Z256" s="647"/>
      <c r="AA256" s="647">
        <f>(-1)*VLOOKUP(AI245,'Date masura OD'!$G:$BB,29,FALSE)</f>
        <v>0</v>
      </c>
      <c r="AB256" s="647"/>
      <c r="AC256" s="647"/>
      <c r="AD256" s="647" t="s">
        <v>69</v>
      </c>
      <c r="AE256" s="647"/>
      <c r="AF256" s="647">
        <f>AA256</f>
        <v>0</v>
      </c>
      <c r="AG256" s="647"/>
      <c r="AH256" s="647"/>
      <c r="AI256" s="647" t="str">
        <f>AI253</f>
        <v>-</v>
      </c>
      <c r="AJ256" s="647"/>
      <c r="AK256" s="647" t="str">
        <f>AK253</f>
        <v>-</v>
      </c>
      <c r="AL256" s="647"/>
      <c r="AM256" s="647"/>
    </row>
    <row r="257" spans="1:39" ht="8.4499999999999993" customHeight="1">
      <c r="A257" s="727"/>
      <c r="B257" s="729"/>
      <c r="C257" s="729"/>
      <c r="D257" s="729"/>
      <c r="E257" s="729"/>
      <c r="F257" s="728"/>
      <c r="G257" s="648"/>
      <c r="H257" s="648"/>
      <c r="I257" s="648"/>
      <c r="J257" s="717" t="str">
        <f t="shared" si="14"/>
        <v>-</v>
      </c>
      <c r="K257" s="718"/>
      <c r="L257" s="719"/>
      <c r="M257" s="648"/>
      <c r="N257" s="648"/>
      <c r="O257" s="648"/>
      <c r="P257" s="648"/>
      <c r="Q257" s="648"/>
      <c r="R257" s="647"/>
      <c r="S257" s="647"/>
      <c r="T257" s="647"/>
      <c r="U257" s="647"/>
      <c r="V257" s="647"/>
      <c r="W257" s="647"/>
      <c r="X257" s="647"/>
      <c r="Y257" s="647"/>
      <c r="Z257" s="647"/>
      <c r="AA257" s="647"/>
      <c r="AB257" s="647"/>
      <c r="AC257" s="647"/>
      <c r="AD257" s="647"/>
      <c r="AE257" s="647"/>
      <c r="AF257" s="647"/>
      <c r="AG257" s="647"/>
      <c r="AH257" s="647"/>
      <c r="AI257" s="647"/>
      <c r="AJ257" s="647"/>
      <c r="AK257" s="647"/>
      <c r="AL257" s="647"/>
      <c r="AM257" s="647"/>
    </row>
    <row r="258" spans="1:39" ht="14.1" customHeight="1">
      <c r="A258" s="687"/>
      <c r="B258" s="688"/>
      <c r="C258" s="688"/>
      <c r="D258" s="688"/>
      <c r="E258" s="688"/>
      <c r="F258" s="689"/>
      <c r="G258" s="648"/>
      <c r="H258" s="648"/>
      <c r="I258" s="648"/>
      <c r="J258" s="714">
        <f t="shared" si="14"/>
        <v>45777</v>
      </c>
      <c r="K258" s="715"/>
      <c r="L258" s="716"/>
      <c r="M258" s="648"/>
      <c r="N258" s="648"/>
      <c r="O258" s="648"/>
      <c r="P258" s="648"/>
      <c r="Q258" s="648"/>
      <c r="R258" s="647"/>
      <c r="S258" s="647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</row>
    <row r="259" spans="1:39" ht="14.1" customHeight="1">
      <c r="A259" s="684">
        <f>A256</f>
        <v>2825515</v>
      </c>
      <c r="B259" s="685"/>
      <c r="C259" s="685"/>
      <c r="D259" s="685"/>
      <c r="E259" s="685"/>
      <c r="F259" s="686"/>
      <c r="G259" s="648" t="s">
        <v>730</v>
      </c>
      <c r="H259" s="648"/>
      <c r="I259" s="673"/>
      <c r="J259" s="655">
        <f>'Date masura OD'!$AK$5</f>
        <v>45748</v>
      </c>
      <c r="K259" s="656"/>
      <c r="L259" s="657"/>
      <c r="M259" s="720" t="s">
        <v>446</v>
      </c>
      <c r="N259" s="648"/>
      <c r="O259" s="648">
        <f>O256</f>
        <v>50</v>
      </c>
      <c r="P259" s="648"/>
      <c r="Q259" s="648"/>
      <c r="R259" s="647" t="str">
        <f>VLOOKUP(AI245,'Date masura OD'!$G:$BB,35,FALSE)&amp;" ("&amp;VLOOKUP(AI245,'Date masura OD'!$G:$BB,33,FALSE)&amp;")"</f>
        <v>9856.13 (citire)</v>
      </c>
      <c r="S259" s="647"/>
      <c r="T259" s="647"/>
      <c r="U259" s="647" t="str">
        <f>VLOOKUP(AI245,'Date masura OD'!$G:$BB,36,FALSE)&amp;" ("&amp;VLOOKUP(AI245,'Date masura OD'!$G:$BB,33,FALSE)&amp;")"</f>
        <v>9924.64 (citire)</v>
      </c>
      <c r="V259" s="647"/>
      <c r="W259" s="647"/>
      <c r="X259" s="647" t="str">
        <f>VLOOKUP(AI245,'Date masura OD'!$G:$BB,41,FALSE)&amp;" ("&amp;VLOOKUP(AI245,'Date masura OD'!$G:$BB,33,FALSE)&amp;")"</f>
        <v>3426 (citire)</v>
      </c>
      <c r="Y259" s="647"/>
      <c r="Z259" s="647"/>
      <c r="AA259" s="647">
        <f>VLOOKUP(AI245,'Date masura OD'!$G:$BB,41,FALSE)</f>
        <v>3426</v>
      </c>
      <c r="AB259" s="647"/>
      <c r="AC259" s="647"/>
      <c r="AD259" s="647" t="s">
        <v>69</v>
      </c>
      <c r="AE259" s="647"/>
      <c r="AF259" s="647">
        <f>AA259</f>
        <v>3426</v>
      </c>
      <c r="AG259" s="647"/>
      <c r="AH259" s="647"/>
      <c r="AI259" s="647" t="str">
        <f>AI256</f>
        <v>-</v>
      </c>
      <c r="AJ259" s="647"/>
      <c r="AK259" s="647" t="str">
        <f>AK256</f>
        <v>-</v>
      </c>
      <c r="AL259" s="647"/>
      <c r="AM259" s="647"/>
    </row>
    <row r="260" spans="1:39" ht="8.4499999999999993" customHeight="1">
      <c r="A260" s="727"/>
      <c r="B260" s="729"/>
      <c r="C260" s="729"/>
      <c r="D260" s="729"/>
      <c r="E260" s="729"/>
      <c r="F260" s="728"/>
      <c r="G260" s="648"/>
      <c r="H260" s="648"/>
      <c r="I260" s="673"/>
      <c r="J260" s="717" t="s">
        <v>69</v>
      </c>
      <c r="K260" s="718"/>
      <c r="L260" s="719"/>
      <c r="M260" s="720"/>
      <c r="N260" s="648"/>
      <c r="O260" s="648"/>
      <c r="P260" s="648"/>
      <c r="Q260" s="648"/>
      <c r="R260" s="647"/>
      <c r="S260" s="647"/>
      <c r="T260" s="647"/>
      <c r="U260" s="647"/>
      <c r="V260" s="647"/>
      <c r="W260" s="647"/>
      <c r="X260" s="647"/>
      <c r="Y260" s="647"/>
      <c r="Z260" s="647"/>
      <c r="AA260" s="647"/>
      <c r="AB260" s="647"/>
      <c r="AC260" s="647"/>
      <c r="AD260" s="647"/>
      <c r="AE260" s="647"/>
      <c r="AF260" s="647"/>
      <c r="AG260" s="647"/>
      <c r="AH260" s="647"/>
      <c r="AI260" s="647"/>
      <c r="AJ260" s="647"/>
      <c r="AK260" s="647"/>
      <c r="AL260" s="647"/>
      <c r="AM260" s="647"/>
    </row>
    <row r="261" spans="1:39" ht="14.1" customHeight="1">
      <c r="A261" s="687"/>
      <c r="B261" s="688"/>
      <c r="C261" s="688"/>
      <c r="D261" s="688"/>
      <c r="E261" s="688"/>
      <c r="F261" s="689"/>
      <c r="G261" s="648"/>
      <c r="H261" s="648"/>
      <c r="I261" s="673"/>
      <c r="J261" s="714">
        <f>'Date masura OD'!$AL$5</f>
        <v>45777</v>
      </c>
      <c r="K261" s="715"/>
      <c r="L261" s="716"/>
      <c r="M261" s="720"/>
      <c r="N261" s="648"/>
      <c r="O261" s="648"/>
      <c r="P261" s="648"/>
      <c r="Q261" s="648"/>
      <c r="R261" s="647"/>
      <c r="S261" s="647"/>
      <c r="T261" s="647"/>
      <c r="U261" s="647"/>
      <c r="V261" s="647"/>
      <c r="W261" s="647"/>
      <c r="X261" s="647"/>
      <c r="Y261" s="647"/>
      <c r="Z261" s="647"/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</row>
    <row r="262" spans="1:39" ht="14.1" customHeight="1">
      <c r="A262" s="684">
        <f>A259</f>
        <v>2825515</v>
      </c>
      <c r="B262" s="685"/>
      <c r="C262" s="685"/>
      <c r="D262" s="685"/>
      <c r="E262" s="685"/>
      <c r="F262" s="686"/>
      <c r="G262" s="648" t="s">
        <v>696</v>
      </c>
      <c r="H262" s="648"/>
      <c r="I262" s="648"/>
      <c r="J262" s="655">
        <f t="shared" ref="J262:J267" si="15">J259</f>
        <v>45748</v>
      </c>
      <c r="K262" s="656"/>
      <c r="L262" s="657"/>
      <c r="M262" s="648" t="s">
        <v>720</v>
      </c>
      <c r="N262" s="648"/>
      <c r="O262" s="648">
        <f>O259</f>
        <v>50</v>
      </c>
      <c r="P262" s="648"/>
      <c r="Q262" s="648"/>
      <c r="R262" s="647" t="str">
        <f>VLOOKUP(AI245,'Date masura OD'!$G:$BB,37,FALSE)&amp;" ("&amp;VLOOKUP(AI245,'Date masura OD'!$G:$BB,33,FALSE)&amp;")"</f>
        <v>452.16 (citire)</v>
      </c>
      <c r="S262" s="647"/>
      <c r="T262" s="647"/>
      <c r="U262" s="647" t="str">
        <f>VLOOKUP(AI245,'Date masura OD'!$G:$BB,38,FALSE)&amp;" ("&amp;VLOOKUP(AI245,'Date masura OD'!$G:$BB,33,FALSE)&amp;")"</f>
        <v>459 (citire)</v>
      </c>
      <c r="V262" s="647"/>
      <c r="W262" s="647"/>
      <c r="X262" s="647" t="str">
        <f>VLOOKUP(AI245,'Date masura OD'!$G:$BB,42,FALSE)&amp;" ("&amp;VLOOKUP(AI245,'Date masura OD'!$G:$BB,33,FALSE)&amp;")"</f>
        <v>342 (citire)</v>
      </c>
      <c r="Y262" s="647"/>
      <c r="Z262" s="647"/>
      <c r="AA262" s="647">
        <f>VLOOKUP(AI245,'Date masura OD'!$G:$BB,42,FALSE)</f>
        <v>342</v>
      </c>
      <c r="AB262" s="647"/>
      <c r="AC262" s="647"/>
      <c r="AD262" s="647" t="s">
        <v>69</v>
      </c>
      <c r="AE262" s="647"/>
      <c r="AF262" s="647">
        <f>AA262</f>
        <v>342</v>
      </c>
      <c r="AG262" s="647"/>
      <c r="AH262" s="647"/>
      <c r="AI262" s="647" t="str">
        <f>AI259</f>
        <v>-</v>
      </c>
      <c r="AJ262" s="647"/>
      <c r="AK262" s="647" t="str">
        <f>AK259</f>
        <v>-</v>
      </c>
      <c r="AL262" s="647"/>
      <c r="AM262" s="647"/>
    </row>
    <row r="263" spans="1:39" ht="8.4499999999999993" customHeight="1">
      <c r="A263" s="727"/>
      <c r="B263" s="729"/>
      <c r="C263" s="729"/>
      <c r="D263" s="729"/>
      <c r="E263" s="729"/>
      <c r="F263" s="728"/>
      <c r="G263" s="648"/>
      <c r="H263" s="648"/>
      <c r="I263" s="648"/>
      <c r="J263" s="717" t="str">
        <f t="shared" si="15"/>
        <v>-</v>
      </c>
      <c r="K263" s="718"/>
      <c r="L263" s="719"/>
      <c r="M263" s="648"/>
      <c r="N263" s="648"/>
      <c r="O263" s="648"/>
      <c r="P263" s="648"/>
      <c r="Q263" s="648"/>
      <c r="R263" s="647"/>
      <c r="S263" s="647"/>
      <c r="T263" s="647"/>
      <c r="U263" s="647"/>
      <c r="V263" s="647"/>
      <c r="W263" s="647"/>
      <c r="X263" s="647"/>
      <c r="Y263" s="647"/>
      <c r="Z263" s="647"/>
      <c r="AA263" s="647"/>
      <c r="AB263" s="647"/>
      <c r="AC263" s="647"/>
      <c r="AD263" s="647"/>
      <c r="AE263" s="647"/>
      <c r="AF263" s="647"/>
      <c r="AG263" s="647"/>
      <c r="AH263" s="647"/>
      <c r="AI263" s="647"/>
      <c r="AJ263" s="647"/>
      <c r="AK263" s="647"/>
      <c r="AL263" s="647"/>
      <c r="AM263" s="647"/>
    </row>
    <row r="264" spans="1:39" ht="14.1" customHeight="1">
      <c r="A264" s="687"/>
      <c r="B264" s="688"/>
      <c r="C264" s="688"/>
      <c r="D264" s="688"/>
      <c r="E264" s="688"/>
      <c r="F264" s="689"/>
      <c r="G264" s="648"/>
      <c r="H264" s="648"/>
      <c r="I264" s="648"/>
      <c r="J264" s="714">
        <f t="shared" si="15"/>
        <v>45777</v>
      </c>
      <c r="K264" s="715"/>
      <c r="L264" s="716"/>
      <c r="M264" s="648"/>
      <c r="N264" s="648"/>
      <c r="O264" s="648"/>
      <c r="P264" s="648"/>
      <c r="Q264" s="648"/>
      <c r="R264" s="647"/>
      <c r="S264" s="647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647"/>
      <c r="AL264" s="647"/>
      <c r="AM264" s="647"/>
    </row>
    <row r="265" spans="1:39" ht="14.1" customHeight="1">
      <c r="A265" s="684">
        <f>A262</f>
        <v>2825515</v>
      </c>
      <c r="B265" s="685"/>
      <c r="C265" s="685"/>
      <c r="D265" s="685"/>
      <c r="E265" s="685"/>
      <c r="F265" s="686"/>
      <c r="G265" s="648" t="s">
        <v>731</v>
      </c>
      <c r="H265" s="648"/>
      <c r="I265" s="648"/>
      <c r="J265" s="655">
        <f t="shared" si="15"/>
        <v>45748</v>
      </c>
      <c r="K265" s="656"/>
      <c r="L265" s="657"/>
      <c r="M265" s="648" t="s">
        <v>720</v>
      </c>
      <c r="N265" s="648"/>
      <c r="O265" s="648">
        <f>O262</f>
        <v>50</v>
      </c>
      <c r="P265" s="648"/>
      <c r="Q265" s="648"/>
      <c r="R265" s="647" t="str">
        <f>VLOOKUP(AI245,'Date masura OD'!$G:$BB,39,FALSE)&amp;" ("&amp;VLOOKUP(AI245,'Date masura OD'!$G:$BB,33,FALSE)&amp;")"</f>
        <v>788.16 (citire)</v>
      </c>
      <c r="S265" s="647"/>
      <c r="T265" s="647"/>
      <c r="U265" s="647" t="str">
        <f>VLOOKUP(AI245,'Date masura OD'!$G:$BB,40,FALSE)&amp;" ("&amp;VLOOKUP(AI245,'Date masura OD'!$G:$BB,33,FALSE)&amp;")"</f>
        <v>801.46 (citire)</v>
      </c>
      <c r="V265" s="647"/>
      <c r="W265" s="647"/>
      <c r="X265" s="647" t="str">
        <f>VLOOKUP(AI245,'Date masura OD'!$G:$BB,43,FALSE)&amp;" ("&amp;VLOOKUP(AI245,'Date masura OD'!$G:$BB,33,FALSE)&amp;")"</f>
        <v>665 (citire)</v>
      </c>
      <c r="Y265" s="647"/>
      <c r="Z265" s="647"/>
      <c r="AA265" s="647">
        <f>VLOOKUP(AI245,'Date masura OD'!$G:$BB,43,FALSE)</f>
        <v>665</v>
      </c>
      <c r="AB265" s="647"/>
      <c r="AC265" s="647"/>
      <c r="AD265" s="647" t="s">
        <v>69</v>
      </c>
      <c r="AE265" s="647"/>
      <c r="AF265" s="647">
        <f>AA265</f>
        <v>665</v>
      </c>
      <c r="AG265" s="647"/>
      <c r="AH265" s="647"/>
      <c r="AI265" s="647" t="str">
        <f>AI262</f>
        <v>-</v>
      </c>
      <c r="AJ265" s="647"/>
      <c r="AK265" s="647" t="str">
        <f>AK262</f>
        <v>-</v>
      </c>
      <c r="AL265" s="647"/>
      <c r="AM265" s="647"/>
    </row>
    <row r="266" spans="1:39" ht="8.4499999999999993" customHeight="1">
      <c r="A266" s="727"/>
      <c r="B266" s="729"/>
      <c r="C266" s="729"/>
      <c r="D266" s="729"/>
      <c r="E266" s="729"/>
      <c r="F266" s="728"/>
      <c r="G266" s="648"/>
      <c r="H266" s="648"/>
      <c r="I266" s="648"/>
      <c r="J266" s="717" t="str">
        <f t="shared" si="15"/>
        <v>-</v>
      </c>
      <c r="K266" s="718"/>
      <c r="L266" s="719"/>
      <c r="M266" s="648"/>
      <c r="N266" s="648"/>
      <c r="O266" s="648"/>
      <c r="P266" s="648"/>
      <c r="Q266" s="648"/>
      <c r="R266" s="647"/>
      <c r="S266" s="647"/>
      <c r="T266" s="647"/>
      <c r="U266" s="647"/>
      <c r="V266" s="647"/>
      <c r="W266" s="647"/>
      <c r="X266" s="647"/>
      <c r="Y266" s="647"/>
      <c r="Z266" s="647"/>
      <c r="AA266" s="647"/>
      <c r="AB266" s="647"/>
      <c r="AC266" s="647"/>
      <c r="AD266" s="647"/>
      <c r="AE266" s="647"/>
      <c r="AF266" s="647"/>
      <c r="AG266" s="647"/>
      <c r="AH266" s="647"/>
      <c r="AI266" s="647"/>
      <c r="AJ266" s="647"/>
      <c r="AK266" s="647"/>
      <c r="AL266" s="647"/>
      <c r="AM266" s="647"/>
    </row>
    <row r="267" spans="1:39" ht="14.1" customHeight="1">
      <c r="A267" s="687"/>
      <c r="B267" s="688"/>
      <c r="C267" s="688"/>
      <c r="D267" s="688"/>
      <c r="E267" s="688"/>
      <c r="F267" s="689"/>
      <c r="G267" s="648"/>
      <c r="H267" s="648"/>
      <c r="I267" s="648"/>
      <c r="J267" s="714">
        <f t="shared" si="15"/>
        <v>45777</v>
      </c>
      <c r="K267" s="715"/>
      <c r="L267" s="716"/>
      <c r="M267" s="648"/>
      <c r="N267" s="648"/>
      <c r="O267" s="648"/>
      <c r="P267" s="648"/>
      <c r="Q267" s="648"/>
      <c r="R267" s="647"/>
      <c r="S267" s="647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</row>
    <row r="268" spans="1:39" ht="14.1" customHeight="1">
      <c r="A268" s="684">
        <f>A265</f>
        <v>2825515</v>
      </c>
      <c r="B268" s="685"/>
      <c r="C268" s="685"/>
      <c r="D268" s="685"/>
      <c r="E268" s="685"/>
      <c r="F268" s="686"/>
      <c r="G268" s="648" t="s">
        <v>730</v>
      </c>
      <c r="H268" s="648"/>
      <c r="I268" s="673"/>
      <c r="J268" s="655">
        <f>'Date masura OD'!$I$5</f>
        <v>45778</v>
      </c>
      <c r="K268" s="656"/>
      <c r="L268" s="657"/>
      <c r="M268" s="720" t="s">
        <v>446</v>
      </c>
      <c r="N268" s="648"/>
      <c r="O268" s="648">
        <f>O265</f>
        <v>50</v>
      </c>
      <c r="P268" s="648"/>
      <c r="Q268" s="648"/>
      <c r="R268" s="647" t="str">
        <f>U259</f>
        <v>9924.64 (citire)</v>
      </c>
      <c r="S268" s="647"/>
      <c r="T268" s="647"/>
      <c r="U268" s="647" t="str">
        <f>VLOOKUP(AI245,'Date masura OD'!$G:$BB,7,FALSE)&amp;" (estimat)"</f>
        <v>9983.71 (estimat)</v>
      </c>
      <c r="V268" s="647"/>
      <c r="W268" s="647"/>
      <c r="X268" s="647" t="str">
        <f>VLOOKUP(AI245,'Date masura OD'!$G:$BB,12,FALSE)&amp;" (estimat)"</f>
        <v>2953 (estimat)</v>
      </c>
      <c r="Y268" s="647"/>
      <c r="Z268" s="647"/>
      <c r="AA268" s="647" t="s">
        <v>69</v>
      </c>
      <c r="AB268" s="647"/>
      <c r="AC268" s="647"/>
      <c r="AD268" s="647" t="s">
        <v>69</v>
      </c>
      <c r="AE268" s="647"/>
      <c r="AF268" s="647">
        <f>VLOOKUP(AI245,'Date masura OD'!$G:$BB,12,FALSE)</f>
        <v>2953</v>
      </c>
      <c r="AG268" s="647"/>
      <c r="AH268" s="647"/>
      <c r="AI268" s="647">
        <f>J270-J268+1</f>
        <v>31</v>
      </c>
      <c r="AJ268" s="647"/>
      <c r="AK268" s="647">
        <f>ROUND(AF268/AI268,2)</f>
        <v>95.26</v>
      </c>
      <c r="AL268" s="647"/>
      <c r="AM268" s="647"/>
    </row>
    <row r="269" spans="1:39" ht="8.4499999999999993" customHeight="1">
      <c r="A269" s="727"/>
      <c r="B269" s="729"/>
      <c r="C269" s="729"/>
      <c r="D269" s="729"/>
      <c r="E269" s="729"/>
      <c r="F269" s="728"/>
      <c r="G269" s="648"/>
      <c r="H269" s="648"/>
      <c r="I269" s="673"/>
      <c r="J269" s="717" t="s">
        <v>69</v>
      </c>
      <c r="K269" s="718"/>
      <c r="L269" s="719"/>
      <c r="M269" s="720"/>
      <c r="N269" s="648"/>
      <c r="O269" s="648"/>
      <c r="P269" s="648"/>
      <c r="Q269" s="648"/>
      <c r="R269" s="647"/>
      <c r="S269" s="647"/>
      <c r="T269" s="647"/>
      <c r="U269" s="647"/>
      <c r="V269" s="647"/>
      <c r="W269" s="647"/>
      <c r="X269" s="647"/>
      <c r="Y269" s="647"/>
      <c r="Z269" s="647"/>
      <c r="AA269" s="647"/>
      <c r="AB269" s="647"/>
      <c r="AC269" s="647"/>
      <c r="AD269" s="647"/>
      <c r="AE269" s="647"/>
      <c r="AF269" s="647"/>
      <c r="AG269" s="647"/>
      <c r="AH269" s="647"/>
      <c r="AI269" s="647"/>
      <c r="AJ269" s="647"/>
      <c r="AK269" s="647"/>
      <c r="AL269" s="647"/>
      <c r="AM269" s="647"/>
    </row>
    <row r="270" spans="1:39" ht="14.1" customHeight="1">
      <c r="A270" s="687"/>
      <c r="B270" s="688"/>
      <c r="C270" s="688"/>
      <c r="D270" s="688"/>
      <c r="E270" s="688"/>
      <c r="F270" s="689"/>
      <c r="G270" s="648"/>
      <c r="H270" s="648"/>
      <c r="I270" s="673"/>
      <c r="J270" s="714">
        <f>'Date masura OD'!$J$5</f>
        <v>45808</v>
      </c>
      <c r="K270" s="715"/>
      <c r="L270" s="716"/>
      <c r="M270" s="720"/>
      <c r="N270" s="648"/>
      <c r="O270" s="648"/>
      <c r="P270" s="648"/>
      <c r="Q270" s="648"/>
      <c r="R270" s="647"/>
      <c r="S270" s="647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647"/>
      <c r="AL270" s="647"/>
      <c r="AM270" s="647"/>
    </row>
    <row r="271" spans="1:39" ht="14.1" customHeight="1">
      <c r="A271" s="684">
        <f>A268</f>
        <v>2825515</v>
      </c>
      <c r="B271" s="685"/>
      <c r="C271" s="685"/>
      <c r="D271" s="685"/>
      <c r="E271" s="685"/>
      <c r="F271" s="686"/>
      <c r="G271" s="648" t="s">
        <v>696</v>
      </c>
      <c r="H271" s="648"/>
      <c r="I271" s="648"/>
      <c r="J271" s="655">
        <f t="shared" ref="J271:J276" si="16">J268</f>
        <v>45778</v>
      </c>
      <c r="K271" s="656"/>
      <c r="L271" s="657"/>
      <c r="M271" s="648" t="s">
        <v>720</v>
      </c>
      <c r="N271" s="648"/>
      <c r="O271" s="648">
        <f>O268</f>
        <v>50</v>
      </c>
      <c r="P271" s="648"/>
      <c r="Q271" s="648"/>
      <c r="R271" s="647" t="str">
        <f>U262</f>
        <v>459 (citire)</v>
      </c>
      <c r="S271" s="647"/>
      <c r="T271" s="647"/>
      <c r="U271" s="647" t="str">
        <f>VLOOKUP(AI245,'Date masura OD'!$G:$BB,9,FALSE)&amp;" (estimat)"</f>
        <v>459 (estimat)</v>
      </c>
      <c r="V271" s="647"/>
      <c r="W271" s="647"/>
      <c r="X271" s="647" t="str">
        <f>VLOOKUP(AI245,'Date masura OD'!$G:$BB,13,FALSE)&amp;" (estimat)"</f>
        <v>0 (estimat)</v>
      </c>
      <c r="Y271" s="647"/>
      <c r="Z271" s="647"/>
      <c r="AA271" s="647" t="s">
        <v>69</v>
      </c>
      <c r="AB271" s="647"/>
      <c r="AC271" s="647"/>
      <c r="AD271" s="647" t="s">
        <v>69</v>
      </c>
      <c r="AE271" s="647"/>
      <c r="AF271" s="647">
        <f>VLOOKUP(AI245,'Date masura OD'!$G:$BB,13,FALSE)</f>
        <v>0</v>
      </c>
      <c r="AG271" s="647"/>
      <c r="AH271" s="647"/>
      <c r="AI271" s="647">
        <f>AI268</f>
        <v>31</v>
      </c>
      <c r="AJ271" s="647"/>
      <c r="AK271" s="647">
        <f>ROUND(AF271/AI271,2)</f>
        <v>0</v>
      </c>
      <c r="AL271" s="647"/>
      <c r="AM271" s="647"/>
    </row>
    <row r="272" spans="1:39" ht="8.4499999999999993" customHeight="1">
      <c r="A272" s="727"/>
      <c r="B272" s="729"/>
      <c r="C272" s="729"/>
      <c r="D272" s="729"/>
      <c r="E272" s="729"/>
      <c r="F272" s="728"/>
      <c r="G272" s="648"/>
      <c r="H272" s="648"/>
      <c r="I272" s="648"/>
      <c r="J272" s="717" t="str">
        <f t="shared" si="16"/>
        <v>-</v>
      </c>
      <c r="K272" s="718"/>
      <c r="L272" s="719"/>
      <c r="M272" s="648"/>
      <c r="N272" s="648"/>
      <c r="O272" s="648"/>
      <c r="P272" s="648"/>
      <c r="Q272" s="648"/>
      <c r="R272" s="647"/>
      <c r="S272" s="647"/>
      <c r="T272" s="647"/>
      <c r="U272" s="647"/>
      <c r="V272" s="647"/>
      <c r="W272" s="647"/>
      <c r="X272" s="647"/>
      <c r="Y272" s="647"/>
      <c r="Z272" s="647"/>
      <c r="AA272" s="647"/>
      <c r="AB272" s="647"/>
      <c r="AC272" s="647"/>
      <c r="AD272" s="647"/>
      <c r="AE272" s="647"/>
      <c r="AF272" s="647"/>
      <c r="AG272" s="647"/>
      <c r="AH272" s="647"/>
      <c r="AI272" s="647"/>
      <c r="AJ272" s="647"/>
      <c r="AK272" s="647"/>
      <c r="AL272" s="647"/>
      <c r="AM272" s="647"/>
    </row>
    <row r="273" spans="1:39" ht="14.1" customHeight="1">
      <c r="A273" s="687"/>
      <c r="B273" s="688"/>
      <c r="C273" s="688"/>
      <c r="D273" s="688"/>
      <c r="E273" s="688"/>
      <c r="F273" s="689"/>
      <c r="G273" s="648"/>
      <c r="H273" s="648"/>
      <c r="I273" s="648"/>
      <c r="J273" s="714">
        <f t="shared" si="16"/>
        <v>45808</v>
      </c>
      <c r="K273" s="715"/>
      <c r="L273" s="716"/>
      <c r="M273" s="648"/>
      <c r="N273" s="648"/>
      <c r="O273" s="648"/>
      <c r="P273" s="648"/>
      <c r="Q273" s="648"/>
      <c r="R273" s="647"/>
      <c r="S273" s="647"/>
      <c r="T273" s="647"/>
      <c r="U273" s="647"/>
      <c r="V273" s="647"/>
      <c r="W273" s="647"/>
      <c r="X273" s="647"/>
      <c r="Y273" s="647"/>
      <c r="Z273" s="647"/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</row>
    <row r="274" spans="1:39" ht="14.1" customHeight="1">
      <c r="A274" s="684">
        <f>A271</f>
        <v>2825515</v>
      </c>
      <c r="B274" s="685"/>
      <c r="C274" s="685"/>
      <c r="D274" s="685"/>
      <c r="E274" s="685"/>
      <c r="F274" s="686"/>
      <c r="G274" s="648" t="s">
        <v>731</v>
      </c>
      <c r="H274" s="648"/>
      <c r="I274" s="648"/>
      <c r="J274" s="655">
        <f t="shared" si="16"/>
        <v>45778</v>
      </c>
      <c r="K274" s="656"/>
      <c r="L274" s="657"/>
      <c r="M274" s="648" t="s">
        <v>720</v>
      </c>
      <c r="N274" s="648"/>
      <c r="O274" s="648">
        <f>O271</f>
        <v>50</v>
      </c>
      <c r="P274" s="648"/>
      <c r="Q274" s="648"/>
      <c r="R274" s="647" t="str">
        <f>U265</f>
        <v>801.46 (citire)</v>
      </c>
      <c r="S274" s="647"/>
      <c r="T274" s="647"/>
      <c r="U274" s="647" t="str">
        <f>VLOOKUP(AI245,'Date masura OD'!$G:$BB,11,FALSE)&amp;" (estimat)"</f>
        <v>801.46 (estimat)</v>
      </c>
      <c r="V274" s="647"/>
      <c r="W274" s="647"/>
      <c r="X274" s="647" t="str">
        <f>VLOOKUP(AI245,'Date masura OD'!$G:$BB,15,FALSE)&amp;" (estimat)"</f>
        <v>0 (estimat)</v>
      </c>
      <c r="Y274" s="647"/>
      <c r="Z274" s="647"/>
      <c r="AA274" s="647" t="s">
        <v>69</v>
      </c>
      <c r="AB274" s="647"/>
      <c r="AC274" s="647"/>
      <c r="AD274" s="647" t="s">
        <v>69</v>
      </c>
      <c r="AE274" s="647"/>
      <c r="AF274" s="647">
        <f>VLOOKUP(AI245,'Date masura OD'!$G:$BB,15,FALSE)</f>
        <v>0</v>
      </c>
      <c r="AG274" s="647"/>
      <c r="AH274" s="647"/>
      <c r="AI274" s="647">
        <f>AI271</f>
        <v>31</v>
      </c>
      <c r="AJ274" s="647"/>
      <c r="AK274" s="647">
        <f>ROUND(AF274/AI274,2)</f>
        <v>0</v>
      </c>
      <c r="AL274" s="647"/>
      <c r="AM274" s="647"/>
    </row>
    <row r="275" spans="1:39" ht="8.4499999999999993" customHeight="1">
      <c r="A275" s="727"/>
      <c r="B275" s="729"/>
      <c r="C275" s="729"/>
      <c r="D275" s="729"/>
      <c r="E275" s="729"/>
      <c r="F275" s="728"/>
      <c r="G275" s="648"/>
      <c r="H275" s="648"/>
      <c r="I275" s="648"/>
      <c r="J275" s="717" t="str">
        <f t="shared" si="16"/>
        <v>-</v>
      </c>
      <c r="K275" s="718"/>
      <c r="L275" s="719"/>
      <c r="M275" s="648"/>
      <c r="N275" s="648"/>
      <c r="O275" s="648"/>
      <c r="P275" s="648"/>
      <c r="Q275" s="648"/>
      <c r="R275" s="647"/>
      <c r="S275" s="647"/>
      <c r="T275" s="647"/>
      <c r="U275" s="647"/>
      <c r="V275" s="647"/>
      <c r="W275" s="647"/>
      <c r="X275" s="647"/>
      <c r="Y275" s="647"/>
      <c r="Z275" s="647"/>
      <c r="AA275" s="647"/>
      <c r="AB275" s="647"/>
      <c r="AC275" s="647"/>
      <c r="AD275" s="647"/>
      <c r="AE275" s="647"/>
      <c r="AF275" s="647"/>
      <c r="AG275" s="647"/>
      <c r="AH275" s="647"/>
      <c r="AI275" s="647"/>
      <c r="AJ275" s="647"/>
      <c r="AK275" s="647"/>
      <c r="AL275" s="647"/>
      <c r="AM275" s="647"/>
    </row>
    <row r="276" spans="1:39" ht="14.1" customHeight="1">
      <c r="A276" s="687"/>
      <c r="B276" s="688"/>
      <c r="C276" s="688"/>
      <c r="D276" s="688"/>
      <c r="E276" s="688"/>
      <c r="F276" s="689"/>
      <c r="G276" s="648"/>
      <c r="H276" s="648"/>
      <c r="I276" s="648"/>
      <c r="J276" s="714">
        <f t="shared" si="16"/>
        <v>45808</v>
      </c>
      <c r="K276" s="715"/>
      <c r="L276" s="716"/>
      <c r="M276" s="648"/>
      <c r="N276" s="648"/>
      <c r="O276" s="648"/>
      <c r="P276" s="648"/>
      <c r="Q276" s="648"/>
      <c r="R276" s="647"/>
      <c r="S276" s="647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647"/>
      <c r="AL276" s="647"/>
      <c r="AM276" s="647"/>
    </row>
    <row r="277" spans="1:39" ht="14.1" customHeight="1"/>
    <row r="278" spans="1:39" ht="14.1" customHeight="1"/>
    <row r="279" spans="1:39" ht="14.1" customHeight="1"/>
    <row r="280" spans="1:39" ht="14.1" customHeight="1"/>
    <row r="281" spans="1:39" ht="14.1" customHeight="1"/>
    <row r="282" spans="1:39" ht="14.1" customHeight="1"/>
    <row r="283" spans="1:39" ht="14.1" customHeight="1"/>
    <row r="284" spans="1:39" ht="14.1" customHeight="1"/>
    <row r="285" spans="1:39" ht="14.1" customHeight="1"/>
    <row r="286" spans="1:39" ht="14.1" customHeight="1"/>
    <row r="287" spans="1:39" ht="14.1" customHeight="1"/>
    <row r="288" spans="1:39" ht="14.1" customHeight="1"/>
    <row r="289" spans="1:39" ht="14.1" customHeight="1"/>
    <row r="290" spans="1:39" ht="14.1" customHeight="1"/>
    <row r="291" spans="1:39" ht="14.1" customHeight="1"/>
    <row r="292" spans="1:39" ht="15.95" customHeight="1">
      <c r="A292" s="624" t="str">
        <f>A28</f>
        <v>DETALII FACTURA FACTURA FISCALA SERIA …........ NR …................. din date de ….......06.2025</v>
      </c>
      <c r="B292" s="624"/>
      <c r="C292" s="624"/>
      <c r="D292" s="624"/>
      <c r="E292" s="624"/>
      <c r="F292" s="624"/>
      <c r="G292" s="624"/>
      <c r="H292" s="624"/>
      <c r="I292" s="624"/>
      <c r="J292" s="624"/>
      <c r="K292" s="624"/>
      <c r="L292" s="624"/>
      <c r="M292" s="624"/>
      <c r="N292" s="624"/>
      <c r="O292" s="624"/>
      <c r="P292" s="624"/>
      <c r="Q292" s="624"/>
      <c r="R292" s="624"/>
      <c r="S292" s="624"/>
      <c r="T292" s="624"/>
      <c r="U292" s="624"/>
      <c r="V292" s="624"/>
      <c r="W292" s="624"/>
      <c r="X292" s="624"/>
      <c r="Y292" s="624"/>
      <c r="Z292" s="624"/>
      <c r="AA292" s="624"/>
      <c r="AB292" s="624"/>
      <c r="AC292" s="624"/>
      <c r="AD292" s="624"/>
      <c r="AE292" s="624"/>
      <c r="AF292" s="624"/>
      <c r="AG292" s="624"/>
      <c r="AH292" s="624"/>
      <c r="AI292" s="624"/>
      <c r="AJ292" s="624"/>
      <c r="AK292" s="624"/>
      <c r="AL292" s="624"/>
      <c r="AM292" s="624"/>
    </row>
    <row r="294" spans="1:39" ht="36" customHeight="1">
      <c r="A294" s="66" t="s">
        <v>721</v>
      </c>
      <c r="B294" s="648" t="s">
        <v>95</v>
      </c>
      <c r="C294" s="648"/>
      <c r="D294" s="648"/>
      <c r="E294" s="648"/>
      <c r="F294" s="648"/>
      <c r="G294" s="648"/>
      <c r="H294" s="648"/>
      <c r="I294" s="648"/>
      <c r="J294" s="648"/>
      <c r="K294" s="648"/>
      <c r="L294" s="64" t="s">
        <v>709</v>
      </c>
      <c r="M294" s="69"/>
      <c r="N294" s="69"/>
      <c r="O294" s="64"/>
      <c r="P294" s="69"/>
      <c r="Q294" s="69"/>
      <c r="R294" s="647" t="s">
        <v>722</v>
      </c>
      <c r="S294" s="647"/>
      <c r="T294" s="647"/>
      <c r="U294" s="647"/>
      <c r="V294" s="648" t="s">
        <v>519</v>
      </c>
      <c r="W294" s="648"/>
      <c r="X294" s="647" t="s">
        <v>723</v>
      </c>
      <c r="Y294" s="647"/>
      <c r="Z294" s="647"/>
      <c r="AA294" s="647"/>
      <c r="AB294" s="647" t="s">
        <v>724</v>
      </c>
      <c r="AC294" s="647"/>
      <c r="AD294" s="647"/>
      <c r="AE294" s="647"/>
      <c r="AF294" s="647" t="s">
        <v>725</v>
      </c>
      <c r="AG294" s="647"/>
      <c r="AH294" s="647"/>
      <c r="AI294" s="647"/>
      <c r="AJ294" s="647" t="s">
        <v>726</v>
      </c>
      <c r="AK294" s="647"/>
      <c r="AL294" s="647"/>
      <c r="AM294" s="647"/>
    </row>
    <row r="295" spans="1:39" ht="15.95" customHeight="1">
      <c r="A295" s="65">
        <v>1</v>
      </c>
      <c r="B295" s="699" t="s">
        <v>71</v>
      </c>
      <c r="C295" s="700"/>
      <c r="D295" s="700"/>
      <c r="E295" s="700"/>
      <c r="F295" s="700"/>
      <c r="G295" s="700"/>
      <c r="H295" s="700"/>
      <c r="I295" s="700"/>
      <c r="J295" s="700"/>
      <c r="K295" s="701"/>
      <c r="L295" s="702">
        <f>'Date masura OD'!$I$5</f>
        <v>45778</v>
      </c>
      <c r="M295" s="702"/>
      <c r="N295" s="702"/>
      <c r="O295" s="702">
        <f>'Date masura OD'!$J$5</f>
        <v>45808</v>
      </c>
      <c r="P295" s="702"/>
      <c r="Q295" s="702"/>
      <c r="R295" s="690" cm="1">
        <f t="array" ref="R295">INDEX(verificare!$AT$4:$CC$26,VLOOKUP($AA$16,verificare!$AR$4:$AS$26,2,FALSE),A295)</f>
        <v>312565</v>
      </c>
      <c r="S295" s="690"/>
      <c r="T295" s="690"/>
      <c r="U295" s="690"/>
      <c r="V295" s="658" t="s">
        <v>446</v>
      </c>
      <c r="W295" s="658"/>
      <c r="X295" s="691">
        <f>HLOOKUP(VLOOKUP($AA$16,'Date SPV'!$B:$F,5,FALSE),'Preturi si tarife'!$C$2:$J$39,A295+2,FALSE)</f>
        <v>0.59499999999999997</v>
      </c>
      <c r="Y295" s="692"/>
      <c r="Z295" s="692"/>
      <c r="AA295" s="693"/>
      <c r="AB295" s="690">
        <f>ROUND(X295*R295,2)</f>
        <v>185976.18</v>
      </c>
      <c r="AC295" s="690"/>
      <c r="AD295" s="690"/>
      <c r="AE295" s="690"/>
      <c r="AF295" s="690">
        <f>ROUND(AB295*19%,2)</f>
        <v>35335.47</v>
      </c>
      <c r="AG295" s="690"/>
      <c r="AH295" s="690"/>
      <c r="AI295" s="690"/>
      <c r="AJ295" s="690">
        <f>AB295+AF295</f>
        <v>221311.65</v>
      </c>
      <c r="AK295" s="690"/>
      <c r="AL295" s="690"/>
      <c r="AM295" s="690"/>
    </row>
    <row r="296" spans="1:39">
      <c r="A296" s="65">
        <f>A295+1</f>
        <v>2</v>
      </c>
      <c r="B296" s="699" t="s">
        <v>72</v>
      </c>
      <c r="C296" s="700"/>
      <c r="D296" s="700"/>
      <c r="E296" s="700"/>
      <c r="F296" s="700"/>
      <c r="G296" s="700"/>
      <c r="H296" s="700"/>
      <c r="I296" s="700"/>
      <c r="J296" s="700"/>
      <c r="K296" s="701"/>
      <c r="L296" s="702">
        <f>L295</f>
        <v>45778</v>
      </c>
      <c r="M296" s="702"/>
      <c r="N296" s="702"/>
      <c r="O296" s="702">
        <f>O295</f>
        <v>45808</v>
      </c>
      <c r="P296" s="702"/>
      <c r="Q296" s="702"/>
      <c r="R296" s="772" cm="1">
        <f t="array" ref="R296">INDEX(verificare!$AT$4:$CC$26,VLOOKUP($AA$16,verificare!$AR$4:$AS$26,2,FALSE),A296)</f>
        <v>0</v>
      </c>
      <c r="S296" s="773"/>
      <c r="T296" s="773"/>
      <c r="U296" s="774"/>
      <c r="V296" s="658" t="s">
        <v>727</v>
      </c>
      <c r="W296" s="658"/>
      <c r="X296" s="691">
        <f>HLOOKUP(VLOOKUP($AA$16,'Date SPV'!$B:$F,5,FALSE),'Preturi si tarife'!$C$2:$J$39,A296+2,FALSE)</f>
        <v>0.14649999999999999</v>
      </c>
      <c r="Y296" s="692"/>
      <c r="Z296" s="692"/>
      <c r="AA296" s="693"/>
      <c r="AB296" s="690">
        <f t="shared" ref="AB296:AB330" si="17">ROUND(X296*R296,2)</f>
        <v>0</v>
      </c>
      <c r="AC296" s="690"/>
      <c r="AD296" s="690"/>
      <c r="AE296" s="690"/>
      <c r="AF296" s="690">
        <f t="shared" ref="AF296:AF331" si="18">ROUND(AB296*19%,2)</f>
        <v>0</v>
      </c>
      <c r="AG296" s="690"/>
      <c r="AH296" s="690"/>
      <c r="AI296" s="690"/>
      <c r="AJ296" s="690">
        <f t="shared" ref="AJ296:AJ331" si="19">AB296+AF296</f>
        <v>0</v>
      </c>
      <c r="AK296" s="690"/>
      <c r="AL296" s="690"/>
      <c r="AM296" s="690"/>
    </row>
    <row r="297" spans="1:39">
      <c r="A297" s="65">
        <f t="shared" ref="A297:A331" si="20">A296+1</f>
        <v>3</v>
      </c>
      <c r="B297" s="699" t="s">
        <v>73</v>
      </c>
      <c r="C297" s="700"/>
      <c r="D297" s="700"/>
      <c r="E297" s="700"/>
      <c r="F297" s="700"/>
      <c r="G297" s="700"/>
      <c r="H297" s="700"/>
      <c r="I297" s="700"/>
      <c r="J297" s="700"/>
      <c r="K297" s="701"/>
      <c r="L297" s="702">
        <f t="shared" ref="L297:L312" si="21">L296</f>
        <v>45778</v>
      </c>
      <c r="M297" s="702"/>
      <c r="N297" s="702"/>
      <c r="O297" s="702">
        <f t="shared" ref="O297:O312" si="22">O296</f>
        <v>45808</v>
      </c>
      <c r="P297" s="702"/>
      <c r="Q297" s="702"/>
      <c r="R297" s="772" cm="1">
        <f t="array" ref="R297">INDEX(verificare!$AT$4:$CC$26,VLOOKUP($AA$16,verificare!$AR$4:$AS$26,2,FALSE),A297)</f>
        <v>0</v>
      </c>
      <c r="S297" s="773"/>
      <c r="T297" s="773"/>
      <c r="U297" s="774"/>
      <c r="V297" s="658" t="s">
        <v>727</v>
      </c>
      <c r="W297" s="658"/>
      <c r="X297" s="691">
        <f>HLOOKUP(VLOOKUP($AA$16,'Date SPV'!$B:$F,5,FALSE),'Preturi si tarife'!$C$2:$J$39,A297+2,FALSE)</f>
        <v>0.4395</v>
      </c>
      <c r="Y297" s="692"/>
      <c r="Z297" s="692"/>
      <c r="AA297" s="693"/>
      <c r="AB297" s="690">
        <f t="shared" si="17"/>
        <v>0</v>
      </c>
      <c r="AC297" s="690"/>
      <c r="AD297" s="690"/>
      <c r="AE297" s="690"/>
      <c r="AF297" s="690">
        <f t="shared" si="18"/>
        <v>0</v>
      </c>
      <c r="AG297" s="690"/>
      <c r="AH297" s="690"/>
      <c r="AI297" s="690"/>
      <c r="AJ297" s="690">
        <f t="shared" si="19"/>
        <v>0</v>
      </c>
      <c r="AK297" s="690"/>
      <c r="AL297" s="690"/>
      <c r="AM297" s="690"/>
    </row>
    <row r="298" spans="1:39" ht="15.95" customHeight="1">
      <c r="A298" s="65">
        <f t="shared" si="20"/>
        <v>4</v>
      </c>
      <c r="B298" s="699" t="s">
        <v>868</v>
      </c>
      <c r="C298" s="700"/>
      <c r="D298" s="700"/>
      <c r="E298" s="700"/>
      <c r="F298" s="700"/>
      <c r="G298" s="700"/>
      <c r="H298" s="700"/>
      <c r="I298" s="700"/>
      <c r="J298" s="700"/>
      <c r="K298" s="701"/>
      <c r="L298" s="702">
        <f t="shared" si="21"/>
        <v>45778</v>
      </c>
      <c r="M298" s="702"/>
      <c r="N298" s="702"/>
      <c r="O298" s="702">
        <f t="shared" si="22"/>
        <v>45808</v>
      </c>
      <c r="P298" s="702"/>
      <c r="Q298" s="702"/>
      <c r="R298" s="772" cm="1">
        <f t="array" ref="R298">INDEX(verificare!$AT$4:$CC$26,VLOOKUP($AA$16,verificare!$AR$4:$AS$26,2,FALSE),A298)</f>
        <v>312565</v>
      </c>
      <c r="S298" s="773"/>
      <c r="T298" s="773"/>
      <c r="U298" s="774"/>
      <c r="V298" s="658" t="s">
        <v>446</v>
      </c>
      <c r="W298" s="658"/>
      <c r="X298" s="691">
        <f>HLOOKUP(VLOOKUP($AA$16,'Date SPV'!$B:$F,5,FALSE),'Preturi si tarife'!$C$2:$J$39,A298+2,FALSE)</f>
        <v>0.11483</v>
      </c>
      <c r="Y298" s="692"/>
      <c r="Z298" s="692"/>
      <c r="AA298" s="693"/>
      <c r="AB298" s="690">
        <f t="shared" si="17"/>
        <v>35891.839999999997</v>
      </c>
      <c r="AC298" s="690"/>
      <c r="AD298" s="690"/>
      <c r="AE298" s="690"/>
      <c r="AF298" s="690">
        <f t="shared" si="18"/>
        <v>6819.45</v>
      </c>
      <c r="AG298" s="690"/>
      <c r="AH298" s="690"/>
      <c r="AI298" s="690"/>
      <c r="AJ298" s="690">
        <f t="shared" si="19"/>
        <v>42711.289999999994</v>
      </c>
      <c r="AK298" s="690"/>
      <c r="AL298" s="690"/>
      <c r="AM298" s="690"/>
    </row>
    <row r="299" spans="1:39">
      <c r="A299" s="65">
        <f t="shared" si="20"/>
        <v>5</v>
      </c>
      <c r="B299" s="699" t="s">
        <v>757</v>
      </c>
      <c r="C299" s="700"/>
      <c r="D299" s="700"/>
      <c r="E299" s="700"/>
      <c r="F299" s="700"/>
      <c r="G299" s="700"/>
      <c r="H299" s="700"/>
      <c r="I299" s="700"/>
      <c r="J299" s="700"/>
      <c r="K299" s="701"/>
      <c r="L299" s="702">
        <f t="shared" si="21"/>
        <v>45778</v>
      </c>
      <c r="M299" s="702"/>
      <c r="N299" s="702"/>
      <c r="O299" s="702">
        <f t="shared" si="22"/>
        <v>45808</v>
      </c>
      <c r="P299" s="702"/>
      <c r="Q299" s="702"/>
      <c r="R299" s="772" cm="1">
        <f t="array" ref="R299">INDEX(verificare!$AT$4:$CC$26,VLOOKUP($AA$16,verificare!$AR$4:$AS$26,2,FALSE),A299)</f>
        <v>2953</v>
      </c>
      <c r="S299" s="773"/>
      <c r="T299" s="773"/>
      <c r="U299" s="774"/>
      <c r="V299" s="658" t="s">
        <v>446</v>
      </c>
      <c r="W299" s="658"/>
      <c r="X299" s="691">
        <f>HLOOKUP(VLOOKUP($AA$16,'Date SPV'!$B:$F,5,FALSE),'Preturi si tarife'!$C$2:$J$39,A299+2,FALSE)</f>
        <v>0.2361</v>
      </c>
      <c r="Y299" s="692"/>
      <c r="Z299" s="692"/>
      <c r="AA299" s="693"/>
      <c r="AB299" s="690">
        <f t="shared" si="17"/>
        <v>697.2</v>
      </c>
      <c r="AC299" s="690"/>
      <c r="AD299" s="690"/>
      <c r="AE299" s="690"/>
      <c r="AF299" s="690">
        <f t="shared" si="18"/>
        <v>132.47</v>
      </c>
      <c r="AG299" s="690"/>
      <c r="AH299" s="690"/>
      <c r="AI299" s="690"/>
      <c r="AJ299" s="690">
        <f t="shared" si="19"/>
        <v>829.67000000000007</v>
      </c>
      <c r="AK299" s="690"/>
      <c r="AL299" s="690"/>
      <c r="AM299" s="690"/>
    </row>
    <row r="300" spans="1:39" ht="15.95" customHeight="1">
      <c r="A300" s="65">
        <f t="shared" si="20"/>
        <v>6</v>
      </c>
      <c r="B300" s="699" t="s">
        <v>74</v>
      </c>
      <c r="C300" s="700"/>
      <c r="D300" s="700"/>
      <c r="E300" s="700"/>
      <c r="F300" s="700"/>
      <c r="G300" s="700"/>
      <c r="H300" s="700"/>
      <c r="I300" s="700"/>
      <c r="J300" s="700"/>
      <c r="K300" s="701"/>
      <c r="L300" s="702">
        <f t="shared" si="21"/>
        <v>45778</v>
      </c>
      <c r="M300" s="702"/>
      <c r="N300" s="702"/>
      <c r="O300" s="702">
        <f t="shared" si="22"/>
        <v>45808</v>
      </c>
      <c r="P300" s="702"/>
      <c r="Q300" s="702"/>
      <c r="R300" s="772" cm="1">
        <f t="array" ref="R300">INDEX(verificare!$AT$4:$CC$26,VLOOKUP($AA$16,verificare!$AR$4:$AS$26,2,FALSE),A300)</f>
        <v>312565</v>
      </c>
      <c r="S300" s="773"/>
      <c r="T300" s="773"/>
      <c r="U300" s="774"/>
      <c r="V300" s="658" t="s">
        <v>446</v>
      </c>
      <c r="W300" s="658"/>
      <c r="X300" s="691">
        <f>HLOOKUP(VLOOKUP($AA$16,'Date SPV'!$B:$F,5,FALSE),'Preturi si tarife'!$C$2:$J$39,A300+2,FALSE)</f>
        <v>1.1509999999999999E-2</v>
      </c>
      <c r="Y300" s="692"/>
      <c r="Z300" s="692"/>
      <c r="AA300" s="693"/>
      <c r="AB300" s="690">
        <f t="shared" si="17"/>
        <v>3597.62</v>
      </c>
      <c r="AC300" s="690"/>
      <c r="AD300" s="690"/>
      <c r="AE300" s="690"/>
      <c r="AF300" s="690">
        <f t="shared" si="18"/>
        <v>683.55</v>
      </c>
      <c r="AG300" s="690"/>
      <c r="AH300" s="690"/>
      <c r="AI300" s="690"/>
      <c r="AJ300" s="690">
        <f t="shared" si="19"/>
        <v>4281.17</v>
      </c>
      <c r="AK300" s="690"/>
      <c r="AL300" s="690"/>
      <c r="AM300" s="690"/>
    </row>
    <row r="301" spans="1:39" ht="15.95" customHeight="1">
      <c r="A301" s="65">
        <f t="shared" si="20"/>
        <v>7</v>
      </c>
      <c r="B301" s="699" t="s">
        <v>75</v>
      </c>
      <c r="C301" s="700"/>
      <c r="D301" s="700"/>
      <c r="E301" s="700"/>
      <c r="F301" s="700"/>
      <c r="G301" s="700"/>
      <c r="H301" s="700"/>
      <c r="I301" s="700"/>
      <c r="J301" s="700"/>
      <c r="K301" s="701"/>
      <c r="L301" s="702">
        <f t="shared" si="21"/>
        <v>45778</v>
      </c>
      <c r="M301" s="702"/>
      <c r="N301" s="702"/>
      <c r="O301" s="702">
        <f t="shared" si="22"/>
        <v>45808</v>
      </c>
      <c r="P301" s="702"/>
      <c r="Q301" s="702"/>
      <c r="R301" s="772" cm="1">
        <f t="array" ref="R301">INDEX(verificare!$AT$4:$CC$26,VLOOKUP($AA$16,verificare!$AR$4:$AS$26,2,FALSE),A301)</f>
        <v>312565</v>
      </c>
      <c r="S301" s="773"/>
      <c r="T301" s="773"/>
      <c r="U301" s="774"/>
      <c r="V301" s="658" t="s">
        <v>446</v>
      </c>
      <c r="W301" s="658"/>
      <c r="X301" s="691">
        <f>HLOOKUP(VLOOKUP($AA$16,'Date SPV'!$B:$F,5,FALSE),'Preturi si tarife'!$C$2:$J$39,A301+2,FALSE)</f>
        <v>3.3030000000000004E-2</v>
      </c>
      <c r="Y301" s="692"/>
      <c r="Z301" s="692"/>
      <c r="AA301" s="693"/>
      <c r="AB301" s="690">
        <f t="shared" si="17"/>
        <v>10324.02</v>
      </c>
      <c r="AC301" s="690"/>
      <c r="AD301" s="690"/>
      <c r="AE301" s="690"/>
      <c r="AF301" s="690">
        <f t="shared" si="18"/>
        <v>1961.56</v>
      </c>
      <c r="AG301" s="690"/>
      <c r="AH301" s="690"/>
      <c r="AI301" s="690"/>
      <c r="AJ301" s="690">
        <f t="shared" si="19"/>
        <v>12285.58</v>
      </c>
      <c r="AK301" s="690"/>
      <c r="AL301" s="690"/>
      <c r="AM301" s="690"/>
    </row>
    <row r="302" spans="1:39" ht="15.95" customHeight="1">
      <c r="A302" s="65">
        <f t="shared" si="20"/>
        <v>8</v>
      </c>
      <c r="B302" s="699" t="s">
        <v>76</v>
      </c>
      <c r="C302" s="700"/>
      <c r="D302" s="700"/>
      <c r="E302" s="700"/>
      <c r="F302" s="700"/>
      <c r="G302" s="700"/>
      <c r="H302" s="700"/>
      <c r="I302" s="700"/>
      <c r="J302" s="700"/>
      <c r="K302" s="701"/>
      <c r="L302" s="702">
        <f t="shared" si="21"/>
        <v>45778</v>
      </c>
      <c r="M302" s="702"/>
      <c r="N302" s="702"/>
      <c r="O302" s="702">
        <f t="shared" si="22"/>
        <v>45808</v>
      </c>
      <c r="P302" s="702"/>
      <c r="Q302" s="702"/>
      <c r="R302" s="772" cm="1">
        <f t="array" ref="R302">INDEX(verificare!$AT$4:$CC$26,VLOOKUP($AA$16,verificare!$AR$4:$AS$26,2,FALSE),A302)</f>
        <v>312565</v>
      </c>
      <c r="S302" s="773"/>
      <c r="T302" s="773"/>
      <c r="U302" s="774"/>
      <c r="V302" s="658" t="s">
        <v>446</v>
      </c>
      <c r="W302" s="658"/>
      <c r="X302" s="691">
        <f>HLOOKUP(VLOOKUP($AA$16,'Date SPV'!$B:$F,5,FALSE),'Preturi si tarife'!$C$2:$J$39,A302+2,FALSE)</f>
        <v>3.29E-3</v>
      </c>
      <c r="Y302" s="692"/>
      <c r="Z302" s="692"/>
      <c r="AA302" s="693"/>
      <c r="AB302" s="690">
        <f t="shared" si="17"/>
        <v>1028.3399999999999</v>
      </c>
      <c r="AC302" s="690"/>
      <c r="AD302" s="690"/>
      <c r="AE302" s="690"/>
      <c r="AF302" s="690">
        <f t="shared" si="18"/>
        <v>195.38</v>
      </c>
      <c r="AG302" s="690"/>
      <c r="AH302" s="690"/>
      <c r="AI302" s="690"/>
      <c r="AJ302" s="690">
        <f t="shared" si="19"/>
        <v>1223.7199999999998</v>
      </c>
      <c r="AK302" s="690"/>
      <c r="AL302" s="690"/>
      <c r="AM302" s="690"/>
    </row>
    <row r="303" spans="1:39" ht="15.95" customHeight="1">
      <c r="A303" s="65">
        <f t="shared" si="20"/>
        <v>9</v>
      </c>
      <c r="B303" s="699" t="s">
        <v>77</v>
      </c>
      <c r="C303" s="700"/>
      <c r="D303" s="700"/>
      <c r="E303" s="700"/>
      <c r="F303" s="700"/>
      <c r="G303" s="700"/>
      <c r="H303" s="700"/>
      <c r="I303" s="700"/>
      <c r="J303" s="700"/>
      <c r="K303" s="701"/>
      <c r="L303" s="702">
        <f t="shared" si="21"/>
        <v>45778</v>
      </c>
      <c r="M303" s="702"/>
      <c r="N303" s="702"/>
      <c r="O303" s="702">
        <f t="shared" si="22"/>
        <v>45808</v>
      </c>
      <c r="P303" s="702"/>
      <c r="Q303" s="702"/>
      <c r="R303" s="772" cm="1">
        <f t="array" ref="R303">INDEX(verificare!$AT$4:$CC$26,VLOOKUP($AA$16,verificare!$AR$4:$AS$26,2,FALSE),A303)</f>
        <v>312565</v>
      </c>
      <c r="S303" s="773"/>
      <c r="T303" s="773"/>
      <c r="U303" s="774"/>
      <c r="V303" s="658" t="s">
        <v>446</v>
      </c>
      <c r="W303" s="658"/>
      <c r="X303" s="691">
        <f>HLOOKUP(VLOOKUP($AA$16,'Date SPV'!$B:$F,5,FALSE),'Preturi si tarife'!$C$2:$J$39,A303+2,FALSE)</f>
        <v>3.5000000000000001E-3</v>
      </c>
      <c r="Y303" s="692"/>
      <c r="Z303" s="692"/>
      <c r="AA303" s="693"/>
      <c r="AB303" s="690">
        <f t="shared" si="17"/>
        <v>1093.98</v>
      </c>
      <c r="AC303" s="690"/>
      <c r="AD303" s="690"/>
      <c r="AE303" s="690"/>
      <c r="AF303" s="690">
        <f t="shared" si="18"/>
        <v>207.86</v>
      </c>
      <c r="AG303" s="690"/>
      <c r="AH303" s="690"/>
      <c r="AI303" s="690"/>
      <c r="AJ303" s="690">
        <f t="shared" si="19"/>
        <v>1301.8400000000001</v>
      </c>
      <c r="AK303" s="690"/>
      <c r="AL303" s="690"/>
      <c r="AM303" s="690"/>
    </row>
    <row r="304" spans="1:39" ht="15.95" customHeight="1">
      <c r="A304" s="65">
        <f t="shared" si="20"/>
        <v>10</v>
      </c>
      <c r="B304" s="699" t="s">
        <v>78</v>
      </c>
      <c r="C304" s="700"/>
      <c r="D304" s="700"/>
      <c r="E304" s="700"/>
      <c r="F304" s="700"/>
      <c r="G304" s="700"/>
      <c r="H304" s="700"/>
      <c r="I304" s="700"/>
      <c r="J304" s="700"/>
      <c r="K304" s="701"/>
      <c r="L304" s="702">
        <f t="shared" si="21"/>
        <v>45778</v>
      </c>
      <c r="M304" s="702"/>
      <c r="N304" s="702"/>
      <c r="O304" s="702">
        <f t="shared" si="22"/>
        <v>45808</v>
      </c>
      <c r="P304" s="702"/>
      <c r="Q304" s="702"/>
      <c r="R304" s="772" cm="1">
        <f t="array" ref="R304">INDEX(verificare!$AT$4:$CC$26,VLOOKUP($AA$16,verificare!$AR$4:$AS$26,2,FALSE),A304)</f>
        <v>312565</v>
      </c>
      <c r="S304" s="773"/>
      <c r="T304" s="773"/>
      <c r="U304" s="774"/>
      <c r="V304" s="658" t="s">
        <v>446</v>
      </c>
      <c r="W304" s="658"/>
      <c r="X304" s="691">
        <f>HLOOKUP(VLOOKUP($AA$16,'Date SPV'!$B:$F,5,FALSE),'Preturi si tarife'!$C$2:$J$39,A304+2,FALSE)</f>
        <v>7.2541599999999998E-2</v>
      </c>
      <c r="Y304" s="692"/>
      <c r="Z304" s="692"/>
      <c r="AA304" s="693"/>
      <c r="AB304" s="690">
        <f t="shared" si="17"/>
        <v>22673.97</v>
      </c>
      <c r="AC304" s="690"/>
      <c r="AD304" s="690"/>
      <c r="AE304" s="690"/>
      <c r="AF304" s="690">
        <f t="shared" si="18"/>
        <v>4308.05</v>
      </c>
      <c r="AG304" s="690"/>
      <c r="AH304" s="690"/>
      <c r="AI304" s="690"/>
      <c r="AJ304" s="690">
        <f t="shared" si="19"/>
        <v>26982.02</v>
      </c>
      <c r="AK304" s="690"/>
      <c r="AL304" s="690"/>
      <c r="AM304" s="690"/>
    </row>
    <row r="305" spans="1:39" ht="15.95" customHeight="1">
      <c r="A305" s="65">
        <f t="shared" si="20"/>
        <v>11</v>
      </c>
      <c r="B305" s="699" t="s">
        <v>1313</v>
      </c>
      <c r="C305" s="700"/>
      <c r="D305" s="700"/>
      <c r="E305" s="700"/>
      <c r="F305" s="700"/>
      <c r="G305" s="700"/>
      <c r="H305" s="700"/>
      <c r="I305" s="700"/>
      <c r="J305" s="700"/>
      <c r="K305" s="701"/>
      <c r="L305" s="702">
        <f t="shared" si="21"/>
        <v>45778</v>
      </c>
      <c r="M305" s="702"/>
      <c r="N305" s="702"/>
      <c r="O305" s="702">
        <f t="shared" si="22"/>
        <v>45808</v>
      </c>
      <c r="P305" s="702"/>
      <c r="Q305" s="702"/>
      <c r="R305" s="772" cm="1">
        <f t="array" ref="R305">INDEX(verificare!$AT$4:$CC$26,VLOOKUP($AA$16,verificare!$AR$4:$AS$26,2,FALSE),A305)</f>
        <v>312565</v>
      </c>
      <c r="S305" s="773"/>
      <c r="T305" s="773"/>
      <c r="U305" s="774"/>
      <c r="V305" s="724" t="s">
        <v>446</v>
      </c>
      <c r="W305" s="725"/>
      <c r="X305" s="691">
        <f>HLOOKUP(VLOOKUP($AA$16,'Date SPV'!$B:$F,5,FALSE),'Preturi si tarife'!$C$2:$J$39,A305+2,FALSE)</f>
        <v>2.0599999999999999E-4</v>
      </c>
      <c r="Y305" s="692"/>
      <c r="Z305" s="692"/>
      <c r="AA305" s="693"/>
      <c r="AB305" s="772">
        <f t="shared" si="17"/>
        <v>64.39</v>
      </c>
      <c r="AC305" s="773"/>
      <c r="AD305" s="773"/>
      <c r="AE305" s="774"/>
      <c r="AF305" s="772">
        <f t="shared" si="18"/>
        <v>12.23</v>
      </c>
      <c r="AG305" s="773"/>
      <c r="AH305" s="773"/>
      <c r="AI305" s="774"/>
      <c r="AJ305" s="772">
        <f t="shared" si="19"/>
        <v>76.62</v>
      </c>
      <c r="AK305" s="773"/>
      <c r="AL305" s="773"/>
      <c r="AM305" s="774"/>
    </row>
    <row r="306" spans="1:39">
      <c r="A306" s="65">
        <f t="shared" si="20"/>
        <v>12</v>
      </c>
      <c r="B306" s="699" t="s">
        <v>79</v>
      </c>
      <c r="C306" s="700"/>
      <c r="D306" s="700"/>
      <c r="E306" s="700"/>
      <c r="F306" s="700"/>
      <c r="G306" s="700"/>
      <c r="H306" s="700"/>
      <c r="I306" s="700"/>
      <c r="J306" s="700"/>
      <c r="K306" s="701"/>
      <c r="L306" s="702">
        <f>L304</f>
        <v>45778</v>
      </c>
      <c r="M306" s="702"/>
      <c r="N306" s="702"/>
      <c r="O306" s="702">
        <f>O304</f>
        <v>45808</v>
      </c>
      <c r="P306" s="702"/>
      <c r="Q306" s="702"/>
      <c r="R306" s="772" cm="1">
        <f t="array" ref="R306">INDEX(verificare!$AT$4:$CC$26,VLOOKUP($AA$16,verificare!$AR$4:$AS$26,2,FALSE),A306)</f>
        <v>312565</v>
      </c>
      <c r="S306" s="773"/>
      <c r="T306" s="773"/>
      <c r="U306" s="774"/>
      <c r="V306" s="658" t="s">
        <v>446</v>
      </c>
      <c r="W306" s="658"/>
      <c r="X306" s="691">
        <f>HLOOKUP(VLOOKUP($AA$16,'Date SPV'!$B:$F,5,FALSE),'Preturi si tarife'!$C$2:$J$39,A306+2,FALSE)</f>
        <v>0</v>
      </c>
      <c r="Y306" s="692"/>
      <c r="Z306" s="692"/>
      <c r="AA306" s="693"/>
      <c r="AB306" s="690">
        <f t="shared" si="17"/>
        <v>0</v>
      </c>
      <c r="AC306" s="690"/>
      <c r="AD306" s="690"/>
      <c r="AE306" s="690"/>
      <c r="AF306" s="690">
        <f t="shared" si="18"/>
        <v>0</v>
      </c>
      <c r="AG306" s="690"/>
      <c r="AH306" s="690"/>
      <c r="AI306" s="690"/>
      <c r="AJ306" s="690">
        <f t="shared" si="19"/>
        <v>0</v>
      </c>
      <c r="AK306" s="690"/>
      <c r="AL306" s="690"/>
      <c r="AM306" s="690"/>
    </row>
    <row r="307" spans="1:39" ht="15.95" customHeight="1">
      <c r="A307" s="65">
        <f t="shared" si="20"/>
        <v>13</v>
      </c>
      <c r="B307" s="699" t="s">
        <v>80</v>
      </c>
      <c r="C307" s="700"/>
      <c r="D307" s="700"/>
      <c r="E307" s="700"/>
      <c r="F307" s="700"/>
      <c r="G307" s="700"/>
      <c r="H307" s="700"/>
      <c r="I307" s="700"/>
      <c r="J307" s="700"/>
      <c r="K307" s="701"/>
      <c r="L307" s="702">
        <f t="shared" si="21"/>
        <v>45778</v>
      </c>
      <c r="M307" s="702"/>
      <c r="N307" s="702"/>
      <c r="O307" s="702">
        <f t="shared" si="22"/>
        <v>45808</v>
      </c>
      <c r="P307" s="702"/>
      <c r="Q307" s="702"/>
      <c r="R307" s="772" cm="1">
        <f t="array" ref="R307">INDEX(verificare!$AT$4:$CC$26,VLOOKUP($AA$16,verificare!$AR$4:$AS$26,2,FALSE),A307)</f>
        <v>309612</v>
      </c>
      <c r="S307" s="773"/>
      <c r="T307" s="773"/>
      <c r="U307" s="774"/>
      <c r="V307" s="658" t="s">
        <v>446</v>
      </c>
      <c r="W307" s="658"/>
      <c r="X307" s="691">
        <f>HLOOKUP(VLOOKUP($AA$16,'Date SPV'!$B:$F,5,FALSE),'Preturi si tarife'!$C$2:$J$39,A307+2,FALSE)</f>
        <v>1.26E-2</v>
      </c>
      <c r="Y307" s="692"/>
      <c r="Z307" s="692"/>
      <c r="AA307" s="693"/>
      <c r="AB307" s="690">
        <f t="shared" si="17"/>
        <v>3901.11</v>
      </c>
      <c r="AC307" s="690"/>
      <c r="AD307" s="690"/>
      <c r="AE307" s="690"/>
      <c r="AF307" s="690">
        <f t="shared" si="18"/>
        <v>741.21</v>
      </c>
      <c r="AG307" s="690"/>
      <c r="AH307" s="690"/>
      <c r="AI307" s="690"/>
      <c r="AJ307" s="690">
        <f t="shared" si="19"/>
        <v>4642.32</v>
      </c>
      <c r="AK307" s="690"/>
      <c r="AL307" s="690"/>
      <c r="AM307" s="690"/>
    </row>
    <row r="308" spans="1:39">
      <c r="A308" s="65">
        <f t="shared" si="20"/>
        <v>14</v>
      </c>
      <c r="B308" s="699" t="s">
        <v>81</v>
      </c>
      <c r="C308" s="700"/>
      <c r="D308" s="700"/>
      <c r="E308" s="700"/>
      <c r="F308" s="700"/>
      <c r="G308" s="700"/>
      <c r="H308" s="700"/>
      <c r="I308" s="700"/>
      <c r="J308" s="700"/>
      <c r="K308" s="701"/>
      <c r="L308" s="702">
        <f t="shared" si="21"/>
        <v>45778</v>
      </c>
      <c r="M308" s="702"/>
      <c r="N308" s="702"/>
      <c r="O308" s="702">
        <f t="shared" si="22"/>
        <v>45808</v>
      </c>
      <c r="P308" s="702"/>
      <c r="Q308" s="702"/>
      <c r="R308" s="772" cm="1">
        <f t="array" ref="R308">INDEX(verificare!$AT$4:$CC$26,VLOOKUP($AA$16,verificare!$AR$4:$AS$26,2,FALSE),A308)</f>
        <v>309612</v>
      </c>
      <c r="S308" s="773"/>
      <c r="T308" s="773"/>
      <c r="U308" s="774"/>
      <c r="V308" s="658" t="s">
        <v>446</v>
      </c>
      <c r="W308" s="658"/>
      <c r="X308" s="691">
        <f>HLOOKUP(VLOOKUP($AA$16,'Date SPV'!$B:$F,5,FALSE),'Preturi si tarife'!$C$2:$J$39,A308+2,FALSE)</f>
        <v>9.2700000000000005E-2</v>
      </c>
      <c r="Y308" s="692"/>
      <c r="Z308" s="692"/>
      <c r="AA308" s="693"/>
      <c r="AB308" s="690">
        <f t="shared" si="17"/>
        <v>28701.03</v>
      </c>
      <c r="AC308" s="690"/>
      <c r="AD308" s="690"/>
      <c r="AE308" s="690"/>
      <c r="AF308" s="690">
        <f t="shared" si="18"/>
        <v>5453.2</v>
      </c>
      <c r="AG308" s="690"/>
      <c r="AH308" s="690"/>
      <c r="AI308" s="690"/>
      <c r="AJ308" s="690">
        <f t="shared" si="19"/>
        <v>34154.229999999996</v>
      </c>
      <c r="AK308" s="690"/>
      <c r="AL308" s="690"/>
      <c r="AM308" s="690"/>
    </row>
    <row r="309" spans="1:39">
      <c r="A309" s="65">
        <f t="shared" si="20"/>
        <v>15</v>
      </c>
      <c r="B309" s="699" t="s">
        <v>82</v>
      </c>
      <c r="C309" s="700"/>
      <c r="D309" s="700"/>
      <c r="E309" s="700"/>
      <c r="F309" s="700"/>
      <c r="G309" s="700"/>
      <c r="H309" s="700"/>
      <c r="I309" s="700"/>
      <c r="J309" s="700"/>
      <c r="K309" s="701"/>
      <c r="L309" s="702">
        <f t="shared" si="21"/>
        <v>45778</v>
      </c>
      <c r="M309" s="702"/>
      <c r="N309" s="702"/>
      <c r="O309" s="702">
        <f t="shared" si="22"/>
        <v>45808</v>
      </c>
      <c r="P309" s="702"/>
      <c r="Q309" s="702"/>
      <c r="R309" s="690" cm="1">
        <f t="array" ref="R309">INDEX(verificare!$AT$4:$CC$26,VLOOKUP($AA$16,verificare!$AR$4:$AS$26,2,FALSE),A309)</f>
        <v>188035</v>
      </c>
      <c r="S309" s="690"/>
      <c r="T309" s="690"/>
      <c r="U309" s="690"/>
      <c r="V309" s="658" t="s">
        <v>446</v>
      </c>
      <c r="W309" s="658"/>
      <c r="X309" s="691">
        <f>HLOOKUP(VLOOKUP($AA$16,'Date SPV'!$B:$F,5,FALSE),'Preturi si tarife'!$C$2:$J$39,A309+2,FALSE)</f>
        <v>0.93920760000000003</v>
      </c>
      <c r="Y309" s="692"/>
      <c r="Z309" s="692"/>
      <c r="AA309" s="693"/>
      <c r="AB309" s="690">
        <f t="shared" si="17"/>
        <v>176603.9</v>
      </c>
      <c r="AC309" s="690"/>
      <c r="AD309" s="690"/>
      <c r="AE309" s="690"/>
      <c r="AF309" s="690">
        <f t="shared" si="18"/>
        <v>33554.74</v>
      </c>
      <c r="AG309" s="690"/>
      <c r="AH309" s="690"/>
      <c r="AI309" s="690"/>
      <c r="AJ309" s="690">
        <f t="shared" si="19"/>
        <v>210158.63999999998</v>
      </c>
      <c r="AK309" s="690"/>
      <c r="AL309" s="690"/>
      <c r="AM309" s="690"/>
    </row>
    <row r="310" spans="1:39" ht="15.95" customHeight="1">
      <c r="A310" s="65">
        <f t="shared" si="20"/>
        <v>16</v>
      </c>
      <c r="B310" s="699" t="s">
        <v>83</v>
      </c>
      <c r="C310" s="700"/>
      <c r="D310" s="700"/>
      <c r="E310" s="700"/>
      <c r="F310" s="700"/>
      <c r="G310" s="700"/>
      <c r="H310" s="700"/>
      <c r="I310" s="700"/>
      <c r="J310" s="700"/>
      <c r="K310" s="701"/>
      <c r="L310" s="702">
        <f t="shared" si="21"/>
        <v>45778</v>
      </c>
      <c r="M310" s="702"/>
      <c r="N310" s="702"/>
      <c r="O310" s="702">
        <f t="shared" si="22"/>
        <v>45808</v>
      </c>
      <c r="P310" s="702"/>
      <c r="Q310" s="702"/>
      <c r="R310" s="690" cm="1">
        <f t="array" ref="R310">INDEX(verificare!$AT$4:$CC$26,VLOOKUP($AA$16,verificare!$AR$4:$AS$26,2,FALSE),A310)</f>
        <v>0</v>
      </c>
      <c r="S310" s="690"/>
      <c r="T310" s="690"/>
      <c r="U310" s="690"/>
      <c r="V310" s="658" t="s">
        <v>446</v>
      </c>
      <c r="W310" s="658"/>
      <c r="X310" s="691">
        <f>HLOOKUP(VLOOKUP($AA$16,'Date SPV'!$B:$F,5,FALSE),'Preturi si tarife'!$C$2:$J$39,A310+2,FALSE)</f>
        <v>0.83390760000000008</v>
      </c>
      <c r="Y310" s="692"/>
      <c r="Z310" s="692"/>
      <c r="AA310" s="693"/>
      <c r="AB310" s="690">
        <f t="shared" si="17"/>
        <v>0</v>
      </c>
      <c r="AC310" s="690"/>
      <c r="AD310" s="690"/>
      <c r="AE310" s="690"/>
      <c r="AF310" s="690">
        <f t="shared" si="18"/>
        <v>0</v>
      </c>
      <c r="AG310" s="690"/>
      <c r="AH310" s="690"/>
      <c r="AI310" s="690"/>
      <c r="AJ310" s="690">
        <f t="shared" si="19"/>
        <v>0</v>
      </c>
      <c r="AK310" s="690"/>
      <c r="AL310" s="690"/>
      <c r="AM310" s="690"/>
    </row>
    <row r="311" spans="1:39" ht="15.95" customHeight="1">
      <c r="A311" s="65">
        <f t="shared" si="20"/>
        <v>17</v>
      </c>
      <c r="B311" s="699" t="s">
        <v>1129</v>
      </c>
      <c r="C311" s="700"/>
      <c r="D311" s="700"/>
      <c r="E311" s="700"/>
      <c r="F311" s="700"/>
      <c r="G311" s="700"/>
      <c r="H311" s="700"/>
      <c r="I311" s="700"/>
      <c r="J311" s="700"/>
      <c r="K311" s="701"/>
      <c r="L311" s="702">
        <f t="shared" si="21"/>
        <v>45778</v>
      </c>
      <c r="M311" s="702"/>
      <c r="N311" s="702"/>
      <c r="O311" s="702">
        <f t="shared" si="22"/>
        <v>45808</v>
      </c>
      <c r="P311" s="702"/>
      <c r="Q311" s="702"/>
      <c r="R311" s="690" cm="1">
        <f t="array" ref="R311">INDEX(verificare!$AT$4:$CC$26,VLOOKUP($AA$16,verificare!$AR$4:$AS$26,2,FALSE),A311)</f>
        <v>0</v>
      </c>
      <c r="S311" s="690"/>
      <c r="T311" s="690"/>
      <c r="U311" s="690"/>
      <c r="V311" s="658" t="s">
        <v>446</v>
      </c>
      <c r="W311" s="658"/>
      <c r="X311" s="691">
        <f>HLOOKUP(VLOOKUP($AA$16,'Date SPV'!$B:$F,5,FALSE),'Preturi si tarife'!$C$2:$J$39,A311+2,FALSE)</f>
        <v>1.26E-2</v>
      </c>
      <c r="Y311" s="692"/>
      <c r="Z311" s="692"/>
      <c r="AA311" s="693"/>
      <c r="AB311" s="690">
        <f t="shared" si="17"/>
        <v>0</v>
      </c>
      <c r="AC311" s="690"/>
      <c r="AD311" s="690"/>
      <c r="AE311" s="690"/>
      <c r="AF311" s="690">
        <f t="shared" si="18"/>
        <v>0</v>
      </c>
      <c r="AG311" s="690"/>
      <c r="AH311" s="690"/>
      <c r="AI311" s="690"/>
      <c r="AJ311" s="690">
        <f t="shared" si="19"/>
        <v>0</v>
      </c>
      <c r="AK311" s="690"/>
      <c r="AL311" s="690"/>
      <c r="AM311" s="690"/>
    </row>
    <row r="312" spans="1:39" ht="15.95" customHeight="1">
      <c r="A312" s="65">
        <f t="shared" si="20"/>
        <v>18</v>
      </c>
      <c r="B312" s="699" t="s">
        <v>1130</v>
      </c>
      <c r="C312" s="700"/>
      <c r="D312" s="700"/>
      <c r="E312" s="700"/>
      <c r="F312" s="700"/>
      <c r="G312" s="700"/>
      <c r="H312" s="700"/>
      <c r="I312" s="700"/>
      <c r="J312" s="700"/>
      <c r="K312" s="701"/>
      <c r="L312" s="702">
        <f t="shared" si="21"/>
        <v>45778</v>
      </c>
      <c r="M312" s="702"/>
      <c r="N312" s="702"/>
      <c r="O312" s="702">
        <f t="shared" si="22"/>
        <v>45808</v>
      </c>
      <c r="P312" s="702"/>
      <c r="Q312" s="702"/>
      <c r="R312" s="690" cm="1">
        <f t="array" ref="R312">INDEX(verificare!$AT$4:$CC$26,VLOOKUP($AA$16,verificare!$AR$4:$AS$26,2,FALSE),A312)</f>
        <v>0</v>
      </c>
      <c r="S312" s="690"/>
      <c r="T312" s="690"/>
      <c r="U312" s="690"/>
      <c r="V312" s="658" t="s">
        <v>446</v>
      </c>
      <c r="W312" s="658"/>
      <c r="X312" s="691">
        <f>HLOOKUP(VLOOKUP($AA$16,'Date SPV'!$B:$F,5,FALSE),'Preturi si tarife'!$C$2:$J$39,A312+2,FALSE)</f>
        <v>9.2700000000000005E-2</v>
      </c>
      <c r="Y312" s="692"/>
      <c r="Z312" s="692"/>
      <c r="AA312" s="693"/>
      <c r="AB312" s="690">
        <f t="shared" si="17"/>
        <v>0</v>
      </c>
      <c r="AC312" s="690"/>
      <c r="AD312" s="690"/>
      <c r="AE312" s="690"/>
      <c r="AF312" s="690">
        <f t="shared" si="18"/>
        <v>0</v>
      </c>
      <c r="AG312" s="690"/>
      <c r="AH312" s="690"/>
      <c r="AI312" s="690"/>
      <c r="AJ312" s="690">
        <f t="shared" si="19"/>
        <v>0</v>
      </c>
      <c r="AK312" s="690"/>
      <c r="AL312" s="690"/>
      <c r="AM312" s="690"/>
    </row>
    <row r="313" spans="1:39">
      <c r="A313" s="65">
        <f t="shared" si="20"/>
        <v>19</v>
      </c>
      <c r="B313" s="699" t="s">
        <v>99</v>
      </c>
      <c r="C313" s="700"/>
      <c r="D313" s="700"/>
      <c r="E313" s="700"/>
      <c r="F313" s="700"/>
      <c r="G313" s="700"/>
      <c r="H313" s="700"/>
      <c r="I313" s="700"/>
      <c r="J313" s="700"/>
      <c r="K313" s="701"/>
      <c r="L313" s="702">
        <f>'Date masura OD'!$W$5</f>
        <v>45748</v>
      </c>
      <c r="M313" s="702"/>
      <c r="N313" s="702"/>
      <c r="O313" s="702">
        <f>'Date masura OD'!$X$5</f>
        <v>45777</v>
      </c>
      <c r="P313" s="702"/>
      <c r="Q313" s="702"/>
      <c r="R313" s="690" cm="1">
        <f t="array" ref="R313">INDEX(verificare!$AT$4:$CC$26,VLOOKUP($AA$16,verificare!$AR$4:$AS$26,2,FALSE),A313)</f>
        <v>0</v>
      </c>
      <c r="S313" s="690"/>
      <c r="T313" s="690"/>
      <c r="U313" s="690"/>
      <c r="V313" s="658" t="s">
        <v>446</v>
      </c>
      <c r="W313" s="658"/>
      <c r="X313" s="691">
        <f>HLOOKUP(VLOOKUP($AA$16,'Date SPV'!$B:$F,5,FALSE),'Preturi si tarife'!$C$2:$J$39,A313+2,FALSE)</f>
        <v>0.59499999999999997</v>
      </c>
      <c r="Y313" s="692"/>
      <c r="Z313" s="692"/>
      <c r="AA313" s="693"/>
      <c r="AB313" s="690">
        <f t="shared" si="17"/>
        <v>0</v>
      </c>
      <c r="AC313" s="690"/>
      <c r="AD313" s="690"/>
      <c r="AE313" s="690"/>
      <c r="AF313" s="690">
        <f t="shared" si="18"/>
        <v>0</v>
      </c>
      <c r="AG313" s="690"/>
      <c r="AH313" s="690"/>
      <c r="AI313" s="690"/>
      <c r="AJ313" s="690">
        <f t="shared" si="19"/>
        <v>0</v>
      </c>
      <c r="AK313" s="690"/>
      <c r="AL313" s="690"/>
      <c r="AM313" s="690"/>
    </row>
    <row r="314" spans="1:39">
      <c r="A314" s="65">
        <f t="shared" si="20"/>
        <v>20</v>
      </c>
      <c r="B314" s="699" t="s">
        <v>100</v>
      </c>
      <c r="C314" s="700"/>
      <c r="D314" s="700"/>
      <c r="E314" s="700"/>
      <c r="F314" s="700"/>
      <c r="G314" s="700"/>
      <c r="H314" s="700"/>
      <c r="I314" s="700"/>
      <c r="J314" s="700"/>
      <c r="K314" s="701"/>
      <c r="L314" s="702">
        <f>L313</f>
        <v>45748</v>
      </c>
      <c r="M314" s="702"/>
      <c r="N314" s="702"/>
      <c r="O314" s="702">
        <f t="shared" ref="O314:O330" si="23">O313</f>
        <v>45777</v>
      </c>
      <c r="P314" s="702"/>
      <c r="Q314" s="702"/>
      <c r="R314" s="690" cm="1">
        <f t="array" ref="R314">INDEX(verificare!$AT$4:$CC$26,VLOOKUP($AA$16,verificare!$AR$4:$AS$26,2,FALSE),A314)</f>
        <v>944</v>
      </c>
      <c r="S314" s="690"/>
      <c r="T314" s="690"/>
      <c r="U314" s="690"/>
      <c r="V314" s="658" t="s">
        <v>727</v>
      </c>
      <c r="W314" s="658"/>
      <c r="X314" s="691">
        <f>HLOOKUP(VLOOKUP($AA$16,'Date SPV'!$B:$F,5,FALSE),'Preturi si tarife'!$C$2:$J$39,A314+2,FALSE)</f>
        <v>0.14649999999999999</v>
      </c>
      <c r="Y314" s="692"/>
      <c r="Z314" s="692"/>
      <c r="AA314" s="693"/>
      <c r="AB314" s="690">
        <f t="shared" si="17"/>
        <v>138.30000000000001</v>
      </c>
      <c r="AC314" s="690"/>
      <c r="AD314" s="690"/>
      <c r="AE314" s="690"/>
      <c r="AF314" s="690">
        <f t="shared" si="18"/>
        <v>26.28</v>
      </c>
      <c r="AG314" s="690"/>
      <c r="AH314" s="690"/>
      <c r="AI314" s="690"/>
      <c r="AJ314" s="690">
        <f t="shared" si="19"/>
        <v>164.58</v>
      </c>
      <c r="AK314" s="690"/>
      <c r="AL314" s="690"/>
      <c r="AM314" s="690"/>
    </row>
    <row r="315" spans="1:39">
      <c r="A315" s="65">
        <f t="shared" si="20"/>
        <v>21</v>
      </c>
      <c r="B315" s="699" t="s">
        <v>101</v>
      </c>
      <c r="C315" s="700"/>
      <c r="D315" s="700"/>
      <c r="E315" s="700"/>
      <c r="F315" s="700"/>
      <c r="G315" s="700"/>
      <c r="H315" s="700"/>
      <c r="I315" s="700"/>
      <c r="J315" s="700"/>
      <c r="K315" s="701"/>
      <c r="L315" s="702">
        <f t="shared" ref="L315:L330" si="24">L314</f>
        <v>45748</v>
      </c>
      <c r="M315" s="702"/>
      <c r="N315" s="702"/>
      <c r="O315" s="702">
        <f t="shared" si="23"/>
        <v>45777</v>
      </c>
      <c r="P315" s="702"/>
      <c r="Q315" s="702"/>
      <c r="R315" s="690" cm="1">
        <f t="array" ref="R315">INDEX(verificare!$AT$4:$CC$26,VLOOKUP($AA$16,verificare!$AR$4:$AS$26,2,FALSE),A315)</f>
        <v>292</v>
      </c>
      <c r="S315" s="690"/>
      <c r="T315" s="690"/>
      <c r="U315" s="690"/>
      <c r="V315" s="658" t="s">
        <v>727</v>
      </c>
      <c r="W315" s="658"/>
      <c r="X315" s="691">
        <f>HLOOKUP(VLOOKUP($AA$16,'Date SPV'!$B:$F,5,FALSE),'Preturi si tarife'!$C$2:$J$39,A315+2,FALSE)</f>
        <v>0.4395</v>
      </c>
      <c r="Y315" s="692"/>
      <c r="Z315" s="692"/>
      <c r="AA315" s="693"/>
      <c r="AB315" s="690">
        <f t="shared" si="17"/>
        <v>128.33000000000001</v>
      </c>
      <c r="AC315" s="690"/>
      <c r="AD315" s="690"/>
      <c r="AE315" s="690"/>
      <c r="AF315" s="690">
        <f t="shared" si="18"/>
        <v>24.38</v>
      </c>
      <c r="AG315" s="690"/>
      <c r="AH315" s="690"/>
      <c r="AI315" s="690"/>
      <c r="AJ315" s="690">
        <f t="shared" si="19"/>
        <v>152.71</v>
      </c>
      <c r="AK315" s="690"/>
      <c r="AL315" s="690"/>
      <c r="AM315" s="690"/>
    </row>
    <row r="316" spans="1:39" ht="30.95" customHeight="1">
      <c r="A316" s="65">
        <f t="shared" si="20"/>
        <v>22</v>
      </c>
      <c r="B316" s="699" t="s">
        <v>869</v>
      </c>
      <c r="C316" s="700"/>
      <c r="D316" s="700"/>
      <c r="E316" s="700"/>
      <c r="F316" s="700"/>
      <c r="G316" s="700"/>
      <c r="H316" s="700"/>
      <c r="I316" s="700"/>
      <c r="J316" s="700"/>
      <c r="K316" s="701"/>
      <c r="L316" s="702">
        <f t="shared" si="24"/>
        <v>45748</v>
      </c>
      <c r="M316" s="702"/>
      <c r="N316" s="702"/>
      <c r="O316" s="702">
        <f t="shared" si="23"/>
        <v>45777</v>
      </c>
      <c r="P316" s="702"/>
      <c r="Q316" s="702"/>
      <c r="R316" s="690" cm="1">
        <f t="array" ref="R316">INDEX(verificare!$AT$4:$CC$26,VLOOKUP($AA$16,verificare!$AR$4:$AS$26,2,FALSE),A316)</f>
        <v>0</v>
      </c>
      <c r="S316" s="690"/>
      <c r="T316" s="690"/>
      <c r="U316" s="690"/>
      <c r="V316" s="658" t="s">
        <v>446</v>
      </c>
      <c r="W316" s="658"/>
      <c r="X316" s="691">
        <f>HLOOKUP(VLOOKUP($AA$16,'Date SPV'!$B:$F,5,FALSE),'Preturi si tarife'!$C$2:$J$39,A316+2,FALSE)</f>
        <v>0.11483</v>
      </c>
      <c r="Y316" s="692"/>
      <c r="Z316" s="692"/>
      <c r="AA316" s="693"/>
      <c r="AB316" s="690">
        <f t="shared" si="17"/>
        <v>0</v>
      </c>
      <c r="AC316" s="690"/>
      <c r="AD316" s="690"/>
      <c r="AE316" s="690"/>
      <c r="AF316" s="690">
        <f t="shared" si="18"/>
        <v>0</v>
      </c>
      <c r="AG316" s="690"/>
      <c r="AH316" s="690"/>
      <c r="AI316" s="690"/>
      <c r="AJ316" s="690">
        <f t="shared" si="19"/>
        <v>0</v>
      </c>
      <c r="AK316" s="690"/>
      <c r="AL316" s="690"/>
      <c r="AM316" s="690"/>
    </row>
    <row r="317" spans="1:39" ht="15.95" customHeight="1">
      <c r="A317" s="65">
        <f t="shared" si="20"/>
        <v>23</v>
      </c>
      <c r="B317" s="699" t="s">
        <v>758</v>
      </c>
      <c r="C317" s="700"/>
      <c r="D317" s="700"/>
      <c r="E317" s="700"/>
      <c r="F317" s="700"/>
      <c r="G317" s="700"/>
      <c r="H317" s="700"/>
      <c r="I317" s="700"/>
      <c r="J317" s="700"/>
      <c r="K317" s="701"/>
      <c r="L317" s="702">
        <f t="shared" si="24"/>
        <v>45748</v>
      </c>
      <c r="M317" s="702"/>
      <c r="N317" s="702"/>
      <c r="O317" s="702">
        <f t="shared" si="23"/>
        <v>45777</v>
      </c>
      <c r="P317" s="702"/>
      <c r="Q317" s="702"/>
      <c r="R317" s="690" cm="1">
        <f t="array" ref="R317">INDEX(verificare!$AT$4:$CC$26,VLOOKUP($AA$16,verificare!$AR$4:$AS$26,2,FALSE),A317)</f>
        <v>0</v>
      </c>
      <c r="S317" s="690"/>
      <c r="T317" s="690"/>
      <c r="U317" s="690"/>
      <c r="V317" s="658" t="s">
        <v>446</v>
      </c>
      <c r="W317" s="658"/>
      <c r="X317" s="691">
        <f>HLOOKUP(VLOOKUP($AA$16,'Date SPV'!$B:$F,5,FALSE),'Preturi si tarife'!$C$2:$J$39,A317+2,FALSE)</f>
        <v>0.2361</v>
      </c>
      <c r="Y317" s="692"/>
      <c r="Z317" s="692"/>
      <c r="AA317" s="693"/>
      <c r="AB317" s="690">
        <f t="shared" si="17"/>
        <v>0</v>
      </c>
      <c r="AC317" s="690"/>
      <c r="AD317" s="690"/>
      <c r="AE317" s="690"/>
      <c r="AF317" s="690">
        <f t="shared" si="18"/>
        <v>0</v>
      </c>
      <c r="AG317" s="690"/>
      <c r="AH317" s="690"/>
      <c r="AI317" s="690"/>
      <c r="AJ317" s="690">
        <f t="shared" si="19"/>
        <v>0</v>
      </c>
      <c r="AK317" s="690"/>
      <c r="AL317" s="690"/>
      <c r="AM317" s="690"/>
    </row>
    <row r="318" spans="1:39">
      <c r="A318" s="65">
        <f t="shared" si="20"/>
        <v>24</v>
      </c>
      <c r="B318" s="699" t="s">
        <v>102</v>
      </c>
      <c r="C318" s="700"/>
      <c r="D318" s="700"/>
      <c r="E318" s="700"/>
      <c r="F318" s="700"/>
      <c r="G318" s="700"/>
      <c r="H318" s="700"/>
      <c r="I318" s="700"/>
      <c r="J318" s="700"/>
      <c r="K318" s="701"/>
      <c r="L318" s="702">
        <f t="shared" si="24"/>
        <v>45748</v>
      </c>
      <c r="M318" s="702"/>
      <c r="N318" s="702"/>
      <c r="O318" s="702">
        <f t="shared" si="23"/>
        <v>45777</v>
      </c>
      <c r="P318" s="702"/>
      <c r="Q318" s="702"/>
      <c r="R318" s="690" cm="1">
        <f t="array" ref="R318">INDEX(verificare!$AT$4:$CC$26,VLOOKUP($AA$16,verificare!$AR$4:$AS$26,2,FALSE),A318)</f>
        <v>0</v>
      </c>
      <c r="S318" s="690"/>
      <c r="T318" s="690"/>
      <c r="U318" s="690"/>
      <c r="V318" s="658" t="s">
        <v>446</v>
      </c>
      <c r="W318" s="658"/>
      <c r="X318" s="691">
        <f>HLOOKUP(VLOOKUP($AA$16,'Date SPV'!$B:$F,5,FALSE),'Preturi si tarife'!$C$2:$J$39,A318+2,FALSE)</f>
        <v>1.1509999999999999E-2</v>
      </c>
      <c r="Y318" s="692"/>
      <c r="Z318" s="692"/>
      <c r="AA318" s="693"/>
      <c r="AB318" s="690">
        <f t="shared" si="17"/>
        <v>0</v>
      </c>
      <c r="AC318" s="690"/>
      <c r="AD318" s="690"/>
      <c r="AE318" s="690"/>
      <c r="AF318" s="690">
        <f t="shared" si="18"/>
        <v>0</v>
      </c>
      <c r="AG318" s="690"/>
      <c r="AH318" s="690"/>
      <c r="AI318" s="690"/>
      <c r="AJ318" s="690">
        <f t="shared" si="19"/>
        <v>0</v>
      </c>
      <c r="AK318" s="690"/>
      <c r="AL318" s="690"/>
      <c r="AM318" s="690"/>
    </row>
    <row r="319" spans="1:39" ht="30.95" customHeight="1">
      <c r="A319" s="65">
        <f t="shared" si="20"/>
        <v>25</v>
      </c>
      <c r="B319" s="699" t="s">
        <v>103</v>
      </c>
      <c r="C319" s="700"/>
      <c r="D319" s="700"/>
      <c r="E319" s="700"/>
      <c r="F319" s="700"/>
      <c r="G319" s="700"/>
      <c r="H319" s="700"/>
      <c r="I319" s="700"/>
      <c r="J319" s="700"/>
      <c r="K319" s="701"/>
      <c r="L319" s="702">
        <f t="shared" si="24"/>
        <v>45748</v>
      </c>
      <c r="M319" s="702"/>
      <c r="N319" s="702"/>
      <c r="O319" s="702">
        <f t="shared" si="23"/>
        <v>45777</v>
      </c>
      <c r="P319" s="702"/>
      <c r="Q319" s="702"/>
      <c r="R319" s="690" cm="1">
        <f t="array" ref="R319">INDEX(verificare!$AT$4:$CC$26,VLOOKUP($AA$16,verificare!$AR$4:$AS$26,2,FALSE),A319)</f>
        <v>0</v>
      </c>
      <c r="S319" s="690"/>
      <c r="T319" s="690"/>
      <c r="U319" s="690"/>
      <c r="V319" s="658" t="s">
        <v>446</v>
      </c>
      <c r="W319" s="658"/>
      <c r="X319" s="691">
        <f>HLOOKUP(VLOOKUP($AA$16,'Date SPV'!$B:$F,5,FALSE),'Preturi si tarife'!$C$2:$J$39,A319+2,FALSE)</f>
        <v>3.3030000000000004E-2</v>
      </c>
      <c r="Y319" s="692"/>
      <c r="Z319" s="692"/>
      <c r="AA319" s="693"/>
      <c r="AB319" s="690">
        <f t="shared" si="17"/>
        <v>0</v>
      </c>
      <c r="AC319" s="690"/>
      <c r="AD319" s="690"/>
      <c r="AE319" s="690"/>
      <c r="AF319" s="690">
        <f t="shared" si="18"/>
        <v>0</v>
      </c>
      <c r="AG319" s="690"/>
      <c r="AH319" s="690"/>
      <c r="AI319" s="690"/>
      <c r="AJ319" s="690">
        <f t="shared" si="19"/>
        <v>0</v>
      </c>
      <c r="AK319" s="690"/>
      <c r="AL319" s="690"/>
      <c r="AM319" s="690"/>
    </row>
    <row r="320" spans="1:39" ht="30.95" customHeight="1">
      <c r="A320" s="65">
        <f t="shared" si="20"/>
        <v>26</v>
      </c>
      <c r="B320" s="699" t="s">
        <v>104</v>
      </c>
      <c r="C320" s="700"/>
      <c r="D320" s="700"/>
      <c r="E320" s="700"/>
      <c r="F320" s="700"/>
      <c r="G320" s="700"/>
      <c r="H320" s="700"/>
      <c r="I320" s="700"/>
      <c r="J320" s="700"/>
      <c r="K320" s="701"/>
      <c r="L320" s="702">
        <f t="shared" si="24"/>
        <v>45748</v>
      </c>
      <c r="M320" s="702"/>
      <c r="N320" s="702"/>
      <c r="O320" s="702">
        <f t="shared" si="23"/>
        <v>45777</v>
      </c>
      <c r="P320" s="702"/>
      <c r="Q320" s="702"/>
      <c r="R320" s="690" cm="1">
        <f t="array" ref="R320">INDEX(verificare!$AT$4:$CC$26,VLOOKUP($AA$16,verificare!$AR$4:$AS$26,2,FALSE),A320)</f>
        <v>0</v>
      </c>
      <c r="S320" s="690"/>
      <c r="T320" s="690"/>
      <c r="U320" s="690"/>
      <c r="V320" s="658" t="s">
        <v>446</v>
      </c>
      <c r="W320" s="658"/>
      <c r="X320" s="691">
        <f>HLOOKUP(VLOOKUP($AA$16,'Date SPV'!$B:$F,5,FALSE),'Preturi si tarife'!$C$2:$J$39,A320+2,FALSE)</f>
        <v>3.29E-3</v>
      </c>
      <c r="Y320" s="692"/>
      <c r="Z320" s="692"/>
      <c r="AA320" s="693"/>
      <c r="AB320" s="690">
        <f t="shared" si="17"/>
        <v>0</v>
      </c>
      <c r="AC320" s="690"/>
      <c r="AD320" s="690"/>
      <c r="AE320" s="690"/>
      <c r="AF320" s="690">
        <f t="shared" si="18"/>
        <v>0</v>
      </c>
      <c r="AG320" s="690"/>
      <c r="AH320" s="690"/>
      <c r="AI320" s="690"/>
      <c r="AJ320" s="690">
        <f t="shared" si="19"/>
        <v>0</v>
      </c>
      <c r="AK320" s="690"/>
      <c r="AL320" s="690"/>
      <c r="AM320" s="690"/>
    </row>
    <row r="321" spans="1:39" ht="30.95" customHeight="1">
      <c r="A321" s="65">
        <f t="shared" si="20"/>
        <v>27</v>
      </c>
      <c r="B321" s="699" t="s">
        <v>105</v>
      </c>
      <c r="C321" s="700"/>
      <c r="D321" s="700"/>
      <c r="E321" s="700"/>
      <c r="F321" s="700"/>
      <c r="G321" s="700"/>
      <c r="H321" s="700"/>
      <c r="I321" s="700"/>
      <c r="J321" s="700"/>
      <c r="K321" s="701"/>
      <c r="L321" s="702">
        <f t="shared" si="24"/>
        <v>45748</v>
      </c>
      <c r="M321" s="702"/>
      <c r="N321" s="702"/>
      <c r="O321" s="702">
        <f t="shared" si="23"/>
        <v>45777</v>
      </c>
      <c r="P321" s="702"/>
      <c r="Q321" s="702"/>
      <c r="R321" s="690" cm="1">
        <f t="array" ref="R321">INDEX(verificare!$AT$4:$CC$26,VLOOKUP($AA$16,verificare!$AR$4:$AS$26,2,FALSE),A321)</f>
        <v>0</v>
      </c>
      <c r="S321" s="690"/>
      <c r="T321" s="690"/>
      <c r="U321" s="690"/>
      <c r="V321" s="658" t="s">
        <v>446</v>
      </c>
      <c r="W321" s="658"/>
      <c r="X321" s="691">
        <f>HLOOKUP(VLOOKUP($AA$16,'Date SPV'!$B:$F,5,FALSE),'Preturi si tarife'!$C$2:$J$39,A321+2,FALSE)</f>
        <v>3.5000000000000001E-3</v>
      </c>
      <c r="Y321" s="692"/>
      <c r="Z321" s="692"/>
      <c r="AA321" s="693"/>
      <c r="AB321" s="690">
        <f t="shared" si="17"/>
        <v>0</v>
      </c>
      <c r="AC321" s="690"/>
      <c r="AD321" s="690"/>
      <c r="AE321" s="690"/>
      <c r="AF321" s="690">
        <f t="shared" si="18"/>
        <v>0</v>
      </c>
      <c r="AG321" s="690"/>
      <c r="AH321" s="690"/>
      <c r="AI321" s="690"/>
      <c r="AJ321" s="690">
        <f t="shared" si="19"/>
        <v>0</v>
      </c>
      <c r="AK321" s="690"/>
      <c r="AL321" s="690"/>
      <c r="AM321" s="690"/>
    </row>
    <row r="322" spans="1:39">
      <c r="A322" s="65">
        <f t="shared" si="20"/>
        <v>28</v>
      </c>
      <c r="B322" s="699" t="s">
        <v>106</v>
      </c>
      <c r="C322" s="700"/>
      <c r="D322" s="700"/>
      <c r="E322" s="700"/>
      <c r="F322" s="700"/>
      <c r="G322" s="700"/>
      <c r="H322" s="700"/>
      <c r="I322" s="700"/>
      <c r="J322" s="700"/>
      <c r="K322" s="701"/>
      <c r="L322" s="702">
        <f t="shared" si="24"/>
        <v>45748</v>
      </c>
      <c r="M322" s="702"/>
      <c r="N322" s="702"/>
      <c r="O322" s="702">
        <f t="shared" si="23"/>
        <v>45777</v>
      </c>
      <c r="P322" s="702"/>
      <c r="Q322" s="702"/>
      <c r="R322" s="690" cm="1">
        <f t="array" ref="R322">INDEX(verificare!$AT$4:$CC$26,VLOOKUP($AA$16,verificare!$AR$4:$AS$26,2,FALSE),A322)</f>
        <v>0</v>
      </c>
      <c r="S322" s="690"/>
      <c r="T322" s="690"/>
      <c r="U322" s="690"/>
      <c r="V322" s="658" t="s">
        <v>446</v>
      </c>
      <c r="W322" s="658"/>
      <c r="X322" s="691">
        <f>HLOOKUP(VLOOKUP($AA$16,'Date SPV'!$B:$F,5,FALSE),'Preturi si tarife'!$C$2:$J$39,A322+2,FALSE)</f>
        <v>7.2541599999999998E-2</v>
      </c>
      <c r="Y322" s="692"/>
      <c r="Z322" s="692"/>
      <c r="AA322" s="693"/>
      <c r="AB322" s="690">
        <f t="shared" si="17"/>
        <v>0</v>
      </c>
      <c r="AC322" s="690"/>
      <c r="AD322" s="690"/>
      <c r="AE322" s="690"/>
      <c r="AF322" s="690">
        <f t="shared" si="18"/>
        <v>0</v>
      </c>
      <c r="AG322" s="690"/>
      <c r="AH322" s="690"/>
      <c r="AI322" s="690"/>
      <c r="AJ322" s="690">
        <f t="shared" si="19"/>
        <v>0</v>
      </c>
      <c r="AK322" s="690"/>
      <c r="AL322" s="690"/>
      <c r="AM322" s="690"/>
    </row>
    <row r="323" spans="1:39" ht="30.95" customHeight="1">
      <c r="A323" s="65">
        <f t="shared" si="20"/>
        <v>29</v>
      </c>
      <c r="B323" s="699" t="s">
        <v>1316</v>
      </c>
      <c r="C323" s="700"/>
      <c r="D323" s="700"/>
      <c r="E323" s="700"/>
      <c r="F323" s="700"/>
      <c r="G323" s="700"/>
      <c r="H323" s="700"/>
      <c r="I323" s="700"/>
      <c r="J323" s="700"/>
      <c r="K323" s="701"/>
      <c r="L323" s="763">
        <f>L328</f>
        <v>45748</v>
      </c>
      <c r="M323" s="764"/>
      <c r="N323" s="765"/>
      <c r="O323" s="763">
        <f>O328</f>
        <v>45777</v>
      </c>
      <c r="P323" s="764"/>
      <c r="Q323" s="765"/>
      <c r="R323" s="690" cm="1">
        <f t="array" ref="R323">INDEX(verificare!$AT$4:$CC$26,VLOOKUP($AA$16,verificare!$AR$4:$AS$26,2,FALSE),A323)</f>
        <v>0</v>
      </c>
      <c r="S323" s="690"/>
      <c r="T323" s="690"/>
      <c r="U323" s="690"/>
      <c r="V323" s="724" t="s">
        <v>446</v>
      </c>
      <c r="W323" s="725"/>
      <c r="X323" s="691">
        <f>HLOOKUP(VLOOKUP($AA$16,'Date SPV'!$B:$F,5,FALSE),'Preturi si tarife'!$C$2:$J$39,A323+2,FALSE)</f>
        <v>2.0599999999999999E-4</v>
      </c>
      <c r="Y323" s="692"/>
      <c r="Z323" s="692"/>
      <c r="AA323" s="693"/>
      <c r="AB323" s="690">
        <f>ROUND(X323*R323,2)</f>
        <v>0</v>
      </c>
      <c r="AC323" s="690"/>
      <c r="AD323" s="690"/>
      <c r="AE323" s="690"/>
      <c r="AF323" s="772">
        <f>ROUND(AB323*19%,2)</f>
        <v>0</v>
      </c>
      <c r="AG323" s="773"/>
      <c r="AH323" s="773"/>
      <c r="AI323" s="774"/>
      <c r="AJ323" s="772">
        <f>AB323+AF323</f>
        <v>0</v>
      </c>
      <c r="AK323" s="773"/>
      <c r="AL323" s="773"/>
      <c r="AM323" s="774"/>
    </row>
    <row r="324" spans="1:39" ht="15.95" customHeight="1">
      <c r="A324" s="65">
        <f t="shared" si="20"/>
        <v>30</v>
      </c>
      <c r="B324" s="699" t="s">
        <v>107</v>
      </c>
      <c r="C324" s="700"/>
      <c r="D324" s="700"/>
      <c r="E324" s="700"/>
      <c r="F324" s="700"/>
      <c r="G324" s="700"/>
      <c r="H324" s="700"/>
      <c r="I324" s="700"/>
      <c r="J324" s="700"/>
      <c r="K324" s="701"/>
      <c r="L324" s="702">
        <f>L322</f>
        <v>45748</v>
      </c>
      <c r="M324" s="702"/>
      <c r="N324" s="702"/>
      <c r="O324" s="702">
        <f>O322</f>
        <v>45777</v>
      </c>
      <c r="P324" s="702"/>
      <c r="Q324" s="702"/>
      <c r="R324" s="690" cm="1">
        <f t="array" ref="R324">INDEX(verificare!$AT$4:$CC$26,VLOOKUP($AA$16,verificare!$AR$4:$AS$26,2,FALSE),A324)</f>
        <v>0</v>
      </c>
      <c r="S324" s="690"/>
      <c r="T324" s="690"/>
      <c r="U324" s="690"/>
      <c r="V324" s="658" t="s">
        <v>446</v>
      </c>
      <c r="W324" s="658"/>
      <c r="X324" s="691">
        <f>HLOOKUP(VLOOKUP($AA$16,'Date SPV'!$B:$F,5,FALSE),'Preturi si tarife'!$C$2:$J$39,A324+2,FALSE)</f>
        <v>0</v>
      </c>
      <c r="Y324" s="692"/>
      <c r="Z324" s="692"/>
      <c r="AA324" s="693"/>
      <c r="AB324" s="690">
        <f t="shared" si="17"/>
        <v>0</v>
      </c>
      <c r="AC324" s="690"/>
      <c r="AD324" s="690"/>
      <c r="AE324" s="690"/>
      <c r="AF324" s="690">
        <f t="shared" si="18"/>
        <v>0</v>
      </c>
      <c r="AG324" s="690"/>
      <c r="AH324" s="690"/>
      <c r="AI324" s="690"/>
      <c r="AJ324" s="690">
        <f t="shared" si="19"/>
        <v>0</v>
      </c>
      <c r="AK324" s="690"/>
      <c r="AL324" s="690"/>
      <c r="AM324" s="690"/>
    </row>
    <row r="325" spans="1:39" ht="30.95" customHeight="1">
      <c r="A325" s="65">
        <f t="shared" si="20"/>
        <v>31</v>
      </c>
      <c r="B325" s="699" t="s">
        <v>108</v>
      </c>
      <c r="C325" s="700"/>
      <c r="D325" s="700"/>
      <c r="E325" s="700"/>
      <c r="F325" s="700"/>
      <c r="G325" s="700"/>
      <c r="H325" s="700"/>
      <c r="I325" s="700"/>
      <c r="J325" s="700"/>
      <c r="K325" s="701"/>
      <c r="L325" s="702">
        <f t="shared" si="24"/>
        <v>45748</v>
      </c>
      <c r="M325" s="702"/>
      <c r="N325" s="702"/>
      <c r="O325" s="702">
        <f t="shared" si="23"/>
        <v>45777</v>
      </c>
      <c r="P325" s="702"/>
      <c r="Q325" s="702"/>
      <c r="R325" s="690" cm="1">
        <f t="array" ref="R325">INDEX(verificare!$AT$4:$CC$26,VLOOKUP($AA$16,verificare!$AR$4:$AS$26,2,FALSE),A325)</f>
        <v>0</v>
      </c>
      <c r="S325" s="690"/>
      <c r="T325" s="690"/>
      <c r="U325" s="690"/>
      <c r="V325" s="658" t="s">
        <v>446</v>
      </c>
      <c r="W325" s="658"/>
      <c r="X325" s="691">
        <f>HLOOKUP(VLOOKUP($AA$16,'Date SPV'!$B:$F,5,FALSE),'Preturi si tarife'!$C$2:$J$39,A325+2,FALSE)</f>
        <v>1.26E-2</v>
      </c>
      <c r="Y325" s="692"/>
      <c r="Z325" s="692"/>
      <c r="AA325" s="693"/>
      <c r="AB325" s="690">
        <f t="shared" si="17"/>
        <v>0</v>
      </c>
      <c r="AC325" s="690"/>
      <c r="AD325" s="690"/>
      <c r="AE325" s="690"/>
      <c r="AF325" s="690">
        <f t="shared" si="18"/>
        <v>0</v>
      </c>
      <c r="AG325" s="690"/>
      <c r="AH325" s="690"/>
      <c r="AI325" s="690"/>
      <c r="AJ325" s="690">
        <f t="shared" si="19"/>
        <v>0</v>
      </c>
      <c r="AK325" s="690"/>
      <c r="AL325" s="690"/>
      <c r="AM325" s="690"/>
    </row>
    <row r="326" spans="1:39" ht="30.95" customHeight="1">
      <c r="A326" s="65">
        <f t="shared" si="20"/>
        <v>32</v>
      </c>
      <c r="B326" s="699" t="s">
        <v>109</v>
      </c>
      <c r="C326" s="700"/>
      <c r="D326" s="700"/>
      <c r="E326" s="700"/>
      <c r="F326" s="700"/>
      <c r="G326" s="700"/>
      <c r="H326" s="700"/>
      <c r="I326" s="700"/>
      <c r="J326" s="700"/>
      <c r="K326" s="701"/>
      <c r="L326" s="763">
        <f t="shared" si="24"/>
        <v>45748</v>
      </c>
      <c r="M326" s="764"/>
      <c r="N326" s="765"/>
      <c r="O326" s="763">
        <f t="shared" si="23"/>
        <v>45777</v>
      </c>
      <c r="P326" s="764"/>
      <c r="Q326" s="765"/>
      <c r="R326" s="690" cm="1">
        <f t="array" ref="R326">INDEX(verificare!$AT$4:$CC$26,VLOOKUP($AA$16,verificare!$AR$4:$AS$26,2,FALSE),A326)</f>
        <v>0</v>
      </c>
      <c r="S326" s="690"/>
      <c r="T326" s="690"/>
      <c r="U326" s="690"/>
      <c r="V326" s="724" t="s">
        <v>446</v>
      </c>
      <c r="W326" s="725"/>
      <c r="X326" s="691">
        <f>HLOOKUP(VLOOKUP($AA$16,'Date SPV'!$B:$F,5,FALSE),'Preturi si tarife'!$C$2:$J$39,A326+2,FALSE)</f>
        <v>9.2700000000000005E-2</v>
      </c>
      <c r="Y326" s="692"/>
      <c r="Z326" s="692"/>
      <c r="AA326" s="693"/>
      <c r="AB326" s="690">
        <f t="shared" si="17"/>
        <v>0</v>
      </c>
      <c r="AC326" s="690"/>
      <c r="AD326" s="690"/>
      <c r="AE326" s="690"/>
      <c r="AF326" s="690">
        <f t="shared" si="18"/>
        <v>0</v>
      </c>
      <c r="AG326" s="690"/>
      <c r="AH326" s="690"/>
      <c r="AI326" s="690"/>
      <c r="AJ326" s="690">
        <f t="shared" si="19"/>
        <v>0</v>
      </c>
      <c r="AK326" s="690"/>
      <c r="AL326" s="690"/>
      <c r="AM326" s="690"/>
    </row>
    <row r="327" spans="1:39" ht="15.95" customHeight="1">
      <c r="A327" s="65">
        <f t="shared" si="20"/>
        <v>33</v>
      </c>
      <c r="B327" s="699" t="s">
        <v>110</v>
      </c>
      <c r="C327" s="700"/>
      <c r="D327" s="700"/>
      <c r="E327" s="700"/>
      <c r="F327" s="700"/>
      <c r="G327" s="700"/>
      <c r="H327" s="700"/>
      <c r="I327" s="700"/>
      <c r="J327" s="700"/>
      <c r="K327" s="701"/>
      <c r="L327" s="702">
        <f t="shared" si="24"/>
        <v>45748</v>
      </c>
      <c r="M327" s="702"/>
      <c r="N327" s="702"/>
      <c r="O327" s="702">
        <f t="shared" si="23"/>
        <v>45777</v>
      </c>
      <c r="P327" s="702"/>
      <c r="Q327" s="702"/>
      <c r="R327" s="690" cm="1">
        <f t="array" ref="R327">INDEX(verificare!$AT$4:$CC$26,VLOOKUP($AA$16,verificare!$AR$4:$AS$26,2,FALSE),A327)</f>
        <v>0</v>
      </c>
      <c r="S327" s="690"/>
      <c r="T327" s="690"/>
      <c r="U327" s="690"/>
      <c r="V327" s="658" t="s">
        <v>446</v>
      </c>
      <c r="W327" s="658"/>
      <c r="X327" s="691">
        <f>HLOOKUP(VLOOKUP($AA$16,'Date SPV'!$B:$F,5,FALSE),'Preturi si tarife'!$C$2:$J$39,A327+2,FALSE)</f>
        <v>0.93920760000000003</v>
      </c>
      <c r="Y327" s="692"/>
      <c r="Z327" s="692"/>
      <c r="AA327" s="693"/>
      <c r="AB327" s="690">
        <f t="shared" si="17"/>
        <v>0</v>
      </c>
      <c r="AC327" s="690"/>
      <c r="AD327" s="690"/>
      <c r="AE327" s="690"/>
      <c r="AF327" s="690">
        <f t="shared" si="18"/>
        <v>0</v>
      </c>
      <c r="AG327" s="690"/>
      <c r="AH327" s="690"/>
      <c r="AI327" s="690"/>
      <c r="AJ327" s="690">
        <f t="shared" si="19"/>
        <v>0</v>
      </c>
      <c r="AK327" s="690"/>
      <c r="AL327" s="690"/>
      <c r="AM327" s="690"/>
    </row>
    <row r="328" spans="1:39">
      <c r="A328" s="65">
        <f t="shared" si="20"/>
        <v>34</v>
      </c>
      <c r="B328" s="699" t="s">
        <v>111</v>
      </c>
      <c r="C328" s="700"/>
      <c r="D328" s="700"/>
      <c r="E328" s="700"/>
      <c r="F328" s="700"/>
      <c r="G328" s="700"/>
      <c r="H328" s="700"/>
      <c r="I328" s="700"/>
      <c r="J328" s="700"/>
      <c r="K328" s="701"/>
      <c r="L328" s="702">
        <f t="shared" si="24"/>
        <v>45748</v>
      </c>
      <c r="M328" s="702"/>
      <c r="N328" s="702"/>
      <c r="O328" s="702">
        <f t="shared" si="23"/>
        <v>45777</v>
      </c>
      <c r="P328" s="702"/>
      <c r="Q328" s="702"/>
      <c r="R328" s="690" cm="1">
        <f t="array" ref="R328">INDEX(verificare!$AT$4:$CC$26,VLOOKUP($AA$16,verificare!$AR$4:$AS$26,2,FALSE),A328)</f>
        <v>0</v>
      </c>
      <c r="S328" s="690"/>
      <c r="T328" s="690"/>
      <c r="U328" s="690"/>
      <c r="V328" s="658" t="s">
        <v>446</v>
      </c>
      <c r="W328" s="658"/>
      <c r="X328" s="691">
        <f>HLOOKUP(VLOOKUP($AA$16,'Date SPV'!$B:$F,5,FALSE),'Preturi si tarife'!$C$2:$J$39,A328+2,FALSE)</f>
        <v>0.83390760000000008</v>
      </c>
      <c r="Y328" s="692"/>
      <c r="Z328" s="692"/>
      <c r="AA328" s="693"/>
      <c r="AB328" s="690">
        <f t="shared" si="17"/>
        <v>0</v>
      </c>
      <c r="AC328" s="690"/>
      <c r="AD328" s="690"/>
      <c r="AE328" s="690"/>
      <c r="AF328" s="690">
        <f t="shared" si="18"/>
        <v>0</v>
      </c>
      <c r="AG328" s="690"/>
      <c r="AH328" s="690"/>
      <c r="AI328" s="690"/>
      <c r="AJ328" s="690">
        <f t="shared" si="19"/>
        <v>0</v>
      </c>
      <c r="AK328" s="690"/>
      <c r="AL328" s="690"/>
      <c r="AM328" s="690"/>
    </row>
    <row r="329" spans="1:39" ht="30.95" customHeight="1">
      <c r="A329" s="65">
        <f t="shared" si="20"/>
        <v>35</v>
      </c>
      <c r="B329" s="699" t="s">
        <v>112</v>
      </c>
      <c r="C329" s="700"/>
      <c r="D329" s="700"/>
      <c r="E329" s="700"/>
      <c r="F329" s="700"/>
      <c r="G329" s="700"/>
      <c r="H329" s="700"/>
      <c r="I329" s="700"/>
      <c r="J329" s="700"/>
      <c r="K329" s="701"/>
      <c r="L329" s="763">
        <f t="shared" si="24"/>
        <v>45748</v>
      </c>
      <c r="M329" s="764"/>
      <c r="N329" s="765"/>
      <c r="O329" s="763">
        <f t="shared" si="23"/>
        <v>45777</v>
      </c>
      <c r="P329" s="764"/>
      <c r="Q329" s="765"/>
      <c r="R329" s="772" cm="1">
        <f t="array" ref="R329">INDEX(verificare!$AT$4:$CC$26,VLOOKUP($AA$16,verificare!$AR$4:$AS$26,2,FALSE),A329)</f>
        <v>0</v>
      </c>
      <c r="S329" s="773"/>
      <c r="T329" s="773"/>
      <c r="U329" s="774"/>
      <c r="V329" s="724" t="s">
        <v>446</v>
      </c>
      <c r="W329" s="725"/>
      <c r="X329" s="691">
        <f>HLOOKUP(VLOOKUP($AA$16,'Date SPV'!$B:$F,5,FALSE),'Preturi si tarife'!$C$2:$J$39,A329+2,FALSE)</f>
        <v>1.26E-2</v>
      </c>
      <c r="Y329" s="692"/>
      <c r="Z329" s="692"/>
      <c r="AA329" s="693"/>
      <c r="AB329" s="690">
        <f t="shared" si="17"/>
        <v>0</v>
      </c>
      <c r="AC329" s="690"/>
      <c r="AD329" s="690"/>
      <c r="AE329" s="690"/>
      <c r="AF329" s="690">
        <f t="shared" si="18"/>
        <v>0</v>
      </c>
      <c r="AG329" s="690"/>
      <c r="AH329" s="690"/>
      <c r="AI329" s="690"/>
      <c r="AJ329" s="690">
        <f t="shared" si="19"/>
        <v>0</v>
      </c>
      <c r="AK329" s="690"/>
      <c r="AL329" s="690"/>
      <c r="AM329" s="690"/>
    </row>
    <row r="330" spans="1:39" ht="30.95" customHeight="1">
      <c r="A330" s="65">
        <f t="shared" si="20"/>
        <v>36</v>
      </c>
      <c r="B330" s="699" t="s">
        <v>113</v>
      </c>
      <c r="C330" s="700"/>
      <c r="D330" s="700"/>
      <c r="E330" s="700"/>
      <c r="F330" s="700"/>
      <c r="G330" s="700"/>
      <c r="H330" s="700"/>
      <c r="I330" s="700"/>
      <c r="J330" s="700"/>
      <c r="K330" s="701"/>
      <c r="L330" s="763">
        <f t="shared" si="24"/>
        <v>45748</v>
      </c>
      <c r="M330" s="764"/>
      <c r="N330" s="765"/>
      <c r="O330" s="763">
        <f t="shared" si="23"/>
        <v>45777</v>
      </c>
      <c r="P330" s="764"/>
      <c r="Q330" s="765"/>
      <c r="R330" s="772" cm="1">
        <f t="array" ref="R330">INDEX(verificare!$AT$4:$CC$26,VLOOKUP($AA$16,verificare!$AR$4:$AS$26,2,FALSE),A330)</f>
        <v>0</v>
      </c>
      <c r="S330" s="773"/>
      <c r="T330" s="773"/>
      <c r="U330" s="774"/>
      <c r="V330" s="724" t="s">
        <v>446</v>
      </c>
      <c r="W330" s="725"/>
      <c r="X330" s="691">
        <f>HLOOKUP(VLOOKUP($AA$16,'Date SPV'!$B:$F,5,FALSE),'Preturi si tarife'!$C$2:$J$39,A330+2,FALSE)</f>
        <v>9.2700000000000005E-2</v>
      </c>
      <c r="Y330" s="692"/>
      <c r="Z330" s="692"/>
      <c r="AA330" s="693"/>
      <c r="AB330" s="690">
        <f t="shared" si="17"/>
        <v>0</v>
      </c>
      <c r="AC330" s="690"/>
      <c r="AD330" s="690"/>
      <c r="AE330" s="690"/>
      <c r="AF330" s="690">
        <f t="shared" si="18"/>
        <v>0</v>
      </c>
      <c r="AG330" s="690"/>
      <c r="AH330" s="690"/>
      <c r="AI330" s="690"/>
      <c r="AJ330" s="690">
        <f t="shared" si="19"/>
        <v>0</v>
      </c>
      <c r="AK330" s="690"/>
      <c r="AL330" s="690"/>
      <c r="AM330" s="690"/>
    </row>
    <row r="331" spans="1:39">
      <c r="A331" s="65">
        <f t="shared" si="20"/>
        <v>37</v>
      </c>
      <c r="B331" s="699" t="s">
        <v>728</v>
      </c>
      <c r="C331" s="700"/>
      <c r="D331" s="700"/>
      <c r="E331" s="700"/>
      <c r="F331" s="700"/>
      <c r="G331" s="700"/>
      <c r="H331" s="700"/>
      <c r="I331" s="700"/>
      <c r="J331" s="700"/>
      <c r="K331" s="701"/>
      <c r="L331" s="702" t="s">
        <v>69</v>
      </c>
      <c r="M331" s="702"/>
      <c r="N331" s="702"/>
      <c r="O331" s="702" t="s">
        <v>69</v>
      </c>
      <c r="P331" s="702"/>
      <c r="Q331" s="702"/>
      <c r="R331" s="690">
        <v>0</v>
      </c>
      <c r="S331" s="690"/>
      <c r="T331" s="690"/>
      <c r="U331" s="690"/>
      <c r="V331" s="658" t="s">
        <v>69</v>
      </c>
      <c r="W331" s="658"/>
      <c r="X331" s="659" t="s">
        <v>69</v>
      </c>
      <c r="Y331" s="659"/>
      <c r="Z331" s="659"/>
      <c r="AA331" s="659"/>
      <c r="AB331" s="653">
        <v>0</v>
      </c>
      <c r="AC331" s="653"/>
      <c r="AD331" s="653"/>
      <c r="AE331" s="653"/>
      <c r="AF331" s="653">
        <f t="shared" si="18"/>
        <v>0</v>
      </c>
      <c r="AG331" s="653"/>
      <c r="AH331" s="653"/>
      <c r="AI331" s="653"/>
      <c r="AJ331" s="653">
        <f t="shared" si="19"/>
        <v>0</v>
      </c>
      <c r="AK331" s="653"/>
      <c r="AL331" s="653"/>
      <c r="AM331" s="653"/>
    </row>
    <row r="332" spans="1:39">
      <c r="A332" s="65">
        <f>A331+1</f>
        <v>38</v>
      </c>
      <c r="B332" s="699" t="s">
        <v>729</v>
      </c>
      <c r="C332" s="700"/>
      <c r="D332" s="700"/>
      <c r="E332" s="700"/>
      <c r="F332" s="700"/>
      <c r="G332" s="700"/>
      <c r="H332" s="700"/>
      <c r="I332" s="700"/>
      <c r="J332" s="700"/>
      <c r="K332" s="701"/>
      <c r="L332" s="702" t="s">
        <v>69</v>
      </c>
      <c r="M332" s="702"/>
      <c r="N332" s="702"/>
      <c r="O332" s="702" t="s">
        <v>69</v>
      </c>
      <c r="P332" s="702"/>
      <c r="Q332" s="702"/>
      <c r="R332" s="690">
        <v>0</v>
      </c>
      <c r="S332" s="690"/>
      <c r="T332" s="690"/>
      <c r="U332" s="690"/>
      <c r="V332" s="658" t="s">
        <v>69</v>
      </c>
      <c r="W332" s="658"/>
      <c r="X332" s="659" t="s">
        <v>69</v>
      </c>
      <c r="Y332" s="659"/>
      <c r="Z332" s="659"/>
      <c r="AA332" s="659"/>
      <c r="AB332" s="726">
        <f>SUM(AB295:AE331)</f>
        <v>470820.21000000008</v>
      </c>
      <c r="AC332" s="726"/>
      <c r="AD332" s="726"/>
      <c r="AE332" s="726"/>
      <c r="AF332" s="726">
        <f>SUM(AF295:AI331)</f>
        <v>89455.83</v>
      </c>
      <c r="AG332" s="726"/>
      <c r="AH332" s="726"/>
      <c r="AI332" s="726"/>
      <c r="AJ332" s="726">
        <f>SUM(AJ295:AM331)</f>
        <v>560276.03999999992</v>
      </c>
      <c r="AK332" s="726"/>
      <c r="AL332" s="726"/>
      <c r="AM332" s="726"/>
    </row>
    <row r="333" spans="1:39" ht="15.95" customHeight="1"/>
  </sheetData>
  <mergeCells count="1357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5:L35"/>
    <mergeCell ref="M35:AH35"/>
    <mergeCell ref="AI35:AM35"/>
    <mergeCell ref="A36:L36"/>
    <mergeCell ref="M36:AH36"/>
    <mergeCell ref="AI36:AM37"/>
    <mergeCell ref="A37:L37"/>
    <mergeCell ref="M37:AH37"/>
    <mergeCell ref="A28:AM28"/>
    <mergeCell ref="A30:G31"/>
    <mergeCell ref="H30:AM31"/>
    <mergeCell ref="A32:G33"/>
    <mergeCell ref="H32:V33"/>
    <mergeCell ref="W32:Z33"/>
    <mergeCell ref="AA32:AM33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O44:Q46"/>
    <mergeCell ref="R44:T46"/>
    <mergeCell ref="AD41:AE43"/>
    <mergeCell ref="AF41:AH43"/>
    <mergeCell ref="AI41:AJ43"/>
    <mergeCell ref="AK41:AM43"/>
    <mergeCell ref="J42:L42"/>
    <mergeCell ref="J43:L43"/>
    <mergeCell ref="AK38:AM40"/>
    <mergeCell ref="A41:F43"/>
    <mergeCell ref="G41:I43"/>
    <mergeCell ref="J41:L41"/>
    <mergeCell ref="M41:N43"/>
    <mergeCell ref="O41:Q43"/>
    <mergeCell ref="R41:T43"/>
    <mergeCell ref="U41:W43"/>
    <mergeCell ref="X41:Z43"/>
    <mergeCell ref="AA41:AC43"/>
    <mergeCell ref="U38:W40"/>
    <mergeCell ref="X38:Z40"/>
    <mergeCell ref="AA38:AC40"/>
    <mergeCell ref="AD38:AE40"/>
    <mergeCell ref="AF38:AH40"/>
    <mergeCell ref="AI38:AJ40"/>
    <mergeCell ref="A38:F40"/>
    <mergeCell ref="G38:I40"/>
    <mergeCell ref="J38:L40"/>
    <mergeCell ref="M38:N40"/>
    <mergeCell ref="O38:Q40"/>
    <mergeCell ref="R38:T40"/>
    <mergeCell ref="J48:L48"/>
    <mergeCell ref="J49:L49"/>
    <mergeCell ref="A50:F52"/>
    <mergeCell ref="G50:I52"/>
    <mergeCell ref="J50:L50"/>
    <mergeCell ref="M50:N52"/>
    <mergeCell ref="X47:Z49"/>
    <mergeCell ref="AA47:AC49"/>
    <mergeCell ref="AD47:AE49"/>
    <mergeCell ref="AF47:AH49"/>
    <mergeCell ref="AI47:AJ49"/>
    <mergeCell ref="AK47:AM49"/>
    <mergeCell ref="AK44:AM46"/>
    <mergeCell ref="J45:L45"/>
    <mergeCell ref="J46:L46"/>
    <mergeCell ref="A47:F49"/>
    <mergeCell ref="G47:I49"/>
    <mergeCell ref="J47:L47"/>
    <mergeCell ref="M47:N49"/>
    <mergeCell ref="O47:Q49"/>
    <mergeCell ref="R47:T49"/>
    <mergeCell ref="U47:W49"/>
    <mergeCell ref="U44:W46"/>
    <mergeCell ref="X44:Z46"/>
    <mergeCell ref="AA44:AC46"/>
    <mergeCell ref="AD44:AE46"/>
    <mergeCell ref="AF44:AH46"/>
    <mergeCell ref="AI44:AJ46"/>
    <mergeCell ref="A44:F46"/>
    <mergeCell ref="G44:I46"/>
    <mergeCell ref="J44:L44"/>
    <mergeCell ref="M44:N46"/>
    <mergeCell ref="AI53:AJ55"/>
    <mergeCell ref="AK53:AM55"/>
    <mergeCell ref="J54:L54"/>
    <mergeCell ref="J55:L55"/>
    <mergeCell ref="A56:F58"/>
    <mergeCell ref="G56:I58"/>
    <mergeCell ref="J56:L56"/>
    <mergeCell ref="M56:N58"/>
    <mergeCell ref="O56:Q58"/>
    <mergeCell ref="R56:T58"/>
    <mergeCell ref="R53:T55"/>
    <mergeCell ref="U53:W55"/>
    <mergeCell ref="X53:Z55"/>
    <mergeCell ref="AA53:AC55"/>
    <mergeCell ref="AD53:AE55"/>
    <mergeCell ref="AF53:AH55"/>
    <mergeCell ref="AF50:AH52"/>
    <mergeCell ref="AI50:AJ52"/>
    <mergeCell ref="AK50:AM52"/>
    <mergeCell ref="J51:L51"/>
    <mergeCell ref="J52:L52"/>
    <mergeCell ref="A53:F55"/>
    <mergeCell ref="G53:I55"/>
    <mergeCell ref="J53:L53"/>
    <mergeCell ref="M53:N55"/>
    <mergeCell ref="O53:Q55"/>
    <mergeCell ref="O50:Q52"/>
    <mergeCell ref="R50:T52"/>
    <mergeCell ref="U50:W52"/>
    <mergeCell ref="X50:Z52"/>
    <mergeCell ref="AA50:AC52"/>
    <mergeCell ref="AD50:AE52"/>
    <mergeCell ref="J60:L60"/>
    <mergeCell ref="J61:L61"/>
    <mergeCell ref="A62:F64"/>
    <mergeCell ref="G62:I64"/>
    <mergeCell ref="J62:L62"/>
    <mergeCell ref="M62:N64"/>
    <mergeCell ref="X59:Z61"/>
    <mergeCell ref="AA59:AC61"/>
    <mergeCell ref="AD59:AE61"/>
    <mergeCell ref="AF59:AH61"/>
    <mergeCell ref="AI59:AJ61"/>
    <mergeCell ref="AK59:AM61"/>
    <mergeCell ref="AK56:AM58"/>
    <mergeCell ref="J57:L57"/>
    <mergeCell ref="J58:L58"/>
    <mergeCell ref="A59:F61"/>
    <mergeCell ref="G59:I61"/>
    <mergeCell ref="J59:L59"/>
    <mergeCell ref="M59:N61"/>
    <mergeCell ref="O59:Q61"/>
    <mergeCell ref="R59:T61"/>
    <mergeCell ref="U59:W61"/>
    <mergeCell ref="U56:W58"/>
    <mergeCell ref="X56:Z58"/>
    <mergeCell ref="AA56:AC58"/>
    <mergeCell ref="AD56:AE58"/>
    <mergeCell ref="AF56:AH58"/>
    <mergeCell ref="AI56:AJ58"/>
    <mergeCell ref="AI65:AJ67"/>
    <mergeCell ref="AK65:AM67"/>
    <mergeCell ref="J66:L66"/>
    <mergeCell ref="J67:L67"/>
    <mergeCell ref="A151:G152"/>
    <mergeCell ref="H151:AM152"/>
    <mergeCell ref="A84:F86"/>
    <mergeCell ref="G84:I86"/>
    <mergeCell ref="J84:L86"/>
    <mergeCell ref="M84:N86"/>
    <mergeCell ref="R65:T67"/>
    <mergeCell ref="U65:W67"/>
    <mergeCell ref="X65:Z67"/>
    <mergeCell ref="AA65:AC67"/>
    <mergeCell ref="AD65:AE67"/>
    <mergeCell ref="AF65:AH67"/>
    <mergeCell ref="AF62:AH64"/>
    <mergeCell ref="AI62:AJ64"/>
    <mergeCell ref="AK62:AM64"/>
    <mergeCell ref="J63:L63"/>
    <mergeCell ref="J64:L64"/>
    <mergeCell ref="A65:F67"/>
    <mergeCell ref="G65:I67"/>
    <mergeCell ref="J65:L65"/>
    <mergeCell ref="M65:N67"/>
    <mergeCell ref="O65:Q67"/>
    <mergeCell ref="O62:Q64"/>
    <mergeCell ref="R62:T64"/>
    <mergeCell ref="U62:W64"/>
    <mergeCell ref="X62:Z64"/>
    <mergeCell ref="AA62:AC64"/>
    <mergeCell ref="AD62:AE64"/>
    <mergeCell ref="A157:L157"/>
    <mergeCell ref="M157:AH157"/>
    <mergeCell ref="AI157:AM158"/>
    <mergeCell ref="A158:L158"/>
    <mergeCell ref="M158:AH158"/>
    <mergeCell ref="A159:F161"/>
    <mergeCell ref="G159:I161"/>
    <mergeCell ref="J159:L161"/>
    <mergeCell ref="M159:N161"/>
    <mergeCell ref="O159:Q161"/>
    <mergeCell ref="A153:G154"/>
    <mergeCell ref="H153:V154"/>
    <mergeCell ref="W153:Z154"/>
    <mergeCell ref="AA153:AM154"/>
    <mergeCell ref="A156:L156"/>
    <mergeCell ref="M156:AH156"/>
    <mergeCell ref="AI156:AM156"/>
    <mergeCell ref="O165:Q167"/>
    <mergeCell ref="R165:T167"/>
    <mergeCell ref="AA162:AC164"/>
    <mergeCell ref="AD162:AE164"/>
    <mergeCell ref="AF162:AH164"/>
    <mergeCell ref="AI162:AJ164"/>
    <mergeCell ref="AK162:AM164"/>
    <mergeCell ref="J163:L163"/>
    <mergeCell ref="J164:L164"/>
    <mergeCell ref="AI159:AJ161"/>
    <mergeCell ref="AK159:AM161"/>
    <mergeCell ref="A162:F164"/>
    <mergeCell ref="G162:I164"/>
    <mergeCell ref="J162:L162"/>
    <mergeCell ref="M162:N164"/>
    <mergeCell ref="O162:Q164"/>
    <mergeCell ref="R162:T164"/>
    <mergeCell ref="U162:W164"/>
    <mergeCell ref="X162:Z164"/>
    <mergeCell ref="R159:T161"/>
    <mergeCell ref="U159:W161"/>
    <mergeCell ref="X159:Z161"/>
    <mergeCell ref="AA159:AC161"/>
    <mergeCell ref="AD159:AE161"/>
    <mergeCell ref="AF159:AH161"/>
    <mergeCell ref="J169:L169"/>
    <mergeCell ref="J170:L170"/>
    <mergeCell ref="A171:F173"/>
    <mergeCell ref="G171:I173"/>
    <mergeCell ref="J171:L171"/>
    <mergeCell ref="M171:N173"/>
    <mergeCell ref="X168:Z170"/>
    <mergeCell ref="AA168:AC170"/>
    <mergeCell ref="AD168:AE170"/>
    <mergeCell ref="AF168:AH170"/>
    <mergeCell ref="AI168:AJ170"/>
    <mergeCell ref="AK168:AM170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R168:T170"/>
    <mergeCell ref="U168:W170"/>
    <mergeCell ref="U165:W167"/>
    <mergeCell ref="X165:Z167"/>
    <mergeCell ref="AA165:AC167"/>
    <mergeCell ref="AD165:AE167"/>
    <mergeCell ref="AF165:AH167"/>
    <mergeCell ref="AI165:AJ167"/>
    <mergeCell ref="A165:F167"/>
    <mergeCell ref="G165:I167"/>
    <mergeCell ref="J165:L165"/>
    <mergeCell ref="M165:N167"/>
    <mergeCell ref="AI174:AJ176"/>
    <mergeCell ref="AK174:AM176"/>
    <mergeCell ref="J175:L175"/>
    <mergeCell ref="J176:L176"/>
    <mergeCell ref="A177:F179"/>
    <mergeCell ref="G177:I179"/>
    <mergeCell ref="J177:L177"/>
    <mergeCell ref="M177:N179"/>
    <mergeCell ref="O177:Q179"/>
    <mergeCell ref="R177:T179"/>
    <mergeCell ref="R174:T176"/>
    <mergeCell ref="U174:W176"/>
    <mergeCell ref="X174:Z176"/>
    <mergeCell ref="AA174:AC176"/>
    <mergeCell ref="AD174:AE176"/>
    <mergeCell ref="AF174:AH176"/>
    <mergeCell ref="AF171:AH173"/>
    <mergeCell ref="AI171:AJ173"/>
    <mergeCell ref="AK171:AM173"/>
    <mergeCell ref="J172:L172"/>
    <mergeCell ref="J173:L173"/>
    <mergeCell ref="A174:F176"/>
    <mergeCell ref="G174:I176"/>
    <mergeCell ref="J174:L174"/>
    <mergeCell ref="M174:N176"/>
    <mergeCell ref="O174:Q176"/>
    <mergeCell ref="O171:Q173"/>
    <mergeCell ref="R171:T173"/>
    <mergeCell ref="U171:W173"/>
    <mergeCell ref="X171:Z173"/>
    <mergeCell ref="AA171:AC173"/>
    <mergeCell ref="AD171:AE173"/>
    <mergeCell ref="J181:L181"/>
    <mergeCell ref="J182:L182"/>
    <mergeCell ref="A183:F185"/>
    <mergeCell ref="G183:I185"/>
    <mergeCell ref="J183:L183"/>
    <mergeCell ref="M183:N185"/>
    <mergeCell ref="X180:Z182"/>
    <mergeCell ref="AA180:AC182"/>
    <mergeCell ref="AD180:AE182"/>
    <mergeCell ref="AF180:AH182"/>
    <mergeCell ref="AI180:AJ182"/>
    <mergeCell ref="AK180:AM182"/>
    <mergeCell ref="AK177:AM179"/>
    <mergeCell ref="J178:L178"/>
    <mergeCell ref="J179:L179"/>
    <mergeCell ref="A180:F182"/>
    <mergeCell ref="G180:I182"/>
    <mergeCell ref="J180:L180"/>
    <mergeCell ref="M180:N182"/>
    <mergeCell ref="O180:Q182"/>
    <mergeCell ref="R180:T182"/>
    <mergeCell ref="U180:W182"/>
    <mergeCell ref="U177:W179"/>
    <mergeCell ref="X177:Z179"/>
    <mergeCell ref="AA177:AC179"/>
    <mergeCell ref="AD177:AE179"/>
    <mergeCell ref="AF177:AH179"/>
    <mergeCell ref="AI177:AJ179"/>
    <mergeCell ref="AI186:AJ188"/>
    <mergeCell ref="AK186:AM188"/>
    <mergeCell ref="J187:L187"/>
    <mergeCell ref="J188:L188"/>
    <mergeCell ref="A192:G193"/>
    <mergeCell ref="H192:AM193"/>
    <mergeCell ref="R186:T188"/>
    <mergeCell ref="U186:W188"/>
    <mergeCell ref="X186:Z188"/>
    <mergeCell ref="AA186:AC188"/>
    <mergeCell ref="AD186:AE188"/>
    <mergeCell ref="AF186:AH188"/>
    <mergeCell ref="AF183:AH185"/>
    <mergeCell ref="AI183:AJ185"/>
    <mergeCell ref="AK183:AM185"/>
    <mergeCell ref="J184:L184"/>
    <mergeCell ref="J185:L185"/>
    <mergeCell ref="A186:F188"/>
    <mergeCell ref="G186:I188"/>
    <mergeCell ref="J186:L186"/>
    <mergeCell ref="M186:N188"/>
    <mergeCell ref="O186:Q188"/>
    <mergeCell ref="O183:Q185"/>
    <mergeCell ref="R183:T185"/>
    <mergeCell ref="U183:W185"/>
    <mergeCell ref="X183:Z185"/>
    <mergeCell ref="AA183:AC185"/>
    <mergeCell ref="AD183:AE185"/>
    <mergeCell ref="A198:L198"/>
    <mergeCell ref="M198:AH198"/>
    <mergeCell ref="AI198:AM199"/>
    <mergeCell ref="A199:L199"/>
    <mergeCell ref="M199:AH199"/>
    <mergeCell ref="A200:F202"/>
    <mergeCell ref="G200:I202"/>
    <mergeCell ref="J200:L202"/>
    <mergeCell ref="M200:N202"/>
    <mergeCell ref="O200:Q202"/>
    <mergeCell ref="A194:G195"/>
    <mergeCell ref="H194:V195"/>
    <mergeCell ref="W194:Z195"/>
    <mergeCell ref="AA194:AM195"/>
    <mergeCell ref="A197:L197"/>
    <mergeCell ref="M197:AH197"/>
    <mergeCell ref="AI197:AM197"/>
    <mergeCell ref="O206:Q208"/>
    <mergeCell ref="R206:T208"/>
    <mergeCell ref="AA203:AC205"/>
    <mergeCell ref="AD203:AE205"/>
    <mergeCell ref="AF203:AH205"/>
    <mergeCell ref="AI203:AJ205"/>
    <mergeCell ref="AK203:AM205"/>
    <mergeCell ref="J204:L204"/>
    <mergeCell ref="J205:L205"/>
    <mergeCell ref="AI200:AJ202"/>
    <mergeCell ref="AK200:AM202"/>
    <mergeCell ref="A203:F205"/>
    <mergeCell ref="G203:I205"/>
    <mergeCell ref="J203:L203"/>
    <mergeCell ref="M203:N205"/>
    <mergeCell ref="O203:Q205"/>
    <mergeCell ref="R203:T205"/>
    <mergeCell ref="U203:W205"/>
    <mergeCell ref="X203:Z205"/>
    <mergeCell ref="R200:T202"/>
    <mergeCell ref="U200:W202"/>
    <mergeCell ref="X200:Z202"/>
    <mergeCell ref="AA200:AC202"/>
    <mergeCell ref="AD200:AE202"/>
    <mergeCell ref="AF200:AH202"/>
    <mergeCell ref="J210:L210"/>
    <mergeCell ref="J211:L211"/>
    <mergeCell ref="A212:F214"/>
    <mergeCell ref="G212:I214"/>
    <mergeCell ref="J212:L212"/>
    <mergeCell ref="M212:N214"/>
    <mergeCell ref="X209:Z211"/>
    <mergeCell ref="AA209:AC211"/>
    <mergeCell ref="AD209:AE211"/>
    <mergeCell ref="AF209:AH211"/>
    <mergeCell ref="AI209:AJ211"/>
    <mergeCell ref="AK209:AM211"/>
    <mergeCell ref="AK206:AM208"/>
    <mergeCell ref="J207:L207"/>
    <mergeCell ref="J208:L208"/>
    <mergeCell ref="A209:F211"/>
    <mergeCell ref="G209:I211"/>
    <mergeCell ref="J209:L209"/>
    <mergeCell ref="M209:N211"/>
    <mergeCell ref="O209:Q211"/>
    <mergeCell ref="R209:T211"/>
    <mergeCell ref="U209:W211"/>
    <mergeCell ref="U206:W208"/>
    <mergeCell ref="X206:Z208"/>
    <mergeCell ref="AA206:AC208"/>
    <mergeCell ref="AD206:AE208"/>
    <mergeCell ref="AF206:AH208"/>
    <mergeCell ref="AI206:AJ208"/>
    <mergeCell ref="A206:F208"/>
    <mergeCell ref="G206:I208"/>
    <mergeCell ref="J206:L206"/>
    <mergeCell ref="M206:N208"/>
    <mergeCell ref="AI215:AJ217"/>
    <mergeCell ref="AK215:AM217"/>
    <mergeCell ref="J216:L216"/>
    <mergeCell ref="J217:L217"/>
    <mergeCell ref="A218:F220"/>
    <mergeCell ref="G218:I220"/>
    <mergeCell ref="J218:L218"/>
    <mergeCell ref="M218:N220"/>
    <mergeCell ref="O218:Q220"/>
    <mergeCell ref="R218:T220"/>
    <mergeCell ref="R215:T217"/>
    <mergeCell ref="U215:W217"/>
    <mergeCell ref="X215:Z217"/>
    <mergeCell ref="AA215:AC217"/>
    <mergeCell ref="AD215:AE217"/>
    <mergeCell ref="AF215:AH217"/>
    <mergeCell ref="AF212:AH214"/>
    <mergeCell ref="AI212:AJ214"/>
    <mergeCell ref="AK212:AM214"/>
    <mergeCell ref="J213:L213"/>
    <mergeCell ref="J214:L214"/>
    <mergeCell ref="A215:F217"/>
    <mergeCell ref="G215:I217"/>
    <mergeCell ref="J215:L215"/>
    <mergeCell ref="M215:N217"/>
    <mergeCell ref="O215:Q217"/>
    <mergeCell ref="O212:Q214"/>
    <mergeCell ref="R212:T214"/>
    <mergeCell ref="U212:W214"/>
    <mergeCell ref="X212:Z214"/>
    <mergeCell ref="AA212:AC214"/>
    <mergeCell ref="AD212:AE214"/>
    <mergeCell ref="J222:L222"/>
    <mergeCell ref="J223:L223"/>
    <mergeCell ref="A224:F226"/>
    <mergeCell ref="G224:I226"/>
    <mergeCell ref="J224:L224"/>
    <mergeCell ref="M224:N226"/>
    <mergeCell ref="X221:Z223"/>
    <mergeCell ref="AA221:AC223"/>
    <mergeCell ref="AD221:AE223"/>
    <mergeCell ref="AF221:AH223"/>
    <mergeCell ref="AI221:AJ223"/>
    <mergeCell ref="AK221:AM223"/>
    <mergeCell ref="AK218:AM220"/>
    <mergeCell ref="J219:L219"/>
    <mergeCell ref="J220:L220"/>
    <mergeCell ref="A221:F223"/>
    <mergeCell ref="G221:I223"/>
    <mergeCell ref="J221:L221"/>
    <mergeCell ref="M221:N223"/>
    <mergeCell ref="O221:Q223"/>
    <mergeCell ref="R221:T223"/>
    <mergeCell ref="U221:W223"/>
    <mergeCell ref="U218:W220"/>
    <mergeCell ref="X218:Z220"/>
    <mergeCell ref="AA218:AC220"/>
    <mergeCell ref="AD218:AE220"/>
    <mergeCell ref="AF218:AH220"/>
    <mergeCell ref="AI218:AJ220"/>
    <mergeCell ref="AI227:AJ229"/>
    <mergeCell ref="AK227:AM229"/>
    <mergeCell ref="J228:L228"/>
    <mergeCell ref="J229:L229"/>
    <mergeCell ref="A239:G240"/>
    <mergeCell ref="H239:AM240"/>
    <mergeCell ref="R227:T229"/>
    <mergeCell ref="U227:W229"/>
    <mergeCell ref="X227:Z229"/>
    <mergeCell ref="AA227:AC229"/>
    <mergeCell ref="AD227:AE229"/>
    <mergeCell ref="AF227:AH229"/>
    <mergeCell ref="AF224:AH226"/>
    <mergeCell ref="AI224:AJ226"/>
    <mergeCell ref="AK224:AM226"/>
    <mergeCell ref="J225:L225"/>
    <mergeCell ref="J226:L226"/>
    <mergeCell ref="A227:F229"/>
    <mergeCell ref="G227:I229"/>
    <mergeCell ref="J227:L227"/>
    <mergeCell ref="M227:N229"/>
    <mergeCell ref="O227:Q229"/>
    <mergeCell ref="O224:Q226"/>
    <mergeCell ref="R224:T226"/>
    <mergeCell ref="U224:W226"/>
    <mergeCell ref="X224:Z226"/>
    <mergeCell ref="AA224:AC226"/>
    <mergeCell ref="AD224:AE226"/>
    <mergeCell ref="A245:L245"/>
    <mergeCell ref="M245:AH245"/>
    <mergeCell ref="AI245:AM246"/>
    <mergeCell ref="A246:L246"/>
    <mergeCell ref="M246:AH246"/>
    <mergeCell ref="A247:F249"/>
    <mergeCell ref="G247:I249"/>
    <mergeCell ref="J247:L249"/>
    <mergeCell ref="M247:N249"/>
    <mergeCell ref="O247:Q249"/>
    <mergeCell ref="A241:G242"/>
    <mergeCell ref="H241:V242"/>
    <mergeCell ref="W241:Z242"/>
    <mergeCell ref="AA241:AM242"/>
    <mergeCell ref="A244:L244"/>
    <mergeCell ref="M244:AH244"/>
    <mergeCell ref="AI244:AM244"/>
    <mergeCell ref="O253:Q255"/>
    <mergeCell ref="R253:T255"/>
    <mergeCell ref="AA250:AC252"/>
    <mergeCell ref="AD250:AE252"/>
    <mergeCell ref="AF250:AH252"/>
    <mergeCell ref="AI250:AJ252"/>
    <mergeCell ref="AK250:AM252"/>
    <mergeCell ref="J251:L251"/>
    <mergeCell ref="J252:L252"/>
    <mergeCell ref="AI247:AJ249"/>
    <mergeCell ref="AK247:AM249"/>
    <mergeCell ref="A250:F252"/>
    <mergeCell ref="G250:I252"/>
    <mergeCell ref="J250:L250"/>
    <mergeCell ref="M250:N252"/>
    <mergeCell ref="O250:Q252"/>
    <mergeCell ref="R250:T252"/>
    <mergeCell ref="U250:W252"/>
    <mergeCell ref="X250:Z252"/>
    <mergeCell ref="R247:T249"/>
    <mergeCell ref="U247:W249"/>
    <mergeCell ref="X247:Z249"/>
    <mergeCell ref="AA247:AC249"/>
    <mergeCell ref="AD247:AE249"/>
    <mergeCell ref="AF247:AH249"/>
    <mergeCell ref="J257:L257"/>
    <mergeCell ref="J258:L258"/>
    <mergeCell ref="A259:F261"/>
    <mergeCell ref="G259:I261"/>
    <mergeCell ref="J259:L259"/>
    <mergeCell ref="M259:N261"/>
    <mergeCell ref="X256:Z258"/>
    <mergeCell ref="AA256:AC258"/>
    <mergeCell ref="AD256:AE258"/>
    <mergeCell ref="AF256:AH258"/>
    <mergeCell ref="AI256:AJ258"/>
    <mergeCell ref="AK256:AM258"/>
    <mergeCell ref="AK253:AM255"/>
    <mergeCell ref="J254:L254"/>
    <mergeCell ref="J255:L255"/>
    <mergeCell ref="A256:F258"/>
    <mergeCell ref="G256:I258"/>
    <mergeCell ref="J256:L256"/>
    <mergeCell ref="M256:N258"/>
    <mergeCell ref="O256:Q258"/>
    <mergeCell ref="R256:T258"/>
    <mergeCell ref="U256:W258"/>
    <mergeCell ref="U253:W255"/>
    <mergeCell ref="X253:Z255"/>
    <mergeCell ref="AA253:AC255"/>
    <mergeCell ref="AD253:AE255"/>
    <mergeCell ref="AF253:AH255"/>
    <mergeCell ref="AI253:AJ255"/>
    <mergeCell ref="A253:F255"/>
    <mergeCell ref="G253:I255"/>
    <mergeCell ref="J253:L253"/>
    <mergeCell ref="M253:N255"/>
    <mergeCell ref="AI262:AJ264"/>
    <mergeCell ref="AK262:AM264"/>
    <mergeCell ref="J263:L263"/>
    <mergeCell ref="J264:L264"/>
    <mergeCell ref="A265:F267"/>
    <mergeCell ref="G265:I267"/>
    <mergeCell ref="J265:L265"/>
    <mergeCell ref="M265:N267"/>
    <mergeCell ref="O265:Q267"/>
    <mergeCell ref="R265:T267"/>
    <mergeCell ref="R262:T264"/>
    <mergeCell ref="U262:W264"/>
    <mergeCell ref="X262:Z264"/>
    <mergeCell ref="AA262:AC264"/>
    <mergeCell ref="AD262:AE264"/>
    <mergeCell ref="AF262:AH264"/>
    <mergeCell ref="AF259:AH261"/>
    <mergeCell ref="AI259:AJ261"/>
    <mergeCell ref="AK259:AM261"/>
    <mergeCell ref="J260:L260"/>
    <mergeCell ref="J261:L261"/>
    <mergeCell ref="A262:F264"/>
    <mergeCell ref="G262:I264"/>
    <mergeCell ref="J262:L262"/>
    <mergeCell ref="M262:N264"/>
    <mergeCell ref="O262:Q264"/>
    <mergeCell ref="O259:Q261"/>
    <mergeCell ref="R259:T261"/>
    <mergeCell ref="U259:W261"/>
    <mergeCell ref="X259:Z261"/>
    <mergeCell ref="AA259:AC261"/>
    <mergeCell ref="AD259:AE261"/>
    <mergeCell ref="J269:L269"/>
    <mergeCell ref="J270:L270"/>
    <mergeCell ref="A271:F273"/>
    <mergeCell ref="G271:I273"/>
    <mergeCell ref="J271:L271"/>
    <mergeCell ref="M271:N273"/>
    <mergeCell ref="X268:Z270"/>
    <mergeCell ref="AA268:AC270"/>
    <mergeCell ref="AD268:AE270"/>
    <mergeCell ref="AF268:AH270"/>
    <mergeCell ref="AI268:AJ270"/>
    <mergeCell ref="AK268:AM270"/>
    <mergeCell ref="AK265:AM267"/>
    <mergeCell ref="J266:L266"/>
    <mergeCell ref="J267:L267"/>
    <mergeCell ref="A268:F270"/>
    <mergeCell ref="G268:I270"/>
    <mergeCell ref="J268:L268"/>
    <mergeCell ref="M268:N270"/>
    <mergeCell ref="O268:Q270"/>
    <mergeCell ref="R268:T270"/>
    <mergeCell ref="U268:W270"/>
    <mergeCell ref="U265:W267"/>
    <mergeCell ref="X265:Z267"/>
    <mergeCell ref="AA265:AC267"/>
    <mergeCell ref="AD265:AE267"/>
    <mergeCell ref="AF265:AH267"/>
    <mergeCell ref="AI265:AJ267"/>
    <mergeCell ref="A292:AM292"/>
    <mergeCell ref="B294:K294"/>
    <mergeCell ref="R294:U294"/>
    <mergeCell ref="V294:W294"/>
    <mergeCell ref="X294:AA294"/>
    <mergeCell ref="AB294:AE294"/>
    <mergeCell ref="AI274:AJ276"/>
    <mergeCell ref="AK274:AM276"/>
    <mergeCell ref="J275:L275"/>
    <mergeCell ref="J276:L276"/>
    <mergeCell ref="R274:T276"/>
    <mergeCell ref="U274:W276"/>
    <mergeCell ref="X274:Z276"/>
    <mergeCell ref="AA274:AC276"/>
    <mergeCell ref="AD274:AE276"/>
    <mergeCell ref="AF274:AH276"/>
    <mergeCell ref="AF271:AH273"/>
    <mergeCell ref="AI271:AJ273"/>
    <mergeCell ref="AK271:AM273"/>
    <mergeCell ref="J272:L272"/>
    <mergeCell ref="J273:L273"/>
    <mergeCell ref="A274:F276"/>
    <mergeCell ref="G274:I276"/>
    <mergeCell ref="J274:L274"/>
    <mergeCell ref="M274:N276"/>
    <mergeCell ref="O274:Q276"/>
    <mergeCell ref="O271:Q273"/>
    <mergeCell ref="R271:T273"/>
    <mergeCell ref="U271:W273"/>
    <mergeCell ref="X271:Z273"/>
    <mergeCell ref="AA271:AC273"/>
    <mergeCell ref="AD271:AE273"/>
    <mergeCell ref="AJ295:AM295"/>
    <mergeCell ref="B296:K296"/>
    <mergeCell ref="L296:N296"/>
    <mergeCell ref="O296:Q296"/>
    <mergeCell ref="R296:U296"/>
    <mergeCell ref="V296:W296"/>
    <mergeCell ref="X296:AA296"/>
    <mergeCell ref="AB296:AE296"/>
    <mergeCell ref="AF296:AI296"/>
    <mergeCell ref="AJ296:AM296"/>
    <mergeCell ref="AF294:AI294"/>
    <mergeCell ref="AJ294:AM294"/>
    <mergeCell ref="B295:K295"/>
    <mergeCell ref="L295:N295"/>
    <mergeCell ref="O295:Q295"/>
    <mergeCell ref="R295:U295"/>
    <mergeCell ref="V295:W295"/>
    <mergeCell ref="X295:AA295"/>
    <mergeCell ref="AB295:AE295"/>
    <mergeCell ref="AF295:AI295"/>
    <mergeCell ref="AF298:AI298"/>
    <mergeCell ref="AJ298:AM298"/>
    <mergeCell ref="B299:K299"/>
    <mergeCell ref="L299:N299"/>
    <mergeCell ref="O299:Q299"/>
    <mergeCell ref="R299:U299"/>
    <mergeCell ref="V299:W299"/>
    <mergeCell ref="X299:AA299"/>
    <mergeCell ref="AB299:AE299"/>
    <mergeCell ref="AF299:AI299"/>
    <mergeCell ref="AB297:AE297"/>
    <mergeCell ref="AF297:AI297"/>
    <mergeCell ref="AJ297:AM297"/>
    <mergeCell ref="B298:K298"/>
    <mergeCell ref="L298:N298"/>
    <mergeCell ref="O298:Q298"/>
    <mergeCell ref="R298:U298"/>
    <mergeCell ref="V298:W298"/>
    <mergeCell ref="X298:AA298"/>
    <mergeCell ref="AB298:AE298"/>
    <mergeCell ref="B297:K297"/>
    <mergeCell ref="L297:N297"/>
    <mergeCell ref="O297:Q297"/>
    <mergeCell ref="R297:U297"/>
    <mergeCell ref="V297:W297"/>
    <mergeCell ref="X297:AA297"/>
    <mergeCell ref="AB301:AE301"/>
    <mergeCell ref="AF301:AI301"/>
    <mergeCell ref="AJ301:AM301"/>
    <mergeCell ref="B302:K302"/>
    <mergeCell ref="L302:N302"/>
    <mergeCell ref="O302:Q302"/>
    <mergeCell ref="R302:U302"/>
    <mergeCell ref="V302:W302"/>
    <mergeCell ref="X302:AA302"/>
    <mergeCell ref="AB302:AE302"/>
    <mergeCell ref="B301:K301"/>
    <mergeCell ref="L301:N301"/>
    <mergeCell ref="O301:Q301"/>
    <mergeCell ref="R301:U301"/>
    <mergeCell ref="V301:W301"/>
    <mergeCell ref="X301:AA301"/>
    <mergeCell ref="AJ299:AM299"/>
    <mergeCell ref="B300:K300"/>
    <mergeCell ref="L300:N300"/>
    <mergeCell ref="O300:Q300"/>
    <mergeCell ref="R300:U300"/>
    <mergeCell ref="V300:W300"/>
    <mergeCell ref="X300:AA300"/>
    <mergeCell ref="AB300:AE300"/>
    <mergeCell ref="AF300:AI300"/>
    <mergeCell ref="AJ300:AM300"/>
    <mergeCell ref="AJ303:AM303"/>
    <mergeCell ref="B304:K304"/>
    <mergeCell ref="L304:N304"/>
    <mergeCell ref="O304:Q304"/>
    <mergeCell ref="R304:U304"/>
    <mergeCell ref="V304:W304"/>
    <mergeCell ref="X304:AA304"/>
    <mergeCell ref="AB304:AE304"/>
    <mergeCell ref="AF304:AI304"/>
    <mergeCell ref="AJ304:AM304"/>
    <mergeCell ref="B305:K305"/>
    <mergeCell ref="L305:N305"/>
    <mergeCell ref="O305:Q305"/>
    <mergeCell ref="R305:U305"/>
    <mergeCell ref="V305:W305"/>
    <mergeCell ref="X305:AA305"/>
    <mergeCell ref="AF302:AI302"/>
    <mergeCell ref="AJ302:AM302"/>
    <mergeCell ref="B303:K303"/>
    <mergeCell ref="L303:N303"/>
    <mergeCell ref="O303:Q303"/>
    <mergeCell ref="R303:U303"/>
    <mergeCell ref="V303:W303"/>
    <mergeCell ref="X303:AA303"/>
    <mergeCell ref="AB303:AE303"/>
    <mergeCell ref="AF303:AI303"/>
    <mergeCell ref="AB305:AE305"/>
    <mergeCell ref="AF305:AI305"/>
    <mergeCell ref="AJ305:AM305"/>
    <mergeCell ref="AF307:AI307"/>
    <mergeCell ref="AJ307:AM307"/>
    <mergeCell ref="B308:K308"/>
    <mergeCell ref="L308:N308"/>
    <mergeCell ref="O308:Q308"/>
    <mergeCell ref="R308:U308"/>
    <mergeCell ref="V308:W308"/>
    <mergeCell ref="X308:AA308"/>
    <mergeCell ref="AB308:AE308"/>
    <mergeCell ref="AF308:AI308"/>
    <mergeCell ref="AB306:AE306"/>
    <mergeCell ref="AF306:AI306"/>
    <mergeCell ref="AJ306:AM306"/>
    <mergeCell ref="B307:K307"/>
    <mergeCell ref="L307:N307"/>
    <mergeCell ref="O307:Q307"/>
    <mergeCell ref="R307:U307"/>
    <mergeCell ref="V307:W307"/>
    <mergeCell ref="X307:AA307"/>
    <mergeCell ref="AB307:AE307"/>
    <mergeCell ref="B306:K306"/>
    <mergeCell ref="L306:N306"/>
    <mergeCell ref="O306:Q306"/>
    <mergeCell ref="R306:U306"/>
    <mergeCell ref="V306:W306"/>
    <mergeCell ref="X306:AA306"/>
    <mergeCell ref="AB310:AE310"/>
    <mergeCell ref="AF310:AI310"/>
    <mergeCell ref="AJ310:AM310"/>
    <mergeCell ref="B311:K311"/>
    <mergeCell ref="L311:N311"/>
    <mergeCell ref="O311:Q311"/>
    <mergeCell ref="R311:U311"/>
    <mergeCell ref="V311:W311"/>
    <mergeCell ref="X311:AA311"/>
    <mergeCell ref="AB311:AE311"/>
    <mergeCell ref="B310:K310"/>
    <mergeCell ref="L310:N310"/>
    <mergeCell ref="O310:Q310"/>
    <mergeCell ref="R310:U310"/>
    <mergeCell ref="V310:W310"/>
    <mergeCell ref="X310:AA310"/>
    <mergeCell ref="AJ308:AM308"/>
    <mergeCell ref="B309:K309"/>
    <mergeCell ref="L309:N309"/>
    <mergeCell ref="O309:Q309"/>
    <mergeCell ref="R309:U309"/>
    <mergeCell ref="V309:W309"/>
    <mergeCell ref="X309:AA309"/>
    <mergeCell ref="AB309:AE309"/>
    <mergeCell ref="AF309:AI309"/>
    <mergeCell ref="AJ309:AM309"/>
    <mergeCell ref="AJ312:AM312"/>
    <mergeCell ref="B313:K313"/>
    <mergeCell ref="L313:N313"/>
    <mergeCell ref="O313:Q313"/>
    <mergeCell ref="R313:U313"/>
    <mergeCell ref="V313:W313"/>
    <mergeCell ref="X313:AA313"/>
    <mergeCell ref="AB313:AE313"/>
    <mergeCell ref="AF313:AI313"/>
    <mergeCell ref="AJ313:AM313"/>
    <mergeCell ref="AF311:AI311"/>
    <mergeCell ref="AJ311:AM311"/>
    <mergeCell ref="B312:K312"/>
    <mergeCell ref="L312:N312"/>
    <mergeCell ref="O312:Q312"/>
    <mergeCell ref="R312:U312"/>
    <mergeCell ref="V312:W312"/>
    <mergeCell ref="X312:AA312"/>
    <mergeCell ref="AB312:AE312"/>
    <mergeCell ref="AF312:AI312"/>
    <mergeCell ref="AF315:AI315"/>
    <mergeCell ref="AJ315:AM315"/>
    <mergeCell ref="B316:K316"/>
    <mergeCell ref="L316:N316"/>
    <mergeCell ref="O316:Q316"/>
    <mergeCell ref="R316:U316"/>
    <mergeCell ref="V316:W316"/>
    <mergeCell ref="X316:AA316"/>
    <mergeCell ref="AB316:AE316"/>
    <mergeCell ref="AF316:AI316"/>
    <mergeCell ref="AB314:AE314"/>
    <mergeCell ref="AF314:AI314"/>
    <mergeCell ref="AJ314:AM314"/>
    <mergeCell ref="B315:K315"/>
    <mergeCell ref="L315:N315"/>
    <mergeCell ref="O315:Q315"/>
    <mergeCell ref="R315:U315"/>
    <mergeCell ref="V315:W315"/>
    <mergeCell ref="X315:AA315"/>
    <mergeCell ref="AB315:AE315"/>
    <mergeCell ref="B314:K314"/>
    <mergeCell ref="L314:N314"/>
    <mergeCell ref="O314:Q314"/>
    <mergeCell ref="R314:U314"/>
    <mergeCell ref="V314:W314"/>
    <mergeCell ref="X314:AA314"/>
    <mergeCell ref="AB318:AE318"/>
    <mergeCell ref="AF318:AI318"/>
    <mergeCell ref="AJ318:AM318"/>
    <mergeCell ref="B319:K319"/>
    <mergeCell ref="L319:N319"/>
    <mergeCell ref="O319:Q319"/>
    <mergeCell ref="R319:U319"/>
    <mergeCell ref="V319:W319"/>
    <mergeCell ref="X319:AA319"/>
    <mergeCell ref="AB319:AE319"/>
    <mergeCell ref="B318:K318"/>
    <mergeCell ref="L318:N318"/>
    <mergeCell ref="O318:Q318"/>
    <mergeCell ref="R318:U318"/>
    <mergeCell ref="V318:W318"/>
    <mergeCell ref="X318:AA318"/>
    <mergeCell ref="AJ316:AM316"/>
    <mergeCell ref="B317:K317"/>
    <mergeCell ref="L317:N317"/>
    <mergeCell ref="O317:Q317"/>
    <mergeCell ref="R317:U317"/>
    <mergeCell ref="V317:W317"/>
    <mergeCell ref="X317:AA317"/>
    <mergeCell ref="AB317:AE317"/>
    <mergeCell ref="AF317:AI317"/>
    <mergeCell ref="AJ317:AM317"/>
    <mergeCell ref="AF324:AI324"/>
    <mergeCell ref="AJ324:AM324"/>
    <mergeCell ref="B325:K325"/>
    <mergeCell ref="L325:N325"/>
    <mergeCell ref="O325:Q325"/>
    <mergeCell ref="R325:U325"/>
    <mergeCell ref="V325:W325"/>
    <mergeCell ref="X325:AA325"/>
    <mergeCell ref="AB325:AE325"/>
    <mergeCell ref="AF325:AI325"/>
    <mergeCell ref="AB322:AE322"/>
    <mergeCell ref="AF322:AI322"/>
    <mergeCell ref="AJ322:AM322"/>
    <mergeCell ref="B324:K324"/>
    <mergeCell ref="L324:N324"/>
    <mergeCell ref="O324:Q324"/>
    <mergeCell ref="R324:U324"/>
    <mergeCell ref="V324:W324"/>
    <mergeCell ref="X324:AA324"/>
    <mergeCell ref="AB324:AE324"/>
    <mergeCell ref="B322:K322"/>
    <mergeCell ref="L322:N322"/>
    <mergeCell ref="O322:Q322"/>
    <mergeCell ref="R322:U322"/>
    <mergeCell ref="V322:W322"/>
    <mergeCell ref="X322:AA322"/>
    <mergeCell ref="B323:K323"/>
    <mergeCell ref="L323:N323"/>
    <mergeCell ref="O323:Q323"/>
    <mergeCell ref="R323:U323"/>
    <mergeCell ref="V323:W323"/>
    <mergeCell ref="X323:AA323"/>
    <mergeCell ref="L328:N328"/>
    <mergeCell ref="O328:Q328"/>
    <mergeCell ref="R328:U328"/>
    <mergeCell ref="V328:W328"/>
    <mergeCell ref="X328:AA328"/>
    <mergeCell ref="AB328:AE328"/>
    <mergeCell ref="B327:K327"/>
    <mergeCell ref="L327:N327"/>
    <mergeCell ref="O327:Q327"/>
    <mergeCell ref="R327:U327"/>
    <mergeCell ref="V327:W327"/>
    <mergeCell ref="X327:AA327"/>
    <mergeCell ref="AJ325:AM325"/>
    <mergeCell ref="B326:K326"/>
    <mergeCell ref="L326:N326"/>
    <mergeCell ref="O326:Q326"/>
    <mergeCell ref="R326:U326"/>
    <mergeCell ref="V326:W326"/>
    <mergeCell ref="X326:AA326"/>
    <mergeCell ref="AB326:AE326"/>
    <mergeCell ref="AF326:AI326"/>
    <mergeCell ref="AJ326:AM326"/>
    <mergeCell ref="AI81:AM81"/>
    <mergeCell ref="A82:L82"/>
    <mergeCell ref="M82:AH82"/>
    <mergeCell ref="AI82:AM83"/>
    <mergeCell ref="A83:L83"/>
    <mergeCell ref="M83:AH83"/>
    <mergeCell ref="AB331:AE331"/>
    <mergeCell ref="AF331:AI331"/>
    <mergeCell ref="AJ331:AM331"/>
    <mergeCell ref="B332:K332"/>
    <mergeCell ref="L332:N332"/>
    <mergeCell ref="O332:Q332"/>
    <mergeCell ref="R332:U332"/>
    <mergeCell ref="V332:W332"/>
    <mergeCell ref="X332:AA332"/>
    <mergeCell ref="AB332:AE332"/>
    <mergeCell ref="B331:K331"/>
    <mergeCell ref="L331:N331"/>
    <mergeCell ref="O331:Q331"/>
    <mergeCell ref="R331:U331"/>
    <mergeCell ref="V331:W331"/>
    <mergeCell ref="X331:AA331"/>
    <mergeCell ref="AJ329:AM329"/>
    <mergeCell ref="B330:K330"/>
    <mergeCell ref="L330:N330"/>
    <mergeCell ref="O330:Q330"/>
    <mergeCell ref="R330:U330"/>
    <mergeCell ref="V330:W330"/>
    <mergeCell ref="X330:AA330"/>
    <mergeCell ref="AB330:AE330"/>
    <mergeCell ref="AJ327:AM327"/>
    <mergeCell ref="B328:K328"/>
    <mergeCell ref="AF84:AH86"/>
    <mergeCell ref="AI84:AJ86"/>
    <mergeCell ref="AK84:AM86"/>
    <mergeCell ref="A87:F89"/>
    <mergeCell ref="G87:I89"/>
    <mergeCell ref="J87:L87"/>
    <mergeCell ref="M87:N89"/>
    <mergeCell ref="O87:Q89"/>
    <mergeCell ref="R87:T89"/>
    <mergeCell ref="U87:W89"/>
    <mergeCell ref="O84:Q86"/>
    <mergeCell ref="R84:T86"/>
    <mergeCell ref="U84:W86"/>
    <mergeCell ref="X84:Z86"/>
    <mergeCell ref="AA84:AC86"/>
    <mergeCell ref="AD84:AE86"/>
    <mergeCell ref="AF332:AI332"/>
    <mergeCell ref="AJ332:AM332"/>
    <mergeCell ref="AF330:AI330"/>
    <mergeCell ref="AJ330:AM330"/>
    <mergeCell ref="AF328:AI328"/>
    <mergeCell ref="AJ328:AM328"/>
    <mergeCell ref="B329:K329"/>
    <mergeCell ref="L329:N329"/>
    <mergeCell ref="O329:Q329"/>
    <mergeCell ref="R329:U329"/>
    <mergeCell ref="V329:W329"/>
    <mergeCell ref="X329:AA329"/>
    <mergeCell ref="AB329:AE329"/>
    <mergeCell ref="AF329:AI329"/>
    <mergeCell ref="AB327:AE327"/>
    <mergeCell ref="AF327:AI327"/>
    <mergeCell ref="AF90:AH92"/>
    <mergeCell ref="AI90:AJ92"/>
    <mergeCell ref="AK90:AM92"/>
    <mergeCell ref="J91:L91"/>
    <mergeCell ref="J92:L92"/>
    <mergeCell ref="A93:F95"/>
    <mergeCell ref="G93:I95"/>
    <mergeCell ref="J93:L93"/>
    <mergeCell ref="M93:N95"/>
    <mergeCell ref="O93:Q95"/>
    <mergeCell ref="O90:Q92"/>
    <mergeCell ref="R90:T92"/>
    <mergeCell ref="U90:W92"/>
    <mergeCell ref="X90:Z92"/>
    <mergeCell ref="AA90:AC92"/>
    <mergeCell ref="AD90:AE92"/>
    <mergeCell ref="J88:L88"/>
    <mergeCell ref="J89:L89"/>
    <mergeCell ref="A90:F92"/>
    <mergeCell ref="G90:I92"/>
    <mergeCell ref="J90:L90"/>
    <mergeCell ref="M90:N92"/>
    <mergeCell ref="X87:Z89"/>
    <mergeCell ref="AA87:AC89"/>
    <mergeCell ref="AD87:AE89"/>
    <mergeCell ref="AF87:AH89"/>
    <mergeCell ref="AI87:AJ89"/>
    <mergeCell ref="AK87:AM89"/>
    <mergeCell ref="A99:L99"/>
    <mergeCell ref="M99:AH99"/>
    <mergeCell ref="AI99:AM100"/>
    <mergeCell ref="A100:L100"/>
    <mergeCell ref="M100:AH100"/>
    <mergeCell ref="A101:F103"/>
    <mergeCell ref="G101:I103"/>
    <mergeCell ref="J101:L103"/>
    <mergeCell ref="M101:N103"/>
    <mergeCell ref="O101:Q103"/>
    <mergeCell ref="AI93:AJ95"/>
    <mergeCell ref="AK93:AM95"/>
    <mergeCell ref="J94:L94"/>
    <mergeCell ref="J95:L95"/>
    <mergeCell ref="A98:L98"/>
    <mergeCell ref="M98:AH98"/>
    <mergeCell ref="AI98:AM98"/>
    <mergeCell ref="R93:T95"/>
    <mergeCell ref="U93:W95"/>
    <mergeCell ref="X93:Z95"/>
    <mergeCell ref="AA93:AC95"/>
    <mergeCell ref="AD93:AE95"/>
    <mergeCell ref="AF93:AH95"/>
    <mergeCell ref="AA104:AC106"/>
    <mergeCell ref="AD104:AE106"/>
    <mergeCell ref="AF104:AH106"/>
    <mergeCell ref="AI104:AJ106"/>
    <mergeCell ref="AK104:AM106"/>
    <mergeCell ref="J105:L105"/>
    <mergeCell ref="J106:L106"/>
    <mergeCell ref="AI101:AJ103"/>
    <mergeCell ref="AK101:AM103"/>
    <mergeCell ref="A104:F106"/>
    <mergeCell ref="G104:I106"/>
    <mergeCell ref="J104:L104"/>
    <mergeCell ref="M104:N106"/>
    <mergeCell ref="O104:Q106"/>
    <mergeCell ref="R104:T106"/>
    <mergeCell ref="U104:W106"/>
    <mergeCell ref="X104:Z106"/>
    <mergeCell ref="R101:T103"/>
    <mergeCell ref="U101:W103"/>
    <mergeCell ref="X101:Z103"/>
    <mergeCell ref="AA101:AC103"/>
    <mergeCell ref="AD101:AE103"/>
    <mergeCell ref="AF101:AH103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R110:T112"/>
    <mergeCell ref="U110:W112"/>
    <mergeCell ref="U107:W109"/>
    <mergeCell ref="X107:Z109"/>
    <mergeCell ref="AA107:AC109"/>
    <mergeCell ref="AD107:AE109"/>
    <mergeCell ref="AF107:AH109"/>
    <mergeCell ref="AI107:AJ109"/>
    <mergeCell ref="A107:F109"/>
    <mergeCell ref="G107:I109"/>
    <mergeCell ref="J107:L107"/>
    <mergeCell ref="M107:N109"/>
    <mergeCell ref="O107:Q109"/>
    <mergeCell ref="R107:T109"/>
    <mergeCell ref="AF113:AH115"/>
    <mergeCell ref="AI113:AJ115"/>
    <mergeCell ref="AK113:AM115"/>
    <mergeCell ref="J114:L114"/>
    <mergeCell ref="J115:L115"/>
    <mergeCell ref="A116:F118"/>
    <mergeCell ref="G116:I118"/>
    <mergeCell ref="J116:L116"/>
    <mergeCell ref="M116:N118"/>
    <mergeCell ref="O116:Q118"/>
    <mergeCell ref="O113:Q115"/>
    <mergeCell ref="R113:T115"/>
    <mergeCell ref="U113:W115"/>
    <mergeCell ref="X113:Z115"/>
    <mergeCell ref="AA113:AC115"/>
    <mergeCell ref="AD113:AE115"/>
    <mergeCell ref="J111:L111"/>
    <mergeCell ref="J112:L112"/>
    <mergeCell ref="A113:F115"/>
    <mergeCell ref="G113:I115"/>
    <mergeCell ref="J113:L113"/>
    <mergeCell ref="M113:N115"/>
    <mergeCell ref="X110:Z112"/>
    <mergeCell ref="AA110:AC112"/>
    <mergeCell ref="AD110:AE112"/>
    <mergeCell ref="AF110:AH112"/>
    <mergeCell ref="AI110:AJ112"/>
    <mergeCell ref="AK110:AM112"/>
    <mergeCell ref="AK119:AM121"/>
    <mergeCell ref="J120:L120"/>
    <mergeCell ref="J121:L121"/>
    <mergeCell ref="A122:F124"/>
    <mergeCell ref="G122:I124"/>
    <mergeCell ref="J122:L122"/>
    <mergeCell ref="M122:N124"/>
    <mergeCell ref="O122:Q124"/>
    <mergeCell ref="R122:T124"/>
    <mergeCell ref="U122:W124"/>
    <mergeCell ref="U119:W121"/>
    <mergeCell ref="X119:Z121"/>
    <mergeCell ref="AA119:AC121"/>
    <mergeCell ref="AD119:AE121"/>
    <mergeCell ref="AF119:AH121"/>
    <mergeCell ref="AI119:AJ121"/>
    <mergeCell ref="AI116:AJ118"/>
    <mergeCell ref="AK116:AM118"/>
    <mergeCell ref="J117:L117"/>
    <mergeCell ref="J118:L118"/>
    <mergeCell ref="A119:F121"/>
    <mergeCell ref="G119:I121"/>
    <mergeCell ref="J119:L119"/>
    <mergeCell ref="M119:N121"/>
    <mergeCell ref="O119:Q121"/>
    <mergeCell ref="R119:T121"/>
    <mergeCell ref="R116:T118"/>
    <mergeCell ref="U116:W118"/>
    <mergeCell ref="X116:Z118"/>
    <mergeCell ref="AA116:AC118"/>
    <mergeCell ref="AD116:AE118"/>
    <mergeCell ref="AF116:AH118"/>
    <mergeCell ref="AF125:AH127"/>
    <mergeCell ref="AI125:AJ127"/>
    <mergeCell ref="AK125:AM127"/>
    <mergeCell ref="J126:L126"/>
    <mergeCell ref="J127:L127"/>
    <mergeCell ref="A128:F130"/>
    <mergeCell ref="G128:I130"/>
    <mergeCell ref="J128:L128"/>
    <mergeCell ref="M128:N130"/>
    <mergeCell ref="O128:Q130"/>
    <mergeCell ref="O125:Q127"/>
    <mergeCell ref="R125:T127"/>
    <mergeCell ref="U125:W127"/>
    <mergeCell ref="X125:Z127"/>
    <mergeCell ref="AA125:AC127"/>
    <mergeCell ref="AD125:AE127"/>
    <mergeCell ref="J123:L123"/>
    <mergeCell ref="J124:L124"/>
    <mergeCell ref="A125:F127"/>
    <mergeCell ref="G125:I127"/>
    <mergeCell ref="J125:L125"/>
    <mergeCell ref="M125:N127"/>
    <mergeCell ref="X122:Z124"/>
    <mergeCell ref="AA122:AC124"/>
    <mergeCell ref="AD122:AE124"/>
    <mergeCell ref="AF122:AH124"/>
    <mergeCell ref="AI122:AJ124"/>
    <mergeCell ref="AK122:AM124"/>
    <mergeCell ref="A135:L135"/>
    <mergeCell ref="M135:AH135"/>
    <mergeCell ref="AI135:AM136"/>
    <mergeCell ref="A136:L136"/>
    <mergeCell ref="M136:AH136"/>
    <mergeCell ref="A137:F139"/>
    <mergeCell ref="G137:I139"/>
    <mergeCell ref="J137:L139"/>
    <mergeCell ref="M137:N139"/>
    <mergeCell ref="O137:Q139"/>
    <mergeCell ref="AI128:AJ130"/>
    <mergeCell ref="AK128:AM130"/>
    <mergeCell ref="J129:L129"/>
    <mergeCell ref="J130:L130"/>
    <mergeCell ref="AI134:AM134"/>
    <mergeCell ref="R128:T130"/>
    <mergeCell ref="U128:W130"/>
    <mergeCell ref="X128:Z130"/>
    <mergeCell ref="AA128:AC130"/>
    <mergeCell ref="AD128:AE130"/>
    <mergeCell ref="AF128:AH130"/>
    <mergeCell ref="AA140:AC142"/>
    <mergeCell ref="AD140:AE142"/>
    <mergeCell ref="AF140:AH142"/>
    <mergeCell ref="AI140:AJ142"/>
    <mergeCell ref="AK140:AM142"/>
    <mergeCell ref="J141:L141"/>
    <mergeCell ref="J142:L142"/>
    <mergeCell ref="AI137:AJ139"/>
    <mergeCell ref="AK137:AM139"/>
    <mergeCell ref="A140:F142"/>
    <mergeCell ref="G140:I142"/>
    <mergeCell ref="J140:L140"/>
    <mergeCell ref="M140:N142"/>
    <mergeCell ref="O140:Q142"/>
    <mergeCell ref="R140:T142"/>
    <mergeCell ref="U140:W142"/>
    <mergeCell ref="X140:Z142"/>
    <mergeCell ref="R137:T139"/>
    <mergeCell ref="U137:W139"/>
    <mergeCell ref="X137:Z139"/>
    <mergeCell ref="AA137:AC139"/>
    <mergeCell ref="AD137:AE139"/>
    <mergeCell ref="AF137:AH139"/>
    <mergeCell ref="A81:AH81"/>
    <mergeCell ref="A134:AH134"/>
    <mergeCell ref="J147:L147"/>
    <mergeCell ref="J148:L148"/>
    <mergeCell ref="X146:Z148"/>
    <mergeCell ref="AA146:AC148"/>
    <mergeCell ref="AD146:AE148"/>
    <mergeCell ref="AF146:AH148"/>
    <mergeCell ref="AI146:AJ148"/>
    <mergeCell ref="AK146:AM148"/>
    <mergeCell ref="AK143:AM145"/>
    <mergeCell ref="J144:L144"/>
    <mergeCell ref="J145:L145"/>
    <mergeCell ref="A146:F148"/>
    <mergeCell ref="G146:I148"/>
    <mergeCell ref="J146:L146"/>
    <mergeCell ref="M146:N148"/>
    <mergeCell ref="O146:Q148"/>
    <mergeCell ref="R146:T148"/>
    <mergeCell ref="U146:W148"/>
    <mergeCell ref="U143:W145"/>
    <mergeCell ref="X143:Z145"/>
    <mergeCell ref="AA143:AC145"/>
    <mergeCell ref="AD143:AE145"/>
    <mergeCell ref="AF143:AH145"/>
    <mergeCell ref="AI143:AJ145"/>
    <mergeCell ref="A143:F145"/>
    <mergeCell ref="G143:I145"/>
    <mergeCell ref="J143:L143"/>
    <mergeCell ref="M143:N145"/>
    <mergeCell ref="O143:Q145"/>
    <mergeCell ref="R143:T145"/>
    <mergeCell ref="AB323:AE323"/>
    <mergeCell ref="AF323:AI323"/>
    <mergeCell ref="AJ323:AM323"/>
    <mergeCell ref="AJ320:AM320"/>
    <mergeCell ref="B321:K321"/>
    <mergeCell ref="L321:N321"/>
    <mergeCell ref="O321:Q321"/>
    <mergeCell ref="R321:U321"/>
    <mergeCell ref="V321:W321"/>
    <mergeCell ref="X321:AA321"/>
    <mergeCell ref="AB321:AE321"/>
    <mergeCell ref="AF321:AI321"/>
    <mergeCell ref="AJ321:AM321"/>
    <mergeCell ref="AF319:AI319"/>
    <mergeCell ref="AJ319:AM319"/>
    <mergeCell ref="B320:K320"/>
    <mergeCell ref="L320:N320"/>
    <mergeCell ref="O320:Q320"/>
    <mergeCell ref="R320:U320"/>
    <mergeCell ref="V320:W320"/>
    <mergeCell ref="X320:AA320"/>
    <mergeCell ref="AB320:AE320"/>
    <mergeCell ref="AF320:AI320"/>
  </mergeCells>
  <hyperlinks>
    <hyperlink ref="G11" r:id="rId1" xr:uid="{8EC73329-0C40-B44D-810D-9CDECFC4CF5F}"/>
  </hyperlinks>
  <pageMargins left="0.26234567901234568" right="0.25" top="0.75" bottom="0.75" header="0.3" footer="0.3"/>
  <pageSetup paperSize="9" scale="99" orientation="portrait" copies="18" r:id="rId2"/>
  <headerFooter>
    <oddFooter xml:space="preserve">&amp;C&amp;5
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DC1BF-0B6B-624A-8113-E5831DE4CE7D}">
  <dimension ref="A1:AM233"/>
  <sheetViews>
    <sheetView view="pageLayout" zoomScale="140" zoomScaleNormal="100" zoomScalePageLayoutView="140" workbookViewId="0">
      <selection activeCell="AA28" sqref="AA28"/>
    </sheetView>
  </sheetViews>
  <sheetFormatPr defaultColWidth="10.625" defaultRowHeight="15.75"/>
  <cols>
    <col min="1" max="3" width="2.375" customWidth="1"/>
    <col min="4" max="4" width="1.5" customWidth="1"/>
    <col min="5" max="5" width="0.625" hidden="1" customWidth="1"/>
    <col min="6" max="16" width="2.375" customWidth="1"/>
    <col min="17" max="17" width="1.125" customWidth="1"/>
    <col min="18" max="30" width="2.375" customWidth="1"/>
    <col min="31" max="31" width="3.125" customWidth="1"/>
    <col min="32" max="33" width="2.375" customWidth="1"/>
    <col min="34" max="34" width="0.875" customWidth="1"/>
    <col min="35" max="36" width="2.375" customWidth="1"/>
    <col min="37" max="37" width="1" customWidth="1"/>
    <col min="38" max="38" width="2.375" hidden="1" customWidth="1"/>
    <col min="39" max="39" width="6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VLOOKUP(AA15,'Date SPV'!$B:$P,3,FALSE)</f>
        <v>Sibiu Shopping City 2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VLOOKUP(AA15,'Date SPV'!$B:$P,15,FALSE)</f>
        <v>Calea Floreasca nr. 169A, Cladirea A, etajul 5, sectiunea A5.1, biroul nr.51,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VLOOKUP(AA15,'Date SPV'!$B:$P,12,FALSE)</f>
        <v>RO18129009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VLOOKUP(AA15,'Date SPV'!$B:$P,13,FALSE)</f>
        <v>J40/8220/2008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VLOOKUP(AA15,'Date SPV'!$B:$P,14,FALSE)</f>
        <v>RO64 RZBR 0000 0600 1873 4597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VLOOKUP(AA15,'Date SPV'!$B:$P,6,FALSE)</f>
        <v>21/28.02.2024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VLOOKUP(AA15,'Date SPV'!$B:$P,7,FALSE)</f>
        <v>42/28.02.2024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VLOOKUP(AA15,'Date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VLOOKUP(AA15,'Date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 ht="33.950000000000003" customHeight="1">
      <c r="A14" s="695" t="s">
        <v>749</v>
      </c>
      <c r="B14" s="695"/>
      <c r="C14" s="695"/>
      <c r="D14" s="695"/>
      <c r="E14" s="695"/>
      <c r="F14" s="698"/>
      <c r="G14" s="706">
        <f>'Date masura OD'!$I$5</f>
        <v>45778</v>
      </c>
      <c r="H14" s="707"/>
      <c r="I14" s="707"/>
      <c r="J14" s="707"/>
      <c r="K14" s="707"/>
      <c r="L14" s="707"/>
      <c r="M14" s="68" t="s">
        <v>69</v>
      </c>
      <c r="N14" s="707">
        <f>'Date masura OD'!$J$5</f>
        <v>45808</v>
      </c>
      <c r="O14" s="707"/>
      <c r="P14" s="707"/>
      <c r="Q14" s="707"/>
      <c r="R14" s="707"/>
      <c r="S14" s="708"/>
      <c r="T14" s="67"/>
      <c r="U14" s="695" t="s">
        <v>857</v>
      </c>
      <c r="V14" s="695"/>
      <c r="W14" s="695"/>
      <c r="X14" s="695"/>
      <c r="Y14" s="695"/>
      <c r="Z14" s="695"/>
      <c r="AA14" s="649" t="s">
        <v>755</v>
      </c>
      <c r="AB14" s="649"/>
      <c r="AC14" s="649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</row>
    <row r="15" spans="1:39" ht="33.950000000000003" customHeight="1">
      <c r="A15" s="695" t="s">
        <v>753</v>
      </c>
      <c r="B15" s="695"/>
      <c r="C15" s="695"/>
      <c r="D15" s="695"/>
      <c r="E15" s="695"/>
      <c r="F15" s="695"/>
      <c r="G15" s="696" t="s">
        <v>754</v>
      </c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7"/>
      <c r="U15" s="695" t="s">
        <v>750</v>
      </c>
      <c r="V15" s="695"/>
      <c r="W15" s="695"/>
      <c r="X15" s="695"/>
      <c r="Y15" s="695"/>
      <c r="Z15" s="695"/>
      <c r="AA15" s="697" t="s">
        <v>17</v>
      </c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</row>
    <row r="16" spans="1:39">
      <c r="A16" s="62"/>
      <c r="B16" s="62"/>
      <c r="C16" s="62"/>
      <c r="D16" s="62"/>
      <c r="E16" s="62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U16" s="62"/>
      <c r="V16" s="62"/>
      <c r="W16" s="62"/>
      <c r="X16" s="62"/>
      <c r="Y16" s="62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AB232</f>
        <v>123778.7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AF232</f>
        <v>23517.940000000002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AJ232</f>
        <v>147296.63999999998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147296.63999999998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R195+R209+R210+R213</f>
        <v>131272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1.1220720336400754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24" t="s">
        <v>1504</v>
      </c>
      <c r="B27" s="624"/>
      <c r="C27" s="624"/>
      <c r="D27" s="624"/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624"/>
      <c r="U27" s="624"/>
      <c r="V27" s="624"/>
      <c r="W27" s="624"/>
      <c r="X27" s="624"/>
      <c r="Y27" s="624"/>
      <c r="Z27" s="624"/>
      <c r="AA27" s="624"/>
      <c r="AB27" s="624"/>
      <c r="AC27" s="624"/>
      <c r="AD27" s="624"/>
      <c r="AE27" s="624"/>
      <c r="AF27" s="624"/>
      <c r="AG27" s="624"/>
      <c r="AH27" s="624"/>
      <c r="AI27" s="624"/>
      <c r="AJ27" s="624"/>
      <c r="AK27" s="624"/>
      <c r="AL27" s="624"/>
      <c r="AM27" s="624"/>
    </row>
    <row r="28" spans="1:39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VLOOKUP($AA$15,'Date SPV'!$B:$H,4,FALSE)</f>
        <v>Sos. Sibiului, nr. 5, loc. Sibiu, jud. Sibiu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5000290941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_xlfn.CONCAT($AA$15,"_",1)</f>
        <v>RSSC_1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594020200001926325/1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RSSC_1.1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1372628250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VLOOKUP(AI35,'Incrementare indexe'!$B:$T,4,FALSE)</f>
        <v>1</v>
      </c>
      <c r="P40" s="648"/>
      <c r="Q40" s="648"/>
      <c r="R40" s="647" t="str">
        <f>VLOOKUP(A40,Regularizare!$D:$YN,3,FALSE)&amp;" ("&amp;VLOOKUP(A40,Regularizare!$D:$Y,11,FALSE)&amp;")"</f>
        <v>915362 (citit)</v>
      </c>
      <c r="S40" s="647"/>
      <c r="T40" s="647"/>
      <c r="U40" s="647" t="str">
        <f>VLOOKUP(A40,Regularizare!$D:$U,4,FALSE)&amp;" ("&amp;VLOOKUP(A40,Regularizare!$D:$U,12,FALSE)&amp;")"</f>
        <v>963363 (estimat)</v>
      </c>
      <c r="V40" s="647"/>
      <c r="W40" s="647"/>
      <c r="X40" s="647" t="str">
        <f>VLOOKUP(A40,Regularizare!$D:$Y,19,FALSE)&amp;" ("&amp;VLOOKUP(A40,Regularizare!$D:$U,12,FALSE)&amp;")"</f>
        <v>48001 (estimat)</v>
      </c>
      <c r="Y40" s="647"/>
      <c r="Z40" s="647"/>
      <c r="AA40" s="647">
        <f>(-1)*VLOOKUP(A40,Regularizare!$D:$Y,19,FALSE)</f>
        <v>-48001</v>
      </c>
      <c r="AB40" s="647"/>
      <c r="AC40" s="647"/>
      <c r="AD40" s="647" t="s">
        <v>69</v>
      </c>
      <c r="AE40" s="647"/>
      <c r="AF40" s="647">
        <f>AA40</f>
        <v>-48001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9.75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1372628250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17455 (citit)</v>
      </c>
      <c r="S43" s="647"/>
      <c r="T43" s="647"/>
      <c r="U43" s="647" t="str">
        <f>VLOOKUP(A43,Regularizare!$D:$U,8,FALSE)&amp;" ("&amp;VLOOKUP(A43,Regularizare!$D:$U,16,FALSE)&amp;")"</f>
        <v>17455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1372628250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O43</f>
        <v>1</v>
      </c>
      <c r="P46" s="648"/>
      <c r="Q46" s="648"/>
      <c r="R46" s="647" t="str">
        <f>VLOOKUP(A46,Regularizare!$D:$U,9,FALSE)&amp;" ("&amp;VLOOKUP(A46,Regularizare!$D:$U,17,FALSE)&amp;")"</f>
        <v>47914 (citit)</v>
      </c>
      <c r="S46" s="647"/>
      <c r="T46" s="647"/>
      <c r="U46" s="647" t="str">
        <f>VLOOKUP(A46,Regularizare!$D:$U,10,FALSE)&amp;" ("&amp;VLOOKUP(A46,Regularizare!$D:$U,18,FALSE)&amp;")"</f>
        <v>47914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1372628250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915362 (citit)</v>
      </c>
      <c r="S49" s="647"/>
      <c r="T49" s="647"/>
      <c r="U49" s="647" t="str">
        <f>VLOOKUP(A49,Regularizare!$D:$AX,25,FALSE)&amp;" ("&amp;VLOOKUP(A49,Regularizare!$D:$AX,26,FALSE)&amp;")"</f>
        <v>963363 (citit)</v>
      </c>
      <c r="V49" s="647"/>
      <c r="W49" s="647"/>
      <c r="X49" s="647" t="str">
        <f>VLOOKUP(A49,Regularizare!$D:$AX,37,FALSE)&amp;" ("&amp;VLOOKUP(A49,Regularizare!$D:$AX,26,FALSE)&amp;")"</f>
        <v>48001 (citit)</v>
      </c>
      <c r="Y49" s="647"/>
      <c r="Z49" s="647"/>
      <c r="AA49" s="647">
        <f>VLOOKUP(A49,Regularizare!$D:$AX,37,FALSE)</f>
        <v>48001</v>
      </c>
      <c r="AB49" s="647"/>
      <c r="AC49" s="647"/>
      <c r="AD49" s="647" t="s">
        <v>69</v>
      </c>
      <c r="AE49" s="647"/>
      <c r="AF49" s="647">
        <f>AA49</f>
        <v>48001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1372628250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O49</f>
        <v>1</v>
      </c>
      <c r="P52" s="648"/>
      <c r="Q52" s="648"/>
      <c r="R52" s="647" t="str">
        <f>VLOOKUP(A52,Regularizare!$D:$AX,29,FALSE)&amp;" ("&amp;VLOOKUP(A52,Regularizare!$D:$AX,30,FALSE)&amp;")"</f>
        <v>17455 (citit)</v>
      </c>
      <c r="S52" s="647"/>
      <c r="T52" s="647"/>
      <c r="U52" s="647" t="str">
        <f>VLOOKUP(A52,Regularizare!$D:$AX,31,FALSE)&amp;" ("&amp;VLOOKUP(A52,Regularizare!$D:$AX,32,FALSE)&amp;")"</f>
        <v>17456 (citit)</v>
      </c>
      <c r="V52" s="647"/>
      <c r="W52" s="647"/>
      <c r="X52" s="647" t="str">
        <f>VLOOKUP(A52,Regularizare!$D:$AX,39,FALSE)&amp;" ("&amp;VLOOKUP(A52,Regularizare!$D:$AX,32,FALSE)&amp;")"</f>
        <v>1 (citit)</v>
      </c>
      <c r="Y52" s="647"/>
      <c r="Z52" s="647"/>
      <c r="AA52" s="647">
        <f>VLOOKUP(A52,Regularizare!$D:$AX,44,FALSE)+VLOOKUP(A52,Regularizare!$D:$AX,45,FALSE)</f>
        <v>1</v>
      </c>
      <c r="AB52" s="647"/>
      <c r="AC52" s="647"/>
      <c r="AD52" s="647" t="s">
        <v>69</v>
      </c>
      <c r="AE52" s="647"/>
      <c r="AF52" s="647">
        <f>AA52</f>
        <v>1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1372628250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47914 (citit)</v>
      </c>
      <c r="S55" s="647"/>
      <c r="T55" s="647"/>
      <c r="U55" s="647" t="str">
        <f>VLOOKUP(A55,Regularizare!$D:$AX,35,FALSE)&amp;" ("&amp;VLOOKUP(A55,Regularizare!$D:$AX,36,FALSE)&amp;")"</f>
        <v>47914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1372628250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O55</f>
        <v>1</v>
      </c>
      <c r="P58" s="648"/>
      <c r="Q58" s="648"/>
      <c r="R58" s="647" t="str">
        <f>U49</f>
        <v>963363 (citit)</v>
      </c>
      <c r="S58" s="647"/>
      <c r="T58" s="647"/>
      <c r="U58" s="647" t="str">
        <f>VLOOKUP(A58,'Incrementare indexe'!$D:$M,4,FALSE)&amp;" (estimat)"</f>
        <v>1010477 (estimat)</v>
      </c>
      <c r="V58" s="647"/>
      <c r="W58" s="647"/>
      <c r="X58" s="647" t="str">
        <f>VLOOKUP(A58,'Incrementare indexe'!$D:$Q,11,FALSE)&amp;" (estimat)"</f>
        <v>47114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47114</v>
      </c>
      <c r="AG58" s="647"/>
      <c r="AH58" s="647"/>
      <c r="AI58" s="647">
        <f>J60-J58+1</f>
        <v>31</v>
      </c>
      <c r="AJ58" s="647"/>
      <c r="AK58" s="647">
        <f>ROUND(AF58/AI58,2)</f>
        <v>1519.81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1372628250</v>
      </c>
      <c r="B61" s="679"/>
      <c r="C61" s="679"/>
      <c r="D61" s="679"/>
      <c r="E61" s="679"/>
      <c r="F61" s="680"/>
      <c r="G61" s="648" t="s">
        <v>696</v>
      </c>
      <c r="H61" s="648"/>
      <c r="I61" s="648"/>
      <c r="J61" s="655">
        <f t="shared" ref="J61:J66" si="2">J58</f>
        <v>45778</v>
      </c>
      <c r="K61" s="656"/>
      <c r="L61" s="657"/>
      <c r="M61" s="648" t="s">
        <v>720</v>
      </c>
      <c r="N61" s="648"/>
      <c r="O61" s="648">
        <f>O58</f>
        <v>1</v>
      </c>
      <c r="P61" s="648"/>
      <c r="Q61" s="648"/>
      <c r="R61" s="647" t="str">
        <f>U52</f>
        <v>17456 (citit)</v>
      </c>
      <c r="S61" s="647"/>
      <c r="T61" s="647"/>
      <c r="U61" s="647" t="str">
        <f>VLOOKUP(A61,'Incrementare indexe'!$D:$M,8,FALSE)&amp;" (estimat)"</f>
        <v>17456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8"/>
      <c r="H62" s="648"/>
      <c r="I62" s="648"/>
      <c r="J62" s="717" t="str">
        <f t="shared" si="2"/>
        <v>-</v>
      </c>
      <c r="K62" s="718"/>
      <c r="L62" s="719"/>
      <c r="M62" s="648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8"/>
      <c r="H63" s="648"/>
      <c r="I63" s="648"/>
      <c r="J63" s="714">
        <f t="shared" si="2"/>
        <v>45808</v>
      </c>
      <c r="K63" s="715"/>
      <c r="L63" s="716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1372628250</v>
      </c>
      <c r="B64" s="679"/>
      <c r="C64" s="679"/>
      <c r="D64" s="679"/>
      <c r="E64" s="679"/>
      <c r="F64" s="680"/>
      <c r="G64" s="648" t="s">
        <v>731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O61</f>
        <v>1</v>
      </c>
      <c r="P64" s="648"/>
      <c r="Q64" s="648"/>
      <c r="R64" s="647" t="str">
        <f>U55</f>
        <v>47914 (citit)</v>
      </c>
      <c r="S64" s="647"/>
      <c r="T64" s="647"/>
      <c r="U64" s="647" t="str">
        <f>VLOOKUP(A64,'Incrementare indexe'!$D:$M,10,FALSE)&amp;" (estimat)"</f>
        <v>47914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196"/>
      <c r="B67" s="196"/>
      <c r="C67" s="196"/>
      <c r="D67" s="196"/>
      <c r="E67" s="196"/>
      <c r="F67" s="196"/>
      <c r="G67" s="196"/>
      <c r="H67" s="196"/>
      <c r="I67" s="196"/>
      <c r="J67" s="197"/>
      <c r="K67" s="197"/>
      <c r="L67" s="197"/>
      <c r="M67" s="196"/>
      <c r="N67" s="196"/>
      <c r="O67" s="196"/>
      <c r="P67" s="196"/>
      <c r="Q67" s="196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54"/>
      <c r="B78" s="54"/>
      <c r="C78" s="54"/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</row>
    <row r="79" spans="1:39" ht="14.1" customHeight="1">
      <c r="A79" s="54"/>
      <c r="B79" s="54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</row>
    <row r="80" spans="1:39" ht="14.1" customHeight="1">
      <c r="A80" s="721" t="s">
        <v>1196</v>
      </c>
      <c r="B80" s="722"/>
      <c r="C80" s="722"/>
      <c r="D80" s="722"/>
      <c r="E80" s="722"/>
      <c r="F80" s="722"/>
      <c r="G80" s="722"/>
      <c r="H80" s="722"/>
      <c r="I80" s="722"/>
      <c r="J80" s="722"/>
      <c r="K80" s="722"/>
      <c r="L80" s="722"/>
      <c r="M80" s="722"/>
      <c r="N80" s="722"/>
      <c r="O80" s="722"/>
      <c r="P80" s="722"/>
      <c r="Q80" s="722"/>
      <c r="R80" s="722"/>
      <c r="S80" s="722"/>
      <c r="T80" s="722"/>
      <c r="U80" s="722"/>
      <c r="V80" s="722"/>
      <c r="W80" s="722"/>
      <c r="X80" s="722"/>
      <c r="Y80" s="722"/>
      <c r="Z80" s="722"/>
      <c r="AA80" s="722"/>
      <c r="AB80" s="722"/>
      <c r="AC80" s="722"/>
      <c r="AD80" s="722"/>
      <c r="AE80" s="722"/>
      <c r="AF80" s="722"/>
      <c r="AG80" s="722"/>
      <c r="AH80" s="723"/>
      <c r="AI80" s="650" t="s">
        <v>695</v>
      </c>
      <c r="AJ80" s="650"/>
      <c r="AK80" s="650"/>
      <c r="AL80" s="650"/>
      <c r="AM80" s="650"/>
    </row>
    <row r="81" spans="1:39" ht="14.1" customHeight="1">
      <c r="A81" s="649" t="s">
        <v>746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">
        <v>514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19" t="str">
        <f>_xlfn.CONCAT(AI35,"/PV")</f>
        <v>RSSC_1.1/PV</v>
      </c>
      <c r="AJ81" s="619"/>
      <c r="AK81" s="619"/>
      <c r="AL81" s="619"/>
      <c r="AM81" s="619"/>
    </row>
    <row r="82" spans="1:39" ht="14.1" customHeight="1">
      <c r="A82" s="649" t="s">
        <v>747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">
        <v>1087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/>
      <c r="AJ82" s="619"/>
      <c r="AK82" s="619"/>
      <c r="AL82" s="619"/>
      <c r="AM82" s="619"/>
    </row>
    <row r="83" spans="1:39" ht="14.1" customHeight="1">
      <c r="A83" s="648" t="s">
        <v>697</v>
      </c>
      <c r="B83" s="648"/>
      <c r="C83" s="648"/>
      <c r="D83" s="648"/>
      <c r="E83" s="648"/>
      <c r="F83" s="648"/>
      <c r="G83" s="647" t="s">
        <v>713</v>
      </c>
      <c r="H83" s="647"/>
      <c r="I83" s="647"/>
      <c r="J83" s="647" t="s">
        <v>714</v>
      </c>
      <c r="K83" s="647"/>
      <c r="L83" s="647"/>
      <c r="M83" s="648" t="s">
        <v>519</v>
      </c>
      <c r="N83" s="648"/>
      <c r="O83" s="648" t="s">
        <v>715</v>
      </c>
      <c r="P83" s="648"/>
      <c r="Q83" s="648"/>
      <c r="R83" s="647" t="s">
        <v>732</v>
      </c>
      <c r="S83" s="647"/>
      <c r="T83" s="647"/>
      <c r="U83" s="647" t="s">
        <v>734</v>
      </c>
      <c r="V83" s="647"/>
      <c r="W83" s="647"/>
      <c r="X83" s="647" t="s">
        <v>1085</v>
      </c>
      <c r="Y83" s="647"/>
      <c r="Z83" s="647"/>
      <c r="AA83" s="647" t="s">
        <v>1086</v>
      </c>
      <c r="AB83" s="647"/>
      <c r="AC83" s="647"/>
      <c r="AD83" s="647" t="s">
        <v>717</v>
      </c>
      <c r="AE83" s="647"/>
      <c r="AF83" s="647" t="s">
        <v>718</v>
      </c>
      <c r="AG83" s="647"/>
      <c r="AH83" s="647"/>
      <c r="AI83" s="647" t="s">
        <v>719</v>
      </c>
      <c r="AJ83" s="647"/>
      <c r="AK83" s="647" t="s">
        <v>733</v>
      </c>
      <c r="AL83" s="647"/>
      <c r="AM83" s="647"/>
    </row>
    <row r="84" spans="1:39" ht="14.1" customHeight="1">
      <c r="A84" s="648"/>
      <c r="B84" s="648"/>
      <c r="C84" s="648"/>
      <c r="D84" s="648"/>
      <c r="E84" s="648"/>
      <c r="F84" s="648"/>
      <c r="G84" s="647"/>
      <c r="H84" s="647"/>
      <c r="I84" s="647"/>
      <c r="J84" s="647"/>
      <c r="K84" s="647"/>
      <c r="L84" s="647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48"/>
      <c r="B85" s="648"/>
      <c r="C85" s="648"/>
      <c r="D85" s="648"/>
      <c r="E85" s="648"/>
      <c r="F85" s="648"/>
      <c r="G85" s="647"/>
      <c r="H85" s="647"/>
      <c r="I85" s="647"/>
      <c r="J85" s="713"/>
      <c r="K85" s="713"/>
      <c r="L85" s="713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78">
        <f>VLOOKUP(AI81,'Incrementare indexe'!$B:$I,3,FALSE)</f>
        <v>1372644189</v>
      </c>
      <c r="B86" s="679"/>
      <c r="C86" s="679"/>
      <c r="D86" s="679"/>
      <c r="E86" s="679"/>
      <c r="F86" s="680"/>
      <c r="G86" s="647" t="s">
        <v>1088</v>
      </c>
      <c r="H86" s="647"/>
      <c r="I86" s="675"/>
      <c r="J86" s="655">
        <f>'Date masura OD'!$I$5</f>
        <v>45778</v>
      </c>
      <c r="K86" s="656"/>
      <c r="L86" s="657"/>
      <c r="M86" s="720" t="s">
        <v>446</v>
      </c>
      <c r="N86" s="648"/>
      <c r="O86" s="648">
        <f>VLOOKUP(AI81,'Incrementare indexe'!$B:$I,4,FALSE)</f>
        <v>1</v>
      </c>
      <c r="P86" s="648"/>
      <c r="Q86" s="648"/>
      <c r="R86" s="647" t="str">
        <f>VLOOKUP(AI81,'Incrementare indexe'!$B:$I,7,FALSE)&amp;" (citit)"</f>
        <v>449985 (citit)</v>
      </c>
      <c r="S86" s="647"/>
      <c r="T86" s="647"/>
      <c r="U86" s="647" t="str">
        <f>VLOOKUP(AI81,'Incrementare indexe'!$B:$I,8,FALSE)&amp;" (citit)"</f>
        <v>455329 (citit)</v>
      </c>
      <c r="V86" s="647"/>
      <c r="W86" s="647"/>
      <c r="X86" s="647" t="str">
        <f>(VLOOKUP(AI81,'Incrementare indexe'!$B:$I,8,FALSE)-VLOOKUP(AI81,'Incrementare indexe'!$B:$I,7,FALSE))&amp;" (citit)"</f>
        <v>5344 (citit)</v>
      </c>
      <c r="Y86" s="647"/>
      <c r="Z86" s="647"/>
      <c r="AA86" s="647" t="s">
        <v>69</v>
      </c>
      <c r="AB86" s="647"/>
      <c r="AC86" s="647"/>
      <c r="AD86" s="647" t="s">
        <v>69</v>
      </c>
      <c r="AE86" s="647"/>
      <c r="AF86" s="647">
        <f>(VLOOKUP(AI81,'Incrementare indexe'!$B:$I,8,FALSE)-VLOOKUP(AI81,'Incrementare indexe'!$B:$I,7,FALSE))</f>
        <v>5344</v>
      </c>
      <c r="AG86" s="647"/>
      <c r="AH86" s="647"/>
      <c r="AI86" s="647">
        <f>J88-J86+1</f>
        <v>31</v>
      </c>
      <c r="AJ86" s="647"/>
      <c r="AK86" s="647">
        <f>ROUND(AF86/AI86,2)</f>
        <v>172.39</v>
      </c>
      <c r="AL86" s="647"/>
      <c r="AM86" s="647"/>
    </row>
    <row r="87" spans="1:39" ht="14.1" customHeight="1">
      <c r="A87" s="717"/>
      <c r="B87" s="718"/>
      <c r="C87" s="718"/>
      <c r="D87" s="718"/>
      <c r="E87" s="718"/>
      <c r="F87" s="719"/>
      <c r="G87" s="647"/>
      <c r="H87" s="647"/>
      <c r="I87" s="675"/>
      <c r="J87" s="717" t="s">
        <v>69</v>
      </c>
      <c r="K87" s="718"/>
      <c r="L87" s="719"/>
      <c r="M87" s="720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81"/>
      <c r="B88" s="682"/>
      <c r="C88" s="682"/>
      <c r="D88" s="682"/>
      <c r="E88" s="682"/>
      <c r="F88" s="683"/>
      <c r="G88" s="647"/>
      <c r="H88" s="647"/>
      <c r="I88" s="675"/>
      <c r="J88" s="714">
        <f>'Date masura OD'!$J$5</f>
        <v>45808</v>
      </c>
      <c r="K88" s="715"/>
      <c r="L88" s="716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78">
        <f>A86</f>
        <v>1372644189</v>
      </c>
      <c r="B89" s="679"/>
      <c r="C89" s="679"/>
      <c r="D89" s="679"/>
      <c r="E89" s="679"/>
      <c r="F89" s="680"/>
      <c r="G89" s="648" t="s">
        <v>696</v>
      </c>
      <c r="H89" s="648"/>
      <c r="I89" s="648"/>
      <c r="J89" s="655">
        <f t="shared" ref="J89:J94" si="3">J86</f>
        <v>45778</v>
      </c>
      <c r="K89" s="656"/>
      <c r="L89" s="657"/>
      <c r="M89" s="648" t="s">
        <v>720</v>
      </c>
      <c r="N89" s="648"/>
      <c r="O89" s="648">
        <f>O86</f>
        <v>1</v>
      </c>
      <c r="P89" s="648"/>
      <c r="Q89" s="648"/>
      <c r="R89" s="647" t="s">
        <v>1089</v>
      </c>
      <c r="S89" s="647"/>
      <c r="T89" s="647"/>
      <c r="U89" s="647" t="s">
        <v>1089</v>
      </c>
      <c r="V89" s="647"/>
      <c r="W89" s="647"/>
      <c r="X89" s="647" t="s">
        <v>1089</v>
      </c>
      <c r="Y89" s="647"/>
      <c r="Z89" s="647"/>
      <c r="AA89" s="647" t="s">
        <v>69</v>
      </c>
      <c r="AB89" s="647"/>
      <c r="AC89" s="647"/>
      <c r="AD89" s="647" t="s">
        <v>69</v>
      </c>
      <c r="AE89" s="647"/>
      <c r="AF89" s="647">
        <v>0</v>
      </c>
      <c r="AG89" s="647"/>
      <c r="AH89" s="647"/>
      <c r="AI89" s="647">
        <f>AI86</f>
        <v>31</v>
      </c>
      <c r="AJ89" s="647"/>
      <c r="AK89" s="647">
        <f>ROUND(AF89/AI89,2)</f>
        <v>0</v>
      </c>
      <c r="AL89" s="647"/>
      <c r="AM89" s="647"/>
    </row>
    <row r="90" spans="1:39" ht="14.1" customHeight="1">
      <c r="A90" s="717"/>
      <c r="B90" s="718"/>
      <c r="C90" s="718"/>
      <c r="D90" s="718"/>
      <c r="E90" s="718"/>
      <c r="F90" s="719"/>
      <c r="G90" s="648"/>
      <c r="H90" s="648"/>
      <c r="I90" s="648"/>
      <c r="J90" s="717" t="str">
        <f t="shared" si="3"/>
        <v>-</v>
      </c>
      <c r="K90" s="718"/>
      <c r="L90" s="719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1"/>
      <c r="B91" s="682"/>
      <c r="C91" s="682"/>
      <c r="D91" s="682"/>
      <c r="E91" s="682"/>
      <c r="F91" s="683"/>
      <c r="G91" s="648"/>
      <c r="H91" s="648"/>
      <c r="I91" s="648"/>
      <c r="J91" s="714">
        <f t="shared" si="3"/>
        <v>45808</v>
      </c>
      <c r="K91" s="715"/>
      <c r="L91" s="716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A89</f>
        <v>1372644189</v>
      </c>
      <c r="B92" s="679"/>
      <c r="C92" s="679"/>
      <c r="D92" s="679"/>
      <c r="E92" s="679"/>
      <c r="F92" s="680"/>
      <c r="G92" s="648" t="s">
        <v>731</v>
      </c>
      <c r="H92" s="648"/>
      <c r="I92" s="648"/>
      <c r="J92" s="655">
        <f t="shared" si="3"/>
        <v>45778</v>
      </c>
      <c r="K92" s="656"/>
      <c r="L92" s="657"/>
      <c r="M92" s="648" t="s">
        <v>720</v>
      </c>
      <c r="N92" s="648"/>
      <c r="O92" s="648">
        <f>O89</f>
        <v>1</v>
      </c>
      <c r="P92" s="648"/>
      <c r="Q92" s="648"/>
      <c r="R92" s="647" t="s">
        <v>1089</v>
      </c>
      <c r="S92" s="647"/>
      <c r="T92" s="647"/>
      <c r="U92" s="647" t="s">
        <v>1089</v>
      </c>
      <c r="V92" s="647"/>
      <c r="W92" s="647"/>
      <c r="X92" s="647" t="s">
        <v>1089</v>
      </c>
      <c r="Y92" s="647"/>
      <c r="Z92" s="647"/>
      <c r="AA92" s="647" t="s">
        <v>69</v>
      </c>
      <c r="AB92" s="647"/>
      <c r="AC92" s="647"/>
      <c r="AD92" s="647" t="s">
        <v>69</v>
      </c>
      <c r="AE92" s="647"/>
      <c r="AF92" s="647">
        <v>0</v>
      </c>
      <c r="AG92" s="647"/>
      <c r="AH92" s="647"/>
      <c r="AI92" s="647">
        <f>AI89</f>
        <v>31</v>
      </c>
      <c r="AJ92" s="647"/>
      <c r="AK92" s="647">
        <f>ROUND(AF92/AI92,2)</f>
        <v>0</v>
      </c>
      <c r="AL92" s="647"/>
      <c r="AM92" s="647"/>
    </row>
    <row r="93" spans="1:39" ht="14.1" customHeight="1">
      <c r="A93" s="717"/>
      <c r="B93" s="718"/>
      <c r="C93" s="718"/>
      <c r="D93" s="718"/>
      <c r="E93" s="718"/>
      <c r="F93" s="719"/>
      <c r="G93" s="648"/>
      <c r="H93" s="648"/>
      <c r="I93" s="648"/>
      <c r="J93" s="717" t="str">
        <f t="shared" si="3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48"/>
      <c r="J94" s="714">
        <f t="shared" si="3"/>
        <v>45808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1:39" ht="14.1" customHeight="1">
      <c r="A96" s="695" t="s">
        <v>858</v>
      </c>
      <c r="B96" s="695"/>
      <c r="C96" s="695"/>
      <c r="D96" s="695"/>
      <c r="E96" s="695"/>
      <c r="F96" s="695"/>
      <c r="G96" s="695"/>
      <c r="H96" s="695" t="str">
        <f>VLOOKUP($AA$15,'Date SPV'!$B:$H,4,FALSE)</f>
        <v>Sos. Sibiului, nr. 5, loc. Sibiu, jud. Sibiu</v>
      </c>
      <c r="I96" s="695"/>
      <c r="J96" s="695"/>
      <c r="K96" s="695"/>
      <c r="L96" s="695"/>
      <c r="M96" s="695"/>
      <c r="N96" s="695"/>
      <c r="O96" s="695"/>
      <c r="P96" s="695"/>
      <c r="Q96" s="695"/>
      <c r="R96" s="695"/>
      <c r="S96" s="695"/>
      <c r="T96" s="695"/>
      <c r="U96" s="695"/>
      <c r="V96" s="695"/>
      <c r="W96" s="695"/>
      <c r="X96" s="695"/>
      <c r="Y96" s="695"/>
      <c r="Z96" s="695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</row>
    <row r="97" spans="1:39" ht="14.1" customHeight="1">
      <c r="A97" s="695"/>
      <c r="B97" s="695"/>
      <c r="C97" s="695"/>
      <c r="D97" s="695"/>
      <c r="E97" s="695"/>
      <c r="F97" s="695"/>
      <c r="G97" s="695"/>
      <c r="H97" s="695"/>
      <c r="I97" s="695"/>
      <c r="J97" s="695"/>
      <c r="K97" s="695"/>
      <c r="L97" s="695"/>
      <c r="M97" s="695"/>
      <c r="N97" s="695"/>
      <c r="O97" s="695"/>
      <c r="P97" s="695"/>
      <c r="Q97" s="695"/>
      <c r="R97" s="695"/>
      <c r="S97" s="695"/>
      <c r="T97" s="695"/>
      <c r="U97" s="695"/>
      <c r="V97" s="695"/>
      <c r="W97" s="695"/>
      <c r="X97" s="695"/>
      <c r="Y97" s="695"/>
      <c r="Z97" s="695"/>
      <c r="AA97" s="695"/>
      <c r="AB97" s="695"/>
      <c r="AC97" s="695"/>
      <c r="AD97" s="695"/>
      <c r="AE97" s="695"/>
      <c r="AF97" s="695"/>
      <c r="AG97" s="695"/>
      <c r="AH97" s="695"/>
      <c r="AI97" s="695"/>
      <c r="AJ97" s="695"/>
      <c r="AK97" s="695"/>
      <c r="AL97" s="695"/>
      <c r="AM97" s="695"/>
    </row>
    <row r="98" spans="1:39" ht="14.1" customHeight="1">
      <c r="A98" s="695" t="s">
        <v>859</v>
      </c>
      <c r="B98" s="695"/>
      <c r="C98" s="695"/>
      <c r="D98" s="695"/>
      <c r="E98" s="695"/>
      <c r="F98" s="695"/>
      <c r="G98" s="695"/>
      <c r="H98" s="712">
        <f>VLOOKUP(AA98,'Date masura OD'!$G:$BE,51,FALSE)</f>
        <v>5000290951</v>
      </c>
      <c r="I98" s="712"/>
      <c r="J98" s="712"/>
      <c r="K98" s="712"/>
      <c r="L98" s="712"/>
      <c r="M98" s="712"/>
      <c r="N98" s="712"/>
      <c r="O98" s="712"/>
      <c r="P98" s="712"/>
      <c r="Q98" s="712"/>
      <c r="R98" s="712"/>
      <c r="S98" s="712"/>
      <c r="T98" s="712"/>
      <c r="U98" s="712"/>
      <c r="V98" s="712"/>
      <c r="W98" s="712" t="s">
        <v>860</v>
      </c>
      <c r="X98" s="712"/>
      <c r="Y98" s="712"/>
      <c r="Z98" s="712"/>
      <c r="AA98" s="640" t="str">
        <f>_xlfn.CONCAT($AA$15,"_",2)</f>
        <v>RSSC_2</v>
      </c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</row>
    <row r="99" spans="1:39" ht="14.1" customHeight="1">
      <c r="A99" s="695"/>
      <c r="B99" s="695"/>
      <c r="C99" s="695"/>
      <c r="D99" s="695"/>
      <c r="E99" s="695"/>
      <c r="F99" s="695"/>
      <c r="G99" s="695"/>
      <c r="H99" s="712"/>
      <c r="I99" s="712"/>
      <c r="J99" s="712"/>
      <c r="K99" s="712"/>
      <c r="L99" s="712"/>
      <c r="M99" s="712"/>
      <c r="N99" s="712"/>
      <c r="O99" s="712"/>
      <c r="P99" s="712"/>
      <c r="Q99" s="712"/>
      <c r="R99" s="712"/>
      <c r="S99" s="712"/>
      <c r="T99" s="712"/>
      <c r="U99" s="712"/>
      <c r="V99" s="712"/>
      <c r="W99" s="712"/>
      <c r="X99" s="712"/>
      <c r="Y99" s="712"/>
      <c r="Z99" s="712"/>
      <c r="AA99" s="640"/>
      <c r="AB99" s="640"/>
      <c r="AC99" s="640"/>
      <c r="AD99" s="640"/>
      <c r="AE99" s="640"/>
      <c r="AF99" s="640"/>
      <c r="AG99" s="640"/>
      <c r="AH99" s="640"/>
      <c r="AI99" s="640"/>
      <c r="AJ99" s="640"/>
      <c r="AK99" s="640"/>
      <c r="AL99" s="640"/>
      <c r="AM99" s="640"/>
    </row>
    <row r="101" spans="1:39">
      <c r="A101" s="649" t="s">
        <v>748</v>
      </c>
      <c r="B101" s="649"/>
      <c r="C101" s="649"/>
      <c r="D101" s="649"/>
      <c r="E101" s="649"/>
      <c r="F101" s="649"/>
      <c r="G101" s="649"/>
      <c r="H101" s="649"/>
      <c r="I101" s="649"/>
      <c r="J101" s="649"/>
      <c r="K101" s="649"/>
      <c r="L101" s="649"/>
      <c r="M101" s="650" t="str">
        <f>VLOOKUP(AI102,'Contorizare in SDI'!$E:$I,4,FALSE)</f>
        <v>594020200001926332/1</v>
      </c>
      <c r="N101" s="650"/>
      <c r="O101" s="650"/>
      <c r="P101" s="650"/>
      <c r="Q101" s="650"/>
      <c r="R101" s="650"/>
      <c r="S101" s="650"/>
      <c r="T101" s="650"/>
      <c r="U101" s="650"/>
      <c r="V101" s="650"/>
      <c r="W101" s="650"/>
      <c r="X101" s="650"/>
      <c r="Y101" s="650"/>
      <c r="Z101" s="650"/>
      <c r="AA101" s="650"/>
      <c r="AB101" s="650"/>
      <c r="AC101" s="650"/>
      <c r="AD101" s="650"/>
      <c r="AE101" s="650"/>
      <c r="AF101" s="650"/>
      <c r="AG101" s="650"/>
      <c r="AH101" s="650"/>
      <c r="AI101" s="650" t="s">
        <v>695</v>
      </c>
      <c r="AJ101" s="650"/>
      <c r="AK101" s="650"/>
      <c r="AL101" s="650"/>
      <c r="AM101" s="650"/>
    </row>
    <row r="102" spans="1:39">
      <c r="A102" s="649" t="s">
        <v>746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50" t="str">
        <f>VLOOKUP(AI102,'Inchidere contur'!$G:$U,15,FALSE)</f>
        <v>JT_SDI</v>
      </c>
      <c r="N102" s="650"/>
      <c r="O102" s="650"/>
      <c r="P102" s="650"/>
      <c r="Q102" s="650"/>
      <c r="R102" s="650"/>
      <c r="S102" s="650"/>
      <c r="T102" s="650"/>
      <c r="U102" s="650"/>
      <c r="V102" s="650"/>
      <c r="W102" s="650"/>
      <c r="X102" s="650"/>
      <c r="Y102" s="650"/>
      <c r="Z102" s="650"/>
      <c r="AA102" s="650"/>
      <c r="AB102" s="650"/>
      <c r="AC102" s="650"/>
      <c r="AD102" s="650"/>
      <c r="AE102" s="650"/>
      <c r="AF102" s="650"/>
      <c r="AG102" s="650"/>
      <c r="AH102" s="650"/>
      <c r="AI102" s="619" t="str">
        <f>_xlfn.CONCAT(AA98,".",1)</f>
        <v>RSSC_2.1</v>
      </c>
      <c r="AJ102" s="619"/>
      <c r="AK102" s="619"/>
      <c r="AL102" s="619"/>
      <c r="AM102" s="619"/>
    </row>
    <row r="103" spans="1:39">
      <c r="A103" s="649" t="s">
        <v>747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50" t="str">
        <f>IF(LEFT(M102,2)="JT","0.4kV",IF(LEFT(M102,2)="MT","20kV","-"))</f>
        <v>0.4kV</v>
      </c>
      <c r="N103" s="650"/>
      <c r="O103" s="650"/>
      <c r="P103" s="650"/>
      <c r="Q103" s="650"/>
      <c r="R103" s="650"/>
      <c r="S103" s="650"/>
      <c r="T103" s="650"/>
      <c r="U103" s="650"/>
      <c r="V103" s="650"/>
      <c r="W103" s="650"/>
      <c r="X103" s="650"/>
      <c r="Y103" s="650"/>
      <c r="Z103" s="650"/>
      <c r="AA103" s="650"/>
      <c r="AB103" s="650"/>
      <c r="AC103" s="650"/>
      <c r="AD103" s="650"/>
      <c r="AE103" s="650"/>
      <c r="AF103" s="650"/>
      <c r="AG103" s="650"/>
      <c r="AH103" s="650"/>
      <c r="AI103" s="619"/>
      <c r="AJ103" s="619"/>
      <c r="AK103" s="619"/>
      <c r="AL103" s="619"/>
      <c r="AM103" s="619"/>
    </row>
    <row r="104" spans="1:39" ht="15.95" customHeight="1">
      <c r="A104" s="648" t="s">
        <v>697</v>
      </c>
      <c r="B104" s="648"/>
      <c r="C104" s="648"/>
      <c r="D104" s="648"/>
      <c r="E104" s="648"/>
      <c r="F104" s="648"/>
      <c r="G104" s="647" t="s">
        <v>713</v>
      </c>
      <c r="H104" s="647"/>
      <c r="I104" s="647"/>
      <c r="J104" s="647" t="s">
        <v>714</v>
      </c>
      <c r="K104" s="647"/>
      <c r="L104" s="647"/>
      <c r="M104" s="648" t="s">
        <v>519</v>
      </c>
      <c r="N104" s="648"/>
      <c r="O104" s="648" t="s">
        <v>715</v>
      </c>
      <c r="P104" s="648"/>
      <c r="Q104" s="648"/>
      <c r="R104" s="647" t="s">
        <v>732</v>
      </c>
      <c r="S104" s="647"/>
      <c r="T104" s="647"/>
      <c r="U104" s="647" t="s">
        <v>734</v>
      </c>
      <c r="V104" s="647"/>
      <c r="W104" s="647"/>
      <c r="X104" s="647" t="s">
        <v>1085</v>
      </c>
      <c r="Y104" s="647"/>
      <c r="Z104" s="647"/>
      <c r="AA104" s="647" t="s">
        <v>1086</v>
      </c>
      <c r="AB104" s="647"/>
      <c r="AC104" s="647"/>
      <c r="AD104" s="647" t="s">
        <v>717</v>
      </c>
      <c r="AE104" s="647"/>
      <c r="AF104" s="647" t="s">
        <v>718</v>
      </c>
      <c r="AG104" s="647"/>
      <c r="AH104" s="647"/>
      <c r="AI104" s="647" t="s">
        <v>719</v>
      </c>
      <c r="AJ104" s="647"/>
      <c r="AK104" s="647" t="s">
        <v>733</v>
      </c>
      <c r="AL104" s="647"/>
      <c r="AM104" s="647"/>
    </row>
    <row r="105" spans="1:39">
      <c r="A105" s="648"/>
      <c r="B105" s="648"/>
      <c r="C105" s="648"/>
      <c r="D105" s="648"/>
      <c r="E105" s="648"/>
      <c r="F105" s="648"/>
      <c r="G105" s="647"/>
      <c r="H105" s="647"/>
      <c r="I105" s="647"/>
      <c r="J105" s="647"/>
      <c r="K105" s="647"/>
      <c r="L105" s="647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>
      <c r="A106" s="648"/>
      <c r="B106" s="648"/>
      <c r="C106" s="648"/>
      <c r="D106" s="648"/>
      <c r="E106" s="648"/>
      <c r="F106" s="648"/>
      <c r="G106" s="647"/>
      <c r="H106" s="647"/>
      <c r="I106" s="647"/>
      <c r="J106" s="713"/>
      <c r="K106" s="713"/>
      <c r="L106" s="713"/>
      <c r="M106" s="648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4">
        <f>VLOOKUP(AI102,'Contorizare in SDI'!$E:$I,5,FALSE)</f>
        <v>1371623282</v>
      </c>
      <c r="B107" s="685"/>
      <c r="C107" s="685"/>
      <c r="D107" s="685"/>
      <c r="E107" s="685"/>
      <c r="F107" s="686"/>
      <c r="G107" s="648" t="s">
        <v>730</v>
      </c>
      <c r="H107" s="648"/>
      <c r="I107" s="673"/>
      <c r="J107" s="655">
        <f>'Date masura OD'!$AK$5</f>
        <v>45748</v>
      </c>
      <c r="K107" s="656"/>
      <c r="L107" s="657"/>
      <c r="M107" s="720" t="s">
        <v>446</v>
      </c>
      <c r="N107" s="648"/>
      <c r="O107" s="648">
        <f>VLOOKUP(AI102,'Incrementare indexe'!$B:$T,4,FALSE)</f>
        <v>1</v>
      </c>
      <c r="P107" s="648"/>
      <c r="Q107" s="648"/>
      <c r="R107" s="647" t="str">
        <f>VLOOKUP(A107,Regularizare!$D:$YN,3,FALSE)&amp;" ("&amp;VLOOKUP(A107,Regularizare!$D:$Y,11,FALSE)&amp;")"</f>
        <v>1175208 (citit)</v>
      </c>
      <c r="S107" s="647"/>
      <c r="T107" s="647"/>
      <c r="U107" s="647" t="str">
        <f>VLOOKUP(A107,Regularizare!$D:$U,4,FALSE)&amp;" ("&amp;VLOOKUP(A107,Regularizare!$D:$U,12,FALSE)&amp;")"</f>
        <v>1209476 (estimat)</v>
      </c>
      <c r="V107" s="647"/>
      <c r="W107" s="647"/>
      <c r="X107" s="647" t="str">
        <f>VLOOKUP(A107,Regularizare!$D:$Y,19,FALSE)&amp;" ("&amp;VLOOKUP(A107,Regularizare!$D:$U,12,FALSE)&amp;")"</f>
        <v>34268 (estimat)</v>
      </c>
      <c r="Y107" s="647"/>
      <c r="Z107" s="647"/>
      <c r="AA107" s="647">
        <f>(-1)*VLOOKUP(A107,Regularizare!$D:$Y,19,FALSE)</f>
        <v>-34268</v>
      </c>
      <c r="AB107" s="647"/>
      <c r="AC107" s="647"/>
      <c r="AD107" s="647" t="s">
        <v>69</v>
      </c>
      <c r="AE107" s="647"/>
      <c r="AF107" s="647">
        <f>AA107</f>
        <v>-34268</v>
      </c>
      <c r="AG107" s="647"/>
      <c r="AH107" s="647"/>
      <c r="AI107" s="647" t="s">
        <v>69</v>
      </c>
      <c r="AJ107" s="647"/>
      <c r="AK107" s="647" t="s">
        <v>69</v>
      </c>
      <c r="AL107" s="647"/>
      <c r="AM107" s="647"/>
    </row>
    <row r="108" spans="1:39" ht="9.75" customHeight="1">
      <c r="A108" s="727"/>
      <c r="B108" s="729"/>
      <c r="C108" s="729"/>
      <c r="D108" s="729"/>
      <c r="E108" s="729"/>
      <c r="F108" s="728"/>
      <c r="G108" s="648"/>
      <c r="H108" s="648"/>
      <c r="I108" s="673"/>
      <c r="J108" s="717" t="s">
        <v>69</v>
      </c>
      <c r="K108" s="718"/>
      <c r="L108" s="719"/>
      <c r="M108" s="720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7"/>
      <c r="B109" s="688"/>
      <c r="C109" s="688"/>
      <c r="D109" s="688"/>
      <c r="E109" s="688"/>
      <c r="F109" s="689"/>
      <c r="G109" s="648"/>
      <c r="H109" s="648"/>
      <c r="I109" s="673"/>
      <c r="J109" s="714">
        <f>'Date masura OD'!$AL$5</f>
        <v>45777</v>
      </c>
      <c r="K109" s="715"/>
      <c r="L109" s="716"/>
      <c r="M109" s="720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4">
        <f>A107</f>
        <v>1371623282</v>
      </c>
      <c r="B110" s="685"/>
      <c r="C110" s="685"/>
      <c r="D110" s="685"/>
      <c r="E110" s="685"/>
      <c r="F110" s="686"/>
      <c r="G110" s="648" t="s">
        <v>696</v>
      </c>
      <c r="H110" s="648"/>
      <c r="I110" s="648"/>
      <c r="J110" s="655">
        <f t="shared" ref="J110:J115" si="4">J107</f>
        <v>45748</v>
      </c>
      <c r="K110" s="656"/>
      <c r="L110" s="657"/>
      <c r="M110" s="648" t="s">
        <v>720</v>
      </c>
      <c r="N110" s="648"/>
      <c r="O110" s="648">
        <f>O107</f>
        <v>1</v>
      </c>
      <c r="P110" s="648"/>
      <c r="Q110" s="648"/>
      <c r="R110" s="647" t="str">
        <f>VLOOKUP(A110,Regularizare!$D:$U,7,FALSE)&amp;" ("&amp;VLOOKUP(A110,Regularizare!$D:$U,15,FALSE)&amp;")"</f>
        <v>65284 (citit)</v>
      </c>
      <c r="S110" s="647"/>
      <c r="T110" s="647"/>
      <c r="U110" s="647" t="str">
        <f>VLOOKUP(A110,Regularizare!$D:$U,8,FALSE)&amp;" ("&amp;VLOOKUP(A110,Regularizare!$D:$U,16,FALSE)&amp;")"</f>
        <v>65284 (estimat)</v>
      </c>
      <c r="V110" s="647"/>
      <c r="W110" s="647"/>
      <c r="X110" s="647" t="str">
        <f>_xlfn.CONCAT(VLOOKUP(A110,Regularizare!$D:$U,8,FALSE)-VLOOKUP(A110,Regularizare!$D:$U,7,FALSE)," (",VLOOKUP(A110,Regularizare!$D:$U,16,FALSE),")")</f>
        <v>0 (estimat)</v>
      </c>
      <c r="Y110" s="647"/>
      <c r="Z110" s="647"/>
      <c r="AA110" s="647">
        <f>IF(VLOOKUP(A110,Regularizare!$D:$Y,21,FALSE)=0,VLOOKUP(A110,Regularizare!$D:$Y,21,FALSE),(-1)*VLOOKUP(A110,Regularizare!$D:$Y,21,FALSE))</f>
        <v>0</v>
      </c>
      <c r="AB110" s="647"/>
      <c r="AC110" s="647"/>
      <c r="AD110" s="647" t="s">
        <v>69</v>
      </c>
      <c r="AE110" s="647"/>
      <c r="AF110" s="647">
        <f>AA110</f>
        <v>0</v>
      </c>
      <c r="AG110" s="647"/>
      <c r="AH110" s="647"/>
      <c r="AI110" s="647" t="str">
        <f>AI107</f>
        <v>-</v>
      </c>
      <c r="AJ110" s="647"/>
      <c r="AK110" s="647" t="str">
        <f>AK107</f>
        <v>-</v>
      </c>
      <c r="AL110" s="647"/>
      <c r="AM110" s="647"/>
    </row>
    <row r="111" spans="1:39" ht="8.4499999999999993" customHeight="1">
      <c r="A111" s="727"/>
      <c r="B111" s="729"/>
      <c r="C111" s="729"/>
      <c r="D111" s="729"/>
      <c r="E111" s="729"/>
      <c r="F111" s="728"/>
      <c r="G111" s="648"/>
      <c r="H111" s="648"/>
      <c r="I111" s="648"/>
      <c r="J111" s="717" t="str">
        <f t="shared" si="4"/>
        <v>-</v>
      </c>
      <c r="K111" s="718"/>
      <c r="L111" s="719"/>
      <c r="M111" s="648"/>
      <c r="N111" s="648"/>
      <c r="O111" s="648"/>
      <c r="P111" s="648"/>
      <c r="Q111" s="648"/>
      <c r="R111" s="647"/>
      <c r="S111" s="647"/>
      <c r="T111" s="647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7"/>
      <c r="B112" s="688"/>
      <c r="C112" s="688"/>
      <c r="D112" s="688"/>
      <c r="E112" s="688"/>
      <c r="F112" s="689"/>
      <c r="G112" s="648"/>
      <c r="H112" s="648"/>
      <c r="I112" s="648"/>
      <c r="J112" s="714">
        <f t="shared" si="4"/>
        <v>45777</v>
      </c>
      <c r="K112" s="715"/>
      <c r="L112" s="716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4">
        <f>A110</f>
        <v>1371623282</v>
      </c>
      <c r="B113" s="685"/>
      <c r="C113" s="685"/>
      <c r="D113" s="685"/>
      <c r="E113" s="685"/>
      <c r="F113" s="686"/>
      <c r="G113" s="648" t="s">
        <v>731</v>
      </c>
      <c r="H113" s="648"/>
      <c r="I113" s="648"/>
      <c r="J113" s="655">
        <f t="shared" si="4"/>
        <v>45748</v>
      </c>
      <c r="K113" s="656"/>
      <c r="L113" s="657"/>
      <c r="M113" s="648" t="s">
        <v>720</v>
      </c>
      <c r="N113" s="648"/>
      <c r="O113" s="648">
        <f>O110</f>
        <v>1</v>
      </c>
      <c r="P113" s="648"/>
      <c r="Q113" s="648"/>
      <c r="R113" s="647" t="str">
        <f>VLOOKUP(A113,Regularizare!$D:$U,9,FALSE)&amp;" ("&amp;VLOOKUP(A113,Regularizare!$D:$U,17,FALSE)&amp;")"</f>
        <v>25812 (citit)</v>
      </c>
      <c r="S113" s="647"/>
      <c r="T113" s="647"/>
      <c r="U113" s="647" t="str">
        <f>VLOOKUP(A113,Regularizare!$D:$U,10,FALSE)&amp;" ("&amp;VLOOKUP(A113,Regularizare!$D:$U,18,FALSE)&amp;")"</f>
        <v>25812 (estimat)</v>
      </c>
      <c r="V113" s="647"/>
      <c r="W113" s="647"/>
      <c r="X113" s="647" t="str">
        <f>_xlfn.CONCAT(VLOOKUP(A113,Regularizare!$D:$U,10,FALSE)-VLOOKUP(A113,Regularizare!$D:$U,9,FALSE)," (",VLOOKUP(A113,Regularizare!$D:$U,18,FALSE),")")</f>
        <v>0 (estimat)</v>
      </c>
      <c r="Y113" s="647"/>
      <c r="Z113" s="647"/>
      <c r="AA113" s="647">
        <f>IF(VLOOKUP(A113,Regularizare!$D:$Y,22,FALSE)=0,VLOOKUP(A113,Regularizare!$D:$Y,22,FALSE),(-1)*VLOOKUP(A113,Regularizare!$D:$Y,22,FALSE))</f>
        <v>0</v>
      </c>
      <c r="AB113" s="647"/>
      <c r="AC113" s="647"/>
      <c r="AD113" s="647" t="s">
        <v>69</v>
      </c>
      <c r="AE113" s="647"/>
      <c r="AF113" s="647">
        <f>AA113</f>
        <v>0</v>
      </c>
      <c r="AG113" s="647"/>
      <c r="AH113" s="647"/>
      <c r="AI113" s="647" t="str">
        <f>AI110</f>
        <v>-</v>
      </c>
      <c r="AJ113" s="647"/>
      <c r="AK113" s="647" t="str">
        <f>AK110</f>
        <v>-</v>
      </c>
      <c r="AL113" s="647"/>
      <c r="AM113" s="647"/>
    </row>
    <row r="114" spans="1:39" ht="8.4499999999999993" customHeight="1">
      <c r="A114" s="727"/>
      <c r="B114" s="729"/>
      <c r="C114" s="729"/>
      <c r="D114" s="729"/>
      <c r="E114" s="729"/>
      <c r="F114" s="728"/>
      <c r="G114" s="648"/>
      <c r="H114" s="648"/>
      <c r="I114" s="648"/>
      <c r="J114" s="717" t="str">
        <f t="shared" si="4"/>
        <v>-</v>
      </c>
      <c r="K114" s="718"/>
      <c r="L114" s="719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7"/>
      <c r="B115" s="688"/>
      <c r="C115" s="688"/>
      <c r="D115" s="688"/>
      <c r="E115" s="688"/>
      <c r="F115" s="689"/>
      <c r="G115" s="648"/>
      <c r="H115" s="648"/>
      <c r="I115" s="648"/>
      <c r="J115" s="714">
        <f t="shared" si="4"/>
        <v>45777</v>
      </c>
      <c r="K115" s="715"/>
      <c r="L115" s="716"/>
      <c r="M115" s="648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84">
        <f>A113</f>
        <v>1371623282</v>
      </c>
      <c r="B116" s="685"/>
      <c r="C116" s="685"/>
      <c r="D116" s="685"/>
      <c r="E116" s="685"/>
      <c r="F116" s="686"/>
      <c r="G116" s="648" t="s">
        <v>730</v>
      </c>
      <c r="H116" s="648"/>
      <c r="I116" s="673"/>
      <c r="J116" s="655">
        <f>'Date masura OD'!$AK$5</f>
        <v>45748</v>
      </c>
      <c r="K116" s="656"/>
      <c r="L116" s="657"/>
      <c r="M116" s="720" t="s">
        <v>446</v>
      </c>
      <c r="N116" s="648"/>
      <c r="O116" s="648">
        <f>O113</f>
        <v>1</v>
      </c>
      <c r="P116" s="648"/>
      <c r="Q116" s="648"/>
      <c r="R116" s="647" t="str">
        <f>VLOOKUP(A116,Regularizare!$D:$AX,23,FALSE)&amp;" ("&amp;VLOOKUP(A116,Regularizare!$D:$AX,24,FALSE)&amp;")"</f>
        <v>1175208 (citit)</v>
      </c>
      <c r="S116" s="647"/>
      <c r="T116" s="647"/>
      <c r="U116" s="647" t="str">
        <f>VLOOKUP(A116,Regularizare!$D:$AX,25,FALSE)&amp;" ("&amp;VLOOKUP(A116,Regularizare!$D:$AX,26,FALSE)&amp;")"</f>
        <v>1209476 (citit)</v>
      </c>
      <c r="V116" s="647"/>
      <c r="W116" s="647"/>
      <c r="X116" s="647" t="str">
        <f>VLOOKUP(A116,Regularizare!$D:$AX,37,FALSE)&amp;" ("&amp;VLOOKUP(A116,Regularizare!$D:$AX,26,FALSE)&amp;")"</f>
        <v>34268 (citit)</v>
      </c>
      <c r="Y116" s="647"/>
      <c r="Z116" s="647"/>
      <c r="AA116" s="647">
        <f>VLOOKUP(A116,Regularizare!$D:$AX,37,FALSE)</f>
        <v>34268</v>
      </c>
      <c r="AB116" s="647"/>
      <c r="AC116" s="647"/>
      <c r="AD116" s="647" t="s">
        <v>69</v>
      </c>
      <c r="AE116" s="647"/>
      <c r="AF116" s="647">
        <f>AA116</f>
        <v>34268</v>
      </c>
      <c r="AG116" s="647"/>
      <c r="AH116" s="647"/>
      <c r="AI116" s="647" t="str">
        <f>AI113</f>
        <v>-</v>
      </c>
      <c r="AJ116" s="647"/>
      <c r="AK116" s="647" t="str">
        <f>AK113</f>
        <v>-</v>
      </c>
      <c r="AL116" s="647"/>
      <c r="AM116" s="647"/>
    </row>
    <row r="117" spans="1:39" ht="8.4499999999999993" customHeight="1">
      <c r="A117" s="727"/>
      <c r="B117" s="729"/>
      <c r="C117" s="729"/>
      <c r="D117" s="729"/>
      <c r="E117" s="729"/>
      <c r="F117" s="728"/>
      <c r="G117" s="648"/>
      <c r="H117" s="648"/>
      <c r="I117" s="673"/>
      <c r="J117" s="717" t="s">
        <v>69</v>
      </c>
      <c r="K117" s="718"/>
      <c r="L117" s="719"/>
      <c r="M117" s="720"/>
      <c r="N117" s="648"/>
      <c r="O117" s="648"/>
      <c r="P117" s="648"/>
      <c r="Q117" s="648"/>
      <c r="R117" s="647"/>
      <c r="S117" s="647"/>
      <c r="T117" s="647"/>
      <c r="U117" s="647"/>
      <c r="V117" s="647"/>
      <c r="W117" s="647"/>
      <c r="X117" s="647"/>
      <c r="Y117" s="647"/>
      <c r="Z117" s="647"/>
      <c r="AA117" s="647"/>
      <c r="AB117" s="647"/>
      <c r="AC117" s="647"/>
      <c r="AD117" s="647"/>
      <c r="AE117" s="647"/>
      <c r="AF117" s="647"/>
      <c r="AG117" s="647"/>
      <c r="AH117" s="647"/>
      <c r="AI117" s="647"/>
      <c r="AJ117" s="647"/>
      <c r="AK117" s="647"/>
      <c r="AL117" s="647"/>
      <c r="AM117" s="647"/>
    </row>
    <row r="118" spans="1:39" ht="14.1" customHeight="1">
      <c r="A118" s="687"/>
      <c r="B118" s="688"/>
      <c r="C118" s="688"/>
      <c r="D118" s="688"/>
      <c r="E118" s="688"/>
      <c r="F118" s="689"/>
      <c r="G118" s="648"/>
      <c r="H118" s="648"/>
      <c r="I118" s="673"/>
      <c r="J118" s="714">
        <f>'Date masura OD'!$AL$5</f>
        <v>45777</v>
      </c>
      <c r="K118" s="715"/>
      <c r="L118" s="716"/>
      <c r="M118" s="720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>
      <c r="A119" s="684">
        <f>A116</f>
        <v>1371623282</v>
      </c>
      <c r="B119" s="685"/>
      <c r="C119" s="685"/>
      <c r="D119" s="685"/>
      <c r="E119" s="685"/>
      <c r="F119" s="686"/>
      <c r="G119" s="648" t="s">
        <v>696</v>
      </c>
      <c r="H119" s="648"/>
      <c r="I119" s="648"/>
      <c r="J119" s="655">
        <f t="shared" ref="J119:J124" si="5">J116</f>
        <v>45748</v>
      </c>
      <c r="K119" s="656"/>
      <c r="L119" s="657"/>
      <c r="M119" s="648" t="s">
        <v>720</v>
      </c>
      <c r="N119" s="648"/>
      <c r="O119" s="648">
        <f>O116</f>
        <v>1</v>
      </c>
      <c r="P119" s="648"/>
      <c r="Q119" s="648"/>
      <c r="R119" s="647" t="str">
        <f>VLOOKUP(A119,Regularizare!$D:$AX,29,FALSE)&amp;" ("&amp;VLOOKUP(A119,Regularizare!$D:$AX,30,FALSE)&amp;")"</f>
        <v>65284 (citit)</v>
      </c>
      <c r="S119" s="647"/>
      <c r="T119" s="647"/>
      <c r="U119" s="647" t="str">
        <f>VLOOKUP(A119,Regularizare!$D:$AX,31,FALSE)&amp;" ("&amp;VLOOKUP(A119,Regularizare!$D:$AX,32,FALSE)&amp;")"</f>
        <v>65286 (citit)</v>
      </c>
      <c r="V119" s="647"/>
      <c r="W119" s="647"/>
      <c r="X119" s="647" t="str">
        <f>VLOOKUP(A119,Regularizare!$D:$AX,39,FALSE)&amp;" ("&amp;VLOOKUP(A119,Regularizare!$D:$AX,32,FALSE)&amp;")"</f>
        <v>2 (citit)</v>
      </c>
      <c r="Y119" s="647"/>
      <c r="Z119" s="647"/>
      <c r="AA119" s="647">
        <f>VLOOKUP(A119,Regularizare!$D:$AX,44,FALSE)+VLOOKUP(A119,Regularizare!$D:$AX,45,FALSE)</f>
        <v>2</v>
      </c>
      <c r="AB119" s="647"/>
      <c r="AC119" s="647"/>
      <c r="AD119" s="647" t="s">
        <v>69</v>
      </c>
      <c r="AE119" s="647"/>
      <c r="AF119" s="647">
        <f>AA119</f>
        <v>2</v>
      </c>
      <c r="AG119" s="647"/>
      <c r="AH119" s="647"/>
      <c r="AI119" s="647" t="str">
        <f>AI116</f>
        <v>-</v>
      </c>
      <c r="AJ119" s="647"/>
      <c r="AK119" s="647" t="str">
        <f>AK116</f>
        <v>-</v>
      </c>
      <c r="AL119" s="647"/>
      <c r="AM119" s="647"/>
    </row>
    <row r="120" spans="1:39" ht="8.4499999999999993" customHeight="1">
      <c r="A120" s="727"/>
      <c r="B120" s="729"/>
      <c r="C120" s="729"/>
      <c r="D120" s="729"/>
      <c r="E120" s="729"/>
      <c r="F120" s="728"/>
      <c r="G120" s="648"/>
      <c r="H120" s="648"/>
      <c r="I120" s="648"/>
      <c r="J120" s="717" t="str">
        <f t="shared" si="5"/>
        <v>-</v>
      </c>
      <c r="K120" s="718"/>
      <c r="L120" s="719"/>
      <c r="M120" s="648"/>
      <c r="N120" s="648"/>
      <c r="O120" s="648"/>
      <c r="P120" s="648"/>
      <c r="Q120" s="648"/>
      <c r="R120" s="647"/>
      <c r="S120" s="647"/>
      <c r="T120" s="647"/>
      <c r="U120" s="647"/>
      <c r="V120" s="647"/>
      <c r="W120" s="647"/>
      <c r="X120" s="647"/>
      <c r="Y120" s="647"/>
      <c r="Z120" s="647"/>
      <c r="AA120" s="647"/>
      <c r="AB120" s="647"/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</row>
    <row r="121" spans="1:39" ht="14.1" customHeight="1">
      <c r="A121" s="687"/>
      <c r="B121" s="688"/>
      <c r="C121" s="688"/>
      <c r="D121" s="688"/>
      <c r="E121" s="688"/>
      <c r="F121" s="689"/>
      <c r="G121" s="648"/>
      <c r="H121" s="648"/>
      <c r="I121" s="648"/>
      <c r="J121" s="714">
        <f t="shared" si="5"/>
        <v>45777</v>
      </c>
      <c r="K121" s="715"/>
      <c r="L121" s="716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84">
        <f>A119</f>
        <v>1371623282</v>
      </c>
      <c r="B122" s="685"/>
      <c r="C122" s="685"/>
      <c r="D122" s="685"/>
      <c r="E122" s="685"/>
      <c r="F122" s="686"/>
      <c r="G122" s="648" t="s">
        <v>731</v>
      </c>
      <c r="H122" s="648"/>
      <c r="I122" s="648"/>
      <c r="J122" s="655">
        <f t="shared" si="5"/>
        <v>45748</v>
      </c>
      <c r="K122" s="656"/>
      <c r="L122" s="657"/>
      <c r="M122" s="648" t="s">
        <v>720</v>
      </c>
      <c r="N122" s="648"/>
      <c r="O122" s="648">
        <f>O119</f>
        <v>1</v>
      </c>
      <c r="P122" s="648"/>
      <c r="Q122" s="648"/>
      <c r="R122" s="647" t="str">
        <f>VLOOKUP(A122,Regularizare!$D:$AX,33,FALSE)&amp;" ("&amp;VLOOKUP(A122,Regularizare!$D:$AX,34,FALSE)&amp;")"</f>
        <v>25812 (citit)</v>
      </c>
      <c r="S122" s="647"/>
      <c r="T122" s="647"/>
      <c r="U122" s="647" t="str">
        <f>VLOOKUP(A122,Regularizare!$D:$AX,35,FALSE)&amp;" ("&amp;VLOOKUP(A122,Regularizare!$D:$AX,36,FALSE)&amp;")"</f>
        <v>25914 (citit)</v>
      </c>
      <c r="V122" s="647"/>
      <c r="W122" s="647"/>
      <c r="X122" s="647" t="str">
        <f>VLOOKUP(A122,Regularizare!$D:$AX,40,FALSE)&amp;" ("&amp;VLOOKUP(A122,Regularizare!$D:$AX,36,FALSE)&amp;")"</f>
        <v>102 (citit)</v>
      </c>
      <c r="Y122" s="647"/>
      <c r="Z122" s="647"/>
      <c r="AA122" s="647">
        <f>VLOOKUP(A122,Regularizare!$D:$AX,46,FALSE)+VLOOKUP(A122,Regularizare!$D:$AX,47,FALSE)</f>
        <v>102</v>
      </c>
      <c r="AB122" s="647"/>
      <c r="AC122" s="647"/>
      <c r="AD122" s="647" t="s">
        <v>69</v>
      </c>
      <c r="AE122" s="647"/>
      <c r="AF122" s="647">
        <f>AA122</f>
        <v>102</v>
      </c>
      <c r="AG122" s="647"/>
      <c r="AH122" s="647"/>
      <c r="AI122" s="647" t="str">
        <f>AI119</f>
        <v>-</v>
      </c>
      <c r="AJ122" s="647"/>
      <c r="AK122" s="647" t="str">
        <f>AK119</f>
        <v>-</v>
      </c>
      <c r="AL122" s="647"/>
      <c r="AM122" s="647"/>
    </row>
    <row r="123" spans="1:39" ht="8.4499999999999993" customHeight="1">
      <c r="A123" s="727"/>
      <c r="B123" s="729"/>
      <c r="C123" s="729"/>
      <c r="D123" s="729"/>
      <c r="E123" s="729"/>
      <c r="F123" s="728"/>
      <c r="G123" s="648"/>
      <c r="H123" s="648"/>
      <c r="I123" s="648"/>
      <c r="J123" s="717" t="str">
        <f t="shared" si="5"/>
        <v>-</v>
      </c>
      <c r="K123" s="718"/>
      <c r="L123" s="719"/>
      <c r="M123" s="648"/>
      <c r="N123" s="648"/>
      <c r="O123" s="648"/>
      <c r="P123" s="648"/>
      <c r="Q123" s="648"/>
      <c r="R123" s="647"/>
      <c r="S123" s="647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</row>
    <row r="124" spans="1:39" ht="14.1" customHeight="1">
      <c r="A124" s="687"/>
      <c r="B124" s="688"/>
      <c r="C124" s="688"/>
      <c r="D124" s="688"/>
      <c r="E124" s="688"/>
      <c r="F124" s="689"/>
      <c r="G124" s="648"/>
      <c r="H124" s="648"/>
      <c r="I124" s="648"/>
      <c r="J124" s="714">
        <f t="shared" si="5"/>
        <v>45777</v>
      </c>
      <c r="K124" s="715"/>
      <c r="L124" s="716"/>
      <c r="M124" s="648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84">
        <f>A122</f>
        <v>1371623282</v>
      </c>
      <c r="B125" s="685"/>
      <c r="C125" s="685"/>
      <c r="D125" s="685"/>
      <c r="E125" s="685"/>
      <c r="F125" s="686"/>
      <c r="G125" s="648" t="s">
        <v>730</v>
      </c>
      <c r="H125" s="648"/>
      <c r="I125" s="673"/>
      <c r="J125" s="655">
        <f>'Date masura OD'!$I$5</f>
        <v>45778</v>
      </c>
      <c r="K125" s="656"/>
      <c r="L125" s="657"/>
      <c r="M125" s="720" t="s">
        <v>446</v>
      </c>
      <c r="N125" s="648"/>
      <c r="O125" s="648">
        <f>O122</f>
        <v>1</v>
      </c>
      <c r="P125" s="648"/>
      <c r="Q125" s="648"/>
      <c r="R125" s="647" t="str">
        <f>U116</f>
        <v>1209476 (citit)</v>
      </c>
      <c r="S125" s="647"/>
      <c r="T125" s="647"/>
      <c r="U125" s="647" t="str">
        <f>VLOOKUP(A125,'Incrementare indexe'!$D:$M,4,FALSE)&amp;" (estimat)"</f>
        <v>1248531 (estimat)</v>
      </c>
      <c r="V125" s="647"/>
      <c r="W125" s="647"/>
      <c r="X125" s="647" t="str">
        <f>VLOOKUP(A125,'Incrementare indexe'!$D:$Q,11,FALSE)&amp;" (estimat)"</f>
        <v>39055 (estimat)</v>
      </c>
      <c r="Y125" s="647"/>
      <c r="Z125" s="647"/>
      <c r="AA125" s="647" t="s">
        <v>69</v>
      </c>
      <c r="AB125" s="647"/>
      <c r="AC125" s="647"/>
      <c r="AD125" s="647" t="s">
        <v>69</v>
      </c>
      <c r="AE125" s="647"/>
      <c r="AF125" s="647">
        <f>VLOOKUP(A125,'Incrementare indexe'!$D:$Q,11,FALSE)</f>
        <v>39055</v>
      </c>
      <c r="AG125" s="647"/>
      <c r="AH125" s="647"/>
      <c r="AI125" s="647">
        <f>J127-J125+1</f>
        <v>31</v>
      </c>
      <c r="AJ125" s="647"/>
      <c r="AK125" s="647">
        <f>ROUND(AF125/AI125,2)</f>
        <v>1259.8399999999999</v>
      </c>
      <c r="AL125" s="647"/>
      <c r="AM125" s="647"/>
    </row>
    <row r="126" spans="1:39" ht="8.4499999999999993" customHeight="1">
      <c r="A126" s="727"/>
      <c r="B126" s="729"/>
      <c r="C126" s="729"/>
      <c r="D126" s="729"/>
      <c r="E126" s="729"/>
      <c r="F126" s="728"/>
      <c r="G126" s="648"/>
      <c r="H126" s="648"/>
      <c r="I126" s="673"/>
      <c r="J126" s="717" t="s">
        <v>69</v>
      </c>
      <c r="K126" s="718"/>
      <c r="L126" s="719"/>
      <c r="M126" s="720"/>
      <c r="N126" s="648"/>
      <c r="O126" s="648"/>
      <c r="P126" s="648"/>
      <c r="Q126" s="648"/>
      <c r="R126" s="647"/>
      <c r="S126" s="647"/>
      <c r="T126" s="647"/>
      <c r="U126" s="647"/>
      <c r="V126" s="647"/>
      <c r="W126" s="647"/>
      <c r="X126" s="647"/>
      <c r="Y126" s="647"/>
      <c r="Z126" s="647"/>
      <c r="AA126" s="647"/>
      <c r="AB126" s="647"/>
      <c r="AC126" s="647"/>
      <c r="AD126" s="647"/>
      <c r="AE126" s="647"/>
      <c r="AF126" s="647"/>
      <c r="AG126" s="647"/>
      <c r="AH126" s="647"/>
      <c r="AI126" s="647"/>
      <c r="AJ126" s="647"/>
      <c r="AK126" s="647"/>
      <c r="AL126" s="647"/>
      <c r="AM126" s="647"/>
    </row>
    <row r="127" spans="1:39" ht="14.1" customHeight="1">
      <c r="A127" s="687"/>
      <c r="B127" s="688"/>
      <c r="C127" s="688"/>
      <c r="D127" s="688"/>
      <c r="E127" s="688"/>
      <c r="F127" s="689"/>
      <c r="G127" s="648"/>
      <c r="H127" s="648"/>
      <c r="I127" s="673"/>
      <c r="J127" s="714">
        <f>'Date masura OD'!$J$5</f>
        <v>45808</v>
      </c>
      <c r="K127" s="715"/>
      <c r="L127" s="716"/>
      <c r="M127" s="720"/>
      <c r="N127" s="648"/>
      <c r="O127" s="648"/>
      <c r="P127" s="648"/>
      <c r="Q127" s="648"/>
      <c r="R127" s="647"/>
      <c r="S127" s="647"/>
      <c r="T127" s="647"/>
      <c r="U127" s="647"/>
      <c r="V127" s="647"/>
      <c r="W127" s="647"/>
      <c r="X127" s="647"/>
      <c r="Y127" s="647"/>
      <c r="Z127" s="647"/>
      <c r="AA127" s="647"/>
      <c r="AB127" s="647"/>
      <c r="AC127" s="647"/>
      <c r="AD127" s="647"/>
      <c r="AE127" s="647"/>
      <c r="AF127" s="647"/>
      <c r="AG127" s="647"/>
      <c r="AH127" s="647"/>
      <c r="AI127" s="647"/>
      <c r="AJ127" s="647"/>
      <c r="AK127" s="647"/>
      <c r="AL127" s="647"/>
      <c r="AM127" s="647"/>
    </row>
    <row r="128" spans="1:39" ht="14.1" customHeight="1">
      <c r="A128" s="684">
        <f>A125</f>
        <v>1371623282</v>
      </c>
      <c r="B128" s="685"/>
      <c r="C128" s="685"/>
      <c r="D128" s="685"/>
      <c r="E128" s="685"/>
      <c r="F128" s="686"/>
      <c r="G128" s="648" t="s">
        <v>696</v>
      </c>
      <c r="H128" s="648"/>
      <c r="I128" s="648"/>
      <c r="J128" s="655">
        <f t="shared" ref="J128:J133" si="6">J125</f>
        <v>45778</v>
      </c>
      <c r="K128" s="656"/>
      <c r="L128" s="657"/>
      <c r="M128" s="648" t="s">
        <v>720</v>
      </c>
      <c r="N128" s="648"/>
      <c r="O128" s="648">
        <f>O125</f>
        <v>1</v>
      </c>
      <c r="P128" s="648"/>
      <c r="Q128" s="648"/>
      <c r="R128" s="647" t="str">
        <f>U119</f>
        <v>65286 (citit)</v>
      </c>
      <c r="S128" s="647"/>
      <c r="T128" s="647"/>
      <c r="U128" s="647" t="str">
        <f>VLOOKUP(A128,'Incrementare indexe'!$D:$M,8,FALSE)&amp;" (estimat)"</f>
        <v>65286 (estimat)</v>
      </c>
      <c r="V128" s="647"/>
      <c r="W128" s="647"/>
      <c r="X128" s="647" t="str">
        <f>VLOOKUP(A128,'Incrementare indexe'!$D:$Q,12,FALSE)&amp;" (estimat)"</f>
        <v>0 (estimat)</v>
      </c>
      <c r="Y128" s="647"/>
      <c r="Z128" s="647"/>
      <c r="AA128" s="647" t="s">
        <v>69</v>
      </c>
      <c r="AB128" s="647"/>
      <c r="AC128" s="647"/>
      <c r="AD128" s="647" t="s">
        <v>69</v>
      </c>
      <c r="AE128" s="647"/>
      <c r="AF128" s="647">
        <f>VLOOKUP(A128,'Incrementare indexe'!$D:$Q,12,FALSE)</f>
        <v>0</v>
      </c>
      <c r="AG128" s="647"/>
      <c r="AH128" s="647"/>
      <c r="AI128" s="647">
        <f>AI125</f>
        <v>31</v>
      </c>
      <c r="AJ128" s="647"/>
      <c r="AK128" s="647">
        <f>ROUND(AF128/AI128,2)</f>
        <v>0</v>
      </c>
      <c r="AL128" s="647"/>
      <c r="AM128" s="647"/>
    </row>
    <row r="129" spans="1:39" ht="8.4499999999999993" customHeight="1">
      <c r="A129" s="727"/>
      <c r="B129" s="729"/>
      <c r="C129" s="729"/>
      <c r="D129" s="729"/>
      <c r="E129" s="729"/>
      <c r="F129" s="728"/>
      <c r="G129" s="648"/>
      <c r="H129" s="648"/>
      <c r="I129" s="648"/>
      <c r="J129" s="717" t="str">
        <f t="shared" si="6"/>
        <v>-</v>
      </c>
      <c r="K129" s="718"/>
      <c r="L129" s="719"/>
      <c r="M129" s="648"/>
      <c r="N129" s="648"/>
      <c r="O129" s="648"/>
      <c r="P129" s="648"/>
      <c r="Q129" s="648"/>
      <c r="R129" s="647"/>
      <c r="S129" s="647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</row>
    <row r="130" spans="1:39" ht="14.1" customHeight="1">
      <c r="A130" s="687"/>
      <c r="B130" s="688"/>
      <c r="C130" s="688"/>
      <c r="D130" s="688"/>
      <c r="E130" s="688"/>
      <c r="F130" s="689"/>
      <c r="G130" s="648"/>
      <c r="H130" s="648"/>
      <c r="I130" s="648"/>
      <c r="J130" s="714">
        <f t="shared" si="6"/>
        <v>45808</v>
      </c>
      <c r="K130" s="715"/>
      <c r="L130" s="716"/>
      <c r="M130" s="648"/>
      <c r="N130" s="648"/>
      <c r="O130" s="648"/>
      <c r="P130" s="648"/>
      <c r="Q130" s="648"/>
      <c r="R130" s="647"/>
      <c r="S130" s="647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</row>
    <row r="131" spans="1:39" ht="14.1" customHeight="1">
      <c r="A131" s="684">
        <f>A128</f>
        <v>1371623282</v>
      </c>
      <c r="B131" s="685"/>
      <c r="C131" s="685"/>
      <c r="D131" s="685"/>
      <c r="E131" s="685"/>
      <c r="F131" s="686"/>
      <c r="G131" s="648" t="s">
        <v>731</v>
      </c>
      <c r="H131" s="648"/>
      <c r="I131" s="648"/>
      <c r="J131" s="655">
        <f t="shared" si="6"/>
        <v>45778</v>
      </c>
      <c r="K131" s="656"/>
      <c r="L131" s="657"/>
      <c r="M131" s="648" t="s">
        <v>720</v>
      </c>
      <c r="N131" s="648"/>
      <c r="O131" s="648">
        <f>O128</f>
        <v>1</v>
      </c>
      <c r="P131" s="648"/>
      <c r="Q131" s="648"/>
      <c r="R131" s="647" t="str">
        <f>U122</f>
        <v>25914 (citit)</v>
      </c>
      <c r="S131" s="647"/>
      <c r="T131" s="647"/>
      <c r="U131" s="647" t="str">
        <f>VLOOKUP(A131,'Incrementare indexe'!$D:$M,10,FALSE)&amp;" (estimat)"</f>
        <v>25914 (estimat)</v>
      </c>
      <c r="V131" s="647"/>
      <c r="W131" s="647"/>
      <c r="X131" s="647" t="str">
        <f>VLOOKUP(A131,'Incrementare indexe'!$D:$Q,13,FALSE)&amp;" (estimat)"</f>
        <v>0 (estimat)</v>
      </c>
      <c r="Y131" s="647"/>
      <c r="Z131" s="647"/>
      <c r="AA131" s="647" t="s">
        <v>69</v>
      </c>
      <c r="AB131" s="647"/>
      <c r="AC131" s="647"/>
      <c r="AD131" s="647" t="s">
        <v>69</v>
      </c>
      <c r="AE131" s="647"/>
      <c r="AF131" s="647">
        <f>VLOOKUP(A131,'Incrementare indexe'!$D:$Q,13,FALSE)</f>
        <v>0</v>
      </c>
      <c r="AG131" s="647"/>
      <c r="AH131" s="647"/>
      <c r="AI131" s="647">
        <f>AI128</f>
        <v>31</v>
      </c>
      <c r="AJ131" s="647"/>
      <c r="AK131" s="647">
        <f>ROUND(AF131/AI131,2)</f>
        <v>0</v>
      </c>
      <c r="AL131" s="647"/>
      <c r="AM131" s="647"/>
    </row>
    <row r="132" spans="1:39" ht="8.4499999999999993" customHeight="1">
      <c r="A132" s="727"/>
      <c r="B132" s="729"/>
      <c r="C132" s="729"/>
      <c r="D132" s="729"/>
      <c r="E132" s="729"/>
      <c r="F132" s="728"/>
      <c r="G132" s="648"/>
      <c r="H132" s="648"/>
      <c r="I132" s="648"/>
      <c r="J132" s="717" t="str">
        <f t="shared" si="6"/>
        <v>-</v>
      </c>
      <c r="K132" s="718"/>
      <c r="L132" s="719"/>
      <c r="M132" s="648"/>
      <c r="N132" s="648"/>
      <c r="O132" s="648"/>
      <c r="P132" s="648"/>
      <c r="Q132" s="648"/>
      <c r="R132" s="647"/>
      <c r="S132" s="647"/>
      <c r="T132" s="647"/>
      <c r="U132" s="647"/>
      <c r="V132" s="647"/>
      <c r="W132" s="647"/>
      <c r="X132" s="647"/>
      <c r="Y132" s="647"/>
      <c r="Z132" s="647"/>
      <c r="AA132" s="647"/>
      <c r="AB132" s="647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</row>
    <row r="133" spans="1:39" ht="14.1" customHeight="1">
      <c r="A133" s="687"/>
      <c r="B133" s="688"/>
      <c r="C133" s="688"/>
      <c r="D133" s="688"/>
      <c r="E133" s="688"/>
      <c r="F133" s="689"/>
      <c r="G133" s="648"/>
      <c r="H133" s="648"/>
      <c r="I133" s="648"/>
      <c r="J133" s="714">
        <f t="shared" si="6"/>
        <v>45808</v>
      </c>
      <c r="K133" s="715"/>
      <c r="L133" s="716"/>
      <c r="M133" s="648"/>
      <c r="N133" s="648"/>
      <c r="O133" s="648"/>
      <c r="P133" s="648"/>
      <c r="Q133" s="648"/>
      <c r="R133" s="647"/>
      <c r="S133" s="647"/>
      <c r="T133" s="647"/>
      <c r="U133" s="647"/>
      <c r="V133" s="647"/>
      <c r="W133" s="647"/>
      <c r="X133" s="647"/>
      <c r="Y133" s="647"/>
      <c r="Z133" s="647"/>
      <c r="AA133" s="647"/>
      <c r="AB133" s="647"/>
      <c r="AC133" s="647"/>
      <c r="AD133" s="647"/>
      <c r="AE133" s="647"/>
      <c r="AF133" s="647"/>
      <c r="AG133" s="647"/>
      <c r="AH133" s="647"/>
      <c r="AI133" s="647"/>
      <c r="AJ133" s="647"/>
      <c r="AK133" s="647"/>
      <c r="AL133" s="647"/>
      <c r="AM133" s="647"/>
    </row>
    <row r="134" spans="1:39" ht="14.1" customHeight="1">
      <c r="A134" s="195"/>
      <c r="B134" s="195"/>
      <c r="C134" s="195"/>
      <c r="D134" s="195"/>
      <c r="E134" s="195"/>
      <c r="F134" s="195"/>
      <c r="G134" s="196"/>
      <c r="H134" s="196"/>
      <c r="I134" s="196"/>
      <c r="J134" s="197"/>
      <c r="K134" s="197"/>
      <c r="L134" s="197"/>
      <c r="M134" s="196"/>
      <c r="N134" s="196"/>
      <c r="O134" s="196"/>
      <c r="P134" s="196"/>
      <c r="Q134" s="196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</row>
    <row r="135" spans="1:39" ht="14.1" customHeight="1"/>
    <row r="136" spans="1:39" ht="14.1" customHeight="1">
      <c r="A136" s="721" t="s">
        <v>1196</v>
      </c>
      <c r="B136" s="722"/>
      <c r="C136" s="722"/>
      <c r="D136" s="722"/>
      <c r="E136" s="722"/>
      <c r="F136" s="722"/>
      <c r="G136" s="722"/>
      <c r="H136" s="722"/>
      <c r="I136" s="722"/>
      <c r="J136" s="722"/>
      <c r="K136" s="722"/>
      <c r="L136" s="722"/>
      <c r="M136" s="722"/>
      <c r="N136" s="722"/>
      <c r="O136" s="722"/>
      <c r="P136" s="722"/>
      <c r="Q136" s="722"/>
      <c r="R136" s="722"/>
      <c r="S136" s="722"/>
      <c r="T136" s="722"/>
      <c r="U136" s="722"/>
      <c r="V136" s="722"/>
      <c r="W136" s="722"/>
      <c r="X136" s="722"/>
      <c r="Y136" s="722"/>
      <c r="Z136" s="722"/>
      <c r="AA136" s="722"/>
      <c r="AB136" s="722"/>
      <c r="AC136" s="722"/>
      <c r="AD136" s="722"/>
      <c r="AE136" s="722"/>
      <c r="AF136" s="722"/>
      <c r="AG136" s="722"/>
      <c r="AH136" s="723"/>
      <c r="AI136" s="650" t="s">
        <v>695</v>
      </c>
      <c r="AJ136" s="650"/>
      <c r="AK136" s="650"/>
      <c r="AL136" s="650"/>
      <c r="AM136" s="650"/>
    </row>
    <row r="137" spans="1:39" ht="14.1" customHeight="1">
      <c r="A137" s="649" t="s">
        <v>746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">
        <v>514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19" t="str">
        <f>_xlfn.CONCAT(AI102,"/PV")</f>
        <v>RSSC_2.1/PV</v>
      </c>
      <c r="AJ137" s="619"/>
      <c r="AK137" s="619"/>
      <c r="AL137" s="619"/>
      <c r="AM137" s="619"/>
    </row>
    <row r="138" spans="1:39" ht="14.1" customHeight="1">
      <c r="A138" s="649" t="s">
        <v>747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">
        <v>1087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19"/>
      <c r="AJ138" s="619"/>
      <c r="AK138" s="619"/>
      <c r="AL138" s="619"/>
      <c r="AM138" s="619"/>
    </row>
    <row r="139" spans="1:39" ht="14.1" customHeight="1">
      <c r="A139" s="648" t="s">
        <v>697</v>
      </c>
      <c r="B139" s="648"/>
      <c r="C139" s="648"/>
      <c r="D139" s="648"/>
      <c r="E139" s="648"/>
      <c r="F139" s="648"/>
      <c r="G139" s="647" t="s">
        <v>713</v>
      </c>
      <c r="H139" s="647"/>
      <c r="I139" s="647"/>
      <c r="J139" s="647" t="s">
        <v>714</v>
      </c>
      <c r="K139" s="647"/>
      <c r="L139" s="647"/>
      <c r="M139" s="648" t="s">
        <v>519</v>
      </c>
      <c r="N139" s="648"/>
      <c r="O139" s="648" t="s">
        <v>715</v>
      </c>
      <c r="P139" s="648"/>
      <c r="Q139" s="648"/>
      <c r="R139" s="647" t="s">
        <v>732</v>
      </c>
      <c r="S139" s="647"/>
      <c r="T139" s="647"/>
      <c r="U139" s="647" t="s">
        <v>734</v>
      </c>
      <c r="V139" s="647"/>
      <c r="W139" s="647"/>
      <c r="X139" s="647" t="s">
        <v>1085</v>
      </c>
      <c r="Y139" s="647"/>
      <c r="Z139" s="647"/>
      <c r="AA139" s="647" t="s">
        <v>1086</v>
      </c>
      <c r="AB139" s="647"/>
      <c r="AC139" s="647"/>
      <c r="AD139" s="647" t="s">
        <v>717</v>
      </c>
      <c r="AE139" s="647"/>
      <c r="AF139" s="647" t="s">
        <v>718</v>
      </c>
      <c r="AG139" s="647"/>
      <c r="AH139" s="647"/>
      <c r="AI139" s="647" t="s">
        <v>719</v>
      </c>
      <c r="AJ139" s="647"/>
      <c r="AK139" s="647" t="s">
        <v>733</v>
      </c>
      <c r="AL139" s="647"/>
      <c r="AM139" s="647"/>
    </row>
    <row r="140" spans="1:39" ht="14.1" customHeight="1">
      <c r="A140" s="648"/>
      <c r="B140" s="648"/>
      <c r="C140" s="648"/>
      <c r="D140" s="648"/>
      <c r="E140" s="648"/>
      <c r="F140" s="648"/>
      <c r="G140" s="647"/>
      <c r="H140" s="647"/>
      <c r="I140" s="647"/>
      <c r="J140" s="647"/>
      <c r="K140" s="647"/>
      <c r="L140" s="647"/>
      <c r="M140" s="648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48"/>
      <c r="B141" s="648"/>
      <c r="C141" s="648"/>
      <c r="D141" s="648"/>
      <c r="E141" s="648"/>
      <c r="F141" s="648"/>
      <c r="G141" s="647"/>
      <c r="H141" s="647"/>
      <c r="I141" s="647"/>
      <c r="J141" s="713"/>
      <c r="K141" s="713"/>
      <c r="L141" s="713"/>
      <c r="M141" s="648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78">
        <f>VLOOKUP(AI137,'Incrementare indexe'!$B:$I,3,FALSE)</f>
        <v>1372656740</v>
      </c>
      <c r="B142" s="679"/>
      <c r="C142" s="679"/>
      <c r="D142" s="679"/>
      <c r="E142" s="679"/>
      <c r="F142" s="680"/>
      <c r="G142" s="647" t="s">
        <v>1088</v>
      </c>
      <c r="H142" s="647"/>
      <c r="I142" s="675"/>
      <c r="J142" s="655">
        <f>'Date masura OD'!$I$5</f>
        <v>45778</v>
      </c>
      <c r="K142" s="656"/>
      <c r="L142" s="657"/>
      <c r="M142" s="720" t="s">
        <v>446</v>
      </c>
      <c r="N142" s="648"/>
      <c r="O142" s="648">
        <f>VLOOKUP(AI137,'Incrementare indexe'!$B:$I,4,FALSE)</f>
        <v>1</v>
      </c>
      <c r="P142" s="648"/>
      <c r="Q142" s="648"/>
      <c r="R142" s="647" t="str">
        <f>VLOOKUP(AI137,'Incrementare indexe'!$B:$I,7,FALSE)&amp;" (citit)"</f>
        <v>382429 (citit)</v>
      </c>
      <c r="S142" s="647"/>
      <c r="T142" s="647"/>
      <c r="U142" s="647" t="str">
        <f>VLOOKUP(AI137,'Incrementare indexe'!$B:$I,8,FALSE)&amp;" (citit)"</f>
        <v>418582 (citit)</v>
      </c>
      <c r="V142" s="647"/>
      <c r="W142" s="647"/>
      <c r="X142" s="647" t="str">
        <f>(VLOOKUP(AI137,'Incrementare indexe'!$B:$I,8,FALSE)-VLOOKUP(AI137,'Incrementare indexe'!$B:$I,7,FALSE))&amp;" (citit)"</f>
        <v>36153 (citit)</v>
      </c>
      <c r="Y142" s="647"/>
      <c r="Z142" s="647"/>
      <c r="AA142" s="647" t="s">
        <v>69</v>
      </c>
      <c r="AB142" s="647"/>
      <c r="AC142" s="647"/>
      <c r="AD142" s="647" t="s">
        <v>69</v>
      </c>
      <c r="AE142" s="647"/>
      <c r="AF142" s="647">
        <f>(VLOOKUP(AI137,'Incrementare indexe'!$B:$I,8,FALSE)-VLOOKUP(AI137,'Incrementare indexe'!$B:$I,7,FALSE))</f>
        <v>36153</v>
      </c>
      <c r="AG142" s="647"/>
      <c r="AH142" s="647"/>
      <c r="AI142" s="647">
        <f>J144-J142+1</f>
        <v>31</v>
      </c>
      <c r="AJ142" s="647"/>
      <c r="AK142" s="647">
        <f>ROUND(AF142/AI142,2)</f>
        <v>1166.23</v>
      </c>
      <c r="AL142" s="647"/>
      <c r="AM142" s="647"/>
    </row>
    <row r="143" spans="1:39" ht="14.1" customHeight="1">
      <c r="A143" s="717"/>
      <c r="B143" s="718"/>
      <c r="C143" s="718"/>
      <c r="D143" s="718"/>
      <c r="E143" s="718"/>
      <c r="F143" s="719"/>
      <c r="G143" s="647"/>
      <c r="H143" s="647"/>
      <c r="I143" s="675"/>
      <c r="J143" s="717" t="s">
        <v>69</v>
      </c>
      <c r="K143" s="718"/>
      <c r="L143" s="719"/>
      <c r="M143" s="720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1"/>
      <c r="B144" s="682"/>
      <c r="C144" s="682"/>
      <c r="D144" s="682"/>
      <c r="E144" s="682"/>
      <c r="F144" s="683"/>
      <c r="G144" s="647"/>
      <c r="H144" s="647"/>
      <c r="I144" s="675"/>
      <c r="J144" s="714">
        <f>'Date masura OD'!$J$5</f>
        <v>45808</v>
      </c>
      <c r="K144" s="715"/>
      <c r="L144" s="716"/>
      <c r="M144" s="720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78">
        <f>A142</f>
        <v>1372656740</v>
      </c>
      <c r="B145" s="679"/>
      <c r="C145" s="679"/>
      <c r="D145" s="679"/>
      <c r="E145" s="679"/>
      <c r="F145" s="680"/>
      <c r="G145" s="648" t="s">
        <v>696</v>
      </c>
      <c r="H145" s="648"/>
      <c r="I145" s="648"/>
      <c r="J145" s="655">
        <f t="shared" ref="J145:J150" si="7">J142</f>
        <v>45778</v>
      </c>
      <c r="K145" s="656"/>
      <c r="L145" s="657"/>
      <c r="M145" s="648" t="s">
        <v>720</v>
      </c>
      <c r="N145" s="648"/>
      <c r="O145" s="648">
        <f>O142</f>
        <v>1</v>
      </c>
      <c r="P145" s="648"/>
      <c r="Q145" s="648"/>
      <c r="R145" s="647" t="s">
        <v>1089</v>
      </c>
      <c r="S145" s="647"/>
      <c r="T145" s="647"/>
      <c r="U145" s="647" t="s">
        <v>1089</v>
      </c>
      <c r="V145" s="647"/>
      <c r="W145" s="647"/>
      <c r="X145" s="647" t="s">
        <v>1089</v>
      </c>
      <c r="Y145" s="647"/>
      <c r="Z145" s="647"/>
      <c r="AA145" s="647" t="s">
        <v>69</v>
      </c>
      <c r="AB145" s="647"/>
      <c r="AC145" s="647"/>
      <c r="AD145" s="647" t="s">
        <v>69</v>
      </c>
      <c r="AE145" s="647"/>
      <c r="AF145" s="647">
        <v>0</v>
      </c>
      <c r="AG145" s="647"/>
      <c r="AH145" s="647"/>
      <c r="AI145" s="647">
        <f>AI142</f>
        <v>31</v>
      </c>
      <c r="AJ145" s="647"/>
      <c r="AK145" s="647">
        <f>ROUND(AF145/AI145,2)</f>
        <v>0</v>
      </c>
      <c r="AL145" s="647"/>
      <c r="AM145" s="647"/>
    </row>
    <row r="146" spans="1:39" ht="14.1" customHeight="1">
      <c r="A146" s="717"/>
      <c r="B146" s="718"/>
      <c r="C146" s="718"/>
      <c r="D146" s="718"/>
      <c r="E146" s="718"/>
      <c r="F146" s="719"/>
      <c r="G146" s="648"/>
      <c r="H146" s="648"/>
      <c r="I146" s="648"/>
      <c r="J146" s="717" t="str">
        <f t="shared" si="7"/>
        <v>-</v>
      </c>
      <c r="K146" s="718"/>
      <c r="L146" s="719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1"/>
      <c r="B147" s="682"/>
      <c r="C147" s="682"/>
      <c r="D147" s="682"/>
      <c r="E147" s="682"/>
      <c r="F147" s="683"/>
      <c r="G147" s="648"/>
      <c r="H147" s="648"/>
      <c r="I147" s="648"/>
      <c r="J147" s="714">
        <f t="shared" si="7"/>
        <v>45808</v>
      </c>
      <c r="K147" s="715"/>
      <c r="L147" s="716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78">
        <f>A145</f>
        <v>1372656740</v>
      </c>
      <c r="B148" s="679"/>
      <c r="C148" s="679"/>
      <c r="D148" s="679"/>
      <c r="E148" s="679"/>
      <c r="F148" s="680"/>
      <c r="G148" s="648" t="s">
        <v>731</v>
      </c>
      <c r="H148" s="648"/>
      <c r="I148" s="648"/>
      <c r="J148" s="655">
        <f t="shared" si="7"/>
        <v>45778</v>
      </c>
      <c r="K148" s="656"/>
      <c r="L148" s="657"/>
      <c r="M148" s="648" t="s">
        <v>720</v>
      </c>
      <c r="N148" s="648"/>
      <c r="O148" s="648">
        <f>O145</f>
        <v>1</v>
      </c>
      <c r="P148" s="648"/>
      <c r="Q148" s="648"/>
      <c r="R148" s="647" t="s">
        <v>1089</v>
      </c>
      <c r="S148" s="647"/>
      <c r="T148" s="647"/>
      <c r="U148" s="647" t="s">
        <v>1089</v>
      </c>
      <c r="V148" s="647"/>
      <c r="W148" s="647"/>
      <c r="X148" s="647" t="s">
        <v>1089</v>
      </c>
      <c r="Y148" s="647"/>
      <c r="Z148" s="647"/>
      <c r="AA148" s="647" t="s">
        <v>69</v>
      </c>
      <c r="AB148" s="647"/>
      <c r="AC148" s="647"/>
      <c r="AD148" s="647" t="s">
        <v>69</v>
      </c>
      <c r="AE148" s="647"/>
      <c r="AF148" s="647">
        <v>0</v>
      </c>
      <c r="AG148" s="647"/>
      <c r="AH148" s="647"/>
      <c r="AI148" s="647">
        <f>AI145</f>
        <v>31</v>
      </c>
      <c r="AJ148" s="647"/>
      <c r="AK148" s="647">
        <f>ROUND(AF148/AI148,2)</f>
        <v>0</v>
      </c>
      <c r="AL148" s="647"/>
      <c r="AM148" s="647"/>
    </row>
    <row r="149" spans="1:39" ht="14.1" customHeight="1">
      <c r="A149" s="717"/>
      <c r="B149" s="718"/>
      <c r="C149" s="718"/>
      <c r="D149" s="718"/>
      <c r="E149" s="718"/>
      <c r="F149" s="719"/>
      <c r="G149" s="648"/>
      <c r="H149" s="648"/>
      <c r="I149" s="648"/>
      <c r="J149" s="717" t="str">
        <f t="shared" si="7"/>
        <v>-</v>
      </c>
      <c r="K149" s="718"/>
      <c r="L149" s="719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1"/>
      <c r="B150" s="682"/>
      <c r="C150" s="682"/>
      <c r="D150" s="682"/>
      <c r="E150" s="682"/>
      <c r="F150" s="683"/>
      <c r="G150" s="648"/>
      <c r="H150" s="648"/>
      <c r="I150" s="648"/>
      <c r="J150" s="714">
        <f t="shared" si="7"/>
        <v>45808</v>
      </c>
      <c r="K150" s="715"/>
      <c r="L150" s="716"/>
      <c r="M150" s="648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196"/>
      <c r="B151" s="196"/>
      <c r="C151" s="196"/>
      <c r="D151" s="196"/>
      <c r="E151" s="196"/>
      <c r="F151" s="196"/>
      <c r="G151" s="196"/>
      <c r="H151" s="196"/>
      <c r="I151" s="196"/>
      <c r="J151" s="197"/>
      <c r="K151" s="197"/>
      <c r="L151" s="197"/>
      <c r="M151" s="196"/>
      <c r="N151" s="196"/>
      <c r="O151" s="196"/>
      <c r="P151" s="196"/>
      <c r="Q151" s="196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</row>
    <row r="152" spans="1:39" ht="14.1" customHeight="1">
      <c r="A152" s="695" t="s">
        <v>858</v>
      </c>
      <c r="B152" s="695"/>
      <c r="C152" s="695"/>
      <c r="D152" s="695"/>
      <c r="E152" s="695"/>
      <c r="F152" s="695"/>
      <c r="G152" s="695"/>
      <c r="H152" s="695" t="str">
        <f>VLOOKUP($AA$15,'Date SPV'!$B:$H,4,FALSE)</f>
        <v>Sos. Sibiului, nr. 5, loc. Sibiu, jud. Sibiu</v>
      </c>
      <c r="I152" s="695"/>
      <c r="J152" s="695"/>
      <c r="K152" s="695"/>
      <c r="L152" s="695"/>
      <c r="M152" s="695"/>
      <c r="N152" s="695"/>
      <c r="O152" s="695"/>
      <c r="P152" s="695"/>
      <c r="Q152" s="695"/>
      <c r="R152" s="695"/>
      <c r="S152" s="695"/>
      <c r="T152" s="695"/>
      <c r="U152" s="695"/>
      <c r="V152" s="695"/>
      <c r="W152" s="695"/>
      <c r="X152" s="695"/>
      <c r="Y152" s="695"/>
      <c r="Z152" s="695"/>
      <c r="AA152" s="695"/>
      <c r="AB152" s="695"/>
      <c r="AC152" s="695"/>
      <c r="AD152" s="695"/>
      <c r="AE152" s="695"/>
      <c r="AF152" s="695"/>
      <c r="AG152" s="695"/>
      <c r="AH152" s="695"/>
      <c r="AI152" s="695"/>
      <c r="AJ152" s="695"/>
      <c r="AK152" s="695"/>
      <c r="AL152" s="695"/>
      <c r="AM152" s="695"/>
    </row>
    <row r="153" spans="1:39" ht="14.1" customHeight="1">
      <c r="A153" s="695"/>
      <c r="B153" s="695"/>
      <c r="C153" s="695"/>
      <c r="D153" s="695"/>
      <c r="E153" s="695"/>
      <c r="F153" s="695"/>
      <c r="G153" s="695"/>
      <c r="H153" s="695"/>
      <c r="I153" s="695"/>
      <c r="J153" s="695"/>
      <c r="K153" s="695"/>
      <c r="L153" s="695"/>
      <c r="M153" s="695"/>
      <c r="N153" s="695"/>
      <c r="O153" s="695"/>
      <c r="P153" s="695"/>
      <c r="Q153" s="695"/>
      <c r="R153" s="695"/>
      <c r="S153" s="695"/>
      <c r="T153" s="695"/>
      <c r="U153" s="695"/>
      <c r="V153" s="695"/>
      <c r="W153" s="695"/>
      <c r="X153" s="695"/>
      <c r="Y153" s="695"/>
      <c r="Z153" s="695"/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</row>
    <row r="154" spans="1:39" ht="14.1" customHeight="1">
      <c r="A154" s="695" t="s">
        <v>859</v>
      </c>
      <c r="B154" s="695"/>
      <c r="C154" s="695"/>
      <c r="D154" s="695"/>
      <c r="E154" s="695"/>
      <c r="F154" s="695"/>
      <c r="G154" s="695"/>
      <c r="H154" s="712">
        <f>VLOOKUP(AA154,'Date masura OD'!$G:$BE,51,FALSE)</f>
        <v>5000579303</v>
      </c>
      <c r="I154" s="712"/>
      <c r="J154" s="712"/>
      <c r="K154" s="712"/>
      <c r="L154" s="712"/>
      <c r="M154" s="712"/>
      <c r="N154" s="712"/>
      <c r="O154" s="712"/>
      <c r="P154" s="712"/>
      <c r="Q154" s="712"/>
      <c r="R154" s="712"/>
      <c r="S154" s="712"/>
      <c r="T154" s="712"/>
      <c r="U154" s="712"/>
      <c r="V154" s="712"/>
      <c r="W154" s="712" t="s">
        <v>860</v>
      </c>
      <c r="X154" s="712"/>
      <c r="Y154" s="712"/>
      <c r="Z154" s="712"/>
      <c r="AA154" s="640" t="str">
        <f>_xlfn.CONCAT($AA$15,"_",3)</f>
        <v>RSSC_3</v>
      </c>
      <c r="AB154" s="640"/>
      <c r="AC154" s="640"/>
      <c r="AD154" s="640"/>
      <c r="AE154" s="640"/>
      <c r="AF154" s="640"/>
      <c r="AG154" s="640"/>
      <c r="AH154" s="640"/>
      <c r="AI154" s="640"/>
      <c r="AJ154" s="640"/>
      <c r="AK154" s="640"/>
      <c r="AL154" s="640"/>
      <c r="AM154" s="640"/>
    </row>
    <row r="155" spans="1:39" ht="14.1" customHeight="1">
      <c r="A155" s="695"/>
      <c r="B155" s="695"/>
      <c r="C155" s="695"/>
      <c r="D155" s="695"/>
      <c r="E155" s="695"/>
      <c r="F155" s="695"/>
      <c r="G155" s="695"/>
      <c r="H155" s="712"/>
      <c r="I155" s="712"/>
      <c r="J155" s="712"/>
      <c r="K155" s="712"/>
      <c r="L155" s="712"/>
      <c r="M155" s="712"/>
      <c r="N155" s="712"/>
      <c r="O155" s="712"/>
      <c r="P155" s="712"/>
      <c r="Q155" s="712"/>
      <c r="R155" s="712"/>
      <c r="S155" s="712"/>
      <c r="T155" s="712"/>
      <c r="U155" s="712"/>
      <c r="V155" s="712"/>
      <c r="W155" s="712"/>
      <c r="X155" s="712"/>
      <c r="Y155" s="712"/>
      <c r="Z155" s="712"/>
      <c r="AA155" s="640"/>
      <c r="AB155" s="640"/>
      <c r="AC155" s="640"/>
      <c r="AD155" s="640"/>
      <c r="AE155" s="640"/>
      <c r="AF155" s="640"/>
      <c r="AG155" s="640"/>
      <c r="AH155" s="640"/>
      <c r="AI155" s="640"/>
      <c r="AJ155" s="640"/>
      <c r="AK155" s="640"/>
      <c r="AL155" s="640"/>
      <c r="AM155" s="640"/>
    </row>
    <row r="156" spans="1:39">
      <c r="A156" s="649" t="s">
        <v>748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50" t="str">
        <f>VLOOKUP(AI157,'Contorizare in SDI'!$E:$I,4,FALSE)</f>
        <v>594020200002260244</v>
      </c>
      <c r="N156" s="650"/>
      <c r="O156" s="650"/>
      <c r="P156" s="650"/>
      <c r="Q156" s="650"/>
      <c r="R156" s="650"/>
      <c r="S156" s="650"/>
      <c r="T156" s="650"/>
      <c r="U156" s="650"/>
      <c r="V156" s="650"/>
      <c r="W156" s="650"/>
      <c r="X156" s="650"/>
      <c r="Y156" s="650"/>
      <c r="Z156" s="650"/>
      <c r="AA156" s="650"/>
      <c r="AB156" s="650"/>
      <c r="AC156" s="650"/>
      <c r="AD156" s="650"/>
      <c r="AE156" s="650"/>
      <c r="AF156" s="650"/>
      <c r="AG156" s="650"/>
      <c r="AH156" s="650"/>
      <c r="AI156" s="650" t="s">
        <v>695</v>
      </c>
      <c r="AJ156" s="650"/>
      <c r="AK156" s="650"/>
      <c r="AL156" s="650"/>
      <c r="AM156" s="650"/>
    </row>
    <row r="157" spans="1:39">
      <c r="A157" s="649" t="s">
        <v>746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50" t="str">
        <f>VLOOKUP(AI157,'Inchidere contur'!$G:$U,15,FALSE)</f>
        <v>JT_OD</v>
      </c>
      <c r="N157" s="650"/>
      <c r="O157" s="650"/>
      <c r="P157" s="650"/>
      <c r="Q157" s="650"/>
      <c r="R157" s="650"/>
      <c r="S157" s="650"/>
      <c r="T157" s="650"/>
      <c r="U157" s="650"/>
      <c r="V157" s="650"/>
      <c r="W157" s="650"/>
      <c r="X157" s="650"/>
      <c r="Y157" s="650"/>
      <c r="Z157" s="650"/>
      <c r="AA157" s="650"/>
      <c r="AB157" s="650"/>
      <c r="AC157" s="650"/>
      <c r="AD157" s="650"/>
      <c r="AE157" s="650"/>
      <c r="AF157" s="650"/>
      <c r="AG157" s="650"/>
      <c r="AH157" s="650"/>
      <c r="AI157" s="619" t="str">
        <f>_xlfn.CONCAT(AA154)</f>
        <v>RSSC_3</v>
      </c>
      <c r="AJ157" s="619"/>
      <c r="AK157" s="619"/>
      <c r="AL157" s="619"/>
      <c r="AM157" s="619"/>
    </row>
    <row r="158" spans="1:39">
      <c r="A158" s="649" t="s">
        <v>747</v>
      </c>
      <c r="B158" s="649"/>
      <c r="C158" s="649"/>
      <c r="D158" s="649"/>
      <c r="E158" s="649"/>
      <c r="F158" s="649"/>
      <c r="G158" s="649"/>
      <c r="H158" s="649"/>
      <c r="I158" s="649"/>
      <c r="J158" s="649"/>
      <c r="K158" s="649"/>
      <c r="L158" s="649"/>
      <c r="M158" s="650" t="str">
        <f>IF(LEFT(M157,2)="JT","0.4kV",IF(LEFT(M157,2)="MT","20kV","-"))</f>
        <v>0.4kV</v>
      </c>
      <c r="N158" s="650"/>
      <c r="O158" s="650"/>
      <c r="P158" s="650"/>
      <c r="Q158" s="650"/>
      <c r="R158" s="650"/>
      <c r="S158" s="650"/>
      <c r="T158" s="650"/>
      <c r="U158" s="650"/>
      <c r="V158" s="650"/>
      <c r="W158" s="650"/>
      <c r="X158" s="650"/>
      <c r="Y158" s="650"/>
      <c r="Z158" s="650"/>
      <c r="AA158" s="650"/>
      <c r="AB158" s="650"/>
      <c r="AC158" s="650"/>
      <c r="AD158" s="650"/>
      <c r="AE158" s="650"/>
      <c r="AF158" s="650"/>
      <c r="AG158" s="650"/>
      <c r="AH158" s="650"/>
      <c r="AI158" s="619"/>
      <c r="AJ158" s="619"/>
      <c r="AK158" s="619"/>
      <c r="AL158" s="619"/>
      <c r="AM158" s="619"/>
    </row>
    <row r="159" spans="1:39" ht="15.95" customHeight="1">
      <c r="A159" s="648" t="s">
        <v>697</v>
      </c>
      <c r="B159" s="648"/>
      <c r="C159" s="648"/>
      <c r="D159" s="648"/>
      <c r="E159" s="648"/>
      <c r="F159" s="648"/>
      <c r="G159" s="647" t="s">
        <v>713</v>
      </c>
      <c r="H159" s="647"/>
      <c r="I159" s="647"/>
      <c r="J159" s="647" t="s">
        <v>714</v>
      </c>
      <c r="K159" s="647"/>
      <c r="L159" s="647"/>
      <c r="M159" s="648" t="s">
        <v>519</v>
      </c>
      <c r="N159" s="648"/>
      <c r="O159" s="648" t="s">
        <v>715</v>
      </c>
      <c r="P159" s="648"/>
      <c r="Q159" s="648"/>
      <c r="R159" s="647" t="s">
        <v>732</v>
      </c>
      <c r="S159" s="647"/>
      <c r="T159" s="647"/>
      <c r="U159" s="647" t="s">
        <v>734</v>
      </c>
      <c r="V159" s="647"/>
      <c r="W159" s="647"/>
      <c r="X159" s="647" t="s">
        <v>1085</v>
      </c>
      <c r="Y159" s="647"/>
      <c r="Z159" s="647"/>
      <c r="AA159" s="647" t="s">
        <v>1086</v>
      </c>
      <c r="AB159" s="647"/>
      <c r="AC159" s="647"/>
      <c r="AD159" s="647" t="s">
        <v>717</v>
      </c>
      <c r="AE159" s="647"/>
      <c r="AF159" s="647" t="s">
        <v>718</v>
      </c>
      <c r="AG159" s="647"/>
      <c r="AH159" s="647"/>
      <c r="AI159" s="647" t="s">
        <v>719</v>
      </c>
      <c r="AJ159" s="647"/>
      <c r="AK159" s="647" t="s">
        <v>733</v>
      </c>
      <c r="AL159" s="647"/>
      <c r="AM159" s="647"/>
    </row>
    <row r="160" spans="1:39">
      <c r="A160" s="648"/>
      <c r="B160" s="648"/>
      <c r="C160" s="648"/>
      <c r="D160" s="648"/>
      <c r="E160" s="648"/>
      <c r="F160" s="648"/>
      <c r="G160" s="647"/>
      <c r="H160" s="647"/>
      <c r="I160" s="647"/>
      <c r="J160" s="647"/>
      <c r="K160" s="647"/>
      <c r="L160" s="647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>
      <c r="A161" s="648"/>
      <c r="B161" s="648"/>
      <c r="C161" s="648"/>
      <c r="D161" s="648"/>
      <c r="E161" s="648"/>
      <c r="F161" s="648"/>
      <c r="G161" s="647"/>
      <c r="H161" s="647"/>
      <c r="I161" s="647"/>
      <c r="J161" s="713"/>
      <c r="K161" s="713"/>
      <c r="L161" s="713"/>
      <c r="M161" s="648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4">
        <f>VLOOKUP(AI157,'Contorizare in SDI'!$E:$I,5,FALSE)</f>
        <v>2710182</v>
      </c>
      <c r="B162" s="685"/>
      <c r="C162" s="685"/>
      <c r="D162" s="685"/>
      <c r="E162" s="685"/>
      <c r="F162" s="686"/>
      <c r="G162" s="648" t="s">
        <v>730</v>
      </c>
      <c r="H162" s="648"/>
      <c r="I162" s="673"/>
      <c r="J162" s="655">
        <f>'Date masura OD'!$AK$5</f>
        <v>45748</v>
      </c>
      <c r="K162" s="656"/>
      <c r="L162" s="657"/>
      <c r="M162" s="720" t="s">
        <v>446</v>
      </c>
      <c r="N162" s="648"/>
      <c r="O162" s="648">
        <f>VLOOKUP(AI157,'Date masura OD'!$G:$BB,2,FALSE)</f>
        <v>30</v>
      </c>
      <c r="P162" s="648"/>
      <c r="Q162" s="648"/>
      <c r="R162" s="647" t="str">
        <f>VLOOKUP(AI157,'Date masura OD'!$G:$BB,20,FALSE)&amp;" ("&amp;VLOOKUP(AI157,'Date masura OD'!$G:$BB,19,FALSE)&amp;")"</f>
        <v>9449.23 (estimare)</v>
      </c>
      <c r="S162" s="647"/>
      <c r="T162" s="647"/>
      <c r="U162" s="647" t="str">
        <f>VLOOKUP(AI157,'Date masura OD'!$G:$BB,21,FALSE)&amp;" ("&amp;VLOOKUP(AI157,'Date masura OD'!$G:$BB,19,FALSE)&amp;")"</f>
        <v>9538.4 (estimare)</v>
      </c>
      <c r="V162" s="647"/>
      <c r="W162" s="647"/>
      <c r="X162" s="647" t="str">
        <f>VLOOKUP(AI157,'Date masura OD'!$G:$BB,26,FALSE)&amp;" ("&amp;VLOOKUP(AI157,'Date masura OD'!$G:$BB,19,FALSE)&amp;")"</f>
        <v>2675 (estimare)</v>
      </c>
      <c r="Y162" s="647"/>
      <c r="Z162" s="647"/>
      <c r="AA162" s="647">
        <f>(-1)*VLOOKUP(AI157,'Date masura OD'!$G:$BB,26,FALSE)</f>
        <v>-2675</v>
      </c>
      <c r="AB162" s="647"/>
      <c r="AC162" s="647"/>
      <c r="AD162" s="647" t="s">
        <v>69</v>
      </c>
      <c r="AE162" s="647"/>
      <c r="AF162" s="647">
        <f>AA162</f>
        <v>-2675</v>
      </c>
      <c r="AG162" s="647"/>
      <c r="AH162" s="647"/>
      <c r="AI162" s="647" t="s">
        <v>69</v>
      </c>
      <c r="AJ162" s="647"/>
      <c r="AK162" s="647" t="s">
        <v>69</v>
      </c>
      <c r="AL162" s="647"/>
      <c r="AM162" s="647"/>
    </row>
    <row r="163" spans="1:39" ht="9.75" customHeight="1">
      <c r="A163" s="727"/>
      <c r="B163" s="729"/>
      <c r="C163" s="729"/>
      <c r="D163" s="729"/>
      <c r="E163" s="729"/>
      <c r="F163" s="728"/>
      <c r="G163" s="648"/>
      <c r="H163" s="648"/>
      <c r="I163" s="673"/>
      <c r="J163" s="717" t="s">
        <v>69</v>
      </c>
      <c r="K163" s="718"/>
      <c r="L163" s="719"/>
      <c r="M163" s="720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687"/>
      <c r="B164" s="688"/>
      <c r="C164" s="688"/>
      <c r="D164" s="688"/>
      <c r="E164" s="688"/>
      <c r="F164" s="689"/>
      <c r="G164" s="648"/>
      <c r="H164" s="648"/>
      <c r="I164" s="673"/>
      <c r="J164" s="714">
        <f>'Date masura OD'!$AL$5</f>
        <v>45777</v>
      </c>
      <c r="K164" s="715"/>
      <c r="L164" s="716"/>
      <c r="M164" s="720"/>
      <c r="N164" s="648"/>
      <c r="O164" s="648"/>
      <c r="P164" s="648"/>
      <c r="Q164" s="648"/>
      <c r="R164" s="647"/>
      <c r="S164" s="647"/>
      <c r="T164" s="647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4">
        <f>A162</f>
        <v>2710182</v>
      </c>
      <c r="B165" s="685"/>
      <c r="C165" s="685"/>
      <c r="D165" s="685"/>
      <c r="E165" s="685"/>
      <c r="F165" s="686"/>
      <c r="G165" s="648" t="s">
        <v>696</v>
      </c>
      <c r="H165" s="648"/>
      <c r="I165" s="648"/>
      <c r="J165" s="655">
        <f t="shared" ref="J165:J170" si="8">J162</f>
        <v>45748</v>
      </c>
      <c r="K165" s="656"/>
      <c r="L165" s="657"/>
      <c r="M165" s="648" t="s">
        <v>720</v>
      </c>
      <c r="N165" s="648"/>
      <c r="O165" s="648">
        <f>O162</f>
        <v>30</v>
      </c>
      <c r="P165" s="648"/>
      <c r="Q165" s="648"/>
      <c r="R165" s="647" t="str">
        <f>VLOOKUP(AI157,'Date masura OD'!$G:$BB,22,FALSE)&amp;" ("&amp;VLOOKUP(AI157,'Date masura OD'!$G:$BB,19,FALSE)&amp;")"</f>
        <v>2011.96 (estimare)</v>
      </c>
      <c r="S165" s="647"/>
      <c r="T165" s="647"/>
      <c r="U165" s="647" t="str">
        <f>VLOOKUP(AI157,'Date masura OD'!$G:$BB,23,FALSE)&amp;" ("&amp;VLOOKUP(AI157,'Date masura OD'!$G:$BB,19,FALSE)&amp;")"</f>
        <v>2011.96 (estimare)</v>
      </c>
      <c r="V165" s="647"/>
      <c r="W165" s="647"/>
      <c r="X165" s="647" t="str">
        <f>VLOOKUP(AI157,'Date masura OD'!$G:$BB,27,FALSE)&amp;" ("&amp;VLOOKUP(AI157,'Date masura OD'!$G:$BB,19,FALSE)&amp;")"</f>
        <v>0 (estimare)</v>
      </c>
      <c r="Y165" s="647"/>
      <c r="Z165" s="647"/>
      <c r="AA165" s="647">
        <f>(-1)*VLOOKUP(AI157,'Date masura OD'!$G:$BB,27,FALSE)</f>
        <v>0</v>
      </c>
      <c r="AB165" s="647"/>
      <c r="AC165" s="647"/>
      <c r="AD165" s="647" t="s">
        <v>69</v>
      </c>
      <c r="AE165" s="647"/>
      <c r="AF165" s="647">
        <f>AA165</f>
        <v>0</v>
      </c>
      <c r="AG165" s="647"/>
      <c r="AH165" s="647"/>
      <c r="AI165" s="647" t="str">
        <f>AI162</f>
        <v>-</v>
      </c>
      <c r="AJ165" s="647"/>
      <c r="AK165" s="647" t="str">
        <f>AK162</f>
        <v>-</v>
      </c>
      <c r="AL165" s="647"/>
      <c r="AM165" s="647"/>
    </row>
    <row r="166" spans="1:39" ht="8.4499999999999993" customHeight="1">
      <c r="A166" s="727"/>
      <c r="B166" s="729"/>
      <c r="C166" s="729"/>
      <c r="D166" s="729"/>
      <c r="E166" s="729"/>
      <c r="F166" s="728"/>
      <c r="G166" s="648"/>
      <c r="H166" s="648"/>
      <c r="I166" s="648"/>
      <c r="J166" s="717" t="str">
        <f t="shared" si="8"/>
        <v>-</v>
      </c>
      <c r="K166" s="718"/>
      <c r="L166" s="719"/>
      <c r="M166" s="648"/>
      <c r="N166" s="648"/>
      <c r="O166" s="648"/>
      <c r="P166" s="648"/>
      <c r="Q166" s="648"/>
      <c r="R166" s="647"/>
      <c r="S166" s="647"/>
      <c r="T166" s="647"/>
      <c r="U166" s="647"/>
      <c r="V166" s="647"/>
      <c r="W166" s="647"/>
      <c r="X166" s="647"/>
      <c r="Y166" s="647"/>
      <c r="Z166" s="647"/>
      <c r="AA166" s="647"/>
      <c r="AB166" s="647"/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</row>
    <row r="167" spans="1:39" ht="14.1" customHeight="1">
      <c r="A167" s="687"/>
      <c r="B167" s="688"/>
      <c r="C167" s="688"/>
      <c r="D167" s="688"/>
      <c r="E167" s="688"/>
      <c r="F167" s="689"/>
      <c r="G167" s="648"/>
      <c r="H167" s="648"/>
      <c r="I167" s="648"/>
      <c r="J167" s="714">
        <f t="shared" si="8"/>
        <v>45777</v>
      </c>
      <c r="K167" s="715"/>
      <c r="L167" s="716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4">
        <f>A165</f>
        <v>2710182</v>
      </c>
      <c r="B168" s="685"/>
      <c r="C168" s="685"/>
      <c r="D168" s="685"/>
      <c r="E168" s="685"/>
      <c r="F168" s="686"/>
      <c r="G168" s="648" t="s">
        <v>731</v>
      </c>
      <c r="H168" s="648"/>
      <c r="I168" s="648"/>
      <c r="J168" s="655">
        <f t="shared" si="8"/>
        <v>45748</v>
      </c>
      <c r="K168" s="656"/>
      <c r="L168" s="657"/>
      <c r="M168" s="648" t="s">
        <v>720</v>
      </c>
      <c r="N168" s="648"/>
      <c r="O168" s="648">
        <f>O165</f>
        <v>30</v>
      </c>
      <c r="P168" s="648"/>
      <c r="Q168" s="648"/>
      <c r="R168" s="647" t="str">
        <f>VLOOKUP(AI157,'Date masura OD'!$G:$BB,24,FALSE)&amp;" ("&amp;VLOOKUP(AI157,'Date masura OD'!$G:$BB,19,FALSE)&amp;")"</f>
        <v>2850.58 (estimare)</v>
      </c>
      <c r="S168" s="647"/>
      <c r="T168" s="647"/>
      <c r="U168" s="647" t="str">
        <f>VLOOKUP(AI157,'Date masura OD'!$G:$BB,25,FALSE)&amp;" ("&amp;VLOOKUP(AI157,'Date masura OD'!$G:$BB,19,FALSE)&amp;")"</f>
        <v>2850.58 (estimare)</v>
      </c>
      <c r="V168" s="647"/>
      <c r="W168" s="647"/>
      <c r="X168" s="647" t="str">
        <f>VLOOKUP(AI157,'Date masura OD'!$G:$BB,29,FALSE)&amp;" ("&amp;VLOOKUP(AI157,'Date masura OD'!$G:$BB,19,FALSE)&amp;")"</f>
        <v>0 (estimare)</v>
      </c>
      <c r="Y168" s="647"/>
      <c r="Z168" s="647"/>
      <c r="AA168" s="647">
        <f>(-1)*VLOOKUP(AI157,'Date masura OD'!$G:$BB,29,FALSE)</f>
        <v>0</v>
      </c>
      <c r="AB168" s="647"/>
      <c r="AC168" s="647"/>
      <c r="AD168" s="647" t="s">
        <v>69</v>
      </c>
      <c r="AE168" s="647"/>
      <c r="AF168" s="647">
        <f>AA168</f>
        <v>0</v>
      </c>
      <c r="AG168" s="647"/>
      <c r="AH168" s="647"/>
      <c r="AI168" s="647" t="str">
        <f>AI165</f>
        <v>-</v>
      </c>
      <c r="AJ168" s="647"/>
      <c r="AK168" s="647" t="str">
        <f>AK165</f>
        <v>-</v>
      </c>
      <c r="AL168" s="647"/>
      <c r="AM168" s="647"/>
    </row>
    <row r="169" spans="1:39" ht="8.4499999999999993" customHeight="1">
      <c r="A169" s="727"/>
      <c r="B169" s="729"/>
      <c r="C169" s="729"/>
      <c r="D169" s="729"/>
      <c r="E169" s="729"/>
      <c r="F169" s="728"/>
      <c r="G169" s="648"/>
      <c r="H169" s="648"/>
      <c r="I169" s="648"/>
      <c r="J169" s="717" t="str">
        <f t="shared" si="8"/>
        <v>-</v>
      </c>
      <c r="K169" s="718"/>
      <c r="L169" s="719"/>
      <c r="M169" s="648"/>
      <c r="N169" s="648"/>
      <c r="O169" s="648"/>
      <c r="P169" s="648"/>
      <c r="Q169" s="648"/>
      <c r="R169" s="647"/>
      <c r="S169" s="647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47"/>
      <c r="AL169" s="647"/>
      <c r="AM169" s="647"/>
    </row>
    <row r="170" spans="1:39" ht="14.1" customHeight="1">
      <c r="A170" s="687"/>
      <c r="B170" s="688"/>
      <c r="C170" s="688"/>
      <c r="D170" s="688"/>
      <c r="E170" s="688"/>
      <c r="F170" s="689"/>
      <c r="G170" s="648"/>
      <c r="H170" s="648"/>
      <c r="I170" s="648"/>
      <c r="J170" s="714">
        <f t="shared" si="8"/>
        <v>45777</v>
      </c>
      <c r="K170" s="715"/>
      <c r="L170" s="716"/>
      <c r="M170" s="648"/>
      <c r="N170" s="648"/>
      <c r="O170" s="648"/>
      <c r="P170" s="648"/>
      <c r="Q170" s="648"/>
      <c r="R170" s="647"/>
      <c r="S170" s="647"/>
      <c r="T170" s="647"/>
      <c r="U170" s="647"/>
      <c r="V170" s="647"/>
      <c r="W170" s="647"/>
      <c r="X170" s="647"/>
      <c r="Y170" s="647"/>
      <c r="Z170" s="647"/>
      <c r="AA170" s="647"/>
      <c r="AB170" s="647"/>
      <c r="AC170" s="647"/>
      <c r="AD170" s="647"/>
      <c r="AE170" s="647"/>
      <c r="AF170" s="647"/>
      <c r="AG170" s="647"/>
      <c r="AH170" s="647"/>
      <c r="AI170" s="647"/>
      <c r="AJ170" s="647"/>
      <c r="AK170" s="647"/>
      <c r="AL170" s="647"/>
      <c r="AM170" s="647"/>
    </row>
    <row r="171" spans="1:39" ht="14.1" customHeight="1">
      <c r="A171" s="684">
        <f>A168</f>
        <v>2710182</v>
      </c>
      <c r="B171" s="685"/>
      <c r="C171" s="685"/>
      <c r="D171" s="685"/>
      <c r="E171" s="685"/>
      <c r="F171" s="686"/>
      <c r="G171" s="648" t="s">
        <v>730</v>
      </c>
      <c r="H171" s="648"/>
      <c r="I171" s="673"/>
      <c r="J171" s="655">
        <f>'Date masura OD'!$AK$5</f>
        <v>45748</v>
      </c>
      <c r="K171" s="656"/>
      <c r="L171" s="657"/>
      <c r="M171" s="720" t="s">
        <v>446</v>
      </c>
      <c r="N171" s="648"/>
      <c r="O171" s="648">
        <f>O168</f>
        <v>30</v>
      </c>
      <c r="P171" s="648"/>
      <c r="Q171" s="648"/>
      <c r="R171" s="647" t="str">
        <f>VLOOKUP(AI157,'Date masura OD'!$G:$BB,35,FALSE)&amp;" ("&amp;VLOOKUP(AI157,'Date masura OD'!$G:$BB,33,FALSE)&amp;")"</f>
        <v>9449.23 (citire)</v>
      </c>
      <c r="S171" s="647"/>
      <c r="T171" s="647"/>
      <c r="U171" s="647" t="str">
        <f>VLOOKUP(AI157,'Date masura OD'!$G:$BB,36,FALSE)&amp;" ("&amp;VLOOKUP(AI157,'Date masura OD'!$G:$BB,33,FALSE)&amp;")"</f>
        <v>9538.4 (citire)</v>
      </c>
      <c r="V171" s="647"/>
      <c r="W171" s="647"/>
      <c r="X171" s="647" t="str">
        <f>VLOOKUP(AI157,'Date masura OD'!$G:$BB,41,FALSE)&amp;" ("&amp;VLOOKUP(AI157,'Date masura OD'!$G:$BB,33,FALSE)&amp;")"</f>
        <v>2675 (citire)</v>
      </c>
      <c r="Y171" s="647"/>
      <c r="Z171" s="647"/>
      <c r="AA171" s="647">
        <f>VLOOKUP(AI157,'Date masura OD'!$G:$BB,41,FALSE)</f>
        <v>2675</v>
      </c>
      <c r="AB171" s="647"/>
      <c r="AC171" s="647"/>
      <c r="AD171" s="647" t="s">
        <v>69</v>
      </c>
      <c r="AE171" s="647"/>
      <c r="AF171" s="647">
        <f>AA171</f>
        <v>2675</v>
      </c>
      <c r="AG171" s="647"/>
      <c r="AH171" s="647"/>
      <c r="AI171" s="647" t="str">
        <f>AI168</f>
        <v>-</v>
      </c>
      <c r="AJ171" s="647"/>
      <c r="AK171" s="647" t="str">
        <f>AK168</f>
        <v>-</v>
      </c>
      <c r="AL171" s="647"/>
      <c r="AM171" s="647"/>
    </row>
    <row r="172" spans="1:39" ht="8.4499999999999993" customHeight="1">
      <c r="A172" s="727"/>
      <c r="B172" s="729"/>
      <c r="C172" s="729"/>
      <c r="D172" s="729"/>
      <c r="E172" s="729"/>
      <c r="F172" s="728"/>
      <c r="G172" s="648"/>
      <c r="H172" s="648"/>
      <c r="I172" s="673"/>
      <c r="J172" s="717" t="s">
        <v>69</v>
      </c>
      <c r="K172" s="718"/>
      <c r="L172" s="719"/>
      <c r="M172" s="720"/>
      <c r="N172" s="648"/>
      <c r="O172" s="648"/>
      <c r="P172" s="648"/>
      <c r="Q172" s="648"/>
      <c r="R172" s="647"/>
      <c r="S172" s="647"/>
      <c r="T172" s="647"/>
      <c r="U172" s="647"/>
      <c r="V172" s="647"/>
      <c r="W172" s="647"/>
      <c r="X172" s="647"/>
      <c r="Y172" s="647"/>
      <c r="Z172" s="647"/>
      <c r="AA172" s="647"/>
      <c r="AB172" s="647"/>
      <c r="AC172" s="647"/>
      <c r="AD172" s="647"/>
      <c r="AE172" s="647"/>
      <c r="AF172" s="647"/>
      <c r="AG172" s="647"/>
      <c r="AH172" s="647"/>
      <c r="AI172" s="647"/>
      <c r="AJ172" s="647"/>
      <c r="AK172" s="647"/>
      <c r="AL172" s="647"/>
      <c r="AM172" s="647"/>
    </row>
    <row r="173" spans="1:39" ht="14.1" customHeight="1">
      <c r="A173" s="687"/>
      <c r="B173" s="688"/>
      <c r="C173" s="688"/>
      <c r="D173" s="688"/>
      <c r="E173" s="688"/>
      <c r="F173" s="689"/>
      <c r="G173" s="648"/>
      <c r="H173" s="648"/>
      <c r="I173" s="673"/>
      <c r="J173" s="714">
        <f>'Date masura OD'!$AL$5</f>
        <v>45777</v>
      </c>
      <c r="K173" s="715"/>
      <c r="L173" s="716"/>
      <c r="M173" s="720"/>
      <c r="N173" s="648"/>
      <c r="O173" s="648"/>
      <c r="P173" s="648"/>
      <c r="Q173" s="648"/>
      <c r="R173" s="647"/>
      <c r="S173" s="647"/>
      <c r="T173" s="647"/>
      <c r="U173" s="647"/>
      <c r="V173" s="647"/>
      <c r="W173" s="647"/>
      <c r="X173" s="647"/>
      <c r="Y173" s="647"/>
      <c r="Z173" s="647"/>
      <c r="AA173" s="647"/>
      <c r="AB173" s="647"/>
      <c r="AC173" s="647"/>
      <c r="AD173" s="647"/>
      <c r="AE173" s="647"/>
      <c r="AF173" s="647"/>
      <c r="AG173" s="647"/>
      <c r="AH173" s="647"/>
      <c r="AI173" s="647"/>
      <c r="AJ173" s="647"/>
      <c r="AK173" s="647"/>
      <c r="AL173" s="647"/>
      <c r="AM173" s="647"/>
    </row>
    <row r="174" spans="1:39" ht="14.1" customHeight="1">
      <c r="A174" s="684">
        <f>A171</f>
        <v>2710182</v>
      </c>
      <c r="B174" s="685"/>
      <c r="C174" s="685"/>
      <c r="D174" s="685"/>
      <c r="E174" s="685"/>
      <c r="F174" s="686"/>
      <c r="G174" s="648" t="s">
        <v>696</v>
      </c>
      <c r="H174" s="648"/>
      <c r="I174" s="648"/>
      <c r="J174" s="655">
        <f t="shared" ref="J174:J179" si="9">J171</f>
        <v>45748</v>
      </c>
      <c r="K174" s="656"/>
      <c r="L174" s="657"/>
      <c r="M174" s="648" t="s">
        <v>720</v>
      </c>
      <c r="N174" s="648"/>
      <c r="O174" s="648">
        <f>O171</f>
        <v>30</v>
      </c>
      <c r="P174" s="648"/>
      <c r="Q174" s="648"/>
      <c r="R174" s="647" t="str">
        <f>VLOOKUP(AI157,'Date masura OD'!$G:$BB,37,FALSE)&amp;" ("&amp;VLOOKUP(AI157,'Date masura OD'!$G:$BB,33,FALSE)&amp;")"</f>
        <v>2011.96 (citire)</v>
      </c>
      <c r="S174" s="647"/>
      <c r="T174" s="647"/>
      <c r="U174" s="647" t="str">
        <f>VLOOKUP(AI157,'Date masura OD'!$G:$BB,38,FALSE)&amp;" ("&amp;VLOOKUP(AI157,'Date masura OD'!$G:$BB,33,FALSE)&amp;")"</f>
        <v>2015.54 (citire)</v>
      </c>
      <c r="V174" s="647"/>
      <c r="W174" s="647"/>
      <c r="X174" s="647" t="str">
        <f>VLOOKUP(AI157,'Date masura OD'!$G:$BB,42,FALSE)&amp;" ("&amp;VLOOKUP(AI157,'Date masura OD'!$G:$BB,33,FALSE)&amp;")"</f>
        <v>107 (citire)</v>
      </c>
      <c r="Y174" s="647"/>
      <c r="Z174" s="647"/>
      <c r="AA174" s="647">
        <f>VLOOKUP(AI157,'Date masura OD'!$G:$BB,42,FALSE)</f>
        <v>107</v>
      </c>
      <c r="AB174" s="647"/>
      <c r="AC174" s="647"/>
      <c r="AD174" s="647" t="s">
        <v>69</v>
      </c>
      <c r="AE174" s="647"/>
      <c r="AF174" s="647">
        <f>AA174</f>
        <v>107</v>
      </c>
      <c r="AG174" s="647"/>
      <c r="AH174" s="647"/>
      <c r="AI174" s="647" t="str">
        <f>AI171</f>
        <v>-</v>
      </c>
      <c r="AJ174" s="647"/>
      <c r="AK174" s="647" t="str">
        <f>AK171</f>
        <v>-</v>
      </c>
      <c r="AL174" s="647"/>
      <c r="AM174" s="647"/>
    </row>
    <row r="175" spans="1:39" ht="8.4499999999999993" customHeight="1">
      <c r="A175" s="727"/>
      <c r="B175" s="729"/>
      <c r="C175" s="729"/>
      <c r="D175" s="729"/>
      <c r="E175" s="729"/>
      <c r="F175" s="728"/>
      <c r="G175" s="648"/>
      <c r="H175" s="648"/>
      <c r="I175" s="648"/>
      <c r="J175" s="717" t="str">
        <f t="shared" si="9"/>
        <v>-</v>
      </c>
      <c r="K175" s="718"/>
      <c r="L175" s="719"/>
      <c r="M175" s="648"/>
      <c r="N175" s="648"/>
      <c r="O175" s="648"/>
      <c r="P175" s="648"/>
      <c r="Q175" s="648"/>
      <c r="R175" s="647"/>
      <c r="S175" s="647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647"/>
      <c r="AL175" s="647"/>
      <c r="AM175" s="647"/>
    </row>
    <row r="176" spans="1:39" ht="14.1" customHeight="1">
      <c r="A176" s="687"/>
      <c r="B176" s="688"/>
      <c r="C176" s="688"/>
      <c r="D176" s="688"/>
      <c r="E176" s="688"/>
      <c r="F176" s="689"/>
      <c r="G176" s="648"/>
      <c r="H176" s="648"/>
      <c r="I176" s="648"/>
      <c r="J176" s="714">
        <f t="shared" si="9"/>
        <v>45777</v>
      </c>
      <c r="K176" s="715"/>
      <c r="L176" s="716"/>
      <c r="M176" s="648"/>
      <c r="N176" s="648"/>
      <c r="O176" s="648"/>
      <c r="P176" s="648"/>
      <c r="Q176" s="648"/>
      <c r="R176" s="647"/>
      <c r="S176" s="647"/>
      <c r="T176" s="647"/>
      <c r="U176" s="647"/>
      <c r="V176" s="647"/>
      <c r="W176" s="647"/>
      <c r="X176" s="647"/>
      <c r="Y176" s="647"/>
      <c r="Z176" s="647"/>
      <c r="AA176" s="647"/>
      <c r="AB176" s="647"/>
      <c r="AC176" s="647"/>
      <c r="AD176" s="647"/>
      <c r="AE176" s="647"/>
      <c r="AF176" s="647"/>
      <c r="AG176" s="647"/>
      <c r="AH176" s="647"/>
      <c r="AI176" s="647"/>
      <c r="AJ176" s="647"/>
      <c r="AK176" s="647"/>
      <c r="AL176" s="647"/>
      <c r="AM176" s="647"/>
    </row>
    <row r="177" spans="1:39" ht="14.1" customHeight="1">
      <c r="A177" s="684">
        <f>A174</f>
        <v>2710182</v>
      </c>
      <c r="B177" s="685"/>
      <c r="C177" s="685"/>
      <c r="D177" s="685"/>
      <c r="E177" s="685"/>
      <c r="F177" s="686"/>
      <c r="G177" s="648" t="s">
        <v>731</v>
      </c>
      <c r="H177" s="648"/>
      <c r="I177" s="648"/>
      <c r="J177" s="655">
        <f t="shared" si="9"/>
        <v>45748</v>
      </c>
      <c r="K177" s="656"/>
      <c r="L177" s="657"/>
      <c r="M177" s="648" t="s">
        <v>720</v>
      </c>
      <c r="N177" s="648"/>
      <c r="O177" s="648">
        <f>O174</f>
        <v>30</v>
      </c>
      <c r="P177" s="648"/>
      <c r="Q177" s="648"/>
      <c r="R177" s="647" t="str">
        <f>VLOOKUP(AI157,'Date masura OD'!$G:$BB,39,FALSE)&amp;" ("&amp;VLOOKUP(AI157,'Date masura OD'!$G:$BB,33,FALSE)&amp;")"</f>
        <v>2850.58 (citire)</v>
      </c>
      <c r="S177" s="647"/>
      <c r="T177" s="647"/>
      <c r="U177" s="647" t="str">
        <f>VLOOKUP(AI157,'Date masura OD'!$G:$BB,40,FALSE)&amp;" ("&amp;VLOOKUP(AI157,'Date masura OD'!$G:$BB,33,FALSE)&amp;")"</f>
        <v>2939.12 (citire)</v>
      </c>
      <c r="V177" s="647"/>
      <c r="W177" s="647"/>
      <c r="X177" s="647" t="str">
        <f>VLOOKUP(AI157,'Date masura OD'!$G:$BB,43,FALSE)&amp;" ("&amp;VLOOKUP(AI157,'Date masura OD'!$G:$BB,33,FALSE)&amp;")"</f>
        <v>2656 (citire)</v>
      </c>
      <c r="Y177" s="647"/>
      <c r="Z177" s="647"/>
      <c r="AA177" s="647">
        <f>VLOOKUP(AI157,'Date masura OD'!$G:$BB,43,FALSE)</f>
        <v>2656</v>
      </c>
      <c r="AB177" s="647"/>
      <c r="AC177" s="647"/>
      <c r="AD177" s="647" t="s">
        <v>69</v>
      </c>
      <c r="AE177" s="647"/>
      <c r="AF177" s="647">
        <f>AA177</f>
        <v>2656</v>
      </c>
      <c r="AG177" s="647"/>
      <c r="AH177" s="647"/>
      <c r="AI177" s="647" t="str">
        <f>AI174</f>
        <v>-</v>
      </c>
      <c r="AJ177" s="647"/>
      <c r="AK177" s="647" t="str">
        <f>AK174</f>
        <v>-</v>
      </c>
      <c r="AL177" s="647"/>
      <c r="AM177" s="647"/>
    </row>
    <row r="178" spans="1:39" ht="8.4499999999999993" customHeight="1">
      <c r="A178" s="727"/>
      <c r="B178" s="729"/>
      <c r="C178" s="729"/>
      <c r="D178" s="729"/>
      <c r="E178" s="729"/>
      <c r="F178" s="728"/>
      <c r="G178" s="648"/>
      <c r="H178" s="648"/>
      <c r="I178" s="648"/>
      <c r="J178" s="717" t="str">
        <f t="shared" si="9"/>
        <v>-</v>
      </c>
      <c r="K178" s="718"/>
      <c r="L178" s="719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87"/>
      <c r="B179" s="688"/>
      <c r="C179" s="688"/>
      <c r="D179" s="688"/>
      <c r="E179" s="688"/>
      <c r="F179" s="689"/>
      <c r="G179" s="648"/>
      <c r="H179" s="648"/>
      <c r="I179" s="648"/>
      <c r="J179" s="714">
        <f t="shared" si="9"/>
        <v>45777</v>
      </c>
      <c r="K179" s="715"/>
      <c r="L179" s="716"/>
      <c r="M179" s="648"/>
      <c r="N179" s="648"/>
      <c r="O179" s="648"/>
      <c r="P179" s="648"/>
      <c r="Q179" s="648"/>
      <c r="R179" s="647"/>
      <c r="S179" s="647"/>
      <c r="T179" s="647"/>
      <c r="U179" s="647"/>
      <c r="V179" s="647"/>
      <c r="W179" s="647"/>
      <c r="X179" s="647"/>
      <c r="Y179" s="647"/>
      <c r="Z179" s="647"/>
      <c r="AA179" s="647"/>
      <c r="AB179" s="647"/>
      <c r="AC179" s="647"/>
      <c r="AD179" s="647"/>
      <c r="AE179" s="647"/>
      <c r="AF179" s="647"/>
      <c r="AG179" s="647"/>
      <c r="AH179" s="647"/>
      <c r="AI179" s="647"/>
      <c r="AJ179" s="647"/>
      <c r="AK179" s="647"/>
      <c r="AL179" s="647"/>
      <c r="AM179" s="647"/>
    </row>
    <row r="180" spans="1:39" ht="14.1" customHeight="1">
      <c r="A180" s="684">
        <f>A177</f>
        <v>2710182</v>
      </c>
      <c r="B180" s="685"/>
      <c r="C180" s="685"/>
      <c r="D180" s="685"/>
      <c r="E180" s="685"/>
      <c r="F180" s="686"/>
      <c r="G180" s="648" t="s">
        <v>730</v>
      </c>
      <c r="H180" s="648"/>
      <c r="I180" s="673"/>
      <c r="J180" s="655">
        <f>'Date masura OD'!$I$5</f>
        <v>45778</v>
      </c>
      <c r="K180" s="656"/>
      <c r="L180" s="657"/>
      <c r="M180" s="720" t="s">
        <v>446</v>
      </c>
      <c r="N180" s="648"/>
      <c r="O180" s="648">
        <f>O177</f>
        <v>30</v>
      </c>
      <c r="P180" s="648"/>
      <c r="Q180" s="648"/>
      <c r="R180" s="647" t="str">
        <f>U171</f>
        <v>9538.4 (citire)</v>
      </c>
      <c r="S180" s="647"/>
      <c r="T180" s="647"/>
      <c r="U180" s="647" t="str">
        <f>VLOOKUP(AI157,'Date masura OD'!$G:$BB,7,FALSE)&amp;" (estimat)"</f>
        <v>9658.61 (estimat)</v>
      </c>
      <c r="V180" s="647"/>
      <c r="W180" s="647"/>
      <c r="X180" s="647" t="str">
        <f>VLOOKUP(AI157,'Date masura OD'!$G:$BB,12,FALSE)&amp;" (estimat)"</f>
        <v>3606 (estimat)</v>
      </c>
      <c r="Y180" s="647"/>
      <c r="Z180" s="647"/>
      <c r="AA180" s="647" t="s">
        <v>69</v>
      </c>
      <c r="AB180" s="647"/>
      <c r="AC180" s="647"/>
      <c r="AD180" s="647" t="s">
        <v>69</v>
      </c>
      <c r="AE180" s="647"/>
      <c r="AF180" s="647">
        <f>VLOOKUP(AI157,'Date masura OD'!$G:$BB,12,FALSE)</f>
        <v>3606</v>
      </c>
      <c r="AG180" s="647"/>
      <c r="AH180" s="647"/>
      <c r="AI180" s="647">
        <f>J182-J180+1</f>
        <v>31</v>
      </c>
      <c r="AJ180" s="647"/>
      <c r="AK180" s="647">
        <f>ROUND(AF180/AI180,2)</f>
        <v>116.32</v>
      </c>
      <c r="AL180" s="647"/>
      <c r="AM180" s="647"/>
    </row>
    <row r="181" spans="1:39" ht="8.4499999999999993" customHeight="1">
      <c r="A181" s="727"/>
      <c r="B181" s="729"/>
      <c r="C181" s="729"/>
      <c r="D181" s="729"/>
      <c r="E181" s="729"/>
      <c r="F181" s="728"/>
      <c r="G181" s="648"/>
      <c r="H181" s="648"/>
      <c r="I181" s="673"/>
      <c r="J181" s="717" t="s">
        <v>69</v>
      </c>
      <c r="K181" s="718"/>
      <c r="L181" s="719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87"/>
      <c r="B182" s="688"/>
      <c r="C182" s="688"/>
      <c r="D182" s="688"/>
      <c r="E182" s="688"/>
      <c r="F182" s="689"/>
      <c r="G182" s="648"/>
      <c r="H182" s="648"/>
      <c r="I182" s="673"/>
      <c r="J182" s="714">
        <f>'Date masura OD'!$J$5</f>
        <v>45808</v>
      </c>
      <c r="K182" s="715"/>
      <c r="L182" s="716"/>
      <c r="M182" s="720"/>
      <c r="N182" s="648"/>
      <c r="O182" s="648"/>
      <c r="P182" s="648"/>
      <c r="Q182" s="648"/>
      <c r="R182" s="647"/>
      <c r="S182" s="647"/>
      <c r="T182" s="647"/>
      <c r="U182" s="647"/>
      <c r="V182" s="647"/>
      <c r="W182" s="647"/>
      <c r="X182" s="647"/>
      <c r="Y182" s="647"/>
      <c r="Z182" s="647"/>
      <c r="AA182" s="647"/>
      <c r="AB182" s="647"/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</row>
    <row r="183" spans="1:39" ht="14.1" customHeight="1">
      <c r="A183" s="684">
        <f>A180</f>
        <v>2710182</v>
      </c>
      <c r="B183" s="685"/>
      <c r="C183" s="685"/>
      <c r="D183" s="685"/>
      <c r="E183" s="685"/>
      <c r="F183" s="686"/>
      <c r="G183" s="648" t="s">
        <v>696</v>
      </c>
      <c r="H183" s="648"/>
      <c r="I183" s="648"/>
      <c r="J183" s="655">
        <f t="shared" ref="J183:J188" si="10">J180</f>
        <v>45778</v>
      </c>
      <c r="K183" s="656"/>
      <c r="L183" s="657"/>
      <c r="M183" s="648" t="s">
        <v>720</v>
      </c>
      <c r="N183" s="648"/>
      <c r="O183" s="648">
        <f>O180</f>
        <v>30</v>
      </c>
      <c r="P183" s="648"/>
      <c r="Q183" s="648"/>
      <c r="R183" s="647" t="str">
        <f>U174</f>
        <v>2015.54 (citire)</v>
      </c>
      <c r="S183" s="647"/>
      <c r="T183" s="647"/>
      <c r="U183" s="647" t="str">
        <f>VLOOKUP(AI157,'Date masura OD'!$G:$BB,9,FALSE)&amp;" (estimat)"</f>
        <v>2015.54 (estimat)</v>
      </c>
      <c r="V183" s="647"/>
      <c r="W183" s="647"/>
      <c r="X183" s="647" t="str">
        <f>VLOOKUP(AI157,'Date masura OD'!$G:$BB,13,FALSE)&amp;" (estimat)"</f>
        <v>0 (estimat)</v>
      </c>
      <c r="Y183" s="647"/>
      <c r="Z183" s="647"/>
      <c r="AA183" s="647" t="s">
        <v>69</v>
      </c>
      <c r="AB183" s="647"/>
      <c r="AC183" s="647"/>
      <c r="AD183" s="647" t="s">
        <v>69</v>
      </c>
      <c r="AE183" s="647"/>
      <c r="AF183" s="647">
        <f>VLOOKUP(AI157,'Date masura OD'!$G:$BB,13,FALSE)</f>
        <v>0</v>
      </c>
      <c r="AG183" s="647"/>
      <c r="AH183" s="647"/>
      <c r="AI183" s="647">
        <f>AI180</f>
        <v>31</v>
      </c>
      <c r="AJ183" s="647"/>
      <c r="AK183" s="647">
        <f>ROUND(AF183/AI183,2)</f>
        <v>0</v>
      </c>
      <c r="AL183" s="647"/>
      <c r="AM183" s="647"/>
    </row>
    <row r="184" spans="1:39" ht="8.4499999999999993" customHeight="1">
      <c r="A184" s="727"/>
      <c r="B184" s="729"/>
      <c r="C184" s="729"/>
      <c r="D184" s="729"/>
      <c r="E184" s="729"/>
      <c r="F184" s="728"/>
      <c r="G184" s="648"/>
      <c r="H184" s="648"/>
      <c r="I184" s="648"/>
      <c r="J184" s="717" t="str">
        <f t="shared" si="10"/>
        <v>-</v>
      </c>
      <c r="K184" s="718"/>
      <c r="L184" s="719"/>
      <c r="M184" s="648"/>
      <c r="N184" s="648"/>
      <c r="O184" s="648"/>
      <c r="P184" s="648"/>
      <c r="Q184" s="648"/>
      <c r="R184" s="647"/>
      <c r="S184" s="647"/>
      <c r="T184" s="647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87"/>
      <c r="B185" s="688"/>
      <c r="C185" s="688"/>
      <c r="D185" s="688"/>
      <c r="E185" s="688"/>
      <c r="F185" s="689"/>
      <c r="G185" s="648"/>
      <c r="H185" s="648"/>
      <c r="I185" s="648"/>
      <c r="J185" s="714">
        <f t="shared" si="10"/>
        <v>45808</v>
      </c>
      <c r="K185" s="715"/>
      <c r="L185" s="716"/>
      <c r="M185" s="648"/>
      <c r="N185" s="648"/>
      <c r="O185" s="648"/>
      <c r="P185" s="648"/>
      <c r="Q185" s="648"/>
      <c r="R185" s="647"/>
      <c r="S185" s="647"/>
      <c r="T185" s="647"/>
      <c r="U185" s="647"/>
      <c r="V185" s="647"/>
      <c r="W185" s="647"/>
      <c r="X185" s="647"/>
      <c r="Y185" s="647"/>
      <c r="Z185" s="647"/>
      <c r="AA185" s="647"/>
      <c r="AB185" s="647"/>
      <c r="AC185" s="647"/>
      <c r="AD185" s="647"/>
      <c r="AE185" s="647"/>
      <c r="AF185" s="647"/>
      <c r="AG185" s="647"/>
      <c r="AH185" s="647"/>
      <c r="AI185" s="647"/>
      <c r="AJ185" s="647"/>
      <c r="AK185" s="647"/>
      <c r="AL185" s="647"/>
      <c r="AM185" s="647"/>
    </row>
    <row r="186" spans="1:39" ht="14.1" customHeight="1">
      <c r="A186" s="684">
        <f>A183</f>
        <v>2710182</v>
      </c>
      <c r="B186" s="685"/>
      <c r="C186" s="685"/>
      <c r="D186" s="685"/>
      <c r="E186" s="685"/>
      <c r="F186" s="686"/>
      <c r="G186" s="648" t="s">
        <v>731</v>
      </c>
      <c r="H186" s="648"/>
      <c r="I186" s="648"/>
      <c r="J186" s="655">
        <f t="shared" si="10"/>
        <v>45778</v>
      </c>
      <c r="K186" s="656"/>
      <c r="L186" s="657"/>
      <c r="M186" s="648" t="s">
        <v>720</v>
      </c>
      <c r="N186" s="648"/>
      <c r="O186" s="648">
        <f>O183</f>
        <v>30</v>
      </c>
      <c r="P186" s="648"/>
      <c r="Q186" s="648"/>
      <c r="R186" s="647" t="str">
        <f>U177</f>
        <v>2939.12 (citire)</v>
      </c>
      <c r="S186" s="647"/>
      <c r="T186" s="647"/>
      <c r="U186" s="647" t="str">
        <f>VLOOKUP(AI157,'Date masura OD'!$G:$BB,11,FALSE)&amp;" (estimat)"</f>
        <v>2939.12 (estimat)</v>
      </c>
      <c r="V186" s="647"/>
      <c r="W186" s="647"/>
      <c r="X186" s="647" t="str">
        <f>VLOOKUP(AI157,'Date masura OD'!$G:$BB,15,FALSE)&amp;" (estimat)"</f>
        <v>0 (estimat)</v>
      </c>
      <c r="Y186" s="647"/>
      <c r="Z186" s="647"/>
      <c r="AA186" s="647" t="s">
        <v>69</v>
      </c>
      <c r="AB186" s="647"/>
      <c r="AC186" s="647"/>
      <c r="AD186" s="647" t="s">
        <v>69</v>
      </c>
      <c r="AE186" s="647"/>
      <c r="AF186" s="647">
        <f>VLOOKUP(AI157,'Date masura OD'!$G:$BB,15,FALSE)</f>
        <v>0</v>
      </c>
      <c r="AG186" s="647"/>
      <c r="AH186" s="647"/>
      <c r="AI186" s="647">
        <f>AI183</f>
        <v>31</v>
      </c>
      <c r="AJ186" s="647"/>
      <c r="AK186" s="647">
        <f>ROUND(AF186/AI186,2)</f>
        <v>0</v>
      </c>
      <c r="AL186" s="647"/>
      <c r="AM186" s="647"/>
    </row>
    <row r="187" spans="1:39" ht="8.4499999999999993" customHeight="1">
      <c r="A187" s="727"/>
      <c r="B187" s="729"/>
      <c r="C187" s="729"/>
      <c r="D187" s="729"/>
      <c r="E187" s="729"/>
      <c r="F187" s="728"/>
      <c r="G187" s="648"/>
      <c r="H187" s="648"/>
      <c r="I187" s="648"/>
      <c r="J187" s="717" t="str">
        <f t="shared" si="10"/>
        <v>-</v>
      </c>
      <c r="K187" s="718"/>
      <c r="L187" s="719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87"/>
      <c r="B188" s="688"/>
      <c r="C188" s="688"/>
      <c r="D188" s="688"/>
      <c r="E188" s="688"/>
      <c r="F188" s="689"/>
      <c r="G188" s="648"/>
      <c r="H188" s="648"/>
      <c r="I188" s="648"/>
      <c r="J188" s="714">
        <f t="shared" si="10"/>
        <v>45808</v>
      </c>
      <c r="K188" s="715"/>
      <c r="L188" s="716"/>
      <c r="M188" s="648"/>
      <c r="N188" s="648"/>
      <c r="O188" s="648"/>
      <c r="P188" s="648"/>
      <c r="Q188" s="648"/>
      <c r="R188" s="647"/>
      <c r="S188" s="647"/>
      <c r="T188" s="647"/>
      <c r="U188" s="647"/>
      <c r="V188" s="647"/>
      <c r="W188" s="647"/>
      <c r="X188" s="647"/>
      <c r="Y188" s="647"/>
      <c r="Z188" s="647"/>
      <c r="AA188" s="647"/>
      <c r="AB188" s="647"/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</row>
    <row r="189" spans="1:39" ht="14.1" customHeight="1"/>
    <row r="190" spans="1:39" ht="14.1" customHeight="1"/>
    <row r="191" spans="1:39" ht="14.1" customHeight="1"/>
    <row r="192" spans="1:39" ht="15.95" customHeight="1">
      <c r="A192" s="624" t="str">
        <f>A27</f>
        <v>DETALII FACTURA FACTURA FISCALA SERIA …........ NR …................. din date de ….......06.2025</v>
      </c>
      <c r="B192" s="624"/>
      <c r="C192" s="624"/>
      <c r="D192" s="624"/>
      <c r="E192" s="624"/>
      <c r="F192" s="624"/>
      <c r="G192" s="624"/>
      <c r="H192" s="624"/>
      <c r="I192" s="624"/>
      <c r="J192" s="624"/>
      <c r="K192" s="624"/>
      <c r="L192" s="624"/>
      <c r="M192" s="624"/>
      <c r="N192" s="624"/>
      <c r="O192" s="624"/>
      <c r="P192" s="624"/>
      <c r="Q192" s="624"/>
      <c r="R192" s="624"/>
      <c r="S192" s="624"/>
      <c r="T192" s="624"/>
      <c r="U192" s="624"/>
      <c r="V192" s="624"/>
      <c r="W192" s="624"/>
      <c r="X192" s="624"/>
      <c r="Y192" s="624"/>
      <c r="Z192" s="624"/>
      <c r="AA192" s="624"/>
      <c r="AB192" s="624"/>
      <c r="AC192" s="624"/>
      <c r="AD192" s="624"/>
      <c r="AE192" s="624"/>
      <c r="AF192" s="624"/>
      <c r="AG192" s="624"/>
      <c r="AH192" s="624"/>
      <c r="AI192" s="624"/>
      <c r="AJ192" s="624"/>
      <c r="AK192" s="624"/>
      <c r="AL192" s="624"/>
      <c r="AM192" s="624"/>
    </row>
    <row r="194" spans="1:39" ht="36" customHeight="1">
      <c r="A194" s="66" t="s">
        <v>721</v>
      </c>
      <c r="B194" s="648" t="s">
        <v>95</v>
      </c>
      <c r="C194" s="648"/>
      <c r="D194" s="648"/>
      <c r="E194" s="648"/>
      <c r="F194" s="648"/>
      <c r="G194" s="648"/>
      <c r="H194" s="648"/>
      <c r="I194" s="648"/>
      <c r="J194" s="648"/>
      <c r="K194" s="648"/>
      <c r="L194" s="64" t="s">
        <v>709</v>
      </c>
      <c r="M194" s="69"/>
      <c r="N194" s="69"/>
      <c r="O194" s="64"/>
      <c r="P194" s="69"/>
      <c r="Q194" s="69"/>
      <c r="R194" s="647" t="s">
        <v>722</v>
      </c>
      <c r="S194" s="647"/>
      <c r="T194" s="647"/>
      <c r="U194" s="647"/>
      <c r="V194" s="648" t="s">
        <v>519</v>
      </c>
      <c r="W194" s="648"/>
      <c r="X194" s="647" t="s">
        <v>723</v>
      </c>
      <c r="Y194" s="647"/>
      <c r="Z194" s="647"/>
      <c r="AA194" s="647"/>
      <c r="AB194" s="647" t="s">
        <v>724</v>
      </c>
      <c r="AC194" s="647"/>
      <c r="AD194" s="647"/>
      <c r="AE194" s="647"/>
      <c r="AF194" s="647" t="s">
        <v>725</v>
      </c>
      <c r="AG194" s="647"/>
      <c r="AH194" s="647"/>
      <c r="AI194" s="647"/>
      <c r="AJ194" s="647" t="s">
        <v>726</v>
      </c>
      <c r="AK194" s="647"/>
      <c r="AL194" s="647"/>
      <c r="AM194" s="647"/>
    </row>
    <row r="195" spans="1:39" ht="15.95" customHeight="1">
      <c r="A195" s="65">
        <v>1</v>
      </c>
      <c r="B195" s="699" t="s">
        <v>71</v>
      </c>
      <c r="C195" s="700"/>
      <c r="D195" s="700"/>
      <c r="E195" s="700"/>
      <c r="F195" s="700"/>
      <c r="G195" s="700"/>
      <c r="H195" s="700"/>
      <c r="I195" s="700"/>
      <c r="J195" s="700"/>
      <c r="K195" s="701"/>
      <c r="L195" s="702">
        <f>'Date masura OD'!$I$5</f>
        <v>45778</v>
      </c>
      <c r="M195" s="702"/>
      <c r="N195" s="702"/>
      <c r="O195" s="702">
        <f>'Date masura OD'!$J$5</f>
        <v>45808</v>
      </c>
      <c r="P195" s="702"/>
      <c r="Q195" s="702"/>
      <c r="R195" s="690" cm="1">
        <f t="array" ref="R195">INDEX(verificare!$AT$4:$CC$26,VLOOKUP($AA$15,verificare!$AR$4:$AS$26,2,FALSE),A195)</f>
        <v>89775</v>
      </c>
      <c r="S195" s="690"/>
      <c r="T195" s="690"/>
      <c r="U195" s="690"/>
      <c r="V195" s="658" t="s">
        <v>446</v>
      </c>
      <c r="W195" s="658"/>
      <c r="X195" s="691">
        <f>HLOOKUP(VLOOKUP($AA$15,'Date SPV'!$B:$F,5,FALSE),'Preturi si tarife'!$C$2:$J$39,A195+2,FALSE)</f>
        <v>0.59499999999999997</v>
      </c>
      <c r="Y195" s="692"/>
      <c r="Z195" s="692"/>
      <c r="AA195" s="693"/>
      <c r="AB195" s="690">
        <f>ROUND(X195*R195,2)</f>
        <v>53416.13</v>
      </c>
      <c r="AC195" s="690"/>
      <c r="AD195" s="690"/>
      <c r="AE195" s="690"/>
      <c r="AF195" s="690">
        <f>ROUND(AB195*19%,2)</f>
        <v>10149.06</v>
      </c>
      <c r="AG195" s="690"/>
      <c r="AH195" s="690"/>
      <c r="AI195" s="690"/>
      <c r="AJ195" s="690">
        <f>AB195+AF195</f>
        <v>63565.189999999995</v>
      </c>
      <c r="AK195" s="690"/>
      <c r="AL195" s="690"/>
      <c r="AM195" s="690"/>
    </row>
    <row r="196" spans="1:39">
      <c r="A196" s="65">
        <f>A195+1</f>
        <v>2</v>
      </c>
      <c r="B196" s="699" t="s">
        <v>72</v>
      </c>
      <c r="C196" s="700"/>
      <c r="D196" s="700"/>
      <c r="E196" s="700"/>
      <c r="F196" s="700"/>
      <c r="G196" s="700"/>
      <c r="H196" s="700"/>
      <c r="I196" s="700"/>
      <c r="J196" s="700"/>
      <c r="K196" s="701"/>
      <c r="L196" s="702">
        <f>L195</f>
        <v>45778</v>
      </c>
      <c r="M196" s="702"/>
      <c r="N196" s="702"/>
      <c r="O196" s="702">
        <f>O195</f>
        <v>45808</v>
      </c>
      <c r="P196" s="702"/>
      <c r="Q196" s="702"/>
      <c r="R196" s="772" cm="1">
        <f t="array" ref="R196">INDEX(verificare!$AT$4:$CC$26,VLOOKUP($AA$15,verificare!$AR$4:$AS$26,2,FALSE),A196)</f>
        <v>0</v>
      </c>
      <c r="S196" s="773"/>
      <c r="T196" s="773"/>
      <c r="U196" s="774"/>
      <c r="V196" s="658" t="s">
        <v>727</v>
      </c>
      <c r="W196" s="658"/>
      <c r="X196" s="691">
        <f>HLOOKUP(VLOOKUP($AA$15,'Date SPV'!$B:$F,5,FALSE),'Preturi si tarife'!$C$2:$J$39,A196+2,FALSE)</f>
        <v>0.14649999999999999</v>
      </c>
      <c r="Y196" s="692"/>
      <c r="Z196" s="692"/>
      <c r="AA196" s="693"/>
      <c r="AB196" s="690">
        <f t="shared" ref="AB196:AB230" si="11">ROUND(X196*R196,2)</f>
        <v>0</v>
      </c>
      <c r="AC196" s="690"/>
      <c r="AD196" s="690"/>
      <c r="AE196" s="690"/>
      <c r="AF196" s="690">
        <f t="shared" ref="AF196:AF231" si="12">ROUND(AB196*19%,2)</f>
        <v>0</v>
      </c>
      <c r="AG196" s="690"/>
      <c r="AH196" s="690"/>
      <c r="AI196" s="690"/>
      <c r="AJ196" s="690">
        <f t="shared" ref="AJ196:AJ231" si="13">AB196+AF196</f>
        <v>0</v>
      </c>
      <c r="AK196" s="690"/>
      <c r="AL196" s="690"/>
      <c r="AM196" s="690"/>
    </row>
    <row r="197" spans="1:39">
      <c r="A197" s="65">
        <f t="shared" ref="A197:A231" si="14">A196+1</f>
        <v>3</v>
      </c>
      <c r="B197" s="699" t="s">
        <v>73</v>
      </c>
      <c r="C197" s="700"/>
      <c r="D197" s="700"/>
      <c r="E197" s="700"/>
      <c r="F197" s="700"/>
      <c r="G197" s="700"/>
      <c r="H197" s="700"/>
      <c r="I197" s="700"/>
      <c r="J197" s="700"/>
      <c r="K197" s="701"/>
      <c r="L197" s="702">
        <f t="shared" ref="L197:L212" si="15">L196</f>
        <v>45778</v>
      </c>
      <c r="M197" s="702"/>
      <c r="N197" s="702"/>
      <c r="O197" s="702">
        <f t="shared" ref="O197:O212" si="16">O196</f>
        <v>45808</v>
      </c>
      <c r="P197" s="702"/>
      <c r="Q197" s="702"/>
      <c r="R197" s="772" cm="1">
        <f t="array" ref="R197">INDEX(verificare!$AT$4:$CC$26,VLOOKUP($AA$15,verificare!$AR$4:$AS$26,2,FALSE),A197)</f>
        <v>0</v>
      </c>
      <c r="S197" s="773"/>
      <c r="T197" s="773"/>
      <c r="U197" s="774"/>
      <c r="V197" s="658" t="s">
        <v>727</v>
      </c>
      <c r="W197" s="658"/>
      <c r="X197" s="691">
        <f>HLOOKUP(VLOOKUP($AA$15,'Date SPV'!$B:$F,5,FALSE),'Preturi si tarife'!$C$2:$J$39,A197+2,FALSE)</f>
        <v>0.4395</v>
      </c>
      <c r="Y197" s="692"/>
      <c r="Z197" s="692"/>
      <c r="AA197" s="693"/>
      <c r="AB197" s="690">
        <f t="shared" si="11"/>
        <v>0</v>
      </c>
      <c r="AC197" s="690"/>
      <c r="AD197" s="690"/>
      <c r="AE197" s="690"/>
      <c r="AF197" s="690">
        <f t="shared" si="12"/>
        <v>0</v>
      </c>
      <c r="AG197" s="690"/>
      <c r="AH197" s="690"/>
      <c r="AI197" s="690"/>
      <c r="AJ197" s="690">
        <f t="shared" si="13"/>
        <v>0</v>
      </c>
      <c r="AK197" s="690"/>
      <c r="AL197" s="690"/>
      <c r="AM197" s="690"/>
    </row>
    <row r="198" spans="1:39" ht="15.95" customHeight="1">
      <c r="A198" s="65">
        <f t="shared" si="14"/>
        <v>4</v>
      </c>
      <c r="B198" s="699" t="s">
        <v>868</v>
      </c>
      <c r="C198" s="700"/>
      <c r="D198" s="700"/>
      <c r="E198" s="700"/>
      <c r="F198" s="700"/>
      <c r="G198" s="700"/>
      <c r="H198" s="700"/>
      <c r="I198" s="700"/>
      <c r="J198" s="700"/>
      <c r="K198" s="701"/>
      <c r="L198" s="702">
        <f t="shared" si="15"/>
        <v>45778</v>
      </c>
      <c r="M198" s="702"/>
      <c r="N198" s="702"/>
      <c r="O198" s="702">
        <f t="shared" si="16"/>
        <v>45808</v>
      </c>
      <c r="P198" s="702"/>
      <c r="Q198" s="702"/>
      <c r="R198" s="772" cm="1">
        <f t="array" ref="R198">INDEX(verificare!$AT$4:$CC$26,VLOOKUP($AA$15,verificare!$AR$4:$AS$26,2,FALSE),A198)</f>
        <v>89775</v>
      </c>
      <c r="S198" s="773"/>
      <c r="T198" s="773"/>
      <c r="U198" s="774"/>
      <c r="V198" s="658" t="s">
        <v>446</v>
      </c>
      <c r="W198" s="658"/>
      <c r="X198" s="691">
        <f>HLOOKUP(VLOOKUP($AA$15,'Date SPV'!$B:$F,5,FALSE),'Preturi si tarife'!$C$2:$J$39,A198+2,FALSE)</f>
        <v>0.11483</v>
      </c>
      <c r="Y198" s="692"/>
      <c r="Z198" s="692"/>
      <c r="AA198" s="693"/>
      <c r="AB198" s="690">
        <f t="shared" si="11"/>
        <v>10308.86</v>
      </c>
      <c r="AC198" s="690"/>
      <c r="AD198" s="690"/>
      <c r="AE198" s="690"/>
      <c r="AF198" s="690">
        <f t="shared" si="12"/>
        <v>1958.68</v>
      </c>
      <c r="AG198" s="690"/>
      <c r="AH198" s="690"/>
      <c r="AI198" s="690"/>
      <c r="AJ198" s="690">
        <f t="shared" si="13"/>
        <v>12267.54</v>
      </c>
      <c r="AK198" s="690"/>
      <c r="AL198" s="690"/>
      <c r="AM198" s="690"/>
    </row>
    <row r="199" spans="1:39">
      <c r="A199" s="65">
        <f t="shared" si="14"/>
        <v>5</v>
      </c>
      <c r="B199" s="699" t="s">
        <v>757</v>
      </c>
      <c r="C199" s="700"/>
      <c r="D199" s="700"/>
      <c r="E199" s="700"/>
      <c r="F199" s="700"/>
      <c r="G199" s="700"/>
      <c r="H199" s="700"/>
      <c r="I199" s="700"/>
      <c r="J199" s="700"/>
      <c r="K199" s="701"/>
      <c r="L199" s="702">
        <f t="shared" si="15"/>
        <v>45778</v>
      </c>
      <c r="M199" s="702"/>
      <c r="N199" s="702"/>
      <c r="O199" s="702">
        <f t="shared" si="16"/>
        <v>45808</v>
      </c>
      <c r="P199" s="702"/>
      <c r="Q199" s="702"/>
      <c r="R199" s="772" cm="1">
        <f t="array" ref="R199">INDEX(verificare!$AT$4:$CC$26,VLOOKUP($AA$15,verificare!$AR$4:$AS$26,2,FALSE),A199)</f>
        <v>3606</v>
      </c>
      <c r="S199" s="773"/>
      <c r="T199" s="773"/>
      <c r="U199" s="774"/>
      <c r="V199" s="658" t="s">
        <v>446</v>
      </c>
      <c r="W199" s="658"/>
      <c r="X199" s="691">
        <f>HLOOKUP(VLOOKUP($AA$15,'Date SPV'!$B:$F,5,FALSE),'Preturi si tarife'!$C$2:$J$39,A199+2,FALSE)</f>
        <v>0.2361</v>
      </c>
      <c r="Y199" s="692"/>
      <c r="Z199" s="692"/>
      <c r="AA199" s="693"/>
      <c r="AB199" s="690">
        <f t="shared" si="11"/>
        <v>851.38</v>
      </c>
      <c r="AC199" s="690"/>
      <c r="AD199" s="690"/>
      <c r="AE199" s="690"/>
      <c r="AF199" s="690">
        <f t="shared" si="12"/>
        <v>161.76</v>
      </c>
      <c r="AG199" s="690"/>
      <c r="AH199" s="690"/>
      <c r="AI199" s="690"/>
      <c r="AJ199" s="690">
        <f t="shared" si="13"/>
        <v>1013.14</v>
      </c>
      <c r="AK199" s="690"/>
      <c r="AL199" s="690"/>
      <c r="AM199" s="690"/>
    </row>
    <row r="200" spans="1:39" ht="15.95" customHeight="1">
      <c r="A200" s="65">
        <f t="shared" si="14"/>
        <v>6</v>
      </c>
      <c r="B200" s="699" t="s">
        <v>74</v>
      </c>
      <c r="C200" s="700"/>
      <c r="D200" s="700"/>
      <c r="E200" s="700"/>
      <c r="F200" s="700"/>
      <c r="G200" s="700"/>
      <c r="H200" s="700"/>
      <c r="I200" s="700"/>
      <c r="J200" s="700"/>
      <c r="K200" s="701"/>
      <c r="L200" s="702">
        <f t="shared" si="15"/>
        <v>45778</v>
      </c>
      <c r="M200" s="702"/>
      <c r="N200" s="702"/>
      <c r="O200" s="702">
        <f t="shared" si="16"/>
        <v>45808</v>
      </c>
      <c r="P200" s="702"/>
      <c r="Q200" s="702"/>
      <c r="R200" s="772" cm="1">
        <f t="array" ref="R200">INDEX(verificare!$AT$4:$CC$26,VLOOKUP($AA$15,verificare!$AR$4:$AS$26,2,FALSE),A200)</f>
        <v>89775</v>
      </c>
      <c r="S200" s="773"/>
      <c r="T200" s="773"/>
      <c r="U200" s="774"/>
      <c r="V200" s="658" t="s">
        <v>446</v>
      </c>
      <c r="W200" s="658"/>
      <c r="X200" s="691">
        <f>HLOOKUP(VLOOKUP($AA$15,'Date SPV'!$B:$F,5,FALSE),'Preturi si tarife'!$C$2:$J$39,A200+2,FALSE)</f>
        <v>1.1509999999999999E-2</v>
      </c>
      <c r="Y200" s="692"/>
      <c r="Z200" s="692"/>
      <c r="AA200" s="693"/>
      <c r="AB200" s="690">
        <f t="shared" si="11"/>
        <v>1033.31</v>
      </c>
      <c r="AC200" s="690"/>
      <c r="AD200" s="690"/>
      <c r="AE200" s="690"/>
      <c r="AF200" s="690">
        <f t="shared" si="12"/>
        <v>196.33</v>
      </c>
      <c r="AG200" s="690"/>
      <c r="AH200" s="690"/>
      <c r="AI200" s="690"/>
      <c r="AJ200" s="690">
        <f t="shared" si="13"/>
        <v>1229.6399999999999</v>
      </c>
      <c r="AK200" s="690"/>
      <c r="AL200" s="690"/>
      <c r="AM200" s="690"/>
    </row>
    <row r="201" spans="1:39" ht="15.95" customHeight="1">
      <c r="A201" s="65">
        <f t="shared" si="14"/>
        <v>7</v>
      </c>
      <c r="B201" s="699" t="s">
        <v>75</v>
      </c>
      <c r="C201" s="700"/>
      <c r="D201" s="700"/>
      <c r="E201" s="700"/>
      <c r="F201" s="700"/>
      <c r="G201" s="700"/>
      <c r="H201" s="700"/>
      <c r="I201" s="700"/>
      <c r="J201" s="700"/>
      <c r="K201" s="701"/>
      <c r="L201" s="702">
        <f t="shared" si="15"/>
        <v>45778</v>
      </c>
      <c r="M201" s="702"/>
      <c r="N201" s="702"/>
      <c r="O201" s="702">
        <f t="shared" si="16"/>
        <v>45808</v>
      </c>
      <c r="P201" s="702"/>
      <c r="Q201" s="702"/>
      <c r="R201" s="772" cm="1">
        <f t="array" ref="R201">INDEX(verificare!$AT$4:$CC$26,VLOOKUP($AA$15,verificare!$AR$4:$AS$26,2,FALSE),A201)</f>
        <v>89775</v>
      </c>
      <c r="S201" s="773"/>
      <c r="T201" s="773"/>
      <c r="U201" s="774"/>
      <c r="V201" s="658" t="s">
        <v>446</v>
      </c>
      <c r="W201" s="658"/>
      <c r="X201" s="691">
        <f>HLOOKUP(VLOOKUP($AA$15,'Date SPV'!$B:$F,5,FALSE),'Preturi si tarife'!$C$2:$J$39,A201+2,FALSE)</f>
        <v>3.3030000000000004E-2</v>
      </c>
      <c r="Y201" s="692"/>
      <c r="Z201" s="692"/>
      <c r="AA201" s="693"/>
      <c r="AB201" s="690">
        <f t="shared" si="11"/>
        <v>2965.27</v>
      </c>
      <c r="AC201" s="690"/>
      <c r="AD201" s="690"/>
      <c r="AE201" s="690"/>
      <c r="AF201" s="690">
        <f t="shared" si="12"/>
        <v>563.4</v>
      </c>
      <c r="AG201" s="690"/>
      <c r="AH201" s="690"/>
      <c r="AI201" s="690"/>
      <c r="AJ201" s="690">
        <f t="shared" si="13"/>
        <v>3528.67</v>
      </c>
      <c r="AK201" s="690"/>
      <c r="AL201" s="690"/>
      <c r="AM201" s="690"/>
    </row>
    <row r="202" spans="1:39" ht="15.95" customHeight="1">
      <c r="A202" s="65">
        <f t="shared" si="14"/>
        <v>8</v>
      </c>
      <c r="B202" s="699" t="s">
        <v>76</v>
      </c>
      <c r="C202" s="700"/>
      <c r="D202" s="700"/>
      <c r="E202" s="700"/>
      <c r="F202" s="700"/>
      <c r="G202" s="700"/>
      <c r="H202" s="700"/>
      <c r="I202" s="700"/>
      <c r="J202" s="700"/>
      <c r="K202" s="701"/>
      <c r="L202" s="702">
        <f t="shared" si="15"/>
        <v>45778</v>
      </c>
      <c r="M202" s="702"/>
      <c r="N202" s="702"/>
      <c r="O202" s="702">
        <f t="shared" si="16"/>
        <v>45808</v>
      </c>
      <c r="P202" s="702"/>
      <c r="Q202" s="702"/>
      <c r="R202" s="772" cm="1">
        <f t="array" ref="R202">INDEX(verificare!$AT$4:$CC$26,VLOOKUP($AA$15,verificare!$AR$4:$AS$26,2,FALSE),A202)</f>
        <v>89775</v>
      </c>
      <c r="S202" s="773"/>
      <c r="T202" s="773"/>
      <c r="U202" s="774"/>
      <c r="V202" s="658" t="s">
        <v>446</v>
      </c>
      <c r="W202" s="658"/>
      <c r="X202" s="691">
        <f>HLOOKUP(VLOOKUP($AA$15,'Date SPV'!$B:$F,5,FALSE),'Preturi si tarife'!$C$2:$J$39,A202+2,FALSE)</f>
        <v>3.29E-3</v>
      </c>
      <c r="Y202" s="692"/>
      <c r="Z202" s="692"/>
      <c r="AA202" s="693"/>
      <c r="AB202" s="690">
        <f t="shared" si="11"/>
        <v>295.36</v>
      </c>
      <c r="AC202" s="690"/>
      <c r="AD202" s="690"/>
      <c r="AE202" s="690"/>
      <c r="AF202" s="690">
        <f t="shared" si="12"/>
        <v>56.12</v>
      </c>
      <c r="AG202" s="690"/>
      <c r="AH202" s="690"/>
      <c r="AI202" s="690"/>
      <c r="AJ202" s="690">
        <f t="shared" si="13"/>
        <v>351.48</v>
      </c>
      <c r="AK202" s="690"/>
      <c r="AL202" s="690"/>
      <c r="AM202" s="690"/>
    </row>
    <row r="203" spans="1:39" ht="15.95" customHeight="1">
      <c r="A203" s="65">
        <f t="shared" si="14"/>
        <v>9</v>
      </c>
      <c r="B203" s="699" t="s">
        <v>77</v>
      </c>
      <c r="C203" s="700"/>
      <c r="D203" s="700"/>
      <c r="E203" s="700"/>
      <c r="F203" s="700"/>
      <c r="G203" s="700"/>
      <c r="H203" s="700"/>
      <c r="I203" s="700"/>
      <c r="J203" s="700"/>
      <c r="K203" s="701"/>
      <c r="L203" s="702">
        <f t="shared" si="15"/>
        <v>45778</v>
      </c>
      <c r="M203" s="702"/>
      <c r="N203" s="702"/>
      <c r="O203" s="702">
        <f t="shared" si="16"/>
        <v>45808</v>
      </c>
      <c r="P203" s="702"/>
      <c r="Q203" s="702"/>
      <c r="R203" s="772" cm="1">
        <f t="array" ref="R203">INDEX(verificare!$AT$4:$CC$26,VLOOKUP($AA$15,verificare!$AR$4:$AS$26,2,FALSE),A203)</f>
        <v>89775</v>
      </c>
      <c r="S203" s="773"/>
      <c r="T203" s="773"/>
      <c r="U203" s="774"/>
      <c r="V203" s="658" t="s">
        <v>446</v>
      </c>
      <c r="W203" s="658"/>
      <c r="X203" s="691">
        <f>HLOOKUP(VLOOKUP($AA$15,'Date SPV'!$B:$F,5,FALSE),'Preturi si tarife'!$C$2:$J$39,A203+2,FALSE)</f>
        <v>3.5000000000000001E-3</v>
      </c>
      <c r="Y203" s="692"/>
      <c r="Z203" s="692"/>
      <c r="AA203" s="693"/>
      <c r="AB203" s="690">
        <f t="shared" si="11"/>
        <v>314.20999999999998</v>
      </c>
      <c r="AC203" s="690"/>
      <c r="AD203" s="690"/>
      <c r="AE203" s="690"/>
      <c r="AF203" s="690">
        <f t="shared" si="12"/>
        <v>59.7</v>
      </c>
      <c r="AG203" s="690"/>
      <c r="AH203" s="690"/>
      <c r="AI203" s="690"/>
      <c r="AJ203" s="690">
        <f t="shared" si="13"/>
        <v>373.90999999999997</v>
      </c>
      <c r="AK203" s="690"/>
      <c r="AL203" s="690"/>
      <c r="AM203" s="690"/>
    </row>
    <row r="204" spans="1:39" ht="15.95" customHeight="1">
      <c r="A204" s="65">
        <f t="shared" si="14"/>
        <v>10</v>
      </c>
      <c r="B204" s="699" t="s">
        <v>78</v>
      </c>
      <c r="C204" s="700"/>
      <c r="D204" s="700"/>
      <c r="E204" s="700"/>
      <c r="F204" s="700"/>
      <c r="G204" s="700"/>
      <c r="H204" s="700"/>
      <c r="I204" s="700"/>
      <c r="J204" s="700"/>
      <c r="K204" s="701"/>
      <c r="L204" s="702">
        <f t="shared" si="15"/>
        <v>45778</v>
      </c>
      <c r="M204" s="702"/>
      <c r="N204" s="702"/>
      <c r="O204" s="702">
        <f t="shared" si="16"/>
        <v>45808</v>
      </c>
      <c r="P204" s="702"/>
      <c r="Q204" s="702"/>
      <c r="R204" s="772" cm="1">
        <f t="array" ref="R204">INDEX(verificare!$AT$4:$CC$26,VLOOKUP($AA$15,verificare!$AR$4:$AS$26,2,FALSE),A204)</f>
        <v>89775</v>
      </c>
      <c r="S204" s="773"/>
      <c r="T204" s="773"/>
      <c r="U204" s="774"/>
      <c r="V204" s="658" t="s">
        <v>446</v>
      </c>
      <c r="W204" s="658"/>
      <c r="X204" s="691">
        <f>HLOOKUP(VLOOKUP($AA$15,'Date SPV'!$B:$F,5,FALSE),'Preturi si tarife'!$C$2:$J$39,A204+2,FALSE)</f>
        <v>7.2541599999999998E-2</v>
      </c>
      <c r="Y204" s="692"/>
      <c r="Z204" s="692"/>
      <c r="AA204" s="693"/>
      <c r="AB204" s="690">
        <f t="shared" si="11"/>
        <v>6512.42</v>
      </c>
      <c r="AC204" s="690"/>
      <c r="AD204" s="690"/>
      <c r="AE204" s="690"/>
      <c r="AF204" s="690">
        <f t="shared" si="12"/>
        <v>1237.3599999999999</v>
      </c>
      <c r="AG204" s="690"/>
      <c r="AH204" s="690"/>
      <c r="AI204" s="690"/>
      <c r="AJ204" s="690">
        <f t="shared" si="13"/>
        <v>7749.78</v>
      </c>
      <c r="AK204" s="690"/>
      <c r="AL204" s="690"/>
      <c r="AM204" s="690"/>
    </row>
    <row r="205" spans="1:39" ht="15.95" customHeight="1">
      <c r="A205" s="65">
        <f t="shared" si="14"/>
        <v>11</v>
      </c>
      <c r="B205" s="699" t="s">
        <v>1313</v>
      </c>
      <c r="C205" s="700"/>
      <c r="D205" s="700"/>
      <c r="E205" s="700"/>
      <c r="F205" s="700"/>
      <c r="G205" s="700"/>
      <c r="H205" s="700"/>
      <c r="I205" s="700"/>
      <c r="J205" s="700"/>
      <c r="K205" s="701"/>
      <c r="L205" s="702">
        <f t="shared" si="15"/>
        <v>45778</v>
      </c>
      <c r="M205" s="702"/>
      <c r="N205" s="702"/>
      <c r="O205" s="702">
        <f t="shared" si="16"/>
        <v>45808</v>
      </c>
      <c r="P205" s="702"/>
      <c r="Q205" s="702"/>
      <c r="R205" s="772" cm="1">
        <f t="array" ref="R205">INDEX(verificare!$AT$4:$CC$26,VLOOKUP($AA$15,verificare!$AR$4:$AS$26,2,FALSE),A205)</f>
        <v>89775</v>
      </c>
      <c r="S205" s="773"/>
      <c r="T205" s="773"/>
      <c r="U205" s="774"/>
      <c r="V205" s="724" t="s">
        <v>446</v>
      </c>
      <c r="W205" s="725"/>
      <c r="X205" s="691">
        <f>HLOOKUP(VLOOKUP($AA$15,'Date SPV'!$B:$F,5,FALSE),'Preturi si tarife'!$C$2:$J$39,A205+2,FALSE)</f>
        <v>2.0599999999999999E-4</v>
      </c>
      <c r="Y205" s="692"/>
      <c r="Z205" s="692"/>
      <c r="AA205" s="693"/>
      <c r="AB205" s="772">
        <f t="shared" si="11"/>
        <v>18.489999999999998</v>
      </c>
      <c r="AC205" s="773"/>
      <c r="AD205" s="773"/>
      <c r="AE205" s="774"/>
      <c r="AF205" s="772">
        <f t="shared" si="12"/>
        <v>3.51</v>
      </c>
      <c r="AG205" s="773"/>
      <c r="AH205" s="773"/>
      <c r="AI205" s="774"/>
      <c r="AJ205" s="772">
        <f t="shared" si="13"/>
        <v>22</v>
      </c>
      <c r="AK205" s="773"/>
      <c r="AL205" s="773"/>
      <c r="AM205" s="774"/>
    </row>
    <row r="206" spans="1:39">
      <c r="A206" s="65">
        <f t="shared" si="14"/>
        <v>12</v>
      </c>
      <c r="B206" s="699" t="s">
        <v>79</v>
      </c>
      <c r="C206" s="700"/>
      <c r="D206" s="700"/>
      <c r="E206" s="700"/>
      <c r="F206" s="700"/>
      <c r="G206" s="700"/>
      <c r="H206" s="700"/>
      <c r="I206" s="700"/>
      <c r="J206" s="700"/>
      <c r="K206" s="701"/>
      <c r="L206" s="702">
        <f>L204</f>
        <v>45778</v>
      </c>
      <c r="M206" s="702"/>
      <c r="N206" s="702"/>
      <c r="O206" s="702">
        <f>O204</f>
        <v>45808</v>
      </c>
      <c r="P206" s="702"/>
      <c r="Q206" s="702"/>
      <c r="R206" s="772" cm="1">
        <f t="array" ref="R206">INDEX(verificare!$AT$4:$CC$26,VLOOKUP($AA$15,verificare!$AR$4:$AS$26,2,FALSE),A206)</f>
        <v>89775</v>
      </c>
      <c r="S206" s="773"/>
      <c r="T206" s="773"/>
      <c r="U206" s="774"/>
      <c r="V206" s="658" t="s">
        <v>446</v>
      </c>
      <c r="W206" s="658"/>
      <c r="X206" s="691">
        <f>HLOOKUP(VLOOKUP($AA$15,'Date SPV'!$B:$F,5,FALSE),'Preturi si tarife'!$C$2:$J$39,A206+2,FALSE)</f>
        <v>0</v>
      </c>
      <c r="Y206" s="692"/>
      <c r="Z206" s="692"/>
      <c r="AA206" s="693"/>
      <c r="AB206" s="690">
        <f t="shared" si="11"/>
        <v>0</v>
      </c>
      <c r="AC206" s="690"/>
      <c r="AD206" s="690"/>
      <c r="AE206" s="690"/>
      <c r="AF206" s="690">
        <f t="shared" si="12"/>
        <v>0</v>
      </c>
      <c r="AG206" s="690"/>
      <c r="AH206" s="690"/>
      <c r="AI206" s="690"/>
      <c r="AJ206" s="690">
        <f t="shared" si="13"/>
        <v>0</v>
      </c>
      <c r="AK206" s="690"/>
      <c r="AL206" s="690"/>
      <c r="AM206" s="690"/>
    </row>
    <row r="207" spans="1:39" ht="15.95" customHeight="1">
      <c r="A207" s="65">
        <f t="shared" si="14"/>
        <v>13</v>
      </c>
      <c r="B207" s="699" t="s">
        <v>80</v>
      </c>
      <c r="C207" s="700"/>
      <c r="D207" s="700"/>
      <c r="E207" s="700"/>
      <c r="F207" s="700"/>
      <c r="G207" s="700"/>
      <c r="H207" s="700"/>
      <c r="I207" s="700"/>
      <c r="J207" s="700"/>
      <c r="K207" s="701"/>
      <c r="L207" s="702">
        <f t="shared" si="15"/>
        <v>45778</v>
      </c>
      <c r="M207" s="702"/>
      <c r="N207" s="702"/>
      <c r="O207" s="702">
        <f t="shared" si="16"/>
        <v>45808</v>
      </c>
      <c r="P207" s="702"/>
      <c r="Q207" s="702"/>
      <c r="R207" s="772" cm="1">
        <f t="array" ref="R207">INDEX(verificare!$AT$4:$CC$26,VLOOKUP($AA$15,verificare!$AR$4:$AS$26,2,FALSE),A207)</f>
        <v>86169</v>
      </c>
      <c r="S207" s="773"/>
      <c r="T207" s="773"/>
      <c r="U207" s="774"/>
      <c r="V207" s="658" t="s">
        <v>446</v>
      </c>
      <c r="W207" s="658"/>
      <c r="X207" s="691">
        <f>HLOOKUP(VLOOKUP($AA$15,'Date SPV'!$B:$F,5,FALSE),'Preturi si tarife'!$C$2:$J$39,A207+2,FALSE)</f>
        <v>1.26E-2</v>
      </c>
      <c r="Y207" s="692"/>
      <c r="Z207" s="692"/>
      <c r="AA207" s="693"/>
      <c r="AB207" s="690">
        <f t="shared" si="11"/>
        <v>1085.73</v>
      </c>
      <c r="AC207" s="690"/>
      <c r="AD207" s="690"/>
      <c r="AE207" s="690"/>
      <c r="AF207" s="690">
        <f t="shared" si="12"/>
        <v>206.29</v>
      </c>
      <c r="AG207" s="690"/>
      <c r="AH207" s="690"/>
      <c r="AI207" s="690"/>
      <c r="AJ207" s="690">
        <f t="shared" si="13"/>
        <v>1292.02</v>
      </c>
      <c r="AK207" s="690"/>
      <c r="AL207" s="690"/>
      <c r="AM207" s="690"/>
    </row>
    <row r="208" spans="1:39">
      <c r="A208" s="65">
        <f t="shared" si="14"/>
        <v>14</v>
      </c>
      <c r="B208" s="699" t="s">
        <v>81</v>
      </c>
      <c r="C208" s="700"/>
      <c r="D208" s="700"/>
      <c r="E208" s="700"/>
      <c r="F208" s="700"/>
      <c r="G208" s="700"/>
      <c r="H208" s="700"/>
      <c r="I208" s="700"/>
      <c r="J208" s="700"/>
      <c r="K208" s="701"/>
      <c r="L208" s="702">
        <f t="shared" si="15"/>
        <v>45778</v>
      </c>
      <c r="M208" s="702"/>
      <c r="N208" s="702"/>
      <c r="O208" s="702">
        <f t="shared" si="16"/>
        <v>45808</v>
      </c>
      <c r="P208" s="702"/>
      <c r="Q208" s="702"/>
      <c r="R208" s="772" cm="1">
        <f t="array" ref="R208">INDEX(verificare!$AT$4:$CC$26,VLOOKUP($AA$15,verificare!$AR$4:$AS$26,2,FALSE),A208)</f>
        <v>86169</v>
      </c>
      <c r="S208" s="773"/>
      <c r="T208" s="773"/>
      <c r="U208" s="774"/>
      <c r="V208" s="658" t="s">
        <v>446</v>
      </c>
      <c r="W208" s="658"/>
      <c r="X208" s="691">
        <f>HLOOKUP(VLOOKUP($AA$15,'Date SPV'!$B:$F,5,FALSE),'Preturi si tarife'!$C$2:$J$39,A208+2,FALSE)</f>
        <v>9.2700000000000005E-2</v>
      </c>
      <c r="Y208" s="692"/>
      <c r="Z208" s="692"/>
      <c r="AA208" s="693"/>
      <c r="AB208" s="690">
        <f t="shared" si="11"/>
        <v>7987.87</v>
      </c>
      <c r="AC208" s="690"/>
      <c r="AD208" s="690"/>
      <c r="AE208" s="690"/>
      <c r="AF208" s="690">
        <f t="shared" si="12"/>
        <v>1517.7</v>
      </c>
      <c r="AG208" s="690"/>
      <c r="AH208" s="690"/>
      <c r="AI208" s="690"/>
      <c r="AJ208" s="690">
        <f t="shared" si="13"/>
        <v>9505.57</v>
      </c>
      <c r="AK208" s="690"/>
      <c r="AL208" s="690"/>
      <c r="AM208" s="690"/>
    </row>
    <row r="209" spans="1:39">
      <c r="A209" s="65">
        <f t="shared" si="14"/>
        <v>15</v>
      </c>
      <c r="B209" s="699" t="s">
        <v>82</v>
      </c>
      <c r="C209" s="700"/>
      <c r="D209" s="700"/>
      <c r="E209" s="700"/>
      <c r="F209" s="700"/>
      <c r="G209" s="700"/>
      <c r="H209" s="700"/>
      <c r="I209" s="700"/>
      <c r="J209" s="700"/>
      <c r="K209" s="701"/>
      <c r="L209" s="702">
        <f t="shared" si="15"/>
        <v>45778</v>
      </c>
      <c r="M209" s="702"/>
      <c r="N209" s="702"/>
      <c r="O209" s="702">
        <f t="shared" si="16"/>
        <v>45808</v>
      </c>
      <c r="P209" s="702"/>
      <c r="Q209" s="702"/>
      <c r="R209" s="690" cm="1">
        <f t="array" ref="R209">INDEX(verificare!$AT$4:$CC$26,VLOOKUP($AA$15,verificare!$AR$4:$AS$26,2,FALSE),A209)</f>
        <v>36153</v>
      </c>
      <c r="S209" s="690"/>
      <c r="T209" s="690"/>
      <c r="U209" s="690"/>
      <c r="V209" s="658" t="s">
        <v>446</v>
      </c>
      <c r="W209" s="658"/>
      <c r="X209" s="691">
        <f>HLOOKUP(VLOOKUP($AA$15,'Date SPV'!$B:$F,5,FALSE),'Preturi si tarife'!$C$2:$J$39,A209+2,FALSE)</f>
        <v>0.93920760000000003</v>
      </c>
      <c r="Y209" s="692"/>
      <c r="Z209" s="692"/>
      <c r="AA209" s="693"/>
      <c r="AB209" s="690">
        <f t="shared" si="11"/>
        <v>33955.17</v>
      </c>
      <c r="AC209" s="690"/>
      <c r="AD209" s="690"/>
      <c r="AE209" s="690"/>
      <c r="AF209" s="690">
        <f t="shared" si="12"/>
        <v>6451.48</v>
      </c>
      <c r="AG209" s="690"/>
      <c r="AH209" s="690"/>
      <c r="AI209" s="690"/>
      <c r="AJ209" s="690">
        <f t="shared" si="13"/>
        <v>40406.649999999994</v>
      </c>
      <c r="AK209" s="690"/>
      <c r="AL209" s="690"/>
      <c r="AM209" s="690"/>
    </row>
    <row r="210" spans="1:39" ht="15.95" customHeight="1">
      <c r="A210" s="65">
        <f t="shared" si="14"/>
        <v>16</v>
      </c>
      <c r="B210" s="699" t="s">
        <v>83</v>
      </c>
      <c r="C210" s="700"/>
      <c r="D210" s="700"/>
      <c r="E210" s="700"/>
      <c r="F210" s="700"/>
      <c r="G210" s="700"/>
      <c r="H210" s="700"/>
      <c r="I210" s="700"/>
      <c r="J210" s="700"/>
      <c r="K210" s="701"/>
      <c r="L210" s="702">
        <f t="shared" si="15"/>
        <v>45778</v>
      </c>
      <c r="M210" s="702"/>
      <c r="N210" s="702"/>
      <c r="O210" s="702">
        <f t="shared" si="16"/>
        <v>45808</v>
      </c>
      <c r="P210" s="702"/>
      <c r="Q210" s="702"/>
      <c r="R210" s="690" cm="1">
        <f t="array" ref="R210">INDEX(verificare!$AT$4:$CC$26,VLOOKUP($AA$15,verificare!$AR$4:$AS$26,2,FALSE),A210)</f>
        <v>5344</v>
      </c>
      <c r="S210" s="690"/>
      <c r="T210" s="690"/>
      <c r="U210" s="690"/>
      <c r="V210" s="658" t="s">
        <v>446</v>
      </c>
      <c r="W210" s="658"/>
      <c r="X210" s="691">
        <f>HLOOKUP(VLOOKUP($AA$15,'Date SPV'!$B:$F,5,FALSE),'Preturi si tarife'!$C$2:$J$39,A210+2,FALSE)</f>
        <v>0.83390760000000008</v>
      </c>
      <c r="Y210" s="692"/>
      <c r="Z210" s="692"/>
      <c r="AA210" s="693"/>
      <c r="AB210" s="690">
        <f t="shared" si="11"/>
        <v>4456.3999999999996</v>
      </c>
      <c r="AC210" s="690"/>
      <c r="AD210" s="690"/>
      <c r="AE210" s="690"/>
      <c r="AF210" s="690">
        <f t="shared" si="12"/>
        <v>846.72</v>
      </c>
      <c r="AG210" s="690"/>
      <c r="AH210" s="690"/>
      <c r="AI210" s="690"/>
      <c r="AJ210" s="690">
        <f t="shared" si="13"/>
        <v>5303.12</v>
      </c>
      <c r="AK210" s="690"/>
      <c r="AL210" s="690"/>
      <c r="AM210" s="690"/>
    </row>
    <row r="211" spans="1:39" ht="15.95" customHeight="1">
      <c r="A211" s="65">
        <f t="shared" si="14"/>
        <v>17</v>
      </c>
      <c r="B211" s="699" t="s">
        <v>1129</v>
      </c>
      <c r="C211" s="700"/>
      <c r="D211" s="700"/>
      <c r="E211" s="700"/>
      <c r="F211" s="700"/>
      <c r="G211" s="700"/>
      <c r="H211" s="700"/>
      <c r="I211" s="700"/>
      <c r="J211" s="700"/>
      <c r="K211" s="701"/>
      <c r="L211" s="702">
        <f t="shared" si="15"/>
        <v>45778</v>
      </c>
      <c r="M211" s="702"/>
      <c r="N211" s="702"/>
      <c r="O211" s="702">
        <f t="shared" si="16"/>
        <v>45808</v>
      </c>
      <c r="P211" s="702"/>
      <c r="Q211" s="702"/>
      <c r="R211" s="690" cm="1">
        <f t="array" ref="R211">INDEX(verificare!$AT$4:$CC$26,VLOOKUP($AA$15,verificare!$AR$4:$AS$26,2,FALSE),A211)</f>
        <v>5344</v>
      </c>
      <c r="S211" s="690"/>
      <c r="T211" s="690"/>
      <c r="U211" s="690"/>
      <c r="V211" s="658" t="s">
        <v>446</v>
      </c>
      <c r="W211" s="658"/>
      <c r="X211" s="691">
        <f>HLOOKUP(VLOOKUP($AA$15,'Date SPV'!$B:$F,5,FALSE),'Preturi si tarife'!$C$2:$J$39,A211+2,FALSE)</f>
        <v>1.26E-2</v>
      </c>
      <c r="Y211" s="692"/>
      <c r="Z211" s="692"/>
      <c r="AA211" s="693"/>
      <c r="AB211" s="690">
        <f t="shared" si="11"/>
        <v>67.33</v>
      </c>
      <c r="AC211" s="690"/>
      <c r="AD211" s="690"/>
      <c r="AE211" s="690"/>
      <c r="AF211" s="690">
        <f t="shared" si="12"/>
        <v>12.79</v>
      </c>
      <c r="AG211" s="690"/>
      <c r="AH211" s="690"/>
      <c r="AI211" s="690"/>
      <c r="AJ211" s="690">
        <f t="shared" si="13"/>
        <v>80.12</v>
      </c>
      <c r="AK211" s="690"/>
      <c r="AL211" s="690"/>
      <c r="AM211" s="690"/>
    </row>
    <row r="212" spans="1:39" ht="15.95" customHeight="1">
      <c r="A212" s="65">
        <f t="shared" si="14"/>
        <v>18</v>
      </c>
      <c r="B212" s="699" t="s">
        <v>1130</v>
      </c>
      <c r="C212" s="700"/>
      <c r="D212" s="700"/>
      <c r="E212" s="700"/>
      <c r="F212" s="700"/>
      <c r="G212" s="700"/>
      <c r="H212" s="700"/>
      <c r="I212" s="700"/>
      <c r="J212" s="700"/>
      <c r="K212" s="701"/>
      <c r="L212" s="702">
        <f t="shared" si="15"/>
        <v>45778</v>
      </c>
      <c r="M212" s="702"/>
      <c r="N212" s="702"/>
      <c r="O212" s="702">
        <f t="shared" si="16"/>
        <v>45808</v>
      </c>
      <c r="P212" s="702"/>
      <c r="Q212" s="702"/>
      <c r="R212" s="690" cm="1">
        <f t="array" ref="R212">INDEX(verificare!$AT$4:$CC$26,VLOOKUP($AA$15,verificare!$AR$4:$AS$26,2,FALSE),A212)</f>
        <v>5344</v>
      </c>
      <c r="S212" s="690"/>
      <c r="T212" s="690"/>
      <c r="U212" s="690"/>
      <c r="V212" s="658" t="s">
        <v>446</v>
      </c>
      <c r="W212" s="658"/>
      <c r="X212" s="691">
        <f>HLOOKUP(VLOOKUP($AA$15,'Date SPV'!$B:$F,5,FALSE),'Preturi si tarife'!$C$2:$J$39,A212+2,FALSE)</f>
        <v>9.2700000000000005E-2</v>
      </c>
      <c r="Y212" s="692"/>
      <c r="Z212" s="692"/>
      <c r="AA212" s="693"/>
      <c r="AB212" s="690">
        <f t="shared" si="11"/>
        <v>495.39</v>
      </c>
      <c r="AC212" s="690"/>
      <c r="AD212" s="690"/>
      <c r="AE212" s="690"/>
      <c r="AF212" s="690">
        <f t="shared" si="12"/>
        <v>94.12</v>
      </c>
      <c r="AG212" s="690"/>
      <c r="AH212" s="690"/>
      <c r="AI212" s="690"/>
      <c r="AJ212" s="690">
        <f t="shared" si="13"/>
        <v>589.51</v>
      </c>
      <c r="AK212" s="690"/>
      <c r="AL212" s="690"/>
      <c r="AM212" s="690"/>
    </row>
    <row r="213" spans="1:39">
      <c r="A213" s="65">
        <f t="shared" si="14"/>
        <v>19</v>
      </c>
      <c r="B213" s="699" t="s">
        <v>99</v>
      </c>
      <c r="C213" s="700"/>
      <c r="D213" s="700"/>
      <c r="E213" s="700"/>
      <c r="F213" s="700"/>
      <c r="G213" s="700"/>
      <c r="H213" s="700"/>
      <c r="I213" s="700"/>
      <c r="J213" s="700"/>
      <c r="K213" s="701"/>
      <c r="L213" s="702">
        <f>'Date masura OD'!$W$5</f>
        <v>45748</v>
      </c>
      <c r="M213" s="702"/>
      <c r="N213" s="702"/>
      <c r="O213" s="702">
        <f>'Date masura OD'!$X$5</f>
        <v>45777</v>
      </c>
      <c r="P213" s="702"/>
      <c r="Q213" s="702"/>
      <c r="R213" s="690" cm="1">
        <f t="array" ref="R213">INDEX(verificare!$AT$4:$CC$26,VLOOKUP($AA$15,verificare!$AR$4:$AS$26,2,FALSE),A213)</f>
        <v>0</v>
      </c>
      <c r="S213" s="690"/>
      <c r="T213" s="690"/>
      <c r="U213" s="690"/>
      <c r="V213" s="658" t="s">
        <v>446</v>
      </c>
      <c r="W213" s="658"/>
      <c r="X213" s="691">
        <f>HLOOKUP(VLOOKUP($AA$15,'Date SPV'!$B:$F,5,FALSE),'Preturi si tarife'!$C$2:$J$39,A213+2,FALSE)</f>
        <v>0.59499999999999997</v>
      </c>
      <c r="Y213" s="692"/>
      <c r="Z213" s="692"/>
      <c r="AA213" s="693"/>
      <c r="AB213" s="690">
        <f t="shared" si="11"/>
        <v>0</v>
      </c>
      <c r="AC213" s="690"/>
      <c r="AD213" s="690"/>
      <c r="AE213" s="690"/>
      <c r="AF213" s="690">
        <f t="shared" si="12"/>
        <v>0</v>
      </c>
      <c r="AG213" s="690"/>
      <c r="AH213" s="690"/>
      <c r="AI213" s="690"/>
      <c r="AJ213" s="690">
        <f t="shared" si="13"/>
        <v>0</v>
      </c>
      <c r="AK213" s="690"/>
      <c r="AL213" s="690"/>
      <c r="AM213" s="690"/>
    </row>
    <row r="214" spans="1:39">
      <c r="A214" s="65">
        <f t="shared" si="14"/>
        <v>20</v>
      </c>
      <c r="B214" s="699" t="s">
        <v>100</v>
      </c>
      <c r="C214" s="700"/>
      <c r="D214" s="700"/>
      <c r="E214" s="700"/>
      <c r="F214" s="700"/>
      <c r="G214" s="700"/>
      <c r="H214" s="700"/>
      <c r="I214" s="700"/>
      <c r="J214" s="700"/>
      <c r="K214" s="701"/>
      <c r="L214" s="702">
        <f>L213</f>
        <v>45748</v>
      </c>
      <c r="M214" s="702"/>
      <c r="N214" s="702"/>
      <c r="O214" s="702">
        <f t="shared" ref="O214:O230" si="17">O213</f>
        <v>45777</v>
      </c>
      <c r="P214" s="702"/>
      <c r="Q214" s="702"/>
      <c r="R214" s="690" cm="1">
        <f t="array" ref="R214">INDEX(verificare!$AT$4:$CC$26,VLOOKUP($AA$15,verificare!$AR$4:$AS$26,2,FALSE),A214)</f>
        <v>105</v>
      </c>
      <c r="S214" s="690"/>
      <c r="T214" s="690"/>
      <c r="U214" s="690"/>
      <c r="V214" s="658" t="s">
        <v>727</v>
      </c>
      <c r="W214" s="658"/>
      <c r="X214" s="691">
        <f>HLOOKUP(VLOOKUP($AA$15,'Date SPV'!$B:$F,5,FALSE),'Preturi si tarife'!$C$2:$J$39,A214+2,FALSE)</f>
        <v>0.14649999999999999</v>
      </c>
      <c r="Y214" s="692"/>
      <c r="Z214" s="692"/>
      <c r="AA214" s="693"/>
      <c r="AB214" s="690">
        <f t="shared" si="11"/>
        <v>15.38</v>
      </c>
      <c r="AC214" s="690"/>
      <c r="AD214" s="690"/>
      <c r="AE214" s="690"/>
      <c r="AF214" s="690">
        <f t="shared" si="12"/>
        <v>2.92</v>
      </c>
      <c r="AG214" s="690"/>
      <c r="AH214" s="690"/>
      <c r="AI214" s="690"/>
      <c r="AJ214" s="690">
        <f t="shared" si="13"/>
        <v>18.3</v>
      </c>
      <c r="AK214" s="690"/>
      <c r="AL214" s="690"/>
      <c r="AM214" s="690"/>
    </row>
    <row r="215" spans="1:39">
      <c r="A215" s="65">
        <f t="shared" si="14"/>
        <v>21</v>
      </c>
      <c r="B215" s="699" t="s">
        <v>101</v>
      </c>
      <c r="C215" s="700"/>
      <c r="D215" s="700"/>
      <c r="E215" s="700"/>
      <c r="F215" s="700"/>
      <c r="G215" s="700"/>
      <c r="H215" s="700"/>
      <c r="I215" s="700"/>
      <c r="J215" s="700"/>
      <c r="K215" s="701"/>
      <c r="L215" s="702">
        <f t="shared" ref="L215:L230" si="18">L214</f>
        <v>45748</v>
      </c>
      <c r="M215" s="702"/>
      <c r="N215" s="702"/>
      <c r="O215" s="702">
        <f t="shared" si="17"/>
        <v>45777</v>
      </c>
      <c r="P215" s="702"/>
      <c r="Q215" s="702"/>
      <c r="R215" s="690" cm="1">
        <f t="array" ref="R215">INDEX(verificare!$AT$4:$CC$26,VLOOKUP($AA$15,verificare!$AR$4:$AS$26,2,FALSE),A215)</f>
        <v>0</v>
      </c>
      <c r="S215" s="690"/>
      <c r="T215" s="690"/>
      <c r="U215" s="690"/>
      <c r="V215" s="658" t="s">
        <v>727</v>
      </c>
      <c r="W215" s="658"/>
      <c r="X215" s="691">
        <f>HLOOKUP(VLOOKUP($AA$15,'Date SPV'!$B:$F,5,FALSE),'Preturi si tarife'!$C$2:$J$39,A215+2,FALSE)</f>
        <v>0.4395</v>
      </c>
      <c r="Y215" s="692"/>
      <c r="Z215" s="692"/>
      <c r="AA215" s="693"/>
      <c r="AB215" s="690">
        <f t="shared" si="11"/>
        <v>0</v>
      </c>
      <c r="AC215" s="690"/>
      <c r="AD215" s="690"/>
      <c r="AE215" s="690"/>
      <c r="AF215" s="690">
        <f t="shared" si="12"/>
        <v>0</v>
      </c>
      <c r="AG215" s="690"/>
      <c r="AH215" s="690"/>
      <c r="AI215" s="690"/>
      <c r="AJ215" s="690">
        <f t="shared" si="13"/>
        <v>0</v>
      </c>
      <c r="AK215" s="690"/>
      <c r="AL215" s="690"/>
      <c r="AM215" s="690"/>
    </row>
    <row r="216" spans="1:39" ht="30.95" customHeight="1">
      <c r="A216" s="65">
        <f t="shared" si="14"/>
        <v>22</v>
      </c>
      <c r="B216" s="699" t="s">
        <v>869</v>
      </c>
      <c r="C216" s="700"/>
      <c r="D216" s="700"/>
      <c r="E216" s="700"/>
      <c r="F216" s="700"/>
      <c r="G216" s="700"/>
      <c r="H216" s="700"/>
      <c r="I216" s="700"/>
      <c r="J216" s="700"/>
      <c r="K216" s="701"/>
      <c r="L216" s="702">
        <f t="shared" si="18"/>
        <v>45748</v>
      </c>
      <c r="M216" s="702"/>
      <c r="N216" s="702"/>
      <c r="O216" s="702">
        <f t="shared" si="17"/>
        <v>45777</v>
      </c>
      <c r="P216" s="702"/>
      <c r="Q216" s="702"/>
      <c r="R216" s="690" cm="1">
        <f t="array" ref="R216">INDEX(verificare!$AT$4:$CC$26,VLOOKUP($AA$15,verificare!$AR$4:$AS$26,2,FALSE),A216)</f>
        <v>0</v>
      </c>
      <c r="S216" s="690"/>
      <c r="T216" s="690"/>
      <c r="U216" s="690"/>
      <c r="V216" s="658" t="s">
        <v>446</v>
      </c>
      <c r="W216" s="658"/>
      <c r="X216" s="691">
        <f>HLOOKUP(VLOOKUP($AA$15,'Date SPV'!$B:$F,5,FALSE),'Preturi si tarife'!$C$2:$J$39,A216+2,FALSE)</f>
        <v>0.11483</v>
      </c>
      <c r="Y216" s="692"/>
      <c r="Z216" s="692"/>
      <c r="AA216" s="693"/>
      <c r="AB216" s="690">
        <f t="shared" si="11"/>
        <v>0</v>
      </c>
      <c r="AC216" s="690"/>
      <c r="AD216" s="690"/>
      <c r="AE216" s="690"/>
      <c r="AF216" s="690">
        <f t="shared" si="12"/>
        <v>0</v>
      </c>
      <c r="AG216" s="690"/>
      <c r="AH216" s="690"/>
      <c r="AI216" s="690"/>
      <c r="AJ216" s="690">
        <f t="shared" si="13"/>
        <v>0</v>
      </c>
      <c r="AK216" s="690"/>
      <c r="AL216" s="690"/>
      <c r="AM216" s="690"/>
    </row>
    <row r="217" spans="1:39" ht="15.95" customHeight="1">
      <c r="A217" s="65">
        <f t="shared" si="14"/>
        <v>23</v>
      </c>
      <c r="B217" s="699" t="s">
        <v>758</v>
      </c>
      <c r="C217" s="700"/>
      <c r="D217" s="700"/>
      <c r="E217" s="700"/>
      <c r="F217" s="700"/>
      <c r="G217" s="700"/>
      <c r="H217" s="700"/>
      <c r="I217" s="700"/>
      <c r="J217" s="700"/>
      <c r="K217" s="701"/>
      <c r="L217" s="702">
        <f t="shared" si="18"/>
        <v>45748</v>
      </c>
      <c r="M217" s="702"/>
      <c r="N217" s="702"/>
      <c r="O217" s="702">
        <f t="shared" si="17"/>
        <v>45777</v>
      </c>
      <c r="P217" s="702"/>
      <c r="Q217" s="702"/>
      <c r="R217" s="690" cm="1">
        <f t="array" ref="R217">INDEX(verificare!$AT$4:$CC$26,VLOOKUP($AA$15,verificare!$AR$4:$AS$26,2,FALSE),A217)</f>
        <v>0</v>
      </c>
      <c r="S217" s="690"/>
      <c r="T217" s="690"/>
      <c r="U217" s="690"/>
      <c r="V217" s="658" t="s">
        <v>446</v>
      </c>
      <c r="W217" s="658"/>
      <c r="X217" s="691">
        <f>HLOOKUP(VLOOKUP($AA$15,'Date SPV'!$B:$F,5,FALSE),'Preturi si tarife'!$C$2:$J$39,A217+2,FALSE)</f>
        <v>0.2361</v>
      </c>
      <c r="Y217" s="692"/>
      <c r="Z217" s="692"/>
      <c r="AA217" s="693"/>
      <c r="AB217" s="690">
        <f t="shared" si="11"/>
        <v>0</v>
      </c>
      <c r="AC217" s="690"/>
      <c r="AD217" s="690"/>
      <c r="AE217" s="690"/>
      <c r="AF217" s="690">
        <f t="shared" si="12"/>
        <v>0</v>
      </c>
      <c r="AG217" s="690"/>
      <c r="AH217" s="690"/>
      <c r="AI217" s="690"/>
      <c r="AJ217" s="690">
        <f t="shared" si="13"/>
        <v>0</v>
      </c>
      <c r="AK217" s="690"/>
      <c r="AL217" s="690"/>
      <c r="AM217" s="690"/>
    </row>
    <row r="218" spans="1:39">
      <c r="A218" s="65">
        <f t="shared" si="14"/>
        <v>24</v>
      </c>
      <c r="B218" s="699" t="s">
        <v>102</v>
      </c>
      <c r="C218" s="700"/>
      <c r="D218" s="700"/>
      <c r="E218" s="700"/>
      <c r="F218" s="700"/>
      <c r="G218" s="700"/>
      <c r="H218" s="700"/>
      <c r="I218" s="700"/>
      <c r="J218" s="700"/>
      <c r="K218" s="701"/>
      <c r="L218" s="702">
        <f t="shared" si="18"/>
        <v>45748</v>
      </c>
      <c r="M218" s="702"/>
      <c r="N218" s="702"/>
      <c r="O218" s="702">
        <f t="shared" si="17"/>
        <v>45777</v>
      </c>
      <c r="P218" s="702"/>
      <c r="Q218" s="702"/>
      <c r="R218" s="690" cm="1">
        <f t="array" ref="R218">INDEX(verificare!$AT$4:$CC$26,VLOOKUP($AA$15,verificare!$AR$4:$AS$26,2,FALSE),A218)</f>
        <v>0</v>
      </c>
      <c r="S218" s="690"/>
      <c r="T218" s="690"/>
      <c r="U218" s="690"/>
      <c r="V218" s="658" t="s">
        <v>446</v>
      </c>
      <c r="W218" s="658"/>
      <c r="X218" s="691">
        <f>HLOOKUP(VLOOKUP($AA$15,'Date SPV'!$B:$F,5,FALSE),'Preturi si tarife'!$C$2:$J$39,A218+2,FALSE)</f>
        <v>1.1509999999999999E-2</v>
      </c>
      <c r="Y218" s="692"/>
      <c r="Z218" s="692"/>
      <c r="AA218" s="693"/>
      <c r="AB218" s="690">
        <f t="shared" si="11"/>
        <v>0</v>
      </c>
      <c r="AC218" s="690"/>
      <c r="AD218" s="690"/>
      <c r="AE218" s="690"/>
      <c r="AF218" s="690">
        <f t="shared" si="12"/>
        <v>0</v>
      </c>
      <c r="AG218" s="690"/>
      <c r="AH218" s="690"/>
      <c r="AI218" s="690"/>
      <c r="AJ218" s="690">
        <f t="shared" si="13"/>
        <v>0</v>
      </c>
      <c r="AK218" s="690"/>
      <c r="AL218" s="690"/>
      <c r="AM218" s="690"/>
    </row>
    <row r="219" spans="1:39" ht="30.95" customHeight="1">
      <c r="A219" s="65">
        <f t="shared" si="14"/>
        <v>25</v>
      </c>
      <c r="B219" s="699" t="s">
        <v>103</v>
      </c>
      <c r="C219" s="700"/>
      <c r="D219" s="700"/>
      <c r="E219" s="700"/>
      <c r="F219" s="700"/>
      <c r="G219" s="700"/>
      <c r="H219" s="700"/>
      <c r="I219" s="700"/>
      <c r="J219" s="700"/>
      <c r="K219" s="701"/>
      <c r="L219" s="702">
        <f t="shared" si="18"/>
        <v>45748</v>
      </c>
      <c r="M219" s="702"/>
      <c r="N219" s="702"/>
      <c r="O219" s="702">
        <f t="shared" si="17"/>
        <v>45777</v>
      </c>
      <c r="P219" s="702"/>
      <c r="Q219" s="702"/>
      <c r="R219" s="690" cm="1">
        <f t="array" ref="R219">INDEX(verificare!$AT$4:$CC$26,VLOOKUP($AA$15,verificare!$AR$4:$AS$26,2,FALSE),A219)</f>
        <v>0</v>
      </c>
      <c r="S219" s="690"/>
      <c r="T219" s="690"/>
      <c r="U219" s="690"/>
      <c r="V219" s="658" t="s">
        <v>446</v>
      </c>
      <c r="W219" s="658"/>
      <c r="X219" s="691">
        <f>HLOOKUP(VLOOKUP($AA$15,'Date SPV'!$B:$F,5,FALSE),'Preturi si tarife'!$C$2:$J$39,A219+2,FALSE)</f>
        <v>3.3030000000000004E-2</v>
      </c>
      <c r="Y219" s="692"/>
      <c r="Z219" s="692"/>
      <c r="AA219" s="693"/>
      <c r="AB219" s="690">
        <f t="shared" si="11"/>
        <v>0</v>
      </c>
      <c r="AC219" s="690"/>
      <c r="AD219" s="690"/>
      <c r="AE219" s="690"/>
      <c r="AF219" s="690">
        <f t="shared" si="12"/>
        <v>0</v>
      </c>
      <c r="AG219" s="690"/>
      <c r="AH219" s="690"/>
      <c r="AI219" s="690"/>
      <c r="AJ219" s="690">
        <f t="shared" si="13"/>
        <v>0</v>
      </c>
      <c r="AK219" s="690"/>
      <c r="AL219" s="690"/>
      <c r="AM219" s="690"/>
    </row>
    <row r="220" spans="1:39" ht="30.95" customHeight="1">
      <c r="A220" s="65">
        <f t="shared" si="14"/>
        <v>26</v>
      </c>
      <c r="B220" s="699" t="s">
        <v>104</v>
      </c>
      <c r="C220" s="700"/>
      <c r="D220" s="700"/>
      <c r="E220" s="700"/>
      <c r="F220" s="700"/>
      <c r="G220" s="700"/>
      <c r="H220" s="700"/>
      <c r="I220" s="700"/>
      <c r="J220" s="700"/>
      <c r="K220" s="701"/>
      <c r="L220" s="702">
        <f t="shared" si="18"/>
        <v>45748</v>
      </c>
      <c r="M220" s="702"/>
      <c r="N220" s="702"/>
      <c r="O220" s="702">
        <f t="shared" si="17"/>
        <v>45777</v>
      </c>
      <c r="P220" s="702"/>
      <c r="Q220" s="702"/>
      <c r="R220" s="690" cm="1">
        <f t="array" ref="R220">INDEX(verificare!$AT$4:$CC$26,VLOOKUP($AA$15,verificare!$AR$4:$AS$26,2,FALSE),A220)</f>
        <v>0</v>
      </c>
      <c r="S220" s="690"/>
      <c r="T220" s="690"/>
      <c r="U220" s="690"/>
      <c r="V220" s="658" t="s">
        <v>446</v>
      </c>
      <c r="W220" s="658"/>
      <c r="X220" s="691">
        <f>HLOOKUP(VLOOKUP($AA$15,'Date SPV'!$B:$F,5,FALSE),'Preturi si tarife'!$C$2:$J$39,A220+2,FALSE)</f>
        <v>3.29E-3</v>
      </c>
      <c r="Y220" s="692"/>
      <c r="Z220" s="692"/>
      <c r="AA220" s="693"/>
      <c r="AB220" s="690">
        <f t="shared" si="11"/>
        <v>0</v>
      </c>
      <c r="AC220" s="690"/>
      <c r="AD220" s="690"/>
      <c r="AE220" s="690"/>
      <c r="AF220" s="690">
        <f t="shared" si="12"/>
        <v>0</v>
      </c>
      <c r="AG220" s="690"/>
      <c r="AH220" s="690"/>
      <c r="AI220" s="690"/>
      <c r="AJ220" s="690">
        <f t="shared" si="13"/>
        <v>0</v>
      </c>
      <c r="AK220" s="690"/>
      <c r="AL220" s="690"/>
      <c r="AM220" s="690"/>
    </row>
    <row r="221" spans="1:39" ht="30.95" customHeight="1">
      <c r="A221" s="65">
        <f t="shared" si="14"/>
        <v>27</v>
      </c>
      <c r="B221" s="699" t="s">
        <v>105</v>
      </c>
      <c r="C221" s="700"/>
      <c r="D221" s="700"/>
      <c r="E221" s="700"/>
      <c r="F221" s="700"/>
      <c r="G221" s="700"/>
      <c r="H221" s="700"/>
      <c r="I221" s="700"/>
      <c r="J221" s="700"/>
      <c r="K221" s="701"/>
      <c r="L221" s="702">
        <f t="shared" si="18"/>
        <v>45748</v>
      </c>
      <c r="M221" s="702"/>
      <c r="N221" s="702"/>
      <c r="O221" s="702">
        <f t="shared" si="17"/>
        <v>45777</v>
      </c>
      <c r="P221" s="702"/>
      <c r="Q221" s="702"/>
      <c r="R221" s="690" cm="1">
        <f t="array" ref="R221">INDEX(verificare!$AT$4:$CC$26,VLOOKUP($AA$15,verificare!$AR$4:$AS$26,2,FALSE),A221)</f>
        <v>0</v>
      </c>
      <c r="S221" s="690"/>
      <c r="T221" s="690"/>
      <c r="U221" s="690"/>
      <c r="V221" s="658" t="s">
        <v>446</v>
      </c>
      <c r="W221" s="658"/>
      <c r="X221" s="691">
        <f>HLOOKUP(VLOOKUP($AA$15,'Date SPV'!$B:$F,5,FALSE),'Preturi si tarife'!$C$2:$J$39,A221+2,FALSE)</f>
        <v>3.5000000000000001E-3</v>
      </c>
      <c r="Y221" s="692"/>
      <c r="Z221" s="692"/>
      <c r="AA221" s="693"/>
      <c r="AB221" s="690">
        <f t="shared" si="11"/>
        <v>0</v>
      </c>
      <c r="AC221" s="690"/>
      <c r="AD221" s="690"/>
      <c r="AE221" s="690"/>
      <c r="AF221" s="690">
        <f t="shared" si="12"/>
        <v>0</v>
      </c>
      <c r="AG221" s="690"/>
      <c r="AH221" s="690"/>
      <c r="AI221" s="690"/>
      <c r="AJ221" s="690">
        <f t="shared" si="13"/>
        <v>0</v>
      </c>
      <c r="AK221" s="690"/>
      <c r="AL221" s="690"/>
      <c r="AM221" s="690"/>
    </row>
    <row r="222" spans="1:39">
      <c r="A222" s="65">
        <f t="shared" si="14"/>
        <v>28</v>
      </c>
      <c r="B222" s="699" t="s">
        <v>106</v>
      </c>
      <c r="C222" s="700"/>
      <c r="D222" s="700"/>
      <c r="E222" s="700"/>
      <c r="F222" s="700"/>
      <c r="G222" s="700"/>
      <c r="H222" s="700"/>
      <c r="I222" s="700"/>
      <c r="J222" s="700"/>
      <c r="K222" s="701"/>
      <c r="L222" s="702">
        <f t="shared" si="18"/>
        <v>45748</v>
      </c>
      <c r="M222" s="702"/>
      <c r="N222" s="702"/>
      <c r="O222" s="702">
        <f t="shared" si="17"/>
        <v>45777</v>
      </c>
      <c r="P222" s="702"/>
      <c r="Q222" s="702"/>
      <c r="R222" s="690" cm="1">
        <f t="array" ref="R222">INDEX(verificare!$AT$4:$CC$26,VLOOKUP($AA$15,verificare!$AR$4:$AS$26,2,FALSE),A222)</f>
        <v>0</v>
      </c>
      <c r="S222" s="690"/>
      <c r="T222" s="690"/>
      <c r="U222" s="690"/>
      <c r="V222" s="658" t="s">
        <v>446</v>
      </c>
      <c r="W222" s="658"/>
      <c r="X222" s="691">
        <f>HLOOKUP(VLOOKUP($AA$15,'Date SPV'!$B:$F,5,FALSE),'Preturi si tarife'!$C$2:$J$39,A222+2,FALSE)</f>
        <v>7.2541599999999998E-2</v>
      </c>
      <c r="Y222" s="692"/>
      <c r="Z222" s="692"/>
      <c r="AA222" s="693"/>
      <c r="AB222" s="690">
        <f t="shared" si="11"/>
        <v>0</v>
      </c>
      <c r="AC222" s="690"/>
      <c r="AD222" s="690"/>
      <c r="AE222" s="690"/>
      <c r="AF222" s="690">
        <f t="shared" si="12"/>
        <v>0</v>
      </c>
      <c r="AG222" s="690"/>
      <c r="AH222" s="690"/>
      <c r="AI222" s="690"/>
      <c r="AJ222" s="690">
        <f t="shared" si="13"/>
        <v>0</v>
      </c>
      <c r="AK222" s="690"/>
      <c r="AL222" s="690"/>
      <c r="AM222" s="690"/>
    </row>
    <row r="223" spans="1:39" ht="30.95" customHeight="1">
      <c r="A223" s="65">
        <f t="shared" si="14"/>
        <v>29</v>
      </c>
      <c r="B223" s="699" t="s">
        <v>1316</v>
      </c>
      <c r="C223" s="700"/>
      <c r="D223" s="700"/>
      <c r="E223" s="700"/>
      <c r="F223" s="700"/>
      <c r="G223" s="700"/>
      <c r="H223" s="700"/>
      <c r="I223" s="700"/>
      <c r="J223" s="700"/>
      <c r="K223" s="701"/>
      <c r="L223" s="763">
        <f>L228</f>
        <v>45748</v>
      </c>
      <c r="M223" s="764"/>
      <c r="N223" s="765"/>
      <c r="O223" s="763">
        <f>O228</f>
        <v>45777</v>
      </c>
      <c r="P223" s="764"/>
      <c r="Q223" s="765"/>
      <c r="R223" s="690" cm="1">
        <f t="array" ref="R223">INDEX(verificare!$AT$4:$CC$26,VLOOKUP($AA$15,verificare!$AR$4:$AS$26,2,FALSE),A223)</f>
        <v>0</v>
      </c>
      <c r="S223" s="690"/>
      <c r="T223" s="690"/>
      <c r="U223" s="690"/>
      <c r="V223" s="724" t="s">
        <v>446</v>
      </c>
      <c r="W223" s="725"/>
      <c r="X223" s="691">
        <f>HLOOKUP(VLOOKUP($AA$15,'Date SPV'!$B:$F,5,FALSE),'Preturi si tarife'!$C$2:$J$39,A223+2,FALSE)</f>
        <v>2.0599999999999999E-4</v>
      </c>
      <c r="Y223" s="692"/>
      <c r="Z223" s="692"/>
      <c r="AA223" s="693"/>
      <c r="AB223" s="690">
        <f>ROUND(X223*R223,2)</f>
        <v>0</v>
      </c>
      <c r="AC223" s="690"/>
      <c r="AD223" s="690"/>
      <c r="AE223" s="690"/>
      <c r="AF223" s="772">
        <f>ROUND(AB223*19%,2)</f>
        <v>0</v>
      </c>
      <c r="AG223" s="773"/>
      <c r="AH223" s="773"/>
      <c r="AI223" s="774"/>
      <c r="AJ223" s="772">
        <f>AB223+AF223</f>
        <v>0</v>
      </c>
      <c r="AK223" s="773"/>
      <c r="AL223" s="773"/>
      <c r="AM223" s="774"/>
    </row>
    <row r="224" spans="1:39" ht="15.95" customHeight="1">
      <c r="A224" s="65">
        <f t="shared" si="14"/>
        <v>30</v>
      </c>
      <c r="B224" s="699" t="s">
        <v>107</v>
      </c>
      <c r="C224" s="700"/>
      <c r="D224" s="700"/>
      <c r="E224" s="700"/>
      <c r="F224" s="700"/>
      <c r="G224" s="700"/>
      <c r="H224" s="700"/>
      <c r="I224" s="700"/>
      <c r="J224" s="700"/>
      <c r="K224" s="701"/>
      <c r="L224" s="702">
        <f>L222</f>
        <v>45748</v>
      </c>
      <c r="M224" s="702"/>
      <c r="N224" s="702"/>
      <c r="O224" s="702">
        <f>O222</f>
        <v>45777</v>
      </c>
      <c r="P224" s="702"/>
      <c r="Q224" s="702"/>
      <c r="R224" s="690" cm="1">
        <f t="array" ref="R224">INDEX(verificare!$AT$4:$CC$26,VLOOKUP($AA$15,verificare!$AR$4:$AS$26,2,FALSE),A224)</f>
        <v>0</v>
      </c>
      <c r="S224" s="690"/>
      <c r="T224" s="690"/>
      <c r="U224" s="690"/>
      <c r="V224" s="658" t="s">
        <v>446</v>
      </c>
      <c r="W224" s="658"/>
      <c r="X224" s="691">
        <f>HLOOKUP(VLOOKUP($AA$15,'Date SPV'!$B:$F,5,FALSE),'Preturi si tarife'!$C$2:$J$39,A224+2,FALSE)</f>
        <v>0</v>
      </c>
      <c r="Y224" s="692"/>
      <c r="Z224" s="692"/>
      <c r="AA224" s="693"/>
      <c r="AB224" s="690">
        <f t="shared" si="11"/>
        <v>0</v>
      </c>
      <c r="AC224" s="690"/>
      <c r="AD224" s="690"/>
      <c r="AE224" s="690"/>
      <c r="AF224" s="690">
        <f t="shared" si="12"/>
        <v>0</v>
      </c>
      <c r="AG224" s="690"/>
      <c r="AH224" s="690"/>
      <c r="AI224" s="690"/>
      <c r="AJ224" s="690">
        <f t="shared" si="13"/>
        <v>0</v>
      </c>
      <c r="AK224" s="690"/>
      <c r="AL224" s="690"/>
      <c r="AM224" s="690"/>
    </row>
    <row r="225" spans="1:39" ht="30.95" customHeight="1">
      <c r="A225" s="65">
        <f t="shared" si="14"/>
        <v>31</v>
      </c>
      <c r="B225" s="699" t="s">
        <v>108</v>
      </c>
      <c r="C225" s="700"/>
      <c r="D225" s="700"/>
      <c r="E225" s="700"/>
      <c r="F225" s="700"/>
      <c r="G225" s="700"/>
      <c r="H225" s="700"/>
      <c r="I225" s="700"/>
      <c r="J225" s="700"/>
      <c r="K225" s="701"/>
      <c r="L225" s="702">
        <f t="shared" si="18"/>
        <v>45748</v>
      </c>
      <c r="M225" s="702"/>
      <c r="N225" s="702"/>
      <c r="O225" s="702">
        <f t="shared" si="17"/>
        <v>45777</v>
      </c>
      <c r="P225" s="702"/>
      <c r="Q225" s="702"/>
      <c r="R225" s="690" cm="1">
        <f t="array" ref="R225">INDEX(verificare!$AT$4:$CC$26,VLOOKUP($AA$15,verificare!$AR$4:$AS$26,2,FALSE),A225)</f>
        <v>0</v>
      </c>
      <c r="S225" s="690"/>
      <c r="T225" s="690"/>
      <c r="U225" s="690"/>
      <c r="V225" s="658" t="s">
        <v>446</v>
      </c>
      <c r="W225" s="658"/>
      <c r="X225" s="691">
        <f>HLOOKUP(VLOOKUP($AA$15,'Date SPV'!$B:$F,5,FALSE),'Preturi si tarife'!$C$2:$J$39,A225+2,FALSE)</f>
        <v>1.26E-2</v>
      </c>
      <c r="Y225" s="692"/>
      <c r="Z225" s="692"/>
      <c r="AA225" s="693"/>
      <c r="AB225" s="690">
        <f t="shared" si="11"/>
        <v>0</v>
      </c>
      <c r="AC225" s="690"/>
      <c r="AD225" s="690"/>
      <c r="AE225" s="690"/>
      <c r="AF225" s="690">
        <f t="shared" si="12"/>
        <v>0</v>
      </c>
      <c r="AG225" s="690"/>
      <c r="AH225" s="690"/>
      <c r="AI225" s="690"/>
      <c r="AJ225" s="690">
        <f t="shared" si="13"/>
        <v>0</v>
      </c>
      <c r="AK225" s="690"/>
      <c r="AL225" s="690"/>
      <c r="AM225" s="690"/>
    </row>
    <row r="226" spans="1:39" ht="30.95" customHeight="1">
      <c r="A226" s="65">
        <f t="shared" si="14"/>
        <v>32</v>
      </c>
      <c r="B226" s="699" t="s">
        <v>109</v>
      </c>
      <c r="C226" s="700"/>
      <c r="D226" s="700"/>
      <c r="E226" s="700"/>
      <c r="F226" s="700"/>
      <c r="G226" s="700"/>
      <c r="H226" s="700"/>
      <c r="I226" s="700"/>
      <c r="J226" s="700"/>
      <c r="K226" s="701"/>
      <c r="L226" s="763">
        <f t="shared" si="18"/>
        <v>45748</v>
      </c>
      <c r="M226" s="764"/>
      <c r="N226" s="765"/>
      <c r="O226" s="763">
        <f t="shared" si="17"/>
        <v>45777</v>
      </c>
      <c r="P226" s="764"/>
      <c r="Q226" s="765"/>
      <c r="R226" s="690" cm="1">
        <f t="array" ref="R226">INDEX(verificare!$AT$4:$CC$26,VLOOKUP($AA$15,verificare!$AR$4:$AS$26,2,FALSE),A226)</f>
        <v>0</v>
      </c>
      <c r="S226" s="690"/>
      <c r="T226" s="690"/>
      <c r="U226" s="690"/>
      <c r="V226" s="724" t="s">
        <v>446</v>
      </c>
      <c r="W226" s="725"/>
      <c r="X226" s="691">
        <f>HLOOKUP(VLOOKUP($AA$15,'Date SPV'!$B:$F,5,FALSE),'Preturi si tarife'!$C$2:$J$39,A226+2,FALSE)</f>
        <v>9.2700000000000005E-2</v>
      </c>
      <c r="Y226" s="692"/>
      <c r="Z226" s="692"/>
      <c r="AA226" s="693"/>
      <c r="AB226" s="690">
        <f t="shared" si="11"/>
        <v>0</v>
      </c>
      <c r="AC226" s="690"/>
      <c r="AD226" s="690"/>
      <c r="AE226" s="690"/>
      <c r="AF226" s="690">
        <f t="shared" si="12"/>
        <v>0</v>
      </c>
      <c r="AG226" s="690"/>
      <c r="AH226" s="690"/>
      <c r="AI226" s="690"/>
      <c r="AJ226" s="690">
        <f t="shared" si="13"/>
        <v>0</v>
      </c>
      <c r="AK226" s="690"/>
      <c r="AL226" s="690"/>
      <c r="AM226" s="690"/>
    </row>
    <row r="227" spans="1:39" ht="15.95" customHeight="1">
      <c r="A227" s="65">
        <f t="shared" si="14"/>
        <v>33</v>
      </c>
      <c r="B227" s="699" t="s">
        <v>110</v>
      </c>
      <c r="C227" s="700"/>
      <c r="D227" s="700"/>
      <c r="E227" s="700"/>
      <c r="F227" s="700"/>
      <c r="G227" s="700"/>
      <c r="H227" s="700"/>
      <c r="I227" s="700"/>
      <c r="J227" s="700"/>
      <c r="K227" s="701"/>
      <c r="L227" s="702">
        <f t="shared" si="18"/>
        <v>45748</v>
      </c>
      <c r="M227" s="702"/>
      <c r="N227" s="702"/>
      <c r="O227" s="702">
        <f t="shared" si="17"/>
        <v>45777</v>
      </c>
      <c r="P227" s="702"/>
      <c r="Q227" s="702"/>
      <c r="R227" s="690" cm="1">
        <f t="array" ref="R227">INDEX(verificare!$AT$4:$CC$26,VLOOKUP($AA$15,verificare!$AR$4:$AS$26,2,FALSE),A227)</f>
        <v>0</v>
      </c>
      <c r="S227" s="690"/>
      <c r="T227" s="690"/>
      <c r="U227" s="690"/>
      <c r="V227" s="658" t="s">
        <v>446</v>
      </c>
      <c r="W227" s="658"/>
      <c r="X227" s="691">
        <f>HLOOKUP(VLOOKUP($AA$15,'Date SPV'!$B:$F,5,FALSE),'Preturi si tarife'!$C$2:$J$39,A227+2,FALSE)</f>
        <v>0.93920760000000003</v>
      </c>
      <c r="Y227" s="692"/>
      <c r="Z227" s="692"/>
      <c r="AA227" s="693"/>
      <c r="AB227" s="690">
        <f t="shared" si="11"/>
        <v>0</v>
      </c>
      <c r="AC227" s="690"/>
      <c r="AD227" s="690"/>
      <c r="AE227" s="690"/>
      <c r="AF227" s="690">
        <f t="shared" si="12"/>
        <v>0</v>
      </c>
      <c r="AG227" s="690"/>
      <c r="AH227" s="690"/>
      <c r="AI227" s="690"/>
      <c r="AJ227" s="690">
        <f t="shared" si="13"/>
        <v>0</v>
      </c>
      <c r="AK227" s="690"/>
      <c r="AL227" s="690"/>
      <c r="AM227" s="690"/>
    </row>
    <row r="228" spans="1:39">
      <c r="A228" s="65">
        <f t="shared" si="14"/>
        <v>34</v>
      </c>
      <c r="B228" s="699" t="s">
        <v>111</v>
      </c>
      <c r="C228" s="700"/>
      <c r="D228" s="700"/>
      <c r="E228" s="700"/>
      <c r="F228" s="700"/>
      <c r="G228" s="700"/>
      <c r="H228" s="700"/>
      <c r="I228" s="700"/>
      <c r="J228" s="700"/>
      <c r="K228" s="701"/>
      <c r="L228" s="702">
        <f t="shared" si="18"/>
        <v>45748</v>
      </c>
      <c r="M228" s="702"/>
      <c r="N228" s="702"/>
      <c r="O228" s="702">
        <f t="shared" si="17"/>
        <v>45777</v>
      </c>
      <c r="P228" s="702"/>
      <c r="Q228" s="702"/>
      <c r="R228" s="690" cm="1">
        <f t="array" ref="R228">INDEX(verificare!$AT$4:$CC$26,VLOOKUP($AA$15,verificare!$AR$4:$AS$26,2,FALSE),A228)</f>
        <v>0</v>
      </c>
      <c r="S228" s="690"/>
      <c r="T228" s="690"/>
      <c r="U228" s="690"/>
      <c r="V228" s="658" t="s">
        <v>446</v>
      </c>
      <c r="W228" s="658"/>
      <c r="X228" s="691">
        <f>HLOOKUP(VLOOKUP($AA$15,'Date SPV'!$B:$F,5,FALSE),'Preturi si tarife'!$C$2:$J$39,A228+2,FALSE)</f>
        <v>0.83390760000000008</v>
      </c>
      <c r="Y228" s="692"/>
      <c r="Z228" s="692"/>
      <c r="AA228" s="693"/>
      <c r="AB228" s="690">
        <f t="shared" si="11"/>
        <v>0</v>
      </c>
      <c r="AC228" s="690"/>
      <c r="AD228" s="690"/>
      <c r="AE228" s="690"/>
      <c r="AF228" s="690">
        <f t="shared" si="12"/>
        <v>0</v>
      </c>
      <c r="AG228" s="690"/>
      <c r="AH228" s="690"/>
      <c r="AI228" s="690"/>
      <c r="AJ228" s="690">
        <f t="shared" si="13"/>
        <v>0</v>
      </c>
      <c r="AK228" s="690"/>
      <c r="AL228" s="690"/>
      <c r="AM228" s="690"/>
    </row>
    <row r="229" spans="1:39" ht="30.95" customHeight="1">
      <c r="A229" s="65">
        <f t="shared" si="14"/>
        <v>35</v>
      </c>
      <c r="B229" s="699" t="s">
        <v>112</v>
      </c>
      <c r="C229" s="700"/>
      <c r="D229" s="700"/>
      <c r="E229" s="700"/>
      <c r="F229" s="700"/>
      <c r="G229" s="700"/>
      <c r="H229" s="700"/>
      <c r="I229" s="700"/>
      <c r="J229" s="700"/>
      <c r="K229" s="701"/>
      <c r="L229" s="763">
        <f t="shared" si="18"/>
        <v>45748</v>
      </c>
      <c r="M229" s="764"/>
      <c r="N229" s="765"/>
      <c r="O229" s="763">
        <f t="shared" si="17"/>
        <v>45777</v>
      </c>
      <c r="P229" s="764"/>
      <c r="Q229" s="765"/>
      <c r="R229" s="772" cm="1">
        <f t="array" ref="R229">INDEX(verificare!$AT$4:$CC$26,VLOOKUP($AA$15,verificare!$AR$4:$AS$26,2,FALSE),A229)</f>
        <v>0</v>
      </c>
      <c r="S229" s="773"/>
      <c r="T229" s="773"/>
      <c r="U229" s="774"/>
      <c r="V229" s="724" t="s">
        <v>446</v>
      </c>
      <c r="W229" s="725"/>
      <c r="X229" s="691">
        <f>HLOOKUP(VLOOKUP($AA$15,'Date SPV'!$B:$F,5,FALSE),'Preturi si tarife'!$C$2:$J$39,A229+2,FALSE)</f>
        <v>1.26E-2</v>
      </c>
      <c r="Y229" s="692"/>
      <c r="Z229" s="692"/>
      <c r="AA229" s="693"/>
      <c r="AB229" s="690">
        <f t="shared" si="11"/>
        <v>0</v>
      </c>
      <c r="AC229" s="690"/>
      <c r="AD229" s="690"/>
      <c r="AE229" s="690"/>
      <c r="AF229" s="690">
        <f t="shared" si="12"/>
        <v>0</v>
      </c>
      <c r="AG229" s="690"/>
      <c r="AH229" s="690"/>
      <c r="AI229" s="690"/>
      <c r="AJ229" s="690">
        <f t="shared" si="13"/>
        <v>0</v>
      </c>
      <c r="AK229" s="690"/>
      <c r="AL229" s="690"/>
      <c r="AM229" s="690"/>
    </row>
    <row r="230" spans="1:39" ht="30.95" customHeight="1">
      <c r="A230" s="65">
        <f t="shared" si="14"/>
        <v>36</v>
      </c>
      <c r="B230" s="699" t="s">
        <v>113</v>
      </c>
      <c r="C230" s="700"/>
      <c r="D230" s="700"/>
      <c r="E230" s="700"/>
      <c r="F230" s="700"/>
      <c r="G230" s="700"/>
      <c r="H230" s="700"/>
      <c r="I230" s="700"/>
      <c r="J230" s="700"/>
      <c r="K230" s="701"/>
      <c r="L230" s="763">
        <f t="shared" si="18"/>
        <v>45748</v>
      </c>
      <c r="M230" s="764"/>
      <c r="N230" s="765"/>
      <c r="O230" s="763">
        <f t="shared" si="17"/>
        <v>45777</v>
      </c>
      <c r="P230" s="764"/>
      <c r="Q230" s="765"/>
      <c r="R230" s="772" cm="1">
        <f t="array" ref="R230">INDEX(verificare!$AT$4:$CC$26,VLOOKUP($AA$15,verificare!$AR$4:$AS$26,2,FALSE),A230)</f>
        <v>0</v>
      </c>
      <c r="S230" s="773"/>
      <c r="T230" s="773"/>
      <c r="U230" s="774"/>
      <c r="V230" s="724" t="s">
        <v>446</v>
      </c>
      <c r="W230" s="725"/>
      <c r="X230" s="691">
        <f>HLOOKUP(VLOOKUP($AA$15,'Date SPV'!$B:$F,5,FALSE),'Preturi si tarife'!$C$2:$J$39,A230+2,FALSE)</f>
        <v>9.2700000000000005E-2</v>
      </c>
      <c r="Y230" s="692"/>
      <c r="Z230" s="692"/>
      <c r="AA230" s="693"/>
      <c r="AB230" s="690">
        <f t="shared" si="11"/>
        <v>0</v>
      </c>
      <c r="AC230" s="690"/>
      <c r="AD230" s="690"/>
      <c r="AE230" s="690"/>
      <c r="AF230" s="690">
        <f t="shared" si="12"/>
        <v>0</v>
      </c>
      <c r="AG230" s="690"/>
      <c r="AH230" s="690"/>
      <c r="AI230" s="690"/>
      <c r="AJ230" s="690">
        <f t="shared" si="13"/>
        <v>0</v>
      </c>
      <c r="AK230" s="690"/>
      <c r="AL230" s="690"/>
      <c r="AM230" s="690"/>
    </row>
    <row r="231" spans="1:39">
      <c r="A231" s="65">
        <f t="shared" si="14"/>
        <v>37</v>
      </c>
      <c r="B231" s="699" t="s">
        <v>728</v>
      </c>
      <c r="C231" s="700"/>
      <c r="D231" s="700"/>
      <c r="E231" s="700"/>
      <c r="F231" s="700"/>
      <c r="G231" s="700"/>
      <c r="H231" s="700"/>
      <c r="I231" s="700"/>
      <c r="J231" s="700"/>
      <c r="K231" s="701"/>
      <c r="L231" s="702" t="s">
        <v>69</v>
      </c>
      <c r="M231" s="702"/>
      <c r="N231" s="702"/>
      <c r="O231" s="702" t="s">
        <v>69</v>
      </c>
      <c r="P231" s="702"/>
      <c r="Q231" s="702"/>
      <c r="R231" s="690">
        <v>0</v>
      </c>
      <c r="S231" s="690"/>
      <c r="T231" s="690"/>
      <c r="U231" s="690"/>
      <c r="V231" s="658" t="s">
        <v>69</v>
      </c>
      <c r="W231" s="658"/>
      <c r="X231" s="659" t="s">
        <v>69</v>
      </c>
      <c r="Y231" s="659"/>
      <c r="Z231" s="659"/>
      <c r="AA231" s="659"/>
      <c r="AB231" s="653">
        <v>0</v>
      </c>
      <c r="AC231" s="653"/>
      <c r="AD231" s="653"/>
      <c r="AE231" s="653"/>
      <c r="AF231" s="653">
        <f t="shared" si="12"/>
        <v>0</v>
      </c>
      <c r="AG231" s="653"/>
      <c r="AH231" s="653"/>
      <c r="AI231" s="653"/>
      <c r="AJ231" s="653">
        <f t="shared" si="13"/>
        <v>0</v>
      </c>
      <c r="AK231" s="653"/>
      <c r="AL231" s="653"/>
      <c r="AM231" s="653"/>
    </row>
    <row r="232" spans="1:39">
      <c r="A232" s="65">
        <f>A231+1</f>
        <v>38</v>
      </c>
      <c r="B232" s="699" t="s">
        <v>729</v>
      </c>
      <c r="C232" s="700"/>
      <c r="D232" s="700"/>
      <c r="E232" s="700"/>
      <c r="F232" s="700"/>
      <c r="G232" s="700"/>
      <c r="H232" s="700"/>
      <c r="I232" s="700"/>
      <c r="J232" s="700"/>
      <c r="K232" s="701"/>
      <c r="L232" s="702" t="s">
        <v>69</v>
      </c>
      <c r="M232" s="702"/>
      <c r="N232" s="702"/>
      <c r="O232" s="702" t="s">
        <v>69</v>
      </c>
      <c r="P232" s="702"/>
      <c r="Q232" s="702"/>
      <c r="R232" s="690">
        <v>0</v>
      </c>
      <c r="S232" s="690"/>
      <c r="T232" s="690"/>
      <c r="U232" s="690"/>
      <c r="V232" s="658" t="s">
        <v>69</v>
      </c>
      <c r="W232" s="658"/>
      <c r="X232" s="659" t="s">
        <v>69</v>
      </c>
      <c r="Y232" s="659"/>
      <c r="Z232" s="659"/>
      <c r="AA232" s="659"/>
      <c r="AB232" s="726">
        <f>SUM(AB195:AE231)</f>
        <v>123778.7</v>
      </c>
      <c r="AC232" s="726"/>
      <c r="AD232" s="726"/>
      <c r="AE232" s="726"/>
      <c r="AF232" s="726">
        <f>SUM(AF195:AI231)</f>
        <v>23517.940000000002</v>
      </c>
      <c r="AG232" s="726"/>
      <c r="AH232" s="726"/>
      <c r="AI232" s="726"/>
      <c r="AJ232" s="726">
        <f>SUM(AJ195:AM231)</f>
        <v>147296.63999999998</v>
      </c>
      <c r="AK232" s="726"/>
      <c r="AL232" s="726"/>
      <c r="AM232" s="726"/>
    </row>
    <row r="233" spans="1:39" ht="15.95" customHeight="1"/>
  </sheetData>
  <mergeCells count="1039">
    <mergeCell ref="AB205:AE205"/>
    <mergeCell ref="AF205:AI205"/>
    <mergeCell ref="AJ205:AM205"/>
    <mergeCell ref="B223:K223"/>
    <mergeCell ref="L223:N223"/>
    <mergeCell ref="O223:Q223"/>
    <mergeCell ref="R223:U223"/>
    <mergeCell ref="V223:W223"/>
    <mergeCell ref="X223:AA223"/>
    <mergeCell ref="AB223:AE223"/>
    <mergeCell ref="AF223:AI223"/>
    <mergeCell ref="AJ223:AM223"/>
    <mergeCell ref="A6:F6"/>
    <mergeCell ref="G6:S6"/>
    <mergeCell ref="U6:Z6"/>
    <mergeCell ref="AA6:AM6"/>
    <mergeCell ref="A7:F7"/>
    <mergeCell ref="G7:S7"/>
    <mergeCell ref="U7:Z7"/>
    <mergeCell ref="AA7:AM7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4:F14"/>
    <mergeCell ref="G14:L14"/>
    <mergeCell ref="N14:S14"/>
    <mergeCell ref="U14:Z14"/>
    <mergeCell ref="AA14:AM14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1:B21"/>
    <mergeCell ref="C21:AB21"/>
    <mergeCell ref="AC21:AJ21"/>
    <mergeCell ref="AK21:AM21"/>
    <mergeCell ref="A15:F15"/>
    <mergeCell ref="G15:S15"/>
    <mergeCell ref="U15:Z15"/>
    <mergeCell ref="AA15:AM15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7:AM27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F49:AH51"/>
    <mergeCell ref="AI49:AJ51"/>
    <mergeCell ref="AK49:AM51"/>
    <mergeCell ref="J50:L50"/>
    <mergeCell ref="J51:L51"/>
    <mergeCell ref="A52:F54"/>
    <mergeCell ref="G52:I54"/>
    <mergeCell ref="J52:L52"/>
    <mergeCell ref="M52:N54"/>
    <mergeCell ref="O52:Q54"/>
    <mergeCell ref="O49:Q51"/>
    <mergeCell ref="R49:T51"/>
    <mergeCell ref="U49:W51"/>
    <mergeCell ref="X49:Z51"/>
    <mergeCell ref="AA49:AC51"/>
    <mergeCell ref="AD49:AE51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55:AM57"/>
    <mergeCell ref="J56:L56"/>
    <mergeCell ref="J57:L57"/>
    <mergeCell ref="A58:F60"/>
    <mergeCell ref="G58:I60"/>
    <mergeCell ref="J58:L58"/>
    <mergeCell ref="M58:N60"/>
    <mergeCell ref="O58:Q60"/>
    <mergeCell ref="R58:T60"/>
    <mergeCell ref="U58:W60"/>
    <mergeCell ref="U55:W57"/>
    <mergeCell ref="X55:Z57"/>
    <mergeCell ref="AA55:AC57"/>
    <mergeCell ref="AD55:AE57"/>
    <mergeCell ref="AF55:AH57"/>
    <mergeCell ref="AI55:AJ57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R52:T54"/>
    <mergeCell ref="U52:W54"/>
    <mergeCell ref="X52:Z54"/>
    <mergeCell ref="AA52:AC54"/>
    <mergeCell ref="AD52:AE54"/>
    <mergeCell ref="AF52:AH54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O61:Q63"/>
    <mergeCell ref="R61:T63"/>
    <mergeCell ref="U61:W63"/>
    <mergeCell ref="X61:Z63"/>
    <mergeCell ref="AA61:AC63"/>
    <mergeCell ref="AD61:AE63"/>
    <mergeCell ref="J59:L59"/>
    <mergeCell ref="J60:L60"/>
    <mergeCell ref="A61:F63"/>
    <mergeCell ref="G61:I63"/>
    <mergeCell ref="J61:L61"/>
    <mergeCell ref="M61:N63"/>
    <mergeCell ref="X58:Z60"/>
    <mergeCell ref="AA58:AC60"/>
    <mergeCell ref="AD58:AE60"/>
    <mergeCell ref="AF58:AH60"/>
    <mergeCell ref="AI58:AJ60"/>
    <mergeCell ref="AK58:AM60"/>
    <mergeCell ref="A81:L81"/>
    <mergeCell ref="M81:AH81"/>
    <mergeCell ref="AI81:AM82"/>
    <mergeCell ref="A82:L82"/>
    <mergeCell ref="M82:AH82"/>
    <mergeCell ref="A83:F85"/>
    <mergeCell ref="G83:I85"/>
    <mergeCell ref="J83:L85"/>
    <mergeCell ref="M83:N85"/>
    <mergeCell ref="O83:Q85"/>
    <mergeCell ref="AI64:AJ66"/>
    <mergeCell ref="AK64:AM66"/>
    <mergeCell ref="J65:L65"/>
    <mergeCell ref="J66:L66"/>
    <mergeCell ref="AI80:AM80"/>
    <mergeCell ref="R64:T66"/>
    <mergeCell ref="U64:W66"/>
    <mergeCell ref="X64:Z66"/>
    <mergeCell ref="AA64:AC66"/>
    <mergeCell ref="AD64:AE66"/>
    <mergeCell ref="AF64:AH66"/>
    <mergeCell ref="A80:AH80"/>
    <mergeCell ref="AA86:AC88"/>
    <mergeCell ref="AD86:AE88"/>
    <mergeCell ref="AF86:AH88"/>
    <mergeCell ref="AI86:AJ88"/>
    <mergeCell ref="AK86:AM88"/>
    <mergeCell ref="J87:L87"/>
    <mergeCell ref="J88:L88"/>
    <mergeCell ref="AI83:AJ85"/>
    <mergeCell ref="AK83:AM85"/>
    <mergeCell ref="A86:F88"/>
    <mergeCell ref="G86:I88"/>
    <mergeCell ref="J86:L86"/>
    <mergeCell ref="M86:N88"/>
    <mergeCell ref="O86:Q88"/>
    <mergeCell ref="R86:T88"/>
    <mergeCell ref="U86:W88"/>
    <mergeCell ref="X86:Z88"/>
    <mergeCell ref="R83:T85"/>
    <mergeCell ref="U83:W85"/>
    <mergeCell ref="X83:Z85"/>
    <mergeCell ref="AA83:AC85"/>
    <mergeCell ref="AD83:AE85"/>
    <mergeCell ref="AF83:AH85"/>
    <mergeCell ref="AK89:AM91"/>
    <mergeCell ref="J90:L90"/>
    <mergeCell ref="J91:L91"/>
    <mergeCell ref="A92:F94"/>
    <mergeCell ref="G92:I94"/>
    <mergeCell ref="J92:L92"/>
    <mergeCell ref="M92:N94"/>
    <mergeCell ref="O92:Q94"/>
    <mergeCell ref="R92:T94"/>
    <mergeCell ref="U92:W94"/>
    <mergeCell ref="U89:W91"/>
    <mergeCell ref="X89:Z91"/>
    <mergeCell ref="AA89:AC91"/>
    <mergeCell ref="AD89:AE91"/>
    <mergeCell ref="AF89:AH91"/>
    <mergeCell ref="AI89:AJ91"/>
    <mergeCell ref="A89:F91"/>
    <mergeCell ref="G89:I91"/>
    <mergeCell ref="J89:L89"/>
    <mergeCell ref="M89:N91"/>
    <mergeCell ref="O89:Q91"/>
    <mergeCell ref="R89:T91"/>
    <mergeCell ref="A101:L101"/>
    <mergeCell ref="M101:AH101"/>
    <mergeCell ref="AI101:AM101"/>
    <mergeCell ref="A102:L102"/>
    <mergeCell ref="M102:AH102"/>
    <mergeCell ref="AI102:AM103"/>
    <mergeCell ref="A103:L103"/>
    <mergeCell ref="M103:AH103"/>
    <mergeCell ref="A96:G97"/>
    <mergeCell ref="H96:AM97"/>
    <mergeCell ref="A98:G99"/>
    <mergeCell ref="H98:V99"/>
    <mergeCell ref="W98:Z99"/>
    <mergeCell ref="AA98:AM99"/>
    <mergeCell ref="J93:L93"/>
    <mergeCell ref="J94:L94"/>
    <mergeCell ref="X92:Z94"/>
    <mergeCell ref="AA92:AC94"/>
    <mergeCell ref="AD92:AE94"/>
    <mergeCell ref="AF92:AH94"/>
    <mergeCell ref="AI92:AJ94"/>
    <mergeCell ref="AK92:AM94"/>
    <mergeCell ref="O110:Q112"/>
    <mergeCell ref="R110:T112"/>
    <mergeCell ref="AD107:AE109"/>
    <mergeCell ref="AF107:AH109"/>
    <mergeCell ref="AI107:AJ109"/>
    <mergeCell ref="AK107:AM109"/>
    <mergeCell ref="J108:L108"/>
    <mergeCell ref="J109:L109"/>
    <mergeCell ref="AK104:AM106"/>
    <mergeCell ref="A107:F109"/>
    <mergeCell ref="G107:I109"/>
    <mergeCell ref="J107:L107"/>
    <mergeCell ref="M107:N109"/>
    <mergeCell ref="O107:Q109"/>
    <mergeCell ref="R107:T109"/>
    <mergeCell ref="U107:W109"/>
    <mergeCell ref="X107:Z109"/>
    <mergeCell ref="AA107:AC109"/>
    <mergeCell ref="U104:W106"/>
    <mergeCell ref="X104:Z106"/>
    <mergeCell ref="AA104:AC106"/>
    <mergeCell ref="AD104:AE106"/>
    <mergeCell ref="AF104:AH106"/>
    <mergeCell ref="AI104:AJ106"/>
    <mergeCell ref="A104:F106"/>
    <mergeCell ref="G104:I106"/>
    <mergeCell ref="J104:L106"/>
    <mergeCell ref="M104:N106"/>
    <mergeCell ref="O104:Q106"/>
    <mergeCell ref="R104:T106"/>
    <mergeCell ref="J114:L114"/>
    <mergeCell ref="J115:L115"/>
    <mergeCell ref="A116:F118"/>
    <mergeCell ref="G116:I118"/>
    <mergeCell ref="J116:L116"/>
    <mergeCell ref="M116:N118"/>
    <mergeCell ref="X113:Z115"/>
    <mergeCell ref="AA113:AC115"/>
    <mergeCell ref="AD113:AE115"/>
    <mergeCell ref="AF113:AH115"/>
    <mergeCell ref="AI113:AJ115"/>
    <mergeCell ref="AK113:AM115"/>
    <mergeCell ref="AK110:AM112"/>
    <mergeCell ref="J111:L111"/>
    <mergeCell ref="J112:L112"/>
    <mergeCell ref="A113:F115"/>
    <mergeCell ref="G113:I115"/>
    <mergeCell ref="J113:L113"/>
    <mergeCell ref="M113:N115"/>
    <mergeCell ref="O113:Q115"/>
    <mergeCell ref="R113:T115"/>
    <mergeCell ref="U113:W115"/>
    <mergeCell ref="U110:W112"/>
    <mergeCell ref="X110:Z112"/>
    <mergeCell ref="AA110:AC112"/>
    <mergeCell ref="AD110:AE112"/>
    <mergeCell ref="AF110:AH112"/>
    <mergeCell ref="AI110:AJ112"/>
    <mergeCell ref="A110:F112"/>
    <mergeCell ref="G110:I112"/>
    <mergeCell ref="J110:L110"/>
    <mergeCell ref="M110:N112"/>
    <mergeCell ref="AI119:AJ121"/>
    <mergeCell ref="AK119:AM121"/>
    <mergeCell ref="J120:L120"/>
    <mergeCell ref="J121:L121"/>
    <mergeCell ref="A122:F124"/>
    <mergeCell ref="G122:I124"/>
    <mergeCell ref="J122:L122"/>
    <mergeCell ref="M122:N124"/>
    <mergeCell ref="O122:Q124"/>
    <mergeCell ref="R122:T124"/>
    <mergeCell ref="R119:T121"/>
    <mergeCell ref="U119:W121"/>
    <mergeCell ref="X119:Z121"/>
    <mergeCell ref="AA119:AC121"/>
    <mergeCell ref="AD119:AE121"/>
    <mergeCell ref="AF119:AH121"/>
    <mergeCell ref="AF116:AH118"/>
    <mergeCell ref="AI116:AJ118"/>
    <mergeCell ref="AK116:AM118"/>
    <mergeCell ref="J117:L117"/>
    <mergeCell ref="J118:L118"/>
    <mergeCell ref="A119:F121"/>
    <mergeCell ref="G119:I121"/>
    <mergeCell ref="J119:L119"/>
    <mergeCell ref="M119:N121"/>
    <mergeCell ref="O119:Q121"/>
    <mergeCell ref="O116:Q118"/>
    <mergeCell ref="R116:T118"/>
    <mergeCell ref="U116:W118"/>
    <mergeCell ref="X116:Z118"/>
    <mergeCell ref="AA116:AC118"/>
    <mergeCell ref="AD116:AE118"/>
    <mergeCell ref="J126:L126"/>
    <mergeCell ref="J127:L127"/>
    <mergeCell ref="A128:F130"/>
    <mergeCell ref="G128:I130"/>
    <mergeCell ref="J128:L128"/>
    <mergeCell ref="M128:N130"/>
    <mergeCell ref="X125:Z127"/>
    <mergeCell ref="AA125:AC127"/>
    <mergeCell ref="AD125:AE127"/>
    <mergeCell ref="AF125:AH127"/>
    <mergeCell ref="AI125:AJ127"/>
    <mergeCell ref="AK125:AM127"/>
    <mergeCell ref="AK122:AM124"/>
    <mergeCell ref="J123:L123"/>
    <mergeCell ref="J124:L124"/>
    <mergeCell ref="A125:F127"/>
    <mergeCell ref="G125:I127"/>
    <mergeCell ref="J125:L125"/>
    <mergeCell ref="M125:N127"/>
    <mergeCell ref="O125:Q127"/>
    <mergeCell ref="R125:T127"/>
    <mergeCell ref="U125:W127"/>
    <mergeCell ref="U122:W124"/>
    <mergeCell ref="X122:Z124"/>
    <mergeCell ref="AA122:AC124"/>
    <mergeCell ref="AD122:AE124"/>
    <mergeCell ref="AF122:AH124"/>
    <mergeCell ref="AI122:AJ124"/>
    <mergeCell ref="AI131:AJ133"/>
    <mergeCell ref="AK131:AM133"/>
    <mergeCell ref="J132:L132"/>
    <mergeCell ref="J133:L133"/>
    <mergeCell ref="A152:G153"/>
    <mergeCell ref="H152:AM153"/>
    <mergeCell ref="A139:F141"/>
    <mergeCell ref="G139:I141"/>
    <mergeCell ref="J139:L141"/>
    <mergeCell ref="M139:N141"/>
    <mergeCell ref="R131:T133"/>
    <mergeCell ref="U131:W133"/>
    <mergeCell ref="X131:Z133"/>
    <mergeCell ref="AA131:AC133"/>
    <mergeCell ref="AD131:AE133"/>
    <mergeCell ref="AF131:AH133"/>
    <mergeCell ref="AF128:AH130"/>
    <mergeCell ref="AI128:AJ130"/>
    <mergeCell ref="AK128:AM130"/>
    <mergeCell ref="J129:L129"/>
    <mergeCell ref="J130:L130"/>
    <mergeCell ref="A131:F133"/>
    <mergeCell ref="G131:I133"/>
    <mergeCell ref="J131:L131"/>
    <mergeCell ref="M131:N133"/>
    <mergeCell ref="O131:Q133"/>
    <mergeCell ref="O128:Q130"/>
    <mergeCell ref="R128:T130"/>
    <mergeCell ref="U128:W130"/>
    <mergeCell ref="X128:Z130"/>
    <mergeCell ref="AA128:AC130"/>
    <mergeCell ref="AD128:AE130"/>
    <mergeCell ref="A157:L157"/>
    <mergeCell ref="M157:AH157"/>
    <mergeCell ref="AI157:AM158"/>
    <mergeCell ref="A158:L158"/>
    <mergeCell ref="M158:AH158"/>
    <mergeCell ref="A159:F161"/>
    <mergeCell ref="G159:I161"/>
    <mergeCell ref="J159:L161"/>
    <mergeCell ref="M159:N161"/>
    <mergeCell ref="O159:Q161"/>
    <mergeCell ref="A154:G155"/>
    <mergeCell ref="H154:V155"/>
    <mergeCell ref="W154:Z155"/>
    <mergeCell ref="AA154:AM155"/>
    <mergeCell ref="A156:L156"/>
    <mergeCell ref="M156:AH156"/>
    <mergeCell ref="AI156:AM156"/>
    <mergeCell ref="AA162:AC164"/>
    <mergeCell ref="AD162:AE164"/>
    <mergeCell ref="AF162:AH164"/>
    <mergeCell ref="AI162:AJ164"/>
    <mergeCell ref="AK162:AM164"/>
    <mergeCell ref="J163:L163"/>
    <mergeCell ref="J164:L164"/>
    <mergeCell ref="AI159:AJ161"/>
    <mergeCell ref="AK159:AM161"/>
    <mergeCell ref="A162:F164"/>
    <mergeCell ref="G162:I164"/>
    <mergeCell ref="J162:L162"/>
    <mergeCell ref="M162:N164"/>
    <mergeCell ref="O162:Q164"/>
    <mergeCell ref="R162:T164"/>
    <mergeCell ref="U162:W164"/>
    <mergeCell ref="X162:Z164"/>
    <mergeCell ref="R159:T161"/>
    <mergeCell ref="U159:W161"/>
    <mergeCell ref="X159:Z161"/>
    <mergeCell ref="AA159:AC161"/>
    <mergeCell ref="AD159:AE161"/>
    <mergeCell ref="AF159:AH161"/>
    <mergeCell ref="AK165:AM167"/>
    <mergeCell ref="J166:L166"/>
    <mergeCell ref="J167:L167"/>
    <mergeCell ref="A168:F170"/>
    <mergeCell ref="G168:I170"/>
    <mergeCell ref="J168:L168"/>
    <mergeCell ref="M168:N170"/>
    <mergeCell ref="O168:Q170"/>
    <mergeCell ref="R168:T170"/>
    <mergeCell ref="U168:W170"/>
    <mergeCell ref="U165:W167"/>
    <mergeCell ref="X165:Z167"/>
    <mergeCell ref="AA165:AC167"/>
    <mergeCell ref="AD165:AE167"/>
    <mergeCell ref="AF165:AH167"/>
    <mergeCell ref="AI165:AJ167"/>
    <mergeCell ref="A165:F167"/>
    <mergeCell ref="G165:I167"/>
    <mergeCell ref="J165:L165"/>
    <mergeCell ref="M165:N167"/>
    <mergeCell ref="O165:Q167"/>
    <mergeCell ref="R165:T167"/>
    <mergeCell ref="AF171:AH173"/>
    <mergeCell ref="AI171:AJ173"/>
    <mergeCell ref="AK171:AM173"/>
    <mergeCell ref="J172:L172"/>
    <mergeCell ref="J173:L173"/>
    <mergeCell ref="A174:F176"/>
    <mergeCell ref="G174:I176"/>
    <mergeCell ref="J174:L174"/>
    <mergeCell ref="M174:N176"/>
    <mergeCell ref="O174:Q176"/>
    <mergeCell ref="O171:Q173"/>
    <mergeCell ref="R171:T173"/>
    <mergeCell ref="U171:W173"/>
    <mergeCell ref="X171:Z173"/>
    <mergeCell ref="AA171:AC173"/>
    <mergeCell ref="AD171:AE173"/>
    <mergeCell ref="J169:L169"/>
    <mergeCell ref="J170:L170"/>
    <mergeCell ref="A171:F173"/>
    <mergeCell ref="G171:I173"/>
    <mergeCell ref="J171:L171"/>
    <mergeCell ref="M171:N173"/>
    <mergeCell ref="X168:Z170"/>
    <mergeCell ref="AA168:AC170"/>
    <mergeCell ref="AD168:AE170"/>
    <mergeCell ref="AF168:AH170"/>
    <mergeCell ref="AI168:AJ170"/>
    <mergeCell ref="AK168:AM170"/>
    <mergeCell ref="AK177:AM179"/>
    <mergeCell ref="J178:L178"/>
    <mergeCell ref="J179:L179"/>
    <mergeCell ref="A180:F182"/>
    <mergeCell ref="G180:I182"/>
    <mergeCell ref="J180:L180"/>
    <mergeCell ref="M180:N182"/>
    <mergeCell ref="O180:Q182"/>
    <mergeCell ref="R180:T182"/>
    <mergeCell ref="U180:W182"/>
    <mergeCell ref="U177:W179"/>
    <mergeCell ref="X177:Z179"/>
    <mergeCell ref="AA177:AC179"/>
    <mergeCell ref="AD177:AE179"/>
    <mergeCell ref="AF177:AH179"/>
    <mergeCell ref="AI177:AJ179"/>
    <mergeCell ref="AI174:AJ176"/>
    <mergeCell ref="AK174:AM176"/>
    <mergeCell ref="J175:L175"/>
    <mergeCell ref="J176:L176"/>
    <mergeCell ref="A177:F179"/>
    <mergeCell ref="G177:I179"/>
    <mergeCell ref="J177:L177"/>
    <mergeCell ref="M177:N179"/>
    <mergeCell ref="O177:Q179"/>
    <mergeCell ref="R177:T179"/>
    <mergeCell ref="R174:T176"/>
    <mergeCell ref="U174:W176"/>
    <mergeCell ref="X174:Z176"/>
    <mergeCell ref="AA174:AC176"/>
    <mergeCell ref="AD174:AE176"/>
    <mergeCell ref="AF174:AH176"/>
    <mergeCell ref="AF183:AH185"/>
    <mergeCell ref="AI183:AJ185"/>
    <mergeCell ref="AK183:AM185"/>
    <mergeCell ref="J184:L184"/>
    <mergeCell ref="J185:L185"/>
    <mergeCell ref="A186:F188"/>
    <mergeCell ref="G186:I188"/>
    <mergeCell ref="J186:L186"/>
    <mergeCell ref="M186:N188"/>
    <mergeCell ref="O186:Q188"/>
    <mergeCell ref="O183:Q185"/>
    <mergeCell ref="R183:T185"/>
    <mergeCell ref="U183:W185"/>
    <mergeCell ref="X183:Z185"/>
    <mergeCell ref="AA183:AC185"/>
    <mergeCell ref="AD183:AE185"/>
    <mergeCell ref="J181:L181"/>
    <mergeCell ref="J182:L182"/>
    <mergeCell ref="A183:F185"/>
    <mergeCell ref="G183:I185"/>
    <mergeCell ref="J183:L183"/>
    <mergeCell ref="M183:N185"/>
    <mergeCell ref="X180:Z182"/>
    <mergeCell ref="AA180:AC182"/>
    <mergeCell ref="AD180:AE182"/>
    <mergeCell ref="AF180:AH182"/>
    <mergeCell ref="AI180:AJ182"/>
    <mergeCell ref="AK180:AM182"/>
    <mergeCell ref="AF194:AI194"/>
    <mergeCell ref="AJ194:AM194"/>
    <mergeCell ref="B195:K195"/>
    <mergeCell ref="L195:N195"/>
    <mergeCell ref="O195:Q195"/>
    <mergeCell ref="R195:U195"/>
    <mergeCell ref="V195:W195"/>
    <mergeCell ref="X195:AA195"/>
    <mergeCell ref="AB195:AE195"/>
    <mergeCell ref="AF195:AI195"/>
    <mergeCell ref="A192:AM192"/>
    <mergeCell ref="B194:K194"/>
    <mergeCell ref="R194:U194"/>
    <mergeCell ref="V194:W194"/>
    <mergeCell ref="X194:AA194"/>
    <mergeCell ref="AB194:AE194"/>
    <mergeCell ref="AI186:AJ188"/>
    <mergeCell ref="AK186:AM188"/>
    <mergeCell ref="J187:L187"/>
    <mergeCell ref="J188:L188"/>
    <mergeCell ref="R186:T188"/>
    <mergeCell ref="U186:W188"/>
    <mergeCell ref="X186:Z188"/>
    <mergeCell ref="AA186:AC188"/>
    <mergeCell ref="AD186:AE188"/>
    <mergeCell ref="AF186:AH188"/>
    <mergeCell ref="AB197:AE197"/>
    <mergeCell ref="AF197:AI197"/>
    <mergeCell ref="AJ197:AM197"/>
    <mergeCell ref="B198:K198"/>
    <mergeCell ref="L198:N198"/>
    <mergeCell ref="O198:Q198"/>
    <mergeCell ref="R198:U198"/>
    <mergeCell ref="V198:W198"/>
    <mergeCell ref="X198:AA198"/>
    <mergeCell ref="AB198:AE198"/>
    <mergeCell ref="B197:K197"/>
    <mergeCell ref="L197:N197"/>
    <mergeCell ref="O197:Q197"/>
    <mergeCell ref="R197:U197"/>
    <mergeCell ref="V197:W197"/>
    <mergeCell ref="X197:AA197"/>
    <mergeCell ref="AJ195:AM195"/>
    <mergeCell ref="B196:K196"/>
    <mergeCell ref="L196:N196"/>
    <mergeCell ref="O196:Q196"/>
    <mergeCell ref="R196:U196"/>
    <mergeCell ref="V196:W196"/>
    <mergeCell ref="X196:AA196"/>
    <mergeCell ref="AB196:AE196"/>
    <mergeCell ref="AF196:AI196"/>
    <mergeCell ref="AJ196:AM196"/>
    <mergeCell ref="AJ199:AM199"/>
    <mergeCell ref="B200:K200"/>
    <mergeCell ref="L200:N200"/>
    <mergeCell ref="O200:Q200"/>
    <mergeCell ref="R200:U200"/>
    <mergeCell ref="V200:W200"/>
    <mergeCell ref="X200:AA200"/>
    <mergeCell ref="AB200:AE200"/>
    <mergeCell ref="AF200:AI200"/>
    <mergeCell ref="AJ200:AM200"/>
    <mergeCell ref="AF198:AI198"/>
    <mergeCell ref="AJ198:AM198"/>
    <mergeCell ref="B199:K199"/>
    <mergeCell ref="L199:N199"/>
    <mergeCell ref="O199:Q199"/>
    <mergeCell ref="R199:U199"/>
    <mergeCell ref="V199:W199"/>
    <mergeCell ref="X199:AA199"/>
    <mergeCell ref="AB199:AE199"/>
    <mergeCell ref="AF199:AI199"/>
    <mergeCell ref="AF202:AI202"/>
    <mergeCell ref="AJ202:AM202"/>
    <mergeCell ref="B203:K203"/>
    <mergeCell ref="L203:N203"/>
    <mergeCell ref="O203:Q203"/>
    <mergeCell ref="R203:U203"/>
    <mergeCell ref="V203:W203"/>
    <mergeCell ref="X203:AA203"/>
    <mergeCell ref="AB203:AE203"/>
    <mergeCell ref="AF203:AI203"/>
    <mergeCell ref="AB201:AE201"/>
    <mergeCell ref="AF201:AI201"/>
    <mergeCell ref="AJ201:AM201"/>
    <mergeCell ref="B202:K202"/>
    <mergeCell ref="L202:N202"/>
    <mergeCell ref="O202:Q202"/>
    <mergeCell ref="R202:U202"/>
    <mergeCell ref="V202:W202"/>
    <mergeCell ref="X202:AA202"/>
    <mergeCell ref="AB202:AE202"/>
    <mergeCell ref="B201:K201"/>
    <mergeCell ref="L201:N201"/>
    <mergeCell ref="O201:Q201"/>
    <mergeCell ref="R201:U201"/>
    <mergeCell ref="V201:W201"/>
    <mergeCell ref="X201:AA201"/>
    <mergeCell ref="AB206:AE206"/>
    <mergeCell ref="AF206:AI206"/>
    <mergeCell ref="AJ206:AM206"/>
    <mergeCell ref="B207:K207"/>
    <mergeCell ref="L207:N207"/>
    <mergeCell ref="O207:Q207"/>
    <mergeCell ref="R207:U207"/>
    <mergeCell ref="V207:W207"/>
    <mergeCell ref="X207:AA207"/>
    <mergeCell ref="AB207:AE207"/>
    <mergeCell ref="B206:K206"/>
    <mergeCell ref="L206:N206"/>
    <mergeCell ref="O206:Q206"/>
    <mergeCell ref="R206:U206"/>
    <mergeCell ref="V206:W206"/>
    <mergeCell ref="X206:AA206"/>
    <mergeCell ref="AJ203:AM203"/>
    <mergeCell ref="B204:K204"/>
    <mergeCell ref="L204:N204"/>
    <mergeCell ref="O204:Q204"/>
    <mergeCell ref="R204:U204"/>
    <mergeCell ref="V204:W204"/>
    <mergeCell ref="X204:AA204"/>
    <mergeCell ref="AB204:AE204"/>
    <mergeCell ref="AF204:AI204"/>
    <mergeCell ref="AJ204:AM204"/>
    <mergeCell ref="B205:K205"/>
    <mergeCell ref="L205:N205"/>
    <mergeCell ref="O205:Q205"/>
    <mergeCell ref="R205:U205"/>
    <mergeCell ref="V205:W205"/>
    <mergeCell ref="X205:AA205"/>
    <mergeCell ref="AJ208:AM208"/>
    <mergeCell ref="B209:K209"/>
    <mergeCell ref="L209:N209"/>
    <mergeCell ref="O209:Q209"/>
    <mergeCell ref="R209:U209"/>
    <mergeCell ref="V209:W209"/>
    <mergeCell ref="X209:AA209"/>
    <mergeCell ref="AB209:AE209"/>
    <mergeCell ref="AF209:AI209"/>
    <mergeCell ref="AJ209:AM209"/>
    <mergeCell ref="AF207:AI207"/>
    <mergeCell ref="AJ207:AM207"/>
    <mergeCell ref="B208:K208"/>
    <mergeCell ref="L208:N208"/>
    <mergeCell ref="O208:Q208"/>
    <mergeCell ref="R208:U208"/>
    <mergeCell ref="V208:W208"/>
    <mergeCell ref="X208:AA208"/>
    <mergeCell ref="AB208:AE208"/>
    <mergeCell ref="AF208:AI208"/>
    <mergeCell ref="AF211:AI211"/>
    <mergeCell ref="AJ211:AM211"/>
    <mergeCell ref="B212:K212"/>
    <mergeCell ref="L212:N212"/>
    <mergeCell ref="O212:Q212"/>
    <mergeCell ref="R212:U212"/>
    <mergeCell ref="V212:W212"/>
    <mergeCell ref="X212:AA212"/>
    <mergeCell ref="AB212:AE212"/>
    <mergeCell ref="AF212:AI212"/>
    <mergeCell ref="AB210:AE210"/>
    <mergeCell ref="AF210:AI210"/>
    <mergeCell ref="AJ210:AM210"/>
    <mergeCell ref="B211:K211"/>
    <mergeCell ref="L211:N211"/>
    <mergeCell ref="O211:Q211"/>
    <mergeCell ref="R211:U211"/>
    <mergeCell ref="V211:W211"/>
    <mergeCell ref="X211:AA211"/>
    <mergeCell ref="AB211:AE211"/>
    <mergeCell ref="B210:K210"/>
    <mergeCell ref="L210:N210"/>
    <mergeCell ref="O210:Q210"/>
    <mergeCell ref="R210:U210"/>
    <mergeCell ref="V210:W210"/>
    <mergeCell ref="X210:AA210"/>
    <mergeCell ref="AB214:AE214"/>
    <mergeCell ref="AF214:AI214"/>
    <mergeCell ref="AJ214:AM214"/>
    <mergeCell ref="B215:K215"/>
    <mergeCell ref="L215:N215"/>
    <mergeCell ref="O215:Q215"/>
    <mergeCell ref="R215:U215"/>
    <mergeCell ref="V215:W215"/>
    <mergeCell ref="X215:AA215"/>
    <mergeCell ref="AB215:AE215"/>
    <mergeCell ref="B214:K214"/>
    <mergeCell ref="L214:N214"/>
    <mergeCell ref="O214:Q214"/>
    <mergeCell ref="R214:U214"/>
    <mergeCell ref="V214:W214"/>
    <mergeCell ref="X214:AA214"/>
    <mergeCell ref="AJ212:AM212"/>
    <mergeCell ref="B213:K213"/>
    <mergeCell ref="L213:N213"/>
    <mergeCell ref="O213:Q213"/>
    <mergeCell ref="R213:U213"/>
    <mergeCell ref="V213:W213"/>
    <mergeCell ref="X213:AA213"/>
    <mergeCell ref="AB213:AE213"/>
    <mergeCell ref="AF213:AI213"/>
    <mergeCell ref="AJ213:AM213"/>
    <mergeCell ref="AJ216:AM216"/>
    <mergeCell ref="B217:K217"/>
    <mergeCell ref="L217:N217"/>
    <mergeCell ref="O217:Q217"/>
    <mergeCell ref="R217:U217"/>
    <mergeCell ref="V217:W217"/>
    <mergeCell ref="X217:AA217"/>
    <mergeCell ref="AB217:AE217"/>
    <mergeCell ref="AF217:AI217"/>
    <mergeCell ref="AJ217:AM217"/>
    <mergeCell ref="AF215:AI215"/>
    <mergeCell ref="AJ215:AM215"/>
    <mergeCell ref="B216:K216"/>
    <mergeCell ref="L216:N216"/>
    <mergeCell ref="O216:Q216"/>
    <mergeCell ref="R216:U216"/>
    <mergeCell ref="V216:W216"/>
    <mergeCell ref="X216:AA216"/>
    <mergeCell ref="AB216:AE216"/>
    <mergeCell ref="AF216:AI216"/>
    <mergeCell ref="AF219:AI219"/>
    <mergeCell ref="AJ219:AM219"/>
    <mergeCell ref="B220:K220"/>
    <mergeCell ref="L220:N220"/>
    <mergeCell ref="O220:Q220"/>
    <mergeCell ref="R220:U220"/>
    <mergeCell ref="V220:W220"/>
    <mergeCell ref="X220:AA220"/>
    <mergeCell ref="AB220:AE220"/>
    <mergeCell ref="AF220:AI220"/>
    <mergeCell ref="AB218:AE218"/>
    <mergeCell ref="AF218:AI218"/>
    <mergeCell ref="AJ218:AM218"/>
    <mergeCell ref="B219:K219"/>
    <mergeCell ref="L219:N219"/>
    <mergeCell ref="O219:Q219"/>
    <mergeCell ref="R219:U219"/>
    <mergeCell ref="V219:W219"/>
    <mergeCell ref="X219:AA219"/>
    <mergeCell ref="AB219:AE219"/>
    <mergeCell ref="B218:K218"/>
    <mergeCell ref="L218:N218"/>
    <mergeCell ref="O218:Q218"/>
    <mergeCell ref="R218:U218"/>
    <mergeCell ref="V218:W218"/>
    <mergeCell ref="X218:AA218"/>
    <mergeCell ref="AB222:AE222"/>
    <mergeCell ref="AF222:AI222"/>
    <mergeCell ref="AJ222:AM222"/>
    <mergeCell ref="B224:K224"/>
    <mergeCell ref="L224:N224"/>
    <mergeCell ref="O224:Q224"/>
    <mergeCell ref="R224:U224"/>
    <mergeCell ref="V224:W224"/>
    <mergeCell ref="X224:AA224"/>
    <mergeCell ref="AB224:AE224"/>
    <mergeCell ref="B222:K222"/>
    <mergeCell ref="L222:N222"/>
    <mergeCell ref="O222:Q222"/>
    <mergeCell ref="R222:U222"/>
    <mergeCell ref="V222:W222"/>
    <mergeCell ref="X222:AA222"/>
    <mergeCell ref="AJ220:AM220"/>
    <mergeCell ref="B221:K221"/>
    <mergeCell ref="L221:N221"/>
    <mergeCell ref="O221:Q221"/>
    <mergeCell ref="R221:U221"/>
    <mergeCell ref="V221:W221"/>
    <mergeCell ref="X221:AA221"/>
    <mergeCell ref="AB221:AE221"/>
    <mergeCell ref="AF221:AI221"/>
    <mergeCell ref="AJ221:AM221"/>
    <mergeCell ref="AJ225:AM225"/>
    <mergeCell ref="B226:K226"/>
    <mergeCell ref="L226:N226"/>
    <mergeCell ref="O226:Q226"/>
    <mergeCell ref="R226:U226"/>
    <mergeCell ref="V226:W226"/>
    <mergeCell ref="X226:AA226"/>
    <mergeCell ref="AB226:AE226"/>
    <mergeCell ref="AF226:AI226"/>
    <mergeCell ref="AJ226:AM226"/>
    <mergeCell ref="AF224:AI224"/>
    <mergeCell ref="AJ224:AM224"/>
    <mergeCell ref="B225:K225"/>
    <mergeCell ref="L225:N225"/>
    <mergeCell ref="O225:Q225"/>
    <mergeCell ref="R225:U225"/>
    <mergeCell ref="V225:W225"/>
    <mergeCell ref="X225:AA225"/>
    <mergeCell ref="AB225:AE225"/>
    <mergeCell ref="AF225:AI225"/>
    <mergeCell ref="AF230:AI230"/>
    <mergeCell ref="AJ230:AM230"/>
    <mergeCell ref="AF228:AI228"/>
    <mergeCell ref="AJ228:AM228"/>
    <mergeCell ref="B229:K229"/>
    <mergeCell ref="L229:N229"/>
    <mergeCell ref="O229:Q229"/>
    <mergeCell ref="R229:U229"/>
    <mergeCell ref="V229:W229"/>
    <mergeCell ref="X229:AA229"/>
    <mergeCell ref="AB229:AE229"/>
    <mergeCell ref="AF229:AI229"/>
    <mergeCell ref="AB227:AE227"/>
    <mergeCell ref="AF227:AI227"/>
    <mergeCell ref="AJ227:AM227"/>
    <mergeCell ref="B228:K228"/>
    <mergeCell ref="L228:N228"/>
    <mergeCell ref="O228:Q228"/>
    <mergeCell ref="R228:U228"/>
    <mergeCell ref="V228:W228"/>
    <mergeCell ref="X228:AA228"/>
    <mergeCell ref="AB228:AE228"/>
    <mergeCell ref="B227:K227"/>
    <mergeCell ref="L227:N227"/>
    <mergeCell ref="O227:Q227"/>
    <mergeCell ref="R227:U227"/>
    <mergeCell ref="V227:W227"/>
    <mergeCell ref="X227:AA227"/>
    <mergeCell ref="AF232:AI232"/>
    <mergeCell ref="AJ232:AM232"/>
    <mergeCell ref="AI136:AM136"/>
    <mergeCell ref="A137:L137"/>
    <mergeCell ref="M137:AH137"/>
    <mergeCell ref="AI137:AM138"/>
    <mergeCell ref="A138:L138"/>
    <mergeCell ref="M138:AH138"/>
    <mergeCell ref="AB231:AE231"/>
    <mergeCell ref="AF231:AI231"/>
    <mergeCell ref="AJ231:AM231"/>
    <mergeCell ref="B232:K232"/>
    <mergeCell ref="L232:N232"/>
    <mergeCell ref="O232:Q232"/>
    <mergeCell ref="R232:U232"/>
    <mergeCell ref="V232:W232"/>
    <mergeCell ref="X232:AA232"/>
    <mergeCell ref="AB232:AE232"/>
    <mergeCell ref="B231:K231"/>
    <mergeCell ref="L231:N231"/>
    <mergeCell ref="O231:Q231"/>
    <mergeCell ref="R231:U231"/>
    <mergeCell ref="V231:W231"/>
    <mergeCell ref="X231:AA231"/>
    <mergeCell ref="AJ229:AM229"/>
    <mergeCell ref="B230:K230"/>
    <mergeCell ref="L230:N230"/>
    <mergeCell ref="O230:Q230"/>
    <mergeCell ref="R230:U230"/>
    <mergeCell ref="V230:W230"/>
    <mergeCell ref="X230:AA230"/>
    <mergeCell ref="AB230:AE230"/>
    <mergeCell ref="M145:N147"/>
    <mergeCell ref="X142:Z144"/>
    <mergeCell ref="AA142:AC144"/>
    <mergeCell ref="AD142:AE144"/>
    <mergeCell ref="AF142:AH144"/>
    <mergeCell ref="AI142:AJ144"/>
    <mergeCell ref="AK142:AM144"/>
    <mergeCell ref="AF139:AH141"/>
    <mergeCell ref="AI139:AJ141"/>
    <mergeCell ref="AK139:AM141"/>
    <mergeCell ref="A142:F144"/>
    <mergeCell ref="G142:I144"/>
    <mergeCell ref="J142:L142"/>
    <mergeCell ref="M142:N144"/>
    <mergeCell ref="O142:Q144"/>
    <mergeCell ref="R142:T144"/>
    <mergeCell ref="U142:W144"/>
    <mergeCell ref="O139:Q141"/>
    <mergeCell ref="R139:T141"/>
    <mergeCell ref="U139:W141"/>
    <mergeCell ref="X139:Z141"/>
    <mergeCell ref="AA139:AC141"/>
    <mergeCell ref="AD139:AE141"/>
    <mergeCell ref="A136:AH136"/>
    <mergeCell ref="AI148:AJ150"/>
    <mergeCell ref="AK148:AM150"/>
    <mergeCell ref="J149:L149"/>
    <mergeCell ref="J150:L150"/>
    <mergeCell ref="R148:T150"/>
    <mergeCell ref="U148:W150"/>
    <mergeCell ref="X148:Z150"/>
    <mergeCell ref="AA148:AC150"/>
    <mergeCell ref="AD148:AE150"/>
    <mergeCell ref="AF148:AH150"/>
    <mergeCell ref="AF145:AH147"/>
    <mergeCell ref="AI145:AJ147"/>
    <mergeCell ref="AK145:AM147"/>
    <mergeCell ref="J146:L146"/>
    <mergeCell ref="J147:L147"/>
    <mergeCell ref="A148:F150"/>
    <mergeCell ref="G148:I150"/>
    <mergeCell ref="J148:L148"/>
    <mergeCell ref="M148:N150"/>
    <mergeCell ref="O148:Q150"/>
    <mergeCell ref="O145:Q147"/>
    <mergeCell ref="R145:T147"/>
    <mergeCell ref="U145:W147"/>
    <mergeCell ref="X145:Z147"/>
    <mergeCell ref="AA145:AC147"/>
    <mergeCell ref="AD145:AE147"/>
    <mergeCell ref="J143:L143"/>
    <mergeCell ref="J144:L144"/>
    <mergeCell ref="A145:F147"/>
    <mergeCell ref="G145:I147"/>
    <mergeCell ref="J145:L145"/>
  </mergeCells>
  <hyperlinks>
    <hyperlink ref="G11" r:id="rId1" xr:uid="{A6FC1BB7-8ADC-3F46-81DC-F94B773370C4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FE86-1CC2-0649-BB39-E5908CDA6A2E}">
  <dimension ref="A1:AM217"/>
  <sheetViews>
    <sheetView view="pageLayout" zoomScale="140" zoomScaleNormal="100" zoomScalePageLayoutView="140" workbookViewId="0">
      <selection activeCell="R40" sqref="R40:T42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Retail Park Pitesti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nr.05,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RO18572838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J40/6041/2006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RO17 BRDE 450S V058 1875 4500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NB3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43/28.02.2024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45352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10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AB217</f>
        <v>243520.54000000004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AF217</f>
        <v>46268.909999999996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AJ217</f>
        <v>289789.45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289789.45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R180+R194+R195</f>
        <v>243347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1.1908486646640395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DN65B, 117140, loc. Geamana, jud. Arges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VLOOKUP(AA31,'Date masura OD'!$G:$BE,51,FALSE)</f>
        <v>5000612501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RRPP_1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59401020000375096971689655/1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19" t="str">
        <f>_xlfn.CONCAT(AA31,".",1)</f>
        <v>RRPP_1.1</v>
      </c>
      <c r="AJ35" s="619"/>
      <c r="AK35" s="619"/>
      <c r="AL35" s="619"/>
      <c r="AM35" s="619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19"/>
      <c r="AJ36" s="619"/>
      <c r="AK36" s="619"/>
      <c r="AL36" s="619"/>
      <c r="AM36" s="619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23298246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OD'!$I$5</f>
        <v>45778</v>
      </c>
      <c r="K40" s="656"/>
      <c r="L40" s="657"/>
      <c r="M40" s="720" t="s">
        <v>446</v>
      </c>
      <c r="N40" s="648"/>
      <c r="O40" s="648">
        <v>500</v>
      </c>
      <c r="P40" s="648"/>
      <c r="Q40" s="648"/>
      <c r="R40" s="647" t="str">
        <f>VLOOKUP(A40,'Incrementare indexe'!$D:$M,3,FALSE)&amp;" (citit)"</f>
        <v>105.854 (citit)</v>
      </c>
      <c r="S40" s="647"/>
      <c r="T40" s="647"/>
      <c r="U40" s="647" t="str">
        <f>VLOOKUP(A40,'Incrementare indexe'!$D:$M,4,FALSE)&amp;" (citit)"</f>
        <v>189.95 (citit)</v>
      </c>
      <c r="V40" s="647"/>
      <c r="W40" s="647"/>
      <c r="X40" s="647" t="str">
        <f>VLOOKUP(A40,'Incrementare indexe'!$D:$Q,11,FALSE)&amp;" (citit)"</f>
        <v>42048 (citit)</v>
      </c>
      <c r="Y40" s="647"/>
      <c r="Z40" s="647"/>
      <c r="AA40" s="647" t="s">
        <v>69</v>
      </c>
      <c r="AB40" s="647"/>
      <c r="AC40" s="647"/>
      <c r="AD40" s="647" t="s">
        <v>69</v>
      </c>
      <c r="AE40" s="647"/>
      <c r="AF40" s="647">
        <f>VLOOKUP(A40,'Incrementare indexe'!$D:$Q,11,FALSE)</f>
        <v>42048</v>
      </c>
      <c r="AG40" s="647"/>
      <c r="AH40" s="647"/>
      <c r="AI40" s="647">
        <f>J42-J40+1</f>
        <v>31</v>
      </c>
      <c r="AJ40" s="647"/>
      <c r="AK40" s="647">
        <f>ROUND(AF40/AI40,2)</f>
        <v>1356.39</v>
      </c>
      <c r="AL40" s="647"/>
      <c r="AM40" s="647"/>
    </row>
    <row r="41" spans="1:39" ht="8.4499999999999993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OD'!$J$5</f>
        <v>45808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23298246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45778</v>
      </c>
      <c r="K43" s="656"/>
      <c r="L43" s="657"/>
      <c r="M43" s="648" t="s">
        <v>720</v>
      </c>
      <c r="N43" s="648"/>
      <c r="O43" s="648">
        <f>O40</f>
        <v>500</v>
      </c>
      <c r="P43" s="648"/>
      <c r="Q43" s="648"/>
      <c r="R43" s="647" t="str">
        <f>VLOOKUP(A43,'Incrementare indexe'!$D:$M,7,FALSE)&amp;" (estimat)"</f>
        <v>0 (estimat)</v>
      </c>
      <c r="S43" s="647"/>
      <c r="T43" s="647"/>
      <c r="U43" s="647" t="str">
        <f>VLOOKUP(A43,'Incrementare indexe'!$D:$M,8,FALSE)&amp;" (estimat)"</f>
        <v>0 (estimat)</v>
      </c>
      <c r="V43" s="647"/>
      <c r="W43" s="647"/>
      <c r="X43" s="647" t="str">
        <f>VLOOKUP(A43,'Incrementare indexe'!$D:$Q,12,FALSE)&amp;" (estimat)"</f>
        <v>0 (estimat)</v>
      </c>
      <c r="Y43" s="647"/>
      <c r="Z43" s="647"/>
      <c r="AA43" s="647" t="s">
        <v>69</v>
      </c>
      <c r="AB43" s="647"/>
      <c r="AC43" s="647"/>
      <c r="AD43" s="647" t="s">
        <v>69</v>
      </c>
      <c r="AE43" s="647"/>
      <c r="AF43" s="647">
        <f>VLOOKUP(A43,'Incrementare indexe'!$D:$Q,12,FALSE)</f>
        <v>0</v>
      </c>
      <c r="AG43" s="647"/>
      <c r="AH43" s="647"/>
      <c r="AI43" s="647">
        <f>AI40</f>
        <v>31</v>
      </c>
      <c r="AJ43" s="647"/>
      <c r="AK43" s="647">
        <f>ROUND(AF43/AI43,2)</f>
        <v>0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45808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23298246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45778</v>
      </c>
      <c r="K46" s="656"/>
      <c r="L46" s="657"/>
      <c r="M46" s="648" t="s">
        <v>720</v>
      </c>
      <c r="N46" s="648"/>
      <c r="O46" s="648">
        <f>O43</f>
        <v>500</v>
      </c>
      <c r="P46" s="648"/>
      <c r="Q46" s="648"/>
      <c r="R46" s="647" t="str">
        <f>VLOOKUP(A46,'Incrementare indexe'!$D:$M,9,FALSE)&amp;" (estimat)"</f>
        <v>9881 (estimat)</v>
      </c>
      <c r="S46" s="647"/>
      <c r="T46" s="647"/>
      <c r="U46" s="647" t="str">
        <f>VLOOKUP(A46,'Incrementare indexe'!$D:$M,10,FALSE)&amp;" (estimat)"</f>
        <v>9881 (estimat)</v>
      </c>
      <c r="V46" s="647"/>
      <c r="W46" s="647"/>
      <c r="X46" s="647" t="str">
        <f>VLOOKUP(A46,'Incrementare indexe'!$D:$Q,13,FALSE)&amp;" (estimat)"</f>
        <v>0 (estimat)</v>
      </c>
      <c r="Y46" s="647"/>
      <c r="Z46" s="647"/>
      <c r="AA46" s="647" t="s">
        <v>69</v>
      </c>
      <c r="AB46" s="647"/>
      <c r="AC46" s="647"/>
      <c r="AD46" s="647" t="s">
        <v>69</v>
      </c>
      <c r="AE46" s="647"/>
      <c r="AF46" s="647">
        <f>VLOOKUP(A46,'Incrementare indexe'!$D:$Q,13,FALSE)</f>
        <v>0</v>
      </c>
      <c r="AG46" s="647"/>
      <c r="AH46" s="647"/>
      <c r="AI46" s="647">
        <f>AI43</f>
        <v>31</v>
      </c>
      <c r="AJ46" s="647"/>
      <c r="AK46" s="647">
        <f>ROUND(AF46/AI46,2)</f>
        <v>0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45808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v>23298249</v>
      </c>
      <c r="B49" s="679"/>
      <c r="C49" s="679"/>
      <c r="D49" s="679"/>
      <c r="E49" s="679"/>
      <c r="F49" s="680"/>
      <c r="G49" s="647" t="s">
        <v>1443</v>
      </c>
      <c r="H49" s="647"/>
      <c r="I49" s="647"/>
      <c r="J49" s="655">
        <f>'Date masura OD'!$I$5</f>
        <v>45778</v>
      </c>
      <c r="K49" s="656"/>
      <c r="L49" s="657"/>
      <c r="M49" s="720" t="s">
        <v>446</v>
      </c>
      <c r="N49" s="648"/>
      <c r="O49" s="648">
        <v>500</v>
      </c>
      <c r="P49" s="648"/>
      <c r="Q49" s="648"/>
      <c r="R49" s="647">
        <f>VLOOKUP(A49,'Date masura SDI'!A:E,4,0)</f>
        <v>0</v>
      </c>
      <c r="S49" s="647"/>
      <c r="T49" s="647"/>
      <c r="U49" s="647">
        <f>VLOOKUP(A49,'Date masura SDI'!A:E,5,0)</f>
        <v>35.991999999999997</v>
      </c>
      <c r="V49" s="647"/>
      <c r="W49" s="647"/>
      <c r="X49" s="647">
        <f>ROUND((U49-R49)*O49,0)</f>
        <v>17996</v>
      </c>
      <c r="Y49" s="647"/>
      <c r="Z49" s="647"/>
      <c r="AA49" s="647" t="s">
        <v>69</v>
      </c>
      <c r="AB49" s="647"/>
      <c r="AC49" s="647"/>
      <c r="AD49" s="647" t="s">
        <v>69</v>
      </c>
      <c r="AE49" s="647"/>
      <c r="AF49" s="647">
        <f>X49</f>
        <v>17996</v>
      </c>
      <c r="AG49" s="647"/>
      <c r="AH49" s="647"/>
      <c r="AI49" s="647">
        <f>AI59</f>
        <v>31</v>
      </c>
      <c r="AJ49" s="647"/>
      <c r="AK49" s="647">
        <f>ROUND(AF49/AI49,2)</f>
        <v>580.52</v>
      </c>
      <c r="AL49" s="647"/>
      <c r="AM49" s="647"/>
    </row>
    <row r="50" spans="1:39" ht="14.1" customHeight="1">
      <c r="A50" s="717"/>
      <c r="B50" s="718"/>
      <c r="C50" s="718"/>
      <c r="D50" s="718"/>
      <c r="E50" s="718"/>
      <c r="F50" s="719"/>
      <c r="G50" s="647"/>
      <c r="H50" s="647"/>
      <c r="I50" s="647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7"/>
      <c r="H51" s="647"/>
      <c r="I51" s="647"/>
      <c r="J51" s="714">
        <f>'Date masura OD'!$J$5</f>
        <v>45808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196"/>
      <c r="B52" s="196"/>
      <c r="C52" s="196"/>
      <c r="D52" s="196"/>
      <c r="E52" s="196"/>
      <c r="F52" s="196"/>
      <c r="G52" s="196"/>
      <c r="H52" s="196"/>
      <c r="I52" s="196"/>
      <c r="J52" s="197"/>
      <c r="K52" s="197"/>
      <c r="L52" s="197"/>
      <c r="M52" s="196"/>
      <c r="N52" s="196"/>
      <c r="O52" s="196"/>
      <c r="P52" s="196"/>
      <c r="Q52" s="196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</row>
    <row r="53" spans="1:39" ht="14.1" customHeight="1">
      <c r="A53" s="721" t="s">
        <v>1196</v>
      </c>
      <c r="B53" s="722"/>
      <c r="C53" s="722"/>
      <c r="D53" s="722"/>
      <c r="E53" s="722"/>
      <c r="F53" s="722"/>
      <c r="G53" s="722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3"/>
      <c r="AI53" s="650" t="s">
        <v>695</v>
      </c>
      <c r="AJ53" s="650"/>
      <c r="AK53" s="650"/>
      <c r="AL53" s="650"/>
      <c r="AM53" s="650"/>
    </row>
    <row r="54" spans="1:39" ht="14.1" customHeight="1">
      <c r="A54" s="649" t="s">
        <v>746</v>
      </c>
      <c r="B54" s="649"/>
      <c r="C54" s="649"/>
      <c r="D54" s="649"/>
      <c r="E54" s="649"/>
      <c r="F54" s="649"/>
      <c r="G54" s="649"/>
      <c r="H54" s="649"/>
      <c r="I54" s="649"/>
      <c r="J54" s="649"/>
      <c r="K54" s="649"/>
      <c r="L54" s="649"/>
      <c r="M54" s="650" t="s">
        <v>514</v>
      </c>
      <c r="N54" s="650"/>
      <c r="O54" s="650"/>
      <c r="P54" s="650"/>
      <c r="Q54" s="650"/>
      <c r="R54" s="650"/>
      <c r="S54" s="650"/>
      <c r="T54" s="650"/>
      <c r="U54" s="650"/>
      <c r="V54" s="650"/>
      <c r="W54" s="650"/>
      <c r="X54" s="650"/>
      <c r="Y54" s="650"/>
      <c r="Z54" s="650"/>
      <c r="AA54" s="650"/>
      <c r="AB54" s="650"/>
      <c r="AC54" s="650"/>
      <c r="AD54" s="650"/>
      <c r="AE54" s="650"/>
      <c r="AF54" s="650"/>
      <c r="AG54" s="650"/>
      <c r="AH54" s="650"/>
      <c r="AI54" s="619" t="str">
        <f>_xlfn.CONCAT(AI35,"/PV")</f>
        <v>RRPP_1.1/PV</v>
      </c>
      <c r="AJ54" s="619"/>
      <c r="AK54" s="619"/>
      <c r="AL54" s="619"/>
      <c r="AM54" s="619"/>
    </row>
    <row r="55" spans="1:39" ht="14.1" customHeight="1">
      <c r="A55" s="649" t="s">
        <v>747</v>
      </c>
      <c r="B55" s="649"/>
      <c r="C55" s="649"/>
      <c r="D55" s="649"/>
      <c r="E55" s="649"/>
      <c r="F55" s="649"/>
      <c r="G55" s="649"/>
      <c r="H55" s="649"/>
      <c r="I55" s="649"/>
      <c r="J55" s="649"/>
      <c r="K55" s="649"/>
      <c r="L55" s="649"/>
      <c r="M55" s="650" t="s">
        <v>1087</v>
      </c>
      <c r="N55" s="650"/>
      <c r="O55" s="650"/>
      <c r="P55" s="650"/>
      <c r="Q55" s="650"/>
      <c r="R55" s="650"/>
      <c r="S55" s="650"/>
      <c r="T55" s="650"/>
      <c r="U55" s="650"/>
      <c r="V55" s="650"/>
      <c r="W55" s="650"/>
      <c r="X55" s="650"/>
      <c r="Y55" s="650"/>
      <c r="Z55" s="650"/>
      <c r="AA55" s="650"/>
      <c r="AB55" s="650"/>
      <c r="AC55" s="650"/>
      <c r="AD55" s="650"/>
      <c r="AE55" s="650"/>
      <c r="AF55" s="650"/>
      <c r="AG55" s="650"/>
      <c r="AH55" s="650"/>
      <c r="AI55" s="619"/>
      <c r="AJ55" s="619"/>
      <c r="AK55" s="619"/>
      <c r="AL55" s="619"/>
      <c r="AM55" s="619"/>
    </row>
    <row r="56" spans="1:39" ht="14.1" customHeight="1">
      <c r="A56" s="648" t="s">
        <v>697</v>
      </c>
      <c r="B56" s="648"/>
      <c r="C56" s="648"/>
      <c r="D56" s="648"/>
      <c r="E56" s="648"/>
      <c r="F56" s="648"/>
      <c r="G56" s="647" t="s">
        <v>713</v>
      </c>
      <c r="H56" s="647"/>
      <c r="I56" s="647"/>
      <c r="J56" s="647" t="s">
        <v>714</v>
      </c>
      <c r="K56" s="647"/>
      <c r="L56" s="647"/>
      <c r="M56" s="648" t="s">
        <v>519</v>
      </c>
      <c r="N56" s="648"/>
      <c r="O56" s="648" t="s">
        <v>715</v>
      </c>
      <c r="P56" s="648"/>
      <c r="Q56" s="648"/>
      <c r="R56" s="647" t="s">
        <v>732</v>
      </c>
      <c r="S56" s="647"/>
      <c r="T56" s="647"/>
      <c r="U56" s="647" t="s">
        <v>734</v>
      </c>
      <c r="V56" s="647"/>
      <c r="W56" s="647"/>
      <c r="X56" s="647" t="s">
        <v>1085</v>
      </c>
      <c r="Y56" s="647"/>
      <c r="Z56" s="647"/>
      <c r="AA56" s="647" t="s">
        <v>1086</v>
      </c>
      <c r="AB56" s="647"/>
      <c r="AC56" s="647"/>
      <c r="AD56" s="647" t="s">
        <v>717</v>
      </c>
      <c r="AE56" s="647"/>
      <c r="AF56" s="647" t="s">
        <v>718</v>
      </c>
      <c r="AG56" s="647"/>
      <c r="AH56" s="647"/>
      <c r="AI56" s="647" t="s">
        <v>719</v>
      </c>
      <c r="AJ56" s="647"/>
      <c r="AK56" s="647" t="s">
        <v>733</v>
      </c>
      <c r="AL56" s="647"/>
      <c r="AM56" s="647"/>
    </row>
    <row r="57" spans="1:39" ht="14.1" customHeight="1">
      <c r="A57" s="648"/>
      <c r="B57" s="648"/>
      <c r="C57" s="648"/>
      <c r="D57" s="648"/>
      <c r="E57" s="648"/>
      <c r="F57" s="648"/>
      <c r="G57" s="647"/>
      <c r="H57" s="647"/>
      <c r="I57" s="647"/>
      <c r="J57" s="647"/>
      <c r="K57" s="647"/>
      <c r="L57" s="647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48"/>
      <c r="B58" s="648"/>
      <c r="C58" s="648"/>
      <c r="D58" s="648"/>
      <c r="E58" s="648"/>
      <c r="F58" s="648"/>
      <c r="G58" s="647"/>
      <c r="H58" s="647"/>
      <c r="I58" s="647"/>
      <c r="J58" s="713"/>
      <c r="K58" s="713"/>
      <c r="L58" s="713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78">
        <f>VLOOKUP(AI54,'Incrementare indexe'!$B:$I,3,FALSE)</f>
        <v>23298253</v>
      </c>
      <c r="B59" s="679"/>
      <c r="C59" s="679"/>
      <c r="D59" s="679"/>
      <c r="E59" s="679"/>
      <c r="F59" s="680"/>
      <c r="G59" s="647" t="s">
        <v>1088</v>
      </c>
      <c r="H59" s="647"/>
      <c r="I59" s="675"/>
      <c r="J59" s="655">
        <f>'Date masura OD'!$I$5</f>
        <v>45778</v>
      </c>
      <c r="K59" s="656"/>
      <c r="L59" s="657"/>
      <c r="M59" s="720" t="s">
        <v>446</v>
      </c>
      <c r="N59" s="648"/>
      <c r="O59" s="648">
        <f>VLOOKUP(AI54,'Incrementare indexe'!$B:$I,4,FALSE)</f>
        <v>300</v>
      </c>
      <c r="P59" s="648"/>
      <c r="Q59" s="648"/>
      <c r="R59" s="647" t="str">
        <f>VLOOKUP(AI54,'Incrementare indexe'!$B:$I,7,FALSE)&amp;" (citit)"</f>
        <v>0 (citit)</v>
      </c>
      <c r="S59" s="647"/>
      <c r="T59" s="647"/>
      <c r="U59" s="647" t="str">
        <f>VLOOKUP(AI54,'Incrementare indexe'!$B:$I,8,FALSE)&amp;" (citit)"</f>
        <v>162.38 (citit)</v>
      </c>
      <c r="V59" s="647"/>
      <c r="W59" s="647"/>
      <c r="X59" s="647" t="str">
        <f>ROUND(((VLOOKUP(AI54,'Incrementare indexe'!$B:$I,8,FALSE)-VLOOKUP(AI54,'Incrementare indexe'!$B:$I,7,FALSE))*O59),0)&amp;" (citit)"</f>
        <v>48714 (citit)</v>
      </c>
      <c r="Y59" s="647"/>
      <c r="Z59" s="647"/>
      <c r="AA59" s="647" t="s">
        <v>69</v>
      </c>
      <c r="AB59" s="647"/>
      <c r="AC59" s="647"/>
      <c r="AD59" s="647" t="s">
        <v>69</v>
      </c>
      <c r="AE59" s="647"/>
      <c r="AF59" s="647">
        <f>ROUND(((VLOOKUP(AI54,'Incrementare indexe'!$B:$I,8,FALSE)-VLOOKUP(AI54,'Incrementare indexe'!$B:$I,7,FALSE))*O59),0)</f>
        <v>48714</v>
      </c>
      <c r="AG59" s="647"/>
      <c r="AH59" s="647"/>
      <c r="AI59" s="647">
        <f>J61-J59+1</f>
        <v>31</v>
      </c>
      <c r="AJ59" s="647"/>
      <c r="AK59" s="647">
        <f>ROUND(AF59/AI59,2)</f>
        <v>1571.42</v>
      </c>
      <c r="AL59" s="647"/>
      <c r="AM59" s="647"/>
    </row>
    <row r="60" spans="1:39" ht="14.1" customHeight="1">
      <c r="A60" s="717"/>
      <c r="B60" s="718"/>
      <c r="C60" s="718"/>
      <c r="D60" s="718"/>
      <c r="E60" s="718"/>
      <c r="F60" s="719"/>
      <c r="G60" s="647"/>
      <c r="H60" s="647"/>
      <c r="I60" s="675"/>
      <c r="J60" s="717" t="s">
        <v>69</v>
      </c>
      <c r="K60" s="718"/>
      <c r="L60" s="719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1"/>
      <c r="B61" s="682"/>
      <c r="C61" s="682"/>
      <c r="D61" s="682"/>
      <c r="E61" s="682"/>
      <c r="F61" s="683"/>
      <c r="G61" s="647"/>
      <c r="H61" s="647"/>
      <c r="I61" s="675"/>
      <c r="J61" s="714">
        <f>'Date masura OD'!$J$5</f>
        <v>45808</v>
      </c>
      <c r="K61" s="715"/>
      <c r="L61" s="716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78">
        <f>A59</f>
        <v>23298253</v>
      </c>
      <c r="B62" s="679"/>
      <c r="C62" s="679"/>
      <c r="D62" s="679"/>
      <c r="E62" s="679"/>
      <c r="F62" s="680"/>
      <c r="G62" s="648" t="s">
        <v>696</v>
      </c>
      <c r="H62" s="648"/>
      <c r="I62" s="648"/>
      <c r="J62" s="655">
        <f>J59</f>
        <v>45778</v>
      </c>
      <c r="K62" s="656"/>
      <c r="L62" s="657"/>
      <c r="M62" s="648" t="s">
        <v>720</v>
      </c>
      <c r="N62" s="648"/>
      <c r="O62" s="648">
        <f>O59</f>
        <v>300</v>
      </c>
      <c r="P62" s="648"/>
      <c r="Q62" s="648"/>
      <c r="R62" s="647" t="s">
        <v>1089</v>
      </c>
      <c r="S62" s="647"/>
      <c r="T62" s="647"/>
      <c r="U62" s="647" t="s">
        <v>1089</v>
      </c>
      <c r="V62" s="647"/>
      <c r="W62" s="647"/>
      <c r="X62" s="647" t="s">
        <v>1089</v>
      </c>
      <c r="Y62" s="647"/>
      <c r="Z62" s="647"/>
      <c r="AA62" s="647" t="s">
        <v>69</v>
      </c>
      <c r="AB62" s="647"/>
      <c r="AC62" s="647"/>
      <c r="AD62" s="647" t="s">
        <v>69</v>
      </c>
      <c r="AE62" s="647"/>
      <c r="AF62" s="647">
        <v>0</v>
      </c>
      <c r="AG62" s="647"/>
      <c r="AH62" s="647"/>
      <c r="AI62" s="647">
        <f>AI59</f>
        <v>31</v>
      </c>
      <c r="AJ62" s="647"/>
      <c r="AK62" s="647">
        <f>ROUND(AF62/AI62,2)</f>
        <v>0</v>
      </c>
      <c r="AL62" s="647"/>
      <c r="AM62" s="647"/>
    </row>
    <row r="63" spans="1:39" ht="14.1" customHeight="1">
      <c r="A63" s="717"/>
      <c r="B63" s="718"/>
      <c r="C63" s="718"/>
      <c r="D63" s="718"/>
      <c r="E63" s="718"/>
      <c r="F63" s="719"/>
      <c r="G63" s="648"/>
      <c r="H63" s="648"/>
      <c r="I63" s="648"/>
      <c r="J63" s="717" t="str">
        <f>J60</f>
        <v>-</v>
      </c>
      <c r="K63" s="718"/>
      <c r="L63" s="719"/>
      <c r="M63" s="648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1"/>
      <c r="B64" s="682"/>
      <c r="C64" s="682"/>
      <c r="D64" s="682"/>
      <c r="E64" s="682"/>
      <c r="F64" s="683"/>
      <c r="G64" s="648"/>
      <c r="H64" s="648"/>
      <c r="I64" s="648"/>
      <c r="J64" s="714">
        <f>J61</f>
        <v>45808</v>
      </c>
      <c r="K64" s="715"/>
      <c r="L64" s="716"/>
      <c r="M64" s="648"/>
      <c r="N64" s="648"/>
      <c r="O64" s="648"/>
      <c r="P64" s="648"/>
      <c r="Q64" s="648"/>
      <c r="R64" s="647"/>
      <c r="S64" s="647"/>
      <c r="T64" s="647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78">
        <f>A62</f>
        <v>23298253</v>
      </c>
      <c r="B65" s="679"/>
      <c r="C65" s="679"/>
      <c r="D65" s="679"/>
      <c r="E65" s="679"/>
      <c r="F65" s="680"/>
      <c r="G65" s="648" t="s">
        <v>731</v>
      </c>
      <c r="H65" s="648"/>
      <c r="I65" s="648"/>
      <c r="J65" s="655">
        <f t="shared" ref="J65:J67" si="1">J62</f>
        <v>45778</v>
      </c>
      <c r="K65" s="656"/>
      <c r="L65" s="657"/>
      <c r="M65" s="648" t="s">
        <v>720</v>
      </c>
      <c r="N65" s="648"/>
      <c r="O65" s="648">
        <f>O62</f>
        <v>300</v>
      </c>
      <c r="P65" s="648"/>
      <c r="Q65" s="648"/>
      <c r="R65" s="647" t="s">
        <v>1089</v>
      </c>
      <c r="S65" s="647"/>
      <c r="T65" s="647"/>
      <c r="U65" s="647" t="s">
        <v>1089</v>
      </c>
      <c r="V65" s="647"/>
      <c r="W65" s="647"/>
      <c r="X65" s="647" t="s">
        <v>1089</v>
      </c>
      <c r="Y65" s="647"/>
      <c r="Z65" s="647"/>
      <c r="AA65" s="647" t="s">
        <v>69</v>
      </c>
      <c r="AB65" s="647"/>
      <c r="AC65" s="647"/>
      <c r="AD65" s="647" t="s">
        <v>69</v>
      </c>
      <c r="AE65" s="647"/>
      <c r="AF65" s="647">
        <v>0</v>
      </c>
      <c r="AG65" s="647"/>
      <c r="AH65" s="647"/>
      <c r="AI65" s="647">
        <f>AI62</f>
        <v>31</v>
      </c>
      <c r="AJ65" s="647"/>
      <c r="AK65" s="647">
        <f>ROUND(AF65/AI65,2)</f>
        <v>0</v>
      </c>
      <c r="AL65" s="647"/>
      <c r="AM65" s="647"/>
    </row>
    <row r="66" spans="1:39" ht="14.1" customHeight="1">
      <c r="A66" s="717"/>
      <c r="B66" s="718"/>
      <c r="C66" s="718"/>
      <c r="D66" s="718"/>
      <c r="E66" s="718"/>
      <c r="F66" s="719"/>
      <c r="G66" s="648"/>
      <c r="H66" s="648"/>
      <c r="I66" s="648"/>
      <c r="J66" s="717" t="str">
        <f t="shared" si="1"/>
        <v>-</v>
      </c>
      <c r="K66" s="718"/>
      <c r="L66" s="719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81"/>
      <c r="B67" s="682"/>
      <c r="C67" s="682"/>
      <c r="D67" s="682"/>
      <c r="E67" s="682"/>
      <c r="F67" s="683"/>
      <c r="G67" s="648"/>
      <c r="H67" s="648"/>
      <c r="I67" s="648"/>
      <c r="J67" s="714">
        <f t="shared" si="1"/>
        <v>45808</v>
      </c>
      <c r="K67" s="715"/>
      <c r="L67" s="716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196"/>
      <c r="B68" s="196"/>
      <c r="C68" s="196"/>
      <c r="D68" s="196"/>
      <c r="E68" s="196"/>
      <c r="F68" s="196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/>
    <row r="80" spans="1:39">
      <c r="A80" s="649" t="s">
        <v>748</v>
      </c>
      <c r="B80" s="649"/>
      <c r="C80" s="649"/>
      <c r="D80" s="649"/>
      <c r="E80" s="649"/>
      <c r="F80" s="649"/>
      <c r="G80" s="649"/>
      <c r="H80" s="649"/>
      <c r="I80" s="649"/>
      <c r="J80" s="649"/>
      <c r="K80" s="649"/>
      <c r="L80" s="649"/>
      <c r="M80" s="650" t="str">
        <f>VLOOKUP(AI81,'Contorizare in SDI'!$E:$I,4,FALSE)</f>
        <v>59401020000375096971689655/2</v>
      </c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650" t="s">
        <v>695</v>
      </c>
      <c r="AJ80" s="650"/>
      <c r="AK80" s="650"/>
      <c r="AL80" s="650"/>
      <c r="AM80" s="650"/>
    </row>
    <row r="81" spans="1:39" ht="15.95" customHeight="1">
      <c r="A81" s="649" t="s">
        <v>746</v>
      </c>
      <c r="B81" s="649"/>
      <c r="C81" s="649"/>
      <c r="D81" s="649"/>
      <c r="E81" s="649"/>
      <c r="F81" s="649"/>
      <c r="G81" s="649"/>
      <c r="H81" s="649"/>
      <c r="I81" s="649"/>
      <c r="J81" s="649"/>
      <c r="K81" s="649"/>
      <c r="L81" s="649"/>
      <c r="M81" s="650" t="str">
        <f>VLOOKUP(AI81,'Inchidere contur'!$G:$U,15,FALSE)</f>
        <v>JT_SDI</v>
      </c>
      <c r="N81" s="650"/>
      <c r="O81" s="650"/>
      <c r="P81" s="650"/>
      <c r="Q81" s="650"/>
      <c r="R81" s="650"/>
      <c r="S81" s="650"/>
      <c r="T81" s="650"/>
      <c r="U81" s="650"/>
      <c r="V81" s="650"/>
      <c r="W81" s="650"/>
      <c r="X81" s="650"/>
      <c r="Y81" s="650"/>
      <c r="Z81" s="650"/>
      <c r="AA81" s="650"/>
      <c r="AB81" s="650"/>
      <c r="AC81" s="650"/>
      <c r="AD81" s="650"/>
      <c r="AE81" s="650"/>
      <c r="AF81" s="650"/>
      <c r="AG81" s="650"/>
      <c r="AH81" s="650"/>
      <c r="AI81" s="619" t="str">
        <f>_xlfn.CONCAT(AA31,".",2)</f>
        <v>RRPP_1.2</v>
      </c>
      <c r="AJ81" s="619"/>
      <c r="AK81" s="619"/>
      <c r="AL81" s="619"/>
      <c r="AM81" s="619"/>
    </row>
    <row r="82" spans="1:39">
      <c r="A82" s="649" t="s">
        <v>747</v>
      </c>
      <c r="B82" s="649"/>
      <c r="C82" s="649"/>
      <c r="D82" s="649"/>
      <c r="E82" s="649"/>
      <c r="F82" s="649"/>
      <c r="G82" s="649"/>
      <c r="H82" s="649"/>
      <c r="I82" s="649"/>
      <c r="J82" s="649"/>
      <c r="K82" s="649"/>
      <c r="L82" s="649"/>
      <c r="M82" s="650" t="str">
        <f>IF(LEFT(M81,2)="JT","0.4kV",IF(LEFT(M81,2)="MT","20kV","-"))</f>
        <v>0.4kV</v>
      </c>
      <c r="N82" s="650"/>
      <c r="O82" s="650"/>
      <c r="P82" s="650"/>
      <c r="Q82" s="650"/>
      <c r="R82" s="650"/>
      <c r="S82" s="650"/>
      <c r="T82" s="650"/>
      <c r="U82" s="650"/>
      <c r="V82" s="650"/>
      <c r="W82" s="650"/>
      <c r="X82" s="650"/>
      <c r="Y82" s="650"/>
      <c r="Z82" s="650"/>
      <c r="AA82" s="650"/>
      <c r="AB82" s="650"/>
      <c r="AC82" s="650"/>
      <c r="AD82" s="650"/>
      <c r="AE82" s="650"/>
      <c r="AF82" s="650"/>
      <c r="AG82" s="650"/>
      <c r="AH82" s="650"/>
      <c r="AI82" s="619"/>
      <c r="AJ82" s="619"/>
      <c r="AK82" s="619"/>
      <c r="AL82" s="619"/>
      <c r="AM82" s="619"/>
    </row>
    <row r="83" spans="1:39" ht="15.95" customHeight="1">
      <c r="A83" s="648" t="s">
        <v>697</v>
      </c>
      <c r="B83" s="648"/>
      <c r="C83" s="648"/>
      <c r="D83" s="648"/>
      <c r="E83" s="648"/>
      <c r="F83" s="648"/>
      <c r="G83" s="647" t="s">
        <v>713</v>
      </c>
      <c r="H83" s="647"/>
      <c r="I83" s="647"/>
      <c r="J83" s="647" t="s">
        <v>714</v>
      </c>
      <c r="K83" s="647"/>
      <c r="L83" s="647"/>
      <c r="M83" s="648" t="s">
        <v>519</v>
      </c>
      <c r="N83" s="648"/>
      <c r="O83" s="648" t="s">
        <v>715</v>
      </c>
      <c r="P83" s="648"/>
      <c r="Q83" s="648"/>
      <c r="R83" s="647" t="s">
        <v>732</v>
      </c>
      <c r="S83" s="647"/>
      <c r="T83" s="647"/>
      <c r="U83" s="647" t="s">
        <v>734</v>
      </c>
      <c r="V83" s="647"/>
      <c r="W83" s="647"/>
      <c r="X83" s="647" t="s">
        <v>1085</v>
      </c>
      <c r="Y83" s="647"/>
      <c r="Z83" s="647"/>
      <c r="AA83" s="647" t="s">
        <v>1086</v>
      </c>
      <c r="AB83" s="647"/>
      <c r="AC83" s="647"/>
      <c r="AD83" s="647" t="s">
        <v>717</v>
      </c>
      <c r="AE83" s="647"/>
      <c r="AF83" s="647" t="s">
        <v>718</v>
      </c>
      <c r="AG83" s="647"/>
      <c r="AH83" s="647"/>
      <c r="AI83" s="647" t="s">
        <v>719</v>
      </c>
      <c r="AJ83" s="647"/>
      <c r="AK83" s="647" t="s">
        <v>733</v>
      </c>
      <c r="AL83" s="647"/>
      <c r="AM83" s="647"/>
    </row>
    <row r="84" spans="1:39" ht="15.95" customHeight="1">
      <c r="A84" s="648"/>
      <c r="B84" s="648"/>
      <c r="C84" s="648"/>
      <c r="D84" s="648"/>
      <c r="E84" s="648"/>
      <c r="F84" s="648"/>
      <c r="G84" s="647"/>
      <c r="H84" s="647"/>
      <c r="I84" s="647"/>
      <c r="J84" s="647"/>
      <c r="K84" s="647"/>
      <c r="L84" s="647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>
      <c r="A85" s="648"/>
      <c r="B85" s="648"/>
      <c r="C85" s="648"/>
      <c r="D85" s="648"/>
      <c r="E85" s="648"/>
      <c r="F85" s="648"/>
      <c r="G85" s="647"/>
      <c r="H85" s="647"/>
      <c r="I85" s="647"/>
      <c r="J85" s="713"/>
      <c r="K85" s="713"/>
      <c r="L85" s="713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78">
        <f>VLOOKUP(AI81,'Contorizare in SDI'!$E:$I,5,FALSE)</f>
        <v>23298249</v>
      </c>
      <c r="B86" s="679"/>
      <c r="C86" s="679"/>
      <c r="D86" s="679"/>
      <c r="E86" s="679"/>
      <c r="F86" s="680"/>
      <c r="G86" s="648" t="s">
        <v>730</v>
      </c>
      <c r="H86" s="648"/>
      <c r="I86" s="673"/>
      <c r="J86" s="655">
        <f>'Date masura OD'!$I$5</f>
        <v>45778</v>
      </c>
      <c r="K86" s="656"/>
      <c r="L86" s="657"/>
      <c r="M86" s="720" t="s">
        <v>446</v>
      </c>
      <c r="N86" s="648"/>
      <c r="O86" s="648">
        <v>500</v>
      </c>
      <c r="P86" s="648"/>
      <c r="Q86" s="648"/>
      <c r="R86" s="647" t="str">
        <f>VLOOKUP(A86,'Incrementare indexe'!$D:$M,3,FALSE)&amp;" (citit)"</f>
        <v>131.224 (citit)</v>
      </c>
      <c r="S86" s="647"/>
      <c r="T86" s="647"/>
      <c r="U86" s="647" t="str">
        <f>VLOOKUP(A86,'Incrementare indexe'!$D:$M,4,FALSE)&amp;" (citit)"</f>
        <v>261.574 (citit)</v>
      </c>
      <c r="V86" s="647"/>
      <c r="W86" s="647"/>
      <c r="X86" s="647" t="str">
        <f>VLOOKUP(A86,'Incrementare indexe'!$D:$Q,11,FALSE)&amp;" (citit)"</f>
        <v>65175 (citit)</v>
      </c>
      <c r="Y86" s="647"/>
      <c r="Z86" s="647"/>
      <c r="AA86" s="647" t="s">
        <v>69</v>
      </c>
      <c r="AB86" s="647"/>
      <c r="AC86" s="647"/>
      <c r="AD86" s="647" t="s">
        <v>69</v>
      </c>
      <c r="AE86" s="647"/>
      <c r="AF86" s="647">
        <f>VLOOKUP(A86,'Incrementare indexe'!$D:$Q,11,FALSE)</f>
        <v>65175</v>
      </c>
      <c r="AG86" s="647"/>
      <c r="AH86" s="647"/>
      <c r="AI86" s="647">
        <f>J88-J86+1</f>
        <v>31</v>
      </c>
      <c r="AJ86" s="647"/>
      <c r="AK86" s="647">
        <f>ROUND(AF86/AI86,2)</f>
        <v>2102.42</v>
      </c>
      <c r="AL86" s="647"/>
      <c r="AM86" s="647"/>
    </row>
    <row r="87" spans="1:39" ht="8.4499999999999993" customHeight="1">
      <c r="A87" s="717"/>
      <c r="B87" s="718"/>
      <c r="C87" s="718"/>
      <c r="D87" s="718"/>
      <c r="E87" s="718"/>
      <c r="F87" s="719"/>
      <c r="G87" s="648"/>
      <c r="H87" s="648"/>
      <c r="I87" s="673"/>
      <c r="J87" s="717" t="s">
        <v>69</v>
      </c>
      <c r="K87" s="718"/>
      <c r="L87" s="719"/>
      <c r="M87" s="720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81"/>
      <c r="B88" s="682"/>
      <c r="C88" s="682"/>
      <c r="D88" s="682"/>
      <c r="E88" s="682"/>
      <c r="F88" s="683"/>
      <c r="G88" s="648"/>
      <c r="H88" s="648"/>
      <c r="I88" s="673"/>
      <c r="J88" s="714">
        <f>'Date masura OD'!$J$5</f>
        <v>45808</v>
      </c>
      <c r="K88" s="715"/>
      <c r="L88" s="716"/>
      <c r="M88" s="720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78">
        <f>A86</f>
        <v>23298249</v>
      </c>
      <c r="B89" s="679"/>
      <c r="C89" s="679"/>
      <c r="D89" s="679"/>
      <c r="E89" s="679"/>
      <c r="F89" s="680"/>
      <c r="G89" s="648" t="s">
        <v>696</v>
      </c>
      <c r="H89" s="648"/>
      <c r="I89" s="648"/>
      <c r="J89" s="655">
        <f t="shared" ref="J89:J94" si="2">J86</f>
        <v>45778</v>
      </c>
      <c r="K89" s="656"/>
      <c r="L89" s="657"/>
      <c r="M89" s="648" t="s">
        <v>720</v>
      </c>
      <c r="N89" s="648"/>
      <c r="O89" s="648">
        <f>O86</f>
        <v>500</v>
      </c>
      <c r="P89" s="648"/>
      <c r="Q89" s="648"/>
      <c r="R89" s="647" t="str">
        <f>VLOOKUP(A89,'Incrementare indexe'!$D:$M,7,FALSE)&amp;" (estimat)"</f>
        <v>0 (estimat)</v>
      </c>
      <c r="S89" s="647"/>
      <c r="T89" s="647"/>
      <c r="U89" s="647" t="str">
        <f>VLOOKUP(A89,'Incrementare indexe'!$D:$M,8,FALSE)&amp;" (estimat)"</f>
        <v>0 (estimat)</v>
      </c>
      <c r="V89" s="647"/>
      <c r="W89" s="647"/>
      <c r="X89" s="647" t="str">
        <f>VLOOKUP(A89,'Incrementare indexe'!$D:$Q,12,FALSE)&amp;" (estimat)"</f>
        <v>0 (estimat)</v>
      </c>
      <c r="Y89" s="647"/>
      <c r="Z89" s="647"/>
      <c r="AA89" s="647" t="s">
        <v>69</v>
      </c>
      <c r="AB89" s="647"/>
      <c r="AC89" s="647"/>
      <c r="AD89" s="647" t="s">
        <v>69</v>
      </c>
      <c r="AE89" s="647"/>
      <c r="AF89" s="647">
        <f>VLOOKUP(A89,'Incrementare indexe'!$D:$Q,12,FALSE)</f>
        <v>0</v>
      </c>
      <c r="AG89" s="647"/>
      <c r="AH89" s="647"/>
      <c r="AI89" s="647">
        <f>AI86</f>
        <v>31</v>
      </c>
      <c r="AJ89" s="647"/>
      <c r="AK89" s="647">
        <f>ROUND(AF89/AI89,2)</f>
        <v>0</v>
      </c>
      <c r="AL89" s="647"/>
      <c r="AM89" s="647"/>
    </row>
    <row r="90" spans="1:39" ht="8.4499999999999993" customHeight="1">
      <c r="A90" s="717"/>
      <c r="B90" s="718"/>
      <c r="C90" s="718"/>
      <c r="D90" s="718"/>
      <c r="E90" s="718"/>
      <c r="F90" s="719"/>
      <c r="G90" s="648"/>
      <c r="H90" s="648"/>
      <c r="I90" s="648"/>
      <c r="J90" s="717" t="str">
        <f t="shared" si="2"/>
        <v>-</v>
      </c>
      <c r="K90" s="718"/>
      <c r="L90" s="719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1"/>
      <c r="B91" s="682"/>
      <c r="C91" s="682"/>
      <c r="D91" s="682"/>
      <c r="E91" s="682"/>
      <c r="F91" s="683"/>
      <c r="G91" s="648"/>
      <c r="H91" s="648"/>
      <c r="I91" s="648"/>
      <c r="J91" s="714">
        <f t="shared" si="2"/>
        <v>45808</v>
      </c>
      <c r="K91" s="715"/>
      <c r="L91" s="716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78">
        <f>A89</f>
        <v>23298249</v>
      </c>
      <c r="B92" s="679"/>
      <c r="C92" s="679"/>
      <c r="D92" s="679"/>
      <c r="E92" s="679"/>
      <c r="F92" s="680"/>
      <c r="G92" s="648" t="s">
        <v>731</v>
      </c>
      <c r="H92" s="648"/>
      <c r="I92" s="648"/>
      <c r="J92" s="655">
        <f t="shared" si="2"/>
        <v>45778</v>
      </c>
      <c r="K92" s="656"/>
      <c r="L92" s="657"/>
      <c r="M92" s="648" t="s">
        <v>720</v>
      </c>
      <c r="N92" s="648"/>
      <c r="O92" s="648">
        <f>O89</f>
        <v>500</v>
      </c>
      <c r="P92" s="648"/>
      <c r="Q92" s="648"/>
      <c r="R92" s="647" t="str">
        <f>VLOOKUP(A92,'Incrementare indexe'!$D:$M,9,FALSE)&amp;" (estimat)"</f>
        <v>17145 (estimat)</v>
      </c>
      <c r="S92" s="647"/>
      <c r="T92" s="647"/>
      <c r="U92" s="647" t="str">
        <f>VLOOKUP(A92,'Incrementare indexe'!$D:$M,10,FALSE)&amp;" (estimat)"</f>
        <v>17145 (estimat)</v>
      </c>
      <c r="V92" s="647"/>
      <c r="W92" s="647"/>
      <c r="X92" s="647" t="str">
        <f>VLOOKUP(A92,'Incrementare indexe'!$D:$Q,13,FALSE)&amp;" (estimat)"</f>
        <v>0 (estimat)</v>
      </c>
      <c r="Y92" s="647"/>
      <c r="Z92" s="647"/>
      <c r="AA92" s="647" t="s">
        <v>69</v>
      </c>
      <c r="AB92" s="647"/>
      <c r="AC92" s="647"/>
      <c r="AD92" s="647" t="s">
        <v>69</v>
      </c>
      <c r="AE92" s="647"/>
      <c r="AF92" s="647">
        <f>VLOOKUP(A92,'Incrementare indexe'!$D:$Q,13,FALSE)</f>
        <v>0</v>
      </c>
      <c r="AG92" s="647"/>
      <c r="AH92" s="647"/>
      <c r="AI92" s="647">
        <f>AI89</f>
        <v>31</v>
      </c>
      <c r="AJ92" s="647"/>
      <c r="AK92" s="647">
        <f>ROUND(AF92/AI92,2)</f>
        <v>0</v>
      </c>
      <c r="AL92" s="647"/>
      <c r="AM92" s="647"/>
    </row>
    <row r="93" spans="1:39" ht="8.4499999999999993" customHeight="1">
      <c r="A93" s="717"/>
      <c r="B93" s="718"/>
      <c r="C93" s="718"/>
      <c r="D93" s="718"/>
      <c r="E93" s="718"/>
      <c r="F93" s="719"/>
      <c r="G93" s="648"/>
      <c r="H93" s="648"/>
      <c r="I93" s="648"/>
      <c r="J93" s="717" t="str">
        <f t="shared" si="2"/>
        <v>-</v>
      </c>
      <c r="K93" s="718"/>
      <c r="L93" s="719"/>
      <c r="M93" s="648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1"/>
      <c r="B94" s="682"/>
      <c r="C94" s="682"/>
      <c r="D94" s="682"/>
      <c r="E94" s="682"/>
      <c r="F94" s="683"/>
      <c r="G94" s="648"/>
      <c r="H94" s="648"/>
      <c r="I94" s="648"/>
      <c r="J94" s="714">
        <f t="shared" si="2"/>
        <v>45808</v>
      </c>
      <c r="K94" s="715"/>
      <c r="L94" s="716"/>
      <c r="M94" s="648"/>
      <c r="N94" s="648"/>
      <c r="O94" s="648"/>
      <c r="P94" s="648"/>
      <c r="Q94" s="648"/>
      <c r="R94" s="647"/>
      <c r="S94" s="647"/>
      <c r="T94" s="647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78">
        <v>23298246</v>
      </c>
      <c r="B95" s="679"/>
      <c r="C95" s="679"/>
      <c r="D95" s="679"/>
      <c r="E95" s="679"/>
      <c r="F95" s="680"/>
      <c r="G95" s="647" t="s">
        <v>1443</v>
      </c>
      <c r="H95" s="647"/>
      <c r="I95" s="647"/>
      <c r="J95" s="655">
        <f>'Date masura OD'!$I$5</f>
        <v>45778</v>
      </c>
      <c r="K95" s="656"/>
      <c r="L95" s="657"/>
      <c r="M95" s="720" t="s">
        <v>446</v>
      </c>
      <c r="N95" s="648"/>
      <c r="O95" s="648">
        <v>500</v>
      </c>
      <c r="P95" s="648"/>
      <c r="Q95" s="648"/>
      <c r="R95" s="647">
        <f>VLOOKUP(A95,'Date masura SDI'!A:E,4,0)</f>
        <v>0</v>
      </c>
      <c r="S95" s="647"/>
      <c r="T95" s="647"/>
      <c r="U95" s="647">
        <f>VLOOKUP(A95,'Date masura SDI'!A:E,5,0)</f>
        <v>0.41399999999999998</v>
      </c>
      <c r="V95" s="647"/>
      <c r="W95" s="647"/>
      <c r="X95" s="647">
        <f>ROUND((U95-R95)*O95,0)</f>
        <v>207</v>
      </c>
      <c r="Y95" s="647"/>
      <c r="Z95" s="647"/>
      <c r="AA95" s="647" t="s">
        <v>69</v>
      </c>
      <c r="AB95" s="647"/>
      <c r="AC95" s="647"/>
      <c r="AD95" s="647" t="s">
        <v>69</v>
      </c>
      <c r="AE95" s="647"/>
      <c r="AF95" s="647">
        <f>X95</f>
        <v>207</v>
      </c>
      <c r="AG95" s="647"/>
      <c r="AH95" s="647"/>
      <c r="AI95" s="647">
        <f>AI105</f>
        <v>31</v>
      </c>
      <c r="AJ95" s="647"/>
      <c r="AK95" s="647">
        <f>ROUND(AF95/AI95,2)</f>
        <v>6.68</v>
      </c>
      <c r="AL95" s="647"/>
      <c r="AM95" s="647"/>
    </row>
    <row r="96" spans="1:39" ht="14.1" customHeight="1">
      <c r="A96" s="717"/>
      <c r="B96" s="718"/>
      <c r="C96" s="718"/>
      <c r="D96" s="718"/>
      <c r="E96" s="718"/>
      <c r="F96" s="719"/>
      <c r="G96" s="647"/>
      <c r="H96" s="647"/>
      <c r="I96" s="647"/>
      <c r="J96" s="717" t="s">
        <v>69</v>
      </c>
      <c r="K96" s="718"/>
      <c r="L96" s="719"/>
      <c r="M96" s="720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1"/>
      <c r="B97" s="682"/>
      <c r="C97" s="682"/>
      <c r="D97" s="682"/>
      <c r="E97" s="682"/>
      <c r="F97" s="683"/>
      <c r="G97" s="647"/>
      <c r="H97" s="647"/>
      <c r="I97" s="647"/>
      <c r="J97" s="714">
        <f>'Date masura OD'!$J$5</f>
        <v>45808</v>
      </c>
      <c r="K97" s="715"/>
      <c r="L97" s="716"/>
      <c r="M97" s="720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551"/>
      <c r="B98" s="552"/>
      <c r="C98" s="552"/>
      <c r="D98" s="552"/>
      <c r="E98" s="552"/>
      <c r="F98" s="552"/>
      <c r="G98" s="553"/>
      <c r="H98" s="553"/>
      <c r="I98" s="553"/>
      <c r="J98" s="556"/>
      <c r="K98" s="556"/>
      <c r="L98" s="556"/>
      <c r="M98" s="553"/>
      <c r="N98" s="553"/>
      <c r="O98" s="553"/>
      <c r="P98" s="553"/>
      <c r="Q98" s="553"/>
      <c r="R98" s="554"/>
      <c r="S98" s="554"/>
      <c r="T98" s="554"/>
      <c r="U98" s="554"/>
      <c r="V98" s="554"/>
      <c r="W98" s="554"/>
      <c r="X98" s="554"/>
      <c r="Y98" s="554"/>
      <c r="Z98" s="554"/>
      <c r="AA98" s="554"/>
      <c r="AB98" s="554"/>
      <c r="AC98" s="554"/>
      <c r="AD98" s="554"/>
      <c r="AE98" s="554"/>
      <c r="AF98" s="554"/>
      <c r="AG98" s="554"/>
      <c r="AH98" s="555"/>
      <c r="AI98" s="66"/>
      <c r="AJ98" s="66"/>
      <c r="AK98" s="66"/>
      <c r="AL98" s="66"/>
      <c r="AM98" s="66"/>
    </row>
    <row r="99" spans="1:39" ht="14.1" customHeight="1">
      <c r="A99" s="721" t="s">
        <v>1196</v>
      </c>
      <c r="B99" s="722"/>
      <c r="C99" s="722"/>
      <c r="D99" s="722"/>
      <c r="E99" s="722"/>
      <c r="F99" s="722"/>
      <c r="G99" s="722"/>
      <c r="H99" s="722"/>
      <c r="I99" s="722"/>
      <c r="J99" s="722"/>
      <c r="K99" s="722"/>
      <c r="L99" s="722"/>
      <c r="M99" s="722"/>
      <c r="N99" s="722"/>
      <c r="O99" s="722"/>
      <c r="P99" s="722"/>
      <c r="Q99" s="722"/>
      <c r="R99" s="722"/>
      <c r="S99" s="722"/>
      <c r="T99" s="722"/>
      <c r="U99" s="722"/>
      <c r="V99" s="722"/>
      <c r="W99" s="722"/>
      <c r="X99" s="722"/>
      <c r="Y99" s="722"/>
      <c r="Z99" s="722"/>
      <c r="AA99" s="722"/>
      <c r="AB99" s="722"/>
      <c r="AC99" s="722"/>
      <c r="AD99" s="722"/>
      <c r="AE99" s="722"/>
      <c r="AF99" s="722"/>
      <c r="AG99" s="722"/>
      <c r="AH99" s="723"/>
      <c r="AI99" s="650" t="s">
        <v>695</v>
      </c>
      <c r="AJ99" s="650"/>
      <c r="AK99" s="650"/>
      <c r="AL99" s="650"/>
      <c r="AM99" s="650"/>
    </row>
    <row r="100" spans="1:39" ht="14.1" customHeight="1">
      <c r="A100" s="649" t="s">
        <v>746</v>
      </c>
      <c r="B100" s="649"/>
      <c r="C100" s="649"/>
      <c r="D100" s="649"/>
      <c r="E100" s="649"/>
      <c r="F100" s="649"/>
      <c r="G100" s="649"/>
      <c r="H100" s="649"/>
      <c r="I100" s="649"/>
      <c r="J100" s="649"/>
      <c r="K100" s="649"/>
      <c r="L100" s="649"/>
      <c r="M100" s="650" t="s">
        <v>514</v>
      </c>
      <c r="N100" s="650"/>
      <c r="O100" s="650"/>
      <c r="P100" s="650"/>
      <c r="Q100" s="650"/>
      <c r="R100" s="650"/>
      <c r="S100" s="650"/>
      <c r="T100" s="650"/>
      <c r="U100" s="650"/>
      <c r="V100" s="650"/>
      <c r="W100" s="650"/>
      <c r="X100" s="650"/>
      <c r="Y100" s="650"/>
      <c r="Z100" s="650"/>
      <c r="AA100" s="650"/>
      <c r="AB100" s="650"/>
      <c r="AC100" s="650"/>
      <c r="AD100" s="650"/>
      <c r="AE100" s="650"/>
      <c r="AF100" s="650"/>
      <c r="AG100" s="650"/>
      <c r="AH100" s="650"/>
      <c r="AI100" s="619" t="str">
        <f>_xlfn.CONCAT(AI81,"/PV")</f>
        <v>RRPP_1.2/PV</v>
      </c>
      <c r="AJ100" s="619"/>
      <c r="AK100" s="619"/>
      <c r="AL100" s="619"/>
      <c r="AM100" s="619"/>
    </row>
    <row r="101" spans="1:39" ht="14.1" customHeight="1">
      <c r="A101" s="649" t="s">
        <v>747</v>
      </c>
      <c r="B101" s="649"/>
      <c r="C101" s="649"/>
      <c r="D101" s="649"/>
      <c r="E101" s="649"/>
      <c r="F101" s="649"/>
      <c r="G101" s="649"/>
      <c r="H101" s="649"/>
      <c r="I101" s="649"/>
      <c r="J101" s="649"/>
      <c r="K101" s="649"/>
      <c r="L101" s="649"/>
      <c r="M101" s="650" t="s">
        <v>1087</v>
      </c>
      <c r="N101" s="650"/>
      <c r="O101" s="650"/>
      <c r="P101" s="650"/>
      <c r="Q101" s="650"/>
      <c r="R101" s="650"/>
      <c r="S101" s="650"/>
      <c r="T101" s="650"/>
      <c r="U101" s="650"/>
      <c r="V101" s="650"/>
      <c r="W101" s="650"/>
      <c r="X101" s="650"/>
      <c r="Y101" s="650"/>
      <c r="Z101" s="650"/>
      <c r="AA101" s="650"/>
      <c r="AB101" s="650"/>
      <c r="AC101" s="650"/>
      <c r="AD101" s="650"/>
      <c r="AE101" s="650"/>
      <c r="AF101" s="650"/>
      <c r="AG101" s="650"/>
      <c r="AH101" s="650"/>
      <c r="AI101" s="619"/>
      <c r="AJ101" s="619"/>
      <c r="AK101" s="619"/>
      <c r="AL101" s="619"/>
      <c r="AM101" s="619"/>
    </row>
    <row r="102" spans="1:39" ht="14.1" customHeight="1">
      <c r="A102" s="648" t="s">
        <v>697</v>
      </c>
      <c r="B102" s="648"/>
      <c r="C102" s="648"/>
      <c r="D102" s="648"/>
      <c r="E102" s="648"/>
      <c r="F102" s="648"/>
      <c r="G102" s="647" t="s">
        <v>713</v>
      </c>
      <c r="H102" s="647"/>
      <c r="I102" s="647"/>
      <c r="J102" s="647" t="s">
        <v>714</v>
      </c>
      <c r="K102" s="647"/>
      <c r="L102" s="647"/>
      <c r="M102" s="648" t="s">
        <v>519</v>
      </c>
      <c r="N102" s="648"/>
      <c r="O102" s="648" t="s">
        <v>715</v>
      </c>
      <c r="P102" s="648"/>
      <c r="Q102" s="648"/>
      <c r="R102" s="647" t="s">
        <v>732</v>
      </c>
      <c r="S102" s="647"/>
      <c r="T102" s="647"/>
      <c r="U102" s="647" t="s">
        <v>734</v>
      </c>
      <c r="V102" s="647"/>
      <c r="W102" s="647"/>
      <c r="X102" s="647" t="s">
        <v>1085</v>
      </c>
      <c r="Y102" s="647"/>
      <c r="Z102" s="647"/>
      <c r="AA102" s="647" t="s">
        <v>1086</v>
      </c>
      <c r="AB102" s="647"/>
      <c r="AC102" s="647"/>
      <c r="AD102" s="647" t="s">
        <v>717</v>
      </c>
      <c r="AE102" s="647"/>
      <c r="AF102" s="647" t="s">
        <v>718</v>
      </c>
      <c r="AG102" s="647"/>
      <c r="AH102" s="647"/>
      <c r="AI102" s="647" t="s">
        <v>719</v>
      </c>
      <c r="AJ102" s="647"/>
      <c r="AK102" s="647" t="s">
        <v>733</v>
      </c>
      <c r="AL102" s="647"/>
      <c r="AM102" s="647"/>
    </row>
    <row r="103" spans="1:39" ht="14.1" customHeight="1">
      <c r="A103" s="648"/>
      <c r="B103" s="648"/>
      <c r="C103" s="648"/>
      <c r="D103" s="648"/>
      <c r="E103" s="648"/>
      <c r="F103" s="648"/>
      <c r="G103" s="647"/>
      <c r="H103" s="647"/>
      <c r="I103" s="647"/>
      <c r="J103" s="647"/>
      <c r="K103" s="647"/>
      <c r="L103" s="647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48"/>
      <c r="B104" s="648"/>
      <c r="C104" s="648"/>
      <c r="D104" s="648"/>
      <c r="E104" s="648"/>
      <c r="F104" s="648"/>
      <c r="G104" s="647"/>
      <c r="H104" s="647"/>
      <c r="I104" s="647"/>
      <c r="J104" s="713"/>
      <c r="K104" s="713"/>
      <c r="L104" s="713"/>
      <c r="M104" s="648"/>
      <c r="N104" s="648"/>
      <c r="O104" s="648"/>
      <c r="P104" s="648"/>
      <c r="Q104" s="648"/>
      <c r="R104" s="647"/>
      <c r="S104" s="647"/>
      <c r="T104" s="647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78">
        <f>VLOOKUP(AI100,'Incrementare indexe'!$B:$I,3,FALSE)</f>
        <v>23298248</v>
      </c>
      <c r="B105" s="679"/>
      <c r="C105" s="679"/>
      <c r="D105" s="679"/>
      <c r="E105" s="679"/>
      <c r="F105" s="680"/>
      <c r="G105" s="647" t="s">
        <v>1088</v>
      </c>
      <c r="H105" s="647"/>
      <c r="I105" s="675"/>
      <c r="J105" s="655">
        <f>'Date masura OD'!$I$5</f>
        <v>45778</v>
      </c>
      <c r="K105" s="656"/>
      <c r="L105" s="657"/>
      <c r="M105" s="720" t="s">
        <v>446</v>
      </c>
      <c r="N105" s="648"/>
      <c r="O105" s="648">
        <f>VLOOKUP(AI100,'Incrementare indexe'!$B:$I,4,FALSE)</f>
        <v>160</v>
      </c>
      <c r="P105" s="648"/>
      <c r="Q105" s="648"/>
      <c r="R105" s="647" t="str">
        <f>VLOOKUP(AI100,'Incrementare indexe'!$B:$I,7,FALSE)&amp;" (citit)"</f>
        <v>0 (citit)</v>
      </c>
      <c r="S105" s="647"/>
      <c r="T105" s="647"/>
      <c r="U105" s="647" t="str">
        <f>VLOOKUP(AI100,'Incrementare indexe'!$B:$I,8,FALSE)&amp;" (citit)"</f>
        <v>243.263 (citit)</v>
      </c>
      <c r="V105" s="647"/>
      <c r="W105" s="647"/>
      <c r="X105" s="647" t="str">
        <f>ROUND(((VLOOKUP(AI100,'Incrementare indexe'!$B:$I,8,FALSE)-VLOOKUP(AI100,'Incrementare indexe'!$B:$I,7,FALSE))*O105),0)&amp;" (citit)"</f>
        <v>38922 (citit)</v>
      </c>
      <c r="Y105" s="647"/>
      <c r="Z105" s="647"/>
      <c r="AA105" s="647" t="s">
        <v>69</v>
      </c>
      <c r="AB105" s="647"/>
      <c r="AC105" s="647"/>
      <c r="AD105" s="647" t="s">
        <v>69</v>
      </c>
      <c r="AE105" s="647"/>
      <c r="AF105" s="647">
        <f>ROUND(((VLOOKUP(AI100,'Incrementare indexe'!$B:$I,8,FALSE)-VLOOKUP(AI100,'Incrementare indexe'!$B:$I,7,FALSE))*O105),0)</f>
        <v>38922</v>
      </c>
      <c r="AG105" s="647"/>
      <c r="AH105" s="647"/>
      <c r="AI105" s="647">
        <f>J107-J105+1</f>
        <v>31</v>
      </c>
      <c r="AJ105" s="647"/>
      <c r="AK105" s="647">
        <f>ROUND(AF105/AI105,2)</f>
        <v>1255.55</v>
      </c>
      <c r="AL105" s="647"/>
      <c r="AM105" s="647"/>
    </row>
    <row r="106" spans="1:39" ht="14.1" customHeight="1">
      <c r="A106" s="717"/>
      <c r="B106" s="718"/>
      <c r="C106" s="718"/>
      <c r="D106" s="718"/>
      <c r="E106" s="718"/>
      <c r="F106" s="719"/>
      <c r="G106" s="647"/>
      <c r="H106" s="647"/>
      <c r="I106" s="675"/>
      <c r="J106" s="717" t="s">
        <v>69</v>
      </c>
      <c r="K106" s="718"/>
      <c r="L106" s="719"/>
      <c r="M106" s="720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1"/>
      <c r="B107" s="682"/>
      <c r="C107" s="682"/>
      <c r="D107" s="682"/>
      <c r="E107" s="682"/>
      <c r="F107" s="683"/>
      <c r="G107" s="647"/>
      <c r="H107" s="647"/>
      <c r="I107" s="675"/>
      <c r="J107" s="714">
        <f>'Date masura OD'!$J$5</f>
        <v>45808</v>
      </c>
      <c r="K107" s="715"/>
      <c r="L107" s="716"/>
      <c r="M107" s="720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78">
        <f>A105</f>
        <v>23298248</v>
      </c>
      <c r="B108" s="679"/>
      <c r="C108" s="679"/>
      <c r="D108" s="679"/>
      <c r="E108" s="679"/>
      <c r="F108" s="680"/>
      <c r="G108" s="648" t="s">
        <v>696</v>
      </c>
      <c r="H108" s="648"/>
      <c r="I108" s="648"/>
      <c r="J108" s="655">
        <f>J105</f>
        <v>45778</v>
      </c>
      <c r="K108" s="656"/>
      <c r="L108" s="657"/>
      <c r="M108" s="648" t="s">
        <v>720</v>
      </c>
      <c r="N108" s="648"/>
      <c r="O108" s="648">
        <f>O105</f>
        <v>160</v>
      </c>
      <c r="P108" s="648"/>
      <c r="Q108" s="648"/>
      <c r="R108" s="647" t="s">
        <v>1089</v>
      </c>
      <c r="S108" s="647"/>
      <c r="T108" s="647"/>
      <c r="U108" s="647" t="s">
        <v>1089</v>
      </c>
      <c r="V108" s="647"/>
      <c r="W108" s="647"/>
      <c r="X108" s="647" t="s">
        <v>1089</v>
      </c>
      <c r="Y108" s="647"/>
      <c r="Z108" s="647"/>
      <c r="AA108" s="647" t="s">
        <v>69</v>
      </c>
      <c r="AB108" s="647"/>
      <c r="AC108" s="647"/>
      <c r="AD108" s="647" t="s">
        <v>69</v>
      </c>
      <c r="AE108" s="647"/>
      <c r="AF108" s="647">
        <v>0</v>
      </c>
      <c r="AG108" s="647"/>
      <c r="AH108" s="647"/>
      <c r="AI108" s="647">
        <f>AI105</f>
        <v>31</v>
      </c>
      <c r="AJ108" s="647"/>
      <c r="AK108" s="647">
        <f>ROUND(AF108/AI108,2)</f>
        <v>0</v>
      </c>
      <c r="AL108" s="647"/>
      <c r="AM108" s="647"/>
    </row>
    <row r="109" spans="1:39" ht="14.1" customHeight="1">
      <c r="A109" s="717"/>
      <c r="B109" s="718"/>
      <c r="C109" s="718"/>
      <c r="D109" s="718"/>
      <c r="E109" s="718"/>
      <c r="F109" s="719"/>
      <c r="G109" s="648"/>
      <c r="H109" s="648"/>
      <c r="I109" s="648"/>
      <c r="J109" s="717" t="str">
        <f>J106</f>
        <v>-</v>
      </c>
      <c r="K109" s="718"/>
      <c r="L109" s="719"/>
      <c r="M109" s="648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1"/>
      <c r="B110" s="682"/>
      <c r="C110" s="682"/>
      <c r="D110" s="682"/>
      <c r="E110" s="682"/>
      <c r="F110" s="683"/>
      <c r="G110" s="648"/>
      <c r="H110" s="648"/>
      <c r="I110" s="648"/>
      <c r="J110" s="714">
        <f>J107</f>
        <v>45808</v>
      </c>
      <c r="K110" s="715"/>
      <c r="L110" s="716"/>
      <c r="M110" s="648"/>
      <c r="N110" s="648"/>
      <c r="O110" s="648"/>
      <c r="P110" s="648"/>
      <c r="Q110" s="648"/>
      <c r="R110" s="647"/>
      <c r="S110" s="647"/>
      <c r="T110" s="647"/>
      <c r="U110" s="647"/>
      <c r="V110" s="647"/>
      <c r="W110" s="647"/>
      <c r="X110" s="647"/>
      <c r="Y110" s="647"/>
      <c r="Z110" s="647"/>
      <c r="AA110" s="647"/>
      <c r="AB110" s="647"/>
      <c r="AC110" s="647"/>
      <c r="AD110" s="647"/>
      <c r="AE110" s="647"/>
      <c r="AF110" s="647"/>
      <c r="AG110" s="647"/>
      <c r="AH110" s="647"/>
      <c r="AI110" s="647"/>
      <c r="AJ110" s="647"/>
      <c r="AK110" s="647"/>
      <c r="AL110" s="647"/>
      <c r="AM110" s="647"/>
    </row>
    <row r="111" spans="1:39" ht="14.1" customHeight="1">
      <c r="A111" s="678">
        <f>A108</f>
        <v>23298248</v>
      </c>
      <c r="B111" s="679"/>
      <c r="C111" s="679"/>
      <c r="D111" s="679"/>
      <c r="E111" s="679"/>
      <c r="F111" s="680"/>
      <c r="G111" s="648" t="s">
        <v>731</v>
      </c>
      <c r="H111" s="648"/>
      <c r="I111" s="648"/>
      <c r="J111" s="655">
        <f t="shared" ref="J111:J113" si="3">J108</f>
        <v>45778</v>
      </c>
      <c r="K111" s="656"/>
      <c r="L111" s="657"/>
      <c r="M111" s="648" t="s">
        <v>720</v>
      </c>
      <c r="N111" s="648"/>
      <c r="O111" s="648">
        <f>O108</f>
        <v>160</v>
      </c>
      <c r="P111" s="648"/>
      <c r="Q111" s="648"/>
      <c r="R111" s="647" t="s">
        <v>1089</v>
      </c>
      <c r="S111" s="647"/>
      <c r="T111" s="647"/>
      <c r="U111" s="647" t="s">
        <v>1089</v>
      </c>
      <c r="V111" s="647"/>
      <c r="W111" s="647"/>
      <c r="X111" s="647" t="s">
        <v>1089</v>
      </c>
      <c r="Y111" s="647"/>
      <c r="Z111" s="647"/>
      <c r="AA111" s="647" t="s">
        <v>69</v>
      </c>
      <c r="AB111" s="647"/>
      <c r="AC111" s="647"/>
      <c r="AD111" s="647" t="s">
        <v>69</v>
      </c>
      <c r="AE111" s="647"/>
      <c r="AF111" s="647">
        <v>0</v>
      </c>
      <c r="AG111" s="647"/>
      <c r="AH111" s="647"/>
      <c r="AI111" s="647">
        <f>AI108</f>
        <v>31</v>
      </c>
      <c r="AJ111" s="647"/>
      <c r="AK111" s="647">
        <f>ROUND(AF111/AI111,2)</f>
        <v>0</v>
      </c>
      <c r="AL111" s="647"/>
      <c r="AM111" s="647"/>
    </row>
    <row r="112" spans="1:39" ht="14.1" customHeight="1">
      <c r="A112" s="717"/>
      <c r="B112" s="718"/>
      <c r="C112" s="718"/>
      <c r="D112" s="718"/>
      <c r="E112" s="718"/>
      <c r="F112" s="719"/>
      <c r="G112" s="648"/>
      <c r="H112" s="648"/>
      <c r="I112" s="648"/>
      <c r="J112" s="717" t="str">
        <f t="shared" si="3"/>
        <v>-</v>
      </c>
      <c r="K112" s="718"/>
      <c r="L112" s="719"/>
      <c r="M112" s="648"/>
      <c r="N112" s="648"/>
      <c r="O112" s="648"/>
      <c r="P112" s="648"/>
      <c r="Q112" s="648"/>
      <c r="R112" s="647"/>
      <c r="S112" s="647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1"/>
      <c r="B113" s="682"/>
      <c r="C113" s="682"/>
      <c r="D113" s="682"/>
      <c r="E113" s="682"/>
      <c r="F113" s="683"/>
      <c r="G113" s="648"/>
      <c r="H113" s="648"/>
      <c r="I113" s="648"/>
      <c r="J113" s="714">
        <f t="shared" si="3"/>
        <v>45808</v>
      </c>
      <c r="K113" s="715"/>
      <c r="L113" s="716"/>
      <c r="M113" s="648"/>
      <c r="N113" s="648"/>
      <c r="O113" s="648"/>
      <c r="P113" s="648"/>
      <c r="Q113" s="648"/>
      <c r="R113" s="647"/>
      <c r="S113" s="647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7"/>
      <c r="AL113" s="647"/>
      <c r="AM113" s="647"/>
    </row>
    <row r="114" spans="1:39" ht="14.1" customHeight="1"/>
    <row r="115" spans="1:39" ht="14.1" customHeight="1"/>
    <row r="116" spans="1:39" ht="14.1" customHeight="1"/>
    <row r="117" spans="1:39" ht="14.1" customHeight="1"/>
    <row r="118" spans="1:39" ht="14.1" customHeight="1"/>
    <row r="119" spans="1:39" ht="14.1" customHeight="1"/>
    <row r="120" spans="1:39" ht="14.1" customHeight="1"/>
    <row r="121" spans="1:39" ht="14.1" customHeight="1"/>
    <row r="122" spans="1:39" ht="14.1" customHeight="1"/>
    <row r="123" spans="1:39" ht="14.1" customHeight="1"/>
    <row r="124" spans="1:39" ht="14.1" customHeight="1"/>
    <row r="125" spans="1:39" ht="14.1" customHeight="1"/>
    <row r="126" spans="1:39" ht="14.1" customHeight="1"/>
    <row r="127" spans="1:39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</row>
    <row r="128" spans="1:39" ht="14.1" customHeight="1">
      <c r="A128" s="695" t="s">
        <v>858</v>
      </c>
      <c r="B128" s="695"/>
      <c r="C128" s="695"/>
      <c r="D128" s="695"/>
      <c r="E128" s="695"/>
      <c r="F128" s="695"/>
      <c r="G128" s="695"/>
      <c r="H128" s="695" t="str">
        <f>VLOOKUP($AA$16,'Date SPV'!$B:$H,4,FALSE)</f>
        <v>DN65B, 117140, loc. Geamana, jud. Arges</v>
      </c>
      <c r="I128" s="695"/>
      <c r="J128" s="695"/>
      <c r="K128" s="695"/>
      <c r="L128" s="695"/>
      <c r="M128" s="695"/>
      <c r="N128" s="695"/>
      <c r="O128" s="695"/>
      <c r="P128" s="695"/>
      <c r="Q128" s="695"/>
      <c r="R128" s="695"/>
      <c r="S128" s="695"/>
      <c r="T128" s="695"/>
      <c r="U128" s="695"/>
      <c r="V128" s="695"/>
      <c r="W128" s="695"/>
      <c r="X128" s="695"/>
      <c r="Y128" s="695"/>
      <c r="Z128" s="695"/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</row>
    <row r="129" spans="1:39" ht="14.1" customHeight="1">
      <c r="A129" s="695"/>
      <c r="B129" s="695"/>
      <c r="C129" s="695"/>
      <c r="D129" s="695"/>
      <c r="E129" s="695"/>
      <c r="F129" s="695"/>
      <c r="G129" s="695"/>
      <c r="H129" s="695"/>
      <c r="I129" s="695"/>
      <c r="J129" s="695"/>
      <c r="K129" s="695"/>
      <c r="L129" s="695"/>
      <c r="M129" s="695"/>
      <c r="N129" s="695"/>
      <c r="O129" s="695"/>
      <c r="P129" s="695"/>
      <c r="Q129" s="695"/>
      <c r="R129" s="695"/>
      <c r="S129" s="695"/>
      <c r="T129" s="695"/>
      <c r="U129" s="695"/>
      <c r="V129" s="695"/>
      <c r="W129" s="695"/>
      <c r="X129" s="695"/>
      <c r="Y129" s="695"/>
      <c r="Z129" s="695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</row>
    <row r="130" spans="1:39" ht="14.1" customHeight="1">
      <c r="A130" s="695" t="s">
        <v>859</v>
      </c>
      <c r="B130" s="695"/>
      <c r="C130" s="695"/>
      <c r="D130" s="695"/>
      <c r="E130" s="695"/>
      <c r="F130" s="695"/>
      <c r="G130" s="695"/>
      <c r="H130" s="712">
        <f>VLOOKUP(AA130,'Date masura OD'!$G:$BE,51,FALSE)</f>
        <v>5000612503</v>
      </c>
      <c r="I130" s="712"/>
      <c r="J130" s="712"/>
      <c r="K130" s="712"/>
      <c r="L130" s="712"/>
      <c r="M130" s="712"/>
      <c r="N130" s="712"/>
      <c r="O130" s="712"/>
      <c r="P130" s="712"/>
      <c r="Q130" s="712"/>
      <c r="R130" s="712"/>
      <c r="S130" s="712"/>
      <c r="T130" s="712"/>
      <c r="U130" s="712"/>
      <c r="V130" s="712"/>
      <c r="W130" s="712" t="s">
        <v>860</v>
      </c>
      <c r="X130" s="712"/>
      <c r="Y130" s="712"/>
      <c r="Z130" s="712"/>
      <c r="AA130" s="640" t="str">
        <f>_xlfn.CONCAT($AA$16,"_",2)</f>
        <v>RRPP_2</v>
      </c>
      <c r="AB130" s="640"/>
      <c r="AC130" s="640"/>
      <c r="AD130" s="640"/>
      <c r="AE130" s="640"/>
      <c r="AF130" s="640"/>
      <c r="AG130" s="640"/>
      <c r="AH130" s="640"/>
      <c r="AI130" s="640"/>
      <c r="AJ130" s="640"/>
      <c r="AK130" s="640"/>
      <c r="AL130" s="640"/>
      <c r="AM130" s="640"/>
    </row>
    <row r="131" spans="1:39" ht="14.1" customHeight="1">
      <c r="A131" s="695"/>
      <c r="B131" s="695"/>
      <c r="C131" s="695"/>
      <c r="D131" s="695"/>
      <c r="E131" s="695"/>
      <c r="F131" s="695"/>
      <c r="G131" s="695"/>
      <c r="H131" s="712"/>
      <c r="I131" s="712"/>
      <c r="J131" s="712"/>
      <c r="K131" s="712"/>
      <c r="L131" s="712"/>
      <c r="M131" s="712"/>
      <c r="N131" s="712"/>
      <c r="O131" s="712"/>
      <c r="P131" s="712"/>
      <c r="Q131" s="712"/>
      <c r="R131" s="712"/>
      <c r="S131" s="712"/>
      <c r="T131" s="712"/>
      <c r="U131" s="712"/>
      <c r="V131" s="712"/>
      <c r="W131" s="712"/>
      <c r="X131" s="712"/>
      <c r="Y131" s="712"/>
      <c r="Z131" s="712"/>
      <c r="AA131" s="640"/>
      <c r="AB131" s="640"/>
      <c r="AC131" s="640"/>
      <c r="AD131" s="640"/>
      <c r="AE131" s="640"/>
      <c r="AF131" s="640"/>
      <c r="AG131" s="640"/>
      <c r="AH131" s="640"/>
      <c r="AI131" s="640"/>
      <c r="AJ131" s="640"/>
      <c r="AK131" s="640"/>
      <c r="AL131" s="640"/>
      <c r="AM131" s="640"/>
    </row>
    <row r="133" spans="1:39">
      <c r="A133" s="649" t="s">
        <v>748</v>
      </c>
      <c r="B133" s="649"/>
      <c r="C133" s="649"/>
      <c r="D133" s="649"/>
      <c r="E133" s="649"/>
      <c r="F133" s="649"/>
      <c r="G133" s="649"/>
      <c r="H133" s="649"/>
      <c r="I133" s="649"/>
      <c r="J133" s="649"/>
      <c r="K133" s="649"/>
      <c r="L133" s="649"/>
      <c r="M133" s="650" t="str">
        <f>VLOOKUP(AI134,'Contorizare in SDI'!$E:$I,4,FALSE)</f>
        <v>59401020000375096971448223/1</v>
      </c>
      <c r="N133" s="650"/>
      <c r="O133" s="650"/>
      <c r="P133" s="650"/>
      <c r="Q133" s="650"/>
      <c r="R133" s="650"/>
      <c r="S133" s="650"/>
      <c r="T133" s="650"/>
      <c r="U133" s="650"/>
      <c r="V133" s="650"/>
      <c r="W133" s="650"/>
      <c r="X133" s="650"/>
      <c r="Y133" s="650"/>
      <c r="Z133" s="650"/>
      <c r="AA133" s="650"/>
      <c r="AB133" s="650"/>
      <c r="AC133" s="650"/>
      <c r="AD133" s="650"/>
      <c r="AE133" s="650"/>
      <c r="AF133" s="650"/>
      <c r="AG133" s="650"/>
      <c r="AH133" s="650"/>
      <c r="AI133" s="650" t="s">
        <v>695</v>
      </c>
      <c r="AJ133" s="650"/>
      <c r="AK133" s="650"/>
      <c r="AL133" s="650"/>
      <c r="AM133" s="650"/>
    </row>
    <row r="134" spans="1:39">
      <c r="A134" s="649" t="s">
        <v>746</v>
      </c>
      <c r="B134" s="649"/>
      <c r="C134" s="649"/>
      <c r="D134" s="649"/>
      <c r="E134" s="649"/>
      <c r="F134" s="649"/>
      <c r="G134" s="649"/>
      <c r="H134" s="649"/>
      <c r="I134" s="649"/>
      <c r="J134" s="649"/>
      <c r="K134" s="649"/>
      <c r="L134" s="649"/>
      <c r="M134" s="650" t="str">
        <f>VLOOKUP(AI134,'Inchidere contur'!$G:$U,15,FALSE)</f>
        <v>JT_SDI</v>
      </c>
      <c r="N134" s="650"/>
      <c r="O134" s="650"/>
      <c r="P134" s="650"/>
      <c r="Q134" s="650"/>
      <c r="R134" s="650"/>
      <c r="S134" s="650"/>
      <c r="T134" s="650"/>
      <c r="U134" s="650"/>
      <c r="V134" s="650"/>
      <c r="W134" s="650"/>
      <c r="X134" s="650"/>
      <c r="Y134" s="650"/>
      <c r="Z134" s="650"/>
      <c r="AA134" s="650"/>
      <c r="AB134" s="650"/>
      <c r="AC134" s="650"/>
      <c r="AD134" s="650"/>
      <c r="AE134" s="650"/>
      <c r="AF134" s="650"/>
      <c r="AG134" s="650"/>
      <c r="AH134" s="650"/>
      <c r="AI134" s="619" t="str">
        <f>_xlfn.CONCAT(AA130,".",1)</f>
        <v>RRPP_2.1</v>
      </c>
      <c r="AJ134" s="619"/>
      <c r="AK134" s="619"/>
      <c r="AL134" s="619"/>
      <c r="AM134" s="619"/>
    </row>
    <row r="135" spans="1:39">
      <c r="A135" s="649" t="s">
        <v>747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50" t="str">
        <f>IF(LEFT(M134,2)="JT","0.4kV",IF(LEFT(M134,2)="MT","20kV","-"))</f>
        <v>0.4kV</v>
      </c>
      <c r="N135" s="650"/>
      <c r="O135" s="650"/>
      <c r="P135" s="650"/>
      <c r="Q135" s="650"/>
      <c r="R135" s="650"/>
      <c r="S135" s="650"/>
      <c r="T135" s="650"/>
      <c r="U135" s="650"/>
      <c r="V135" s="650"/>
      <c r="W135" s="650"/>
      <c r="X135" s="650"/>
      <c r="Y135" s="650"/>
      <c r="Z135" s="650"/>
      <c r="AA135" s="650"/>
      <c r="AB135" s="650"/>
      <c r="AC135" s="650"/>
      <c r="AD135" s="650"/>
      <c r="AE135" s="650"/>
      <c r="AF135" s="650"/>
      <c r="AG135" s="650"/>
      <c r="AH135" s="650"/>
      <c r="AI135" s="619"/>
      <c r="AJ135" s="619"/>
      <c r="AK135" s="619"/>
      <c r="AL135" s="619"/>
      <c r="AM135" s="619"/>
    </row>
    <row r="136" spans="1:39" ht="15.95" customHeight="1">
      <c r="A136" s="648" t="s">
        <v>697</v>
      </c>
      <c r="B136" s="648"/>
      <c r="C136" s="648"/>
      <c r="D136" s="648"/>
      <c r="E136" s="648"/>
      <c r="F136" s="648"/>
      <c r="G136" s="647" t="s">
        <v>713</v>
      </c>
      <c r="H136" s="647"/>
      <c r="I136" s="647"/>
      <c r="J136" s="647" t="s">
        <v>714</v>
      </c>
      <c r="K136" s="647"/>
      <c r="L136" s="647"/>
      <c r="M136" s="648" t="s">
        <v>519</v>
      </c>
      <c r="N136" s="648"/>
      <c r="O136" s="648" t="s">
        <v>715</v>
      </c>
      <c r="P136" s="648"/>
      <c r="Q136" s="648"/>
      <c r="R136" s="647" t="s">
        <v>732</v>
      </c>
      <c r="S136" s="647"/>
      <c r="T136" s="647"/>
      <c r="U136" s="647" t="s">
        <v>734</v>
      </c>
      <c r="V136" s="647"/>
      <c r="W136" s="647"/>
      <c r="X136" s="647" t="s">
        <v>1085</v>
      </c>
      <c r="Y136" s="647"/>
      <c r="Z136" s="647"/>
      <c r="AA136" s="647" t="s">
        <v>1086</v>
      </c>
      <c r="AB136" s="647"/>
      <c r="AC136" s="647"/>
      <c r="AD136" s="647" t="s">
        <v>717</v>
      </c>
      <c r="AE136" s="647"/>
      <c r="AF136" s="647" t="s">
        <v>718</v>
      </c>
      <c r="AG136" s="647"/>
      <c r="AH136" s="647"/>
      <c r="AI136" s="647" t="s">
        <v>719</v>
      </c>
      <c r="AJ136" s="647"/>
      <c r="AK136" s="647" t="s">
        <v>733</v>
      </c>
      <c r="AL136" s="647"/>
      <c r="AM136" s="647"/>
    </row>
    <row r="137" spans="1:39">
      <c r="A137" s="648"/>
      <c r="B137" s="648"/>
      <c r="C137" s="648"/>
      <c r="D137" s="648"/>
      <c r="E137" s="648"/>
      <c r="F137" s="648"/>
      <c r="G137" s="647"/>
      <c r="H137" s="647"/>
      <c r="I137" s="647"/>
      <c r="J137" s="647"/>
      <c r="K137" s="647"/>
      <c r="L137" s="647"/>
      <c r="M137" s="648"/>
      <c r="N137" s="648"/>
      <c r="O137" s="648"/>
      <c r="P137" s="648"/>
      <c r="Q137" s="648"/>
      <c r="R137" s="647"/>
      <c r="S137" s="647"/>
      <c r="T137" s="647"/>
      <c r="U137" s="647"/>
      <c r="V137" s="647"/>
      <c r="W137" s="647"/>
      <c r="X137" s="647"/>
      <c r="Y137" s="647"/>
      <c r="Z137" s="647"/>
      <c r="AA137" s="647"/>
      <c r="AB137" s="647"/>
      <c r="AC137" s="647"/>
      <c r="AD137" s="647"/>
      <c r="AE137" s="647"/>
      <c r="AF137" s="647"/>
      <c r="AG137" s="647"/>
      <c r="AH137" s="647"/>
      <c r="AI137" s="647"/>
      <c r="AJ137" s="647"/>
      <c r="AK137" s="647"/>
      <c r="AL137" s="647"/>
      <c r="AM137" s="647"/>
    </row>
    <row r="138" spans="1:39">
      <c r="A138" s="648"/>
      <c r="B138" s="648"/>
      <c r="C138" s="648"/>
      <c r="D138" s="648"/>
      <c r="E138" s="648"/>
      <c r="F138" s="648"/>
      <c r="G138" s="647"/>
      <c r="H138" s="647"/>
      <c r="I138" s="647"/>
      <c r="J138" s="713"/>
      <c r="K138" s="713"/>
      <c r="L138" s="713"/>
      <c r="M138" s="648"/>
      <c r="N138" s="648"/>
      <c r="O138" s="648"/>
      <c r="P138" s="648"/>
      <c r="Q138" s="648"/>
      <c r="R138" s="647"/>
      <c r="S138" s="647"/>
      <c r="T138" s="647"/>
      <c r="U138" s="647"/>
      <c r="V138" s="647"/>
      <c r="W138" s="647"/>
      <c r="X138" s="647"/>
      <c r="Y138" s="647"/>
      <c r="Z138" s="647"/>
      <c r="AA138" s="647"/>
      <c r="AB138" s="647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</row>
    <row r="139" spans="1:39" ht="14.1" customHeight="1">
      <c r="A139" s="684">
        <f>VLOOKUP(AI134,'Contorizare in SDI'!$E:$I,5,FALSE)</f>
        <v>23298250</v>
      </c>
      <c r="B139" s="685"/>
      <c r="C139" s="685"/>
      <c r="D139" s="685"/>
      <c r="E139" s="685"/>
      <c r="F139" s="686"/>
      <c r="G139" s="648" t="s">
        <v>730</v>
      </c>
      <c r="H139" s="648"/>
      <c r="I139" s="673"/>
      <c r="J139" s="655">
        <f>'Date masura OD'!$I$5</f>
        <v>45778</v>
      </c>
      <c r="K139" s="656"/>
      <c r="L139" s="657"/>
      <c r="M139" s="720" t="s">
        <v>446</v>
      </c>
      <c r="N139" s="648"/>
      <c r="O139" s="648">
        <v>1</v>
      </c>
      <c r="P139" s="648"/>
      <c r="Q139" s="648"/>
      <c r="R139" s="647" t="str">
        <f>VLOOKUP(A139,'Incrementare indexe'!$D:$M,3,FALSE)&amp;" (citit)"</f>
        <v>52.84 (citit)</v>
      </c>
      <c r="S139" s="647"/>
      <c r="T139" s="647"/>
      <c r="U139" s="647" t="str">
        <f>VLOOKUP(A139,'Incrementare indexe'!$D:$M,4,FALSE)&amp;" (citit)"</f>
        <v>181.295 (citit)</v>
      </c>
      <c r="V139" s="647"/>
      <c r="W139" s="647"/>
      <c r="X139" s="647" t="str">
        <f>VLOOKUP(A139,'Incrementare indexe'!$D:$Q,11,FALSE)&amp;" (citit)"</f>
        <v>25691 (citit)</v>
      </c>
      <c r="Y139" s="647"/>
      <c r="Z139" s="647"/>
      <c r="AA139" s="647" t="s">
        <v>69</v>
      </c>
      <c r="AB139" s="647"/>
      <c r="AC139" s="647"/>
      <c r="AD139" s="647" t="s">
        <v>69</v>
      </c>
      <c r="AE139" s="647"/>
      <c r="AF139" s="647">
        <f>VLOOKUP(A139,'Incrementare indexe'!$D:$Q,11,FALSE)</f>
        <v>25691.000000000004</v>
      </c>
      <c r="AG139" s="647"/>
      <c r="AH139" s="647"/>
      <c r="AI139" s="647">
        <f>J141-J139+1</f>
        <v>31</v>
      </c>
      <c r="AJ139" s="647"/>
      <c r="AK139" s="647">
        <f>ROUND(AF139/AI139,2)</f>
        <v>828.74</v>
      </c>
      <c r="AL139" s="647"/>
      <c r="AM139" s="647"/>
    </row>
    <row r="140" spans="1:39" ht="8.4499999999999993" customHeight="1">
      <c r="A140" s="727"/>
      <c r="B140" s="729"/>
      <c r="C140" s="729"/>
      <c r="D140" s="729"/>
      <c r="E140" s="729"/>
      <c r="F140" s="728"/>
      <c r="G140" s="648"/>
      <c r="H140" s="648"/>
      <c r="I140" s="673"/>
      <c r="J140" s="717" t="s">
        <v>69</v>
      </c>
      <c r="K140" s="718"/>
      <c r="L140" s="719"/>
      <c r="M140" s="720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 ht="14.1" customHeight="1">
      <c r="A141" s="687"/>
      <c r="B141" s="688"/>
      <c r="C141" s="688"/>
      <c r="D141" s="688"/>
      <c r="E141" s="688"/>
      <c r="F141" s="689"/>
      <c r="G141" s="648"/>
      <c r="H141" s="648"/>
      <c r="I141" s="673"/>
      <c r="J141" s="714">
        <f>'Date masura OD'!$J$5</f>
        <v>45808</v>
      </c>
      <c r="K141" s="715"/>
      <c r="L141" s="716"/>
      <c r="M141" s="720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4">
        <f>A139</f>
        <v>23298250</v>
      </c>
      <c r="B142" s="685"/>
      <c r="C142" s="685"/>
      <c r="D142" s="685"/>
      <c r="E142" s="685"/>
      <c r="F142" s="686"/>
      <c r="G142" s="648" t="s">
        <v>696</v>
      </c>
      <c r="H142" s="648"/>
      <c r="I142" s="648"/>
      <c r="J142" s="655">
        <f t="shared" ref="J142:J147" si="4">J139</f>
        <v>45778</v>
      </c>
      <c r="K142" s="656"/>
      <c r="L142" s="657"/>
      <c r="M142" s="648" t="s">
        <v>720</v>
      </c>
      <c r="N142" s="648"/>
      <c r="O142" s="648">
        <f>O139</f>
        <v>1</v>
      </c>
      <c r="P142" s="648"/>
      <c r="Q142" s="648"/>
      <c r="R142" s="647" t="str">
        <f>VLOOKUP(A142,'Incrementare indexe'!$D:$M,7,FALSE)&amp;" (estimat)"</f>
        <v>0 (estimat)</v>
      </c>
      <c r="S142" s="647"/>
      <c r="T142" s="647"/>
      <c r="U142" s="647" t="str">
        <f>VLOOKUP(A142,'Incrementare indexe'!$D:$M,8,FALSE)&amp;" (estimat)"</f>
        <v>0 (estimat)</v>
      </c>
      <c r="V142" s="647"/>
      <c r="W142" s="647"/>
      <c r="X142" s="647" t="str">
        <f>VLOOKUP(A142,'Incrementare indexe'!$D:$Q,12,FALSE)&amp;" (estimat)"</f>
        <v>0 (estimat)</v>
      </c>
      <c r="Y142" s="647"/>
      <c r="Z142" s="647"/>
      <c r="AA142" s="647" t="s">
        <v>69</v>
      </c>
      <c r="AB142" s="647"/>
      <c r="AC142" s="647"/>
      <c r="AD142" s="647" t="s">
        <v>69</v>
      </c>
      <c r="AE142" s="647"/>
      <c r="AF142" s="647">
        <f>VLOOKUP(A142,'Incrementare indexe'!$D:$Q,12,FALSE)</f>
        <v>0</v>
      </c>
      <c r="AG142" s="647"/>
      <c r="AH142" s="647"/>
      <c r="AI142" s="647">
        <f>AI139</f>
        <v>31</v>
      </c>
      <c r="AJ142" s="647"/>
      <c r="AK142" s="647">
        <f>ROUND(AF142/AI142,2)</f>
        <v>0</v>
      </c>
      <c r="AL142" s="647"/>
      <c r="AM142" s="647"/>
    </row>
    <row r="143" spans="1:39" ht="8.4499999999999993" customHeight="1">
      <c r="A143" s="727"/>
      <c r="B143" s="729"/>
      <c r="C143" s="729"/>
      <c r="D143" s="729"/>
      <c r="E143" s="729"/>
      <c r="F143" s="728"/>
      <c r="G143" s="648"/>
      <c r="H143" s="648"/>
      <c r="I143" s="648"/>
      <c r="J143" s="717" t="str">
        <f t="shared" si="4"/>
        <v>-</v>
      </c>
      <c r="K143" s="718"/>
      <c r="L143" s="719"/>
      <c r="M143" s="648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7"/>
      <c r="B144" s="688"/>
      <c r="C144" s="688"/>
      <c r="D144" s="688"/>
      <c r="E144" s="688"/>
      <c r="F144" s="689"/>
      <c r="G144" s="648"/>
      <c r="H144" s="648"/>
      <c r="I144" s="648"/>
      <c r="J144" s="714">
        <f t="shared" si="4"/>
        <v>45808</v>
      </c>
      <c r="K144" s="715"/>
      <c r="L144" s="716"/>
      <c r="M144" s="648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4">
        <f>A142</f>
        <v>23298250</v>
      </c>
      <c r="B145" s="685"/>
      <c r="C145" s="685"/>
      <c r="D145" s="685"/>
      <c r="E145" s="685"/>
      <c r="F145" s="686"/>
      <c r="G145" s="648" t="s">
        <v>731</v>
      </c>
      <c r="H145" s="648"/>
      <c r="I145" s="648"/>
      <c r="J145" s="655">
        <f t="shared" si="4"/>
        <v>45778</v>
      </c>
      <c r="K145" s="656"/>
      <c r="L145" s="657"/>
      <c r="M145" s="648" t="s">
        <v>720</v>
      </c>
      <c r="N145" s="648"/>
      <c r="O145" s="648">
        <f>O142</f>
        <v>1</v>
      </c>
      <c r="P145" s="648"/>
      <c r="Q145" s="648"/>
      <c r="R145" s="647" t="str">
        <f>VLOOKUP(A145,'Incrementare indexe'!$D:$M,9,FALSE)&amp;" (estimat)"</f>
        <v>0 (estimat)</v>
      </c>
      <c r="S145" s="647"/>
      <c r="T145" s="647"/>
      <c r="U145" s="647" t="str">
        <f>VLOOKUP(A145,'Incrementare indexe'!$D:$M,10,FALSE)&amp;" (estimat)"</f>
        <v>0 (estimat)</v>
      </c>
      <c r="V145" s="647"/>
      <c r="W145" s="647"/>
      <c r="X145" s="647" t="str">
        <f>VLOOKUP(A145,'Incrementare indexe'!$D:$Q,13,FALSE)&amp;" (estimat)"</f>
        <v>0 (estimat)</v>
      </c>
      <c r="Y145" s="647"/>
      <c r="Z145" s="647"/>
      <c r="AA145" s="647" t="s">
        <v>69</v>
      </c>
      <c r="AB145" s="647"/>
      <c r="AC145" s="647"/>
      <c r="AD145" s="647" t="s">
        <v>69</v>
      </c>
      <c r="AE145" s="647"/>
      <c r="AF145" s="647">
        <f>VLOOKUP(A145,'Incrementare indexe'!$D:$Q,13,FALSE)</f>
        <v>0</v>
      </c>
      <c r="AG145" s="647"/>
      <c r="AH145" s="647"/>
      <c r="AI145" s="647">
        <f>AI142</f>
        <v>31</v>
      </c>
      <c r="AJ145" s="647"/>
      <c r="AK145" s="647">
        <f>ROUND(AF145/AI145,2)</f>
        <v>0</v>
      </c>
      <c r="AL145" s="647"/>
      <c r="AM145" s="647"/>
    </row>
    <row r="146" spans="1:39" ht="8.4499999999999993" customHeight="1">
      <c r="A146" s="727"/>
      <c r="B146" s="729"/>
      <c r="C146" s="729"/>
      <c r="D146" s="729"/>
      <c r="E146" s="729"/>
      <c r="F146" s="728"/>
      <c r="G146" s="648"/>
      <c r="H146" s="648"/>
      <c r="I146" s="648"/>
      <c r="J146" s="717" t="str">
        <f t="shared" si="4"/>
        <v>-</v>
      </c>
      <c r="K146" s="718"/>
      <c r="L146" s="719"/>
      <c r="M146" s="648"/>
      <c r="N146" s="648"/>
      <c r="O146" s="648"/>
      <c r="P146" s="648"/>
      <c r="Q146" s="648"/>
      <c r="R146" s="647"/>
      <c r="S146" s="647"/>
      <c r="T146" s="647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7"/>
      <c r="B147" s="688"/>
      <c r="C147" s="688"/>
      <c r="D147" s="688"/>
      <c r="E147" s="688"/>
      <c r="F147" s="689"/>
      <c r="G147" s="648"/>
      <c r="H147" s="648"/>
      <c r="I147" s="648"/>
      <c r="J147" s="714">
        <f t="shared" si="4"/>
        <v>45808</v>
      </c>
      <c r="K147" s="715"/>
      <c r="L147" s="716"/>
      <c r="M147" s="648"/>
      <c r="N147" s="648"/>
      <c r="O147" s="648"/>
      <c r="P147" s="648"/>
      <c r="Q147" s="648"/>
      <c r="R147" s="647"/>
      <c r="S147" s="647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195"/>
      <c r="B148" s="195"/>
      <c r="C148" s="195"/>
      <c r="D148" s="195"/>
      <c r="E148" s="195"/>
      <c r="F148" s="195"/>
      <c r="G148" s="196"/>
      <c r="H148" s="196"/>
      <c r="I148" s="196"/>
      <c r="J148" s="197"/>
      <c r="K148" s="197"/>
      <c r="L148" s="197"/>
      <c r="M148" s="196"/>
      <c r="N148" s="196"/>
      <c r="O148" s="196"/>
      <c r="P148" s="196"/>
      <c r="Q148" s="196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</row>
    <row r="149" spans="1:39" ht="14.1" customHeight="1">
      <c r="A149" s="721" t="s">
        <v>1196</v>
      </c>
      <c r="B149" s="722"/>
      <c r="C149" s="722"/>
      <c r="D149" s="722"/>
      <c r="E149" s="722"/>
      <c r="F149" s="722"/>
      <c r="G149" s="722"/>
      <c r="H149" s="722"/>
      <c r="I149" s="722"/>
      <c r="J149" s="722"/>
      <c r="K149" s="722"/>
      <c r="L149" s="722"/>
      <c r="M149" s="722"/>
      <c r="N149" s="722"/>
      <c r="O149" s="722"/>
      <c r="P149" s="722"/>
      <c r="Q149" s="722"/>
      <c r="R149" s="722"/>
      <c r="S149" s="722"/>
      <c r="T149" s="722"/>
      <c r="U149" s="722"/>
      <c r="V149" s="722"/>
      <c r="W149" s="722"/>
      <c r="X149" s="722"/>
      <c r="Y149" s="722"/>
      <c r="Z149" s="722"/>
      <c r="AA149" s="722"/>
      <c r="AB149" s="722"/>
      <c r="AC149" s="722"/>
      <c r="AD149" s="722"/>
      <c r="AE149" s="722"/>
      <c r="AF149" s="722"/>
      <c r="AG149" s="722"/>
      <c r="AH149" s="723"/>
      <c r="AI149" s="650" t="s">
        <v>695</v>
      </c>
      <c r="AJ149" s="650"/>
      <c r="AK149" s="650"/>
      <c r="AL149" s="650"/>
      <c r="AM149" s="650"/>
    </row>
    <row r="150" spans="1:39" ht="14.1" customHeight="1">
      <c r="A150" s="649" t="s">
        <v>746</v>
      </c>
      <c r="B150" s="649"/>
      <c r="C150" s="649"/>
      <c r="D150" s="649"/>
      <c r="E150" s="649"/>
      <c r="F150" s="649"/>
      <c r="G150" s="649"/>
      <c r="H150" s="649"/>
      <c r="I150" s="649"/>
      <c r="J150" s="649"/>
      <c r="K150" s="649"/>
      <c r="L150" s="649"/>
      <c r="M150" s="650" t="s">
        <v>514</v>
      </c>
      <c r="N150" s="650"/>
      <c r="O150" s="650"/>
      <c r="P150" s="650"/>
      <c r="Q150" s="650"/>
      <c r="R150" s="650"/>
      <c r="S150" s="650"/>
      <c r="T150" s="650"/>
      <c r="U150" s="650"/>
      <c r="V150" s="650"/>
      <c r="W150" s="650"/>
      <c r="X150" s="650"/>
      <c r="Y150" s="650"/>
      <c r="Z150" s="650"/>
      <c r="AA150" s="650"/>
      <c r="AB150" s="650"/>
      <c r="AC150" s="650"/>
      <c r="AD150" s="650"/>
      <c r="AE150" s="650"/>
      <c r="AF150" s="650"/>
      <c r="AG150" s="650"/>
      <c r="AH150" s="650"/>
      <c r="AI150" s="619" t="str">
        <f>_xlfn.CONCAT(AI134,"/PV")</f>
        <v>RRPP_2.1/PV</v>
      </c>
      <c r="AJ150" s="619"/>
      <c r="AK150" s="619"/>
      <c r="AL150" s="619"/>
      <c r="AM150" s="619"/>
    </row>
    <row r="151" spans="1:39" ht="14.1" customHeight="1">
      <c r="A151" s="649" t="s">
        <v>747</v>
      </c>
      <c r="B151" s="649"/>
      <c r="C151" s="649"/>
      <c r="D151" s="649"/>
      <c r="E151" s="649"/>
      <c r="F151" s="649"/>
      <c r="G151" s="649"/>
      <c r="H151" s="649"/>
      <c r="I151" s="649"/>
      <c r="J151" s="649"/>
      <c r="K151" s="649"/>
      <c r="L151" s="649"/>
      <c r="M151" s="650" t="s">
        <v>1087</v>
      </c>
      <c r="N151" s="650"/>
      <c r="O151" s="650"/>
      <c r="P151" s="650"/>
      <c r="Q151" s="650"/>
      <c r="R151" s="650"/>
      <c r="S151" s="650"/>
      <c r="T151" s="650"/>
      <c r="U151" s="650"/>
      <c r="V151" s="650"/>
      <c r="W151" s="650"/>
      <c r="X151" s="650"/>
      <c r="Y151" s="650"/>
      <c r="Z151" s="650"/>
      <c r="AA151" s="650"/>
      <c r="AB151" s="650"/>
      <c r="AC151" s="650"/>
      <c r="AD151" s="650"/>
      <c r="AE151" s="650"/>
      <c r="AF151" s="650"/>
      <c r="AG151" s="650"/>
      <c r="AH151" s="650"/>
      <c r="AI151" s="619"/>
      <c r="AJ151" s="619"/>
      <c r="AK151" s="619"/>
      <c r="AL151" s="619"/>
      <c r="AM151" s="619"/>
    </row>
    <row r="152" spans="1:39" ht="14.1" customHeight="1">
      <c r="A152" s="648" t="s">
        <v>697</v>
      </c>
      <c r="B152" s="648"/>
      <c r="C152" s="648"/>
      <c r="D152" s="648"/>
      <c r="E152" s="648"/>
      <c r="F152" s="648"/>
      <c r="G152" s="647" t="s">
        <v>713</v>
      </c>
      <c r="H152" s="647"/>
      <c r="I152" s="647"/>
      <c r="J152" s="647" t="s">
        <v>714</v>
      </c>
      <c r="K152" s="647"/>
      <c r="L152" s="647"/>
      <c r="M152" s="648" t="s">
        <v>519</v>
      </c>
      <c r="N152" s="648"/>
      <c r="O152" s="648" t="s">
        <v>715</v>
      </c>
      <c r="P152" s="648"/>
      <c r="Q152" s="648"/>
      <c r="R152" s="647" t="s">
        <v>732</v>
      </c>
      <c r="S152" s="647"/>
      <c r="T152" s="647"/>
      <c r="U152" s="647" t="s">
        <v>734</v>
      </c>
      <c r="V152" s="647"/>
      <c r="W152" s="647"/>
      <c r="X152" s="647" t="s">
        <v>1085</v>
      </c>
      <c r="Y152" s="647"/>
      <c r="Z152" s="647"/>
      <c r="AA152" s="647" t="s">
        <v>1086</v>
      </c>
      <c r="AB152" s="647"/>
      <c r="AC152" s="647"/>
      <c r="AD152" s="647" t="s">
        <v>717</v>
      </c>
      <c r="AE152" s="647"/>
      <c r="AF152" s="647" t="s">
        <v>718</v>
      </c>
      <c r="AG152" s="647"/>
      <c r="AH152" s="647"/>
      <c r="AI152" s="647" t="s">
        <v>719</v>
      </c>
      <c r="AJ152" s="647"/>
      <c r="AK152" s="647" t="s">
        <v>733</v>
      </c>
      <c r="AL152" s="647"/>
      <c r="AM152" s="647"/>
    </row>
    <row r="153" spans="1:39" ht="14.1" customHeight="1">
      <c r="A153" s="648"/>
      <c r="B153" s="648"/>
      <c r="C153" s="648"/>
      <c r="D153" s="648"/>
      <c r="E153" s="648"/>
      <c r="F153" s="648"/>
      <c r="G153" s="647"/>
      <c r="H153" s="647"/>
      <c r="I153" s="647"/>
      <c r="J153" s="647"/>
      <c r="K153" s="647"/>
      <c r="L153" s="647"/>
      <c r="M153" s="648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48"/>
      <c r="B154" s="648"/>
      <c r="C154" s="648"/>
      <c r="D154" s="648"/>
      <c r="E154" s="648"/>
      <c r="F154" s="648"/>
      <c r="G154" s="647"/>
      <c r="H154" s="647"/>
      <c r="I154" s="647"/>
      <c r="J154" s="713"/>
      <c r="K154" s="713"/>
      <c r="L154" s="713"/>
      <c r="M154" s="648"/>
      <c r="N154" s="648"/>
      <c r="O154" s="648"/>
      <c r="P154" s="648"/>
      <c r="Q154" s="648"/>
      <c r="R154" s="647"/>
      <c r="S154" s="647"/>
      <c r="T154" s="647"/>
      <c r="U154" s="647"/>
      <c r="V154" s="647"/>
      <c r="W154" s="647"/>
      <c r="X154" s="647"/>
      <c r="Y154" s="647"/>
      <c r="Z154" s="647"/>
      <c r="AA154" s="647"/>
      <c r="AB154" s="647"/>
      <c r="AC154" s="647"/>
      <c r="AD154" s="647"/>
      <c r="AE154" s="647"/>
      <c r="AF154" s="647"/>
      <c r="AG154" s="647"/>
      <c r="AH154" s="647"/>
      <c r="AI154" s="647"/>
      <c r="AJ154" s="647"/>
      <c r="AK154" s="647"/>
      <c r="AL154" s="647"/>
      <c r="AM154" s="647"/>
    </row>
    <row r="155" spans="1:39" ht="14.1" customHeight="1">
      <c r="A155" s="678">
        <f>VLOOKUP(AI150,'Incrementare indexe'!$B:$I,3,FALSE)</f>
        <v>23298255</v>
      </c>
      <c r="B155" s="679"/>
      <c r="C155" s="679"/>
      <c r="D155" s="679"/>
      <c r="E155" s="679"/>
      <c r="F155" s="680"/>
      <c r="G155" s="647" t="s">
        <v>1088</v>
      </c>
      <c r="H155" s="647"/>
      <c r="I155" s="675"/>
      <c r="J155" s="655">
        <f>'Date masura OD'!$I$5</f>
        <v>45778</v>
      </c>
      <c r="K155" s="656"/>
      <c r="L155" s="657"/>
      <c r="M155" s="720" t="s">
        <v>446</v>
      </c>
      <c r="N155" s="648"/>
      <c r="O155" s="648">
        <f>VLOOKUP(AI150,'Incrementare indexe'!$B:$I,4,FALSE)</f>
        <v>40</v>
      </c>
      <c r="P155" s="648"/>
      <c r="Q155" s="648"/>
      <c r="R155" s="647" t="str">
        <f>VLOOKUP(AI150,'Incrementare indexe'!$B:$I,7,FALSE)&amp;" (citit)"</f>
        <v>0 (citit)</v>
      </c>
      <c r="S155" s="647"/>
      <c r="T155" s="647"/>
      <c r="U155" s="647" t="str">
        <f>VLOOKUP(AI150,'Incrementare indexe'!$B:$I,8,FALSE)&amp;" (citit)"</f>
        <v>114.85 (citit)</v>
      </c>
      <c r="V155" s="647"/>
      <c r="W155" s="647"/>
      <c r="X155" s="647" t="str">
        <f>ROUND(((VLOOKUP(AI150,'Incrementare indexe'!$B:$I,8,FALSE)-VLOOKUP(AI150,'Incrementare indexe'!$B:$I,7,FALSE))*O155),0)&amp;" (citit)"</f>
        <v>4594 (citit)</v>
      </c>
      <c r="Y155" s="647"/>
      <c r="Z155" s="647"/>
      <c r="AA155" s="647" t="s">
        <v>69</v>
      </c>
      <c r="AB155" s="647"/>
      <c r="AC155" s="647"/>
      <c r="AD155" s="647" t="s">
        <v>69</v>
      </c>
      <c r="AE155" s="647"/>
      <c r="AF155" s="647">
        <f>ROUND(((VLOOKUP(AI150,'Incrementare indexe'!$B:$I,8,FALSE)-VLOOKUP(AI150,'Incrementare indexe'!$B:$I,7,FALSE))*O155),0)</f>
        <v>4594</v>
      </c>
      <c r="AG155" s="647"/>
      <c r="AH155" s="647"/>
      <c r="AI155" s="647">
        <f>J157-J155+1</f>
        <v>31</v>
      </c>
      <c r="AJ155" s="647"/>
      <c r="AK155" s="647">
        <f>ROUND(AF155/AI155,2)</f>
        <v>148.19</v>
      </c>
      <c r="AL155" s="647"/>
      <c r="AM155" s="647"/>
    </row>
    <row r="156" spans="1:39" ht="14.1" customHeight="1">
      <c r="A156" s="717"/>
      <c r="B156" s="718"/>
      <c r="C156" s="718"/>
      <c r="D156" s="718"/>
      <c r="E156" s="718"/>
      <c r="F156" s="719"/>
      <c r="G156" s="647"/>
      <c r="H156" s="647"/>
      <c r="I156" s="675"/>
      <c r="J156" s="717" t="s">
        <v>69</v>
      </c>
      <c r="K156" s="718"/>
      <c r="L156" s="719"/>
      <c r="M156" s="720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1"/>
      <c r="B157" s="682"/>
      <c r="C157" s="682"/>
      <c r="D157" s="682"/>
      <c r="E157" s="682"/>
      <c r="F157" s="683"/>
      <c r="G157" s="647"/>
      <c r="H157" s="647"/>
      <c r="I157" s="675"/>
      <c r="J157" s="714">
        <f>'Date masura OD'!$J$5</f>
        <v>45808</v>
      </c>
      <c r="K157" s="715"/>
      <c r="L157" s="716"/>
      <c r="M157" s="720"/>
      <c r="N157" s="648"/>
      <c r="O157" s="648"/>
      <c r="P157" s="648"/>
      <c r="Q157" s="648"/>
      <c r="R157" s="647"/>
      <c r="S157" s="647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647"/>
      <c r="AL157" s="647"/>
      <c r="AM157" s="647"/>
    </row>
    <row r="158" spans="1:39" ht="14.1" customHeight="1">
      <c r="A158" s="678">
        <f>A155</f>
        <v>23298255</v>
      </c>
      <c r="B158" s="679"/>
      <c r="C158" s="679"/>
      <c r="D158" s="679"/>
      <c r="E158" s="679"/>
      <c r="F158" s="680"/>
      <c r="G158" s="648" t="s">
        <v>696</v>
      </c>
      <c r="H158" s="648"/>
      <c r="I158" s="648"/>
      <c r="J158" s="655">
        <f>J155</f>
        <v>45778</v>
      </c>
      <c r="K158" s="656"/>
      <c r="L158" s="657"/>
      <c r="M158" s="648" t="s">
        <v>720</v>
      </c>
      <c r="N158" s="648"/>
      <c r="O158" s="648">
        <f>O155</f>
        <v>40</v>
      </c>
      <c r="P158" s="648"/>
      <c r="Q158" s="648"/>
      <c r="R158" s="647" t="s">
        <v>1089</v>
      </c>
      <c r="S158" s="647"/>
      <c r="T158" s="647"/>
      <c r="U158" s="647" t="s">
        <v>1089</v>
      </c>
      <c r="V158" s="647"/>
      <c r="W158" s="647"/>
      <c r="X158" s="647" t="s">
        <v>1089</v>
      </c>
      <c r="Y158" s="647"/>
      <c r="Z158" s="647"/>
      <c r="AA158" s="647" t="s">
        <v>69</v>
      </c>
      <c r="AB158" s="647"/>
      <c r="AC158" s="647"/>
      <c r="AD158" s="647" t="s">
        <v>69</v>
      </c>
      <c r="AE158" s="647"/>
      <c r="AF158" s="647">
        <v>0</v>
      </c>
      <c r="AG158" s="647"/>
      <c r="AH158" s="647"/>
      <c r="AI158" s="647">
        <f>AI155</f>
        <v>31</v>
      </c>
      <c r="AJ158" s="647"/>
      <c r="AK158" s="647">
        <f>ROUND(AF158/AI158,2)</f>
        <v>0</v>
      </c>
      <c r="AL158" s="647"/>
      <c r="AM158" s="647"/>
    </row>
    <row r="159" spans="1:39" ht="14.1" customHeight="1">
      <c r="A159" s="717"/>
      <c r="B159" s="718"/>
      <c r="C159" s="718"/>
      <c r="D159" s="718"/>
      <c r="E159" s="718"/>
      <c r="F159" s="719"/>
      <c r="G159" s="648"/>
      <c r="H159" s="648"/>
      <c r="I159" s="648"/>
      <c r="J159" s="717" t="str">
        <f>J156</f>
        <v>-</v>
      </c>
      <c r="K159" s="718"/>
      <c r="L159" s="719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1"/>
      <c r="B160" s="682"/>
      <c r="C160" s="682"/>
      <c r="D160" s="682"/>
      <c r="E160" s="682"/>
      <c r="F160" s="683"/>
      <c r="G160" s="648"/>
      <c r="H160" s="648"/>
      <c r="I160" s="648"/>
      <c r="J160" s="714">
        <f>J157</f>
        <v>45808</v>
      </c>
      <c r="K160" s="715"/>
      <c r="L160" s="716"/>
      <c r="M160" s="648"/>
      <c r="N160" s="648"/>
      <c r="O160" s="648"/>
      <c r="P160" s="648"/>
      <c r="Q160" s="648"/>
      <c r="R160" s="647"/>
      <c r="S160" s="647"/>
      <c r="T160" s="647"/>
      <c r="U160" s="647"/>
      <c r="V160" s="647"/>
      <c r="W160" s="647"/>
      <c r="X160" s="647"/>
      <c r="Y160" s="647"/>
      <c r="Z160" s="647"/>
      <c r="AA160" s="647"/>
      <c r="AB160" s="647"/>
      <c r="AC160" s="647"/>
      <c r="AD160" s="647"/>
      <c r="AE160" s="647"/>
      <c r="AF160" s="647"/>
      <c r="AG160" s="647"/>
      <c r="AH160" s="647"/>
      <c r="AI160" s="647"/>
      <c r="AJ160" s="647"/>
      <c r="AK160" s="647"/>
      <c r="AL160" s="647"/>
      <c r="AM160" s="647"/>
    </row>
    <row r="161" spans="1:39" ht="14.1" customHeight="1">
      <c r="A161" s="678">
        <f>A158</f>
        <v>23298255</v>
      </c>
      <c r="B161" s="679"/>
      <c r="C161" s="679"/>
      <c r="D161" s="679"/>
      <c r="E161" s="679"/>
      <c r="F161" s="680"/>
      <c r="G161" s="648" t="s">
        <v>731</v>
      </c>
      <c r="H161" s="648"/>
      <c r="I161" s="648"/>
      <c r="J161" s="655">
        <f t="shared" ref="J161:J163" si="5">J158</f>
        <v>45778</v>
      </c>
      <c r="K161" s="656"/>
      <c r="L161" s="657"/>
      <c r="M161" s="648" t="s">
        <v>720</v>
      </c>
      <c r="N161" s="648"/>
      <c r="O161" s="648">
        <f>O158</f>
        <v>40</v>
      </c>
      <c r="P161" s="648"/>
      <c r="Q161" s="648"/>
      <c r="R161" s="647" t="s">
        <v>1089</v>
      </c>
      <c r="S161" s="647"/>
      <c r="T161" s="647"/>
      <c r="U161" s="647" t="s">
        <v>1089</v>
      </c>
      <c r="V161" s="647"/>
      <c r="W161" s="647"/>
      <c r="X161" s="647" t="s">
        <v>1089</v>
      </c>
      <c r="Y161" s="647"/>
      <c r="Z161" s="647"/>
      <c r="AA161" s="647" t="s">
        <v>69</v>
      </c>
      <c r="AB161" s="647"/>
      <c r="AC161" s="647"/>
      <c r="AD161" s="647" t="s">
        <v>69</v>
      </c>
      <c r="AE161" s="647"/>
      <c r="AF161" s="647">
        <v>0</v>
      </c>
      <c r="AG161" s="647"/>
      <c r="AH161" s="647"/>
      <c r="AI161" s="647">
        <f>AI158</f>
        <v>31</v>
      </c>
      <c r="AJ161" s="647"/>
      <c r="AK161" s="647">
        <f>ROUND(AF161/AI161,2)</f>
        <v>0</v>
      </c>
      <c r="AL161" s="647"/>
      <c r="AM161" s="647"/>
    </row>
    <row r="162" spans="1:39" ht="14.1" customHeight="1">
      <c r="A162" s="717"/>
      <c r="B162" s="718"/>
      <c r="C162" s="718"/>
      <c r="D162" s="718"/>
      <c r="E162" s="718"/>
      <c r="F162" s="719"/>
      <c r="G162" s="648"/>
      <c r="H162" s="648"/>
      <c r="I162" s="648"/>
      <c r="J162" s="717" t="str">
        <f t="shared" si="5"/>
        <v>-</v>
      </c>
      <c r="K162" s="718"/>
      <c r="L162" s="719"/>
      <c r="M162" s="648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1"/>
      <c r="B163" s="682"/>
      <c r="C163" s="682"/>
      <c r="D163" s="682"/>
      <c r="E163" s="682"/>
      <c r="F163" s="683"/>
      <c r="G163" s="648"/>
      <c r="H163" s="648"/>
      <c r="I163" s="648"/>
      <c r="J163" s="714">
        <f t="shared" si="5"/>
        <v>45808</v>
      </c>
      <c r="K163" s="715"/>
      <c r="L163" s="716"/>
      <c r="M163" s="648"/>
      <c r="N163" s="648"/>
      <c r="O163" s="648"/>
      <c r="P163" s="648"/>
      <c r="Q163" s="648"/>
      <c r="R163" s="647"/>
      <c r="S163" s="647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647"/>
      <c r="AL163" s="647"/>
      <c r="AM163" s="647"/>
    </row>
    <row r="164" spans="1:39" ht="14.1" customHeight="1">
      <c r="A164" s="195"/>
      <c r="B164" s="195"/>
      <c r="C164" s="195"/>
      <c r="D164" s="195"/>
      <c r="E164" s="195"/>
      <c r="F164" s="195"/>
      <c r="G164" s="196"/>
      <c r="H164" s="196"/>
      <c r="I164" s="196"/>
      <c r="J164" s="197"/>
      <c r="K164" s="197"/>
      <c r="L164" s="197"/>
      <c r="M164" s="196"/>
      <c r="N164" s="196"/>
      <c r="O164" s="196"/>
      <c r="P164" s="196"/>
      <c r="Q164" s="196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</row>
    <row r="165" spans="1:39" ht="14.1" customHeight="1">
      <c r="A165" s="195"/>
      <c r="B165" s="195"/>
      <c r="C165" s="195"/>
      <c r="D165" s="195"/>
      <c r="E165" s="195"/>
      <c r="F165" s="195"/>
      <c r="G165" s="196"/>
      <c r="H165" s="196"/>
      <c r="I165" s="196"/>
      <c r="J165" s="197"/>
      <c r="K165" s="197"/>
      <c r="L165" s="197"/>
      <c r="M165" s="196"/>
      <c r="N165" s="196"/>
      <c r="O165" s="196"/>
      <c r="P165" s="196"/>
      <c r="Q165" s="196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</row>
    <row r="166" spans="1:39" ht="14.1" customHeight="1">
      <c r="A166" s="195"/>
      <c r="B166" s="195"/>
      <c r="C166" s="195"/>
      <c r="D166" s="195"/>
      <c r="E166" s="195"/>
      <c r="F166" s="195"/>
      <c r="G166" s="196"/>
      <c r="H166" s="196"/>
      <c r="I166" s="196"/>
      <c r="J166" s="197"/>
      <c r="K166" s="197"/>
      <c r="L166" s="197"/>
      <c r="M166" s="196"/>
      <c r="N166" s="196"/>
      <c r="O166" s="196"/>
      <c r="P166" s="196"/>
      <c r="Q166" s="196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</row>
    <row r="167" spans="1:39" ht="14.1" customHeight="1">
      <c r="A167" s="195"/>
      <c r="B167" s="195"/>
      <c r="C167" s="195"/>
      <c r="D167" s="195"/>
      <c r="E167" s="195"/>
      <c r="F167" s="195"/>
      <c r="G167" s="196"/>
      <c r="H167" s="196"/>
      <c r="I167" s="196"/>
      <c r="J167" s="197"/>
      <c r="K167" s="197"/>
      <c r="L167" s="197"/>
      <c r="M167" s="196"/>
      <c r="N167" s="196"/>
      <c r="O167" s="196"/>
      <c r="P167" s="196"/>
      <c r="Q167" s="196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</row>
    <row r="168" spans="1:39" ht="14.1" customHeight="1">
      <c r="A168" s="195"/>
      <c r="B168" s="195"/>
      <c r="C168" s="195"/>
      <c r="D168" s="195"/>
      <c r="E168" s="195"/>
      <c r="F168" s="195"/>
      <c r="G168" s="196"/>
      <c r="H168" s="196"/>
      <c r="I168" s="196"/>
      <c r="J168" s="197"/>
      <c r="K168" s="197"/>
      <c r="L168" s="197"/>
      <c r="M168" s="196"/>
      <c r="N168" s="196"/>
      <c r="O168" s="196"/>
      <c r="P168" s="196"/>
      <c r="Q168" s="196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</row>
    <row r="169" spans="1:39" ht="14.1" customHeight="1">
      <c r="A169" s="195"/>
      <c r="B169" s="195"/>
      <c r="C169" s="195"/>
      <c r="D169" s="195"/>
      <c r="E169" s="195"/>
      <c r="F169" s="195"/>
      <c r="G169" s="196"/>
      <c r="H169" s="196"/>
      <c r="I169" s="196"/>
      <c r="J169" s="197"/>
      <c r="K169" s="197"/>
      <c r="L169" s="197"/>
      <c r="M169" s="196"/>
      <c r="N169" s="196"/>
      <c r="O169" s="196"/>
      <c r="P169" s="196"/>
      <c r="Q169" s="196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</row>
    <row r="170" spans="1:39" ht="14.1" customHeight="1">
      <c r="A170" s="195"/>
      <c r="B170" s="195"/>
      <c r="C170" s="195"/>
      <c r="D170" s="195"/>
      <c r="E170" s="195"/>
      <c r="F170" s="195"/>
      <c r="G170" s="196"/>
      <c r="H170" s="196"/>
      <c r="I170" s="196"/>
      <c r="J170" s="197"/>
      <c r="K170" s="197"/>
      <c r="L170" s="197"/>
      <c r="M170" s="196"/>
      <c r="N170" s="196"/>
      <c r="O170" s="196"/>
      <c r="P170" s="196"/>
      <c r="Q170" s="196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</row>
    <row r="171" spans="1:39" ht="14.1" customHeight="1">
      <c r="A171" s="195"/>
      <c r="B171" s="195"/>
      <c r="C171" s="195"/>
      <c r="D171" s="195"/>
      <c r="E171" s="195"/>
      <c r="F171" s="195"/>
      <c r="G171" s="196"/>
      <c r="H171" s="196"/>
      <c r="I171" s="196"/>
      <c r="J171" s="197"/>
      <c r="K171" s="197"/>
      <c r="L171" s="197"/>
      <c r="M171" s="196"/>
      <c r="N171" s="196"/>
      <c r="O171" s="196"/>
      <c r="P171" s="196"/>
      <c r="Q171" s="196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</row>
    <row r="172" spans="1:39" ht="14.1" customHeight="1">
      <c r="A172" s="195"/>
      <c r="B172" s="195"/>
      <c r="C172" s="195"/>
      <c r="D172" s="195"/>
      <c r="E172" s="195"/>
      <c r="F172" s="195"/>
      <c r="G172" s="196"/>
      <c r="H172" s="196"/>
      <c r="I172" s="196"/>
      <c r="J172" s="197"/>
      <c r="K172" s="197"/>
      <c r="L172" s="197"/>
      <c r="M172" s="196"/>
      <c r="N172" s="196"/>
      <c r="O172" s="196"/>
      <c r="P172" s="196"/>
      <c r="Q172" s="196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</row>
    <row r="173" spans="1:39" ht="14.1" customHeight="1">
      <c r="A173" s="195"/>
      <c r="B173" s="195"/>
      <c r="C173" s="195"/>
      <c r="D173" s="195"/>
      <c r="E173" s="195"/>
      <c r="F173" s="195"/>
      <c r="G173" s="196"/>
      <c r="H173" s="196"/>
      <c r="I173" s="196"/>
      <c r="J173" s="197"/>
      <c r="K173" s="197"/>
      <c r="L173" s="197"/>
      <c r="M173" s="196"/>
      <c r="N173" s="196"/>
      <c r="O173" s="196"/>
      <c r="P173" s="196"/>
      <c r="Q173" s="196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</row>
    <row r="174" spans="1:39" ht="14.1" customHeight="1">
      <c r="A174" s="195"/>
      <c r="B174" s="195"/>
      <c r="C174" s="195"/>
      <c r="D174" s="195"/>
      <c r="E174" s="195"/>
      <c r="F174" s="195"/>
      <c r="G174" s="196"/>
      <c r="H174" s="196"/>
      <c r="I174" s="196"/>
      <c r="J174" s="197"/>
      <c r="K174" s="197"/>
      <c r="L174" s="197"/>
      <c r="M174" s="196"/>
      <c r="N174" s="196"/>
      <c r="O174" s="196"/>
      <c r="P174" s="196"/>
      <c r="Q174" s="196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</row>
    <row r="175" spans="1:39" ht="14.1" customHeight="1"/>
    <row r="176" spans="1:39" ht="14.1" customHeight="1"/>
    <row r="177" spans="1:39" ht="15.95" customHeight="1">
      <c r="A177" s="624" t="str">
        <f>A28</f>
        <v>DETALII FACTURA FACTURA FISCALA SERIA …........ NR …................. din date de ….......06.2025</v>
      </c>
      <c r="B177" s="624"/>
      <c r="C177" s="624"/>
      <c r="D177" s="624"/>
      <c r="E177" s="624"/>
      <c r="F177" s="624"/>
      <c r="G177" s="624"/>
      <c r="H177" s="624"/>
      <c r="I177" s="624"/>
      <c r="J177" s="624"/>
      <c r="K177" s="624"/>
      <c r="L177" s="624"/>
      <c r="M177" s="624"/>
      <c r="N177" s="624"/>
      <c r="O177" s="624"/>
      <c r="P177" s="624"/>
      <c r="Q177" s="624"/>
      <c r="R177" s="624"/>
      <c r="S177" s="624"/>
      <c r="T177" s="624"/>
      <c r="U177" s="624"/>
      <c r="V177" s="624"/>
      <c r="W177" s="624"/>
      <c r="X177" s="624"/>
      <c r="Y177" s="624"/>
      <c r="Z177" s="624"/>
      <c r="AA177" s="624"/>
      <c r="AB177" s="624"/>
      <c r="AC177" s="624"/>
      <c r="AD177" s="624"/>
      <c r="AE177" s="624"/>
      <c r="AF177" s="624"/>
      <c r="AG177" s="624"/>
      <c r="AH177" s="624"/>
      <c r="AI177" s="624"/>
      <c r="AJ177" s="624"/>
      <c r="AK177" s="624"/>
      <c r="AL177" s="624"/>
      <c r="AM177" s="624"/>
    </row>
    <row r="179" spans="1:39" ht="36" customHeight="1">
      <c r="A179" s="66" t="s">
        <v>721</v>
      </c>
      <c r="B179" s="648" t="s">
        <v>95</v>
      </c>
      <c r="C179" s="648"/>
      <c r="D179" s="648"/>
      <c r="E179" s="648"/>
      <c r="F179" s="648"/>
      <c r="G179" s="648"/>
      <c r="H179" s="648"/>
      <c r="I179" s="648"/>
      <c r="J179" s="648"/>
      <c r="K179" s="648"/>
      <c r="L179" s="64" t="s">
        <v>709</v>
      </c>
      <c r="M179" s="69"/>
      <c r="N179" s="69"/>
      <c r="O179" s="64"/>
      <c r="P179" s="69"/>
      <c r="Q179" s="69"/>
      <c r="R179" s="647" t="s">
        <v>722</v>
      </c>
      <c r="S179" s="647"/>
      <c r="T179" s="647"/>
      <c r="U179" s="647"/>
      <c r="V179" s="648" t="s">
        <v>519</v>
      </c>
      <c r="W179" s="648"/>
      <c r="X179" s="647" t="s">
        <v>723</v>
      </c>
      <c r="Y179" s="647"/>
      <c r="Z179" s="647"/>
      <c r="AA179" s="647"/>
      <c r="AB179" s="647" t="s">
        <v>724</v>
      </c>
      <c r="AC179" s="647"/>
      <c r="AD179" s="647"/>
      <c r="AE179" s="647"/>
      <c r="AF179" s="647" t="s">
        <v>725</v>
      </c>
      <c r="AG179" s="647"/>
      <c r="AH179" s="647"/>
      <c r="AI179" s="647"/>
      <c r="AJ179" s="647" t="s">
        <v>726</v>
      </c>
      <c r="AK179" s="647"/>
      <c r="AL179" s="647"/>
      <c r="AM179" s="647"/>
    </row>
    <row r="180" spans="1:39" ht="15.95" customHeight="1">
      <c r="A180" s="65">
        <v>1</v>
      </c>
      <c r="B180" s="699" t="s">
        <v>71</v>
      </c>
      <c r="C180" s="700"/>
      <c r="D180" s="700"/>
      <c r="E180" s="700"/>
      <c r="F180" s="700"/>
      <c r="G180" s="700"/>
      <c r="H180" s="700"/>
      <c r="I180" s="700"/>
      <c r="J180" s="700"/>
      <c r="K180" s="701"/>
      <c r="L180" s="702">
        <f>'Date masura OD'!$I$5</f>
        <v>45778</v>
      </c>
      <c r="M180" s="702"/>
      <c r="N180" s="702"/>
      <c r="O180" s="702">
        <f>'Date masura OD'!$J$5</f>
        <v>45808</v>
      </c>
      <c r="P180" s="702"/>
      <c r="Q180" s="702"/>
      <c r="R180" s="690" cm="1">
        <f t="array" ref="R180">INDEX(verificare!$AT$4:$CC$26,VLOOKUP($AA$16,verificare!$AR$4:$AS$26,2,FALSE),A180)</f>
        <v>132914</v>
      </c>
      <c r="S180" s="690"/>
      <c r="T180" s="690"/>
      <c r="U180" s="690"/>
      <c r="V180" s="658" t="s">
        <v>446</v>
      </c>
      <c r="W180" s="658"/>
      <c r="X180" s="691">
        <f>HLOOKUP(VLOOKUP($AA$16,'Date SPV'!$B:$F,5,FALSE),'Preturi si tarife'!$C$2:$J$39,A180+2,FALSE)</f>
        <v>0.59499999999999997</v>
      </c>
      <c r="Y180" s="692"/>
      <c r="Z180" s="692"/>
      <c r="AA180" s="693"/>
      <c r="AB180" s="690">
        <f>ROUND(X180*R180,2)</f>
        <v>79083.83</v>
      </c>
      <c r="AC180" s="690"/>
      <c r="AD180" s="690"/>
      <c r="AE180" s="690"/>
      <c r="AF180" s="690">
        <f>ROUND(AB180*19%,2)</f>
        <v>15025.93</v>
      </c>
      <c r="AG180" s="690"/>
      <c r="AH180" s="690"/>
      <c r="AI180" s="690"/>
      <c r="AJ180" s="690">
        <f>AB180+AF180</f>
        <v>94109.760000000009</v>
      </c>
      <c r="AK180" s="690"/>
      <c r="AL180" s="690"/>
      <c r="AM180" s="690"/>
    </row>
    <row r="181" spans="1:39">
      <c r="A181" s="65">
        <f>A180+1</f>
        <v>2</v>
      </c>
      <c r="B181" s="699" t="s">
        <v>72</v>
      </c>
      <c r="C181" s="700"/>
      <c r="D181" s="700"/>
      <c r="E181" s="700"/>
      <c r="F181" s="700"/>
      <c r="G181" s="700"/>
      <c r="H181" s="700"/>
      <c r="I181" s="700"/>
      <c r="J181" s="700"/>
      <c r="K181" s="701"/>
      <c r="L181" s="702">
        <f>L180</f>
        <v>45778</v>
      </c>
      <c r="M181" s="702"/>
      <c r="N181" s="702"/>
      <c r="O181" s="702">
        <f>O180</f>
        <v>45808</v>
      </c>
      <c r="P181" s="702"/>
      <c r="Q181" s="702"/>
      <c r="R181" s="772" cm="1">
        <f t="array" ref="R181">INDEX(verificare!$AT$4:$CC$26,VLOOKUP($AA$16,verificare!$AR$4:$AS$26,2,FALSE),A181)</f>
        <v>0</v>
      </c>
      <c r="S181" s="773"/>
      <c r="T181" s="773"/>
      <c r="U181" s="774"/>
      <c r="V181" s="658" t="s">
        <v>727</v>
      </c>
      <c r="W181" s="658"/>
      <c r="X181" s="691">
        <f>HLOOKUP(VLOOKUP($AA$16,'Date SPV'!$B:$F,5,FALSE),'Preturi si tarife'!$C$2:$J$39,A181+2,FALSE)</f>
        <v>0.14649999999999999</v>
      </c>
      <c r="Y181" s="692"/>
      <c r="Z181" s="692"/>
      <c r="AA181" s="693"/>
      <c r="AB181" s="690">
        <f t="shared" ref="AB181:AB215" si="6">ROUND(X181*R181,2)</f>
        <v>0</v>
      </c>
      <c r="AC181" s="690"/>
      <c r="AD181" s="690"/>
      <c r="AE181" s="690"/>
      <c r="AF181" s="690">
        <f t="shared" ref="AF181:AF216" si="7">ROUND(AB181*19%,2)</f>
        <v>0</v>
      </c>
      <c r="AG181" s="690"/>
      <c r="AH181" s="690"/>
      <c r="AI181" s="690"/>
      <c r="AJ181" s="690">
        <f t="shared" ref="AJ181:AJ216" si="8">AB181+AF181</f>
        <v>0</v>
      </c>
      <c r="AK181" s="690"/>
      <c r="AL181" s="690"/>
      <c r="AM181" s="690"/>
    </row>
    <row r="182" spans="1:39">
      <c r="A182" s="65">
        <f t="shared" ref="A182:A216" si="9">A181+1</f>
        <v>3</v>
      </c>
      <c r="B182" s="699" t="s">
        <v>73</v>
      </c>
      <c r="C182" s="700"/>
      <c r="D182" s="700"/>
      <c r="E182" s="700"/>
      <c r="F182" s="700"/>
      <c r="G182" s="700"/>
      <c r="H182" s="700"/>
      <c r="I182" s="700"/>
      <c r="J182" s="700"/>
      <c r="K182" s="701"/>
      <c r="L182" s="702">
        <f t="shared" ref="L182:L197" si="10">L181</f>
        <v>45778</v>
      </c>
      <c r="M182" s="702"/>
      <c r="N182" s="702"/>
      <c r="O182" s="702">
        <f t="shared" ref="O182:O197" si="11">O181</f>
        <v>45808</v>
      </c>
      <c r="P182" s="702"/>
      <c r="Q182" s="702"/>
      <c r="R182" s="772" cm="1">
        <f t="array" ref="R182">INDEX(verificare!$AT$4:$CC$26,VLOOKUP($AA$16,verificare!$AR$4:$AS$26,2,FALSE),A182)</f>
        <v>0</v>
      </c>
      <c r="S182" s="773"/>
      <c r="T182" s="773"/>
      <c r="U182" s="774"/>
      <c r="V182" s="658" t="s">
        <v>727</v>
      </c>
      <c r="W182" s="658"/>
      <c r="X182" s="691">
        <f>HLOOKUP(VLOOKUP($AA$16,'Date SPV'!$B:$F,5,FALSE),'Preturi si tarife'!$C$2:$J$39,A182+2,FALSE)</f>
        <v>0.4395</v>
      </c>
      <c r="Y182" s="692"/>
      <c r="Z182" s="692"/>
      <c r="AA182" s="693"/>
      <c r="AB182" s="690">
        <f t="shared" si="6"/>
        <v>0</v>
      </c>
      <c r="AC182" s="690"/>
      <c r="AD182" s="690"/>
      <c r="AE182" s="690"/>
      <c r="AF182" s="690">
        <f t="shared" si="7"/>
        <v>0</v>
      </c>
      <c r="AG182" s="690"/>
      <c r="AH182" s="690"/>
      <c r="AI182" s="690"/>
      <c r="AJ182" s="690">
        <f t="shared" si="8"/>
        <v>0</v>
      </c>
      <c r="AK182" s="690"/>
      <c r="AL182" s="690"/>
      <c r="AM182" s="690"/>
    </row>
    <row r="183" spans="1:39" ht="15.95" customHeight="1">
      <c r="A183" s="65">
        <f t="shared" si="9"/>
        <v>4</v>
      </c>
      <c r="B183" s="699" t="s">
        <v>868</v>
      </c>
      <c r="C183" s="700"/>
      <c r="D183" s="700"/>
      <c r="E183" s="700"/>
      <c r="F183" s="700"/>
      <c r="G183" s="700"/>
      <c r="H183" s="700"/>
      <c r="I183" s="700"/>
      <c r="J183" s="700"/>
      <c r="K183" s="701"/>
      <c r="L183" s="702">
        <f t="shared" si="10"/>
        <v>45778</v>
      </c>
      <c r="M183" s="702"/>
      <c r="N183" s="702"/>
      <c r="O183" s="702">
        <f t="shared" si="11"/>
        <v>45808</v>
      </c>
      <c r="P183" s="702"/>
      <c r="Q183" s="702"/>
      <c r="R183" s="772" cm="1">
        <f t="array" ref="R183">INDEX(verificare!$AT$4:$CC$26,VLOOKUP($AA$16,verificare!$AR$4:$AS$26,2,FALSE),A183)</f>
        <v>132914</v>
      </c>
      <c r="S183" s="773"/>
      <c r="T183" s="773"/>
      <c r="U183" s="774"/>
      <c r="V183" s="658" t="s">
        <v>446</v>
      </c>
      <c r="W183" s="658"/>
      <c r="X183" s="691">
        <f>HLOOKUP(VLOOKUP($AA$16,'Date SPV'!$B:$F,5,FALSE),'Preturi si tarife'!$C$2:$J$39,A183+2,FALSE)</f>
        <v>0.13613999999999998</v>
      </c>
      <c r="Y183" s="692"/>
      <c r="Z183" s="692"/>
      <c r="AA183" s="693"/>
      <c r="AB183" s="690">
        <f t="shared" si="6"/>
        <v>18094.91</v>
      </c>
      <c r="AC183" s="690"/>
      <c r="AD183" s="690"/>
      <c r="AE183" s="690"/>
      <c r="AF183" s="690">
        <f t="shared" si="7"/>
        <v>3438.03</v>
      </c>
      <c r="AG183" s="690"/>
      <c r="AH183" s="690"/>
      <c r="AI183" s="690"/>
      <c r="AJ183" s="690">
        <f t="shared" si="8"/>
        <v>21532.94</v>
      </c>
      <c r="AK183" s="690"/>
      <c r="AL183" s="690"/>
      <c r="AM183" s="690"/>
    </row>
    <row r="184" spans="1:39">
      <c r="A184" s="65">
        <f t="shared" si="9"/>
        <v>5</v>
      </c>
      <c r="B184" s="699" t="s">
        <v>757</v>
      </c>
      <c r="C184" s="700"/>
      <c r="D184" s="700"/>
      <c r="E184" s="700"/>
      <c r="F184" s="700"/>
      <c r="G184" s="700"/>
      <c r="H184" s="700"/>
      <c r="I184" s="700"/>
      <c r="J184" s="700"/>
      <c r="K184" s="701"/>
      <c r="L184" s="702">
        <f t="shared" si="10"/>
        <v>45778</v>
      </c>
      <c r="M184" s="702"/>
      <c r="N184" s="702"/>
      <c r="O184" s="702">
        <f t="shared" si="11"/>
        <v>45808</v>
      </c>
      <c r="P184" s="702"/>
      <c r="Q184" s="702"/>
      <c r="R184" s="772" cm="1">
        <f t="array" ref="R184">INDEX(verificare!$AT$4:$CC$26,VLOOKUP($AA$16,verificare!$AR$4:$AS$26,2,FALSE),A184)</f>
        <v>0</v>
      </c>
      <c r="S184" s="773"/>
      <c r="T184" s="773"/>
      <c r="U184" s="774"/>
      <c r="V184" s="658" t="s">
        <v>446</v>
      </c>
      <c r="W184" s="658"/>
      <c r="X184" s="691">
        <f>HLOOKUP(VLOOKUP($AA$16,'Date SPV'!$B:$F,5,FALSE),'Preturi si tarife'!$C$2:$J$39,A184+2,FALSE)</f>
        <v>0.22738999999999998</v>
      </c>
      <c r="Y184" s="692"/>
      <c r="Z184" s="692"/>
      <c r="AA184" s="693"/>
      <c r="AB184" s="690">
        <f t="shared" si="6"/>
        <v>0</v>
      </c>
      <c r="AC184" s="690"/>
      <c r="AD184" s="690"/>
      <c r="AE184" s="690"/>
      <c r="AF184" s="690">
        <f t="shared" si="7"/>
        <v>0</v>
      </c>
      <c r="AG184" s="690"/>
      <c r="AH184" s="690"/>
      <c r="AI184" s="690"/>
      <c r="AJ184" s="690">
        <f t="shared" si="8"/>
        <v>0</v>
      </c>
      <c r="AK184" s="690"/>
      <c r="AL184" s="690"/>
      <c r="AM184" s="690"/>
    </row>
    <row r="185" spans="1:39" ht="15.95" customHeight="1">
      <c r="A185" s="65">
        <f t="shared" si="9"/>
        <v>6</v>
      </c>
      <c r="B185" s="699" t="s">
        <v>74</v>
      </c>
      <c r="C185" s="700"/>
      <c r="D185" s="700"/>
      <c r="E185" s="700"/>
      <c r="F185" s="700"/>
      <c r="G185" s="700"/>
      <c r="H185" s="700"/>
      <c r="I185" s="700"/>
      <c r="J185" s="700"/>
      <c r="K185" s="701"/>
      <c r="L185" s="702">
        <f t="shared" si="10"/>
        <v>45778</v>
      </c>
      <c r="M185" s="702"/>
      <c r="N185" s="702"/>
      <c r="O185" s="702">
        <f t="shared" si="11"/>
        <v>45808</v>
      </c>
      <c r="P185" s="702"/>
      <c r="Q185" s="702"/>
      <c r="R185" s="772" cm="1">
        <f t="array" ref="R185">INDEX(verificare!$AT$4:$CC$26,VLOOKUP($AA$16,verificare!$AR$4:$AS$26,2,FALSE),A185)</f>
        <v>132914</v>
      </c>
      <c r="S185" s="773"/>
      <c r="T185" s="773"/>
      <c r="U185" s="774"/>
      <c r="V185" s="658" t="s">
        <v>446</v>
      </c>
      <c r="W185" s="658"/>
      <c r="X185" s="691">
        <f>HLOOKUP(VLOOKUP($AA$16,'Date SPV'!$B:$F,5,FALSE),'Preturi si tarife'!$C$2:$J$39,A185+2,FALSE)</f>
        <v>1.1509999999999999E-2</v>
      </c>
      <c r="Y185" s="692"/>
      <c r="Z185" s="692"/>
      <c r="AA185" s="693"/>
      <c r="AB185" s="690">
        <f t="shared" si="6"/>
        <v>1529.84</v>
      </c>
      <c r="AC185" s="690"/>
      <c r="AD185" s="690"/>
      <c r="AE185" s="690"/>
      <c r="AF185" s="690">
        <f t="shared" si="7"/>
        <v>290.67</v>
      </c>
      <c r="AG185" s="690"/>
      <c r="AH185" s="690"/>
      <c r="AI185" s="690"/>
      <c r="AJ185" s="690">
        <f t="shared" si="8"/>
        <v>1820.51</v>
      </c>
      <c r="AK185" s="690"/>
      <c r="AL185" s="690"/>
      <c r="AM185" s="690"/>
    </row>
    <row r="186" spans="1:39" ht="15.95" customHeight="1">
      <c r="A186" s="65">
        <f t="shared" si="9"/>
        <v>7</v>
      </c>
      <c r="B186" s="699" t="s">
        <v>75</v>
      </c>
      <c r="C186" s="700"/>
      <c r="D186" s="700"/>
      <c r="E186" s="700"/>
      <c r="F186" s="700"/>
      <c r="G186" s="700"/>
      <c r="H186" s="700"/>
      <c r="I186" s="700"/>
      <c r="J186" s="700"/>
      <c r="K186" s="701"/>
      <c r="L186" s="702">
        <f t="shared" si="10"/>
        <v>45778</v>
      </c>
      <c r="M186" s="702"/>
      <c r="N186" s="702"/>
      <c r="O186" s="702">
        <f t="shared" si="11"/>
        <v>45808</v>
      </c>
      <c r="P186" s="702"/>
      <c r="Q186" s="702"/>
      <c r="R186" s="772" cm="1">
        <f t="array" ref="R186">INDEX(verificare!$AT$4:$CC$26,VLOOKUP($AA$16,verificare!$AR$4:$AS$26,2,FALSE),A186)</f>
        <v>132914</v>
      </c>
      <c r="S186" s="773"/>
      <c r="T186" s="773"/>
      <c r="U186" s="774"/>
      <c r="V186" s="658" t="s">
        <v>446</v>
      </c>
      <c r="W186" s="658"/>
      <c r="X186" s="691">
        <f>HLOOKUP(VLOOKUP($AA$16,'Date SPV'!$B:$F,5,FALSE),'Preturi si tarife'!$C$2:$J$39,A186+2,FALSE)</f>
        <v>3.3030000000000004E-2</v>
      </c>
      <c r="Y186" s="692"/>
      <c r="Z186" s="692"/>
      <c r="AA186" s="693"/>
      <c r="AB186" s="690">
        <f t="shared" si="6"/>
        <v>4390.1499999999996</v>
      </c>
      <c r="AC186" s="690"/>
      <c r="AD186" s="690"/>
      <c r="AE186" s="690"/>
      <c r="AF186" s="690">
        <f t="shared" si="7"/>
        <v>834.13</v>
      </c>
      <c r="AG186" s="690"/>
      <c r="AH186" s="690"/>
      <c r="AI186" s="690"/>
      <c r="AJ186" s="690">
        <f t="shared" si="8"/>
        <v>5224.28</v>
      </c>
      <c r="AK186" s="690"/>
      <c r="AL186" s="690"/>
      <c r="AM186" s="690"/>
    </row>
    <row r="187" spans="1:39" ht="15.95" customHeight="1">
      <c r="A187" s="65">
        <f t="shared" si="9"/>
        <v>8</v>
      </c>
      <c r="B187" s="699" t="s">
        <v>76</v>
      </c>
      <c r="C187" s="700"/>
      <c r="D187" s="700"/>
      <c r="E187" s="700"/>
      <c r="F187" s="700"/>
      <c r="G187" s="700"/>
      <c r="H187" s="700"/>
      <c r="I187" s="700"/>
      <c r="J187" s="700"/>
      <c r="K187" s="701"/>
      <c r="L187" s="702">
        <f t="shared" si="10"/>
        <v>45778</v>
      </c>
      <c r="M187" s="702"/>
      <c r="N187" s="702"/>
      <c r="O187" s="702">
        <f t="shared" si="11"/>
        <v>45808</v>
      </c>
      <c r="P187" s="702"/>
      <c r="Q187" s="702"/>
      <c r="R187" s="772" cm="1">
        <f t="array" ref="R187">INDEX(verificare!$AT$4:$CC$26,VLOOKUP($AA$16,verificare!$AR$4:$AS$26,2,FALSE),A187)</f>
        <v>132914</v>
      </c>
      <c r="S187" s="773"/>
      <c r="T187" s="773"/>
      <c r="U187" s="774"/>
      <c r="V187" s="658" t="s">
        <v>446</v>
      </c>
      <c r="W187" s="658"/>
      <c r="X187" s="691">
        <f>HLOOKUP(VLOOKUP($AA$16,'Date SPV'!$B:$F,5,FALSE),'Preturi si tarife'!$C$2:$J$39,A187+2,FALSE)</f>
        <v>3.29E-3</v>
      </c>
      <c r="Y187" s="692"/>
      <c r="Z187" s="692"/>
      <c r="AA187" s="693"/>
      <c r="AB187" s="690">
        <f t="shared" si="6"/>
        <v>437.29</v>
      </c>
      <c r="AC187" s="690"/>
      <c r="AD187" s="690"/>
      <c r="AE187" s="690"/>
      <c r="AF187" s="690">
        <f t="shared" si="7"/>
        <v>83.09</v>
      </c>
      <c r="AG187" s="690"/>
      <c r="AH187" s="690"/>
      <c r="AI187" s="690"/>
      <c r="AJ187" s="690">
        <f t="shared" si="8"/>
        <v>520.38</v>
      </c>
      <c r="AK187" s="690"/>
      <c r="AL187" s="690"/>
      <c r="AM187" s="690"/>
    </row>
    <row r="188" spans="1:39" ht="15.95" customHeight="1">
      <c r="A188" s="65">
        <f t="shared" si="9"/>
        <v>9</v>
      </c>
      <c r="B188" s="699" t="s">
        <v>77</v>
      </c>
      <c r="C188" s="700"/>
      <c r="D188" s="700"/>
      <c r="E188" s="700"/>
      <c r="F188" s="700"/>
      <c r="G188" s="700"/>
      <c r="H188" s="700"/>
      <c r="I188" s="700"/>
      <c r="J188" s="700"/>
      <c r="K188" s="701"/>
      <c r="L188" s="702">
        <f t="shared" si="10"/>
        <v>45778</v>
      </c>
      <c r="M188" s="702"/>
      <c r="N188" s="702"/>
      <c r="O188" s="702">
        <f t="shared" si="11"/>
        <v>45808</v>
      </c>
      <c r="P188" s="702"/>
      <c r="Q188" s="702"/>
      <c r="R188" s="772" cm="1">
        <f t="array" ref="R188">INDEX(verificare!$AT$4:$CC$26,VLOOKUP($AA$16,verificare!$AR$4:$AS$26,2,FALSE),A188)</f>
        <v>132914</v>
      </c>
      <c r="S188" s="773"/>
      <c r="T188" s="773"/>
      <c r="U188" s="774"/>
      <c r="V188" s="658" t="s">
        <v>446</v>
      </c>
      <c r="W188" s="658"/>
      <c r="X188" s="691">
        <f>HLOOKUP(VLOOKUP($AA$16,'Date SPV'!$B:$F,5,FALSE),'Preturi si tarife'!$C$2:$J$39,A188+2,FALSE)</f>
        <v>3.5000000000000001E-3</v>
      </c>
      <c r="Y188" s="692"/>
      <c r="Z188" s="692"/>
      <c r="AA188" s="693"/>
      <c r="AB188" s="690">
        <f t="shared" si="6"/>
        <v>465.2</v>
      </c>
      <c r="AC188" s="690"/>
      <c r="AD188" s="690"/>
      <c r="AE188" s="690"/>
      <c r="AF188" s="690">
        <f t="shared" si="7"/>
        <v>88.39</v>
      </c>
      <c r="AG188" s="690"/>
      <c r="AH188" s="690"/>
      <c r="AI188" s="690"/>
      <c r="AJ188" s="690">
        <f t="shared" si="8"/>
        <v>553.59</v>
      </c>
      <c r="AK188" s="690"/>
      <c r="AL188" s="690"/>
      <c r="AM188" s="690"/>
    </row>
    <row r="189" spans="1:39" ht="15.95" customHeight="1">
      <c r="A189" s="65">
        <f t="shared" si="9"/>
        <v>10</v>
      </c>
      <c r="B189" s="699" t="s">
        <v>78</v>
      </c>
      <c r="C189" s="700"/>
      <c r="D189" s="700"/>
      <c r="E189" s="700"/>
      <c r="F189" s="700"/>
      <c r="G189" s="700"/>
      <c r="H189" s="700"/>
      <c r="I189" s="700"/>
      <c r="J189" s="700"/>
      <c r="K189" s="701"/>
      <c r="L189" s="702">
        <f t="shared" si="10"/>
        <v>45778</v>
      </c>
      <c r="M189" s="702"/>
      <c r="N189" s="702"/>
      <c r="O189" s="702">
        <f t="shared" si="11"/>
        <v>45808</v>
      </c>
      <c r="P189" s="702"/>
      <c r="Q189" s="702"/>
      <c r="R189" s="772" cm="1">
        <f t="array" ref="R189">INDEX(verificare!$AT$4:$CC$26,VLOOKUP($AA$16,verificare!$AR$4:$AS$26,2,FALSE),A189)</f>
        <v>132914</v>
      </c>
      <c r="S189" s="773"/>
      <c r="T189" s="773"/>
      <c r="U189" s="774"/>
      <c r="V189" s="658" t="s">
        <v>446</v>
      </c>
      <c r="W189" s="658"/>
      <c r="X189" s="691">
        <f>HLOOKUP(VLOOKUP($AA$16,'Date SPV'!$B:$F,5,FALSE),'Preturi si tarife'!$C$2:$J$39,A189+2,FALSE)</f>
        <v>7.2541599999999998E-2</v>
      </c>
      <c r="Y189" s="692"/>
      <c r="Z189" s="692"/>
      <c r="AA189" s="693"/>
      <c r="AB189" s="690">
        <f t="shared" si="6"/>
        <v>9641.7900000000009</v>
      </c>
      <c r="AC189" s="690"/>
      <c r="AD189" s="690"/>
      <c r="AE189" s="690"/>
      <c r="AF189" s="690">
        <f t="shared" si="7"/>
        <v>1831.94</v>
      </c>
      <c r="AG189" s="690"/>
      <c r="AH189" s="690"/>
      <c r="AI189" s="690"/>
      <c r="AJ189" s="690">
        <f t="shared" si="8"/>
        <v>11473.730000000001</v>
      </c>
      <c r="AK189" s="690"/>
      <c r="AL189" s="690"/>
      <c r="AM189" s="690"/>
    </row>
    <row r="190" spans="1:39" ht="15.95" customHeight="1">
      <c r="A190" s="65">
        <f t="shared" si="9"/>
        <v>11</v>
      </c>
      <c r="B190" s="699" t="s">
        <v>1313</v>
      </c>
      <c r="C190" s="700"/>
      <c r="D190" s="700"/>
      <c r="E190" s="700"/>
      <c r="F190" s="700"/>
      <c r="G190" s="700"/>
      <c r="H190" s="700"/>
      <c r="I190" s="700"/>
      <c r="J190" s="700"/>
      <c r="K190" s="701"/>
      <c r="L190" s="702">
        <f t="shared" si="10"/>
        <v>45778</v>
      </c>
      <c r="M190" s="702"/>
      <c r="N190" s="702"/>
      <c r="O190" s="702">
        <f t="shared" si="11"/>
        <v>45808</v>
      </c>
      <c r="P190" s="702"/>
      <c r="Q190" s="702"/>
      <c r="R190" s="772" cm="1">
        <f t="array" ref="R190">INDEX(verificare!$AT$4:$CC$26,VLOOKUP($AA$16,verificare!$AR$4:$AS$26,2,FALSE),A190)</f>
        <v>132914</v>
      </c>
      <c r="S190" s="773"/>
      <c r="T190" s="773"/>
      <c r="U190" s="774"/>
      <c r="V190" s="724" t="s">
        <v>446</v>
      </c>
      <c r="W190" s="725"/>
      <c r="X190" s="691">
        <f>HLOOKUP(VLOOKUP($AA$16,'Date SPV'!$B:$F,5,FALSE),'Preturi si tarife'!$C$2:$J$39,A190+2,FALSE)</f>
        <v>2.0599999999999999E-4</v>
      </c>
      <c r="Y190" s="692"/>
      <c r="Z190" s="692"/>
      <c r="AA190" s="693"/>
      <c r="AB190" s="772">
        <f t="shared" si="6"/>
        <v>27.38</v>
      </c>
      <c r="AC190" s="773"/>
      <c r="AD190" s="773"/>
      <c r="AE190" s="774"/>
      <c r="AF190" s="772">
        <f t="shared" si="7"/>
        <v>5.2</v>
      </c>
      <c r="AG190" s="773"/>
      <c r="AH190" s="773"/>
      <c r="AI190" s="774"/>
      <c r="AJ190" s="772">
        <f t="shared" si="8"/>
        <v>32.58</v>
      </c>
      <c r="AK190" s="773"/>
      <c r="AL190" s="773"/>
      <c r="AM190" s="774"/>
    </row>
    <row r="191" spans="1:39">
      <c r="A191" s="65">
        <f t="shared" si="9"/>
        <v>12</v>
      </c>
      <c r="B191" s="699" t="s">
        <v>79</v>
      </c>
      <c r="C191" s="700"/>
      <c r="D191" s="700"/>
      <c r="E191" s="700"/>
      <c r="F191" s="700"/>
      <c r="G191" s="700"/>
      <c r="H191" s="700"/>
      <c r="I191" s="700"/>
      <c r="J191" s="700"/>
      <c r="K191" s="701"/>
      <c r="L191" s="702">
        <f>L189</f>
        <v>45778</v>
      </c>
      <c r="M191" s="702"/>
      <c r="N191" s="702"/>
      <c r="O191" s="702">
        <f>O189</f>
        <v>45808</v>
      </c>
      <c r="P191" s="702"/>
      <c r="Q191" s="702"/>
      <c r="R191" s="772" cm="1">
        <f t="array" ref="R191">INDEX(verificare!$AT$4:$CC$26,VLOOKUP($AA$16,verificare!$AR$4:$AS$26,2,FALSE),A191)</f>
        <v>132914</v>
      </c>
      <c r="S191" s="773"/>
      <c r="T191" s="773"/>
      <c r="U191" s="774"/>
      <c r="V191" s="658" t="s">
        <v>446</v>
      </c>
      <c r="W191" s="658"/>
      <c r="X191" s="691">
        <f>HLOOKUP(VLOOKUP($AA$16,'Date SPV'!$B:$F,5,FALSE),'Preturi si tarife'!$C$2:$J$39,A191+2,FALSE)</f>
        <v>0</v>
      </c>
      <c r="Y191" s="692"/>
      <c r="Z191" s="692"/>
      <c r="AA191" s="693"/>
      <c r="AB191" s="690">
        <f t="shared" si="6"/>
        <v>0</v>
      </c>
      <c r="AC191" s="690"/>
      <c r="AD191" s="690"/>
      <c r="AE191" s="690"/>
      <c r="AF191" s="690">
        <f t="shared" si="7"/>
        <v>0</v>
      </c>
      <c r="AG191" s="690"/>
      <c r="AH191" s="690"/>
      <c r="AI191" s="690"/>
      <c r="AJ191" s="690">
        <f t="shared" si="8"/>
        <v>0</v>
      </c>
      <c r="AK191" s="690"/>
      <c r="AL191" s="690"/>
      <c r="AM191" s="690"/>
    </row>
    <row r="192" spans="1:39" ht="15.95" customHeight="1">
      <c r="A192" s="65">
        <f t="shared" si="9"/>
        <v>13</v>
      </c>
      <c r="B192" s="699" t="s">
        <v>80</v>
      </c>
      <c r="C192" s="700"/>
      <c r="D192" s="700"/>
      <c r="E192" s="700"/>
      <c r="F192" s="700"/>
      <c r="G192" s="700"/>
      <c r="H192" s="700"/>
      <c r="I192" s="700"/>
      <c r="J192" s="700"/>
      <c r="K192" s="701"/>
      <c r="L192" s="702">
        <f t="shared" si="10"/>
        <v>45778</v>
      </c>
      <c r="M192" s="702"/>
      <c r="N192" s="702"/>
      <c r="O192" s="702">
        <f t="shared" si="11"/>
        <v>45808</v>
      </c>
      <c r="P192" s="702"/>
      <c r="Q192" s="702"/>
      <c r="R192" s="772" cm="1">
        <f t="array" ref="R192">INDEX(verificare!$AT$4:$CC$26,VLOOKUP($AA$16,verificare!$AR$4:$AS$26,2,FALSE),A192)</f>
        <v>132914</v>
      </c>
      <c r="S192" s="773"/>
      <c r="T192" s="773"/>
      <c r="U192" s="774"/>
      <c r="V192" s="658" t="s">
        <v>446</v>
      </c>
      <c r="W192" s="658"/>
      <c r="X192" s="691">
        <f>HLOOKUP(VLOOKUP($AA$16,'Date SPV'!$B:$F,5,FALSE),'Preturi si tarife'!$C$2:$J$39,A192+2,FALSE)</f>
        <v>1.7000000000000001E-2</v>
      </c>
      <c r="Y192" s="692"/>
      <c r="Z192" s="692"/>
      <c r="AA192" s="693"/>
      <c r="AB192" s="690">
        <f t="shared" si="6"/>
        <v>2259.54</v>
      </c>
      <c r="AC192" s="690"/>
      <c r="AD192" s="690"/>
      <c r="AE192" s="690"/>
      <c r="AF192" s="690">
        <f t="shared" si="7"/>
        <v>429.31</v>
      </c>
      <c r="AG192" s="690"/>
      <c r="AH192" s="690"/>
      <c r="AI192" s="690"/>
      <c r="AJ192" s="690">
        <f t="shared" si="8"/>
        <v>2688.85</v>
      </c>
      <c r="AK192" s="690"/>
      <c r="AL192" s="690"/>
      <c r="AM192" s="690"/>
    </row>
    <row r="193" spans="1:39">
      <c r="A193" s="65">
        <f t="shared" si="9"/>
        <v>14</v>
      </c>
      <c r="B193" s="699" t="s">
        <v>81</v>
      </c>
      <c r="C193" s="700"/>
      <c r="D193" s="700"/>
      <c r="E193" s="700"/>
      <c r="F193" s="700"/>
      <c r="G193" s="700"/>
      <c r="H193" s="700"/>
      <c r="I193" s="700"/>
      <c r="J193" s="700"/>
      <c r="K193" s="701"/>
      <c r="L193" s="702">
        <f t="shared" si="10"/>
        <v>45778</v>
      </c>
      <c r="M193" s="702"/>
      <c r="N193" s="702"/>
      <c r="O193" s="702">
        <f t="shared" si="11"/>
        <v>45808</v>
      </c>
      <c r="P193" s="702"/>
      <c r="Q193" s="702"/>
      <c r="R193" s="772" cm="1">
        <f t="array" ref="R193">INDEX(verificare!$AT$4:$CC$26,VLOOKUP($AA$16,verificare!$AR$4:$AS$26,2,FALSE),A193)</f>
        <v>132914</v>
      </c>
      <c r="S193" s="773"/>
      <c r="T193" s="773"/>
      <c r="U193" s="774"/>
      <c r="V193" s="658" t="s">
        <v>446</v>
      </c>
      <c r="W193" s="658"/>
      <c r="X193" s="691">
        <f>HLOOKUP(VLOOKUP($AA$16,'Date SPV'!$B:$F,5,FALSE),'Preturi si tarife'!$C$2:$J$39,A193+2,FALSE)</f>
        <v>0.10290000000000001</v>
      </c>
      <c r="Y193" s="692"/>
      <c r="Z193" s="692"/>
      <c r="AA193" s="693"/>
      <c r="AB193" s="690">
        <f t="shared" si="6"/>
        <v>13676.85</v>
      </c>
      <c r="AC193" s="690"/>
      <c r="AD193" s="690"/>
      <c r="AE193" s="690"/>
      <c r="AF193" s="690">
        <f t="shared" si="7"/>
        <v>2598.6</v>
      </c>
      <c r="AG193" s="690"/>
      <c r="AH193" s="690"/>
      <c r="AI193" s="690"/>
      <c r="AJ193" s="690">
        <f t="shared" si="8"/>
        <v>16275.45</v>
      </c>
      <c r="AK193" s="690"/>
      <c r="AL193" s="690"/>
      <c r="AM193" s="690"/>
    </row>
    <row r="194" spans="1:39">
      <c r="A194" s="65">
        <f t="shared" si="9"/>
        <v>15</v>
      </c>
      <c r="B194" s="699" t="s">
        <v>82</v>
      </c>
      <c r="C194" s="700"/>
      <c r="D194" s="700"/>
      <c r="E194" s="700"/>
      <c r="F194" s="700"/>
      <c r="G194" s="700"/>
      <c r="H194" s="700"/>
      <c r="I194" s="700"/>
      <c r="J194" s="700"/>
      <c r="K194" s="701"/>
      <c r="L194" s="702">
        <f t="shared" si="10"/>
        <v>45778</v>
      </c>
      <c r="M194" s="702"/>
      <c r="N194" s="702"/>
      <c r="O194" s="702">
        <f t="shared" si="11"/>
        <v>45808</v>
      </c>
      <c r="P194" s="702"/>
      <c r="Q194" s="702"/>
      <c r="R194" s="690" cm="1">
        <f t="array" ref="R194">INDEX(verificare!$AT$4:$CC$26,VLOOKUP($AA$16,verificare!$AR$4:$AS$26,2,FALSE),A194)</f>
        <v>92230</v>
      </c>
      <c r="S194" s="690"/>
      <c r="T194" s="690"/>
      <c r="U194" s="690"/>
      <c r="V194" s="658" t="s">
        <v>446</v>
      </c>
      <c r="W194" s="658"/>
      <c r="X194" s="691">
        <f>HLOOKUP(VLOOKUP($AA$16,'Date SPV'!$B:$F,5,FALSE),'Preturi si tarife'!$C$2:$J$39,A194+2,FALSE)</f>
        <v>0.97511760000000003</v>
      </c>
      <c r="Y194" s="692"/>
      <c r="Z194" s="692"/>
      <c r="AA194" s="693"/>
      <c r="AB194" s="690">
        <f t="shared" si="6"/>
        <v>89935.1</v>
      </c>
      <c r="AC194" s="690"/>
      <c r="AD194" s="690"/>
      <c r="AE194" s="690"/>
      <c r="AF194" s="690">
        <f t="shared" si="7"/>
        <v>17087.669999999998</v>
      </c>
      <c r="AG194" s="690"/>
      <c r="AH194" s="690"/>
      <c r="AI194" s="690"/>
      <c r="AJ194" s="690">
        <f t="shared" si="8"/>
        <v>107022.77</v>
      </c>
      <c r="AK194" s="690"/>
      <c r="AL194" s="690"/>
      <c r="AM194" s="690"/>
    </row>
    <row r="195" spans="1:39" ht="15.95" customHeight="1">
      <c r="A195" s="65">
        <f t="shared" si="9"/>
        <v>16</v>
      </c>
      <c r="B195" s="699" t="s">
        <v>83</v>
      </c>
      <c r="C195" s="700"/>
      <c r="D195" s="700"/>
      <c r="E195" s="700"/>
      <c r="F195" s="700"/>
      <c r="G195" s="700"/>
      <c r="H195" s="700"/>
      <c r="I195" s="700"/>
      <c r="J195" s="700"/>
      <c r="K195" s="701"/>
      <c r="L195" s="702">
        <f t="shared" si="10"/>
        <v>45778</v>
      </c>
      <c r="M195" s="702"/>
      <c r="N195" s="702"/>
      <c r="O195" s="702">
        <f t="shared" si="11"/>
        <v>45808</v>
      </c>
      <c r="P195" s="702"/>
      <c r="Q195" s="702"/>
      <c r="R195" s="690" cm="1">
        <f t="array" ref="R195">INDEX(verificare!$AT$4:$CC$26,VLOOKUP($AA$16,verificare!$AR$4:$AS$26,2,FALSE),A195)</f>
        <v>18203</v>
      </c>
      <c r="S195" s="690"/>
      <c r="T195" s="690"/>
      <c r="U195" s="690"/>
      <c r="V195" s="658" t="s">
        <v>446</v>
      </c>
      <c r="W195" s="658"/>
      <c r="X195" s="691">
        <f>HLOOKUP(VLOOKUP($AA$16,'Date SPV'!$B:$F,5,FALSE),'Preturi si tarife'!$C$2:$J$39,A195+2,FALSE)</f>
        <v>0.85521760000000002</v>
      </c>
      <c r="Y195" s="692"/>
      <c r="Z195" s="692"/>
      <c r="AA195" s="693"/>
      <c r="AB195" s="690">
        <f t="shared" si="6"/>
        <v>15567.53</v>
      </c>
      <c r="AC195" s="690"/>
      <c r="AD195" s="690"/>
      <c r="AE195" s="690"/>
      <c r="AF195" s="690">
        <f t="shared" si="7"/>
        <v>2957.83</v>
      </c>
      <c r="AG195" s="690"/>
      <c r="AH195" s="690"/>
      <c r="AI195" s="690"/>
      <c r="AJ195" s="690">
        <f t="shared" si="8"/>
        <v>18525.36</v>
      </c>
      <c r="AK195" s="690"/>
      <c r="AL195" s="690"/>
      <c r="AM195" s="690"/>
    </row>
    <row r="196" spans="1:39" ht="15.95" customHeight="1">
      <c r="A196" s="65">
        <f t="shared" si="9"/>
        <v>17</v>
      </c>
      <c r="B196" s="699" t="s">
        <v>1129</v>
      </c>
      <c r="C196" s="700"/>
      <c r="D196" s="700"/>
      <c r="E196" s="700"/>
      <c r="F196" s="700"/>
      <c r="G196" s="700"/>
      <c r="H196" s="700"/>
      <c r="I196" s="700"/>
      <c r="J196" s="700"/>
      <c r="K196" s="701"/>
      <c r="L196" s="702">
        <f t="shared" si="10"/>
        <v>45778</v>
      </c>
      <c r="M196" s="702"/>
      <c r="N196" s="702"/>
      <c r="O196" s="702">
        <f t="shared" si="11"/>
        <v>45808</v>
      </c>
      <c r="P196" s="702"/>
      <c r="Q196" s="702"/>
      <c r="R196" s="690" cm="1">
        <f t="array" ref="R196">INDEX(verificare!$AT$4:$CC$26,VLOOKUP($AA$16,verificare!$AR$4:$AS$26,2,FALSE),A196)</f>
        <v>18203</v>
      </c>
      <c r="S196" s="690"/>
      <c r="T196" s="690"/>
      <c r="U196" s="690"/>
      <c r="V196" s="658" t="s">
        <v>446</v>
      </c>
      <c r="W196" s="658"/>
      <c r="X196" s="691">
        <f>HLOOKUP(VLOOKUP($AA$16,'Date SPV'!$B:$F,5,FALSE),'Preturi si tarife'!$C$2:$J$39,A196+2,FALSE)</f>
        <v>1.7000000000000001E-2</v>
      </c>
      <c r="Y196" s="692"/>
      <c r="Z196" s="692"/>
      <c r="AA196" s="693"/>
      <c r="AB196" s="690">
        <f t="shared" si="6"/>
        <v>309.45</v>
      </c>
      <c r="AC196" s="690"/>
      <c r="AD196" s="690"/>
      <c r="AE196" s="690"/>
      <c r="AF196" s="690">
        <f t="shared" si="7"/>
        <v>58.8</v>
      </c>
      <c r="AG196" s="690"/>
      <c r="AH196" s="690"/>
      <c r="AI196" s="690"/>
      <c r="AJ196" s="690">
        <f t="shared" si="8"/>
        <v>368.25</v>
      </c>
      <c r="AK196" s="690"/>
      <c r="AL196" s="690"/>
      <c r="AM196" s="690"/>
    </row>
    <row r="197" spans="1:39" ht="15.95" customHeight="1">
      <c r="A197" s="65">
        <f t="shared" si="9"/>
        <v>18</v>
      </c>
      <c r="B197" s="699" t="s">
        <v>1130</v>
      </c>
      <c r="C197" s="700"/>
      <c r="D197" s="700"/>
      <c r="E197" s="700"/>
      <c r="F197" s="700"/>
      <c r="G197" s="700"/>
      <c r="H197" s="700"/>
      <c r="I197" s="700"/>
      <c r="J197" s="700"/>
      <c r="K197" s="701"/>
      <c r="L197" s="702">
        <f t="shared" si="10"/>
        <v>45778</v>
      </c>
      <c r="M197" s="702"/>
      <c r="N197" s="702"/>
      <c r="O197" s="702">
        <f t="shared" si="11"/>
        <v>45808</v>
      </c>
      <c r="P197" s="702"/>
      <c r="Q197" s="702"/>
      <c r="R197" s="690" cm="1">
        <f t="array" ref="R197">INDEX(verificare!$AT$4:$CC$26,VLOOKUP($AA$16,verificare!$AR$4:$AS$26,2,FALSE),A197)</f>
        <v>18203</v>
      </c>
      <c r="S197" s="690"/>
      <c r="T197" s="690"/>
      <c r="U197" s="690"/>
      <c r="V197" s="658" t="s">
        <v>446</v>
      </c>
      <c r="W197" s="658"/>
      <c r="X197" s="691">
        <f>HLOOKUP(VLOOKUP($AA$16,'Date SPV'!$B:$F,5,FALSE),'Preturi si tarife'!$C$2:$J$39,A197+2,FALSE)</f>
        <v>0.10290000000000001</v>
      </c>
      <c r="Y197" s="692"/>
      <c r="Z197" s="692"/>
      <c r="AA197" s="693"/>
      <c r="AB197" s="690">
        <f t="shared" si="6"/>
        <v>1873.09</v>
      </c>
      <c r="AC197" s="690"/>
      <c r="AD197" s="690"/>
      <c r="AE197" s="690"/>
      <c r="AF197" s="690">
        <f t="shared" si="7"/>
        <v>355.89</v>
      </c>
      <c r="AG197" s="690"/>
      <c r="AH197" s="690"/>
      <c r="AI197" s="690"/>
      <c r="AJ197" s="690">
        <f t="shared" si="8"/>
        <v>2228.98</v>
      </c>
      <c r="AK197" s="690"/>
      <c r="AL197" s="690"/>
      <c r="AM197" s="690"/>
    </row>
    <row r="198" spans="1:39">
      <c r="A198" s="65">
        <f t="shared" si="9"/>
        <v>19</v>
      </c>
      <c r="B198" s="699" t="s">
        <v>99</v>
      </c>
      <c r="C198" s="700"/>
      <c r="D198" s="700"/>
      <c r="E198" s="700"/>
      <c r="F198" s="700"/>
      <c r="G198" s="700"/>
      <c r="H198" s="700"/>
      <c r="I198" s="700"/>
      <c r="J198" s="700"/>
      <c r="K198" s="701"/>
      <c r="L198" s="702">
        <f>'Date masura OD'!$W$5</f>
        <v>45748</v>
      </c>
      <c r="M198" s="702"/>
      <c r="N198" s="702"/>
      <c r="O198" s="702">
        <f>'Date masura OD'!$X$5</f>
        <v>45777</v>
      </c>
      <c r="P198" s="702"/>
      <c r="Q198" s="702"/>
      <c r="R198" s="690" cm="1">
        <f t="array" ref="R198">INDEX(verificare!$AT$4:$CC$26,VLOOKUP($AA$16,verificare!$AR$4:$AS$26,2,FALSE),A198)</f>
        <v>0</v>
      </c>
      <c r="S198" s="690"/>
      <c r="T198" s="690"/>
      <c r="U198" s="690"/>
      <c r="V198" s="658" t="s">
        <v>446</v>
      </c>
      <c r="W198" s="658"/>
      <c r="X198" s="659">
        <f>HLOOKUP(VLOOKUP($AA$16,'Date SPV'!$B:$F,5,FALSE),'Preturi si tarife'!$C$2:$J$39,A198+2,FALSE)</f>
        <v>0.59499999999999997</v>
      </c>
      <c r="Y198" s="659"/>
      <c r="Z198" s="659"/>
      <c r="AA198" s="659"/>
      <c r="AB198" s="653">
        <f t="shared" si="6"/>
        <v>0</v>
      </c>
      <c r="AC198" s="653"/>
      <c r="AD198" s="653"/>
      <c r="AE198" s="653"/>
      <c r="AF198" s="653">
        <f t="shared" si="7"/>
        <v>0</v>
      </c>
      <c r="AG198" s="653"/>
      <c r="AH198" s="653"/>
      <c r="AI198" s="653"/>
      <c r="AJ198" s="653">
        <f t="shared" si="8"/>
        <v>0</v>
      </c>
      <c r="AK198" s="653"/>
      <c r="AL198" s="653"/>
      <c r="AM198" s="653"/>
    </row>
    <row r="199" spans="1:39">
      <c r="A199" s="65">
        <f t="shared" si="9"/>
        <v>20</v>
      </c>
      <c r="B199" s="699" t="s">
        <v>100</v>
      </c>
      <c r="C199" s="700"/>
      <c r="D199" s="700"/>
      <c r="E199" s="700"/>
      <c r="F199" s="700"/>
      <c r="G199" s="700"/>
      <c r="H199" s="700"/>
      <c r="I199" s="700"/>
      <c r="J199" s="700"/>
      <c r="K199" s="701"/>
      <c r="L199" s="702">
        <f>L198</f>
        <v>45748</v>
      </c>
      <c r="M199" s="702"/>
      <c r="N199" s="702"/>
      <c r="O199" s="702">
        <f t="shared" ref="O199:O215" si="12">O198</f>
        <v>45777</v>
      </c>
      <c r="P199" s="702"/>
      <c r="Q199" s="702"/>
      <c r="R199" s="690" cm="1">
        <f t="array" ref="R199">INDEX(verificare!$AT$4:$CC$26,VLOOKUP($AA$16,verificare!$AR$4:$AS$26,2,FALSE),A199)</f>
        <v>11931</v>
      </c>
      <c r="S199" s="690"/>
      <c r="T199" s="690"/>
      <c r="U199" s="690"/>
      <c r="V199" s="658" t="s">
        <v>727</v>
      </c>
      <c r="W199" s="658"/>
      <c r="X199" s="659">
        <f>HLOOKUP(VLOOKUP($AA$16,'Date SPV'!$B:$F,5,FALSE),'Preturi si tarife'!$C$2:$J$39,A199+2,FALSE)</f>
        <v>0.14649999999999999</v>
      </c>
      <c r="Y199" s="659"/>
      <c r="Z199" s="659"/>
      <c r="AA199" s="659"/>
      <c r="AB199" s="653">
        <f t="shared" si="6"/>
        <v>1747.89</v>
      </c>
      <c r="AC199" s="653"/>
      <c r="AD199" s="653"/>
      <c r="AE199" s="653"/>
      <c r="AF199" s="653">
        <f t="shared" si="7"/>
        <v>332.1</v>
      </c>
      <c r="AG199" s="653"/>
      <c r="AH199" s="653"/>
      <c r="AI199" s="653"/>
      <c r="AJ199" s="653">
        <f t="shared" si="8"/>
        <v>2079.9900000000002</v>
      </c>
      <c r="AK199" s="653"/>
      <c r="AL199" s="653"/>
      <c r="AM199" s="653"/>
    </row>
    <row r="200" spans="1:39" ht="15.95" customHeight="1">
      <c r="A200" s="65">
        <f t="shared" si="9"/>
        <v>21</v>
      </c>
      <c r="B200" s="699" t="s">
        <v>101</v>
      </c>
      <c r="C200" s="700"/>
      <c r="D200" s="700"/>
      <c r="E200" s="700"/>
      <c r="F200" s="700"/>
      <c r="G200" s="700"/>
      <c r="H200" s="700"/>
      <c r="I200" s="700"/>
      <c r="J200" s="700"/>
      <c r="K200" s="701"/>
      <c r="L200" s="702">
        <f t="shared" ref="L200:L215" si="13">L199</f>
        <v>45748</v>
      </c>
      <c r="M200" s="702"/>
      <c r="N200" s="702"/>
      <c r="O200" s="702">
        <f t="shared" si="12"/>
        <v>45777</v>
      </c>
      <c r="P200" s="702"/>
      <c r="Q200" s="702"/>
      <c r="R200" s="690" cm="1">
        <f t="array" ref="R200">INDEX(verificare!$AT$4:$CC$26,VLOOKUP($AA$16,verificare!$AR$4:$AS$26,2,FALSE),A200)</f>
        <v>10195</v>
      </c>
      <c r="S200" s="690"/>
      <c r="T200" s="690"/>
      <c r="U200" s="690"/>
      <c r="V200" s="658" t="s">
        <v>727</v>
      </c>
      <c r="W200" s="658"/>
      <c r="X200" s="659">
        <f>HLOOKUP(VLOOKUP($AA$16,'Date SPV'!$B:$F,5,FALSE),'Preturi si tarife'!$C$2:$J$39,A200+2,FALSE)</f>
        <v>0.4395</v>
      </c>
      <c r="Y200" s="659"/>
      <c r="Z200" s="659"/>
      <c r="AA200" s="659"/>
      <c r="AB200" s="653">
        <f t="shared" si="6"/>
        <v>4480.7</v>
      </c>
      <c r="AC200" s="653"/>
      <c r="AD200" s="653"/>
      <c r="AE200" s="653"/>
      <c r="AF200" s="653">
        <f t="shared" si="7"/>
        <v>851.33</v>
      </c>
      <c r="AG200" s="653"/>
      <c r="AH200" s="653"/>
      <c r="AI200" s="653"/>
      <c r="AJ200" s="653">
        <f t="shared" si="8"/>
        <v>5332.03</v>
      </c>
      <c r="AK200" s="653"/>
      <c r="AL200" s="653"/>
      <c r="AM200" s="653"/>
    </row>
    <row r="201" spans="1:39" ht="18.95" customHeight="1">
      <c r="A201" s="65">
        <f t="shared" si="9"/>
        <v>22</v>
      </c>
      <c r="B201" s="699" t="s">
        <v>869</v>
      </c>
      <c r="C201" s="700"/>
      <c r="D201" s="700"/>
      <c r="E201" s="700"/>
      <c r="F201" s="700"/>
      <c r="G201" s="700"/>
      <c r="H201" s="700"/>
      <c r="I201" s="700"/>
      <c r="J201" s="700"/>
      <c r="K201" s="701"/>
      <c r="L201" s="702">
        <f t="shared" si="13"/>
        <v>45748</v>
      </c>
      <c r="M201" s="702"/>
      <c r="N201" s="702"/>
      <c r="O201" s="702">
        <f t="shared" si="12"/>
        <v>45777</v>
      </c>
      <c r="P201" s="702"/>
      <c r="Q201" s="702"/>
      <c r="R201" s="690" cm="1">
        <f t="array" ref="R201">INDEX(verificare!$AT$4:$CC$26,VLOOKUP($AA$16,verificare!$AR$4:$AS$26,2,FALSE),A201)</f>
        <v>0</v>
      </c>
      <c r="S201" s="690"/>
      <c r="T201" s="690"/>
      <c r="U201" s="690"/>
      <c r="V201" s="658" t="s">
        <v>446</v>
      </c>
      <c r="W201" s="658"/>
      <c r="X201" s="659">
        <f>HLOOKUP(VLOOKUP($AA$16,'Date SPV'!$B:$F,5,FALSE),'Preturi si tarife'!$C$2:$J$39,A201+2,FALSE)</f>
        <v>0.13613999999999998</v>
      </c>
      <c r="Y201" s="659"/>
      <c r="Z201" s="659"/>
      <c r="AA201" s="659"/>
      <c r="AB201" s="653">
        <f t="shared" si="6"/>
        <v>0</v>
      </c>
      <c r="AC201" s="653"/>
      <c r="AD201" s="653"/>
      <c r="AE201" s="653"/>
      <c r="AF201" s="653">
        <f t="shared" si="7"/>
        <v>0</v>
      </c>
      <c r="AG201" s="653"/>
      <c r="AH201" s="653"/>
      <c r="AI201" s="653"/>
      <c r="AJ201" s="653">
        <f t="shared" si="8"/>
        <v>0</v>
      </c>
      <c r="AK201" s="653"/>
      <c r="AL201" s="653"/>
      <c r="AM201" s="653"/>
    </row>
    <row r="202" spans="1:39" ht="18.95" customHeight="1">
      <c r="A202" s="65">
        <f t="shared" si="9"/>
        <v>23</v>
      </c>
      <c r="B202" s="699" t="s">
        <v>758</v>
      </c>
      <c r="C202" s="700"/>
      <c r="D202" s="700"/>
      <c r="E202" s="700"/>
      <c r="F202" s="700"/>
      <c r="G202" s="700"/>
      <c r="H202" s="700"/>
      <c r="I202" s="700"/>
      <c r="J202" s="700"/>
      <c r="K202" s="701"/>
      <c r="L202" s="702">
        <f t="shared" si="13"/>
        <v>45748</v>
      </c>
      <c r="M202" s="702"/>
      <c r="N202" s="702"/>
      <c r="O202" s="702">
        <f t="shared" si="12"/>
        <v>45777</v>
      </c>
      <c r="P202" s="702"/>
      <c r="Q202" s="702"/>
      <c r="R202" s="690" cm="1">
        <f t="array" ref="R202">INDEX(verificare!$AT$4:$CC$26,VLOOKUP($AA$16,verificare!$AR$4:$AS$26,2,FALSE),A202)</f>
        <v>0</v>
      </c>
      <c r="S202" s="690"/>
      <c r="T202" s="690"/>
      <c r="U202" s="690"/>
      <c r="V202" s="658" t="s">
        <v>446</v>
      </c>
      <c r="W202" s="658"/>
      <c r="X202" s="659">
        <f>HLOOKUP(VLOOKUP($AA$16,'Date SPV'!$B:$F,5,FALSE),'Preturi si tarife'!$C$2:$J$39,A202+2,FALSE)</f>
        <v>0.22738999999999998</v>
      </c>
      <c r="Y202" s="659"/>
      <c r="Z202" s="659"/>
      <c r="AA202" s="659"/>
      <c r="AB202" s="653">
        <f t="shared" si="6"/>
        <v>0</v>
      </c>
      <c r="AC202" s="653"/>
      <c r="AD202" s="653"/>
      <c r="AE202" s="653"/>
      <c r="AF202" s="653">
        <f t="shared" si="7"/>
        <v>0</v>
      </c>
      <c r="AG202" s="653"/>
      <c r="AH202" s="653"/>
      <c r="AI202" s="653"/>
      <c r="AJ202" s="653">
        <f t="shared" si="8"/>
        <v>0</v>
      </c>
      <c r="AK202" s="653"/>
      <c r="AL202" s="653"/>
      <c r="AM202" s="653"/>
    </row>
    <row r="203" spans="1:39" ht="18.95" customHeight="1">
      <c r="A203" s="65">
        <f t="shared" si="9"/>
        <v>24</v>
      </c>
      <c r="B203" s="699" t="s">
        <v>102</v>
      </c>
      <c r="C203" s="700"/>
      <c r="D203" s="700"/>
      <c r="E203" s="700"/>
      <c r="F203" s="700"/>
      <c r="G203" s="700"/>
      <c r="H203" s="700"/>
      <c r="I203" s="700"/>
      <c r="J203" s="700"/>
      <c r="K203" s="701"/>
      <c r="L203" s="702">
        <f t="shared" si="13"/>
        <v>45748</v>
      </c>
      <c r="M203" s="702"/>
      <c r="N203" s="702"/>
      <c r="O203" s="702">
        <f t="shared" si="12"/>
        <v>45777</v>
      </c>
      <c r="P203" s="702"/>
      <c r="Q203" s="702"/>
      <c r="R203" s="690" cm="1">
        <f t="array" ref="R203">INDEX(verificare!$AT$4:$CC$26,VLOOKUP($AA$16,verificare!$AR$4:$AS$26,2,FALSE),A203)</f>
        <v>0</v>
      </c>
      <c r="S203" s="690"/>
      <c r="T203" s="690"/>
      <c r="U203" s="690"/>
      <c r="V203" s="658" t="s">
        <v>446</v>
      </c>
      <c r="W203" s="658"/>
      <c r="X203" s="659">
        <f>HLOOKUP(VLOOKUP($AA$16,'Date SPV'!$B:$F,5,FALSE),'Preturi si tarife'!$C$2:$J$39,A203+2,FALSE)</f>
        <v>1.1509999999999999E-2</v>
      </c>
      <c r="Y203" s="659"/>
      <c r="Z203" s="659"/>
      <c r="AA203" s="659"/>
      <c r="AB203" s="653">
        <f t="shared" si="6"/>
        <v>0</v>
      </c>
      <c r="AC203" s="653"/>
      <c r="AD203" s="653"/>
      <c r="AE203" s="653"/>
      <c r="AF203" s="653">
        <f t="shared" si="7"/>
        <v>0</v>
      </c>
      <c r="AG203" s="653"/>
      <c r="AH203" s="653"/>
      <c r="AI203" s="653"/>
      <c r="AJ203" s="653">
        <f t="shared" si="8"/>
        <v>0</v>
      </c>
      <c r="AK203" s="653"/>
      <c r="AL203" s="653"/>
      <c r="AM203" s="653"/>
    </row>
    <row r="204" spans="1:39" ht="18.95" customHeight="1">
      <c r="A204" s="65">
        <f t="shared" si="9"/>
        <v>25</v>
      </c>
      <c r="B204" s="699" t="s">
        <v>103</v>
      </c>
      <c r="C204" s="700"/>
      <c r="D204" s="700"/>
      <c r="E204" s="700"/>
      <c r="F204" s="700"/>
      <c r="G204" s="700"/>
      <c r="H204" s="700"/>
      <c r="I204" s="700"/>
      <c r="J204" s="700"/>
      <c r="K204" s="701"/>
      <c r="L204" s="702">
        <f t="shared" si="13"/>
        <v>45748</v>
      </c>
      <c r="M204" s="702"/>
      <c r="N204" s="702"/>
      <c r="O204" s="702">
        <f t="shared" si="12"/>
        <v>45777</v>
      </c>
      <c r="P204" s="702"/>
      <c r="Q204" s="702"/>
      <c r="R204" s="690" cm="1">
        <f t="array" ref="R204">INDEX(verificare!$AT$4:$CC$26,VLOOKUP($AA$16,verificare!$AR$4:$AS$26,2,FALSE),A204)</f>
        <v>0</v>
      </c>
      <c r="S204" s="690"/>
      <c r="T204" s="690"/>
      <c r="U204" s="690"/>
      <c r="V204" s="658" t="s">
        <v>446</v>
      </c>
      <c r="W204" s="658"/>
      <c r="X204" s="659">
        <f>HLOOKUP(VLOOKUP($AA$16,'Date SPV'!$B:$F,5,FALSE),'Preturi si tarife'!$C$2:$J$39,A204+2,FALSE)</f>
        <v>3.3030000000000004E-2</v>
      </c>
      <c r="Y204" s="659"/>
      <c r="Z204" s="659"/>
      <c r="AA204" s="659"/>
      <c r="AB204" s="653">
        <f t="shared" si="6"/>
        <v>0</v>
      </c>
      <c r="AC204" s="653"/>
      <c r="AD204" s="653"/>
      <c r="AE204" s="653"/>
      <c r="AF204" s="653">
        <f t="shared" si="7"/>
        <v>0</v>
      </c>
      <c r="AG204" s="653"/>
      <c r="AH204" s="653"/>
      <c r="AI204" s="653"/>
      <c r="AJ204" s="653">
        <f t="shared" si="8"/>
        <v>0</v>
      </c>
      <c r="AK204" s="653"/>
      <c r="AL204" s="653"/>
      <c r="AM204" s="653"/>
    </row>
    <row r="205" spans="1:39" ht="18.95" customHeight="1">
      <c r="A205" s="65">
        <f t="shared" si="9"/>
        <v>26</v>
      </c>
      <c r="B205" s="699" t="s">
        <v>104</v>
      </c>
      <c r="C205" s="700"/>
      <c r="D205" s="700"/>
      <c r="E205" s="700"/>
      <c r="F205" s="700"/>
      <c r="G205" s="700"/>
      <c r="H205" s="700"/>
      <c r="I205" s="700"/>
      <c r="J205" s="700"/>
      <c r="K205" s="701"/>
      <c r="L205" s="702">
        <f t="shared" si="13"/>
        <v>45748</v>
      </c>
      <c r="M205" s="702"/>
      <c r="N205" s="702"/>
      <c r="O205" s="702">
        <f t="shared" si="12"/>
        <v>45777</v>
      </c>
      <c r="P205" s="702"/>
      <c r="Q205" s="702"/>
      <c r="R205" s="690" cm="1">
        <f t="array" ref="R205">INDEX(verificare!$AT$4:$CC$26,VLOOKUP($AA$16,verificare!$AR$4:$AS$26,2,FALSE),A205)</f>
        <v>0</v>
      </c>
      <c r="S205" s="690"/>
      <c r="T205" s="690"/>
      <c r="U205" s="690"/>
      <c r="V205" s="658" t="s">
        <v>446</v>
      </c>
      <c r="W205" s="658"/>
      <c r="X205" s="659">
        <f>HLOOKUP(VLOOKUP($AA$16,'Date SPV'!$B:$F,5,FALSE),'Preturi si tarife'!$C$2:$J$39,A205+2,FALSE)</f>
        <v>3.29E-3</v>
      </c>
      <c r="Y205" s="659"/>
      <c r="Z205" s="659"/>
      <c r="AA205" s="659"/>
      <c r="AB205" s="653">
        <f t="shared" si="6"/>
        <v>0</v>
      </c>
      <c r="AC205" s="653"/>
      <c r="AD205" s="653"/>
      <c r="AE205" s="653"/>
      <c r="AF205" s="653">
        <f t="shared" si="7"/>
        <v>0</v>
      </c>
      <c r="AG205" s="653"/>
      <c r="AH205" s="653"/>
      <c r="AI205" s="653"/>
      <c r="AJ205" s="653">
        <f t="shared" si="8"/>
        <v>0</v>
      </c>
      <c r="AK205" s="653"/>
      <c r="AL205" s="653"/>
      <c r="AM205" s="653"/>
    </row>
    <row r="206" spans="1:39" ht="18.95" customHeight="1">
      <c r="A206" s="65">
        <f t="shared" si="9"/>
        <v>27</v>
      </c>
      <c r="B206" s="699" t="s">
        <v>105</v>
      </c>
      <c r="C206" s="700"/>
      <c r="D206" s="700"/>
      <c r="E206" s="700"/>
      <c r="F206" s="700"/>
      <c r="G206" s="700"/>
      <c r="H206" s="700"/>
      <c r="I206" s="700"/>
      <c r="J206" s="700"/>
      <c r="K206" s="701"/>
      <c r="L206" s="702">
        <f t="shared" si="13"/>
        <v>45748</v>
      </c>
      <c r="M206" s="702"/>
      <c r="N206" s="702"/>
      <c r="O206" s="702">
        <f t="shared" si="12"/>
        <v>45777</v>
      </c>
      <c r="P206" s="702"/>
      <c r="Q206" s="702"/>
      <c r="R206" s="690" cm="1">
        <f t="array" ref="R206">INDEX(verificare!$AT$4:$CC$26,VLOOKUP($AA$16,verificare!$AR$4:$AS$26,2,FALSE),A206)</f>
        <v>0</v>
      </c>
      <c r="S206" s="690"/>
      <c r="T206" s="690"/>
      <c r="U206" s="690"/>
      <c r="V206" s="658" t="s">
        <v>446</v>
      </c>
      <c r="W206" s="658"/>
      <c r="X206" s="659">
        <f>HLOOKUP(VLOOKUP($AA$16,'Date SPV'!$B:$F,5,FALSE),'Preturi si tarife'!$C$2:$J$39,A206+2,FALSE)</f>
        <v>3.5000000000000001E-3</v>
      </c>
      <c r="Y206" s="659"/>
      <c r="Z206" s="659"/>
      <c r="AA206" s="659"/>
      <c r="AB206" s="653">
        <f t="shared" si="6"/>
        <v>0</v>
      </c>
      <c r="AC206" s="653"/>
      <c r="AD206" s="653"/>
      <c r="AE206" s="653"/>
      <c r="AF206" s="653">
        <f t="shared" si="7"/>
        <v>0</v>
      </c>
      <c r="AG206" s="653"/>
      <c r="AH206" s="653"/>
      <c r="AI206" s="653"/>
      <c r="AJ206" s="653">
        <f t="shared" si="8"/>
        <v>0</v>
      </c>
      <c r="AK206" s="653"/>
      <c r="AL206" s="653"/>
      <c r="AM206" s="653"/>
    </row>
    <row r="207" spans="1:39" ht="18.95" customHeight="1">
      <c r="A207" s="65">
        <f t="shared" si="9"/>
        <v>28</v>
      </c>
      <c r="B207" s="699" t="s">
        <v>106</v>
      </c>
      <c r="C207" s="700"/>
      <c r="D207" s="700"/>
      <c r="E207" s="700"/>
      <c r="F207" s="700"/>
      <c r="G207" s="700"/>
      <c r="H207" s="700"/>
      <c r="I207" s="700"/>
      <c r="J207" s="700"/>
      <c r="K207" s="701"/>
      <c r="L207" s="702">
        <f t="shared" si="13"/>
        <v>45748</v>
      </c>
      <c r="M207" s="702"/>
      <c r="N207" s="702"/>
      <c r="O207" s="702">
        <f t="shared" si="12"/>
        <v>45777</v>
      </c>
      <c r="P207" s="702"/>
      <c r="Q207" s="702"/>
      <c r="R207" s="690" cm="1">
        <f t="array" ref="R207">INDEX(verificare!$AT$4:$CC$26,VLOOKUP($AA$16,verificare!$AR$4:$AS$26,2,FALSE),A207)</f>
        <v>0</v>
      </c>
      <c r="S207" s="690"/>
      <c r="T207" s="690"/>
      <c r="U207" s="690"/>
      <c r="V207" s="658" t="s">
        <v>446</v>
      </c>
      <c r="W207" s="658"/>
      <c r="X207" s="659">
        <f>HLOOKUP(VLOOKUP($AA$16,'Date SPV'!$B:$F,5,FALSE),'Preturi si tarife'!$C$2:$J$39,A207+2,FALSE)</f>
        <v>7.2541599999999998E-2</v>
      </c>
      <c r="Y207" s="659"/>
      <c r="Z207" s="659"/>
      <c r="AA207" s="659"/>
      <c r="AB207" s="653">
        <f t="shared" si="6"/>
        <v>0</v>
      </c>
      <c r="AC207" s="653"/>
      <c r="AD207" s="653"/>
      <c r="AE207" s="653"/>
      <c r="AF207" s="653">
        <f t="shared" si="7"/>
        <v>0</v>
      </c>
      <c r="AG207" s="653"/>
      <c r="AH207" s="653"/>
      <c r="AI207" s="653"/>
      <c r="AJ207" s="653">
        <f t="shared" si="8"/>
        <v>0</v>
      </c>
      <c r="AK207" s="653"/>
      <c r="AL207" s="653"/>
      <c r="AM207" s="653"/>
    </row>
    <row r="208" spans="1:39" ht="30.95" customHeight="1">
      <c r="A208" s="65">
        <f t="shared" si="9"/>
        <v>29</v>
      </c>
      <c r="B208" s="699" t="s">
        <v>1316</v>
      </c>
      <c r="C208" s="700"/>
      <c r="D208" s="700"/>
      <c r="E208" s="700"/>
      <c r="F208" s="700"/>
      <c r="G208" s="700"/>
      <c r="H208" s="700"/>
      <c r="I208" s="700"/>
      <c r="J208" s="700"/>
      <c r="K208" s="701"/>
      <c r="L208" s="763">
        <f>L213</f>
        <v>45748</v>
      </c>
      <c r="M208" s="764"/>
      <c r="N208" s="765"/>
      <c r="O208" s="763">
        <f>O213</f>
        <v>45777</v>
      </c>
      <c r="P208" s="764"/>
      <c r="Q208" s="765"/>
      <c r="R208" s="690" cm="1">
        <f t="array" ref="R208">INDEX(verificare!$AT$4:$CC$26,VLOOKUP($AA$16,verificare!$AR$4:$AS$26,2,FALSE),A208)</f>
        <v>0</v>
      </c>
      <c r="S208" s="690"/>
      <c r="T208" s="690"/>
      <c r="U208" s="690"/>
      <c r="V208" s="724" t="s">
        <v>446</v>
      </c>
      <c r="W208" s="725"/>
      <c r="X208" s="659">
        <f>HLOOKUP(VLOOKUP($AA$16,'Date SPV'!$B:$F,5,FALSE),'Preturi si tarife'!$C$2:$J$39,A208+2,FALSE)</f>
        <v>2.0599999999999999E-4</v>
      </c>
      <c r="Y208" s="659"/>
      <c r="Z208" s="659"/>
      <c r="AA208" s="659"/>
      <c r="AB208" s="653">
        <f>ROUND(X208*R208,2)</f>
        <v>0</v>
      </c>
      <c r="AC208" s="653"/>
      <c r="AD208" s="653"/>
      <c r="AE208" s="653"/>
      <c r="AF208" s="653">
        <f>ROUND(AB208*19%,2)</f>
        <v>0</v>
      </c>
      <c r="AG208" s="653"/>
      <c r="AH208" s="653"/>
      <c r="AI208" s="653"/>
      <c r="AJ208" s="653">
        <f>AB208+AF208</f>
        <v>0</v>
      </c>
      <c r="AK208" s="653"/>
      <c r="AL208" s="653"/>
      <c r="AM208" s="653"/>
    </row>
    <row r="209" spans="1:39" ht="18.95" customHeight="1">
      <c r="A209" s="65">
        <f t="shared" si="9"/>
        <v>30</v>
      </c>
      <c r="B209" s="699" t="s">
        <v>107</v>
      </c>
      <c r="C209" s="700"/>
      <c r="D209" s="700"/>
      <c r="E209" s="700"/>
      <c r="F209" s="700"/>
      <c r="G209" s="700"/>
      <c r="H209" s="700"/>
      <c r="I209" s="700"/>
      <c r="J209" s="700"/>
      <c r="K209" s="701"/>
      <c r="L209" s="702">
        <f>L207</f>
        <v>45748</v>
      </c>
      <c r="M209" s="702"/>
      <c r="N209" s="702"/>
      <c r="O209" s="702">
        <f>O207</f>
        <v>45777</v>
      </c>
      <c r="P209" s="702"/>
      <c r="Q209" s="702"/>
      <c r="R209" s="690" cm="1">
        <f t="array" ref="R209">INDEX(verificare!$AT$4:$CC$26,VLOOKUP($AA$16,verificare!$AR$4:$AS$26,2,FALSE),A209)</f>
        <v>0</v>
      </c>
      <c r="S209" s="690"/>
      <c r="T209" s="690"/>
      <c r="U209" s="690"/>
      <c r="V209" s="658" t="s">
        <v>446</v>
      </c>
      <c r="W209" s="658"/>
      <c r="X209" s="659">
        <f>HLOOKUP(VLOOKUP($AA$16,'Date SPV'!$B:$F,5,FALSE),'Preturi si tarife'!$C$2:$J$39,A209+2,FALSE)</f>
        <v>0</v>
      </c>
      <c r="Y209" s="659"/>
      <c r="Z209" s="659"/>
      <c r="AA209" s="659"/>
      <c r="AB209" s="653">
        <f t="shared" si="6"/>
        <v>0</v>
      </c>
      <c r="AC209" s="653"/>
      <c r="AD209" s="653"/>
      <c r="AE209" s="653"/>
      <c r="AF209" s="653">
        <f t="shared" si="7"/>
        <v>0</v>
      </c>
      <c r="AG209" s="653"/>
      <c r="AH209" s="653"/>
      <c r="AI209" s="653"/>
      <c r="AJ209" s="653">
        <f t="shared" si="8"/>
        <v>0</v>
      </c>
      <c r="AK209" s="653"/>
      <c r="AL209" s="653"/>
      <c r="AM209" s="653"/>
    </row>
    <row r="210" spans="1:39" ht="18.95" customHeight="1">
      <c r="A210" s="65">
        <f t="shared" si="9"/>
        <v>31</v>
      </c>
      <c r="B210" s="699" t="s">
        <v>108</v>
      </c>
      <c r="C210" s="700"/>
      <c r="D210" s="700"/>
      <c r="E210" s="700"/>
      <c r="F210" s="700"/>
      <c r="G210" s="700"/>
      <c r="H210" s="700"/>
      <c r="I210" s="700"/>
      <c r="J210" s="700"/>
      <c r="K210" s="701"/>
      <c r="L210" s="702">
        <f>L209</f>
        <v>45748</v>
      </c>
      <c r="M210" s="702"/>
      <c r="N210" s="702"/>
      <c r="O210" s="702">
        <f>O209</f>
        <v>45777</v>
      </c>
      <c r="P210" s="702"/>
      <c r="Q210" s="702"/>
      <c r="R210" s="690" cm="1">
        <f t="array" ref="R210">INDEX(verificare!$AT$4:$CC$26,VLOOKUP($AA$16,verificare!$AR$4:$AS$26,2,FALSE),A210)</f>
        <v>0</v>
      </c>
      <c r="S210" s="690"/>
      <c r="T210" s="690"/>
      <c r="U210" s="690"/>
      <c r="V210" s="658" t="s">
        <v>446</v>
      </c>
      <c r="W210" s="658"/>
      <c r="X210" s="659">
        <f>HLOOKUP(VLOOKUP($AA$16,'Date SPV'!$B:$F,5,FALSE),'Preturi si tarife'!$C$2:$J$39,A210+2,FALSE)</f>
        <v>1.7000000000000001E-2</v>
      </c>
      <c r="Y210" s="659"/>
      <c r="Z210" s="659"/>
      <c r="AA210" s="659"/>
      <c r="AB210" s="653">
        <f t="shared" si="6"/>
        <v>0</v>
      </c>
      <c r="AC210" s="653"/>
      <c r="AD210" s="653"/>
      <c r="AE210" s="653"/>
      <c r="AF210" s="653">
        <f t="shared" si="7"/>
        <v>0</v>
      </c>
      <c r="AG210" s="653"/>
      <c r="AH210" s="653"/>
      <c r="AI210" s="653"/>
      <c r="AJ210" s="653">
        <f t="shared" si="8"/>
        <v>0</v>
      </c>
      <c r="AK210" s="653"/>
      <c r="AL210" s="653"/>
      <c r="AM210" s="653"/>
    </row>
    <row r="211" spans="1:39" ht="18.95" customHeight="1">
      <c r="A211" s="65">
        <f t="shared" si="9"/>
        <v>32</v>
      </c>
      <c r="B211" s="699" t="s">
        <v>109</v>
      </c>
      <c r="C211" s="700"/>
      <c r="D211" s="700"/>
      <c r="E211" s="700"/>
      <c r="F211" s="700"/>
      <c r="G211" s="700"/>
      <c r="H211" s="700"/>
      <c r="I211" s="700"/>
      <c r="J211" s="700"/>
      <c r="K211" s="701"/>
      <c r="L211" s="702">
        <f t="shared" si="13"/>
        <v>45748</v>
      </c>
      <c r="M211" s="702"/>
      <c r="N211" s="702"/>
      <c r="O211" s="702">
        <f t="shared" si="12"/>
        <v>45777</v>
      </c>
      <c r="P211" s="702"/>
      <c r="Q211" s="702"/>
      <c r="R211" s="690" cm="1">
        <f t="array" ref="R211">INDEX(verificare!$AT$4:$CC$26,VLOOKUP($AA$16,verificare!$AR$4:$AS$26,2,FALSE),A211)</f>
        <v>0</v>
      </c>
      <c r="S211" s="690"/>
      <c r="T211" s="690"/>
      <c r="U211" s="690"/>
      <c r="V211" s="658" t="s">
        <v>446</v>
      </c>
      <c r="W211" s="658"/>
      <c r="X211" s="659">
        <f>HLOOKUP(VLOOKUP($AA$16,'Date SPV'!$B:$F,5,FALSE),'Preturi si tarife'!$C$2:$J$39,A211+2,FALSE)</f>
        <v>0.10290000000000001</v>
      </c>
      <c r="Y211" s="659"/>
      <c r="Z211" s="659"/>
      <c r="AA211" s="659"/>
      <c r="AB211" s="653">
        <f t="shared" si="6"/>
        <v>0</v>
      </c>
      <c r="AC211" s="653"/>
      <c r="AD211" s="653"/>
      <c r="AE211" s="653"/>
      <c r="AF211" s="653">
        <f t="shared" si="7"/>
        <v>0</v>
      </c>
      <c r="AG211" s="653"/>
      <c r="AH211" s="653"/>
      <c r="AI211" s="653"/>
      <c r="AJ211" s="653">
        <f t="shared" si="8"/>
        <v>0</v>
      </c>
      <c r="AK211" s="653"/>
      <c r="AL211" s="653"/>
      <c r="AM211" s="653"/>
    </row>
    <row r="212" spans="1:39" ht="18.95" customHeight="1">
      <c r="A212" s="65">
        <f t="shared" si="9"/>
        <v>33</v>
      </c>
      <c r="B212" s="699" t="s">
        <v>110</v>
      </c>
      <c r="C212" s="700"/>
      <c r="D212" s="700"/>
      <c r="E212" s="700"/>
      <c r="F212" s="700"/>
      <c r="G212" s="700"/>
      <c r="H212" s="700"/>
      <c r="I212" s="700"/>
      <c r="J212" s="700"/>
      <c r="K212" s="701"/>
      <c r="L212" s="702">
        <f t="shared" si="13"/>
        <v>45748</v>
      </c>
      <c r="M212" s="702"/>
      <c r="N212" s="702"/>
      <c r="O212" s="702">
        <f t="shared" si="12"/>
        <v>45777</v>
      </c>
      <c r="P212" s="702"/>
      <c r="Q212" s="702"/>
      <c r="R212" s="690" cm="1">
        <f t="array" ref="R212">INDEX(verificare!$AT$4:$CC$26,VLOOKUP($AA$16,verificare!$AR$4:$AS$26,2,FALSE),A212)</f>
        <v>0</v>
      </c>
      <c r="S212" s="690"/>
      <c r="T212" s="690"/>
      <c r="U212" s="690"/>
      <c r="V212" s="658" t="s">
        <v>446</v>
      </c>
      <c r="W212" s="658"/>
      <c r="X212" s="659">
        <f>HLOOKUP(VLOOKUP($AA$16,'Date SPV'!$B:$F,5,FALSE),'Preturi si tarife'!$C$2:$J$39,A212+2,FALSE)</f>
        <v>0.97511760000000003</v>
      </c>
      <c r="Y212" s="659"/>
      <c r="Z212" s="659"/>
      <c r="AA212" s="659"/>
      <c r="AB212" s="653">
        <f t="shared" si="6"/>
        <v>0</v>
      </c>
      <c r="AC212" s="653"/>
      <c r="AD212" s="653"/>
      <c r="AE212" s="653"/>
      <c r="AF212" s="653">
        <f t="shared" si="7"/>
        <v>0</v>
      </c>
      <c r="AG212" s="653"/>
      <c r="AH212" s="653"/>
      <c r="AI212" s="653"/>
      <c r="AJ212" s="653">
        <f t="shared" si="8"/>
        <v>0</v>
      </c>
      <c r="AK212" s="653"/>
      <c r="AL212" s="653"/>
      <c r="AM212" s="653"/>
    </row>
    <row r="213" spans="1:39" ht="18.95" customHeight="1">
      <c r="A213" s="65">
        <f t="shared" si="9"/>
        <v>34</v>
      </c>
      <c r="B213" s="699" t="s">
        <v>111</v>
      </c>
      <c r="C213" s="700"/>
      <c r="D213" s="700"/>
      <c r="E213" s="700"/>
      <c r="F213" s="700"/>
      <c r="G213" s="700"/>
      <c r="H213" s="700"/>
      <c r="I213" s="700"/>
      <c r="J213" s="700"/>
      <c r="K213" s="701"/>
      <c r="L213" s="702">
        <f t="shared" si="13"/>
        <v>45748</v>
      </c>
      <c r="M213" s="702"/>
      <c r="N213" s="702"/>
      <c r="O213" s="702">
        <f t="shared" si="12"/>
        <v>45777</v>
      </c>
      <c r="P213" s="702"/>
      <c r="Q213" s="702"/>
      <c r="R213" s="690" cm="1">
        <f t="array" ref="R213">INDEX(verificare!$AT$4:$CC$26,VLOOKUP($AA$16,verificare!$AR$4:$AS$26,2,FALSE),A213)</f>
        <v>0</v>
      </c>
      <c r="S213" s="690"/>
      <c r="T213" s="690"/>
      <c r="U213" s="690"/>
      <c r="V213" s="658" t="s">
        <v>446</v>
      </c>
      <c r="W213" s="658"/>
      <c r="X213" s="659">
        <f>HLOOKUP(VLOOKUP($AA$16,'Date SPV'!$B:$F,5,FALSE),'Preturi si tarife'!$C$2:$J$39,A213+2,FALSE)</f>
        <v>0.85521760000000002</v>
      </c>
      <c r="Y213" s="659"/>
      <c r="Z213" s="659"/>
      <c r="AA213" s="659"/>
      <c r="AB213" s="653">
        <f t="shared" si="6"/>
        <v>0</v>
      </c>
      <c r="AC213" s="653"/>
      <c r="AD213" s="653"/>
      <c r="AE213" s="653"/>
      <c r="AF213" s="653">
        <f t="shared" si="7"/>
        <v>0</v>
      </c>
      <c r="AG213" s="653"/>
      <c r="AH213" s="653"/>
      <c r="AI213" s="653"/>
      <c r="AJ213" s="653">
        <f t="shared" si="8"/>
        <v>0</v>
      </c>
      <c r="AK213" s="653"/>
      <c r="AL213" s="653"/>
      <c r="AM213" s="653"/>
    </row>
    <row r="214" spans="1:39" ht="18.95" customHeight="1">
      <c r="A214" s="65">
        <f t="shared" si="9"/>
        <v>35</v>
      </c>
      <c r="B214" s="699" t="s">
        <v>112</v>
      </c>
      <c r="C214" s="700"/>
      <c r="D214" s="700"/>
      <c r="E214" s="700"/>
      <c r="F214" s="700"/>
      <c r="G214" s="700"/>
      <c r="H214" s="700"/>
      <c r="I214" s="700"/>
      <c r="J214" s="700"/>
      <c r="K214" s="701"/>
      <c r="L214" s="702">
        <f t="shared" si="13"/>
        <v>45748</v>
      </c>
      <c r="M214" s="702"/>
      <c r="N214" s="702"/>
      <c r="O214" s="702">
        <f t="shared" si="12"/>
        <v>45777</v>
      </c>
      <c r="P214" s="702"/>
      <c r="Q214" s="702"/>
      <c r="R214" s="690" cm="1">
        <f t="array" ref="R214">INDEX(verificare!$AT$4:$CC$26,VLOOKUP($AA$16,verificare!$AR$4:$AS$26,2,FALSE),A214)</f>
        <v>0</v>
      </c>
      <c r="S214" s="690"/>
      <c r="T214" s="690"/>
      <c r="U214" s="690"/>
      <c r="V214" s="658" t="s">
        <v>446</v>
      </c>
      <c r="W214" s="658"/>
      <c r="X214" s="659">
        <f>HLOOKUP(VLOOKUP($AA$16,'Date SPV'!$B:$F,5,FALSE),'Preturi si tarife'!$C$2:$J$39,A214+2,FALSE)</f>
        <v>1.7000000000000001E-2</v>
      </c>
      <c r="Y214" s="659"/>
      <c r="Z214" s="659"/>
      <c r="AA214" s="659"/>
      <c r="AB214" s="653">
        <f t="shared" si="6"/>
        <v>0</v>
      </c>
      <c r="AC214" s="653"/>
      <c r="AD214" s="653"/>
      <c r="AE214" s="653"/>
      <c r="AF214" s="653">
        <f t="shared" si="7"/>
        <v>0</v>
      </c>
      <c r="AG214" s="653"/>
      <c r="AH214" s="653"/>
      <c r="AI214" s="653"/>
      <c r="AJ214" s="653">
        <f t="shared" si="8"/>
        <v>0</v>
      </c>
      <c r="AK214" s="653"/>
      <c r="AL214" s="653"/>
      <c r="AM214" s="653"/>
    </row>
    <row r="215" spans="1:39" ht="18.95" customHeight="1">
      <c r="A215" s="65">
        <f t="shared" si="9"/>
        <v>36</v>
      </c>
      <c r="B215" s="699" t="s">
        <v>113</v>
      </c>
      <c r="C215" s="700"/>
      <c r="D215" s="700"/>
      <c r="E215" s="700"/>
      <c r="F215" s="700"/>
      <c r="G215" s="700"/>
      <c r="H215" s="700"/>
      <c r="I215" s="700"/>
      <c r="J215" s="700"/>
      <c r="K215" s="701"/>
      <c r="L215" s="702">
        <f t="shared" si="13"/>
        <v>45748</v>
      </c>
      <c r="M215" s="702"/>
      <c r="N215" s="702"/>
      <c r="O215" s="702">
        <f t="shared" si="12"/>
        <v>45777</v>
      </c>
      <c r="P215" s="702"/>
      <c r="Q215" s="702"/>
      <c r="R215" s="690" cm="1">
        <f t="array" ref="R215">INDEX(verificare!$AT$4:$CC$26,VLOOKUP($AA$16,verificare!$AR$4:$AS$26,2,FALSE),A215)</f>
        <v>0</v>
      </c>
      <c r="S215" s="690"/>
      <c r="T215" s="690"/>
      <c r="U215" s="690"/>
      <c r="V215" s="658" t="s">
        <v>446</v>
      </c>
      <c r="W215" s="658"/>
      <c r="X215" s="659">
        <f>HLOOKUP(VLOOKUP($AA$16,'Date SPV'!$B:$F,5,FALSE),'Preturi si tarife'!$C$2:$J$39,A215+2,FALSE)</f>
        <v>0.10290000000000001</v>
      </c>
      <c r="Y215" s="659"/>
      <c r="Z215" s="659"/>
      <c r="AA215" s="659"/>
      <c r="AB215" s="653">
        <f t="shared" si="6"/>
        <v>0</v>
      </c>
      <c r="AC215" s="653"/>
      <c r="AD215" s="653"/>
      <c r="AE215" s="653"/>
      <c r="AF215" s="653">
        <f t="shared" si="7"/>
        <v>0</v>
      </c>
      <c r="AG215" s="653"/>
      <c r="AH215" s="653"/>
      <c r="AI215" s="653"/>
      <c r="AJ215" s="653">
        <f t="shared" si="8"/>
        <v>0</v>
      </c>
      <c r="AK215" s="653"/>
      <c r="AL215" s="653"/>
      <c r="AM215" s="653"/>
    </row>
    <row r="216" spans="1:39" ht="17.45" customHeight="1">
      <c r="A216" s="65">
        <f t="shared" si="9"/>
        <v>37</v>
      </c>
      <c r="B216" s="699" t="s">
        <v>728</v>
      </c>
      <c r="C216" s="700"/>
      <c r="D216" s="700"/>
      <c r="E216" s="700"/>
      <c r="F216" s="700"/>
      <c r="G216" s="700"/>
      <c r="H216" s="700"/>
      <c r="I216" s="700"/>
      <c r="J216" s="700"/>
      <c r="K216" s="701"/>
      <c r="L216" s="702" t="s">
        <v>69</v>
      </c>
      <c r="M216" s="702"/>
      <c r="N216" s="702"/>
      <c r="O216" s="702" t="s">
        <v>69</v>
      </c>
      <c r="P216" s="702"/>
      <c r="Q216" s="702"/>
      <c r="R216" s="690">
        <v>0</v>
      </c>
      <c r="S216" s="690"/>
      <c r="T216" s="690"/>
      <c r="U216" s="690"/>
      <c r="V216" s="658" t="s">
        <v>69</v>
      </c>
      <c r="W216" s="658"/>
      <c r="X216" s="659" t="s">
        <v>69</v>
      </c>
      <c r="Y216" s="659"/>
      <c r="Z216" s="659"/>
      <c r="AA216" s="659"/>
      <c r="AB216" s="653">
        <v>0</v>
      </c>
      <c r="AC216" s="653"/>
      <c r="AD216" s="653"/>
      <c r="AE216" s="653"/>
      <c r="AF216" s="653">
        <f t="shared" si="7"/>
        <v>0</v>
      </c>
      <c r="AG216" s="653"/>
      <c r="AH216" s="653"/>
      <c r="AI216" s="653"/>
      <c r="AJ216" s="653">
        <f t="shared" si="8"/>
        <v>0</v>
      </c>
      <c r="AK216" s="653"/>
      <c r="AL216" s="653"/>
      <c r="AM216" s="653"/>
    </row>
    <row r="217" spans="1:39" ht="17.45" customHeight="1">
      <c r="A217" s="65">
        <f>A216+1</f>
        <v>38</v>
      </c>
      <c r="B217" s="699" t="s">
        <v>729</v>
      </c>
      <c r="C217" s="700"/>
      <c r="D217" s="700"/>
      <c r="E217" s="700"/>
      <c r="F217" s="700"/>
      <c r="G217" s="700"/>
      <c r="H217" s="700"/>
      <c r="I217" s="700"/>
      <c r="J217" s="700"/>
      <c r="K217" s="701"/>
      <c r="L217" s="702" t="s">
        <v>69</v>
      </c>
      <c r="M217" s="702"/>
      <c r="N217" s="702"/>
      <c r="O217" s="702" t="s">
        <v>69</v>
      </c>
      <c r="P217" s="702"/>
      <c r="Q217" s="702"/>
      <c r="R217" s="690">
        <v>0</v>
      </c>
      <c r="S217" s="690"/>
      <c r="T217" s="690"/>
      <c r="U217" s="690"/>
      <c r="V217" s="658" t="s">
        <v>69</v>
      </c>
      <c r="W217" s="658"/>
      <c r="X217" s="659" t="s">
        <v>69</v>
      </c>
      <c r="Y217" s="659"/>
      <c r="Z217" s="659"/>
      <c r="AA217" s="659"/>
      <c r="AB217" s="726">
        <f>SUM(AB180:AE216)</f>
        <v>243520.54000000004</v>
      </c>
      <c r="AC217" s="726"/>
      <c r="AD217" s="726"/>
      <c r="AE217" s="726"/>
      <c r="AF217" s="726">
        <f>SUM(AF180:AI216)</f>
        <v>46268.909999999996</v>
      </c>
      <c r="AG217" s="726"/>
      <c r="AH217" s="726"/>
      <c r="AI217" s="726"/>
      <c r="AJ217" s="726">
        <f>SUM(AJ180:AM216)</f>
        <v>289789.45</v>
      </c>
      <c r="AK217" s="726"/>
      <c r="AL217" s="726"/>
      <c r="AM217" s="726"/>
    </row>
  </sheetData>
  <mergeCells count="858">
    <mergeCell ref="AD161:AE163"/>
    <mergeCell ref="AF161:AH163"/>
    <mergeCell ref="AI161:AJ163"/>
    <mergeCell ref="AK161:AM163"/>
    <mergeCell ref="J162:L162"/>
    <mergeCell ref="J163:L163"/>
    <mergeCell ref="A161:F163"/>
    <mergeCell ref="G161:I163"/>
    <mergeCell ref="J161:L161"/>
    <mergeCell ref="M161:N163"/>
    <mergeCell ref="O161:Q163"/>
    <mergeCell ref="R161:T163"/>
    <mergeCell ref="U161:W163"/>
    <mergeCell ref="X161:Z163"/>
    <mergeCell ref="AA161:AC163"/>
    <mergeCell ref="A158:F160"/>
    <mergeCell ref="G158:I160"/>
    <mergeCell ref="J158:L158"/>
    <mergeCell ref="M158:N160"/>
    <mergeCell ref="O158:Q160"/>
    <mergeCell ref="R158:T160"/>
    <mergeCell ref="U158:W160"/>
    <mergeCell ref="X158:Z160"/>
    <mergeCell ref="AA158:AC160"/>
    <mergeCell ref="AD158:AE160"/>
    <mergeCell ref="AF158:AH160"/>
    <mergeCell ref="AI158:AJ160"/>
    <mergeCell ref="AK158:AM160"/>
    <mergeCell ref="J159:L159"/>
    <mergeCell ref="J160:L160"/>
    <mergeCell ref="U152:W154"/>
    <mergeCell ref="X152:Z154"/>
    <mergeCell ref="AA152:AC154"/>
    <mergeCell ref="AD152:AE154"/>
    <mergeCell ref="AF152:AH154"/>
    <mergeCell ref="AI152:AJ154"/>
    <mergeCell ref="AK152:AM154"/>
    <mergeCell ref="AD155:AE157"/>
    <mergeCell ref="AF155:AH157"/>
    <mergeCell ref="AI155:AJ157"/>
    <mergeCell ref="AK155:AM157"/>
    <mergeCell ref="A155:F157"/>
    <mergeCell ref="G155:I157"/>
    <mergeCell ref="J155:L155"/>
    <mergeCell ref="M155:N157"/>
    <mergeCell ref="O155:Q157"/>
    <mergeCell ref="R155:T157"/>
    <mergeCell ref="U155:W157"/>
    <mergeCell ref="X155:Z157"/>
    <mergeCell ref="AA155:AC157"/>
    <mergeCell ref="J156:L156"/>
    <mergeCell ref="J157:L157"/>
    <mergeCell ref="AK108:AM110"/>
    <mergeCell ref="J109:L109"/>
    <mergeCell ref="J110:L110"/>
    <mergeCell ref="A111:F113"/>
    <mergeCell ref="G111:I113"/>
    <mergeCell ref="J111:L111"/>
    <mergeCell ref="M111:N113"/>
    <mergeCell ref="O111:Q113"/>
    <mergeCell ref="R111:T113"/>
    <mergeCell ref="U111:W113"/>
    <mergeCell ref="X111:Z113"/>
    <mergeCell ref="AA111:AC113"/>
    <mergeCell ref="AD111:AE113"/>
    <mergeCell ref="AF111:AH113"/>
    <mergeCell ref="AI111:AJ113"/>
    <mergeCell ref="AK111:AM113"/>
    <mergeCell ref="J112:L112"/>
    <mergeCell ref="J113:L113"/>
    <mergeCell ref="A108:F110"/>
    <mergeCell ref="G108:I110"/>
    <mergeCell ref="J108:L108"/>
    <mergeCell ref="M108:N110"/>
    <mergeCell ref="O108:Q110"/>
    <mergeCell ref="R108:T110"/>
    <mergeCell ref="U108:W110"/>
    <mergeCell ref="X108:Z110"/>
    <mergeCell ref="AA108:AC110"/>
    <mergeCell ref="AD105:AE107"/>
    <mergeCell ref="AF105:AH107"/>
    <mergeCell ref="AI105:AJ107"/>
    <mergeCell ref="U105:W107"/>
    <mergeCell ref="X105:Z107"/>
    <mergeCell ref="AA105:AC107"/>
    <mergeCell ref="AD108:AE110"/>
    <mergeCell ref="AF108:AH110"/>
    <mergeCell ref="AI108:AJ110"/>
    <mergeCell ref="AK105:AM107"/>
    <mergeCell ref="J106:L106"/>
    <mergeCell ref="J107:L107"/>
    <mergeCell ref="A95:F97"/>
    <mergeCell ref="G95:I97"/>
    <mergeCell ref="J95:L95"/>
    <mergeCell ref="M95:N97"/>
    <mergeCell ref="O95:Q97"/>
    <mergeCell ref="R95:T97"/>
    <mergeCell ref="U95:W97"/>
    <mergeCell ref="X95:Z97"/>
    <mergeCell ref="AA95:AC97"/>
    <mergeCell ref="AD95:AE97"/>
    <mergeCell ref="AF95:AH97"/>
    <mergeCell ref="AI95:AJ97"/>
    <mergeCell ref="AK95:AM97"/>
    <mergeCell ref="J96:L96"/>
    <mergeCell ref="J97:L97"/>
    <mergeCell ref="A105:F107"/>
    <mergeCell ref="G105:I107"/>
    <mergeCell ref="J105:L105"/>
    <mergeCell ref="M105:N107"/>
    <mergeCell ref="O105:Q107"/>
    <mergeCell ref="R105:T107"/>
    <mergeCell ref="A99:AH99"/>
    <mergeCell ref="AI99:AM99"/>
    <mergeCell ref="A100:L100"/>
    <mergeCell ref="M100:AH100"/>
    <mergeCell ref="AI100:AM101"/>
    <mergeCell ref="A101:L101"/>
    <mergeCell ref="M101:AH101"/>
    <mergeCell ref="A102:F104"/>
    <mergeCell ref="G102:I104"/>
    <mergeCell ref="J102:L104"/>
    <mergeCell ref="M102:N104"/>
    <mergeCell ref="O102:Q104"/>
    <mergeCell ref="R102:T104"/>
    <mergeCell ref="U102:W104"/>
    <mergeCell ref="X102:Z104"/>
    <mergeCell ref="AA102:AC104"/>
    <mergeCell ref="AD102:AE104"/>
    <mergeCell ref="AF102:AH104"/>
    <mergeCell ref="AI102:AJ104"/>
    <mergeCell ref="AK102:AM104"/>
    <mergeCell ref="A49:F51"/>
    <mergeCell ref="G49:I51"/>
    <mergeCell ref="J49:L49"/>
    <mergeCell ref="M49:N51"/>
    <mergeCell ref="O49:Q51"/>
    <mergeCell ref="R49:T51"/>
    <mergeCell ref="U49:W51"/>
    <mergeCell ref="X49:Z51"/>
    <mergeCell ref="AA49:AC51"/>
    <mergeCell ref="AD49:AE51"/>
    <mergeCell ref="AF49:AH51"/>
    <mergeCell ref="AI49:AJ51"/>
    <mergeCell ref="AK49:AM51"/>
    <mergeCell ref="J50:L50"/>
    <mergeCell ref="J51:L51"/>
    <mergeCell ref="B208:K208"/>
    <mergeCell ref="L208:N208"/>
    <mergeCell ref="O208:Q208"/>
    <mergeCell ref="R208:U208"/>
    <mergeCell ref="V208:W208"/>
    <mergeCell ref="X208:AA208"/>
    <mergeCell ref="AB208:AE208"/>
    <mergeCell ref="AF208:AI208"/>
    <mergeCell ref="AJ208:AM208"/>
    <mergeCell ref="B190:K190"/>
    <mergeCell ref="L190:N190"/>
    <mergeCell ref="O190:Q190"/>
    <mergeCell ref="R190:U190"/>
    <mergeCell ref="V190:W190"/>
    <mergeCell ref="X190:AA190"/>
    <mergeCell ref="AB190:AE190"/>
    <mergeCell ref="AF190:AI190"/>
    <mergeCell ref="AJ190:AM190"/>
    <mergeCell ref="J67:L67"/>
    <mergeCell ref="AD59:AE61"/>
    <mergeCell ref="AF59:AH61"/>
    <mergeCell ref="AI59:AJ61"/>
    <mergeCell ref="AK59:AM61"/>
    <mergeCell ref="AF62:AH64"/>
    <mergeCell ref="AI62:AJ64"/>
    <mergeCell ref="AK62:AM64"/>
    <mergeCell ref="J65:L65"/>
    <mergeCell ref="J66:L66"/>
    <mergeCell ref="AA65:AC67"/>
    <mergeCell ref="AA59:AC61"/>
    <mergeCell ref="R62:T64"/>
    <mergeCell ref="U62:W64"/>
    <mergeCell ref="X62:Z64"/>
    <mergeCell ref="AA62:AC64"/>
    <mergeCell ref="AD62:AE64"/>
    <mergeCell ref="AD65:AE67"/>
    <mergeCell ref="AF65:AH67"/>
    <mergeCell ref="AI65:AJ67"/>
    <mergeCell ref="AK65:AM67"/>
    <mergeCell ref="AI53:AM53"/>
    <mergeCell ref="AI54:AM55"/>
    <mergeCell ref="A55:L55"/>
    <mergeCell ref="M55:AH55"/>
    <mergeCell ref="A56:F58"/>
    <mergeCell ref="G56:I58"/>
    <mergeCell ref="J56:L58"/>
    <mergeCell ref="M56:N58"/>
    <mergeCell ref="O56:Q58"/>
    <mergeCell ref="R56:T58"/>
    <mergeCell ref="U56:W58"/>
    <mergeCell ref="X56:Z58"/>
    <mergeCell ref="AA56:AC58"/>
    <mergeCell ref="AD56:AE58"/>
    <mergeCell ref="AF56:AH58"/>
    <mergeCell ref="AI56:AJ58"/>
    <mergeCell ref="AK56:AM58"/>
    <mergeCell ref="A54:L54"/>
    <mergeCell ref="M54:AH54"/>
    <mergeCell ref="A53:AH53"/>
    <mergeCell ref="A59:F61"/>
    <mergeCell ref="J64:L64"/>
    <mergeCell ref="A65:F67"/>
    <mergeCell ref="G65:I67"/>
    <mergeCell ref="M65:N67"/>
    <mergeCell ref="O65:Q67"/>
    <mergeCell ref="R65:T67"/>
    <mergeCell ref="U65:W67"/>
    <mergeCell ref="X65:Z67"/>
    <mergeCell ref="J59:L59"/>
    <mergeCell ref="J60:L60"/>
    <mergeCell ref="J61:L61"/>
    <mergeCell ref="J62:L62"/>
    <mergeCell ref="J63:L63"/>
    <mergeCell ref="G59:I61"/>
    <mergeCell ref="M59:N61"/>
    <mergeCell ref="O59:Q61"/>
    <mergeCell ref="R59:T61"/>
    <mergeCell ref="U59:W61"/>
    <mergeCell ref="X59:Z61"/>
    <mergeCell ref="A62:F64"/>
    <mergeCell ref="G62:I64"/>
    <mergeCell ref="M62:N64"/>
    <mergeCell ref="O62:Q64"/>
    <mergeCell ref="B217:K217"/>
    <mergeCell ref="L217:N217"/>
    <mergeCell ref="O217:Q217"/>
    <mergeCell ref="R217:U217"/>
    <mergeCell ref="V217:W217"/>
    <mergeCell ref="X217:AA217"/>
    <mergeCell ref="AB217:AE217"/>
    <mergeCell ref="AF217:AI217"/>
    <mergeCell ref="AJ217:AM217"/>
    <mergeCell ref="B216:K216"/>
    <mergeCell ref="L216:N216"/>
    <mergeCell ref="O216:Q216"/>
    <mergeCell ref="R216:U216"/>
    <mergeCell ref="V216:W216"/>
    <mergeCell ref="X216:AA216"/>
    <mergeCell ref="AB216:AE216"/>
    <mergeCell ref="AF216:AI216"/>
    <mergeCell ref="AJ216:AM216"/>
    <mergeCell ref="B215:K215"/>
    <mergeCell ref="L215:N215"/>
    <mergeCell ref="O215:Q215"/>
    <mergeCell ref="R215:U215"/>
    <mergeCell ref="V215:W215"/>
    <mergeCell ref="X215:AA215"/>
    <mergeCell ref="AB215:AE215"/>
    <mergeCell ref="AF215:AI215"/>
    <mergeCell ref="AJ215:AM215"/>
    <mergeCell ref="B214:K214"/>
    <mergeCell ref="L214:N214"/>
    <mergeCell ref="O214:Q214"/>
    <mergeCell ref="R214:U214"/>
    <mergeCell ref="V214:W214"/>
    <mergeCell ref="X214:AA214"/>
    <mergeCell ref="AB214:AE214"/>
    <mergeCell ref="AF214:AI214"/>
    <mergeCell ref="AJ214:AM214"/>
    <mergeCell ref="B213:K213"/>
    <mergeCell ref="L213:N213"/>
    <mergeCell ref="O213:Q213"/>
    <mergeCell ref="R213:U213"/>
    <mergeCell ref="V213:W213"/>
    <mergeCell ref="X213:AA213"/>
    <mergeCell ref="AB213:AE213"/>
    <mergeCell ref="AF213:AI213"/>
    <mergeCell ref="AJ213:AM213"/>
    <mergeCell ref="B212:K212"/>
    <mergeCell ref="L212:N212"/>
    <mergeCell ref="O212:Q212"/>
    <mergeCell ref="R212:U212"/>
    <mergeCell ref="V212:W212"/>
    <mergeCell ref="X212:AA212"/>
    <mergeCell ref="AB212:AE212"/>
    <mergeCell ref="AF212:AI212"/>
    <mergeCell ref="AJ212:AM212"/>
    <mergeCell ref="B211:K211"/>
    <mergeCell ref="L211:N211"/>
    <mergeCell ref="O211:Q211"/>
    <mergeCell ref="R211:U211"/>
    <mergeCell ref="V211:W211"/>
    <mergeCell ref="X211:AA211"/>
    <mergeCell ref="AB211:AE211"/>
    <mergeCell ref="AF211:AI211"/>
    <mergeCell ref="AJ211:AM211"/>
    <mergeCell ref="B210:K210"/>
    <mergeCell ref="L210:N210"/>
    <mergeCell ref="O210:Q210"/>
    <mergeCell ref="R210:U210"/>
    <mergeCell ref="V210:W210"/>
    <mergeCell ref="X210:AA210"/>
    <mergeCell ref="AB210:AE210"/>
    <mergeCell ref="AF210:AI210"/>
    <mergeCell ref="AJ210:AM210"/>
    <mergeCell ref="B209:K209"/>
    <mergeCell ref="L209:N209"/>
    <mergeCell ref="O209:Q209"/>
    <mergeCell ref="R209:U209"/>
    <mergeCell ref="V209:W209"/>
    <mergeCell ref="X209:AA209"/>
    <mergeCell ref="AB209:AE209"/>
    <mergeCell ref="AF209:AI209"/>
    <mergeCell ref="AJ209:AM209"/>
    <mergeCell ref="B207:K207"/>
    <mergeCell ref="L207:N207"/>
    <mergeCell ref="O207:Q207"/>
    <mergeCell ref="R207:U207"/>
    <mergeCell ref="V207:W207"/>
    <mergeCell ref="X207:AA207"/>
    <mergeCell ref="AB207:AE207"/>
    <mergeCell ref="AF207:AI207"/>
    <mergeCell ref="AJ207:AM207"/>
    <mergeCell ref="B206:K206"/>
    <mergeCell ref="L206:N206"/>
    <mergeCell ref="O206:Q206"/>
    <mergeCell ref="R206:U206"/>
    <mergeCell ref="V206:W206"/>
    <mergeCell ref="X206:AA206"/>
    <mergeCell ref="AB206:AE206"/>
    <mergeCell ref="AF206:AI206"/>
    <mergeCell ref="AJ206:AM206"/>
    <mergeCell ref="B205:K205"/>
    <mergeCell ref="L205:N205"/>
    <mergeCell ref="O205:Q205"/>
    <mergeCell ref="R205:U205"/>
    <mergeCell ref="V205:W205"/>
    <mergeCell ref="X205:AA205"/>
    <mergeCell ref="AB205:AE205"/>
    <mergeCell ref="AF205:AI205"/>
    <mergeCell ref="AJ205:AM205"/>
    <mergeCell ref="B204:K204"/>
    <mergeCell ref="L204:N204"/>
    <mergeCell ref="O204:Q204"/>
    <mergeCell ref="R204:U204"/>
    <mergeCell ref="V204:W204"/>
    <mergeCell ref="X204:AA204"/>
    <mergeCell ref="AB204:AE204"/>
    <mergeCell ref="AF204:AI204"/>
    <mergeCell ref="AJ204:AM204"/>
    <mergeCell ref="B203:K203"/>
    <mergeCell ref="L203:N203"/>
    <mergeCell ref="O203:Q203"/>
    <mergeCell ref="R203:U203"/>
    <mergeCell ref="V203:W203"/>
    <mergeCell ref="X203:AA203"/>
    <mergeCell ref="AB203:AE203"/>
    <mergeCell ref="AF203:AI203"/>
    <mergeCell ref="AJ203:AM203"/>
    <mergeCell ref="B202:K202"/>
    <mergeCell ref="L202:N202"/>
    <mergeCell ref="O202:Q202"/>
    <mergeCell ref="R202:U202"/>
    <mergeCell ref="V202:W202"/>
    <mergeCell ref="X202:AA202"/>
    <mergeCell ref="AB202:AE202"/>
    <mergeCell ref="AF202:AI202"/>
    <mergeCell ref="AJ202:AM202"/>
    <mergeCell ref="B201:K201"/>
    <mergeCell ref="L201:N201"/>
    <mergeCell ref="O201:Q201"/>
    <mergeCell ref="R201:U201"/>
    <mergeCell ref="V201:W201"/>
    <mergeCell ref="X201:AA201"/>
    <mergeCell ref="AB201:AE201"/>
    <mergeCell ref="AF201:AI201"/>
    <mergeCell ref="AJ201:AM201"/>
    <mergeCell ref="B200:K200"/>
    <mergeCell ref="L200:N200"/>
    <mergeCell ref="O200:Q200"/>
    <mergeCell ref="R200:U200"/>
    <mergeCell ref="V200:W200"/>
    <mergeCell ref="X200:AA200"/>
    <mergeCell ref="AB200:AE200"/>
    <mergeCell ref="AF200:AI200"/>
    <mergeCell ref="AJ200:AM200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37:F39"/>
    <mergeCell ref="G37:I39"/>
    <mergeCell ref="J37:L39"/>
    <mergeCell ref="M37:N39"/>
    <mergeCell ref="O37:Q39"/>
    <mergeCell ref="R37:T3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K43:AM45"/>
    <mergeCell ref="J44:L44"/>
    <mergeCell ref="J45:L45"/>
    <mergeCell ref="AA43:AC45"/>
    <mergeCell ref="AD43:AE45"/>
    <mergeCell ref="AK37:AM39"/>
    <mergeCell ref="U37:W39"/>
    <mergeCell ref="X37:Z39"/>
    <mergeCell ref="AA37:AC39"/>
    <mergeCell ref="AD37:AE39"/>
    <mergeCell ref="AF37:AH39"/>
    <mergeCell ref="AI37:AJ39"/>
    <mergeCell ref="AK40:AM42"/>
    <mergeCell ref="U43:W45"/>
    <mergeCell ref="X43:Z45"/>
    <mergeCell ref="X40:Z42"/>
    <mergeCell ref="AA40:AC42"/>
    <mergeCell ref="AD40:AE42"/>
    <mergeCell ref="AF43:AH45"/>
    <mergeCell ref="AI43:AJ45"/>
    <mergeCell ref="AF40:AH42"/>
    <mergeCell ref="AI40:AJ42"/>
    <mergeCell ref="A40:F42"/>
    <mergeCell ref="G40:I42"/>
    <mergeCell ref="J40:L40"/>
    <mergeCell ref="M40:N42"/>
    <mergeCell ref="O40:Q42"/>
    <mergeCell ref="R40:T42"/>
    <mergeCell ref="U40:W42"/>
    <mergeCell ref="J41:L41"/>
    <mergeCell ref="J42:L42"/>
    <mergeCell ref="AI46:AJ48"/>
    <mergeCell ref="AK46:AM48"/>
    <mergeCell ref="J47:L47"/>
    <mergeCell ref="J48:L48"/>
    <mergeCell ref="A43:F45"/>
    <mergeCell ref="G43:I45"/>
    <mergeCell ref="J43:L43"/>
    <mergeCell ref="M43:N45"/>
    <mergeCell ref="A80:L80"/>
    <mergeCell ref="M80:AH80"/>
    <mergeCell ref="AI80:AM80"/>
    <mergeCell ref="R46:T48"/>
    <mergeCell ref="U46:W48"/>
    <mergeCell ref="X46:Z48"/>
    <mergeCell ref="AA46:AC48"/>
    <mergeCell ref="AD46:AE48"/>
    <mergeCell ref="AF46:AH48"/>
    <mergeCell ref="A46:F48"/>
    <mergeCell ref="G46:I48"/>
    <mergeCell ref="J46:L46"/>
    <mergeCell ref="M46:N48"/>
    <mergeCell ref="O46:Q48"/>
    <mergeCell ref="O43:Q45"/>
    <mergeCell ref="R43:T45"/>
    <mergeCell ref="AI83:AJ85"/>
    <mergeCell ref="AK83:AM85"/>
    <mergeCell ref="AA83:AC85"/>
    <mergeCell ref="AD83:AE85"/>
    <mergeCell ref="AF83:AH85"/>
    <mergeCell ref="R83:T85"/>
    <mergeCell ref="U83:W85"/>
    <mergeCell ref="X83:Z85"/>
    <mergeCell ref="A81:L81"/>
    <mergeCell ref="M81:AH81"/>
    <mergeCell ref="AI81:AM82"/>
    <mergeCell ref="A82:L82"/>
    <mergeCell ref="M82:AH82"/>
    <mergeCell ref="A83:F85"/>
    <mergeCell ref="G83:I85"/>
    <mergeCell ref="J83:L85"/>
    <mergeCell ref="M83:N85"/>
    <mergeCell ref="O83:Q85"/>
    <mergeCell ref="A86:F88"/>
    <mergeCell ref="G86:I88"/>
    <mergeCell ref="J86:L86"/>
    <mergeCell ref="M86:N88"/>
    <mergeCell ref="O86:Q88"/>
    <mergeCell ref="R86:T88"/>
    <mergeCell ref="U86:W88"/>
    <mergeCell ref="J87:L87"/>
    <mergeCell ref="J88:L88"/>
    <mergeCell ref="X86:Z88"/>
    <mergeCell ref="AA86:AC88"/>
    <mergeCell ref="AD86:AE88"/>
    <mergeCell ref="AF89:AH91"/>
    <mergeCell ref="AI89:AJ91"/>
    <mergeCell ref="AF86:AH88"/>
    <mergeCell ref="AI86:AJ88"/>
    <mergeCell ref="AK86:AM88"/>
    <mergeCell ref="AK89:AM91"/>
    <mergeCell ref="X89:Z91"/>
    <mergeCell ref="AA89:AC91"/>
    <mergeCell ref="AD89:AE91"/>
    <mergeCell ref="AI92:AJ94"/>
    <mergeCell ref="AK92:AM94"/>
    <mergeCell ref="J93:L93"/>
    <mergeCell ref="J94:L94"/>
    <mergeCell ref="A89:F91"/>
    <mergeCell ref="G89:I91"/>
    <mergeCell ref="J89:L89"/>
    <mergeCell ref="M89:N91"/>
    <mergeCell ref="J90:L90"/>
    <mergeCell ref="J91:L91"/>
    <mergeCell ref="A92:F94"/>
    <mergeCell ref="G92:I94"/>
    <mergeCell ref="J92:L92"/>
    <mergeCell ref="M92:N94"/>
    <mergeCell ref="O92:Q94"/>
    <mergeCell ref="O89:Q91"/>
    <mergeCell ref="R89:T91"/>
    <mergeCell ref="R92:T94"/>
    <mergeCell ref="U92:W94"/>
    <mergeCell ref="X92:Z94"/>
    <mergeCell ref="AA92:AC94"/>
    <mergeCell ref="AD92:AE94"/>
    <mergeCell ref="AF92:AH94"/>
    <mergeCell ref="U89:W91"/>
    <mergeCell ref="A133:L133"/>
    <mergeCell ref="M133:AH133"/>
    <mergeCell ref="AI133:AM133"/>
    <mergeCell ref="A134:L134"/>
    <mergeCell ref="M134:AH134"/>
    <mergeCell ref="AI134:AM135"/>
    <mergeCell ref="A135:L135"/>
    <mergeCell ref="M135:AH135"/>
    <mergeCell ref="A128:G129"/>
    <mergeCell ref="H128:AM129"/>
    <mergeCell ref="A130:G131"/>
    <mergeCell ref="H130:V131"/>
    <mergeCell ref="W130:Z131"/>
    <mergeCell ref="AA130:AM131"/>
    <mergeCell ref="AK136:AM138"/>
    <mergeCell ref="U136:W138"/>
    <mergeCell ref="X136:Z138"/>
    <mergeCell ref="AA136:AC138"/>
    <mergeCell ref="AD136:AE138"/>
    <mergeCell ref="AF136:AH138"/>
    <mergeCell ref="AI136:AJ138"/>
    <mergeCell ref="A136:F138"/>
    <mergeCell ref="G136:I138"/>
    <mergeCell ref="J136:L138"/>
    <mergeCell ref="M136:N138"/>
    <mergeCell ref="O136:Q138"/>
    <mergeCell ref="R136:T138"/>
    <mergeCell ref="A139:F141"/>
    <mergeCell ref="G139:I141"/>
    <mergeCell ref="J139:L139"/>
    <mergeCell ref="M139:N141"/>
    <mergeCell ref="O139:Q141"/>
    <mergeCell ref="R139:T141"/>
    <mergeCell ref="U139:W141"/>
    <mergeCell ref="J140:L140"/>
    <mergeCell ref="J141:L141"/>
    <mergeCell ref="X139:Z141"/>
    <mergeCell ref="AA139:AC141"/>
    <mergeCell ref="AD139:AE141"/>
    <mergeCell ref="AF142:AH144"/>
    <mergeCell ref="AI142:AJ144"/>
    <mergeCell ref="AF139:AH141"/>
    <mergeCell ref="AI139:AJ141"/>
    <mergeCell ref="AK139:AM141"/>
    <mergeCell ref="AK142:AM144"/>
    <mergeCell ref="U142:W144"/>
    <mergeCell ref="X142:Z144"/>
    <mergeCell ref="AA142:AC144"/>
    <mergeCell ref="AD142:AE144"/>
    <mergeCell ref="AI145:AJ147"/>
    <mergeCell ref="AK145:AM147"/>
    <mergeCell ref="J146:L146"/>
    <mergeCell ref="J147:L147"/>
    <mergeCell ref="A142:F144"/>
    <mergeCell ref="G142:I144"/>
    <mergeCell ref="J142:L142"/>
    <mergeCell ref="M142:N144"/>
    <mergeCell ref="J143:L143"/>
    <mergeCell ref="J144:L144"/>
    <mergeCell ref="A145:F147"/>
    <mergeCell ref="G145:I147"/>
    <mergeCell ref="J145:L145"/>
    <mergeCell ref="M145:N147"/>
    <mergeCell ref="O145:Q147"/>
    <mergeCell ref="O142:Q144"/>
    <mergeCell ref="R142:T144"/>
    <mergeCell ref="R145:T147"/>
    <mergeCell ref="U145:W147"/>
    <mergeCell ref="X145:Z147"/>
    <mergeCell ref="AA145:AC147"/>
    <mergeCell ref="AD145:AE147"/>
    <mergeCell ref="AF145:AH147"/>
    <mergeCell ref="A177:AM177"/>
    <mergeCell ref="B179:K179"/>
    <mergeCell ref="R179:U179"/>
    <mergeCell ref="V179:W179"/>
    <mergeCell ref="X179:AA179"/>
    <mergeCell ref="AB179:AE179"/>
    <mergeCell ref="AF179:AI179"/>
    <mergeCell ref="AJ179:AM179"/>
    <mergeCell ref="A149:AH149"/>
    <mergeCell ref="AI149:AM149"/>
    <mergeCell ref="A150:L150"/>
    <mergeCell ref="M150:AH150"/>
    <mergeCell ref="AI150:AM151"/>
    <mergeCell ref="A151:L151"/>
    <mergeCell ref="M151:AH151"/>
    <mergeCell ref="A152:F154"/>
    <mergeCell ref="G152:I154"/>
    <mergeCell ref="J152:L154"/>
    <mergeCell ref="M152:N154"/>
    <mergeCell ref="O152:Q154"/>
    <mergeCell ref="R152:T154"/>
    <mergeCell ref="AB180:AE180"/>
    <mergeCell ref="AF180:AI180"/>
    <mergeCell ref="AJ180:AM180"/>
    <mergeCell ref="B181:K181"/>
    <mergeCell ref="L181:N181"/>
    <mergeCell ref="O181:Q181"/>
    <mergeCell ref="R181:U181"/>
    <mergeCell ref="V181:W181"/>
    <mergeCell ref="X181:AA181"/>
    <mergeCell ref="AB181:AE181"/>
    <mergeCell ref="B180:K180"/>
    <mergeCell ref="L180:N180"/>
    <mergeCell ref="O180:Q180"/>
    <mergeCell ref="R180:U180"/>
    <mergeCell ref="V180:W180"/>
    <mergeCell ref="X180:AA180"/>
    <mergeCell ref="AF181:AI181"/>
    <mergeCell ref="AJ181:AM181"/>
    <mergeCell ref="B182:K182"/>
    <mergeCell ref="L182:N182"/>
    <mergeCell ref="O182:Q182"/>
    <mergeCell ref="R182:U182"/>
    <mergeCell ref="V182:W182"/>
    <mergeCell ref="X182:AA182"/>
    <mergeCell ref="AB182:AE182"/>
    <mergeCell ref="AF182:AI182"/>
    <mergeCell ref="AJ182:AM182"/>
    <mergeCell ref="B183:K183"/>
    <mergeCell ref="L183:N183"/>
    <mergeCell ref="O183:Q183"/>
    <mergeCell ref="R183:U183"/>
    <mergeCell ref="V183:W183"/>
    <mergeCell ref="X183:AA183"/>
    <mergeCell ref="AB183:AE183"/>
    <mergeCell ref="AF183:AI183"/>
    <mergeCell ref="AJ183:AM183"/>
    <mergeCell ref="AB184:AE184"/>
    <mergeCell ref="AF184:AI184"/>
    <mergeCell ref="AJ184:AM184"/>
    <mergeCell ref="B185:K185"/>
    <mergeCell ref="L185:N185"/>
    <mergeCell ref="O185:Q185"/>
    <mergeCell ref="R185:U185"/>
    <mergeCell ref="V185:W185"/>
    <mergeCell ref="X185:AA185"/>
    <mergeCell ref="AB185:AE185"/>
    <mergeCell ref="B184:K184"/>
    <mergeCell ref="L184:N184"/>
    <mergeCell ref="O184:Q184"/>
    <mergeCell ref="R184:U184"/>
    <mergeCell ref="V184:W184"/>
    <mergeCell ref="X184:AA184"/>
    <mergeCell ref="AF185:AI185"/>
    <mergeCell ref="AJ185:AM185"/>
    <mergeCell ref="B186:K186"/>
    <mergeCell ref="L186:N186"/>
    <mergeCell ref="O186:Q186"/>
    <mergeCell ref="R186:U186"/>
    <mergeCell ref="V186:W186"/>
    <mergeCell ref="X186:AA186"/>
    <mergeCell ref="AB186:AE186"/>
    <mergeCell ref="AF186:AI186"/>
    <mergeCell ref="AJ186:AM186"/>
    <mergeCell ref="B187:K187"/>
    <mergeCell ref="L187:N187"/>
    <mergeCell ref="O187:Q187"/>
    <mergeCell ref="R187:U187"/>
    <mergeCell ref="V187:W187"/>
    <mergeCell ref="X187:AA187"/>
    <mergeCell ref="AB187:AE187"/>
    <mergeCell ref="AF187:AI187"/>
    <mergeCell ref="AJ187:AM187"/>
    <mergeCell ref="AB188:AE188"/>
    <mergeCell ref="AF188:AI188"/>
    <mergeCell ref="AJ188:AM188"/>
    <mergeCell ref="B189:K189"/>
    <mergeCell ref="L189:N189"/>
    <mergeCell ref="O189:Q189"/>
    <mergeCell ref="R189:U189"/>
    <mergeCell ref="V189:W189"/>
    <mergeCell ref="X189:AA189"/>
    <mergeCell ref="AB189:AE189"/>
    <mergeCell ref="B188:K188"/>
    <mergeCell ref="L188:N188"/>
    <mergeCell ref="O188:Q188"/>
    <mergeCell ref="R188:U188"/>
    <mergeCell ref="V188:W188"/>
    <mergeCell ref="X188:AA188"/>
    <mergeCell ref="AF189:AI189"/>
    <mergeCell ref="AJ189:AM189"/>
    <mergeCell ref="B191:K191"/>
    <mergeCell ref="L191:N191"/>
    <mergeCell ref="O191:Q191"/>
    <mergeCell ref="R191:U191"/>
    <mergeCell ref="V191:W191"/>
    <mergeCell ref="X191:AA191"/>
    <mergeCell ref="AB191:AE191"/>
    <mergeCell ref="AF191:AI191"/>
    <mergeCell ref="AJ191:AM191"/>
    <mergeCell ref="B192:K192"/>
    <mergeCell ref="L192:N192"/>
    <mergeCell ref="O192:Q192"/>
    <mergeCell ref="R192:U192"/>
    <mergeCell ref="V192:W192"/>
    <mergeCell ref="X192:AA192"/>
    <mergeCell ref="AB192:AE192"/>
    <mergeCell ref="AF192:AI192"/>
    <mergeCell ref="AJ192:AM192"/>
    <mergeCell ref="AB193:AE193"/>
    <mergeCell ref="AF193:AI193"/>
    <mergeCell ref="AJ193:AM193"/>
    <mergeCell ref="B194:K194"/>
    <mergeCell ref="L194:N194"/>
    <mergeCell ref="O194:Q194"/>
    <mergeCell ref="R194:U194"/>
    <mergeCell ref="V194:W194"/>
    <mergeCell ref="X194:AA194"/>
    <mergeCell ref="AB194:AE194"/>
    <mergeCell ref="B193:K193"/>
    <mergeCell ref="L193:N193"/>
    <mergeCell ref="O193:Q193"/>
    <mergeCell ref="R193:U193"/>
    <mergeCell ref="V193:W193"/>
    <mergeCell ref="X193:AA193"/>
    <mergeCell ref="AF194:AI194"/>
    <mergeCell ref="AJ194:AM194"/>
    <mergeCell ref="B195:K195"/>
    <mergeCell ref="L195:N195"/>
    <mergeCell ref="O195:Q195"/>
    <mergeCell ref="R195:U195"/>
    <mergeCell ref="V195:W195"/>
    <mergeCell ref="X195:AA195"/>
    <mergeCell ref="AB195:AE195"/>
    <mergeCell ref="AF195:AI195"/>
    <mergeCell ref="AJ195:AM195"/>
    <mergeCell ref="B196:K196"/>
    <mergeCell ref="L196:N196"/>
    <mergeCell ref="O196:Q196"/>
    <mergeCell ref="R196:U196"/>
    <mergeCell ref="V196:W196"/>
    <mergeCell ref="X196:AA196"/>
    <mergeCell ref="AB196:AE196"/>
    <mergeCell ref="AF196:AI196"/>
    <mergeCell ref="AJ196:AM196"/>
    <mergeCell ref="AB197:AE197"/>
    <mergeCell ref="AF197:AI197"/>
    <mergeCell ref="AJ197:AM197"/>
    <mergeCell ref="B197:K197"/>
    <mergeCell ref="L197:N197"/>
    <mergeCell ref="O197:Q197"/>
    <mergeCell ref="R197:U197"/>
    <mergeCell ref="V197:W197"/>
    <mergeCell ref="X197:AA197"/>
    <mergeCell ref="AJ198:AM198"/>
    <mergeCell ref="B199:K199"/>
    <mergeCell ref="L199:N199"/>
    <mergeCell ref="O199:Q199"/>
    <mergeCell ref="R199:U199"/>
    <mergeCell ref="V199:W199"/>
    <mergeCell ref="X199:AA199"/>
    <mergeCell ref="AB199:AE199"/>
    <mergeCell ref="AF199:AI199"/>
    <mergeCell ref="AJ199:AM199"/>
    <mergeCell ref="B198:K198"/>
    <mergeCell ref="L198:N198"/>
    <mergeCell ref="O198:Q198"/>
    <mergeCell ref="R198:U198"/>
    <mergeCell ref="V198:W198"/>
    <mergeCell ref="X198:AA198"/>
    <mergeCell ref="AB198:AE198"/>
    <mergeCell ref="AF198:AI198"/>
  </mergeCells>
  <hyperlinks>
    <hyperlink ref="G11" r:id="rId1" xr:uid="{B1D493BE-CCC8-0042-A9C2-400EE0A9A468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5D71-CB34-4C6B-A5F9-FC412596F062}">
  <dimension ref="A1:AM136"/>
  <sheetViews>
    <sheetView view="pageLayout" zoomScale="160" zoomScaleNormal="100" zoomScalePageLayoutView="160" workbookViewId="0">
      <selection activeCell="Y27" sqref="Y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625" customWidth="1"/>
    <col min="35" max="38" width="2.375" customWidth="1"/>
    <col min="39" max="39" width="2.62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Bucharest One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15,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RO22449940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J40/17833/2007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RO26 RZBR 0000 0600 1269 9650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45/13.08.2024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44/13.08.2024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1272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AB136</f>
        <v>37969.249999999993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AF136</f>
        <v>7214.16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AJ136</f>
        <v>45183.409999999996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45183.409999999996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R99+R113+R114+R117</f>
        <v>40396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1.1185119813842954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Calea Bucuresti, nr.105, Loc. Brasov, Jud. Brasov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5000579252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RN1_Brasov_1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594020100002637995/1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50" t="str">
        <f>AA31</f>
        <v>RN1_Brasov_1</v>
      </c>
      <c r="AJ35" s="650"/>
      <c r="AK35" s="650"/>
      <c r="AL35" s="650"/>
      <c r="AM35" s="650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50"/>
      <c r="AJ36" s="650"/>
      <c r="AK36" s="650"/>
      <c r="AL36" s="650"/>
      <c r="AM36" s="650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VLOOKUP($AI$35,'Contorizare in SDI'!$E:$I,5,FALSE)</f>
        <v>1369358662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v>1</v>
      </c>
      <c r="P40" s="648"/>
      <c r="Q40" s="648"/>
      <c r="R40" s="647" t="str">
        <f>VLOOKUP(A40,Regularizare!$D:$YN,3,FALSE)&amp;" ("&amp;VLOOKUP(A40,Regularizare!$D:$Y,11,FALSE)&amp;")"</f>
        <v>888146 (citit)</v>
      </c>
      <c r="S40" s="647"/>
      <c r="T40" s="647"/>
      <c r="U40" s="647" t="str">
        <f>VLOOKUP(A40,Regularizare!$D:$U,4,FALSE)&amp;" ("&amp;VLOOKUP(A40,Regularizare!$D:$U,12,FALSE)&amp;")"</f>
        <v>916135 (estimat)</v>
      </c>
      <c r="V40" s="647"/>
      <c r="W40" s="647"/>
      <c r="X40" s="647" t="str">
        <f>VLOOKUP(A40,Regularizare!$D:$Y,19,FALSE)&amp;" ("&amp;VLOOKUP(A40,Regularizare!$D:$U,12,FALSE)&amp;")"</f>
        <v>27989 (estimat)</v>
      </c>
      <c r="Y40" s="647"/>
      <c r="Z40" s="647"/>
      <c r="AA40" s="647">
        <f>(-1)*VLOOKUP(A40,Regularizare!$D:$Y,19,FALSE)</f>
        <v>-27989</v>
      </c>
      <c r="AB40" s="647"/>
      <c r="AC40" s="647"/>
      <c r="AD40" s="647" t="s">
        <v>69</v>
      </c>
      <c r="AE40" s="647"/>
      <c r="AF40" s="647">
        <f>AA40</f>
        <v>-27989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14.1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VLOOKUP($AI$35,'Contorizare in SDI'!$E:$I,5,FALSE)</f>
        <v>1369358662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v>1</v>
      </c>
      <c r="P43" s="648"/>
      <c r="Q43" s="648"/>
      <c r="R43" s="647" t="str">
        <f>VLOOKUP(A43,Regularizare!$D:$U,7,FALSE)&amp;" ("&amp;VLOOKUP(A43,Regularizare!$D:$U,15,FALSE)&amp;")"</f>
        <v>93080 (citit)</v>
      </c>
      <c r="S43" s="647"/>
      <c r="T43" s="647"/>
      <c r="U43" s="647" t="str">
        <f>VLOOKUP(A43,Regularizare!$D:$U,8,FALSE)&amp;" ("&amp;VLOOKUP(A43,Regularizare!$D:$U,16,FALSE)&amp;")"</f>
        <v>93080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14.1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VLOOKUP($AI$35,'Contorizare in SDI'!$E:$I,5,FALSE)</f>
        <v>1369358662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v>1</v>
      </c>
      <c r="P46" s="648"/>
      <c r="Q46" s="648"/>
      <c r="R46" s="647" t="str">
        <f>VLOOKUP(A46,Regularizare!$D:$U,9,FALSE)&amp;" ("&amp;VLOOKUP(A46,Regularizare!$D:$U,17,FALSE)&amp;")"</f>
        <v>66246 (citit)</v>
      </c>
      <c r="S46" s="647"/>
      <c r="T46" s="647"/>
      <c r="U46" s="647" t="str">
        <f>VLOOKUP(A46,Regularizare!$D:$U,10,FALSE)&amp;" ("&amp;VLOOKUP(A46,Regularizare!$D:$U,18,FALSE)&amp;")"</f>
        <v>66246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14.1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VLOOKUP($AI$35,'Contorizare in SDI'!$E:$I,5,FALSE)</f>
        <v>1369358662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v>1</v>
      </c>
      <c r="P49" s="648"/>
      <c r="Q49" s="648"/>
      <c r="R49" s="647" t="str">
        <f>VLOOKUP(A49,Regularizare!$D:$AX,23,FALSE)&amp;" ("&amp;VLOOKUP(A49,Regularizare!$D:$AX,24,FALSE)&amp;")"</f>
        <v>888146 (citit)</v>
      </c>
      <c r="S49" s="647"/>
      <c r="T49" s="647"/>
      <c r="U49" s="647" t="str">
        <f>VLOOKUP(A49,Regularizare!$D:$AX,25,FALSE)&amp;" ("&amp;VLOOKUP(A49,Regularizare!$D:$AX,26,FALSE)&amp;")"</f>
        <v>916135 (citit)</v>
      </c>
      <c r="V49" s="647"/>
      <c r="W49" s="647"/>
      <c r="X49" s="647" t="str">
        <f>VLOOKUP(A49,Regularizare!$D:$AX,37,FALSE)&amp;" ("&amp;VLOOKUP(A49,Regularizare!$D:$AX,26,FALSE)&amp;")"</f>
        <v>27989 (citit)</v>
      </c>
      <c r="Y49" s="647"/>
      <c r="Z49" s="647"/>
      <c r="AA49" s="647">
        <f>VLOOKUP(A49,Regularizare!$D:$AX,37,FALSE)</f>
        <v>27989</v>
      </c>
      <c r="AB49" s="647"/>
      <c r="AC49" s="647"/>
      <c r="AD49" s="647" t="s">
        <v>69</v>
      </c>
      <c r="AE49" s="647"/>
      <c r="AF49" s="647">
        <f>AA49</f>
        <v>27989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VLOOKUP($AI$35,'Contorizare in SDI'!$E:$I,5,FALSE)</f>
        <v>1369358662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v>1</v>
      </c>
      <c r="P52" s="648"/>
      <c r="Q52" s="648"/>
      <c r="R52" s="647" t="str">
        <f>VLOOKUP(A52,Regularizare!$D:$AX,29,FALSE)&amp;" ("&amp;VLOOKUP(A52,Regularizare!$D:$AX,30,FALSE)&amp;")"</f>
        <v>93080 (citit)</v>
      </c>
      <c r="S52" s="647"/>
      <c r="T52" s="647"/>
      <c r="U52" s="647" t="str">
        <f>VLOOKUP(A52,Regularizare!$D:$AX,31,FALSE)&amp;" ("&amp;VLOOKUP(A52,Regularizare!$D:$AX,32,FALSE)&amp;")"</f>
        <v>93086 (citit)</v>
      </c>
      <c r="V52" s="647"/>
      <c r="W52" s="647"/>
      <c r="X52" s="647" t="str">
        <f>VLOOKUP(A52,Regularizare!$D:$AX,39,FALSE)&amp;" ("&amp;VLOOKUP(A52,Regularizare!$D:$AX,32,FALSE)&amp;")"</f>
        <v>6 (citit)</v>
      </c>
      <c r="Y52" s="647"/>
      <c r="Z52" s="647"/>
      <c r="AA52" s="647">
        <f>VLOOKUP(A52,Regularizare!$D:$AX,44,FALSE)+VLOOKUP(A52,Regularizare!$D:$AX,45,FALSE)</f>
        <v>6</v>
      </c>
      <c r="AB52" s="647"/>
      <c r="AC52" s="647"/>
      <c r="AD52" s="647" t="s">
        <v>69</v>
      </c>
      <c r="AE52" s="647"/>
      <c r="AF52" s="647">
        <f>AA52</f>
        <v>6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VLOOKUP($AI$35,'Contorizare in SDI'!$E:$I,5,FALSE)</f>
        <v>1369358662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v>1</v>
      </c>
      <c r="P55" s="648"/>
      <c r="Q55" s="648"/>
      <c r="R55" s="647" t="str">
        <f>VLOOKUP(A55,Regularizare!$D:$AX,33,FALSE)&amp;" ("&amp;VLOOKUP(A55,Regularizare!$D:$AX,34,FALSE)&amp;")"</f>
        <v>66246 (citit)</v>
      </c>
      <c r="S55" s="647"/>
      <c r="T55" s="647"/>
      <c r="U55" s="647" t="str">
        <f>VLOOKUP(A55,Regularizare!$D:$AX,35,FALSE)&amp;" ("&amp;VLOOKUP(A55,Regularizare!$D:$AX,36,FALSE)&amp;")"</f>
        <v>66430 (citit)</v>
      </c>
      <c r="V55" s="647"/>
      <c r="W55" s="647"/>
      <c r="X55" s="647" t="str">
        <f>VLOOKUP(A55,Regularizare!$D:$AX,40,FALSE)&amp;" ("&amp;VLOOKUP(A55,Regularizare!$D:$AX,36,FALSE)&amp;")"</f>
        <v>184 (citit)</v>
      </c>
      <c r="Y55" s="647"/>
      <c r="Z55" s="647"/>
      <c r="AA55" s="647">
        <f>VLOOKUP(A55,Regularizare!$D:$AX,46,FALSE)+VLOOKUP(A55,Regularizare!$D:$AX,47,FALSE)</f>
        <v>184</v>
      </c>
      <c r="AB55" s="647"/>
      <c r="AC55" s="647"/>
      <c r="AD55" s="647" t="s">
        <v>69</v>
      </c>
      <c r="AE55" s="647"/>
      <c r="AF55" s="647">
        <f>AA55</f>
        <v>184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VLOOKUP(AI35,'Contorizare in SDI'!$E:$I,5,FALSE)</f>
        <v>1369358662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v>1</v>
      </c>
      <c r="P58" s="648"/>
      <c r="Q58" s="648"/>
      <c r="R58" s="647" t="str">
        <f>U49</f>
        <v>916135 (citit)</v>
      </c>
      <c r="S58" s="647"/>
      <c r="T58" s="647"/>
      <c r="U58" s="647" t="str">
        <f>VLOOKUP(A58,'Incrementare indexe'!$D:$M,4,FALSE)&amp;" (estimat)"</f>
        <v>941193 (estimat)</v>
      </c>
      <c r="V58" s="647"/>
      <c r="W58" s="647"/>
      <c r="X58" s="647" t="str">
        <f>VLOOKUP(A58,'Incrementare indexe'!$D:$Q,11,FALSE)&amp;" (citit)"</f>
        <v>25058 (citit)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25058</v>
      </c>
      <c r="AG58" s="647"/>
      <c r="AH58" s="647"/>
      <c r="AI58" s="647">
        <f>J60-J58+1</f>
        <v>31</v>
      </c>
      <c r="AJ58" s="647"/>
      <c r="AK58" s="647">
        <f>ROUND(AF58/AI58,2)</f>
        <v>808.32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1369358662</v>
      </c>
      <c r="B61" s="679"/>
      <c r="C61" s="679"/>
      <c r="D61" s="679"/>
      <c r="E61" s="679"/>
      <c r="F61" s="680"/>
      <c r="G61" s="647" t="s">
        <v>1300</v>
      </c>
      <c r="H61" s="647"/>
      <c r="I61" s="675"/>
      <c r="J61" s="655">
        <f t="shared" ref="J61:J69" si="2">J58</f>
        <v>45778</v>
      </c>
      <c r="K61" s="656"/>
      <c r="L61" s="657"/>
      <c r="M61" s="720" t="s">
        <v>446</v>
      </c>
      <c r="N61" s="648"/>
      <c r="O61" s="648">
        <f>O58</f>
        <v>1</v>
      </c>
      <c r="P61" s="648"/>
      <c r="Q61" s="648"/>
      <c r="R61" s="647" t="str">
        <f>VLOOKUP(A61,'Date masura SDI'!A:D,4,0)&amp;" (citit)"</f>
        <v>116839 (citit)</v>
      </c>
      <c r="S61" s="647"/>
      <c r="T61" s="647"/>
      <c r="U61" s="647" t="str">
        <f>VLOOKUP(A61,'Date masura SDI'!A:E,5,)&amp;" (citit)"</f>
        <v>117498 (citit)</v>
      </c>
      <c r="V61" s="647"/>
      <c r="W61" s="647"/>
      <c r="X61" s="647" t="str">
        <f>(VLOOKUP(A61,'Date masura SDI'!A:E,5,0)-VLOOKUP(A61,'Date masura SDI'!A:E,4,0))*O61 &amp;" (citit)"</f>
        <v>659 (citit)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14.1" customHeight="1">
      <c r="A62" s="717"/>
      <c r="B62" s="718"/>
      <c r="C62" s="718"/>
      <c r="D62" s="718"/>
      <c r="E62" s="718"/>
      <c r="F62" s="719"/>
      <c r="G62" s="647"/>
      <c r="H62" s="647"/>
      <c r="I62" s="675"/>
      <c r="J62" s="717" t="str">
        <f t="shared" si="2"/>
        <v>-</v>
      </c>
      <c r="K62" s="718"/>
      <c r="L62" s="719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7"/>
      <c r="H63" s="647"/>
      <c r="I63" s="675"/>
      <c r="J63" s="714">
        <f t="shared" si="2"/>
        <v>45808</v>
      </c>
      <c r="K63" s="715"/>
      <c r="L63" s="716"/>
      <c r="M63" s="720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A58</f>
        <v>1369358662</v>
      </c>
      <c r="B64" s="679"/>
      <c r="C64" s="679"/>
      <c r="D64" s="679"/>
      <c r="E64" s="679"/>
      <c r="F64" s="680"/>
      <c r="G64" s="648" t="s">
        <v>696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O58</f>
        <v>1</v>
      </c>
      <c r="P64" s="648"/>
      <c r="Q64" s="648"/>
      <c r="R64" s="684" t="str">
        <f>U52</f>
        <v>93086 (citit)</v>
      </c>
      <c r="S64" s="685"/>
      <c r="T64" s="686"/>
      <c r="U64" s="647" t="str">
        <f>VLOOKUP(A64,'Incrementare indexe'!$D:$M,8,FALSE)&amp;" (estimat)"</f>
        <v>93086 (estimat)</v>
      </c>
      <c r="V64" s="647"/>
      <c r="W64" s="647"/>
      <c r="X64" s="647" t="str">
        <f>VLOOKUP(A64,'Incrementare indexe'!$D:$Q,12,FALSE)&amp;"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indexe'!$D:$Q,12,FALSE)</f>
        <v>0</v>
      </c>
      <c r="AG64" s="647"/>
      <c r="AH64" s="647"/>
      <c r="AI64" s="647">
        <f>AI58</f>
        <v>31</v>
      </c>
      <c r="AJ64" s="647"/>
      <c r="AK64" s="647">
        <f>ROUND(AF64/AI64,2)</f>
        <v>0</v>
      </c>
      <c r="AL64" s="647"/>
      <c r="AM64" s="647"/>
    </row>
    <row r="65" spans="1:39" ht="14.1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727"/>
      <c r="S65" s="729"/>
      <c r="T65" s="728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87"/>
      <c r="S66" s="688"/>
      <c r="T66" s="689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78">
        <f>A64</f>
        <v>1369358662</v>
      </c>
      <c r="B67" s="679"/>
      <c r="C67" s="679"/>
      <c r="D67" s="679"/>
      <c r="E67" s="679"/>
      <c r="F67" s="680"/>
      <c r="G67" s="648" t="s">
        <v>731</v>
      </c>
      <c r="H67" s="648"/>
      <c r="I67" s="648"/>
      <c r="J67" s="655">
        <f t="shared" si="2"/>
        <v>45778</v>
      </c>
      <c r="K67" s="656"/>
      <c r="L67" s="657"/>
      <c r="M67" s="648" t="s">
        <v>720</v>
      </c>
      <c r="N67" s="648"/>
      <c r="O67" s="648">
        <f>O64</f>
        <v>1</v>
      </c>
      <c r="P67" s="648"/>
      <c r="Q67" s="648"/>
      <c r="R67" s="647" t="str">
        <f>U55</f>
        <v>66430 (citit)</v>
      </c>
      <c r="S67" s="647"/>
      <c r="T67" s="647"/>
      <c r="U67" s="647" t="str">
        <f>VLOOKUP(A67,'Incrementare indexe'!$D:$M,10,FALSE)&amp;" (estimat)"</f>
        <v>66430 (estimat)</v>
      </c>
      <c r="V67" s="647"/>
      <c r="W67" s="647"/>
      <c r="X67" s="647" t="str">
        <f>VLOOKUP(A67,'Incrementare indexe'!$D:$Q,13,FALSE)&amp;" (estimat)"</f>
        <v>0 (estimat)</v>
      </c>
      <c r="Y67" s="647"/>
      <c r="Z67" s="647"/>
      <c r="AA67" s="647" t="s">
        <v>69</v>
      </c>
      <c r="AB67" s="647"/>
      <c r="AC67" s="647"/>
      <c r="AD67" s="647" t="s">
        <v>69</v>
      </c>
      <c r="AE67" s="647"/>
      <c r="AF67" s="647">
        <f>VLOOKUP(A67,'Incrementare indexe'!$D:$Q,13,FALSE)</f>
        <v>0</v>
      </c>
      <c r="AG67" s="647"/>
      <c r="AH67" s="647"/>
      <c r="AI67" s="647">
        <f>AI64</f>
        <v>31</v>
      </c>
      <c r="AJ67" s="647"/>
      <c r="AK67" s="647">
        <f>ROUND(AF67/AI67,2)</f>
        <v>0</v>
      </c>
      <c r="AL67" s="647"/>
      <c r="AM67" s="647"/>
    </row>
    <row r="68" spans="1:39" ht="14.1" customHeight="1">
      <c r="A68" s="717"/>
      <c r="B68" s="718"/>
      <c r="C68" s="718"/>
      <c r="D68" s="718"/>
      <c r="E68" s="718"/>
      <c r="F68" s="719"/>
      <c r="G68" s="648"/>
      <c r="H68" s="648"/>
      <c r="I68" s="648"/>
      <c r="J68" s="717" t="str">
        <f t="shared" si="2"/>
        <v>-</v>
      </c>
      <c r="K68" s="718"/>
      <c r="L68" s="719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681"/>
      <c r="B69" s="682"/>
      <c r="C69" s="682"/>
      <c r="D69" s="682"/>
      <c r="E69" s="682"/>
      <c r="F69" s="683"/>
      <c r="G69" s="648"/>
      <c r="H69" s="648"/>
      <c r="I69" s="648"/>
      <c r="J69" s="714">
        <f t="shared" si="2"/>
        <v>45808</v>
      </c>
      <c r="K69" s="715"/>
      <c r="L69" s="716"/>
      <c r="M69" s="648"/>
      <c r="N69" s="648"/>
      <c r="O69" s="648"/>
      <c r="P69" s="648"/>
      <c r="Q69" s="648"/>
      <c r="R69" s="647"/>
      <c r="S69" s="647"/>
      <c r="T69" s="647"/>
      <c r="U69" s="647"/>
      <c r="V69" s="647"/>
      <c r="W69" s="647"/>
      <c r="X69" s="647"/>
      <c r="Y69" s="647"/>
      <c r="Z69" s="647"/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6"/>
      <c r="B71" s="196"/>
      <c r="C71" s="196"/>
      <c r="D71" s="196"/>
      <c r="E71" s="196"/>
      <c r="F71" s="196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6"/>
      <c r="B72" s="196"/>
      <c r="C72" s="196"/>
      <c r="D72" s="196"/>
      <c r="E72" s="196"/>
      <c r="F72" s="196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6"/>
      <c r="B73" s="196"/>
      <c r="C73" s="196"/>
      <c r="D73" s="196"/>
      <c r="E73" s="196"/>
      <c r="F73" s="196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6"/>
      <c r="B74" s="196"/>
      <c r="C74" s="196"/>
      <c r="D74" s="196"/>
      <c r="E74" s="196"/>
      <c r="F74" s="196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6"/>
      <c r="B75" s="196"/>
      <c r="C75" s="196"/>
      <c r="D75" s="196"/>
      <c r="E75" s="196"/>
      <c r="F75" s="196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6"/>
      <c r="B76" s="196"/>
      <c r="C76" s="196"/>
      <c r="D76" s="196"/>
      <c r="E76" s="196"/>
      <c r="F76" s="196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721" t="s">
        <v>1196</v>
      </c>
      <c r="B78" s="722"/>
      <c r="C78" s="722"/>
      <c r="D78" s="722"/>
      <c r="E78" s="722"/>
      <c r="F78" s="722"/>
      <c r="G78" s="722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3"/>
      <c r="AI78" s="650" t="s">
        <v>695</v>
      </c>
      <c r="AJ78" s="650"/>
      <c r="AK78" s="650"/>
      <c r="AL78" s="650"/>
      <c r="AM78" s="650"/>
    </row>
    <row r="79" spans="1:39" ht="14.1" customHeight="1">
      <c r="A79" s="649" t="s">
        <v>746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50" t="s">
        <v>514</v>
      </c>
      <c r="N79" s="650"/>
      <c r="O79" s="650"/>
      <c r="P79" s="650"/>
      <c r="Q79" s="650"/>
      <c r="R79" s="650"/>
      <c r="S79" s="650"/>
      <c r="T79" s="650"/>
      <c r="U79" s="650"/>
      <c r="V79" s="650"/>
      <c r="W79" s="650"/>
      <c r="X79" s="650"/>
      <c r="Y79" s="650"/>
      <c r="Z79" s="650"/>
      <c r="AA79" s="650"/>
      <c r="AB79" s="650"/>
      <c r="AC79" s="650"/>
      <c r="AD79" s="650"/>
      <c r="AE79" s="650"/>
      <c r="AF79" s="650"/>
      <c r="AG79" s="650"/>
      <c r="AH79" s="650"/>
      <c r="AI79" s="793" t="str">
        <f>_xlfn.CONCAT(AI35,"/PV")</f>
        <v>RN1_Brasov_1/PV</v>
      </c>
      <c r="AJ79" s="793"/>
      <c r="AK79" s="793"/>
      <c r="AL79" s="793"/>
      <c r="AM79" s="793"/>
    </row>
    <row r="80" spans="1:39" ht="14.1" customHeight="1">
      <c r="A80" s="649" t="s">
        <v>747</v>
      </c>
      <c r="B80" s="649"/>
      <c r="C80" s="649"/>
      <c r="D80" s="649"/>
      <c r="E80" s="649"/>
      <c r="F80" s="649"/>
      <c r="G80" s="649"/>
      <c r="H80" s="649"/>
      <c r="I80" s="649"/>
      <c r="J80" s="649"/>
      <c r="K80" s="649"/>
      <c r="L80" s="649"/>
      <c r="M80" s="650" t="s">
        <v>1087</v>
      </c>
      <c r="N80" s="650"/>
      <c r="O80" s="650"/>
      <c r="P80" s="650"/>
      <c r="Q80" s="650"/>
      <c r="R80" s="650"/>
      <c r="S80" s="650"/>
      <c r="T80" s="650"/>
      <c r="U80" s="650"/>
      <c r="V80" s="650"/>
      <c r="W80" s="650"/>
      <c r="X80" s="650"/>
      <c r="Y80" s="650"/>
      <c r="Z80" s="650"/>
      <c r="AA80" s="650"/>
      <c r="AB80" s="650"/>
      <c r="AC80" s="650"/>
      <c r="AD80" s="650"/>
      <c r="AE80" s="650"/>
      <c r="AF80" s="650"/>
      <c r="AG80" s="650"/>
      <c r="AH80" s="650"/>
      <c r="AI80" s="793"/>
      <c r="AJ80" s="793"/>
      <c r="AK80" s="793"/>
      <c r="AL80" s="793"/>
      <c r="AM80" s="793"/>
    </row>
    <row r="81" spans="1:39" ht="14.1" customHeight="1">
      <c r="A81" s="648" t="s">
        <v>697</v>
      </c>
      <c r="B81" s="648"/>
      <c r="C81" s="648"/>
      <c r="D81" s="648"/>
      <c r="E81" s="648"/>
      <c r="F81" s="648"/>
      <c r="G81" s="647" t="s">
        <v>713</v>
      </c>
      <c r="H81" s="647"/>
      <c r="I81" s="647"/>
      <c r="J81" s="647" t="s">
        <v>714</v>
      </c>
      <c r="K81" s="647"/>
      <c r="L81" s="647"/>
      <c r="M81" s="648" t="s">
        <v>519</v>
      </c>
      <c r="N81" s="648"/>
      <c r="O81" s="648" t="s">
        <v>715</v>
      </c>
      <c r="P81" s="648"/>
      <c r="Q81" s="648"/>
      <c r="R81" s="647" t="s">
        <v>732</v>
      </c>
      <c r="S81" s="647"/>
      <c r="T81" s="647"/>
      <c r="U81" s="647" t="s">
        <v>734</v>
      </c>
      <c r="V81" s="647"/>
      <c r="W81" s="647"/>
      <c r="X81" s="647" t="s">
        <v>1085</v>
      </c>
      <c r="Y81" s="647"/>
      <c r="Z81" s="647"/>
      <c r="AA81" s="647" t="s">
        <v>1086</v>
      </c>
      <c r="AB81" s="647"/>
      <c r="AC81" s="647"/>
      <c r="AD81" s="647" t="s">
        <v>717</v>
      </c>
      <c r="AE81" s="647"/>
      <c r="AF81" s="647" t="s">
        <v>718</v>
      </c>
      <c r="AG81" s="647"/>
      <c r="AH81" s="647"/>
      <c r="AI81" s="647" t="s">
        <v>719</v>
      </c>
      <c r="AJ81" s="647"/>
      <c r="AK81" s="647" t="s">
        <v>733</v>
      </c>
      <c r="AL81" s="647"/>
      <c r="AM81" s="647"/>
    </row>
    <row r="82" spans="1:39" ht="14.1" customHeight="1">
      <c r="A82" s="648"/>
      <c r="B82" s="648"/>
      <c r="C82" s="648"/>
      <c r="D82" s="648"/>
      <c r="E82" s="648"/>
      <c r="F82" s="648"/>
      <c r="G82" s="647"/>
      <c r="H82" s="647"/>
      <c r="I82" s="647"/>
      <c r="J82" s="647"/>
      <c r="K82" s="647"/>
      <c r="L82" s="647"/>
      <c r="M82" s="648"/>
      <c r="N82" s="648"/>
      <c r="O82" s="648"/>
      <c r="P82" s="648"/>
      <c r="Q82" s="648"/>
      <c r="R82" s="647"/>
      <c r="S82" s="647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</row>
    <row r="83" spans="1:39" ht="14.1" customHeight="1">
      <c r="A83" s="648"/>
      <c r="B83" s="648"/>
      <c r="C83" s="648"/>
      <c r="D83" s="648"/>
      <c r="E83" s="648"/>
      <c r="F83" s="648"/>
      <c r="G83" s="647"/>
      <c r="H83" s="647"/>
      <c r="I83" s="647"/>
      <c r="J83" s="713"/>
      <c r="K83" s="713"/>
      <c r="L83" s="713"/>
      <c r="M83" s="648"/>
      <c r="N83" s="648"/>
      <c r="O83" s="648"/>
      <c r="P83" s="648"/>
      <c r="Q83" s="648"/>
      <c r="R83" s="647"/>
      <c r="S83" s="647"/>
      <c r="T83" s="647"/>
      <c r="U83" s="647"/>
      <c r="V83" s="647"/>
      <c r="W83" s="647"/>
      <c r="X83" s="647"/>
      <c r="Y83" s="647"/>
      <c r="Z83" s="647"/>
      <c r="AA83" s="647"/>
      <c r="AB83" s="647"/>
      <c r="AC83" s="647"/>
      <c r="AD83" s="647"/>
      <c r="AE83" s="647"/>
      <c r="AF83" s="647"/>
      <c r="AG83" s="647"/>
      <c r="AH83" s="647"/>
      <c r="AI83" s="647"/>
      <c r="AJ83" s="647"/>
      <c r="AK83" s="647"/>
      <c r="AL83" s="647"/>
      <c r="AM83" s="647"/>
    </row>
    <row r="84" spans="1:39" ht="14.1" customHeight="1">
      <c r="A84" s="678">
        <f>VLOOKUP(AI79,'Incrementare indexe'!$B:$I,3,FALSE)</f>
        <v>1371475604</v>
      </c>
      <c r="B84" s="679"/>
      <c r="C84" s="679"/>
      <c r="D84" s="679"/>
      <c r="E84" s="679"/>
      <c r="F84" s="680"/>
      <c r="G84" s="647" t="s">
        <v>1088</v>
      </c>
      <c r="H84" s="647"/>
      <c r="I84" s="675"/>
      <c r="J84" s="655">
        <f>'Date masura OD'!$I$5</f>
        <v>45778</v>
      </c>
      <c r="K84" s="656"/>
      <c r="L84" s="657"/>
      <c r="M84" s="720" t="s">
        <v>446</v>
      </c>
      <c r="N84" s="648"/>
      <c r="O84" s="648">
        <f>VLOOKUP(AI79,'Incrementare indexe'!$B:$I,4,FALSE)</f>
        <v>1</v>
      </c>
      <c r="P84" s="648"/>
      <c r="Q84" s="648"/>
      <c r="R84" s="647" t="str">
        <f>VLOOKUP(AI79,'Incrementare indexe'!$B:$I,7,FALSE)&amp;" (citit)"</f>
        <v>588124 (citit)</v>
      </c>
      <c r="S84" s="647"/>
      <c r="T84" s="647"/>
      <c r="U84" s="647" t="str">
        <f>VLOOKUP(AI79,'Incrementare indexe'!$B:$I,8,FALSE)&amp;" (citit)"</f>
        <v>604121 (citit)</v>
      </c>
      <c r="V84" s="647"/>
      <c r="W84" s="647"/>
      <c r="X84" s="647" t="str">
        <f>(VLOOKUP(AI79,'Incrementare indexe'!$B:$I,8,FALSE)-VLOOKUP(AI79,'Incrementare indexe'!$B:$I,7,FALSE))&amp;" (citit)"</f>
        <v>15997 (citit)</v>
      </c>
      <c r="Y84" s="647"/>
      <c r="Z84" s="647"/>
      <c r="AA84" s="647" t="s">
        <v>69</v>
      </c>
      <c r="AB84" s="647"/>
      <c r="AC84" s="647"/>
      <c r="AD84" s="647" t="s">
        <v>69</v>
      </c>
      <c r="AE84" s="647"/>
      <c r="AF84" s="647">
        <f>(VLOOKUP(AI79,'Incrementare indexe'!$B:$I,8,FALSE)-VLOOKUP(AI79,'Incrementare indexe'!$B:$I,7,FALSE))</f>
        <v>15997</v>
      </c>
      <c r="AG84" s="647"/>
      <c r="AH84" s="647"/>
      <c r="AI84" s="647">
        <f>J86-J84+1</f>
        <v>31</v>
      </c>
      <c r="AJ84" s="647"/>
      <c r="AK84" s="647">
        <f>ROUND(AF84/AI84,2)</f>
        <v>516.03</v>
      </c>
      <c r="AL84" s="647"/>
      <c r="AM84" s="647"/>
    </row>
    <row r="85" spans="1:39" ht="14.1" customHeight="1">
      <c r="A85" s="717"/>
      <c r="B85" s="718"/>
      <c r="C85" s="718"/>
      <c r="D85" s="718"/>
      <c r="E85" s="718"/>
      <c r="F85" s="719"/>
      <c r="G85" s="647"/>
      <c r="H85" s="647"/>
      <c r="I85" s="675"/>
      <c r="J85" s="717" t="s">
        <v>69</v>
      </c>
      <c r="K85" s="718"/>
      <c r="L85" s="719"/>
      <c r="M85" s="720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681"/>
      <c r="B86" s="682"/>
      <c r="C86" s="682"/>
      <c r="D86" s="682"/>
      <c r="E86" s="682"/>
      <c r="F86" s="683"/>
      <c r="G86" s="647"/>
      <c r="H86" s="647"/>
      <c r="I86" s="675"/>
      <c r="J86" s="714">
        <f>'Date masura OD'!$J$5</f>
        <v>45808</v>
      </c>
      <c r="K86" s="715"/>
      <c r="L86" s="716"/>
      <c r="M86" s="720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78">
        <f>A84</f>
        <v>1371475604</v>
      </c>
      <c r="B87" s="679"/>
      <c r="C87" s="679"/>
      <c r="D87" s="679"/>
      <c r="E87" s="679"/>
      <c r="F87" s="680"/>
      <c r="G87" s="648" t="s">
        <v>696</v>
      </c>
      <c r="H87" s="648"/>
      <c r="I87" s="648"/>
      <c r="J87" s="655">
        <f t="shared" ref="J87:J92" si="3">J84</f>
        <v>45778</v>
      </c>
      <c r="K87" s="656"/>
      <c r="L87" s="657"/>
      <c r="M87" s="648" t="s">
        <v>720</v>
      </c>
      <c r="N87" s="648"/>
      <c r="O87" s="648">
        <f>O84</f>
        <v>1</v>
      </c>
      <c r="P87" s="648"/>
      <c r="Q87" s="648"/>
      <c r="R87" s="647" t="s">
        <v>1089</v>
      </c>
      <c r="S87" s="647"/>
      <c r="T87" s="647"/>
      <c r="U87" s="647" t="s">
        <v>1089</v>
      </c>
      <c r="V87" s="647"/>
      <c r="W87" s="647"/>
      <c r="X87" s="647" t="s">
        <v>1089</v>
      </c>
      <c r="Y87" s="647"/>
      <c r="Z87" s="647"/>
      <c r="AA87" s="647" t="s">
        <v>69</v>
      </c>
      <c r="AB87" s="647"/>
      <c r="AC87" s="647"/>
      <c r="AD87" s="647" t="s">
        <v>69</v>
      </c>
      <c r="AE87" s="647"/>
      <c r="AF87" s="647">
        <v>0</v>
      </c>
      <c r="AG87" s="647"/>
      <c r="AH87" s="647"/>
      <c r="AI87" s="647">
        <f>AI84</f>
        <v>31</v>
      </c>
      <c r="AJ87" s="647"/>
      <c r="AK87" s="647">
        <f>ROUND(AF87/AI87,2)</f>
        <v>0</v>
      </c>
      <c r="AL87" s="647"/>
      <c r="AM87" s="647"/>
    </row>
    <row r="88" spans="1:39" ht="14.1" customHeight="1">
      <c r="A88" s="717"/>
      <c r="B88" s="718"/>
      <c r="C88" s="718"/>
      <c r="D88" s="718"/>
      <c r="E88" s="718"/>
      <c r="F88" s="719"/>
      <c r="G88" s="648"/>
      <c r="H88" s="648"/>
      <c r="I88" s="648"/>
      <c r="J88" s="717" t="str">
        <f t="shared" si="3"/>
        <v>-</v>
      </c>
      <c r="K88" s="718"/>
      <c r="L88" s="719"/>
      <c r="M88" s="648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1"/>
      <c r="B89" s="682"/>
      <c r="C89" s="682"/>
      <c r="D89" s="682"/>
      <c r="E89" s="682"/>
      <c r="F89" s="683"/>
      <c r="G89" s="648"/>
      <c r="H89" s="648"/>
      <c r="I89" s="648"/>
      <c r="J89" s="714">
        <f t="shared" si="3"/>
        <v>45808</v>
      </c>
      <c r="K89" s="715"/>
      <c r="L89" s="716"/>
      <c r="M89" s="648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78">
        <f>A87</f>
        <v>1371475604</v>
      </c>
      <c r="B90" s="679"/>
      <c r="C90" s="679"/>
      <c r="D90" s="679"/>
      <c r="E90" s="679"/>
      <c r="F90" s="680"/>
      <c r="G90" s="648" t="s">
        <v>731</v>
      </c>
      <c r="H90" s="648"/>
      <c r="I90" s="648"/>
      <c r="J90" s="655">
        <f t="shared" si="3"/>
        <v>45778</v>
      </c>
      <c r="K90" s="656"/>
      <c r="L90" s="657"/>
      <c r="M90" s="648" t="s">
        <v>720</v>
      </c>
      <c r="N90" s="648"/>
      <c r="O90" s="648">
        <f>O87</f>
        <v>1</v>
      </c>
      <c r="P90" s="648"/>
      <c r="Q90" s="648"/>
      <c r="R90" s="647" t="s">
        <v>1089</v>
      </c>
      <c r="S90" s="647"/>
      <c r="T90" s="647"/>
      <c r="U90" s="647" t="s">
        <v>1089</v>
      </c>
      <c r="V90" s="647"/>
      <c r="W90" s="647"/>
      <c r="X90" s="647" t="s">
        <v>1089</v>
      </c>
      <c r="Y90" s="647"/>
      <c r="Z90" s="647"/>
      <c r="AA90" s="647" t="s">
        <v>69</v>
      </c>
      <c r="AB90" s="647"/>
      <c r="AC90" s="647"/>
      <c r="AD90" s="647" t="s">
        <v>69</v>
      </c>
      <c r="AE90" s="647"/>
      <c r="AF90" s="647">
        <v>0</v>
      </c>
      <c r="AG90" s="647"/>
      <c r="AH90" s="647"/>
      <c r="AI90" s="647">
        <f>AI87</f>
        <v>31</v>
      </c>
      <c r="AJ90" s="647"/>
      <c r="AK90" s="647">
        <f>ROUND(AF90/AI90,2)</f>
        <v>0</v>
      </c>
      <c r="AL90" s="647"/>
      <c r="AM90" s="647"/>
    </row>
    <row r="91" spans="1:39" ht="14.1" customHeight="1">
      <c r="A91" s="717"/>
      <c r="B91" s="718"/>
      <c r="C91" s="718"/>
      <c r="D91" s="718"/>
      <c r="E91" s="718"/>
      <c r="F91" s="719"/>
      <c r="G91" s="648"/>
      <c r="H91" s="648"/>
      <c r="I91" s="648"/>
      <c r="J91" s="717" t="str">
        <f t="shared" si="3"/>
        <v>-</v>
      </c>
      <c r="K91" s="718"/>
      <c r="L91" s="719"/>
      <c r="M91" s="648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1"/>
      <c r="B92" s="682"/>
      <c r="C92" s="682"/>
      <c r="D92" s="682"/>
      <c r="E92" s="682"/>
      <c r="F92" s="683"/>
      <c r="G92" s="648"/>
      <c r="H92" s="648"/>
      <c r="I92" s="648"/>
      <c r="J92" s="714">
        <f t="shared" si="3"/>
        <v>45808</v>
      </c>
      <c r="K92" s="715"/>
      <c r="L92" s="716"/>
      <c r="M92" s="648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196"/>
      <c r="B93" s="196"/>
      <c r="C93" s="196"/>
      <c r="D93" s="196"/>
      <c r="E93" s="196"/>
      <c r="F93" s="196"/>
      <c r="G93" s="196"/>
      <c r="H93" s="196"/>
      <c r="I93" s="196"/>
      <c r="J93" s="197"/>
      <c r="K93" s="197"/>
      <c r="L93" s="197"/>
      <c r="M93" s="196"/>
      <c r="N93" s="196"/>
      <c r="O93" s="196"/>
      <c r="P93" s="196"/>
      <c r="Q93" s="196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</row>
    <row r="94" spans="1:39" ht="14.1" customHeight="1">
      <c r="A94" s="196"/>
      <c r="B94" s="196"/>
      <c r="C94" s="196"/>
      <c r="D94" s="196"/>
      <c r="E94" s="196"/>
      <c r="F94" s="196"/>
      <c r="G94" s="196"/>
      <c r="H94" s="196"/>
      <c r="I94" s="196"/>
      <c r="J94" s="197"/>
      <c r="K94" s="197"/>
      <c r="L94" s="197"/>
      <c r="M94" s="196"/>
      <c r="N94" s="196"/>
      <c r="O94" s="196"/>
      <c r="P94" s="196"/>
      <c r="Q94" s="196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</row>
    <row r="95" spans="1:39" ht="15.95" customHeight="1"/>
    <row r="96" spans="1:39" ht="18.95" customHeight="1">
      <c r="A96" s="624" t="str">
        <f>A28</f>
        <v>DETALII FACTURA FACTURA FISCALA SERIA …........ NR …................. din date de ….......06.2025</v>
      </c>
      <c r="B96" s="624"/>
      <c r="C96" s="624"/>
      <c r="D96" s="624"/>
      <c r="E96" s="624"/>
      <c r="F96" s="624"/>
      <c r="G96" s="624"/>
      <c r="H96" s="624"/>
      <c r="I96" s="624"/>
      <c r="J96" s="624"/>
      <c r="K96" s="624"/>
      <c r="L96" s="624"/>
      <c r="M96" s="624"/>
      <c r="N96" s="624"/>
      <c r="O96" s="624"/>
      <c r="P96" s="624"/>
      <c r="Q96" s="624"/>
      <c r="R96" s="624"/>
      <c r="S96" s="624"/>
      <c r="T96" s="624"/>
      <c r="U96" s="624"/>
      <c r="V96" s="624"/>
      <c r="W96" s="624"/>
      <c r="X96" s="624"/>
      <c r="Y96" s="624"/>
      <c r="Z96" s="624"/>
      <c r="AA96" s="624"/>
      <c r="AB96" s="624"/>
      <c r="AC96" s="624"/>
      <c r="AD96" s="624"/>
      <c r="AE96" s="624"/>
      <c r="AF96" s="624"/>
      <c r="AG96" s="624"/>
      <c r="AH96" s="624"/>
      <c r="AI96" s="624"/>
      <c r="AJ96" s="624"/>
      <c r="AK96" s="624"/>
      <c r="AL96" s="624"/>
      <c r="AM96" s="624"/>
    </row>
    <row r="97" spans="1:39" ht="21.95" customHeight="1"/>
    <row r="98" spans="1:39" ht="18.600000000000001" customHeight="1">
      <c r="A98" s="66" t="s">
        <v>721</v>
      </c>
      <c r="B98" s="648" t="s">
        <v>95</v>
      </c>
      <c r="C98" s="648"/>
      <c r="D98" s="648"/>
      <c r="E98" s="648"/>
      <c r="F98" s="648"/>
      <c r="G98" s="648"/>
      <c r="H98" s="648"/>
      <c r="I98" s="648"/>
      <c r="J98" s="648"/>
      <c r="K98" s="648"/>
      <c r="L98" s="64" t="s">
        <v>709</v>
      </c>
      <c r="M98" s="69"/>
      <c r="N98" s="69"/>
      <c r="O98" s="64"/>
      <c r="P98" s="69"/>
      <c r="Q98" s="69"/>
      <c r="R98" s="647" t="s">
        <v>722</v>
      </c>
      <c r="S98" s="647"/>
      <c r="T98" s="647"/>
      <c r="U98" s="647"/>
      <c r="V98" s="648" t="s">
        <v>519</v>
      </c>
      <c r="W98" s="648"/>
      <c r="X98" s="647" t="s">
        <v>723</v>
      </c>
      <c r="Y98" s="647"/>
      <c r="Z98" s="647"/>
      <c r="AA98" s="647"/>
      <c r="AB98" s="647" t="s">
        <v>724</v>
      </c>
      <c r="AC98" s="647"/>
      <c r="AD98" s="647"/>
      <c r="AE98" s="647"/>
      <c r="AF98" s="647" t="s">
        <v>725</v>
      </c>
      <c r="AG98" s="647"/>
      <c r="AH98" s="647"/>
      <c r="AI98" s="647"/>
      <c r="AJ98" s="647" t="s">
        <v>726</v>
      </c>
      <c r="AK98" s="647"/>
      <c r="AL98" s="647"/>
      <c r="AM98" s="647"/>
    </row>
    <row r="99" spans="1:39" ht="15.95" customHeight="1">
      <c r="A99" s="65">
        <v>1</v>
      </c>
      <c r="B99" s="699" t="s">
        <v>71</v>
      </c>
      <c r="C99" s="700"/>
      <c r="D99" s="700"/>
      <c r="E99" s="700"/>
      <c r="F99" s="700"/>
      <c r="G99" s="700"/>
      <c r="H99" s="700"/>
      <c r="I99" s="700"/>
      <c r="J99" s="700"/>
      <c r="K99" s="701"/>
      <c r="L99" s="702">
        <f>'Date masura OD'!$I$5</f>
        <v>45778</v>
      </c>
      <c r="M99" s="702"/>
      <c r="N99" s="702"/>
      <c r="O99" s="702">
        <f>'Date masura OD'!$J$5</f>
        <v>45808</v>
      </c>
      <c r="P99" s="702"/>
      <c r="Q99" s="702"/>
      <c r="R99" s="690" cm="1">
        <f t="array" ref="R99">INDEX(verificare!$AT$4:$CC$33,VLOOKUP($AA$16,verificare!$AR$4:$AS$33,2,FALSE),A99)</f>
        <v>25058</v>
      </c>
      <c r="S99" s="690"/>
      <c r="T99" s="690"/>
      <c r="U99" s="690"/>
      <c r="V99" s="658" t="s">
        <v>446</v>
      </c>
      <c r="W99" s="658"/>
      <c r="X99" s="691">
        <f>HLOOKUP(VLOOKUP($AA$16,'Date SPV'!$B:$F,5,FALSE),'Preturi si tarife'!$C$2:$J$39,A99+2,FALSE)</f>
        <v>0.59499999999999997</v>
      </c>
      <c r="Y99" s="692"/>
      <c r="Z99" s="692"/>
      <c r="AA99" s="693"/>
      <c r="AB99" s="690">
        <f>ROUND(X99*R99,2)</f>
        <v>14909.51</v>
      </c>
      <c r="AC99" s="690"/>
      <c r="AD99" s="690"/>
      <c r="AE99" s="690"/>
      <c r="AF99" s="690">
        <f>ROUND(AB99*19%,2)</f>
        <v>2832.81</v>
      </c>
      <c r="AG99" s="690"/>
      <c r="AH99" s="690"/>
      <c r="AI99" s="690"/>
      <c r="AJ99" s="690">
        <f>AB99+AF99</f>
        <v>17742.32</v>
      </c>
      <c r="AK99" s="690"/>
      <c r="AL99" s="690"/>
      <c r="AM99" s="690"/>
    </row>
    <row r="100" spans="1:39">
      <c r="A100" s="65">
        <f>A99+1</f>
        <v>2</v>
      </c>
      <c r="B100" s="699" t="s">
        <v>72</v>
      </c>
      <c r="C100" s="700"/>
      <c r="D100" s="700"/>
      <c r="E100" s="700"/>
      <c r="F100" s="700"/>
      <c r="G100" s="700"/>
      <c r="H100" s="700"/>
      <c r="I100" s="700"/>
      <c r="J100" s="700"/>
      <c r="K100" s="701"/>
      <c r="L100" s="702">
        <f>L99</f>
        <v>45778</v>
      </c>
      <c r="M100" s="702"/>
      <c r="N100" s="702"/>
      <c r="O100" s="702">
        <f>O99</f>
        <v>45808</v>
      </c>
      <c r="P100" s="702"/>
      <c r="Q100" s="702"/>
      <c r="R100" s="690" cm="1">
        <f t="array" ref="R100">INDEX(verificare!$AT$4:$CC$33,VLOOKUP($AA$16,verificare!$AR$4:$AS$33,2,FALSE),A100)</f>
        <v>0</v>
      </c>
      <c r="S100" s="690"/>
      <c r="T100" s="690"/>
      <c r="U100" s="690"/>
      <c r="V100" s="658" t="s">
        <v>727</v>
      </c>
      <c r="W100" s="658"/>
      <c r="X100" s="691">
        <f>HLOOKUP(VLOOKUP($AA$16,'Date SPV'!$B:$F,5,FALSE),'Preturi si tarife'!$C$2:$J$39,A100+2,FALSE)</f>
        <v>0.14649999999999999</v>
      </c>
      <c r="Y100" s="692"/>
      <c r="Z100" s="692"/>
      <c r="AA100" s="693"/>
      <c r="AB100" s="690">
        <f t="shared" ref="AB100:AB134" si="4">ROUND(X100*R100,2)</f>
        <v>0</v>
      </c>
      <c r="AC100" s="690"/>
      <c r="AD100" s="690"/>
      <c r="AE100" s="690"/>
      <c r="AF100" s="690">
        <f t="shared" ref="AF100:AF135" si="5">ROUND(AB100*19%,2)</f>
        <v>0</v>
      </c>
      <c r="AG100" s="690"/>
      <c r="AH100" s="690"/>
      <c r="AI100" s="690"/>
      <c r="AJ100" s="690">
        <f t="shared" ref="AJ100:AJ135" si="6">AB100+AF100</f>
        <v>0</v>
      </c>
      <c r="AK100" s="690"/>
      <c r="AL100" s="690"/>
      <c r="AM100" s="690"/>
    </row>
    <row r="101" spans="1:39" ht="15.95" customHeight="1">
      <c r="A101" s="65">
        <f t="shared" ref="A101:A135" si="7">A100+1</f>
        <v>3</v>
      </c>
      <c r="B101" s="699" t="s">
        <v>73</v>
      </c>
      <c r="C101" s="700"/>
      <c r="D101" s="700"/>
      <c r="E101" s="700"/>
      <c r="F101" s="700"/>
      <c r="G101" s="700"/>
      <c r="H101" s="700"/>
      <c r="I101" s="700"/>
      <c r="J101" s="700"/>
      <c r="K101" s="701"/>
      <c r="L101" s="702">
        <f t="shared" ref="L101:L116" si="8">L100</f>
        <v>45778</v>
      </c>
      <c r="M101" s="702"/>
      <c r="N101" s="702"/>
      <c r="O101" s="702">
        <f t="shared" ref="O101:O116" si="9">O100</f>
        <v>45808</v>
      </c>
      <c r="P101" s="702"/>
      <c r="Q101" s="702"/>
      <c r="R101" s="690" cm="1">
        <f t="array" ref="R101">INDEX(verificare!$AT$4:$CC$33,VLOOKUP($AA$16,verificare!$AR$4:$AS$33,2,FALSE),A101)</f>
        <v>0</v>
      </c>
      <c r="S101" s="690"/>
      <c r="T101" s="690"/>
      <c r="U101" s="690"/>
      <c r="V101" s="658" t="s">
        <v>727</v>
      </c>
      <c r="W101" s="658"/>
      <c r="X101" s="691">
        <f>HLOOKUP(VLOOKUP($AA$16,'Date SPV'!$B:$F,5,FALSE),'Preturi si tarife'!$C$2:$J$39,A101+2,FALSE)</f>
        <v>0.4395</v>
      </c>
      <c r="Y101" s="692"/>
      <c r="Z101" s="692"/>
      <c r="AA101" s="693"/>
      <c r="AB101" s="690">
        <f t="shared" si="4"/>
        <v>0</v>
      </c>
      <c r="AC101" s="690"/>
      <c r="AD101" s="690"/>
      <c r="AE101" s="690"/>
      <c r="AF101" s="690">
        <f t="shared" si="5"/>
        <v>0</v>
      </c>
      <c r="AG101" s="690"/>
      <c r="AH101" s="690"/>
      <c r="AI101" s="690"/>
      <c r="AJ101" s="690">
        <f t="shared" si="6"/>
        <v>0</v>
      </c>
      <c r="AK101" s="690"/>
      <c r="AL101" s="690"/>
      <c r="AM101" s="690"/>
    </row>
    <row r="102" spans="1:39">
      <c r="A102" s="65">
        <f t="shared" si="7"/>
        <v>4</v>
      </c>
      <c r="B102" s="699" t="s">
        <v>868</v>
      </c>
      <c r="C102" s="700"/>
      <c r="D102" s="700"/>
      <c r="E102" s="700"/>
      <c r="F102" s="700"/>
      <c r="G102" s="700"/>
      <c r="H102" s="700"/>
      <c r="I102" s="700"/>
      <c r="J102" s="700"/>
      <c r="K102" s="701"/>
      <c r="L102" s="702">
        <f t="shared" si="8"/>
        <v>45778</v>
      </c>
      <c r="M102" s="702"/>
      <c r="N102" s="702"/>
      <c r="O102" s="702">
        <f t="shared" si="9"/>
        <v>45808</v>
      </c>
      <c r="P102" s="702"/>
      <c r="Q102" s="702"/>
      <c r="R102" s="690" cm="1">
        <f t="array" ref="R102">INDEX(verificare!$AT$4:$CC$33,VLOOKUP($AA$16,verificare!$AR$4:$AS$33,2,FALSE),A102)</f>
        <v>25058</v>
      </c>
      <c r="S102" s="690"/>
      <c r="T102" s="690"/>
      <c r="U102" s="690"/>
      <c r="V102" s="658" t="s">
        <v>446</v>
      </c>
      <c r="W102" s="658"/>
      <c r="X102" s="691">
        <f>HLOOKUP(VLOOKUP($AA$16,'Date SPV'!$B:$F,5,FALSE),'Preturi si tarife'!$C$2:$J$39,A102+2,FALSE)</f>
        <v>0.11483</v>
      </c>
      <c r="Y102" s="692"/>
      <c r="Z102" s="692"/>
      <c r="AA102" s="693"/>
      <c r="AB102" s="690">
        <f t="shared" si="4"/>
        <v>2877.41</v>
      </c>
      <c r="AC102" s="690"/>
      <c r="AD102" s="690"/>
      <c r="AE102" s="690"/>
      <c r="AF102" s="690">
        <f t="shared" si="5"/>
        <v>546.71</v>
      </c>
      <c r="AG102" s="690"/>
      <c r="AH102" s="690"/>
      <c r="AI102" s="690"/>
      <c r="AJ102" s="690">
        <f t="shared" si="6"/>
        <v>3424.12</v>
      </c>
      <c r="AK102" s="690"/>
      <c r="AL102" s="690"/>
      <c r="AM102" s="690"/>
    </row>
    <row r="103" spans="1:39">
      <c r="A103" s="65">
        <f t="shared" si="7"/>
        <v>5</v>
      </c>
      <c r="B103" s="699" t="s">
        <v>757</v>
      </c>
      <c r="C103" s="700"/>
      <c r="D103" s="700"/>
      <c r="E103" s="700"/>
      <c r="F103" s="700"/>
      <c r="G103" s="700"/>
      <c r="H103" s="700"/>
      <c r="I103" s="700"/>
      <c r="J103" s="700"/>
      <c r="K103" s="701"/>
      <c r="L103" s="702">
        <f t="shared" si="8"/>
        <v>45778</v>
      </c>
      <c r="M103" s="702"/>
      <c r="N103" s="702"/>
      <c r="O103" s="702">
        <f t="shared" si="9"/>
        <v>45808</v>
      </c>
      <c r="P103" s="702"/>
      <c r="Q103" s="702"/>
      <c r="R103" s="690" cm="1">
        <f t="array" ref="R103">INDEX(verificare!$AT$4:$CC$33,VLOOKUP($AA$16,verificare!$AR$4:$AS$33,2,FALSE),A103)</f>
        <v>0</v>
      </c>
      <c r="S103" s="690"/>
      <c r="T103" s="690"/>
      <c r="U103" s="690"/>
      <c r="V103" s="658" t="s">
        <v>446</v>
      </c>
      <c r="W103" s="658"/>
      <c r="X103" s="691">
        <f>HLOOKUP(VLOOKUP($AA$16,'Date SPV'!$B:$F,5,FALSE),'Preturi si tarife'!$C$2:$J$39,A103+2,FALSE)</f>
        <v>0.2361</v>
      </c>
      <c r="Y103" s="692"/>
      <c r="Z103" s="692"/>
      <c r="AA103" s="693"/>
      <c r="AB103" s="690">
        <f t="shared" si="4"/>
        <v>0</v>
      </c>
      <c r="AC103" s="690"/>
      <c r="AD103" s="690"/>
      <c r="AE103" s="690"/>
      <c r="AF103" s="690">
        <f t="shared" si="5"/>
        <v>0</v>
      </c>
      <c r="AG103" s="690"/>
      <c r="AH103" s="690"/>
      <c r="AI103" s="690"/>
      <c r="AJ103" s="690">
        <f t="shared" si="6"/>
        <v>0</v>
      </c>
      <c r="AK103" s="690"/>
      <c r="AL103" s="690"/>
      <c r="AM103" s="690"/>
    </row>
    <row r="104" spans="1:39" ht="15.95" customHeight="1">
      <c r="A104" s="65">
        <f t="shared" si="7"/>
        <v>6</v>
      </c>
      <c r="B104" s="699" t="s">
        <v>74</v>
      </c>
      <c r="C104" s="700"/>
      <c r="D104" s="700"/>
      <c r="E104" s="700"/>
      <c r="F104" s="700"/>
      <c r="G104" s="700"/>
      <c r="H104" s="700"/>
      <c r="I104" s="700"/>
      <c r="J104" s="700"/>
      <c r="K104" s="701"/>
      <c r="L104" s="702">
        <f t="shared" si="8"/>
        <v>45778</v>
      </c>
      <c r="M104" s="702"/>
      <c r="N104" s="702"/>
      <c r="O104" s="702">
        <f t="shared" si="9"/>
        <v>45808</v>
      </c>
      <c r="P104" s="702"/>
      <c r="Q104" s="702"/>
      <c r="R104" s="690" cm="1">
        <f t="array" ref="R104">INDEX(verificare!$AT$4:$CC$33,VLOOKUP($AA$16,verificare!$AR$4:$AS$33,2,FALSE),A104)</f>
        <v>25058</v>
      </c>
      <c r="S104" s="690"/>
      <c r="T104" s="690"/>
      <c r="U104" s="690"/>
      <c r="V104" s="658" t="s">
        <v>446</v>
      </c>
      <c r="W104" s="658"/>
      <c r="X104" s="691">
        <f>HLOOKUP(VLOOKUP($AA$16,'Date SPV'!$B:$F,5,FALSE),'Preturi si tarife'!$C$2:$J$39,A104+2,FALSE)</f>
        <v>1.1509999999999999E-2</v>
      </c>
      <c r="Y104" s="692"/>
      <c r="Z104" s="692"/>
      <c r="AA104" s="693"/>
      <c r="AB104" s="690">
        <f t="shared" si="4"/>
        <v>288.42</v>
      </c>
      <c r="AC104" s="690"/>
      <c r="AD104" s="690"/>
      <c r="AE104" s="690"/>
      <c r="AF104" s="690">
        <f t="shared" si="5"/>
        <v>54.8</v>
      </c>
      <c r="AG104" s="690"/>
      <c r="AH104" s="690"/>
      <c r="AI104" s="690"/>
      <c r="AJ104" s="690">
        <f t="shared" si="6"/>
        <v>343.22</v>
      </c>
      <c r="AK104" s="690"/>
      <c r="AL104" s="690"/>
      <c r="AM104" s="690"/>
    </row>
    <row r="105" spans="1:39" ht="15.95" customHeight="1">
      <c r="A105" s="65">
        <f t="shared" si="7"/>
        <v>7</v>
      </c>
      <c r="B105" s="699" t="s">
        <v>75</v>
      </c>
      <c r="C105" s="700"/>
      <c r="D105" s="700"/>
      <c r="E105" s="700"/>
      <c r="F105" s="700"/>
      <c r="G105" s="700"/>
      <c r="H105" s="700"/>
      <c r="I105" s="700"/>
      <c r="J105" s="700"/>
      <c r="K105" s="701"/>
      <c r="L105" s="702">
        <f t="shared" si="8"/>
        <v>45778</v>
      </c>
      <c r="M105" s="702"/>
      <c r="N105" s="702"/>
      <c r="O105" s="702">
        <f t="shared" si="9"/>
        <v>45808</v>
      </c>
      <c r="P105" s="702"/>
      <c r="Q105" s="702"/>
      <c r="R105" s="690" cm="1">
        <f t="array" ref="R105">INDEX(verificare!$AT$4:$CC$33,VLOOKUP($AA$16,verificare!$AR$4:$AS$33,2,FALSE),A105)</f>
        <v>25058</v>
      </c>
      <c r="S105" s="690"/>
      <c r="T105" s="690"/>
      <c r="U105" s="690"/>
      <c r="V105" s="658" t="s">
        <v>446</v>
      </c>
      <c r="W105" s="658"/>
      <c r="X105" s="691">
        <f>HLOOKUP(VLOOKUP($AA$16,'Date SPV'!$B:$F,5,FALSE),'Preturi si tarife'!$C$2:$J$39,A105+2,FALSE)</f>
        <v>3.3030000000000004E-2</v>
      </c>
      <c r="Y105" s="692"/>
      <c r="Z105" s="692"/>
      <c r="AA105" s="693"/>
      <c r="AB105" s="690">
        <f t="shared" si="4"/>
        <v>827.67</v>
      </c>
      <c r="AC105" s="690"/>
      <c r="AD105" s="690"/>
      <c r="AE105" s="690"/>
      <c r="AF105" s="690">
        <f t="shared" si="5"/>
        <v>157.26</v>
      </c>
      <c r="AG105" s="690"/>
      <c r="AH105" s="690"/>
      <c r="AI105" s="690"/>
      <c r="AJ105" s="690">
        <f t="shared" si="6"/>
        <v>984.93</v>
      </c>
      <c r="AK105" s="690"/>
      <c r="AL105" s="690"/>
      <c r="AM105" s="690"/>
    </row>
    <row r="106" spans="1:39" ht="15.95" customHeight="1">
      <c r="A106" s="65">
        <f t="shared" si="7"/>
        <v>8</v>
      </c>
      <c r="B106" s="699" t="s">
        <v>76</v>
      </c>
      <c r="C106" s="700"/>
      <c r="D106" s="700"/>
      <c r="E106" s="700"/>
      <c r="F106" s="700"/>
      <c r="G106" s="700"/>
      <c r="H106" s="700"/>
      <c r="I106" s="700"/>
      <c r="J106" s="700"/>
      <c r="K106" s="701"/>
      <c r="L106" s="702">
        <f t="shared" si="8"/>
        <v>45778</v>
      </c>
      <c r="M106" s="702"/>
      <c r="N106" s="702"/>
      <c r="O106" s="702">
        <f t="shared" si="9"/>
        <v>45808</v>
      </c>
      <c r="P106" s="702"/>
      <c r="Q106" s="702"/>
      <c r="R106" s="690" cm="1">
        <f t="array" ref="R106">INDEX(verificare!$AT$4:$CC$33,VLOOKUP($AA$16,verificare!$AR$4:$AS$33,2,FALSE),A106)</f>
        <v>25058</v>
      </c>
      <c r="S106" s="690"/>
      <c r="T106" s="690"/>
      <c r="U106" s="690"/>
      <c r="V106" s="658" t="s">
        <v>446</v>
      </c>
      <c r="W106" s="658"/>
      <c r="X106" s="691">
        <f>HLOOKUP(VLOOKUP($AA$16,'Date SPV'!$B:$F,5,FALSE),'Preturi si tarife'!$C$2:$J$39,A106+2,FALSE)</f>
        <v>3.29E-3</v>
      </c>
      <c r="Y106" s="692"/>
      <c r="Z106" s="692"/>
      <c r="AA106" s="693"/>
      <c r="AB106" s="690">
        <f t="shared" si="4"/>
        <v>82.44</v>
      </c>
      <c r="AC106" s="690"/>
      <c r="AD106" s="690"/>
      <c r="AE106" s="690"/>
      <c r="AF106" s="690">
        <f t="shared" si="5"/>
        <v>15.66</v>
      </c>
      <c r="AG106" s="690"/>
      <c r="AH106" s="690"/>
      <c r="AI106" s="690"/>
      <c r="AJ106" s="690">
        <f t="shared" si="6"/>
        <v>98.1</v>
      </c>
      <c r="AK106" s="690"/>
      <c r="AL106" s="690"/>
      <c r="AM106" s="690"/>
    </row>
    <row r="107" spans="1:39">
      <c r="A107" s="65">
        <f t="shared" si="7"/>
        <v>9</v>
      </c>
      <c r="B107" s="699" t="s">
        <v>77</v>
      </c>
      <c r="C107" s="700"/>
      <c r="D107" s="700"/>
      <c r="E107" s="700"/>
      <c r="F107" s="700"/>
      <c r="G107" s="700"/>
      <c r="H107" s="700"/>
      <c r="I107" s="700"/>
      <c r="J107" s="700"/>
      <c r="K107" s="701"/>
      <c r="L107" s="702">
        <f t="shared" si="8"/>
        <v>45778</v>
      </c>
      <c r="M107" s="702"/>
      <c r="N107" s="702"/>
      <c r="O107" s="702">
        <f t="shared" si="9"/>
        <v>45808</v>
      </c>
      <c r="P107" s="702"/>
      <c r="Q107" s="702"/>
      <c r="R107" s="690" cm="1">
        <f t="array" ref="R107">INDEX(verificare!$AT$4:$CC$33,VLOOKUP($AA$16,verificare!$AR$4:$AS$33,2,FALSE),A107)</f>
        <v>25058</v>
      </c>
      <c r="S107" s="690"/>
      <c r="T107" s="690"/>
      <c r="U107" s="690"/>
      <c r="V107" s="658" t="s">
        <v>446</v>
      </c>
      <c r="W107" s="658"/>
      <c r="X107" s="691">
        <f>HLOOKUP(VLOOKUP($AA$16,'Date SPV'!$B:$F,5,FALSE),'Preturi si tarife'!$C$2:$J$39,A107+2,FALSE)</f>
        <v>3.5000000000000001E-3</v>
      </c>
      <c r="Y107" s="692"/>
      <c r="Z107" s="692"/>
      <c r="AA107" s="693"/>
      <c r="AB107" s="690">
        <f t="shared" si="4"/>
        <v>87.7</v>
      </c>
      <c r="AC107" s="690"/>
      <c r="AD107" s="690"/>
      <c r="AE107" s="690"/>
      <c r="AF107" s="690">
        <f t="shared" si="5"/>
        <v>16.66</v>
      </c>
      <c r="AG107" s="690"/>
      <c r="AH107" s="690"/>
      <c r="AI107" s="690"/>
      <c r="AJ107" s="690">
        <f t="shared" si="6"/>
        <v>104.36</v>
      </c>
      <c r="AK107" s="690"/>
      <c r="AL107" s="690"/>
      <c r="AM107" s="690"/>
    </row>
    <row r="108" spans="1:39">
      <c r="A108" s="65">
        <f t="shared" si="7"/>
        <v>10</v>
      </c>
      <c r="B108" s="699" t="s">
        <v>78</v>
      </c>
      <c r="C108" s="700"/>
      <c r="D108" s="700"/>
      <c r="E108" s="700"/>
      <c r="F108" s="700"/>
      <c r="G108" s="700"/>
      <c r="H108" s="700"/>
      <c r="I108" s="700"/>
      <c r="J108" s="700"/>
      <c r="K108" s="701"/>
      <c r="L108" s="702">
        <f t="shared" si="8"/>
        <v>45778</v>
      </c>
      <c r="M108" s="702"/>
      <c r="N108" s="702"/>
      <c r="O108" s="702">
        <f t="shared" si="9"/>
        <v>45808</v>
      </c>
      <c r="P108" s="702"/>
      <c r="Q108" s="702"/>
      <c r="R108" s="690" cm="1">
        <f t="array" ref="R108">INDEX(verificare!$AT$4:$CC$33,VLOOKUP($AA$16,verificare!$AR$4:$AS$33,2,FALSE),A108)</f>
        <v>25058</v>
      </c>
      <c r="S108" s="690"/>
      <c r="T108" s="690"/>
      <c r="U108" s="690"/>
      <c r="V108" s="658" t="s">
        <v>446</v>
      </c>
      <c r="W108" s="658"/>
      <c r="X108" s="691">
        <f>HLOOKUP(VLOOKUP($AA$16,'Date SPV'!$B:$F,5,FALSE),'Preturi si tarife'!$C$2:$J$39,A108+2,FALSE)</f>
        <v>7.2541599999999998E-2</v>
      </c>
      <c r="Y108" s="692"/>
      <c r="Z108" s="692"/>
      <c r="AA108" s="693"/>
      <c r="AB108" s="690">
        <f t="shared" si="4"/>
        <v>1817.75</v>
      </c>
      <c r="AC108" s="690"/>
      <c r="AD108" s="690"/>
      <c r="AE108" s="690"/>
      <c r="AF108" s="690">
        <f t="shared" si="5"/>
        <v>345.37</v>
      </c>
      <c r="AG108" s="690"/>
      <c r="AH108" s="690"/>
      <c r="AI108" s="690"/>
      <c r="AJ108" s="690">
        <f t="shared" si="6"/>
        <v>2163.12</v>
      </c>
      <c r="AK108" s="690"/>
      <c r="AL108" s="690"/>
      <c r="AM108" s="690"/>
    </row>
    <row r="109" spans="1:39" ht="15.95" customHeight="1">
      <c r="A109" s="65">
        <f t="shared" si="7"/>
        <v>11</v>
      </c>
      <c r="B109" s="699" t="s">
        <v>1313</v>
      </c>
      <c r="C109" s="700"/>
      <c r="D109" s="700"/>
      <c r="E109" s="700"/>
      <c r="F109" s="700"/>
      <c r="G109" s="700"/>
      <c r="H109" s="700"/>
      <c r="I109" s="700"/>
      <c r="J109" s="700"/>
      <c r="K109" s="701"/>
      <c r="L109" s="702">
        <f t="shared" si="8"/>
        <v>45778</v>
      </c>
      <c r="M109" s="702"/>
      <c r="N109" s="702"/>
      <c r="O109" s="702">
        <f t="shared" si="9"/>
        <v>45808</v>
      </c>
      <c r="P109" s="702"/>
      <c r="Q109" s="702"/>
      <c r="R109" s="690" cm="1">
        <f t="array" ref="R109">INDEX(verificare!$AT$4:$CC$33,VLOOKUP($AA$16,verificare!$AR$4:$AS$33,2,FALSE),A109)</f>
        <v>25058</v>
      </c>
      <c r="S109" s="690"/>
      <c r="T109" s="690"/>
      <c r="U109" s="690"/>
      <c r="V109" s="724" t="s">
        <v>446</v>
      </c>
      <c r="W109" s="725"/>
      <c r="X109" s="691">
        <f>HLOOKUP(VLOOKUP($AA$16,'Date SPV'!$B:$F,5,FALSE),'Preturi si tarife'!$C$2:$J$39,A109+2,FALSE)</f>
        <v>2.0599999999999999E-4</v>
      </c>
      <c r="Y109" s="692"/>
      <c r="Z109" s="692"/>
      <c r="AA109" s="693"/>
      <c r="AB109" s="772">
        <f t="shared" si="4"/>
        <v>5.16</v>
      </c>
      <c r="AC109" s="773"/>
      <c r="AD109" s="773"/>
      <c r="AE109" s="774"/>
      <c r="AF109" s="772">
        <f t="shared" si="5"/>
        <v>0.98</v>
      </c>
      <c r="AG109" s="773"/>
      <c r="AH109" s="773"/>
      <c r="AI109" s="774"/>
      <c r="AJ109" s="772">
        <f t="shared" si="6"/>
        <v>6.1400000000000006</v>
      </c>
      <c r="AK109" s="773"/>
      <c r="AL109" s="773"/>
      <c r="AM109" s="774"/>
    </row>
    <row r="110" spans="1:39" ht="15.95" customHeight="1">
      <c r="A110" s="65">
        <f t="shared" si="7"/>
        <v>12</v>
      </c>
      <c r="B110" s="699" t="s">
        <v>79</v>
      </c>
      <c r="C110" s="700"/>
      <c r="D110" s="700"/>
      <c r="E110" s="700"/>
      <c r="F110" s="700"/>
      <c r="G110" s="700"/>
      <c r="H110" s="700"/>
      <c r="I110" s="700"/>
      <c r="J110" s="700"/>
      <c r="K110" s="701"/>
      <c r="L110" s="702">
        <f>L108</f>
        <v>45778</v>
      </c>
      <c r="M110" s="702"/>
      <c r="N110" s="702"/>
      <c r="O110" s="702">
        <f>O108</f>
        <v>45808</v>
      </c>
      <c r="P110" s="702"/>
      <c r="Q110" s="702"/>
      <c r="R110" s="690" cm="1">
        <f t="array" ref="R110">INDEX(verificare!$AT$4:$CC$33,VLOOKUP($AA$16,verificare!$AR$4:$AS$33,2,FALSE),A110)</f>
        <v>25058</v>
      </c>
      <c r="S110" s="690"/>
      <c r="T110" s="690"/>
      <c r="U110" s="690"/>
      <c r="V110" s="658" t="s">
        <v>446</v>
      </c>
      <c r="W110" s="658"/>
      <c r="X110" s="691">
        <f>HLOOKUP(VLOOKUP($AA$16,'Date SPV'!$B:$F,5,FALSE),'Preturi si tarife'!$C$2:$J$39,A110+2,FALSE)</f>
        <v>0</v>
      </c>
      <c r="Y110" s="692"/>
      <c r="Z110" s="692"/>
      <c r="AA110" s="693"/>
      <c r="AB110" s="690">
        <f t="shared" si="4"/>
        <v>0</v>
      </c>
      <c r="AC110" s="690"/>
      <c r="AD110" s="690"/>
      <c r="AE110" s="690"/>
      <c r="AF110" s="690">
        <f t="shared" si="5"/>
        <v>0</v>
      </c>
      <c r="AG110" s="690"/>
      <c r="AH110" s="690"/>
      <c r="AI110" s="690"/>
      <c r="AJ110" s="690">
        <f t="shared" si="6"/>
        <v>0</v>
      </c>
      <c r="AK110" s="690"/>
      <c r="AL110" s="690"/>
      <c r="AM110" s="690"/>
    </row>
    <row r="111" spans="1:39" ht="18.95" customHeight="1">
      <c r="A111" s="65">
        <f t="shared" si="7"/>
        <v>13</v>
      </c>
      <c r="B111" s="699" t="s">
        <v>80</v>
      </c>
      <c r="C111" s="700"/>
      <c r="D111" s="700"/>
      <c r="E111" s="700"/>
      <c r="F111" s="700"/>
      <c r="G111" s="700"/>
      <c r="H111" s="700"/>
      <c r="I111" s="700"/>
      <c r="J111" s="700"/>
      <c r="K111" s="701"/>
      <c r="L111" s="702">
        <f t="shared" si="8"/>
        <v>45778</v>
      </c>
      <c r="M111" s="702"/>
      <c r="N111" s="702"/>
      <c r="O111" s="702">
        <f t="shared" si="9"/>
        <v>45808</v>
      </c>
      <c r="P111" s="702"/>
      <c r="Q111" s="702"/>
      <c r="R111" s="690" cm="1">
        <f t="array" ref="R111">INDEX(verificare!$AT$4:$CC$33,VLOOKUP($AA$16,verificare!$AR$4:$AS$33,2,FALSE),A111)</f>
        <v>25058</v>
      </c>
      <c r="S111" s="690"/>
      <c r="T111" s="690"/>
      <c r="U111" s="690"/>
      <c r="V111" s="658" t="s">
        <v>446</v>
      </c>
      <c r="W111" s="658"/>
      <c r="X111" s="691">
        <f>HLOOKUP(VLOOKUP($AA$16,'Date SPV'!$B:$F,5,FALSE),'Preturi si tarife'!$C$2:$J$39,A111+2,FALSE)</f>
        <v>1.26E-2</v>
      </c>
      <c r="Y111" s="692"/>
      <c r="Z111" s="692"/>
      <c r="AA111" s="693"/>
      <c r="AB111" s="690">
        <f t="shared" si="4"/>
        <v>315.73</v>
      </c>
      <c r="AC111" s="690"/>
      <c r="AD111" s="690"/>
      <c r="AE111" s="690"/>
      <c r="AF111" s="690">
        <f t="shared" si="5"/>
        <v>59.99</v>
      </c>
      <c r="AG111" s="690"/>
      <c r="AH111" s="690"/>
      <c r="AI111" s="690"/>
      <c r="AJ111" s="690">
        <f t="shared" si="6"/>
        <v>375.72</v>
      </c>
      <c r="AK111" s="690"/>
      <c r="AL111" s="690"/>
      <c r="AM111" s="690"/>
    </row>
    <row r="112" spans="1:39" ht="18.95" customHeight="1">
      <c r="A112" s="65">
        <f t="shared" si="7"/>
        <v>14</v>
      </c>
      <c r="B112" s="699" t="s">
        <v>81</v>
      </c>
      <c r="C112" s="700"/>
      <c r="D112" s="700"/>
      <c r="E112" s="700"/>
      <c r="F112" s="700"/>
      <c r="G112" s="700"/>
      <c r="H112" s="700"/>
      <c r="I112" s="700"/>
      <c r="J112" s="700"/>
      <c r="K112" s="701"/>
      <c r="L112" s="702">
        <f t="shared" si="8"/>
        <v>45778</v>
      </c>
      <c r="M112" s="702"/>
      <c r="N112" s="702"/>
      <c r="O112" s="702">
        <f t="shared" si="9"/>
        <v>45808</v>
      </c>
      <c r="P112" s="702"/>
      <c r="Q112" s="702"/>
      <c r="R112" s="690" cm="1">
        <f t="array" ref="R112">INDEX(verificare!$AT$4:$CC$33,VLOOKUP($AA$16,verificare!$AR$4:$AS$33,2,FALSE),A112)</f>
        <v>25058</v>
      </c>
      <c r="S112" s="690"/>
      <c r="T112" s="690"/>
      <c r="U112" s="690"/>
      <c r="V112" s="658" t="s">
        <v>446</v>
      </c>
      <c r="W112" s="658"/>
      <c r="X112" s="691">
        <f>HLOOKUP(VLOOKUP($AA$16,'Date SPV'!$B:$F,5,FALSE),'Preturi si tarife'!$C$2:$J$39,A112+2,FALSE)</f>
        <v>9.2700000000000005E-2</v>
      </c>
      <c r="Y112" s="692"/>
      <c r="Z112" s="692"/>
      <c r="AA112" s="693"/>
      <c r="AB112" s="690">
        <f t="shared" si="4"/>
        <v>2322.88</v>
      </c>
      <c r="AC112" s="690"/>
      <c r="AD112" s="690"/>
      <c r="AE112" s="690"/>
      <c r="AF112" s="690">
        <f t="shared" si="5"/>
        <v>441.35</v>
      </c>
      <c r="AG112" s="690"/>
      <c r="AH112" s="690"/>
      <c r="AI112" s="690"/>
      <c r="AJ112" s="690">
        <f t="shared" si="6"/>
        <v>2764.23</v>
      </c>
      <c r="AK112" s="690"/>
      <c r="AL112" s="690"/>
      <c r="AM112" s="690"/>
    </row>
    <row r="113" spans="1:39" ht="18.95" customHeight="1">
      <c r="A113" s="65">
        <f t="shared" si="7"/>
        <v>15</v>
      </c>
      <c r="B113" s="699" t="s">
        <v>82</v>
      </c>
      <c r="C113" s="700"/>
      <c r="D113" s="700"/>
      <c r="E113" s="700"/>
      <c r="F113" s="700"/>
      <c r="G113" s="700"/>
      <c r="H113" s="700"/>
      <c r="I113" s="700"/>
      <c r="J113" s="700"/>
      <c r="K113" s="701"/>
      <c r="L113" s="702">
        <f t="shared" si="8"/>
        <v>45778</v>
      </c>
      <c r="M113" s="702"/>
      <c r="N113" s="702"/>
      <c r="O113" s="702">
        <f t="shared" si="9"/>
        <v>45808</v>
      </c>
      <c r="P113" s="702"/>
      <c r="Q113" s="702"/>
      <c r="R113" s="690" cm="1">
        <f t="array" ref="R113">INDEX(verificare!$AT$4:$CC$33,VLOOKUP($AA$16,verificare!$AR$4:$AS$33,2,FALSE),A113)</f>
        <v>15338</v>
      </c>
      <c r="S113" s="690"/>
      <c r="T113" s="690"/>
      <c r="U113" s="690"/>
      <c r="V113" s="658" t="s">
        <v>446</v>
      </c>
      <c r="W113" s="658"/>
      <c r="X113" s="691">
        <f>HLOOKUP(VLOOKUP($AA$16,'Date SPV'!$B:$F,5,FALSE),'Preturi si tarife'!$C$2:$J$39,A113+2,FALSE)</f>
        <v>0.93920760000000003</v>
      </c>
      <c r="Y113" s="692"/>
      <c r="Z113" s="692"/>
      <c r="AA113" s="693"/>
      <c r="AB113" s="690">
        <f t="shared" si="4"/>
        <v>14405.57</v>
      </c>
      <c r="AC113" s="690"/>
      <c r="AD113" s="690"/>
      <c r="AE113" s="690"/>
      <c r="AF113" s="690">
        <f t="shared" si="5"/>
        <v>2737.06</v>
      </c>
      <c r="AG113" s="690"/>
      <c r="AH113" s="690"/>
      <c r="AI113" s="690"/>
      <c r="AJ113" s="690">
        <f t="shared" si="6"/>
        <v>17142.63</v>
      </c>
      <c r="AK113" s="690"/>
      <c r="AL113" s="690"/>
      <c r="AM113" s="690"/>
    </row>
    <row r="114" spans="1:39" ht="18.95" customHeight="1">
      <c r="A114" s="65">
        <f t="shared" si="7"/>
        <v>16</v>
      </c>
      <c r="B114" s="699" t="s">
        <v>83</v>
      </c>
      <c r="C114" s="700"/>
      <c r="D114" s="700"/>
      <c r="E114" s="700"/>
      <c r="F114" s="700"/>
      <c r="G114" s="700"/>
      <c r="H114" s="700"/>
      <c r="I114" s="700"/>
      <c r="J114" s="700"/>
      <c r="K114" s="701"/>
      <c r="L114" s="702">
        <f t="shared" si="8"/>
        <v>45778</v>
      </c>
      <c r="M114" s="702"/>
      <c r="N114" s="702"/>
      <c r="O114" s="702">
        <f t="shared" si="9"/>
        <v>45808</v>
      </c>
      <c r="P114" s="702"/>
      <c r="Q114" s="702"/>
      <c r="R114" s="690" cm="1">
        <f t="array" ref="R114">INDEX(verificare!$AT$4:$CC$33,VLOOKUP($AA$16,verificare!$AR$4:$AS$33,2,FALSE),A114)</f>
        <v>0</v>
      </c>
      <c r="S114" s="690"/>
      <c r="T114" s="690"/>
      <c r="U114" s="690"/>
      <c r="V114" s="658" t="s">
        <v>446</v>
      </c>
      <c r="W114" s="658"/>
      <c r="X114" s="691">
        <f>HLOOKUP(VLOOKUP($AA$16,'Date SPV'!$B:$F,5,FALSE),'Preturi si tarife'!$C$2:$J$39,A114+2,FALSE)</f>
        <v>0.83390760000000008</v>
      </c>
      <c r="Y114" s="692"/>
      <c r="Z114" s="692"/>
      <c r="AA114" s="693"/>
      <c r="AB114" s="690">
        <f t="shared" si="4"/>
        <v>0</v>
      </c>
      <c r="AC114" s="690"/>
      <c r="AD114" s="690"/>
      <c r="AE114" s="690"/>
      <c r="AF114" s="690">
        <f t="shared" si="5"/>
        <v>0</v>
      </c>
      <c r="AG114" s="690"/>
      <c r="AH114" s="690"/>
      <c r="AI114" s="690"/>
      <c r="AJ114" s="690">
        <f t="shared" si="6"/>
        <v>0</v>
      </c>
      <c r="AK114" s="690"/>
      <c r="AL114" s="690"/>
      <c r="AM114" s="690"/>
    </row>
    <row r="115" spans="1:39" ht="18.95" customHeight="1">
      <c r="A115" s="65">
        <f t="shared" si="7"/>
        <v>17</v>
      </c>
      <c r="B115" s="699" t="s">
        <v>1129</v>
      </c>
      <c r="C115" s="700"/>
      <c r="D115" s="700"/>
      <c r="E115" s="700"/>
      <c r="F115" s="700"/>
      <c r="G115" s="700"/>
      <c r="H115" s="700"/>
      <c r="I115" s="700"/>
      <c r="J115" s="700"/>
      <c r="K115" s="701"/>
      <c r="L115" s="702">
        <f t="shared" si="8"/>
        <v>45778</v>
      </c>
      <c r="M115" s="702"/>
      <c r="N115" s="702"/>
      <c r="O115" s="702">
        <f t="shared" si="9"/>
        <v>45808</v>
      </c>
      <c r="P115" s="702"/>
      <c r="Q115" s="702"/>
      <c r="R115" s="690" cm="1">
        <f t="array" ref="R115">INDEX(verificare!$AT$4:$CC$33,VLOOKUP($AA$16,verificare!$AR$4:$AS$33,2,FALSE),A115)</f>
        <v>0</v>
      </c>
      <c r="S115" s="690"/>
      <c r="T115" s="690"/>
      <c r="U115" s="690"/>
      <c r="V115" s="658" t="s">
        <v>446</v>
      </c>
      <c r="W115" s="658"/>
      <c r="X115" s="691">
        <f>HLOOKUP(VLOOKUP($AA$16,'Date SPV'!$B:$F,5,FALSE),'Preturi si tarife'!$C$2:$J$39,A115+2,FALSE)</f>
        <v>1.26E-2</v>
      </c>
      <c r="Y115" s="692"/>
      <c r="Z115" s="692"/>
      <c r="AA115" s="693"/>
      <c r="AB115" s="690">
        <f t="shared" si="4"/>
        <v>0</v>
      </c>
      <c r="AC115" s="690"/>
      <c r="AD115" s="690"/>
      <c r="AE115" s="690"/>
      <c r="AF115" s="690">
        <f t="shared" si="5"/>
        <v>0</v>
      </c>
      <c r="AG115" s="690"/>
      <c r="AH115" s="690"/>
      <c r="AI115" s="690"/>
      <c r="AJ115" s="690">
        <f t="shared" si="6"/>
        <v>0</v>
      </c>
      <c r="AK115" s="690"/>
      <c r="AL115" s="690"/>
      <c r="AM115" s="690"/>
    </row>
    <row r="116" spans="1:39" ht="18.95" customHeight="1">
      <c r="A116" s="65">
        <f t="shared" si="7"/>
        <v>18</v>
      </c>
      <c r="B116" s="699" t="s">
        <v>1130</v>
      </c>
      <c r="C116" s="700"/>
      <c r="D116" s="700"/>
      <c r="E116" s="700"/>
      <c r="F116" s="700"/>
      <c r="G116" s="700"/>
      <c r="H116" s="700"/>
      <c r="I116" s="700"/>
      <c r="J116" s="700"/>
      <c r="K116" s="701"/>
      <c r="L116" s="702">
        <f t="shared" si="8"/>
        <v>45778</v>
      </c>
      <c r="M116" s="702"/>
      <c r="N116" s="702"/>
      <c r="O116" s="702">
        <f t="shared" si="9"/>
        <v>45808</v>
      </c>
      <c r="P116" s="702"/>
      <c r="Q116" s="702"/>
      <c r="R116" s="690" cm="1">
        <f t="array" ref="R116">INDEX(verificare!$AT$4:$CC$33,VLOOKUP($AA$16,verificare!$AR$4:$AS$33,2,FALSE),A116)</f>
        <v>0</v>
      </c>
      <c r="S116" s="690"/>
      <c r="T116" s="690"/>
      <c r="U116" s="690"/>
      <c r="V116" s="658" t="s">
        <v>446</v>
      </c>
      <c r="W116" s="658"/>
      <c r="X116" s="691">
        <f>HLOOKUP(VLOOKUP($AA$16,'Date SPV'!$B:$F,5,FALSE),'Preturi si tarife'!$C$2:$J$39,A116+2,FALSE)</f>
        <v>9.2700000000000005E-2</v>
      </c>
      <c r="Y116" s="692"/>
      <c r="Z116" s="692"/>
      <c r="AA116" s="693"/>
      <c r="AB116" s="690">
        <f t="shared" si="4"/>
        <v>0</v>
      </c>
      <c r="AC116" s="690"/>
      <c r="AD116" s="690"/>
      <c r="AE116" s="690"/>
      <c r="AF116" s="690">
        <f t="shared" si="5"/>
        <v>0</v>
      </c>
      <c r="AG116" s="690"/>
      <c r="AH116" s="690"/>
      <c r="AI116" s="690"/>
      <c r="AJ116" s="690">
        <f t="shared" si="6"/>
        <v>0</v>
      </c>
      <c r="AK116" s="690"/>
      <c r="AL116" s="690"/>
      <c r="AM116" s="690"/>
    </row>
    <row r="117" spans="1:39" ht="18.95" customHeight="1">
      <c r="A117" s="65">
        <f t="shared" si="7"/>
        <v>19</v>
      </c>
      <c r="B117" s="699" t="s">
        <v>99</v>
      </c>
      <c r="C117" s="700"/>
      <c r="D117" s="700"/>
      <c r="E117" s="700"/>
      <c r="F117" s="700"/>
      <c r="G117" s="700"/>
      <c r="H117" s="700"/>
      <c r="I117" s="700"/>
      <c r="J117" s="700"/>
      <c r="K117" s="701"/>
      <c r="L117" s="702">
        <f>'Date masura OD'!$W$5</f>
        <v>45748</v>
      </c>
      <c r="M117" s="702"/>
      <c r="N117" s="702"/>
      <c r="O117" s="702">
        <f>'Date masura OD'!$X$5</f>
        <v>45777</v>
      </c>
      <c r="P117" s="702"/>
      <c r="Q117" s="702"/>
      <c r="R117" s="690" cm="1">
        <f t="array" ref="R117">INDEX(verificare!$AT$4:$CC$33,VLOOKUP($AA$16,verificare!$AR$4:$AS$33,2,FALSE),A117)</f>
        <v>0</v>
      </c>
      <c r="S117" s="690"/>
      <c r="T117" s="690"/>
      <c r="U117" s="690"/>
      <c r="V117" s="658" t="s">
        <v>446</v>
      </c>
      <c r="W117" s="658"/>
      <c r="X117" s="659">
        <f>HLOOKUP(VLOOKUP($AA$16,'Date SPV'!$B:$F,5,FALSE),'Preturi si tarife'!$C$2:$J$39,A117+2,FALSE)</f>
        <v>0.59499999999999997</v>
      </c>
      <c r="Y117" s="659"/>
      <c r="Z117" s="659"/>
      <c r="AA117" s="659"/>
      <c r="AB117" s="653">
        <f t="shared" si="4"/>
        <v>0</v>
      </c>
      <c r="AC117" s="653"/>
      <c r="AD117" s="653"/>
      <c r="AE117" s="653"/>
      <c r="AF117" s="653">
        <f t="shared" si="5"/>
        <v>0</v>
      </c>
      <c r="AG117" s="653"/>
      <c r="AH117" s="653"/>
      <c r="AI117" s="653"/>
      <c r="AJ117" s="653">
        <f t="shared" si="6"/>
        <v>0</v>
      </c>
      <c r="AK117" s="653"/>
      <c r="AL117" s="653"/>
      <c r="AM117" s="653"/>
    </row>
    <row r="118" spans="1:39" ht="18.95" customHeight="1">
      <c r="A118" s="65">
        <f t="shared" si="7"/>
        <v>20</v>
      </c>
      <c r="B118" s="699" t="s">
        <v>100</v>
      </c>
      <c r="C118" s="700"/>
      <c r="D118" s="700"/>
      <c r="E118" s="700"/>
      <c r="F118" s="700"/>
      <c r="G118" s="700"/>
      <c r="H118" s="700"/>
      <c r="I118" s="700"/>
      <c r="J118" s="700"/>
      <c r="K118" s="701"/>
      <c r="L118" s="702">
        <f>L117</f>
        <v>45748</v>
      </c>
      <c r="M118" s="702"/>
      <c r="N118" s="702"/>
      <c r="O118" s="702">
        <f t="shared" ref="O118:O134" si="10">O117</f>
        <v>45777</v>
      </c>
      <c r="P118" s="702"/>
      <c r="Q118" s="702"/>
      <c r="R118" s="690" cm="1">
        <f t="array" ref="R118">INDEX(verificare!$AT$4:$CC$33,VLOOKUP($AA$16,verificare!$AR$4:$AS$33,2,FALSE),A118)</f>
        <v>186</v>
      </c>
      <c r="S118" s="690"/>
      <c r="T118" s="690"/>
      <c r="U118" s="690"/>
      <c r="V118" s="658" t="s">
        <v>727</v>
      </c>
      <c r="W118" s="658"/>
      <c r="X118" s="659">
        <f>HLOOKUP(VLOOKUP($AA$16,'Date SPV'!$B:$F,5,FALSE),'Preturi si tarife'!$C$2:$J$39,A118+2,FALSE)</f>
        <v>0.14649999999999999</v>
      </c>
      <c r="Y118" s="659"/>
      <c r="Z118" s="659"/>
      <c r="AA118" s="659"/>
      <c r="AB118" s="726">
        <f t="shared" si="4"/>
        <v>27.25</v>
      </c>
      <c r="AC118" s="726"/>
      <c r="AD118" s="726"/>
      <c r="AE118" s="726"/>
      <c r="AF118" s="726">
        <f t="shared" si="5"/>
        <v>5.18</v>
      </c>
      <c r="AG118" s="726"/>
      <c r="AH118" s="726"/>
      <c r="AI118" s="726"/>
      <c r="AJ118" s="726">
        <f t="shared" si="6"/>
        <v>32.43</v>
      </c>
      <c r="AK118" s="726"/>
      <c r="AL118" s="726"/>
      <c r="AM118" s="726"/>
    </row>
    <row r="119" spans="1:39" ht="18.95" customHeight="1">
      <c r="A119" s="65">
        <f t="shared" si="7"/>
        <v>21</v>
      </c>
      <c r="B119" s="699" t="s">
        <v>101</v>
      </c>
      <c r="C119" s="700"/>
      <c r="D119" s="700"/>
      <c r="E119" s="700"/>
      <c r="F119" s="700"/>
      <c r="G119" s="700"/>
      <c r="H119" s="700"/>
      <c r="I119" s="700"/>
      <c r="J119" s="700"/>
      <c r="K119" s="701"/>
      <c r="L119" s="702">
        <f t="shared" ref="L119:L134" si="11">L118</f>
        <v>45748</v>
      </c>
      <c r="M119" s="702"/>
      <c r="N119" s="702"/>
      <c r="O119" s="702">
        <f t="shared" si="10"/>
        <v>45777</v>
      </c>
      <c r="P119" s="702"/>
      <c r="Q119" s="702"/>
      <c r="R119" s="690" cm="1">
        <f t="array" ref="R119">INDEX(verificare!$AT$4:$CC$33,VLOOKUP($AA$16,verificare!$AR$4:$AS$33,2,FALSE),A119)</f>
        <v>4</v>
      </c>
      <c r="S119" s="690"/>
      <c r="T119" s="690"/>
      <c r="U119" s="690"/>
      <c r="V119" s="658" t="s">
        <v>727</v>
      </c>
      <c r="W119" s="658"/>
      <c r="X119" s="659">
        <f>HLOOKUP(VLOOKUP($AA$16,'Date SPV'!$B:$F,5,FALSE),'Preturi si tarife'!$C$2:$J$39,A119+2,FALSE)</f>
        <v>0.4395</v>
      </c>
      <c r="Y119" s="659"/>
      <c r="Z119" s="659"/>
      <c r="AA119" s="659"/>
      <c r="AB119" s="653">
        <f t="shared" si="4"/>
        <v>1.76</v>
      </c>
      <c r="AC119" s="653"/>
      <c r="AD119" s="653"/>
      <c r="AE119" s="653"/>
      <c r="AF119" s="653">
        <f t="shared" si="5"/>
        <v>0.33</v>
      </c>
      <c r="AG119" s="653"/>
      <c r="AH119" s="653"/>
      <c r="AI119" s="653"/>
      <c r="AJ119" s="653">
        <f t="shared" si="6"/>
        <v>2.09</v>
      </c>
      <c r="AK119" s="653"/>
      <c r="AL119" s="653"/>
      <c r="AM119" s="653"/>
    </row>
    <row r="120" spans="1:39" ht="18.95" customHeight="1">
      <c r="A120" s="65">
        <f t="shared" si="7"/>
        <v>22</v>
      </c>
      <c r="B120" s="699" t="s">
        <v>869</v>
      </c>
      <c r="C120" s="700"/>
      <c r="D120" s="700"/>
      <c r="E120" s="700"/>
      <c r="F120" s="700"/>
      <c r="G120" s="700"/>
      <c r="H120" s="700"/>
      <c r="I120" s="700"/>
      <c r="J120" s="700"/>
      <c r="K120" s="701"/>
      <c r="L120" s="702">
        <f t="shared" si="11"/>
        <v>45748</v>
      </c>
      <c r="M120" s="702"/>
      <c r="N120" s="702"/>
      <c r="O120" s="702">
        <f t="shared" si="10"/>
        <v>45777</v>
      </c>
      <c r="P120" s="702"/>
      <c r="Q120" s="702"/>
      <c r="R120" s="690" cm="1">
        <f t="array" ref="R120">INDEX(verificare!$AT$4:$CC$33,VLOOKUP($AA$16,verificare!$AR$4:$AS$33,2,FALSE),A120)</f>
        <v>0</v>
      </c>
      <c r="S120" s="690"/>
      <c r="T120" s="690"/>
      <c r="U120" s="690"/>
      <c r="V120" s="658" t="s">
        <v>446</v>
      </c>
      <c r="W120" s="658"/>
      <c r="X120" s="659">
        <f>HLOOKUP(VLOOKUP($AA$16,'Date SPV'!$B:$F,5,FALSE),'Preturi si tarife'!$C$2:$J$39,A120+2,FALSE)</f>
        <v>0.11483</v>
      </c>
      <c r="Y120" s="659"/>
      <c r="Z120" s="659"/>
      <c r="AA120" s="659"/>
      <c r="AB120" s="653">
        <f t="shared" si="4"/>
        <v>0</v>
      </c>
      <c r="AC120" s="653"/>
      <c r="AD120" s="653"/>
      <c r="AE120" s="653"/>
      <c r="AF120" s="653">
        <f t="shared" si="5"/>
        <v>0</v>
      </c>
      <c r="AG120" s="653"/>
      <c r="AH120" s="653"/>
      <c r="AI120" s="653"/>
      <c r="AJ120" s="653">
        <f t="shared" si="6"/>
        <v>0</v>
      </c>
      <c r="AK120" s="653"/>
      <c r="AL120" s="653"/>
      <c r="AM120" s="653"/>
    </row>
    <row r="121" spans="1:39" ht="18.95" customHeight="1">
      <c r="A121" s="65">
        <f t="shared" si="7"/>
        <v>23</v>
      </c>
      <c r="B121" s="699" t="s">
        <v>758</v>
      </c>
      <c r="C121" s="700"/>
      <c r="D121" s="700"/>
      <c r="E121" s="700"/>
      <c r="F121" s="700"/>
      <c r="G121" s="700"/>
      <c r="H121" s="700"/>
      <c r="I121" s="700"/>
      <c r="J121" s="700"/>
      <c r="K121" s="701"/>
      <c r="L121" s="702">
        <f t="shared" si="11"/>
        <v>45748</v>
      </c>
      <c r="M121" s="702"/>
      <c r="N121" s="702"/>
      <c r="O121" s="702">
        <f t="shared" si="10"/>
        <v>45777</v>
      </c>
      <c r="P121" s="702"/>
      <c r="Q121" s="702"/>
      <c r="R121" s="690" cm="1">
        <f t="array" ref="R121">INDEX(verificare!$AT$4:$CC$33,VLOOKUP($AA$16,verificare!$AR$4:$AS$33,2,FALSE),A121)</f>
        <v>0</v>
      </c>
      <c r="S121" s="690"/>
      <c r="T121" s="690"/>
      <c r="U121" s="690"/>
      <c r="V121" s="658" t="s">
        <v>446</v>
      </c>
      <c r="W121" s="658"/>
      <c r="X121" s="659">
        <f>HLOOKUP(VLOOKUP($AA$16,'Date SPV'!$B:$F,5,FALSE),'Preturi si tarife'!$C$2:$J$39,A121+2,FALSE)</f>
        <v>0.2361</v>
      </c>
      <c r="Y121" s="659"/>
      <c r="Z121" s="659"/>
      <c r="AA121" s="659"/>
      <c r="AB121" s="653">
        <f t="shared" si="4"/>
        <v>0</v>
      </c>
      <c r="AC121" s="653"/>
      <c r="AD121" s="653"/>
      <c r="AE121" s="653"/>
      <c r="AF121" s="653">
        <f t="shared" si="5"/>
        <v>0</v>
      </c>
      <c r="AG121" s="653"/>
      <c r="AH121" s="653"/>
      <c r="AI121" s="653"/>
      <c r="AJ121" s="653">
        <f t="shared" si="6"/>
        <v>0</v>
      </c>
      <c r="AK121" s="653"/>
      <c r="AL121" s="653"/>
      <c r="AM121" s="653"/>
    </row>
    <row r="122" spans="1:39" ht="18.95" customHeight="1">
      <c r="A122" s="65">
        <f t="shared" si="7"/>
        <v>24</v>
      </c>
      <c r="B122" s="699" t="s">
        <v>102</v>
      </c>
      <c r="C122" s="700"/>
      <c r="D122" s="700"/>
      <c r="E122" s="700"/>
      <c r="F122" s="700"/>
      <c r="G122" s="700"/>
      <c r="H122" s="700"/>
      <c r="I122" s="700"/>
      <c r="J122" s="700"/>
      <c r="K122" s="701"/>
      <c r="L122" s="702">
        <f t="shared" si="11"/>
        <v>45748</v>
      </c>
      <c r="M122" s="702"/>
      <c r="N122" s="702"/>
      <c r="O122" s="702">
        <f t="shared" si="10"/>
        <v>45777</v>
      </c>
      <c r="P122" s="702"/>
      <c r="Q122" s="702"/>
      <c r="R122" s="690" cm="1">
        <f t="array" ref="R122">INDEX(verificare!$AT$4:$CC$33,VLOOKUP($AA$16,verificare!$AR$4:$AS$33,2,FALSE),A122)</f>
        <v>0</v>
      </c>
      <c r="S122" s="690"/>
      <c r="T122" s="690"/>
      <c r="U122" s="690"/>
      <c r="V122" s="658" t="s">
        <v>446</v>
      </c>
      <c r="W122" s="658"/>
      <c r="X122" s="659">
        <f>HLOOKUP(VLOOKUP($AA$16,'Date SPV'!$B:$F,5,FALSE),'Preturi si tarife'!$C$2:$J$39,A122+2,FALSE)</f>
        <v>1.1509999999999999E-2</v>
      </c>
      <c r="Y122" s="659"/>
      <c r="Z122" s="659"/>
      <c r="AA122" s="659"/>
      <c r="AB122" s="653">
        <f t="shared" si="4"/>
        <v>0</v>
      </c>
      <c r="AC122" s="653"/>
      <c r="AD122" s="653"/>
      <c r="AE122" s="653"/>
      <c r="AF122" s="653">
        <f t="shared" si="5"/>
        <v>0</v>
      </c>
      <c r="AG122" s="653"/>
      <c r="AH122" s="653"/>
      <c r="AI122" s="653"/>
      <c r="AJ122" s="653">
        <f t="shared" si="6"/>
        <v>0</v>
      </c>
      <c r="AK122" s="653"/>
      <c r="AL122" s="653"/>
      <c r="AM122" s="653"/>
    </row>
    <row r="123" spans="1:39" ht="18.95" customHeight="1">
      <c r="A123" s="65">
        <f t="shared" si="7"/>
        <v>25</v>
      </c>
      <c r="B123" s="699" t="s">
        <v>103</v>
      </c>
      <c r="C123" s="700"/>
      <c r="D123" s="700"/>
      <c r="E123" s="700"/>
      <c r="F123" s="700"/>
      <c r="G123" s="700"/>
      <c r="H123" s="700"/>
      <c r="I123" s="700"/>
      <c r="J123" s="700"/>
      <c r="K123" s="701"/>
      <c r="L123" s="702">
        <f t="shared" si="11"/>
        <v>45748</v>
      </c>
      <c r="M123" s="702"/>
      <c r="N123" s="702"/>
      <c r="O123" s="702">
        <f t="shared" si="10"/>
        <v>45777</v>
      </c>
      <c r="P123" s="702"/>
      <c r="Q123" s="702"/>
      <c r="R123" s="690" cm="1">
        <f t="array" ref="R123">INDEX(verificare!$AT$4:$CC$33,VLOOKUP($AA$16,verificare!$AR$4:$AS$33,2,FALSE),A123)</f>
        <v>0</v>
      </c>
      <c r="S123" s="690"/>
      <c r="T123" s="690"/>
      <c r="U123" s="690"/>
      <c r="V123" s="658" t="s">
        <v>446</v>
      </c>
      <c r="W123" s="658"/>
      <c r="X123" s="659">
        <f>HLOOKUP(VLOOKUP($AA$16,'Date SPV'!$B:$F,5,FALSE),'Preturi si tarife'!$C$2:$J$39,A123+2,FALSE)</f>
        <v>3.3030000000000004E-2</v>
      </c>
      <c r="Y123" s="659"/>
      <c r="Z123" s="659"/>
      <c r="AA123" s="659"/>
      <c r="AB123" s="653">
        <f t="shared" si="4"/>
        <v>0</v>
      </c>
      <c r="AC123" s="653"/>
      <c r="AD123" s="653"/>
      <c r="AE123" s="653"/>
      <c r="AF123" s="653">
        <f t="shared" si="5"/>
        <v>0</v>
      </c>
      <c r="AG123" s="653"/>
      <c r="AH123" s="653"/>
      <c r="AI123" s="653"/>
      <c r="AJ123" s="653">
        <f t="shared" si="6"/>
        <v>0</v>
      </c>
      <c r="AK123" s="653"/>
      <c r="AL123" s="653"/>
      <c r="AM123" s="653"/>
    </row>
    <row r="124" spans="1:39" ht="18.95" customHeight="1">
      <c r="A124" s="65">
        <f t="shared" si="7"/>
        <v>26</v>
      </c>
      <c r="B124" s="699" t="s">
        <v>104</v>
      </c>
      <c r="C124" s="700"/>
      <c r="D124" s="700"/>
      <c r="E124" s="700"/>
      <c r="F124" s="700"/>
      <c r="G124" s="700"/>
      <c r="H124" s="700"/>
      <c r="I124" s="700"/>
      <c r="J124" s="700"/>
      <c r="K124" s="701"/>
      <c r="L124" s="702">
        <f t="shared" si="11"/>
        <v>45748</v>
      </c>
      <c r="M124" s="702"/>
      <c r="N124" s="702"/>
      <c r="O124" s="702">
        <f t="shared" si="10"/>
        <v>45777</v>
      </c>
      <c r="P124" s="702"/>
      <c r="Q124" s="702"/>
      <c r="R124" s="690" cm="1">
        <f t="array" ref="R124">INDEX(verificare!$AT$4:$CC$33,VLOOKUP($AA$16,verificare!$AR$4:$AS$33,2,FALSE),A124)</f>
        <v>0</v>
      </c>
      <c r="S124" s="690"/>
      <c r="T124" s="690"/>
      <c r="U124" s="690"/>
      <c r="V124" s="658" t="s">
        <v>446</v>
      </c>
      <c r="W124" s="658"/>
      <c r="X124" s="659">
        <f>HLOOKUP(VLOOKUP($AA$16,'Date SPV'!$B:$F,5,FALSE),'Preturi si tarife'!$C$2:$J$39,A124+2,FALSE)</f>
        <v>3.29E-3</v>
      </c>
      <c r="Y124" s="659"/>
      <c r="Z124" s="659"/>
      <c r="AA124" s="659"/>
      <c r="AB124" s="653">
        <f t="shared" si="4"/>
        <v>0</v>
      </c>
      <c r="AC124" s="653"/>
      <c r="AD124" s="653"/>
      <c r="AE124" s="653"/>
      <c r="AF124" s="653">
        <f t="shared" si="5"/>
        <v>0</v>
      </c>
      <c r="AG124" s="653"/>
      <c r="AH124" s="653"/>
      <c r="AI124" s="653"/>
      <c r="AJ124" s="653">
        <f t="shared" si="6"/>
        <v>0</v>
      </c>
      <c r="AK124" s="653"/>
      <c r="AL124" s="653"/>
      <c r="AM124" s="653"/>
    </row>
    <row r="125" spans="1:39" ht="17.45" customHeight="1">
      <c r="A125" s="65">
        <f t="shared" si="7"/>
        <v>27</v>
      </c>
      <c r="B125" s="699" t="s">
        <v>105</v>
      </c>
      <c r="C125" s="700"/>
      <c r="D125" s="700"/>
      <c r="E125" s="700"/>
      <c r="F125" s="700"/>
      <c r="G125" s="700"/>
      <c r="H125" s="700"/>
      <c r="I125" s="700"/>
      <c r="J125" s="700"/>
      <c r="K125" s="701"/>
      <c r="L125" s="702">
        <f t="shared" si="11"/>
        <v>45748</v>
      </c>
      <c r="M125" s="702"/>
      <c r="N125" s="702"/>
      <c r="O125" s="702">
        <f t="shared" si="10"/>
        <v>45777</v>
      </c>
      <c r="P125" s="702"/>
      <c r="Q125" s="702"/>
      <c r="R125" s="690" cm="1">
        <f t="array" ref="R125">INDEX(verificare!$AT$4:$CC$33,VLOOKUP($AA$16,verificare!$AR$4:$AS$33,2,FALSE),A125)</f>
        <v>0</v>
      </c>
      <c r="S125" s="690"/>
      <c r="T125" s="690"/>
      <c r="U125" s="690"/>
      <c r="V125" s="658" t="s">
        <v>446</v>
      </c>
      <c r="W125" s="658"/>
      <c r="X125" s="659">
        <f>HLOOKUP(VLOOKUP($AA$16,'Date SPV'!$B:$F,5,FALSE),'Preturi si tarife'!$C$2:$J$39,A125+2,FALSE)</f>
        <v>3.5000000000000001E-3</v>
      </c>
      <c r="Y125" s="659"/>
      <c r="Z125" s="659"/>
      <c r="AA125" s="659"/>
      <c r="AB125" s="653">
        <f t="shared" si="4"/>
        <v>0</v>
      </c>
      <c r="AC125" s="653"/>
      <c r="AD125" s="653"/>
      <c r="AE125" s="653"/>
      <c r="AF125" s="653">
        <f t="shared" si="5"/>
        <v>0</v>
      </c>
      <c r="AG125" s="653"/>
      <c r="AH125" s="653"/>
      <c r="AI125" s="653"/>
      <c r="AJ125" s="653">
        <f t="shared" si="6"/>
        <v>0</v>
      </c>
      <c r="AK125" s="653"/>
      <c r="AL125" s="653"/>
      <c r="AM125" s="653"/>
    </row>
    <row r="126" spans="1:39" ht="17.45" customHeight="1">
      <c r="A126" s="65">
        <f t="shared" si="7"/>
        <v>28</v>
      </c>
      <c r="B126" s="699" t="s">
        <v>106</v>
      </c>
      <c r="C126" s="700"/>
      <c r="D126" s="700"/>
      <c r="E126" s="700"/>
      <c r="F126" s="700"/>
      <c r="G126" s="700"/>
      <c r="H126" s="700"/>
      <c r="I126" s="700"/>
      <c r="J126" s="700"/>
      <c r="K126" s="701"/>
      <c r="L126" s="702">
        <f t="shared" si="11"/>
        <v>45748</v>
      </c>
      <c r="M126" s="702"/>
      <c r="N126" s="702"/>
      <c r="O126" s="702">
        <f t="shared" si="10"/>
        <v>45777</v>
      </c>
      <c r="P126" s="702"/>
      <c r="Q126" s="702"/>
      <c r="R126" s="690" cm="1">
        <f t="array" ref="R126">INDEX(verificare!$AT$4:$CC$33,VLOOKUP($AA$16,verificare!$AR$4:$AS$33,2,FALSE),A126)</f>
        <v>0</v>
      </c>
      <c r="S126" s="690"/>
      <c r="T126" s="690"/>
      <c r="U126" s="690"/>
      <c r="V126" s="658" t="s">
        <v>446</v>
      </c>
      <c r="W126" s="658"/>
      <c r="X126" s="659">
        <f>HLOOKUP(VLOOKUP($AA$16,'Date SPV'!$B:$F,5,FALSE),'Preturi si tarife'!$C$2:$J$39,A126+2,FALSE)</f>
        <v>7.2541599999999998E-2</v>
      </c>
      <c r="Y126" s="659"/>
      <c r="Z126" s="659"/>
      <c r="AA126" s="659"/>
      <c r="AB126" s="653">
        <f t="shared" si="4"/>
        <v>0</v>
      </c>
      <c r="AC126" s="653"/>
      <c r="AD126" s="653"/>
      <c r="AE126" s="653"/>
      <c r="AF126" s="653">
        <f t="shared" si="5"/>
        <v>0</v>
      </c>
      <c r="AG126" s="653"/>
      <c r="AH126" s="653"/>
      <c r="AI126" s="653"/>
      <c r="AJ126" s="653">
        <f t="shared" si="6"/>
        <v>0</v>
      </c>
      <c r="AK126" s="653"/>
      <c r="AL126" s="653"/>
      <c r="AM126" s="653"/>
    </row>
    <row r="127" spans="1:39" ht="30.95" customHeight="1">
      <c r="A127" s="65">
        <f t="shared" si="7"/>
        <v>29</v>
      </c>
      <c r="B127" s="699" t="s">
        <v>1316</v>
      </c>
      <c r="C127" s="700"/>
      <c r="D127" s="700"/>
      <c r="E127" s="700"/>
      <c r="F127" s="700"/>
      <c r="G127" s="700"/>
      <c r="H127" s="700"/>
      <c r="I127" s="700"/>
      <c r="J127" s="700"/>
      <c r="K127" s="701"/>
      <c r="L127" s="763">
        <f>L132</f>
        <v>45748</v>
      </c>
      <c r="M127" s="764"/>
      <c r="N127" s="765"/>
      <c r="O127" s="763">
        <f>O132</f>
        <v>45777</v>
      </c>
      <c r="P127" s="764"/>
      <c r="Q127" s="765"/>
      <c r="R127" s="690" cm="1">
        <f t="array" ref="R127">INDEX(verificare!$AT$4:$CC$33,VLOOKUP($AA$16,verificare!$AR$4:$AS$33,2,FALSE),A127)</f>
        <v>0</v>
      </c>
      <c r="S127" s="690"/>
      <c r="T127" s="690"/>
      <c r="U127" s="690"/>
      <c r="V127" s="724" t="s">
        <v>446</v>
      </c>
      <c r="W127" s="725"/>
      <c r="X127" s="659">
        <f>HLOOKUP(VLOOKUP($AA$16,'Date SPV'!$B:$F,5,FALSE),'Preturi si tarife'!$C$2:$J$39,A127+2,FALSE)</f>
        <v>2.0599999999999999E-4</v>
      </c>
      <c r="Y127" s="659"/>
      <c r="Z127" s="659"/>
      <c r="AA127" s="659"/>
      <c r="AB127" s="653">
        <f>ROUND(X127*R127,2)</f>
        <v>0</v>
      </c>
      <c r="AC127" s="653"/>
      <c r="AD127" s="653"/>
      <c r="AE127" s="653"/>
      <c r="AF127" s="653">
        <f>ROUND(AB127*19%,2)</f>
        <v>0</v>
      </c>
      <c r="AG127" s="653"/>
      <c r="AH127" s="653"/>
      <c r="AI127" s="653"/>
      <c r="AJ127" s="653">
        <f>AB127+AF127</f>
        <v>0</v>
      </c>
      <c r="AK127" s="653"/>
      <c r="AL127" s="653"/>
      <c r="AM127" s="653"/>
    </row>
    <row r="128" spans="1:39">
      <c r="A128" s="65">
        <f t="shared" si="7"/>
        <v>30</v>
      </c>
      <c r="B128" s="699" t="s">
        <v>107</v>
      </c>
      <c r="C128" s="700"/>
      <c r="D128" s="700"/>
      <c r="E128" s="700"/>
      <c r="F128" s="700"/>
      <c r="G128" s="700"/>
      <c r="H128" s="700"/>
      <c r="I128" s="700"/>
      <c r="J128" s="700"/>
      <c r="K128" s="701"/>
      <c r="L128" s="702">
        <f>L126</f>
        <v>45748</v>
      </c>
      <c r="M128" s="702"/>
      <c r="N128" s="702"/>
      <c r="O128" s="702">
        <f>O126</f>
        <v>45777</v>
      </c>
      <c r="P128" s="702"/>
      <c r="Q128" s="702"/>
      <c r="R128" s="690" cm="1">
        <f t="array" ref="R128">INDEX(verificare!$AT$4:$CC$33,VLOOKUP($AA$16,verificare!$AR$4:$AS$33,2,FALSE),A128)</f>
        <v>0</v>
      </c>
      <c r="S128" s="690"/>
      <c r="T128" s="690"/>
      <c r="U128" s="690"/>
      <c r="V128" s="658" t="s">
        <v>446</v>
      </c>
      <c r="W128" s="658"/>
      <c r="X128" s="659">
        <f>HLOOKUP(VLOOKUP($AA$16,'Date SPV'!$B:$F,5,FALSE),'Preturi si tarife'!$C$2:$J$39,A128+2,FALSE)</f>
        <v>0</v>
      </c>
      <c r="Y128" s="659"/>
      <c r="Z128" s="659"/>
      <c r="AA128" s="659"/>
      <c r="AB128" s="653">
        <f t="shared" si="4"/>
        <v>0</v>
      </c>
      <c r="AC128" s="653"/>
      <c r="AD128" s="653"/>
      <c r="AE128" s="653"/>
      <c r="AF128" s="653">
        <f t="shared" si="5"/>
        <v>0</v>
      </c>
      <c r="AG128" s="653"/>
      <c r="AH128" s="653"/>
      <c r="AI128" s="653"/>
      <c r="AJ128" s="653">
        <f t="shared" si="6"/>
        <v>0</v>
      </c>
      <c r="AK128" s="653"/>
      <c r="AL128" s="653"/>
      <c r="AM128" s="653"/>
    </row>
    <row r="129" spans="1:39">
      <c r="A129" s="65">
        <f t="shared" si="7"/>
        <v>31</v>
      </c>
      <c r="B129" s="699" t="s">
        <v>108</v>
      </c>
      <c r="C129" s="700"/>
      <c r="D129" s="700"/>
      <c r="E129" s="700"/>
      <c r="F129" s="700"/>
      <c r="G129" s="700"/>
      <c r="H129" s="700"/>
      <c r="I129" s="700"/>
      <c r="J129" s="700"/>
      <c r="K129" s="701"/>
      <c r="L129" s="702">
        <f t="shared" si="11"/>
        <v>45748</v>
      </c>
      <c r="M129" s="702"/>
      <c r="N129" s="702"/>
      <c r="O129" s="702">
        <f t="shared" si="10"/>
        <v>45777</v>
      </c>
      <c r="P129" s="702"/>
      <c r="Q129" s="702"/>
      <c r="R129" s="690" cm="1">
        <f t="array" ref="R129">INDEX(verificare!$AT$4:$CC$33,VLOOKUP($AA$16,verificare!$AR$4:$AS$33,2,FALSE),A129)</f>
        <v>0</v>
      </c>
      <c r="S129" s="690"/>
      <c r="T129" s="690"/>
      <c r="U129" s="690"/>
      <c r="V129" s="658" t="s">
        <v>446</v>
      </c>
      <c r="W129" s="658"/>
      <c r="X129" s="659">
        <f>HLOOKUP(VLOOKUP($AA$16,'Date SPV'!$B:$F,5,FALSE),'Preturi si tarife'!$C$2:$J$39,A129+2,FALSE)</f>
        <v>1.26E-2</v>
      </c>
      <c r="Y129" s="659"/>
      <c r="Z129" s="659"/>
      <c r="AA129" s="659"/>
      <c r="AB129" s="653">
        <f t="shared" si="4"/>
        <v>0</v>
      </c>
      <c r="AC129" s="653"/>
      <c r="AD129" s="653"/>
      <c r="AE129" s="653"/>
      <c r="AF129" s="653">
        <f t="shared" si="5"/>
        <v>0</v>
      </c>
      <c r="AG129" s="653"/>
      <c r="AH129" s="653"/>
      <c r="AI129" s="653"/>
      <c r="AJ129" s="653">
        <f t="shared" si="6"/>
        <v>0</v>
      </c>
      <c r="AK129" s="653"/>
      <c r="AL129" s="653"/>
      <c r="AM129" s="653"/>
    </row>
    <row r="130" spans="1:39">
      <c r="A130" s="65">
        <f t="shared" si="7"/>
        <v>32</v>
      </c>
      <c r="B130" s="699" t="s">
        <v>109</v>
      </c>
      <c r="C130" s="700"/>
      <c r="D130" s="700"/>
      <c r="E130" s="700"/>
      <c r="F130" s="700"/>
      <c r="G130" s="700"/>
      <c r="H130" s="700"/>
      <c r="I130" s="700"/>
      <c r="J130" s="700"/>
      <c r="K130" s="701"/>
      <c r="L130" s="702">
        <f t="shared" si="11"/>
        <v>45748</v>
      </c>
      <c r="M130" s="702"/>
      <c r="N130" s="702"/>
      <c r="O130" s="702">
        <f t="shared" si="10"/>
        <v>45777</v>
      </c>
      <c r="P130" s="702"/>
      <c r="Q130" s="702"/>
      <c r="R130" s="690" cm="1">
        <f t="array" ref="R130">INDEX(verificare!$AT$4:$CC$33,VLOOKUP($AA$16,verificare!$AR$4:$AS$33,2,FALSE),A130)</f>
        <v>0</v>
      </c>
      <c r="S130" s="690"/>
      <c r="T130" s="690"/>
      <c r="U130" s="690"/>
      <c r="V130" s="658" t="s">
        <v>446</v>
      </c>
      <c r="W130" s="658"/>
      <c r="X130" s="659">
        <f>HLOOKUP(VLOOKUP($AA$16,'Date SPV'!$B:$F,5,FALSE),'Preturi si tarife'!$C$2:$J$39,A130+2,FALSE)</f>
        <v>9.2700000000000005E-2</v>
      </c>
      <c r="Y130" s="659"/>
      <c r="Z130" s="659"/>
      <c r="AA130" s="659"/>
      <c r="AB130" s="653">
        <f t="shared" si="4"/>
        <v>0</v>
      </c>
      <c r="AC130" s="653"/>
      <c r="AD130" s="653"/>
      <c r="AE130" s="653"/>
      <c r="AF130" s="653">
        <f t="shared" si="5"/>
        <v>0</v>
      </c>
      <c r="AG130" s="653"/>
      <c r="AH130" s="653"/>
      <c r="AI130" s="653"/>
      <c r="AJ130" s="653">
        <f t="shared" si="6"/>
        <v>0</v>
      </c>
      <c r="AK130" s="653"/>
      <c r="AL130" s="653"/>
      <c r="AM130" s="653"/>
    </row>
    <row r="131" spans="1:39">
      <c r="A131" s="65">
        <f t="shared" si="7"/>
        <v>33</v>
      </c>
      <c r="B131" s="699" t="s">
        <v>110</v>
      </c>
      <c r="C131" s="700"/>
      <c r="D131" s="700"/>
      <c r="E131" s="700"/>
      <c r="F131" s="700"/>
      <c r="G131" s="700"/>
      <c r="H131" s="700"/>
      <c r="I131" s="700"/>
      <c r="J131" s="700"/>
      <c r="K131" s="701"/>
      <c r="L131" s="702">
        <f t="shared" si="11"/>
        <v>45748</v>
      </c>
      <c r="M131" s="702"/>
      <c r="N131" s="702"/>
      <c r="O131" s="702">
        <f t="shared" si="10"/>
        <v>45777</v>
      </c>
      <c r="P131" s="702"/>
      <c r="Q131" s="702"/>
      <c r="R131" s="690" cm="1">
        <f t="array" ref="R131">INDEX(verificare!$AT$4:$CC$33,VLOOKUP($AA$16,verificare!$AR$4:$AS$33,2,FALSE),A131)</f>
        <v>0</v>
      </c>
      <c r="S131" s="690"/>
      <c r="T131" s="690"/>
      <c r="U131" s="690"/>
      <c r="V131" s="658" t="s">
        <v>446</v>
      </c>
      <c r="W131" s="658"/>
      <c r="X131" s="659">
        <f>HLOOKUP(VLOOKUP($AA$16,'Date SPV'!$B:$F,5,FALSE),'Preturi si tarife'!$C$2:$J$39,A131+2,FALSE)</f>
        <v>0.93920760000000003</v>
      </c>
      <c r="Y131" s="659"/>
      <c r="Z131" s="659"/>
      <c r="AA131" s="659"/>
      <c r="AB131" s="653">
        <f t="shared" si="4"/>
        <v>0</v>
      </c>
      <c r="AC131" s="653"/>
      <c r="AD131" s="653"/>
      <c r="AE131" s="653"/>
      <c r="AF131" s="653">
        <f t="shared" si="5"/>
        <v>0</v>
      </c>
      <c r="AG131" s="653"/>
      <c r="AH131" s="653"/>
      <c r="AI131" s="653"/>
      <c r="AJ131" s="653">
        <f t="shared" si="6"/>
        <v>0</v>
      </c>
      <c r="AK131" s="653"/>
      <c r="AL131" s="653"/>
      <c r="AM131" s="653"/>
    </row>
    <row r="132" spans="1:39">
      <c r="A132" s="65">
        <f t="shared" si="7"/>
        <v>34</v>
      </c>
      <c r="B132" s="699" t="s">
        <v>111</v>
      </c>
      <c r="C132" s="700"/>
      <c r="D132" s="700"/>
      <c r="E132" s="700"/>
      <c r="F132" s="700"/>
      <c r="G132" s="700"/>
      <c r="H132" s="700"/>
      <c r="I132" s="700"/>
      <c r="J132" s="700"/>
      <c r="K132" s="701"/>
      <c r="L132" s="702">
        <f t="shared" si="11"/>
        <v>45748</v>
      </c>
      <c r="M132" s="702"/>
      <c r="N132" s="702"/>
      <c r="O132" s="702">
        <f t="shared" si="10"/>
        <v>45777</v>
      </c>
      <c r="P132" s="702"/>
      <c r="Q132" s="702"/>
      <c r="R132" s="690" cm="1">
        <f t="array" ref="R132">INDEX(verificare!$AT$4:$CC$33,VLOOKUP($AA$16,verificare!$AR$4:$AS$33,2,FALSE),A132)</f>
        <v>0</v>
      </c>
      <c r="S132" s="690"/>
      <c r="T132" s="690"/>
      <c r="U132" s="690"/>
      <c r="V132" s="658" t="s">
        <v>446</v>
      </c>
      <c r="W132" s="658"/>
      <c r="X132" s="659">
        <f>HLOOKUP(VLOOKUP($AA$16,'Date SPV'!$B:$F,5,FALSE),'Preturi si tarife'!$C$2:$J$39,A132+2,FALSE)</f>
        <v>0.83390760000000008</v>
      </c>
      <c r="Y132" s="659"/>
      <c r="Z132" s="659"/>
      <c r="AA132" s="659"/>
      <c r="AB132" s="653">
        <f t="shared" si="4"/>
        <v>0</v>
      </c>
      <c r="AC132" s="653"/>
      <c r="AD132" s="653"/>
      <c r="AE132" s="653"/>
      <c r="AF132" s="653">
        <f t="shared" si="5"/>
        <v>0</v>
      </c>
      <c r="AG132" s="653"/>
      <c r="AH132" s="653"/>
      <c r="AI132" s="653"/>
      <c r="AJ132" s="653">
        <f t="shared" si="6"/>
        <v>0</v>
      </c>
      <c r="AK132" s="653"/>
      <c r="AL132" s="653"/>
      <c r="AM132" s="653"/>
    </row>
    <row r="133" spans="1:39">
      <c r="A133" s="65">
        <f t="shared" si="7"/>
        <v>35</v>
      </c>
      <c r="B133" s="699" t="s">
        <v>112</v>
      </c>
      <c r="C133" s="700"/>
      <c r="D133" s="700"/>
      <c r="E133" s="700"/>
      <c r="F133" s="700"/>
      <c r="G133" s="700"/>
      <c r="H133" s="700"/>
      <c r="I133" s="700"/>
      <c r="J133" s="700"/>
      <c r="K133" s="701"/>
      <c r="L133" s="702">
        <f t="shared" si="11"/>
        <v>45748</v>
      </c>
      <c r="M133" s="702"/>
      <c r="N133" s="702"/>
      <c r="O133" s="702">
        <f t="shared" si="10"/>
        <v>45777</v>
      </c>
      <c r="P133" s="702"/>
      <c r="Q133" s="702"/>
      <c r="R133" s="690" cm="1">
        <f t="array" ref="R133">INDEX(verificare!$AT$4:$CC$33,VLOOKUP($AA$16,verificare!$AR$4:$AS$33,2,FALSE),A133)</f>
        <v>0</v>
      </c>
      <c r="S133" s="690"/>
      <c r="T133" s="690"/>
      <c r="U133" s="690"/>
      <c r="V133" s="658" t="s">
        <v>446</v>
      </c>
      <c r="W133" s="658"/>
      <c r="X133" s="659">
        <f>HLOOKUP(VLOOKUP($AA$16,'Date SPV'!$B:$F,5,FALSE),'Preturi si tarife'!$C$2:$J$39,A133+2,FALSE)</f>
        <v>1.26E-2</v>
      </c>
      <c r="Y133" s="659"/>
      <c r="Z133" s="659"/>
      <c r="AA133" s="659"/>
      <c r="AB133" s="653">
        <f t="shared" si="4"/>
        <v>0</v>
      </c>
      <c r="AC133" s="653"/>
      <c r="AD133" s="653"/>
      <c r="AE133" s="653"/>
      <c r="AF133" s="653">
        <f t="shared" si="5"/>
        <v>0</v>
      </c>
      <c r="AG133" s="653"/>
      <c r="AH133" s="653"/>
      <c r="AI133" s="653"/>
      <c r="AJ133" s="653">
        <f t="shared" si="6"/>
        <v>0</v>
      </c>
      <c r="AK133" s="653"/>
      <c r="AL133" s="653"/>
      <c r="AM133" s="653"/>
    </row>
    <row r="134" spans="1:39">
      <c r="A134" s="65">
        <f t="shared" si="7"/>
        <v>36</v>
      </c>
      <c r="B134" s="699" t="s">
        <v>113</v>
      </c>
      <c r="C134" s="700"/>
      <c r="D134" s="700"/>
      <c r="E134" s="700"/>
      <c r="F134" s="700"/>
      <c r="G134" s="700"/>
      <c r="H134" s="700"/>
      <c r="I134" s="700"/>
      <c r="J134" s="700"/>
      <c r="K134" s="701"/>
      <c r="L134" s="702">
        <f t="shared" si="11"/>
        <v>45748</v>
      </c>
      <c r="M134" s="702"/>
      <c r="N134" s="702"/>
      <c r="O134" s="702">
        <f t="shared" si="10"/>
        <v>45777</v>
      </c>
      <c r="P134" s="702"/>
      <c r="Q134" s="702"/>
      <c r="R134" s="690" cm="1">
        <f t="array" ref="R134">INDEX(verificare!$AT$4:$CC$33,VLOOKUP($AA$16,verificare!$AR$4:$AS$33,2,FALSE),A134)</f>
        <v>0</v>
      </c>
      <c r="S134" s="690"/>
      <c r="T134" s="690"/>
      <c r="U134" s="690"/>
      <c r="V134" s="658" t="s">
        <v>446</v>
      </c>
      <c r="W134" s="658"/>
      <c r="X134" s="659">
        <f>HLOOKUP(VLOOKUP($AA$16,'Date SPV'!$B:$F,5,FALSE),'Preturi si tarife'!$C$2:$J$39,A134+2,FALSE)</f>
        <v>9.2700000000000005E-2</v>
      </c>
      <c r="Y134" s="659"/>
      <c r="Z134" s="659"/>
      <c r="AA134" s="659"/>
      <c r="AB134" s="653">
        <f t="shared" si="4"/>
        <v>0</v>
      </c>
      <c r="AC134" s="653"/>
      <c r="AD134" s="653"/>
      <c r="AE134" s="653"/>
      <c r="AF134" s="653">
        <f t="shared" si="5"/>
        <v>0</v>
      </c>
      <c r="AG134" s="653"/>
      <c r="AH134" s="653"/>
      <c r="AI134" s="653"/>
      <c r="AJ134" s="653">
        <f t="shared" si="6"/>
        <v>0</v>
      </c>
      <c r="AK134" s="653"/>
      <c r="AL134" s="653"/>
      <c r="AM134" s="653"/>
    </row>
    <row r="135" spans="1:39">
      <c r="A135" s="65">
        <f t="shared" si="7"/>
        <v>37</v>
      </c>
      <c r="B135" s="699" t="s">
        <v>728</v>
      </c>
      <c r="C135" s="700"/>
      <c r="D135" s="700"/>
      <c r="E135" s="700"/>
      <c r="F135" s="700"/>
      <c r="G135" s="700"/>
      <c r="H135" s="700"/>
      <c r="I135" s="700"/>
      <c r="J135" s="700"/>
      <c r="K135" s="701"/>
      <c r="L135" s="702" t="s">
        <v>69</v>
      </c>
      <c r="M135" s="702"/>
      <c r="N135" s="702"/>
      <c r="O135" s="702" t="s">
        <v>69</v>
      </c>
      <c r="P135" s="702"/>
      <c r="Q135" s="702"/>
      <c r="R135" s="690">
        <v>0</v>
      </c>
      <c r="S135" s="690"/>
      <c r="T135" s="690"/>
      <c r="U135" s="690"/>
      <c r="V135" s="658" t="s">
        <v>69</v>
      </c>
      <c r="W135" s="658"/>
      <c r="X135" s="659" t="s">
        <v>69</v>
      </c>
      <c r="Y135" s="659"/>
      <c r="Z135" s="659"/>
      <c r="AA135" s="659"/>
      <c r="AB135" s="653">
        <v>0</v>
      </c>
      <c r="AC135" s="653"/>
      <c r="AD135" s="653"/>
      <c r="AE135" s="653"/>
      <c r="AF135" s="653">
        <f t="shared" si="5"/>
        <v>0</v>
      </c>
      <c r="AG135" s="653"/>
      <c r="AH135" s="653"/>
      <c r="AI135" s="653"/>
      <c r="AJ135" s="653">
        <f t="shared" si="6"/>
        <v>0</v>
      </c>
      <c r="AK135" s="653"/>
      <c r="AL135" s="653"/>
      <c r="AM135" s="653"/>
    </row>
    <row r="136" spans="1:39">
      <c r="A136" s="65">
        <f>A135+1</f>
        <v>38</v>
      </c>
      <c r="B136" s="699" t="s">
        <v>729</v>
      </c>
      <c r="C136" s="700"/>
      <c r="D136" s="700"/>
      <c r="E136" s="700"/>
      <c r="F136" s="700"/>
      <c r="G136" s="700"/>
      <c r="H136" s="700"/>
      <c r="I136" s="700"/>
      <c r="J136" s="700"/>
      <c r="K136" s="701"/>
      <c r="L136" s="702" t="s">
        <v>69</v>
      </c>
      <c r="M136" s="702"/>
      <c r="N136" s="702"/>
      <c r="O136" s="702" t="s">
        <v>69</v>
      </c>
      <c r="P136" s="702"/>
      <c r="Q136" s="702"/>
      <c r="R136" s="690">
        <v>0</v>
      </c>
      <c r="S136" s="690"/>
      <c r="T136" s="690"/>
      <c r="U136" s="690"/>
      <c r="V136" s="658" t="s">
        <v>69</v>
      </c>
      <c r="W136" s="658"/>
      <c r="X136" s="659" t="s">
        <v>69</v>
      </c>
      <c r="Y136" s="659"/>
      <c r="Z136" s="659"/>
      <c r="AA136" s="659"/>
      <c r="AB136" s="726">
        <f>SUM(AB99:AE135)</f>
        <v>37969.249999999993</v>
      </c>
      <c r="AC136" s="726"/>
      <c r="AD136" s="726"/>
      <c r="AE136" s="726"/>
      <c r="AF136" s="726">
        <f>SUM(AF99:AI135)</f>
        <v>7214.16</v>
      </c>
      <c r="AG136" s="726"/>
      <c r="AH136" s="726"/>
      <c r="AI136" s="726"/>
      <c r="AJ136" s="726">
        <f>SUM(AJ99:AM135)</f>
        <v>45183.409999999996</v>
      </c>
      <c r="AK136" s="726"/>
      <c r="AL136" s="726"/>
      <c r="AM136" s="726"/>
    </row>
  </sheetData>
  <mergeCells count="665">
    <mergeCell ref="B127:K127"/>
    <mergeCell ref="L127:N127"/>
    <mergeCell ref="O127:Q127"/>
    <mergeCell ref="R127:U127"/>
    <mergeCell ref="V127:W127"/>
    <mergeCell ref="X127:AA127"/>
    <mergeCell ref="AB127:AE127"/>
    <mergeCell ref="AF127:AI127"/>
    <mergeCell ref="AJ127:AM127"/>
    <mergeCell ref="B109:K109"/>
    <mergeCell ref="L109:N109"/>
    <mergeCell ref="O109:Q109"/>
    <mergeCell ref="R109:U109"/>
    <mergeCell ref="V109:W109"/>
    <mergeCell ref="X109:AA109"/>
    <mergeCell ref="AB109:AE109"/>
    <mergeCell ref="AF109:AI109"/>
    <mergeCell ref="AJ109:AM109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I55:AJ57"/>
    <mergeCell ref="AK55:AM57"/>
    <mergeCell ref="J56:L56"/>
    <mergeCell ref="J57:L57"/>
    <mergeCell ref="A52:F54"/>
    <mergeCell ref="G52:I54"/>
    <mergeCell ref="J52:L52"/>
    <mergeCell ref="M52:N54"/>
    <mergeCell ref="O52:Q54"/>
    <mergeCell ref="R52:T54"/>
    <mergeCell ref="R46:T48"/>
    <mergeCell ref="U52:W54"/>
    <mergeCell ref="X52:Z54"/>
    <mergeCell ref="AA52:AC54"/>
    <mergeCell ref="AD46:AE48"/>
    <mergeCell ref="AF46:AH48"/>
    <mergeCell ref="AI46:AJ48"/>
    <mergeCell ref="U46:W48"/>
    <mergeCell ref="X46:Z48"/>
    <mergeCell ref="AA46:AC48"/>
    <mergeCell ref="AD52:AE54"/>
    <mergeCell ref="AF52:AH54"/>
    <mergeCell ref="AI52:AJ54"/>
    <mergeCell ref="AA40:AC42"/>
    <mergeCell ref="AK46:AM48"/>
    <mergeCell ref="J47:L47"/>
    <mergeCell ref="J48:L48"/>
    <mergeCell ref="A49:F51"/>
    <mergeCell ref="G49:I51"/>
    <mergeCell ref="J49:L49"/>
    <mergeCell ref="M49:N51"/>
    <mergeCell ref="O49:Q51"/>
    <mergeCell ref="R49:T51"/>
    <mergeCell ref="U49:W51"/>
    <mergeCell ref="X49:Z51"/>
    <mergeCell ref="AA49:AC51"/>
    <mergeCell ref="AD49:AE51"/>
    <mergeCell ref="AF49:AH51"/>
    <mergeCell ref="AI49:AJ51"/>
    <mergeCell ref="AK49:AM51"/>
    <mergeCell ref="J50:L50"/>
    <mergeCell ref="J51:L51"/>
    <mergeCell ref="A46:F48"/>
    <mergeCell ref="G46:I48"/>
    <mergeCell ref="J46:L46"/>
    <mergeCell ref="M46:N48"/>
    <mergeCell ref="O46:Q48"/>
    <mergeCell ref="A40:F42"/>
    <mergeCell ref="G40:I42"/>
    <mergeCell ref="J40:L40"/>
    <mergeCell ref="J42:L42"/>
    <mergeCell ref="A43:F45"/>
    <mergeCell ref="G43:I45"/>
    <mergeCell ref="J43:L43"/>
    <mergeCell ref="M43:N45"/>
    <mergeCell ref="O43:Q45"/>
    <mergeCell ref="AK61:AM63"/>
    <mergeCell ref="J62:L62"/>
    <mergeCell ref="J63:L63"/>
    <mergeCell ref="U61:W63"/>
    <mergeCell ref="X61:Z63"/>
    <mergeCell ref="AA61:AC63"/>
    <mergeCell ref="AD61:AE63"/>
    <mergeCell ref="AF61:AH63"/>
    <mergeCell ref="AI61:AJ63"/>
    <mergeCell ref="AD58:AE60"/>
    <mergeCell ref="AF58:AH60"/>
    <mergeCell ref="AI58:AJ60"/>
    <mergeCell ref="AK58:AM60"/>
    <mergeCell ref="J59:L59"/>
    <mergeCell ref="J60:L60"/>
    <mergeCell ref="AD40:AE42"/>
    <mergeCell ref="AF40:AH42"/>
    <mergeCell ref="AI40:AJ42"/>
    <mergeCell ref="AK40:AM42"/>
    <mergeCell ref="J41:L41"/>
    <mergeCell ref="AA43:AC45"/>
    <mergeCell ref="AD43:AE45"/>
    <mergeCell ref="AF43:AH45"/>
    <mergeCell ref="AI43:AJ45"/>
    <mergeCell ref="AK43:AM45"/>
    <mergeCell ref="J44:L44"/>
    <mergeCell ref="J45:L45"/>
    <mergeCell ref="R43:T45"/>
    <mergeCell ref="U43:W45"/>
    <mergeCell ref="X43:Z45"/>
    <mergeCell ref="R40:T42"/>
    <mergeCell ref="U40:W42"/>
    <mergeCell ref="X40:Z42"/>
    <mergeCell ref="A61:F63"/>
    <mergeCell ref="G61:I63"/>
    <mergeCell ref="J61:L61"/>
    <mergeCell ref="M61:N63"/>
    <mergeCell ref="O61:Q63"/>
    <mergeCell ref="R61:T63"/>
    <mergeCell ref="AJ135:AM135"/>
    <mergeCell ref="B136:K136"/>
    <mergeCell ref="L136:N136"/>
    <mergeCell ref="O136:Q136"/>
    <mergeCell ref="R136:U136"/>
    <mergeCell ref="V136:W136"/>
    <mergeCell ref="X136:AA136"/>
    <mergeCell ref="AB136:AE136"/>
    <mergeCell ref="AF136:AI136"/>
    <mergeCell ref="AJ136:AM136"/>
    <mergeCell ref="AF134:AI134"/>
    <mergeCell ref="AJ134:AM134"/>
    <mergeCell ref="B135:K135"/>
    <mergeCell ref="L135:N135"/>
    <mergeCell ref="O135:Q135"/>
    <mergeCell ref="R135:U135"/>
    <mergeCell ref="V135:W135"/>
    <mergeCell ref="X135:AA135"/>
    <mergeCell ref="AB135:AE135"/>
    <mergeCell ref="AF135:AI135"/>
    <mergeCell ref="AB133:AE133"/>
    <mergeCell ref="AF133:AI133"/>
    <mergeCell ref="AJ133:AM133"/>
    <mergeCell ref="B134:K134"/>
    <mergeCell ref="L134:N134"/>
    <mergeCell ref="O134:Q134"/>
    <mergeCell ref="R134:U134"/>
    <mergeCell ref="V134:W134"/>
    <mergeCell ref="X134:AA134"/>
    <mergeCell ref="AB134:AE134"/>
    <mergeCell ref="B133:K133"/>
    <mergeCell ref="L133:N133"/>
    <mergeCell ref="O133:Q133"/>
    <mergeCell ref="R133:U133"/>
    <mergeCell ref="V133:W133"/>
    <mergeCell ref="X133:AA133"/>
    <mergeCell ref="B132:K132"/>
    <mergeCell ref="L132:N132"/>
    <mergeCell ref="O132:Q132"/>
    <mergeCell ref="R132:U132"/>
    <mergeCell ref="V132:W132"/>
    <mergeCell ref="X132:AA132"/>
    <mergeCell ref="AB132:AE132"/>
    <mergeCell ref="AF132:AI132"/>
    <mergeCell ref="AJ132:AM132"/>
    <mergeCell ref="B131:K131"/>
    <mergeCell ref="L131:N131"/>
    <mergeCell ref="O131:Q131"/>
    <mergeCell ref="R131:U131"/>
    <mergeCell ref="V131:W131"/>
    <mergeCell ref="X131:AA131"/>
    <mergeCell ref="AB131:AE131"/>
    <mergeCell ref="AF131:AI131"/>
    <mergeCell ref="AJ131:AM131"/>
    <mergeCell ref="AB129:AE129"/>
    <mergeCell ref="AF129:AI129"/>
    <mergeCell ref="AJ129:AM129"/>
    <mergeCell ref="B130:K130"/>
    <mergeCell ref="L130:N130"/>
    <mergeCell ref="O130:Q130"/>
    <mergeCell ref="R130:U130"/>
    <mergeCell ref="V130:W130"/>
    <mergeCell ref="X130:AA130"/>
    <mergeCell ref="AB130:AE130"/>
    <mergeCell ref="B129:K129"/>
    <mergeCell ref="L129:N129"/>
    <mergeCell ref="O129:Q129"/>
    <mergeCell ref="R129:U129"/>
    <mergeCell ref="V129:W129"/>
    <mergeCell ref="X129:AA129"/>
    <mergeCell ref="AF130:AI130"/>
    <mergeCell ref="AJ130:AM130"/>
    <mergeCell ref="B128:K128"/>
    <mergeCell ref="L128:N128"/>
    <mergeCell ref="O128:Q128"/>
    <mergeCell ref="R128:U128"/>
    <mergeCell ref="V128:W128"/>
    <mergeCell ref="X128:AA128"/>
    <mergeCell ref="AB128:AE128"/>
    <mergeCell ref="AF128:AI128"/>
    <mergeCell ref="AJ128:AM128"/>
    <mergeCell ref="B126:K126"/>
    <mergeCell ref="L126:N126"/>
    <mergeCell ref="O126:Q126"/>
    <mergeCell ref="R126:U126"/>
    <mergeCell ref="V126:W126"/>
    <mergeCell ref="X126:AA126"/>
    <mergeCell ref="AB126:AE126"/>
    <mergeCell ref="AF126:AI126"/>
    <mergeCell ref="AJ126:AM126"/>
    <mergeCell ref="AB124:AE124"/>
    <mergeCell ref="AF124:AI124"/>
    <mergeCell ref="AJ124:AM124"/>
    <mergeCell ref="B125:K125"/>
    <mergeCell ref="L125:N125"/>
    <mergeCell ref="O125:Q125"/>
    <mergeCell ref="R125:U125"/>
    <mergeCell ref="V125:W125"/>
    <mergeCell ref="X125:AA125"/>
    <mergeCell ref="AB125:AE125"/>
    <mergeCell ref="B124:K124"/>
    <mergeCell ref="L124:N124"/>
    <mergeCell ref="O124:Q124"/>
    <mergeCell ref="R124:U124"/>
    <mergeCell ref="V124:W124"/>
    <mergeCell ref="X124:AA124"/>
    <mergeCell ref="AF125:AI125"/>
    <mergeCell ref="AJ125:AM125"/>
    <mergeCell ref="B123:K123"/>
    <mergeCell ref="L123:N123"/>
    <mergeCell ref="O123:Q123"/>
    <mergeCell ref="R123:U123"/>
    <mergeCell ref="V123:W123"/>
    <mergeCell ref="X123:AA123"/>
    <mergeCell ref="AB123:AE123"/>
    <mergeCell ref="AF123:AI123"/>
    <mergeCell ref="AJ123:AM123"/>
    <mergeCell ref="B122:K122"/>
    <mergeCell ref="L122:N122"/>
    <mergeCell ref="O122:Q122"/>
    <mergeCell ref="R122:U122"/>
    <mergeCell ref="V122:W122"/>
    <mergeCell ref="X122:AA122"/>
    <mergeCell ref="AB122:AE122"/>
    <mergeCell ref="AF122:AI122"/>
    <mergeCell ref="AJ122:AM122"/>
    <mergeCell ref="AB120:AE120"/>
    <mergeCell ref="AF120:AI120"/>
    <mergeCell ref="AJ120:AM120"/>
    <mergeCell ref="B121:K121"/>
    <mergeCell ref="L121:N121"/>
    <mergeCell ref="O121:Q121"/>
    <mergeCell ref="R121:U121"/>
    <mergeCell ref="V121:W121"/>
    <mergeCell ref="X121:AA121"/>
    <mergeCell ref="AB121:AE121"/>
    <mergeCell ref="B120:K120"/>
    <mergeCell ref="L120:N120"/>
    <mergeCell ref="O120:Q120"/>
    <mergeCell ref="R120:U120"/>
    <mergeCell ref="V120:W120"/>
    <mergeCell ref="X120:AA120"/>
    <mergeCell ref="AF121:AI121"/>
    <mergeCell ref="AJ121:AM121"/>
    <mergeCell ref="B119:K119"/>
    <mergeCell ref="L119:N119"/>
    <mergeCell ref="O119:Q119"/>
    <mergeCell ref="R119:U119"/>
    <mergeCell ref="V119:W119"/>
    <mergeCell ref="X119:AA119"/>
    <mergeCell ref="AB119:AE119"/>
    <mergeCell ref="AF119:AI119"/>
    <mergeCell ref="AJ119:AM119"/>
    <mergeCell ref="B118:K118"/>
    <mergeCell ref="L118:N118"/>
    <mergeCell ref="O118:Q118"/>
    <mergeCell ref="R118:U118"/>
    <mergeCell ref="V118:W118"/>
    <mergeCell ref="X118:AA118"/>
    <mergeCell ref="AB118:AE118"/>
    <mergeCell ref="AF118:AI118"/>
    <mergeCell ref="AJ118:AM118"/>
    <mergeCell ref="AB116:AE116"/>
    <mergeCell ref="AF116:AI116"/>
    <mergeCell ref="AJ116:AM116"/>
    <mergeCell ref="B117:K117"/>
    <mergeCell ref="L117:N117"/>
    <mergeCell ref="O117:Q117"/>
    <mergeCell ref="R117:U117"/>
    <mergeCell ref="V117:W117"/>
    <mergeCell ref="X117:AA117"/>
    <mergeCell ref="AB117:AE117"/>
    <mergeCell ref="B116:K116"/>
    <mergeCell ref="L116:N116"/>
    <mergeCell ref="O116:Q116"/>
    <mergeCell ref="R116:U116"/>
    <mergeCell ref="V116:W116"/>
    <mergeCell ref="X116:AA116"/>
    <mergeCell ref="AF117:AI117"/>
    <mergeCell ref="AJ117:AM117"/>
    <mergeCell ref="B115:K115"/>
    <mergeCell ref="L115:N115"/>
    <mergeCell ref="O115:Q115"/>
    <mergeCell ref="R115:U115"/>
    <mergeCell ref="V115:W115"/>
    <mergeCell ref="X115:AA115"/>
    <mergeCell ref="AB115:AE115"/>
    <mergeCell ref="AF115:AI115"/>
    <mergeCell ref="AJ115:AM115"/>
    <mergeCell ref="B114:K114"/>
    <mergeCell ref="L114:N114"/>
    <mergeCell ref="O114:Q114"/>
    <mergeCell ref="R114:U114"/>
    <mergeCell ref="V114:W114"/>
    <mergeCell ref="X114:AA114"/>
    <mergeCell ref="AB114:AE114"/>
    <mergeCell ref="AF114:AI114"/>
    <mergeCell ref="AJ114:AM114"/>
    <mergeCell ref="AB112:AE112"/>
    <mergeCell ref="AF112:AI112"/>
    <mergeCell ref="AJ112:AM112"/>
    <mergeCell ref="B113:K113"/>
    <mergeCell ref="L113:N113"/>
    <mergeCell ref="O113:Q113"/>
    <mergeCell ref="R113:U113"/>
    <mergeCell ref="V113:W113"/>
    <mergeCell ref="X113:AA113"/>
    <mergeCell ref="AB113:AE113"/>
    <mergeCell ref="B112:K112"/>
    <mergeCell ref="L112:N112"/>
    <mergeCell ref="O112:Q112"/>
    <mergeCell ref="R112:U112"/>
    <mergeCell ref="V112:W112"/>
    <mergeCell ref="X112:AA112"/>
    <mergeCell ref="AF113:AI113"/>
    <mergeCell ref="AJ113:AM113"/>
    <mergeCell ref="B111:K111"/>
    <mergeCell ref="L111:N111"/>
    <mergeCell ref="O111:Q111"/>
    <mergeCell ref="R111:U111"/>
    <mergeCell ref="V111:W111"/>
    <mergeCell ref="X111:AA111"/>
    <mergeCell ref="AB111:AE111"/>
    <mergeCell ref="AF111:AI111"/>
    <mergeCell ref="AJ111:AM111"/>
    <mergeCell ref="B110:K110"/>
    <mergeCell ref="L110:N110"/>
    <mergeCell ref="O110:Q110"/>
    <mergeCell ref="R110:U110"/>
    <mergeCell ref="V110:W110"/>
    <mergeCell ref="X110:AA110"/>
    <mergeCell ref="AB110:AE110"/>
    <mergeCell ref="AF110:AI110"/>
    <mergeCell ref="AJ110:AM110"/>
    <mergeCell ref="AB107:AE107"/>
    <mergeCell ref="AF107:AI107"/>
    <mergeCell ref="AJ107:AM107"/>
    <mergeCell ref="B108:K108"/>
    <mergeCell ref="L108:N108"/>
    <mergeCell ref="O108:Q108"/>
    <mergeCell ref="R108:U108"/>
    <mergeCell ref="V108:W108"/>
    <mergeCell ref="X108:AA108"/>
    <mergeCell ref="AB108:AE108"/>
    <mergeCell ref="B107:K107"/>
    <mergeCell ref="L107:N107"/>
    <mergeCell ref="O107:Q107"/>
    <mergeCell ref="R107:U107"/>
    <mergeCell ref="V107:W107"/>
    <mergeCell ref="X107:AA107"/>
    <mergeCell ref="AF108:AI108"/>
    <mergeCell ref="AJ108:AM108"/>
    <mergeCell ref="B106:K106"/>
    <mergeCell ref="L106:N106"/>
    <mergeCell ref="O106:Q106"/>
    <mergeCell ref="R106:U106"/>
    <mergeCell ref="V106:W106"/>
    <mergeCell ref="X106:AA106"/>
    <mergeCell ref="AB106:AE106"/>
    <mergeCell ref="AF106:AI106"/>
    <mergeCell ref="AJ106:AM106"/>
    <mergeCell ref="B105:K105"/>
    <mergeCell ref="L105:N105"/>
    <mergeCell ref="O105:Q105"/>
    <mergeCell ref="R105:U105"/>
    <mergeCell ref="V105:W105"/>
    <mergeCell ref="X105:AA105"/>
    <mergeCell ref="AB105:AE105"/>
    <mergeCell ref="AF105:AI105"/>
    <mergeCell ref="AJ105:AM105"/>
    <mergeCell ref="AB103:AE103"/>
    <mergeCell ref="AF103:AI103"/>
    <mergeCell ref="AJ103:AM103"/>
    <mergeCell ref="B104:K104"/>
    <mergeCell ref="L104:N104"/>
    <mergeCell ref="O104:Q104"/>
    <mergeCell ref="R104:U104"/>
    <mergeCell ref="V104:W104"/>
    <mergeCell ref="X104:AA104"/>
    <mergeCell ref="AB104:AE104"/>
    <mergeCell ref="B103:K103"/>
    <mergeCell ref="L103:N103"/>
    <mergeCell ref="O103:Q103"/>
    <mergeCell ref="R103:U103"/>
    <mergeCell ref="V103:W103"/>
    <mergeCell ref="X103:AA103"/>
    <mergeCell ref="AF104:AI104"/>
    <mergeCell ref="AJ104:AM104"/>
    <mergeCell ref="B102:K102"/>
    <mergeCell ref="L102:N102"/>
    <mergeCell ref="O102:Q102"/>
    <mergeCell ref="R102:U102"/>
    <mergeCell ref="V102:W102"/>
    <mergeCell ref="X102:AA102"/>
    <mergeCell ref="AB102:AE102"/>
    <mergeCell ref="AF102:AI102"/>
    <mergeCell ref="AJ102:AM102"/>
    <mergeCell ref="B101:K101"/>
    <mergeCell ref="L101:N101"/>
    <mergeCell ref="O101:Q101"/>
    <mergeCell ref="R101:U101"/>
    <mergeCell ref="V101:W101"/>
    <mergeCell ref="X101:AA101"/>
    <mergeCell ref="AB101:AE101"/>
    <mergeCell ref="AF101:AI101"/>
    <mergeCell ref="AJ101:AM101"/>
    <mergeCell ref="AB99:AE99"/>
    <mergeCell ref="AF99:AI99"/>
    <mergeCell ref="AJ99:AM99"/>
    <mergeCell ref="B100:K100"/>
    <mergeCell ref="L100:N100"/>
    <mergeCell ref="O100:Q100"/>
    <mergeCell ref="R100:U100"/>
    <mergeCell ref="V100:W100"/>
    <mergeCell ref="X100:AA100"/>
    <mergeCell ref="AB100:AE100"/>
    <mergeCell ref="B99:K99"/>
    <mergeCell ref="L99:N99"/>
    <mergeCell ref="O99:Q99"/>
    <mergeCell ref="R99:U99"/>
    <mergeCell ref="V99:W99"/>
    <mergeCell ref="X99:AA99"/>
    <mergeCell ref="AF100:AI100"/>
    <mergeCell ref="AJ100:AM100"/>
    <mergeCell ref="A96:AM96"/>
    <mergeCell ref="B98:K98"/>
    <mergeCell ref="R98:U98"/>
    <mergeCell ref="V98:W98"/>
    <mergeCell ref="X98:AA98"/>
    <mergeCell ref="AB98:AE98"/>
    <mergeCell ref="AF98:AI98"/>
    <mergeCell ref="AJ98:AM98"/>
    <mergeCell ref="J91:L91"/>
    <mergeCell ref="J92:L92"/>
    <mergeCell ref="X90:Z92"/>
    <mergeCell ref="AA90:AC92"/>
    <mergeCell ref="AD90:AE92"/>
    <mergeCell ref="AF90:AH92"/>
    <mergeCell ref="AI90:AJ92"/>
    <mergeCell ref="AK90:AM92"/>
    <mergeCell ref="AK87:AM89"/>
    <mergeCell ref="J88:L88"/>
    <mergeCell ref="J89:L89"/>
    <mergeCell ref="A90:F92"/>
    <mergeCell ref="G90:I92"/>
    <mergeCell ref="J90:L90"/>
    <mergeCell ref="M90:N92"/>
    <mergeCell ref="O90:Q92"/>
    <mergeCell ref="R90:T92"/>
    <mergeCell ref="U90:W92"/>
    <mergeCell ref="U87:W89"/>
    <mergeCell ref="X87:Z89"/>
    <mergeCell ref="AA87:AC89"/>
    <mergeCell ref="AD87:AE89"/>
    <mergeCell ref="AF87:AH89"/>
    <mergeCell ref="AI87:AJ89"/>
    <mergeCell ref="A87:F89"/>
    <mergeCell ref="G87:I89"/>
    <mergeCell ref="J87:L87"/>
    <mergeCell ref="M87:N89"/>
    <mergeCell ref="O87:Q89"/>
    <mergeCell ref="R87:T89"/>
    <mergeCell ref="AD84:AE86"/>
    <mergeCell ref="AF84:AH86"/>
    <mergeCell ref="AI84:AJ86"/>
    <mergeCell ref="AK84:AM86"/>
    <mergeCell ref="J85:L85"/>
    <mergeCell ref="J86:L86"/>
    <mergeCell ref="AK81:AM83"/>
    <mergeCell ref="A84:F86"/>
    <mergeCell ref="G84:I86"/>
    <mergeCell ref="J84:L84"/>
    <mergeCell ref="M84:N86"/>
    <mergeCell ref="O84:Q86"/>
    <mergeCell ref="R84:T86"/>
    <mergeCell ref="U84:W86"/>
    <mergeCell ref="X84:Z86"/>
    <mergeCell ref="AA84:AC86"/>
    <mergeCell ref="U81:W83"/>
    <mergeCell ref="X81:Z83"/>
    <mergeCell ref="AA81:AC83"/>
    <mergeCell ref="AD81:AE83"/>
    <mergeCell ref="AF81:AH83"/>
    <mergeCell ref="AI81:AJ83"/>
    <mergeCell ref="A81:F83"/>
    <mergeCell ref="G81:I83"/>
    <mergeCell ref="J81:L83"/>
    <mergeCell ref="M81:N83"/>
    <mergeCell ref="O81:Q83"/>
    <mergeCell ref="R81:T83"/>
    <mergeCell ref="J68:L68"/>
    <mergeCell ref="J69:L69"/>
    <mergeCell ref="A78:AH78"/>
    <mergeCell ref="AI78:AM78"/>
    <mergeCell ref="A79:L79"/>
    <mergeCell ref="M79:AH79"/>
    <mergeCell ref="AI79:AM80"/>
    <mergeCell ref="A80:L80"/>
    <mergeCell ref="M80:AH80"/>
    <mergeCell ref="X67:Z69"/>
    <mergeCell ref="AA67:AC69"/>
    <mergeCell ref="AD67:AE69"/>
    <mergeCell ref="AF67:AH69"/>
    <mergeCell ref="AI67:AJ69"/>
    <mergeCell ref="AK67:AM69"/>
    <mergeCell ref="AK64:AM66"/>
    <mergeCell ref="J65:L65"/>
    <mergeCell ref="J66:L66"/>
    <mergeCell ref="A67:F69"/>
    <mergeCell ref="G67:I69"/>
    <mergeCell ref="J67:L67"/>
    <mergeCell ref="M67:N69"/>
    <mergeCell ref="O67:Q69"/>
    <mergeCell ref="R67:T69"/>
    <mergeCell ref="U67:W69"/>
    <mergeCell ref="U64:W66"/>
    <mergeCell ref="X64:Z66"/>
    <mergeCell ref="AA64:AC66"/>
    <mergeCell ref="AD64:AE66"/>
    <mergeCell ref="AF64:AH66"/>
    <mergeCell ref="AI64:AJ66"/>
    <mergeCell ref="A64:F66"/>
    <mergeCell ref="G64:I66"/>
    <mergeCell ref="J64:L64"/>
    <mergeCell ref="M64:N66"/>
    <mergeCell ref="O64:Q66"/>
    <mergeCell ref="R64:T66"/>
    <mergeCell ref="AK37:AM39"/>
    <mergeCell ref="A58:F60"/>
    <mergeCell ref="G58:I60"/>
    <mergeCell ref="J58:L58"/>
    <mergeCell ref="M58:N60"/>
    <mergeCell ref="O58:Q60"/>
    <mergeCell ref="R58:T60"/>
    <mergeCell ref="U58:W60"/>
    <mergeCell ref="X58:Z60"/>
    <mergeCell ref="AA58:AC60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M40:N42"/>
    <mergeCell ref="O40:Q42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8:AM28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</mergeCells>
  <hyperlinks>
    <hyperlink ref="G11" r:id="rId1" xr:uid="{229C52C9-5F74-4063-A951-72C0B9A2DDA0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F18B-A19F-4626-A6E3-56A5FFDE275C}">
  <dimension ref="A1:AM128"/>
  <sheetViews>
    <sheetView view="pageLayout" zoomScale="140" zoomScaleNormal="100" zoomScalePageLayoutView="140" workbookViewId="0">
      <selection activeCell="AB27" sqref="AB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1221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AB128</f>
        <v>26588.81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AF128</f>
        <v>5051.8600000000006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AJ128</f>
        <v>31640.670000000002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31640.670000000002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R91+R105+R106+R109</f>
        <v>28307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1.1177683965096974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Y26" s="529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 xml:space="preserve">Calea Motilor, nr.119, Loc. Alba Iulia, Jud Alba 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5000579353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RN10_Alba_1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594020400001705610/1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 t="str">
        <f>AA31</f>
        <v>RN10_Alba_1</v>
      </c>
      <c r="AJ35" s="666"/>
      <c r="AK35" s="666"/>
      <c r="AL35" s="666"/>
      <c r="AM35" s="666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66"/>
      <c r="AJ36" s="666"/>
      <c r="AK36" s="666"/>
      <c r="AL36" s="666"/>
      <c r="AM36" s="666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1369546098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v>1</v>
      </c>
      <c r="P40" s="648"/>
      <c r="Q40" s="648"/>
      <c r="R40" s="647" t="str">
        <f>VLOOKUP(A40,Regularizare!$D:$YN,3,FALSE)&amp;" ("&amp;VLOOKUP(A40,Regularizare!$D:$Y,11,FALSE)&amp;")"</f>
        <v>604080 (citit)</v>
      </c>
      <c r="S40" s="647"/>
      <c r="T40" s="647"/>
      <c r="U40" s="647" t="str">
        <f>VLOOKUP(A40,Regularizare!$D:$U,4,FALSE)&amp;" ("&amp;VLOOKUP(A40,Regularizare!$D:$U,12,FALSE)&amp;")"</f>
        <v>619536 (estimat)</v>
      </c>
      <c r="V40" s="647"/>
      <c r="W40" s="647"/>
      <c r="X40" s="647" t="str">
        <f>VLOOKUP(A40,Regularizare!$D:$Y,19,FALSE)&amp;" ("&amp;VLOOKUP(A40,Regularizare!$D:$U,12,FALSE)&amp;")"</f>
        <v>15456 (estimat)</v>
      </c>
      <c r="Y40" s="647"/>
      <c r="Z40" s="647"/>
      <c r="AA40" s="647">
        <f>(-1)*VLOOKUP(A40,Regularizare!$D:$Y,19,FALSE)</f>
        <v>-15456</v>
      </c>
      <c r="AB40" s="647"/>
      <c r="AC40" s="647"/>
      <c r="AD40" s="647" t="s">
        <v>69</v>
      </c>
      <c r="AE40" s="647"/>
      <c r="AF40" s="647">
        <f>AA40</f>
        <v>-15456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8.4499999999999993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1369546098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720" t="s">
        <v>446</v>
      </c>
      <c r="N43" s="648"/>
      <c r="O43" s="648">
        <f>O40</f>
        <v>1</v>
      </c>
      <c r="P43" s="648"/>
      <c r="Q43" s="648"/>
      <c r="R43" s="647" t="str">
        <f>VLOOKUP(A43,Regularizare!$D:$U,7,FALSE)&amp;" ("&amp;VLOOKUP(A43,Regularizare!$D:$U,15,FALSE)&amp;")"</f>
        <v>47741 (citit)</v>
      </c>
      <c r="S43" s="647"/>
      <c r="T43" s="647"/>
      <c r="U43" s="647" t="str">
        <f>VLOOKUP(A43,Regularizare!$D:$U,8,FALSE)&amp;" ("&amp;VLOOKUP(A43,Regularizare!$D:$U,16,FALSE)&amp;")"</f>
        <v>47741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720"/>
      <c r="N44" s="648"/>
      <c r="O44" s="648"/>
      <c r="P44" s="648"/>
      <c r="Q44" s="648"/>
      <c r="R44" s="647"/>
      <c r="S44" s="647"/>
      <c r="T44" s="647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720"/>
      <c r="N45" s="648"/>
      <c r="O45" s="648"/>
      <c r="P45" s="648"/>
      <c r="Q45" s="648"/>
      <c r="R45" s="647"/>
      <c r="S45" s="647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A40</f>
        <v>1369546098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O40</f>
        <v>1</v>
      </c>
      <c r="P46" s="648"/>
      <c r="Q46" s="648"/>
      <c r="R46" s="647" t="str">
        <f>VLOOKUP(A46,Regularizare!$D:$U,9,FALSE)&amp;" ("&amp;VLOOKUP(A46,Regularizare!$D:$U,17,FALSE)&amp;")"</f>
        <v>33895 (citit)</v>
      </c>
      <c r="S46" s="647"/>
      <c r="T46" s="647"/>
      <c r="U46" s="647" t="str">
        <f>VLOOKUP(A46,Regularizare!$D:$U,10,FALSE)&amp;" ("&amp;VLOOKUP(A46,Regularizare!$D:$U,18,FALSE)&amp;")"</f>
        <v>33895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1369546098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648" t="s">
        <v>720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604080 (citit)</v>
      </c>
      <c r="S49" s="647"/>
      <c r="T49" s="647"/>
      <c r="U49" s="647" t="str">
        <f>VLOOKUP(A49,Regularizare!$D:$AX,25,FALSE)&amp;" ("&amp;VLOOKUP(A49,Regularizare!$D:$AX,26,FALSE)&amp;")"</f>
        <v>619536 (citit)</v>
      </c>
      <c r="V49" s="647"/>
      <c r="W49" s="647"/>
      <c r="X49" s="647" t="str">
        <f>VLOOKUP(A49,Regularizare!$D:$AX,37,FALSE)&amp;" ("&amp;VLOOKUP(A49,Regularizare!$D:$AX,26,FALSE)&amp;")"</f>
        <v>15456 (citit)</v>
      </c>
      <c r="Y49" s="647"/>
      <c r="Z49" s="647"/>
      <c r="AA49" s="647">
        <f>VLOOKUP(A49,Regularizare!$D:$AX,37,FALSE)</f>
        <v>15456</v>
      </c>
      <c r="AB49" s="647"/>
      <c r="AC49" s="647"/>
      <c r="AD49" s="647" t="s">
        <v>69</v>
      </c>
      <c r="AE49" s="647"/>
      <c r="AF49" s="647">
        <f>AA49</f>
        <v>15456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648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648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VLOOKUP($AI$35,'Contorizare in SDI'!$E:$I,5,FALSE)</f>
        <v>1369546098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720" t="s">
        <v>446</v>
      </c>
      <c r="N52" s="648"/>
      <c r="O52" s="648">
        <v>1</v>
      </c>
      <c r="P52" s="648"/>
      <c r="Q52" s="648"/>
      <c r="R52" s="647" t="str">
        <f>VLOOKUP(A52,Regularizare!$D:$AX,29,FALSE)&amp;" ("&amp;VLOOKUP(A52,Regularizare!$D:$AX,30,FALSE)&amp;")"</f>
        <v>47741 (citit)</v>
      </c>
      <c r="S52" s="647"/>
      <c r="T52" s="647"/>
      <c r="U52" s="647" t="str">
        <f>VLOOKUP(A52,Regularizare!$D:$AX,31,FALSE)&amp;" ("&amp;VLOOKUP(A52,Regularizare!$D:$AX,32,FALSE)&amp;")"</f>
        <v>47752 (citit)</v>
      </c>
      <c r="V52" s="647"/>
      <c r="W52" s="647"/>
      <c r="X52" s="647" t="str">
        <f>VLOOKUP(A52,Regularizare!$D:$AX,39,FALSE)&amp;" ("&amp;VLOOKUP(A52,Regularizare!$D:$AX,32,FALSE)&amp;")"</f>
        <v>11 (citit)</v>
      </c>
      <c r="Y52" s="647"/>
      <c r="Z52" s="647"/>
      <c r="AA52" s="647">
        <f>VLOOKUP(A52,Regularizare!$D:$AX,44,FALSE)+VLOOKUP(A52,Regularizare!$D:$AX,45,FALSE)</f>
        <v>11</v>
      </c>
      <c r="AB52" s="647"/>
      <c r="AC52" s="647"/>
      <c r="AD52" s="647" t="s">
        <v>69</v>
      </c>
      <c r="AE52" s="647"/>
      <c r="AF52" s="647">
        <f>AA52</f>
        <v>11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720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720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VLOOKUP($AI$35,'Contorizare in SDI'!$E:$I,5,FALSE)</f>
        <v>1369546098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O49</f>
        <v>1</v>
      </c>
      <c r="P55" s="648"/>
      <c r="Q55" s="648"/>
      <c r="R55" s="647" t="str">
        <f>VLOOKUP(A55,Regularizare!$D:$AX,33,FALSE)&amp;" ("&amp;VLOOKUP(A55,Regularizare!$D:$AX,34,FALSE)&amp;")"</f>
        <v>33895 (citit)</v>
      </c>
      <c r="S55" s="647"/>
      <c r="T55" s="647"/>
      <c r="U55" s="647" t="str">
        <f>VLOOKUP(A55,Regularizare!$D:$AX,35,FALSE)&amp;" ("&amp;VLOOKUP(A55,Regularizare!$D:$AX,36,FALSE)&amp;")"</f>
        <v>33896 (citit)</v>
      </c>
      <c r="V55" s="647"/>
      <c r="W55" s="647"/>
      <c r="X55" s="647" t="str">
        <f>VLOOKUP(A55,Regularizare!$D:$AX,40,FALSE)&amp;" ("&amp;VLOOKUP(A55,Regularizare!$D:$AX,36,FALSE)&amp;")"</f>
        <v>1 (citit)</v>
      </c>
      <c r="Y55" s="647"/>
      <c r="Z55" s="647"/>
      <c r="AA55" s="647">
        <f>VLOOKUP(A55,Regularizare!$D:$AX,46,FALSE)+VLOOKUP(A55,Regularizare!$D:$AX,47,FALSE)</f>
        <v>1</v>
      </c>
      <c r="AB55" s="647"/>
      <c r="AC55" s="647"/>
      <c r="AD55" s="647" t="s">
        <v>69</v>
      </c>
      <c r="AE55" s="647"/>
      <c r="AF55" s="647">
        <f>AA55</f>
        <v>1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VLOOKUP($AI$35,'Contorizare in SDI'!$E:$I,5,FALSE)</f>
        <v>1369546098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648" t="s">
        <v>720</v>
      </c>
      <c r="N58" s="648"/>
      <c r="O58" s="648">
        <f>O55</f>
        <v>1</v>
      </c>
      <c r="P58" s="648"/>
      <c r="Q58" s="648"/>
      <c r="R58" s="647" t="str">
        <f>U49</f>
        <v>619536 (citit)</v>
      </c>
      <c r="S58" s="647"/>
      <c r="T58" s="647"/>
      <c r="U58" s="647" t="str">
        <f>VLOOKUP(A58,'Incrementare indexe'!$D:$M,4,FALSE)&amp;" (estimat)"</f>
        <v>632865 (estimat)</v>
      </c>
      <c r="V58" s="647"/>
      <c r="W58" s="647"/>
      <c r="X58" s="647" t="str">
        <f>VLOOKUP(A58,'Incrementare indexe'!$D:$Q,11,FALSE)&amp;" (citit)"</f>
        <v>13329 (citit)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13329</v>
      </c>
      <c r="AG58" s="647"/>
      <c r="AH58" s="647"/>
      <c r="AI58" s="647">
        <f>J60-J58+1</f>
        <v>31</v>
      </c>
      <c r="AJ58" s="647"/>
      <c r="AK58" s="647">
        <f>ROUND(AF58/AI58,2)</f>
        <v>429.97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648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648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VLOOKUP($AI$35,'Contorizare in SDI'!$E:$I,5,FALSE)</f>
        <v>1369546098</v>
      </c>
      <c r="B61" s="679"/>
      <c r="C61" s="679"/>
      <c r="D61" s="679"/>
      <c r="E61" s="679"/>
      <c r="F61" s="680"/>
      <c r="G61" s="647" t="s">
        <v>1300</v>
      </c>
      <c r="H61" s="647"/>
      <c r="I61" s="675"/>
      <c r="J61" s="655">
        <f t="shared" ref="J61:J69" si="2">J58</f>
        <v>45778</v>
      </c>
      <c r="K61" s="656"/>
      <c r="L61" s="657"/>
      <c r="M61" s="720" t="s">
        <v>446</v>
      </c>
      <c r="N61" s="648"/>
      <c r="O61" s="648">
        <v>1</v>
      </c>
      <c r="P61" s="648"/>
      <c r="Q61" s="648"/>
      <c r="R61" s="647" t="str">
        <f>VLOOKUP(A61,'Date masura SDI'!A:D,4,0)&amp;" (citit)"</f>
        <v>122864 (citit)</v>
      </c>
      <c r="S61" s="647"/>
      <c r="T61" s="647"/>
      <c r="U61" s="647" t="str">
        <f>VLOOKUP(A61,'Date masura SDI'!A:E,5,)&amp;" (citit)"</f>
        <v>136050 (citit)</v>
      </c>
      <c r="V61" s="647"/>
      <c r="W61" s="647"/>
      <c r="X61" s="647" t="str">
        <f>(VLOOKUP(A61,'Date masura SDI'!A:E,5,0)-VLOOKUP(A61,'Date masura SDI'!A:E,4,0))*O61 &amp;" (citit)"</f>
        <v>13186 (citit)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7"/>
      <c r="H62" s="647"/>
      <c r="I62" s="675"/>
      <c r="J62" s="717" t="str">
        <f t="shared" si="2"/>
        <v>-</v>
      </c>
      <c r="K62" s="718"/>
      <c r="L62" s="719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7"/>
      <c r="H63" s="647"/>
      <c r="I63" s="675"/>
      <c r="J63" s="714">
        <f t="shared" si="2"/>
        <v>45808</v>
      </c>
      <c r="K63" s="715"/>
      <c r="L63" s="716"/>
      <c r="M63" s="720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VLOOKUP($AI$35,'Contorizare in SDI'!$E:$I,5,FALSE)</f>
        <v>1369546098</v>
      </c>
      <c r="B64" s="679"/>
      <c r="C64" s="679"/>
      <c r="D64" s="679"/>
      <c r="E64" s="679"/>
      <c r="F64" s="680"/>
      <c r="G64" s="648" t="s">
        <v>696</v>
      </c>
      <c r="H64" s="648"/>
      <c r="I64" s="648"/>
      <c r="J64" s="655">
        <f t="shared" si="2"/>
        <v>45778</v>
      </c>
      <c r="K64" s="656"/>
      <c r="L64" s="657"/>
      <c r="M64" s="648" t="s">
        <v>720</v>
      </c>
      <c r="N64" s="648"/>
      <c r="O64" s="648">
        <f>O58</f>
        <v>1</v>
      </c>
      <c r="P64" s="648"/>
      <c r="Q64" s="648"/>
      <c r="R64" s="684" t="str">
        <f>U52</f>
        <v>47752 (citit)</v>
      </c>
      <c r="S64" s="685"/>
      <c r="T64" s="686"/>
      <c r="U64" s="647" t="str">
        <f>VLOOKUP(A64,'Incrementare indexe'!$D:$M,8,FALSE)&amp;" (estimat)"</f>
        <v>47752 (estimat)</v>
      </c>
      <c r="V64" s="647"/>
      <c r="W64" s="647"/>
      <c r="X64" s="647" t="str">
        <f>VLOOKUP(A64,'Incrementare indexe'!$D:$Q,12,FALSE)&amp;"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indexe'!$D:$Q,12,FALSE)</f>
        <v>0</v>
      </c>
      <c r="AG64" s="647"/>
      <c r="AH64" s="647"/>
      <c r="AI64" s="647">
        <f>AI58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648"/>
      <c r="N65" s="648"/>
      <c r="O65" s="648"/>
      <c r="P65" s="648"/>
      <c r="Q65" s="648"/>
      <c r="R65" s="727"/>
      <c r="S65" s="729"/>
      <c r="T65" s="728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648"/>
      <c r="N66" s="648"/>
      <c r="O66" s="648"/>
      <c r="P66" s="648"/>
      <c r="Q66" s="648"/>
      <c r="R66" s="687"/>
      <c r="S66" s="688"/>
      <c r="T66" s="689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78">
        <f>VLOOKUP($AI$35,'Contorizare in SDI'!$E:$I,5,FALSE)</f>
        <v>1369546098</v>
      </c>
      <c r="B67" s="679"/>
      <c r="C67" s="679"/>
      <c r="D67" s="679"/>
      <c r="E67" s="679"/>
      <c r="F67" s="680"/>
      <c r="G67" s="648" t="s">
        <v>731</v>
      </c>
      <c r="H67" s="648"/>
      <c r="I67" s="648"/>
      <c r="J67" s="655">
        <f t="shared" si="2"/>
        <v>45778</v>
      </c>
      <c r="K67" s="656"/>
      <c r="L67" s="657"/>
      <c r="M67" s="648" t="s">
        <v>720</v>
      </c>
      <c r="N67" s="648"/>
      <c r="O67" s="648">
        <f>O64</f>
        <v>1</v>
      </c>
      <c r="P67" s="648"/>
      <c r="Q67" s="648"/>
      <c r="R67" s="647" t="str">
        <f>U55</f>
        <v>33896 (citit)</v>
      </c>
      <c r="S67" s="647"/>
      <c r="T67" s="647"/>
      <c r="U67" s="647" t="str">
        <f>VLOOKUP(A67,'Incrementare indexe'!$D:$M,10,FALSE)&amp;" (estimat)"</f>
        <v>33896 (estimat)</v>
      </c>
      <c r="V67" s="647"/>
      <c r="W67" s="647"/>
      <c r="X67" s="647" t="str">
        <f>VLOOKUP(A67,'Incrementare indexe'!$D:$Q,13,FALSE)&amp;" (estimat)"</f>
        <v>0 (estimat)</v>
      </c>
      <c r="Y67" s="647"/>
      <c r="Z67" s="647"/>
      <c r="AA67" s="647" t="s">
        <v>69</v>
      </c>
      <c r="AB67" s="647"/>
      <c r="AC67" s="647"/>
      <c r="AD67" s="647" t="s">
        <v>69</v>
      </c>
      <c r="AE67" s="647"/>
      <c r="AF67" s="647">
        <f>VLOOKUP(A67,'Incrementare indexe'!$D:$Q,13,FALSE)</f>
        <v>0</v>
      </c>
      <c r="AG67" s="647"/>
      <c r="AH67" s="647"/>
      <c r="AI67" s="647">
        <f>AI64</f>
        <v>31</v>
      </c>
      <c r="AJ67" s="647"/>
      <c r="AK67" s="647">
        <f>ROUND(AF67/AI67,2)</f>
        <v>0</v>
      </c>
      <c r="AL67" s="647"/>
      <c r="AM67" s="647"/>
    </row>
    <row r="68" spans="1:39" ht="8.4499999999999993" customHeight="1">
      <c r="A68" s="717"/>
      <c r="B68" s="718"/>
      <c r="C68" s="718"/>
      <c r="D68" s="718"/>
      <c r="E68" s="718"/>
      <c r="F68" s="719"/>
      <c r="G68" s="648"/>
      <c r="H68" s="648"/>
      <c r="I68" s="648"/>
      <c r="J68" s="717" t="str">
        <f t="shared" si="2"/>
        <v>-</v>
      </c>
      <c r="K68" s="718"/>
      <c r="L68" s="719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681"/>
      <c r="B69" s="682"/>
      <c r="C69" s="682"/>
      <c r="D69" s="682"/>
      <c r="E69" s="682"/>
      <c r="F69" s="683"/>
      <c r="G69" s="648"/>
      <c r="H69" s="648"/>
      <c r="I69" s="648"/>
      <c r="J69" s="714">
        <f t="shared" si="2"/>
        <v>45808</v>
      </c>
      <c r="K69" s="715"/>
      <c r="L69" s="716"/>
      <c r="M69" s="648"/>
      <c r="N69" s="648"/>
      <c r="O69" s="648"/>
      <c r="P69" s="648"/>
      <c r="Q69" s="648"/>
      <c r="R69" s="647"/>
      <c r="S69" s="647"/>
      <c r="T69" s="647"/>
      <c r="U69" s="647"/>
      <c r="V69" s="647"/>
      <c r="W69" s="647"/>
      <c r="X69" s="647"/>
      <c r="Y69" s="647"/>
      <c r="Z69" s="647"/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721" t="s">
        <v>1196</v>
      </c>
      <c r="B71" s="722"/>
      <c r="C71" s="722"/>
      <c r="D71" s="722"/>
      <c r="E71" s="722"/>
      <c r="F71" s="722"/>
      <c r="G71" s="722"/>
      <c r="H71" s="722"/>
      <c r="I71" s="722"/>
      <c r="J71" s="722"/>
      <c r="K71" s="722"/>
      <c r="L71" s="722"/>
      <c r="M71" s="722"/>
      <c r="N71" s="722"/>
      <c r="O71" s="722"/>
      <c r="P71" s="722"/>
      <c r="Q71" s="722"/>
      <c r="R71" s="722"/>
      <c r="S71" s="722"/>
      <c r="T71" s="722"/>
      <c r="U71" s="722"/>
      <c r="V71" s="722"/>
      <c r="W71" s="722"/>
      <c r="X71" s="722"/>
      <c r="Y71" s="722"/>
      <c r="Z71" s="722"/>
      <c r="AA71" s="722"/>
      <c r="AB71" s="722"/>
      <c r="AC71" s="722"/>
      <c r="AD71" s="722"/>
      <c r="AE71" s="722"/>
      <c r="AF71" s="722"/>
      <c r="AG71" s="722"/>
      <c r="AH71" s="723"/>
      <c r="AI71" s="650" t="s">
        <v>695</v>
      </c>
      <c r="AJ71" s="650"/>
      <c r="AK71" s="650"/>
      <c r="AL71" s="650"/>
      <c r="AM71" s="650"/>
    </row>
    <row r="72" spans="1:39" ht="14.1" customHeight="1">
      <c r="A72" s="649" t="s">
        <v>746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514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66" t="str">
        <f>_xlfn.CONCAT(AI35,"/PV")</f>
        <v>RN10_Alba_1/PV</v>
      </c>
      <c r="AJ72" s="666"/>
      <c r="AK72" s="666"/>
      <c r="AL72" s="666"/>
      <c r="AM72" s="666"/>
    </row>
    <row r="73" spans="1:39" ht="14.1" customHeight="1">
      <c r="A73" s="649" t="s">
        <v>747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50" t="s">
        <v>1087</v>
      </c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66"/>
      <c r="AJ73" s="666"/>
      <c r="AK73" s="666"/>
      <c r="AL73" s="666"/>
      <c r="AM73" s="666"/>
    </row>
    <row r="74" spans="1:39" ht="14.1" customHeight="1">
      <c r="A74" s="648" t="s">
        <v>697</v>
      </c>
      <c r="B74" s="648"/>
      <c r="C74" s="648"/>
      <c r="D74" s="648"/>
      <c r="E74" s="648"/>
      <c r="F74" s="648"/>
      <c r="G74" s="647" t="s">
        <v>713</v>
      </c>
      <c r="H74" s="647"/>
      <c r="I74" s="647"/>
      <c r="J74" s="647" t="s">
        <v>714</v>
      </c>
      <c r="K74" s="647"/>
      <c r="L74" s="647"/>
      <c r="M74" s="648" t="s">
        <v>519</v>
      </c>
      <c r="N74" s="648"/>
      <c r="O74" s="648" t="s">
        <v>715</v>
      </c>
      <c r="P74" s="648"/>
      <c r="Q74" s="648"/>
      <c r="R74" s="647" t="s">
        <v>732</v>
      </c>
      <c r="S74" s="647"/>
      <c r="T74" s="647"/>
      <c r="U74" s="647" t="s">
        <v>734</v>
      </c>
      <c r="V74" s="647"/>
      <c r="W74" s="647"/>
      <c r="X74" s="647" t="s">
        <v>1085</v>
      </c>
      <c r="Y74" s="647"/>
      <c r="Z74" s="647"/>
      <c r="AA74" s="647" t="s">
        <v>1086</v>
      </c>
      <c r="AB74" s="647"/>
      <c r="AC74" s="647"/>
      <c r="AD74" s="647" t="s">
        <v>717</v>
      </c>
      <c r="AE74" s="647"/>
      <c r="AF74" s="647" t="s">
        <v>718</v>
      </c>
      <c r="AG74" s="647"/>
      <c r="AH74" s="647"/>
      <c r="AI74" s="647" t="s">
        <v>719</v>
      </c>
      <c r="AJ74" s="647"/>
      <c r="AK74" s="647" t="s">
        <v>733</v>
      </c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647"/>
      <c r="K75" s="647"/>
      <c r="L75" s="647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48"/>
      <c r="B76" s="648"/>
      <c r="C76" s="648"/>
      <c r="D76" s="648"/>
      <c r="E76" s="648"/>
      <c r="F76" s="648"/>
      <c r="G76" s="647"/>
      <c r="H76" s="647"/>
      <c r="I76" s="647"/>
      <c r="J76" s="713"/>
      <c r="K76" s="713"/>
      <c r="L76" s="713"/>
      <c r="M76" s="648"/>
      <c r="N76" s="648"/>
      <c r="O76" s="648"/>
      <c r="P76" s="648"/>
      <c r="Q76" s="648"/>
      <c r="R76" s="647"/>
      <c r="S76" s="647"/>
      <c r="T76" s="647"/>
      <c r="U76" s="647"/>
      <c r="V76" s="647"/>
      <c r="W76" s="647"/>
      <c r="X76" s="647"/>
      <c r="Y76" s="647"/>
      <c r="Z76" s="647"/>
      <c r="AA76" s="647"/>
      <c r="AB76" s="647"/>
      <c r="AC76" s="647"/>
      <c r="AD76" s="647"/>
      <c r="AE76" s="647"/>
      <c r="AF76" s="647"/>
      <c r="AG76" s="647"/>
      <c r="AH76" s="647"/>
      <c r="AI76" s="647"/>
      <c r="AJ76" s="647"/>
      <c r="AK76" s="647"/>
      <c r="AL76" s="647"/>
      <c r="AM76" s="647"/>
    </row>
    <row r="77" spans="1:39" ht="14.1" customHeight="1">
      <c r="A77" s="678">
        <f>VLOOKUP(AI72,'Incrementare indexe'!$B:$I,3,FALSE)</f>
        <v>1371033621</v>
      </c>
      <c r="B77" s="679"/>
      <c r="C77" s="679"/>
      <c r="D77" s="679"/>
      <c r="E77" s="679"/>
      <c r="F77" s="680"/>
      <c r="G77" s="647" t="s">
        <v>1088</v>
      </c>
      <c r="H77" s="647"/>
      <c r="I77" s="675"/>
      <c r="J77" s="655">
        <f>'Date masura OD'!$I$5</f>
        <v>45778</v>
      </c>
      <c r="K77" s="656"/>
      <c r="L77" s="657"/>
      <c r="M77" s="720" t="s">
        <v>446</v>
      </c>
      <c r="N77" s="648"/>
      <c r="O77" s="648">
        <f>VLOOKUP(AI72,'Incrementare indexe'!$B:$I,4,FALSE)</f>
        <v>1</v>
      </c>
      <c r="P77" s="648"/>
      <c r="Q77" s="648"/>
      <c r="R77" s="647" t="str">
        <f>VLOOKUP(AI72,'Incrementare indexe'!$B:$I,7,FALSE)&amp;" (citit)"</f>
        <v>459257 (citit)</v>
      </c>
      <c r="S77" s="647"/>
      <c r="T77" s="647"/>
      <c r="U77" s="647" t="str">
        <f>VLOOKUP(AI72,'Incrementare indexe'!$B:$I,8,FALSE)&amp;" (citit)"</f>
        <v>487421 (citit)</v>
      </c>
      <c r="V77" s="647"/>
      <c r="W77" s="647"/>
      <c r="X77" s="647" t="str">
        <f>(VLOOKUP(AI72,'Incrementare indexe'!$B:$I,8,FALSE)-VLOOKUP(AI72,'Incrementare indexe'!$B:$I,7,FALSE))&amp;" (citit)"</f>
        <v>28164 (citit)</v>
      </c>
      <c r="Y77" s="647"/>
      <c r="Z77" s="647"/>
      <c r="AA77" s="647" t="s">
        <v>69</v>
      </c>
      <c r="AB77" s="647"/>
      <c r="AC77" s="647"/>
      <c r="AD77" s="647" t="s">
        <v>69</v>
      </c>
      <c r="AE77" s="647"/>
      <c r="AF77" s="647">
        <f>(VLOOKUP(AI72,'Incrementare indexe'!$B:$I,8,FALSE)-VLOOKUP(AI72,'Incrementare indexe'!$B:$I,7,FALSE))</f>
        <v>28164</v>
      </c>
      <c r="AG77" s="647"/>
      <c r="AH77" s="647"/>
      <c r="AI77" s="647">
        <f>J79-J77+1</f>
        <v>31</v>
      </c>
      <c r="AJ77" s="647"/>
      <c r="AK77" s="647">
        <f>ROUND(AF77/AI77,2)</f>
        <v>908.52</v>
      </c>
      <c r="AL77" s="647"/>
      <c r="AM77" s="647"/>
    </row>
    <row r="78" spans="1:39" ht="14.1" customHeight="1">
      <c r="A78" s="717"/>
      <c r="B78" s="718"/>
      <c r="C78" s="718"/>
      <c r="D78" s="718"/>
      <c r="E78" s="718"/>
      <c r="F78" s="719"/>
      <c r="G78" s="647"/>
      <c r="H78" s="647"/>
      <c r="I78" s="675"/>
      <c r="J78" s="717" t="s">
        <v>69</v>
      </c>
      <c r="K78" s="718"/>
      <c r="L78" s="719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81"/>
      <c r="B79" s="682"/>
      <c r="C79" s="682"/>
      <c r="D79" s="682"/>
      <c r="E79" s="682"/>
      <c r="F79" s="683"/>
      <c r="G79" s="647"/>
      <c r="H79" s="647"/>
      <c r="I79" s="675"/>
      <c r="J79" s="714">
        <f>'Date masura OD'!$J$5</f>
        <v>45808</v>
      </c>
      <c r="K79" s="715"/>
      <c r="L79" s="716"/>
      <c r="M79" s="720"/>
      <c r="N79" s="648"/>
      <c r="O79" s="648"/>
      <c r="P79" s="648"/>
      <c r="Q79" s="648"/>
      <c r="R79" s="647"/>
      <c r="S79" s="647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647"/>
      <c r="AL79" s="647"/>
      <c r="AM79" s="647"/>
    </row>
    <row r="80" spans="1:39" ht="14.1" customHeight="1">
      <c r="A80" s="678">
        <f>A77</f>
        <v>1371033621</v>
      </c>
      <c r="B80" s="679"/>
      <c r="C80" s="679"/>
      <c r="D80" s="679"/>
      <c r="E80" s="679"/>
      <c r="F80" s="680"/>
      <c r="G80" s="648" t="s">
        <v>696</v>
      </c>
      <c r="H80" s="648"/>
      <c r="I80" s="648"/>
      <c r="J80" s="655">
        <f t="shared" ref="J80:J85" si="3">J77</f>
        <v>45778</v>
      </c>
      <c r="K80" s="656"/>
      <c r="L80" s="657"/>
      <c r="M80" s="648" t="s">
        <v>720</v>
      </c>
      <c r="N80" s="648"/>
      <c r="O80" s="648">
        <f>O77</f>
        <v>1</v>
      </c>
      <c r="P80" s="648"/>
      <c r="Q80" s="648"/>
      <c r="R80" s="647" t="s">
        <v>1089</v>
      </c>
      <c r="S80" s="647"/>
      <c r="T80" s="647"/>
      <c r="U80" s="647" t="s">
        <v>1089</v>
      </c>
      <c r="V80" s="647"/>
      <c r="W80" s="647"/>
      <c r="X80" s="647" t="s">
        <v>1089</v>
      </c>
      <c r="Y80" s="647"/>
      <c r="Z80" s="647"/>
      <c r="AA80" s="647" t="s">
        <v>69</v>
      </c>
      <c r="AB80" s="647"/>
      <c r="AC80" s="647"/>
      <c r="AD80" s="647" t="s">
        <v>69</v>
      </c>
      <c r="AE80" s="647"/>
      <c r="AF80" s="647">
        <v>0</v>
      </c>
      <c r="AG80" s="647"/>
      <c r="AH80" s="647"/>
      <c r="AI80" s="647">
        <f>AI77</f>
        <v>31</v>
      </c>
      <c r="AJ80" s="647"/>
      <c r="AK80" s="647">
        <f>ROUND(AF80/AI80,2)</f>
        <v>0</v>
      </c>
      <c r="AL80" s="647"/>
      <c r="AM80" s="647"/>
    </row>
    <row r="81" spans="1:39" ht="14.1" customHeight="1">
      <c r="A81" s="717"/>
      <c r="B81" s="718"/>
      <c r="C81" s="718"/>
      <c r="D81" s="718"/>
      <c r="E81" s="718"/>
      <c r="F81" s="719"/>
      <c r="G81" s="648"/>
      <c r="H81" s="648"/>
      <c r="I81" s="648"/>
      <c r="J81" s="717" t="str">
        <f t="shared" si="3"/>
        <v>-</v>
      </c>
      <c r="K81" s="718"/>
      <c r="L81" s="719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81"/>
      <c r="B82" s="682"/>
      <c r="C82" s="682"/>
      <c r="D82" s="682"/>
      <c r="E82" s="682"/>
      <c r="F82" s="683"/>
      <c r="G82" s="648"/>
      <c r="H82" s="648"/>
      <c r="I82" s="648"/>
      <c r="J82" s="714">
        <f t="shared" si="3"/>
        <v>45808</v>
      </c>
      <c r="K82" s="715"/>
      <c r="L82" s="716"/>
      <c r="M82" s="648"/>
      <c r="N82" s="648"/>
      <c r="O82" s="648"/>
      <c r="P82" s="648"/>
      <c r="Q82" s="648"/>
      <c r="R82" s="647"/>
      <c r="S82" s="647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</row>
    <row r="83" spans="1:39" ht="14.1" customHeight="1">
      <c r="A83" s="678">
        <f>A80</f>
        <v>1371033621</v>
      </c>
      <c r="B83" s="679"/>
      <c r="C83" s="679"/>
      <c r="D83" s="679"/>
      <c r="E83" s="679"/>
      <c r="F83" s="680"/>
      <c r="G83" s="648" t="s">
        <v>731</v>
      </c>
      <c r="H83" s="648"/>
      <c r="I83" s="648"/>
      <c r="J83" s="655">
        <f t="shared" si="3"/>
        <v>45778</v>
      </c>
      <c r="K83" s="656"/>
      <c r="L83" s="657"/>
      <c r="M83" s="648" t="s">
        <v>720</v>
      </c>
      <c r="N83" s="648"/>
      <c r="O83" s="648">
        <f>O80</f>
        <v>1</v>
      </c>
      <c r="P83" s="648"/>
      <c r="Q83" s="648"/>
      <c r="R83" s="647" t="s">
        <v>1089</v>
      </c>
      <c r="S83" s="647"/>
      <c r="T83" s="647"/>
      <c r="U83" s="647" t="s">
        <v>1089</v>
      </c>
      <c r="V83" s="647"/>
      <c r="W83" s="647"/>
      <c r="X83" s="647" t="s">
        <v>1089</v>
      </c>
      <c r="Y83" s="647"/>
      <c r="Z83" s="647"/>
      <c r="AA83" s="647" t="s">
        <v>69</v>
      </c>
      <c r="AB83" s="647"/>
      <c r="AC83" s="647"/>
      <c r="AD83" s="647" t="s">
        <v>69</v>
      </c>
      <c r="AE83" s="647"/>
      <c r="AF83" s="647">
        <v>0</v>
      </c>
      <c r="AG83" s="647"/>
      <c r="AH83" s="647"/>
      <c r="AI83" s="647">
        <f>AI80</f>
        <v>31</v>
      </c>
      <c r="AJ83" s="647"/>
      <c r="AK83" s="647">
        <f>ROUND(AF83/AI83,2)</f>
        <v>0</v>
      </c>
      <c r="AL83" s="647"/>
      <c r="AM83" s="647"/>
    </row>
    <row r="84" spans="1:39" ht="14.1" customHeight="1">
      <c r="A84" s="717"/>
      <c r="B84" s="718"/>
      <c r="C84" s="718"/>
      <c r="D84" s="718"/>
      <c r="E84" s="718"/>
      <c r="F84" s="719"/>
      <c r="G84" s="648"/>
      <c r="H84" s="648"/>
      <c r="I84" s="648"/>
      <c r="J84" s="717" t="str">
        <f t="shared" si="3"/>
        <v>-</v>
      </c>
      <c r="K84" s="718"/>
      <c r="L84" s="719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81"/>
      <c r="B85" s="682"/>
      <c r="C85" s="682"/>
      <c r="D85" s="682"/>
      <c r="E85" s="682"/>
      <c r="F85" s="683"/>
      <c r="G85" s="648"/>
      <c r="H85" s="648"/>
      <c r="I85" s="648"/>
      <c r="J85" s="714">
        <f t="shared" si="3"/>
        <v>45808</v>
      </c>
      <c r="K85" s="715"/>
      <c r="L85" s="716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196"/>
      <c r="B86" s="196"/>
      <c r="C86" s="196"/>
      <c r="D86" s="196"/>
      <c r="E86" s="196"/>
      <c r="F86" s="196"/>
      <c r="G86" s="196"/>
      <c r="H86" s="196"/>
      <c r="I86" s="196"/>
      <c r="J86" s="197"/>
      <c r="K86" s="197"/>
      <c r="L86" s="197"/>
      <c r="M86" s="196"/>
      <c r="N86" s="196"/>
      <c r="O86" s="196"/>
      <c r="P86" s="196"/>
      <c r="Q86" s="196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</row>
    <row r="87" spans="1:39" ht="14.1" customHeight="1">
      <c r="A87" s="196"/>
      <c r="B87" s="196"/>
      <c r="C87" s="196"/>
      <c r="D87" s="196"/>
      <c r="E87" s="196"/>
      <c r="F87" s="196"/>
      <c r="G87" s="196"/>
      <c r="H87" s="196"/>
      <c r="I87" s="196"/>
      <c r="J87" s="197"/>
      <c r="K87" s="197"/>
      <c r="L87" s="197"/>
      <c r="M87" s="196"/>
      <c r="N87" s="196"/>
      <c r="O87" s="196"/>
      <c r="P87" s="196"/>
      <c r="Q87" s="196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</row>
    <row r="88" spans="1:39" ht="15.95" customHeight="1">
      <c r="A88" s="624" t="str">
        <f>A28</f>
        <v>DETALII FACTURA FACTURA FISCALA SERIA …........ NR …................. din date de ….......06.2025</v>
      </c>
      <c r="B88" s="624"/>
      <c r="C88" s="624"/>
      <c r="D88" s="624"/>
      <c r="E88" s="624"/>
      <c r="F88" s="624"/>
      <c r="G88" s="624"/>
      <c r="H88" s="624"/>
      <c r="I88" s="624"/>
      <c r="J88" s="624"/>
      <c r="K88" s="624"/>
      <c r="L88" s="624"/>
      <c r="M88" s="624"/>
      <c r="N88" s="624"/>
      <c r="O88" s="624"/>
      <c r="P88" s="624"/>
      <c r="Q88" s="624"/>
      <c r="R88" s="624"/>
      <c r="S88" s="624"/>
      <c r="T88" s="624"/>
      <c r="U88" s="624"/>
      <c r="V88" s="624"/>
      <c r="W88" s="624"/>
      <c r="X88" s="624"/>
      <c r="Y88" s="624"/>
      <c r="Z88" s="624"/>
      <c r="AA88" s="624"/>
      <c r="AB88" s="624"/>
      <c r="AC88" s="624"/>
      <c r="AD88" s="624"/>
      <c r="AE88" s="624"/>
      <c r="AF88" s="624"/>
      <c r="AG88" s="624"/>
      <c r="AH88" s="624"/>
      <c r="AI88" s="624"/>
      <c r="AJ88" s="624"/>
      <c r="AK88" s="624"/>
      <c r="AL88" s="624"/>
      <c r="AM88" s="624"/>
    </row>
    <row r="90" spans="1:39" ht="36" customHeight="1">
      <c r="A90" s="66" t="s">
        <v>721</v>
      </c>
      <c r="B90" s="648" t="s">
        <v>95</v>
      </c>
      <c r="C90" s="648"/>
      <c r="D90" s="648"/>
      <c r="E90" s="648"/>
      <c r="F90" s="648"/>
      <c r="G90" s="648"/>
      <c r="H90" s="648"/>
      <c r="I90" s="648"/>
      <c r="J90" s="648"/>
      <c r="K90" s="648"/>
      <c r="L90" s="64" t="s">
        <v>709</v>
      </c>
      <c r="M90" s="69"/>
      <c r="N90" s="69"/>
      <c r="O90" s="64"/>
      <c r="P90" s="69"/>
      <c r="Q90" s="69"/>
      <c r="R90" s="647" t="s">
        <v>722</v>
      </c>
      <c r="S90" s="647"/>
      <c r="T90" s="647"/>
      <c r="U90" s="647"/>
      <c r="V90" s="648" t="s">
        <v>519</v>
      </c>
      <c r="W90" s="648"/>
      <c r="X90" s="647" t="s">
        <v>723</v>
      </c>
      <c r="Y90" s="647"/>
      <c r="Z90" s="647"/>
      <c r="AA90" s="647"/>
      <c r="AB90" s="647" t="s">
        <v>724</v>
      </c>
      <c r="AC90" s="647"/>
      <c r="AD90" s="647"/>
      <c r="AE90" s="647"/>
      <c r="AF90" s="647" t="s">
        <v>725</v>
      </c>
      <c r="AG90" s="647"/>
      <c r="AH90" s="647"/>
      <c r="AI90" s="647"/>
      <c r="AJ90" s="647" t="s">
        <v>726</v>
      </c>
      <c r="AK90" s="647"/>
      <c r="AL90" s="647"/>
      <c r="AM90" s="647"/>
    </row>
    <row r="91" spans="1:39" ht="15.95" customHeight="1">
      <c r="A91" s="65">
        <v>1</v>
      </c>
      <c r="B91" s="699" t="s">
        <v>71</v>
      </c>
      <c r="C91" s="700"/>
      <c r="D91" s="700"/>
      <c r="E91" s="700"/>
      <c r="F91" s="700"/>
      <c r="G91" s="700"/>
      <c r="H91" s="700"/>
      <c r="I91" s="700"/>
      <c r="J91" s="700"/>
      <c r="K91" s="701"/>
      <c r="L91" s="702">
        <f>'Date masura OD'!$I$5</f>
        <v>45778</v>
      </c>
      <c r="M91" s="702"/>
      <c r="N91" s="702"/>
      <c r="O91" s="702">
        <f>'Date masura OD'!$J$5</f>
        <v>45808</v>
      </c>
      <c r="P91" s="702"/>
      <c r="Q91" s="702"/>
      <c r="R91" s="690" cm="1">
        <f t="array" ref="R91">INDEX(verificare!$AT$4:$CC$33,VLOOKUP($AA$16,verificare!$AR$4:$AS$33,2,FALSE),A91)</f>
        <v>13329</v>
      </c>
      <c r="S91" s="690"/>
      <c r="T91" s="690"/>
      <c r="U91" s="690"/>
      <c r="V91" s="658" t="s">
        <v>446</v>
      </c>
      <c r="W91" s="658"/>
      <c r="X91" s="691">
        <f>HLOOKUP(VLOOKUP($AA$16,'Date SPV'!$B:$F,5,FALSE),'Preturi si tarife'!$C$2:$J$39,A91+2,FALSE)</f>
        <v>0.59499999999999997</v>
      </c>
      <c r="Y91" s="692"/>
      <c r="Z91" s="692"/>
      <c r="AA91" s="693"/>
      <c r="AB91" s="690">
        <f>ROUND(X91*R91,2)</f>
        <v>7930.76</v>
      </c>
      <c r="AC91" s="690"/>
      <c r="AD91" s="690"/>
      <c r="AE91" s="690"/>
      <c r="AF91" s="690">
        <f>ROUND(AB91*19%,2)</f>
        <v>1506.84</v>
      </c>
      <c r="AG91" s="690"/>
      <c r="AH91" s="690"/>
      <c r="AI91" s="690"/>
      <c r="AJ91" s="690">
        <f>AB91+AF91</f>
        <v>9437.6</v>
      </c>
      <c r="AK91" s="690"/>
      <c r="AL91" s="690"/>
      <c r="AM91" s="690"/>
    </row>
    <row r="92" spans="1:39">
      <c r="A92" s="65">
        <f>A91+1</f>
        <v>2</v>
      </c>
      <c r="B92" s="699" t="s">
        <v>72</v>
      </c>
      <c r="C92" s="700"/>
      <c r="D92" s="700"/>
      <c r="E92" s="700"/>
      <c r="F92" s="700"/>
      <c r="G92" s="700"/>
      <c r="H92" s="700"/>
      <c r="I92" s="700"/>
      <c r="J92" s="700"/>
      <c r="K92" s="701"/>
      <c r="L92" s="702">
        <f>L91</f>
        <v>45778</v>
      </c>
      <c r="M92" s="702"/>
      <c r="N92" s="702"/>
      <c r="O92" s="702">
        <f>O91</f>
        <v>45808</v>
      </c>
      <c r="P92" s="702"/>
      <c r="Q92" s="702"/>
      <c r="R92" s="690" cm="1">
        <f t="array" ref="R92">INDEX(verificare!$AT$4:$CC$33,VLOOKUP($AA$16,verificare!$AR$4:$AS$33,2,FALSE),A92)</f>
        <v>0</v>
      </c>
      <c r="S92" s="690"/>
      <c r="T92" s="690"/>
      <c r="U92" s="690"/>
      <c r="V92" s="658" t="s">
        <v>727</v>
      </c>
      <c r="W92" s="658"/>
      <c r="X92" s="691">
        <f>HLOOKUP(VLOOKUP($AA$16,'Date SPV'!$B:$F,5,FALSE),'Preturi si tarife'!$C$2:$J$39,A92+2,FALSE)</f>
        <v>0.14649999999999999</v>
      </c>
      <c r="Y92" s="692"/>
      <c r="Z92" s="692"/>
      <c r="AA92" s="693"/>
      <c r="AB92" s="690">
        <f t="shared" ref="AB92:AB126" si="4">ROUND(X92*R92,2)</f>
        <v>0</v>
      </c>
      <c r="AC92" s="690"/>
      <c r="AD92" s="690"/>
      <c r="AE92" s="690"/>
      <c r="AF92" s="690">
        <f t="shared" ref="AF92:AF127" si="5">ROUND(AB92*19%,2)</f>
        <v>0</v>
      </c>
      <c r="AG92" s="690"/>
      <c r="AH92" s="690"/>
      <c r="AI92" s="690"/>
      <c r="AJ92" s="690">
        <f t="shared" ref="AJ92:AJ127" si="6">AB92+AF92</f>
        <v>0</v>
      </c>
      <c r="AK92" s="690"/>
      <c r="AL92" s="690"/>
      <c r="AM92" s="690"/>
    </row>
    <row r="93" spans="1:39">
      <c r="A93" s="65">
        <f t="shared" ref="A93:A127" si="7">A92+1</f>
        <v>3</v>
      </c>
      <c r="B93" s="699" t="s">
        <v>73</v>
      </c>
      <c r="C93" s="700"/>
      <c r="D93" s="700"/>
      <c r="E93" s="700"/>
      <c r="F93" s="700"/>
      <c r="G93" s="700"/>
      <c r="H93" s="700"/>
      <c r="I93" s="700"/>
      <c r="J93" s="700"/>
      <c r="K93" s="701"/>
      <c r="L93" s="702">
        <f t="shared" ref="L93:L108" si="8">L92</f>
        <v>45778</v>
      </c>
      <c r="M93" s="702"/>
      <c r="N93" s="702"/>
      <c r="O93" s="702">
        <f t="shared" ref="O93:O108" si="9">O92</f>
        <v>45808</v>
      </c>
      <c r="P93" s="702"/>
      <c r="Q93" s="702"/>
      <c r="R93" s="690" cm="1">
        <f t="array" ref="R93">INDEX(verificare!$AT$4:$CC$33,VLOOKUP($AA$16,verificare!$AR$4:$AS$33,2,FALSE),A93)</f>
        <v>0</v>
      </c>
      <c r="S93" s="690"/>
      <c r="T93" s="690"/>
      <c r="U93" s="690"/>
      <c r="V93" s="658" t="s">
        <v>727</v>
      </c>
      <c r="W93" s="658"/>
      <c r="X93" s="691">
        <f>HLOOKUP(VLOOKUP($AA$16,'Date SPV'!$B:$F,5,FALSE),'Preturi si tarife'!$C$2:$J$39,A93+2,FALSE)</f>
        <v>0.4395</v>
      </c>
      <c r="Y93" s="692"/>
      <c r="Z93" s="692"/>
      <c r="AA93" s="693"/>
      <c r="AB93" s="690">
        <f t="shared" si="4"/>
        <v>0</v>
      </c>
      <c r="AC93" s="690"/>
      <c r="AD93" s="690"/>
      <c r="AE93" s="690"/>
      <c r="AF93" s="690">
        <f t="shared" si="5"/>
        <v>0</v>
      </c>
      <c r="AG93" s="690"/>
      <c r="AH93" s="690"/>
      <c r="AI93" s="690"/>
      <c r="AJ93" s="690">
        <f t="shared" si="6"/>
        <v>0</v>
      </c>
      <c r="AK93" s="690"/>
      <c r="AL93" s="690"/>
      <c r="AM93" s="690"/>
    </row>
    <row r="94" spans="1:39" ht="15.95" customHeight="1">
      <c r="A94" s="65">
        <f t="shared" si="7"/>
        <v>4</v>
      </c>
      <c r="B94" s="699" t="s">
        <v>868</v>
      </c>
      <c r="C94" s="700"/>
      <c r="D94" s="700"/>
      <c r="E94" s="700"/>
      <c r="F94" s="700"/>
      <c r="G94" s="700"/>
      <c r="H94" s="700"/>
      <c r="I94" s="700"/>
      <c r="J94" s="700"/>
      <c r="K94" s="701"/>
      <c r="L94" s="702">
        <f t="shared" si="8"/>
        <v>45778</v>
      </c>
      <c r="M94" s="702"/>
      <c r="N94" s="702"/>
      <c r="O94" s="702">
        <f t="shared" si="9"/>
        <v>45808</v>
      </c>
      <c r="P94" s="702"/>
      <c r="Q94" s="702"/>
      <c r="R94" s="690" cm="1">
        <f t="array" ref="R94">INDEX(verificare!$AT$4:$CC$33,VLOOKUP($AA$16,verificare!$AR$4:$AS$33,2,FALSE),A94)</f>
        <v>13329</v>
      </c>
      <c r="S94" s="690"/>
      <c r="T94" s="690"/>
      <c r="U94" s="690"/>
      <c r="V94" s="658" t="s">
        <v>446</v>
      </c>
      <c r="W94" s="658"/>
      <c r="X94" s="691">
        <f>HLOOKUP(VLOOKUP($AA$16,'Date SPV'!$B:$F,5,FALSE),'Preturi si tarife'!$C$2:$J$39,A94+2,FALSE)</f>
        <v>0.11483</v>
      </c>
      <c r="Y94" s="692"/>
      <c r="Z94" s="692"/>
      <c r="AA94" s="693"/>
      <c r="AB94" s="690">
        <f t="shared" si="4"/>
        <v>1530.57</v>
      </c>
      <c r="AC94" s="690"/>
      <c r="AD94" s="690"/>
      <c r="AE94" s="690"/>
      <c r="AF94" s="690">
        <f t="shared" si="5"/>
        <v>290.81</v>
      </c>
      <c r="AG94" s="690"/>
      <c r="AH94" s="690"/>
      <c r="AI94" s="690"/>
      <c r="AJ94" s="690">
        <f t="shared" si="6"/>
        <v>1821.3799999999999</v>
      </c>
      <c r="AK94" s="690"/>
      <c r="AL94" s="690"/>
      <c r="AM94" s="690"/>
    </row>
    <row r="95" spans="1:39">
      <c r="A95" s="65">
        <f t="shared" si="7"/>
        <v>5</v>
      </c>
      <c r="B95" s="699" t="s">
        <v>757</v>
      </c>
      <c r="C95" s="700"/>
      <c r="D95" s="700"/>
      <c r="E95" s="700"/>
      <c r="F95" s="700"/>
      <c r="G95" s="700"/>
      <c r="H95" s="700"/>
      <c r="I95" s="700"/>
      <c r="J95" s="700"/>
      <c r="K95" s="701"/>
      <c r="L95" s="702">
        <f t="shared" si="8"/>
        <v>45778</v>
      </c>
      <c r="M95" s="702"/>
      <c r="N95" s="702"/>
      <c r="O95" s="702">
        <f t="shared" si="9"/>
        <v>45808</v>
      </c>
      <c r="P95" s="702"/>
      <c r="Q95" s="702"/>
      <c r="R95" s="690" cm="1">
        <f t="array" ref="R95">INDEX(verificare!$AT$4:$CC$33,VLOOKUP($AA$16,verificare!$AR$4:$AS$33,2,FALSE),A95)</f>
        <v>0</v>
      </c>
      <c r="S95" s="690"/>
      <c r="T95" s="690"/>
      <c r="U95" s="690"/>
      <c r="V95" s="658" t="s">
        <v>446</v>
      </c>
      <c r="W95" s="658"/>
      <c r="X95" s="691">
        <f>HLOOKUP(VLOOKUP($AA$16,'Date SPV'!$B:$F,5,FALSE),'Preturi si tarife'!$C$2:$J$39,A95+2,FALSE)</f>
        <v>0.2361</v>
      </c>
      <c r="Y95" s="692"/>
      <c r="Z95" s="692"/>
      <c r="AA95" s="693"/>
      <c r="AB95" s="690">
        <f t="shared" si="4"/>
        <v>0</v>
      </c>
      <c r="AC95" s="690"/>
      <c r="AD95" s="690"/>
      <c r="AE95" s="690"/>
      <c r="AF95" s="690">
        <f t="shared" si="5"/>
        <v>0</v>
      </c>
      <c r="AG95" s="690"/>
      <c r="AH95" s="690"/>
      <c r="AI95" s="690"/>
      <c r="AJ95" s="690">
        <f t="shared" si="6"/>
        <v>0</v>
      </c>
      <c r="AK95" s="690"/>
      <c r="AL95" s="690"/>
      <c r="AM95" s="690"/>
    </row>
    <row r="96" spans="1:39" ht="15.95" customHeight="1">
      <c r="A96" s="65">
        <f t="shared" si="7"/>
        <v>6</v>
      </c>
      <c r="B96" s="699" t="s">
        <v>74</v>
      </c>
      <c r="C96" s="700"/>
      <c r="D96" s="700"/>
      <c r="E96" s="700"/>
      <c r="F96" s="700"/>
      <c r="G96" s="700"/>
      <c r="H96" s="700"/>
      <c r="I96" s="700"/>
      <c r="J96" s="700"/>
      <c r="K96" s="701"/>
      <c r="L96" s="702">
        <f t="shared" si="8"/>
        <v>45778</v>
      </c>
      <c r="M96" s="702"/>
      <c r="N96" s="702"/>
      <c r="O96" s="702">
        <f t="shared" si="9"/>
        <v>45808</v>
      </c>
      <c r="P96" s="702"/>
      <c r="Q96" s="702"/>
      <c r="R96" s="690" cm="1">
        <f t="array" ref="R96">INDEX(verificare!$AT$4:$CC$33,VLOOKUP($AA$16,verificare!$AR$4:$AS$33,2,FALSE),A96)</f>
        <v>13329</v>
      </c>
      <c r="S96" s="690"/>
      <c r="T96" s="690"/>
      <c r="U96" s="690"/>
      <c r="V96" s="658" t="s">
        <v>446</v>
      </c>
      <c r="W96" s="658"/>
      <c r="X96" s="691">
        <f>HLOOKUP(VLOOKUP($AA$16,'Date SPV'!$B:$F,5,FALSE),'Preturi si tarife'!$C$2:$J$39,A96+2,FALSE)</f>
        <v>1.1509999999999999E-2</v>
      </c>
      <c r="Y96" s="692"/>
      <c r="Z96" s="692"/>
      <c r="AA96" s="693"/>
      <c r="AB96" s="690">
        <f t="shared" si="4"/>
        <v>153.41999999999999</v>
      </c>
      <c r="AC96" s="690"/>
      <c r="AD96" s="690"/>
      <c r="AE96" s="690"/>
      <c r="AF96" s="690">
        <f t="shared" si="5"/>
        <v>29.15</v>
      </c>
      <c r="AG96" s="690"/>
      <c r="AH96" s="690"/>
      <c r="AI96" s="690"/>
      <c r="AJ96" s="690">
        <f t="shared" si="6"/>
        <v>182.57</v>
      </c>
      <c r="AK96" s="690"/>
      <c r="AL96" s="690"/>
      <c r="AM96" s="690"/>
    </row>
    <row r="97" spans="1:39" ht="18.95" customHeight="1">
      <c r="A97" s="65">
        <f t="shared" si="7"/>
        <v>7</v>
      </c>
      <c r="B97" s="699" t="s">
        <v>75</v>
      </c>
      <c r="C97" s="700"/>
      <c r="D97" s="700"/>
      <c r="E97" s="700"/>
      <c r="F97" s="700"/>
      <c r="G97" s="700"/>
      <c r="H97" s="700"/>
      <c r="I97" s="700"/>
      <c r="J97" s="700"/>
      <c r="K97" s="701"/>
      <c r="L97" s="702">
        <f t="shared" si="8"/>
        <v>45778</v>
      </c>
      <c r="M97" s="702"/>
      <c r="N97" s="702"/>
      <c r="O97" s="702">
        <f t="shared" si="9"/>
        <v>45808</v>
      </c>
      <c r="P97" s="702"/>
      <c r="Q97" s="702"/>
      <c r="R97" s="690" cm="1">
        <f t="array" ref="R97">INDEX(verificare!$AT$4:$CC$33,VLOOKUP($AA$16,verificare!$AR$4:$AS$33,2,FALSE),A97)</f>
        <v>13329</v>
      </c>
      <c r="S97" s="690"/>
      <c r="T97" s="690"/>
      <c r="U97" s="690"/>
      <c r="V97" s="658" t="s">
        <v>446</v>
      </c>
      <c r="W97" s="658"/>
      <c r="X97" s="691">
        <f>HLOOKUP(VLOOKUP($AA$16,'Date SPV'!$B:$F,5,FALSE),'Preturi si tarife'!$C$2:$J$39,A97+2,FALSE)</f>
        <v>3.3030000000000004E-2</v>
      </c>
      <c r="Y97" s="692"/>
      <c r="Z97" s="692"/>
      <c r="AA97" s="693"/>
      <c r="AB97" s="690">
        <f t="shared" si="4"/>
        <v>440.26</v>
      </c>
      <c r="AC97" s="690"/>
      <c r="AD97" s="690"/>
      <c r="AE97" s="690"/>
      <c r="AF97" s="690">
        <f t="shared" si="5"/>
        <v>83.65</v>
      </c>
      <c r="AG97" s="690"/>
      <c r="AH97" s="690"/>
      <c r="AI97" s="690"/>
      <c r="AJ97" s="690">
        <f t="shared" si="6"/>
        <v>523.91</v>
      </c>
      <c r="AK97" s="690"/>
      <c r="AL97" s="690"/>
      <c r="AM97" s="690"/>
    </row>
    <row r="98" spans="1:39" ht="23.45" customHeight="1">
      <c r="A98" s="65">
        <f t="shared" si="7"/>
        <v>8</v>
      </c>
      <c r="B98" s="699" t="s">
        <v>76</v>
      </c>
      <c r="C98" s="700"/>
      <c r="D98" s="700"/>
      <c r="E98" s="700"/>
      <c r="F98" s="700"/>
      <c r="G98" s="700"/>
      <c r="H98" s="700"/>
      <c r="I98" s="700"/>
      <c r="J98" s="700"/>
      <c r="K98" s="701"/>
      <c r="L98" s="702">
        <f t="shared" si="8"/>
        <v>45778</v>
      </c>
      <c r="M98" s="702"/>
      <c r="N98" s="702"/>
      <c r="O98" s="702">
        <f t="shared" si="9"/>
        <v>45808</v>
      </c>
      <c r="P98" s="702"/>
      <c r="Q98" s="702"/>
      <c r="R98" s="690" cm="1">
        <f t="array" ref="R98">INDEX(verificare!$AT$4:$CC$33,VLOOKUP($AA$16,verificare!$AR$4:$AS$33,2,FALSE),A98)</f>
        <v>13329</v>
      </c>
      <c r="S98" s="690"/>
      <c r="T98" s="690"/>
      <c r="U98" s="690"/>
      <c r="V98" s="658" t="s">
        <v>446</v>
      </c>
      <c r="W98" s="658"/>
      <c r="X98" s="691">
        <f>HLOOKUP(VLOOKUP($AA$16,'Date SPV'!$B:$F,5,FALSE),'Preturi si tarife'!$C$2:$J$39,A98+2,FALSE)</f>
        <v>3.29E-3</v>
      </c>
      <c r="Y98" s="692"/>
      <c r="Z98" s="692"/>
      <c r="AA98" s="693"/>
      <c r="AB98" s="690">
        <f t="shared" si="4"/>
        <v>43.85</v>
      </c>
      <c r="AC98" s="690"/>
      <c r="AD98" s="690"/>
      <c r="AE98" s="690"/>
      <c r="AF98" s="690">
        <f t="shared" si="5"/>
        <v>8.33</v>
      </c>
      <c r="AG98" s="690"/>
      <c r="AH98" s="690"/>
      <c r="AI98" s="690"/>
      <c r="AJ98" s="690">
        <f t="shared" si="6"/>
        <v>52.18</v>
      </c>
      <c r="AK98" s="690"/>
      <c r="AL98" s="690"/>
      <c r="AM98" s="690"/>
    </row>
    <row r="99" spans="1:39" ht="15.95" customHeight="1">
      <c r="A99" s="65">
        <f t="shared" si="7"/>
        <v>9</v>
      </c>
      <c r="B99" s="699" t="s">
        <v>77</v>
      </c>
      <c r="C99" s="700"/>
      <c r="D99" s="700"/>
      <c r="E99" s="700"/>
      <c r="F99" s="700"/>
      <c r="G99" s="700"/>
      <c r="H99" s="700"/>
      <c r="I99" s="700"/>
      <c r="J99" s="700"/>
      <c r="K99" s="701"/>
      <c r="L99" s="702">
        <f t="shared" si="8"/>
        <v>45778</v>
      </c>
      <c r="M99" s="702"/>
      <c r="N99" s="702"/>
      <c r="O99" s="702">
        <f t="shared" si="9"/>
        <v>45808</v>
      </c>
      <c r="P99" s="702"/>
      <c r="Q99" s="702"/>
      <c r="R99" s="690" cm="1">
        <f t="array" ref="R99">INDEX(verificare!$AT$4:$CC$33,VLOOKUP($AA$16,verificare!$AR$4:$AS$33,2,FALSE),A99)</f>
        <v>13329</v>
      </c>
      <c r="S99" s="690"/>
      <c r="T99" s="690"/>
      <c r="U99" s="690"/>
      <c r="V99" s="658" t="s">
        <v>446</v>
      </c>
      <c r="W99" s="658"/>
      <c r="X99" s="691">
        <f>HLOOKUP(VLOOKUP($AA$16,'Date SPV'!$B:$F,5,FALSE),'Preturi si tarife'!$C$2:$J$39,A99+2,FALSE)</f>
        <v>3.5000000000000001E-3</v>
      </c>
      <c r="Y99" s="692"/>
      <c r="Z99" s="692"/>
      <c r="AA99" s="693"/>
      <c r="AB99" s="690">
        <f t="shared" si="4"/>
        <v>46.65</v>
      </c>
      <c r="AC99" s="690"/>
      <c r="AD99" s="690"/>
      <c r="AE99" s="690"/>
      <c r="AF99" s="690">
        <f t="shared" si="5"/>
        <v>8.86</v>
      </c>
      <c r="AG99" s="690"/>
      <c r="AH99" s="690"/>
      <c r="AI99" s="690"/>
      <c r="AJ99" s="690">
        <f t="shared" si="6"/>
        <v>55.51</v>
      </c>
      <c r="AK99" s="690"/>
      <c r="AL99" s="690"/>
      <c r="AM99" s="690"/>
    </row>
    <row r="100" spans="1:39" ht="15.95" customHeight="1">
      <c r="A100" s="65">
        <f t="shared" si="7"/>
        <v>10</v>
      </c>
      <c r="B100" s="699" t="s">
        <v>78</v>
      </c>
      <c r="C100" s="700"/>
      <c r="D100" s="700"/>
      <c r="E100" s="700"/>
      <c r="F100" s="700"/>
      <c r="G100" s="700"/>
      <c r="H100" s="700"/>
      <c r="I100" s="700"/>
      <c r="J100" s="700"/>
      <c r="K100" s="701"/>
      <c r="L100" s="702">
        <f t="shared" si="8"/>
        <v>45778</v>
      </c>
      <c r="M100" s="702"/>
      <c r="N100" s="702"/>
      <c r="O100" s="702">
        <f t="shared" si="9"/>
        <v>45808</v>
      </c>
      <c r="P100" s="702"/>
      <c r="Q100" s="702"/>
      <c r="R100" s="690" cm="1">
        <f t="array" ref="R100">INDEX(verificare!$AT$4:$CC$33,VLOOKUP($AA$16,verificare!$AR$4:$AS$33,2,FALSE),A100)</f>
        <v>13329</v>
      </c>
      <c r="S100" s="690"/>
      <c r="T100" s="690"/>
      <c r="U100" s="690"/>
      <c r="V100" s="658" t="s">
        <v>446</v>
      </c>
      <c r="W100" s="658"/>
      <c r="X100" s="691">
        <f>HLOOKUP(VLOOKUP($AA$16,'Date SPV'!$B:$F,5,FALSE),'Preturi si tarife'!$C$2:$J$39,A100+2,FALSE)</f>
        <v>7.2541599999999998E-2</v>
      </c>
      <c r="Y100" s="692"/>
      <c r="Z100" s="692"/>
      <c r="AA100" s="693"/>
      <c r="AB100" s="690">
        <f t="shared" si="4"/>
        <v>966.91</v>
      </c>
      <c r="AC100" s="690"/>
      <c r="AD100" s="690"/>
      <c r="AE100" s="690"/>
      <c r="AF100" s="690">
        <f t="shared" si="5"/>
        <v>183.71</v>
      </c>
      <c r="AG100" s="690"/>
      <c r="AH100" s="690"/>
      <c r="AI100" s="690"/>
      <c r="AJ100" s="690">
        <f t="shared" si="6"/>
        <v>1150.6199999999999</v>
      </c>
      <c r="AK100" s="690"/>
      <c r="AL100" s="690"/>
      <c r="AM100" s="690"/>
    </row>
    <row r="101" spans="1:39" ht="15.95" customHeight="1">
      <c r="A101" s="65">
        <f t="shared" si="7"/>
        <v>11</v>
      </c>
      <c r="B101" s="699" t="s">
        <v>1313</v>
      </c>
      <c r="C101" s="700"/>
      <c r="D101" s="700"/>
      <c r="E101" s="700"/>
      <c r="F101" s="700"/>
      <c r="G101" s="700"/>
      <c r="H101" s="700"/>
      <c r="I101" s="700"/>
      <c r="J101" s="700"/>
      <c r="K101" s="701"/>
      <c r="L101" s="702">
        <f t="shared" si="8"/>
        <v>45778</v>
      </c>
      <c r="M101" s="702"/>
      <c r="N101" s="702"/>
      <c r="O101" s="702">
        <f t="shared" si="9"/>
        <v>45808</v>
      </c>
      <c r="P101" s="702"/>
      <c r="Q101" s="702"/>
      <c r="R101" s="690" cm="1">
        <f t="array" ref="R101">INDEX(verificare!$AT$4:$CC$33,VLOOKUP($AA$16,verificare!$AR$4:$AS$33,2,FALSE),A101)</f>
        <v>13329</v>
      </c>
      <c r="S101" s="690"/>
      <c r="T101" s="690"/>
      <c r="U101" s="690"/>
      <c r="V101" s="724" t="s">
        <v>446</v>
      </c>
      <c r="W101" s="725"/>
      <c r="X101" s="691">
        <f>HLOOKUP(VLOOKUP($AA$16,'Date SPV'!$B:$F,5,FALSE),'Preturi si tarife'!$C$2:$J$39,A101+2,FALSE)</f>
        <v>2.0599999999999999E-4</v>
      </c>
      <c r="Y101" s="692"/>
      <c r="Z101" s="692"/>
      <c r="AA101" s="693"/>
      <c r="AB101" s="772">
        <f t="shared" si="4"/>
        <v>2.75</v>
      </c>
      <c r="AC101" s="773"/>
      <c r="AD101" s="773"/>
      <c r="AE101" s="774"/>
      <c r="AF101" s="772">
        <f t="shared" si="5"/>
        <v>0.52</v>
      </c>
      <c r="AG101" s="773"/>
      <c r="AH101" s="773"/>
      <c r="AI101" s="774"/>
      <c r="AJ101" s="772">
        <f t="shared" si="6"/>
        <v>3.27</v>
      </c>
      <c r="AK101" s="773"/>
      <c r="AL101" s="773"/>
      <c r="AM101" s="774"/>
    </row>
    <row r="102" spans="1:39">
      <c r="A102" s="65">
        <f t="shared" si="7"/>
        <v>12</v>
      </c>
      <c r="B102" s="699" t="s">
        <v>79</v>
      </c>
      <c r="C102" s="700"/>
      <c r="D102" s="700"/>
      <c r="E102" s="700"/>
      <c r="F102" s="700"/>
      <c r="G102" s="700"/>
      <c r="H102" s="700"/>
      <c r="I102" s="700"/>
      <c r="J102" s="700"/>
      <c r="K102" s="701"/>
      <c r="L102" s="702">
        <f>L100</f>
        <v>45778</v>
      </c>
      <c r="M102" s="702"/>
      <c r="N102" s="702"/>
      <c r="O102" s="702">
        <f>O100</f>
        <v>45808</v>
      </c>
      <c r="P102" s="702"/>
      <c r="Q102" s="702"/>
      <c r="R102" s="690" cm="1">
        <f t="array" ref="R102">INDEX(verificare!$AT$4:$CC$33,VLOOKUP($AA$16,verificare!$AR$4:$AS$33,2,FALSE),A102)</f>
        <v>13329</v>
      </c>
      <c r="S102" s="690"/>
      <c r="T102" s="690"/>
      <c r="U102" s="690"/>
      <c r="V102" s="658" t="s">
        <v>446</v>
      </c>
      <c r="W102" s="658"/>
      <c r="X102" s="691">
        <f>HLOOKUP(VLOOKUP($AA$16,'Date SPV'!$B:$F,5,FALSE),'Preturi si tarife'!$C$2:$J$39,A102+2,FALSE)</f>
        <v>0</v>
      </c>
      <c r="Y102" s="692"/>
      <c r="Z102" s="692"/>
      <c r="AA102" s="693"/>
      <c r="AB102" s="690">
        <f t="shared" si="4"/>
        <v>0</v>
      </c>
      <c r="AC102" s="690"/>
      <c r="AD102" s="690"/>
      <c r="AE102" s="690"/>
      <c r="AF102" s="690">
        <f t="shared" si="5"/>
        <v>0</v>
      </c>
      <c r="AG102" s="690"/>
      <c r="AH102" s="690"/>
      <c r="AI102" s="690"/>
      <c r="AJ102" s="690">
        <f t="shared" si="6"/>
        <v>0</v>
      </c>
      <c r="AK102" s="690"/>
      <c r="AL102" s="690"/>
      <c r="AM102" s="690"/>
    </row>
    <row r="103" spans="1:39" ht="15.95" customHeight="1">
      <c r="A103" s="65">
        <f t="shared" si="7"/>
        <v>13</v>
      </c>
      <c r="B103" s="699" t="s">
        <v>80</v>
      </c>
      <c r="C103" s="700"/>
      <c r="D103" s="700"/>
      <c r="E103" s="700"/>
      <c r="F103" s="700"/>
      <c r="G103" s="700"/>
      <c r="H103" s="700"/>
      <c r="I103" s="700"/>
      <c r="J103" s="700"/>
      <c r="K103" s="701"/>
      <c r="L103" s="702">
        <f t="shared" si="8"/>
        <v>45778</v>
      </c>
      <c r="M103" s="702"/>
      <c r="N103" s="702"/>
      <c r="O103" s="702">
        <f t="shared" si="9"/>
        <v>45808</v>
      </c>
      <c r="P103" s="702"/>
      <c r="Q103" s="702"/>
      <c r="R103" s="690" cm="1">
        <f t="array" ref="R103">INDEX(verificare!$AT$4:$CC$33,VLOOKUP($AA$16,verificare!$AR$4:$AS$33,2,FALSE),A103)</f>
        <v>13329</v>
      </c>
      <c r="S103" s="690"/>
      <c r="T103" s="690"/>
      <c r="U103" s="690"/>
      <c r="V103" s="658" t="s">
        <v>446</v>
      </c>
      <c r="W103" s="658"/>
      <c r="X103" s="691">
        <f>HLOOKUP(VLOOKUP($AA$16,'Date SPV'!$B:$F,5,FALSE),'Preturi si tarife'!$C$2:$J$39,A103+2,FALSE)</f>
        <v>1.26E-2</v>
      </c>
      <c r="Y103" s="692"/>
      <c r="Z103" s="692"/>
      <c r="AA103" s="693"/>
      <c r="AB103" s="690">
        <f t="shared" si="4"/>
        <v>167.95</v>
      </c>
      <c r="AC103" s="690"/>
      <c r="AD103" s="690"/>
      <c r="AE103" s="690"/>
      <c r="AF103" s="690">
        <f t="shared" si="5"/>
        <v>31.91</v>
      </c>
      <c r="AG103" s="690"/>
      <c r="AH103" s="690"/>
      <c r="AI103" s="690"/>
      <c r="AJ103" s="690">
        <f t="shared" si="6"/>
        <v>199.85999999999999</v>
      </c>
      <c r="AK103" s="690"/>
      <c r="AL103" s="690"/>
      <c r="AM103" s="690"/>
    </row>
    <row r="104" spans="1:39">
      <c r="A104" s="65">
        <f t="shared" si="7"/>
        <v>14</v>
      </c>
      <c r="B104" s="699" t="s">
        <v>81</v>
      </c>
      <c r="C104" s="700"/>
      <c r="D104" s="700"/>
      <c r="E104" s="700"/>
      <c r="F104" s="700"/>
      <c r="G104" s="700"/>
      <c r="H104" s="700"/>
      <c r="I104" s="700"/>
      <c r="J104" s="700"/>
      <c r="K104" s="701"/>
      <c r="L104" s="702">
        <f t="shared" si="8"/>
        <v>45778</v>
      </c>
      <c r="M104" s="702"/>
      <c r="N104" s="702"/>
      <c r="O104" s="702">
        <f t="shared" si="9"/>
        <v>45808</v>
      </c>
      <c r="P104" s="702"/>
      <c r="Q104" s="702"/>
      <c r="R104" s="690" cm="1">
        <f t="array" ref="R104">INDEX(verificare!$AT$4:$CC$33,VLOOKUP($AA$16,verificare!$AR$4:$AS$33,2,FALSE),A104)</f>
        <v>13329</v>
      </c>
      <c r="S104" s="690"/>
      <c r="T104" s="690"/>
      <c r="U104" s="690"/>
      <c r="V104" s="658" t="s">
        <v>446</v>
      </c>
      <c r="W104" s="658"/>
      <c r="X104" s="691">
        <f>HLOOKUP(VLOOKUP($AA$16,'Date SPV'!$B:$F,5,FALSE),'Preturi si tarife'!$C$2:$J$39,A104+2,FALSE)</f>
        <v>9.2700000000000005E-2</v>
      </c>
      <c r="Y104" s="692"/>
      <c r="Z104" s="692"/>
      <c r="AA104" s="693"/>
      <c r="AB104" s="690">
        <f t="shared" si="4"/>
        <v>1235.5999999999999</v>
      </c>
      <c r="AC104" s="690"/>
      <c r="AD104" s="690"/>
      <c r="AE104" s="690"/>
      <c r="AF104" s="690">
        <f t="shared" si="5"/>
        <v>234.76</v>
      </c>
      <c r="AG104" s="690"/>
      <c r="AH104" s="690"/>
      <c r="AI104" s="690"/>
      <c r="AJ104" s="690">
        <f t="shared" si="6"/>
        <v>1470.36</v>
      </c>
      <c r="AK104" s="690"/>
      <c r="AL104" s="690"/>
      <c r="AM104" s="690"/>
    </row>
    <row r="105" spans="1:39">
      <c r="A105" s="65">
        <f t="shared" si="7"/>
        <v>15</v>
      </c>
      <c r="B105" s="699" t="s">
        <v>82</v>
      </c>
      <c r="C105" s="700"/>
      <c r="D105" s="700"/>
      <c r="E105" s="700"/>
      <c r="F105" s="700"/>
      <c r="G105" s="700"/>
      <c r="H105" s="700"/>
      <c r="I105" s="700"/>
      <c r="J105" s="700"/>
      <c r="K105" s="701"/>
      <c r="L105" s="702">
        <f t="shared" si="8"/>
        <v>45778</v>
      </c>
      <c r="M105" s="702"/>
      <c r="N105" s="702"/>
      <c r="O105" s="702">
        <f t="shared" si="9"/>
        <v>45808</v>
      </c>
      <c r="P105" s="702"/>
      <c r="Q105" s="702"/>
      <c r="R105" s="690" cm="1">
        <f t="array" ref="R105">INDEX(verificare!$AT$4:$CC$33,VLOOKUP($AA$16,verificare!$AR$4:$AS$33,2,FALSE),A105)</f>
        <v>14978</v>
      </c>
      <c r="S105" s="690"/>
      <c r="T105" s="690"/>
      <c r="U105" s="690"/>
      <c r="V105" s="658" t="s">
        <v>446</v>
      </c>
      <c r="W105" s="658"/>
      <c r="X105" s="691">
        <f>HLOOKUP(VLOOKUP($AA$16,'Date SPV'!$B:$F,5,FALSE),'Preturi si tarife'!$C$2:$J$39,A105+2,FALSE)</f>
        <v>0.93920760000000003</v>
      </c>
      <c r="Y105" s="692"/>
      <c r="Z105" s="692"/>
      <c r="AA105" s="693"/>
      <c r="AB105" s="690">
        <f t="shared" si="4"/>
        <v>14067.45</v>
      </c>
      <c r="AC105" s="690"/>
      <c r="AD105" s="690"/>
      <c r="AE105" s="690"/>
      <c r="AF105" s="690">
        <f t="shared" si="5"/>
        <v>2672.82</v>
      </c>
      <c r="AG105" s="690"/>
      <c r="AH105" s="690"/>
      <c r="AI105" s="690"/>
      <c r="AJ105" s="690">
        <f t="shared" si="6"/>
        <v>16740.27</v>
      </c>
      <c r="AK105" s="690"/>
      <c r="AL105" s="690"/>
      <c r="AM105" s="690"/>
    </row>
    <row r="106" spans="1:39" ht="15.95" customHeight="1">
      <c r="A106" s="65">
        <f t="shared" si="7"/>
        <v>16</v>
      </c>
      <c r="B106" s="699" t="s">
        <v>83</v>
      </c>
      <c r="C106" s="700"/>
      <c r="D106" s="700"/>
      <c r="E106" s="700"/>
      <c r="F106" s="700"/>
      <c r="G106" s="700"/>
      <c r="H106" s="700"/>
      <c r="I106" s="700"/>
      <c r="J106" s="700"/>
      <c r="K106" s="701"/>
      <c r="L106" s="702">
        <f t="shared" si="8"/>
        <v>45778</v>
      </c>
      <c r="M106" s="702"/>
      <c r="N106" s="702"/>
      <c r="O106" s="702">
        <f t="shared" si="9"/>
        <v>45808</v>
      </c>
      <c r="P106" s="702"/>
      <c r="Q106" s="702"/>
      <c r="R106" s="690" cm="1">
        <f t="array" ref="R106">INDEX(verificare!$AT$4:$CC$33,VLOOKUP($AA$16,verificare!$AR$4:$AS$33,2,FALSE),A106)</f>
        <v>0</v>
      </c>
      <c r="S106" s="690"/>
      <c r="T106" s="690"/>
      <c r="U106" s="690"/>
      <c r="V106" s="658" t="s">
        <v>446</v>
      </c>
      <c r="W106" s="658"/>
      <c r="X106" s="691">
        <f>HLOOKUP(VLOOKUP($AA$16,'Date SPV'!$B:$F,5,FALSE),'Preturi si tarife'!$C$2:$J$39,A106+2,FALSE)</f>
        <v>0.83390760000000008</v>
      </c>
      <c r="Y106" s="692"/>
      <c r="Z106" s="692"/>
      <c r="AA106" s="693"/>
      <c r="AB106" s="690">
        <f t="shared" si="4"/>
        <v>0</v>
      </c>
      <c r="AC106" s="690"/>
      <c r="AD106" s="690"/>
      <c r="AE106" s="690"/>
      <c r="AF106" s="690">
        <f t="shared" si="5"/>
        <v>0</v>
      </c>
      <c r="AG106" s="690"/>
      <c r="AH106" s="690"/>
      <c r="AI106" s="690"/>
      <c r="AJ106" s="690">
        <f t="shared" si="6"/>
        <v>0</v>
      </c>
      <c r="AK106" s="690"/>
      <c r="AL106" s="690"/>
      <c r="AM106" s="690"/>
    </row>
    <row r="107" spans="1:39" ht="15.95" customHeight="1">
      <c r="A107" s="65">
        <f t="shared" si="7"/>
        <v>17</v>
      </c>
      <c r="B107" s="699" t="s">
        <v>1129</v>
      </c>
      <c r="C107" s="700"/>
      <c r="D107" s="700"/>
      <c r="E107" s="700"/>
      <c r="F107" s="700"/>
      <c r="G107" s="700"/>
      <c r="H107" s="700"/>
      <c r="I107" s="700"/>
      <c r="J107" s="700"/>
      <c r="K107" s="701"/>
      <c r="L107" s="702">
        <f t="shared" si="8"/>
        <v>45778</v>
      </c>
      <c r="M107" s="702"/>
      <c r="N107" s="702"/>
      <c r="O107" s="702">
        <f t="shared" si="9"/>
        <v>45808</v>
      </c>
      <c r="P107" s="702"/>
      <c r="Q107" s="702"/>
      <c r="R107" s="690" cm="1">
        <f t="array" ref="R107">INDEX(verificare!$AT$4:$CC$33,VLOOKUP($AA$16,verificare!$AR$4:$AS$33,2,FALSE),A107)</f>
        <v>0</v>
      </c>
      <c r="S107" s="690"/>
      <c r="T107" s="690"/>
      <c r="U107" s="690"/>
      <c r="V107" s="658" t="s">
        <v>446</v>
      </c>
      <c r="W107" s="658"/>
      <c r="X107" s="691">
        <f>HLOOKUP(VLOOKUP($AA$16,'Date SPV'!$B:$F,5,FALSE),'Preturi si tarife'!$C$2:$J$39,A107+2,FALSE)</f>
        <v>1.26E-2</v>
      </c>
      <c r="Y107" s="692"/>
      <c r="Z107" s="692"/>
      <c r="AA107" s="693"/>
      <c r="AB107" s="690">
        <f t="shared" si="4"/>
        <v>0</v>
      </c>
      <c r="AC107" s="690"/>
      <c r="AD107" s="690"/>
      <c r="AE107" s="690"/>
      <c r="AF107" s="690">
        <f t="shared" si="5"/>
        <v>0</v>
      </c>
      <c r="AG107" s="690"/>
      <c r="AH107" s="690"/>
      <c r="AI107" s="690"/>
      <c r="AJ107" s="690">
        <f t="shared" si="6"/>
        <v>0</v>
      </c>
      <c r="AK107" s="690"/>
      <c r="AL107" s="690"/>
      <c r="AM107" s="690"/>
    </row>
    <row r="108" spans="1:39" ht="15.95" customHeight="1">
      <c r="A108" s="65">
        <f t="shared" si="7"/>
        <v>18</v>
      </c>
      <c r="B108" s="699" t="s">
        <v>1130</v>
      </c>
      <c r="C108" s="700"/>
      <c r="D108" s="700"/>
      <c r="E108" s="700"/>
      <c r="F108" s="700"/>
      <c r="G108" s="700"/>
      <c r="H108" s="700"/>
      <c r="I108" s="700"/>
      <c r="J108" s="700"/>
      <c r="K108" s="701"/>
      <c r="L108" s="702">
        <f t="shared" si="8"/>
        <v>45778</v>
      </c>
      <c r="M108" s="702"/>
      <c r="N108" s="702"/>
      <c r="O108" s="702">
        <f t="shared" si="9"/>
        <v>45808</v>
      </c>
      <c r="P108" s="702"/>
      <c r="Q108" s="702"/>
      <c r="R108" s="690" cm="1">
        <f t="array" ref="R108">INDEX(verificare!$AT$4:$CC$33,VLOOKUP($AA$16,verificare!$AR$4:$AS$33,2,FALSE),A108)</f>
        <v>0</v>
      </c>
      <c r="S108" s="690"/>
      <c r="T108" s="690"/>
      <c r="U108" s="690"/>
      <c r="V108" s="658" t="s">
        <v>446</v>
      </c>
      <c r="W108" s="658"/>
      <c r="X108" s="691">
        <f>HLOOKUP(VLOOKUP($AA$16,'Date SPV'!$B:$F,5,FALSE),'Preturi si tarife'!$C$2:$J$39,A108+2,FALSE)</f>
        <v>9.2700000000000005E-2</v>
      </c>
      <c r="Y108" s="692"/>
      <c r="Z108" s="692"/>
      <c r="AA108" s="693"/>
      <c r="AB108" s="690">
        <f t="shared" si="4"/>
        <v>0</v>
      </c>
      <c r="AC108" s="690"/>
      <c r="AD108" s="690"/>
      <c r="AE108" s="690"/>
      <c r="AF108" s="690">
        <f t="shared" si="5"/>
        <v>0</v>
      </c>
      <c r="AG108" s="690"/>
      <c r="AH108" s="690"/>
      <c r="AI108" s="690"/>
      <c r="AJ108" s="690">
        <f t="shared" si="6"/>
        <v>0</v>
      </c>
      <c r="AK108" s="690"/>
      <c r="AL108" s="690"/>
      <c r="AM108" s="690"/>
    </row>
    <row r="109" spans="1:39">
      <c r="A109" s="65">
        <f t="shared" si="7"/>
        <v>19</v>
      </c>
      <c r="B109" s="699" t="s">
        <v>99</v>
      </c>
      <c r="C109" s="700"/>
      <c r="D109" s="700"/>
      <c r="E109" s="700"/>
      <c r="F109" s="700"/>
      <c r="G109" s="700"/>
      <c r="H109" s="700"/>
      <c r="I109" s="700"/>
      <c r="J109" s="700"/>
      <c r="K109" s="701"/>
      <c r="L109" s="702">
        <f>'Date masura OD'!$W$5</f>
        <v>45748</v>
      </c>
      <c r="M109" s="702"/>
      <c r="N109" s="702"/>
      <c r="O109" s="702">
        <f>'Date masura OD'!$X$5</f>
        <v>45777</v>
      </c>
      <c r="P109" s="702"/>
      <c r="Q109" s="702"/>
      <c r="R109" s="690" cm="1">
        <f t="array" ref="R109">INDEX(verificare!$AT$4:$CC$33,VLOOKUP($AA$16,verificare!$AR$4:$AS$33,2,FALSE),A109)</f>
        <v>0</v>
      </c>
      <c r="S109" s="690"/>
      <c r="T109" s="690"/>
      <c r="U109" s="690"/>
      <c r="V109" s="658" t="s">
        <v>446</v>
      </c>
      <c r="W109" s="658"/>
      <c r="X109" s="659">
        <f>HLOOKUP(VLOOKUP($AA$16,'Date SPV'!$B:$F,5,FALSE),'Preturi si tarife'!$C$2:$J$39,A109+2,FALSE)</f>
        <v>0.59499999999999997</v>
      </c>
      <c r="Y109" s="659"/>
      <c r="Z109" s="659"/>
      <c r="AA109" s="659"/>
      <c r="AB109" s="653">
        <f t="shared" si="4"/>
        <v>0</v>
      </c>
      <c r="AC109" s="653"/>
      <c r="AD109" s="653"/>
      <c r="AE109" s="653"/>
      <c r="AF109" s="653">
        <f t="shared" si="5"/>
        <v>0</v>
      </c>
      <c r="AG109" s="653"/>
      <c r="AH109" s="653"/>
      <c r="AI109" s="653"/>
      <c r="AJ109" s="653">
        <f t="shared" si="6"/>
        <v>0</v>
      </c>
      <c r="AK109" s="653"/>
      <c r="AL109" s="653"/>
      <c r="AM109" s="653"/>
    </row>
    <row r="110" spans="1:39">
      <c r="A110" s="65">
        <f t="shared" si="7"/>
        <v>20</v>
      </c>
      <c r="B110" s="699" t="s">
        <v>100</v>
      </c>
      <c r="C110" s="700"/>
      <c r="D110" s="700"/>
      <c r="E110" s="700"/>
      <c r="F110" s="700"/>
      <c r="G110" s="700"/>
      <c r="H110" s="700"/>
      <c r="I110" s="700"/>
      <c r="J110" s="700"/>
      <c r="K110" s="701"/>
      <c r="L110" s="702">
        <f>L109</f>
        <v>45748</v>
      </c>
      <c r="M110" s="702"/>
      <c r="N110" s="702"/>
      <c r="O110" s="702">
        <f t="shared" ref="O110:O126" si="10">O109</f>
        <v>45777</v>
      </c>
      <c r="P110" s="702"/>
      <c r="Q110" s="702"/>
      <c r="R110" s="690" cm="1">
        <f t="array" ref="R110">INDEX(verificare!$AT$4:$CC$33,VLOOKUP($AA$16,verificare!$AR$4:$AS$33,2,FALSE),A110)</f>
        <v>9</v>
      </c>
      <c r="S110" s="690"/>
      <c r="T110" s="690"/>
      <c r="U110" s="690"/>
      <c r="V110" s="658" t="s">
        <v>727</v>
      </c>
      <c r="W110" s="658"/>
      <c r="X110" s="659">
        <f>HLOOKUP(VLOOKUP($AA$16,'Date SPV'!$B:$F,5,FALSE),'Preturi si tarife'!$C$2:$J$39,A110+2,FALSE)</f>
        <v>0.14649999999999999</v>
      </c>
      <c r="Y110" s="659"/>
      <c r="Z110" s="659"/>
      <c r="AA110" s="659"/>
      <c r="AB110" s="726">
        <f t="shared" si="4"/>
        <v>1.32</v>
      </c>
      <c r="AC110" s="726"/>
      <c r="AD110" s="726"/>
      <c r="AE110" s="726"/>
      <c r="AF110" s="726">
        <f t="shared" si="5"/>
        <v>0.25</v>
      </c>
      <c r="AG110" s="726"/>
      <c r="AH110" s="726"/>
      <c r="AI110" s="726"/>
      <c r="AJ110" s="726">
        <f t="shared" si="6"/>
        <v>1.57</v>
      </c>
      <c r="AK110" s="726"/>
      <c r="AL110" s="726"/>
      <c r="AM110" s="726"/>
    </row>
    <row r="111" spans="1:39" ht="15.95" customHeight="1">
      <c r="A111" s="65">
        <f t="shared" si="7"/>
        <v>21</v>
      </c>
      <c r="B111" s="699" t="s">
        <v>101</v>
      </c>
      <c r="C111" s="700"/>
      <c r="D111" s="700"/>
      <c r="E111" s="700"/>
      <c r="F111" s="700"/>
      <c r="G111" s="700"/>
      <c r="H111" s="700"/>
      <c r="I111" s="700"/>
      <c r="J111" s="700"/>
      <c r="K111" s="701"/>
      <c r="L111" s="702">
        <f t="shared" ref="L111:L126" si="11">L110</f>
        <v>45748</v>
      </c>
      <c r="M111" s="702"/>
      <c r="N111" s="702"/>
      <c r="O111" s="702">
        <f t="shared" si="10"/>
        <v>45777</v>
      </c>
      <c r="P111" s="702"/>
      <c r="Q111" s="702"/>
      <c r="R111" s="690" cm="1">
        <f t="array" ref="R111">INDEX(verificare!$AT$4:$CC$33,VLOOKUP($AA$16,verificare!$AR$4:$AS$33,2,FALSE),A111)</f>
        <v>3</v>
      </c>
      <c r="S111" s="690"/>
      <c r="T111" s="690"/>
      <c r="U111" s="690"/>
      <c r="V111" s="658" t="s">
        <v>727</v>
      </c>
      <c r="W111" s="658"/>
      <c r="X111" s="659">
        <f>HLOOKUP(VLOOKUP($AA$16,'Date SPV'!$B:$F,5,FALSE),'Preturi si tarife'!$C$2:$J$39,A111+2,FALSE)</f>
        <v>0.4395</v>
      </c>
      <c r="Y111" s="659"/>
      <c r="Z111" s="659"/>
      <c r="AA111" s="659"/>
      <c r="AB111" s="653">
        <f t="shared" si="4"/>
        <v>1.32</v>
      </c>
      <c r="AC111" s="653"/>
      <c r="AD111" s="653"/>
      <c r="AE111" s="653"/>
      <c r="AF111" s="653">
        <f t="shared" si="5"/>
        <v>0.25</v>
      </c>
      <c r="AG111" s="653"/>
      <c r="AH111" s="653"/>
      <c r="AI111" s="653"/>
      <c r="AJ111" s="653">
        <f t="shared" si="6"/>
        <v>1.57</v>
      </c>
      <c r="AK111" s="653"/>
      <c r="AL111" s="653"/>
      <c r="AM111" s="653"/>
    </row>
    <row r="112" spans="1:39" ht="18.95" customHeight="1">
      <c r="A112" s="65">
        <f t="shared" si="7"/>
        <v>22</v>
      </c>
      <c r="B112" s="699" t="s">
        <v>869</v>
      </c>
      <c r="C112" s="700"/>
      <c r="D112" s="700"/>
      <c r="E112" s="700"/>
      <c r="F112" s="700"/>
      <c r="G112" s="700"/>
      <c r="H112" s="700"/>
      <c r="I112" s="700"/>
      <c r="J112" s="700"/>
      <c r="K112" s="701"/>
      <c r="L112" s="702">
        <f t="shared" si="11"/>
        <v>45748</v>
      </c>
      <c r="M112" s="702"/>
      <c r="N112" s="702"/>
      <c r="O112" s="702">
        <f t="shared" si="10"/>
        <v>45777</v>
      </c>
      <c r="P112" s="702"/>
      <c r="Q112" s="702"/>
      <c r="R112" s="690" cm="1">
        <f t="array" ref="R112">INDEX(verificare!$AT$4:$CC$33,VLOOKUP($AA$16,verificare!$AR$4:$AS$33,2,FALSE),A112)</f>
        <v>0</v>
      </c>
      <c r="S112" s="690"/>
      <c r="T112" s="690"/>
      <c r="U112" s="690"/>
      <c r="V112" s="658" t="s">
        <v>446</v>
      </c>
      <c r="W112" s="658"/>
      <c r="X112" s="659">
        <f>HLOOKUP(VLOOKUP($AA$16,'Date SPV'!$B:$F,5,FALSE),'Preturi si tarife'!$C$2:$J$39,A112+2,FALSE)</f>
        <v>0.11483</v>
      </c>
      <c r="Y112" s="659"/>
      <c r="Z112" s="659"/>
      <c r="AA112" s="659"/>
      <c r="AB112" s="653">
        <f t="shared" si="4"/>
        <v>0</v>
      </c>
      <c r="AC112" s="653"/>
      <c r="AD112" s="653"/>
      <c r="AE112" s="653"/>
      <c r="AF112" s="653">
        <f t="shared" si="5"/>
        <v>0</v>
      </c>
      <c r="AG112" s="653"/>
      <c r="AH112" s="653"/>
      <c r="AI112" s="653"/>
      <c r="AJ112" s="653">
        <f t="shared" si="6"/>
        <v>0</v>
      </c>
      <c r="AK112" s="653"/>
      <c r="AL112" s="653"/>
      <c r="AM112" s="653"/>
    </row>
    <row r="113" spans="1:39" ht="18.95" customHeight="1">
      <c r="A113" s="65">
        <f t="shared" si="7"/>
        <v>23</v>
      </c>
      <c r="B113" s="699" t="s">
        <v>758</v>
      </c>
      <c r="C113" s="700"/>
      <c r="D113" s="700"/>
      <c r="E113" s="700"/>
      <c r="F113" s="700"/>
      <c r="G113" s="700"/>
      <c r="H113" s="700"/>
      <c r="I113" s="700"/>
      <c r="J113" s="700"/>
      <c r="K113" s="701"/>
      <c r="L113" s="702">
        <f t="shared" si="11"/>
        <v>45748</v>
      </c>
      <c r="M113" s="702"/>
      <c r="N113" s="702"/>
      <c r="O113" s="702">
        <f t="shared" si="10"/>
        <v>45777</v>
      </c>
      <c r="P113" s="702"/>
      <c r="Q113" s="702"/>
      <c r="R113" s="690" cm="1">
        <f t="array" ref="R113">INDEX(verificare!$AT$4:$CC$33,VLOOKUP($AA$16,verificare!$AR$4:$AS$33,2,FALSE),A113)</f>
        <v>0</v>
      </c>
      <c r="S113" s="690"/>
      <c r="T113" s="690"/>
      <c r="U113" s="690"/>
      <c r="V113" s="658" t="s">
        <v>446</v>
      </c>
      <c r="W113" s="658"/>
      <c r="X113" s="659">
        <f>HLOOKUP(VLOOKUP($AA$16,'Date SPV'!$B:$F,5,FALSE),'Preturi si tarife'!$C$2:$J$39,A113+2,FALSE)</f>
        <v>0.2361</v>
      </c>
      <c r="Y113" s="659"/>
      <c r="Z113" s="659"/>
      <c r="AA113" s="659"/>
      <c r="AB113" s="653">
        <f t="shared" si="4"/>
        <v>0</v>
      </c>
      <c r="AC113" s="653"/>
      <c r="AD113" s="653"/>
      <c r="AE113" s="653"/>
      <c r="AF113" s="653">
        <f t="shared" si="5"/>
        <v>0</v>
      </c>
      <c r="AG113" s="653"/>
      <c r="AH113" s="653"/>
      <c r="AI113" s="653"/>
      <c r="AJ113" s="653">
        <f t="shared" si="6"/>
        <v>0</v>
      </c>
      <c r="AK113" s="653"/>
      <c r="AL113" s="653"/>
      <c r="AM113" s="653"/>
    </row>
    <row r="114" spans="1:39" ht="18.95" customHeight="1">
      <c r="A114" s="65">
        <f t="shared" si="7"/>
        <v>24</v>
      </c>
      <c r="B114" s="699" t="s">
        <v>102</v>
      </c>
      <c r="C114" s="700"/>
      <c r="D114" s="700"/>
      <c r="E114" s="700"/>
      <c r="F114" s="700"/>
      <c r="G114" s="700"/>
      <c r="H114" s="700"/>
      <c r="I114" s="700"/>
      <c r="J114" s="700"/>
      <c r="K114" s="701"/>
      <c r="L114" s="702">
        <f t="shared" si="11"/>
        <v>45748</v>
      </c>
      <c r="M114" s="702"/>
      <c r="N114" s="702"/>
      <c r="O114" s="702">
        <f t="shared" si="10"/>
        <v>45777</v>
      </c>
      <c r="P114" s="702"/>
      <c r="Q114" s="702"/>
      <c r="R114" s="690" cm="1">
        <f t="array" ref="R114">INDEX(verificare!$AT$4:$CC$33,VLOOKUP($AA$16,verificare!$AR$4:$AS$33,2,FALSE),A114)</f>
        <v>0</v>
      </c>
      <c r="S114" s="690"/>
      <c r="T114" s="690"/>
      <c r="U114" s="690"/>
      <c r="V114" s="658" t="s">
        <v>446</v>
      </c>
      <c r="W114" s="658"/>
      <c r="X114" s="659">
        <f>HLOOKUP(VLOOKUP($AA$16,'Date SPV'!$B:$F,5,FALSE),'Preturi si tarife'!$C$2:$J$39,A114+2,FALSE)</f>
        <v>1.1509999999999999E-2</v>
      </c>
      <c r="Y114" s="659"/>
      <c r="Z114" s="659"/>
      <c r="AA114" s="659"/>
      <c r="AB114" s="653">
        <f t="shared" si="4"/>
        <v>0</v>
      </c>
      <c r="AC114" s="653"/>
      <c r="AD114" s="653"/>
      <c r="AE114" s="653"/>
      <c r="AF114" s="653">
        <f t="shared" si="5"/>
        <v>0</v>
      </c>
      <c r="AG114" s="653"/>
      <c r="AH114" s="653"/>
      <c r="AI114" s="653"/>
      <c r="AJ114" s="653">
        <f t="shared" si="6"/>
        <v>0</v>
      </c>
      <c r="AK114" s="653"/>
      <c r="AL114" s="653"/>
      <c r="AM114" s="653"/>
    </row>
    <row r="115" spans="1:39" ht="18.95" customHeight="1">
      <c r="A115" s="65">
        <f t="shared" si="7"/>
        <v>25</v>
      </c>
      <c r="B115" s="699" t="s">
        <v>103</v>
      </c>
      <c r="C115" s="700"/>
      <c r="D115" s="700"/>
      <c r="E115" s="700"/>
      <c r="F115" s="700"/>
      <c r="G115" s="700"/>
      <c r="H115" s="700"/>
      <c r="I115" s="700"/>
      <c r="J115" s="700"/>
      <c r="K115" s="701"/>
      <c r="L115" s="702">
        <f t="shared" si="11"/>
        <v>45748</v>
      </c>
      <c r="M115" s="702"/>
      <c r="N115" s="702"/>
      <c r="O115" s="702">
        <f t="shared" si="10"/>
        <v>45777</v>
      </c>
      <c r="P115" s="702"/>
      <c r="Q115" s="702"/>
      <c r="R115" s="690" cm="1">
        <f t="array" ref="R115">INDEX(verificare!$AT$4:$CC$33,VLOOKUP($AA$16,verificare!$AR$4:$AS$33,2,FALSE),A115)</f>
        <v>0</v>
      </c>
      <c r="S115" s="690"/>
      <c r="T115" s="690"/>
      <c r="U115" s="690"/>
      <c r="V115" s="658" t="s">
        <v>446</v>
      </c>
      <c r="W115" s="658"/>
      <c r="X115" s="659">
        <f>HLOOKUP(VLOOKUP($AA$16,'Date SPV'!$B:$F,5,FALSE),'Preturi si tarife'!$C$2:$J$39,A115+2,FALSE)</f>
        <v>3.3030000000000004E-2</v>
      </c>
      <c r="Y115" s="659"/>
      <c r="Z115" s="659"/>
      <c r="AA115" s="659"/>
      <c r="AB115" s="653">
        <f t="shared" si="4"/>
        <v>0</v>
      </c>
      <c r="AC115" s="653"/>
      <c r="AD115" s="653"/>
      <c r="AE115" s="653"/>
      <c r="AF115" s="653">
        <f t="shared" si="5"/>
        <v>0</v>
      </c>
      <c r="AG115" s="653"/>
      <c r="AH115" s="653"/>
      <c r="AI115" s="653"/>
      <c r="AJ115" s="653">
        <f t="shared" si="6"/>
        <v>0</v>
      </c>
      <c r="AK115" s="653"/>
      <c r="AL115" s="653"/>
      <c r="AM115" s="653"/>
    </row>
    <row r="116" spans="1:39" ht="18.95" customHeight="1">
      <c r="A116" s="65">
        <f t="shared" si="7"/>
        <v>26</v>
      </c>
      <c r="B116" s="699" t="s">
        <v>104</v>
      </c>
      <c r="C116" s="700"/>
      <c r="D116" s="700"/>
      <c r="E116" s="700"/>
      <c r="F116" s="700"/>
      <c r="G116" s="700"/>
      <c r="H116" s="700"/>
      <c r="I116" s="700"/>
      <c r="J116" s="700"/>
      <c r="K116" s="701"/>
      <c r="L116" s="702">
        <f t="shared" si="11"/>
        <v>45748</v>
      </c>
      <c r="M116" s="702"/>
      <c r="N116" s="702"/>
      <c r="O116" s="702">
        <f t="shared" si="10"/>
        <v>45777</v>
      </c>
      <c r="P116" s="702"/>
      <c r="Q116" s="702"/>
      <c r="R116" s="690" cm="1">
        <f t="array" ref="R116">INDEX(verificare!$AT$4:$CC$33,VLOOKUP($AA$16,verificare!$AR$4:$AS$33,2,FALSE),A116)</f>
        <v>0</v>
      </c>
      <c r="S116" s="690"/>
      <c r="T116" s="690"/>
      <c r="U116" s="690"/>
      <c r="V116" s="658" t="s">
        <v>446</v>
      </c>
      <c r="W116" s="658"/>
      <c r="X116" s="659">
        <f>HLOOKUP(VLOOKUP($AA$16,'Date SPV'!$B:$F,5,FALSE),'Preturi si tarife'!$C$2:$J$39,A116+2,FALSE)</f>
        <v>3.29E-3</v>
      </c>
      <c r="Y116" s="659"/>
      <c r="Z116" s="659"/>
      <c r="AA116" s="659"/>
      <c r="AB116" s="653">
        <f t="shared" si="4"/>
        <v>0</v>
      </c>
      <c r="AC116" s="653"/>
      <c r="AD116" s="653"/>
      <c r="AE116" s="653"/>
      <c r="AF116" s="653">
        <f t="shared" si="5"/>
        <v>0</v>
      </c>
      <c r="AG116" s="653"/>
      <c r="AH116" s="653"/>
      <c r="AI116" s="653"/>
      <c r="AJ116" s="653">
        <f t="shared" si="6"/>
        <v>0</v>
      </c>
      <c r="AK116" s="653"/>
      <c r="AL116" s="653"/>
      <c r="AM116" s="653"/>
    </row>
    <row r="117" spans="1:39" ht="18.95" customHeight="1">
      <c r="A117" s="65">
        <f t="shared" si="7"/>
        <v>27</v>
      </c>
      <c r="B117" s="699" t="s">
        <v>105</v>
      </c>
      <c r="C117" s="700"/>
      <c r="D117" s="700"/>
      <c r="E117" s="700"/>
      <c r="F117" s="700"/>
      <c r="G117" s="700"/>
      <c r="H117" s="700"/>
      <c r="I117" s="700"/>
      <c r="J117" s="700"/>
      <c r="K117" s="701"/>
      <c r="L117" s="702">
        <f t="shared" si="11"/>
        <v>45748</v>
      </c>
      <c r="M117" s="702"/>
      <c r="N117" s="702"/>
      <c r="O117" s="702">
        <f t="shared" si="10"/>
        <v>45777</v>
      </c>
      <c r="P117" s="702"/>
      <c r="Q117" s="702"/>
      <c r="R117" s="690" cm="1">
        <f t="array" ref="R117">INDEX(verificare!$AT$4:$CC$33,VLOOKUP($AA$16,verificare!$AR$4:$AS$33,2,FALSE),A117)</f>
        <v>0</v>
      </c>
      <c r="S117" s="690"/>
      <c r="T117" s="690"/>
      <c r="U117" s="690"/>
      <c r="V117" s="658" t="s">
        <v>446</v>
      </c>
      <c r="W117" s="658"/>
      <c r="X117" s="659">
        <f>HLOOKUP(VLOOKUP($AA$16,'Date SPV'!$B:$F,5,FALSE),'Preturi si tarife'!$C$2:$J$39,A117+2,FALSE)</f>
        <v>3.5000000000000001E-3</v>
      </c>
      <c r="Y117" s="659"/>
      <c r="Z117" s="659"/>
      <c r="AA117" s="659"/>
      <c r="AB117" s="653">
        <f t="shared" si="4"/>
        <v>0</v>
      </c>
      <c r="AC117" s="653"/>
      <c r="AD117" s="653"/>
      <c r="AE117" s="653"/>
      <c r="AF117" s="653">
        <f t="shared" si="5"/>
        <v>0</v>
      </c>
      <c r="AG117" s="653"/>
      <c r="AH117" s="653"/>
      <c r="AI117" s="653"/>
      <c r="AJ117" s="653">
        <f t="shared" si="6"/>
        <v>0</v>
      </c>
      <c r="AK117" s="653"/>
      <c r="AL117" s="653"/>
      <c r="AM117" s="653"/>
    </row>
    <row r="118" spans="1:39" ht="18.95" customHeight="1">
      <c r="A118" s="65">
        <f t="shared" si="7"/>
        <v>28</v>
      </c>
      <c r="B118" s="699" t="s">
        <v>106</v>
      </c>
      <c r="C118" s="700"/>
      <c r="D118" s="700"/>
      <c r="E118" s="700"/>
      <c r="F118" s="700"/>
      <c r="G118" s="700"/>
      <c r="H118" s="700"/>
      <c r="I118" s="700"/>
      <c r="J118" s="700"/>
      <c r="K118" s="701"/>
      <c r="L118" s="702">
        <f t="shared" si="11"/>
        <v>45748</v>
      </c>
      <c r="M118" s="702"/>
      <c r="N118" s="702"/>
      <c r="O118" s="702">
        <f t="shared" si="10"/>
        <v>45777</v>
      </c>
      <c r="P118" s="702"/>
      <c r="Q118" s="702"/>
      <c r="R118" s="690" cm="1">
        <f t="array" ref="R118">INDEX(verificare!$AT$4:$CC$33,VLOOKUP($AA$16,verificare!$AR$4:$AS$33,2,FALSE),A118)</f>
        <v>0</v>
      </c>
      <c r="S118" s="690"/>
      <c r="T118" s="690"/>
      <c r="U118" s="690"/>
      <c r="V118" s="658" t="s">
        <v>446</v>
      </c>
      <c r="W118" s="658"/>
      <c r="X118" s="659">
        <f>HLOOKUP(VLOOKUP($AA$16,'Date SPV'!$B:$F,5,FALSE),'Preturi si tarife'!$C$2:$J$39,A118+2,FALSE)</f>
        <v>7.2541599999999998E-2</v>
      </c>
      <c r="Y118" s="659"/>
      <c r="Z118" s="659"/>
      <c r="AA118" s="659"/>
      <c r="AB118" s="653">
        <f t="shared" si="4"/>
        <v>0</v>
      </c>
      <c r="AC118" s="653"/>
      <c r="AD118" s="653"/>
      <c r="AE118" s="653"/>
      <c r="AF118" s="653">
        <f t="shared" si="5"/>
        <v>0</v>
      </c>
      <c r="AG118" s="653"/>
      <c r="AH118" s="653"/>
      <c r="AI118" s="653"/>
      <c r="AJ118" s="653">
        <f t="shared" si="6"/>
        <v>0</v>
      </c>
      <c r="AK118" s="653"/>
      <c r="AL118" s="653"/>
      <c r="AM118" s="653"/>
    </row>
    <row r="119" spans="1:39" ht="30.95" customHeight="1">
      <c r="A119" s="65">
        <f t="shared" si="7"/>
        <v>29</v>
      </c>
      <c r="B119" s="699" t="s">
        <v>1316</v>
      </c>
      <c r="C119" s="700"/>
      <c r="D119" s="700"/>
      <c r="E119" s="700"/>
      <c r="F119" s="700"/>
      <c r="G119" s="700"/>
      <c r="H119" s="700"/>
      <c r="I119" s="700"/>
      <c r="J119" s="700"/>
      <c r="K119" s="701"/>
      <c r="L119" s="763">
        <f>L125</f>
        <v>45748</v>
      </c>
      <c r="M119" s="764"/>
      <c r="N119" s="765"/>
      <c r="O119" s="763">
        <f>O125</f>
        <v>45777</v>
      </c>
      <c r="P119" s="764"/>
      <c r="Q119" s="765"/>
      <c r="R119" s="690" cm="1">
        <f t="array" ref="R119">INDEX(verificare!$AT$4:$CC$33,VLOOKUP($AA$16,verificare!$AR$4:$AS$33,2,FALSE),A119)</f>
        <v>0</v>
      </c>
      <c r="S119" s="690"/>
      <c r="T119" s="690"/>
      <c r="U119" s="690"/>
      <c r="V119" s="724" t="s">
        <v>446</v>
      </c>
      <c r="W119" s="725"/>
      <c r="X119" s="659">
        <f>HLOOKUP(VLOOKUP($AA$16,'Date SPV'!$B:$F,5,FALSE),'Preturi si tarife'!$C$2:$J$39,A119+2,FALSE)</f>
        <v>2.0599999999999999E-4</v>
      </c>
      <c r="Y119" s="659"/>
      <c r="Z119" s="659"/>
      <c r="AA119" s="659"/>
      <c r="AB119" s="653">
        <f>ROUND(X119*R119,2)</f>
        <v>0</v>
      </c>
      <c r="AC119" s="653"/>
      <c r="AD119" s="653"/>
      <c r="AE119" s="653"/>
      <c r="AF119" s="653">
        <f>ROUND(AB119*19%,2)</f>
        <v>0</v>
      </c>
      <c r="AG119" s="653"/>
      <c r="AH119" s="653"/>
      <c r="AI119" s="653"/>
      <c r="AJ119" s="653">
        <f>AB119+AF119</f>
        <v>0</v>
      </c>
      <c r="AK119" s="653"/>
      <c r="AL119" s="653"/>
      <c r="AM119" s="653"/>
    </row>
    <row r="120" spans="1:39" ht="18.95" customHeight="1">
      <c r="A120" s="65">
        <f t="shared" si="7"/>
        <v>30</v>
      </c>
      <c r="B120" s="699" t="s">
        <v>107</v>
      </c>
      <c r="C120" s="700"/>
      <c r="D120" s="700"/>
      <c r="E120" s="700"/>
      <c r="F120" s="700"/>
      <c r="G120" s="700"/>
      <c r="H120" s="700"/>
      <c r="I120" s="700"/>
      <c r="J120" s="700"/>
      <c r="K120" s="701"/>
      <c r="L120" s="702">
        <f>L118</f>
        <v>45748</v>
      </c>
      <c r="M120" s="702"/>
      <c r="N120" s="702"/>
      <c r="O120" s="702">
        <f>O118</f>
        <v>45777</v>
      </c>
      <c r="P120" s="702"/>
      <c r="Q120" s="702"/>
      <c r="R120" s="690" cm="1">
        <f t="array" ref="R120">INDEX(verificare!$AT$4:$CC$33,VLOOKUP($AA$16,verificare!$AR$4:$AS$33,2,FALSE),A120)</f>
        <v>0</v>
      </c>
      <c r="S120" s="690"/>
      <c r="T120" s="690"/>
      <c r="U120" s="690"/>
      <c r="V120" s="658" t="s">
        <v>446</v>
      </c>
      <c r="W120" s="658"/>
      <c r="X120" s="659">
        <f>HLOOKUP(VLOOKUP($AA$16,'Date SPV'!$B:$F,5,FALSE),'Preturi si tarife'!$C$2:$J$39,A120+2,FALSE)</f>
        <v>0</v>
      </c>
      <c r="Y120" s="659"/>
      <c r="Z120" s="659"/>
      <c r="AA120" s="659"/>
      <c r="AB120" s="653">
        <f t="shared" si="4"/>
        <v>0</v>
      </c>
      <c r="AC120" s="653"/>
      <c r="AD120" s="653"/>
      <c r="AE120" s="653"/>
      <c r="AF120" s="653">
        <f t="shared" si="5"/>
        <v>0</v>
      </c>
      <c r="AG120" s="653"/>
      <c r="AH120" s="653"/>
      <c r="AI120" s="653"/>
      <c r="AJ120" s="653">
        <f t="shared" si="6"/>
        <v>0</v>
      </c>
      <c r="AK120" s="653"/>
      <c r="AL120" s="653"/>
      <c r="AM120" s="653"/>
    </row>
    <row r="121" spans="1:39" ht="18.95" customHeight="1">
      <c r="A121" s="65">
        <f t="shared" si="7"/>
        <v>31</v>
      </c>
      <c r="B121" s="699" t="s">
        <v>108</v>
      </c>
      <c r="C121" s="700"/>
      <c r="D121" s="700"/>
      <c r="E121" s="700"/>
      <c r="F121" s="700"/>
      <c r="G121" s="700"/>
      <c r="H121" s="700"/>
      <c r="I121" s="700"/>
      <c r="J121" s="700"/>
      <c r="K121" s="701"/>
      <c r="L121" s="702">
        <f>L120</f>
        <v>45748</v>
      </c>
      <c r="M121" s="702"/>
      <c r="N121" s="702"/>
      <c r="O121" s="702">
        <f>O120</f>
        <v>45777</v>
      </c>
      <c r="P121" s="702"/>
      <c r="Q121" s="702"/>
      <c r="R121" s="690" cm="1">
        <f t="array" ref="R121">INDEX(verificare!$AT$4:$CC$33,VLOOKUP($AA$16,verificare!$AR$4:$AS$33,2,FALSE),A121)</f>
        <v>0</v>
      </c>
      <c r="S121" s="690"/>
      <c r="T121" s="690"/>
      <c r="U121" s="690"/>
      <c r="V121" s="658" t="s">
        <v>446</v>
      </c>
      <c r="W121" s="658"/>
      <c r="X121" s="659">
        <f>HLOOKUP(VLOOKUP($AA$16,'Date SPV'!$B:$F,5,FALSE),'Preturi si tarife'!$C$2:$J$39,A121+2,FALSE)</f>
        <v>1.26E-2</v>
      </c>
      <c r="Y121" s="659"/>
      <c r="Z121" s="659"/>
      <c r="AA121" s="659"/>
      <c r="AB121" s="653">
        <f t="shared" si="4"/>
        <v>0</v>
      </c>
      <c r="AC121" s="653"/>
      <c r="AD121" s="653"/>
      <c r="AE121" s="653"/>
      <c r="AF121" s="653">
        <f t="shared" si="5"/>
        <v>0</v>
      </c>
      <c r="AG121" s="653"/>
      <c r="AH121" s="653"/>
      <c r="AI121" s="653"/>
      <c r="AJ121" s="653">
        <f t="shared" si="6"/>
        <v>0</v>
      </c>
      <c r="AK121" s="653"/>
      <c r="AL121" s="653"/>
      <c r="AM121" s="653"/>
    </row>
    <row r="122" spans="1:39" ht="18.95" customHeight="1">
      <c r="A122" s="65">
        <f t="shared" si="7"/>
        <v>32</v>
      </c>
      <c r="B122" s="699" t="s">
        <v>109</v>
      </c>
      <c r="C122" s="700"/>
      <c r="D122" s="700"/>
      <c r="E122" s="700"/>
      <c r="F122" s="700"/>
      <c r="G122" s="700"/>
      <c r="H122" s="700"/>
      <c r="I122" s="700"/>
      <c r="J122" s="700"/>
      <c r="K122" s="701"/>
      <c r="L122" s="702">
        <f t="shared" si="11"/>
        <v>45748</v>
      </c>
      <c r="M122" s="702"/>
      <c r="N122" s="702"/>
      <c r="O122" s="702">
        <f t="shared" si="10"/>
        <v>45777</v>
      </c>
      <c r="P122" s="702"/>
      <c r="Q122" s="702"/>
      <c r="R122" s="690" cm="1">
        <f t="array" ref="R122">INDEX(verificare!$AT$4:$CC$33,VLOOKUP($AA$16,verificare!$AR$4:$AS$33,2,FALSE),A122)</f>
        <v>0</v>
      </c>
      <c r="S122" s="690"/>
      <c r="T122" s="690"/>
      <c r="U122" s="690"/>
      <c r="V122" s="658" t="s">
        <v>446</v>
      </c>
      <c r="W122" s="658"/>
      <c r="X122" s="659">
        <f>HLOOKUP(VLOOKUP($AA$16,'Date SPV'!$B:$F,5,FALSE),'Preturi si tarife'!$C$2:$J$39,A122+2,FALSE)</f>
        <v>9.2700000000000005E-2</v>
      </c>
      <c r="Y122" s="659"/>
      <c r="Z122" s="659"/>
      <c r="AA122" s="659"/>
      <c r="AB122" s="653">
        <f t="shared" si="4"/>
        <v>0</v>
      </c>
      <c r="AC122" s="653"/>
      <c r="AD122" s="653"/>
      <c r="AE122" s="653"/>
      <c r="AF122" s="653">
        <f t="shared" si="5"/>
        <v>0</v>
      </c>
      <c r="AG122" s="653"/>
      <c r="AH122" s="653"/>
      <c r="AI122" s="653"/>
      <c r="AJ122" s="653">
        <f t="shared" si="6"/>
        <v>0</v>
      </c>
      <c r="AK122" s="653"/>
      <c r="AL122" s="653"/>
      <c r="AM122" s="653"/>
    </row>
    <row r="123" spans="1:39" ht="18.95" customHeight="1">
      <c r="A123" s="65">
        <f t="shared" si="7"/>
        <v>33</v>
      </c>
      <c r="B123" s="699" t="s">
        <v>110</v>
      </c>
      <c r="C123" s="700"/>
      <c r="D123" s="700"/>
      <c r="E123" s="700"/>
      <c r="F123" s="700"/>
      <c r="G123" s="700"/>
      <c r="H123" s="700"/>
      <c r="I123" s="700"/>
      <c r="J123" s="700"/>
      <c r="K123" s="701"/>
      <c r="L123" s="702">
        <f t="shared" si="11"/>
        <v>45748</v>
      </c>
      <c r="M123" s="702"/>
      <c r="N123" s="702"/>
      <c r="O123" s="702">
        <f t="shared" si="10"/>
        <v>45777</v>
      </c>
      <c r="P123" s="702"/>
      <c r="Q123" s="702"/>
      <c r="R123" s="690" cm="1">
        <f t="array" ref="R123">INDEX(verificare!$AT$4:$CC$33,VLOOKUP($AA$16,verificare!$AR$4:$AS$33,2,FALSE),A123)</f>
        <v>0</v>
      </c>
      <c r="S123" s="690"/>
      <c r="T123" s="690"/>
      <c r="U123" s="690"/>
      <c r="V123" s="658" t="s">
        <v>446</v>
      </c>
      <c r="W123" s="658"/>
      <c r="X123" s="659">
        <f>HLOOKUP(VLOOKUP($AA$16,'Date SPV'!$B:$F,5,FALSE),'Preturi si tarife'!$C$2:$J$39,A123+2,FALSE)</f>
        <v>0.93920760000000003</v>
      </c>
      <c r="Y123" s="659"/>
      <c r="Z123" s="659"/>
      <c r="AA123" s="659"/>
      <c r="AB123" s="653">
        <f t="shared" si="4"/>
        <v>0</v>
      </c>
      <c r="AC123" s="653"/>
      <c r="AD123" s="653"/>
      <c r="AE123" s="653"/>
      <c r="AF123" s="653">
        <f t="shared" si="5"/>
        <v>0</v>
      </c>
      <c r="AG123" s="653"/>
      <c r="AH123" s="653"/>
      <c r="AI123" s="653"/>
      <c r="AJ123" s="653">
        <f t="shared" si="6"/>
        <v>0</v>
      </c>
      <c r="AK123" s="653"/>
      <c r="AL123" s="653"/>
      <c r="AM123" s="653"/>
    </row>
    <row r="124" spans="1:39" ht="18.95" customHeight="1">
      <c r="A124" s="65">
        <f t="shared" si="7"/>
        <v>34</v>
      </c>
      <c r="B124" s="699" t="s">
        <v>111</v>
      </c>
      <c r="C124" s="700"/>
      <c r="D124" s="700"/>
      <c r="E124" s="700"/>
      <c r="F124" s="700"/>
      <c r="G124" s="700"/>
      <c r="H124" s="700"/>
      <c r="I124" s="700"/>
      <c r="J124" s="700"/>
      <c r="K124" s="701"/>
      <c r="L124" s="702">
        <f t="shared" si="11"/>
        <v>45748</v>
      </c>
      <c r="M124" s="702"/>
      <c r="N124" s="702"/>
      <c r="O124" s="702">
        <f t="shared" si="10"/>
        <v>45777</v>
      </c>
      <c r="P124" s="702"/>
      <c r="Q124" s="702"/>
      <c r="R124" s="690" cm="1">
        <f t="array" ref="R124">INDEX(verificare!$AT$4:$CC$33,VLOOKUP($AA$16,verificare!$AR$4:$AS$33,2,FALSE),A124)</f>
        <v>0</v>
      </c>
      <c r="S124" s="690"/>
      <c r="T124" s="690"/>
      <c r="U124" s="690"/>
      <c r="V124" s="658" t="s">
        <v>446</v>
      </c>
      <c r="W124" s="658"/>
      <c r="X124" s="659">
        <f>HLOOKUP(VLOOKUP($AA$16,'Date SPV'!$B:$F,5,FALSE),'Preturi si tarife'!$C$2:$J$39,A124+2,FALSE)</f>
        <v>0.83390760000000008</v>
      </c>
      <c r="Y124" s="659"/>
      <c r="Z124" s="659"/>
      <c r="AA124" s="659"/>
      <c r="AB124" s="653">
        <f t="shared" si="4"/>
        <v>0</v>
      </c>
      <c r="AC124" s="653"/>
      <c r="AD124" s="653"/>
      <c r="AE124" s="653"/>
      <c r="AF124" s="653">
        <f t="shared" si="5"/>
        <v>0</v>
      </c>
      <c r="AG124" s="653"/>
      <c r="AH124" s="653"/>
      <c r="AI124" s="653"/>
      <c r="AJ124" s="653">
        <f t="shared" si="6"/>
        <v>0</v>
      </c>
      <c r="AK124" s="653"/>
      <c r="AL124" s="653"/>
      <c r="AM124" s="653"/>
    </row>
    <row r="125" spans="1:39" ht="18.95" customHeight="1">
      <c r="A125" s="65">
        <f t="shared" si="7"/>
        <v>35</v>
      </c>
      <c r="B125" s="699" t="s">
        <v>112</v>
      </c>
      <c r="C125" s="700"/>
      <c r="D125" s="700"/>
      <c r="E125" s="700"/>
      <c r="F125" s="700"/>
      <c r="G125" s="700"/>
      <c r="H125" s="700"/>
      <c r="I125" s="700"/>
      <c r="J125" s="700"/>
      <c r="K125" s="701"/>
      <c r="L125" s="702">
        <f t="shared" si="11"/>
        <v>45748</v>
      </c>
      <c r="M125" s="702"/>
      <c r="N125" s="702"/>
      <c r="O125" s="702">
        <f t="shared" si="10"/>
        <v>45777</v>
      </c>
      <c r="P125" s="702"/>
      <c r="Q125" s="702"/>
      <c r="R125" s="690" cm="1">
        <f t="array" ref="R125">INDEX(verificare!$AT$4:$CC$33,VLOOKUP($AA$16,verificare!$AR$4:$AS$33,2,FALSE),A125)</f>
        <v>0</v>
      </c>
      <c r="S125" s="690"/>
      <c r="T125" s="690"/>
      <c r="U125" s="690"/>
      <c r="V125" s="658" t="s">
        <v>446</v>
      </c>
      <c r="W125" s="658"/>
      <c r="X125" s="659">
        <f>HLOOKUP(VLOOKUP($AA$16,'Date SPV'!$B:$F,5,FALSE),'Preturi si tarife'!$C$2:$J$39,A125+2,FALSE)</f>
        <v>1.26E-2</v>
      </c>
      <c r="Y125" s="659"/>
      <c r="Z125" s="659"/>
      <c r="AA125" s="659"/>
      <c r="AB125" s="653">
        <f t="shared" si="4"/>
        <v>0</v>
      </c>
      <c r="AC125" s="653"/>
      <c r="AD125" s="653"/>
      <c r="AE125" s="653"/>
      <c r="AF125" s="653">
        <f t="shared" si="5"/>
        <v>0</v>
      </c>
      <c r="AG125" s="653"/>
      <c r="AH125" s="653"/>
      <c r="AI125" s="653"/>
      <c r="AJ125" s="653">
        <f t="shared" si="6"/>
        <v>0</v>
      </c>
      <c r="AK125" s="653"/>
      <c r="AL125" s="653"/>
      <c r="AM125" s="653"/>
    </row>
    <row r="126" spans="1:39" ht="18.95" customHeight="1">
      <c r="A126" s="65">
        <f t="shared" si="7"/>
        <v>36</v>
      </c>
      <c r="B126" s="699" t="s">
        <v>113</v>
      </c>
      <c r="C126" s="700"/>
      <c r="D126" s="700"/>
      <c r="E126" s="700"/>
      <c r="F126" s="700"/>
      <c r="G126" s="700"/>
      <c r="H126" s="700"/>
      <c r="I126" s="700"/>
      <c r="J126" s="700"/>
      <c r="K126" s="701"/>
      <c r="L126" s="702">
        <f t="shared" si="11"/>
        <v>45748</v>
      </c>
      <c r="M126" s="702"/>
      <c r="N126" s="702"/>
      <c r="O126" s="702">
        <f t="shared" si="10"/>
        <v>45777</v>
      </c>
      <c r="P126" s="702"/>
      <c r="Q126" s="702"/>
      <c r="R126" s="690" cm="1">
        <f t="array" ref="R126">INDEX(verificare!$AT$4:$CC$33,VLOOKUP($AA$16,verificare!$AR$4:$AS$33,2,FALSE),A126)</f>
        <v>0</v>
      </c>
      <c r="S126" s="690"/>
      <c r="T126" s="690"/>
      <c r="U126" s="690"/>
      <c r="V126" s="658" t="s">
        <v>446</v>
      </c>
      <c r="W126" s="658"/>
      <c r="X126" s="659">
        <f>HLOOKUP(VLOOKUP($AA$16,'Date SPV'!$B:$F,5,FALSE),'Preturi si tarife'!$C$2:$J$39,A126+2,FALSE)</f>
        <v>9.2700000000000005E-2</v>
      </c>
      <c r="Y126" s="659"/>
      <c r="Z126" s="659"/>
      <c r="AA126" s="659"/>
      <c r="AB126" s="653">
        <f t="shared" si="4"/>
        <v>0</v>
      </c>
      <c r="AC126" s="653"/>
      <c r="AD126" s="653"/>
      <c r="AE126" s="653"/>
      <c r="AF126" s="653">
        <f t="shared" si="5"/>
        <v>0</v>
      </c>
      <c r="AG126" s="653"/>
      <c r="AH126" s="653"/>
      <c r="AI126" s="653"/>
      <c r="AJ126" s="653">
        <f t="shared" si="6"/>
        <v>0</v>
      </c>
      <c r="AK126" s="653"/>
      <c r="AL126" s="653"/>
      <c r="AM126" s="653"/>
    </row>
    <row r="127" spans="1:39" ht="17.45" customHeight="1">
      <c r="A127" s="65">
        <f t="shared" si="7"/>
        <v>37</v>
      </c>
      <c r="B127" s="699" t="s">
        <v>728</v>
      </c>
      <c r="C127" s="700"/>
      <c r="D127" s="700"/>
      <c r="E127" s="700"/>
      <c r="F127" s="700"/>
      <c r="G127" s="700"/>
      <c r="H127" s="700"/>
      <c r="I127" s="700"/>
      <c r="J127" s="700"/>
      <c r="K127" s="701"/>
      <c r="L127" s="702" t="s">
        <v>69</v>
      </c>
      <c r="M127" s="702"/>
      <c r="N127" s="702"/>
      <c r="O127" s="702" t="s">
        <v>69</v>
      </c>
      <c r="P127" s="702"/>
      <c r="Q127" s="702"/>
      <c r="R127" s="690">
        <v>0</v>
      </c>
      <c r="S127" s="690"/>
      <c r="T127" s="690"/>
      <c r="U127" s="690"/>
      <c r="V127" s="658" t="s">
        <v>69</v>
      </c>
      <c r="W127" s="658"/>
      <c r="X127" s="659" t="s">
        <v>69</v>
      </c>
      <c r="Y127" s="659"/>
      <c r="Z127" s="659"/>
      <c r="AA127" s="659"/>
      <c r="AB127" s="653">
        <v>0</v>
      </c>
      <c r="AC127" s="653"/>
      <c r="AD127" s="653"/>
      <c r="AE127" s="653"/>
      <c r="AF127" s="653">
        <f t="shared" si="5"/>
        <v>0</v>
      </c>
      <c r="AG127" s="653"/>
      <c r="AH127" s="653"/>
      <c r="AI127" s="653"/>
      <c r="AJ127" s="653">
        <f t="shared" si="6"/>
        <v>0</v>
      </c>
      <c r="AK127" s="653"/>
      <c r="AL127" s="653"/>
      <c r="AM127" s="653"/>
    </row>
    <row r="128" spans="1:39" ht="17.45" customHeight="1">
      <c r="A128" s="65">
        <f>A127+1</f>
        <v>38</v>
      </c>
      <c r="B128" s="699" t="s">
        <v>729</v>
      </c>
      <c r="C128" s="700"/>
      <c r="D128" s="700"/>
      <c r="E128" s="700"/>
      <c r="F128" s="700"/>
      <c r="G128" s="700"/>
      <c r="H128" s="700"/>
      <c r="I128" s="700"/>
      <c r="J128" s="700"/>
      <c r="K128" s="701"/>
      <c r="L128" s="702" t="s">
        <v>69</v>
      </c>
      <c r="M128" s="702"/>
      <c r="N128" s="702"/>
      <c r="O128" s="702" t="s">
        <v>69</v>
      </c>
      <c r="P128" s="702"/>
      <c r="Q128" s="702"/>
      <c r="R128" s="690">
        <v>0</v>
      </c>
      <c r="S128" s="690"/>
      <c r="T128" s="690"/>
      <c r="U128" s="690"/>
      <c r="V128" s="658" t="s">
        <v>69</v>
      </c>
      <c r="W128" s="658"/>
      <c r="X128" s="659" t="s">
        <v>69</v>
      </c>
      <c r="Y128" s="659"/>
      <c r="Z128" s="659"/>
      <c r="AA128" s="659"/>
      <c r="AB128" s="726">
        <f>SUM(AB91:AE127)</f>
        <v>26588.81</v>
      </c>
      <c r="AC128" s="726"/>
      <c r="AD128" s="726"/>
      <c r="AE128" s="726"/>
      <c r="AF128" s="726">
        <f>SUM(AF91:AI127)</f>
        <v>5051.8600000000006</v>
      </c>
      <c r="AG128" s="726"/>
      <c r="AH128" s="726"/>
      <c r="AI128" s="726"/>
      <c r="AJ128" s="726">
        <f>SUM(AJ91:AM127)</f>
        <v>31640.670000000002</v>
      </c>
      <c r="AK128" s="726"/>
      <c r="AL128" s="726"/>
      <c r="AM128" s="726"/>
    </row>
  </sheetData>
  <mergeCells count="665">
    <mergeCell ref="AK64:AM66"/>
    <mergeCell ref="J65:L65"/>
    <mergeCell ref="J66:L66"/>
    <mergeCell ref="A67:F69"/>
    <mergeCell ref="G67:I69"/>
    <mergeCell ref="J67:L67"/>
    <mergeCell ref="M67:N69"/>
    <mergeCell ref="O67:Q69"/>
    <mergeCell ref="R67:T69"/>
    <mergeCell ref="U67:W69"/>
    <mergeCell ref="X67:Z69"/>
    <mergeCell ref="AA67:AC69"/>
    <mergeCell ref="AD67:AE69"/>
    <mergeCell ref="AF67:AH69"/>
    <mergeCell ref="AI67:AJ69"/>
    <mergeCell ref="AK67:AM69"/>
    <mergeCell ref="J68:L68"/>
    <mergeCell ref="J69:L69"/>
    <mergeCell ref="A64:F66"/>
    <mergeCell ref="G64:I66"/>
    <mergeCell ref="J64:L64"/>
    <mergeCell ref="M64:N66"/>
    <mergeCell ref="O64:Q66"/>
    <mergeCell ref="R64:T66"/>
    <mergeCell ref="U64:W66"/>
    <mergeCell ref="X64:Z66"/>
    <mergeCell ref="AA64:AC66"/>
    <mergeCell ref="AD58:AE60"/>
    <mergeCell ref="AF58:AH60"/>
    <mergeCell ref="AI58:AJ60"/>
    <mergeCell ref="U58:W60"/>
    <mergeCell ref="X58:Z60"/>
    <mergeCell ref="AA58:AC60"/>
    <mergeCell ref="AD64:AE66"/>
    <mergeCell ref="AF64:AH66"/>
    <mergeCell ref="AI64:AJ66"/>
    <mergeCell ref="AK58:AM60"/>
    <mergeCell ref="J59:L59"/>
    <mergeCell ref="J60:L60"/>
    <mergeCell ref="A61:F63"/>
    <mergeCell ref="G61:I63"/>
    <mergeCell ref="J61:L61"/>
    <mergeCell ref="M61:N63"/>
    <mergeCell ref="O61:Q63"/>
    <mergeCell ref="R61:T63"/>
    <mergeCell ref="U61:W63"/>
    <mergeCell ref="X61:Z63"/>
    <mergeCell ref="AA61:AC63"/>
    <mergeCell ref="AD61:AE63"/>
    <mergeCell ref="AF61:AH63"/>
    <mergeCell ref="AI61:AJ63"/>
    <mergeCell ref="AK61:AM63"/>
    <mergeCell ref="J62:L62"/>
    <mergeCell ref="J63:L63"/>
    <mergeCell ref="A58:F60"/>
    <mergeCell ref="G58:I60"/>
    <mergeCell ref="J58:L58"/>
    <mergeCell ref="M58:N60"/>
    <mergeCell ref="O58:Q60"/>
    <mergeCell ref="R58:T60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I55:AJ57"/>
    <mergeCell ref="AK55:AM57"/>
    <mergeCell ref="J56:L56"/>
    <mergeCell ref="J57:L5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28:AM28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G37:I39"/>
    <mergeCell ref="J37:L39"/>
    <mergeCell ref="M37:N39"/>
    <mergeCell ref="O37:Q39"/>
    <mergeCell ref="R37:T3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R43:T4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AF46:AH48"/>
    <mergeCell ref="AI46:AJ48"/>
    <mergeCell ref="AK46:AM48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9:AH51"/>
    <mergeCell ref="AI49:AJ51"/>
    <mergeCell ref="AK49:AM51"/>
    <mergeCell ref="J50:L50"/>
    <mergeCell ref="J51:L51"/>
    <mergeCell ref="A71:AH71"/>
    <mergeCell ref="AI71:AM71"/>
    <mergeCell ref="O49:Q51"/>
    <mergeCell ref="R49:T51"/>
    <mergeCell ref="U49:W51"/>
    <mergeCell ref="X49:Z51"/>
    <mergeCell ref="AA49:AC51"/>
    <mergeCell ref="AD49:AE51"/>
    <mergeCell ref="A52:F54"/>
    <mergeCell ref="G52:I54"/>
    <mergeCell ref="J52:L52"/>
    <mergeCell ref="M52:N54"/>
    <mergeCell ref="O52:Q54"/>
    <mergeCell ref="R52:T54"/>
    <mergeCell ref="U52:W54"/>
    <mergeCell ref="X52:Z54"/>
    <mergeCell ref="AA52:AC54"/>
    <mergeCell ref="AD52:AE54"/>
    <mergeCell ref="AF52:AH54"/>
    <mergeCell ref="A72:L72"/>
    <mergeCell ref="M72:AH72"/>
    <mergeCell ref="AI72:AM73"/>
    <mergeCell ref="A73:L73"/>
    <mergeCell ref="M73:AH73"/>
    <mergeCell ref="A74:F76"/>
    <mergeCell ref="G74:I76"/>
    <mergeCell ref="J74:L76"/>
    <mergeCell ref="M74:N76"/>
    <mergeCell ref="O74:Q76"/>
    <mergeCell ref="A77:F79"/>
    <mergeCell ref="G77:I79"/>
    <mergeCell ref="J77:L77"/>
    <mergeCell ref="M77:N79"/>
    <mergeCell ref="O77:Q79"/>
    <mergeCell ref="R77:T79"/>
    <mergeCell ref="U77:W79"/>
    <mergeCell ref="X77:Z79"/>
    <mergeCell ref="R74:T76"/>
    <mergeCell ref="U74:W76"/>
    <mergeCell ref="X74:Z76"/>
    <mergeCell ref="AA77:AC79"/>
    <mergeCell ref="AD77:AE79"/>
    <mergeCell ref="AF77:AH79"/>
    <mergeCell ref="AI77:AJ79"/>
    <mergeCell ref="AK77:AM79"/>
    <mergeCell ref="J78:L78"/>
    <mergeCell ref="J79:L79"/>
    <mergeCell ref="AI74:AJ76"/>
    <mergeCell ref="AK74:AM76"/>
    <mergeCell ref="AA74:AC76"/>
    <mergeCell ref="AD74:AE76"/>
    <mergeCell ref="AF74:AH76"/>
    <mergeCell ref="AK80:AM82"/>
    <mergeCell ref="J81:L81"/>
    <mergeCell ref="J82:L82"/>
    <mergeCell ref="A83:F85"/>
    <mergeCell ref="G83:I85"/>
    <mergeCell ref="J83:L83"/>
    <mergeCell ref="M83:N85"/>
    <mergeCell ref="O83:Q85"/>
    <mergeCell ref="R83:T85"/>
    <mergeCell ref="U83:W85"/>
    <mergeCell ref="U80:W82"/>
    <mergeCell ref="X80:Z82"/>
    <mergeCell ref="AA80:AC82"/>
    <mergeCell ref="AD80:AE82"/>
    <mergeCell ref="AF80:AH82"/>
    <mergeCell ref="AI80:AJ82"/>
    <mergeCell ref="A80:F82"/>
    <mergeCell ref="G80:I82"/>
    <mergeCell ref="J80:L80"/>
    <mergeCell ref="M80:N82"/>
    <mergeCell ref="O80:Q82"/>
    <mergeCell ref="R80:T82"/>
    <mergeCell ref="J84:L84"/>
    <mergeCell ref="J85:L85"/>
    <mergeCell ref="A88:AM88"/>
    <mergeCell ref="B90:K90"/>
    <mergeCell ref="R90:U90"/>
    <mergeCell ref="V90:W90"/>
    <mergeCell ref="X90:AA90"/>
    <mergeCell ref="AB90:AE90"/>
    <mergeCell ref="AF90:AI90"/>
    <mergeCell ref="AJ90:AM90"/>
    <mergeCell ref="X83:Z85"/>
    <mergeCell ref="AA83:AC85"/>
    <mergeCell ref="AD83:AE85"/>
    <mergeCell ref="AF83:AH85"/>
    <mergeCell ref="AI83:AJ85"/>
    <mergeCell ref="AK83:AM85"/>
    <mergeCell ref="AB91:AE91"/>
    <mergeCell ref="AF91:AI91"/>
    <mergeCell ref="AJ91:AM91"/>
    <mergeCell ref="B92:K92"/>
    <mergeCell ref="L92:N92"/>
    <mergeCell ref="O92:Q92"/>
    <mergeCell ref="R92:U92"/>
    <mergeCell ref="V92:W92"/>
    <mergeCell ref="X92:AA92"/>
    <mergeCell ref="AB92:AE92"/>
    <mergeCell ref="B91:K91"/>
    <mergeCell ref="L91:N91"/>
    <mergeCell ref="O91:Q91"/>
    <mergeCell ref="R91:U91"/>
    <mergeCell ref="V91:W91"/>
    <mergeCell ref="X91:AA91"/>
    <mergeCell ref="AF92:AI92"/>
    <mergeCell ref="AJ92:AM92"/>
    <mergeCell ref="B93:K93"/>
    <mergeCell ref="L93:N93"/>
    <mergeCell ref="O93:Q93"/>
    <mergeCell ref="R93:U93"/>
    <mergeCell ref="V93:W93"/>
    <mergeCell ref="X93:AA93"/>
    <mergeCell ref="AB93:AE93"/>
    <mergeCell ref="AF93:AI93"/>
    <mergeCell ref="AJ93:AM93"/>
    <mergeCell ref="B94:K94"/>
    <mergeCell ref="L94:N94"/>
    <mergeCell ref="O94:Q94"/>
    <mergeCell ref="R94:U94"/>
    <mergeCell ref="V94:W94"/>
    <mergeCell ref="X94:AA94"/>
    <mergeCell ref="AB94:AE94"/>
    <mergeCell ref="AF94:AI94"/>
    <mergeCell ref="AJ94:AM94"/>
    <mergeCell ref="AB95:AE95"/>
    <mergeCell ref="AF95:AI95"/>
    <mergeCell ref="AJ95:AM95"/>
    <mergeCell ref="B96:K96"/>
    <mergeCell ref="L96:N96"/>
    <mergeCell ref="O96:Q96"/>
    <mergeCell ref="R96:U96"/>
    <mergeCell ref="V96:W96"/>
    <mergeCell ref="X96:AA96"/>
    <mergeCell ref="AB96:AE96"/>
    <mergeCell ref="B95:K95"/>
    <mergeCell ref="L95:N95"/>
    <mergeCell ref="O95:Q95"/>
    <mergeCell ref="R95:U95"/>
    <mergeCell ref="V95:W95"/>
    <mergeCell ref="X95:AA95"/>
    <mergeCell ref="AF96:AI96"/>
    <mergeCell ref="AJ96:AM96"/>
    <mergeCell ref="B97:K97"/>
    <mergeCell ref="L97:N97"/>
    <mergeCell ref="O97:Q97"/>
    <mergeCell ref="R97:U97"/>
    <mergeCell ref="V97:W97"/>
    <mergeCell ref="X97:AA97"/>
    <mergeCell ref="AB97:AE97"/>
    <mergeCell ref="AF97:AI97"/>
    <mergeCell ref="AJ97:AM97"/>
    <mergeCell ref="B98:K98"/>
    <mergeCell ref="L98:N98"/>
    <mergeCell ref="O98:Q98"/>
    <mergeCell ref="R98:U98"/>
    <mergeCell ref="V98:W98"/>
    <mergeCell ref="X98:AA98"/>
    <mergeCell ref="AB98:AE98"/>
    <mergeCell ref="AF98:AI98"/>
    <mergeCell ref="AJ98:AM98"/>
    <mergeCell ref="AB99:AE99"/>
    <mergeCell ref="AF99:AI99"/>
    <mergeCell ref="AJ99:AM99"/>
    <mergeCell ref="B100:K100"/>
    <mergeCell ref="L100:N100"/>
    <mergeCell ref="O100:Q100"/>
    <mergeCell ref="R100:U100"/>
    <mergeCell ref="V100:W100"/>
    <mergeCell ref="X100:AA100"/>
    <mergeCell ref="AB100:AE100"/>
    <mergeCell ref="B99:K99"/>
    <mergeCell ref="L99:N99"/>
    <mergeCell ref="O99:Q99"/>
    <mergeCell ref="R99:U99"/>
    <mergeCell ref="V99:W99"/>
    <mergeCell ref="X99:AA99"/>
    <mergeCell ref="AF100:AI100"/>
    <mergeCell ref="AJ100:AM100"/>
    <mergeCell ref="B102:K102"/>
    <mergeCell ref="L102:N102"/>
    <mergeCell ref="O102:Q102"/>
    <mergeCell ref="R102:U102"/>
    <mergeCell ref="V102:W102"/>
    <mergeCell ref="X102:AA102"/>
    <mergeCell ref="AB102:AE102"/>
    <mergeCell ref="AF102:AI102"/>
    <mergeCell ref="AJ102:AM102"/>
    <mergeCell ref="B103:K103"/>
    <mergeCell ref="L103:N103"/>
    <mergeCell ref="O103:Q103"/>
    <mergeCell ref="R103:U103"/>
    <mergeCell ref="V103:W103"/>
    <mergeCell ref="X103:AA103"/>
    <mergeCell ref="AB103:AE103"/>
    <mergeCell ref="AF103:AI103"/>
    <mergeCell ref="AJ103:AM103"/>
    <mergeCell ref="AB104:AE104"/>
    <mergeCell ref="AF104:AI104"/>
    <mergeCell ref="AJ104:AM104"/>
    <mergeCell ref="B105:K105"/>
    <mergeCell ref="L105:N105"/>
    <mergeCell ref="O105:Q105"/>
    <mergeCell ref="R105:U105"/>
    <mergeCell ref="V105:W105"/>
    <mergeCell ref="X105:AA105"/>
    <mergeCell ref="AB105:AE105"/>
    <mergeCell ref="B104:K104"/>
    <mergeCell ref="L104:N104"/>
    <mergeCell ref="O104:Q104"/>
    <mergeCell ref="R104:U104"/>
    <mergeCell ref="V104:W104"/>
    <mergeCell ref="X104:AA104"/>
    <mergeCell ref="AF105:AI105"/>
    <mergeCell ref="AJ105:AM105"/>
    <mergeCell ref="B106:K106"/>
    <mergeCell ref="L106:N106"/>
    <mergeCell ref="O106:Q106"/>
    <mergeCell ref="R106:U106"/>
    <mergeCell ref="V106:W106"/>
    <mergeCell ref="X106:AA106"/>
    <mergeCell ref="AB106:AE106"/>
    <mergeCell ref="AF106:AI106"/>
    <mergeCell ref="AJ106:AM106"/>
    <mergeCell ref="B107:K107"/>
    <mergeCell ref="L107:N107"/>
    <mergeCell ref="O107:Q107"/>
    <mergeCell ref="R107:U107"/>
    <mergeCell ref="V107:W107"/>
    <mergeCell ref="X107:AA107"/>
    <mergeCell ref="AB107:AE107"/>
    <mergeCell ref="AF107:AI107"/>
    <mergeCell ref="AJ107:AM107"/>
    <mergeCell ref="AB108:AE108"/>
    <mergeCell ref="AF108:AI108"/>
    <mergeCell ref="AJ108:AM108"/>
    <mergeCell ref="B109:K109"/>
    <mergeCell ref="L109:N109"/>
    <mergeCell ref="O109:Q109"/>
    <mergeCell ref="R109:U109"/>
    <mergeCell ref="V109:W109"/>
    <mergeCell ref="X109:AA109"/>
    <mergeCell ref="AB109:AE109"/>
    <mergeCell ref="B108:K108"/>
    <mergeCell ref="L108:N108"/>
    <mergeCell ref="O108:Q108"/>
    <mergeCell ref="R108:U108"/>
    <mergeCell ref="V108:W108"/>
    <mergeCell ref="X108:AA108"/>
    <mergeCell ref="AF109:AI109"/>
    <mergeCell ref="AJ109:AM109"/>
    <mergeCell ref="B110:K110"/>
    <mergeCell ref="L110:N110"/>
    <mergeCell ref="O110:Q110"/>
    <mergeCell ref="R110:U110"/>
    <mergeCell ref="V110:W110"/>
    <mergeCell ref="X110:AA110"/>
    <mergeCell ref="AB110:AE110"/>
    <mergeCell ref="AF110:AI110"/>
    <mergeCell ref="AJ110:AM110"/>
    <mergeCell ref="B111:K111"/>
    <mergeCell ref="L111:N111"/>
    <mergeCell ref="O111:Q111"/>
    <mergeCell ref="R111:U111"/>
    <mergeCell ref="V111:W111"/>
    <mergeCell ref="X111:AA111"/>
    <mergeCell ref="AB111:AE111"/>
    <mergeCell ref="AF111:AI111"/>
    <mergeCell ref="AJ111:AM111"/>
    <mergeCell ref="AB112:AE112"/>
    <mergeCell ref="AF112:AI112"/>
    <mergeCell ref="AJ112:AM112"/>
    <mergeCell ref="B113:K113"/>
    <mergeCell ref="L113:N113"/>
    <mergeCell ref="O113:Q113"/>
    <mergeCell ref="R113:U113"/>
    <mergeCell ref="V113:W113"/>
    <mergeCell ref="X113:AA113"/>
    <mergeCell ref="AB113:AE113"/>
    <mergeCell ref="B112:K112"/>
    <mergeCell ref="L112:N112"/>
    <mergeCell ref="O112:Q112"/>
    <mergeCell ref="R112:U112"/>
    <mergeCell ref="V112:W112"/>
    <mergeCell ref="X112:AA112"/>
    <mergeCell ref="AF113:AI113"/>
    <mergeCell ref="AJ113:AM113"/>
    <mergeCell ref="B114:K114"/>
    <mergeCell ref="L114:N114"/>
    <mergeCell ref="O114:Q114"/>
    <mergeCell ref="R114:U114"/>
    <mergeCell ref="V114:W114"/>
    <mergeCell ref="X114:AA114"/>
    <mergeCell ref="AB114:AE114"/>
    <mergeCell ref="AF114:AI114"/>
    <mergeCell ref="AJ114:AM114"/>
    <mergeCell ref="B115:K115"/>
    <mergeCell ref="L115:N115"/>
    <mergeCell ref="O115:Q115"/>
    <mergeCell ref="R115:U115"/>
    <mergeCell ref="V115:W115"/>
    <mergeCell ref="X115:AA115"/>
    <mergeCell ref="AB115:AE115"/>
    <mergeCell ref="AF115:AI115"/>
    <mergeCell ref="AJ115:AM115"/>
    <mergeCell ref="AB116:AE116"/>
    <mergeCell ref="AF116:AI116"/>
    <mergeCell ref="AJ116:AM116"/>
    <mergeCell ref="B117:K117"/>
    <mergeCell ref="L117:N117"/>
    <mergeCell ref="O117:Q117"/>
    <mergeCell ref="R117:U117"/>
    <mergeCell ref="V117:W117"/>
    <mergeCell ref="X117:AA117"/>
    <mergeCell ref="AB117:AE117"/>
    <mergeCell ref="B116:K116"/>
    <mergeCell ref="L116:N116"/>
    <mergeCell ref="O116:Q116"/>
    <mergeCell ref="R116:U116"/>
    <mergeCell ref="V116:W116"/>
    <mergeCell ref="X116:AA116"/>
    <mergeCell ref="AF117:AI117"/>
    <mergeCell ref="AJ117:AM117"/>
    <mergeCell ref="B118:K118"/>
    <mergeCell ref="L118:N118"/>
    <mergeCell ref="O118:Q118"/>
    <mergeCell ref="R118:U118"/>
    <mergeCell ref="V118:W118"/>
    <mergeCell ref="X118:AA118"/>
    <mergeCell ref="AB118:AE118"/>
    <mergeCell ref="AF118:AI118"/>
    <mergeCell ref="AJ118:AM118"/>
    <mergeCell ref="B120:K120"/>
    <mergeCell ref="L120:N120"/>
    <mergeCell ref="O120:Q120"/>
    <mergeCell ref="R120:U120"/>
    <mergeCell ref="V120:W120"/>
    <mergeCell ref="X120:AA120"/>
    <mergeCell ref="AB120:AE120"/>
    <mergeCell ref="AF120:AI120"/>
    <mergeCell ref="AJ120:AM120"/>
    <mergeCell ref="AB121:AE121"/>
    <mergeCell ref="AF121:AI121"/>
    <mergeCell ref="AJ121:AM121"/>
    <mergeCell ref="B122:K122"/>
    <mergeCell ref="L122:N122"/>
    <mergeCell ref="O122:Q122"/>
    <mergeCell ref="R122:U122"/>
    <mergeCell ref="V122:W122"/>
    <mergeCell ref="X122:AA122"/>
    <mergeCell ref="AB122:AE122"/>
    <mergeCell ref="B121:K121"/>
    <mergeCell ref="L121:N121"/>
    <mergeCell ref="O121:Q121"/>
    <mergeCell ref="R121:U121"/>
    <mergeCell ref="V121:W121"/>
    <mergeCell ref="X121:AA121"/>
    <mergeCell ref="AF122:AI122"/>
    <mergeCell ref="AJ122:AM122"/>
    <mergeCell ref="B123:K123"/>
    <mergeCell ref="L123:N123"/>
    <mergeCell ref="O123:Q123"/>
    <mergeCell ref="R123:U123"/>
    <mergeCell ref="V123:W123"/>
    <mergeCell ref="X123:AA123"/>
    <mergeCell ref="AB123:AE123"/>
    <mergeCell ref="AF123:AI123"/>
    <mergeCell ref="AJ123:AM123"/>
    <mergeCell ref="B124:K124"/>
    <mergeCell ref="L124:N124"/>
    <mergeCell ref="O124:Q124"/>
    <mergeCell ref="R124:U124"/>
    <mergeCell ref="V124:W124"/>
    <mergeCell ref="X124:AA124"/>
    <mergeCell ref="AB124:AE124"/>
    <mergeCell ref="AF124:AI124"/>
    <mergeCell ref="AJ124:AM124"/>
    <mergeCell ref="AB125:AE125"/>
    <mergeCell ref="AF125:AI125"/>
    <mergeCell ref="AJ125:AM125"/>
    <mergeCell ref="B126:K126"/>
    <mergeCell ref="L126:N126"/>
    <mergeCell ref="O126:Q126"/>
    <mergeCell ref="R126:U126"/>
    <mergeCell ref="V126:W126"/>
    <mergeCell ref="X126:AA126"/>
    <mergeCell ref="AB126:AE126"/>
    <mergeCell ref="B125:K125"/>
    <mergeCell ref="L125:N125"/>
    <mergeCell ref="O125:Q125"/>
    <mergeCell ref="R125:U125"/>
    <mergeCell ref="V125:W125"/>
    <mergeCell ref="X125:AA125"/>
    <mergeCell ref="AF126:AI126"/>
    <mergeCell ref="AJ126:AM126"/>
    <mergeCell ref="B127:K127"/>
    <mergeCell ref="L127:N127"/>
    <mergeCell ref="O127:Q127"/>
    <mergeCell ref="R127:U127"/>
    <mergeCell ref="V127:W127"/>
    <mergeCell ref="X127:AA127"/>
    <mergeCell ref="AB127:AE127"/>
    <mergeCell ref="AF127:AI127"/>
    <mergeCell ref="AJ127:AM127"/>
    <mergeCell ref="B128:K128"/>
    <mergeCell ref="L128:N128"/>
    <mergeCell ref="O128:Q128"/>
    <mergeCell ref="R128:U128"/>
    <mergeCell ref="V128:W128"/>
    <mergeCell ref="X128:AA128"/>
    <mergeCell ref="AB128:AE128"/>
    <mergeCell ref="AF128:AI128"/>
    <mergeCell ref="AJ128:AM128"/>
    <mergeCell ref="B101:K101"/>
    <mergeCell ref="L101:N101"/>
    <mergeCell ref="O101:Q101"/>
    <mergeCell ref="R101:U101"/>
    <mergeCell ref="V101:W101"/>
    <mergeCell ref="X101:AA101"/>
    <mergeCell ref="AB101:AE101"/>
    <mergeCell ref="AF101:AI101"/>
    <mergeCell ref="AJ101:AM101"/>
    <mergeCell ref="B119:K119"/>
    <mergeCell ref="L119:N119"/>
    <mergeCell ref="O119:Q119"/>
    <mergeCell ref="R119:U119"/>
    <mergeCell ref="V119:W119"/>
    <mergeCell ref="X119:AA119"/>
    <mergeCell ref="AB119:AE119"/>
    <mergeCell ref="AF119:AI119"/>
    <mergeCell ref="AJ119:AM119"/>
  </mergeCells>
  <hyperlinks>
    <hyperlink ref="G11" r:id="rId1" xr:uid="{0A42AFF2-1D49-4E9C-AD47-1EFA4F9B5F4F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8479B-AC2A-4B53-B441-26273B74B9B9}">
  <dimension ref="A1:AM130"/>
  <sheetViews>
    <sheetView view="pageLayout" zoomScale="140" zoomScaleNormal="100" zoomScalePageLayoutView="140" workbookViewId="0">
      <selection activeCell="AB27" sqref="AB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1227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AB130</f>
        <v>8273.8799999999992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AF130</f>
        <v>1572.0400000000002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AJ130</f>
        <v>9845.9200000000019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9845.9200000000019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R93+R107+R108+R111</f>
        <v>8485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1.1603912787271657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 Bucuresti, nr.T48/P508, Alexandria, Jud. Teleorman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5000579079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RN10_Alexandria_1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59401060000191744771568947/1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 t="str">
        <f>AA31</f>
        <v>RN10_Alexandria_1</v>
      </c>
      <c r="AJ35" s="666"/>
      <c r="AK35" s="666"/>
      <c r="AL35" s="666"/>
      <c r="AM35" s="666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66"/>
      <c r="AJ36" s="666"/>
      <c r="AK36" s="666"/>
      <c r="AL36" s="666"/>
      <c r="AM36" s="666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1369358824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v>1</v>
      </c>
      <c r="P40" s="648"/>
      <c r="Q40" s="648"/>
      <c r="R40" s="647" t="str">
        <f>VLOOKUP(A40,Regularizare!$D:$YN,3,FALSE)&amp;" ("&amp;VLOOKUP(A40,Regularizare!$D:$Y,11,FALSE)&amp;")"</f>
        <v>249409 (citit)</v>
      </c>
      <c r="S40" s="647"/>
      <c r="T40" s="647"/>
      <c r="U40" s="647" t="str">
        <f>VLOOKUP(A40,Regularizare!$D:$U,4,FALSE)&amp;" ("&amp;VLOOKUP(A40,Regularizare!$D:$U,12,FALSE)&amp;")"</f>
        <v>254554 (estimat)</v>
      </c>
      <c r="V40" s="647"/>
      <c r="W40" s="647"/>
      <c r="X40" s="647" t="str">
        <f>VLOOKUP(A40,Regularizare!$D:$Y,19,FALSE)&amp;" ("&amp;VLOOKUP(A40,Regularizare!$D:$U,12,FALSE)&amp;")"</f>
        <v>5145 (estimat)</v>
      </c>
      <c r="Y40" s="647"/>
      <c r="Z40" s="647"/>
      <c r="AA40" s="647">
        <f>(-1)*VLOOKUP(A40,Regularizare!$D:$Y,19,FALSE)</f>
        <v>-5145</v>
      </c>
      <c r="AB40" s="647"/>
      <c r="AC40" s="647"/>
      <c r="AD40" s="647" t="s">
        <v>69</v>
      </c>
      <c r="AE40" s="647"/>
      <c r="AF40" s="647">
        <f>AA40</f>
        <v>-5145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8.4499999999999993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1369358824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720" t="s">
        <v>446</v>
      </c>
      <c r="N43" s="648"/>
      <c r="O43" s="648">
        <f>O40</f>
        <v>1</v>
      </c>
      <c r="P43" s="648"/>
      <c r="Q43" s="648"/>
      <c r="R43" s="648" t="str">
        <f>VLOOKUP(A43,Regularizare!$D:$U,7,FALSE)&amp;" ("&amp;VLOOKUP(A43,Regularizare!$D:$U,15,FALSE)&amp;")"</f>
        <v>36513 (citit)</v>
      </c>
      <c r="S43" s="648"/>
      <c r="T43" s="648"/>
      <c r="U43" s="647" t="str">
        <f>VLOOKUP(A43,Regularizare!$D:$U,8,FALSE)&amp;" ("&amp;VLOOKUP(A43,Regularizare!$D:$U,16,FALSE)&amp;")"</f>
        <v>36513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720"/>
      <c r="N44" s="648"/>
      <c r="O44" s="648"/>
      <c r="P44" s="648"/>
      <c r="Q44" s="648"/>
      <c r="R44" s="648"/>
      <c r="S44" s="648"/>
      <c r="T44" s="648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720"/>
      <c r="N45" s="648"/>
      <c r="O45" s="648"/>
      <c r="P45" s="648"/>
      <c r="Q45" s="648"/>
      <c r="R45" s="648"/>
      <c r="S45" s="648"/>
      <c r="T45" s="648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1369358824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O40</f>
        <v>1</v>
      </c>
      <c r="P46" s="648"/>
      <c r="Q46" s="648"/>
      <c r="R46" s="647" t="str">
        <f>VLOOKUP(A46,Regularizare!$D:$U,9,FALSE)&amp;" ("&amp;VLOOKUP(A46,Regularizare!$D:$U,17,FALSE)&amp;")"</f>
        <v>53590 (citit)</v>
      </c>
      <c r="S46" s="647"/>
      <c r="T46" s="647"/>
      <c r="U46" s="647" t="str">
        <f>VLOOKUP(A46,Regularizare!$D:$U,10,FALSE)&amp;" ("&amp;VLOOKUP(A46,Regularizare!$D:$U,18,FALSE)&amp;")"</f>
        <v>53590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1369358824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648" t="s">
        <v>720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249409 (citit)</v>
      </c>
      <c r="S49" s="647"/>
      <c r="T49" s="647"/>
      <c r="U49" s="647" t="str">
        <f>VLOOKUP(A49,Regularizare!$D:$AX,25,FALSE)&amp;" ("&amp;VLOOKUP(A49,Regularizare!$D:$AX,26,FALSE)&amp;")"</f>
        <v>254554 (citit)</v>
      </c>
      <c r="V49" s="647"/>
      <c r="W49" s="647"/>
      <c r="X49" s="647" t="str">
        <f>VLOOKUP(A49,Regularizare!$D:$AX,37,FALSE)&amp;" ("&amp;VLOOKUP(A49,Regularizare!$D:$AX,26,FALSE)&amp;")"</f>
        <v>5145 (citit)</v>
      </c>
      <c r="Y49" s="647"/>
      <c r="Z49" s="647"/>
      <c r="AA49" s="647">
        <f>VLOOKUP(A49,Regularizare!$D:$AX,37,FALSE)</f>
        <v>5145</v>
      </c>
      <c r="AB49" s="647"/>
      <c r="AC49" s="647"/>
      <c r="AD49" s="647" t="s">
        <v>69</v>
      </c>
      <c r="AE49" s="647"/>
      <c r="AF49" s="647">
        <f>AA49</f>
        <v>5145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648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648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1369358824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720" t="s">
        <v>446</v>
      </c>
      <c r="N52" s="648"/>
      <c r="O52" s="648">
        <v>1</v>
      </c>
      <c r="P52" s="648"/>
      <c r="Q52" s="648"/>
      <c r="R52" s="647" t="str">
        <f>VLOOKUP(A52,Regularizare!$D:$AX,29,FALSE)&amp;" ("&amp;VLOOKUP(A52,Regularizare!$D:$AX,30,FALSE)&amp;")"</f>
        <v>36513 (citit)</v>
      </c>
      <c r="S52" s="647"/>
      <c r="T52" s="647"/>
      <c r="U52" s="647" t="str">
        <f>VLOOKUP(A52,Regularizare!$D:$AX,31,FALSE)&amp;" ("&amp;VLOOKUP(A52,Regularizare!$D:$AX,32,FALSE)&amp;")"</f>
        <v>36513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720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720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1369358824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720" t="s">
        <v>446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53590 (citit)</v>
      </c>
      <c r="S55" s="647"/>
      <c r="T55" s="647"/>
      <c r="U55" s="647" t="str">
        <f>VLOOKUP(A55,Regularizare!$D:$AX,35,FALSE)&amp;" ("&amp;VLOOKUP(A55,Regularizare!$D:$AX,36,FALSE)&amp;")"</f>
        <v>53590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720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720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1369358824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648" t="s">
        <v>720</v>
      </c>
      <c r="N58" s="648"/>
      <c r="O58" s="648">
        <f>O52</f>
        <v>1</v>
      </c>
      <c r="P58" s="648"/>
      <c r="Q58" s="648"/>
      <c r="R58" s="647" t="str">
        <f>U49</f>
        <v>254554 (citit)</v>
      </c>
      <c r="S58" s="647"/>
      <c r="T58" s="647"/>
      <c r="U58" s="647" t="str">
        <f>VLOOKUP(A58,'Incrementare indexe'!$D:$M,4,FALSE)&amp;" (estimat)"</f>
        <v>259347 (estimat)</v>
      </c>
      <c r="V58" s="647"/>
      <c r="W58" s="647"/>
      <c r="X58" s="647" t="str">
        <f>VLOOKUP(A58,'Incrementare indexe'!$D:$Q,11,FALSE)&amp;" (citit)"</f>
        <v>4793 (citit)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4793</v>
      </c>
      <c r="AG58" s="647"/>
      <c r="AH58" s="647"/>
      <c r="AI58" s="647">
        <f>J60-J58+1</f>
        <v>31</v>
      </c>
      <c r="AJ58" s="647"/>
      <c r="AK58" s="647">
        <f>ROUND(AF58/AI58,2)</f>
        <v>154.61000000000001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648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648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1369358824</v>
      </c>
      <c r="B61" s="679"/>
      <c r="C61" s="679"/>
      <c r="D61" s="679"/>
      <c r="E61" s="679"/>
      <c r="F61" s="680"/>
      <c r="G61" s="647" t="s">
        <v>1300</v>
      </c>
      <c r="H61" s="647"/>
      <c r="I61" s="675"/>
      <c r="J61" s="655">
        <f t="shared" ref="J61:J69" si="2">J58</f>
        <v>45778</v>
      </c>
      <c r="K61" s="656"/>
      <c r="L61" s="657"/>
      <c r="M61" s="720" t="s">
        <v>446</v>
      </c>
      <c r="N61" s="648"/>
      <c r="O61" s="648">
        <v>1</v>
      </c>
      <c r="P61" s="648"/>
      <c r="Q61" s="648"/>
      <c r="R61" s="647" t="str">
        <f>VLOOKUP(A61,'Date masura SDI'!A:D,4,0)&amp;" (citit)"</f>
        <v>187666 (citit)</v>
      </c>
      <c r="S61" s="647"/>
      <c r="T61" s="647"/>
      <c r="U61" s="647" t="str">
        <f>VLOOKUP(A61,'Date masura SDI'!A:E,5,)&amp;" (citit)"</f>
        <v>210251 (citit)</v>
      </c>
      <c r="V61" s="647"/>
      <c r="W61" s="647"/>
      <c r="X61" s="647" t="str">
        <f>(VLOOKUP(A61,'Date masura SDI'!A:E,5,0)-VLOOKUP(A61,'Date masura SDI'!A:E,4,0))*O61 &amp;" (citit)"</f>
        <v>22585 (citit)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7"/>
      <c r="H62" s="647"/>
      <c r="I62" s="675"/>
      <c r="J62" s="717" t="str">
        <f t="shared" si="2"/>
        <v>-</v>
      </c>
      <c r="K62" s="718"/>
      <c r="L62" s="719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7"/>
      <c r="H63" s="647"/>
      <c r="I63" s="675"/>
      <c r="J63" s="714">
        <f t="shared" si="2"/>
        <v>45808</v>
      </c>
      <c r="K63" s="715"/>
      <c r="L63" s="716"/>
      <c r="M63" s="720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1369358824</v>
      </c>
      <c r="B64" s="679"/>
      <c r="C64" s="679"/>
      <c r="D64" s="679"/>
      <c r="E64" s="679"/>
      <c r="F64" s="680"/>
      <c r="G64" s="648" t="s">
        <v>696</v>
      </c>
      <c r="H64" s="648"/>
      <c r="I64" s="648"/>
      <c r="J64" s="655">
        <f t="shared" si="2"/>
        <v>45778</v>
      </c>
      <c r="K64" s="656"/>
      <c r="L64" s="657"/>
      <c r="M64" s="720" t="s">
        <v>446</v>
      </c>
      <c r="N64" s="648"/>
      <c r="O64" s="648">
        <f>O61</f>
        <v>1</v>
      </c>
      <c r="P64" s="648"/>
      <c r="Q64" s="648"/>
      <c r="R64" s="684" t="str">
        <f>U52</f>
        <v>36513 (citit)</v>
      </c>
      <c r="S64" s="685"/>
      <c r="T64" s="686"/>
      <c r="U64" s="647" t="str">
        <f>VLOOKUP(A64,'Incrementare indexe'!$D:$M,8,FALSE)&amp;" (estimat)"</f>
        <v>36513 (estimat)</v>
      </c>
      <c r="V64" s="647"/>
      <c r="W64" s="647"/>
      <c r="X64" s="647" t="str">
        <f>VLOOKUP(A64,'Incrementare indexe'!$D:$Q,12,FALSE)&amp;"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indexe'!$D:$Q,12,FALSE)</f>
        <v>0</v>
      </c>
      <c r="AG64" s="647"/>
      <c r="AH64" s="647"/>
      <c r="AI64" s="647">
        <f>AI58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720"/>
      <c r="N65" s="648"/>
      <c r="O65" s="648"/>
      <c r="P65" s="648"/>
      <c r="Q65" s="648"/>
      <c r="R65" s="727"/>
      <c r="S65" s="729"/>
      <c r="T65" s="728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720"/>
      <c r="N66" s="648"/>
      <c r="O66" s="648"/>
      <c r="P66" s="648"/>
      <c r="Q66" s="648"/>
      <c r="R66" s="687"/>
      <c r="S66" s="688"/>
      <c r="T66" s="689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78">
        <f>A64</f>
        <v>1369358824</v>
      </c>
      <c r="B67" s="679"/>
      <c r="C67" s="679"/>
      <c r="D67" s="679"/>
      <c r="E67" s="679"/>
      <c r="F67" s="680"/>
      <c r="G67" s="648" t="s">
        <v>731</v>
      </c>
      <c r="H67" s="648"/>
      <c r="I67" s="648"/>
      <c r="J67" s="655">
        <f t="shared" si="2"/>
        <v>45778</v>
      </c>
      <c r="K67" s="656"/>
      <c r="L67" s="657"/>
      <c r="M67" s="648" t="s">
        <v>720</v>
      </c>
      <c r="N67" s="648"/>
      <c r="O67" s="648">
        <f>O61</f>
        <v>1</v>
      </c>
      <c r="P67" s="648"/>
      <c r="Q67" s="648"/>
      <c r="R67" s="647" t="str">
        <f>U55</f>
        <v>53590 (citit)</v>
      </c>
      <c r="S67" s="647"/>
      <c r="T67" s="647"/>
      <c r="U67" s="647" t="str">
        <f>VLOOKUP(A67,'Incrementare indexe'!$D:$M,10,FALSE)&amp;" (estimat)"</f>
        <v>53590 (estimat)</v>
      </c>
      <c r="V67" s="647"/>
      <c r="W67" s="647"/>
      <c r="X67" s="647" t="str">
        <f>VLOOKUP(A67,'Incrementare indexe'!$D:$Q,13,FALSE)&amp;" (estimat)"</f>
        <v>0 (estimat)</v>
      </c>
      <c r="Y67" s="647"/>
      <c r="Z67" s="647"/>
      <c r="AA67" s="647" t="s">
        <v>69</v>
      </c>
      <c r="AB67" s="647"/>
      <c r="AC67" s="647"/>
      <c r="AD67" s="647" t="s">
        <v>69</v>
      </c>
      <c r="AE67" s="647"/>
      <c r="AF67" s="647">
        <f>VLOOKUP(A67,'Incrementare indexe'!$D:$Q,13,FALSE)</f>
        <v>0</v>
      </c>
      <c r="AG67" s="647"/>
      <c r="AH67" s="647"/>
      <c r="AI67" s="647">
        <f>AI64</f>
        <v>31</v>
      </c>
      <c r="AJ67" s="647"/>
      <c r="AK67" s="647">
        <f>ROUND(AF67/AI67,2)</f>
        <v>0</v>
      </c>
      <c r="AL67" s="647"/>
      <c r="AM67" s="647"/>
    </row>
    <row r="68" spans="1:39" ht="8.4499999999999993" customHeight="1">
      <c r="A68" s="717"/>
      <c r="B68" s="718"/>
      <c r="C68" s="718"/>
      <c r="D68" s="718"/>
      <c r="E68" s="718"/>
      <c r="F68" s="719"/>
      <c r="G68" s="648"/>
      <c r="H68" s="648"/>
      <c r="I68" s="648"/>
      <c r="J68" s="717" t="str">
        <f t="shared" si="2"/>
        <v>-</v>
      </c>
      <c r="K68" s="718"/>
      <c r="L68" s="719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681"/>
      <c r="B69" s="682"/>
      <c r="C69" s="682"/>
      <c r="D69" s="682"/>
      <c r="E69" s="682"/>
      <c r="F69" s="683"/>
      <c r="G69" s="648"/>
      <c r="H69" s="648"/>
      <c r="I69" s="648"/>
      <c r="J69" s="714">
        <f t="shared" si="2"/>
        <v>45808</v>
      </c>
      <c r="K69" s="715"/>
      <c r="L69" s="716"/>
      <c r="M69" s="648"/>
      <c r="N69" s="648"/>
      <c r="O69" s="648"/>
      <c r="P69" s="648"/>
      <c r="Q69" s="648"/>
      <c r="R69" s="647"/>
      <c r="S69" s="647"/>
      <c r="T69" s="647"/>
      <c r="U69" s="647"/>
      <c r="V69" s="647"/>
      <c r="W69" s="647"/>
      <c r="X69" s="647"/>
      <c r="Y69" s="647"/>
      <c r="Z69" s="647"/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721" t="s">
        <v>1196</v>
      </c>
      <c r="B71" s="722"/>
      <c r="C71" s="722"/>
      <c r="D71" s="722"/>
      <c r="E71" s="722"/>
      <c r="F71" s="722"/>
      <c r="G71" s="722"/>
      <c r="H71" s="722"/>
      <c r="I71" s="722"/>
      <c r="J71" s="722"/>
      <c r="K71" s="722"/>
      <c r="L71" s="722"/>
      <c r="M71" s="722"/>
      <c r="N71" s="722"/>
      <c r="O71" s="722"/>
      <c r="P71" s="722"/>
      <c r="Q71" s="722"/>
      <c r="R71" s="722"/>
      <c r="S71" s="722"/>
      <c r="T71" s="722"/>
      <c r="U71" s="722"/>
      <c r="V71" s="722"/>
      <c r="W71" s="722"/>
      <c r="X71" s="722"/>
      <c r="Y71" s="722"/>
      <c r="Z71" s="722"/>
      <c r="AA71" s="722"/>
      <c r="AB71" s="722"/>
      <c r="AC71" s="722"/>
      <c r="AD71" s="722"/>
      <c r="AE71" s="722"/>
      <c r="AF71" s="722"/>
      <c r="AG71" s="722"/>
      <c r="AH71" s="723"/>
      <c r="AI71" s="650" t="s">
        <v>695</v>
      </c>
      <c r="AJ71" s="650"/>
      <c r="AK71" s="650"/>
      <c r="AL71" s="650"/>
      <c r="AM71" s="650"/>
    </row>
    <row r="72" spans="1:39" ht="14.1" customHeight="1">
      <c r="A72" s="649" t="s">
        <v>746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514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66" t="str">
        <f>_xlfn.CONCAT(AI35,"/PV")</f>
        <v>RN10_Alexandria_1/PV</v>
      </c>
      <c r="AJ72" s="666"/>
      <c r="AK72" s="666"/>
      <c r="AL72" s="666"/>
      <c r="AM72" s="666"/>
    </row>
    <row r="73" spans="1:39" ht="14.1" customHeight="1">
      <c r="A73" s="649" t="s">
        <v>747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50" t="s">
        <v>1087</v>
      </c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66"/>
      <c r="AJ73" s="666"/>
      <c r="AK73" s="666"/>
      <c r="AL73" s="666"/>
      <c r="AM73" s="666"/>
    </row>
    <row r="74" spans="1:39" ht="14.1" customHeight="1">
      <c r="A74" s="648" t="s">
        <v>697</v>
      </c>
      <c r="B74" s="648"/>
      <c r="C74" s="648"/>
      <c r="D74" s="648"/>
      <c r="E74" s="648"/>
      <c r="F74" s="648"/>
      <c r="G74" s="647" t="s">
        <v>713</v>
      </c>
      <c r="H74" s="647"/>
      <c r="I74" s="647"/>
      <c r="J74" s="647" t="s">
        <v>714</v>
      </c>
      <c r="K74" s="647"/>
      <c r="L74" s="647"/>
      <c r="M74" s="648" t="s">
        <v>519</v>
      </c>
      <c r="N74" s="648"/>
      <c r="O74" s="648" t="s">
        <v>715</v>
      </c>
      <c r="P74" s="648"/>
      <c r="Q74" s="648"/>
      <c r="R74" s="647" t="s">
        <v>732</v>
      </c>
      <c r="S74" s="647"/>
      <c r="T74" s="647"/>
      <c r="U74" s="647" t="s">
        <v>734</v>
      </c>
      <c r="V74" s="647"/>
      <c r="W74" s="647"/>
      <c r="X74" s="647" t="s">
        <v>1085</v>
      </c>
      <c r="Y74" s="647"/>
      <c r="Z74" s="647"/>
      <c r="AA74" s="647" t="s">
        <v>1086</v>
      </c>
      <c r="AB74" s="647"/>
      <c r="AC74" s="647"/>
      <c r="AD74" s="647" t="s">
        <v>717</v>
      </c>
      <c r="AE74" s="647"/>
      <c r="AF74" s="647" t="s">
        <v>718</v>
      </c>
      <c r="AG74" s="647"/>
      <c r="AH74" s="647"/>
      <c r="AI74" s="647" t="s">
        <v>719</v>
      </c>
      <c r="AJ74" s="647"/>
      <c r="AK74" s="647" t="s">
        <v>733</v>
      </c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647"/>
      <c r="K75" s="647"/>
      <c r="L75" s="647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48"/>
      <c r="B76" s="648"/>
      <c r="C76" s="648"/>
      <c r="D76" s="648"/>
      <c r="E76" s="648"/>
      <c r="F76" s="648"/>
      <c r="G76" s="647"/>
      <c r="H76" s="647"/>
      <c r="I76" s="647"/>
      <c r="J76" s="713"/>
      <c r="K76" s="713"/>
      <c r="L76" s="713"/>
      <c r="M76" s="648"/>
      <c r="N76" s="648"/>
      <c r="O76" s="648"/>
      <c r="P76" s="648"/>
      <c r="Q76" s="648"/>
      <c r="R76" s="647"/>
      <c r="S76" s="647"/>
      <c r="T76" s="647"/>
      <c r="U76" s="647"/>
      <c r="V76" s="647"/>
      <c r="W76" s="647"/>
      <c r="X76" s="647"/>
      <c r="Y76" s="647"/>
      <c r="Z76" s="647"/>
      <c r="AA76" s="647"/>
      <c r="AB76" s="647"/>
      <c r="AC76" s="647"/>
      <c r="AD76" s="647"/>
      <c r="AE76" s="647"/>
      <c r="AF76" s="647"/>
      <c r="AG76" s="647"/>
      <c r="AH76" s="647"/>
      <c r="AI76" s="647"/>
      <c r="AJ76" s="647"/>
      <c r="AK76" s="647"/>
      <c r="AL76" s="647"/>
      <c r="AM76" s="647"/>
    </row>
    <row r="77" spans="1:39" ht="14.1" customHeight="1">
      <c r="A77" s="678">
        <f>VLOOKUP(AI72,'Incrementare indexe'!$B:$I,3,FALSE)</f>
        <v>1371514496</v>
      </c>
      <c r="B77" s="679"/>
      <c r="C77" s="679"/>
      <c r="D77" s="679"/>
      <c r="E77" s="679"/>
      <c r="F77" s="680"/>
      <c r="G77" s="647" t="s">
        <v>1088</v>
      </c>
      <c r="H77" s="647"/>
      <c r="I77" s="675"/>
      <c r="J77" s="655">
        <f>'Date masura OD'!$I$5</f>
        <v>45778</v>
      </c>
      <c r="K77" s="656"/>
      <c r="L77" s="657"/>
      <c r="M77" s="720" t="s">
        <v>446</v>
      </c>
      <c r="N77" s="648"/>
      <c r="O77" s="648">
        <f>VLOOKUP(AI72,'Incrementare indexe'!$B:$I,4,FALSE)</f>
        <v>1</v>
      </c>
      <c r="P77" s="648"/>
      <c r="Q77" s="648"/>
      <c r="R77" s="647" t="str">
        <f>VLOOKUP(AI72,'Incrementare indexe'!$B:$I,7,FALSE)&amp;" (citit)"</f>
        <v>358155 (citit)</v>
      </c>
      <c r="S77" s="647"/>
      <c r="T77" s="647"/>
      <c r="U77" s="647" t="str">
        <f>VLOOKUP(AI72,'Incrementare indexe'!$B:$I,8,FALSE)&amp;" (citit)"</f>
        <v>384432 (citit)</v>
      </c>
      <c r="V77" s="647"/>
      <c r="W77" s="647"/>
      <c r="X77" s="647" t="str">
        <f>(VLOOKUP(AI72,'Incrementare indexe'!$B:$I,8,FALSE)-VLOOKUP(AI72,'Incrementare indexe'!$B:$I,7,FALSE))&amp;" (citit)"</f>
        <v>26277 (citit)</v>
      </c>
      <c r="Y77" s="647"/>
      <c r="Z77" s="647"/>
      <c r="AA77" s="647" t="s">
        <v>69</v>
      </c>
      <c r="AB77" s="647"/>
      <c r="AC77" s="647"/>
      <c r="AD77" s="647" t="s">
        <v>69</v>
      </c>
      <c r="AE77" s="647"/>
      <c r="AF77" s="647">
        <f>(VLOOKUP(AI72,'Incrementare indexe'!$B:$I,8,FALSE)-VLOOKUP(AI72,'Incrementare indexe'!$B:$I,7,FALSE))</f>
        <v>26277</v>
      </c>
      <c r="AG77" s="647"/>
      <c r="AH77" s="647"/>
      <c r="AI77" s="647">
        <f>J79-J77+1</f>
        <v>31</v>
      </c>
      <c r="AJ77" s="647"/>
      <c r="AK77" s="647">
        <f>ROUND(AF77/AI77,2)</f>
        <v>847.65</v>
      </c>
      <c r="AL77" s="647"/>
      <c r="AM77" s="647"/>
    </row>
    <row r="78" spans="1:39" ht="14.1" customHeight="1">
      <c r="A78" s="717"/>
      <c r="B78" s="718"/>
      <c r="C78" s="718"/>
      <c r="D78" s="718"/>
      <c r="E78" s="718"/>
      <c r="F78" s="719"/>
      <c r="G78" s="647"/>
      <c r="H78" s="647"/>
      <c r="I78" s="675"/>
      <c r="J78" s="717" t="s">
        <v>69</v>
      </c>
      <c r="K78" s="718"/>
      <c r="L78" s="719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81"/>
      <c r="B79" s="682"/>
      <c r="C79" s="682"/>
      <c r="D79" s="682"/>
      <c r="E79" s="682"/>
      <c r="F79" s="683"/>
      <c r="G79" s="647"/>
      <c r="H79" s="647"/>
      <c r="I79" s="675"/>
      <c r="J79" s="714">
        <f>'Date masura OD'!$J$5</f>
        <v>45808</v>
      </c>
      <c r="K79" s="715"/>
      <c r="L79" s="716"/>
      <c r="M79" s="720"/>
      <c r="N79" s="648"/>
      <c r="O79" s="648"/>
      <c r="P79" s="648"/>
      <c r="Q79" s="648"/>
      <c r="R79" s="647"/>
      <c r="S79" s="647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647"/>
      <c r="AL79" s="647"/>
      <c r="AM79" s="647"/>
    </row>
    <row r="80" spans="1:39" ht="14.1" customHeight="1">
      <c r="A80" s="678">
        <f>A77</f>
        <v>1371514496</v>
      </c>
      <c r="B80" s="679"/>
      <c r="C80" s="679"/>
      <c r="D80" s="679"/>
      <c r="E80" s="679"/>
      <c r="F80" s="680"/>
      <c r="G80" s="648" t="s">
        <v>696</v>
      </c>
      <c r="H80" s="648"/>
      <c r="I80" s="648"/>
      <c r="J80" s="655">
        <f t="shared" ref="J80:J85" si="3">J77</f>
        <v>45778</v>
      </c>
      <c r="K80" s="656"/>
      <c r="L80" s="657"/>
      <c r="M80" s="648" t="s">
        <v>720</v>
      </c>
      <c r="N80" s="648"/>
      <c r="O80" s="648">
        <f>O77</f>
        <v>1</v>
      </c>
      <c r="P80" s="648"/>
      <c r="Q80" s="648"/>
      <c r="R80" s="647" t="s">
        <v>1089</v>
      </c>
      <c r="S80" s="647"/>
      <c r="T80" s="647"/>
      <c r="U80" s="647" t="s">
        <v>1089</v>
      </c>
      <c r="V80" s="647"/>
      <c r="W80" s="647"/>
      <c r="X80" s="647" t="s">
        <v>1089</v>
      </c>
      <c r="Y80" s="647"/>
      <c r="Z80" s="647"/>
      <c r="AA80" s="647" t="s">
        <v>69</v>
      </c>
      <c r="AB80" s="647"/>
      <c r="AC80" s="647"/>
      <c r="AD80" s="647" t="s">
        <v>69</v>
      </c>
      <c r="AE80" s="647"/>
      <c r="AF80" s="647">
        <v>0</v>
      </c>
      <c r="AG80" s="647"/>
      <c r="AH80" s="647"/>
      <c r="AI80" s="647">
        <f>AI77</f>
        <v>31</v>
      </c>
      <c r="AJ80" s="647"/>
      <c r="AK80" s="647">
        <f>ROUND(AF80/AI80,2)</f>
        <v>0</v>
      </c>
      <c r="AL80" s="647"/>
      <c r="AM80" s="647"/>
    </row>
    <row r="81" spans="1:39" ht="14.1" customHeight="1">
      <c r="A81" s="717"/>
      <c r="B81" s="718"/>
      <c r="C81" s="718"/>
      <c r="D81" s="718"/>
      <c r="E81" s="718"/>
      <c r="F81" s="719"/>
      <c r="G81" s="648"/>
      <c r="H81" s="648"/>
      <c r="I81" s="648"/>
      <c r="J81" s="717" t="str">
        <f t="shared" si="3"/>
        <v>-</v>
      </c>
      <c r="K81" s="718"/>
      <c r="L81" s="719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81"/>
      <c r="B82" s="682"/>
      <c r="C82" s="682"/>
      <c r="D82" s="682"/>
      <c r="E82" s="682"/>
      <c r="F82" s="683"/>
      <c r="G82" s="648"/>
      <c r="H82" s="648"/>
      <c r="I82" s="648"/>
      <c r="J82" s="714">
        <f t="shared" si="3"/>
        <v>45808</v>
      </c>
      <c r="K82" s="715"/>
      <c r="L82" s="716"/>
      <c r="M82" s="648"/>
      <c r="N82" s="648"/>
      <c r="O82" s="648"/>
      <c r="P82" s="648"/>
      <c r="Q82" s="648"/>
      <c r="R82" s="647"/>
      <c r="S82" s="647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</row>
    <row r="83" spans="1:39" ht="14.1" customHeight="1">
      <c r="A83" s="678">
        <f>A80</f>
        <v>1371514496</v>
      </c>
      <c r="B83" s="679"/>
      <c r="C83" s="679"/>
      <c r="D83" s="679"/>
      <c r="E83" s="679"/>
      <c r="F83" s="680"/>
      <c r="G83" s="648" t="s">
        <v>731</v>
      </c>
      <c r="H83" s="648"/>
      <c r="I83" s="648"/>
      <c r="J83" s="655">
        <f t="shared" si="3"/>
        <v>45778</v>
      </c>
      <c r="K83" s="656"/>
      <c r="L83" s="657"/>
      <c r="M83" s="648" t="s">
        <v>720</v>
      </c>
      <c r="N83" s="648"/>
      <c r="O83" s="648">
        <f>O80</f>
        <v>1</v>
      </c>
      <c r="P83" s="648"/>
      <c r="Q83" s="648"/>
      <c r="R83" s="647" t="s">
        <v>1089</v>
      </c>
      <c r="S83" s="647"/>
      <c r="T83" s="647"/>
      <c r="U83" s="647" t="s">
        <v>1089</v>
      </c>
      <c r="V83" s="647"/>
      <c r="W83" s="647"/>
      <c r="X83" s="647" t="s">
        <v>1089</v>
      </c>
      <c r="Y83" s="647"/>
      <c r="Z83" s="647"/>
      <c r="AA83" s="647" t="s">
        <v>69</v>
      </c>
      <c r="AB83" s="647"/>
      <c r="AC83" s="647"/>
      <c r="AD83" s="647" t="s">
        <v>69</v>
      </c>
      <c r="AE83" s="647"/>
      <c r="AF83" s="647">
        <v>0</v>
      </c>
      <c r="AG83" s="647"/>
      <c r="AH83" s="647"/>
      <c r="AI83" s="647">
        <f>AI80</f>
        <v>31</v>
      </c>
      <c r="AJ83" s="647"/>
      <c r="AK83" s="647">
        <f>ROUND(AF83/AI83,2)</f>
        <v>0</v>
      </c>
      <c r="AL83" s="647"/>
      <c r="AM83" s="647"/>
    </row>
    <row r="84" spans="1:39" ht="14.1" customHeight="1">
      <c r="A84" s="717"/>
      <c r="B84" s="718"/>
      <c r="C84" s="718"/>
      <c r="D84" s="718"/>
      <c r="E84" s="718"/>
      <c r="F84" s="719"/>
      <c r="G84" s="648"/>
      <c r="H84" s="648"/>
      <c r="I84" s="648"/>
      <c r="J84" s="717" t="str">
        <f t="shared" si="3"/>
        <v>-</v>
      </c>
      <c r="K84" s="718"/>
      <c r="L84" s="719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81"/>
      <c r="B85" s="682"/>
      <c r="C85" s="682"/>
      <c r="D85" s="682"/>
      <c r="E85" s="682"/>
      <c r="F85" s="683"/>
      <c r="G85" s="648"/>
      <c r="H85" s="648"/>
      <c r="I85" s="648"/>
      <c r="J85" s="714">
        <f t="shared" si="3"/>
        <v>45808</v>
      </c>
      <c r="K85" s="715"/>
      <c r="L85" s="716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196"/>
      <c r="B86" s="196"/>
      <c r="C86" s="196"/>
      <c r="D86" s="196"/>
      <c r="E86" s="196"/>
      <c r="F86" s="196"/>
      <c r="G86" s="196"/>
      <c r="H86" s="196"/>
      <c r="I86" s="196"/>
      <c r="J86" s="197"/>
      <c r="K86" s="197"/>
      <c r="L86" s="197"/>
      <c r="M86" s="196"/>
      <c r="N86" s="196"/>
      <c r="O86" s="196"/>
      <c r="P86" s="196"/>
      <c r="Q86" s="196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</row>
    <row r="87" spans="1:39" ht="14.1" customHeight="1">
      <c r="A87" s="196"/>
      <c r="B87" s="196"/>
      <c r="C87" s="196"/>
      <c r="D87" s="196"/>
      <c r="E87" s="196"/>
      <c r="F87" s="196"/>
      <c r="G87" s="196"/>
      <c r="H87" s="196"/>
      <c r="I87" s="196"/>
      <c r="J87" s="197"/>
      <c r="K87" s="197"/>
      <c r="L87" s="197"/>
      <c r="M87" s="196"/>
      <c r="N87" s="196"/>
      <c r="O87" s="196"/>
      <c r="P87" s="196"/>
      <c r="Q87" s="196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</row>
    <row r="88" spans="1:39" ht="14.1" customHeight="1">
      <c r="A88" s="196"/>
      <c r="B88" s="196"/>
      <c r="C88" s="196"/>
      <c r="D88" s="196"/>
      <c r="E88" s="196"/>
      <c r="F88" s="196"/>
      <c r="G88" s="196"/>
      <c r="H88" s="196"/>
      <c r="I88" s="196"/>
      <c r="J88" s="197"/>
      <c r="K88" s="197"/>
      <c r="L88" s="197"/>
      <c r="M88" s="196"/>
      <c r="N88" s="196"/>
      <c r="O88" s="196"/>
      <c r="P88" s="196"/>
      <c r="Q88" s="196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</row>
    <row r="89" spans="1:39" ht="14.1" customHeight="1"/>
    <row r="90" spans="1:39" ht="15.95" customHeight="1">
      <c r="A90" s="624" t="str">
        <f>A28</f>
        <v>DETALII FACTURA FACTURA FISCALA SERIA …........ NR …................. din date de ….......06.2025</v>
      </c>
      <c r="B90" s="624"/>
      <c r="C90" s="624"/>
      <c r="D90" s="624"/>
      <c r="E90" s="624"/>
      <c r="F90" s="624"/>
      <c r="G90" s="624"/>
      <c r="H90" s="624"/>
      <c r="I90" s="624"/>
      <c r="J90" s="624"/>
      <c r="K90" s="624"/>
      <c r="L90" s="624"/>
      <c r="M90" s="624"/>
      <c r="N90" s="624"/>
      <c r="O90" s="624"/>
      <c r="P90" s="624"/>
      <c r="Q90" s="624"/>
      <c r="R90" s="624"/>
      <c r="S90" s="624"/>
      <c r="T90" s="624"/>
      <c r="U90" s="624"/>
      <c r="V90" s="624"/>
      <c r="W90" s="624"/>
      <c r="X90" s="624"/>
      <c r="Y90" s="624"/>
      <c r="Z90" s="624"/>
      <c r="AA90" s="624"/>
      <c r="AB90" s="624"/>
      <c r="AC90" s="624"/>
      <c r="AD90" s="624"/>
      <c r="AE90" s="624"/>
      <c r="AF90" s="624"/>
      <c r="AG90" s="624"/>
      <c r="AH90" s="624"/>
      <c r="AI90" s="624"/>
      <c r="AJ90" s="624"/>
      <c r="AK90" s="624"/>
      <c r="AL90" s="624"/>
      <c r="AM90" s="624"/>
    </row>
    <row r="92" spans="1:39" ht="36" customHeight="1">
      <c r="A92" s="66" t="s">
        <v>721</v>
      </c>
      <c r="B92" s="648" t="s">
        <v>95</v>
      </c>
      <c r="C92" s="648"/>
      <c r="D92" s="648"/>
      <c r="E92" s="648"/>
      <c r="F92" s="648"/>
      <c r="G92" s="648"/>
      <c r="H92" s="648"/>
      <c r="I92" s="648"/>
      <c r="J92" s="648"/>
      <c r="K92" s="648"/>
      <c r="L92" s="64" t="s">
        <v>709</v>
      </c>
      <c r="M92" s="69"/>
      <c r="N92" s="69"/>
      <c r="O92" s="64"/>
      <c r="P92" s="69"/>
      <c r="Q92" s="69"/>
      <c r="R92" s="647" t="s">
        <v>722</v>
      </c>
      <c r="S92" s="647"/>
      <c r="T92" s="647"/>
      <c r="U92" s="647"/>
      <c r="V92" s="648" t="s">
        <v>519</v>
      </c>
      <c r="W92" s="648"/>
      <c r="X92" s="647" t="s">
        <v>723</v>
      </c>
      <c r="Y92" s="647"/>
      <c r="Z92" s="647"/>
      <c r="AA92" s="647"/>
      <c r="AB92" s="647" t="s">
        <v>724</v>
      </c>
      <c r="AC92" s="647"/>
      <c r="AD92" s="647"/>
      <c r="AE92" s="647"/>
      <c r="AF92" s="647" t="s">
        <v>725</v>
      </c>
      <c r="AG92" s="647"/>
      <c r="AH92" s="647"/>
      <c r="AI92" s="647"/>
      <c r="AJ92" s="647" t="s">
        <v>726</v>
      </c>
      <c r="AK92" s="647"/>
      <c r="AL92" s="647"/>
      <c r="AM92" s="647"/>
    </row>
    <row r="93" spans="1:39" ht="15.95" customHeight="1">
      <c r="A93" s="65">
        <v>1</v>
      </c>
      <c r="B93" s="699" t="s">
        <v>71</v>
      </c>
      <c r="C93" s="700"/>
      <c r="D93" s="700"/>
      <c r="E93" s="700"/>
      <c r="F93" s="700"/>
      <c r="G93" s="700"/>
      <c r="H93" s="700"/>
      <c r="I93" s="700"/>
      <c r="J93" s="700"/>
      <c r="K93" s="701"/>
      <c r="L93" s="702">
        <f>'Date masura OD'!$I$5</f>
        <v>45778</v>
      </c>
      <c r="M93" s="702"/>
      <c r="N93" s="702"/>
      <c r="O93" s="702">
        <f>'Date masura OD'!$J$5</f>
        <v>45808</v>
      </c>
      <c r="P93" s="702"/>
      <c r="Q93" s="702"/>
      <c r="R93" s="690" cm="1">
        <f t="array" ref="R93">INDEX(verificare!$AT$4:$CC$33,VLOOKUP($AA$16,verificare!$AR$4:$AS$33,2,FALSE),A93)</f>
        <v>4793</v>
      </c>
      <c r="S93" s="690"/>
      <c r="T93" s="690"/>
      <c r="U93" s="690"/>
      <c r="V93" s="658" t="s">
        <v>446</v>
      </c>
      <c r="W93" s="658"/>
      <c r="X93" s="691">
        <f>HLOOKUP(VLOOKUP($AA$16,'Date SPV'!$B:$F,5,FALSE),'Preturi si tarife'!$C$2:$J$39,A93+2,FALSE)</f>
        <v>0.59499999999999997</v>
      </c>
      <c r="Y93" s="692"/>
      <c r="Z93" s="692"/>
      <c r="AA93" s="693"/>
      <c r="AB93" s="690">
        <f>ROUND(X93*R93,2)</f>
        <v>2851.84</v>
      </c>
      <c r="AC93" s="690"/>
      <c r="AD93" s="690"/>
      <c r="AE93" s="690"/>
      <c r="AF93" s="690">
        <f>ROUND(AB93*19%,2)</f>
        <v>541.85</v>
      </c>
      <c r="AG93" s="690"/>
      <c r="AH93" s="690"/>
      <c r="AI93" s="690"/>
      <c r="AJ93" s="690">
        <f>AB93+AF93</f>
        <v>3393.69</v>
      </c>
      <c r="AK93" s="690"/>
      <c r="AL93" s="690"/>
      <c r="AM93" s="690"/>
    </row>
    <row r="94" spans="1:39">
      <c r="A94" s="65">
        <f>A93+1</f>
        <v>2</v>
      </c>
      <c r="B94" s="699" t="s">
        <v>72</v>
      </c>
      <c r="C94" s="700"/>
      <c r="D94" s="700"/>
      <c r="E94" s="700"/>
      <c r="F94" s="700"/>
      <c r="G94" s="700"/>
      <c r="H94" s="700"/>
      <c r="I94" s="700"/>
      <c r="J94" s="700"/>
      <c r="K94" s="701"/>
      <c r="L94" s="702">
        <f>L93</f>
        <v>45778</v>
      </c>
      <c r="M94" s="702"/>
      <c r="N94" s="702"/>
      <c r="O94" s="702">
        <f>O93</f>
        <v>45808</v>
      </c>
      <c r="P94" s="702"/>
      <c r="Q94" s="702"/>
      <c r="R94" s="690" cm="1">
        <f t="array" ref="R94">INDEX(verificare!$AT$4:$CC$33,VLOOKUP($AA$16,verificare!$AR$4:$AS$33,2,FALSE),A94)</f>
        <v>0</v>
      </c>
      <c r="S94" s="690"/>
      <c r="T94" s="690"/>
      <c r="U94" s="690"/>
      <c r="V94" s="658" t="s">
        <v>727</v>
      </c>
      <c r="W94" s="658"/>
      <c r="X94" s="691">
        <f>HLOOKUP(VLOOKUP($AA$16,'Date SPV'!$B:$F,5,FALSE),'Preturi si tarife'!$C$2:$J$39,A94+2,FALSE)</f>
        <v>0.14649999999999999</v>
      </c>
      <c r="Y94" s="692"/>
      <c r="Z94" s="692"/>
      <c r="AA94" s="693"/>
      <c r="AB94" s="690">
        <f t="shared" ref="AB94:AB128" si="4">ROUND(X94*R94,2)</f>
        <v>0</v>
      </c>
      <c r="AC94" s="690"/>
      <c r="AD94" s="690"/>
      <c r="AE94" s="690"/>
      <c r="AF94" s="690">
        <f t="shared" ref="AF94:AF129" si="5">ROUND(AB94*19%,2)</f>
        <v>0</v>
      </c>
      <c r="AG94" s="690"/>
      <c r="AH94" s="690"/>
      <c r="AI94" s="690"/>
      <c r="AJ94" s="690">
        <f t="shared" ref="AJ94:AJ129" si="6">AB94+AF94</f>
        <v>0</v>
      </c>
      <c r="AK94" s="690"/>
      <c r="AL94" s="690"/>
      <c r="AM94" s="690"/>
    </row>
    <row r="95" spans="1:39">
      <c r="A95" s="65">
        <f t="shared" ref="A95:A129" si="7">A94+1</f>
        <v>3</v>
      </c>
      <c r="B95" s="699" t="s">
        <v>73</v>
      </c>
      <c r="C95" s="700"/>
      <c r="D95" s="700"/>
      <c r="E95" s="700"/>
      <c r="F95" s="700"/>
      <c r="G95" s="700"/>
      <c r="H95" s="700"/>
      <c r="I95" s="700"/>
      <c r="J95" s="700"/>
      <c r="K95" s="701"/>
      <c r="L95" s="702">
        <f t="shared" ref="L95:L110" si="8">L94</f>
        <v>45778</v>
      </c>
      <c r="M95" s="702"/>
      <c r="N95" s="702"/>
      <c r="O95" s="702">
        <f t="shared" ref="O95:O110" si="9">O94</f>
        <v>45808</v>
      </c>
      <c r="P95" s="702"/>
      <c r="Q95" s="702"/>
      <c r="R95" s="690" cm="1">
        <f t="array" ref="R95">INDEX(verificare!$AT$4:$CC$33,VLOOKUP($AA$16,verificare!$AR$4:$AS$33,2,FALSE),A95)</f>
        <v>0</v>
      </c>
      <c r="S95" s="690"/>
      <c r="T95" s="690"/>
      <c r="U95" s="690"/>
      <c r="V95" s="658" t="s">
        <v>727</v>
      </c>
      <c r="W95" s="658"/>
      <c r="X95" s="691">
        <f>HLOOKUP(VLOOKUP($AA$16,'Date SPV'!$B:$F,5,FALSE),'Preturi si tarife'!$C$2:$J$39,A95+2,FALSE)</f>
        <v>0.4395</v>
      </c>
      <c r="Y95" s="692"/>
      <c r="Z95" s="692"/>
      <c r="AA95" s="693"/>
      <c r="AB95" s="690">
        <f t="shared" si="4"/>
        <v>0</v>
      </c>
      <c r="AC95" s="690"/>
      <c r="AD95" s="690"/>
      <c r="AE95" s="690"/>
      <c r="AF95" s="690">
        <f t="shared" si="5"/>
        <v>0</v>
      </c>
      <c r="AG95" s="690"/>
      <c r="AH95" s="690"/>
      <c r="AI95" s="690"/>
      <c r="AJ95" s="690">
        <f t="shared" si="6"/>
        <v>0</v>
      </c>
      <c r="AK95" s="690"/>
      <c r="AL95" s="690"/>
      <c r="AM95" s="690"/>
    </row>
    <row r="96" spans="1:39" ht="15.95" customHeight="1">
      <c r="A96" s="65">
        <f t="shared" si="7"/>
        <v>4</v>
      </c>
      <c r="B96" s="699" t="s">
        <v>868</v>
      </c>
      <c r="C96" s="700"/>
      <c r="D96" s="700"/>
      <c r="E96" s="700"/>
      <c r="F96" s="700"/>
      <c r="G96" s="700"/>
      <c r="H96" s="700"/>
      <c r="I96" s="700"/>
      <c r="J96" s="700"/>
      <c r="K96" s="701"/>
      <c r="L96" s="702">
        <f t="shared" si="8"/>
        <v>45778</v>
      </c>
      <c r="M96" s="702"/>
      <c r="N96" s="702"/>
      <c r="O96" s="702">
        <f t="shared" si="9"/>
        <v>45808</v>
      </c>
      <c r="P96" s="702"/>
      <c r="Q96" s="702"/>
      <c r="R96" s="690" cm="1">
        <f t="array" ref="R96">INDEX(verificare!$AT$4:$CC$33,VLOOKUP($AA$16,verificare!$AR$4:$AS$33,2,FALSE),A96)</f>
        <v>4793</v>
      </c>
      <c r="S96" s="690"/>
      <c r="T96" s="690"/>
      <c r="U96" s="690"/>
      <c r="V96" s="658" t="s">
        <v>446</v>
      </c>
      <c r="W96" s="658"/>
      <c r="X96" s="691">
        <f>HLOOKUP(VLOOKUP($AA$16,'Date SPV'!$B:$F,5,FALSE),'Preturi si tarife'!$C$2:$J$39,A96+2,FALSE)</f>
        <v>0.13613999999999998</v>
      </c>
      <c r="Y96" s="692"/>
      <c r="Z96" s="692"/>
      <c r="AA96" s="693"/>
      <c r="AB96" s="690">
        <f t="shared" si="4"/>
        <v>652.52</v>
      </c>
      <c r="AC96" s="690"/>
      <c r="AD96" s="690"/>
      <c r="AE96" s="690"/>
      <c r="AF96" s="690">
        <f t="shared" si="5"/>
        <v>123.98</v>
      </c>
      <c r="AG96" s="690"/>
      <c r="AH96" s="690"/>
      <c r="AI96" s="690"/>
      <c r="AJ96" s="690">
        <f t="shared" si="6"/>
        <v>776.5</v>
      </c>
      <c r="AK96" s="690"/>
      <c r="AL96" s="690"/>
      <c r="AM96" s="690"/>
    </row>
    <row r="97" spans="1:39">
      <c r="A97" s="65">
        <f t="shared" si="7"/>
        <v>5</v>
      </c>
      <c r="B97" s="699" t="s">
        <v>757</v>
      </c>
      <c r="C97" s="700"/>
      <c r="D97" s="700"/>
      <c r="E97" s="700"/>
      <c r="F97" s="700"/>
      <c r="G97" s="700"/>
      <c r="H97" s="700"/>
      <c r="I97" s="700"/>
      <c r="J97" s="700"/>
      <c r="K97" s="701"/>
      <c r="L97" s="702">
        <f t="shared" si="8"/>
        <v>45778</v>
      </c>
      <c r="M97" s="702"/>
      <c r="N97" s="702"/>
      <c r="O97" s="702">
        <f t="shared" si="9"/>
        <v>45808</v>
      </c>
      <c r="P97" s="702"/>
      <c r="Q97" s="702"/>
      <c r="R97" s="690" cm="1">
        <f t="array" ref="R97">INDEX(verificare!$AT$4:$CC$33,VLOOKUP($AA$16,verificare!$AR$4:$AS$33,2,FALSE),A97)</f>
        <v>0</v>
      </c>
      <c r="S97" s="690"/>
      <c r="T97" s="690"/>
      <c r="U97" s="690"/>
      <c r="V97" s="658" t="s">
        <v>446</v>
      </c>
      <c r="W97" s="658"/>
      <c r="X97" s="691">
        <f>HLOOKUP(VLOOKUP($AA$16,'Date SPV'!$B:$F,5,FALSE),'Preturi si tarife'!$C$2:$J$39,A97+2,FALSE)</f>
        <v>0.22738999999999998</v>
      </c>
      <c r="Y97" s="692"/>
      <c r="Z97" s="692"/>
      <c r="AA97" s="693"/>
      <c r="AB97" s="690">
        <f t="shared" si="4"/>
        <v>0</v>
      </c>
      <c r="AC97" s="690"/>
      <c r="AD97" s="690"/>
      <c r="AE97" s="690"/>
      <c r="AF97" s="690">
        <f t="shared" si="5"/>
        <v>0</v>
      </c>
      <c r="AG97" s="690"/>
      <c r="AH97" s="690"/>
      <c r="AI97" s="690"/>
      <c r="AJ97" s="690">
        <f t="shared" si="6"/>
        <v>0</v>
      </c>
      <c r="AK97" s="690"/>
      <c r="AL97" s="690"/>
      <c r="AM97" s="690"/>
    </row>
    <row r="98" spans="1:39" ht="15.95" customHeight="1">
      <c r="A98" s="65">
        <f t="shared" si="7"/>
        <v>6</v>
      </c>
      <c r="B98" s="699" t="s">
        <v>74</v>
      </c>
      <c r="C98" s="700"/>
      <c r="D98" s="700"/>
      <c r="E98" s="700"/>
      <c r="F98" s="700"/>
      <c r="G98" s="700"/>
      <c r="H98" s="700"/>
      <c r="I98" s="700"/>
      <c r="J98" s="700"/>
      <c r="K98" s="701"/>
      <c r="L98" s="702">
        <f t="shared" si="8"/>
        <v>45778</v>
      </c>
      <c r="M98" s="702"/>
      <c r="N98" s="702"/>
      <c r="O98" s="702">
        <f t="shared" si="9"/>
        <v>45808</v>
      </c>
      <c r="P98" s="702"/>
      <c r="Q98" s="702"/>
      <c r="R98" s="690" cm="1">
        <f t="array" ref="R98">INDEX(verificare!$AT$4:$CC$33,VLOOKUP($AA$16,verificare!$AR$4:$AS$33,2,FALSE),A98)</f>
        <v>4793</v>
      </c>
      <c r="S98" s="690"/>
      <c r="T98" s="690"/>
      <c r="U98" s="690"/>
      <c r="V98" s="658" t="s">
        <v>446</v>
      </c>
      <c r="W98" s="658"/>
      <c r="X98" s="691">
        <f>HLOOKUP(VLOOKUP($AA$16,'Date SPV'!$B:$F,5,FALSE),'Preturi si tarife'!$C$2:$J$39,A98+2,FALSE)</f>
        <v>1.1509999999999999E-2</v>
      </c>
      <c r="Y98" s="692"/>
      <c r="Z98" s="692"/>
      <c r="AA98" s="693"/>
      <c r="AB98" s="690">
        <f t="shared" si="4"/>
        <v>55.17</v>
      </c>
      <c r="AC98" s="690"/>
      <c r="AD98" s="690"/>
      <c r="AE98" s="690"/>
      <c r="AF98" s="690">
        <f t="shared" si="5"/>
        <v>10.48</v>
      </c>
      <c r="AG98" s="690"/>
      <c r="AH98" s="690"/>
      <c r="AI98" s="690"/>
      <c r="AJ98" s="690">
        <f t="shared" si="6"/>
        <v>65.650000000000006</v>
      </c>
      <c r="AK98" s="690"/>
      <c r="AL98" s="690"/>
      <c r="AM98" s="690"/>
    </row>
    <row r="99" spans="1:39" ht="20.100000000000001" customHeight="1">
      <c r="A99" s="65">
        <f t="shared" si="7"/>
        <v>7</v>
      </c>
      <c r="B99" s="699" t="s">
        <v>75</v>
      </c>
      <c r="C99" s="700"/>
      <c r="D99" s="700"/>
      <c r="E99" s="700"/>
      <c r="F99" s="700"/>
      <c r="G99" s="700"/>
      <c r="H99" s="700"/>
      <c r="I99" s="700"/>
      <c r="J99" s="700"/>
      <c r="K99" s="701"/>
      <c r="L99" s="702">
        <f t="shared" si="8"/>
        <v>45778</v>
      </c>
      <c r="M99" s="702"/>
      <c r="N99" s="702"/>
      <c r="O99" s="702">
        <f t="shared" si="9"/>
        <v>45808</v>
      </c>
      <c r="P99" s="702"/>
      <c r="Q99" s="702"/>
      <c r="R99" s="690" cm="1">
        <f t="array" ref="R99">INDEX(verificare!$AT$4:$CC$33,VLOOKUP($AA$16,verificare!$AR$4:$AS$33,2,FALSE),A99)</f>
        <v>4793</v>
      </c>
      <c r="S99" s="690"/>
      <c r="T99" s="690"/>
      <c r="U99" s="690"/>
      <c r="V99" s="658" t="s">
        <v>446</v>
      </c>
      <c r="W99" s="658"/>
      <c r="X99" s="691">
        <f>HLOOKUP(VLOOKUP($AA$16,'Date SPV'!$B:$F,5,FALSE),'Preturi si tarife'!$C$2:$J$39,A99+2,FALSE)</f>
        <v>3.3030000000000004E-2</v>
      </c>
      <c r="Y99" s="692"/>
      <c r="Z99" s="692"/>
      <c r="AA99" s="693"/>
      <c r="AB99" s="690">
        <f t="shared" si="4"/>
        <v>158.31</v>
      </c>
      <c r="AC99" s="690"/>
      <c r="AD99" s="690"/>
      <c r="AE99" s="690"/>
      <c r="AF99" s="690">
        <f t="shared" si="5"/>
        <v>30.08</v>
      </c>
      <c r="AG99" s="690"/>
      <c r="AH99" s="690"/>
      <c r="AI99" s="690"/>
      <c r="AJ99" s="690">
        <f t="shared" si="6"/>
        <v>188.39</v>
      </c>
      <c r="AK99" s="690"/>
      <c r="AL99" s="690"/>
      <c r="AM99" s="690"/>
    </row>
    <row r="100" spans="1:39" ht="24.95" customHeight="1">
      <c r="A100" s="65">
        <f t="shared" si="7"/>
        <v>8</v>
      </c>
      <c r="B100" s="699" t="s">
        <v>76</v>
      </c>
      <c r="C100" s="700"/>
      <c r="D100" s="700"/>
      <c r="E100" s="700"/>
      <c r="F100" s="700"/>
      <c r="G100" s="700"/>
      <c r="H100" s="700"/>
      <c r="I100" s="700"/>
      <c r="J100" s="700"/>
      <c r="K100" s="701"/>
      <c r="L100" s="702">
        <f t="shared" si="8"/>
        <v>45778</v>
      </c>
      <c r="M100" s="702"/>
      <c r="N100" s="702"/>
      <c r="O100" s="702">
        <f t="shared" si="9"/>
        <v>45808</v>
      </c>
      <c r="P100" s="702"/>
      <c r="Q100" s="702"/>
      <c r="R100" s="690" cm="1">
        <f t="array" ref="R100">INDEX(verificare!$AT$4:$CC$33,VLOOKUP($AA$16,verificare!$AR$4:$AS$33,2,FALSE),A100)</f>
        <v>4793</v>
      </c>
      <c r="S100" s="690"/>
      <c r="T100" s="690"/>
      <c r="U100" s="690"/>
      <c r="V100" s="658" t="s">
        <v>446</v>
      </c>
      <c r="W100" s="658"/>
      <c r="X100" s="691">
        <f>HLOOKUP(VLOOKUP($AA$16,'Date SPV'!$B:$F,5,FALSE),'Preturi si tarife'!$C$2:$J$39,A100+2,FALSE)</f>
        <v>3.29E-3</v>
      </c>
      <c r="Y100" s="692"/>
      <c r="Z100" s="692"/>
      <c r="AA100" s="693"/>
      <c r="AB100" s="690">
        <f t="shared" si="4"/>
        <v>15.77</v>
      </c>
      <c r="AC100" s="690"/>
      <c r="AD100" s="690"/>
      <c r="AE100" s="690"/>
      <c r="AF100" s="690">
        <f t="shared" si="5"/>
        <v>3</v>
      </c>
      <c r="AG100" s="690"/>
      <c r="AH100" s="690"/>
      <c r="AI100" s="690"/>
      <c r="AJ100" s="690">
        <f t="shared" si="6"/>
        <v>18.77</v>
      </c>
      <c r="AK100" s="690"/>
      <c r="AL100" s="690"/>
      <c r="AM100" s="690"/>
    </row>
    <row r="101" spans="1:39" ht="15.95" customHeight="1">
      <c r="A101" s="65">
        <f t="shared" si="7"/>
        <v>9</v>
      </c>
      <c r="B101" s="699" t="s">
        <v>77</v>
      </c>
      <c r="C101" s="700"/>
      <c r="D101" s="700"/>
      <c r="E101" s="700"/>
      <c r="F101" s="700"/>
      <c r="G101" s="700"/>
      <c r="H101" s="700"/>
      <c r="I101" s="700"/>
      <c r="J101" s="700"/>
      <c r="K101" s="701"/>
      <c r="L101" s="702">
        <f t="shared" si="8"/>
        <v>45778</v>
      </c>
      <c r="M101" s="702"/>
      <c r="N101" s="702"/>
      <c r="O101" s="702">
        <f t="shared" si="9"/>
        <v>45808</v>
      </c>
      <c r="P101" s="702"/>
      <c r="Q101" s="702"/>
      <c r="R101" s="690" cm="1">
        <f t="array" ref="R101">INDEX(verificare!$AT$4:$CC$33,VLOOKUP($AA$16,verificare!$AR$4:$AS$33,2,FALSE),A101)</f>
        <v>4793</v>
      </c>
      <c r="S101" s="690"/>
      <c r="T101" s="690"/>
      <c r="U101" s="690"/>
      <c r="V101" s="658" t="s">
        <v>446</v>
      </c>
      <c r="W101" s="658"/>
      <c r="X101" s="691">
        <f>HLOOKUP(VLOOKUP($AA$16,'Date SPV'!$B:$F,5,FALSE),'Preturi si tarife'!$C$2:$J$39,A101+2,FALSE)</f>
        <v>3.5000000000000001E-3</v>
      </c>
      <c r="Y101" s="692"/>
      <c r="Z101" s="692"/>
      <c r="AA101" s="693"/>
      <c r="AB101" s="690">
        <f t="shared" si="4"/>
        <v>16.78</v>
      </c>
      <c r="AC101" s="690"/>
      <c r="AD101" s="690"/>
      <c r="AE101" s="690"/>
      <c r="AF101" s="690">
        <f t="shared" si="5"/>
        <v>3.19</v>
      </c>
      <c r="AG101" s="690"/>
      <c r="AH101" s="690"/>
      <c r="AI101" s="690"/>
      <c r="AJ101" s="690">
        <f t="shared" si="6"/>
        <v>19.970000000000002</v>
      </c>
      <c r="AK101" s="690"/>
      <c r="AL101" s="690"/>
      <c r="AM101" s="690"/>
    </row>
    <row r="102" spans="1:39" ht="15.95" customHeight="1">
      <c r="A102" s="65">
        <f t="shared" si="7"/>
        <v>10</v>
      </c>
      <c r="B102" s="699" t="s">
        <v>78</v>
      </c>
      <c r="C102" s="700"/>
      <c r="D102" s="700"/>
      <c r="E102" s="700"/>
      <c r="F102" s="700"/>
      <c r="G102" s="700"/>
      <c r="H102" s="700"/>
      <c r="I102" s="700"/>
      <c r="J102" s="700"/>
      <c r="K102" s="701"/>
      <c r="L102" s="702">
        <f t="shared" si="8"/>
        <v>45778</v>
      </c>
      <c r="M102" s="702"/>
      <c r="N102" s="702"/>
      <c r="O102" s="702">
        <f t="shared" si="9"/>
        <v>45808</v>
      </c>
      <c r="P102" s="702"/>
      <c r="Q102" s="702"/>
      <c r="R102" s="690" cm="1">
        <f t="array" ref="R102">INDEX(verificare!$AT$4:$CC$33,VLOOKUP($AA$16,verificare!$AR$4:$AS$33,2,FALSE),A102)</f>
        <v>4793</v>
      </c>
      <c r="S102" s="690"/>
      <c r="T102" s="690"/>
      <c r="U102" s="690"/>
      <c r="V102" s="658" t="s">
        <v>446</v>
      </c>
      <c r="W102" s="658"/>
      <c r="X102" s="691">
        <f>HLOOKUP(VLOOKUP($AA$16,'Date SPV'!$B:$F,5,FALSE),'Preturi si tarife'!$C$2:$J$39,A102+2,FALSE)</f>
        <v>7.2541599999999998E-2</v>
      </c>
      <c r="Y102" s="692"/>
      <c r="Z102" s="692"/>
      <c r="AA102" s="693"/>
      <c r="AB102" s="690">
        <f t="shared" si="4"/>
        <v>347.69</v>
      </c>
      <c r="AC102" s="690"/>
      <c r="AD102" s="690"/>
      <c r="AE102" s="690"/>
      <c r="AF102" s="690">
        <f t="shared" si="5"/>
        <v>66.06</v>
      </c>
      <c r="AG102" s="690"/>
      <c r="AH102" s="690"/>
      <c r="AI102" s="690"/>
      <c r="AJ102" s="690">
        <f t="shared" si="6"/>
        <v>413.75</v>
      </c>
      <c r="AK102" s="690"/>
      <c r="AL102" s="690"/>
      <c r="AM102" s="690"/>
    </row>
    <row r="103" spans="1:39" ht="15.95" customHeight="1">
      <c r="A103" s="65">
        <f t="shared" si="7"/>
        <v>11</v>
      </c>
      <c r="B103" s="699" t="s">
        <v>1313</v>
      </c>
      <c r="C103" s="700"/>
      <c r="D103" s="700"/>
      <c r="E103" s="700"/>
      <c r="F103" s="700"/>
      <c r="G103" s="700"/>
      <c r="H103" s="700"/>
      <c r="I103" s="700"/>
      <c r="J103" s="700"/>
      <c r="K103" s="701"/>
      <c r="L103" s="702">
        <f t="shared" si="8"/>
        <v>45778</v>
      </c>
      <c r="M103" s="702"/>
      <c r="N103" s="702"/>
      <c r="O103" s="702">
        <f t="shared" si="9"/>
        <v>45808</v>
      </c>
      <c r="P103" s="702"/>
      <c r="Q103" s="702"/>
      <c r="R103" s="690" cm="1">
        <f t="array" ref="R103">INDEX(verificare!$AT$4:$CC$33,VLOOKUP($AA$16,verificare!$AR$4:$AS$33,2,FALSE),A103)</f>
        <v>4793</v>
      </c>
      <c r="S103" s="690"/>
      <c r="T103" s="690"/>
      <c r="U103" s="690"/>
      <c r="V103" s="724" t="s">
        <v>446</v>
      </c>
      <c r="W103" s="725"/>
      <c r="X103" s="691">
        <f>HLOOKUP(VLOOKUP($AA$16,'Date SPV'!$B:$F,5,FALSE),'Preturi si tarife'!$C$2:$J$39,A103+2,FALSE)</f>
        <v>2.0599999999999999E-4</v>
      </c>
      <c r="Y103" s="692"/>
      <c r="Z103" s="692"/>
      <c r="AA103" s="693"/>
      <c r="AB103" s="772">
        <f t="shared" si="4"/>
        <v>0.99</v>
      </c>
      <c r="AC103" s="773"/>
      <c r="AD103" s="773"/>
      <c r="AE103" s="774"/>
      <c r="AF103" s="772">
        <f t="shared" si="5"/>
        <v>0.19</v>
      </c>
      <c r="AG103" s="773"/>
      <c r="AH103" s="773"/>
      <c r="AI103" s="774"/>
      <c r="AJ103" s="772">
        <f t="shared" si="6"/>
        <v>1.18</v>
      </c>
      <c r="AK103" s="773"/>
      <c r="AL103" s="773"/>
      <c r="AM103" s="774"/>
    </row>
    <row r="104" spans="1:39">
      <c r="A104" s="65">
        <f t="shared" si="7"/>
        <v>12</v>
      </c>
      <c r="B104" s="699" t="s">
        <v>79</v>
      </c>
      <c r="C104" s="700"/>
      <c r="D104" s="700"/>
      <c r="E104" s="700"/>
      <c r="F104" s="700"/>
      <c r="G104" s="700"/>
      <c r="H104" s="700"/>
      <c r="I104" s="700"/>
      <c r="J104" s="700"/>
      <c r="K104" s="701"/>
      <c r="L104" s="702">
        <f>L102</f>
        <v>45778</v>
      </c>
      <c r="M104" s="702"/>
      <c r="N104" s="702"/>
      <c r="O104" s="702">
        <f>O102</f>
        <v>45808</v>
      </c>
      <c r="P104" s="702"/>
      <c r="Q104" s="702"/>
      <c r="R104" s="690" cm="1">
        <f t="array" ref="R104">INDEX(verificare!$AT$4:$CC$33,VLOOKUP($AA$16,verificare!$AR$4:$AS$33,2,FALSE),A104)</f>
        <v>4793</v>
      </c>
      <c r="S104" s="690"/>
      <c r="T104" s="690"/>
      <c r="U104" s="690"/>
      <c r="V104" s="658" t="s">
        <v>446</v>
      </c>
      <c r="W104" s="658"/>
      <c r="X104" s="691">
        <f>HLOOKUP(VLOOKUP($AA$16,'Date SPV'!$B:$F,5,FALSE),'Preturi si tarife'!$C$2:$J$39,A104+2,FALSE)</f>
        <v>0</v>
      </c>
      <c r="Y104" s="692"/>
      <c r="Z104" s="692"/>
      <c r="AA104" s="693"/>
      <c r="AB104" s="690">
        <f t="shared" si="4"/>
        <v>0</v>
      </c>
      <c r="AC104" s="690"/>
      <c r="AD104" s="690"/>
      <c r="AE104" s="690"/>
      <c r="AF104" s="690">
        <f t="shared" si="5"/>
        <v>0</v>
      </c>
      <c r="AG104" s="690"/>
      <c r="AH104" s="690"/>
      <c r="AI104" s="690"/>
      <c r="AJ104" s="690">
        <f t="shared" si="6"/>
        <v>0</v>
      </c>
      <c r="AK104" s="690"/>
      <c r="AL104" s="690"/>
      <c r="AM104" s="690"/>
    </row>
    <row r="105" spans="1:39" ht="15.95" customHeight="1">
      <c r="A105" s="65">
        <f t="shared" si="7"/>
        <v>13</v>
      </c>
      <c r="B105" s="699" t="s">
        <v>80</v>
      </c>
      <c r="C105" s="700"/>
      <c r="D105" s="700"/>
      <c r="E105" s="700"/>
      <c r="F105" s="700"/>
      <c r="G105" s="700"/>
      <c r="H105" s="700"/>
      <c r="I105" s="700"/>
      <c r="J105" s="700"/>
      <c r="K105" s="701"/>
      <c r="L105" s="702">
        <f t="shared" si="8"/>
        <v>45778</v>
      </c>
      <c r="M105" s="702"/>
      <c r="N105" s="702"/>
      <c r="O105" s="702">
        <f t="shared" si="9"/>
        <v>45808</v>
      </c>
      <c r="P105" s="702"/>
      <c r="Q105" s="702"/>
      <c r="R105" s="690" cm="1">
        <f t="array" ref="R105">INDEX(verificare!$AT$4:$CC$33,VLOOKUP($AA$16,verificare!$AR$4:$AS$33,2,FALSE),A105)</f>
        <v>4793</v>
      </c>
      <c r="S105" s="690"/>
      <c r="T105" s="690"/>
      <c r="U105" s="690"/>
      <c r="V105" s="658" t="s">
        <v>446</v>
      </c>
      <c r="W105" s="658"/>
      <c r="X105" s="691">
        <f>HLOOKUP(VLOOKUP($AA$16,'Date SPV'!$B:$F,5,FALSE),'Preturi si tarife'!$C$2:$J$39,A105+2,FALSE)</f>
        <v>1.7000000000000001E-2</v>
      </c>
      <c r="Y105" s="692"/>
      <c r="Z105" s="692"/>
      <c r="AA105" s="693"/>
      <c r="AB105" s="690">
        <f t="shared" si="4"/>
        <v>81.48</v>
      </c>
      <c r="AC105" s="690"/>
      <c r="AD105" s="690"/>
      <c r="AE105" s="690"/>
      <c r="AF105" s="690">
        <f t="shared" si="5"/>
        <v>15.48</v>
      </c>
      <c r="AG105" s="690"/>
      <c r="AH105" s="690"/>
      <c r="AI105" s="690"/>
      <c r="AJ105" s="690">
        <f t="shared" si="6"/>
        <v>96.960000000000008</v>
      </c>
      <c r="AK105" s="690"/>
      <c r="AL105" s="690"/>
      <c r="AM105" s="690"/>
    </row>
    <row r="106" spans="1:39">
      <c r="A106" s="65">
        <f t="shared" si="7"/>
        <v>14</v>
      </c>
      <c r="B106" s="699" t="s">
        <v>81</v>
      </c>
      <c r="C106" s="700"/>
      <c r="D106" s="700"/>
      <c r="E106" s="700"/>
      <c r="F106" s="700"/>
      <c r="G106" s="700"/>
      <c r="H106" s="700"/>
      <c r="I106" s="700"/>
      <c r="J106" s="700"/>
      <c r="K106" s="701"/>
      <c r="L106" s="702">
        <f t="shared" si="8"/>
        <v>45778</v>
      </c>
      <c r="M106" s="702"/>
      <c r="N106" s="702"/>
      <c r="O106" s="702">
        <f t="shared" si="9"/>
        <v>45808</v>
      </c>
      <c r="P106" s="702"/>
      <c r="Q106" s="702"/>
      <c r="R106" s="690" cm="1">
        <f t="array" ref="R106">INDEX(verificare!$AT$4:$CC$33,VLOOKUP($AA$16,verificare!$AR$4:$AS$33,2,FALSE),A106)</f>
        <v>4793</v>
      </c>
      <c r="S106" s="690"/>
      <c r="T106" s="690"/>
      <c r="U106" s="690"/>
      <c r="V106" s="658" t="s">
        <v>446</v>
      </c>
      <c r="W106" s="658"/>
      <c r="X106" s="691">
        <f>HLOOKUP(VLOOKUP($AA$16,'Date SPV'!$B:$F,5,FALSE),'Preturi si tarife'!$C$2:$J$39,A106+2,FALSE)</f>
        <v>0.10290000000000001</v>
      </c>
      <c r="Y106" s="692"/>
      <c r="Z106" s="692"/>
      <c r="AA106" s="693"/>
      <c r="AB106" s="690">
        <f t="shared" si="4"/>
        <v>493.2</v>
      </c>
      <c r="AC106" s="690"/>
      <c r="AD106" s="690"/>
      <c r="AE106" s="690"/>
      <c r="AF106" s="690">
        <f t="shared" si="5"/>
        <v>93.71</v>
      </c>
      <c r="AG106" s="690"/>
      <c r="AH106" s="690"/>
      <c r="AI106" s="690"/>
      <c r="AJ106" s="690">
        <f t="shared" si="6"/>
        <v>586.91</v>
      </c>
      <c r="AK106" s="690"/>
      <c r="AL106" s="690"/>
      <c r="AM106" s="690"/>
    </row>
    <row r="107" spans="1:39">
      <c r="A107" s="65">
        <f t="shared" si="7"/>
        <v>15</v>
      </c>
      <c r="B107" s="699" t="s">
        <v>82</v>
      </c>
      <c r="C107" s="700"/>
      <c r="D107" s="700"/>
      <c r="E107" s="700"/>
      <c r="F107" s="700"/>
      <c r="G107" s="700"/>
      <c r="H107" s="700"/>
      <c r="I107" s="700"/>
      <c r="J107" s="700"/>
      <c r="K107" s="701"/>
      <c r="L107" s="702">
        <f t="shared" si="8"/>
        <v>45778</v>
      </c>
      <c r="M107" s="702"/>
      <c r="N107" s="702"/>
      <c r="O107" s="702">
        <f t="shared" si="9"/>
        <v>45808</v>
      </c>
      <c r="P107" s="702"/>
      <c r="Q107" s="702"/>
      <c r="R107" s="690" cm="1">
        <f t="array" ref="R107">INDEX(verificare!$AT$4:$CC$33,VLOOKUP($AA$16,verificare!$AR$4:$AS$33,2,FALSE),A107)</f>
        <v>3692</v>
      </c>
      <c r="S107" s="690"/>
      <c r="T107" s="690"/>
      <c r="U107" s="690"/>
      <c r="V107" s="658" t="s">
        <v>446</v>
      </c>
      <c r="W107" s="658"/>
      <c r="X107" s="691">
        <f>HLOOKUP(VLOOKUP($AA$16,'Date SPV'!$B:$F,5,FALSE),'Preturi si tarife'!$C$2:$J$39,A107+2,FALSE)</f>
        <v>0.97511760000000003</v>
      </c>
      <c r="Y107" s="692"/>
      <c r="Z107" s="692"/>
      <c r="AA107" s="693"/>
      <c r="AB107" s="690">
        <f t="shared" si="4"/>
        <v>3600.13</v>
      </c>
      <c r="AC107" s="690"/>
      <c r="AD107" s="690"/>
      <c r="AE107" s="690"/>
      <c r="AF107" s="690">
        <f t="shared" si="5"/>
        <v>684.02</v>
      </c>
      <c r="AG107" s="690"/>
      <c r="AH107" s="690"/>
      <c r="AI107" s="690"/>
      <c r="AJ107" s="690">
        <f t="shared" si="6"/>
        <v>4284.1499999999996</v>
      </c>
      <c r="AK107" s="690"/>
      <c r="AL107" s="690"/>
      <c r="AM107" s="690"/>
    </row>
    <row r="108" spans="1:39" ht="15.95" customHeight="1">
      <c r="A108" s="65">
        <f t="shared" si="7"/>
        <v>16</v>
      </c>
      <c r="B108" s="699" t="s">
        <v>83</v>
      </c>
      <c r="C108" s="700"/>
      <c r="D108" s="700"/>
      <c r="E108" s="700"/>
      <c r="F108" s="700"/>
      <c r="G108" s="700"/>
      <c r="H108" s="700"/>
      <c r="I108" s="700"/>
      <c r="J108" s="700"/>
      <c r="K108" s="701"/>
      <c r="L108" s="702">
        <f t="shared" si="8"/>
        <v>45778</v>
      </c>
      <c r="M108" s="702"/>
      <c r="N108" s="702"/>
      <c r="O108" s="702">
        <f t="shared" si="9"/>
        <v>45808</v>
      </c>
      <c r="P108" s="702"/>
      <c r="Q108" s="702"/>
      <c r="R108" s="690" cm="1">
        <f t="array" ref="R108">INDEX(verificare!$AT$4:$CC$33,VLOOKUP($AA$16,verificare!$AR$4:$AS$33,2,FALSE),A108)</f>
        <v>0</v>
      </c>
      <c r="S108" s="690"/>
      <c r="T108" s="690"/>
      <c r="U108" s="690"/>
      <c r="V108" s="658" t="s">
        <v>446</v>
      </c>
      <c r="W108" s="658"/>
      <c r="X108" s="691">
        <f>HLOOKUP(VLOOKUP($AA$16,'Date SPV'!$B:$F,5,FALSE),'Preturi si tarife'!$C$2:$J$39,A108+2,FALSE)</f>
        <v>0.85521760000000002</v>
      </c>
      <c r="Y108" s="692"/>
      <c r="Z108" s="692"/>
      <c r="AA108" s="693"/>
      <c r="AB108" s="690">
        <f t="shared" si="4"/>
        <v>0</v>
      </c>
      <c r="AC108" s="690"/>
      <c r="AD108" s="690"/>
      <c r="AE108" s="690"/>
      <c r="AF108" s="690">
        <f t="shared" si="5"/>
        <v>0</v>
      </c>
      <c r="AG108" s="690"/>
      <c r="AH108" s="690"/>
      <c r="AI108" s="690"/>
      <c r="AJ108" s="690">
        <f t="shared" si="6"/>
        <v>0</v>
      </c>
      <c r="AK108" s="690"/>
      <c r="AL108" s="690"/>
      <c r="AM108" s="690"/>
    </row>
    <row r="109" spans="1:39" ht="15.95" customHeight="1">
      <c r="A109" s="65">
        <f t="shared" si="7"/>
        <v>17</v>
      </c>
      <c r="B109" s="699" t="s">
        <v>1129</v>
      </c>
      <c r="C109" s="700"/>
      <c r="D109" s="700"/>
      <c r="E109" s="700"/>
      <c r="F109" s="700"/>
      <c r="G109" s="700"/>
      <c r="H109" s="700"/>
      <c r="I109" s="700"/>
      <c r="J109" s="700"/>
      <c r="K109" s="701"/>
      <c r="L109" s="702">
        <f t="shared" si="8"/>
        <v>45778</v>
      </c>
      <c r="M109" s="702"/>
      <c r="N109" s="702"/>
      <c r="O109" s="702">
        <f t="shared" si="9"/>
        <v>45808</v>
      </c>
      <c r="P109" s="702"/>
      <c r="Q109" s="702"/>
      <c r="R109" s="690" cm="1">
        <f t="array" ref="R109">INDEX(verificare!$AT$4:$CC$33,VLOOKUP($AA$16,verificare!$AR$4:$AS$33,2,FALSE),A109)</f>
        <v>0</v>
      </c>
      <c r="S109" s="690"/>
      <c r="T109" s="690"/>
      <c r="U109" s="690"/>
      <c r="V109" s="658" t="s">
        <v>446</v>
      </c>
      <c r="W109" s="658"/>
      <c r="X109" s="691">
        <f>HLOOKUP(VLOOKUP($AA$16,'Date SPV'!$B:$F,5,FALSE),'Preturi si tarife'!$C$2:$J$39,A109+2,FALSE)</f>
        <v>1.7000000000000001E-2</v>
      </c>
      <c r="Y109" s="692"/>
      <c r="Z109" s="692"/>
      <c r="AA109" s="693"/>
      <c r="AB109" s="690">
        <f t="shared" si="4"/>
        <v>0</v>
      </c>
      <c r="AC109" s="690"/>
      <c r="AD109" s="690"/>
      <c r="AE109" s="690"/>
      <c r="AF109" s="690">
        <f t="shared" si="5"/>
        <v>0</v>
      </c>
      <c r="AG109" s="690"/>
      <c r="AH109" s="690"/>
      <c r="AI109" s="690"/>
      <c r="AJ109" s="690">
        <f t="shared" si="6"/>
        <v>0</v>
      </c>
      <c r="AK109" s="690"/>
      <c r="AL109" s="690"/>
      <c r="AM109" s="690"/>
    </row>
    <row r="110" spans="1:39" ht="15.95" customHeight="1">
      <c r="A110" s="65">
        <f t="shared" si="7"/>
        <v>18</v>
      </c>
      <c r="B110" s="699" t="s">
        <v>1130</v>
      </c>
      <c r="C110" s="700"/>
      <c r="D110" s="700"/>
      <c r="E110" s="700"/>
      <c r="F110" s="700"/>
      <c r="G110" s="700"/>
      <c r="H110" s="700"/>
      <c r="I110" s="700"/>
      <c r="J110" s="700"/>
      <c r="K110" s="701"/>
      <c r="L110" s="702">
        <f t="shared" si="8"/>
        <v>45778</v>
      </c>
      <c r="M110" s="702"/>
      <c r="N110" s="702"/>
      <c r="O110" s="702">
        <f t="shared" si="9"/>
        <v>45808</v>
      </c>
      <c r="P110" s="702"/>
      <c r="Q110" s="702"/>
      <c r="R110" s="690" cm="1">
        <f t="array" ref="R110">INDEX(verificare!$AT$4:$CC$33,VLOOKUP($AA$16,verificare!$AR$4:$AS$33,2,FALSE),A110)</f>
        <v>0</v>
      </c>
      <c r="S110" s="690"/>
      <c r="T110" s="690"/>
      <c r="U110" s="690"/>
      <c r="V110" s="658" t="s">
        <v>446</v>
      </c>
      <c r="W110" s="658"/>
      <c r="X110" s="691">
        <f>HLOOKUP(VLOOKUP($AA$16,'Date SPV'!$B:$F,5,FALSE),'Preturi si tarife'!$C$2:$J$39,A110+2,FALSE)</f>
        <v>0.10290000000000001</v>
      </c>
      <c r="Y110" s="692"/>
      <c r="Z110" s="692"/>
      <c r="AA110" s="693"/>
      <c r="AB110" s="690">
        <f t="shared" si="4"/>
        <v>0</v>
      </c>
      <c r="AC110" s="690"/>
      <c r="AD110" s="690"/>
      <c r="AE110" s="690"/>
      <c r="AF110" s="690">
        <f t="shared" si="5"/>
        <v>0</v>
      </c>
      <c r="AG110" s="690"/>
      <c r="AH110" s="690"/>
      <c r="AI110" s="690"/>
      <c r="AJ110" s="690">
        <f t="shared" si="6"/>
        <v>0</v>
      </c>
      <c r="AK110" s="690"/>
      <c r="AL110" s="690"/>
      <c r="AM110" s="690"/>
    </row>
    <row r="111" spans="1:39">
      <c r="A111" s="65">
        <f t="shared" si="7"/>
        <v>19</v>
      </c>
      <c r="B111" s="699" t="s">
        <v>99</v>
      </c>
      <c r="C111" s="700"/>
      <c r="D111" s="700"/>
      <c r="E111" s="700"/>
      <c r="F111" s="700"/>
      <c r="G111" s="700"/>
      <c r="H111" s="700"/>
      <c r="I111" s="700"/>
      <c r="J111" s="700"/>
      <c r="K111" s="701"/>
      <c r="L111" s="702">
        <f>'Date masura OD'!$W$5</f>
        <v>45748</v>
      </c>
      <c r="M111" s="702"/>
      <c r="N111" s="702"/>
      <c r="O111" s="702">
        <f>'Date masura OD'!$X$5</f>
        <v>45777</v>
      </c>
      <c r="P111" s="702"/>
      <c r="Q111" s="702"/>
      <c r="R111" s="690" cm="1">
        <f t="array" ref="R111">INDEX(verificare!$AT$4:$CC$33,VLOOKUP($AA$16,verificare!$AR$4:$AS$33,2,FALSE),A111)</f>
        <v>0</v>
      </c>
      <c r="S111" s="690"/>
      <c r="T111" s="690"/>
      <c r="U111" s="690"/>
      <c r="V111" s="658" t="s">
        <v>446</v>
      </c>
      <c r="W111" s="658"/>
      <c r="X111" s="659">
        <f>HLOOKUP(VLOOKUP($AA$16,'Date SPV'!$B:$F,5,FALSE),'Preturi si tarife'!$C$2:$J$39,A111+2,FALSE)</f>
        <v>0.59499999999999997</v>
      </c>
      <c r="Y111" s="659"/>
      <c r="Z111" s="659"/>
      <c r="AA111" s="659"/>
      <c r="AB111" s="653">
        <f t="shared" si="4"/>
        <v>0</v>
      </c>
      <c r="AC111" s="653"/>
      <c r="AD111" s="653"/>
      <c r="AE111" s="653"/>
      <c r="AF111" s="653">
        <f t="shared" si="5"/>
        <v>0</v>
      </c>
      <c r="AG111" s="653"/>
      <c r="AH111" s="653"/>
      <c r="AI111" s="653"/>
      <c r="AJ111" s="653">
        <f t="shared" si="6"/>
        <v>0</v>
      </c>
      <c r="AK111" s="653"/>
      <c r="AL111" s="653"/>
      <c r="AM111" s="653"/>
    </row>
    <row r="112" spans="1:39">
      <c r="A112" s="65">
        <f t="shared" si="7"/>
        <v>20</v>
      </c>
      <c r="B112" s="699" t="s">
        <v>100</v>
      </c>
      <c r="C112" s="700"/>
      <c r="D112" s="700"/>
      <c r="E112" s="700"/>
      <c r="F112" s="700"/>
      <c r="G112" s="700"/>
      <c r="H112" s="700"/>
      <c r="I112" s="700"/>
      <c r="J112" s="700"/>
      <c r="K112" s="701"/>
      <c r="L112" s="702">
        <f>L111</f>
        <v>45748</v>
      </c>
      <c r="M112" s="702"/>
      <c r="N112" s="702"/>
      <c r="O112" s="702">
        <f t="shared" ref="O112:O128" si="10">O111</f>
        <v>45777</v>
      </c>
      <c r="P112" s="702"/>
      <c r="Q112" s="702"/>
      <c r="R112" s="690" cm="1">
        <f t="array" ref="R112">INDEX(verificare!$AT$4:$CC$33,VLOOKUP($AA$16,verificare!$AR$4:$AS$33,2,FALSE),A112)</f>
        <v>0</v>
      </c>
      <c r="S112" s="690"/>
      <c r="T112" s="690"/>
      <c r="U112" s="690"/>
      <c r="V112" s="658" t="s">
        <v>727</v>
      </c>
      <c r="W112" s="658"/>
      <c r="X112" s="659">
        <f>HLOOKUP(VLOOKUP($AA$16,'Date SPV'!$B:$F,5,FALSE),'Preturi si tarife'!$C$2:$J$39,A112+2,FALSE)</f>
        <v>0.14649999999999999</v>
      </c>
      <c r="Y112" s="659"/>
      <c r="Z112" s="659"/>
      <c r="AA112" s="659"/>
      <c r="AB112" s="653">
        <f t="shared" si="4"/>
        <v>0</v>
      </c>
      <c r="AC112" s="653"/>
      <c r="AD112" s="653"/>
      <c r="AE112" s="653"/>
      <c r="AF112" s="653">
        <f t="shared" si="5"/>
        <v>0</v>
      </c>
      <c r="AG112" s="653"/>
      <c r="AH112" s="653"/>
      <c r="AI112" s="653"/>
      <c r="AJ112" s="653">
        <f t="shared" si="6"/>
        <v>0</v>
      </c>
      <c r="AK112" s="653"/>
      <c r="AL112" s="653"/>
      <c r="AM112" s="653"/>
    </row>
    <row r="113" spans="1:39" ht="15.95" customHeight="1">
      <c r="A113" s="65">
        <f t="shared" si="7"/>
        <v>21</v>
      </c>
      <c r="B113" s="699" t="s">
        <v>101</v>
      </c>
      <c r="C113" s="700"/>
      <c r="D113" s="700"/>
      <c r="E113" s="700"/>
      <c r="F113" s="700"/>
      <c r="G113" s="700"/>
      <c r="H113" s="700"/>
      <c r="I113" s="700"/>
      <c r="J113" s="700"/>
      <c r="K113" s="701"/>
      <c r="L113" s="702">
        <f t="shared" ref="L113:L128" si="11">L112</f>
        <v>45748</v>
      </c>
      <c r="M113" s="702"/>
      <c r="N113" s="702"/>
      <c r="O113" s="702">
        <f t="shared" si="10"/>
        <v>45777</v>
      </c>
      <c r="P113" s="702"/>
      <c r="Q113" s="702"/>
      <c r="R113" s="690" cm="1">
        <f t="array" ref="R113">INDEX(verificare!$AT$4:$CC$33,VLOOKUP($AA$16,verificare!$AR$4:$AS$33,2,FALSE),A113)</f>
        <v>0</v>
      </c>
      <c r="S113" s="690"/>
      <c r="T113" s="690"/>
      <c r="U113" s="690"/>
      <c r="V113" s="658" t="s">
        <v>727</v>
      </c>
      <c r="W113" s="658"/>
      <c r="X113" s="659">
        <f>HLOOKUP(VLOOKUP($AA$16,'Date SPV'!$B:$F,5,FALSE),'Preturi si tarife'!$C$2:$J$39,A113+2,FALSE)</f>
        <v>0.4395</v>
      </c>
      <c r="Y113" s="659"/>
      <c r="Z113" s="659"/>
      <c r="AA113" s="659"/>
      <c r="AB113" s="653">
        <f t="shared" si="4"/>
        <v>0</v>
      </c>
      <c r="AC113" s="653"/>
      <c r="AD113" s="653"/>
      <c r="AE113" s="653"/>
      <c r="AF113" s="653">
        <f t="shared" si="5"/>
        <v>0</v>
      </c>
      <c r="AG113" s="653"/>
      <c r="AH113" s="653"/>
      <c r="AI113" s="653"/>
      <c r="AJ113" s="653">
        <f t="shared" si="6"/>
        <v>0</v>
      </c>
      <c r="AK113" s="653"/>
      <c r="AL113" s="653"/>
      <c r="AM113" s="653"/>
    </row>
    <row r="114" spans="1:39" ht="18.95" customHeight="1">
      <c r="A114" s="65">
        <f t="shared" si="7"/>
        <v>22</v>
      </c>
      <c r="B114" s="699" t="s">
        <v>869</v>
      </c>
      <c r="C114" s="700"/>
      <c r="D114" s="700"/>
      <c r="E114" s="700"/>
      <c r="F114" s="700"/>
      <c r="G114" s="700"/>
      <c r="H114" s="700"/>
      <c r="I114" s="700"/>
      <c r="J114" s="700"/>
      <c r="K114" s="701"/>
      <c r="L114" s="702">
        <f t="shared" si="11"/>
        <v>45748</v>
      </c>
      <c r="M114" s="702"/>
      <c r="N114" s="702"/>
      <c r="O114" s="702">
        <f t="shared" si="10"/>
        <v>45777</v>
      </c>
      <c r="P114" s="702"/>
      <c r="Q114" s="702"/>
      <c r="R114" s="690" cm="1">
        <f t="array" ref="R114">INDEX(verificare!$AT$4:$CC$33,VLOOKUP($AA$16,verificare!$AR$4:$AS$33,2,FALSE),A114)</f>
        <v>0</v>
      </c>
      <c r="S114" s="690"/>
      <c r="T114" s="690"/>
      <c r="U114" s="690"/>
      <c r="V114" s="658" t="s">
        <v>446</v>
      </c>
      <c r="W114" s="658"/>
      <c r="X114" s="659">
        <f>HLOOKUP(VLOOKUP($AA$16,'Date SPV'!$B:$F,5,FALSE),'Preturi si tarife'!$C$2:$J$39,A114+2,FALSE)</f>
        <v>0.13613999999999998</v>
      </c>
      <c r="Y114" s="659"/>
      <c r="Z114" s="659"/>
      <c r="AA114" s="659"/>
      <c r="AB114" s="653">
        <f t="shared" si="4"/>
        <v>0</v>
      </c>
      <c r="AC114" s="653"/>
      <c r="AD114" s="653"/>
      <c r="AE114" s="653"/>
      <c r="AF114" s="653">
        <f t="shared" si="5"/>
        <v>0</v>
      </c>
      <c r="AG114" s="653"/>
      <c r="AH114" s="653"/>
      <c r="AI114" s="653"/>
      <c r="AJ114" s="653">
        <f t="shared" si="6"/>
        <v>0</v>
      </c>
      <c r="AK114" s="653"/>
      <c r="AL114" s="653"/>
      <c r="AM114" s="653"/>
    </row>
    <row r="115" spans="1:39" ht="18.95" customHeight="1">
      <c r="A115" s="65">
        <f t="shared" si="7"/>
        <v>23</v>
      </c>
      <c r="B115" s="699" t="s">
        <v>758</v>
      </c>
      <c r="C115" s="700"/>
      <c r="D115" s="700"/>
      <c r="E115" s="700"/>
      <c r="F115" s="700"/>
      <c r="G115" s="700"/>
      <c r="H115" s="700"/>
      <c r="I115" s="700"/>
      <c r="J115" s="700"/>
      <c r="K115" s="701"/>
      <c r="L115" s="702">
        <f t="shared" si="11"/>
        <v>45748</v>
      </c>
      <c r="M115" s="702"/>
      <c r="N115" s="702"/>
      <c r="O115" s="702">
        <f t="shared" si="10"/>
        <v>45777</v>
      </c>
      <c r="P115" s="702"/>
      <c r="Q115" s="702"/>
      <c r="R115" s="690" cm="1">
        <f t="array" ref="R115">INDEX(verificare!$AT$4:$CC$33,VLOOKUP($AA$16,verificare!$AR$4:$AS$33,2,FALSE),A115)</f>
        <v>0</v>
      </c>
      <c r="S115" s="690"/>
      <c r="T115" s="690"/>
      <c r="U115" s="690"/>
      <c r="V115" s="658" t="s">
        <v>446</v>
      </c>
      <c r="W115" s="658"/>
      <c r="X115" s="659">
        <f>HLOOKUP(VLOOKUP($AA$16,'Date SPV'!$B:$F,5,FALSE),'Preturi si tarife'!$C$2:$J$39,A115+2,FALSE)</f>
        <v>0.22738999999999998</v>
      </c>
      <c r="Y115" s="659"/>
      <c r="Z115" s="659"/>
      <c r="AA115" s="659"/>
      <c r="AB115" s="653">
        <f t="shared" si="4"/>
        <v>0</v>
      </c>
      <c r="AC115" s="653"/>
      <c r="AD115" s="653"/>
      <c r="AE115" s="653"/>
      <c r="AF115" s="653">
        <f t="shared" si="5"/>
        <v>0</v>
      </c>
      <c r="AG115" s="653"/>
      <c r="AH115" s="653"/>
      <c r="AI115" s="653"/>
      <c r="AJ115" s="653">
        <f t="shared" si="6"/>
        <v>0</v>
      </c>
      <c r="AK115" s="653"/>
      <c r="AL115" s="653"/>
      <c r="AM115" s="653"/>
    </row>
    <row r="116" spans="1:39" ht="18.95" customHeight="1">
      <c r="A116" s="65">
        <f t="shared" si="7"/>
        <v>24</v>
      </c>
      <c r="B116" s="699" t="s">
        <v>102</v>
      </c>
      <c r="C116" s="700"/>
      <c r="D116" s="700"/>
      <c r="E116" s="700"/>
      <c r="F116" s="700"/>
      <c r="G116" s="700"/>
      <c r="H116" s="700"/>
      <c r="I116" s="700"/>
      <c r="J116" s="700"/>
      <c r="K116" s="701"/>
      <c r="L116" s="702">
        <f t="shared" si="11"/>
        <v>45748</v>
      </c>
      <c r="M116" s="702"/>
      <c r="N116" s="702"/>
      <c r="O116" s="702">
        <f t="shared" si="10"/>
        <v>45777</v>
      </c>
      <c r="P116" s="702"/>
      <c r="Q116" s="702"/>
      <c r="R116" s="690" cm="1">
        <f t="array" ref="R116">INDEX(verificare!$AT$4:$CC$33,VLOOKUP($AA$16,verificare!$AR$4:$AS$33,2,FALSE),A116)</f>
        <v>0</v>
      </c>
      <c r="S116" s="690"/>
      <c r="T116" s="690"/>
      <c r="U116" s="690"/>
      <c r="V116" s="658" t="s">
        <v>446</v>
      </c>
      <c r="W116" s="658"/>
      <c r="X116" s="659">
        <f>HLOOKUP(VLOOKUP($AA$16,'Date SPV'!$B:$F,5,FALSE),'Preturi si tarife'!$C$2:$J$39,A116+2,FALSE)</f>
        <v>1.1509999999999999E-2</v>
      </c>
      <c r="Y116" s="659"/>
      <c r="Z116" s="659"/>
      <c r="AA116" s="659"/>
      <c r="AB116" s="653">
        <f t="shared" si="4"/>
        <v>0</v>
      </c>
      <c r="AC116" s="653"/>
      <c r="AD116" s="653"/>
      <c r="AE116" s="653"/>
      <c r="AF116" s="653">
        <f t="shared" si="5"/>
        <v>0</v>
      </c>
      <c r="AG116" s="653"/>
      <c r="AH116" s="653"/>
      <c r="AI116" s="653"/>
      <c r="AJ116" s="653">
        <f t="shared" si="6"/>
        <v>0</v>
      </c>
      <c r="AK116" s="653"/>
      <c r="AL116" s="653"/>
      <c r="AM116" s="653"/>
    </row>
    <row r="117" spans="1:39" ht="18.95" customHeight="1">
      <c r="A117" s="65">
        <f t="shared" si="7"/>
        <v>25</v>
      </c>
      <c r="B117" s="699" t="s">
        <v>103</v>
      </c>
      <c r="C117" s="700"/>
      <c r="D117" s="700"/>
      <c r="E117" s="700"/>
      <c r="F117" s="700"/>
      <c r="G117" s="700"/>
      <c r="H117" s="700"/>
      <c r="I117" s="700"/>
      <c r="J117" s="700"/>
      <c r="K117" s="701"/>
      <c r="L117" s="702">
        <f t="shared" si="11"/>
        <v>45748</v>
      </c>
      <c r="M117" s="702"/>
      <c r="N117" s="702"/>
      <c r="O117" s="702">
        <f t="shared" si="10"/>
        <v>45777</v>
      </c>
      <c r="P117" s="702"/>
      <c r="Q117" s="702"/>
      <c r="R117" s="690" cm="1">
        <f t="array" ref="R117">INDEX(verificare!$AT$4:$CC$33,VLOOKUP($AA$16,verificare!$AR$4:$AS$33,2,FALSE),A117)</f>
        <v>0</v>
      </c>
      <c r="S117" s="690"/>
      <c r="T117" s="690"/>
      <c r="U117" s="690"/>
      <c r="V117" s="658" t="s">
        <v>446</v>
      </c>
      <c r="W117" s="658"/>
      <c r="X117" s="659">
        <f>HLOOKUP(VLOOKUP($AA$16,'Date SPV'!$B:$F,5,FALSE),'Preturi si tarife'!$C$2:$J$39,A117+2,FALSE)</f>
        <v>3.3030000000000004E-2</v>
      </c>
      <c r="Y117" s="659"/>
      <c r="Z117" s="659"/>
      <c r="AA117" s="659"/>
      <c r="AB117" s="653">
        <f t="shared" si="4"/>
        <v>0</v>
      </c>
      <c r="AC117" s="653"/>
      <c r="AD117" s="653"/>
      <c r="AE117" s="653"/>
      <c r="AF117" s="653">
        <f t="shared" si="5"/>
        <v>0</v>
      </c>
      <c r="AG117" s="653"/>
      <c r="AH117" s="653"/>
      <c r="AI117" s="653"/>
      <c r="AJ117" s="653">
        <f t="shared" si="6"/>
        <v>0</v>
      </c>
      <c r="AK117" s="653"/>
      <c r="AL117" s="653"/>
      <c r="AM117" s="653"/>
    </row>
    <row r="118" spans="1:39" ht="18.95" customHeight="1">
      <c r="A118" s="65">
        <f t="shared" si="7"/>
        <v>26</v>
      </c>
      <c r="B118" s="699" t="s">
        <v>104</v>
      </c>
      <c r="C118" s="700"/>
      <c r="D118" s="700"/>
      <c r="E118" s="700"/>
      <c r="F118" s="700"/>
      <c r="G118" s="700"/>
      <c r="H118" s="700"/>
      <c r="I118" s="700"/>
      <c r="J118" s="700"/>
      <c r="K118" s="701"/>
      <c r="L118" s="702">
        <f t="shared" si="11"/>
        <v>45748</v>
      </c>
      <c r="M118" s="702"/>
      <c r="N118" s="702"/>
      <c r="O118" s="702">
        <f t="shared" si="10"/>
        <v>45777</v>
      </c>
      <c r="P118" s="702"/>
      <c r="Q118" s="702"/>
      <c r="R118" s="690" cm="1">
        <f t="array" ref="R118">INDEX(verificare!$AT$4:$CC$33,VLOOKUP($AA$16,verificare!$AR$4:$AS$33,2,FALSE),A118)</f>
        <v>0</v>
      </c>
      <c r="S118" s="690"/>
      <c r="T118" s="690"/>
      <c r="U118" s="690"/>
      <c r="V118" s="658" t="s">
        <v>446</v>
      </c>
      <c r="W118" s="658"/>
      <c r="X118" s="659">
        <f>HLOOKUP(VLOOKUP($AA$16,'Date SPV'!$B:$F,5,FALSE),'Preturi si tarife'!$C$2:$J$39,A118+2,FALSE)</f>
        <v>3.29E-3</v>
      </c>
      <c r="Y118" s="659"/>
      <c r="Z118" s="659"/>
      <c r="AA118" s="659"/>
      <c r="AB118" s="653">
        <f t="shared" si="4"/>
        <v>0</v>
      </c>
      <c r="AC118" s="653"/>
      <c r="AD118" s="653"/>
      <c r="AE118" s="653"/>
      <c r="AF118" s="653">
        <f t="shared" si="5"/>
        <v>0</v>
      </c>
      <c r="AG118" s="653"/>
      <c r="AH118" s="653"/>
      <c r="AI118" s="653"/>
      <c r="AJ118" s="653">
        <f t="shared" si="6"/>
        <v>0</v>
      </c>
      <c r="AK118" s="653"/>
      <c r="AL118" s="653"/>
      <c r="AM118" s="653"/>
    </row>
    <row r="119" spans="1:39" ht="18.95" customHeight="1">
      <c r="A119" s="65">
        <f t="shared" si="7"/>
        <v>27</v>
      </c>
      <c r="B119" s="699" t="s">
        <v>105</v>
      </c>
      <c r="C119" s="700"/>
      <c r="D119" s="700"/>
      <c r="E119" s="700"/>
      <c r="F119" s="700"/>
      <c r="G119" s="700"/>
      <c r="H119" s="700"/>
      <c r="I119" s="700"/>
      <c r="J119" s="700"/>
      <c r="K119" s="701"/>
      <c r="L119" s="702">
        <f t="shared" si="11"/>
        <v>45748</v>
      </c>
      <c r="M119" s="702"/>
      <c r="N119" s="702"/>
      <c r="O119" s="702">
        <f t="shared" si="10"/>
        <v>45777</v>
      </c>
      <c r="P119" s="702"/>
      <c r="Q119" s="702"/>
      <c r="R119" s="690" cm="1">
        <f t="array" ref="R119">INDEX(verificare!$AT$4:$CC$33,VLOOKUP($AA$16,verificare!$AR$4:$AS$33,2,FALSE),A119)</f>
        <v>0</v>
      </c>
      <c r="S119" s="690"/>
      <c r="T119" s="690"/>
      <c r="U119" s="690"/>
      <c r="V119" s="658" t="s">
        <v>446</v>
      </c>
      <c r="W119" s="658"/>
      <c r="X119" s="659">
        <f>HLOOKUP(VLOOKUP($AA$16,'Date SPV'!$B:$F,5,FALSE),'Preturi si tarife'!$C$2:$J$39,A119+2,FALSE)</f>
        <v>3.5000000000000001E-3</v>
      </c>
      <c r="Y119" s="659"/>
      <c r="Z119" s="659"/>
      <c r="AA119" s="659"/>
      <c r="AB119" s="653">
        <f t="shared" si="4"/>
        <v>0</v>
      </c>
      <c r="AC119" s="653"/>
      <c r="AD119" s="653"/>
      <c r="AE119" s="653"/>
      <c r="AF119" s="653">
        <f t="shared" si="5"/>
        <v>0</v>
      </c>
      <c r="AG119" s="653"/>
      <c r="AH119" s="653"/>
      <c r="AI119" s="653"/>
      <c r="AJ119" s="653">
        <f t="shared" si="6"/>
        <v>0</v>
      </c>
      <c r="AK119" s="653"/>
      <c r="AL119" s="653"/>
      <c r="AM119" s="653"/>
    </row>
    <row r="120" spans="1:39" ht="18.95" customHeight="1">
      <c r="A120" s="65">
        <f t="shared" si="7"/>
        <v>28</v>
      </c>
      <c r="B120" s="699" t="s">
        <v>106</v>
      </c>
      <c r="C120" s="700"/>
      <c r="D120" s="700"/>
      <c r="E120" s="700"/>
      <c r="F120" s="700"/>
      <c r="G120" s="700"/>
      <c r="H120" s="700"/>
      <c r="I120" s="700"/>
      <c r="J120" s="700"/>
      <c r="K120" s="701"/>
      <c r="L120" s="702">
        <f t="shared" si="11"/>
        <v>45748</v>
      </c>
      <c r="M120" s="702"/>
      <c r="N120" s="702"/>
      <c r="O120" s="702">
        <f t="shared" si="10"/>
        <v>45777</v>
      </c>
      <c r="P120" s="702"/>
      <c r="Q120" s="702"/>
      <c r="R120" s="690" cm="1">
        <f t="array" ref="R120">INDEX(verificare!$AT$4:$CC$33,VLOOKUP($AA$16,verificare!$AR$4:$AS$33,2,FALSE),A120)</f>
        <v>0</v>
      </c>
      <c r="S120" s="690"/>
      <c r="T120" s="690"/>
      <c r="U120" s="690"/>
      <c r="V120" s="658" t="s">
        <v>446</v>
      </c>
      <c r="W120" s="658"/>
      <c r="X120" s="659">
        <f>HLOOKUP(VLOOKUP($AA$16,'Date SPV'!$B:$F,5,FALSE),'Preturi si tarife'!$C$2:$J$39,A120+2,FALSE)</f>
        <v>7.2541599999999998E-2</v>
      </c>
      <c r="Y120" s="659"/>
      <c r="Z120" s="659"/>
      <c r="AA120" s="659"/>
      <c r="AB120" s="653">
        <f t="shared" si="4"/>
        <v>0</v>
      </c>
      <c r="AC120" s="653"/>
      <c r="AD120" s="653"/>
      <c r="AE120" s="653"/>
      <c r="AF120" s="653">
        <f t="shared" si="5"/>
        <v>0</v>
      </c>
      <c r="AG120" s="653"/>
      <c r="AH120" s="653"/>
      <c r="AI120" s="653"/>
      <c r="AJ120" s="653">
        <f t="shared" si="6"/>
        <v>0</v>
      </c>
      <c r="AK120" s="653"/>
      <c r="AL120" s="653"/>
      <c r="AM120" s="653"/>
    </row>
    <row r="121" spans="1:39" ht="30.95" customHeight="1">
      <c r="A121" s="65">
        <f t="shared" si="7"/>
        <v>29</v>
      </c>
      <c r="B121" s="699" t="s">
        <v>1316</v>
      </c>
      <c r="C121" s="700"/>
      <c r="D121" s="700"/>
      <c r="E121" s="700"/>
      <c r="F121" s="700"/>
      <c r="G121" s="700"/>
      <c r="H121" s="700"/>
      <c r="I121" s="700"/>
      <c r="J121" s="700"/>
      <c r="K121" s="701"/>
      <c r="L121" s="763">
        <f>L127</f>
        <v>45748</v>
      </c>
      <c r="M121" s="764"/>
      <c r="N121" s="765"/>
      <c r="O121" s="763">
        <f>O127</f>
        <v>45777</v>
      </c>
      <c r="P121" s="764"/>
      <c r="Q121" s="765"/>
      <c r="R121" s="690" cm="1">
        <f t="array" ref="R121">INDEX(verificare!$AT$4:$CC$33,VLOOKUP($AA$16,verificare!$AR$4:$AS$33,2,FALSE),A121)</f>
        <v>0</v>
      </c>
      <c r="S121" s="690"/>
      <c r="T121" s="690"/>
      <c r="U121" s="690"/>
      <c r="V121" s="724" t="s">
        <v>446</v>
      </c>
      <c r="W121" s="725"/>
      <c r="X121" s="659">
        <f>HLOOKUP(VLOOKUP($AA$16,'Date SPV'!$B:$F,5,FALSE),'Preturi si tarife'!$C$2:$J$39,A121+2,FALSE)</f>
        <v>2.0599999999999999E-4</v>
      </c>
      <c r="Y121" s="659"/>
      <c r="Z121" s="659"/>
      <c r="AA121" s="659"/>
      <c r="AB121" s="653">
        <f>ROUND(X121*R121,2)</f>
        <v>0</v>
      </c>
      <c r="AC121" s="653"/>
      <c r="AD121" s="653"/>
      <c r="AE121" s="653"/>
      <c r="AF121" s="653">
        <f>ROUND(AB121*19%,2)</f>
        <v>0</v>
      </c>
      <c r="AG121" s="653"/>
      <c r="AH121" s="653"/>
      <c r="AI121" s="653"/>
      <c r="AJ121" s="653">
        <f>AB121+AF121</f>
        <v>0</v>
      </c>
      <c r="AK121" s="653"/>
      <c r="AL121" s="653"/>
      <c r="AM121" s="653"/>
    </row>
    <row r="122" spans="1:39" ht="18.95" customHeight="1">
      <c r="A122" s="65">
        <f t="shared" si="7"/>
        <v>30</v>
      </c>
      <c r="B122" s="699" t="s">
        <v>107</v>
      </c>
      <c r="C122" s="700"/>
      <c r="D122" s="700"/>
      <c r="E122" s="700"/>
      <c r="F122" s="700"/>
      <c r="G122" s="700"/>
      <c r="H122" s="700"/>
      <c r="I122" s="700"/>
      <c r="J122" s="700"/>
      <c r="K122" s="701"/>
      <c r="L122" s="702">
        <f>L120</f>
        <v>45748</v>
      </c>
      <c r="M122" s="702"/>
      <c r="N122" s="702"/>
      <c r="O122" s="702">
        <f>O120</f>
        <v>45777</v>
      </c>
      <c r="P122" s="702"/>
      <c r="Q122" s="702"/>
      <c r="R122" s="690" cm="1">
        <f t="array" ref="R122">INDEX(verificare!$AT$4:$CC$33,VLOOKUP($AA$16,verificare!$AR$4:$AS$33,2,FALSE),A122)</f>
        <v>0</v>
      </c>
      <c r="S122" s="690"/>
      <c r="T122" s="690"/>
      <c r="U122" s="690"/>
      <c r="V122" s="658" t="s">
        <v>446</v>
      </c>
      <c r="W122" s="658"/>
      <c r="X122" s="659">
        <f>HLOOKUP(VLOOKUP($AA$16,'Date SPV'!$B:$F,5,FALSE),'Preturi si tarife'!$C$2:$J$39,A122+2,FALSE)</f>
        <v>0</v>
      </c>
      <c r="Y122" s="659"/>
      <c r="Z122" s="659"/>
      <c r="AA122" s="659"/>
      <c r="AB122" s="653">
        <f t="shared" si="4"/>
        <v>0</v>
      </c>
      <c r="AC122" s="653"/>
      <c r="AD122" s="653"/>
      <c r="AE122" s="653"/>
      <c r="AF122" s="653">
        <f t="shared" si="5"/>
        <v>0</v>
      </c>
      <c r="AG122" s="653"/>
      <c r="AH122" s="653"/>
      <c r="AI122" s="653"/>
      <c r="AJ122" s="653">
        <f t="shared" si="6"/>
        <v>0</v>
      </c>
      <c r="AK122" s="653"/>
      <c r="AL122" s="653"/>
      <c r="AM122" s="653"/>
    </row>
    <row r="123" spans="1:39" ht="18.95" customHeight="1">
      <c r="A123" s="65">
        <f t="shared" si="7"/>
        <v>31</v>
      </c>
      <c r="B123" s="699" t="s">
        <v>108</v>
      </c>
      <c r="C123" s="700"/>
      <c r="D123" s="700"/>
      <c r="E123" s="700"/>
      <c r="F123" s="700"/>
      <c r="G123" s="700"/>
      <c r="H123" s="700"/>
      <c r="I123" s="700"/>
      <c r="J123" s="700"/>
      <c r="K123" s="701"/>
      <c r="L123" s="702">
        <f t="shared" si="11"/>
        <v>45748</v>
      </c>
      <c r="M123" s="702"/>
      <c r="N123" s="702"/>
      <c r="O123" s="702">
        <f t="shared" si="10"/>
        <v>45777</v>
      </c>
      <c r="P123" s="702"/>
      <c r="Q123" s="702"/>
      <c r="R123" s="690" cm="1">
        <f t="array" ref="R123">INDEX(verificare!$AT$4:$CC$33,VLOOKUP($AA$16,verificare!$AR$4:$AS$33,2,FALSE),A123)</f>
        <v>0</v>
      </c>
      <c r="S123" s="690"/>
      <c r="T123" s="690"/>
      <c r="U123" s="690"/>
      <c r="V123" s="658" t="s">
        <v>446</v>
      </c>
      <c r="W123" s="658"/>
      <c r="X123" s="659">
        <f>HLOOKUP(VLOOKUP($AA$16,'Date SPV'!$B:$F,5,FALSE),'Preturi si tarife'!$C$2:$J$39,A123+2,FALSE)</f>
        <v>1.7000000000000001E-2</v>
      </c>
      <c r="Y123" s="659"/>
      <c r="Z123" s="659"/>
      <c r="AA123" s="659"/>
      <c r="AB123" s="653">
        <f t="shared" si="4"/>
        <v>0</v>
      </c>
      <c r="AC123" s="653"/>
      <c r="AD123" s="653"/>
      <c r="AE123" s="653"/>
      <c r="AF123" s="653">
        <f t="shared" si="5"/>
        <v>0</v>
      </c>
      <c r="AG123" s="653"/>
      <c r="AH123" s="653"/>
      <c r="AI123" s="653"/>
      <c r="AJ123" s="653">
        <f t="shared" si="6"/>
        <v>0</v>
      </c>
      <c r="AK123" s="653"/>
      <c r="AL123" s="653"/>
      <c r="AM123" s="653"/>
    </row>
    <row r="124" spans="1:39" ht="18.95" customHeight="1">
      <c r="A124" s="65">
        <f t="shared" si="7"/>
        <v>32</v>
      </c>
      <c r="B124" s="699" t="s">
        <v>109</v>
      </c>
      <c r="C124" s="700"/>
      <c r="D124" s="700"/>
      <c r="E124" s="700"/>
      <c r="F124" s="700"/>
      <c r="G124" s="700"/>
      <c r="H124" s="700"/>
      <c r="I124" s="700"/>
      <c r="J124" s="700"/>
      <c r="K124" s="701"/>
      <c r="L124" s="702">
        <f t="shared" si="11"/>
        <v>45748</v>
      </c>
      <c r="M124" s="702"/>
      <c r="N124" s="702"/>
      <c r="O124" s="702">
        <f t="shared" si="10"/>
        <v>45777</v>
      </c>
      <c r="P124" s="702"/>
      <c r="Q124" s="702"/>
      <c r="R124" s="690" cm="1">
        <f t="array" ref="R124">INDEX(verificare!$AT$4:$CC$33,VLOOKUP($AA$16,verificare!$AR$4:$AS$33,2,FALSE),A124)</f>
        <v>0</v>
      </c>
      <c r="S124" s="690"/>
      <c r="T124" s="690"/>
      <c r="U124" s="690"/>
      <c r="V124" s="658" t="s">
        <v>446</v>
      </c>
      <c r="W124" s="658"/>
      <c r="X124" s="659">
        <f>HLOOKUP(VLOOKUP($AA$16,'Date SPV'!$B:$F,5,FALSE),'Preturi si tarife'!$C$2:$J$39,A124+2,FALSE)</f>
        <v>0.10290000000000001</v>
      </c>
      <c r="Y124" s="659"/>
      <c r="Z124" s="659"/>
      <c r="AA124" s="659"/>
      <c r="AB124" s="653">
        <f t="shared" si="4"/>
        <v>0</v>
      </c>
      <c r="AC124" s="653"/>
      <c r="AD124" s="653"/>
      <c r="AE124" s="653"/>
      <c r="AF124" s="653">
        <f t="shared" si="5"/>
        <v>0</v>
      </c>
      <c r="AG124" s="653"/>
      <c r="AH124" s="653"/>
      <c r="AI124" s="653"/>
      <c r="AJ124" s="653">
        <f t="shared" si="6"/>
        <v>0</v>
      </c>
      <c r="AK124" s="653"/>
      <c r="AL124" s="653"/>
      <c r="AM124" s="653"/>
    </row>
    <row r="125" spans="1:39" ht="18.95" customHeight="1">
      <c r="A125" s="65">
        <f t="shared" si="7"/>
        <v>33</v>
      </c>
      <c r="B125" s="699" t="s">
        <v>110</v>
      </c>
      <c r="C125" s="700"/>
      <c r="D125" s="700"/>
      <c r="E125" s="700"/>
      <c r="F125" s="700"/>
      <c r="G125" s="700"/>
      <c r="H125" s="700"/>
      <c r="I125" s="700"/>
      <c r="J125" s="700"/>
      <c r="K125" s="701"/>
      <c r="L125" s="702">
        <f t="shared" si="11"/>
        <v>45748</v>
      </c>
      <c r="M125" s="702"/>
      <c r="N125" s="702"/>
      <c r="O125" s="702">
        <f t="shared" si="10"/>
        <v>45777</v>
      </c>
      <c r="P125" s="702"/>
      <c r="Q125" s="702"/>
      <c r="R125" s="690" cm="1">
        <f t="array" ref="R125">INDEX(verificare!$AT$4:$CC$33,VLOOKUP($AA$16,verificare!$AR$4:$AS$33,2,FALSE),A125)</f>
        <v>0</v>
      </c>
      <c r="S125" s="690"/>
      <c r="T125" s="690"/>
      <c r="U125" s="690"/>
      <c r="V125" s="658" t="s">
        <v>446</v>
      </c>
      <c r="W125" s="658"/>
      <c r="X125" s="659">
        <f>HLOOKUP(VLOOKUP($AA$16,'Date SPV'!$B:$F,5,FALSE),'Preturi si tarife'!$C$2:$J$39,A125+2,FALSE)</f>
        <v>0.97511760000000003</v>
      </c>
      <c r="Y125" s="659"/>
      <c r="Z125" s="659"/>
      <c r="AA125" s="659"/>
      <c r="AB125" s="653">
        <f t="shared" si="4"/>
        <v>0</v>
      </c>
      <c r="AC125" s="653"/>
      <c r="AD125" s="653"/>
      <c r="AE125" s="653"/>
      <c r="AF125" s="653">
        <f t="shared" si="5"/>
        <v>0</v>
      </c>
      <c r="AG125" s="653"/>
      <c r="AH125" s="653"/>
      <c r="AI125" s="653"/>
      <c r="AJ125" s="653">
        <f t="shared" si="6"/>
        <v>0</v>
      </c>
      <c r="AK125" s="653"/>
      <c r="AL125" s="653"/>
      <c r="AM125" s="653"/>
    </row>
    <row r="126" spans="1:39" ht="18.95" customHeight="1">
      <c r="A126" s="65">
        <f t="shared" si="7"/>
        <v>34</v>
      </c>
      <c r="B126" s="699" t="s">
        <v>111</v>
      </c>
      <c r="C126" s="700"/>
      <c r="D126" s="700"/>
      <c r="E126" s="700"/>
      <c r="F126" s="700"/>
      <c r="G126" s="700"/>
      <c r="H126" s="700"/>
      <c r="I126" s="700"/>
      <c r="J126" s="700"/>
      <c r="K126" s="701"/>
      <c r="L126" s="702">
        <f t="shared" si="11"/>
        <v>45748</v>
      </c>
      <c r="M126" s="702"/>
      <c r="N126" s="702"/>
      <c r="O126" s="702">
        <f t="shared" si="10"/>
        <v>45777</v>
      </c>
      <c r="P126" s="702"/>
      <c r="Q126" s="702"/>
      <c r="R126" s="690" cm="1">
        <f t="array" ref="R126">INDEX(verificare!$AT$4:$CC$33,VLOOKUP($AA$16,verificare!$AR$4:$AS$33,2,FALSE),A126)</f>
        <v>0</v>
      </c>
      <c r="S126" s="690"/>
      <c r="T126" s="690"/>
      <c r="U126" s="690"/>
      <c r="V126" s="658" t="s">
        <v>446</v>
      </c>
      <c r="W126" s="658"/>
      <c r="X126" s="659">
        <f>HLOOKUP(VLOOKUP($AA$16,'Date SPV'!$B:$F,5,FALSE),'Preturi si tarife'!$C$2:$J$39,A126+2,FALSE)</f>
        <v>0.85521760000000002</v>
      </c>
      <c r="Y126" s="659"/>
      <c r="Z126" s="659"/>
      <c r="AA126" s="659"/>
      <c r="AB126" s="653">
        <f t="shared" si="4"/>
        <v>0</v>
      </c>
      <c r="AC126" s="653"/>
      <c r="AD126" s="653"/>
      <c r="AE126" s="653"/>
      <c r="AF126" s="653">
        <f t="shared" si="5"/>
        <v>0</v>
      </c>
      <c r="AG126" s="653"/>
      <c r="AH126" s="653"/>
      <c r="AI126" s="653"/>
      <c r="AJ126" s="653">
        <f t="shared" si="6"/>
        <v>0</v>
      </c>
      <c r="AK126" s="653"/>
      <c r="AL126" s="653"/>
      <c r="AM126" s="653"/>
    </row>
    <row r="127" spans="1:39" ht="18.95" customHeight="1">
      <c r="A127" s="65">
        <f t="shared" si="7"/>
        <v>35</v>
      </c>
      <c r="B127" s="699" t="s">
        <v>112</v>
      </c>
      <c r="C127" s="700"/>
      <c r="D127" s="700"/>
      <c r="E127" s="700"/>
      <c r="F127" s="700"/>
      <c r="G127" s="700"/>
      <c r="H127" s="700"/>
      <c r="I127" s="700"/>
      <c r="J127" s="700"/>
      <c r="K127" s="701"/>
      <c r="L127" s="702">
        <f t="shared" si="11"/>
        <v>45748</v>
      </c>
      <c r="M127" s="702"/>
      <c r="N127" s="702"/>
      <c r="O127" s="702">
        <f t="shared" si="10"/>
        <v>45777</v>
      </c>
      <c r="P127" s="702"/>
      <c r="Q127" s="702"/>
      <c r="R127" s="690" cm="1">
        <f t="array" ref="R127">INDEX(verificare!$AT$4:$CC$33,VLOOKUP($AA$16,verificare!$AR$4:$AS$33,2,FALSE),A127)</f>
        <v>0</v>
      </c>
      <c r="S127" s="690"/>
      <c r="T127" s="690"/>
      <c r="U127" s="690"/>
      <c r="V127" s="658" t="s">
        <v>446</v>
      </c>
      <c r="W127" s="658"/>
      <c r="X127" s="659">
        <f>HLOOKUP(VLOOKUP($AA$16,'Date SPV'!$B:$F,5,FALSE),'Preturi si tarife'!$C$2:$J$39,A127+2,FALSE)</f>
        <v>1.7000000000000001E-2</v>
      </c>
      <c r="Y127" s="659"/>
      <c r="Z127" s="659"/>
      <c r="AA127" s="659"/>
      <c r="AB127" s="653">
        <f t="shared" si="4"/>
        <v>0</v>
      </c>
      <c r="AC127" s="653"/>
      <c r="AD127" s="653"/>
      <c r="AE127" s="653"/>
      <c r="AF127" s="653">
        <f t="shared" si="5"/>
        <v>0</v>
      </c>
      <c r="AG127" s="653"/>
      <c r="AH127" s="653"/>
      <c r="AI127" s="653"/>
      <c r="AJ127" s="653">
        <f t="shared" si="6"/>
        <v>0</v>
      </c>
      <c r="AK127" s="653"/>
      <c r="AL127" s="653"/>
      <c r="AM127" s="653"/>
    </row>
    <row r="128" spans="1:39" ht="18.95" customHeight="1">
      <c r="A128" s="65">
        <f t="shared" si="7"/>
        <v>36</v>
      </c>
      <c r="B128" s="699" t="s">
        <v>113</v>
      </c>
      <c r="C128" s="700"/>
      <c r="D128" s="700"/>
      <c r="E128" s="700"/>
      <c r="F128" s="700"/>
      <c r="G128" s="700"/>
      <c r="H128" s="700"/>
      <c r="I128" s="700"/>
      <c r="J128" s="700"/>
      <c r="K128" s="701"/>
      <c r="L128" s="702">
        <f t="shared" si="11"/>
        <v>45748</v>
      </c>
      <c r="M128" s="702"/>
      <c r="N128" s="702"/>
      <c r="O128" s="702">
        <f t="shared" si="10"/>
        <v>45777</v>
      </c>
      <c r="P128" s="702"/>
      <c r="Q128" s="702"/>
      <c r="R128" s="690" cm="1">
        <f t="array" ref="R128">INDEX(verificare!$AT$4:$CC$33,VLOOKUP($AA$16,verificare!$AR$4:$AS$33,2,FALSE),A128)</f>
        <v>0</v>
      </c>
      <c r="S128" s="690"/>
      <c r="T128" s="690"/>
      <c r="U128" s="690"/>
      <c r="V128" s="658" t="s">
        <v>446</v>
      </c>
      <c r="W128" s="658"/>
      <c r="X128" s="659">
        <f>HLOOKUP(VLOOKUP($AA$16,'Date SPV'!$B:$F,5,FALSE),'Preturi si tarife'!$C$2:$J$39,A128+2,FALSE)</f>
        <v>0.10290000000000001</v>
      </c>
      <c r="Y128" s="659"/>
      <c r="Z128" s="659"/>
      <c r="AA128" s="659"/>
      <c r="AB128" s="653">
        <f t="shared" si="4"/>
        <v>0</v>
      </c>
      <c r="AC128" s="653"/>
      <c r="AD128" s="653"/>
      <c r="AE128" s="653"/>
      <c r="AF128" s="653">
        <f t="shared" si="5"/>
        <v>0</v>
      </c>
      <c r="AG128" s="653"/>
      <c r="AH128" s="653"/>
      <c r="AI128" s="653"/>
      <c r="AJ128" s="653">
        <f t="shared" si="6"/>
        <v>0</v>
      </c>
      <c r="AK128" s="653"/>
      <c r="AL128" s="653"/>
      <c r="AM128" s="653"/>
    </row>
    <row r="129" spans="1:39" ht="17.45" customHeight="1">
      <c r="A129" s="65">
        <f t="shared" si="7"/>
        <v>37</v>
      </c>
      <c r="B129" s="699" t="s">
        <v>728</v>
      </c>
      <c r="C129" s="700"/>
      <c r="D129" s="700"/>
      <c r="E129" s="700"/>
      <c r="F129" s="700"/>
      <c r="G129" s="700"/>
      <c r="H129" s="700"/>
      <c r="I129" s="700"/>
      <c r="J129" s="700"/>
      <c r="K129" s="701"/>
      <c r="L129" s="702" t="s">
        <v>69</v>
      </c>
      <c r="M129" s="702"/>
      <c r="N129" s="702"/>
      <c r="O129" s="702" t="s">
        <v>69</v>
      </c>
      <c r="P129" s="702"/>
      <c r="Q129" s="702"/>
      <c r="R129" s="690">
        <v>0</v>
      </c>
      <c r="S129" s="690"/>
      <c r="T129" s="690"/>
      <c r="U129" s="690"/>
      <c r="V129" s="658" t="s">
        <v>69</v>
      </c>
      <c r="W129" s="658"/>
      <c r="X129" s="659" t="s">
        <v>69</v>
      </c>
      <c r="Y129" s="659"/>
      <c r="Z129" s="659"/>
      <c r="AA129" s="659"/>
      <c r="AB129" s="653">
        <v>0</v>
      </c>
      <c r="AC129" s="653"/>
      <c r="AD129" s="653"/>
      <c r="AE129" s="653"/>
      <c r="AF129" s="653">
        <f t="shared" si="5"/>
        <v>0</v>
      </c>
      <c r="AG129" s="653"/>
      <c r="AH129" s="653"/>
      <c r="AI129" s="653"/>
      <c r="AJ129" s="653">
        <f t="shared" si="6"/>
        <v>0</v>
      </c>
      <c r="AK129" s="653"/>
      <c r="AL129" s="653"/>
      <c r="AM129" s="653"/>
    </row>
    <row r="130" spans="1:39" ht="17.45" customHeight="1">
      <c r="A130" s="65">
        <f>A129+1</f>
        <v>38</v>
      </c>
      <c r="B130" s="699" t="s">
        <v>729</v>
      </c>
      <c r="C130" s="700"/>
      <c r="D130" s="700"/>
      <c r="E130" s="700"/>
      <c r="F130" s="700"/>
      <c r="G130" s="700"/>
      <c r="H130" s="700"/>
      <c r="I130" s="700"/>
      <c r="J130" s="700"/>
      <c r="K130" s="701"/>
      <c r="L130" s="702" t="s">
        <v>69</v>
      </c>
      <c r="M130" s="702"/>
      <c r="N130" s="702"/>
      <c r="O130" s="702" t="s">
        <v>69</v>
      </c>
      <c r="P130" s="702"/>
      <c r="Q130" s="702"/>
      <c r="R130" s="690">
        <v>0</v>
      </c>
      <c r="S130" s="690"/>
      <c r="T130" s="690"/>
      <c r="U130" s="690"/>
      <c r="V130" s="658" t="s">
        <v>69</v>
      </c>
      <c r="W130" s="658"/>
      <c r="X130" s="659" t="s">
        <v>69</v>
      </c>
      <c r="Y130" s="659"/>
      <c r="Z130" s="659"/>
      <c r="AA130" s="659"/>
      <c r="AB130" s="726">
        <f>SUM(AB93:AE129)</f>
        <v>8273.8799999999992</v>
      </c>
      <c r="AC130" s="726"/>
      <c r="AD130" s="726"/>
      <c r="AE130" s="726"/>
      <c r="AF130" s="726">
        <f>SUM(AF93:AI129)</f>
        <v>1572.0400000000002</v>
      </c>
      <c r="AG130" s="726"/>
      <c r="AH130" s="726"/>
      <c r="AI130" s="726"/>
      <c r="AJ130" s="726">
        <f>SUM(AJ93:AM129)</f>
        <v>9845.9200000000019</v>
      </c>
      <c r="AK130" s="726"/>
      <c r="AL130" s="726"/>
      <c r="AM130" s="726"/>
    </row>
  </sheetData>
  <mergeCells count="665">
    <mergeCell ref="B130:K130"/>
    <mergeCell ref="L130:N130"/>
    <mergeCell ref="O130:Q130"/>
    <mergeCell ref="R130:U130"/>
    <mergeCell ref="V130:W130"/>
    <mergeCell ref="X130:AA130"/>
    <mergeCell ref="AB130:AE130"/>
    <mergeCell ref="AF130:AI130"/>
    <mergeCell ref="AJ130:AM130"/>
    <mergeCell ref="B129:K129"/>
    <mergeCell ref="L129:N129"/>
    <mergeCell ref="O129:Q129"/>
    <mergeCell ref="R129:U129"/>
    <mergeCell ref="V129:W129"/>
    <mergeCell ref="X129:AA129"/>
    <mergeCell ref="AB129:AE129"/>
    <mergeCell ref="AF129:AI129"/>
    <mergeCell ref="AJ129:AM129"/>
    <mergeCell ref="AB127:AE127"/>
    <mergeCell ref="AF127:AI127"/>
    <mergeCell ref="AJ127:AM127"/>
    <mergeCell ref="B128:K128"/>
    <mergeCell ref="L128:N128"/>
    <mergeCell ref="O128:Q128"/>
    <mergeCell ref="R128:U128"/>
    <mergeCell ref="V128:W128"/>
    <mergeCell ref="X128:AA128"/>
    <mergeCell ref="AB128:AE128"/>
    <mergeCell ref="B127:K127"/>
    <mergeCell ref="L127:N127"/>
    <mergeCell ref="O127:Q127"/>
    <mergeCell ref="R127:U127"/>
    <mergeCell ref="V127:W127"/>
    <mergeCell ref="X127:AA127"/>
    <mergeCell ref="AF128:AI128"/>
    <mergeCell ref="AJ128:AM128"/>
    <mergeCell ref="B126:K126"/>
    <mergeCell ref="L126:N126"/>
    <mergeCell ref="O126:Q126"/>
    <mergeCell ref="R126:U126"/>
    <mergeCell ref="V126:W126"/>
    <mergeCell ref="X126:AA126"/>
    <mergeCell ref="AB126:AE126"/>
    <mergeCell ref="AF126:AI126"/>
    <mergeCell ref="AJ126:AM126"/>
    <mergeCell ref="B125:K125"/>
    <mergeCell ref="L125:N125"/>
    <mergeCell ref="O125:Q125"/>
    <mergeCell ref="R125:U125"/>
    <mergeCell ref="V125:W125"/>
    <mergeCell ref="X125:AA125"/>
    <mergeCell ref="AB125:AE125"/>
    <mergeCell ref="AF125:AI125"/>
    <mergeCell ref="AJ125:AM125"/>
    <mergeCell ref="AB123:AE123"/>
    <mergeCell ref="AF123:AI123"/>
    <mergeCell ref="AJ123:AM123"/>
    <mergeCell ref="B124:K124"/>
    <mergeCell ref="L124:N124"/>
    <mergeCell ref="O124:Q124"/>
    <mergeCell ref="R124:U124"/>
    <mergeCell ref="V124:W124"/>
    <mergeCell ref="X124:AA124"/>
    <mergeCell ref="AB124:AE124"/>
    <mergeCell ref="B123:K123"/>
    <mergeCell ref="L123:N123"/>
    <mergeCell ref="O123:Q123"/>
    <mergeCell ref="R123:U123"/>
    <mergeCell ref="V123:W123"/>
    <mergeCell ref="X123:AA123"/>
    <mergeCell ref="AF124:AI124"/>
    <mergeCell ref="AJ124:AM124"/>
    <mergeCell ref="B122:K122"/>
    <mergeCell ref="L122:N122"/>
    <mergeCell ref="O122:Q122"/>
    <mergeCell ref="R122:U122"/>
    <mergeCell ref="V122:W122"/>
    <mergeCell ref="X122:AA122"/>
    <mergeCell ref="AB122:AE122"/>
    <mergeCell ref="AF122:AI122"/>
    <mergeCell ref="AJ122:AM122"/>
    <mergeCell ref="B120:K120"/>
    <mergeCell ref="L120:N120"/>
    <mergeCell ref="O120:Q120"/>
    <mergeCell ref="R120:U120"/>
    <mergeCell ref="V120:W120"/>
    <mergeCell ref="X120:AA120"/>
    <mergeCell ref="AB120:AE120"/>
    <mergeCell ref="AF120:AI120"/>
    <mergeCell ref="AJ120:AM120"/>
    <mergeCell ref="AB118:AE118"/>
    <mergeCell ref="AF118:AI118"/>
    <mergeCell ref="AJ118:AM118"/>
    <mergeCell ref="B119:K119"/>
    <mergeCell ref="L119:N119"/>
    <mergeCell ref="O119:Q119"/>
    <mergeCell ref="R119:U119"/>
    <mergeCell ref="V119:W119"/>
    <mergeCell ref="X119:AA119"/>
    <mergeCell ref="AB119:AE119"/>
    <mergeCell ref="B118:K118"/>
    <mergeCell ref="L118:N118"/>
    <mergeCell ref="O118:Q118"/>
    <mergeCell ref="R118:U118"/>
    <mergeCell ref="V118:W118"/>
    <mergeCell ref="X118:AA118"/>
    <mergeCell ref="AF119:AI119"/>
    <mergeCell ref="AJ119:AM119"/>
    <mergeCell ref="B117:K117"/>
    <mergeCell ref="L117:N117"/>
    <mergeCell ref="O117:Q117"/>
    <mergeCell ref="R117:U117"/>
    <mergeCell ref="V117:W117"/>
    <mergeCell ref="X117:AA117"/>
    <mergeCell ref="AB117:AE117"/>
    <mergeCell ref="AF117:AI117"/>
    <mergeCell ref="AJ117:AM117"/>
    <mergeCell ref="B116:K116"/>
    <mergeCell ref="L116:N116"/>
    <mergeCell ref="O116:Q116"/>
    <mergeCell ref="R116:U116"/>
    <mergeCell ref="V116:W116"/>
    <mergeCell ref="X116:AA116"/>
    <mergeCell ref="AB116:AE116"/>
    <mergeCell ref="AF116:AI116"/>
    <mergeCell ref="AJ116:AM116"/>
    <mergeCell ref="AB114:AE114"/>
    <mergeCell ref="AF114:AI114"/>
    <mergeCell ref="AJ114:AM114"/>
    <mergeCell ref="B115:K115"/>
    <mergeCell ref="L115:N115"/>
    <mergeCell ref="O115:Q115"/>
    <mergeCell ref="R115:U115"/>
    <mergeCell ref="V115:W115"/>
    <mergeCell ref="X115:AA115"/>
    <mergeCell ref="AB115:AE115"/>
    <mergeCell ref="B114:K114"/>
    <mergeCell ref="L114:N114"/>
    <mergeCell ref="O114:Q114"/>
    <mergeCell ref="R114:U114"/>
    <mergeCell ref="V114:W114"/>
    <mergeCell ref="X114:AA114"/>
    <mergeCell ref="AF115:AI115"/>
    <mergeCell ref="AJ115:AM115"/>
    <mergeCell ref="B113:K113"/>
    <mergeCell ref="L113:N113"/>
    <mergeCell ref="O113:Q113"/>
    <mergeCell ref="R113:U113"/>
    <mergeCell ref="V113:W113"/>
    <mergeCell ref="X113:AA113"/>
    <mergeCell ref="AB113:AE113"/>
    <mergeCell ref="AF113:AI113"/>
    <mergeCell ref="AJ113:AM113"/>
    <mergeCell ref="B112:K112"/>
    <mergeCell ref="L112:N112"/>
    <mergeCell ref="O112:Q112"/>
    <mergeCell ref="R112:U112"/>
    <mergeCell ref="V112:W112"/>
    <mergeCell ref="X112:AA112"/>
    <mergeCell ref="AB112:AE112"/>
    <mergeCell ref="AF112:AI112"/>
    <mergeCell ref="AJ112:AM112"/>
    <mergeCell ref="AB110:AE110"/>
    <mergeCell ref="AF110:AI110"/>
    <mergeCell ref="AJ110:AM110"/>
    <mergeCell ref="B111:K111"/>
    <mergeCell ref="L111:N111"/>
    <mergeCell ref="O111:Q111"/>
    <mergeCell ref="R111:U111"/>
    <mergeCell ref="V111:W111"/>
    <mergeCell ref="X111:AA111"/>
    <mergeCell ref="AB111:AE111"/>
    <mergeCell ref="B110:K110"/>
    <mergeCell ref="L110:N110"/>
    <mergeCell ref="O110:Q110"/>
    <mergeCell ref="R110:U110"/>
    <mergeCell ref="V110:W110"/>
    <mergeCell ref="X110:AA110"/>
    <mergeCell ref="AF111:AI111"/>
    <mergeCell ref="AJ111:AM111"/>
    <mergeCell ref="B109:K109"/>
    <mergeCell ref="L109:N109"/>
    <mergeCell ref="O109:Q109"/>
    <mergeCell ref="R109:U109"/>
    <mergeCell ref="V109:W109"/>
    <mergeCell ref="X109:AA109"/>
    <mergeCell ref="AB109:AE109"/>
    <mergeCell ref="AF109:AI109"/>
    <mergeCell ref="AJ109:AM109"/>
    <mergeCell ref="B108:K108"/>
    <mergeCell ref="L108:N108"/>
    <mergeCell ref="O108:Q108"/>
    <mergeCell ref="R108:U108"/>
    <mergeCell ref="V108:W108"/>
    <mergeCell ref="X108:AA108"/>
    <mergeCell ref="AB108:AE108"/>
    <mergeCell ref="AF108:AI108"/>
    <mergeCell ref="AJ108:AM108"/>
    <mergeCell ref="AB106:AE106"/>
    <mergeCell ref="AF106:AI106"/>
    <mergeCell ref="AJ106:AM106"/>
    <mergeCell ref="B107:K107"/>
    <mergeCell ref="L107:N107"/>
    <mergeCell ref="O107:Q107"/>
    <mergeCell ref="R107:U107"/>
    <mergeCell ref="V107:W107"/>
    <mergeCell ref="X107:AA107"/>
    <mergeCell ref="AB107:AE107"/>
    <mergeCell ref="B106:K106"/>
    <mergeCell ref="L106:N106"/>
    <mergeCell ref="O106:Q106"/>
    <mergeCell ref="R106:U106"/>
    <mergeCell ref="V106:W106"/>
    <mergeCell ref="X106:AA106"/>
    <mergeCell ref="AF107:AI107"/>
    <mergeCell ref="AJ107:AM107"/>
    <mergeCell ref="B105:K105"/>
    <mergeCell ref="L105:N105"/>
    <mergeCell ref="O105:Q105"/>
    <mergeCell ref="R105:U105"/>
    <mergeCell ref="V105:W105"/>
    <mergeCell ref="X105:AA105"/>
    <mergeCell ref="AB105:AE105"/>
    <mergeCell ref="AF105:AI105"/>
    <mergeCell ref="AJ105:AM105"/>
    <mergeCell ref="B104:K104"/>
    <mergeCell ref="L104:N104"/>
    <mergeCell ref="O104:Q104"/>
    <mergeCell ref="R104:U104"/>
    <mergeCell ref="V104:W104"/>
    <mergeCell ref="X104:AA104"/>
    <mergeCell ref="AB104:AE104"/>
    <mergeCell ref="AF104:AI104"/>
    <mergeCell ref="AJ104:AM104"/>
    <mergeCell ref="AB101:AE101"/>
    <mergeCell ref="AF101:AI101"/>
    <mergeCell ref="AJ101:AM101"/>
    <mergeCell ref="B102:K102"/>
    <mergeCell ref="L102:N102"/>
    <mergeCell ref="O102:Q102"/>
    <mergeCell ref="R102:U102"/>
    <mergeCell ref="V102:W102"/>
    <mergeCell ref="X102:AA102"/>
    <mergeCell ref="AB102:AE102"/>
    <mergeCell ref="B101:K101"/>
    <mergeCell ref="L101:N101"/>
    <mergeCell ref="O101:Q101"/>
    <mergeCell ref="R101:U101"/>
    <mergeCell ref="V101:W101"/>
    <mergeCell ref="X101:AA101"/>
    <mergeCell ref="AF102:AI102"/>
    <mergeCell ref="AJ102:AM102"/>
    <mergeCell ref="B100:K100"/>
    <mergeCell ref="L100:N100"/>
    <mergeCell ref="O100:Q100"/>
    <mergeCell ref="R100:U100"/>
    <mergeCell ref="V100:W100"/>
    <mergeCell ref="X100:AA100"/>
    <mergeCell ref="AB100:AE100"/>
    <mergeCell ref="AF100:AI100"/>
    <mergeCell ref="AJ100:AM100"/>
    <mergeCell ref="B99:K99"/>
    <mergeCell ref="L99:N99"/>
    <mergeCell ref="O99:Q99"/>
    <mergeCell ref="R99:U99"/>
    <mergeCell ref="V99:W99"/>
    <mergeCell ref="X99:AA99"/>
    <mergeCell ref="AB99:AE99"/>
    <mergeCell ref="AF99:AI99"/>
    <mergeCell ref="AJ99:AM99"/>
    <mergeCell ref="AB97:AE97"/>
    <mergeCell ref="AF97:AI97"/>
    <mergeCell ref="AJ97:AM97"/>
    <mergeCell ref="B98:K98"/>
    <mergeCell ref="L98:N98"/>
    <mergeCell ref="O98:Q98"/>
    <mergeCell ref="R98:U98"/>
    <mergeCell ref="V98:W98"/>
    <mergeCell ref="X98:AA98"/>
    <mergeCell ref="AB98:AE98"/>
    <mergeCell ref="B97:K97"/>
    <mergeCell ref="L97:N97"/>
    <mergeCell ref="O97:Q97"/>
    <mergeCell ref="R97:U97"/>
    <mergeCell ref="V97:W97"/>
    <mergeCell ref="X97:AA97"/>
    <mergeCell ref="AF98:AI98"/>
    <mergeCell ref="AJ98:AM98"/>
    <mergeCell ref="B96:K96"/>
    <mergeCell ref="L96:N96"/>
    <mergeCell ref="O96:Q96"/>
    <mergeCell ref="R96:U96"/>
    <mergeCell ref="V96:W96"/>
    <mergeCell ref="X96:AA96"/>
    <mergeCell ref="AB96:AE96"/>
    <mergeCell ref="AF96:AI96"/>
    <mergeCell ref="AJ96:AM96"/>
    <mergeCell ref="B95:K95"/>
    <mergeCell ref="L95:N95"/>
    <mergeCell ref="O95:Q95"/>
    <mergeCell ref="R95:U95"/>
    <mergeCell ref="V95:W95"/>
    <mergeCell ref="X95:AA95"/>
    <mergeCell ref="AB95:AE95"/>
    <mergeCell ref="AF95:AI95"/>
    <mergeCell ref="AJ95:AM95"/>
    <mergeCell ref="AB93:AE93"/>
    <mergeCell ref="AF93:AI93"/>
    <mergeCell ref="AJ93:AM93"/>
    <mergeCell ref="B94:K94"/>
    <mergeCell ref="L94:N94"/>
    <mergeCell ref="O94:Q94"/>
    <mergeCell ref="R94:U94"/>
    <mergeCell ref="V94:W94"/>
    <mergeCell ref="X94:AA94"/>
    <mergeCell ref="AB94:AE94"/>
    <mergeCell ref="B93:K93"/>
    <mergeCell ref="L93:N93"/>
    <mergeCell ref="O93:Q93"/>
    <mergeCell ref="R93:U93"/>
    <mergeCell ref="V93:W93"/>
    <mergeCell ref="X93:AA93"/>
    <mergeCell ref="AF94:AI94"/>
    <mergeCell ref="AJ94:AM94"/>
    <mergeCell ref="A90:AM90"/>
    <mergeCell ref="B92:K92"/>
    <mergeCell ref="R92:U92"/>
    <mergeCell ref="V92:W92"/>
    <mergeCell ref="X92:AA92"/>
    <mergeCell ref="AB92:AE92"/>
    <mergeCell ref="AF92:AI92"/>
    <mergeCell ref="AJ92:AM92"/>
    <mergeCell ref="X83:Z85"/>
    <mergeCell ref="AA83:AC85"/>
    <mergeCell ref="AD83:AE85"/>
    <mergeCell ref="AF83:AH85"/>
    <mergeCell ref="AI83:AJ85"/>
    <mergeCell ref="AK83:AM85"/>
    <mergeCell ref="AK80:AM82"/>
    <mergeCell ref="J81:L81"/>
    <mergeCell ref="J82:L82"/>
    <mergeCell ref="A83:F85"/>
    <mergeCell ref="G83:I85"/>
    <mergeCell ref="J83:L83"/>
    <mergeCell ref="M83:N85"/>
    <mergeCell ref="O83:Q85"/>
    <mergeCell ref="R83:T85"/>
    <mergeCell ref="U83:W85"/>
    <mergeCell ref="U80:W82"/>
    <mergeCell ref="X80:Z82"/>
    <mergeCell ref="AA80:AC82"/>
    <mergeCell ref="AD80:AE82"/>
    <mergeCell ref="AF80:AH82"/>
    <mergeCell ref="AI80:AJ82"/>
    <mergeCell ref="A80:F82"/>
    <mergeCell ref="G80:I82"/>
    <mergeCell ref="J80:L80"/>
    <mergeCell ref="M80:N82"/>
    <mergeCell ref="O80:Q82"/>
    <mergeCell ref="R80:T82"/>
    <mergeCell ref="J84:L84"/>
    <mergeCell ref="J85:L85"/>
    <mergeCell ref="AA77:AC79"/>
    <mergeCell ref="AD77:AE79"/>
    <mergeCell ref="AF77:AH79"/>
    <mergeCell ref="AI77:AJ79"/>
    <mergeCell ref="AK77:AM79"/>
    <mergeCell ref="J78:L78"/>
    <mergeCell ref="J79:L79"/>
    <mergeCell ref="AI74:AJ76"/>
    <mergeCell ref="AK74:AM76"/>
    <mergeCell ref="AA74:AC76"/>
    <mergeCell ref="AD74:AE76"/>
    <mergeCell ref="AF74:AH76"/>
    <mergeCell ref="A77:F79"/>
    <mergeCell ref="G77:I79"/>
    <mergeCell ref="J77:L77"/>
    <mergeCell ref="M77:N79"/>
    <mergeCell ref="O77:Q79"/>
    <mergeCell ref="R77:T79"/>
    <mergeCell ref="U77:W79"/>
    <mergeCell ref="X77:Z79"/>
    <mergeCell ref="R74:T76"/>
    <mergeCell ref="U74:W76"/>
    <mergeCell ref="X74:Z76"/>
    <mergeCell ref="A72:L72"/>
    <mergeCell ref="M72:AH72"/>
    <mergeCell ref="AI72:AM73"/>
    <mergeCell ref="A73:L73"/>
    <mergeCell ref="M73:AH73"/>
    <mergeCell ref="A74:F76"/>
    <mergeCell ref="G74:I76"/>
    <mergeCell ref="J74:L76"/>
    <mergeCell ref="M74:N76"/>
    <mergeCell ref="O74:Q76"/>
    <mergeCell ref="AF49:AH51"/>
    <mergeCell ref="AI49:AJ51"/>
    <mergeCell ref="AK49:AM51"/>
    <mergeCell ref="J50:L50"/>
    <mergeCell ref="J51:L51"/>
    <mergeCell ref="A71:AH71"/>
    <mergeCell ref="AI71:AM71"/>
    <mergeCell ref="O49:Q51"/>
    <mergeCell ref="R49:T51"/>
    <mergeCell ref="U49:W51"/>
    <mergeCell ref="X49:Z51"/>
    <mergeCell ref="AA49:AC51"/>
    <mergeCell ref="AD49:AE51"/>
    <mergeCell ref="A52:F54"/>
    <mergeCell ref="G52:I54"/>
    <mergeCell ref="J52:L52"/>
    <mergeCell ref="M52:N54"/>
    <mergeCell ref="O52:Q54"/>
    <mergeCell ref="R52:T54"/>
    <mergeCell ref="U52:W54"/>
    <mergeCell ref="X52:Z54"/>
    <mergeCell ref="AA52:AC54"/>
    <mergeCell ref="AD52:AE54"/>
    <mergeCell ref="AF52:AH54"/>
    <mergeCell ref="J47:L47"/>
    <mergeCell ref="J48:L48"/>
    <mergeCell ref="A49:F51"/>
    <mergeCell ref="G49:I51"/>
    <mergeCell ref="J49:L49"/>
    <mergeCell ref="M49:N51"/>
    <mergeCell ref="X46:Z48"/>
    <mergeCell ref="AA46:AC48"/>
    <mergeCell ref="AD46:AE48"/>
    <mergeCell ref="AF46:AH48"/>
    <mergeCell ref="AI46:AJ48"/>
    <mergeCell ref="AK46:AM48"/>
    <mergeCell ref="AK43:AM45"/>
    <mergeCell ref="J44:L44"/>
    <mergeCell ref="J45:L45"/>
    <mergeCell ref="A46:F48"/>
    <mergeCell ref="G46:I48"/>
    <mergeCell ref="J46:L46"/>
    <mergeCell ref="M46:N48"/>
    <mergeCell ref="O46:Q48"/>
    <mergeCell ref="R46:T48"/>
    <mergeCell ref="U46:W48"/>
    <mergeCell ref="U43:W45"/>
    <mergeCell ref="X43:Z45"/>
    <mergeCell ref="AA43:AC45"/>
    <mergeCell ref="AD43:AE45"/>
    <mergeCell ref="AF43:AH45"/>
    <mergeCell ref="AI43:AJ45"/>
    <mergeCell ref="A43:F45"/>
    <mergeCell ref="G43:I45"/>
    <mergeCell ref="J43:L43"/>
    <mergeCell ref="M43:N45"/>
    <mergeCell ref="O43:Q45"/>
    <mergeCell ref="R43:T45"/>
    <mergeCell ref="AD40:AE42"/>
    <mergeCell ref="AF40:AH42"/>
    <mergeCell ref="AI40:AJ42"/>
    <mergeCell ref="AK40:AM42"/>
    <mergeCell ref="J41:L41"/>
    <mergeCell ref="J42:L42"/>
    <mergeCell ref="AK37:AM39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8:AM28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I55:AJ57"/>
    <mergeCell ref="AK55:AM57"/>
    <mergeCell ref="J56:L56"/>
    <mergeCell ref="J57:L57"/>
    <mergeCell ref="AK58:AM60"/>
    <mergeCell ref="J59:L59"/>
    <mergeCell ref="J60:L60"/>
    <mergeCell ref="A61:F63"/>
    <mergeCell ref="G61:I63"/>
    <mergeCell ref="J61:L61"/>
    <mergeCell ref="M61:N63"/>
    <mergeCell ref="O61:Q63"/>
    <mergeCell ref="R61:T63"/>
    <mergeCell ref="U61:W63"/>
    <mergeCell ref="X61:Z63"/>
    <mergeCell ref="AA61:AC63"/>
    <mergeCell ref="AD61:AE63"/>
    <mergeCell ref="AF61:AH63"/>
    <mergeCell ref="AI61:AJ63"/>
    <mergeCell ref="AK61:AM63"/>
    <mergeCell ref="J62:L62"/>
    <mergeCell ref="J63:L63"/>
    <mergeCell ref="A58:F60"/>
    <mergeCell ref="G58:I60"/>
    <mergeCell ref="J58:L58"/>
    <mergeCell ref="M58:N60"/>
    <mergeCell ref="O58:Q60"/>
    <mergeCell ref="R58:T60"/>
    <mergeCell ref="U64:W66"/>
    <mergeCell ref="X64:Z66"/>
    <mergeCell ref="AA64:AC66"/>
    <mergeCell ref="AD58:AE60"/>
    <mergeCell ref="AF58:AH60"/>
    <mergeCell ref="AI58:AJ60"/>
    <mergeCell ref="U58:W60"/>
    <mergeCell ref="X58:Z60"/>
    <mergeCell ref="AA58:AC60"/>
    <mergeCell ref="AD64:AE66"/>
    <mergeCell ref="AF64:AH66"/>
    <mergeCell ref="AI64:AJ66"/>
    <mergeCell ref="AK64:AM66"/>
    <mergeCell ref="J65:L65"/>
    <mergeCell ref="J66:L66"/>
    <mergeCell ref="A67:F69"/>
    <mergeCell ref="G67:I69"/>
    <mergeCell ref="J67:L67"/>
    <mergeCell ref="M67:N69"/>
    <mergeCell ref="O67:Q69"/>
    <mergeCell ref="R67:T69"/>
    <mergeCell ref="U67:W69"/>
    <mergeCell ref="X67:Z69"/>
    <mergeCell ref="AA67:AC69"/>
    <mergeCell ref="AD67:AE69"/>
    <mergeCell ref="AF67:AH69"/>
    <mergeCell ref="AI67:AJ69"/>
    <mergeCell ref="AK67:AM69"/>
    <mergeCell ref="J68:L68"/>
    <mergeCell ref="J69:L69"/>
    <mergeCell ref="A64:F66"/>
    <mergeCell ref="G64:I66"/>
    <mergeCell ref="J64:L64"/>
    <mergeCell ref="M64:N66"/>
    <mergeCell ref="O64:Q66"/>
    <mergeCell ref="R64:T66"/>
    <mergeCell ref="B103:K103"/>
    <mergeCell ref="L103:N103"/>
    <mergeCell ref="O103:Q103"/>
    <mergeCell ref="R103:U103"/>
    <mergeCell ref="V103:W103"/>
    <mergeCell ref="X103:AA103"/>
    <mergeCell ref="AB103:AE103"/>
    <mergeCell ref="AF103:AI103"/>
    <mergeCell ref="AJ103:AM103"/>
    <mergeCell ref="B121:K121"/>
    <mergeCell ref="L121:N121"/>
    <mergeCell ref="O121:Q121"/>
    <mergeCell ref="R121:U121"/>
    <mergeCell ref="V121:W121"/>
    <mergeCell ref="X121:AA121"/>
    <mergeCell ref="AB121:AE121"/>
    <mergeCell ref="AF121:AI121"/>
    <mergeCell ref="AJ121:AM121"/>
  </mergeCells>
  <hyperlinks>
    <hyperlink ref="G11" r:id="rId1" xr:uid="{3E3FC551-045E-4D6A-8D43-89F9066D3E3B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20F7-3732-4B76-9CEF-CF0241D370A9}">
  <dimension ref="A1:AM128"/>
  <sheetViews>
    <sheetView view="pageLayout" zoomScale="140" zoomScaleNormal="100" zoomScalePageLayoutView="140" workbookViewId="0">
      <selection activeCell="X27" sqref="X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1223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AB128</f>
        <v>16075.08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AF128</f>
        <v>3054.26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AJ128</f>
        <v>19129.34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19129.34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R91+R105+R106+R109</f>
        <v>17107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1.1182171041094289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 xml:space="preserve">Str. Lunca Oltului, FN, Sfantu Gheorghe Jud: Covasna 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5000579395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RN10_Sfantul Gheorghe_1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594020600000985765/1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 t="str">
        <f>AA31</f>
        <v>RN10_Sfantul Gheorghe_1</v>
      </c>
      <c r="AJ35" s="666"/>
      <c r="AK35" s="666"/>
      <c r="AL35" s="666"/>
      <c r="AM35" s="666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66"/>
      <c r="AJ36" s="666"/>
      <c r="AK36" s="666"/>
      <c r="AL36" s="666"/>
      <c r="AM36" s="666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1371034851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v>1</v>
      </c>
      <c r="P40" s="648"/>
      <c r="Q40" s="648"/>
      <c r="R40" s="647" t="str">
        <f>VLOOKUP(A40,Regularizare!$D:$YN,3,FALSE)&amp;" ("&amp;VLOOKUP(A40,Regularizare!$D:$Y,11,FALSE)&amp;")"</f>
        <v>341408 (citit)</v>
      </c>
      <c r="S40" s="647"/>
      <c r="T40" s="647"/>
      <c r="U40" s="647" t="str">
        <f>VLOOKUP(A40,Regularizare!$D:$U,4,FALSE)&amp;" ("&amp;VLOOKUP(A40,Regularizare!$D:$U,12,FALSE)&amp;")"</f>
        <v>348318 (estimat)</v>
      </c>
      <c r="V40" s="647"/>
      <c r="W40" s="647"/>
      <c r="X40" s="647" t="str">
        <f>VLOOKUP(A40,Regularizare!$D:$Y,19,FALSE)&amp;" ("&amp;VLOOKUP(A40,Regularizare!$D:$U,12,FALSE)&amp;")"</f>
        <v>6910 (estimat)</v>
      </c>
      <c r="Y40" s="647"/>
      <c r="Z40" s="647"/>
      <c r="AA40" s="647">
        <f>(-1)*VLOOKUP(A40,Regularizare!$D:$Y,19,FALSE)</f>
        <v>-6910</v>
      </c>
      <c r="AB40" s="647"/>
      <c r="AC40" s="647"/>
      <c r="AD40" s="647" t="s">
        <v>69</v>
      </c>
      <c r="AE40" s="647"/>
      <c r="AF40" s="647">
        <f>AA40</f>
        <v>-6910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8.4499999999999993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1371034851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720" t="s">
        <v>446</v>
      </c>
      <c r="N43" s="648"/>
      <c r="O43" s="648">
        <f>O40</f>
        <v>1</v>
      </c>
      <c r="P43" s="648"/>
      <c r="Q43" s="648"/>
      <c r="R43" s="648" t="str">
        <f>VLOOKUP(A43,Regularizare!$D:$U,7,FALSE)&amp;" ("&amp;VLOOKUP(A43,Regularizare!$D:$U,15,FALSE)&amp;")"</f>
        <v>305 (citit)</v>
      </c>
      <c r="S43" s="648"/>
      <c r="T43" s="648"/>
      <c r="U43" s="647" t="str">
        <f>VLOOKUP(A43,Regularizare!$D:$U,8,FALSE)&amp;" ("&amp;VLOOKUP(A43,Regularizare!$D:$U,16,FALSE)&amp;")"</f>
        <v>305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720"/>
      <c r="N44" s="648"/>
      <c r="O44" s="648"/>
      <c r="P44" s="648"/>
      <c r="Q44" s="648"/>
      <c r="R44" s="648"/>
      <c r="S44" s="648"/>
      <c r="T44" s="648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720"/>
      <c r="N45" s="648"/>
      <c r="O45" s="648"/>
      <c r="P45" s="648"/>
      <c r="Q45" s="648"/>
      <c r="R45" s="648"/>
      <c r="S45" s="648"/>
      <c r="T45" s="648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1371034851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O40</f>
        <v>1</v>
      </c>
      <c r="P46" s="648"/>
      <c r="Q46" s="648"/>
      <c r="R46" s="647" t="str">
        <f>VLOOKUP(A46,Regularizare!$D:$U,9,FALSE)&amp;" ("&amp;VLOOKUP(A46,Regularizare!$D:$U,17,FALSE)&amp;")"</f>
        <v>120187 (citit)</v>
      </c>
      <c r="S46" s="647"/>
      <c r="T46" s="647"/>
      <c r="U46" s="647" t="str">
        <f>VLOOKUP(A46,Regularizare!$D:$U,10,FALSE)&amp;" ("&amp;VLOOKUP(A46,Regularizare!$D:$U,18,FALSE)&amp;")"</f>
        <v>120187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1371034851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648" t="s">
        <v>720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341408 (citit)</v>
      </c>
      <c r="S49" s="647"/>
      <c r="T49" s="647"/>
      <c r="U49" s="647" t="str">
        <f>VLOOKUP(A49,Regularizare!$D:$AX,25,FALSE)&amp;" ("&amp;VLOOKUP(A49,Regularizare!$D:$AX,26,FALSE)&amp;")"</f>
        <v>348318 (citit)</v>
      </c>
      <c r="V49" s="647"/>
      <c r="W49" s="647"/>
      <c r="X49" s="647" t="str">
        <f>VLOOKUP(A49,Regularizare!$D:$AX,37,FALSE)&amp;" ("&amp;VLOOKUP(A49,Regularizare!$D:$AX,26,FALSE)&amp;")"</f>
        <v>6910 (citit)</v>
      </c>
      <c r="Y49" s="647"/>
      <c r="Z49" s="647"/>
      <c r="AA49" s="647">
        <f>VLOOKUP(A49,Regularizare!$D:$AX,37,FALSE)</f>
        <v>6910</v>
      </c>
      <c r="AB49" s="647"/>
      <c r="AC49" s="647"/>
      <c r="AD49" s="647" t="s">
        <v>69</v>
      </c>
      <c r="AE49" s="647"/>
      <c r="AF49" s="647">
        <f>AA49</f>
        <v>6910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648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648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1371034851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720" t="s">
        <v>446</v>
      </c>
      <c r="N52" s="648"/>
      <c r="O52" s="648">
        <v>1</v>
      </c>
      <c r="P52" s="648"/>
      <c r="Q52" s="648"/>
      <c r="R52" s="647" t="str">
        <f>VLOOKUP(A52,Regularizare!$D:$AX,29,FALSE)&amp;" ("&amp;VLOOKUP(A52,Regularizare!$D:$AX,30,FALSE)&amp;")"</f>
        <v>305 (citit)</v>
      </c>
      <c r="S52" s="647"/>
      <c r="T52" s="647"/>
      <c r="U52" s="647" t="str">
        <f>VLOOKUP(A52,Regularizare!$D:$AX,31,FALSE)&amp;" ("&amp;VLOOKUP(A52,Regularizare!$D:$AX,32,FALSE)&amp;")"</f>
        <v>306 (citit)</v>
      </c>
      <c r="V52" s="647"/>
      <c r="W52" s="647"/>
      <c r="X52" s="647" t="str">
        <f>VLOOKUP(A52,Regularizare!$D:$AX,39,FALSE)&amp;" ("&amp;VLOOKUP(A52,Regularizare!$D:$AX,32,FALSE)&amp;")"</f>
        <v>1 (citit)</v>
      </c>
      <c r="Y52" s="647"/>
      <c r="Z52" s="647"/>
      <c r="AA52" s="647">
        <f>VLOOKUP(A52,Regularizare!$D:$AX,44,FALSE)+VLOOKUP(A52,Regularizare!$D:$AX,45,FALSE)</f>
        <v>1</v>
      </c>
      <c r="AB52" s="647"/>
      <c r="AC52" s="647"/>
      <c r="AD52" s="647" t="s">
        <v>69</v>
      </c>
      <c r="AE52" s="647"/>
      <c r="AF52" s="647">
        <f>AA52</f>
        <v>1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720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720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1371034851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720" t="s">
        <v>446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120187 (citit)</v>
      </c>
      <c r="S55" s="647"/>
      <c r="T55" s="647"/>
      <c r="U55" s="647" t="str">
        <f>VLOOKUP(A55,Regularizare!$D:$AX,35,FALSE)&amp;" ("&amp;VLOOKUP(A55,Regularizare!$D:$AX,36,FALSE)&amp;")"</f>
        <v>120211 (citit)</v>
      </c>
      <c r="V55" s="647"/>
      <c r="W55" s="647"/>
      <c r="X55" s="647" t="str">
        <f>VLOOKUP(A55,Regularizare!$D:$AX,40,FALSE)&amp;" ("&amp;VLOOKUP(A55,Regularizare!$D:$AX,36,FALSE)&amp;")"</f>
        <v>24 (citit)</v>
      </c>
      <c r="Y55" s="647"/>
      <c r="Z55" s="647"/>
      <c r="AA55" s="647">
        <f>VLOOKUP(A55,Regularizare!$D:$AX,46,FALSE)+VLOOKUP(A55,Regularizare!$D:$AX,47,FALSE)</f>
        <v>24</v>
      </c>
      <c r="AB55" s="647"/>
      <c r="AC55" s="647"/>
      <c r="AD55" s="647" t="s">
        <v>69</v>
      </c>
      <c r="AE55" s="647"/>
      <c r="AF55" s="647">
        <f>AA55</f>
        <v>24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720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720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1371034851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648" t="s">
        <v>720</v>
      </c>
      <c r="N58" s="648"/>
      <c r="O58" s="648">
        <f>O52</f>
        <v>1</v>
      </c>
      <c r="P58" s="648"/>
      <c r="Q58" s="648"/>
      <c r="R58" s="647" t="str">
        <f>U49</f>
        <v>348318 (citit)</v>
      </c>
      <c r="S58" s="647"/>
      <c r="T58" s="647"/>
      <c r="U58" s="647" t="str">
        <f>VLOOKUP(A58,'Incrementare indexe'!$D:$M,4,FALSE)&amp;" (estimat)"</f>
        <v>354425 (estimat)</v>
      </c>
      <c r="V58" s="647"/>
      <c r="W58" s="647"/>
      <c r="X58" s="647" t="str">
        <f>VLOOKUP(A58,'Incrementare indexe'!$D:$Q,11,FALSE)&amp;" (citit)"</f>
        <v>6107 (citit)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6107</v>
      </c>
      <c r="AG58" s="647"/>
      <c r="AH58" s="647"/>
      <c r="AI58" s="647">
        <f>J60-J58+1</f>
        <v>31</v>
      </c>
      <c r="AJ58" s="647"/>
      <c r="AK58" s="647">
        <f>ROUND(AF58/AI58,2)</f>
        <v>197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648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648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1371034851</v>
      </c>
      <c r="B61" s="679"/>
      <c r="C61" s="679"/>
      <c r="D61" s="679"/>
      <c r="E61" s="679"/>
      <c r="F61" s="680"/>
      <c r="G61" s="647" t="s">
        <v>1300</v>
      </c>
      <c r="H61" s="647"/>
      <c r="I61" s="675"/>
      <c r="J61" s="655">
        <f t="shared" ref="J61:J69" si="2">J58</f>
        <v>45778</v>
      </c>
      <c r="K61" s="656"/>
      <c r="L61" s="657"/>
      <c r="M61" s="720" t="s">
        <v>446</v>
      </c>
      <c r="N61" s="648"/>
      <c r="O61" s="648">
        <v>1</v>
      </c>
      <c r="P61" s="648"/>
      <c r="Q61" s="648"/>
      <c r="R61" s="647" t="str">
        <f>VLOOKUP(A61,'Date masura SDI'!A:D,4,0)&amp;" (citit)"</f>
        <v>204812 (citit)</v>
      </c>
      <c r="S61" s="647"/>
      <c r="T61" s="647"/>
      <c r="U61" s="647" t="str">
        <f>VLOOKUP(A61,'Date masura SDI'!A:E,5,)&amp;" (citit)"</f>
        <v>225116 (citit)</v>
      </c>
      <c r="V61" s="647"/>
      <c r="W61" s="647"/>
      <c r="X61" s="647" t="str">
        <f>(VLOOKUP(A61,'Date masura SDI'!A:E,5,0)-VLOOKUP(A61,'Date masura SDI'!A:E,4,0))*O61 &amp;" (citit)"</f>
        <v>20304 (citit)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7"/>
      <c r="H62" s="647"/>
      <c r="I62" s="675"/>
      <c r="J62" s="717" t="str">
        <f t="shared" si="2"/>
        <v>-</v>
      </c>
      <c r="K62" s="718"/>
      <c r="L62" s="719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7"/>
      <c r="H63" s="647"/>
      <c r="I63" s="675"/>
      <c r="J63" s="714">
        <f t="shared" si="2"/>
        <v>45808</v>
      </c>
      <c r="K63" s="715"/>
      <c r="L63" s="716"/>
      <c r="M63" s="720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1371034851</v>
      </c>
      <c r="B64" s="679"/>
      <c r="C64" s="679"/>
      <c r="D64" s="679"/>
      <c r="E64" s="679"/>
      <c r="F64" s="680"/>
      <c r="G64" s="648" t="s">
        <v>696</v>
      </c>
      <c r="H64" s="648"/>
      <c r="I64" s="648"/>
      <c r="J64" s="655">
        <f t="shared" si="2"/>
        <v>45778</v>
      </c>
      <c r="K64" s="656"/>
      <c r="L64" s="657"/>
      <c r="M64" s="720" t="s">
        <v>446</v>
      </c>
      <c r="N64" s="648"/>
      <c r="O64" s="648">
        <f>O61</f>
        <v>1</v>
      </c>
      <c r="P64" s="648"/>
      <c r="Q64" s="648"/>
      <c r="R64" s="684" t="str">
        <f>U52</f>
        <v>306 (citit)</v>
      </c>
      <c r="S64" s="685"/>
      <c r="T64" s="686"/>
      <c r="U64" s="647" t="str">
        <f>VLOOKUP(A64,'Incrementare indexe'!$D:$M,8,FALSE)&amp;" (estimat)"</f>
        <v>306 (estimat)</v>
      </c>
      <c r="V64" s="647"/>
      <c r="W64" s="647"/>
      <c r="X64" s="647" t="str">
        <f>VLOOKUP(A64,'Incrementare indexe'!$D:$Q,12,FALSE)&amp;"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indexe'!$D:$Q,12,FALSE)</f>
        <v>0</v>
      </c>
      <c r="AG64" s="647"/>
      <c r="AH64" s="647"/>
      <c r="AI64" s="647">
        <f>AI58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720"/>
      <c r="N65" s="648"/>
      <c r="O65" s="648"/>
      <c r="P65" s="648"/>
      <c r="Q65" s="648"/>
      <c r="R65" s="727"/>
      <c r="S65" s="729"/>
      <c r="T65" s="728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720"/>
      <c r="N66" s="648"/>
      <c r="O66" s="648"/>
      <c r="P66" s="648"/>
      <c r="Q66" s="648"/>
      <c r="R66" s="687"/>
      <c r="S66" s="688"/>
      <c r="T66" s="689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78">
        <f>A64</f>
        <v>1371034851</v>
      </c>
      <c r="B67" s="679"/>
      <c r="C67" s="679"/>
      <c r="D67" s="679"/>
      <c r="E67" s="679"/>
      <c r="F67" s="680"/>
      <c r="G67" s="648" t="s">
        <v>731</v>
      </c>
      <c r="H67" s="648"/>
      <c r="I67" s="648"/>
      <c r="J67" s="655">
        <f t="shared" si="2"/>
        <v>45778</v>
      </c>
      <c r="K67" s="656"/>
      <c r="L67" s="657"/>
      <c r="M67" s="648" t="s">
        <v>720</v>
      </c>
      <c r="N67" s="648"/>
      <c r="O67" s="648">
        <f>O61</f>
        <v>1</v>
      </c>
      <c r="P67" s="648"/>
      <c r="Q67" s="648"/>
      <c r="R67" s="647" t="str">
        <f>U55</f>
        <v>120211 (citit)</v>
      </c>
      <c r="S67" s="647"/>
      <c r="T67" s="647"/>
      <c r="U67" s="647" t="str">
        <f>VLOOKUP(A67,'Incrementare indexe'!$D:$M,10,FALSE)&amp;" (estimat)"</f>
        <v>120211 (estimat)</v>
      </c>
      <c r="V67" s="647"/>
      <c r="W67" s="647"/>
      <c r="X67" s="647" t="str">
        <f>VLOOKUP(A67,'Incrementare indexe'!$D:$Q,13,FALSE)&amp;" (estimat)"</f>
        <v>0 (estimat)</v>
      </c>
      <c r="Y67" s="647"/>
      <c r="Z67" s="647"/>
      <c r="AA67" s="647" t="s">
        <v>69</v>
      </c>
      <c r="AB67" s="647"/>
      <c r="AC67" s="647"/>
      <c r="AD67" s="647" t="s">
        <v>69</v>
      </c>
      <c r="AE67" s="647"/>
      <c r="AF67" s="647">
        <f>VLOOKUP(A67,'Incrementare indexe'!$D:$Q,13,FALSE)</f>
        <v>0</v>
      </c>
      <c r="AG67" s="647"/>
      <c r="AH67" s="647"/>
      <c r="AI67" s="647">
        <f>AI64</f>
        <v>31</v>
      </c>
      <c r="AJ67" s="647"/>
      <c r="AK67" s="647">
        <f>ROUND(AF67/AI67,2)</f>
        <v>0</v>
      </c>
      <c r="AL67" s="647"/>
      <c r="AM67" s="647"/>
    </row>
    <row r="68" spans="1:39" ht="8.4499999999999993" customHeight="1">
      <c r="A68" s="717"/>
      <c r="B68" s="718"/>
      <c r="C68" s="718"/>
      <c r="D68" s="718"/>
      <c r="E68" s="718"/>
      <c r="F68" s="719"/>
      <c r="G68" s="648"/>
      <c r="H68" s="648"/>
      <c r="I68" s="648"/>
      <c r="J68" s="717" t="str">
        <f t="shared" si="2"/>
        <v>-</v>
      </c>
      <c r="K68" s="718"/>
      <c r="L68" s="719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681"/>
      <c r="B69" s="682"/>
      <c r="C69" s="682"/>
      <c r="D69" s="682"/>
      <c r="E69" s="682"/>
      <c r="F69" s="683"/>
      <c r="G69" s="648"/>
      <c r="H69" s="648"/>
      <c r="I69" s="648"/>
      <c r="J69" s="714">
        <f t="shared" si="2"/>
        <v>45808</v>
      </c>
      <c r="K69" s="715"/>
      <c r="L69" s="716"/>
      <c r="M69" s="648"/>
      <c r="N69" s="648"/>
      <c r="O69" s="648"/>
      <c r="P69" s="648"/>
      <c r="Q69" s="648"/>
      <c r="R69" s="647"/>
      <c r="S69" s="647"/>
      <c r="T69" s="647"/>
      <c r="U69" s="647"/>
      <c r="V69" s="647"/>
      <c r="W69" s="647"/>
      <c r="X69" s="647"/>
      <c r="Y69" s="647"/>
      <c r="Z69" s="647"/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721" t="s">
        <v>1196</v>
      </c>
      <c r="B71" s="722"/>
      <c r="C71" s="722"/>
      <c r="D71" s="722"/>
      <c r="E71" s="722"/>
      <c r="F71" s="722"/>
      <c r="G71" s="722"/>
      <c r="H71" s="722"/>
      <c r="I71" s="722"/>
      <c r="J71" s="722"/>
      <c r="K71" s="722"/>
      <c r="L71" s="722"/>
      <c r="M71" s="722"/>
      <c r="N71" s="722"/>
      <c r="O71" s="722"/>
      <c r="P71" s="722"/>
      <c r="Q71" s="722"/>
      <c r="R71" s="722"/>
      <c r="S71" s="722"/>
      <c r="T71" s="722"/>
      <c r="U71" s="722"/>
      <c r="V71" s="722"/>
      <c r="W71" s="722"/>
      <c r="X71" s="722"/>
      <c r="Y71" s="722"/>
      <c r="Z71" s="722"/>
      <c r="AA71" s="722"/>
      <c r="AB71" s="722"/>
      <c r="AC71" s="722"/>
      <c r="AD71" s="722"/>
      <c r="AE71" s="722"/>
      <c r="AF71" s="722"/>
      <c r="AG71" s="722"/>
      <c r="AH71" s="723"/>
      <c r="AI71" s="650" t="s">
        <v>695</v>
      </c>
      <c r="AJ71" s="650"/>
      <c r="AK71" s="650"/>
      <c r="AL71" s="650"/>
      <c r="AM71" s="650"/>
    </row>
    <row r="72" spans="1:39" ht="14.1" customHeight="1">
      <c r="A72" s="649" t="s">
        <v>746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514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66" t="str">
        <f>_xlfn.CONCAT(AI35,"/PV")</f>
        <v>RN10_Sfantul Gheorghe_1/PV</v>
      </c>
      <c r="AJ72" s="666"/>
      <c r="AK72" s="666"/>
      <c r="AL72" s="666"/>
      <c r="AM72" s="666"/>
    </row>
    <row r="73" spans="1:39" ht="14.1" customHeight="1">
      <c r="A73" s="649" t="s">
        <v>747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50" t="s">
        <v>1087</v>
      </c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66"/>
      <c r="AJ73" s="666"/>
      <c r="AK73" s="666"/>
      <c r="AL73" s="666"/>
      <c r="AM73" s="666"/>
    </row>
    <row r="74" spans="1:39" ht="14.1" customHeight="1">
      <c r="A74" s="648" t="s">
        <v>697</v>
      </c>
      <c r="B74" s="648"/>
      <c r="C74" s="648"/>
      <c r="D74" s="648"/>
      <c r="E74" s="648"/>
      <c r="F74" s="648"/>
      <c r="G74" s="647" t="s">
        <v>713</v>
      </c>
      <c r="H74" s="647"/>
      <c r="I74" s="647"/>
      <c r="J74" s="647" t="s">
        <v>714</v>
      </c>
      <c r="K74" s="647"/>
      <c r="L74" s="647"/>
      <c r="M74" s="648" t="s">
        <v>519</v>
      </c>
      <c r="N74" s="648"/>
      <c r="O74" s="648" t="s">
        <v>715</v>
      </c>
      <c r="P74" s="648"/>
      <c r="Q74" s="648"/>
      <c r="R74" s="647" t="s">
        <v>732</v>
      </c>
      <c r="S74" s="647"/>
      <c r="T74" s="647"/>
      <c r="U74" s="647" t="s">
        <v>734</v>
      </c>
      <c r="V74" s="647"/>
      <c r="W74" s="647"/>
      <c r="X74" s="647" t="s">
        <v>1085</v>
      </c>
      <c r="Y74" s="647"/>
      <c r="Z74" s="647"/>
      <c r="AA74" s="647" t="s">
        <v>1086</v>
      </c>
      <c r="AB74" s="647"/>
      <c r="AC74" s="647"/>
      <c r="AD74" s="647" t="s">
        <v>717</v>
      </c>
      <c r="AE74" s="647"/>
      <c r="AF74" s="647" t="s">
        <v>718</v>
      </c>
      <c r="AG74" s="647"/>
      <c r="AH74" s="647"/>
      <c r="AI74" s="647" t="s">
        <v>719</v>
      </c>
      <c r="AJ74" s="647"/>
      <c r="AK74" s="647" t="s">
        <v>733</v>
      </c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647"/>
      <c r="K75" s="647"/>
      <c r="L75" s="647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48"/>
      <c r="B76" s="648"/>
      <c r="C76" s="648"/>
      <c r="D76" s="648"/>
      <c r="E76" s="648"/>
      <c r="F76" s="648"/>
      <c r="G76" s="647"/>
      <c r="H76" s="647"/>
      <c r="I76" s="647"/>
      <c r="J76" s="713"/>
      <c r="K76" s="713"/>
      <c r="L76" s="713"/>
      <c r="M76" s="648"/>
      <c r="N76" s="648"/>
      <c r="O76" s="648"/>
      <c r="P76" s="648"/>
      <c r="Q76" s="648"/>
      <c r="R76" s="647"/>
      <c r="S76" s="647"/>
      <c r="T76" s="647"/>
      <c r="U76" s="647"/>
      <c r="V76" s="647"/>
      <c r="W76" s="647"/>
      <c r="X76" s="647"/>
      <c r="Y76" s="647"/>
      <c r="Z76" s="647"/>
      <c r="AA76" s="647"/>
      <c r="AB76" s="647"/>
      <c r="AC76" s="647"/>
      <c r="AD76" s="647"/>
      <c r="AE76" s="647"/>
      <c r="AF76" s="647"/>
      <c r="AG76" s="647"/>
      <c r="AH76" s="647"/>
      <c r="AI76" s="647"/>
      <c r="AJ76" s="647"/>
      <c r="AK76" s="647"/>
      <c r="AL76" s="647"/>
      <c r="AM76" s="647"/>
    </row>
    <row r="77" spans="1:39" ht="14.1" customHeight="1">
      <c r="A77" s="678">
        <f>VLOOKUP(AI72,'Incrementare indexe'!$B:$I,3,FALSE)</f>
        <v>1370127133</v>
      </c>
      <c r="B77" s="679"/>
      <c r="C77" s="679"/>
      <c r="D77" s="679"/>
      <c r="E77" s="679"/>
      <c r="F77" s="680"/>
      <c r="G77" s="647" t="s">
        <v>1088</v>
      </c>
      <c r="H77" s="647"/>
      <c r="I77" s="675"/>
      <c r="J77" s="655">
        <f>'Date masura OD'!$I$5</f>
        <v>45778</v>
      </c>
      <c r="K77" s="656"/>
      <c r="L77" s="657"/>
      <c r="M77" s="720" t="s">
        <v>446</v>
      </c>
      <c r="N77" s="648"/>
      <c r="O77" s="648">
        <f>VLOOKUP(AI72,'Incrementare indexe'!$B:$I,4,FALSE)</f>
        <v>1</v>
      </c>
      <c r="P77" s="648"/>
      <c r="Q77" s="648"/>
      <c r="R77" s="647" t="str">
        <f>VLOOKUP(AI72,'Incrementare indexe'!$B:$I,7,FALSE)&amp;" (citit)"</f>
        <v>449179 (citit)</v>
      </c>
      <c r="S77" s="647"/>
      <c r="T77" s="647"/>
      <c r="U77" s="647" t="str">
        <f>VLOOKUP(AI72,'Incrementare indexe'!$B:$I,8,FALSE)&amp;" (citit)"</f>
        <v>480483 (citit)</v>
      </c>
      <c r="V77" s="647"/>
      <c r="W77" s="647"/>
      <c r="X77" s="647" t="str">
        <f>(VLOOKUP(AI72,'Incrementare indexe'!$B:$I,8,FALSE)-VLOOKUP(AI72,'Incrementare indexe'!$B:$I,7,FALSE))&amp;" (citit)"</f>
        <v>31304 (citit)</v>
      </c>
      <c r="Y77" s="647"/>
      <c r="Z77" s="647"/>
      <c r="AA77" s="647" t="s">
        <v>69</v>
      </c>
      <c r="AB77" s="647"/>
      <c r="AC77" s="647"/>
      <c r="AD77" s="647" t="s">
        <v>69</v>
      </c>
      <c r="AE77" s="647"/>
      <c r="AF77" s="647">
        <f>(VLOOKUP(AI72,'Incrementare indexe'!$B:$I,8,FALSE)-VLOOKUP(AI72,'Incrementare indexe'!$B:$I,7,FALSE))</f>
        <v>31304</v>
      </c>
      <c r="AG77" s="647"/>
      <c r="AH77" s="647"/>
      <c r="AI77" s="647">
        <f>J79-J77+1</f>
        <v>31</v>
      </c>
      <c r="AJ77" s="647"/>
      <c r="AK77" s="647">
        <f>ROUND(AF77/AI77,2)</f>
        <v>1009.81</v>
      </c>
      <c r="AL77" s="647"/>
      <c r="AM77" s="647"/>
    </row>
    <row r="78" spans="1:39" ht="14.1" customHeight="1">
      <c r="A78" s="717"/>
      <c r="B78" s="718"/>
      <c r="C78" s="718"/>
      <c r="D78" s="718"/>
      <c r="E78" s="718"/>
      <c r="F78" s="719"/>
      <c r="G78" s="647"/>
      <c r="H78" s="647"/>
      <c r="I78" s="675"/>
      <c r="J78" s="717" t="s">
        <v>69</v>
      </c>
      <c r="K78" s="718"/>
      <c r="L78" s="719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81"/>
      <c r="B79" s="682"/>
      <c r="C79" s="682"/>
      <c r="D79" s="682"/>
      <c r="E79" s="682"/>
      <c r="F79" s="683"/>
      <c r="G79" s="647"/>
      <c r="H79" s="647"/>
      <c r="I79" s="675"/>
      <c r="J79" s="714">
        <f>'Date masura OD'!$J$5</f>
        <v>45808</v>
      </c>
      <c r="K79" s="715"/>
      <c r="L79" s="716"/>
      <c r="M79" s="720"/>
      <c r="N79" s="648"/>
      <c r="O79" s="648"/>
      <c r="P79" s="648"/>
      <c r="Q79" s="648"/>
      <c r="R79" s="647"/>
      <c r="S79" s="647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647"/>
      <c r="AL79" s="647"/>
      <c r="AM79" s="647"/>
    </row>
    <row r="80" spans="1:39" ht="14.1" customHeight="1">
      <c r="A80" s="678">
        <f>A77</f>
        <v>1370127133</v>
      </c>
      <c r="B80" s="679"/>
      <c r="C80" s="679"/>
      <c r="D80" s="679"/>
      <c r="E80" s="679"/>
      <c r="F80" s="680"/>
      <c r="G80" s="648" t="s">
        <v>696</v>
      </c>
      <c r="H80" s="648"/>
      <c r="I80" s="648"/>
      <c r="J80" s="655">
        <f t="shared" ref="J80:J85" si="3">J77</f>
        <v>45778</v>
      </c>
      <c r="K80" s="656"/>
      <c r="L80" s="657"/>
      <c r="M80" s="648" t="s">
        <v>720</v>
      </c>
      <c r="N80" s="648"/>
      <c r="O80" s="648">
        <f>O77</f>
        <v>1</v>
      </c>
      <c r="P80" s="648"/>
      <c r="Q80" s="648"/>
      <c r="R80" s="647" t="s">
        <v>1089</v>
      </c>
      <c r="S80" s="647"/>
      <c r="T80" s="647"/>
      <c r="U80" s="647" t="s">
        <v>1089</v>
      </c>
      <c r="V80" s="647"/>
      <c r="W80" s="647"/>
      <c r="X80" s="647" t="s">
        <v>1089</v>
      </c>
      <c r="Y80" s="647"/>
      <c r="Z80" s="647"/>
      <c r="AA80" s="647" t="s">
        <v>69</v>
      </c>
      <c r="AB80" s="647"/>
      <c r="AC80" s="647"/>
      <c r="AD80" s="647" t="s">
        <v>69</v>
      </c>
      <c r="AE80" s="647"/>
      <c r="AF80" s="647">
        <v>0</v>
      </c>
      <c r="AG80" s="647"/>
      <c r="AH80" s="647"/>
      <c r="AI80" s="647">
        <f>AI77</f>
        <v>31</v>
      </c>
      <c r="AJ80" s="647"/>
      <c r="AK80" s="647">
        <f>ROUND(AF80/AI80,2)</f>
        <v>0</v>
      </c>
      <c r="AL80" s="647"/>
      <c r="AM80" s="647"/>
    </row>
    <row r="81" spans="1:39" ht="14.1" customHeight="1">
      <c r="A81" s="717"/>
      <c r="B81" s="718"/>
      <c r="C81" s="718"/>
      <c r="D81" s="718"/>
      <c r="E81" s="718"/>
      <c r="F81" s="719"/>
      <c r="G81" s="648"/>
      <c r="H81" s="648"/>
      <c r="I81" s="648"/>
      <c r="J81" s="717" t="str">
        <f t="shared" si="3"/>
        <v>-</v>
      </c>
      <c r="K81" s="718"/>
      <c r="L81" s="719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81"/>
      <c r="B82" s="682"/>
      <c r="C82" s="682"/>
      <c r="D82" s="682"/>
      <c r="E82" s="682"/>
      <c r="F82" s="683"/>
      <c r="G82" s="648"/>
      <c r="H82" s="648"/>
      <c r="I82" s="648"/>
      <c r="J82" s="714">
        <f t="shared" si="3"/>
        <v>45808</v>
      </c>
      <c r="K82" s="715"/>
      <c r="L82" s="716"/>
      <c r="M82" s="648"/>
      <c r="N82" s="648"/>
      <c r="O82" s="648"/>
      <c r="P82" s="648"/>
      <c r="Q82" s="648"/>
      <c r="R82" s="647"/>
      <c r="S82" s="647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</row>
    <row r="83" spans="1:39" ht="14.1" customHeight="1">
      <c r="A83" s="678">
        <f>A80</f>
        <v>1370127133</v>
      </c>
      <c r="B83" s="679"/>
      <c r="C83" s="679"/>
      <c r="D83" s="679"/>
      <c r="E83" s="679"/>
      <c r="F83" s="680"/>
      <c r="G83" s="648" t="s">
        <v>731</v>
      </c>
      <c r="H83" s="648"/>
      <c r="I83" s="648"/>
      <c r="J83" s="655">
        <f t="shared" si="3"/>
        <v>45778</v>
      </c>
      <c r="K83" s="656"/>
      <c r="L83" s="657"/>
      <c r="M83" s="648" t="s">
        <v>720</v>
      </c>
      <c r="N83" s="648"/>
      <c r="O83" s="648">
        <f>O80</f>
        <v>1</v>
      </c>
      <c r="P83" s="648"/>
      <c r="Q83" s="648"/>
      <c r="R83" s="647" t="s">
        <v>1089</v>
      </c>
      <c r="S83" s="647"/>
      <c r="T83" s="647"/>
      <c r="U83" s="647" t="s">
        <v>1089</v>
      </c>
      <c r="V83" s="647"/>
      <c r="W83" s="647"/>
      <c r="X83" s="647" t="s">
        <v>1089</v>
      </c>
      <c r="Y83" s="647"/>
      <c r="Z83" s="647"/>
      <c r="AA83" s="647" t="s">
        <v>69</v>
      </c>
      <c r="AB83" s="647"/>
      <c r="AC83" s="647"/>
      <c r="AD83" s="647" t="s">
        <v>69</v>
      </c>
      <c r="AE83" s="647"/>
      <c r="AF83" s="647">
        <v>0</v>
      </c>
      <c r="AG83" s="647"/>
      <c r="AH83" s="647"/>
      <c r="AI83" s="647">
        <f>AI80</f>
        <v>31</v>
      </c>
      <c r="AJ83" s="647"/>
      <c r="AK83" s="647">
        <f>ROUND(AF83/AI83,2)</f>
        <v>0</v>
      </c>
      <c r="AL83" s="647"/>
      <c r="AM83" s="647"/>
    </row>
    <row r="84" spans="1:39" ht="14.1" customHeight="1">
      <c r="A84" s="717"/>
      <c r="B84" s="718"/>
      <c r="C84" s="718"/>
      <c r="D84" s="718"/>
      <c r="E84" s="718"/>
      <c r="F84" s="719"/>
      <c r="G84" s="648"/>
      <c r="H84" s="648"/>
      <c r="I84" s="648"/>
      <c r="J84" s="717" t="str">
        <f t="shared" si="3"/>
        <v>-</v>
      </c>
      <c r="K84" s="718"/>
      <c r="L84" s="719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81"/>
      <c r="B85" s="682"/>
      <c r="C85" s="682"/>
      <c r="D85" s="682"/>
      <c r="E85" s="682"/>
      <c r="F85" s="683"/>
      <c r="G85" s="648"/>
      <c r="H85" s="648"/>
      <c r="I85" s="648"/>
      <c r="J85" s="714">
        <f t="shared" si="3"/>
        <v>45808</v>
      </c>
      <c r="K85" s="715"/>
      <c r="L85" s="716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196"/>
      <c r="B86" s="196"/>
      <c r="C86" s="196"/>
      <c r="D86" s="196"/>
      <c r="E86" s="196"/>
      <c r="F86" s="196"/>
      <c r="G86" s="196"/>
      <c r="H86" s="196"/>
      <c r="I86" s="196"/>
      <c r="J86" s="197"/>
      <c r="K86" s="197"/>
      <c r="L86" s="197"/>
      <c r="M86" s="196"/>
      <c r="N86" s="196"/>
      <c r="O86" s="196"/>
      <c r="P86" s="196"/>
      <c r="Q86" s="196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</row>
    <row r="87" spans="1:39" ht="14.1" customHeight="1"/>
    <row r="88" spans="1:39" ht="15.95" customHeight="1">
      <c r="A88" s="624" t="str">
        <f>A28</f>
        <v>DETALII FACTURA FACTURA FISCALA SERIA …........ NR …................. din date de ….......06.2025</v>
      </c>
      <c r="B88" s="624"/>
      <c r="C88" s="624"/>
      <c r="D88" s="624"/>
      <c r="E88" s="624"/>
      <c r="F88" s="624"/>
      <c r="G88" s="624"/>
      <c r="H88" s="624"/>
      <c r="I88" s="624"/>
      <c r="J88" s="624"/>
      <c r="K88" s="624"/>
      <c r="L88" s="624"/>
      <c r="M88" s="624"/>
      <c r="N88" s="624"/>
      <c r="O88" s="624"/>
      <c r="P88" s="624"/>
      <c r="Q88" s="624"/>
      <c r="R88" s="624"/>
      <c r="S88" s="624"/>
      <c r="T88" s="624"/>
      <c r="U88" s="624"/>
      <c r="V88" s="624"/>
      <c r="W88" s="624"/>
      <c r="X88" s="624"/>
      <c r="Y88" s="624"/>
      <c r="Z88" s="624"/>
      <c r="AA88" s="624"/>
      <c r="AB88" s="624"/>
      <c r="AC88" s="624"/>
      <c r="AD88" s="624"/>
      <c r="AE88" s="624"/>
      <c r="AF88" s="624"/>
      <c r="AG88" s="624"/>
      <c r="AH88" s="624"/>
      <c r="AI88" s="624"/>
      <c r="AJ88" s="624"/>
      <c r="AK88" s="624"/>
      <c r="AL88" s="624"/>
      <c r="AM88" s="624"/>
    </row>
    <row r="90" spans="1:39" ht="36" customHeight="1">
      <c r="A90" s="66" t="s">
        <v>721</v>
      </c>
      <c r="B90" s="648" t="s">
        <v>95</v>
      </c>
      <c r="C90" s="648"/>
      <c r="D90" s="648"/>
      <c r="E90" s="648"/>
      <c r="F90" s="648"/>
      <c r="G90" s="648"/>
      <c r="H90" s="648"/>
      <c r="I90" s="648"/>
      <c r="J90" s="648"/>
      <c r="K90" s="648"/>
      <c r="L90" s="64" t="s">
        <v>709</v>
      </c>
      <c r="M90" s="69"/>
      <c r="N90" s="69"/>
      <c r="O90" s="64"/>
      <c r="P90" s="69"/>
      <c r="Q90" s="69"/>
      <c r="R90" s="647" t="s">
        <v>722</v>
      </c>
      <c r="S90" s="647"/>
      <c r="T90" s="647"/>
      <c r="U90" s="647"/>
      <c r="V90" s="648" t="s">
        <v>519</v>
      </c>
      <c r="W90" s="648"/>
      <c r="X90" s="647" t="s">
        <v>723</v>
      </c>
      <c r="Y90" s="647"/>
      <c r="Z90" s="647"/>
      <c r="AA90" s="647"/>
      <c r="AB90" s="647" t="s">
        <v>724</v>
      </c>
      <c r="AC90" s="647"/>
      <c r="AD90" s="647"/>
      <c r="AE90" s="647"/>
      <c r="AF90" s="647" t="s">
        <v>725</v>
      </c>
      <c r="AG90" s="647"/>
      <c r="AH90" s="647"/>
      <c r="AI90" s="647"/>
      <c r="AJ90" s="647" t="s">
        <v>726</v>
      </c>
      <c r="AK90" s="647"/>
      <c r="AL90" s="647"/>
      <c r="AM90" s="647"/>
    </row>
    <row r="91" spans="1:39" ht="15.95" customHeight="1">
      <c r="A91" s="65">
        <v>1</v>
      </c>
      <c r="B91" s="699" t="s">
        <v>71</v>
      </c>
      <c r="C91" s="700"/>
      <c r="D91" s="700"/>
      <c r="E91" s="700"/>
      <c r="F91" s="700"/>
      <c r="G91" s="700"/>
      <c r="H91" s="700"/>
      <c r="I91" s="700"/>
      <c r="J91" s="700"/>
      <c r="K91" s="701"/>
      <c r="L91" s="702">
        <f>'Date masura OD'!$I$5</f>
        <v>45778</v>
      </c>
      <c r="M91" s="702"/>
      <c r="N91" s="702"/>
      <c r="O91" s="702">
        <f>'Date masura OD'!$J$5</f>
        <v>45808</v>
      </c>
      <c r="P91" s="702"/>
      <c r="Q91" s="702"/>
      <c r="R91" s="690" cm="1">
        <f t="array" ref="R91">INDEX(verificare!$AT$4:$CC$33,VLOOKUP($AA$16,verificare!$AR$4:$AS$33,2,FALSE),A91)</f>
        <v>6107</v>
      </c>
      <c r="S91" s="690"/>
      <c r="T91" s="690"/>
      <c r="U91" s="690"/>
      <c r="V91" s="658" t="s">
        <v>446</v>
      </c>
      <c r="W91" s="658"/>
      <c r="X91" s="691">
        <f>HLOOKUP(VLOOKUP($AA$16,'Date SPV'!$B:$F,5,FALSE),'Preturi si tarife'!$C$2:$J$39,A91+2,FALSE)</f>
        <v>0.59499999999999997</v>
      </c>
      <c r="Y91" s="692"/>
      <c r="Z91" s="692"/>
      <c r="AA91" s="693"/>
      <c r="AB91" s="690">
        <f>ROUND(X91*R91,2)</f>
        <v>3633.67</v>
      </c>
      <c r="AC91" s="690"/>
      <c r="AD91" s="690"/>
      <c r="AE91" s="690"/>
      <c r="AF91" s="690">
        <f>ROUND(AB91*19%,2)</f>
        <v>690.4</v>
      </c>
      <c r="AG91" s="690"/>
      <c r="AH91" s="690"/>
      <c r="AI91" s="690"/>
      <c r="AJ91" s="690">
        <f>AB91+AF91</f>
        <v>4324.07</v>
      </c>
      <c r="AK91" s="690"/>
      <c r="AL91" s="690"/>
      <c r="AM91" s="690"/>
    </row>
    <row r="92" spans="1:39" ht="15.95" customHeight="1">
      <c r="A92" s="65">
        <f>A91+1</f>
        <v>2</v>
      </c>
      <c r="B92" s="699" t="s">
        <v>72</v>
      </c>
      <c r="C92" s="700"/>
      <c r="D92" s="700"/>
      <c r="E92" s="700"/>
      <c r="F92" s="700"/>
      <c r="G92" s="700"/>
      <c r="H92" s="700"/>
      <c r="I92" s="700"/>
      <c r="J92" s="700"/>
      <c r="K92" s="701"/>
      <c r="L92" s="702">
        <f>L91</f>
        <v>45778</v>
      </c>
      <c r="M92" s="702"/>
      <c r="N92" s="702"/>
      <c r="O92" s="702">
        <f>O91</f>
        <v>45808</v>
      </c>
      <c r="P92" s="702"/>
      <c r="Q92" s="702"/>
      <c r="R92" s="690" cm="1">
        <f t="array" ref="R92">INDEX(verificare!$AT$4:$CC$33,VLOOKUP($AA$16,verificare!$AR$4:$AS$33,2,FALSE),A92)</f>
        <v>0</v>
      </c>
      <c r="S92" s="690"/>
      <c r="T92" s="690"/>
      <c r="U92" s="690"/>
      <c r="V92" s="658" t="s">
        <v>727</v>
      </c>
      <c r="W92" s="658"/>
      <c r="X92" s="691">
        <f>HLOOKUP(VLOOKUP($AA$16,'Date SPV'!$B:$F,5,FALSE),'Preturi si tarife'!$C$2:$J$39,A92+2,FALSE)</f>
        <v>0.14649999999999999</v>
      </c>
      <c r="Y92" s="692"/>
      <c r="Z92" s="692"/>
      <c r="AA92" s="693"/>
      <c r="AB92" s="690">
        <f t="shared" ref="AB92:AB118" si="4">ROUND(X92*R92,2)</f>
        <v>0</v>
      </c>
      <c r="AC92" s="690"/>
      <c r="AD92" s="690"/>
      <c r="AE92" s="690"/>
      <c r="AF92" s="690">
        <f t="shared" ref="AF92:AF118" si="5">ROUND(AB92*19%,2)</f>
        <v>0</v>
      </c>
      <c r="AG92" s="690"/>
      <c r="AH92" s="690"/>
      <c r="AI92" s="690"/>
      <c r="AJ92" s="690">
        <f t="shared" ref="AJ92:AJ118" si="6">AB92+AF92</f>
        <v>0</v>
      </c>
      <c r="AK92" s="690"/>
      <c r="AL92" s="690"/>
      <c r="AM92" s="690"/>
    </row>
    <row r="93" spans="1:39" ht="15.95" customHeight="1">
      <c r="A93" s="65">
        <f t="shared" ref="A93:A128" si="7">A92+1</f>
        <v>3</v>
      </c>
      <c r="B93" s="699" t="s">
        <v>73</v>
      </c>
      <c r="C93" s="700"/>
      <c r="D93" s="700"/>
      <c r="E93" s="700"/>
      <c r="F93" s="700"/>
      <c r="G93" s="700"/>
      <c r="H93" s="700"/>
      <c r="I93" s="700"/>
      <c r="J93" s="700"/>
      <c r="K93" s="701"/>
      <c r="L93" s="702">
        <f t="shared" ref="L93:L101" si="8">L92</f>
        <v>45778</v>
      </c>
      <c r="M93" s="702"/>
      <c r="N93" s="702"/>
      <c r="O93" s="702">
        <f t="shared" ref="O93:O101" si="9">O92</f>
        <v>45808</v>
      </c>
      <c r="P93" s="702"/>
      <c r="Q93" s="702"/>
      <c r="R93" s="690" cm="1">
        <f t="array" ref="R93">INDEX(verificare!$AT$4:$CC$33,VLOOKUP($AA$16,verificare!$AR$4:$AS$33,2,FALSE),A93)</f>
        <v>0</v>
      </c>
      <c r="S93" s="690"/>
      <c r="T93" s="690"/>
      <c r="U93" s="690"/>
      <c r="V93" s="658" t="s">
        <v>727</v>
      </c>
      <c r="W93" s="658"/>
      <c r="X93" s="691">
        <f>HLOOKUP(VLOOKUP($AA$16,'Date SPV'!$B:$F,5,FALSE),'Preturi si tarife'!$C$2:$J$39,A93+2,FALSE)</f>
        <v>0.4395</v>
      </c>
      <c r="Y93" s="692"/>
      <c r="Z93" s="692"/>
      <c r="AA93" s="693"/>
      <c r="AB93" s="690">
        <f t="shared" si="4"/>
        <v>0</v>
      </c>
      <c r="AC93" s="690"/>
      <c r="AD93" s="690"/>
      <c r="AE93" s="690"/>
      <c r="AF93" s="690">
        <f t="shared" si="5"/>
        <v>0</v>
      </c>
      <c r="AG93" s="690"/>
      <c r="AH93" s="690"/>
      <c r="AI93" s="690"/>
      <c r="AJ93" s="690">
        <f t="shared" si="6"/>
        <v>0</v>
      </c>
      <c r="AK93" s="690"/>
      <c r="AL93" s="690"/>
      <c r="AM93" s="690"/>
    </row>
    <row r="94" spans="1:39" ht="15.95" customHeight="1">
      <c r="A94" s="65">
        <f t="shared" si="7"/>
        <v>4</v>
      </c>
      <c r="B94" s="699" t="s">
        <v>868</v>
      </c>
      <c r="C94" s="700"/>
      <c r="D94" s="700"/>
      <c r="E94" s="700"/>
      <c r="F94" s="700"/>
      <c r="G94" s="700"/>
      <c r="H94" s="700"/>
      <c r="I94" s="700"/>
      <c r="J94" s="700"/>
      <c r="K94" s="701"/>
      <c r="L94" s="702">
        <f t="shared" si="8"/>
        <v>45778</v>
      </c>
      <c r="M94" s="702"/>
      <c r="N94" s="702"/>
      <c r="O94" s="702">
        <f t="shared" si="9"/>
        <v>45808</v>
      </c>
      <c r="P94" s="702"/>
      <c r="Q94" s="702"/>
      <c r="R94" s="690" cm="1">
        <f t="array" ref="R94">INDEX(verificare!$AT$4:$CC$33,VLOOKUP($AA$16,verificare!$AR$4:$AS$33,2,FALSE),A94)</f>
        <v>6107</v>
      </c>
      <c r="S94" s="690"/>
      <c r="T94" s="690"/>
      <c r="U94" s="690"/>
      <c r="V94" s="658" t="s">
        <v>446</v>
      </c>
      <c r="W94" s="658"/>
      <c r="X94" s="691">
        <f>HLOOKUP(VLOOKUP($AA$16,'Date SPV'!$B:$F,5,FALSE),'Preturi si tarife'!$C$2:$J$39,A94+2,FALSE)</f>
        <v>0.11483</v>
      </c>
      <c r="Y94" s="692"/>
      <c r="Z94" s="692"/>
      <c r="AA94" s="693"/>
      <c r="AB94" s="690">
        <f t="shared" si="4"/>
        <v>701.27</v>
      </c>
      <c r="AC94" s="690"/>
      <c r="AD94" s="690"/>
      <c r="AE94" s="690"/>
      <c r="AF94" s="690">
        <f t="shared" si="5"/>
        <v>133.24</v>
      </c>
      <c r="AG94" s="690"/>
      <c r="AH94" s="690"/>
      <c r="AI94" s="690"/>
      <c r="AJ94" s="690">
        <f t="shared" si="6"/>
        <v>834.51</v>
      </c>
      <c r="AK94" s="690"/>
      <c r="AL94" s="690"/>
      <c r="AM94" s="690"/>
    </row>
    <row r="95" spans="1:39" ht="15.95" customHeight="1">
      <c r="A95" s="65">
        <f t="shared" si="7"/>
        <v>5</v>
      </c>
      <c r="B95" s="699" t="s">
        <v>757</v>
      </c>
      <c r="C95" s="700"/>
      <c r="D95" s="700"/>
      <c r="E95" s="700"/>
      <c r="F95" s="700"/>
      <c r="G95" s="700"/>
      <c r="H95" s="700"/>
      <c r="I95" s="700"/>
      <c r="J95" s="700"/>
      <c r="K95" s="701"/>
      <c r="L95" s="702">
        <f t="shared" si="8"/>
        <v>45778</v>
      </c>
      <c r="M95" s="702"/>
      <c r="N95" s="702"/>
      <c r="O95" s="702">
        <f t="shared" si="9"/>
        <v>45808</v>
      </c>
      <c r="P95" s="702"/>
      <c r="Q95" s="702"/>
      <c r="R95" s="690" cm="1">
        <f t="array" ref="R95">INDEX(verificare!$AT$4:$CC$33,VLOOKUP($AA$16,verificare!$AR$4:$AS$33,2,FALSE),A95)</f>
        <v>0</v>
      </c>
      <c r="S95" s="690"/>
      <c r="T95" s="690"/>
      <c r="U95" s="690"/>
      <c r="V95" s="658" t="s">
        <v>446</v>
      </c>
      <c r="W95" s="658"/>
      <c r="X95" s="691">
        <f>HLOOKUP(VLOOKUP($AA$16,'Date SPV'!$B:$F,5,FALSE),'Preturi si tarife'!$C$2:$J$39,A95+2,FALSE)</f>
        <v>0.2361</v>
      </c>
      <c r="Y95" s="692"/>
      <c r="Z95" s="692"/>
      <c r="AA95" s="693"/>
      <c r="AB95" s="690">
        <f t="shared" si="4"/>
        <v>0</v>
      </c>
      <c r="AC95" s="690"/>
      <c r="AD95" s="690"/>
      <c r="AE95" s="690"/>
      <c r="AF95" s="690">
        <f t="shared" si="5"/>
        <v>0</v>
      </c>
      <c r="AG95" s="690"/>
      <c r="AH95" s="690"/>
      <c r="AI95" s="690"/>
      <c r="AJ95" s="690">
        <f t="shared" si="6"/>
        <v>0</v>
      </c>
      <c r="AK95" s="690"/>
      <c r="AL95" s="690"/>
      <c r="AM95" s="690"/>
    </row>
    <row r="96" spans="1:39" ht="15.95" customHeight="1">
      <c r="A96" s="65">
        <f t="shared" si="7"/>
        <v>6</v>
      </c>
      <c r="B96" s="699" t="s">
        <v>74</v>
      </c>
      <c r="C96" s="700"/>
      <c r="D96" s="700"/>
      <c r="E96" s="700"/>
      <c r="F96" s="700"/>
      <c r="G96" s="700"/>
      <c r="H96" s="700"/>
      <c r="I96" s="700"/>
      <c r="J96" s="700"/>
      <c r="K96" s="701"/>
      <c r="L96" s="702">
        <f t="shared" si="8"/>
        <v>45778</v>
      </c>
      <c r="M96" s="702"/>
      <c r="N96" s="702"/>
      <c r="O96" s="702">
        <f t="shared" si="9"/>
        <v>45808</v>
      </c>
      <c r="P96" s="702"/>
      <c r="Q96" s="702"/>
      <c r="R96" s="690" cm="1">
        <f t="array" ref="R96">INDEX(verificare!$AT$4:$CC$33,VLOOKUP($AA$16,verificare!$AR$4:$AS$33,2,FALSE),A96)</f>
        <v>6107</v>
      </c>
      <c r="S96" s="690"/>
      <c r="T96" s="690"/>
      <c r="U96" s="690"/>
      <c r="V96" s="658" t="s">
        <v>446</v>
      </c>
      <c r="W96" s="658"/>
      <c r="X96" s="691">
        <f>HLOOKUP(VLOOKUP($AA$16,'Date SPV'!$B:$F,5,FALSE),'Preturi si tarife'!$C$2:$J$39,A96+2,FALSE)</f>
        <v>1.1509999999999999E-2</v>
      </c>
      <c r="Y96" s="692"/>
      <c r="Z96" s="692"/>
      <c r="AA96" s="693"/>
      <c r="AB96" s="690">
        <f t="shared" si="4"/>
        <v>70.290000000000006</v>
      </c>
      <c r="AC96" s="690"/>
      <c r="AD96" s="690"/>
      <c r="AE96" s="690"/>
      <c r="AF96" s="690">
        <f t="shared" si="5"/>
        <v>13.36</v>
      </c>
      <c r="AG96" s="690"/>
      <c r="AH96" s="690"/>
      <c r="AI96" s="690"/>
      <c r="AJ96" s="690">
        <f t="shared" si="6"/>
        <v>83.65</v>
      </c>
      <c r="AK96" s="690"/>
      <c r="AL96" s="690"/>
      <c r="AM96" s="690"/>
    </row>
    <row r="97" spans="1:39" ht="18.95" customHeight="1">
      <c r="A97" s="65">
        <f t="shared" si="7"/>
        <v>7</v>
      </c>
      <c r="B97" s="699" t="s">
        <v>75</v>
      </c>
      <c r="C97" s="700"/>
      <c r="D97" s="700"/>
      <c r="E97" s="700"/>
      <c r="F97" s="700"/>
      <c r="G97" s="700"/>
      <c r="H97" s="700"/>
      <c r="I97" s="700"/>
      <c r="J97" s="700"/>
      <c r="K97" s="701"/>
      <c r="L97" s="702">
        <f t="shared" si="8"/>
        <v>45778</v>
      </c>
      <c r="M97" s="702"/>
      <c r="N97" s="702"/>
      <c r="O97" s="702">
        <f t="shared" si="9"/>
        <v>45808</v>
      </c>
      <c r="P97" s="702"/>
      <c r="Q97" s="702"/>
      <c r="R97" s="690" cm="1">
        <f t="array" ref="R97">INDEX(verificare!$AT$4:$CC$33,VLOOKUP($AA$16,verificare!$AR$4:$AS$33,2,FALSE),A97)</f>
        <v>6107</v>
      </c>
      <c r="S97" s="690"/>
      <c r="T97" s="690"/>
      <c r="U97" s="690"/>
      <c r="V97" s="658" t="s">
        <v>446</v>
      </c>
      <c r="W97" s="658"/>
      <c r="X97" s="691">
        <f>HLOOKUP(VLOOKUP($AA$16,'Date SPV'!$B:$F,5,FALSE),'Preturi si tarife'!$C$2:$J$39,A97+2,FALSE)</f>
        <v>3.3030000000000004E-2</v>
      </c>
      <c r="Y97" s="692"/>
      <c r="Z97" s="692"/>
      <c r="AA97" s="693"/>
      <c r="AB97" s="690">
        <f t="shared" si="4"/>
        <v>201.71</v>
      </c>
      <c r="AC97" s="690"/>
      <c r="AD97" s="690"/>
      <c r="AE97" s="690"/>
      <c r="AF97" s="690">
        <f t="shared" si="5"/>
        <v>38.32</v>
      </c>
      <c r="AG97" s="690"/>
      <c r="AH97" s="690"/>
      <c r="AI97" s="690"/>
      <c r="AJ97" s="690">
        <f t="shared" si="6"/>
        <v>240.03</v>
      </c>
      <c r="AK97" s="690"/>
      <c r="AL97" s="690"/>
      <c r="AM97" s="690"/>
    </row>
    <row r="98" spans="1:39" ht="21.95" customHeight="1">
      <c r="A98" s="65">
        <f t="shared" si="7"/>
        <v>8</v>
      </c>
      <c r="B98" s="699" t="s">
        <v>76</v>
      </c>
      <c r="C98" s="700"/>
      <c r="D98" s="700"/>
      <c r="E98" s="700"/>
      <c r="F98" s="700"/>
      <c r="G98" s="700"/>
      <c r="H98" s="700"/>
      <c r="I98" s="700"/>
      <c r="J98" s="700"/>
      <c r="K98" s="701"/>
      <c r="L98" s="702">
        <f t="shared" si="8"/>
        <v>45778</v>
      </c>
      <c r="M98" s="702"/>
      <c r="N98" s="702"/>
      <c r="O98" s="702">
        <f t="shared" si="9"/>
        <v>45808</v>
      </c>
      <c r="P98" s="702"/>
      <c r="Q98" s="702"/>
      <c r="R98" s="690" cm="1">
        <f t="array" ref="R98">INDEX(verificare!$AT$4:$CC$33,VLOOKUP($AA$16,verificare!$AR$4:$AS$33,2,FALSE),A98)</f>
        <v>6107</v>
      </c>
      <c r="S98" s="690"/>
      <c r="T98" s="690"/>
      <c r="U98" s="690"/>
      <c r="V98" s="658" t="s">
        <v>446</v>
      </c>
      <c r="W98" s="658"/>
      <c r="X98" s="691">
        <f>HLOOKUP(VLOOKUP($AA$16,'Date SPV'!$B:$F,5,FALSE),'Preturi si tarife'!$C$2:$J$39,A98+2,FALSE)</f>
        <v>3.29E-3</v>
      </c>
      <c r="Y98" s="692"/>
      <c r="Z98" s="692"/>
      <c r="AA98" s="693"/>
      <c r="AB98" s="690">
        <f t="shared" si="4"/>
        <v>20.09</v>
      </c>
      <c r="AC98" s="690"/>
      <c r="AD98" s="690"/>
      <c r="AE98" s="690"/>
      <c r="AF98" s="690">
        <f t="shared" si="5"/>
        <v>3.82</v>
      </c>
      <c r="AG98" s="690"/>
      <c r="AH98" s="690"/>
      <c r="AI98" s="690"/>
      <c r="AJ98" s="690">
        <f t="shared" si="6"/>
        <v>23.91</v>
      </c>
      <c r="AK98" s="690"/>
      <c r="AL98" s="690"/>
      <c r="AM98" s="690"/>
    </row>
    <row r="99" spans="1:39" ht="15.95" customHeight="1">
      <c r="A99" s="65">
        <f t="shared" si="7"/>
        <v>9</v>
      </c>
      <c r="B99" s="699" t="s">
        <v>77</v>
      </c>
      <c r="C99" s="700"/>
      <c r="D99" s="700"/>
      <c r="E99" s="700"/>
      <c r="F99" s="700"/>
      <c r="G99" s="700"/>
      <c r="H99" s="700"/>
      <c r="I99" s="700"/>
      <c r="J99" s="700"/>
      <c r="K99" s="701"/>
      <c r="L99" s="702">
        <f t="shared" si="8"/>
        <v>45778</v>
      </c>
      <c r="M99" s="702"/>
      <c r="N99" s="702"/>
      <c r="O99" s="702">
        <f t="shared" si="9"/>
        <v>45808</v>
      </c>
      <c r="P99" s="702"/>
      <c r="Q99" s="702"/>
      <c r="R99" s="690" cm="1">
        <f t="array" ref="R99">INDEX(verificare!$AT$4:$CC$33,VLOOKUP($AA$16,verificare!$AR$4:$AS$33,2,FALSE),A99)</f>
        <v>6107</v>
      </c>
      <c r="S99" s="690"/>
      <c r="T99" s="690"/>
      <c r="U99" s="690"/>
      <c r="V99" s="658" t="s">
        <v>446</v>
      </c>
      <c r="W99" s="658"/>
      <c r="X99" s="691">
        <f>HLOOKUP(VLOOKUP($AA$16,'Date SPV'!$B:$F,5,FALSE),'Preturi si tarife'!$C$2:$J$39,A99+2,FALSE)</f>
        <v>3.5000000000000001E-3</v>
      </c>
      <c r="Y99" s="692"/>
      <c r="Z99" s="692"/>
      <c r="AA99" s="693"/>
      <c r="AB99" s="690">
        <f t="shared" si="4"/>
        <v>21.37</v>
      </c>
      <c r="AC99" s="690"/>
      <c r="AD99" s="690"/>
      <c r="AE99" s="690"/>
      <c r="AF99" s="690">
        <f t="shared" si="5"/>
        <v>4.0599999999999996</v>
      </c>
      <c r="AG99" s="690"/>
      <c r="AH99" s="690"/>
      <c r="AI99" s="690"/>
      <c r="AJ99" s="690">
        <f t="shared" si="6"/>
        <v>25.43</v>
      </c>
      <c r="AK99" s="690"/>
      <c r="AL99" s="690"/>
      <c r="AM99" s="690"/>
    </row>
    <row r="100" spans="1:39" ht="15.95" customHeight="1">
      <c r="A100" s="65">
        <f t="shared" si="7"/>
        <v>10</v>
      </c>
      <c r="B100" s="699" t="s">
        <v>78</v>
      </c>
      <c r="C100" s="700"/>
      <c r="D100" s="700"/>
      <c r="E100" s="700"/>
      <c r="F100" s="700"/>
      <c r="G100" s="700"/>
      <c r="H100" s="700"/>
      <c r="I100" s="700"/>
      <c r="J100" s="700"/>
      <c r="K100" s="701"/>
      <c r="L100" s="702">
        <f t="shared" si="8"/>
        <v>45778</v>
      </c>
      <c r="M100" s="702"/>
      <c r="N100" s="702"/>
      <c r="O100" s="702">
        <f t="shared" si="9"/>
        <v>45808</v>
      </c>
      <c r="P100" s="702"/>
      <c r="Q100" s="702"/>
      <c r="R100" s="690" cm="1">
        <f t="array" ref="R100">INDEX(verificare!$AT$4:$CC$33,VLOOKUP($AA$16,verificare!$AR$4:$AS$33,2,FALSE),A100)</f>
        <v>6107</v>
      </c>
      <c r="S100" s="690"/>
      <c r="T100" s="690"/>
      <c r="U100" s="690"/>
      <c r="V100" s="658" t="s">
        <v>446</v>
      </c>
      <c r="W100" s="658"/>
      <c r="X100" s="691">
        <f>HLOOKUP(VLOOKUP($AA$16,'Date SPV'!$B:$F,5,FALSE),'Preturi si tarife'!$C$2:$J$39,A100+2,FALSE)</f>
        <v>7.2541599999999998E-2</v>
      </c>
      <c r="Y100" s="692"/>
      <c r="Z100" s="692"/>
      <c r="AA100" s="693"/>
      <c r="AB100" s="690">
        <f t="shared" si="4"/>
        <v>443.01</v>
      </c>
      <c r="AC100" s="690"/>
      <c r="AD100" s="690"/>
      <c r="AE100" s="690"/>
      <c r="AF100" s="690">
        <f t="shared" si="5"/>
        <v>84.17</v>
      </c>
      <c r="AG100" s="690"/>
      <c r="AH100" s="690"/>
      <c r="AI100" s="690"/>
      <c r="AJ100" s="690">
        <f t="shared" si="6"/>
        <v>527.17999999999995</v>
      </c>
      <c r="AK100" s="690"/>
      <c r="AL100" s="690"/>
      <c r="AM100" s="690"/>
    </row>
    <row r="101" spans="1:39" ht="15.95" customHeight="1">
      <c r="A101" s="65">
        <f t="shared" si="7"/>
        <v>11</v>
      </c>
      <c r="B101" s="699" t="s">
        <v>1313</v>
      </c>
      <c r="C101" s="700"/>
      <c r="D101" s="700"/>
      <c r="E101" s="700"/>
      <c r="F101" s="700"/>
      <c r="G101" s="700"/>
      <c r="H101" s="700"/>
      <c r="I101" s="700"/>
      <c r="J101" s="700"/>
      <c r="K101" s="701"/>
      <c r="L101" s="702">
        <f t="shared" si="8"/>
        <v>45778</v>
      </c>
      <c r="M101" s="702"/>
      <c r="N101" s="702"/>
      <c r="O101" s="702">
        <f t="shared" si="9"/>
        <v>45808</v>
      </c>
      <c r="P101" s="702"/>
      <c r="Q101" s="702"/>
      <c r="R101" s="690" cm="1">
        <f t="array" ref="R101">INDEX(verificare!$AT$4:$CC$33,VLOOKUP($AA$16,verificare!$AR$4:$AS$33,2,FALSE),A101)</f>
        <v>6107</v>
      </c>
      <c r="S101" s="690"/>
      <c r="T101" s="690"/>
      <c r="U101" s="690"/>
      <c r="V101" s="724" t="s">
        <v>446</v>
      </c>
      <c r="W101" s="725"/>
      <c r="X101" s="691">
        <f>HLOOKUP(VLOOKUP($AA$16,'Date SPV'!$B:$F,5,FALSE),'Preturi si tarife'!$C$2:$J$39,A101+2,FALSE)</f>
        <v>2.0599999999999999E-4</v>
      </c>
      <c r="Y101" s="692"/>
      <c r="Z101" s="692"/>
      <c r="AA101" s="693"/>
      <c r="AB101" s="772">
        <f t="shared" si="4"/>
        <v>1.26</v>
      </c>
      <c r="AC101" s="773"/>
      <c r="AD101" s="773"/>
      <c r="AE101" s="774"/>
      <c r="AF101" s="772">
        <f t="shared" si="5"/>
        <v>0.24</v>
      </c>
      <c r="AG101" s="773"/>
      <c r="AH101" s="773"/>
      <c r="AI101" s="774"/>
      <c r="AJ101" s="772">
        <f t="shared" si="6"/>
        <v>1.5</v>
      </c>
      <c r="AK101" s="773"/>
      <c r="AL101" s="773"/>
      <c r="AM101" s="774"/>
    </row>
    <row r="102" spans="1:39" ht="15.95" customHeight="1">
      <c r="A102" s="65">
        <f t="shared" si="7"/>
        <v>12</v>
      </c>
      <c r="B102" s="699" t="s">
        <v>79</v>
      </c>
      <c r="C102" s="700"/>
      <c r="D102" s="700"/>
      <c r="E102" s="700"/>
      <c r="F102" s="700"/>
      <c r="G102" s="700"/>
      <c r="H102" s="700"/>
      <c r="I102" s="700"/>
      <c r="J102" s="700"/>
      <c r="K102" s="701"/>
      <c r="L102" s="702">
        <f>L100</f>
        <v>45778</v>
      </c>
      <c r="M102" s="702"/>
      <c r="N102" s="702"/>
      <c r="O102" s="702">
        <f>O100</f>
        <v>45808</v>
      </c>
      <c r="P102" s="702"/>
      <c r="Q102" s="702"/>
      <c r="R102" s="690" cm="1">
        <f t="array" ref="R102">INDEX(verificare!$AT$4:$CC$33,VLOOKUP($AA$16,verificare!$AR$4:$AS$33,2,FALSE),A102)</f>
        <v>6107</v>
      </c>
      <c r="S102" s="690"/>
      <c r="T102" s="690"/>
      <c r="U102" s="690"/>
      <c r="V102" s="658" t="s">
        <v>446</v>
      </c>
      <c r="W102" s="658"/>
      <c r="X102" s="691">
        <f>HLOOKUP(VLOOKUP($AA$16,'Date SPV'!$B:$F,5,FALSE),'Preturi si tarife'!$C$2:$J$39,A102+2,FALSE)</f>
        <v>0</v>
      </c>
      <c r="Y102" s="692"/>
      <c r="Z102" s="692"/>
      <c r="AA102" s="693"/>
      <c r="AB102" s="690">
        <f t="shared" si="4"/>
        <v>0</v>
      </c>
      <c r="AC102" s="690"/>
      <c r="AD102" s="690"/>
      <c r="AE102" s="690"/>
      <c r="AF102" s="690">
        <f t="shared" si="5"/>
        <v>0</v>
      </c>
      <c r="AG102" s="690"/>
      <c r="AH102" s="690"/>
      <c r="AI102" s="690"/>
      <c r="AJ102" s="690">
        <f t="shared" si="6"/>
        <v>0</v>
      </c>
      <c r="AK102" s="690"/>
      <c r="AL102" s="690"/>
      <c r="AM102" s="690"/>
    </row>
    <row r="103" spans="1:39" ht="15.95" customHeight="1">
      <c r="A103" s="65">
        <f t="shared" si="7"/>
        <v>13</v>
      </c>
      <c r="B103" s="699" t="s">
        <v>80</v>
      </c>
      <c r="C103" s="700"/>
      <c r="D103" s="700"/>
      <c r="E103" s="700"/>
      <c r="F103" s="700"/>
      <c r="G103" s="700"/>
      <c r="H103" s="700"/>
      <c r="I103" s="700"/>
      <c r="J103" s="700"/>
      <c r="K103" s="701"/>
      <c r="L103" s="702">
        <f t="shared" ref="L103:L108" si="10">L102</f>
        <v>45778</v>
      </c>
      <c r="M103" s="702"/>
      <c r="N103" s="702"/>
      <c r="O103" s="702">
        <f t="shared" ref="O103:O108" si="11">O102</f>
        <v>45808</v>
      </c>
      <c r="P103" s="702"/>
      <c r="Q103" s="702"/>
      <c r="R103" s="690" cm="1">
        <f t="array" ref="R103">INDEX(verificare!$AT$4:$CC$33,VLOOKUP($AA$16,verificare!$AR$4:$AS$33,2,FALSE),A103)</f>
        <v>6107</v>
      </c>
      <c r="S103" s="690"/>
      <c r="T103" s="690"/>
      <c r="U103" s="690"/>
      <c r="V103" s="658" t="s">
        <v>446</v>
      </c>
      <c r="W103" s="658"/>
      <c r="X103" s="691">
        <f>HLOOKUP(VLOOKUP($AA$16,'Date SPV'!$B:$F,5,FALSE),'Preturi si tarife'!$C$2:$J$39,A103+2,FALSE)</f>
        <v>1.26E-2</v>
      </c>
      <c r="Y103" s="692"/>
      <c r="Z103" s="692"/>
      <c r="AA103" s="693"/>
      <c r="AB103" s="690">
        <f t="shared" si="4"/>
        <v>76.95</v>
      </c>
      <c r="AC103" s="690"/>
      <c r="AD103" s="690"/>
      <c r="AE103" s="690"/>
      <c r="AF103" s="690">
        <f t="shared" si="5"/>
        <v>14.62</v>
      </c>
      <c r="AG103" s="690"/>
      <c r="AH103" s="690"/>
      <c r="AI103" s="690"/>
      <c r="AJ103" s="690">
        <f t="shared" si="6"/>
        <v>91.570000000000007</v>
      </c>
      <c r="AK103" s="690"/>
      <c r="AL103" s="690"/>
      <c r="AM103" s="690"/>
    </row>
    <row r="104" spans="1:39" ht="15.95" customHeight="1">
      <c r="A104" s="65">
        <f t="shared" si="7"/>
        <v>14</v>
      </c>
      <c r="B104" s="699" t="s">
        <v>81</v>
      </c>
      <c r="C104" s="700"/>
      <c r="D104" s="700"/>
      <c r="E104" s="700"/>
      <c r="F104" s="700"/>
      <c r="G104" s="700"/>
      <c r="H104" s="700"/>
      <c r="I104" s="700"/>
      <c r="J104" s="700"/>
      <c r="K104" s="701"/>
      <c r="L104" s="702">
        <f t="shared" si="10"/>
        <v>45778</v>
      </c>
      <c r="M104" s="702"/>
      <c r="N104" s="702"/>
      <c r="O104" s="702">
        <f t="shared" si="11"/>
        <v>45808</v>
      </c>
      <c r="P104" s="702"/>
      <c r="Q104" s="702"/>
      <c r="R104" s="690" cm="1">
        <f t="array" ref="R104">INDEX(verificare!$AT$4:$CC$33,VLOOKUP($AA$16,verificare!$AR$4:$AS$33,2,FALSE),A104)</f>
        <v>6107</v>
      </c>
      <c r="S104" s="690"/>
      <c r="T104" s="690"/>
      <c r="U104" s="690"/>
      <c r="V104" s="658" t="s">
        <v>446</v>
      </c>
      <c r="W104" s="658"/>
      <c r="X104" s="691">
        <f>HLOOKUP(VLOOKUP($AA$16,'Date SPV'!$B:$F,5,FALSE),'Preturi si tarife'!$C$2:$J$39,A104+2,FALSE)</f>
        <v>9.2700000000000005E-2</v>
      </c>
      <c r="Y104" s="692"/>
      <c r="Z104" s="692"/>
      <c r="AA104" s="693"/>
      <c r="AB104" s="690">
        <f t="shared" si="4"/>
        <v>566.12</v>
      </c>
      <c r="AC104" s="690"/>
      <c r="AD104" s="690"/>
      <c r="AE104" s="690"/>
      <c r="AF104" s="690">
        <f t="shared" si="5"/>
        <v>107.56</v>
      </c>
      <c r="AG104" s="690"/>
      <c r="AH104" s="690"/>
      <c r="AI104" s="690"/>
      <c r="AJ104" s="690">
        <f t="shared" si="6"/>
        <v>673.68000000000006</v>
      </c>
      <c r="AK104" s="690"/>
      <c r="AL104" s="690"/>
      <c r="AM104" s="690"/>
    </row>
    <row r="105" spans="1:39" ht="15.95" customHeight="1">
      <c r="A105" s="65">
        <f t="shared" si="7"/>
        <v>15</v>
      </c>
      <c r="B105" s="699" t="s">
        <v>82</v>
      </c>
      <c r="C105" s="700"/>
      <c r="D105" s="700"/>
      <c r="E105" s="700"/>
      <c r="F105" s="700"/>
      <c r="G105" s="700"/>
      <c r="H105" s="700"/>
      <c r="I105" s="700"/>
      <c r="J105" s="700"/>
      <c r="K105" s="701"/>
      <c r="L105" s="702">
        <f t="shared" si="10"/>
        <v>45778</v>
      </c>
      <c r="M105" s="702"/>
      <c r="N105" s="702"/>
      <c r="O105" s="702">
        <f t="shared" si="11"/>
        <v>45808</v>
      </c>
      <c r="P105" s="702"/>
      <c r="Q105" s="702"/>
      <c r="R105" s="690" cm="1">
        <f t="array" ref="R105">INDEX(verificare!$AT$4:$CC$33,VLOOKUP($AA$16,verificare!$AR$4:$AS$33,2,FALSE),A105)</f>
        <v>11000</v>
      </c>
      <c r="S105" s="690"/>
      <c r="T105" s="690"/>
      <c r="U105" s="690"/>
      <c r="V105" s="658" t="s">
        <v>446</v>
      </c>
      <c r="W105" s="658"/>
      <c r="X105" s="691">
        <f>HLOOKUP(VLOOKUP($AA$16,'Date SPV'!$B:$F,5,FALSE),'Preturi si tarife'!$C$2:$J$39,A105+2,FALSE)</f>
        <v>0.93920760000000003</v>
      </c>
      <c r="Y105" s="692"/>
      <c r="Z105" s="692"/>
      <c r="AA105" s="693"/>
      <c r="AB105" s="690">
        <f t="shared" si="4"/>
        <v>10331.280000000001</v>
      </c>
      <c r="AC105" s="690"/>
      <c r="AD105" s="690"/>
      <c r="AE105" s="690"/>
      <c r="AF105" s="690">
        <f t="shared" si="5"/>
        <v>1962.94</v>
      </c>
      <c r="AG105" s="690"/>
      <c r="AH105" s="690"/>
      <c r="AI105" s="690"/>
      <c r="AJ105" s="690">
        <f t="shared" si="6"/>
        <v>12294.220000000001</v>
      </c>
      <c r="AK105" s="690"/>
      <c r="AL105" s="690"/>
      <c r="AM105" s="690"/>
    </row>
    <row r="106" spans="1:39" ht="15.95" customHeight="1">
      <c r="A106" s="65">
        <f t="shared" si="7"/>
        <v>16</v>
      </c>
      <c r="B106" s="699" t="s">
        <v>83</v>
      </c>
      <c r="C106" s="700"/>
      <c r="D106" s="700"/>
      <c r="E106" s="700"/>
      <c r="F106" s="700"/>
      <c r="G106" s="700"/>
      <c r="H106" s="700"/>
      <c r="I106" s="700"/>
      <c r="J106" s="700"/>
      <c r="K106" s="701"/>
      <c r="L106" s="702">
        <f t="shared" si="10"/>
        <v>45778</v>
      </c>
      <c r="M106" s="702"/>
      <c r="N106" s="702"/>
      <c r="O106" s="702">
        <f t="shared" si="11"/>
        <v>45808</v>
      </c>
      <c r="P106" s="702"/>
      <c r="Q106" s="702"/>
      <c r="R106" s="690" cm="1">
        <f t="array" ref="R106">INDEX(verificare!$AT$4:$CC$33,VLOOKUP($AA$16,verificare!$AR$4:$AS$33,2,FALSE),A106)</f>
        <v>0</v>
      </c>
      <c r="S106" s="690"/>
      <c r="T106" s="690"/>
      <c r="U106" s="690"/>
      <c r="V106" s="658" t="s">
        <v>446</v>
      </c>
      <c r="W106" s="658"/>
      <c r="X106" s="691">
        <f>HLOOKUP(VLOOKUP($AA$16,'Date SPV'!$B:$F,5,FALSE),'Preturi si tarife'!$C$2:$J$39,A106+2,FALSE)</f>
        <v>0.83390760000000008</v>
      </c>
      <c r="Y106" s="692"/>
      <c r="Z106" s="692"/>
      <c r="AA106" s="693"/>
      <c r="AB106" s="690">
        <f t="shared" si="4"/>
        <v>0</v>
      </c>
      <c r="AC106" s="690"/>
      <c r="AD106" s="690"/>
      <c r="AE106" s="690"/>
      <c r="AF106" s="690">
        <f t="shared" si="5"/>
        <v>0</v>
      </c>
      <c r="AG106" s="690"/>
      <c r="AH106" s="690"/>
      <c r="AI106" s="690"/>
      <c r="AJ106" s="690">
        <f t="shared" si="6"/>
        <v>0</v>
      </c>
      <c r="AK106" s="690"/>
      <c r="AL106" s="690"/>
      <c r="AM106" s="690"/>
    </row>
    <row r="107" spans="1:39" ht="15.95" customHeight="1">
      <c r="A107" s="65">
        <f t="shared" si="7"/>
        <v>17</v>
      </c>
      <c r="B107" s="699" t="s">
        <v>1129</v>
      </c>
      <c r="C107" s="700"/>
      <c r="D107" s="700"/>
      <c r="E107" s="700"/>
      <c r="F107" s="700"/>
      <c r="G107" s="700"/>
      <c r="H107" s="700"/>
      <c r="I107" s="700"/>
      <c r="J107" s="700"/>
      <c r="K107" s="701"/>
      <c r="L107" s="702">
        <f t="shared" si="10"/>
        <v>45778</v>
      </c>
      <c r="M107" s="702"/>
      <c r="N107" s="702"/>
      <c r="O107" s="702">
        <f t="shared" si="11"/>
        <v>45808</v>
      </c>
      <c r="P107" s="702"/>
      <c r="Q107" s="702"/>
      <c r="R107" s="690" cm="1">
        <f t="array" ref="R107">INDEX(verificare!$AT$4:$CC$33,VLOOKUP($AA$16,verificare!$AR$4:$AS$33,2,FALSE),A107)</f>
        <v>0</v>
      </c>
      <c r="S107" s="690"/>
      <c r="T107" s="690"/>
      <c r="U107" s="690"/>
      <c r="V107" s="658" t="s">
        <v>446</v>
      </c>
      <c r="W107" s="658"/>
      <c r="X107" s="691">
        <f>HLOOKUP(VLOOKUP($AA$16,'Date SPV'!$B:$F,5,FALSE),'Preturi si tarife'!$C$2:$J$39,A107+2,FALSE)</f>
        <v>1.26E-2</v>
      </c>
      <c r="Y107" s="692"/>
      <c r="Z107" s="692"/>
      <c r="AA107" s="693"/>
      <c r="AB107" s="690">
        <f t="shared" si="4"/>
        <v>0</v>
      </c>
      <c r="AC107" s="690"/>
      <c r="AD107" s="690"/>
      <c r="AE107" s="690"/>
      <c r="AF107" s="690">
        <f t="shared" si="5"/>
        <v>0</v>
      </c>
      <c r="AG107" s="690"/>
      <c r="AH107" s="690"/>
      <c r="AI107" s="690"/>
      <c r="AJ107" s="690">
        <f t="shared" si="6"/>
        <v>0</v>
      </c>
      <c r="AK107" s="690"/>
      <c r="AL107" s="690"/>
      <c r="AM107" s="690"/>
    </row>
    <row r="108" spans="1:39" ht="15.95" customHeight="1">
      <c r="A108" s="65">
        <f t="shared" si="7"/>
        <v>18</v>
      </c>
      <c r="B108" s="699" t="s">
        <v>1130</v>
      </c>
      <c r="C108" s="700"/>
      <c r="D108" s="700"/>
      <c r="E108" s="700"/>
      <c r="F108" s="700"/>
      <c r="G108" s="700"/>
      <c r="H108" s="700"/>
      <c r="I108" s="700"/>
      <c r="J108" s="700"/>
      <c r="K108" s="701"/>
      <c r="L108" s="702">
        <f t="shared" si="10"/>
        <v>45778</v>
      </c>
      <c r="M108" s="702"/>
      <c r="N108" s="702"/>
      <c r="O108" s="702">
        <f t="shared" si="11"/>
        <v>45808</v>
      </c>
      <c r="P108" s="702"/>
      <c r="Q108" s="702"/>
      <c r="R108" s="690" cm="1">
        <f t="array" ref="R108">INDEX(verificare!$AT$4:$CC$33,VLOOKUP($AA$16,verificare!$AR$4:$AS$33,2,FALSE),A108)</f>
        <v>0</v>
      </c>
      <c r="S108" s="690"/>
      <c r="T108" s="690"/>
      <c r="U108" s="690"/>
      <c r="V108" s="658" t="s">
        <v>446</v>
      </c>
      <c r="W108" s="658"/>
      <c r="X108" s="691">
        <f>HLOOKUP(VLOOKUP($AA$16,'Date SPV'!$B:$F,5,FALSE),'Preturi si tarife'!$C$2:$J$39,A108+2,FALSE)</f>
        <v>9.2700000000000005E-2</v>
      </c>
      <c r="Y108" s="692"/>
      <c r="Z108" s="692"/>
      <c r="AA108" s="693"/>
      <c r="AB108" s="690">
        <f t="shared" si="4"/>
        <v>0</v>
      </c>
      <c r="AC108" s="690"/>
      <c r="AD108" s="690"/>
      <c r="AE108" s="690"/>
      <c r="AF108" s="690">
        <f t="shared" si="5"/>
        <v>0</v>
      </c>
      <c r="AG108" s="690"/>
      <c r="AH108" s="690"/>
      <c r="AI108" s="690"/>
      <c r="AJ108" s="690">
        <f t="shared" si="6"/>
        <v>0</v>
      </c>
      <c r="AK108" s="690"/>
      <c r="AL108" s="690"/>
      <c r="AM108" s="690"/>
    </row>
    <row r="109" spans="1:39" ht="15.95" customHeight="1">
      <c r="A109" s="65">
        <f t="shared" si="7"/>
        <v>19</v>
      </c>
      <c r="B109" s="699" t="s">
        <v>99</v>
      </c>
      <c r="C109" s="700"/>
      <c r="D109" s="700"/>
      <c r="E109" s="700"/>
      <c r="F109" s="700"/>
      <c r="G109" s="700"/>
      <c r="H109" s="700"/>
      <c r="I109" s="700"/>
      <c r="J109" s="700"/>
      <c r="K109" s="701"/>
      <c r="L109" s="702">
        <f>'Date masura OD'!$W$5</f>
        <v>45748</v>
      </c>
      <c r="M109" s="702"/>
      <c r="N109" s="702"/>
      <c r="O109" s="702">
        <f>'Date masura OD'!$X$5</f>
        <v>45777</v>
      </c>
      <c r="P109" s="702"/>
      <c r="Q109" s="702"/>
      <c r="R109" s="690" cm="1">
        <f t="array" ref="R109">INDEX(verificare!$AT$4:$CC$33,VLOOKUP($AA$16,verificare!$AR$4:$AS$33,2,FALSE),A109)</f>
        <v>0</v>
      </c>
      <c r="S109" s="690"/>
      <c r="T109" s="690"/>
      <c r="U109" s="690"/>
      <c r="V109" s="658" t="s">
        <v>446</v>
      </c>
      <c r="W109" s="658"/>
      <c r="X109" s="659">
        <f>HLOOKUP(VLOOKUP($AA$16,'Date SPV'!$B:$F,5,FALSE),'Preturi si tarife'!$C$2:$J$39,A109+2,FALSE)</f>
        <v>0.59499999999999997</v>
      </c>
      <c r="Y109" s="659"/>
      <c r="Z109" s="659"/>
      <c r="AA109" s="659"/>
      <c r="AB109" s="653">
        <f t="shared" si="4"/>
        <v>0</v>
      </c>
      <c r="AC109" s="653"/>
      <c r="AD109" s="653"/>
      <c r="AE109" s="653"/>
      <c r="AF109" s="653">
        <f t="shared" si="5"/>
        <v>0</v>
      </c>
      <c r="AG109" s="653"/>
      <c r="AH109" s="653"/>
      <c r="AI109" s="653"/>
      <c r="AJ109" s="653">
        <f t="shared" si="6"/>
        <v>0</v>
      </c>
      <c r="AK109" s="653"/>
      <c r="AL109" s="653"/>
      <c r="AM109" s="653"/>
    </row>
    <row r="110" spans="1:39" ht="15.95" customHeight="1">
      <c r="A110" s="65">
        <f t="shared" si="7"/>
        <v>20</v>
      </c>
      <c r="B110" s="699" t="s">
        <v>100</v>
      </c>
      <c r="C110" s="700"/>
      <c r="D110" s="700"/>
      <c r="E110" s="700"/>
      <c r="F110" s="700"/>
      <c r="G110" s="700"/>
      <c r="H110" s="700"/>
      <c r="I110" s="700"/>
      <c r="J110" s="700"/>
      <c r="K110" s="701"/>
      <c r="L110" s="702">
        <f>L109</f>
        <v>45748</v>
      </c>
      <c r="M110" s="702"/>
      <c r="N110" s="702"/>
      <c r="O110" s="702">
        <f t="shared" ref="O110:O118" si="12">O109</f>
        <v>45777</v>
      </c>
      <c r="P110" s="702"/>
      <c r="Q110" s="702"/>
      <c r="R110" s="690" cm="1">
        <f t="array" ref="R110">INDEX(verificare!$AT$4:$CC$33,VLOOKUP($AA$16,verificare!$AR$4:$AS$33,2,FALSE),A110)</f>
        <v>10</v>
      </c>
      <c r="S110" s="690"/>
      <c r="T110" s="690"/>
      <c r="U110" s="690"/>
      <c r="V110" s="658" t="s">
        <v>727</v>
      </c>
      <c r="W110" s="658"/>
      <c r="X110" s="659">
        <f>HLOOKUP(VLOOKUP($AA$16,'Date SPV'!$B:$F,5,FALSE),'Preturi si tarife'!$C$2:$J$39,A110+2,FALSE)</f>
        <v>0.14649999999999999</v>
      </c>
      <c r="Y110" s="659"/>
      <c r="Z110" s="659"/>
      <c r="AA110" s="659"/>
      <c r="AB110" s="653">
        <f t="shared" si="4"/>
        <v>1.47</v>
      </c>
      <c r="AC110" s="653"/>
      <c r="AD110" s="653"/>
      <c r="AE110" s="653"/>
      <c r="AF110" s="653">
        <f t="shared" si="5"/>
        <v>0.28000000000000003</v>
      </c>
      <c r="AG110" s="653"/>
      <c r="AH110" s="653"/>
      <c r="AI110" s="653"/>
      <c r="AJ110" s="653">
        <f t="shared" si="6"/>
        <v>1.75</v>
      </c>
      <c r="AK110" s="653"/>
      <c r="AL110" s="653"/>
      <c r="AM110" s="653"/>
    </row>
    <row r="111" spans="1:39" ht="18.95" customHeight="1">
      <c r="A111" s="65">
        <f t="shared" si="7"/>
        <v>21</v>
      </c>
      <c r="B111" s="699" t="s">
        <v>101</v>
      </c>
      <c r="C111" s="700"/>
      <c r="D111" s="700"/>
      <c r="E111" s="700"/>
      <c r="F111" s="700"/>
      <c r="G111" s="700"/>
      <c r="H111" s="700"/>
      <c r="I111" s="700"/>
      <c r="J111" s="700"/>
      <c r="K111" s="701"/>
      <c r="L111" s="702">
        <f t="shared" ref="L111:L118" si="13">L110</f>
        <v>45748</v>
      </c>
      <c r="M111" s="702"/>
      <c r="N111" s="702"/>
      <c r="O111" s="702">
        <f t="shared" si="12"/>
        <v>45777</v>
      </c>
      <c r="P111" s="702"/>
      <c r="Q111" s="702"/>
      <c r="R111" s="690" cm="1">
        <f t="array" ref="R111">INDEX(verificare!$AT$4:$CC$33,VLOOKUP($AA$16,verificare!$AR$4:$AS$33,2,FALSE),A111)</f>
        <v>15</v>
      </c>
      <c r="S111" s="690"/>
      <c r="T111" s="690"/>
      <c r="U111" s="690"/>
      <c r="V111" s="658" t="s">
        <v>727</v>
      </c>
      <c r="W111" s="658"/>
      <c r="X111" s="659">
        <f>HLOOKUP(VLOOKUP($AA$16,'Date SPV'!$B:$F,5,FALSE),'Preturi si tarife'!$C$2:$J$39,A111+2,FALSE)</f>
        <v>0.4395</v>
      </c>
      <c r="Y111" s="659"/>
      <c r="Z111" s="659"/>
      <c r="AA111" s="659"/>
      <c r="AB111" s="653">
        <f t="shared" si="4"/>
        <v>6.59</v>
      </c>
      <c r="AC111" s="653"/>
      <c r="AD111" s="653"/>
      <c r="AE111" s="653"/>
      <c r="AF111" s="653">
        <f t="shared" si="5"/>
        <v>1.25</v>
      </c>
      <c r="AG111" s="653"/>
      <c r="AH111" s="653"/>
      <c r="AI111" s="653"/>
      <c r="AJ111" s="653">
        <f t="shared" si="6"/>
        <v>7.84</v>
      </c>
      <c r="AK111" s="653"/>
      <c r="AL111" s="653"/>
      <c r="AM111" s="653"/>
    </row>
    <row r="112" spans="1:39" ht="18.95" customHeight="1">
      <c r="A112" s="65">
        <f t="shared" si="7"/>
        <v>22</v>
      </c>
      <c r="B112" s="699" t="s">
        <v>869</v>
      </c>
      <c r="C112" s="700"/>
      <c r="D112" s="700"/>
      <c r="E112" s="700"/>
      <c r="F112" s="700"/>
      <c r="G112" s="700"/>
      <c r="H112" s="700"/>
      <c r="I112" s="700"/>
      <c r="J112" s="700"/>
      <c r="K112" s="701"/>
      <c r="L112" s="702">
        <f t="shared" si="13"/>
        <v>45748</v>
      </c>
      <c r="M112" s="702"/>
      <c r="N112" s="702"/>
      <c r="O112" s="702">
        <f t="shared" si="12"/>
        <v>45777</v>
      </c>
      <c r="P112" s="702"/>
      <c r="Q112" s="702"/>
      <c r="R112" s="690" cm="1">
        <f t="array" ref="R112">INDEX(verificare!$AT$4:$CC$33,VLOOKUP($AA$16,verificare!$AR$4:$AS$33,2,FALSE),A112)</f>
        <v>0</v>
      </c>
      <c r="S112" s="690"/>
      <c r="T112" s="690"/>
      <c r="U112" s="690"/>
      <c r="V112" s="658" t="s">
        <v>446</v>
      </c>
      <c r="W112" s="658"/>
      <c r="X112" s="659">
        <f>HLOOKUP(VLOOKUP($AA$16,'Date SPV'!$B:$F,5,FALSE),'Preturi si tarife'!$C$2:$J$39,A112+2,FALSE)</f>
        <v>0.11483</v>
      </c>
      <c r="Y112" s="659"/>
      <c r="Z112" s="659"/>
      <c r="AA112" s="659"/>
      <c r="AB112" s="653">
        <f t="shared" si="4"/>
        <v>0</v>
      </c>
      <c r="AC112" s="653"/>
      <c r="AD112" s="653"/>
      <c r="AE112" s="653"/>
      <c r="AF112" s="653">
        <f t="shared" si="5"/>
        <v>0</v>
      </c>
      <c r="AG112" s="653"/>
      <c r="AH112" s="653"/>
      <c r="AI112" s="653"/>
      <c r="AJ112" s="653">
        <f t="shared" si="6"/>
        <v>0</v>
      </c>
      <c r="AK112" s="653"/>
      <c r="AL112" s="653"/>
      <c r="AM112" s="653"/>
    </row>
    <row r="113" spans="1:39" ht="18.95" customHeight="1">
      <c r="A113" s="65">
        <f t="shared" si="7"/>
        <v>23</v>
      </c>
      <c r="B113" s="699" t="s">
        <v>758</v>
      </c>
      <c r="C113" s="700"/>
      <c r="D113" s="700"/>
      <c r="E113" s="700"/>
      <c r="F113" s="700"/>
      <c r="G113" s="700"/>
      <c r="H113" s="700"/>
      <c r="I113" s="700"/>
      <c r="J113" s="700"/>
      <c r="K113" s="701"/>
      <c r="L113" s="702">
        <f t="shared" si="13"/>
        <v>45748</v>
      </c>
      <c r="M113" s="702"/>
      <c r="N113" s="702"/>
      <c r="O113" s="702">
        <f t="shared" si="12"/>
        <v>45777</v>
      </c>
      <c r="P113" s="702"/>
      <c r="Q113" s="702"/>
      <c r="R113" s="690" cm="1">
        <f t="array" ref="R113">INDEX(verificare!$AT$4:$CC$33,VLOOKUP($AA$16,verificare!$AR$4:$AS$33,2,FALSE),A113)</f>
        <v>0</v>
      </c>
      <c r="S113" s="690"/>
      <c r="T113" s="690"/>
      <c r="U113" s="690"/>
      <c r="V113" s="658" t="s">
        <v>446</v>
      </c>
      <c r="W113" s="658"/>
      <c r="X113" s="659">
        <f>HLOOKUP(VLOOKUP($AA$16,'Date SPV'!$B:$F,5,FALSE),'Preturi si tarife'!$C$2:$J$39,A113+2,FALSE)</f>
        <v>0.2361</v>
      </c>
      <c r="Y113" s="659"/>
      <c r="Z113" s="659"/>
      <c r="AA113" s="659"/>
      <c r="AB113" s="653">
        <f t="shared" si="4"/>
        <v>0</v>
      </c>
      <c r="AC113" s="653"/>
      <c r="AD113" s="653"/>
      <c r="AE113" s="653"/>
      <c r="AF113" s="653">
        <f t="shared" si="5"/>
        <v>0</v>
      </c>
      <c r="AG113" s="653"/>
      <c r="AH113" s="653"/>
      <c r="AI113" s="653"/>
      <c r="AJ113" s="653">
        <f t="shared" si="6"/>
        <v>0</v>
      </c>
      <c r="AK113" s="653"/>
      <c r="AL113" s="653"/>
      <c r="AM113" s="653"/>
    </row>
    <row r="114" spans="1:39" ht="18.95" customHeight="1">
      <c r="A114" s="65">
        <f t="shared" si="7"/>
        <v>24</v>
      </c>
      <c r="B114" s="699" t="s">
        <v>102</v>
      </c>
      <c r="C114" s="700"/>
      <c r="D114" s="700"/>
      <c r="E114" s="700"/>
      <c r="F114" s="700"/>
      <c r="G114" s="700"/>
      <c r="H114" s="700"/>
      <c r="I114" s="700"/>
      <c r="J114" s="700"/>
      <c r="K114" s="701"/>
      <c r="L114" s="702">
        <f t="shared" si="13"/>
        <v>45748</v>
      </c>
      <c r="M114" s="702"/>
      <c r="N114" s="702"/>
      <c r="O114" s="702">
        <f t="shared" si="12"/>
        <v>45777</v>
      </c>
      <c r="P114" s="702"/>
      <c r="Q114" s="702"/>
      <c r="R114" s="690" cm="1">
        <f t="array" ref="R114">INDEX(verificare!$AT$4:$CC$33,VLOOKUP($AA$16,verificare!$AR$4:$AS$33,2,FALSE),A114)</f>
        <v>0</v>
      </c>
      <c r="S114" s="690"/>
      <c r="T114" s="690"/>
      <c r="U114" s="690"/>
      <c r="V114" s="658" t="s">
        <v>446</v>
      </c>
      <c r="W114" s="658"/>
      <c r="X114" s="659">
        <f>HLOOKUP(VLOOKUP($AA$16,'Date SPV'!$B:$F,5,FALSE),'Preturi si tarife'!$C$2:$J$39,A114+2,FALSE)</f>
        <v>1.1509999999999999E-2</v>
      </c>
      <c r="Y114" s="659"/>
      <c r="Z114" s="659"/>
      <c r="AA114" s="659"/>
      <c r="AB114" s="653">
        <f t="shared" si="4"/>
        <v>0</v>
      </c>
      <c r="AC114" s="653"/>
      <c r="AD114" s="653"/>
      <c r="AE114" s="653"/>
      <c r="AF114" s="653">
        <f t="shared" si="5"/>
        <v>0</v>
      </c>
      <c r="AG114" s="653"/>
      <c r="AH114" s="653"/>
      <c r="AI114" s="653"/>
      <c r="AJ114" s="653">
        <f t="shared" si="6"/>
        <v>0</v>
      </c>
      <c r="AK114" s="653"/>
      <c r="AL114" s="653"/>
      <c r="AM114" s="653"/>
    </row>
    <row r="115" spans="1:39" ht="18.95" customHeight="1">
      <c r="A115" s="65">
        <f t="shared" si="7"/>
        <v>25</v>
      </c>
      <c r="B115" s="699" t="s">
        <v>103</v>
      </c>
      <c r="C115" s="700"/>
      <c r="D115" s="700"/>
      <c r="E115" s="700"/>
      <c r="F115" s="700"/>
      <c r="G115" s="700"/>
      <c r="H115" s="700"/>
      <c r="I115" s="700"/>
      <c r="J115" s="700"/>
      <c r="K115" s="701"/>
      <c r="L115" s="702">
        <f t="shared" si="13"/>
        <v>45748</v>
      </c>
      <c r="M115" s="702"/>
      <c r="N115" s="702"/>
      <c r="O115" s="702">
        <f t="shared" si="12"/>
        <v>45777</v>
      </c>
      <c r="P115" s="702"/>
      <c r="Q115" s="702"/>
      <c r="R115" s="690" cm="1">
        <f t="array" ref="R115">INDEX(verificare!$AT$4:$CC$33,VLOOKUP($AA$16,verificare!$AR$4:$AS$33,2,FALSE),A115)</f>
        <v>0</v>
      </c>
      <c r="S115" s="690"/>
      <c r="T115" s="690"/>
      <c r="U115" s="690"/>
      <c r="V115" s="658" t="s">
        <v>446</v>
      </c>
      <c r="W115" s="658"/>
      <c r="X115" s="659">
        <f>HLOOKUP(VLOOKUP($AA$16,'Date SPV'!$B:$F,5,FALSE),'Preturi si tarife'!$C$2:$J$39,A115+2,FALSE)</f>
        <v>3.3030000000000004E-2</v>
      </c>
      <c r="Y115" s="659"/>
      <c r="Z115" s="659"/>
      <c r="AA115" s="659"/>
      <c r="AB115" s="653">
        <f t="shared" si="4"/>
        <v>0</v>
      </c>
      <c r="AC115" s="653"/>
      <c r="AD115" s="653"/>
      <c r="AE115" s="653"/>
      <c r="AF115" s="653">
        <f t="shared" si="5"/>
        <v>0</v>
      </c>
      <c r="AG115" s="653"/>
      <c r="AH115" s="653"/>
      <c r="AI115" s="653"/>
      <c r="AJ115" s="653">
        <f t="shared" si="6"/>
        <v>0</v>
      </c>
      <c r="AK115" s="653"/>
      <c r="AL115" s="653"/>
      <c r="AM115" s="653"/>
    </row>
    <row r="116" spans="1:39" ht="18.95" customHeight="1">
      <c r="A116" s="65">
        <f t="shared" si="7"/>
        <v>26</v>
      </c>
      <c r="B116" s="699" t="s">
        <v>104</v>
      </c>
      <c r="C116" s="700"/>
      <c r="D116" s="700"/>
      <c r="E116" s="700"/>
      <c r="F116" s="700"/>
      <c r="G116" s="700"/>
      <c r="H116" s="700"/>
      <c r="I116" s="700"/>
      <c r="J116" s="700"/>
      <c r="K116" s="701"/>
      <c r="L116" s="702">
        <f t="shared" si="13"/>
        <v>45748</v>
      </c>
      <c r="M116" s="702"/>
      <c r="N116" s="702"/>
      <c r="O116" s="702">
        <f t="shared" si="12"/>
        <v>45777</v>
      </c>
      <c r="P116" s="702"/>
      <c r="Q116" s="702"/>
      <c r="R116" s="690" cm="1">
        <f t="array" ref="R116">INDEX(verificare!$AT$4:$CC$33,VLOOKUP($AA$16,verificare!$AR$4:$AS$33,2,FALSE),A116)</f>
        <v>0</v>
      </c>
      <c r="S116" s="690"/>
      <c r="T116" s="690"/>
      <c r="U116" s="690"/>
      <c r="V116" s="658" t="s">
        <v>446</v>
      </c>
      <c r="W116" s="658"/>
      <c r="X116" s="659">
        <f>HLOOKUP(VLOOKUP($AA$16,'Date SPV'!$B:$F,5,FALSE),'Preturi si tarife'!$C$2:$J$39,A116+2,FALSE)</f>
        <v>3.29E-3</v>
      </c>
      <c r="Y116" s="659"/>
      <c r="Z116" s="659"/>
      <c r="AA116" s="659"/>
      <c r="AB116" s="653">
        <f t="shared" si="4"/>
        <v>0</v>
      </c>
      <c r="AC116" s="653"/>
      <c r="AD116" s="653"/>
      <c r="AE116" s="653"/>
      <c r="AF116" s="653">
        <f t="shared" si="5"/>
        <v>0</v>
      </c>
      <c r="AG116" s="653"/>
      <c r="AH116" s="653"/>
      <c r="AI116" s="653"/>
      <c r="AJ116" s="653">
        <f t="shared" si="6"/>
        <v>0</v>
      </c>
      <c r="AK116" s="653"/>
      <c r="AL116" s="653"/>
      <c r="AM116" s="653"/>
    </row>
    <row r="117" spans="1:39" ht="18.95" customHeight="1">
      <c r="A117" s="65">
        <f t="shared" si="7"/>
        <v>27</v>
      </c>
      <c r="B117" s="699" t="s">
        <v>105</v>
      </c>
      <c r="C117" s="700"/>
      <c r="D117" s="700"/>
      <c r="E117" s="700"/>
      <c r="F117" s="700"/>
      <c r="G117" s="700"/>
      <c r="H117" s="700"/>
      <c r="I117" s="700"/>
      <c r="J117" s="700"/>
      <c r="K117" s="701"/>
      <c r="L117" s="702">
        <f t="shared" si="13"/>
        <v>45748</v>
      </c>
      <c r="M117" s="702"/>
      <c r="N117" s="702"/>
      <c r="O117" s="702">
        <f t="shared" si="12"/>
        <v>45777</v>
      </c>
      <c r="P117" s="702"/>
      <c r="Q117" s="702"/>
      <c r="R117" s="690" cm="1">
        <f t="array" ref="R117">INDEX(verificare!$AT$4:$CC$33,VLOOKUP($AA$16,verificare!$AR$4:$AS$33,2,FALSE),A117)</f>
        <v>0</v>
      </c>
      <c r="S117" s="690"/>
      <c r="T117" s="690"/>
      <c r="U117" s="690"/>
      <c r="V117" s="658" t="s">
        <v>446</v>
      </c>
      <c r="W117" s="658"/>
      <c r="X117" s="659">
        <f>HLOOKUP(VLOOKUP($AA$16,'Date SPV'!$B:$F,5,FALSE),'Preturi si tarife'!$C$2:$J$39,A117+2,FALSE)</f>
        <v>3.5000000000000001E-3</v>
      </c>
      <c r="Y117" s="659"/>
      <c r="Z117" s="659"/>
      <c r="AA117" s="659"/>
      <c r="AB117" s="653">
        <f t="shared" si="4"/>
        <v>0</v>
      </c>
      <c r="AC117" s="653"/>
      <c r="AD117" s="653"/>
      <c r="AE117" s="653"/>
      <c r="AF117" s="653">
        <f t="shared" si="5"/>
        <v>0</v>
      </c>
      <c r="AG117" s="653"/>
      <c r="AH117" s="653"/>
      <c r="AI117" s="653"/>
      <c r="AJ117" s="653">
        <f t="shared" si="6"/>
        <v>0</v>
      </c>
      <c r="AK117" s="653"/>
      <c r="AL117" s="653"/>
      <c r="AM117" s="653"/>
    </row>
    <row r="118" spans="1:39" ht="18.95" customHeight="1">
      <c r="A118" s="65">
        <f t="shared" si="7"/>
        <v>28</v>
      </c>
      <c r="B118" s="699" t="s">
        <v>106</v>
      </c>
      <c r="C118" s="700"/>
      <c r="D118" s="700"/>
      <c r="E118" s="700"/>
      <c r="F118" s="700"/>
      <c r="G118" s="700"/>
      <c r="H118" s="700"/>
      <c r="I118" s="700"/>
      <c r="J118" s="700"/>
      <c r="K118" s="701"/>
      <c r="L118" s="702">
        <f t="shared" si="13"/>
        <v>45748</v>
      </c>
      <c r="M118" s="702"/>
      <c r="N118" s="702"/>
      <c r="O118" s="702">
        <f t="shared" si="12"/>
        <v>45777</v>
      </c>
      <c r="P118" s="702"/>
      <c r="Q118" s="702"/>
      <c r="R118" s="690" cm="1">
        <f t="array" ref="R118">INDEX(verificare!$AT$4:$CC$33,VLOOKUP($AA$16,verificare!$AR$4:$AS$33,2,FALSE),A118)</f>
        <v>0</v>
      </c>
      <c r="S118" s="690"/>
      <c r="T118" s="690"/>
      <c r="U118" s="690"/>
      <c r="V118" s="658" t="s">
        <v>446</v>
      </c>
      <c r="W118" s="658"/>
      <c r="X118" s="659">
        <f>HLOOKUP(VLOOKUP($AA$16,'Date SPV'!$B:$F,5,FALSE),'Preturi si tarife'!$C$2:$J$39,A118+2,FALSE)</f>
        <v>7.2541599999999998E-2</v>
      </c>
      <c r="Y118" s="659"/>
      <c r="Z118" s="659"/>
      <c r="AA118" s="659"/>
      <c r="AB118" s="653">
        <f t="shared" si="4"/>
        <v>0</v>
      </c>
      <c r="AC118" s="653"/>
      <c r="AD118" s="653"/>
      <c r="AE118" s="653"/>
      <c r="AF118" s="653">
        <f t="shared" si="5"/>
        <v>0</v>
      </c>
      <c r="AG118" s="653"/>
      <c r="AH118" s="653"/>
      <c r="AI118" s="653"/>
      <c r="AJ118" s="653">
        <f t="shared" si="6"/>
        <v>0</v>
      </c>
      <c r="AK118" s="653"/>
      <c r="AL118" s="653"/>
      <c r="AM118" s="653"/>
    </row>
    <row r="119" spans="1:39" ht="18.95" customHeight="1">
      <c r="A119" s="65">
        <f t="shared" si="7"/>
        <v>29</v>
      </c>
      <c r="B119" s="699" t="s">
        <v>1316</v>
      </c>
      <c r="C119" s="700"/>
      <c r="D119" s="700"/>
      <c r="E119" s="700"/>
      <c r="F119" s="700"/>
      <c r="G119" s="700"/>
      <c r="H119" s="700"/>
      <c r="I119" s="700"/>
      <c r="J119" s="700"/>
      <c r="K119" s="701"/>
      <c r="L119" s="763">
        <f>L125</f>
        <v>45748</v>
      </c>
      <c r="M119" s="764"/>
      <c r="N119" s="765"/>
      <c r="O119" s="763">
        <f>O125</f>
        <v>45777</v>
      </c>
      <c r="P119" s="764"/>
      <c r="Q119" s="765"/>
      <c r="R119" s="690" cm="1">
        <f t="array" ref="R119">INDEX(verificare!$AT$4:$CC$33,VLOOKUP($AA$16,verificare!$AR$4:$AS$33,2,FALSE),A119)</f>
        <v>0</v>
      </c>
      <c r="S119" s="690"/>
      <c r="T119" s="690"/>
      <c r="U119" s="690"/>
      <c r="V119" s="724" t="s">
        <v>446</v>
      </c>
      <c r="W119" s="725"/>
      <c r="X119" s="659">
        <f>HLOOKUP(VLOOKUP($AA$16,'Date SPV'!$B:$F,5,FALSE),'Preturi si tarife'!$C$2:$J$39,A119+2,FALSE)</f>
        <v>2.0599999999999999E-4</v>
      </c>
      <c r="Y119" s="659"/>
      <c r="Z119" s="659"/>
      <c r="AA119" s="659"/>
      <c r="AB119" s="653">
        <f>ROUND(X119*R119,2)</f>
        <v>0</v>
      </c>
      <c r="AC119" s="653"/>
      <c r="AD119" s="653"/>
      <c r="AE119" s="653"/>
      <c r="AF119" s="653">
        <f>ROUND(AB119*19%,2)</f>
        <v>0</v>
      </c>
      <c r="AG119" s="653"/>
      <c r="AH119" s="653"/>
      <c r="AI119" s="653"/>
      <c r="AJ119" s="653">
        <f>AB119+AF119</f>
        <v>0</v>
      </c>
      <c r="AK119" s="653"/>
      <c r="AL119" s="653"/>
      <c r="AM119" s="653"/>
    </row>
    <row r="120" spans="1:39" ht="18.95" customHeight="1">
      <c r="A120" s="65">
        <f t="shared" si="7"/>
        <v>30</v>
      </c>
      <c r="B120" s="699" t="s">
        <v>107</v>
      </c>
      <c r="C120" s="700"/>
      <c r="D120" s="700"/>
      <c r="E120" s="700"/>
      <c r="F120" s="700"/>
      <c r="G120" s="700"/>
      <c r="H120" s="700"/>
      <c r="I120" s="700"/>
      <c r="J120" s="700"/>
      <c r="K120" s="701"/>
      <c r="L120" s="702">
        <f>L118</f>
        <v>45748</v>
      </c>
      <c r="M120" s="702"/>
      <c r="N120" s="702"/>
      <c r="O120" s="702">
        <f>O118</f>
        <v>45777</v>
      </c>
      <c r="P120" s="702"/>
      <c r="Q120" s="702"/>
      <c r="R120" s="690" cm="1">
        <f t="array" ref="R120">INDEX(verificare!$AT$4:$CC$33,VLOOKUP($AA$16,verificare!$AR$4:$AS$33,2,FALSE),A120)</f>
        <v>0</v>
      </c>
      <c r="S120" s="690"/>
      <c r="T120" s="690"/>
      <c r="U120" s="690"/>
      <c r="V120" s="658" t="s">
        <v>446</v>
      </c>
      <c r="W120" s="658"/>
      <c r="X120" s="659">
        <f>HLOOKUP(VLOOKUP($AA$16,'Date SPV'!$B:$F,5,FALSE),'Preturi si tarife'!$C$2:$J$39,A120+2,FALSE)</f>
        <v>0</v>
      </c>
      <c r="Y120" s="659"/>
      <c r="Z120" s="659"/>
      <c r="AA120" s="659"/>
      <c r="AB120" s="653">
        <f t="shared" ref="AB120:AB126" si="14">ROUND(X120*R120,2)</f>
        <v>0</v>
      </c>
      <c r="AC120" s="653"/>
      <c r="AD120" s="653"/>
      <c r="AE120" s="653"/>
      <c r="AF120" s="653">
        <f t="shared" ref="AF120:AF127" si="15">ROUND(AB120*19%,2)</f>
        <v>0</v>
      </c>
      <c r="AG120" s="653"/>
      <c r="AH120" s="653"/>
      <c r="AI120" s="653"/>
      <c r="AJ120" s="653">
        <f t="shared" ref="AJ120:AJ127" si="16">AB120+AF120</f>
        <v>0</v>
      </c>
      <c r="AK120" s="653"/>
      <c r="AL120" s="653"/>
      <c r="AM120" s="653"/>
    </row>
    <row r="121" spans="1:39" ht="18.95" customHeight="1">
      <c r="A121" s="65">
        <f t="shared" si="7"/>
        <v>31</v>
      </c>
      <c r="B121" s="699" t="s">
        <v>108</v>
      </c>
      <c r="C121" s="700"/>
      <c r="D121" s="700"/>
      <c r="E121" s="700"/>
      <c r="F121" s="700"/>
      <c r="G121" s="700"/>
      <c r="H121" s="700"/>
      <c r="I121" s="700"/>
      <c r="J121" s="700"/>
      <c r="K121" s="701"/>
      <c r="L121" s="702">
        <f t="shared" ref="L121:L126" si="17">L120</f>
        <v>45748</v>
      </c>
      <c r="M121" s="702"/>
      <c r="N121" s="702"/>
      <c r="O121" s="702">
        <f t="shared" ref="O121:O126" si="18">O120</f>
        <v>45777</v>
      </c>
      <c r="P121" s="702"/>
      <c r="Q121" s="702"/>
      <c r="R121" s="690" cm="1">
        <f t="array" ref="R121">INDEX(verificare!$AT$4:$CC$33,VLOOKUP($AA$16,verificare!$AR$4:$AS$33,2,FALSE),A121)</f>
        <v>0</v>
      </c>
      <c r="S121" s="690"/>
      <c r="T121" s="690"/>
      <c r="U121" s="690"/>
      <c r="V121" s="658" t="s">
        <v>446</v>
      </c>
      <c r="W121" s="658"/>
      <c r="X121" s="659">
        <f>HLOOKUP(VLOOKUP($AA$16,'Date SPV'!$B:$F,5,FALSE),'Preturi si tarife'!$C$2:$J$39,A121+2,FALSE)</f>
        <v>1.26E-2</v>
      </c>
      <c r="Y121" s="659"/>
      <c r="Z121" s="659"/>
      <c r="AA121" s="659"/>
      <c r="AB121" s="653">
        <f t="shared" si="14"/>
        <v>0</v>
      </c>
      <c r="AC121" s="653"/>
      <c r="AD121" s="653"/>
      <c r="AE121" s="653"/>
      <c r="AF121" s="653">
        <f t="shared" si="15"/>
        <v>0</v>
      </c>
      <c r="AG121" s="653"/>
      <c r="AH121" s="653"/>
      <c r="AI121" s="653"/>
      <c r="AJ121" s="653">
        <f t="shared" si="16"/>
        <v>0</v>
      </c>
      <c r="AK121" s="653"/>
      <c r="AL121" s="653"/>
      <c r="AM121" s="653"/>
    </row>
    <row r="122" spans="1:39" ht="18.95" customHeight="1">
      <c r="A122" s="65">
        <f t="shared" si="7"/>
        <v>32</v>
      </c>
      <c r="B122" s="699" t="s">
        <v>109</v>
      </c>
      <c r="C122" s="700"/>
      <c r="D122" s="700"/>
      <c r="E122" s="700"/>
      <c r="F122" s="700"/>
      <c r="G122" s="700"/>
      <c r="H122" s="700"/>
      <c r="I122" s="700"/>
      <c r="J122" s="700"/>
      <c r="K122" s="701"/>
      <c r="L122" s="702">
        <f t="shared" si="17"/>
        <v>45748</v>
      </c>
      <c r="M122" s="702"/>
      <c r="N122" s="702"/>
      <c r="O122" s="702">
        <f t="shared" si="18"/>
        <v>45777</v>
      </c>
      <c r="P122" s="702"/>
      <c r="Q122" s="702"/>
      <c r="R122" s="690" cm="1">
        <f t="array" ref="R122">INDEX(verificare!$AT$4:$CC$33,VLOOKUP($AA$16,verificare!$AR$4:$AS$33,2,FALSE),A122)</f>
        <v>0</v>
      </c>
      <c r="S122" s="690"/>
      <c r="T122" s="690"/>
      <c r="U122" s="690"/>
      <c r="V122" s="658" t="s">
        <v>446</v>
      </c>
      <c r="W122" s="658"/>
      <c r="X122" s="659">
        <f>HLOOKUP(VLOOKUP($AA$16,'Date SPV'!$B:$F,5,FALSE),'Preturi si tarife'!$C$2:$J$39,A122+2,FALSE)</f>
        <v>9.2700000000000005E-2</v>
      </c>
      <c r="Y122" s="659"/>
      <c r="Z122" s="659"/>
      <c r="AA122" s="659"/>
      <c r="AB122" s="653">
        <f t="shared" si="14"/>
        <v>0</v>
      </c>
      <c r="AC122" s="653"/>
      <c r="AD122" s="653"/>
      <c r="AE122" s="653"/>
      <c r="AF122" s="653">
        <f t="shared" si="15"/>
        <v>0</v>
      </c>
      <c r="AG122" s="653"/>
      <c r="AH122" s="653"/>
      <c r="AI122" s="653"/>
      <c r="AJ122" s="653">
        <f t="shared" si="16"/>
        <v>0</v>
      </c>
      <c r="AK122" s="653"/>
      <c r="AL122" s="653"/>
      <c r="AM122" s="653"/>
    </row>
    <row r="123" spans="1:39" ht="18.95" customHeight="1">
      <c r="A123" s="65">
        <f t="shared" si="7"/>
        <v>33</v>
      </c>
      <c r="B123" s="699" t="s">
        <v>110</v>
      </c>
      <c r="C123" s="700"/>
      <c r="D123" s="700"/>
      <c r="E123" s="700"/>
      <c r="F123" s="700"/>
      <c r="G123" s="700"/>
      <c r="H123" s="700"/>
      <c r="I123" s="700"/>
      <c r="J123" s="700"/>
      <c r="K123" s="701"/>
      <c r="L123" s="702">
        <f t="shared" si="17"/>
        <v>45748</v>
      </c>
      <c r="M123" s="702"/>
      <c r="N123" s="702"/>
      <c r="O123" s="702">
        <f t="shared" si="18"/>
        <v>45777</v>
      </c>
      <c r="P123" s="702"/>
      <c r="Q123" s="702"/>
      <c r="R123" s="690" cm="1">
        <f t="array" ref="R123">INDEX(verificare!$AT$4:$CC$33,VLOOKUP($AA$16,verificare!$AR$4:$AS$33,2,FALSE),A123)</f>
        <v>0</v>
      </c>
      <c r="S123" s="690"/>
      <c r="T123" s="690"/>
      <c r="U123" s="690"/>
      <c r="V123" s="658" t="s">
        <v>446</v>
      </c>
      <c r="W123" s="658"/>
      <c r="X123" s="659">
        <f>HLOOKUP(VLOOKUP($AA$16,'Date SPV'!$B:$F,5,FALSE),'Preturi si tarife'!$C$2:$J$39,A123+2,FALSE)</f>
        <v>0.93920760000000003</v>
      </c>
      <c r="Y123" s="659"/>
      <c r="Z123" s="659"/>
      <c r="AA123" s="659"/>
      <c r="AB123" s="653">
        <f t="shared" si="14"/>
        <v>0</v>
      </c>
      <c r="AC123" s="653"/>
      <c r="AD123" s="653"/>
      <c r="AE123" s="653"/>
      <c r="AF123" s="653">
        <f t="shared" si="15"/>
        <v>0</v>
      </c>
      <c r="AG123" s="653"/>
      <c r="AH123" s="653"/>
      <c r="AI123" s="653"/>
      <c r="AJ123" s="653">
        <f t="shared" si="16"/>
        <v>0</v>
      </c>
      <c r="AK123" s="653"/>
      <c r="AL123" s="653"/>
      <c r="AM123" s="653"/>
    </row>
    <row r="124" spans="1:39" ht="18.95" customHeight="1">
      <c r="A124" s="65">
        <f t="shared" si="7"/>
        <v>34</v>
      </c>
      <c r="B124" s="699" t="s">
        <v>111</v>
      </c>
      <c r="C124" s="700"/>
      <c r="D124" s="700"/>
      <c r="E124" s="700"/>
      <c r="F124" s="700"/>
      <c r="G124" s="700"/>
      <c r="H124" s="700"/>
      <c r="I124" s="700"/>
      <c r="J124" s="700"/>
      <c r="K124" s="701"/>
      <c r="L124" s="702">
        <f t="shared" si="17"/>
        <v>45748</v>
      </c>
      <c r="M124" s="702"/>
      <c r="N124" s="702"/>
      <c r="O124" s="702">
        <f t="shared" si="18"/>
        <v>45777</v>
      </c>
      <c r="P124" s="702"/>
      <c r="Q124" s="702"/>
      <c r="R124" s="690" cm="1">
        <f t="array" ref="R124">INDEX(verificare!$AT$4:$CC$33,VLOOKUP($AA$16,verificare!$AR$4:$AS$33,2,FALSE),A124)</f>
        <v>0</v>
      </c>
      <c r="S124" s="690"/>
      <c r="T124" s="690"/>
      <c r="U124" s="690"/>
      <c r="V124" s="658" t="s">
        <v>446</v>
      </c>
      <c r="W124" s="658"/>
      <c r="X124" s="659">
        <f>HLOOKUP(VLOOKUP($AA$16,'Date SPV'!$B:$F,5,FALSE),'Preturi si tarife'!$C$2:$J$39,A124+2,FALSE)</f>
        <v>0.83390760000000008</v>
      </c>
      <c r="Y124" s="659"/>
      <c r="Z124" s="659"/>
      <c r="AA124" s="659"/>
      <c r="AB124" s="653">
        <f t="shared" si="14"/>
        <v>0</v>
      </c>
      <c r="AC124" s="653"/>
      <c r="AD124" s="653"/>
      <c r="AE124" s="653"/>
      <c r="AF124" s="653">
        <f t="shared" si="15"/>
        <v>0</v>
      </c>
      <c r="AG124" s="653"/>
      <c r="AH124" s="653"/>
      <c r="AI124" s="653"/>
      <c r="AJ124" s="653">
        <f t="shared" si="16"/>
        <v>0</v>
      </c>
      <c r="AK124" s="653"/>
      <c r="AL124" s="653"/>
      <c r="AM124" s="653"/>
    </row>
    <row r="125" spans="1:39" ht="17.45" customHeight="1">
      <c r="A125" s="65">
        <f t="shared" si="7"/>
        <v>35</v>
      </c>
      <c r="B125" s="699" t="s">
        <v>112</v>
      </c>
      <c r="C125" s="700"/>
      <c r="D125" s="700"/>
      <c r="E125" s="700"/>
      <c r="F125" s="700"/>
      <c r="G125" s="700"/>
      <c r="H125" s="700"/>
      <c r="I125" s="700"/>
      <c r="J125" s="700"/>
      <c r="K125" s="701"/>
      <c r="L125" s="702">
        <f t="shared" si="17"/>
        <v>45748</v>
      </c>
      <c r="M125" s="702"/>
      <c r="N125" s="702"/>
      <c r="O125" s="702">
        <f t="shared" si="18"/>
        <v>45777</v>
      </c>
      <c r="P125" s="702"/>
      <c r="Q125" s="702"/>
      <c r="R125" s="690" cm="1">
        <f t="array" ref="R125">INDEX(verificare!$AT$4:$CC$33,VLOOKUP($AA$16,verificare!$AR$4:$AS$33,2,FALSE),A125)</f>
        <v>0</v>
      </c>
      <c r="S125" s="690"/>
      <c r="T125" s="690"/>
      <c r="U125" s="690"/>
      <c r="V125" s="658" t="s">
        <v>446</v>
      </c>
      <c r="W125" s="658"/>
      <c r="X125" s="659">
        <f>HLOOKUP(VLOOKUP($AA$16,'Date SPV'!$B:$F,5,FALSE),'Preturi si tarife'!$C$2:$J$39,A125+2,FALSE)</f>
        <v>1.26E-2</v>
      </c>
      <c r="Y125" s="659"/>
      <c r="Z125" s="659"/>
      <c r="AA125" s="659"/>
      <c r="AB125" s="653">
        <f t="shared" si="14"/>
        <v>0</v>
      </c>
      <c r="AC125" s="653"/>
      <c r="AD125" s="653"/>
      <c r="AE125" s="653"/>
      <c r="AF125" s="653">
        <f t="shared" si="15"/>
        <v>0</v>
      </c>
      <c r="AG125" s="653"/>
      <c r="AH125" s="653"/>
      <c r="AI125" s="653"/>
      <c r="AJ125" s="653">
        <f t="shared" si="16"/>
        <v>0</v>
      </c>
      <c r="AK125" s="653"/>
      <c r="AL125" s="653"/>
      <c r="AM125" s="653"/>
    </row>
    <row r="126" spans="1:39" ht="17.45" customHeight="1">
      <c r="A126" s="65">
        <f t="shared" si="7"/>
        <v>36</v>
      </c>
      <c r="B126" s="699" t="s">
        <v>113</v>
      </c>
      <c r="C126" s="700"/>
      <c r="D126" s="700"/>
      <c r="E126" s="700"/>
      <c r="F126" s="700"/>
      <c r="G126" s="700"/>
      <c r="H126" s="700"/>
      <c r="I126" s="700"/>
      <c r="J126" s="700"/>
      <c r="K126" s="701"/>
      <c r="L126" s="702">
        <f t="shared" si="17"/>
        <v>45748</v>
      </c>
      <c r="M126" s="702"/>
      <c r="N126" s="702"/>
      <c r="O126" s="702">
        <f t="shared" si="18"/>
        <v>45777</v>
      </c>
      <c r="P126" s="702"/>
      <c r="Q126" s="702"/>
      <c r="R126" s="690" cm="1">
        <f t="array" ref="R126">INDEX(verificare!$AT$4:$CC$33,VLOOKUP($AA$16,verificare!$AR$4:$AS$33,2,FALSE),A126)</f>
        <v>0</v>
      </c>
      <c r="S126" s="690"/>
      <c r="T126" s="690"/>
      <c r="U126" s="690"/>
      <c r="V126" s="658" t="s">
        <v>446</v>
      </c>
      <c r="W126" s="658"/>
      <c r="X126" s="659">
        <f>HLOOKUP(VLOOKUP($AA$16,'Date SPV'!$B:$F,5,FALSE),'Preturi si tarife'!$C$2:$J$39,A126+2,FALSE)</f>
        <v>9.2700000000000005E-2</v>
      </c>
      <c r="Y126" s="659"/>
      <c r="Z126" s="659"/>
      <c r="AA126" s="659"/>
      <c r="AB126" s="653">
        <f t="shared" si="14"/>
        <v>0</v>
      </c>
      <c r="AC126" s="653"/>
      <c r="AD126" s="653"/>
      <c r="AE126" s="653"/>
      <c r="AF126" s="653">
        <f t="shared" si="15"/>
        <v>0</v>
      </c>
      <c r="AG126" s="653"/>
      <c r="AH126" s="653"/>
      <c r="AI126" s="653"/>
      <c r="AJ126" s="653">
        <f t="shared" si="16"/>
        <v>0</v>
      </c>
      <c r="AK126" s="653"/>
      <c r="AL126" s="653"/>
      <c r="AM126" s="653"/>
    </row>
    <row r="127" spans="1:39">
      <c r="A127" s="65">
        <f t="shared" si="7"/>
        <v>37</v>
      </c>
      <c r="B127" s="699" t="s">
        <v>728</v>
      </c>
      <c r="C127" s="700"/>
      <c r="D127" s="700"/>
      <c r="E127" s="700"/>
      <c r="F127" s="700"/>
      <c r="G127" s="700"/>
      <c r="H127" s="700"/>
      <c r="I127" s="700"/>
      <c r="J127" s="700"/>
      <c r="K127" s="701"/>
      <c r="L127" s="702" t="s">
        <v>69</v>
      </c>
      <c r="M127" s="702"/>
      <c r="N127" s="702"/>
      <c r="O127" s="702" t="s">
        <v>69</v>
      </c>
      <c r="P127" s="702"/>
      <c r="Q127" s="702"/>
      <c r="R127" s="690">
        <v>0</v>
      </c>
      <c r="S127" s="690"/>
      <c r="T127" s="690"/>
      <c r="U127" s="690"/>
      <c r="V127" s="658" t="s">
        <v>69</v>
      </c>
      <c r="W127" s="658"/>
      <c r="X127" s="659" t="s">
        <v>69</v>
      </c>
      <c r="Y127" s="659"/>
      <c r="Z127" s="659"/>
      <c r="AA127" s="659"/>
      <c r="AB127" s="653">
        <v>0</v>
      </c>
      <c r="AC127" s="653"/>
      <c r="AD127" s="653"/>
      <c r="AE127" s="653"/>
      <c r="AF127" s="653">
        <f t="shared" si="15"/>
        <v>0</v>
      </c>
      <c r="AG127" s="653"/>
      <c r="AH127" s="653"/>
      <c r="AI127" s="653"/>
      <c r="AJ127" s="653">
        <f t="shared" si="16"/>
        <v>0</v>
      </c>
      <c r="AK127" s="653"/>
      <c r="AL127" s="653"/>
      <c r="AM127" s="653"/>
    </row>
    <row r="128" spans="1:39">
      <c r="A128" s="65">
        <f t="shared" si="7"/>
        <v>38</v>
      </c>
      <c r="B128" s="699" t="s">
        <v>729</v>
      </c>
      <c r="C128" s="700"/>
      <c r="D128" s="700"/>
      <c r="E128" s="700"/>
      <c r="F128" s="700"/>
      <c r="G128" s="700"/>
      <c r="H128" s="700"/>
      <c r="I128" s="700"/>
      <c r="J128" s="700"/>
      <c r="K128" s="701"/>
      <c r="L128" s="702" t="s">
        <v>69</v>
      </c>
      <c r="M128" s="702"/>
      <c r="N128" s="702"/>
      <c r="O128" s="702" t="s">
        <v>69</v>
      </c>
      <c r="P128" s="702"/>
      <c r="Q128" s="702"/>
      <c r="R128" s="690">
        <v>0</v>
      </c>
      <c r="S128" s="690"/>
      <c r="T128" s="690"/>
      <c r="U128" s="690"/>
      <c r="V128" s="658" t="s">
        <v>69</v>
      </c>
      <c r="W128" s="658"/>
      <c r="X128" s="659" t="s">
        <v>69</v>
      </c>
      <c r="Y128" s="659"/>
      <c r="Z128" s="659"/>
      <c r="AA128" s="659"/>
      <c r="AB128" s="726">
        <f>SUM(AB91:AE127)</f>
        <v>16075.08</v>
      </c>
      <c r="AC128" s="726"/>
      <c r="AD128" s="726"/>
      <c r="AE128" s="726"/>
      <c r="AF128" s="726">
        <f>SUM(AF91:AI127)</f>
        <v>3054.26</v>
      </c>
      <c r="AG128" s="726"/>
      <c r="AH128" s="726"/>
      <c r="AI128" s="726"/>
      <c r="AJ128" s="726">
        <f>SUM(AJ91:AM127)</f>
        <v>19129.34</v>
      </c>
      <c r="AK128" s="726"/>
      <c r="AL128" s="726"/>
      <c r="AM128" s="726"/>
    </row>
  </sheetData>
  <mergeCells count="665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8:AM28"/>
    <mergeCell ref="A29:G30"/>
    <mergeCell ref="H29:AM30"/>
    <mergeCell ref="A31:G32"/>
    <mergeCell ref="H31:V32"/>
    <mergeCell ref="W31:Z32"/>
    <mergeCell ref="AA31:AM32"/>
    <mergeCell ref="AK37:AM39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71:AH71"/>
    <mergeCell ref="AI71:AM71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AD40:AE42"/>
    <mergeCell ref="AF40:AH42"/>
    <mergeCell ref="AI40:AJ42"/>
    <mergeCell ref="AK40:AM42"/>
    <mergeCell ref="J41:L41"/>
    <mergeCell ref="J42:L42"/>
    <mergeCell ref="A43:F45"/>
    <mergeCell ref="G43:I45"/>
    <mergeCell ref="J43:L43"/>
    <mergeCell ref="M43:N45"/>
    <mergeCell ref="O43:Q45"/>
    <mergeCell ref="R43:T45"/>
    <mergeCell ref="U43:W45"/>
    <mergeCell ref="A72:L72"/>
    <mergeCell ref="M72:AH72"/>
    <mergeCell ref="AI72:AM73"/>
    <mergeCell ref="A73:L73"/>
    <mergeCell ref="M73:AH73"/>
    <mergeCell ref="A74:F76"/>
    <mergeCell ref="G74:I76"/>
    <mergeCell ref="J74:L76"/>
    <mergeCell ref="M74:N76"/>
    <mergeCell ref="O74:Q76"/>
    <mergeCell ref="A77:F79"/>
    <mergeCell ref="G77:I79"/>
    <mergeCell ref="J77:L77"/>
    <mergeCell ref="M77:N79"/>
    <mergeCell ref="O77:Q79"/>
    <mergeCell ref="R77:T79"/>
    <mergeCell ref="U77:W79"/>
    <mergeCell ref="X77:Z79"/>
    <mergeCell ref="R74:T76"/>
    <mergeCell ref="U74:W76"/>
    <mergeCell ref="X74:Z76"/>
    <mergeCell ref="AA77:AC79"/>
    <mergeCell ref="AD77:AE79"/>
    <mergeCell ref="AF77:AH79"/>
    <mergeCell ref="AI77:AJ79"/>
    <mergeCell ref="AK77:AM79"/>
    <mergeCell ref="J78:L78"/>
    <mergeCell ref="J79:L79"/>
    <mergeCell ref="AI74:AJ76"/>
    <mergeCell ref="AK74:AM76"/>
    <mergeCell ref="AA74:AC76"/>
    <mergeCell ref="AD74:AE76"/>
    <mergeCell ref="AF74:AH76"/>
    <mergeCell ref="AK80:AM82"/>
    <mergeCell ref="J81:L81"/>
    <mergeCell ref="J82:L82"/>
    <mergeCell ref="A83:F85"/>
    <mergeCell ref="G83:I85"/>
    <mergeCell ref="J83:L83"/>
    <mergeCell ref="M83:N85"/>
    <mergeCell ref="O83:Q85"/>
    <mergeCell ref="R83:T85"/>
    <mergeCell ref="U83:W85"/>
    <mergeCell ref="U80:W82"/>
    <mergeCell ref="X80:Z82"/>
    <mergeCell ref="AA80:AC82"/>
    <mergeCell ref="AD80:AE82"/>
    <mergeCell ref="AF80:AH82"/>
    <mergeCell ref="AI80:AJ82"/>
    <mergeCell ref="A80:F82"/>
    <mergeCell ref="G80:I82"/>
    <mergeCell ref="J80:L80"/>
    <mergeCell ref="M80:N82"/>
    <mergeCell ref="O80:Q82"/>
    <mergeCell ref="R80:T82"/>
    <mergeCell ref="J84:L84"/>
    <mergeCell ref="J85:L85"/>
    <mergeCell ref="A88:AM88"/>
    <mergeCell ref="B90:K90"/>
    <mergeCell ref="R90:U90"/>
    <mergeCell ref="V90:W90"/>
    <mergeCell ref="X90:AA90"/>
    <mergeCell ref="AB90:AE90"/>
    <mergeCell ref="AF90:AI90"/>
    <mergeCell ref="AJ90:AM90"/>
    <mergeCell ref="X83:Z85"/>
    <mergeCell ref="AA83:AC85"/>
    <mergeCell ref="AD83:AE85"/>
    <mergeCell ref="AF83:AH85"/>
    <mergeCell ref="AI83:AJ85"/>
    <mergeCell ref="AK83:AM85"/>
    <mergeCell ref="AB91:AE91"/>
    <mergeCell ref="AF91:AI91"/>
    <mergeCell ref="AJ91:AM91"/>
    <mergeCell ref="B92:K92"/>
    <mergeCell ref="L92:N92"/>
    <mergeCell ref="O92:Q92"/>
    <mergeCell ref="R92:U92"/>
    <mergeCell ref="V92:W92"/>
    <mergeCell ref="X92:AA92"/>
    <mergeCell ref="AB92:AE92"/>
    <mergeCell ref="B91:K91"/>
    <mergeCell ref="L91:N91"/>
    <mergeCell ref="O91:Q91"/>
    <mergeCell ref="R91:U91"/>
    <mergeCell ref="V91:W91"/>
    <mergeCell ref="X91:AA91"/>
    <mergeCell ref="AF92:AI92"/>
    <mergeCell ref="AJ92:AM92"/>
    <mergeCell ref="B93:K93"/>
    <mergeCell ref="L93:N93"/>
    <mergeCell ref="O93:Q93"/>
    <mergeCell ref="R93:U93"/>
    <mergeCell ref="V93:W93"/>
    <mergeCell ref="X93:AA93"/>
    <mergeCell ref="AB93:AE93"/>
    <mergeCell ref="AF93:AI93"/>
    <mergeCell ref="AJ93:AM93"/>
    <mergeCell ref="B94:K94"/>
    <mergeCell ref="L94:N94"/>
    <mergeCell ref="O94:Q94"/>
    <mergeCell ref="R94:U94"/>
    <mergeCell ref="V94:W94"/>
    <mergeCell ref="X94:AA94"/>
    <mergeCell ref="AB94:AE94"/>
    <mergeCell ref="AF94:AI94"/>
    <mergeCell ref="AJ94:AM94"/>
    <mergeCell ref="AB95:AE95"/>
    <mergeCell ref="AF95:AI95"/>
    <mergeCell ref="AJ95:AM95"/>
    <mergeCell ref="B96:K96"/>
    <mergeCell ref="L96:N96"/>
    <mergeCell ref="O96:Q96"/>
    <mergeCell ref="R96:U96"/>
    <mergeCell ref="V96:W96"/>
    <mergeCell ref="X96:AA96"/>
    <mergeCell ref="AB96:AE96"/>
    <mergeCell ref="B95:K95"/>
    <mergeCell ref="L95:N95"/>
    <mergeCell ref="O95:Q95"/>
    <mergeCell ref="R95:U95"/>
    <mergeCell ref="V95:W95"/>
    <mergeCell ref="X95:AA95"/>
    <mergeCell ref="AF96:AI96"/>
    <mergeCell ref="AJ96:AM96"/>
    <mergeCell ref="B97:K97"/>
    <mergeCell ref="L97:N97"/>
    <mergeCell ref="O97:Q97"/>
    <mergeCell ref="R97:U97"/>
    <mergeCell ref="V97:W97"/>
    <mergeCell ref="X97:AA97"/>
    <mergeCell ref="AB97:AE97"/>
    <mergeCell ref="AF97:AI97"/>
    <mergeCell ref="AJ97:AM97"/>
    <mergeCell ref="B98:K98"/>
    <mergeCell ref="L98:N98"/>
    <mergeCell ref="O98:Q98"/>
    <mergeCell ref="R98:U98"/>
    <mergeCell ref="V98:W98"/>
    <mergeCell ref="X98:AA98"/>
    <mergeCell ref="AB98:AE98"/>
    <mergeCell ref="AF98:AI98"/>
    <mergeCell ref="AJ98:AM98"/>
    <mergeCell ref="AB99:AE99"/>
    <mergeCell ref="AF99:AI99"/>
    <mergeCell ref="AJ99:AM99"/>
    <mergeCell ref="B100:K100"/>
    <mergeCell ref="L100:N100"/>
    <mergeCell ref="O100:Q100"/>
    <mergeCell ref="R100:U100"/>
    <mergeCell ref="V100:W100"/>
    <mergeCell ref="X100:AA100"/>
    <mergeCell ref="AB100:AE100"/>
    <mergeCell ref="B99:K99"/>
    <mergeCell ref="L99:N99"/>
    <mergeCell ref="O99:Q99"/>
    <mergeCell ref="R99:U99"/>
    <mergeCell ref="V99:W99"/>
    <mergeCell ref="X99:AA99"/>
    <mergeCell ref="AF100:AI100"/>
    <mergeCell ref="AJ100:AM100"/>
    <mergeCell ref="B101:K101"/>
    <mergeCell ref="L101:N101"/>
    <mergeCell ref="O101:Q101"/>
    <mergeCell ref="R101:U101"/>
    <mergeCell ref="V101:W101"/>
    <mergeCell ref="X101:AA101"/>
    <mergeCell ref="AB101:AE101"/>
    <mergeCell ref="AF101:AI101"/>
    <mergeCell ref="AJ101:AM101"/>
    <mergeCell ref="B102:K102"/>
    <mergeCell ref="L102:N102"/>
    <mergeCell ref="O102:Q102"/>
    <mergeCell ref="R102:U102"/>
    <mergeCell ref="V102:W102"/>
    <mergeCell ref="X102:AA102"/>
    <mergeCell ref="AB102:AE102"/>
    <mergeCell ref="AF102:AI102"/>
    <mergeCell ref="AJ102:AM102"/>
    <mergeCell ref="AB103:AE103"/>
    <mergeCell ref="AF103:AI103"/>
    <mergeCell ref="AJ103:AM103"/>
    <mergeCell ref="B104:K104"/>
    <mergeCell ref="L104:N104"/>
    <mergeCell ref="O104:Q104"/>
    <mergeCell ref="R104:U104"/>
    <mergeCell ref="V104:W104"/>
    <mergeCell ref="X104:AA104"/>
    <mergeCell ref="AB104:AE104"/>
    <mergeCell ref="B103:K103"/>
    <mergeCell ref="L103:N103"/>
    <mergeCell ref="O103:Q103"/>
    <mergeCell ref="R103:U103"/>
    <mergeCell ref="V103:W103"/>
    <mergeCell ref="X103:AA103"/>
    <mergeCell ref="AF104:AI104"/>
    <mergeCell ref="AJ104:AM104"/>
    <mergeCell ref="B105:K105"/>
    <mergeCell ref="L105:N105"/>
    <mergeCell ref="O105:Q105"/>
    <mergeCell ref="R105:U105"/>
    <mergeCell ref="V105:W105"/>
    <mergeCell ref="X105:AA105"/>
    <mergeCell ref="AB105:AE105"/>
    <mergeCell ref="AF105:AI105"/>
    <mergeCell ref="AJ105:AM105"/>
    <mergeCell ref="B106:K106"/>
    <mergeCell ref="L106:N106"/>
    <mergeCell ref="O106:Q106"/>
    <mergeCell ref="R106:U106"/>
    <mergeCell ref="V106:W106"/>
    <mergeCell ref="X106:AA106"/>
    <mergeCell ref="AB106:AE106"/>
    <mergeCell ref="AF106:AI106"/>
    <mergeCell ref="AJ106:AM106"/>
    <mergeCell ref="AB107:AE107"/>
    <mergeCell ref="AF107:AI107"/>
    <mergeCell ref="AJ107:AM107"/>
    <mergeCell ref="B108:K108"/>
    <mergeCell ref="L108:N108"/>
    <mergeCell ref="O108:Q108"/>
    <mergeCell ref="R108:U108"/>
    <mergeCell ref="V108:W108"/>
    <mergeCell ref="X108:AA108"/>
    <mergeCell ref="AB108:AE108"/>
    <mergeCell ref="B107:K107"/>
    <mergeCell ref="L107:N107"/>
    <mergeCell ref="O107:Q107"/>
    <mergeCell ref="R107:U107"/>
    <mergeCell ref="V107:W107"/>
    <mergeCell ref="X107:AA107"/>
    <mergeCell ref="AF108:AI108"/>
    <mergeCell ref="AJ108:AM108"/>
    <mergeCell ref="B109:K109"/>
    <mergeCell ref="L109:N109"/>
    <mergeCell ref="O109:Q109"/>
    <mergeCell ref="R109:U109"/>
    <mergeCell ref="V109:W109"/>
    <mergeCell ref="X109:AA109"/>
    <mergeCell ref="AB109:AE109"/>
    <mergeCell ref="AF109:AI109"/>
    <mergeCell ref="AJ109:AM109"/>
    <mergeCell ref="B110:K110"/>
    <mergeCell ref="L110:N110"/>
    <mergeCell ref="O110:Q110"/>
    <mergeCell ref="R110:U110"/>
    <mergeCell ref="V110:W110"/>
    <mergeCell ref="X110:AA110"/>
    <mergeCell ref="AB110:AE110"/>
    <mergeCell ref="AF110:AI110"/>
    <mergeCell ref="AJ110:AM110"/>
    <mergeCell ref="AB111:AE111"/>
    <mergeCell ref="AF111:AI111"/>
    <mergeCell ref="AJ111:AM111"/>
    <mergeCell ref="B112:K112"/>
    <mergeCell ref="L112:N112"/>
    <mergeCell ref="O112:Q112"/>
    <mergeCell ref="R112:U112"/>
    <mergeCell ref="V112:W112"/>
    <mergeCell ref="X112:AA112"/>
    <mergeCell ref="AB112:AE112"/>
    <mergeCell ref="B111:K111"/>
    <mergeCell ref="L111:N111"/>
    <mergeCell ref="O111:Q111"/>
    <mergeCell ref="R111:U111"/>
    <mergeCell ref="V111:W111"/>
    <mergeCell ref="X111:AA111"/>
    <mergeCell ref="AF112:AI112"/>
    <mergeCell ref="AJ112:AM112"/>
    <mergeCell ref="B113:K113"/>
    <mergeCell ref="L113:N113"/>
    <mergeCell ref="O113:Q113"/>
    <mergeCell ref="R113:U113"/>
    <mergeCell ref="V113:W113"/>
    <mergeCell ref="X113:AA113"/>
    <mergeCell ref="AB113:AE113"/>
    <mergeCell ref="AF113:AI113"/>
    <mergeCell ref="AJ113:AM113"/>
    <mergeCell ref="B114:K114"/>
    <mergeCell ref="L114:N114"/>
    <mergeCell ref="O114:Q114"/>
    <mergeCell ref="R114:U114"/>
    <mergeCell ref="V114:W114"/>
    <mergeCell ref="X114:AA114"/>
    <mergeCell ref="AB114:AE114"/>
    <mergeCell ref="AF114:AI114"/>
    <mergeCell ref="AJ114:AM114"/>
    <mergeCell ref="AB115:AE115"/>
    <mergeCell ref="AF115:AI115"/>
    <mergeCell ref="AJ115:AM115"/>
    <mergeCell ref="B116:K116"/>
    <mergeCell ref="L116:N116"/>
    <mergeCell ref="O116:Q116"/>
    <mergeCell ref="R116:U116"/>
    <mergeCell ref="V116:W116"/>
    <mergeCell ref="X116:AA116"/>
    <mergeCell ref="AB116:AE116"/>
    <mergeCell ref="B115:K115"/>
    <mergeCell ref="L115:N115"/>
    <mergeCell ref="O115:Q115"/>
    <mergeCell ref="R115:U115"/>
    <mergeCell ref="V115:W115"/>
    <mergeCell ref="X115:AA115"/>
    <mergeCell ref="AF116:AI116"/>
    <mergeCell ref="AJ116:AM116"/>
    <mergeCell ref="B117:K117"/>
    <mergeCell ref="L117:N117"/>
    <mergeCell ref="O117:Q117"/>
    <mergeCell ref="R117:U117"/>
    <mergeCell ref="V117:W117"/>
    <mergeCell ref="X117:AA117"/>
    <mergeCell ref="AB117:AE117"/>
    <mergeCell ref="AF117:AI117"/>
    <mergeCell ref="AJ117:AM117"/>
    <mergeCell ref="B118:K118"/>
    <mergeCell ref="L118:N118"/>
    <mergeCell ref="O118:Q118"/>
    <mergeCell ref="R118:U118"/>
    <mergeCell ref="V118:W118"/>
    <mergeCell ref="X118:AA118"/>
    <mergeCell ref="AB118:AE118"/>
    <mergeCell ref="AF118:AI118"/>
    <mergeCell ref="AJ118:AM118"/>
    <mergeCell ref="AB119:AE119"/>
    <mergeCell ref="AF119:AI119"/>
    <mergeCell ref="AJ119:AM119"/>
    <mergeCell ref="B120:K120"/>
    <mergeCell ref="L120:N120"/>
    <mergeCell ref="O120:Q120"/>
    <mergeCell ref="R120:U120"/>
    <mergeCell ref="V120:W120"/>
    <mergeCell ref="X120:AA120"/>
    <mergeCell ref="AB120:AE120"/>
    <mergeCell ref="B119:K119"/>
    <mergeCell ref="L119:N119"/>
    <mergeCell ref="O119:Q119"/>
    <mergeCell ref="R119:U119"/>
    <mergeCell ref="V119:W119"/>
    <mergeCell ref="X119:AA119"/>
    <mergeCell ref="AF120:AI120"/>
    <mergeCell ref="AJ120:AM120"/>
    <mergeCell ref="B121:K121"/>
    <mergeCell ref="L121:N121"/>
    <mergeCell ref="O121:Q121"/>
    <mergeCell ref="R121:U121"/>
    <mergeCell ref="V121:W121"/>
    <mergeCell ref="X121:AA121"/>
    <mergeCell ref="AB121:AE121"/>
    <mergeCell ref="AF121:AI121"/>
    <mergeCell ref="AJ121:AM121"/>
    <mergeCell ref="B122:K122"/>
    <mergeCell ref="L122:N122"/>
    <mergeCell ref="O122:Q122"/>
    <mergeCell ref="R122:U122"/>
    <mergeCell ref="V122:W122"/>
    <mergeCell ref="X122:AA122"/>
    <mergeCell ref="AB122:AE122"/>
    <mergeCell ref="AF122:AI122"/>
    <mergeCell ref="AJ122:AM122"/>
    <mergeCell ref="AB123:AE123"/>
    <mergeCell ref="AF123:AI123"/>
    <mergeCell ref="AJ123:AM123"/>
    <mergeCell ref="B124:K124"/>
    <mergeCell ref="L124:N124"/>
    <mergeCell ref="O124:Q124"/>
    <mergeCell ref="R124:U124"/>
    <mergeCell ref="V124:W124"/>
    <mergeCell ref="X124:AA124"/>
    <mergeCell ref="AB124:AE124"/>
    <mergeCell ref="B123:K123"/>
    <mergeCell ref="L123:N123"/>
    <mergeCell ref="O123:Q123"/>
    <mergeCell ref="R123:U123"/>
    <mergeCell ref="V123:W123"/>
    <mergeCell ref="X123:AA123"/>
    <mergeCell ref="AF124:AI124"/>
    <mergeCell ref="AJ124:AM124"/>
    <mergeCell ref="B125:K125"/>
    <mergeCell ref="L125:N125"/>
    <mergeCell ref="O125:Q125"/>
    <mergeCell ref="R125:U125"/>
    <mergeCell ref="V125:W125"/>
    <mergeCell ref="X125:AA125"/>
    <mergeCell ref="AB125:AE125"/>
    <mergeCell ref="AF125:AI125"/>
    <mergeCell ref="AJ125:AM125"/>
    <mergeCell ref="B126:K126"/>
    <mergeCell ref="L126:N126"/>
    <mergeCell ref="O126:Q126"/>
    <mergeCell ref="R126:U126"/>
    <mergeCell ref="V126:W126"/>
    <mergeCell ref="X126:AA126"/>
    <mergeCell ref="AB126:AE126"/>
    <mergeCell ref="AF126:AI126"/>
    <mergeCell ref="AJ126:AM126"/>
    <mergeCell ref="X43:Z45"/>
    <mergeCell ref="AA43:AC45"/>
    <mergeCell ref="AD43:AE45"/>
    <mergeCell ref="AF43:AH45"/>
    <mergeCell ref="AI43:AJ45"/>
    <mergeCell ref="AK43:AM45"/>
    <mergeCell ref="J44:L44"/>
    <mergeCell ref="J45:L45"/>
    <mergeCell ref="AK46:AM48"/>
    <mergeCell ref="J47:L47"/>
    <mergeCell ref="J48:L48"/>
    <mergeCell ref="AK49:AM51"/>
    <mergeCell ref="J50:L50"/>
    <mergeCell ref="J51:L51"/>
    <mergeCell ref="A46:F48"/>
    <mergeCell ref="G46:I48"/>
    <mergeCell ref="J46:L46"/>
    <mergeCell ref="M46:N48"/>
    <mergeCell ref="O46:Q48"/>
    <mergeCell ref="R46:T48"/>
    <mergeCell ref="A49:F51"/>
    <mergeCell ref="G49:I51"/>
    <mergeCell ref="J49:L49"/>
    <mergeCell ref="M49:N51"/>
    <mergeCell ref="O49:Q51"/>
    <mergeCell ref="R49:T51"/>
    <mergeCell ref="U49:W51"/>
    <mergeCell ref="X49:Z51"/>
    <mergeCell ref="AA49:AC51"/>
    <mergeCell ref="U52:W54"/>
    <mergeCell ref="X52:Z54"/>
    <mergeCell ref="AA52:AC54"/>
    <mergeCell ref="AD46:AE48"/>
    <mergeCell ref="AF46:AH48"/>
    <mergeCell ref="AI46:AJ48"/>
    <mergeCell ref="U46:W48"/>
    <mergeCell ref="X46:Z48"/>
    <mergeCell ref="AA46:AC48"/>
    <mergeCell ref="AD52:AE54"/>
    <mergeCell ref="AF52:AH54"/>
    <mergeCell ref="AI52:AJ54"/>
    <mergeCell ref="AD49:AE51"/>
    <mergeCell ref="AF49:AH51"/>
    <mergeCell ref="AI49:AJ51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I55:AJ57"/>
    <mergeCell ref="AK55:AM57"/>
    <mergeCell ref="J56:L56"/>
    <mergeCell ref="J57:L57"/>
    <mergeCell ref="A52:F54"/>
    <mergeCell ref="G52:I54"/>
    <mergeCell ref="J52:L52"/>
    <mergeCell ref="M52:N54"/>
    <mergeCell ref="O52:Q54"/>
    <mergeCell ref="R52:T54"/>
    <mergeCell ref="AK58:AM60"/>
    <mergeCell ref="J59:L59"/>
    <mergeCell ref="J60:L60"/>
    <mergeCell ref="A61:F63"/>
    <mergeCell ref="G61:I63"/>
    <mergeCell ref="J61:L61"/>
    <mergeCell ref="M61:N63"/>
    <mergeCell ref="O61:Q63"/>
    <mergeCell ref="R61:T63"/>
    <mergeCell ref="U61:W63"/>
    <mergeCell ref="X61:Z63"/>
    <mergeCell ref="AA61:AC63"/>
    <mergeCell ref="AD61:AE63"/>
    <mergeCell ref="AF61:AH63"/>
    <mergeCell ref="AI61:AJ63"/>
    <mergeCell ref="AK61:AM63"/>
    <mergeCell ref="J62:L62"/>
    <mergeCell ref="J63:L63"/>
    <mergeCell ref="A58:F60"/>
    <mergeCell ref="G58:I60"/>
    <mergeCell ref="J58:L58"/>
    <mergeCell ref="M58:N60"/>
    <mergeCell ref="O58:Q60"/>
    <mergeCell ref="R58:T60"/>
    <mergeCell ref="U64:W66"/>
    <mergeCell ref="X64:Z66"/>
    <mergeCell ref="AA64:AC66"/>
    <mergeCell ref="AD58:AE60"/>
    <mergeCell ref="AF58:AH60"/>
    <mergeCell ref="AI58:AJ60"/>
    <mergeCell ref="U58:W60"/>
    <mergeCell ref="X58:Z60"/>
    <mergeCell ref="AA58:AC60"/>
    <mergeCell ref="AD64:AE66"/>
    <mergeCell ref="AF64:AH66"/>
    <mergeCell ref="AI64:AJ66"/>
    <mergeCell ref="AK64:AM66"/>
    <mergeCell ref="J65:L65"/>
    <mergeCell ref="J66:L66"/>
    <mergeCell ref="A67:F69"/>
    <mergeCell ref="G67:I69"/>
    <mergeCell ref="J67:L67"/>
    <mergeCell ref="M67:N69"/>
    <mergeCell ref="O67:Q69"/>
    <mergeCell ref="R67:T69"/>
    <mergeCell ref="U67:W69"/>
    <mergeCell ref="X67:Z69"/>
    <mergeCell ref="AA67:AC69"/>
    <mergeCell ref="AD67:AE69"/>
    <mergeCell ref="AF67:AH69"/>
    <mergeCell ref="AI67:AJ69"/>
    <mergeCell ref="AK67:AM69"/>
    <mergeCell ref="J68:L68"/>
    <mergeCell ref="J69:L69"/>
    <mergeCell ref="A64:F66"/>
    <mergeCell ref="G64:I66"/>
    <mergeCell ref="J64:L64"/>
    <mergeCell ref="M64:N66"/>
    <mergeCell ref="O64:Q66"/>
    <mergeCell ref="R64:T66"/>
    <mergeCell ref="B127:K127"/>
    <mergeCell ref="L127:N127"/>
    <mergeCell ref="O127:Q127"/>
    <mergeCell ref="R127:U127"/>
    <mergeCell ref="V127:W127"/>
    <mergeCell ref="X127:AA127"/>
    <mergeCell ref="AB127:AE127"/>
    <mergeCell ref="AF127:AI127"/>
    <mergeCell ref="AJ127:AM127"/>
    <mergeCell ref="B128:K128"/>
    <mergeCell ref="L128:N128"/>
    <mergeCell ref="O128:Q128"/>
    <mergeCell ref="R128:U128"/>
    <mergeCell ref="V128:W128"/>
    <mergeCell ref="X128:AA128"/>
    <mergeCell ref="AB128:AE128"/>
    <mergeCell ref="AF128:AI128"/>
    <mergeCell ref="AJ128:AM128"/>
  </mergeCells>
  <hyperlinks>
    <hyperlink ref="G11" r:id="rId1" xr:uid="{52B13AD9-CC79-42C2-AF77-57F6C5746DCF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AF3E-B890-4995-855B-56A5A0D0C5FF}">
  <dimension ref="A1:AM127"/>
  <sheetViews>
    <sheetView view="pageLayout" zoomScale="140" zoomScaleNormal="100" zoomScalePageLayoutView="140" workbookViewId="0">
      <selection activeCell="AC27" sqref="AC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1225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AB127</f>
        <v>28614.979999999996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AF127</f>
        <v>5436.8600000000006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AJ127</f>
        <v>34051.839999999997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34051.839999999997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R90+R104+R105+R108</f>
        <v>30418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1.1194634755736734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Str. Stadionului, nr. 2, Sighisoara Jud: Mures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5000579329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RN10_Sighisoara_1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594020300002588154/1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JT_SDI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 t="str">
        <f>AA31</f>
        <v>RN10_Sighisoara_1</v>
      </c>
      <c r="AJ35" s="666"/>
      <c r="AK35" s="666"/>
      <c r="AL35" s="666"/>
      <c r="AM35" s="666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66"/>
      <c r="AJ36" s="666"/>
      <c r="AK36" s="666"/>
      <c r="AL36" s="666"/>
      <c r="AM36" s="666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78">
        <f>VLOOKUP(AI35,'Contorizare in SDI'!$E:$I,5,FALSE)</f>
        <v>1369359116</v>
      </c>
      <c r="B40" s="679"/>
      <c r="C40" s="679"/>
      <c r="D40" s="679"/>
      <c r="E40" s="679"/>
      <c r="F40" s="680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v>1</v>
      </c>
      <c r="P40" s="648"/>
      <c r="Q40" s="648"/>
      <c r="R40" s="647" t="str">
        <f>VLOOKUP(A40,Regularizare!$D:$YN,3,FALSE)&amp;" ("&amp;VLOOKUP(A40,Regularizare!$D:$Y,11,FALSE)&amp;")"</f>
        <v>450712 (citit)</v>
      </c>
      <c r="S40" s="647"/>
      <c r="T40" s="647"/>
      <c r="U40" s="647" t="str">
        <f>VLOOKUP(A40,Regularizare!$D:$U,4,FALSE)&amp;" ("&amp;VLOOKUP(A40,Regularizare!$D:$U,12,FALSE)&amp;")"</f>
        <v>462177 (estimat)</v>
      </c>
      <c r="V40" s="647"/>
      <c r="W40" s="647"/>
      <c r="X40" s="647" t="str">
        <f>VLOOKUP(A40,Regularizare!$D:$Y,19,FALSE)&amp;" ("&amp;VLOOKUP(A40,Regularizare!$D:$U,12,FALSE)&amp;")"</f>
        <v>11465 (estimat)</v>
      </c>
      <c r="Y40" s="647"/>
      <c r="Z40" s="647"/>
      <c r="AA40" s="647">
        <f>(-1)*VLOOKUP(A40,Regularizare!$D:$Y,19,FALSE)</f>
        <v>-11465</v>
      </c>
      <c r="AB40" s="647"/>
      <c r="AC40" s="647"/>
      <c r="AD40" s="647" t="s">
        <v>69</v>
      </c>
      <c r="AE40" s="647"/>
      <c r="AF40" s="647">
        <f>AA40</f>
        <v>-11465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8.4499999999999993" customHeight="1">
      <c r="A41" s="717"/>
      <c r="B41" s="718"/>
      <c r="C41" s="718"/>
      <c r="D41" s="718"/>
      <c r="E41" s="718"/>
      <c r="F41" s="719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1"/>
      <c r="B42" s="682"/>
      <c r="C42" s="682"/>
      <c r="D42" s="682"/>
      <c r="E42" s="682"/>
      <c r="F42" s="683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78">
        <f>A40</f>
        <v>1369359116</v>
      </c>
      <c r="B43" s="679"/>
      <c r="C43" s="679"/>
      <c r="D43" s="679"/>
      <c r="E43" s="679"/>
      <c r="F43" s="680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720" t="s">
        <v>446</v>
      </c>
      <c r="N43" s="648"/>
      <c r="O43" s="648">
        <f>O40</f>
        <v>1</v>
      </c>
      <c r="P43" s="648"/>
      <c r="Q43" s="648"/>
      <c r="R43" s="648" t="str">
        <f>VLOOKUP(A43,Regularizare!$D:$U,7,FALSE)&amp;" ("&amp;VLOOKUP(A43,Regularizare!$D:$U,15,FALSE)&amp;")"</f>
        <v>338 (citit)</v>
      </c>
      <c r="S43" s="648"/>
      <c r="T43" s="648"/>
      <c r="U43" s="647" t="str">
        <f>VLOOKUP(A43,Regularizare!$D:$U,8,FALSE)&amp;" ("&amp;VLOOKUP(A43,Regularizare!$D:$U,16,FALSE)&amp;")"</f>
        <v>338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17"/>
      <c r="B44" s="718"/>
      <c r="C44" s="718"/>
      <c r="D44" s="718"/>
      <c r="E44" s="718"/>
      <c r="F44" s="719"/>
      <c r="G44" s="648"/>
      <c r="H44" s="648"/>
      <c r="I44" s="648"/>
      <c r="J44" s="717" t="str">
        <f t="shared" si="0"/>
        <v>-</v>
      </c>
      <c r="K44" s="718"/>
      <c r="L44" s="719"/>
      <c r="M44" s="720"/>
      <c r="N44" s="648"/>
      <c r="O44" s="648"/>
      <c r="P44" s="648"/>
      <c r="Q44" s="648"/>
      <c r="R44" s="648"/>
      <c r="S44" s="648"/>
      <c r="T44" s="648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1"/>
      <c r="B45" s="682"/>
      <c r="C45" s="682"/>
      <c r="D45" s="682"/>
      <c r="E45" s="682"/>
      <c r="F45" s="683"/>
      <c r="G45" s="648"/>
      <c r="H45" s="648"/>
      <c r="I45" s="648"/>
      <c r="J45" s="714">
        <f t="shared" si="0"/>
        <v>45777</v>
      </c>
      <c r="K45" s="715"/>
      <c r="L45" s="716"/>
      <c r="M45" s="720"/>
      <c r="N45" s="648"/>
      <c r="O45" s="648"/>
      <c r="P45" s="648"/>
      <c r="Q45" s="648"/>
      <c r="R45" s="648"/>
      <c r="S45" s="648"/>
      <c r="T45" s="648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78">
        <f>A43</f>
        <v>1369359116</v>
      </c>
      <c r="B46" s="679"/>
      <c r="C46" s="679"/>
      <c r="D46" s="679"/>
      <c r="E46" s="679"/>
      <c r="F46" s="680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O40</f>
        <v>1</v>
      </c>
      <c r="P46" s="648"/>
      <c r="Q46" s="648"/>
      <c r="R46" s="647" t="str">
        <f>VLOOKUP(A46,Regularizare!$D:$U,9,FALSE)&amp;" ("&amp;VLOOKUP(A46,Regularizare!$D:$U,17,FALSE)&amp;")"</f>
        <v>151056 (citit)</v>
      </c>
      <c r="S46" s="647"/>
      <c r="T46" s="647"/>
      <c r="U46" s="647" t="str">
        <f>VLOOKUP(A46,Regularizare!$D:$U,10,FALSE)&amp;" ("&amp;VLOOKUP(A46,Regularizare!$D:$U,18,FALSE)&amp;")"</f>
        <v>151056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17"/>
      <c r="B47" s="718"/>
      <c r="C47" s="718"/>
      <c r="D47" s="718"/>
      <c r="E47" s="718"/>
      <c r="F47" s="719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1"/>
      <c r="B48" s="682"/>
      <c r="C48" s="682"/>
      <c r="D48" s="682"/>
      <c r="E48" s="682"/>
      <c r="F48" s="683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78">
        <f>A46</f>
        <v>1369359116</v>
      </c>
      <c r="B49" s="679"/>
      <c r="C49" s="679"/>
      <c r="D49" s="679"/>
      <c r="E49" s="679"/>
      <c r="F49" s="680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648" t="s">
        <v>720</v>
      </c>
      <c r="N49" s="648"/>
      <c r="O49" s="648">
        <f>O46</f>
        <v>1</v>
      </c>
      <c r="P49" s="648"/>
      <c r="Q49" s="648"/>
      <c r="R49" s="647" t="str">
        <f>VLOOKUP(A49,Regularizare!$D:$AX,23,FALSE)&amp;" ("&amp;VLOOKUP(A49,Regularizare!$D:$AX,24,FALSE)&amp;")"</f>
        <v>450712 (citit)</v>
      </c>
      <c r="S49" s="647"/>
      <c r="T49" s="647"/>
      <c r="U49" s="647" t="str">
        <f>VLOOKUP(A49,Regularizare!$D:$AX,25,FALSE)&amp;" ("&amp;VLOOKUP(A49,Regularizare!$D:$AX,26,FALSE)&amp;")"</f>
        <v>462177 (citit)</v>
      </c>
      <c r="V49" s="647"/>
      <c r="W49" s="647"/>
      <c r="X49" s="647" t="str">
        <f>VLOOKUP(A49,Regularizare!$D:$AX,37,FALSE)&amp;" ("&amp;VLOOKUP(A49,Regularizare!$D:$AX,26,FALSE)&amp;")"</f>
        <v>11465 (citit)</v>
      </c>
      <c r="Y49" s="647"/>
      <c r="Z49" s="647"/>
      <c r="AA49" s="647">
        <f>VLOOKUP(A49,Regularizare!$D:$AX,37,FALSE)</f>
        <v>11465</v>
      </c>
      <c r="AB49" s="647"/>
      <c r="AC49" s="647"/>
      <c r="AD49" s="647" t="s">
        <v>69</v>
      </c>
      <c r="AE49" s="647"/>
      <c r="AF49" s="647">
        <f>AA49</f>
        <v>11465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17"/>
      <c r="B50" s="718"/>
      <c r="C50" s="718"/>
      <c r="D50" s="718"/>
      <c r="E50" s="718"/>
      <c r="F50" s="719"/>
      <c r="G50" s="648"/>
      <c r="H50" s="648"/>
      <c r="I50" s="673"/>
      <c r="J50" s="717" t="s">
        <v>69</v>
      </c>
      <c r="K50" s="718"/>
      <c r="L50" s="719"/>
      <c r="M50" s="648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1"/>
      <c r="B51" s="682"/>
      <c r="C51" s="682"/>
      <c r="D51" s="682"/>
      <c r="E51" s="682"/>
      <c r="F51" s="683"/>
      <c r="G51" s="648"/>
      <c r="H51" s="648"/>
      <c r="I51" s="673"/>
      <c r="J51" s="714">
        <f>'Date masura OD'!$AL$5</f>
        <v>45777</v>
      </c>
      <c r="K51" s="715"/>
      <c r="L51" s="716"/>
      <c r="M51" s="648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78">
        <f>A49</f>
        <v>1369359116</v>
      </c>
      <c r="B52" s="679"/>
      <c r="C52" s="679"/>
      <c r="D52" s="679"/>
      <c r="E52" s="679"/>
      <c r="F52" s="680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720" t="s">
        <v>446</v>
      </c>
      <c r="N52" s="648"/>
      <c r="O52" s="648">
        <v>1</v>
      </c>
      <c r="P52" s="648"/>
      <c r="Q52" s="648"/>
      <c r="R52" s="647" t="str">
        <f>VLOOKUP(A52,Regularizare!$D:$AX,29,FALSE)&amp;" ("&amp;VLOOKUP(A52,Regularizare!$D:$AX,30,FALSE)&amp;")"</f>
        <v>338 (citit)</v>
      </c>
      <c r="S52" s="647"/>
      <c r="T52" s="647"/>
      <c r="U52" s="647" t="str">
        <f>VLOOKUP(A52,Regularizare!$D:$AX,31,FALSE)&amp;" ("&amp;VLOOKUP(A52,Regularizare!$D:$AX,32,FALSE)&amp;")"</f>
        <v>338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17"/>
      <c r="B53" s="718"/>
      <c r="C53" s="718"/>
      <c r="D53" s="718"/>
      <c r="E53" s="718"/>
      <c r="F53" s="719"/>
      <c r="G53" s="648"/>
      <c r="H53" s="648"/>
      <c r="I53" s="648"/>
      <c r="J53" s="717" t="str">
        <f t="shared" si="1"/>
        <v>-</v>
      </c>
      <c r="K53" s="718"/>
      <c r="L53" s="719"/>
      <c r="M53" s="720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1"/>
      <c r="B54" s="682"/>
      <c r="C54" s="682"/>
      <c r="D54" s="682"/>
      <c r="E54" s="682"/>
      <c r="F54" s="683"/>
      <c r="G54" s="648"/>
      <c r="H54" s="648"/>
      <c r="I54" s="648"/>
      <c r="J54" s="714">
        <f t="shared" si="1"/>
        <v>45777</v>
      </c>
      <c r="K54" s="715"/>
      <c r="L54" s="716"/>
      <c r="M54" s="720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78">
        <f>A52</f>
        <v>1369359116</v>
      </c>
      <c r="B55" s="679"/>
      <c r="C55" s="679"/>
      <c r="D55" s="679"/>
      <c r="E55" s="679"/>
      <c r="F55" s="680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720" t="s">
        <v>446</v>
      </c>
      <c r="N55" s="648"/>
      <c r="O55" s="648">
        <f>O52</f>
        <v>1</v>
      </c>
      <c r="P55" s="648"/>
      <c r="Q55" s="648"/>
      <c r="R55" s="647" t="str">
        <f>VLOOKUP(A55,Regularizare!$D:$AX,33,FALSE)&amp;" ("&amp;VLOOKUP(A55,Regularizare!$D:$AX,34,FALSE)&amp;")"</f>
        <v>151056 (citit)</v>
      </c>
      <c r="S55" s="647"/>
      <c r="T55" s="647"/>
      <c r="U55" s="647" t="str">
        <f>VLOOKUP(A55,Regularizare!$D:$AX,35,FALSE)&amp;" ("&amp;VLOOKUP(A55,Regularizare!$D:$AX,36,FALSE)&amp;")"</f>
        <v>151215 (citit)</v>
      </c>
      <c r="V55" s="647"/>
      <c r="W55" s="647"/>
      <c r="X55" s="647" t="str">
        <f>VLOOKUP(A55,Regularizare!$D:$AX,40,FALSE)&amp;" ("&amp;VLOOKUP(A55,Regularizare!$D:$AX,36,FALSE)&amp;")"</f>
        <v>159 (citit)</v>
      </c>
      <c r="Y55" s="647"/>
      <c r="Z55" s="647"/>
      <c r="AA55" s="647">
        <f>VLOOKUP(A55,Regularizare!$D:$AX,46,FALSE)+VLOOKUP(A55,Regularizare!$D:$AX,47,FALSE)</f>
        <v>159</v>
      </c>
      <c r="AB55" s="647"/>
      <c r="AC55" s="647"/>
      <c r="AD55" s="647" t="s">
        <v>69</v>
      </c>
      <c r="AE55" s="647"/>
      <c r="AF55" s="647">
        <f>AA55</f>
        <v>159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17"/>
      <c r="B56" s="718"/>
      <c r="C56" s="718"/>
      <c r="D56" s="718"/>
      <c r="E56" s="718"/>
      <c r="F56" s="719"/>
      <c r="G56" s="648"/>
      <c r="H56" s="648"/>
      <c r="I56" s="648"/>
      <c r="J56" s="717" t="str">
        <f t="shared" si="1"/>
        <v>-</v>
      </c>
      <c r="K56" s="718"/>
      <c r="L56" s="719"/>
      <c r="M56" s="720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1"/>
      <c r="B57" s="682"/>
      <c r="C57" s="682"/>
      <c r="D57" s="682"/>
      <c r="E57" s="682"/>
      <c r="F57" s="683"/>
      <c r="G57" s="648"/>
      <c r="H57" s="648"/>
      <c r="I57" s="648"/>
      <c r="J57" s="714">
        <f t="shared" si="1"/>
        <v>45777</v>
      </c>
      <c r="K57" s="715"/>
      <c r="L57" s="716"/>
      <c r="M57" s="720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78">
        <f>A55</f>
        <v>1369359116</v>
      </c>
      <c r="B58" s="679"/>
      <c r="C58" s="679"/>
      <c r="D58" s="679"/>
      <c r="E58" s="679"/>
      <c r="F58" s="680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648" t="s">
        <v>720</v>
      </c>
      <c r="N58" s="648"/>
      <c r="O58" s="648">
        <f>O52</f>
        <v>1</v>
      </c>
      <c r="P58" s="648"/>
      <c r="Q58" s="648"/>
      <c r="R58" s="647" t="str">
        <f>U49</f>
        <v>462177 (citit)</v>
      </c>
      <c r="S58" s="647"/>
      <c r="T58" s="647"/>
      <c r="U58" s="647" t="str">
        <f>VLOOKUP(A58,'Incrementare indexe'!$D:$M,4,FALSE)&amp;" (estimat)"</f>
        <v>472618 (estimat)</v>
      </c>
      <c r="V58" s="647"/>
      <c r="W58" s="647"/>
      <c r="X58" s="647" t="str">
        <f>VLOOKUP(A58,'Incrementare indexe'!$D:$Q,11,FALSE)&amp;" (citit)"</f>
        <v>10441 (citit)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10441</v>
      </c>
      <c r="AG58" s="647"/>
      <c r="AH58" s="647"/>
      <c r="AI58" s="647">
        <f>J60-J58+1</f>
        <v>31</v>
      </c>
      <c r="AJ58" s="647"/>
      <c r="AK58" s="647">
        <f>ROUND(AF58/AI58,2)</f>
        <v>336.81</v>
      </c>
      <c r="AL58" s="647"/>
      <c r="AM58" s="647"/>
    </row>
    <row r="59" spans="1:39" ht="8.4499999999999993" customHeight="1">
      <c r="A59" s="717"/>
      <c r="B59" s="718"/>
      <c r="C59" s="718"/>
      <c r="D59" s="718"/>
      <c r="E59" s="718"/>
      <c r="F59" s="719"/>
      <c r="G59" s="648"/>
      <c r="H59" s="648"/>
      <c r="I59" s="673"/>
      <c r="J59" s="717" t="s">
        <v>69</v>
      </c>
      <c r="K59" s="718"/>
      <c r="L59" s="719"/>
      <c r="M59" s="648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1"/>
      <c r="B60" s="682"/>
      <c r="C60" s="682"/>
      <c r="D60" s="682"/>
      <c r="E60" s="682"/>
      <c r="F60" s="683"/>
      <c r="G60" s="648"/>
      <c r="H60" s="648"/>
      <c r="I60" s="673"/>
      <c r="J60" s="714">
        <f>'Date masura OD'!$J$5</f>
        <v>45808</v>
      </c>
      <c r="K60" s="715"/>
      <c r="L60" s="716"/>
      <c r="M60" s="648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78">
        <f>A58</f>
        <v>1369359116</v>
      </c>
      <c r="B61" s="679"/>
      <c r="C61" s="679"/>
      <c r="D61" s="679"/>
      <c r="E61" s="679"/>
      <c r="F61" s="680"/>
      <c r="G61" s="647" t="s">
        <v>1300</v>
      </c>
      <c r="H61" s="647"/>
      <c r="I61" s="675"/>
      <c r="J61" s="655">
        <f t="shared" ref="J61:J69" si="2">J58</f>
        <v>45778</v>
      </c>
      <c r="K61" s="656"/>
      <c r="L61" s="657"/>
      <c r="M61" s="720" t="s">
        <v>446</v>
      </c>
      <c r="N61" s="648"/>
      <c r="O61" s="648">
        <v>1</v>
      </c>
      <c r="P61" s="648"/>
      <c r="Q61" s="648"/>
      <c r="R61" s="647" t="str">
        <f>VLOOKUP(A61,'Date masura SDI'!A:D,4,0)&amp;" (citit)"</f>
        <v>239420 (citit)</v>
      </c>
      <c r="S61" s="647"/>
      <c r="T61" s="647"/>
      <c r="U61" s="647" t="str">
        <f>VLOOKUP(A61,'Date masura SDI'!A:E,5,)&amp;" (citit)"</f>
        <v>261171 (citit)</v>
      </c>
      <c r="V61" s="647"/>
      <c r="W61" s="647"/>
      <c r="X61" s="647" t="str">
        <f>(VLOOKUP(A61,'Date masura SDI'!A:E,5,0)-VLOOKUP(A61,'Date masura SDI'!A:E,4,0))*O61 &amp;" (citit)"</f>
        <v>21751 (citit)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17"/>
      <c r="B62" s="718"/>
      <c r="C62" s="718"/>
      <c r="D62" s="718"/>
      <c r="E62" s="718"/>
      <c r="F62" s="719"/>
      <c r="G62" s="647"/>
      <c r="H62" s="647"/>
      <c r="I62" s="675"/>
      <c r="J62" s="717" t="str">
        <f t="shared" si="2"/>
        <v>-</v>
      </c>
      <c r="K62" s="718"/>
      <c r="L62" s="719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1"/>
      <c r="B63" s="682"/>
      <c r="C63" s="682"/>
      <c r="D63" s="682"/>
      <c r="E63" s="682"/>
      <c r="F63" s="683"/>
      <c r="G63" s="647"/>
      <c r="H63" s="647"/>
      <c r="I63" s="675"/>
      <c r="J63" s="714">
        <f t="shared" si="2"/>
        <v>45808</v>
      </c>
      <c r="K63" s="715"/>
      <c r="L63" s="716"/>
      <c r="M63" s="720"/>
      <c r="N63" s="648"/>
      <c r="O63" s="648"/>
      <c r="P63" s="648"/>
      <c r="Q63" s="648"/>
      <c r="R63" s="647"/>
      <c r="S63" s="647"/>
      <c r="T63" s="647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78">
        <f>A61</f>
        <v>1369359116</v>
      </c>
      <c r="B64" s="679"/>
      <c r="C64" s="679"/>
      <c r="D64" s="679"/>
      <c r="E64" s="679"/>
      <c r="F64" s="680"/>
      <c r="G64" s="648" t="s">
        <v>696</v>
      </c>
      <c r="H64" s="648"/>
      <c r="I64" s="648"/>
      <c r="J64" s="655">
        <f t="shared" si="2"/>
        <v>45778</v>
      </c>
      <c r="K64" s="656"/>
      <c r="L64" s="657"/>
      <c r="M64" s="720" t="s">
        <v>446</v>
      </c>
      <c r="N64" s="648"/>
      <c r="O64" s="648">
        <f>O61</f>
        <v>1</v>
      </c>
      <c r="P64" s="648"/>
      <c r="Q64" s="648"/>
      <c r="R64" s="684" t="str">
        <f>U52</f>
        <v>338 (citit)</v>
      </c>
      <c r="S64" s="685"/>
      <c r="T64" s="686"/>
      <c r="U64" s="647" t="str">
        <f>VLOOKUP(A64,'Incrementare indexe'!$D:$M,8,FALSE)&amp;" (estimat)"</f>
        <v>338 (estimat)</v>
      </c>
      <c r="V64" s="647"/>
      <c r="W64" s="647"/>
      <c r="X64" s="647" t="str">
        <f>VLOOKUP(A64,'Incrementare indexe'!$D:$Q,12,FALSE)&amp;"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indexe'!$D:$Q,12,FALSE)</f>
        <v>0</v>
      </c>
      <c r="AG64" s="647"/>
      <c r="AH64" s="647"/>
      <c r="AI64" s="647">
        <f>AI58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17"/>
      <c r="B65" s="718"/>
      <c r="C65" s="718"/>
      <c r="D65" s="718"/>
      <c r="E65" s="718"/>
      <c r="F65" s="719"/>
      <c r="G65" s="648"/>
      <c r="H65" s="648"/>
      <c r="I65" s="648"/>
      <c r="J65" s="717" t="str">
        <f t="shared" si="2"/>
        <v>-</v>
      </c>
      <c r="K65" s="718"/>
      <c r="L65" s="719"/>
      <c r="M65" s="720"/>
      <c r="N65" s="648"/>
      <c r="O65" s="648"/>
      <c r="P65" s="648"/>
      <c r="Q65" s="648"/>
      <c r="R65" s="727"/>
      <c r="S65" s="729"/>
      <c r="T65" s="728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1"/>
      <c r="B66" s="682"/>
      <c r="C66" s="682"/>
      <c r="D66" s="682"/>
      <c r="E66" s="682"/>
      <c r="F66" s="683"/>
      <c r="G66" s="648"/>
      <c r="H66" s="648"/>
      <c r="I66" s="648"/>
      <c r="J66" s="714">
        <f t="shared" si="2"/>
        <v>45808</v>
      </c>
      <c r="K66" s="715"/>
      <c r="L66" s="716"/>
      <c r="M66" s="720"/>
      <c r="N66" s="648"/>
      <c r="O66" s="648"/>
      <c r="P66" s="648"/>
      <c r="Q66" s="648"/>
      <c r="R66" s="687"/>
      <c r="S66" s="688"/>
      <c r="T66" s="689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678">
        <f>A64</f>
        <v>1369359116</v>
      </c>
      <c r="B67" s="679"/>
      <c r="C67" s="679"/>
      <c r="D67" s="679"/>
      <c r="E67" s="679"/>
      <c r="F67" s="680"/>
      <c r="G67" s="648" t="s">
        <v>731</v>
      </c>
      <c r="H67" s="648"/>
      <c r="I67" s="648"/>
      <c r="J67" s="655">
        <f t="shared" si="2"/>
        <v>45778</v>
      </c>
      <c r="K67" s="656"/>
      <c r="L67" s="657"/>
      <c r="M67" s="648" t="s">
        <v>720</v>
      </c>
      <c r="N67" s="648"/>
      <c r="O67" s="648">
        <f>O61</f>
        <v>1</v>
      </c>
      <c r="P67" s="648"/>
      <c r="Q67" s="648"/>
      <c r="R67" s="647" t="str">
        <f>U55</f>
        <v>151215 (citit)</v>
      </c>
      <c r="S67" s="647"/>
      <c r="T67" s="647"/>
      <c r="U67" s="647" t="str">
        <f>VLOOKUP(A67,'Incrementare indexe'!$D:$M,10,FALSE)&amp;" (estimat)"</f>
        <v>151215 (estimat)</v>
      </c>
      <c r="V67" s="647"/>
      <c r="W67" s="647"/>
      <c r="X67" s="647" t="str">
        <f>VLOOKUP(A67,'Incrementare indexe'!$D:$Q,13,FALSE)&amp;" (estimat)"</f>
        <v>0 (estimat)</v>
      </c>
      <c r="Y67" s="647"/>
      <c r="Z67" s="647"/>
      <c r="AA67" s="647" t="s">
        <v>69</v>
      </c>
      <c r="AB67" s="647"/>
      <c r="AC67" s="647"/>
      <c r="AD67" s="647" t="s">
        <v>69</v>
      </c>
      <c r="AE67" s="647"/>
      <c r="AF67" s="647">
        <f>VLOOKUP(A67,'Incrementare indexe'!$D:$Q,13,FALSE)</f>
        <v>0</v>
      </c>
      <c r="AG67" s="647"/>
      <c r="AH67" s="647"/>
      <c r="AI67" s="647">
        <f>AI64</f>
        <v>31</v>
      </c>
      <c r="AJ67" s="647"/>
      <c r="AK67" s="647">
        <f>ROUND(AF67/AI67,2)</f>
        <v>0</v>
      </c>
      <c r="AL67" s="647"/>
      <c r="AM67" s="647"/>
    </row>
    <row r="68" spans="1:39" ht="8.4499999999999993" customHeight="1">
      <c r="A68" s="717"/>
      <c r="B68" s="718"/>
      <c r="C68" s="718"/>
      <c r="D68" s="718"/>
      <c r="E68" s="718"/>
      <c r="F68" s="719"/>
      <c r="G68" s="648"/>
      <c r="H68" s="648"/>
      <c r="I68" s="648"/>
      <c r="J68" s="717" t="str">
        <f t="shared" si="2"/>
        <v>-</v>
      </c>
      <c r="K68" s="718"/>
      <c r="L68" s="719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681"/>
      <c r="B69" s="682"/>
      <c r="C69" s="682"/>
      <c r="D69" s="682"/>
      <c r="E69" s="682"/>
      <c r="F69" s="683"/>
      <c r="G69" s="648"/>
      <c r="H69" s="648"/>
      <c r="I69" s="648"/>
      <c r="J69" s="714">
        <f t="shared" si="2"/>
        <v>45808</v>
      </c>
      <c r="K69" s="715"/>
      <c r="L69" s="716"/>
      <c r="M69" s="648"/>
      <c r="N69" s="648"/>
      <c r="O69" s="648"/>
      <c r="P69" s="648"/>
      <c r="Q69" s="648"/>
      <c r="R69" s="647"/>
      <c r="S69" s="647"/>
      <c r="T69" s="647"/>
      <c r="U69" s="647"/>
      <c r="V69" s="647"/>
      <c r="W69" s="647"/>
      <c r="X69" s="647"/>
      <c r="Y69" s="647"/>
      <c r="Z69" s="647"/>
      <c r="AA69" s="647"/>
      <c r="AB69" s="647"/>
      <c r="AC69" s="647"/>
      <c r="AD69" s="647"/>
      <c r="AE69" s="647"/>
      <c r="AF69" s="647"/>
      <c r="AG69" s="647"/>
      <c r="AH69" s="647"/>
      <c r="AI69" s="647"/>
      <c r="AJ69" s="647"/>
      <c r="AK69" s="647"/>
      <c r="AL69" s="647"/>
      <c r="AM69" s="647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721" t="s">
        <v>1196</v>
      </c>
      <c r="B71" s="722"/>
      <c r="C71" s="722"/>
      <c r="D71" s="722"/>
      <c r="E71" s="722"/>
      <c r="F71" s="722"/>
      <c r="G71" s="722"/>
      <c r="H71" s="722"/>
      <c r="I71" s="722"/>
      <c r="J71" s="722"/>
      <c r="K71" s="722"/>
      <c r="L71" s="722"/>
      <c r="M71" s="722"/>
      <c r="N71" s="722"/>
      <c r="O71" s="722"/>
      <c r="P71" s="722"/>
      <c r="Q71" s="722"/>
      <c r="R71" s="722"/>
      <c r="S71" s="722"/>
      <c r="T71" s="722"/>
      <c r="U71" s="722"/>
      <c r="V71" s="722"/>
      <c r="W71" s="722"/>
      <c r="X71" s="722"/>
      <c r="Y71" s="722"/>
      <c r="Z71" s="722"/>
      <c r="AA71" s="722"/>
      <c r="AB71" s="722"/>
      <c r="AC71" s="722"/>
      <c r="AD71" s="722"/>
      <c r="AE71" s="722"/>
      <c r="AF71" s="722"/>
      <c r="AG71" s="722"/>
      <c r="AH71" s="723"/>
      <c r="AI71" s="650" t="s">
        <v>695</v>
      </c>
      <c r="AJ71" s="650"/>
      <c r="AK71" s="650"/>
      <c r="AL71" s="650"/>
      <c r="AM71" s="650"/>
    </row>
    <row r="72" spans="1:39" ht="14.1" customHeight="1">
      <c r="A72" s="649" t="s">
        <v>746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50" t="s">
        <v>514</v>
      </c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  <c r="AC72" s="650"/>
      <c r="AD72" s="650"/>
      <c r="AE72" s="650"/>
      <c r="AF72" s="650"/>
      <c r="AG72" s="650"/>
      <c r="AH72" s="650"/>
      <c r="AI72" s="666" t="str">
        <f>_xlfn.CONCAT(AI35,"/PV")</f>
        <v>RN10_Sighisoara_1/PV</v>
      </c>
      <c r="AJ72" s="666"/>
      <c r="AK72" s="666"/>
      <c r="AL72" s="666"/>
      <c r="AM72" s="666"/>
    </row>
    <row r="73" spans="1:39" ht="14.1" customHeight="1">
      <c r="A73" s="649" t="s">
        <v>747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50" t="s">
        <v>1087</v>
      </c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66"/>
      <c r="AJ73" s="666"/>
      <c r="AK73" s="666"/>
      <c r="AL73" s="666"/>
      <c r="AM73" s="666"/>
    </row>
    <row r="74" spans="1:39" ht="14.1" customHeight="1">
      <c r="A74" s="648" t="s">
        <v>697</v>
      </c>
      <c r="B74" s="648"/>
      <c r="C74" s="648"/>
      <c r="D74" s="648"/>
      <c r="E74" s="648"/>
      <c r="F74" s="648"/>
      <c r="G74" s="647" t="s">
        <v>713</v>
      </c>
      <c r="H74" s="647"/>
      <c r="I74" s="647"/>
      <c r="J74" s="647" t="s">
        <v>714</v>
      </c>
      <c r="K74" s="647"/>
      <c r="L74" s="647"/>
      <c r="M74" s="648" t="s">
        <v>519</v>
      </c>
      <c r="N74" s="648"/>
      <c r="O74" s="648" t="s">
        <v>715</v>
      </c>
      <c r="P74" s="648"/>
      <c r="Q74" s="648"/>
      <c r="R74" s="647" t="s">
        <v>732</v>
      </c>
      <c r="S74" s="647"/>
      <c r="T74" s="647"/>
      <c r="U74" s="647" t="s">
        <v>734</v>
      </c>
      <c r="V74" s="647"/>
      <c r="W74" s="647"/>
      <c r="X74" s="647" t="s">
        <v>1085</v>
      </c>
      <c r="Y74" s="647"/>
      <c r="Z74" s="647"/>
      <c r="AA74" s="647" t="s">
        <v>1086</v>
      </c>
      <c r="AB74" s="647"/>
      <c r="AC74" s="647"/>
      <c r="AD74" s="647" t="s">
        <v>717</v>
      </c>
      <c r="AE74" s="647"/>
      <c r="AF74" s="647" t="s">
        <v>718</v>
      </c>
      <c r="AG74" s="647"/>
      <c r="AH74" s="647"/>
      <c r="AI74" s="647" t="s">
        <v>719</v>
      </c>
      <c r="AJ74" s="647"/>
      <c r="AK74" s="647" t="s">
        <v>733</v>
      </c>
      <c r="AL74" s="647"/>
      <c r="AM74" s="647"/>
    </row>
    <row r="75" spans="1:39" ht="14.1" customHeight="1">
      <c r="A75" s="648"/>
      <c r="B75" s="648"/>
      <c r="C75" s="648"/>
      <c r="D75" s="648"/>
      <c r="E75" s="648"/>
      <c r="F75" s="648"/>
      <c r="G75" s="647"/>
      <c r="H75" s="647"/>
      <c r="I75" s="647"/>
      <c r="J75" s="647"/>
      <c r="K75" s="647"/>
      <c r="L75" s="647"/>
      <c r="M75" s="648"/>
      <c r="N75" s="648"/>
      <c r="O75" s="648"/>
      <c r="P75" s="648"/>
      <c r="Q75" s="648"/>
      <c r="R75" s="647"/>
      <c r="S75" s="647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</row>
    <row r="76" spans="1:39" ht="14.1" customHeight="1">
      <c r="A76" s="648"/>
      <c r="B76" s="648"/>
      <c r="C76" s="648"/>
      <c r="D76" s="648"/>
      <c r="E76" s="648"/>
      <c r="F76" s="648"/>
      <c r="G76" s="647"/>
      <c r="H76" s="647"/>
      <c r="I76" s="647"/>
      <c r="J76" s="713"/>
      <c r="K76" s="713"/>
      <c r="L76" s="713"/>
      <c r="M76" s="648"/>
      <c r="N76" s="648"/>
      <c r="O76" s="648"/>
      <c r="P76" s="648"/>
      <c r="Q76" s="648"/>
      <c r="R76" s="647"/>
      <c r="S76" s="647"/>
      <c r="T76" s="647"/>
      <c r="U76" s="647"/>
      <c r="V76" s="647"/>
      <c r="W76" s="647"/>
      <c r="X76" s="647"/>
      <c r="Y76" s="647"/>
      <c r="Z76" s="647"/>
      <c r="AA76" s="647"/>
      <c r="AB76" s="647"/>
      <c r="AC76" s="647"/>
      <c r="AD76" s="647"/>
      <c r="AE76" s="647"/>
      <c r="AF76" s="647"/>
      <c r="AG76" s="647"/>
      <c r="AH76" s="647"/>
      <c r="AI76" s="647"/>
      <c r="AJ76" s="647"/>
      <c r="AK76" s="647"/>
      <c r="AL76" s="647"/>
      <c r="AM76" s="647"/>
    </row>
    <row r="77" spans="1:39" ht="14.1" customHeight="1">
      <c r="A77" s="678">
        <f>VLOOKUP(AI72,'Incrementare indexe'!$B:$I,3,FALSE)</f>
        <v>1371032444</v>
      </c>
      <c r="B77" s="679"/>
      <c r="C77" s="679"/>
      <c r="D77" s="679"/>
      <c r="E77" s="679"/>
      <c r="F77" s="680"/>
      <c r="G77" s="647" t="s">
        <v>1088</v>
      </c>
      <c r="H77" s="647"/>
      <c r="I77" s="675"/>
      <c r="J77" s="655">
        <f>'Date masura OD'!$I$5</f>
        <v>45778</v>
      </c>
      <c r="K77" s="656"/>
      <c r="L77" s="657"/>
      <c r="M77" s="720" t="s">
        <v>446</v>
      </c>
      <c r="N77" s="648"/>
      <c r="O77" s="648">
        <f>VLOOKUP(AI72,'Incrementare indexe'!$B:$I,4,FALSE)</f>
        <v>1</v>
      </c>
      <c r="P77" s="648"/>
      <c r="Q77" s="648"/>
      <c r="R77" s="647" t="str">
        <f>VLOOKUP(AI72,'Incrementare indexe'!$B:$I,7,FALSE)&amp;" (citit)"</f>
        <v>602669 (citit)</v>
      </c>
      <c r="S77" s="647"/>
      <c r="T77" s="647"/>
      <c r="U77" s="647" t="str">
        <f>VLOOKUP(AI72,'Incrementare indexe'!$B:$I,8,FALSE)&amp;" (citit)"</f>
        <v>644397 (citit)</v>
      </c>
      <c r="V77" s="647"/>
      <c r="W77" s="647"/>
      <c r="X77" s="647" t="str">
        <f>(VLOOKUP(AI72,'Incrementare indexe'!$B:$I,8,FALSE)-VLOOKUP(AI72,'Incrementare indexe'!$B:$I,7,FALSE))&amp;" (citit)"</f>
        <v>41728 (citit)</v>
      </c>
      <c r="Y77" s="647"/>
      <c r="Z77" s="647"/>
      <c r="AA77" s="647" t="s">
        <v>69</v>
      </c>
      <c r="AB77" s="647"/>
      <c r="AC77" s="647"/>
      <c r="AD77" s="647" t="s">
        <v>69</v>
      </c>
      <c r="AE77" s="647"/>
      <c r="AF77" s="647">
        <f>(VLOOKUP(AI72,'Incrementare indexe'!$B:$I,8,FALSE)-VLOOKUP(AI72,'Incrementare indexe'!$B:$I,7,FALSE))</f>
        <v>41728</v>
      </c>
      <c r="AG77" s="647"/>
      <c r="AH77" s="647"/>
      <c r="AI77" s="647">
        <f>J79-J77+1</f>
        <v>31</v>
      </c>
      <c r="AJ77" s="647"/>
      <c r="AK77" s="647">
        <f>ROUND(AF77/AI77,2)</f>
        <v>1346.06</v>
      </c>
      <c r="AL77" s="647"/>
      <c r="AM77" s="647"/>
    </row>
    <row r="78" spans="1:39" ht="14.1" customHeight="1">
      <c r="A78" s="717"/>
      <c r="B78" s="718"/>
      <c r="C78" s="718"/>
      <c r="D78" s="718"/>
      <c r="E78" s="718"/>
      <c r="F78" s="719"/>
      <c r="G78" s="647"/>
      <c r="H78" s="647"/>
      <c r="I78" s="675"/>
      <c r="J78" s="717" t="s">
        <v>69</v>
      </c>
      <c r="K78" s="718"/>
      <c r="L78" s="719"/>
      <c r="M78" s="720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81"/>
      <c r="B79" s="682"/>
      <c r="C79" s="682"/>
      <c r="D79" s="682"/>
      <c r="E79" s="682"/>
      <c r="F79" s="683"/>
      <c r="G79" s="647"/>
      <c r="H79" s="647"/>
      <c r="I79" s="675"/>
      <c r="J79" s="714">
        <f>'Date masura OD'!$J$5</f>
        <v>45808</v>
      </c>
      <c r="K79" s="715"/>
      <c r="L79" s="716"/>
      <c r="M79" s="720"/>
      <c r="N79" s="648"/>
      <c r="O79" s="648"/>
      <c r="P79" s="648"/>
      <c r="Q79" s="648"/>
      <c r="R79" s="647"/>
      <c r="S79" s="647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647"/>
      <c r="AL79" s="647"/>
      <c r="AM79" s="647"/>
    </row>
    <row r="80" spans="1:39" ht="14.1" customHeight="1">
      <c r="A80" s="678">
        <f>A77</f>
        <v>1371032444</v>
      </c>
      <c r="B80" s="679"/>
      <c r="C80" s="679"/>
      <c r="D80" s="679"/>
      <c r="E80" s="679"/>
      <c r="F80" s="680"/>
      <c r="G80" s="648" t="s">
        <v>696</v>
      </c>
      <c r="H80" s="648"/>
      <c r="I80" s="648"/>
      <c r="J80" s="655">
        <f t="shared" ref="J80:J85" si="3">J77</f>
        <v>45778</v>
      </c>
      <c r="K80" s="656"/>
      <c r="L80" s="657"/>
      <c r="M80" s="648" t="s">
        <v>720</v>
      </c>
      <c r="N80" s="648"/>
      <c r="O80" s="648">
        <f>O77</f>
        <v>1</v>
      </c>
      <c r="P80" s="648"/>
      <c r="Q80" s="648"/>
      <c r="R80" s="647" t="s">
        <v>1089</v>
      </c>
      <c r="S80" s="647"/>
      <c r="T80" s="647"/>
      <c r="U80" s="647" t="s">
        <v>1089</v>
      </c>
      <c r="V80" s="647"/>
      <c r="W80" s="647"/>
      <c r="X80" s="647" t="s">
        <v>1089</v>
      </c>
      <c r="Y80" s="647"/>
      <c r="Z80" s="647"/>
      <c r="AA80" s="647" t="s">
        <v>69</v>
      </c>
      <c r="AB80" s="647"/>
      <c r="AC80" s="647"/>
      <c r="AD80" s="647" t="s">
        <v>69</v>
      </c>
      <c r="AE80" s="647"/>
      <c r="AF80" s="647">
        <v>0</v>
      </c>
      <c r="AG80" s="647"/>
      <c r="AH80" s="647"/>
      <c r="AI80" s="647">
        <f>AI77</f>
        <v>31</v>
      </c>
      <c r="AJ80" s="647"/>
      <c r="AK80" s="647">
        <f>ROUND(AF80/AI80,2)</f>
        <v>0</v>
      </c>
      <c r="AL80" s="647"/>
      <c r="AM80" s="647"/>
    </row>
    <row r="81" spans="1:39" ht="14.1" customHeight="1">
      <c r="A81" s="717"/>
      <c r="B81" s="718"/>
      <c r="C81" s="718"/>
      <c r="D81" s="718"/>
      <c r="E81" s="718"/>
      <c r="F81" s="719"/>
      <c r="G81" s="648"/>
      <c r="H81" s="648"/>
      <c r="I81" s="648"/>
      <c r="J81" s="717" t="str">
        <f t="shared" si="3"/>
        <v>-</v>
      </c>
      <c r="K81" s="718"/>
      <c r="L81" s="719"/>
      <c r="M81" s="648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81"/>
      <c r="B82" s="682"/>
      <c r="C82" s="682"/>
      <c r="D82" s="682"/>
      <c r="E82" s="682"/>
      <c r="F82" s="683"/>
      <c r="G82" s="648"/>
      <c r="H82" s="648"/>
      <c r="I82" s="648"/>
      <c r="J82" s="714">
        <f t="shared" si="3"/>
        <v>45808</v>
      </c>
      <c r="K82" s="715"/>
      <c r="L82" s="716"/>
      <c r="M82" s="648"/>
      <c r="N82" s="648"/>
      <c r="O82" s="648"/>
      <c r="P82" s="648"/>
      <c r="Q82" s="648"/>
      <c r="R82" s="647"/>
      <c r="S82" s="647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647"/>
      <c r="AL82" s="647"/>
      <c r="AM82" s="647"/>
    </row>
    <row r="83" spans="1:39" ht="14.1" customHeight="1">
      <c r="A83" s="678">
        <f>A80</f>
        <v>1371032444</v>
      </c>
      <c r="B83" s="679"/>
      <c r="C83" s="679"/>
      <c r="D83" s="679"/>
      <c r="E83" s="679"/>
      <c r="F83" s="680"/>
      <c r="G83" s="648" t="s">
        <v>731</v>
      </c>
      <c r="H83" s="648"/>
      <c r="I83" s="648"/>
      <c r="J83" s="655">
        <f t="shared" si="3"/>
        <v>45778</v>
      </c>
      <c r="K83" s="656"/>
      <c r="L83" s="657"/>
      <c r="M83" s="648" t="s">
        <v>720</v>
      </c>
      <c r="N83" s="648"/>
      <c r="O83" s="648">
        <f>O80</f>
        <v>1</v>
      </c>
      <c r="P83" s="648"/>
      <c r="Q83" s="648"/>
      <c r="R83" s="647" t="s">
        <v>1089</v>
      </c>
      <c r="S83" s="647"/>
      <c r="T83" s="647"/>
      <c r="U83" s="647" t="s">
        <v>1089</v>
      </c>
      <c r="V83" s="647"/>
      <c r="W83" s="647"/>
      <c r="X83" s="647" t="s">
        <v>1089</v>
      </c>
      <c r="Y83" s="647"/>
      <c r="Z83" s="647"/>
      <c r="AA83" s="647" t="s">
        <v>69</v>
      </c>
      <c r="AB83" s="647"/>
      <c r="AC83" s="647"/>
      <c r="AD83" s="647" t="s">
        <v>69</v>
      </c>
      <c r="AE83" s="647"/>
      <c r="AF83" s="647">
        <v>0</v>
      </c>
      <c r="AG83" s="647"/>
      <c r="AH83" s="647"/>
      <c r="AI83" s="647">
        <f>AI80</f>
        <v>31</v>
      </c>
      <c r="AJ83" s="647"/>
      <c r="AK83" s="647">
        <f>ROUND(AF83/AI83,2)</f>
        <v>0</v>
      </c>
      <c r="AL83" s="647"/>
      <c r="AM83" s="647"/>
    </row>
    <row r="84" spans="1:39" ht="14.1" customHeight="1">
      <c r="A84" s="717"/>
      <c r="B84" s="718"/>
      <c r="C84" s="718"/>
      <c r="D84" s="718"/>
      <c r="E84" s="718"/>
      <c r="F84" s="719"/>
      <c r="G84" s="648"/>
      <c r="H84" s="648"/>
      <c r="I84" s="648"/>
      <c r="J84" s="717" t="str">
        <f t="shared" si="3"/>
        <v>-</v>
      </c>
      <c r="K84" s="718"/>
      <c r="L84" s="719"/>
      <c r="M84" s="648"/>
      <c r="N84" s="648"/>
      <c r="O84" s="648"/>
      <c r="P84" s="648"/>
      <c r="Q84" s="648"/>
      <c r="R84" s="647"/>
      <c r="S84" s="647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81"/>
      <c r="B85" s="682"/>
      <c r="C85" s="682"/>
      <c r="D85" s="682"/>
      <c r="E85" s="682"/>
      <c r="F85" s="683"/>
      <c r="G85" s="648"/>
      <c r="H85" s="648"/>
      <c r="I85" s="648"/>
      <c r="J85" s="714">
        <f t="shared" si="3"/>
        <v>45808</v>
      </c>
      <c r="K85" s="715"/>
      <c r="L85" s="716"/>
      <c r="M85" s="648"/>
      <c r="N85" s="648"/>
      <c r="O85" s="648"/>
      <c r="P85" s="648"/>
      <c r="Q85" s="648"/>
      <c r="R85" s="647"/>
      <c r="S85" s="647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</row>
    <row r="86" spans="1:39" ht="14.1" customHeight="1">
      <c r="A86" s="196"/>
      <c r="B86" s="196"/>
      <c r="C86" s="196"/>
      <c r="D86" s="196"/>
      <c r="E86" s="196"/>
      <c r="F86" s="196"/>
      <c r="G86" s="196"/>
      <c r="H86" s="196"/>
      <c r="I86" s="196"/>
      <c r="J86" s="197"/>
      <c r="K86" s="197"/>
      <c r="L86" s="197"/>
      <c r="M86" s="196"/>
      <c r="N86" s="196"/>
      <c r="O86" s="196"/>
      <c r="P86" s="196"/>
      <c r="Q86" s="196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</row>
    <row r="87" spans="1:39" ht="15.95" customHeight="1">
      <c r="A87" s="624" t="str">
        <f>A28</f>
        <v>DETALII FACTURA FACTURA FISCALA SERIA …........ NR …................. din date de ….......06.2025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4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4"/>
      <c r="AL87" s="624"/>
      <c r="AM87" s="624"/>
    </row>
    <row r="89" spans="1:39" ht="36" customHeight="1">
      <c r="A89" s="66" t="s">
        <v>721</v>
      </c>
      <c r="B89" s="648" t="s">
        <v>95</v>
      </c>
      <c r="C89" s="648"/>
      <c r="D89" s="648"/>
      <c r="E89" s="648"/>
      <c r="F89" s="648"/>
      <c r="G89" s="648"/>
      <c r="H89" s="648"/>
      <c r="I89" s="648"/>
      <c r="J89" s="648"/>
      <c r="K89" s="648"/>
      <c r="L89" s="64" t="s">
        <v>709</v>
      </c>
      <c r="M89" s="69"/>
      <c r="N89" s="69"/>
      <c r="O89" s="64"/>
      <c r="P89" s="69"/>
      <c r="Q89" s="69"/>
      <c r="R89" s="647" t="s">
        <v>722</v>
      </c>
      <c r="S89" s="647"/>
      <c r="T89" s="647"/>
      <c r="U89" s="647"/>
      <c r="V89" s="648" t="s">
        <v>519</v>
      </c>
      <c r="W89" s="648"/>
      <c r="X89" s="647" t="s">
        <v>723</v>
      </c>
      <c r="Y89" s="647"/>
      <c r="Z89" s="647"/>
      <c r="AA89" s="647"/>
      <c r="AB89" s="647" t="s">
        <v>724</v>
      </c>
      <c r="AC89" s="647"/>
      <c r="AD89" s="647"/>
      <c r="AE89" s="647"/>
      <c r="AF89" s="647" t="s">
        <v>725</v>
      </c>
      <c r="AG89" s="647"/>
      <c r="AH89" s="647"/>
      <c r="AI89" s="647"/>
      <c r="AJ89" s="647" t="s">
        <v>726</v>
      </c>
      <c r="AK89" s="647"/>
      <c r="AL89" s="647"/>
      <c r="AM89" s="647"/>
    </row>
    <row r="90" spans="1:39" ht="15.95" customHeight="1">
      <c r="A90" s="65">
        <v>1</v>
      </c>
      <c r="B90" s="699" t="s">
        <v>71</v>
      </c>
      <c r="C90" s="700"/>
      <c r="D90" s="700"/>
      <c r="E90" s="700"/>
      <c r="F90" s="700"/>
      <c r="G90" s="700"/>
      <c r="H90" s="700"/>
      <c r="I90" s="700"/>
      <c r="J90" s="700"/>
      <c r="K90" s="701"/>
      <c r="L90" s="702">
        <f>'Date masura OD'!$I$5</f>
        <v>45778</v>
      </c>
      <c r="M90" s="702"/>
      <c r="N90" s="702"/>
      <c r="O90" s="702">
        <f>'Date masura OD'!$J$5</f>
        <v>45808</v>
      </c>
      <c r="P90" s="702"/>
      <c r="Q90" s="702"/>
      <c r="R90" s="690" cm="1">
        <f t="array" ref="R90">INDEX(verificare!$AT$4:$CC$33,VLOOKUP($AA$16,verificare!$AR$4:$AS$33,2,FALSE),A90)</f>
        <v>10441</v>
      </c>
      <c r="S90" s="690"/>
      <c r="T90" s="690"/>
      <c r="U90" s="690"/>
      <c r="V90" s="658" t="s">
        <v>446</v>
      </c>
      <c r="W90" s="658"/>
      <c r="X90" s="691">
        <f>HLOOKUP(VLOOKUP($AA$16,'Date SPV'!$B:$F,5,FALSE),'Preturi si tarife'!$C$2:$J$39,A90+2,FALSE)</f>
        <v>0.59499999999999997</v>
      </c>
      <c r="Y90" s="692"/>
      <c r="Z90" s="692"/>
      <c r="AA90" s="693"/>
      <c r="AB90" s="690">
        <f>ROUND(X90*R90,2)</f>
        <v>6212.4</v>
      </c>
      <c r="AC90" s="690"/>
      <c r="AD90" s="690"/>
      <c r="AE90" s="690"/>
      <c r="AF90" s="690">
        <f>ROUND(AB90*19%,2)</f>
        <v>1180.3599999999999</v>
      </c>
      <c r="AG90" s="690"/>
      <c r="AH90" s="690"/>
      <c r="AI90" s="690"/>
      <c r="AJ90" s="690">
        <f>AB90+AF90</f>
        <v>7392.7599999999993</v>
      </c>
      <c r="AK90" s="690"/>
      <c r="AL90" s="690"/>
      <c r="AM90" s="690"/>
    </row>
    <row r="91" spans="1:39" ht="15.95" customHeight="1">
      <c r="A91" s="65">
        <f>A90+1</f>
        <v>2</v>
      </c>
      <c r="B91" s="699" t="s">
        <v>72</v>
      </c>
      <c r="C91" s="700"/>
      <c r="D91" s="700"/>
      <c r="E91" s="700"/>
      <c r="F91" s="700"/>
      <c r="G91" s="700"/>
      <c r="H91" s="700"/>
      <c r="I91" s="700"/>
      <c r="J91" s="700"/>
      <c r="K91" s="701"/>
      <c r="L91" s="702">
        <f>L90</f>
        <v>45778</v>
      </c>
      <c r="M91" s="702"/>
      <c r="N91" s="702"/>
      <c r="O91" s="702">
        <f>O90</f>
        <v>45808</v>
      </c>
      <c r="P91" s="702"/>
      <c r="Q91" s="702"/>
      <c r="R91" s="690" cm="1">
        <f t="array" ref="R91">INDEX(verificare!$AT$4:$CC$33,VLOOKUP($AA$16,verificare!$AR$4:$AS$33,2,FALSE),A91)</f>
        <v>0</v>
      </c>
      <c r="S91" s="690"/>
      <c r="T91" s="690"/>
      <c r="U91" s="690"/>
      <c r="V91" s="658" t="s">
        <v>727</v>
      </c>
      <c r="W91" s="658"/>
      <c r="X91" s="691">
        <f>HLOOKUP(VLOOKUP($AA$16,'Date SPV'!$B:$F,5,FALSE),'Preturi si tarife'!$C$2:$J$39,A91+2,FALSE)</f>
        <v>0.14649999999999999</v>
      </c>
      <c r="Y91" s="692"/>
      <c r="Z91" s="692"/>
      <c r="AA91" s="693"/>
      <c r="AB91" s="690">
        <f t="shared" ref="AB91:AB117" si="4">ROUND(X91*R91,2)</f>
        <v>0</v>
      </c>
      <c r="AC91" s="690"/>
      <c r="AD91" s="690"/>
      <c r="AE91" s="690"/>
      <c r="AF91" s="690">
        <f t="shared" ref="AF91:AF117" si="5">ROUND(AB91*19%,2)</f>
        <v>0</v>
      </c>
      <c r="AG91" s="690"/>
      <c r="AH91" s="690"/>
      <c r="AI91" s="690"/>
      <c r="AJ91" s="690">
        <f t="shared" ref="AJ91:AJ117" si="6">AB91+AF91</f>
        <v>0</v>
      </c>
      <c r="AK91" s="690"/>
      <c r="AL91" s="690"/>
      <c r="AM91" s="690"/>
    </row>
    <row r="92" spans="1:39" ht="15.95" customHeight="1">
      <c r="A92" s="65">
        <f t="shared" ref="A92:A127" si="7">A91+1</f>
        <v>3</v>
      </c>
      <c r="B92" s="699" t="s">
        <v>73</v>
      </c>
      <c r="C92" s="700"/>
      <c r="D92" s="700"/>
      <c r="E92" s="700"/>
      <c r="F92" s="700"/>
      <c r="G92" s="700"/>
      <c r="H92" s="700"/>
      <c r="I92" s="700"/>
      <c r="J92" s="700"/>
      <c r="K92" s="701"/>
      <c r="L92" s="702">
        <f t="shared" ref="L92:L100" si="8">L91</f>
        <v>45778</v>
      </c>
      <c r="M92" s="702"/>
      <c r="N92" s="702"/>
      <c r="O92" s="702">
        <f t="shared" ref="O92:O100" si="9">O91</f>
        <v>45808</v>
      </c>
      <c r="P92" s="702"/>
      <c r="Q92" s="702"/>
      <c r="R92" s="690" cm="1">
        <f t="array" ref="R92">INDEX(verificare!$AT$4:$CC$33,VLOOKUP($AA$16,verificare!$AR$4:$AS$33,2,FALSE),A92)</f>
        <v>0</v>
      </c>
      <c r="S92" s="690"/>
      <c r="T92" s="690"/>
      <c r="U92" s="690"/>
      <c r="V92" s="658" t="s">
        <v>727</v>
      </c>
      <c r="W92" s="658"/>
      <c r="X92" s="691">
        <f>HLOOKUP(VLOOKUP($AA$16,'Date SPV'!$B:$F,5,FALSE),'Preturi si tarife'!$C$2:$J$39,A92+2,FALSE)</f>
        <v>0.4395</v>
      </c>
      <c r="Y92" s="692"/>
      <c r="Z92" s="692"/>
      <c r="AA92" s="693"/>
      <c r="AB92" s="690">
        <f t="shared" si="4"/>
        <v>0</v>
      </c>
      <c r="AC92" s="690"/>
      <c r="AD92" s="690"/>
      <c r="AE92" s="690"/>
      <c r="AF92" s="690">
        <f t="shared" si="5"/>
        <v>0</v>
      </c>
      <c r="AG92" s="690"/>
      <c r="AH92" s="690"/>
      <c r="AI92" s="690"/>
      <c r="AJ92" s="690">
        <f t="shared" si="6"/>
        <v>0</v>
      </c>
      <c r="AK92" s="690"/>
      <c r="AL92" s="690"/>
      <c r="AM92" s="690"/>
    </row>
    <row r="93" spans="1:39" ht="15.95" customHeight="1">
      <c r="A93" s="65">
        <f t="shared" si="7"/>
        <v>4</v>
      </c>
      <c r="B93" s="699" t="s">
        <v>868</v>
      </c>
      <c r="C93" s="700"/>
      <c r="D93" s="700"/>
      <c r="E93" s="700"/>
      <c r="F93" s="700"/>
      <c r="G93" s="700"/>
      <c r="H93" s="700"/>
      <c r="I93" s="700"/>
      <c r="J93" s="700"/>
      <c r="K93" s="701"/>
      <c r="L93" s="702">
        <f t="shared" si="8"/>
        <v>45778</v>
      </c>
      <c r="M93" s="702"/>
      <c r="N93" s="702"/>
      <c r="O93" s="702">
        <f t="shared" si="9"/>
        <v>45808</v>
      </c>
      <c r="P93" s="702"/>
      <c r="Q93" s="702"/>
      <c r="R93" s="690" cm="1">
        <f t="array" ref="R93">INDEX(verificare!$AT$4:$CC$33,VLOOKUP($AA$16,verificare!$AR$4:$AS$33,2,FALSE),A93)</f>
        <v>10441</v>
      </c>
      <c r="S93" s="690"/>
      <c r="T93" s="690"/>
      <c r="U93" s="690"/>
      <c r="V93" s="658" t="s">
        <v>446</v>
      </c>
      <c r="W93" s="658"/>
      <c r="X93" s="691">
        <f>HLOOKUP(VLOOKUP($AA$16,'Date SPV'!$B:$F,5,FALSE),'Preturi si tarife'!$C$2:$J$39,A93+2,FALSE)</f>
        <v>0.11483</v>
      </c>
      <c r="Y93" s="692"/>
      <c r="Z93" s="692"/>
      <c r="AA93" s="693"/>
      <c r="AB93" s="690">
        <f t="shared" si="4"/>
        <v>1198.94</v>
      </c>
      <c r="AC93" s="690"/>
      <c r="AD93" s="690"/>
      <c r="AE93" s="690"/>
      <c r="AF93" s="690">
        <f t="shared" si="5"/>
        <v>227.8</v>
      </c>
      <c r="AG93" s="690"/>
      <c r="AH93" s="690"/>
      <c r="AI93" s="690"/>
      <c r="AJ93" s="690">
        <f t="shared" si="6"/>
        <v>1426.74</v>
      </c>
      <c r="AK93" s="690"/>
      <c r="AL93" s="690"/>
      <c r="AM93" s="690"/>
    </row>
    <row r="94" spans="1:39" ht="15.95" customHeight="1">
      <c r="A94" s="65">
        <f t="shared" si="7"/>
        <v>5</v>
      </c>
      <c r="B94" s="699" t="s">
        <v>757</v>
      </c>
      <c r="C94" s="700"/>
      <c r="D94" s="700"/>
      <c r="E94" s="700"/>
      <c r="F94" s="700"/>
      <c r="G94" s="700"/>
      <c r="H94" s="700"/>
      <c r="I94" s="700"/>
      <c r="J94" s="700"/>
      <c r="K94" s="701"/>
      <c r="L94" s="702">
        <f t="shared" si="8"/>
        <v>45778</v>
      </c>
      <c r="M94" s="702"/>
      <c r="N94" s="702"/>
      <c r="O94" s="702">
        <f t="shared" si="9"/>
        <v>45808</v>
      </c>
      <c r="P94" s="702"/>
      <c r="Q94" s="702"/>
      <c r="R94" s="690" cm="1">
        <f t="array" ref="R94">INDEX(verificare!$AT$4:$CC$33,VLOOKUP($AA$16,verificare!$AR$4:$AS$33,2,FALSE),A94)</f>
        <v>0</v>
      </c>
      <c r="S94" s="690"/>
      <c r="T94" s="690"/>
      <c r="U94" s="690"/>
      <c r="V94" s="658" t="s">
        <v>446</v>
      </c>
      <c r="W94" s="658"/>
      <c r="X94" s="691">
        <f>HLOOKUP(VLOOKUP($AA$16,'Date SPV'!$B:$F,5,FALSE),'Preturi si tarife'!$C$2:$J$39,A94+2,FALSE)</f>
        <v>0.2361</v>
      </c>
      <c r="Y94" s="692"/>
      <c r="Z94" s="692"/>
      <c r="AA94" s="693"/>
      <c r="AB94" s="690">
        <f t="shared" si="4"/>
        <v>0</v>
      </c>
      <c r="AC94" s="690"/>
      <c r="AD94" s="690"/>
      <c r="AE94" s="690"/>
      <c r="AF94" s="690">
        <f t="shared" si="5"/>
        <v>0</v>
      </c>
      <c r="AG94" s="690"/>
      <c r="AH94" s="690"/>
      <c r="AI94" s="690"/>
      <c r="AJ94" s="690">
        <f t="shared" si="6"/>
        <v>0</v>
      </c>
      <c r="AK94" s="690"/>
      <c r="AL94" s="690"/>
      <c r="AM94" s="690"/>
    </row>
    <row r="95" spans="1:39" ht="15.95" customHeight="1">
      <c r="A95" s="65">
        <f t="shared" si="7"/>
        <v>6</v>
      </c>
      <c r="B95" s="699" t="s">
        <v>74</v>
      </c>
      <c r="C95" s="700"/>
      <c r="D95" s="700"/>
      <c r="E95" s="700"/>
      <c r="F95" s="700"/>
      <c r="G95" s="700"/>
      <c r="H95" s="700"/>
      <c r="I95" s="700"/>
      <c r="J95" s="700"/>
      <c r="K95" s="701"/>
      <c r="L95" s="702">
        <f t="shared" si="8"/>
        <v>45778</v>
      </c>
      <c r="M95" s="702"/>
      <c r="N95" s="702"/>
      <c r="O95" s="702">
        <f t="shared" si="9"/>
        <v>45808</v>
      </c>
      <c r="P95" s="702"/>
      <c r="Q95" s="702"/>
      <c r="R95" s="690" cm="1">
        <f t="array" ref="R95">INDEX(verificare!$AT$4:$CC$33,VLOOKUP($AA$16,verificare!$AR$4:$AS$33,2,FALSE),A95)</f>
        <v>10441</v>
      </c>
      <c r="S95" s="690"/>
      <c r="T95" s="690"/>
      <c r="U95" s="690"/>
      <c r="V95" s="658" t="s">
        <v>446</v>
      </c>
      <c r="W95" s="658"/>
      <c r="X95" s="691">
        <f>HLOOKUP(VLOOKUP($AA$16,'Date SPV'!$B:$F,5,FALSE),'Preturi si tarife'!$C$2:$J$39,A95+2,FALSE)</f>
        <v>1.1509999999999999E-2</v>
      </c>
      <c r="Y95" s="692"/>
      <c r="Z95" s="692"/>
      <c r="AA95" s="693"/>
      <c r="AB95" s="690">
        <f t="shared" si="4"/>
        <v>120.18</v>
      </c>
      <c r="AC95" s="690"/>
      <c r="AD95" s="690"/>
      <c r="AE95" s="690"/>
      <c r="AF95" s="690">
        <f t="shared" si="5"/>
        <v>22.83</v>
      </c>
      <c r="AG95" s="690"/>
      <c r="AH95" s="690"/>
      <c r="AI95" s="690"/>
      <c r="AJ95" s="690">
        <f t="shared" si="6"/>
        <v>143.01</v>
      </c>
      <c r="AK95" s="690"/>
      <c r="AL95" s="690"/>
      <c r="AM95" s="690"/>
    </row>
    <row r="96" spans="1:39" ht="15.95" customHeight="1">
      <c r="A96" s="65">
        <f t="shared" si="7"/>
        <v>7</v>
      </c>
      <c r="B96" s="699" t="s">
        <v>75</v>
      </c>
      <c r="C96" s="700"/>
      <c r="D96" s="700"/>
      <c r="E96" s="700"/>
      <c r="F96" s="700"/>
      <c r="G96" s="700"/>
      <c r="H96" s="700"/>
      <c r="I96" s="700"/>
      <c r="J96" s="700"/>
      <c r="K96" s="701"/>
      <c r="L96" s="702">
        <f t="shared" si="8"/>
        <v>45778</v>
      </c>
      <c r="M96" s="702"/>
      <c r="N96" s="702"/>
      <c r="O96" s="702">
        <f t="shared" si="9"/>
        <v>45808</v>
      </c>
      <c r="P96" s="702"/>
      <c r="Q96" s="702"/>
      <c r="R96" s="690" cm="1">
        <f t="array" ref="R96">INDEX(verificare!$AT$4:$CC$33,VLOOKUP($AA$16,verificare!$AR$4:$AS$33,2,FALSE),A96)</f>
        <v>10441</v>
      </c>
      <c r="S96" s="690"/>
      <c r="T96" s="690"/>
      <c r="U96" s="690"/>
      <c r="V96" s="658" t="s">
        <v>446</v>
      </c>
      <c r="W96" s="658"/>
      <c r="X96" s="691">
        <f>HLOOKUP(VLOOKUP($AA$16,'Date SPV'!$B:$F,5,FALSE),'Preturi si tarife'!$C$2:$J$39,A96+2,FALSE)</f>
        <v>3.3030000000000004E-2</v>
      </c>
      <c r="Y96" s="692"/>
      <c r="Z96" s="692"/>
      <c r="AA96" s="693"/>
      <c r="AB96" s="690">
        <f t="shared" si="4"/>
        <v>344.87</v>
      </c>
      <c r="AC96" s="690"/>
      <c r="AD96" s="690"/>
      <c r="AE96" s="690"/>
      <c r="AF96" s="690">
        <f t="shared" si="5"/>
        <v>65.53</v>
      </c>
      <c r="AG96" s="690"/>
      <c r="AH96" s="690"/>
      <c r="AI96" s="690"/>
      <c r="AJ96" s="690">
        <f t="shared" si="6"/>
        <v>410.4</v>
      </c>
      <c r="AK96" s="690"/>
      <c r="AL96" s="690"/>
      <c r="AM96" s="690"/>
    </row>
    <row r="97" spans="1:39" ht="15.95" customHeight="1">
      <c r="A97" s="65">
        <f t="shared" si="7"/>
        <v>8</v>
      </c>
      <c r="B97" s="699" t="s">
        <v>76</v>
      </c>
      <c r="C97" s="700"/>
      <c r="D97" s="700"/>
      <c r="E97" s="700"/>
      <c r="F97" s="700"/>
      <c r="G97" s="700"/>
      <c r="H97" s="700"/>
      <c r="I97" s="700"/>
      <c r="J97" s="700"/>
      <c r="K97" s="701"/>
      <c r="L97" s="702">
        <f t="shared" si="8"/>
        <v>45778</v>
      </c>
      <c r="M97" s="702"/>
      <c r="N97" s="702"/>
      <c r="O97" s="702">
        <f t="shared" si="9"/>
        <v>45808</v>
      </c>
      <c r="P97" s="702"/>
      <c r="Q97" s="702"/>
      <c r="R97" s="690" cm="1">
        <f t="array" ref="R97">INDEX(verificare!$AT$4:$CC$33,VLOOKUP($AA$16,verificare!$AR$4:$AS$33,2,FALSE),A97)</f>
        <v>10441</v>
      </c>
      <c r="S97" s="690"/>
      <c r="T97" s="690"/>
      <c r="U97" s="690"/>
      <c r="V97" s="658" t="s">
        <v>446</v>
      </c>
      <c r="W97" s="658"/>
      <c r="X97" s="691">
        <f>HLOOKUP(VLOOKUP($AA$16,'Date SPV'!$B:$F,5,FALSE),'Preturi si tarife'!$C$2:$J$39,A97+2,FALSE)</f>
        <v>3.29E-3</v>
      </c>
      <c r="Y97" s="692"/>
      <c r="Z97" s="692"/>
      <c r="AA97" s="693"/>
      <c r="AB97" s="690">
        <f t="shared" si="4"/>
        <v>34.35</v>
      </c>
      <c r="AC97" s="690"/>
      <c r="AD97" s="690"/>
      <c r="AE97" s="690"/>
      <c r="AF97" s="690">
        <f t="shared" si="5"/>
        <v>6.53</v>
      </c>
      <c r="AG97" s="690"/>
      <c r="AH97" s="690"/>
      <c r="AI97" s="690"/>
      <c r="AJ97" s="690">
        <f t="shared" si="6"/>
        <v>40.880000000000003</v>
      </c>
      <c r="AK97" s="690"/>
      <c r="AL97" s="690"/>
      <c r="AM97" s="690"/>
    </row>
    <row r="98" spans="1:39" ht="15.95" customHeight="1">
      <c r="A98" s="65">
        <f t="shared" si="7"/>
        <v>9</v>
      </c>
      <c r="B98" s="699" t="s">
        <v>77</v>
      </c>
      <c r="C98" s="700"/>
      <c r="D98" s="700"/>
      <c r="E98" s="700"/>
      <c r="F98" s="700"/>
      <c r="G98" s="700"/>
      <c r="H98" s="700"/>
      <c r="I98" s="700"/>
      <c r="J98" s="700"/>
      <c r="K98" s="701"/>
      <c r="L98" s="702">
        <f t="shared" si="8"/>
        <v>45778</v>
      </c>
      <c r="M98" s="702"/>
      <c r="N98" s="702"/>
      <c r="O98" s="702">
        <f t="shared" si="9"/>
        <v>45808</v>
      </c>
      <c r="P98" s="702"/>
      <c r="Q98" s="702"/>
      <c r="R98" s="690" cm="1">
        <f t="array" ref="R98">INDEX(verificare!$AT$4:$CC$33,VLOOKUP($AA$16,verificare!$AR$4:$AS$33,2,FALSE),A98)</f>
        <v>10441</v>
      </c>
      <c r="S98" s="690"/>
      <c r="T98" s="690"/>
      <c r="U98" s="690"/>
      <c r="V98" s="658" t="s">
        <v>446</v>
      </c>
      <c r="W98" s="658"/>
      <c r="X98" s="691">
        <f>HLOOKUP(VLOOKUP($AA$16,'Date SPV'!$B:$F,5,FALSE),'Preturi si tarife'!$C$2:$J$39,A98+2,FALSE)</f>
        <v>3.5000000000000001E-3</v>
      </c>
      <c r="Y98" s="692"/>
      <c r="Z98" s="692"/>
      <c r="AA98" s="693"/>
      <c r="AB98" s="690">
        <f t="shared" si="4"/>
        <v>36.54</v>
      </c>
      <c r="AC98" s="690"/>
      <c r="AD98" s="690"/>
      <c r="AE98" s="690"/>
      <c r="AF98" s="690">
        <f t="shared" si="5"/>
        <v>6.94</v>
      </c>
      <c r="AG98" s="690"/>
      <c r="AH98" s="690"/>
      <c r="AI98" s="690"/>
      <c r="AJ98" s="690">
        <f t="shared" si="6"/>
        <v>43.48</v>
      </c>
      <c r="AK98" s="690"/>
      <c r="AL98" s="690"/>
      <c r="AM98" s="690"/>
    </row>
    <row r="99" spans="1:39" ht="15.95" customHeight="1">
      <c r="A99" s="65">
        <f t="shared" si="7"/>
        <v>10</v>
      </c>
      <c r="B99" s="699" t="s">
        <v>78</v>
      </c>
      <c r="C99" s="700"/>
      <c r="D99" s="700"/>
      <c r="E99" s="700"/>
      <c r="F99" s="700"/>
      <c r="G99" s="700"/>
      <c r="H99" s="700"/>
      <c r="I99" s="700"/>
      <c r="J99" s="700"/>
      <c r="K99" s="701"/>
      <c r="L99" s="702">
        <f t="shared" si="8"/>
        <v>45778</v>
      </c>
      <c r="M99" s="702"/>
      <c r="N99" s="702"/>
      <c r="O99" s="702">
        <f t="shared" si="9"/>
        <v>45808</v>
      </c>
      <c r="P99" s="702"/>
      <c r="Q99" s="702"/>
      <c r="R99" s="690" cm="1">
        <f t="array" ref="R99">INDEX(verificare!$AT$4:$CC$33,VLOOKUP($AA$16,verificare!$AR$4:$AS$33,2,FALSE),A99)</f>
        <v>10441</v>
      </c>
      <c r="S99" s="690"/>
      <c r="T99" s="690"/>
      <c r="U99" s="690"/>
      <c r="V99" s="658" t="s">
        <v>446</v>
      </c>
      <c r="W99" s="658"/>
      <c r="X99" s="691">
        <f>HLOOKUP(VLOOKUP($AA$16,'Date SPV'!$B:$F,5,FALSE),'Preturi si tarife'!$C$2:$J$39,A99+2,FALSE)</f>
        <v>7.2541599999999998E-2</v>
      </c>
      <c r="Y99" s="692"/>
      <c r="Z99" s="692"/>
      <c r="AA99" s="693"/>
      <c r="AB99" s="690">
        <f t="shared" si="4"/>
        <v>757.41</v>
      </c>
      <c r="AC99" s="690"/>
      <c r="AD99" s="690"/>
      <c r="AE99" s="690"/>
      <c r="AF99" s="690">
        <f t="shared" si="5"/>
        <v>143.91</v>
      </c>
      <c r="AG99" s="690"/>
      <c r="AH99" s="690"/>
      <c r="AI99" s="690"/>
      <c r="AJ99" s="690">
        <f t="shared" si="6"/>
        <v>901.31999999999994</v>
      </c>
      <c r="AK99" s="690"/>
      <c r="AL99" s="690"/>
      <c r="AM99" s="690"/>
    </row>
    <row r="100" spans="1:39" ht="15.95" customHeight="1">
      <c r="A100" s="65">
        <f t="shared" si="7"/>
        <v>11</v>
      </c>
      <c r="B100" s="699" t="s">
        <v>1313</v>
      </c>
      <c r="C100" s="700"/>
      <c r="D100" s="700"/>
      <c r="E100" s="700"/>
      <c r="F100" s="700"/>
      <c r="G100" s="700"/>
      <c r="H100" s="700"/>
      <c r="I100" s="700"/>
      <c r="J100" s="700"/>
      <c r="K100" s="701"/>
      <c r="L100" s="702">
        <f t="shared" si="8"/>
        <v>45778</v>
      </c>
      <c r="M100" s="702"/>
      <c r="N100" s="702"/>
      <c r="O100" s="702">
        <f t="shared" si="9"/>
        <v>45808</v>
      </c>
      <c r="P100" s="702"/>
      <c r="Q100" s="702"/>
      <c r="R100" s="690" cm="1">
        <f t="array" ref="R100">INDEX(verificare!$AT$4:$CC$33,VLOOKUP($AA$16,verificare!$AR$4:$AS$33,2,FALSE),A100)</f>
        <v>10441</v>
      </c>
      <c r="S100" s="690"/>
      <c r="T100" s="690"/>
      <c r="U100" s="690"/>
      <c r="V100" s="724" t="s">
        <v>446</v>
      </c>
      <c r="W100" s="725"/>
      <c r="X100" s="691">
        <f>HLOOKUP(VLOOKUP($AA$16,'Date SPV'!$B:$F,5,FALSE),'Preturi si tarife'!$C$2:$J$39,A100+2,FALSE)</f>
        <v>2.0599999999999999E-4</v>
      </c>
      <c r="Y100" s="692"/>
      <c r="Z100" s="692"/>
      <c r="AA100" s="693"/>
      <c r="AB100" s="772">
        <f t="shared" si="4"/>
        <v>2.15</v>
      </c>
      <c r="AC100" s="773"/>
      <c r="AD100" s="773"/>
      <c r="AE100" s="774"/>
      <c r="AF100" s="772">
        <f t="shared" si="5"/>
        <v>0.41</v>
      </c>
      <c r="AG100" s="773"/>
      <c r="AH100" s="773"/>
      <c r="AI100" s="774"/>
      <c r="AJ100" s="772">
        <f t="shared" si="6"/>
        <v>2.56</v>
      </c>
      <c r="AK100" s="773"/>
      <c r="AL100" s="773"/>
      <c r="AM100" s="774"/>
    </row>
    <row r="101" spans="1:39" ht="15.95" customHeight="1">
      <c r="A101" s="65">
        <f t="shared" si="7"/>
        <v>12</v>
      </c>
      <c r="B101" s="699" t="s">
        <v>79</v>
      </c>
      <c r="C101" s="700"/>
      <c r="D101" s="700"/>
      <c r="E101" s="700"/>
      <c r="F101" s="700"/>
      <c r="G101" s="700"/>
      <c r="H101" s="700"/>
      <c r="I101" s="700"/>
      <c r="J101" s="700"/>
      <c r="K101" s="701"/>
      <c r="L101" s="702">
        <f>L99</f>
        <v>45778</v>
      </c>
      <c r="M101" s="702"/>
      <c r="N101" s="702"/>
      <c r="O101" s="702">
        <f>O99</f>
        <v>45808</v>
      </c>
      <c r="P101" s="702"/>
      <c r="Q101" s="702"/>
      <c r="R101" s="690" cm="1">
        <f t="array" ref="R101">INDEX(verificare!$AT$4:$CC$33,VLOOKUP($AA$16,verificare!$AR$4:$AS$33,2,FALSE),A101)</f>
        <v>10441</v>
      </c>
      <c r="S101" s="690"/>
      <c r="T101" s="690"/>
      <c r="U101" s="690"/>
      <c r="V101" s="658" t="s">
        <v>446</v>
      </c>
      <c r="W101" s="658"/>
      <c r="X101" s="691">
        <f>HLOOKUP(VLOOKUP($AA$16,'Date SPV'!$B:$F,5,FALSE),'Preturi si tarife'!$C$2:$J$39,A101+2,FALSE)</f>
        <v>0</v>
      </c>
      <c r="Y101" s="692"/>
      <c r="Z101" s="692"/>
      <c r="AA101" s="693"/>
      <c r="AB101" s="690">
        <f t="shared" si="4"/>
        <v>0</v>
      </c>
      <c r="AC101" s="690"/>
      <c r="AD101" s="690"/>
      <c r="AE101" s="690"/>
      <c r="AF101" s="690">
        <f t="shared" si="5"/>
        <v>0</v>
      </c>
      <c r="AG101" s="690"/>
      <c r="AH101" s="690"/>
      <c r="AI101" s="690"/>
      <c r="AJ101" s="690">
        <f t="shared" si="6"/>
        <v>0</v>
      </c>
      <c r="AK101" s="690"/>
      <c r="AL101" s="690"/>
      <c r="AM101" s="690"/>
    </row>
    <row r="102" spans="1:39" ht="15.95" customHeight="1">
      <c r="A102" s="65">
        <f t="shared" si="7"/>
        <v>13</v>
      </c>
      <c r="B102" s="699" t="s">
        <v>80</v>
      </c>
      <c r="C102" s="700"/>
      <c r="D102" s="700"/>
      <c r="E102" s="700"/>
      <c r="F102" s="700"/>
      <c r="G102" s="700"/>
      <c r="H102" s="700"/>
      <c r="I102" s="700"/>
      <c r="J102" s="700"/>
      <c r="K102" s="701"/>
      <c r="L102" s="702">
        <f t="shared" ref="L102:L107" si="10">L101</f>
        <v>45778</v>
      </c>
      <c r="M102" s="702"/>
      <c r="N102" s="702"/>
      <c r="O102" s="702">
        <f t="shared" ref="O102:O107" si="11">O101</f>
        <v>45808</v>
      </c>
      <c r="P102" s="702"/>
      <c r="Q102" s="702"/>
      <c r="R102" s="690" cm="1">
        <f t="array" ref="R102">INDEX(verificare!$AT$4:$CC$33,VLOOKUP($AA$16,verificare!$AR$4:$AS$33,2,FALSE),A102)</f>
        <v>10441</v>
      </c>
      <c r="S102" s="690"/>
      <c r="T102" s="690"/>
      <c r="U102" s="690"/>
      <c r="V102" s="658" t="s">
        <v>446</v>
      </c>
      <c r="W102" s="658"/>
      <c r="X102" s="691">
        <f>HLOOKUP(VLOOKUP($AA$16,'Date SPV'!$B:$F,5,FALSE),'Preturi si tarife'!$C$2:$J$39,A102+2,FALSE)</f>
        <v>1.26E-2</v>
      </c>
      <c r="Y102" s="692"/>
      <c r="Z102" s="692"/>
      <c r="AA102" s="693"/>
      <c r="AB102" s="690">
        <f t="shared" si="4"/>
        <v>131.56</v>
      </c>
      <c r="AC102" s="690"/>
      <c r="AD102" s="690"/>
      <c r="AE102" s="690"/>
      <c r="AF102" s="690">
        <f t="shared" si="5"/>
        <v>25</v>
      </c>
      <c r="AG102" s="690"/>
      <c r="AH102" s="690"/>
      <c r="AI102" s="690"/>
      <c r="AJ102" s="690">
        <f t="shared" si="6"/>
        <v>156.56</v>
      </c>
      <c r="AK102" s="690"/>
      <c r="AL102" s="690"/>
      <c r="AM102" s="690"/>
    </row>
    <row r="103" spans="1:39" ht="15.95" customHeight="1">
      <c r="A103" s="65">
        <f t="shared" si="7"/>
        <v>14</v>
      </c>
      <c r="B103" s="699" t="s">
        <v>81</v>
      </c>
      <c r="C103" s="700"/>
      <c r="D103" s="700"/>
      <c r="E103" s="700"/>
      <c r="F103" s="700"/>
      <c r="G103" s="700"/>
      <c r="H103" s="700"/>
      <c r="I103" s="700"/>
      <c r="J103" s="700"/>
      <c r="K103" s="701"/>
      <c r="L103" s="702">
        <f t="shared" si="10"/>
        <v>45778</v>
      </c>
      <c r="M103" s="702"/>
      <c r="N103" s="702"/>
      <c r="O103" s="702">
        <f t="shared" si="11"/>
        <v>45808</v>
      </c>
      <c r="P103" s="702"/>
      <c r="Q103" s="702"/>
      <c r="R103" s="690" cm="1">
        <f t="array" ref="R103">INDEX(verificare!$AT$4:$CC$33,VLOOKUP($AA$16,verificare!$AR$4:$AS$33,2,FALSE),A103)</f>
        <v>10441</v>
      </c>
      <c r="S103" s="690"/>
      <c r="T103" s="690"/>
      <c r="U103" s="690"/>
      <c r="V103" s="658" t="s">
        <v>446</v>
      </c>
      <c r="W103" s="658"/>
      <c r="X103" s="691">
        <f>HLOOKUP(VLOOKUP($AA$16,'Date SPV'!$B:$F,5,FALSE),'Preturi si tarife'!$C$2:$J$39,A103+2,FALSE)</f>
        <v>9.2700000000000005E-2</v>
      </c>
      <c r="Y103" s="692"/>
      <c r="Z103" s="692"/>
      <c r="AA103" s="693"/>
      <c r="AB103" s="690">
        <f t="shared" si="4"/>
        <v>967.88</v>
      </c>
      <c r="AC103" s="690"/>
      <c r="AD103" s="690"/>
      <c r="AE103" s="690"/>
      <c r="AF103" s="690">
        <f t="shared" si="5"/>
        <v>183.9</v>
      </c>
      <c r="AG103" s="690"/>
      <c r="AH103" s="690"/>
      <c r="AI103" s="690"/>
      <c r="AJ103" s="690">
        <f t="shared" si="6"/>
        <v>1151.78</v>
      </c>
      <c r="AK103" s="690"/>
      <c r="AL103" s="690"/>
      <c r="AM103" s="690"/>
    </row>
    <row r="104" spans="1:39" ht="15.95" customHeight="1">
      <c r="A104" s="65">
        <f t="shared" si="7"/>
        <v>15</v>
      </c>
      <c r="B104" s="699" t="s">
        <v>82</v>
      </c>
      <c r="C104" s="700"/>
      <c r="D104" s="700"/>
      <c r="E104" s="700"/>
      <c r="F104" s="700"/>
      <c r="G104" s="700"/>
      <c r="H104" s="700"/>
      <c r="I104" s="700"/>
      <c r="J104" s="700"/>
      <c r="K104" s="701"/>
      <c r="L104" s="702">
        <f t="shared" si="10"/>
        <v>45778</v>
      </c>
      <c r="M104" s="702"/>
      <c r="N104" s="702"/>
      <c r="O104" s="702">
        <f t="shared" si="11"/>
        <v>45808</v>
      </c>
      <c r="P104" s="702"/>
      <c r="Q104" s="702"/>
      <c r="R104" s="690" cm="1">
        <f t="array" ref="R104">INDEX(verificare!$AT$4:$CC$33,VLOOKUP($AA$16,verificare!$AR$4:$AS$33,2,FALSE),A104)</f>
        <v>19977</v>
      </c>
      <c r="S104" s="690"/>
      <c r="T104" s="690"/>
      <c r="U104" s="690"/>
      <c r="V104" s="658" t="s">
        <v>446</v>
      </c>
      <c r="W104" s="658"/>
      <c r="X104" s="691">
        <f>HLOOKUP(VLOOKUP($AA$16,'Date SPV'!$B:$F,5,FALSE),'Preturi si tarife'!$C$2:$J$39,A104+2,FALSE)</f>
        <v>0.93920760000000003</v>
      </c>
      <c r="Y104" s="692"/>
      <c r="Z104" s="692"/>
      <c r="AA104" s="693"/>
      <c r="AB104" s="690">
        <f t="shared" si="4"/>
        <v>18762.55</v>
      </c>
      <c r="AC104" s="690"/>
      <c r="AD104" s="690"/>
      <c r="AE104" s="690"/>
      <c r="AF104" s="690">
        <f t="shared" si="5"/>
        <v>3564.88</v>
      </c>
      <c r="AG104" s="690"/>
      <c r="AH104" s="690"/>
      <c r="AI104" s="690"/>
      <c r="AJ104" s="690">
        <f t="shared" si="6"/>
        <v>22327.43</v>
      </c>
      <c r="AK104" s="690"/>
      <c r="AL104" s="690"/>
      <c r="AM104" s="690"/>
    </row>
    <row r="105" spans="1:39" ht="15.95" customHeight="1">
      <c r="A105" s="65">
        <f t="shared" si="7"/>
        <v>16</v>
      </c>
      <c r="B105" s="699" t="s">
        <v>83</v>
      </c>
      <c r="C105" s="700"/>
      <c r="D105" s="700"/>
      <c r="E105" s="700"/>
      <c r="F105" s="700"/>
      <c r="G105" s="700"/>
      <c r="H105" s="700"/>
      <c r="I105" s="700"/>
      <c r="J105" s="700"/>
      <c r="K105" s="701"/>
      <c r="L105" s="702">
        <f t="shared" si="10"/>
        <v>45778</v>
      </c>
      <c r="M105" s="702"/>
      <c r="N105" s="702"/>
      <c r="O105" s="702">
        <f t="shared" si="11"/>
        <v>45808</v>
      </c>
      <c r="P105" s="702"/>
      <c r="Q105" s="702"/>
      <c r="R105" s="690" cm="1">
        <f t="array" ref="R105">INDEX(verificare!$AT$4:$CC$33,VLOOKUP($AA$16,verificare!$AR$4:$AS$33,2,FALSE),A105)</f>
        <v>0</v>
      </c>
      <c r="S105" s="690"/>
      <c r="T105" s="690"/>
      <c r="U105" s="690"/>
      <c r="V105" s="658" t="s">
        <v>446</v>
      </c>
      <c r="W105" s="658"/>
      <c r="X105" s="691">
        <f>HLOOKUP(VLOOKUP($AA$16,'Date SPV'!$B:$F,5,FALSE),'Preturi si tarife'!$C$2:$J$39,A105+2,FALSE)</f>
        <v>0.83390760000000008</v>
      </c>
      <c r="Y105" s="692"/>
      <c r="Z105" s="692"/>
      <c r="AA105" s="693"/>
      <c r="AB105" s="690">
        <f t="shared" si="4"/>
        <v>0</v>
      </c>
      <c r="AC105" s="690"/>
      <c r="AD105" s="690"/>
      <c r="AE105" s="690"/>
      <c r="AF105" s="690">
        <f t="shared" si="5"/>
        <v>0</v>
      </c>
      <c r="AG105" s="690"/>
      <c r="AH105" s="690"/>
      <c r="AI105" s="690"/>
      <c r="AJ105" s="690">
        <f t="shared" si="6"/>
        <v>0</v>
      </c>
      <c r="AK105" s="690"/>
      <c r="AL105" s="690"/>
      <c r="AM105" s="690"/>
    </row>
    <row r="106" spans="1:39" ht="15.95" customHeight="1">
      <c r="A106" s="65">
        <f t="shared" si="7"/>
        <v>17</v>
      </c>
      <c r="B106" s="699" t="s">
        <v>1129</v>
      </c>
      <c r="C106" s="700"/>
      <c r="D106" s="700"/>
      <c r="E106" s="700"/>
      <c r="F106" s="700"/>
      <c r="G106" s="700"/>
      <c r="H106" s="700"/>
      <c r="I106" s="700"/>
      <c r="J106" s="700"/>
      <c r="K106" s="701"/>
      <c r="L106" s="702">
        <f t="shared" si="10"/>
        <v>45778</v>
      </c>
      <c r="M106" s="702"/>
      <c r="N106" s="702"/>
      <c r="O106" s="702">
        <f t="shared" si="11"/>
        <v>45808</v>
      </c>
      <c r="P106" s="702"/>
      <c r="Q106" s="702"/>
      <c r="R106" s="690" cm="1">
        <f t="array" ref="R106">INDEX(verificare!$AT$4:$CC$33,VLOOKUP($AA$16,verificare!$AR$4:$AS$33,2,FALSE),A106)</f>
        <v>0</v>
      </c>
      <c r="S106" s="690"/>
      <c r="T106" s="690"/>
      <c r="U106" s="690"/>
      <c r="V106" s="658" t="s">
        <v>446</v>
      </c>
      <c r="W106" s="658"/>
      <c r="X106" s="691">
        <f>HLOOKUP(VLOOKUP($AA$16,'Date SPV'!$B:$F,5,FALSE),'Preturi si tarife'!$C$2:$J$39,A106+2,FALSE)</f>
        <v>1.26E-2</v>
      </c>
      <c r="Y106" s="692"/>
      <c r="Z106" s="692"/>
      <c r="AA106" s="693"/>
      <c r="AB106" s="690">
        <f t="shared" si="4"/>
        <v>0</v>
      </c>
      <c r="AC106" s="690"/>
      <c r="AD106" s="690"/>
      <c r="AE106" s="690"/>
      <c r="AF106" s="690">
        <f t="shared" si="5"/>
        <v>0</v>
      </c>
      <c r="AG106" s="690"/>
      <c r="AH106" s="690"/>
      <c r="AI106" s="690"/>
      <c r="AJ106" s="690">
        <f t="shared" si="6"/>
        <v>0</v>
      </c>
      <c r="AK106" s="690"/>
      <c r="AL106" s="690"/>
      <c r="AM106" s="690"/>
    </row>
    <row r="107" spans="1:39" ht="15.95" customHeight="1">
      <c r="A107" s="65">
        <f t="shared" si="7"/>
        <v>18</v>
      </c>
      <c r="B107" s="699" t="s">
        <v>1130</v>
      </c>
      <c r="C107" s="700"/>
      <c r="D107" s="700"/>
      <c r="E107" s="700"/>
      <c r="F107" s="700"/>
      <c r="G107" s="700"/>
      <c r="H107" s="700"/>
      <c r="I107" s="700"/>
      <c r="J107" s="700"/>
      <c r="K107" s="701"/>
      <c r="L107" s="702">
        <f t="shared" si="10"/>
        <v>45778</v>
      </c>
      <c r="M107" s="702"/>
      <c r="N107" s="702"/>
      <c r="O107" s="702">
        <f t="shared" si="11"/>
        <v>45808</v>
      </c>
      <c r="P107" s="702"/>
      <c r="Q107" s="702"/>
      <c r="R107" s="690" cm="1">
        <f t="array" ref="R107">INDEX(verificare!$AT$4:$CC$33,VLOOKUP($AA$16,verificare!$AR$4:$AS$33,2,FALSE),A107)</f>
        <v>0</v>
      </c>
      <c r="S107" s="690"/>
      <c r="T107" s="690"/>
      <c r="U107" s="690"/>
      <c r="V107" s="658" t="s">
        <v>446</v>
      </c>
      <c r="W107" s="658"/>
      <c r="X107" s="691">
        <f>HLOOKUP(VLOOKUP($AA$16,'Date SPV'!$B:$F,5,FALSE),'Preturi si tarife'!$C$2:$J$39,A107+2,FALSE)</f>
        <v>9.2700000000000005E-2</v>
      </c>
      <c r="Y107" s="692"/>
      <c r="Z107" s="692"/>
      <c r="AA107" s="693"/>
      <c r="AB107" s="690">
        <f t="shared" si="4"/>
        <v>0</v>
      </c>
      <c r="AC107" s="690"/>
      <c r="AD107" s="690"/>
      <c r="AE107" s="690"/>
      <c r="AF107" s="690">
        <f t="shared" si="5"/>
        <v>0</v>
      </c>
      <c r="AG107" s="690"/>
      <c r="AH107" s="690"/>
      <c r="AI107" s="690"/>
      <c r="AJ107" s="690">
        <f t="shared" si="6"/>
        <v>0</v>
      </c>
      <c r="AK107" s="690"/>
      <c r="AL107" s="690"/>
      <c r="AM107" s="690"/>
    </row>
    <row r="108" spans="1:39" ht="15.95" customHeight="1">
      <c r="A108" s="65">
        <f t="shared" si="7"/>
        <v>19</v>
      </c>
      <c r="B108" s="699" t="s">
        <v>99</v>
      </c>
      <c r="C108" s="700"/>
      <c r="D108" s="700"/>
      <c r="E108" s="700"/>
      <c r="F108" s="700"/>
      <c r="G108" s="700"/>
      <c r="H108" s="700"/>
      <c r="I108" s="700"/>
      <c r="J108" s="700"/>
      <c r="K108" s="701"/>
      <c r="L108" s="702">
        <f>'Date masura OD'!$W$5</f>
        <v>45748</v>
      </c>
      <c r="M108" s="702"/>
      <c r="N108" s="702"/>
      <c r="O108" s="702">
        <f>'Date masura OD'!$X$5</f>
        <v>45777</v>
      </c>
      <c r="P108" s="702"/>
      <c r="Q108" s="702"/>
      <c r="R108" s="690" cm="1">
        <f t="array" ref="R108">INDEX(verificare!$AT$4:$CC$33,VLOOKUP($AA$16,verificare!$AR$4:$AS$33,2,FALSE),A108)</f>
        <v>0</v>
      </c>
      <c r="S108" s="690"/>
      <c r="T108" s="690"/>
      <c r="U108" s="690"/>
      <c r="V108" s="658" t="s">
        <v>446</v>
      </c>
      <c r="W108" s="658"/>
      <c r="X108" s="659">
        <f>HLOOKUP(VLOOKUP($AA$16,'Date SPV'!$B:$F,5,FALSE),'Preturi si tarife'!$C$2:$J$39,A108+2,FALSE)</f>
        <v>0.59499999999999997</v>
      </c>
      <c r="Y108" s="659"/>
      <c r="Z108" s="659"/>
      <c r="AA108" s="659"/>
      <c r="AB108" s="653">
        <f t="shared" si="4"/>
        <v>0</v>
      </c>
      <c r="AC108" s="653"/>
      <c r="AD108" s="653"/>
      <c r="AE108" s="653"/>
      <c r="AF108" s="653">
        <f t="shared" si="5"/>
        <v>0</v>
      </c>
      <c r="AG108" s="653"/>
      <c r="AH108" s="653"/>
      <c r="AI108" s="653"/>
      <c r="AJ108" s="653">
        <f t="shared" si="6"/>
        <v>0</v>
      </c>
      <c r="AK108" s="653"/>
      <c r="AL108" s="653"/>
      <c r="AM108" s="653"/>
    </row>
    <row r="109" spans="1:39" ht="15.95" customHeight="1">
      <c r="A109" s="65">
        <f t="shared" si="7"/>
        <v>20</v>
      </c>
      <c r="B109" s="699" t="s">
        <v>100</v>
      </c>
      <c r="C109" s="700"/>
      <c r="D109" s="700"/>
      <c r="E109" s="700"/>
      <c r="F109" s="700"/>
      <c r="G109" s="700"/>
      <c r="H109" s="700"/>
      <c r="I109" s="700"/>
      <c r="J109" s="700"/>
      <c r="K109" s="701"/>
      <c r="L109" s="702">
        <f>L108</f>
        <v>45748</v>
      </c>
      <c r="M109" s="702"/>
      <c r="N109" s="702"/>
      <c r="O109" s="702">
        <f t="shared" ref="O109:O117" si="12">O108</f>
        <v>45777</v>
      </c>
      <c r="P109" s="702"/>
      <c r="Q109" s="702"/>
      <c r="R109" s="690" cm="1">
        <f t="array" ref="R109">INDEX(verificare!$AT$4:$CC$33,VLOOKUP($AA$16,verificare!$AR$4:$AS$33,2,FALSE),A109)</f>
        <v>81</v>
      </c>
      <c r="S109" s="690"/>
      <c r="T109" s="690"/>
      <c r="U109" s="690"/>
      <c r="V109" s="658" t="s">
        <v>727</v>
      </c>
      <c r="W109" s="658"/>
      <c r="X109" s="659">
        <f>HLOOKUP(VLOOKUP($AA$16,'Date SPV'!$B:$F,5,FALSE),'Preturi si tarife'!$C$2:$J$39,A109+2,FALSE)</f>
        <v>0.14649999999999999</v>
      </c>
      <c r="Y109" s="659"/>
      <c r="Z109" s="659"/>
      <c r="AA109" s="659"/>
      <c r="AB109" s="653">
        <f t="shared" si="4"/>
        <v>11.87</v>
      </c>
      <c r="AC109" s="653"/>
      <c r="AD109" s="653"/>
      <c r="AE109" s="653"/>
      <c r="AF109" s="653">
        <f t="shared" si="5"/>
        <v>2.2599999999999998</v>
      </c>
      <c r="AG109" s="653"/>
      <c r="AH109" s="653"/>
      <c r="AI109" s="653"/>
      <c r="AJ109" s="653">
        <f t="shared" si="6"/>
        <v>14.129999999999999</v>
      </c>
      <c r="AK109" s="653"/>
      <c r="AL109" s="653"/>
      <c r="AM109" s="653"/>
    </row>
    <row r="110" spans="1:39" ht="18.95" customHeight="1">
      <c r="A110" s="65">
        <f t="shared" si="7"/>
        <v>21</v>
      </c>
      <c r="B110" s="699" t="s">
        <v>101</v>
      </c>
      <c r="C110" s="700"/>
      <c r="D110" s="700"/>
      <c r="E110" s="700"/>
      <c r="F110" s="700"/>
      <c r="G110" s="700"/>
      <c r="H110" s="700"/>
      <c r="I110" s="700"/>
      <c r="J110" s="700"/>
      <c r="K110" s="701"/>
      <c r="L110" s="702">
        <f t="shared" ref="L110:L117" si="13">L109</f>
        <v>45748</v>
      </c>
      <c r="M110" s="702"/>
      <c r="N110" s="702"/>
      <c r="O110" s="702">
        <f t="shared" si="12"/>
        <v>45777</v>
      </c>
      <c r="P110" s="702"/>
      <c r="Q110" s="702"/>
      <c r="R110" s="690" cm="1">
        <f t="array" ref="R110">INDEX(verificare!$AT$4:$CC$33,VLOOKUP($AA$16,verificare!$AR$4:$AS$33,2,FALSE),A110)</f>
        <v>78</v>
      </c>
      <c r="S110" s="690"/>
      <c r="T110" s="690"/>
      <c r="U110" s="690"/>
      <c r="V110" s="658" t="s">
        <v>727</v>
      </c>
      <c r="W110" s="658"/>
      <c r="X110" s="659">
        <f>HLOOKUP(VLOOKUP($AA$16,'Date SPV'!$B:$F,5,FALSE),'Preturi si tarife'!$C$2:$J$39,A110+2,FALSE)</f>
        <v>0.4395</v>
      </c>
      <c r="Y110" s="659"/>
      <c r="Z110" s="659"/>
      <c r="AA110" s="659"/>
      <c r="AB110" s="653">
        <f t="shared" si="4"/>
        <v>34.28</v>
      </c>
      <c r="AC110" s="653"/>
      <c r="AD110" s="653"/>
      <c r="AE110" s="653"/>
      <c r="AF110" s="653">
        <f t="shared" si="5"/>
        <v>6.51</v>
      </c>
      <c r="AG110" s="653"/>
      <c r="AH110" s="653"/>
      <c r="AI110" s="653"/>
      <c r="AJ110" s="653">
        <f t="shared" si="6"/>
        <v>40.79</v>
      </c>
      <c r="AK110" s="653"/>
      <c r="AL110" s="653"/>
      <c r="AM110" s="653"/>
    </row>
    <row r="111" spans="1:39" ht="18.95" customHeight="1">
      <c r="A111" s="65">
        <f t="shared" si="7"/>
        <v>22</v>
      </c>
      <c r="B111" s="699" t="s">
        <v>869</v>
      </c>
      <c r="C111" s="700"/>
      <c r="D111" s="700"/>
      <c r="E111" s="700"/>
      <c r="F111" s="700"/>
      <c r="G111" s="700"/>
      <c r="H111" s="700"/>
      <c r="I111" s="700"/>
      <c r="J111" s="700"/>
      <c r="K111" s="701"/>
      <c r="L111" s="702">
        <f t="shared" si="13"/>
        <v>45748</v>
      </c>
      <c r="M111" s="702"/>
      <c r="N111" s="702"/>
      <c r="O111" s="702">
        <f t="shared" si="12"/>
        <v>45777</v>
      </c>
      <c r="P111" s="702"/>
      <c r="Q111" s="702"/>
      <c r="R111" s="690" cm="1">
        <f t="array" ref="R111">INDEX(verificare!$AT$4:$CC$33,VLOOKUP($AA$16,verificare!$AR$4:$AS$33,2,FALSE),A111)</f>
        <v>0</v>
      </c>
      <c r="S111" s="690"/>
      <c r="T111" s="690"/>
      <c r="U111" s="690"/>
      <c r="V111" s="658" t="s">
        <v>446</v>
      </c>
      <c r="W111" s="658"/>
      <c r="X111" s="659">
        <f>HLOOKUP(VLOOKUP($AA$16,'Date SPV'!$B:$F,5,FALSE),'Preturi si tarife'!$C$2:$J$39,A111+2,FALSE)</f>
        <v>0.11483</v>
      </c>
      <c r="Y111" s="659"/>
      <c r="Z111" s="659"/>
      <c r="AA111" s="659"/>
      <c r="AB111" s="653">
        <f t="shared" si="4"/>
        <v>0</v>
      </c>
      <c r="AC111" s="653"/>
      <c r="AD111" s="653"/>
      <c r="AE111" s="653"/>
      <c r="AF111" s="653">
        <f t="shared" si="5"/>
        <v>0</v>
      </c>
      <c r="AG111" s="653"/>
      <c r="AH111" s="653"/>
      <c r="AI111" s="653"/>
      <c r="AJ111" s="653">
        <f t="shared" si="6"/>
        <v>0</v>
      </c>
      <c r="AK111" s="653"/>
      <c r="AL111" s="653"/>
      <c r="AM111" s="653"/>
    </row>
    <row r="112" spans="1:39" ht="18.95" customHeight="1">
      <c r="A112" s="65">
        <f t="shared" si="7"/>
        <v>23</v>
      </c>
      <c r="B112" s="699" t="s">
        <v>758</v>
      </c>
      <c r="C112" s="700"/>
      <c r="D112" s="700"/>
      <c r="E112" s="700"/>
      <c r="F112" s="700"/>
      <c r="G112" s="700"/>
      <c r="H112" s="700"/>
      <c r="I112" s="700"/>
      <c r="J112" s="700"/>
      <c r="K112" s="701"/>
      <c r="L112" s="702">
        <f t="shared" si="13"/>
        <v>45748</v>
      </c>
      <c r="M112" s="702"/>
      <c r="N112" s="702"/>
      <c r="O112" s="702">
        <f t="shared" si="12"/>
        <v>45777</v>
      </c>
      <c r="P112" s="702"/>
      <c r="Q112" s="702"/>
      <c r="R112" s="690" cm="1">
        <f t="array" ref="R112">INDEX(verificare!$AT$4:$CC$33,VLOOKUP($AA$16,verificare!$AR$4:$AS$33,2,FALSE),A112)</f>
        <v>0</v>
      </c>
      <c r="S112" s="690"/>
      <c r="T112" s="690"/>
      <c r="U112" s="690"/>
      <c r="V112" s="658" t="s">
        <v>446</v>
      </c>
      <c r="W112" s="658"/>
      <c r="X112" s="659">
        <f>HLOOKUP(VLOOKUP($AA$16,'Date SPV'!$B:$F,5,FALSE),'Preturi si tarife'!$C$2:$J$39,A112+2,FALSE)</f>
        <v>0.2361</v>
      </c>
      <c r="Y112" s="659"/>
      <c r="Z112" s="659"/>
      <c r="AA112" s="659"/>
      <c r="AB112" s="653">
        <f t="shared" si="4"/>
        <v>0</v>
      </c>
      <c r="AC112" s="653"/>
      <c r="AD112" s="653"/>
      <c r="AE112" s="653"/>
      <c r="AF112" s="653">
        <f t="shared" si="5"/>
        <v>0</v>
      </c>
      <c r="AG112" s="653"/>
      <c r="AH112" s="653"/>
      <c r="AI112" s="653"/>
      <c r="AJ112" s="653">
        <f t="shared" si="6"/>
        <v>0</v>
      </c>
      <c r="AK112" s="653"/>
      <c r="AL112" s="653"/>
      <c r="AM112" s="653"/>
    </row>
    <row r="113" spans="1:39" ht="18.95" customHeight="1">
      <c r="A113" s="65">
        <f t="shared" si="7"/>
        <v>24</v>
      </c>
      <c r="B113" s="699" t="s">
        <v>102</v>
      </c>
      <c r="C113" s="700"/>
      <c r="D113" s="700"/>
      <c r="E113" s="700"/>
      <c r="F113" s="700"/>
      <c r="G113" s="700"/>
      <c r="H113" s="700"/>
      <c r="I113" s="700"/>
      <c r="J113" s="700"/>
      <c r="K113" s="701"/>
      <c r="L113" s="702">
        <f t="shared" si="13"/>
        <v>45748</v>
      </c>
      <c r="M113" s="702"/>
      <c r="N113" s="702"/>
      <c r="O113" s="702">
        <f t="shared" si="12"/>
        <v>45777</v>
      </c>
      <c r="P113" s="702"/>
      <c r="Q113" s="702"/>
      <c r="R113" s="690" cm="1">
        <f t="array" ref="R113">INDEX(verificare!$AT$4:$CC$33,VLOOKUP($AA$16,verificare!$AR$4:$AS$33,2,FALSE),A113)</f>
        <v>0</v>
      </c>
      <c r="S113" s="690"/>
      <c r="T113" s="690"/>
      <c r="U113" s="690"/>
      <c r="V113" s="658" t="s">
        <v>446</v>
      </c>
      <c r="W113" s="658"/>
      <c r="X113" s="659">
        <f>HLOOKUP(VLOOKUP($AA$16,'Date SPV'!$B:$F,5,FALSE),'Preturi si tarife'!$C$2:$J$39,A113+2,FALSE)</f>
        <v>1.1509999999999999E-2</v>
      </c>
      <c r="Y113" s="659"/>
      <c r="Z113" s="659"/>
      <c r="AA113" s="659"/>
      <c r="AB113" s="653">
        <f t="shared" si="4"/>
        <v>0</v>
      </c>
      <c r="AC113" s="653"/>
      <c r="AD113" s="653"/>
      <c r="AE113" s="653"/>
      <c r="AF113" s="653">
        <f t="shared" si="5"/>
        <v>0</v>
      </c>
      <c r="AG113" s="653"/>
      <c r="AH113" s="653"/>
      <c r="AI113" s="653"/>
      <c r="AJ113" s="653">
        <f t="shared" si="6"/>
        <v>0</v>
      </c>
      <c r="AK113" s="653"/>
      <c r="AL113" s="653"/>
      <c r="AM113" s="653"/>
    </row>
    <row r="114" spans="1:39" ht="18.95" customHeight="1">
      <c r="A114" s="65">
        <f t="shared" si="7"/>
        <v>25</v>
      </c>
      <c r="B114" s="699" t="s">
        <v>103</v>
      </c>
      <c r="C114" s="700"/>
      <c r="D114" s="700"/>
      <c r="E114" s="700"/>
      <c r="F114" s="700"/>
      <c r="G114" s="700"/>
      <c r="H114" s="700"/>
      <c r="I114" s="700"/>
      <c r="J114" s="700"/>
      <c r="K114" s="701"/>
      <c r="L114" s="702">
        <f t="shared" si="13"/>
        <v>45748</v>
      </c>
      <c r="M114" s="702"/>
      <c r="N114" s="702"/>
      <c r="O114" s="702">
        <f t="shared" si="12"/>
        <v>45777</v>
      </c>
      <c r="P114" s="702"/>
      <c r="Q114" s="702"/>
      <c r="R114" s="690" cm="1">
        <f t="array" ref="R114">INDEX(verificare!$AT$4:$CC$33,VLOOKUP($AA$16,verificare!$AR$4:$AS$33,2,FALSE),A114)</f>
        <v>0</v>
      </c>
      <c r="S114" s="690"/>
      <c r="T114" s="690"/>
      <c r="U114" s="690"/>
      <c r="V114" s="658" t="s">
        <v>446</v>
      </c>
      <c r="W114" s="658"/>
      <c r="X114" s="659">
        <f>HLOOKUP(VLOOKUP($AA$16,'Date SPV'!$B:$F,5,FALSE),'Preturi si tarife'!$C$2:$J$39,A114+2,FALSE)</f>
        <v>3.3030000000000004E-2</v>
      </c>
      <c r="Y114" s="659"/>
      <c r="Z114" s="659"/>
      <c r="AA114" s="659"/>
      <c r="AB114" s="653">
        <f t="shared" si="4"/>
        <v>0</v>
      </c>
      <c r="AC114" s="653"/>
      <c r="AD114" s="653"/>
      <c r="AE114" s="653"/>
      <c r="AF114" s="653">
        <f t="shared" si="5"/>
        <v>0</v>
      </c>
      <c r="AG114" s="653"/>
      <c r="AH114" s="653"/>
      <c r="AI114" s="653"/>
      <c r="AJ114" s="653">
        <f t="shared" si="6"/>
        <v>0</v>
      </c>
      <c r="AK114" s="653"/>
      <c r="AL114" s="653"/>
      <c r="AM114" s="653"/>
    </row>
    <row r="115" spans="1:39" ht="18.95" customHeight="1">
      <c r="A115" s="65">
        <f t="shared" si="7"/>
        <v>26</v>
      </c>
      <c r="B115" s="699" t="s">
        <v>104</v>
      </c>
      <c r="C115" s="700"/>
      <c r="D115" s="700"/>
      <c r="E115" s="700"/>
      <c r="F115" s="700"/>
      <c r="G115" s="700"/>
      <c r="H115" s="700"/>
      <c r="I115" s="700"/>
      <c r="J115" s="700"/>
      <c r="K115" s="701"/>
      <c r="L115" s="702">
        <f t="shared" si="13"/>
        <v>45748</v>
      </c>
      <c r="M115" s="702"/>
      <c r="N115" s="702"/>
      <c r="O115" s="702">
        <f t="shared" si="12"/>
        <v>45777</v>
      </c>
      <c r="P115" s="702"/>
      <c r="Q115" s="702"/>
      <c r="R115" s="690" cm="1">
        <f t="array" ref="R115">INDEX(verificare!$AT$4:$CC$33,VLOOKUP($AA$16,verificare!$AR$4:$AS$33,2,FALSE),A115)</f>
        <v>0</v>
      </c>
      <c r="S115" s="690"/>
      <c r="T115" s="690"/>
      <c r="U115" s="690"/>
      <c r="V115" s="658" t="s">
        <v>446</v>
      </c>
      <c r="W115" s="658"/>
      <c r="X115" s="659">
        <f>HLOOKUP(VLOOKUP($AA$16,'Date SPV'!$B:$F,5,FALSE),'Preturi si tarife'!$C$2:$J$39,A115+2,FALSE)</f>
        <v>3.29E-3</v>
      </c>
      <c r="Y115" s="659"/>
      <c r="Z115" s="659"/>
      <c r="AA115" s="659"/>
      <c r="AB115" s="653">
        <f t="shared" si="4"/>
        <v>0</v>
      </c>
      <c r="AC115" s="653"/>
      <c r="AD115" s="653"/>
      <c r="AE115" s="653"/>
      <c r="AF115" s="653">
        <f t="shared" si="5"/>
        <v>0</v>
      </c>
      <c r="AG115" s="653"/>
      <c r="AH115" s="653"/>
      <c r="AI115" s="653"/>
      <c r="AJ115" s="653">
        <f t="shared" si="6"/>
        <v>0</v>
      </c>
      <c r="AK115" s="653"/>
      <c r="AL115" s="653"/>
      <c r="AM115" s="653"/>
    </row>
    <row r="116" spans="1:39" ht="18.95" customHeight="1">
      <c r="A116" s="65">
        <f t="shared" si="7"/>
        <v>27</v>
      </c>
      <c r="B116" s="699" t="s">
        <v>105</v>
      </c>
      <c r="C116" s="700"/>
      <c r="D116" s="700"/>
      <c r="E116" s="700"/>
      <c r="F116" s="700"/>
      <c r="G116" s="700"/>
      <c r="H116" s="700"/>
      <c r="I116" s="700"/>
      <c r="J116" s="700"/>
      <c r="K116" s="701"/>
      <c r="L116" s="702">
        <f t="shared" si="13"/>
        <v>45748</v>
      </c>
      <c r="M116" s="702"/>
      <c r="N116" s="702"/>
      <c r="O116" s="702">
        <f t="shared" si="12"/>
        <v>45777</v>
      </c>
      <c r="P116" s="702"/>
      <c r="Q116" s="702"/>
      <c r="R116" s="690" cm="1">
        <f t="array" ref="R116">INDEX(verificare!$AT$4:$CC$33,VLOOKUP($AA$16,verificare!$AR$4:$AS$33,2,FALSE),A116)</f>
        <v>0</v>
      </c>
      <c r="S116" s="690"/>
      <c r="T116" s="690"/>
      <c r="U116" s="690"/>
      <c r="V116" s="658" t="s">
        <v>446</v>
      </c>
      <c r="W116" s="658"/>
      <c r="X116" s="659">
        <f>HLOOKUP(VLOOKUP($AA$16,'Date SPV'!$B:$F,5,FALSE),'Preturi si tarife'!$C$2:$J$39,A116+2,FALSE)</f>
        <v>3.5000000000000001E-3</v>
      </c>
      <c r="Y116" s="659"/>
      <c r="Z116" s="659"/>
      <c r="AA116" s="659"/>
      <c r="AB116" s="653">
        <f t="shared" si="4"/>
        <v>0</v>
      </c>
      <c r="AC116" s="653"/>
      <c r="AD116" s="653"/>
      <c r="AE116" s="653"/>
      <c r="AF116" s="653">
        <f t="shared" si="5"/>
        <v>0</v>
      </c>
      <c r="AG116" s="653"/>
      <c r="AH116" s="653"/>
      <c r="AI116" s="653"/>
      <c r="AJ116" s="653">
        <f t="shared" si="6"/>
        <v>0</v>
      </c>
      <c r="AK116" s="653"/>
      <c r="AL116" s="653"/>
      <c r="AM116" s="653"/>
    </row>
    <row r="117" spans="1:39" ht="18.95" customHeight="1">
      <c r="A117" s="65">
        <f t="shared" si="7"/>
        <v>28</v>
      </c>
      <c r="B117" s="699" t="s">
        <v>106</v>
      </c>
      <c r="C117" s="700"/>
      <c r="D117" s="700"/>
      <c r="E117" s="700"/>
      <c r="F117" s="700"/>
      <c r="G117" s="700"/>
      <c r="H117" s="700"/>
      <c r="I117" s="700"/>
      <c r="J117" s="700"/>
      <c r="K117" s="701"/>
      <c r="L117" s="702">
        <f t="shared" si="13"/>
        <v>45748</v>
      </c>
      <c r="M117" s="702"/>
      <c r="N117" s="702"/>
      <c r="O117" s="702">
        <f t="shared" si="12"/>
        <v>45777</v>
      </c>
      <c r="P117" s="702"/>
      <c r="Q117" s="702"/>
      <c r="R117" s="690" cm="1">
        <f t="array" ref="R117">INDEX(verificare!$AT$4:$CC$33,VLOOKUP($AA$16,verificare!$AR$4:$AS$33,2,FALSE),A117)</f>
        <v>0</v>
      </c>
      <c r="S117" s="690"/>
      <c r="T117" s="690"/>
      <c r="U117" s="690"/>
      <c r="V117" s="658" t="s">
        <v>446</v>
      </c>
      <c r="W117" s="658"/>
      <c r="X117" s="659">
        <f>HLOOKUP(VLOOKUP($AA$16,'Date SPV'!$B:$F,5,FALSE),'Preturi si tarife'!$C$2:$J$39,A117+2,FALSE)</f>
        <v>7.2541599999999998E-2</v>
      </c>
      <c r="Y117" s="659"/>
      <c r="Z117" s="659"/>
      <c r="AA117" s="659"/>
      <c r="AB117" s="653">
        <f t="shared" si="4"/>
        <v>0</v>
      </c>
      <c r="AC117" s="653"/>
      <c r="AD117" s="653"/>
      <c r="AE117" s="653"/>
      <c r="AF117" s="653">
        <f t="shared" si="5"/>
        <v>0</v>
      </c>
      <c r="AG117" s="653"/>
      <c r="AH117" s="653"/>
      <c r="AI117" s="653"/>
      <c r="AJ117" s="653">
        <f t="shared" si="6"/>
        <v>0</v>
      </c>
      <c r="AK117" s="653"/>
      <c r="AL117" s="653"/>
      <c r="AM117" s="653"/>
    </row>
    <row r="118" spans="1:39" ht="18.95" customHeight="1">
      <c r="A118" s="65">
        <f t="shared" si="7"/>
        <v>29</v>
      </c>
      <c r="B118" s="699" t="s">
        <v>1316</v>
      </c>
      <c r="C118" s="700"/>
      <c r="D118" s="700"/>
      <c r="E118" s="700"/>
      <c r="F118" s="700"/>
      <c r="G118" s="700"/>
      <c r="H118" s="700"/>
      <c r="I118" s="700"/>
      <c r="J118" s="700"/>
      <c r="K118" s="701"/>
      <c r="L118" s="763">
        <f>L124</f>
        <v>45748</v>
      </c>
      <c r="M118" s="764"/>
      <c r="N118" s="765"/>
      <c r="O118" s="763">
        <f>O124</f>
        <v>45777</v>
      </c>
      <c r="P118" s="764"/>
      <c r="Q118" s="765"/>
      <c r="R118" s="690" cm="1">
        <f t="array" ref="R118">INDEX(verificare!$AT$4:$CC$33,VLOOKUP($AA$16,verificare!$AR$4:$AS$33,2,FALSE),A118)</f>
        <v>0</v>
      </c>
      <c r="S118" s="690"/>
      <c r="T118" s="690"/>
      <c r="U118" s="690"/>
      <c r="V118" s="724" t="s">
        <v>446</v>
      </c>
      <c r="W118" s="725"/>
      <c r="X118" s="659">
        <f>HLOOKUP(VLOOKUP($AA$16,'Date SPV'!$B:$F,5,FALSE),'Preturi si tarife'!$C$2:$J$39,A118+2,FALSE)</f>
        <v>2.0599999999999999E-4</v>
      </c>
      <c r="Y118" s="659"/>
      <c r="Z118" s="659"/>
      <c r="AA118" s="659"/>
      <c r="AB118" s="653">
        <f>ROUND(X118*R118,2)</f>
        <v>0</v>
      </c>
      <c r="AC118" s="653"/>
      <c r="AD118" s="653"/>
      <c r="AE118" s="653"/>
      <c r="AF118" s="653">
        <f>ROUND(AB118*19%,2)</f>
        <v>0</v>
      </c>
      <c r="AG118" s="653"/>
      <c r="AH118" s="653"/>
      <c r="AI118" s="653"/>
      <c r="AJ118" s="653">
        <f>AB118+AF118</f>
        <v>0</v>
      </c>
      <c r="AK118" s="653"/>
      <c r="AL118" s="653"/>
      <c r="AM118" s="653"/>
    </row>
    <row r="119" spans="1:39" ht="18.95" customHeight="1">
      <c r="A119" s="65">
        <f t="shared" si="7"/>
        <v>30</v>
      </c>
      <c r="B119" s="699" t="s">
        <v>107</v>
      </c>
      <c r="C119" s="700"/>
      <c r="D119" s="700"/>
      <c r="E119" s="700"/>
      <c r="F119" s="700"/>
      <c r="G119" s="700"/>
      <c r="H119" s="700"/>
      <c r="I119" s="700"/>
      <c r="J119" s="700"/>
      <c r="K119" s="701"/>
      <c r="L119" s="702">
        <f>L117</f>
        <v>45748</v>
      </c>
      <c r="M119" s="702"/>
      <c r="N119" s="702"/>
      <c r="O119" s="702">
        <f>O117</f>
        <v>45777</v>
      </c>
      <c r="P119" s="702"/>
      <c r="Q119" s="702"/>
      <c r="R119" s="690" cm="1">
        <f t="array" ref="R119">INDEX(verificare!$AT$4:$CC$33,VLOOKUP($AA$16,verificare!$AR$4:$AS$33,2,FALSE),A119)</f>
        <v>0</v>
      </c>
      <c r="S119" s="690"/>
      <c r="T119" s="690"/>
      <c r="U119" s="690"/>
      <c r="V119" s="658" t="s">
        <v>446</v>
      </c>
      <c r="W119" s="658"/>
      <c r="X119" s="659">
        <f>HLOOKUP(VLOOKUP($AA$16,'Date SPV'!$B:$F,5,FALSE),'Preturi si tarife'!$C$2:$J$39,A119+2,FALSE)</f>
        <v>0</v>
      </c>
      <c r="Y119" s="659"/>
      <c r="Z119" s="659"/>
      <c r="AA119" s="659"/>
      <c r="AB119" s="653">
        <f t="shared" ref="AB119:AB125" si="14">ROUND(X119*R119,2)</f>
        <v>0</v>
      </c>
      <c r="AC119" s="653"/>
      <c r="AD119" s="653"/>
      <c r="AE119" s="653"/>
      <c r="AF119" s="653">
        <f t="shared" ref="AF119:AF126" si="15">ROUND(AB119*19%,2)</f>
        <v>0</v>
      </c>
      <c r="AG119" s="653"/>
      <c r="AH119" s="653"/>
      <c r="AI119" s="653"/>
      <c r="AJ119" s="653">
        <f t="shared" ref="AJ119:AJ126" si="16">AB119+AF119</f>
        <v>0</v>
      </c>
      <c r="AK119" s="653"/>
      <c r="AL119" s="653"/>
      <c r="AM119" s="653"/>
    </row>
    <row r="120" spans="1:39" ht="18.95" customHeight="1">
      <c r="A120" s="65">
        <f t="shared" si="7"/>
        <v>31</v>
      </c>
      <c r="B120" s="699" t="s">
        <v>108</v>
      </c>
      <c r="C120" s="700"/>
      <c r="D120" s="700"/>
      <c r="E120" s="700"/>
      <c r="F120" s="700"/>
      <c r="G120" s="700"/>
      <c r="H120" s="700"/>
      <c r="I120" s="700"/>
      <c r="J120" s="700"/>
      <c r="K120" s="701"/>
      <c r="L120" s="702">
        <f t="shared" ref="L120:L125" si="17">L119</f>
        <v>45748</v>
      </c>
      <c r="M120" s="702"/>
      <c r="N120" s="702"/>
      <c r="O120" s="702">
        <f t="shared" ref="O120:O125" si="18">O119</f>
        <v>45777</v>
      </c>
      <c r="P120" s="702"/>
      <c r="Q120" s="702"/>
      <c r="R120" s="690" cm="1">
        <f t="array" ref="R120">INDEX(verificare!$AT$4:$CC$33,VLOOKUP($AA$16,verificare!$AR$4:$AS$33,2,FALSE),A120)</f>
        <v>0</v>
      </c>
      <c r="S120" s="690"/>
      <c r="T120" s="690"/>
      <c r="U120" s="690"/>
      <c r="V120" s="658" t="s">
        <v>446</v>
      </c>
      <c r="W120" s="658"/>
      <c r="X120" s="659">
        <f>HLOOKUP(VLOOKUP($AA$16,'Date SPV'!$B:$F,5,FALSE),'Preturi si tarife'!$C$2:$J$39,A120+2,FALSE)</f>
        <v>1.26E-2</v>
      </c>
      <c r="Y120" s="659"/>
      <c r="Z120" s="659"/>
      <c r="AA120" s="659"/>
      <c r="AB120" s="653">
        <f t="shared" si="14"/>
        <v>0</v>
      </c>
      <c r="AC120" s="653"/>
      <c r="AD120" s="653"/>
      <c r="AE120" s="653"/>
      <c r="AF120" s="653">
        <f t="shared" si="15"/>
        <v>0</v>
      </c>
      <c r="AG120" s="653"/>
      <c r="AH120" s="653"/>
      <c r="AI120" s="653"/>
      <c r="AJ120" s="653">
        <f t="shared" si="16"/>
        <v>0</v>
      </c>
      <c r="AK120" s="653"/>
      <c r="AL120" s="653"/>
      <c r="AM120" s="653"/>
    </row>
    <row r="121" spans="1:39" ht="18.95" customHeight="1">
      <c r="A121" s="65">
        <f t="shared" si="7"/>
        <v>32</v>
      </c>
      <c r="B121" s="699" t="s">
        <v>109</v>
      </c>
      <c r="C121" s="700"/>
      <c r="D121" s="700"/>
      <c r="E121" s="700"/>
      <c r="F121" s="700"/>
      <c r="G121" s="700"/>
      <c r="H121" s="700"/>
      <c r="I121" s="700"/>
      <c r="J121" s="700"/>
      <c r="K121" s="701"/>
      <c r="L121" s="702">
        <f t="shared" si="17"/>
        <v>45748</v>
      </c>
      <c r="M121" s="702"/>
      <c r="N121" s="702"/>
      <c r="O121" s="702">
        <f t="shared" si="18"/>
        <v>45777</v>
      </c>
      <c r="P121" s="702"/>
      <c r="Q121" s="702"/>
      <c r="R121" s="690" cm="1">
        <f t="array" ref="R121">INDEX(verificare!$AT$4:$CC$33,VLOOKUP($AA$16,verificare!$AR$4:$AS$33,2,FALSE),A121)</f>
        <v>0</v>
      </c>
      <c r="S121" s="690"/>
      <c r="T121" s="690"/>
      <c r="U121" s="690"/>
      <c r="V121" s="658" t="s">
        <v>446</v>
      </c>
      <c r="W121" s="658"/>
      <c r="X121" s="659">
        <f>HLOOKUP(VLOOKUP($AA$16,'Date SPV'!$B:$F,5,FALSE),'Preturi si tarife'!$C$2:$J$39,A121+2,FALSE)</f>
        <v>9.2700000000000005E-2</v>
      </c>
      <c r="Y121" s="659"/>
      <c r="Z121" s="659"/>
      <c r="AA121" s="659"/>
      <c r="AB121" s="653">
        <f t="shared" si="14"/>
        <v>0</v>
      </c>
      <c r="AC121" s="653"/>
      <c r="AD121" s="653"/>
      <c r="AE121" s="653"/>
      <c r="AF121" s="653">
        <f t="shared" si="15"/>
        <v>0</v>
      </c>
      <c r="AG121" s="653"/>
      <c r="AH121" s="653"/>
      <c r="AI121" s="653"/>
      <c r="AJ121" s="653">
        <f t="shared" si="16"/>
        <v>0</v>
      </c>
      <c r="AK121" s="653"/>
      <c r="AL121" s="653"/>
      <c r="AM121" s="653"/>
    </row>
    <row r="122" spans="1:39" ht="18.95" customHeight="1">
      <c r="A122" s="65">
        <f t="shared" si="7"/>
        <v>33</v>
      </c>
      <c r="B122" s="699" t="s">
        <v>110</v>
      </c>
      <c r="C122" s="700"/>
      <c r="D122" s="700"/>
      <c r="E122" s="700"/>
      <c r="F122" s="700"/>
      <c r="G122" s="700"/>
      <c r="H122" s="700"/>
      <c r="I122" s="700"/>
      <c r="J122" s="700"/>
      <c r="K122" s="701"/>
      <c r="L122" s="702">
        <f t="shared" si="17"/>
        <v>45748</v>
      </c>
      <c r="M122" s="702"/>
      <c r="N122" s="702"/>
      <c r="O122" s="702">
        <f t="shared" si="18"/>
        <v>45777</v>
      </c>
      <c r="P122" s="702"/>
      <c r="Q122" s="702"/>
      <c r="R122" s="690" cm="1">
        <f t="array" ref="R122">INDEX(verificare!$AT$4:$CC$33,VLOOKUP($AA$16,verificare!$AR$4:$AS$33,2,FALSE),A122)</f>
        <v>0</v>
      </c>
      <c r="S122" s="690"/>
      <c r="T122" s="690"/>
      <c r="U122" s="690"/>
      <c r="V122" s="658" t="s">
        <v>446</v>
      </c>
      <c r="W122" s="658"/>
      <c r="X122" s="659">
        <f>HLOOKUP(VLOOKUP($AA$16,'Date SPV'!$B:$F,5,FALSE),'Preturi si tarife'!$C$2:$J$39,A122+2,FALSE)</f>
        <v>0.93920760000000003</v>
      </c>
      <c r="Y122" s="659"/>
      <c r="Z122" s="659"/>
      <c r="AA122" s="659"/>
      <c r="AB122" s="653">
        <f t="shared" si="14"/>
        <v>0</v>
      </c>
      <c r="AC122" s="653"/>
      <c r="AD122" s="653"/>
      <c r="AE122" s="653"/>
      <c r="AF122" s="653">
        <f t="shared" si="15"/>
        <v>0</v>
      </c>
      <c r="AG122" s="653"/>
      <c r="AH122" s="653"/>
      <c r="AI122" s="653"/>
      <c r="AJ122" s="653">
        <f t="shared" si="16"/>
        <v>0</v>
      </c>
      <c r="AK122" s="653"/>
      <c r="AL122" s="653"/>
      <c r="AM122" s="653"/>
    </row>
    <row r="123" spans="1:39" ht="18.95" customHeight="1">
      <c r="A123" s="65">
        <f t="shared" si="7"/>
        <v>34</v>
      </c>
      <c r="B123" s="699" t="s">
        <v>111</v>
      </c>
      <c r="C123" s="700"/>
      <c r="D123" s="700"/>
      <c r="E123" s="700"/>
      <c r="F123" s="700"/>
      <c r="G123" s="700"/>
      <c r="H123" s="700"/>
      <c r="I123" s="700"/>
      <c r="J123" s="700"/>
      <c r="K123" s="701"/>
      <c r="L123" s="702">
        <f t="shared" si="17"/>
        <v>45748</v>
      </c>
      <c r="M123" s="702"/>
      <c r="N123" s="702"/>
      <c r="O123" s="702">
        <f t="shared" si="18"/>
        <v>45777</v>
      </c>
      <c r="P123" s="702"/>
      <c r="Q123" s="702"/>
      <c r="R123" s="690" cm="1">
        <f t="array" ref="R123">INDEX(verificare!$AT$4:$CC$33,VLOOKUP($AA$16,verificare!$AR$4:$AS$33,2,FALSE),A123)</f>
        <v>0</v>
      </c>
      <c r="S123" s="690"/>
      <c r="T123" s="690"/>
      <c r="U123" s="690"/>
      <c r="V123" s="658" t="s">
        <v>446</v>
      </c>
      <c r="W123" s="658"/>
      <c r="X123" s="659">
        <f>HLOOKUP(VLOOKUP($AA$16,'Date SPV'!$B:$F,5,FALSE),'Preturi si tarife'!$C$2:$J$39,A123+2,FALSE)</f>
        <v>0.83390760000000008</v>
      </c>
      <c r="Y123" s="659"/>
      <c r="Z123" s="659"/>
      <c r="AA123" s="659"/>
      <c r="AB123" s="653">
        <f t="shared" si="14"/>
        <v>0</v>
      </c>
      <c r="AC123" s="653"/>
      <c r="AD123" s="653"/>
      <c r="AE123" s="653"/>
      <c r="AF123" s="653">
        <f t="shared" si="15"/>
        <v>0</v>
      </c>
      <c r="AG123" s="653"/>
      <c r="AH123" s="653"/>
      <c r="AI123" s="653"/>
      <c r="AJ123" s="653">
        <f t="shared" si="16"/>
        <v>0</v>
      </c>
      <c r="AK123" s="653"/>
      <c r="AL123" s="653"/>
      <c r="AM123" s="653"/>
    </row>
    <row r="124" spans="1:39" ht="17.45" customHeight="1">
      <c r="A124" s="65">
        <f t="shared" si="7"/>
        <v>35</v>
      </c>
      <c r="B124" s="699" t="s">
        <v>112</v>
      </c>
      <c r="C124" s="700"/>
      <c r="D124" s="700"/>
      <c r="E124" s="700"/>
      <c r="F124" s="700"/>
      <c r="G124" s="700"/>
      <c r="H124" s="700"/>
      <c r="I124" s="700"/>
      <c r="J124" s="700"/>
      <c r="K124" s="701"/>
      <c r="L124" s="702">
        <f t="shared" si="17"/>
        <v>45748</v>
      </c>
      <c r="M124" s="702"/>
      <c r="N124" s="702"/>
      <c r="O124" s="702">
        <f t="shared" si="18"/>
        <v>45777</v>
      </c>
      <c r="P124" s="702"/>
      <c r="Q124" s="702"/>
      <c r="R124" s="690" cm="1">
        <f t="array" ref="R124">INDEX(verificare!$AT$4:$CC$33,VLOOKUP($AA$16,verificare!$AR$4:$AS$33,2,FALSE),A124)</f>
        <v>0</v>
      </c>
      <c r="S124" s="690"/>
      <c r="T124" s="690"/>
      <c r="U124" s="690"/>
      <c r="V124" s="658" t="s">
        <v>446</v>
      </c>
      <c r="W124" s="658"/>
      <c r="X124" s="659">
        <f>HLOOKUP(VLOOKUP($AA$16,'Date SPV'!$B:$F,5,FALSE),'Preturi si tarife'!$C$2:$J$39,A124+2,FALSE)</f>
        <v>1.26E-2</v>
      </c>
      <c r="Y124" s="659"/>
      <c r="Z124" s="659"/>
      <c r="AA124" s="659"/>
      <c r="AB124" s="653">
        <f t="shared" si="14"/>
        <v>0</v>
      </c>
      <c r="AC124" s="653"/>
      <c r="AD124" s="653"/>
      <c r="AE124" s="653"/>
      <c r="AF124" s="653">
        <f t="shared" si="15"/>
        <v>0</v>
      </c>
      <c r="AG124" s="653"/>
      <c r="AH124" s="653"/>
      <c r="AI124" s="653"/>
      <c r="AJ124" s="653">
        <f t="shared" si="16"/>
        <v>0</v>
      </c>
      <c r="AK124" s="653"/>
      <c r="AL124" s="653"/>
      <c r="AM124" s="653"/>
    </row>
    <row r="125" spans="1:39" ht="17.45" customHeight="1">
      <c r="A125" s="65">
        <f t="shared" si="7"/>
        <v>36</v>
      </c>
      <c r="B125" s="699" t="s">
        <v>113</v>
      </c>
      <c r="C125" s="700"/>
      <c r="D125" s="700"/>
      <c r="E125" s="700"/>
      <c r="F125" s="700"/>
      <c r="G125" s="700"/>
      <c r="H125" s="700"/>
      <c r="I125" s="700"/>
      <c r="J125" s="700"/>
      <c r="K125" s="701"/>
      <c r="L125" s="702">
        <f t="shared" si="17"/>
        <v>45748</v>
      </c>
      <c r="M125" s="702"/>
      <c r="N125" s="702"/>
      <c r="O125" s="702">
        <f t="shared" si="18"/>
        <v>45777</v>
      </c>
      <c r="P125" s="702"/>
      <c r="Q125" s="702"/>
      <c r="R125" s="690" cm="1">
        <f t="array" ref="R125">INDEX(verificare!$AT$4:$CC$33,VLOOKUP($AA$16,verificare!$AR$4:$AS$33,2,FALSE),A125)</f>
        <v>0</v>
      </c>
      <c r="S125" s="690"/>
      <c r="T125" s="690"/>
      <c r="U125" s="690"/>
      <c r="V125" s="658" t="s">
        <v>446</v>
      </c>
      <c r="W125" s="658"/>
      <c r="X125" s="659">
        <f>HLOOKUP(VLOOKUP($AA$16,'Date SPV'!$B:$F,5,FALSE),'Preturi si tarife'!$C$2:$J$39,A125+2,FALSE)</f>
        <v>9.2700000000000005E-2</v>
      </c>
      <c r="Y125" s="659"/>
      <c r="Z125" s="659"/>
      <c r="AA125" s="659"/>
      <c r="AB125" s="653">
        <f t="shared" si="14"/>
        <v>0</v>
      </c>
      <c r="AC125" s="653"/>
      <c r="AD125" s="653"/>
      <c r="AE125" s="653"/>
      <c r="AF125" s="653">
        <f t="shared" si="15"/>
        <v>0</v>
      </c>
      <c r="AG125" s="653"/>
      <c r="AH125" s="653"/>
      <c r="AI125" s="653"/>
      <c r="AJ125" s="653">
        <f t="shared" si="16"/>
        <v>0</v>
      </c>
      <c r="AK125" s="653"/>
      <c r="AL125" s="653"/>
      <c r="AM125" s="653"/>
    </row>
    <row r="126" spans="1:39">
      <c r="A126" s="65">
        <f t="shared" si="7"/>
        <v>37</v>
      </c>
      <c r="B126" s="699" t="s">
        <v>728</v>
      </c>
      <c r="C126" s="700"/>
      <c r="D126" s="700"/>
      <c r="E126" s="700"/>
      <c r="F126" s="700"/>
      <c r="G126" s="700"/>
      <c r="H126" s="700"/>
      <c r="I126" s="700"/>
      <c r="J126" s="700"/>
      <c r="K126" s="701"/>
      <c r="L126" s="702" t="s">
        <v>69</v>
      </c>
      <c r="M126" s="702"/>
      <c r="N126" s="702"/>
      <c r="O126" s="702" t="s">
        <v>69</v>
      </c>
      <c r="P126" s="702"/>
      <c r="Q126" s="702"/>
      <c r="R126" s="690">
        <v>0</v>
      </c>
      <c r="S126" s="690"/>
      <c r="T126" s="690"/>
      <c r="U126" s="690"/>
      <c r="V126" s="658" t="s">
        <v>69</v>
      </c>
      <c r="W126" s="658"/>
      <c r="X126" s="659" t="s">
        <v>69</v>
      </c>
      <c r="Y126" s="659"/>
      <c r="Z126" s="659"/>
      <c r="AA126" s="659"/>
      <c r="AB126" s="653">
        <v>0</v>
      </c>
      <c r="AC126" s="653"/>
      <c r="AD126" s="653"/>
      <c r="AE126" s="653"/>
      <c r="AF126" s="653">
        <f t="shared" si="15"/>
        <v>0</v>
      </c>
      <c r="AG126" s="653"/>
      <c r="AH126" s="653"/>
      <c r="AI126" s="653"/>
      <c r="AJ126" s="653">
        <f t="shared" si="16"/>
        <v>0</v>
      </c>
      <c r="AK126" s="653"/>
      <c r="AL126" s="653"/>
      <c r="AM126" s="653"/>
    </row>
    <row r="127" spans="1:39">
      <c r="A127" s="65">
        <f t="shared" si="7"/>
        <v>38</v>
      </c>
      <c r="B127" s="699" t="s">
        <v>729</v>
      </c>
      <c r="C127" s="700"/>
      <c r="D127" s="700"/>
      <c r="E127" s="700"/>
      <c r="F127" s="700"/>
      <c r="G127" s="700"/>
      <c r="H127" s="700"/>
      <c r="I127" s="700"/>
      <c r="J127" s="700"/>
      <c r="K127" s="701"/>
      <c r="L127" s="702" t="s">
        <v>69</v>
      </c>
      <c r="M127" s="702"/>
      <c r="N127" s="702"/>
      <c r="O127" s="702" t="s">
        <v>69</v>
      </c>
      <c r="P127" s="702"/>
      <c r="Q127" s="702"/>
      <c r="R127" s="690">
        <v>0</v>
      </c>
      <c r="S127" s="690"/>
      <c r="T127" s="690"/>
      <c r="U127" s="690"/>
      <c r="V127" s="658" t="s">
        <v>69</v>
      </c>
      <c r="W127" s="658"/>
      <c r="X127" s="659" t="s">
        <v>69</v>
      </c>
      <c r="Y127" s="659"/>
      <c r="Z127" s="659"/>
      <c r="AA127" s="659"/>
      <c r="AB127" s="726">
        <f>SUM(AB90:AE126)</f>
        <v>28614.979999999996</v>
      </c>
      <c r="AC127" s="726"/>
      <c r="AD127" s="726"/>
      <c r="AE127" s="726"/>
      <c r="AF127" s="726">
        <f>SUM(AF90:AI126)</f>
        <v>5436.8600000000006</v>
      </c>
      <c r="AG127" s="726"/>
      <c r="AH127" s="726"/>
      <c r="AI127" s="726"/>
      <c r="AJ127" s="726">
        <f>SUM(AJ90:AM126)</f>
        <v>34051.839999999997</v>
      </c>
      <c r="AK127" s="726"/>
      <c r="AL127" s="726"/>
      <c r="AM127" s="726"/>
    </row>
  </sheetData>
  <mergeCells count="665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8:AM28"/>
    <mergeCell ref="A29:G30"/>
    <mergeCell ref="H29:AM30"/>
    <mergeCell ref="A31:G32"/>
    <mergeCell ref="H31:V32"/>
    <mergeCell ref="W31:Z32"/>
    <mergeCell ref="AA31:AM32"/>
    <mergeCell ref="AK37:AM39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71:AH71"/>
    <mergeCell ref="AI71:AM71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AD40:AE42"/>
    <mergeCell ref="AF40:AH42"/>
    <mergeCell ref="AI40:AJ42"/>
    <mergeCell ref="AK40:AM42"/>
    <mergeCell ref="J41:L41"/>
    <mergeCell ref="J42:L42"/>
    <mergeCell ref="A43:F45"/>
    <mergeCell ref="G43:I45"/>
    <mergeCell ref="J43:L43"/>
    <mergeCell ref="M43:N45"/>
    <mergeCell ref="O43:Q45"/>
    <mergeCell ref="R43:T45"/>
    <mergeCell ref="U43:W45"/>
    <mergeCell ref="A72:L72"/>
    <mergeCell ref="M72:AH72"/>
    <mergeCell ref="AI72:AM73"/>
    <mergeCell ref="A73:L73"/>
    <mergeCell ref="M73:AH73"/>
    <mergeCell ref="A74:F76"/>
    <mergeCell ref="G74:I76"/>
    <mergeCell ref="J74:L76"/>
    <mergeCell ref="M74:N76"/>
    <mergeCell ref="O74:Q76"/>
    <mergeCell ref="A77:F79"/>
    <mergeCell ref="G77:I79"/>
    <mergeCell ref="J77:L77"/>
    <mergeCell ref="M77:N79"/>
    <mergeCell ref="O77:Q79"/>
    <mergeCell ref="R77:T79"/>
    <mergeCell ref="U77:W79"/>
    <mergeCell ref="X77:Z79"/>
    <mergeCell ref="R74:T76"/>
    <mergeCell ref="U74:W76"/>
    <mergeCell ref="X74:Z76"/>
    <mergeCell ref="AA77:AC79"/>
    <mergeCell ref="AD77:AE79"/>
    <mergeCell ref="AF77:AH79"/>
    <mergeCell ref="AI77:AJ79"/>
    <mergeCell ref="AK77:AM79"/>
    <mergeCell ref="J78:L78"/>
    <mergeCell ref="J79:L79"/>
    <mergeCell ref="AI74:AJ76"/>
    <mergeCell ref="AK74:AM76"/>
    <mergeCell ref="AA74:AC76"/>
    <mergeCell ref="AD74:AE76"/>
    <mergeCell ref="AF74:AH76"/>
    <mergeCell ref="AK80:AM82"/>
    <mergeCell ref="J81:L81"/>
    <mergeCell ref="J82:L82"/>
    <mergeCell ref="A83:F85"/>
    <mergeCell ref="G83:I85"/>
    <mergeCell ref="J83:L83"/>
    <mergeCell ref="M83:N85"/>
    <mergeCell ref="O83:Q85"/>
    <mergeCell ref="R83:T85"/>
    <mergeCell ref="U83:W85"/>
    <mergeCell ref="U80:W82"/>
    <mergeCell ref="X80:Z82"/>
    <mergeCell ref="AA80:AC82"/>
    <mergeCell ref="AD80:AE82"/>
    <mergeCell ref="AF80:AH82"/>
    <mergeCell ref="AI80:AJ82"/>
    <mergeCell ref="A80:F82"/>
    <mergeCell ref="G80:I82"/>
    <mergeCell ref="J80:L80"/>
    <mergeCell ref="M80:N82"/>
    <mergeCell ref="O80:Q82"/>
    <mergeCell ref="R80:T82"/>
    <mergeCell ref="J84:L84"/>
    <mergeCell ref="J85:L85"/>
    <mergeCell ref="A87:AM87"/>
    <mergeCell ref="B89:K89"/>
    <mergeCell ref="R89:U89"/>
    <mergeCell ref="V89:W89"/>
    <mergeCell ref="X89:AA89"/>
    <mergeCell ref="AB89:AE89"/>
    <mergeCell ref="AF89:AI89"/>
    <mergeCell ref="AJ89:AM89"/>
    <mergeCell ref="X83:Z85"/>
    <mergeCell ref="AA83:AC85"/>
    <mergeCell ref="AD83:AE85"/>
    <mergeCell ref="AF83:AH85"/>
    <mergeCell ref="AI83:AJ85"/>
    <mergeCell ref="AK83:AM85"/>
    <mergeCell ref="AB90:AE90"/>
    <mergeCell ref="AF90:AI90"/>
    <mergeCell ref="AJ90:AM90"/>
    <mergeCell ref="B91:K91"/>
    <mergeCell ref="L91:N91"/>
    <mergeCell ref="O91:Q91"/>
    <mergeCell ref="R91:U91"/>
    <mergeCell ref="V91:W91"/>
    <mergeCell ref="X91:AA91"/>
    <mergeCell ref="AB91:AE91"/>
    <mergeCell ref="B90:K90"/>
    <mergeCell ref="L90:N90"/>
    <mergeCell ref="O90:Q90"/>
    <mergeCell ref="R90:U90"/>
    <mergeCell ref="V90:W90"/>
    <mergeCell ref="X90:AA90"/>
    <mergeCell ref="AF91:AI91"/>
    <mergeCell ref="AJ91:AM91"/>
    <mergeCell ref="B92:K92"/>
    <mergeCell ref="L92:N92"/>
    <mergeCell ref="O92:Q92"/>
    <mergeCell ref="R92:U92"/>
    <mergeCell ref="V92:W92"/>
    <mergeCell ref="X92:AA92"/>
    <mergeCell ref="AB92:AE92"/>
    <mergeCell ref="AF92:AI92"/>
    <mergeCell ref="AJ92:AM92"/>
    <mergeCell ref="B93:K93"/>
    <mergeCell ref="L93:N93"/>
    <mergeCell ref="O93:Q93"/>
    <mergeCell ref="R93:U93"/>
    <mergeCell ref="V93:W93"/>
    <mergeCell ref="X93:AA93"/>
    <mergeCell ref="AB93:AE93"/>
    <mergeCell ref="AF93:AI93"/>
    <mergeCell ref="AJ93:AM93"/>
    <mergeCell ref="AB94:AE94"/>
    <mergeCell ref="AF94:AI94"/>
    <mergeCell ref="AJ94:AM94"/>
    <mergeCell ref="B95:K95"/>
    <mergeCell ref="L95:N95"/>
    <mergeCell ref="O95:Q95"/>
    <mergeCell ref="R95:U95"/>
    <mergeCell ref="V95:W95"/>
    <mergeCell ref="X95:AA95"/>
    <mergeCell ref="AB95:AE95"/>
    <mergeCell ref="B94:K94"/>
    <mergeCell ref="L94:N94"/>
    <mergeCell ref="O94:Q94"/>
    <mergeCell ref="R94:U94"/>
    <mergeCell ref="V94:W94"/>
    <mergeCell ref="X94:AA94"/>
    <mergeCell ref="AF95:AI95"/>
    <mergeCell ref="AJ95:AM95"/>
    <mergeCell ref="B96:K96"/>
    <mergeCell ref="L96:N96"/>
    <mergeCell ref="O96:Q96"/>
    <mergeCell ref="R96:U96"/>
    <mergeCell ref="V96:W96"/>
    <mergeCell ref="X96:AA96"/>
    <mergeCell ref="AB96:AE96"/>
    <mergeCell ref="AF96:AI96"/>
    <mergeCell ref="AJ96:AM96"/>
    <mergeCell ref="B97:K97"/>
    <mergeCell ref="L97:N97"/>
    <mergeCell ref="O97:Q97"/>
    <mergeCell ref="R97:U97"/>
    <mergeCell ref="V97:W97"/>
    <mergeCell ref="X97:AA97"/>
    <mergeCell ref="AB97:AE97"/>
    <mergeCell ref="AF97:AI97"/>
    <mergeCell ref="AJ97:AM97"/>
    <mergeCell ref="AB98:AE98"/>
    <mergeCell ref="AF98:AI98"/>
    <mergeCell ref="AJ98:AM98"/>
    <mergeCell ref="B99:K99"/>
    <mergeCell ref="L99:N99"/>
    <mergeCell ref="O99:Q99"/>
    <mergeCell ref="R99:U99"/>
    <mergeCell ref="V99:W99"/>
    <mergeCell ref="X99:AA99"/>
    <mergeCell ref="AB99:AE99"/>
    <mergeCell ref="B98:K98"/>
    <mergeCell ref="L98:N98"/>
    <mergeCell ref="O98:Q98"/>
    <mergeCell ref="R98:U98"/>
    <mergeCell ref="V98:W98"/>
    <mergeCell ref="X98:AA98"/>
    <mergeCell ref="AF99:AI99"/>
    <mergeCell ref="AJ99:AM99"/>
    <mergeCell ref="B100:K100"/>
    <mergeCell ref="L100:N100"/>
    <mergeCell ref="O100:Q100"/>
    <mergeCell ref="R100:U100"/>
    <mergeCell ref="V100:W100"/>
    <mergeCell ref="X100:AA100"/>
    <mergeCell ref="AB100:AE100"/>
    <mergeCell ref="AF100:AI100"/>
    <mergeCell ref="AJ100:AM100"/>
    <mergeCell ref="B101:K101"/>
    <mergeCell ref="L101:N101"/>
    <mergeCell ref="O101:Q101"/>
    <mergeCell ref="R101:U101"/>
    <mergeCell ref="V101:W101"/>
    <mergeCell ref="X101:AA101"/>
    <mergeCell ref="AB101:AE101"/>
    <mergeCell ref="AF101:AI101"/>
    <mergeCell ref="AJ101:AM101"/>
    <mergeCell ref="AB102:AE102"/>
    <mergeCell ref="AF102:AI102"/>
    <mergeCell ref="AJ102:AM102"/>
    <mergeCell ref="B103:K103"/>
    <mergeCell ref="L103:N103"/>
    <mergeCell ref="O103:Q103"/>
    <mergeCell ref="R103:U103"/>
    <mergeCell ref="V103:W103"/>
    <mergeCell ref="X103:AA103"/>
    <mergeCell ref="AB103:AE103"/>
    <mergeCell ref="B102:K102"/>
    <mergeCell ref="L102:N102"/>
    <mergeCell ref="O102:Q102"/>
    <mergeCell ref="R102:U102"/>
    <mergeCell ref="V102:W102"/>
    <mergeCell ref="X102:AA102"/>
    <mergeCell ref="AF103:AI103"/>
    <mergeCell ref="AJ103:AM103"/>
    <mergeCell ref="B104:K104"/>
    <mergeCell ref="L104:N104"/>
    <mergeCell ref="O104:Q104"/>
    <mergeCell ref="R104:U104"/>
    <mergeCell ref="V104:W104"/>
    <mergeCell ref="X104:AA104"/>
    <mergeCell ref="AB104:AE104"/>
    <mergeCell ref="AF104:AI104"/>
    <mergeCell ref="AJ104:AM104"/>
    <mergeCell ref="B105:K105"/>
    <mergeCell ref="L105:N105"/>
    <mergeCell ref="O105:Q105"/>
    <mergeCell ref="R105:U105"/>
    <mergeCell ref="V105:W105"/>
    <mergeCell ref="X105:AA105"/>
    <mergeCell ref="AB105:AE105"/>
    <mergeCell ref="AF105:AI105"/>
    <mergeCell ref="AJ105:AM105"/>
    <mergeCell ref="AB106:AE106"/>
    <mergeCell ref="AF106:AI106"/>
    <mergeCell ref="AJ106:AM106"/>
    <mergeCell ref="B107:K107"/>
    <mergeCell ref="L107:N107"/>
    <mergeCell ref="O107:Q107"/>
    <mergeCell ref="R107:U107"/>
    <mergeCell ref="V107:W107"/>
    <mergeCell ref="X107:AA107"/>
    <mergeCell ref="AB107:AE107"/>
    <mergeCell ref="B106:K106"/>
    <mergeCell ref="L106:N106"/>
    <mergeCell ref="O106:Q106"/>
    <mergeCell ref="R106:U106"/>
    <mergeCell ref="V106:W106"/>
    <mergeCell ref="X106:AA106"/>
    <mergeCell ref="AF107:AI107"/>
    <mergeCell ref="AJ107:AM107"/>
    <mergeCell ref="B108:K108"/>
    <mergeCell ref="L108:N108"/>
    <mergeCell ref="O108:Q108"/>
    <mergeCell ref="R108:U108"/>
    <mergeCell ref="V108:W108"/>
    <mergeCell ref="X108:AA108"/>
    <mergeCell ref="AB108:AE108"/>
    <mergeCell ref="AF108:AI108"/>
    <mergeCell ref="AJ108:AM108"/>
    <mergeCell ref="B109:K109"/>
    <mergeCell ref="L109:N109"/>
    <mergeCell ref="O109:Q109"/>
    <mergeCell ref="R109:U109"/>
    <mergeCell ref="V109:W109"/>
    <mergeCell ref="X109:AA109"/>
    <mergeCell ref="AB109:AE109"/>
    <mergeCell ref="AF109:AI109"/>
    <mergeCell ref="AJ109:AM109"/>
    <mergeCell ref="AB110:AE110"/>
    <mergeCell ref="AF110:AI110"/>
    <mergeCell ref="AJ110:AM110"/>
    <mergeCell ref="B111:K111"/>
    <mergeCell ref="L111:N111"/>
    <mergeCell ref="O111:Q111"/>
    <mergeCell ref="R111:U111"/>
    <mergeCell ref="V111:W111"/>
    <mergeCell ref="X111:AA111"/>
    <mergeCell ref="AB111:AE111"/>
    <mergeCell ref="B110:K110"/>
    <mergeCell ref="L110:N110"/>
    <mergeCell ref="O110:Q110"/>
    <mergeCell ref="R110:U110"/>
    <mergeCell ref="V110:W110"/>
    <mergeCell ref="X110:AA110"/>
    <mergeCell ref="AF111:AI111"/>
    <mergeCell ref="AJ111:AM111"/>
    <mergeCell ref="B112:K112"/>
    <mergeCell ref="L112:N112"/>
    <mergeCell ref="O112:Q112"/>
    <mergeCell ref="R112:U112"/>
    <mergeCell ref="V112:W112"/>
    <mergeCell ref="X112:AA112"/>
    <mergeCell ref="AB112:AE112"/>
    <mergeCell ref="AF112:AI112"/>
    <mergeCell ref="AJ112:AM112"/>
    <mergeCell ref="B113:K113"/>
    <mergeCell ref="L113:N113"/>
    <mergeCell ref="O113:Q113"/>
    <mergeCell ref="R113:U113"/>
    <mergeCell ref="V113:W113"/>
    <mergeCell ref="X113:AA113"/>
    <mergeCell ref="AB113:AE113"/>
    <mergeCell ref="AF113:AI113"/>
    <mergeCell ref="AJ113:AM113"/>
    <mergeCell ref="AB114:AE114"/>
    <mergeCell ref="AF114:AI114"/>
    <mergeCell ref="AJ114:AM114"/>
    <mergeCell ref="B115:K115"/>
    <mergeCell ref="L115:N115"/>
    <mergeCell ref="O115:Q115"/>
    <mergeCell ref="R115:U115"/>
    <mergeCell ref="V115:W115"/>
    <mergeCell ref="X115:AA115"/>
    <mergeCell ref="AB115:AE115"/>
    <mergeCell ref="B114:K114"/>
    <mergeCell ref="L114:N114"/>
    <mergeCell ref="O114:Q114"/>
    <mergeCell ref="R114:U114"/>
    <mergeCell ref="V114:W114"/>
    <mergeCell ref="X114:AA114"/>
    <mergeCell ref="AF115:AI115"/>
    <mergeCell ref="AJ115:AM115"/>
    <mergeCell ref="B116:K116"/>
    <mergeCell ref="L116:N116"/>
    <mergeCell ref="O116:Q116"/>
    <mergeCell ref="R116:U116"/>
    <mergeCell ref="V116:W116"/>
    <mergeCell ref="X116:AA116"/>
    <mergeCell ref="AB116:AE116"/>
    <mergeCell ref="AF116:AI116"/>
    <mergeCell ref="AJ116:AM116"/>
    <mergeCell ref="B117:K117"/>
    <mergeCell ref="L117:N117"/>
    <mergeCell ref="O117:Q117"/>
    <mergeCell ref="R117:U117"/>
    <mergeCell ref="V117:W117"/>
    <mergeCell ref="X117:AA117"/>
    <mergeCell ref="AB117:AE117"/>
    <mergeCell ref="AF117:AI117"/>
    <mergeCell ref="AJ117:AM117"/>
    <mergeCell ref="AB118:AE118"/>
    <mergeCell ref="AF118:AI118"/>
    <mergeCell ref="AJ118:AM118"/>
    <mergeCell ref="B119:K119"/>
    <mergeCell ref="L119:N119"/>
    <mergeCell ref="O119:Q119"/>
    <mergeCell ref="R119:U119"/>
    <mergeCell ref="V119:W119"/>
    <mergeCell ref="X119:AA119"/>
    <mergeCell ref="AB119:AE119"/>
    <mergeCell ref="B118:K118"/>
    <mergeCell ref="L118:N118"/>
    <mergeCell ref="O118:Q118"/>
    <mergeCell ref="R118:U118"/>
    <mergeCell ref="V118:W118"/>
    <mergeCell ref="X118:AA118"/>
    <mergeCell ref="AF119:AI119"/>
    <mergeCell ref="AJ119:AM119"/>
    <mergeCell ref="B120:K120"/>
    <mergeCell ref="L120:N120"/>
    <mergeCell ref="O120:Q120"/>
    <mergeCell ref="R120:U120"/>
    <mergeCell ref="V120:W120"/>
    <mergeCell ref="X120:AA120"/>
    <mergeCell ref="AB120:AE120"/>
    <mergeCell ref="AF120:AI120"/>
    <mergeCell ref="AJ120:AM120"/>
    <mergeCell ref="B121:K121"/>
    <mergeCell ref="L121:N121"/>
    <mergeCell ref="O121:Q121"/>
    <mergeCell ref="R121:U121"/>
    <mergeCell ref="V121:W121"/>
    <mergeCell ref="X121:AA121"/>
    <mergeCell ref="AB121:AE121"/>
    <mergeCell ref="AF121:AI121"/>
    <mergeCell ref="AJ121:AM121"/>
    <mergeCell ref="AB122:AE122"/>
    <mergeCell ref="AF122:AI122"/>
    <mergeCell ref="AJ122:AM122"/>
    <mergeCell ref="B123:K123"/>
    <mergeCell ref="L123:N123"/>
    <mergeCell ref="O123:Q123"/>
    <mergeCell ref="R123:U123"/>
    <mergeCell ref="V123:W123"/>
    <mergeCell ref="X123:AA123"/>
    <mergeCell ref="AB123:AE123"/>
    <mergeCell ref="B122:K122"/>
    <mergeCell ref="L122:N122"/>
    <mergeCell ref="O122:Q122"/>
    <mergeCell ref="R122:U122"/>
    <mergeCell ref="V122:W122"/>
    <mergeCell ref="X122:AA122"/>
    <mergeCell ref="AF123:AI123"/>
    <mergeCell ref="AJ123:AM123"/>
    <mergeCell ref="B124:K124"/>
    <mergeCell ref="L124:N124"/>
    <mergeCell ref="O124:Q124"/>
    <mergeCell ref="R124:U124"/>
    <mergeCell ref="V124:W124"/>
    <mergeCell ref="X124:AA124"/>
    <mergeCell ref="AB124:AE124"/>
    <mergeCell ref="AF124:AI124"/>
    <mergeCell ref="AJ124:AM124"/>
    <mergeCell ref="B125:K125"/>
    <mergeCell ref="L125:N125"/>
    <mergeCell ref="O125:Q125"/>
    <mergeCell ref="R125:U125"/>
    <mergeCell ref="V125:W125"/>
    <mergeCell ref="X125:AA125"/>
    <mergeCell ref="AB125:AE125"/>
    <mergeCell ref="AF125:AI125"/>
    <mergeCell ref="AJ125:AM125"/>
    <mergeCell ref="X43:Z45"/>
    <mergeCell ref="AA43:AC45"/>
    <mergeCell ref="AD43:AE45"/>
    <mergeCell ref="AF43:AH45"/>
    <mergeCell ref="AI43:AJ45"/>
    <mergeCell ref="AK43:AM45"/>
    <mergeCell ref="J44:L44"/>
    <mergeCell ref="J45:L45"/>
    <mergeCell ref="AK46:AM48"/>
    <mergeCell ref="J47:L47"/>
    <mergeCell ref="J48:L48"/>
    <mergeCell ref="AK49:AM51"/>
    <mergeCell ref="J50:L50"/>
    <mergeCell ref="J51:L51"/>
    <mergeCell ref="A46:F48"/>
    <mergeCell ref="G46:I48"/>
    <mergeCell ref="J46:L46"/>
    <mergeCell ref="M46:N48"/>
    <mergeCell ref="O46:Q48"/>
    <mergeCell ref="R46:T48"/>
    <mergeCell ref="A49:F51"/>
    <mergeCell ref="G49:I51"/>
    <mergeCell ref="J49:L49"/>
    <mergeCell ref="M49:N51"/>
    <mergeCell ref="O49:Q51"/>
    <mergeCell ref="R49:T51"/>
    <mergeCell ref="U49:W51"/>
    <mergeCell ref="X49:Z51"/>
    <mergeCell ref="AA49:AC51"/>
    <mergeCell ref="U52:W54"/>
    <mergeCell ref="X52:Z54"/>
    <mergeCell ref="AA52:AC54"/>
    <mergeCell ref="AD46:AE48"/>
    <mergeCell ref="AF46:AH48"/>
    <mergeCell ref="AI46:AJ48"/>
    <mergeCell ref="U46:W48"/>
    <mergeCell ref="X46:Z48"/>
    <mergeCell ref="AA46:AC48"/>
    <mergeCell ref="AD52:AE54"/>
    <mergeCell ref="AF52:AH54"/>
    <mergeCell ref="AI52:AJ54"/>
    <mergeCell ref="AD49:AE51"/>
    <mergeCell ref="AF49:AH51"/>
    <mergeCell ref="AI49:AJ51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I55:AJ57"/>
    <mergeCell ref="AK55:AM57"/>
    <mergeCell ref="J56:L56"/>
    <mergeCell ref="J57:L57"/>
    <mergeCell ref="A52:F54"/>
    <mergeCell ref="G52:I54"/>
    <mergeCell ref="J52:L52"/>
    <mergeCell ref="M52:N54"/>
    <mergeCell ref="O52:Q54"/>
    <mergeCell ref="R52:T54"/>
    <mergeCell ref="AK58:AM60"/>
    <mergeCell ref="J59:L59"/>
    <mergeCell ref="J60:L60"/>
    <mergeCell ref="A61:F63"/>
    <mergeCell ref="G61:I63"/>
    <mergeCell ref="J61:L61"/>
    <mergeCell ref="M61:N63"/>
    <mergeCell ref="O61:Q63"/>
    <mergeCell ref="R61:T63"/>
    <mergeCell ref="U61:W63"/>
    <mergeCell ref="X61:Z63"/>
    <mergeCell ref="AA61:AC63"/>
    <mergeCell ref="AD61:AE63"/>
    <mergeCell ref="AF61:AH63"/>
    <mergeCell ref="AI61:AJ63"/>
    <mergeCell ref="AK61:AM63"/>
    <mergeCell ref="J62:L62"/>
    <mergeCell ref="J63:L63"/>
    <mergeCell ref="A58:F60"/>
    <mergeCell ref="G58:I60"/>
    <mergeCell ref="J58:L58"/>
    <mergeCell ref="M58:N60"/>
    <mergeCell ref="O58:Q60"/>
    <mergeCell ref="R58:T60"/>
    <mergeCell ref="U64:W66"/>
    <mergeCell ref="X64:Z66"/>
    <mergeCell ref="AA64:AC66"/>
    <mergeCell ref="AD58:AE60"/>
    <mergeCell ref="AF58:AH60"/>
    <mergeCell ref="AI58:AJ60"/>
    <mergeCell ref="U58:W60"/>
    <mergeCell ref="X58:Z60"/>
    <mergeCell ref="AA58:AC60"/>
    <mergeCell ref="AD64:AE66"/>
    <mergeCell ref="AF64:AH66"/>
    <mergeCell ref="AI64:AJ66"/>
    <mergeCell ref="AK64:AM66"/>
    <mergeCell ref="J65:L65"/>
    <mergeCell ref="J66:L66"/>
    <mergeCell ref="A67:F69"/>
    <mergeCell ref="G67:I69"/>
    <mergeCell ref="J67:L67"/>
    <mergeCell ref="M67:N69"/>
    <mergeCell ref="O67:Q69"/>
    <mergeCell ref="R67:T69"/>
    <mergeCell ref="U67:W69"/>
    <mergeCell ref="X67:Z69"/>
    <mergeCell ref="AA67:AC69"/>
    <mergeCell ref="AD67:AE69"/>
    <mergeCell ref="AF67:AH69"/>
    <mergeCell ref="AI67:AJ69"/>
    <mergeCell ref="AK67:AM69"/>
    <mergeCell ref="J68:L68"/>
    <mergeCell ref="J69:L69"/>
    <mergeCell ref="A64:F66"/>
    <mergeCell ref="G64:I66"/>
    <mergeCell ref="J64:L64"/>
    <mergeCell ref="M64:N66"/>
    <mergeCell ref="O64:Q66"/>
    <mergeCell ref="R64:T66"/>
    <mergeCell ref="B126:K126"/>
    <mergeCell ref="L126:N126"/>
    <mergeCell ref="O126:Q126"/>
    <mergeCell ref="R126:U126"/>
    <mergeCell ref="V126:W126"/>
    <mergeCell ref="X126:AA126"/>
    <mergeCell ref="AB126:AE126"/>
    <mergeCell ref="AF126:AI126"/>
    <mergeCell ref="AJ126:AM126"/>
    <mergeCell ref="B127:K127"/>
    <mergeCell ref="L127:N127"/>
    <mergeCell ref="O127:Q127"/>
    <mergeCell ref="R127:U127"/>
    <mergeCell ref="V127:W127"/>
    <mergeCell ref="X127:AA127"/>
    <mergeCell ref="AB127:AE127"/>
    <mergeCell ref="AF127:AI127"/>
    <mergeCell ref="AJ127:AM127"/>
  </mergeCells>
  <hyperlinks>
    <hyperlink ref="G11" r:id="rId1" xr:uid="{F42A8AE0-BD25-41D1-8BE5-BC5F08601815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359F-B994-41B2-BDC9-88A3CF159E31}">
  <dimension ref="A1:AM175"/>
  <sheetViews>
    <sheetView view="pageLayout" zoomScale="140" zoomScaleNormal="100" zoomScalePageLayoutView="140" workbookViewId="0">
      <selection activeCell="A134" sqref="A134:XFD135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1265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AB175</f>
        <v>34127.270000000004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AF175</f>
        <v>6484.1799999999994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AJ175</f>
        <v>40611.449999999997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40611.449999999997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R138+R152+R153+R156</f>
        <v>35071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1.1579781015653958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7" spans="1:39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Str. Decebal, FN, Vaslui Jud: Vaslui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VLOOKUP(AA16,'Date masura OD'!B:D,3,0)</f>
        <v>5000580534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_xlfn.CONCAT(AA16,"_",1)</f>
        <v>RN10_Vaslui_1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3" spans="1:39">
      <c r="A33" s="649" t="s">
        <v>748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50" t="str">
        <f>VLOOKUP(AI34,'Contorizare in SDI'!$E:$I,4,FALSE)</f>
        <v>EMO3446385/1</v>
      </c>
      <c r="N33" s="650"/>
      <c r="O33" s="650"/>
      <c r="P33" s="650"/>
      <c r="Q33" s="650"/>
      <c r="R33" s="650"/>
      <c r="S33" s="650"/>
      <c r="T33" s="650"/>
      <c r="U33" s="650"/>
      <c r="V33" s="650"/>
      <c r="W33" s="650"/>
      <c r="X33" s="650"/>
      <c r="Y33" s="650"/>
      <c r="Z33" s="650"/>
      <c r="AA33" s="650"/>
      <c r="AB33" s="650"/>
      <c r="AC33" s="650"/>
      <c r="AD33" s="650"/>
      <c r="AE33" s="650"/>
      <c r="AF33" s="650"/>
      <c r="AG33" s="650"/>
      <c r="AH33" s="650"/>
      <c r="AI33" s="650" t="s">
        <v>695</v>
      </c>
      <c r="AJ33" s="650"/>
      <c r="AK33" s="650"/>
      <c r="AL33" s="650"/>
      <c r="AM33" s="650"/>
    </row>
    <row r="34" spans="1:39">
      <c r="A34" s="649" t="s">
        <v>746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VLOOKUP(AI34,'Inchidere contur'!$G:$U,15,FALSE)</f>
        <v>JT_SDI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66" t="str">
        <f>AA31</f>
        <v>RN10_Vaslui_1</v>
      </c>
      <c r="AJ34" s="666"/>
      <c r="AK34" s="666"/>
      <c r="AL34" s="666"/>
      <c r="AM34" s="666"/>
    </row>
    <row r="35" spans="1:39">
      <c r="A35" s="649" t="s">
        <v>747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IF(LEFT(M34,2)="JT","0.4kV",IF(LEFT(M34,2)="MT","20kV","-"))</f>
        <v>0.4kV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/>
      <c r="AJ35" s="666"/>
      <c r="AK35" s="666"/>
      <c r="AL35" s="666"/>
      <c r="AM35" s="666"/>
    </row>
    <row r="36" spans="1:39" ht="15.95" customHeight="1">
      <c r="A36" s="648" t="s">
        <v>697</v>
      </c>
      <c r="B36" s="648"/>
      <c r="C36" s="648"/>
      <c r="D36" s="648"/>
      <c r="E36" s="648"/>
      <c r="F36" s="648"/>
      <c r="G36" s="647" t="s">
        <v>713</v>
      </c>
      <c r="H36" s="647"/>
      <c r="I36" s="647"/>
      <c r="J36" s="647" t="s">
        <v>714</v>
      </c>
      <c r="K36" s="647"/>
      <c r="L36" s="647"/>
      <c r="M36" s="648" t="s">
        <v>519</v>
      </c>
      <c r="N36" s="648"/>
      <c r="O36" s="648" t="s">
        <v>715</v>
      </c>
      <c r="P36" s="648"/>
      <c r="Q36" s="648"/>
      <c r="R36" s="647" t="s">
        <v>732</v>
      </c>
      <c r="S36" s="647"/>
      <c r="T36" s="647"/>
      <c r="U36" s="647" t="s">
        <v>734</v>
      </c>
      <c r="V36" s="647"/>
      <c r="W36" s="647"/>
      <c r="X36" s="647" t="s">
        <v>1085</v>
      </c>
      <c r="Y36" s="647"/>
      <c r="Z36" s="647"/>
      <c r="AA36" s="647" t="s">
        <v>1086</v>
      </c>
      <c r="AB36" s="647"/>
      <c r="AC36" s="647"/>
      <c r="AD36" s="647" t="s">
        <v>717</v>
      </c>
      <c r="AE36" s="647"/>
      <c r="AF36" s="647" t="s">
        <v>718</v>
      </c>
      <c r="AG36" s="647"/>
      <c r="AH36" s="647"/>
      <c r="AI36" s="647" t="s">
        <v>719</v>
      </c>
      <c r="AJ36" s="647"/>
      <c r="AK36" s="647" t="s">
        <v>733</v>
      </c>
      <c r="AL36" s="647"/>
      <c r="AM36" s="647"/>
    </row>
    <row r="37" spans="1:39">
      <c r="A37" s="648"/>
      <c r="B37" s="648"/>
      <c r="C37" s="648"/>
      <c r="D37" s="648"/>
      <c r="E37" s="648"/>
      <c r="F37" s="648"/>
      <c r="G37" s="647"/>
      <c r="H37" s="647"/>
      <c r="I37" s="647"/>
      <c r="J37" s="647"/>
      <c r="K37" s="647"/>
      <c r="L37" s="647"/>
      <c r="M37" s="648"/>
      <c r="N37" s="648"/>
      <c r="O37" s="648"/>
      <c r="P37" s="648"/>
      <c r="Q37" s="648"/>
      <c r="R37" s="647"/>
      <c r="S37" s="647"/>
      <c r="T37" s="647"/>
      <c r="U37" s="647"/>
      <c r="V37" s="647"/>
      <c r="W37" s="647"/>
      <c r="X37" s="647"/>
      <c r="Y37" s="647"/>
      <c r="Z37" s="647"/>
      <c r="AA37" s="647"/>
      <c r="AB37" s="647"/>
      <c r="AC37" s="647"/>
      <c r="AD37" s="647"/>
      <c r="AE37" s="647"/>
      <c r="AF37" s="647"/>
      <c r="AG37" s="647"/>
      <c r="AH37" s="647"/>
      <c r="AI37" s="647"/>
      <c r="AJ37" s="647"/>
      <c r="AK37" s="647"/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713"/>
      <c r="K38" s="713"/>
      <c r="L38" s="713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 ht="14.1" customHeight="1">
      <c r="A39" s="678">
        <f>VLOOKUP(AI34,'Contorizare in SDI'!$E:$I,5,FALSE)</f>
        <v>1371869788</v>
      </c>
      <c r="B39" s="679"/>
      <c r="C39" s="679"/>
      <c r="D39" s="679"/>
      <c r="E39" s="679"/>
      <c r="F39" s="680"/>
      <c r="G39" s="648" t="s">
        <v>730</v>
      </c>
      <c r="H39" s="648"/>
      <c r="I39" s="673"/>
      <c r="J39" s="655">
        <f>'Date masura OD'!$AK$5</f>
        <v>45748</v>
      </c>
      <c r="K39" s="656"/>
      <c r="L39" s="657"/>
      <c r="M39" s="720" t="s">
        <v>446</v>
      </c>
      <c r="N39" s="648"/>
      <c r="O39" s="648">
        <v>1</v>
      </c>
      <c r="P39" s="648"/>
      <c r="Q39" s="648"/>
      <c r="R39" s="647" t="str">
        <f>VLOOKUP(A39,Regularizare!$D:$YN,3,FALSE)&amp;" ("&amp;VLOOKUP(A39,Regularizare!$D:$Y,11,FALSE)&amp;")"</f>
        <v>185980 (citit)</v>
      </c>
      <c r="S39" s="647"/>
      <c r="T39" s="647"/>
      <c r="U39" s="647" t="str">
        <f>VLOOKUP(A39,Regularizare!$D:$U,4,FALSE)&amp;" ("&amp;VLOOKUP(A39,Regularizare!$D:$U,12,FALSE)&amp;")"</f>
        <v>189874 (estimat)</v>
      </c>
      <c r="V39" s="647"/>
      <c r="W39" s="647"/>
      <c r="X39" s="647" t="str">
        <f>VLOOKUP(A39,Regularizare!$D:$Y,19,FALSE)&amp;" ("&amp;VLOOKUP(A39,Regularizare!$D:$U,12,FALSE)&amp;")"</f>
        <v>3894 (estimat)</v>
      </c>
      <c r="Y39" s="647"/>
      <c r="Z39" s="647"/>
      <c r="AA39" s="647">
        <f>(-1)*VLOOKUP(A39,Regularizare!$D:$Y,19,FALSE)</f>
        <v>-3894</v>
      </c>
      <c r="AB39" s="647"/>
      <c r="AC39" s="647"/>
      <c r="AD39" s="647" t="s">
        <v>69</v>
      </c>
      <c r="AE39" s="647"/>
      <c r="AF39" s="647">
        <f>AA39</f>
        <v>-3894</v>
      </c>
      <c r="AG39" s="647"/>
      <c r="AH39" s="647"/>
      <c r="AI39" s="647" t="s">
        <v>69</v>
      </c>
      <c r="AJ39" s="647"/>
      <c r="AK39" s="647" t="s">
        <v>69</v>
      </c>
      <c r="AL39" s="647"/>
      <c r="AM39" s="647"/>
    </row>
    <row r="40" spans="1:39" ht="8.4499999999999993" customHeight="1">
      <c r="A40" s="717"/>
      <c r="B40" s="718"/>
      <c r="C40" s="718"/>
      <c r="D40" s="718"/>
      <c r="E40" s="718"/>
      <c r="F40" s="719"/>
      <c r="G40" s="648"/>
      <c r="H40" s="648"/>
      <c r="I40" s="673"/>
      <c r="J40" s="717" t="s">
        <v>69</v>
      </c>
      <c r="K40" s="718"/>
      <c r="L40" s="719"/>
      <c r="M40" s="720"/>
      <c r="N40" s="648"/>
      <c r="O40" s="648"/>
      <c r="P40" s="648"/>
      <c r="Q40" s="648"/>
      <c r="R40" s="647"/>
      <c r="S40" s="647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647"/>
      <c r="AL40" s="647"/>
      <c r="AM40" s="647"/>
    </row>
    <row r="41" spans="1:39" ht="14.1" customHeight="1">
      <c r="A41" s="681"/>
      <c r="B41" s="682"/>
      <c r="C41" s="682"/>
      <c r="D41" s="682"/>
      <c r="E41" s="682"/>
      <c r="F41" s="683"/>
      <c r="G41" s="648"/>
      <c r="H41" s="648"/>
      <c r="I41" s="673"/>
      <c r="J41" s="714">
        <f>'Date masura OD'!$AL$5</f>
        <v>45777</v>
      </c>
      <c r="K41" s="715"/>
      <c r="L41" s="716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78">
        <f>A39</f>
        <v>1371869788</v>
      </c>
      <c r="B42" s="679"/>
      <c r="C42" s="679"/>
      <c r="D42" s="679"/>
      <c r="E42" s="679"/>
      <c r="F42" s="680"/>
      <c r="G42" s="648" t="s">
        <v>696</v>
      </c>
      <c r="H42" s="648"/>
      <c r="I42" s="648"/>
      <c r="J42" s="655">
        <f t="shared" ref="J42:J47" si="0">J39</f>
        <v>45748</v>
      </c>
      <c r="K42" s="656"/>
      <c r="L42" s="657"/>
      <c r="M42" s="720" t="s">
        <v>446</v>
      </c>
      <c r="N42" s="648"/>
      <c r="O42" s="648">
        <f>O39</f>
        <v>1</v>
      </c>
      <c r="P42" s="648"/>
      <c r="Q42" s="648"/>
      <c r="R42" s="648" t="str">
        <f>VLOOKUP(A42,Regularizare!$D:$U,7,FALSE)&amp;" ("&amp;VLOOKUP(A42,Regularizare!$D:$U,15,FALSE)&amp;")"</f>
        <v>1195 (citit)</v>
      </c>
      <c r="S42" s="648"/>
      <c r="T42" s="648"/>
      <c r="U42" s="647" t="str">
        <f>VLOOKUP(A42,Regularizare!$D:$U,8,FALSE)&amp;" ("&amp;VLOOKUP(A42,Regularizare!$D:$U,16,FALSE)&amp;")"</f>
        <v>1195 (estimat)</v>
      </c>
      <c r="V42" s="647"/>
      <c r="W42" s="647"/>
      <c r="X42" s="647" t="str">
        <f>_xlfn.CONCAT(VLOOKUP(A42,Regularizare!$D:$U,8,FALSE)-VLOOKUP(A42,Regularizare!$D:$U,7,FALSE)," (",VLOOKUP(A42,Regularizare!$D:$U,16,FALSE),")")</f>
        <v>0 (estimat)</v>
      </c>
      <c r="Y42" s="647"/>
      <c r="Z42" s="647"/>
      <c r="AA42" s="647">
        <f>IF(VLOOKUP(A42,Regularizare!$D:$Y,21,FALSE)=0,VLOOKUP(A42,Regularizare!$D:$Y,21,FALSE),(-1)*VLOOKUP(A42,Regularizare!$D:$Y,21,FALSE))</f>
        <v>0</v>
      </c>
      <c r="AB42" s="647"/>
      <c r="AC42" s="647"/>
      <c r="AD42" s="647" t="s">
        <v>69</v>
      </c>
      <c r="AE42" s="647"/>
      <c r="AF42" s="647">
        <f>AA42</f>
        <v>0</v>
      </c>
      <c r="AG42" s="647"/>
      <c r="AH42" s="647"/>
      <c r="AI42" s="647" t="str">
        <f>AI39</f>
        <v>-</v>
      </c>
      <c r="AJ42" s="647"/>
      <c r="AK42" s="647" t="str">
        <f>AK39</f>
        <v>-</v>
      </c>
      <c r="AL42" s="647"/>
      <c r="AM42" s="647"/>
    </row>
    <row r="43" spans="1:39" ht="8.4499999999999993" customHeight="1">
      <c r="A43" s="717"/>
      <c r="B43" s="718"/>
      <c r="C43" s="718"/>
      <c r="D43" s="718"/>
      <c r="E43" s="718"/>
      <c r="F43" s="719"/>
      <c r="G43" s="648"/>
      <c r="H43" s="648"/>
      <c r="I43" s="648"/>
      <c r="J43" s="717" t="str">
        <f t="shared" si="0"/>
        <v>-</v>
      </c>
      <c r="K43" s="718"/>
      <c r="L43" s="719"/>
      <c r="M43" s="720"/>
      <c r="N43" s="648"/>
      <c r="O43" s="648"/>
      <c r="P43" s="648"/>
      <c r="Q43" s="648"/>
      <c r="R43" s="648"/>
      <c r="S43" s="648"/>
      <c r="T43" s="648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</row>
    <row r="44" spans="1:39" ht="14.1" customHeight="1">
      <c r="A44" s="681"/>
      <c r="B44" s="682"/>
      <c r="C44" s="682"/>
      <c r="D44" s="682"/>
      <c r="E44" s="682"/>
      <c r="F44" s="683"/>
      <c r="G44" s="648"/>
      <c r="H44" s="648"/>
      <c r="I44" s="648"/>
      <c r="J44" s="714">
        <f t="shared" si="0"/>
        <v>45777</v>
      </c>
      <c r="K44" s="715"/>
      <c r="L44" s="716"/>
      <c r="M44" s="720"/>
      <c r="N44" s="648"/>
      <c r="O44" s="648"/>
      <c r="P44" s="648"/>
      <c r="Q44" s="648"/>
      <c r="R44" s="648"/>
      <c r="S44" s="648"/>
      <c r="T44" s="648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78">
        <f>A42</f>
        <v>1371869788</v>
      </c>
      <c r="B45" s="679"/>
      <c r="C45" s="679"/>
      <c r="D45" s="679"/>
      <c r="E45" s="679"/>
      <c r="F45" s="680"/>
      <c r="G45" s="648" t="s">
        <v>731</v>
      </c>
      <c r="H45" s="648"/>
      <c r="I45" s="648"/>
      <c r="J45" s="655">
        <f t="shared" si="0"/>
        <v>45748</v>
      </c>
      <c r="K45" s="656"/>
      <c r="L45" s="657"/>
      <c r="M45" s="648" t="s">
        <v>720</v>
      </c>
      <c r="N45" s="648"/>
      <c r="O45" s="648">
        <f>O39</f>
        <v>1</v>
      </c>
      <c r="P45" s="648"/>
      <c r="Q45" s="648"/>
      <c r="R45" s="647" t="str">
        <f>VLOOKUP(A45,Regularizare!$D:$U,9,FALSE)&amp;" ("&amp;VLOOKUP(A45,Regularizare!$D:$U,17,FALSE)&amp;")"</f>
        <v>61875 (citit)</v>
      </c>
      <c r="S45" s="647"/>
      <c r="T45" s="647"/>
      <c r="U45" s="647" t="str">
        <f>VLOOKUP(A45,Regularizare!$D:$U,10,FALSE)&amp;" ("&amp;VLOOKUP(A45,Regularizare!$D:$U,18,FALSE)&amp;")"</f>
        <v>61875 (estimat)</v>
      </c>
      <c r="V45" s="647"/>
      <c r="W45" s="647"/>
      <c r="X45" s="647" t="str">
        <f>_xlfn.CONCAT(VLOOKUP(A45,Regularizare!$D:$U,10,FALSE)-VLOOKUP(A45,Regularizare!$D:$U,9,FALSE)," (",VLOOKUP(A45,Regularizare!$D:$U,18,FALSE),")")</f>
        <v>0 (estimat)</v>
      </c>
      <c r="Y45" s="647"/>
      <c r="Z45" s="647"/>
      <c r="AA45" s="647">
        <f>IF(VLOOKUP(A45,Regularizare!$D:$Y,22,FALSE)=0,VLOOKUP(A45,Regularizare!$D:$Y,22,FALSE),(-1)*VLOOKUP(A45,Regularizare!$D:$Y,22,FALSE))</f>
        <v>0</v>
      </c>
      <c r="AB45" s="647"/>
      <c r="AC45" s="647"/>
      <c r="AD45" s="647" t="s">
        <v>69</v>
      </c>
      <c r="AE45" s="647"/>
      <c r="AF45" s="647">
        <f>AA45</f>
        <v>0</v>
      </c>
      <c r="AG45" s="647"/>
      <c r="AH45" s="647"/>
      <c r="AI45" s="647" t="str">
        <f>AI42</f>
        <v>-</v>
      </c>
      <c r="AJ45" s="647"/>
      <c r="AK45" s="647" t="str">
        <f>AK42</f>
        <v>-</v>
      </c>
      <c r="AL45" s="647"/>
      <c r="AM45" s="647"/>
    </row>
    <row r="46" spans="1:39" ht="8.4499999999999993" customHeight="1">
      <c r="A46" s="717"/>
      <c r="B46" s="718"/>
      <c r="C46" s="718"/>
      <c r="D46" s="718"/>
      <c r="E46" s="718"/>
      <c r="F46" s="719"/>
      <c r="G46" s="648"/>
      <c r="H46" s="648"/>
      <c r="I46" s="648"/>
      <c r="J46" s="717" t="str">
        <f t="shared" si="0"/>
        <v>-</v>
      </c>
      <c r="K46" s="718"/>
      <c r="L46" s="719"/>
      <c r="M46" s="648"/>
      <c r="N46" s="648"/>
      <c r="O46" s="648"/>
      <c r="P46" s="648"/>
      <c r="Q46" s="648"/>
      <c r="R46" s="647"/>
      <c r="S46" s="647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647"/>
      <c r="AL46" s="647"/>
      <c r="AM46" s="647"/>
    </row>
    <row r="47" spans="1:39" ht="14.1" customHeight="1">
      <c r="A47" s="681"/>
      <c r="B47" s="682"/>
      <c r="C47" s="682"/>
      <c r="D47" s="682"/>
      <c r="E47" s="682"/>
      <c r="F47" s="683"/>
      <c r="G47" s="648"/>
      <c r="H47" s="648"/>
      <c r="I47" s="648"/>
      <c r="J47" s="714">
        <f t="shared" si="0"/>
        <v>45777</v>
      </c>
      <c r="K47" s="715"/>
      <c r="L47" s="716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78">
        <f>A45</f>
        <v>1371869788</v>
      </c>
      <c r="B48" s="679"/>
      <c r="C48" s="679"/>
      <c r="D48" s="679"/>
      <c r="E48" s="679"/>
      <c r="F48" s="680"/>
      <c r="G48" s="648" t="s">
        <v>730</v>
      </c>
      <c r="H48" s="648"/>
      <c r="I48" s="673"/>
      <c r="J48" s="655">
        <f>'Date masura OD'!$AK$5</f>
        <v>45748</v>
      </c>
      <c r="K48" s="656"/>
      <c r="L48" s="657"/>
      <c r="M48" s="648" t="s">
        <v>720</v>
      </c>
      <c r="N48" s="648"/>
      <c r="O48" s="648">
        <f>O45</f>
        <v>1</v>
      </c>
      <c r="P48" s="648"/>
      <c r="Q48" s="648"/>
      <c r="R48" s="647" t="str">
        <f>VLOOKUP(A48,Regularizare!$D:$AX,23,FALSE)&amp;" ("&amp;VLOOKUP(A48,Regularizare!$D:$AX,24,FALSE)&amp;")"</f>
        <v>185980 (citit)</v>
      </c>
      <c r="S48" s="647"/>
      <c r="T48" s="647"/>
      <c r="U48" s="647" t="str">
        <f>VLOOKUP(A48,Regularizare!$D:$AX,25,FALSE)&amp;" ("&amp;VLOOKUP(A48,Regularizare!$D:$AX,26,FALSE)&amp;")"</f>
        <v>189874 (citit)</v>
      </c>
      <c r="V48" s="647"/>
      <c r="W48" s="647"/>
      <c r="X48" s="647" t="str">
        <f>VLOOKUP(A48,Regularizare!$D:$AX,37,FALSE)&amp;" ("&amp;VLOOKUP(A48,Regularizare!$D:$AX,26,FALSE)&amp;")"</f>
        <v>3894 (citit)</v>
      </c>
      <c r="Y48" s="647"/>
      <c r="Z48" s="647"/>
      <c r="AA48" s="647">
        <f>VLOOKUP(A48,Regularizare!$D:$AX,37,FALSE)</f>
        <v>3894</v>
      </c>
      <c r="AB48" s="647"/>
      <c r="AC48" s="647"/>
      <c r="AD48" s="647" t="s">
        <v>69</v>
      </c>
      <c r="AE48" s="647"/>
      <c r="AF48" s="647">
        <f>AA48</f>
        <v>3894</v>
      </c>
      <c r="AG48" s="647"/>
      <c r="AH48" s="647"/>
      <c r="AI48" s="647" t="str">
        <f>AI45</f>
        <v>-</v>
      </c>
      <c r="AJ48" s="647"/>
      <c r="AK48" s="647" t="str">
        <f>AK45</f>
        <v>-</v>
      </c>
      <c r="AL48" s="647"/>
      <c r="AM48" s="647"/>
    </row>
    <row r="49" spans="1:39" ht="8.4499999999999993" customHeight="1">
      <c r="A49" s="717"/>
      <c r="B49" s="718"/>
      <c r="C49" s="718"/>
      <c r="D49" s="718"/>
      <c r="E49" s="718"/>
      <c r="F49" s="719"/>
      <c r="G49" s="648"/>
      <c r="H49" s="648"/>
      <c r="I49" s="673"/>
      <c r="J49" s="717" t="s">
        <v>69</v>
      </c>
      <c r="K49" s="718"/>
      <c r="L49" s="719"/>
      <c r="M49" s="648"/>
      <c r="N49" s="648"/>
      <c r="O49" s="648"/>
      <c r="P49" s="648"/>
      <c r="Q49" s="648"/>
      <c r="R49" s="647"/>
      <c r="S49" s="647"/>
      <c r="T49" s="647"/>
      <c r="U49" s="647"/>
      <c r="V49" s="647"/>
      <c r="W49" s="647"/>
      <c r="X49" s="647"/>
      <c r="Y49" s="647"/>
      <c r="Z49" s="647"/>
      <c r="AA49" s="647"/>
      <c r="AB49" s="647"/>
      <c r="AC49" s="647"/>
      <c r="AD49" s="647"/>
      <c r="AE49" s="647"/>
      <c r="AF49" s="647"/>
      <c r="AG49" s="647"/>
      <c r="AH49" s="647"/>
      <c r="AI49" s="647"/>
      <c r="AJ49" s="647"/>
      <c r="AK49" s="647"/>
      <c r="AL49" s="647"/>
      <c r="AM49" s="647"/>
    </row>
    <row r="50" spans="1:39" ht="14.1" customHeight="1">
      <c r="A50" s="681"/>
      <c r="B50" s="682"/>
      <c r="C50" s="682"/>
      <c r="D50" s="682"/>
      <c r="E50" s="682"/>
      <c r="F50" s="683"/>
      <c r="G50" s="648"/>
      <c r="H50" s="648"/>
      <c r="I50" s="673"/>
      <c r="J50" s="714">
        <f>'Date masura OD'!$AL$5</f>
        <v>45777</v>
      </c>
      <c r="K50" s="715"/>
      <c r="L50" s="716"/>
      <c r="M50" s="648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78">
        <f>A48</f>
        <v>1371869788</v>
      </c>
      <c r="B51" s="679"/>
      <c r="C51" s="679"/>
      <c r="D51" s="679"/>
      <c r="E51" s="679"/>
      <c r="F51" s="680"/>
      <c r="G51" s="648" t="s">
        <v>696</v>
      </c>
      <c r="H51" s="648"/>
      <c r="I51" s="648"/>
      <c r="J51" s="655">
        <f t="shared" ref="J51:J56" si="1">J48</f>
        <v>45748</v>
      </c>
      <c r="K51" s="656"/>
      <c r="L51" s="657"/>
      <c r="M51" s="720" t="s">
        <v>446</v>
      </c>
      <c r="N51" s="648"/>
      <c r="O51" s="648">
        <v>1</v>
      </c>
      <c r="P51" s="648"/>
      <c r="Q51" s="648"/>
      <c r="R51" s="647" t="str">
        <f>VLOOKUP(A51,Regularizare!$D:$AX,29,FALSE)&amp;" ("&amp;VLOOKUP(A51,Regularizare!$D:$AX,30,FALSE)&amp;")"</f>
        <v>1195 (citit)</v>
      </c>
      <c r="S51" s="647"/>
      <c r="T51" s="647"/>
      <c r="U51" s="647" t="str">
        <f>VLOOKUP(A51,Regularizare!$D:$AX,31,FALSE)&amp;" ("&amp;VLOOKUP(A51,Regularizare!$D:$AX,32,FALSE)&amp;")"</f>
        <v>1195 (citit)</v>
      </c>
      <c r="V51" s="647"/>
      <c r="W51" s="647"/>
      <c r="X51" s="647" t="str">
        <f>VLOOKUP(A51,Regularizare!$D:$AX,39,FALSE)&amp;" ("&amp;VLOOKUP(A51,Regularizare!$D:$AX,32,FALSE)&amp;")"</f>
        <v>0 (citit)</v>
      </c>
      <c r="Y51" s="647"/>
      <c r="Z51" s="647"/>
      <c r="AA51" s="647">
        <f>VLOOKUP(A51,Regularizare!$D:$AX,44,FALSE)+VLOOKUP(A51,Regularizare!$D:$AX,45,FALSE)</f>
        <v>0</v>
      </c>
      <c r="AB51" s="647"/>
      <c r="AC51" s="647"/>
      <c r="AD51" s="647" t="s">
        <v>69</v>
      </c>
      <c r="AE51" s="647"/>
      <c r="AF51" s="647">
        <f>AA51</f>
        <v>0</v>
      </c>
      <c r="AG51" s="647"/>
      <c r="AH51" s="647"/>
      <c r="AI51" s="647" t="str">
        <f>AI48</f>
        <v>-</v>
      </c>
      <c r="AJ51" s="647"/>
      <c r="AK51" s="647" t="str">
        <f>AK48</f>
        <v>-</v>
      </c>
      <c r="AL51" s="647"/>
      <c r="AM51" s="647"/>
    </row>
    <row r="52" spans="1:39" ht="8.4499999999999993" customHeight="1">
      <c r="A52" s="717"/>
      <c r="B52" s="718"/>
      <c r="C52" s="718"/>
      <c r="D52" s="718"/>
      <c r="E52" s="718"/>
      <c r="F52" s="719"/>
      <c r="G52" s="648"/>
      <c r="H52" s="648"/>
      <c r="I52" s="648"/>
      <c r="J52" s="717" t="str">
        <f t="shared" si="1"/>
        <v>-</v>
      </c>
      <c r="K52" s="718"/>
      <c r="L52" s="719"/>
      <c r="M52" s="720"/>
      <c r="N52" s="648"/>
      <c r="O52" s="648"/>
      <c r="P52" s="648"/>
      <c r="Q52" s="648"/>
      <c r="R52" s="647"/>
      <c r="S52" s="647"/>
      <c r="T52" s="647"/>
      <c r="U52" s="647"/>
      <c r="V52" s="647"/>
      <c r="W52" s="647"/>
      <c r="X52" s="647"/>
      <c r="Y52" s="647"/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647"/>
      <c r="AL52" s="647"/>
      <c r="AM52" s="647"/>
    </row>
    <row r="53" spans="1:39" ht="14.1" customHeight="1">
      <c r="A53" s="681"/>
      <c r="B53" s="682"/>
      <c r="C53" s="682"/>
      <c r="D53" s="682"/>
      <c r="E53" s="682"/>
      <c r="F53" s="683"/>
      <c r="G53" s="648"/>
      <c r="H53" s="648"/>
      <c r="I53" s="648"/>
      <c r="J53" s="714">
        <f t="shared" si="1"/>
        <v>45777</v>
      </c>
      <c r="K53" s="715"/>
      <c r="L53" s="716"/>
      <c r="M53" s="720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78">
        <f>A51</f>
        <v>1371869788</v>
      </c>
      <c r="B54" s="679"/>
      <c r="C54" s="679"/>
      <c r="D54" s="679"/>
      <c r="E54" s="679"/>
      <c r="F54" s="680"/>
      <c r="G54" s="648" t="s">
        <v>731</v>
      </c>
      <c r="H54" s="648"/>
      <c r="I54" s="648"/>
      <c r="J54" s="655">
        <f t="shared" si="1"/>
        <v>45748</v>
      </c>
      <c r="K54" s="656"/>
      <c r="L54" s="657"/>
      <c r="M54" s="720" t="s">
        <v>446</v>
      </c>
      <c r="N54" s="648"/>
      <c r="O54" s="648">
        <f>O51</f>
        <v>1</v>
      </c>
      <c r="P54" s="648"/>
      <c r="Q54" s="648"/>
      <c r="R54" s="647" t="str">
        <f>VLOOKUP(A54,Regularizare!$D:$AX,33,FALSE)&amp;" ("&amp;VLOOKUP(A54,Regularizare!$D:$AX,34,FALSE)&amp;")"</f>
        <v>61875 (citit)</v>
      </c>
      <c r="S54" s="647"/>
      <c r="T54" s="647"/>
      <c r="U54" s="647" t="str">
        <f>VLOOKUP(A54,Regularizare!$D:$AX,35,FALSE)&amp;" ("&amp;VLOOKUP(A54,Regularizare!$D:$AX,36,FALSE)&amp;")"</f>
        <v>62751 (citit)</v>
      </c>
      <c r="V54" s="647"/>
      <c r="W54" s="647"/>
      <c r="X54" s="647" t="str">
        <f>VLOOKUP(A54,Regularizare!$D:$AX,40,FALSE)&amp;" ("&amp;VLOOKUP(A54,Regularizare!$D:$AX,36,FALSE)&amp;")"</f>
        <v>876 (citit)</v>
      </c>
      <c r="Y54" s="647"/>
      <c r="Z54" s="647"/>
      <c r="AA54" s="647">
        <f>VLOOKUP(A54,Regularizare!$D:$AX,46,FALSE)+VLOOKUP(A54,Regularizare!$D:$AX,47,FALSE)</f>
        <v>876</v>
      </c>
      <c r="AB54" s="647"/>
      <c r="AC54" s="647"/>
      <c r="AD54" s="647" t="s">
        <v>69</v>
      </c>
      <c r="AE54" s="647"/>
      <c r="AF54" s="647">
        <f>AA54</f>
        <v>876</v>
      </c>
      <c r="AG54" s="647"/>
      <c r="AH54" s="647"/>
      <c r="AI54" s="647" t="str">
        <f>AI51</f>
        <v>-</v>
      </c>
      <c r="AJ54" s="647"/>
      <c r="AK54" s="647" t="str">
        <f>AK51</f>
        <v>-</v>
      </c>
      <c r="AL54" s="647"/>
      <c r="AM54" s="647"/>
    </row>
    <row r="55" spans="1:39" ht="8.4499999999999993" customHeight="1">
      <c r="A55" s="717"/>
      <c r="B55" s="718"/>
      <c r="C55" s="718"/>
      <c r="D55" s="718"/>
      <c r="E55" s="718"/>
      <c r="F55" s="719"/>
      <c r="G55" s="648"/>
      <c r="H55" s="648"/>
      <c r="I55" s="648"/>
      <c r="J55" s="717" t="str">
        <f t="shared" si="1"/>
        <v>-</v>
      </c>
      <c r="K55" s="718"/>
      <c r="L55" s="719"/>
      <c r="M55" s="720"/>
      <c r="N55" s="648"/>
      <c r="O55" s="648"/>
      <c r="P55" s="648"/>
      <c r="Q55" s="648"/>
      <c r="R55" s="647"/>
      <c r="S55" s="647"/>
      <c r="T55" s="647"/>
      <c r="U55" s="647"/>
      <c r="V55" s="647"/>
      <c r="W55" s="647"/>
      <c r="X55" s="647"/>
      <c r="Y55" s="647"/>
      <c r="Z55" s="647"/>
      <c r="AA55" s="647"/>
      <c r="AB55" s="647"/>
      <c r="AC55" s="647"/>
      <c r="AD55" s="647"/>
      <c r="AE55" s="647"/>
      <c r="AF55" s="647"/>
      <c r="AG55" s="647"/>
      <c r="AH55" s="647"/>
      <c r="AI55" s="647"/>
      <c r="AJ55" s="647"/>
      <c r="AK55" s="647"/>
      <c r="AL55" s="647"/>
      <c r="AM55" s="647"/>
    </row>
    <row r="56" spans="1:39" ht="14.1" customHeight="1">
      <c r="A56" s="681"/>
      <c r="B56" s="682"/>
      <c r="C56" s="682"/>
      <c r="D56" s="682"/>
      <c r="E56" s="682"/>
      <c r="F56" s="683"/>
      <c r="G56" s="648"/>
      <c r="H56" s="648"/>
      <c r="I56" s="648"/>
      <c r="J56" s="714">
        <f t="shared" si="1"/>
        <v>45777</v>
      </c>
      <c r="K56" s="715"/>
      <c r="L56" s="716"/>
      <c r="M56" s="720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78">
        <f>A54</f>
        <v>1371869788</v>
      </c>
      <c r="B57" s="679"/>
      <c r="C57" s="679"/>
      <c r="D57" s="679"/>
      <c r="E57" s="679"/>
      <c r="F57" s="680"/>
      <c r="G57" s="648" t="s">
        <v>730</v>
      </c>
      <c r="H57" s="648"/>
      <c r="I57" s="673"/>
      <c r="J57" s="655">
        <f>'Date masura OD'!$I$5</f>
        <v>45778</v>
      </c>
      <c r="K57" s="656"/>
      <c r="L57" s="657"/>
      <c r="M57" s="648" t="s">
        <v>720</v>
      </c>
      <c r="N57" s="648"/>
      <c r="O57" s="648">
        <f>O51</f>
        <v>1</v>
      </c>
      <c r="P57" s="648"/>
      <c r="Q57" s="648"/>
      <c r="R57" s="647" t="str">
        <f>U48</f>
        <v>189874 (citit)</v>
      </c>
      <c r="S57" s="647"/>
      <c r="T57" s="647"/>
      <c r="U57" s="647" t="str">
        <f>VLOOKUP(A57,'Incrementare indexe'!$D:$M,4,FALSE)&amp;" (estimat)"</f>
        <v>193467 (estimat)</v>
      </c>
      <c r="V57" s="647"/>
      <c r="W57" s="647"/>
      <c r="X57" s="647" t="str">
        <f>VLOOKUP(A57,'Incrementare indexe'!$D:$Q,11,FALSE)&amp;" (citit)"</f>
        <v>3593 (citit)</v>
      </c>
      <c r="Y57" s="647"/>
      <c r="Z57" s="647"/>
      <c r="AA57" s="647" t="s">
        <v>69</v>
      </c>
      <c r="AB57" s="647"/>
      <c r="AC57" s="647"/>
      <c r="AD57" s="647" t="s">
        <v>69</v>
      </c>
      <c r="AE57" s="647"/>
      <c r="AF57" s="647">
        <f>VLOOKUP(A57,'Incrementare indexe'!$D:$Q,11,FALSE)</f>
        <v>3593</v>
      </c>
      <c r="AG57" s="647"/>
      <c r="AH57" s="647"/>
      <c r="AI57" s="647">
        <f>J59-J57+1</f>
        <v>31</v>
      </c>
      <c r="AJ57" s="647"/>
      <c r="AK57" s="647">
        <f>ROUND(AF57/AI57,2)</f>
        <v>115.9</v>
      </c>
      <c r="AL57" s="647"/>
      <c r="AM57" s="647"/>
    </row>
    <row r="58" spans="1:39" ht="8.4499999999999993" customHeight="1">
      <c r="A58" s="717"/>
      <c r="B58" s="718"/>
      <c r="C58" s="718"/>
      <c r="D58" s="718"/>
      <c r="E58" s="718"/>
      <c r="F58" s="719"/>
      <c r="G58" s="648"/>
      <c r="H58" s="648"/>
      <c r="I58" s="673"/>
      <c r="J58" s="717" t="s">
        <v>69</v>
      </c>
      <c r="K58" s="718"/>
      <c r="L58" s="719"/>
      <c r="M58" s="648"/>
      <c r="N58" s="648"/>
      <c r="O58" s="648"/>
      <c r="P58" s="648"/>
      <c r="Q58" s="648"/>
      <c r="R58" s="647"/>
      <c r="S58" s="647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647"/>
      <c r="AL58" s="647"/>
      <c r="AM58" s="647"/>
    </row>
    <row r="59" spans="1:39" ht="14.1" customHeight="1">
      <c r="A59" s="681"/>
      <c r="B59" s="682"/>
      <c r="C59" s="682"/>
      <c r="D59" s="682"/>
      <c r="E59" s="682"/>
      <c r="F59" s="683"/>
      <c r="G59" s="648"/>
      <c r="H59" s="648"/>
      <c r="I59" s="673"/>
      <c r="J59" s="714">
        <f>'Date masura OD'!$J$5</f>
        <v>45808</v>
      </c>
      <c r="K59" s="715"/>
      <c r="L59" s="716"/>
      <c r="M59" s="648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78">
        <f>A57</f>
        <v>1371869788</v>
      </c>
      <c r="B60" s="679"/>
      <c r="C60" s="679"/>
      <c r="D60" s="679"/>
      <c r="E60" s="679"/>
      <c r="F60" s="680"/>
      <c r="G60" s="647" t="s">
        <v>1300</v>
      </c>
      <c r="H60" s="647"/>
      <c r="I60" s="675"/>
      <c r="J60" s="655">
        <f t="shared" ref="J60:J68" si="2">J57</f>
        <v>45778</v>
      </c>
      <c r="K60" s="656"/>
      <c r="L60" s="657"/>
      <c r="M60" s="720" t="s">
        <v>446</v>
      </c>
      <c r="N60" s="648"/>
      <c r="O60" s="648">
        <v>1</v>
      </c>
      <c r="P60" s="648"/>
      <c r="Q60" s="648"/>
      <c r="R60" s="647" t="str">
        <f>VLOOKUP(A60,'Date masura SDI'!A:D,4,0)&amp;" (citit)"</f>
        <v>131906 (citit)</v>
      </c>
      <c r="S60" s="647"/>
      <c r="T60" s="647"/>
      <c r="U60" s="647" t="str">
        <f>VLOOKUP(A60,'Date masura SDI'!A:E,5,)&amp;" (citit)"</f>
        <v>138412 (citit)</v>
      </c>
      <c r="V60" s="647"/>
      <c r="W60" s="647"/>
      <c r="X60" s="647" t="str">
        <f>(VLOOKUP(A60,'Date masura SDI'!A:E,5,0)-VLOOKUP(A60,'Date masura SDI'!A:E,4,0))*O60 &amp;" (citit)"</f>
        <v>6506 (citit)</v>
      </c>
      <c r="Y60" s="647"/>
      <c r="Z60" s="647"/>
      <c r="AA60" s="647" t="s">
        <v>69</v>
      </c>
      <c r="AB60" s="647"/>
      <c r="AC60" s="647"/>
      <c r="AD60" s="647" t="s">
        <v>69</v>
      </c>
      <c r="AE60" s="647"/>
      <c r="AF60" s="647">
        <f>VLOOKUP(A60,'Incrementare indexe'!$D:$Q,12,FALSE)</f>
        <v>0</v>
      </c>
      <c r="AG60" s="647"/>
      <c r="AH60" s="647"/>
      <c r="AI60" s="647">
        <f>AI57</f>
        <v>31</v>
      </c>
      <c r="AJ60" s="647"/>
      <c r="AK60" s="647">
        <f>ROUND(AF60/AI60,2)</f>
        <v>0</v>
      </c>
      <c r="AL60" s="647"/>
      <c r="AM60" s="647"/>
    </row>
    <row r="61" spans="1:39" ht="8.4499999999999993" customHeight="1">
      <c r="A61" s="717"/>
      <c r="B61" s="718"/>
      <c r="C61" s="718"/>
      <c r="D61" s="718"/>
      <c r="E61" s="718"/>
      <c r="F61" s="719"/>
      <c r="G61" s="647"/>
      <c r="H61" s="647"/>
      <c r="I61" s="675"/>
      <c r="J61" s="717" t="str">
        <f t="shared" si="2"/>
        <v>-</v>
      </c>
      <c r="K61" s="718"/>
      <c r="L61" s="719"/>
      <c r="M61" s="720"/>
      <c r="N61" s="648"/>
      <c r="O61" s="648"/>
      <c r="P61" s="648"/>
      <c r="Q61" s="648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</row>
    <row r="62" spans="1:39" ht="14.1" customHeight="1">
      <c r="A62" s="681"/>
      <c r="B62" s="682"/>
      <c r="C62" s="682"/>
      <c r="D62" s="682"/>
      <c r="E62" s="682"/>
      <c r="F62" s="683"/>
      <c r="G62" s="647"/>
      <c r="H62" s="647"/>
      <c r="I62" s="675"/>
      <c r="J62" s="714">
        <f t="shared" si="2"/>
        <v>45808</v>
      </c>
      <c r="K62" s="715"/>
      <c r="L62" s="716"/>
      <c r="M62" s="720"/>
      <c r="N62" s="648"/>
      <c r="O62" s="648"/>
      <c r="P62" s="648"/>
      <c r="Q62" s="648"/>
      <c r="R62" s="647"/>
      <c r="S62" s="647"/>
      <c r="T62" s="647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78">
        <f>A60</f>
        <v>1371869788</v>
      </c>
      <c r="B63" s="679"/>
      <c r="C63" s="679"/>
      <c r="D63" s="679"/>
      <c r="E63" s="679"/>
      <c r="F63" s="680"/>
      <c r="G63" s="648" t="s">
        <v>696</v>
      </c>
      <c r="H63" s="648"/>
      <c r="I63" s="648"/>
      <c r="J63" s="655">
        <f t="shared" si="2"/>
        <v>45778</v>
      </c>
      <c r="K63" s="656"/>
      <c r="L63" s="657"/>
      <c r="M63" s="720" t="s">
        <v>446</v>
      </c>
      <c r="N63" s="648"/>
      <c r="O63" s="648">
        <f>O60</f>
        <v>1</v>
      </c>
      <c r="P63" s="648"/>
      <c r="Q63" s="648"/>
      <c r="R63" s="684" t="str">
        <f>U51</f>
        <v>1195 (citit)</v>
      </c>
      <c r="S63" s="685"/>
      <c r="T63" s="686"/>
      <c r="U63" s="647" t="str">
        <f>VLOOKUP(A63,'Incrementare indexe'!$D:$M,8,FALSE)&amp;" (estimat)"</f>
        <v>1195 (estimat)</v>
      </c>
      <c r="V63" s="647"/>
      <c r="W63" s="647"/>
      <c r="X63" s="647" t="str">
        <f>VLOOKUP(A63,'Incrementare indexe'!$D:$Q,12,FALSE)&amp;" (estimat)"</f>
        <v>0 (estimat)</v>
      </c>
      <c r="Y63" s="647"/>
      <c r="Z63" s="647"/>
      <c r="AA63" s="647" t="s">
        <v>69</v>
      </c>
      <c r="AB63" s="647"/>
      <c r="AC63" s="647"/>
      <c r="AD63" s="647" t="s">
        <v>69</v>
      </c>
      <c r="AE63" s="647"/>
      <c r="AF63" s="647">
        <f>VLOOKUP(A63,'Incrementare indexe'!$D:$Q,12,FALSE)</f>
        <v>0</v>
      </c>
      <c r="AG63" s="647"/>
      <c r="AH63" s="647"/>
      <c r="AI63" s="647">
        <f>AI57</f>
        <v>31</v>
      </c>
      <c r="AJ63" s="647"/>
      <c r="AK63" s="647">
        <f>ROUND(AF63/AI63,2)</f>
        <v>0</v>
      </c>
      <c r="AL63" s="647"/>
      <c r="AM63" s="647"/>
    </row>
    <row r="64" spans="1:39" ht="8.4499999999999993" customHeight="1">
      <c r="A64" s="717"/>
      <c r="B64" s="718"/>
      <c r="C64" s="718"/>
      <c r="D64" s="718"/>
      <c r="E64" s="718"/>
      <c r="F64" s="719"/>
      <c r="G64" s="648"/>
      <c r="H64" s="648"/>
      <c r="I64" s="648"/>
      <c r="J64" s="717" t="str">
        <f t="shared" si="2"/>
        <v>-</v>
      </c>
      <c r="K64" s="718"/>
      <c r="L64" s="719"/>
      <c r="M64" s="720"/>
      <c r="N64" s="648"/>
      <c r="O64" s="648"/>
      <c r="P64" s="648"/>
      <c r="Q64" s="648"/>
      <c r="R64" s="727"/>
      <c r="S64" s="729"/>
      <c r="T64" s="728"/>
      <c r="U64" s="647"/>
      <c r="V64" s="647"/>
      <c r="W64" s="647"/>
      <c r="X64" s="647"/>
      <c r="Y64" s="647"/>
      <c r="Z64" s="647"/>
      <c r="AA64" s="647"/>
      <c r="AB64" s="647"/>
      <c r="AC64" s="647"/>
      <c r="AD64" s="647"/>
      <c r="AE64" s="647"/>
      <c r="AF64" s="647"/>
      <c r="AG64" s="647"/>
      <c r="AH64" s="647"/>
      <c r="AI64" s="647"/>
      <c r="AJ64" s="647"/>
      <c r="AK64" s="647"/>
      <c r="AL64" s="647"/>
      <c r="AM64" s="647"/>
    </row>
    <row r="65" spans="1:39" ht="14.1" customHeight="1">
      <c r="A65" s="681"/>
      <c r="B65" s="682"/>
      <c r="C65" s="682"/>
      <c r="D65" s="682"/>
      <c r="E65" s="682"/>
      <c r="F65" s="683"/>
      <c r="G65" s="648"/>
      <c r="H65" s="648"/>
      <c r="I65" s="648"/>
      <c r="J65" s="714">
        <f t="shared" si="2"/>
        <v>45808</v>
      </c>
      <c r="K65" s="715"/>
      <c r="L65" s="716"/>
      <c r="M65" s="720"/>
      <c r="N65" s="648"/>
      <c r="O65" s="648"/>
      <c r="P65" s="648"/>
      <c r="Q65" s="648"/>
      <c r="R65" s="687"/>
      <c r="S65" s="688"/>
      <c r="T65" s="689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78">
        <f>A63</f>
        <v>1371869788</v>
      </c>
      <c r="B66" s="679"/>
      <c r="C66" s="679"/>
      <c r="D66" s="679"/>
      <c r="E66" s="679"/>
      <c r="F66" s="680"/>
      <c r="G66" s="648" t="s">
        <v>731</v>
      </c>
      <c r="H66" s="648"/>
      <c r="I66" s="648"/>
      <c r="J66" s="655">
        <f t="shared" si="2"/>
        <v>45778</v>
      </c>
      <c r="K66" s="656"/>
      <c r="L66" s="657"/>
      <c r="M66" s="648" t="s">
        <v>720</v>
      </c>
      <c r="N66" s="648"/>
      <c r="O66" s="648">
        <f>O60</f>
        <v>1</v>
      </c>
      <c r="P66" s="648"/>
      <c r="Q66" s="648"/>
      <c r="R66" s="647" t="str">
        <f>U54</f>
        <v>62751 (citit)</v>
      </c>
      <c r="S66" s="647"/>
      <c r="T66" s="647"/>
      <c r="U66" s="647" t="str">
        <f>VLOOKUP(A66,'Incrementare indexe'!$D:$M,10,FALSE)&amp;" (estimat)"</f>
        <v>62751 (estimat)</v>
      </c>
      <c r="V66" s="647"/>
      <c r="W66" s="647"/>
      <c r="X66" s="647" t="str">
        <f>VLOOKUP(A66,'Incrementare indexe'!$D:$Q,13,FALSE)&amp;" (estimat)"</f>
        <v>0 (estimat)</v>
      </c>
      <c r="Y66" s="647"/>
      <c r="Z66" s="647"/>
      <c r="AA66" s="647" t="s">
        <v>69</v>
      </c>
      <c r="AB66" s="647"/>
      <c r="AC66" s="647"/>
      <c r="AD66" s="647" t="s">
        <v>69</v>
      </c>
      <c r="AE66" s="647"/>
      <c r="AF66" s="647">
        <f>VLOOKUP(A66,'Incrementare indexe'!$D:$Q,13,FALSE)</f>
        <v>0</v>
      </c>
      <c r="AG66" s="647"/>
      <c r="AH66" s="647"/>
      <c r="AI66" s="647">
        <f>AI63</f>
        <v>31</v>
      </c>
      <c r="AJ66" s="647"/>
      <c r="AK66" s="647">
        <f>ROUND(AF66/AI66,2)</f>
        <v>0</v>
      </c>
      <c r="AL66" s="647"/>
      <c r="AM66" s="647"/>
    </row>
    <row r="67" spans="1:39" ht="8.4499999999999993" customHeight="1">
      <c r="A67" s="717"/>
      <c r="B67" s="718"/>
      <c r="C67" s="718"/>
      <c r="D67" s="718"/>
      <c r="E67" s="718"/>
      <c r="F67" s="719"/>
      <c r="G67" s="648"/>
      <c r="H67" s="648"/>
      <c r="I67" s="648"/>
      <c r="J67" s="717" t="str">
        <f t="shared" si="2"/>
        <v>-</v>
      </c>
      <c r="K67" s="718"/>
      <c r="L67" s="719"/>
      <c r="M67" s="648"/>
      <c r="N67" s="648"/>
      <c r="O67" s="648"/>
      <c r="P67" s="648"/>
      <c r="Q67" s="648"/>
      <c r="R67" s="647"/>
      <c r="S67" s="647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647"/>
      <c r="AL67" s="647"/>
      <c r="AM67" s="647"/>
    </row>
    <row r="68" spans="1:39" ht="14.1" customHeight="1">
      <c r="A68" s="681"/>
      <c r="B68" s="682"/>
      <c r="C68" s="682"/>
      <c r="D68" s="682"/>
      <c r="E68" s="682"/>
      <c r="F68" s="683"/>
      <c r="G68" s="648"/>
      <c r="H68" s="648"/>
      <c r="I68" s="648"/>
      <c r="J68" s="714">
        <f t="shared" si="2"/>
        <v>45808</v>
      </c>
      <c r="K68" s="715"/>
      <c r="L68" s="716"/>
      <c r="M68" s="648"/>
      <c r="N68" s="648"/>
      <c r="O68" s="648"/>
      <c r="P68" s="648"/>
      <c r="Q68" s="648"/>
      <c r="R68" s="647"/>
      <c r="S68" s="647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647"/>
      <c r="AL68" s="647"/>
      <c r="AM68" s="647"/>
    </row>
    <row r="69" spans="1:39" ht="14.1" customHeight="1">
      <c r="A69" s="196"/>
      <c r="B69" s="196"/>
      <c r="C69" s="196"/>
      <c r="D69" s="196"/>
      <c r="E69" s="196"/>
      <c r="F69" s="196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6"/>
      <c r="B70" s="196"/>
      <c r="C70" s="196"/>
      <c r="D70" s="196"/>
      <c r="E70" s="196"/>
      <c r="F70" s="196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695" t="s">
        <v>859</v>
      </c>
      <c r="B71" s="695"/>
      <c r="C71" s="695"/>
      <c r="D71" s="695"/>
      <c r="E71" s="695"/>
      <c r="F71" s="695"/>
      <c r="G71" s="695"/>
      <c r="H71" s="712">
        <f>VLOOKUP(AA16,'Date masura OD'!B:D,3,0)</f>
        <v>5000580534</v>
      </c>
      <c r="I71" s="712"/>
      <c r="J71" s="712"/>
      <c r="K71" s="712"/>
      <c r="L71" s="712"/>
      <c r="M71" s="712"/>
      <c r="N71" s="712"/>
      <c r="O71" s="712"/>
      <c r="P71" s="712"/>
      <c r="Q71" s="712"/>
      <c r="R71" s="712"/>
      <c r="S71" s="712"/>
      <c r="T71" s="712"/>
      <c r="U71" s="712"/>
      <c r="V71" s="712"/>
      <c r="W71" s="712" t="s">
        <v>860</v>
      </c>
      <c r="X71" s="712"/>
      <c r="Y71" s="712"/>
      <c r="Z71" s="712"/>
      <c r="AA71" s="640" t="str">
        <f>_xlfn.CONCAT(AA16,"_",2)</f>
        <v>RN10_Vaslui_2</v>
      </c>
      <c r="AB71" s="640"/>
      <c r="AC71" s="640"/>
      <c r="AD71" s="640"/>
      <c r="AE71" s="640"/>
      <c r="AF71" s="640"/>
      <c r="AG71" s="640"/>
      <c r="AH71" s="640"/>
      <c r="AI71" s="640"/>
      <c r="AJ71" s="640"/>
      <c r="AK71" s="640"/>
      <c r="AL71" s="640"/>
      <c r="AM71" s="640"/>
    </row>
    <row r="72" spans="1:39" ht="14.1" customHeight="1">
      <c r="A72" s="695"/>
      <c r="B72" s="695"/>
      <c r="C72" s="695"/>
      <c r="D72" s="695"/>
      <c r="E72" s="695"/>
      <c r="F72" s="695"/>
      <c r="G72" s="695"/>
      <c r="H72" s="712"/>
      <c r="I72" s="712"/>
      <c r="J72" s="712"/>
      <c r="K72" s="712"/>
      <c r="L72" s="712"/>
      <c r="M72" s="712"/>
      <c r="N72" s="712"/>
      <c r="O72" s="712"/>
      <c r="P72" s="712"/>
      <c r="Q72" s="712"/>
      <c r="R72" s="712"/>
      <c r="S72" s="712"/>
      <c r="T72" s="712"/>
      <c r="U72" s="712"/>
      <c r="V72" s="712"/>
      <c r="W72" s="712"/>
      <c r="X72" s="712"/>
      <c r="Y72" s="712"/>
      <c r="Z72" s="712"/>
      <c r="AA72" s="640"/>
      <c r="AB72" s="640"/>
      <c r="AC72" s="640"/>
      <c r="AD72" s="640"/>
      <c r="AE72" s="640"/>
      <c r="AF72" s="640"/>
      <c r="AG72" s="640"/>
      <c r="AH72" s="640"/>
      <c r="AI72" s="640"/>
      <c r="AJ72" s="640"/>
      <c r="AK72" s="640"/>
      <c r="AL72" s="640"/>
      <c r="AM72" s="640"/>
    </row>
    <row r="73" spans="1:39">
      <c r="A73" s="649" t="s">
        <v>748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50" t="str">
        <f>VLOOKUP(AI74,'Contorizare in SDI'!$E:$I,4,FALSE)</f>
        <v>EMO3446385/2</v>
      </c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  <c r="AC73" s="650"/>
      <c r="AD73" s="650"/>
      <c r="AE73" s="650"/>
      <c r="AF73" s="650"/>
      <c r="AG73" s="650"/>
      <c r="AH73" s="650"/>
      <c r="AI73" s="650" t="s">
        <v>695</v>
      </c>
      <c r="AJ73" s="650"/>
      <c r="AK73" s="650"/>
      <c r="AL73" s="650"/>
      <c r="AM73" s="650"/>
    </row>
    <row r="74" spans="1:39">
      <c r="A74" s="649" t="s">
        <v>746</v>
      </c>
      <c r="B74" s="649"/>
      <c r="C74" s="649"/>
      <c r="D74" s="649"/>
      <c r="E74" s="649"/>
      <c r="F74" s="649"/>
      <c r="G74" s="649"/>
      <c r="H74" s="649"/>
      <c r="I74" s="649"/>
      <c r="J74" s="649"/>
      <c r="K74" s="649"/>
      <c r="L74" s="649"/>
      <c r="M74" s="650" t="str">
        <f>VLOOKUP(AI74,'Inchidere contur'!$G:$U,15,FALSE)</f>
        <v>JT_SDI</v>
      </c>
      <c r="N74" s="650"/>
      <c r="O74" s="650"/>
      <c r="P74" s="650"/>
      <c r="Q74" s="650"/>
      <c r="R74" s="650"/>
      <c r="S74" s="650"/>
      <c r="T74" s="650"/>
      <c r="U74" s="650"/>
      <c r="V74" s="650"/>
      <c r="W74" s="650"/>
      <c r="X74" s="650"/>
      <c r="Y74" s="650"/>
      <c r="Z74" s="650"/>
      <c r="AA74" s="650"/>
      <c r="AB74" s="650"/>
      <c r="AC74" s="650"/>
      <c r="AD74" s="650"/>
      <c r="AE74" s="650"/>
      <c r="AF74" s="650"/>
      <c r="AG74" s="650"/>
      <c r="AH74" s="650"/>
      <c r="AI74" s="666" t="str">
        <f>AA71</f>
        <v>RN10_Vaslui_2</v>
      </c>
      <c r="AJ74" s="666"/>
      <c r="AK74" s="666"/>
      <c r="AL74" s="666"/>
      <c r="AM74" s="666"/>
    </row>
    <row r="75" spans="1:39">
      <c r="A75" s="649" t="s">
        <v>747</v>
      </c>
      <c r="B75" s="649"/>
      <c r="C75" s="649"/>
      <c r="D75" s="649"/>
      <c r="E75" s="649"/>
      <c r="F75" s="649"/>
      <c r="G75" s="649"/>
      <c r="H75" s="649"/>
      <c r="I75" s="649"/>
      <c r="J75" s="649"/>
      <c r="K75" s="649"/>
      <c r="L75" s="649"/>
      <c r="M75" s="650" t="str">
        <f>IF(LEFT(M74,2)="JT","0.4kV",IF(LEFT(M74,2)="MT","20kV","-"))</f>
        <v>0.4kV</v>
      </c>
      <c r="N75" s="650"/>
      <c r="O75" s="650"/>
      <c r="P75" s="650"/>
      <c r="Q75" s="650"/>
      <c r="R75" s="650"/>
      <c r="S75" s="650"/>
      <c r="T75" s="650"/>
      <c r="U75" s="650"/>
      <c r="V75" s="650"/>
      <c r="W75" s="650"/>
      <c r="X75" s="650"/>
      <c r="Y75" s="650"/>
      <c r="Z75" s="650"/>
      <c r="AA75" s="650"/>
      <c r="AB75" s="650"/>
      <c r="AC75" s="650"/>
      <c r="AD75" s="650"/>
      <c r="AE75" s="650"/>
      <c r="AF75" s="650"/>
      <c r="AG75" s="650"/>
      <c r="AH75" s="650"/>
      <c r="AI75" s="666"/>
      <c r="AJ75" s="666"/>
      <c r="AK75" s="666"/>
      <c r="AL75" s="666"/>
      <c r="AM75" s="666"/>
    </row>
    <row r="76" spans="1:39" ht="15.95" customHeight="1">
      <c r="A76" s="648" t="s">
        <v>697</v>
      </c>
      <c r="B76" s="648"/>
      <c r="C76" s="648"/>
      <c r="D76" s="648"/>
      <c r="E76" s="648"/>
      <c r="F76" s="648"/>
      <c r="G76" s="647" t="s">
        <v>713</v>
      </c>
      <c r="H76" s="647"/>
      <c r="I76" s="647"/>
      <c r="J76" s="647" t="s">
        <v>714</v>
      </c>
      <c r="K76" s="647"/>
      <c r="L76" s="647"/>
      <c r="M76" s="648" t="s">
        <v>519</v>
      </c>
      <c r="N76" s="648"/>
      <c r="O76" s="648" t="s">
        <v>715</v>
      </c>
      <c r="P76" s="648"/>
      <c r="Q76" s="648"/>
      <c r="R76" s="647" t="s">
        <v>732</v>
      </c>
      <c r="S76" s="647"/>
      <c r="T76" s="647"/>
      <c r="U76" s="647" t="s">
        <v>734</v>
      </c>
      <c r="V76" s="647"/>
      <c r="W76" s="647"/>
      <c r="X76" s="647" t="s">
        <v>1085</v>
      </c>
      <c r="Y76" s="647"/>
      <c r="Z76" s="647"/>
      <c r="AA76" s="647" t="s">
        <v>1086</v>
      </c>
      <c r="AB76" s="647"/>
      <c r="AC76" s="647"/>
      <c r="AD76" s="647" t="s">
        <v>717</v>
      </c>
      <c r="AE76" s="647"/>
      <c r="AF76" s="647" t="s">
        <v>718</v>
      </c>
      <c r="AG76" s="647"/>
      <c r="AH76" s="647"/>
      <c r="AI76" s="647" t="s">
        <v>719</v>
      </c>
      <c r="AJ76" s="647"/>
      <c r="AK76" s="647" t="s">
        <v>733</v>
      </c>
      <c r="AL76" s="647"/>
      <c r="AM76" s="647"/>
    </row>
    <row r="77" spans="1:39">
      <c r="A77" s="648"/>
      <c r="B77" s="648"/>
      <c r="C77" s="648"/>
      <c r="D77" s="648"/>
      <c r="E77" s="648"/>
      <c r="F77" s="648"/>
      <c r="G77" s="647"/>
      <c r="H77" s="647"/>
      <c r="I77" s="647"/>
      <c r="J77" s="647"/>
      <c r="K77" s="647"/>
      <c r="L77" s="647"/>
      <c r="M77" s="648"/>
      <c r="N77" s="648"/>
      <c r="O77" s="648"/>
      <c r="P77" s="648"/>
      <c r="Q77" s="648"/>
      <c r="R77" s="647"/>
      <c r="S77" s="647"/>
      <c r="T77" s="647"/>
      <c r="U77" s="647"/>
      <c r="V77" s="647"/>
      <c r="W77" s="647"/>
      <c r="X77" s="647"/>
      <c r="Y77" s="647"/>
      <c r="Z77" s="647"/>
      <c r="AA77" s="647"/>
      <c r="AB77" s="647"/>
      <c r="AC77" s="647"/>
      <c r="AD77" s="647"/>
      <c r="AE77" s="647"/>
      <c r="AF77" s="647"/>
      <c r="AG77" s="647"/>
      <c r="AH77" s="647"/>
      <c r="AI77" s="647"/>
      <c r="AJ77" s="647"/>
      <c r="AK77" s="647"/>
      <c r="AL77" s="647"/>
      <c r="AM77" s="647"/>
    </row>
    <row r="78" spans="1:39">
      <c r="A78" s="648"/>
      <c r="B78" s="648"/>
      <c r="C78" s="648"/>
      <c r="D78" s="648"/>
      <c r="E78" s="648"/>
      <c r="F78" s="648"/>
      <c r="G78" s="647"/>
      <c r="H78" s="647"/>
      <c r="I78" s="647"/>
      <c r="J78" s="713"/>
      <c r="K78" s="713"/>
      <c r="L78" s="713"/>
      <c r="M78" s="648"/>
      <c r="N78" s="648"/>
      <c r="O78" s="648"/>
      <c r="P78" s="648"/>
      <c r="Q78" s="648"/>
      <c r="R78" s="647"/>
      <c r="S78" s="647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647"/>
      <c r="AL78" s="647"/>
      <c r="AM78" s="647"/>
    </row>
    <row r="79" spans="1:39" ht="14.1" customHeight="1">
      <c r="A79" s="678">
        <f>VLOOKUP(AI74,'Contorizare in SDI'!$E:$I,5,FALSE)</f>
        <v>1371870726</v>
      </c>
      <c r="B79" s="679"/>
      <c r="C79" s="679"/>
      <c r="D79" s="679"/>
      <c r="E79" s="679"/>
      <c r="F79" s="680"/>
      <c r="G79" s="648" t="s">
        <v>730</v>
      </c>
      <c r="H79" s="648"/>
      <c r="I79" s="673"/>
      <c r="J79" s="655">
        <f>'Date masura OD'!$AK$5</f>
        <v>45748</v>
      </c>
      <c r="K79" s="656"/>
      <c r="L79" s="657"/>
      <c r="M79" s="720" t="s">
        <v>446</v>
      </c>
      <c r="N79" s="648"/>
      <c r="O79" s="648">
        <v>1</v>
      </c>
      <c r="P79" s="648"/>
      <c r="Q79" s="648"/>
      <c r="R79" s="647" t="str">
        <f>VLOOKUP(A79,Regularizare!$D:$YN,3,FALSE)&amp;" ("&amp;VLOOKUP(A79,Regularizare!$D:$Y,11,FALSE)&amp;")"</f>
        <v>508154 (citit)</v>
      </c>
      <c r="S79" s="647"/>
      <c r="T79" s="647"/>
      <c r="U79" s="647" t="str">
        <f>VLOOKUP(A79,Regularizare!$D:$U,4,FALSE)&amp;" ("&amp;VLOOKUP(A79,Regularizare!$D:$U,12,FALSE)&amp;")"</f>
        <v>523514 (estimat)</v>
      </c>
      <c r="V79" s="647"/>
      <c r="W79" s="647"/>
      <c r="X79" s="647" t="str">
        <f>VLOOKUP(A79,Regularizare!$D:$Y,19,FALSE)&amp;" ("&amp;VLOOKUP(A79,Regularizare!$D:$U,12,FALSE)&amp;")"</f>
        <v>15360 (estimat)</v>
      </c>
      <c r="Y79" s="647"/>
      <c r="Z79" s="647"/>
      <c r="AA79" s="647">
        <f>(-1)*VLOOKUP(A79,Regularizare!$D:$Y,19,FALSE)</f>
        <v>-15360</v>
      </c>
      <c r="AB79" s="647"/>
      <c r="AC79" s="647"/>
      <c r="AD79" s="647" t="s">
        <v>69</v>
      </c>
      <c r="AE79" s="647"/>
      <c r="AF79" s="647">
        <f>AA79</f>
        <v>-15360</v>
      </c>
      <c r="AG79" s="647"/>
      <c r="AH79" s="647"/>
      <c r="AI79" s="647" t="s">
        <v>69</v>
      </c>
      <c r="AJ79" s="647"/>
      <c r="AK79" s="647" t="s">
        <v>69</v>
      </c>
      <c r="AL79" s="647"/>
      <c r="AM79" s="647"/>
    </row>
    <row r="80" spans="1:39" ht="8.4499999999999993" customHeight="1">
      <c r="A80" s="717"/>
      <c r="B80" s="718"/>
      <c r="C80" s="718"/>
      <c r="D80" s="718"/>
      <c r="E80" s="718"/>
      <c r="F80" s="719"/>
      <c r="G80" s="648"/>
      <c r="H80" s="648"/>
      <c r="I80" s="673"/>
      <c r="J80" s="717" t="s">
        <v>69</v>
      </c>
      <c r="K80" s="718"/>
      <c r="L80" s="719"/>
      <c r="M80" s="720"/>
      <c r="N80" s="648"/>
      <c r="O80" s="648"/>
      <c r="P80" s="648"/>
      <c r="Q80" s="648"/>
      <c r="R80" s="647"/>
      <c r="S80" s="647"/>
      <c r="T80" s="647"/>
      <c r="U80" s="647"/>
      <c r="V80" s="647"/>
      <c r="W80" s="647"/>
      <c r="X80" s="647"/>
      <c r="Y80" s="647"/>
      <c r="Z80" s="647"/>
      <c r="AA80" s="647"/>
      <c r="AB80" s="647"/>
      <c r="AC80" s="647"/>
      <c r="AD80" s="647"/>
      <c r="AE80" s="647"/>
      <c r="AF80" s="647"/>
      <c r="AG80" s="647"/>
      <c r="AH80" s="647"/>
      <c r="AI80" s="647"/>
      <c r="AJ80" s="647"/>
      <c r="AK80" s="647"/>
      <c r="AL80" s="647"/>
      <c r="AM80" s="647"/>
    </row>
    <row r="81" spans="1:39" ht="14.1" customHeight="1">
      <c r="A81" s="681"/>
      <c r="B81" s="682"/>
      <c r="C81" s="682"/>
      <c r="D81" s="682"/>
      <c r="E81" s="682"/>
      <c r="F81" s="683"/>
      <c r="G81" s="648"/>
      <c r="H81" s="648"/>
      <c r="I81" s="673"/>
      <c r="J81" s="714">
        <f>'Date masura OD'!$AL$5</f>
        <v>45777</v>
      </c>
      <c r="K81" s="715"/>
      <c r="L81" s="716"/>
      <c r="M81" s="720"/>
      <c r="N81" s="648"/>
      <c r="O81" s="648"/>
      <c r="P81" s="648"/>
      <c r="Q81" s="648"/>
      <c r="R81" s="647"/>
      <c r="S81" s="647"/>
      <c r="T81" s="647"/>
      <c r="U81" s="647"/>
      <c r="V81" s="647"/>
      <c r="W81" s="647"/>
      <c r="X81" s="647"/>
      <c r="Y81" s="647"/>
      <c r="Z81" s="647"/>
      <c r="AA81" s="647"/>
      <c r="AB81" s="647"/>
      <c r="AC81" s="647"/>
      <c r="AD81" s="647"/>
      <c r="AE81" s="647"/>
      <c r="AF81" s="647"/>
      <c r="AG81" s="647"/>
      <c r="AH81" s="647"/>
      <c r="AI81" s="647"/>
      <c r="AJ81" s="647"/>
      <c r="AK81" s="647"/>
      <c r="AL81" s="647"/>
      <c r="AM81" s="647"/>
    </row>
    <row r="82" spans="1:39" ht="14.1" customHeight="1">
      <c r="A82" s="678">
        <f>A79</f>
        <v>1371870726</v>
      </c>
      <c r="B82" s="679"/>
      <c r="C82" s="679"/>
      <c r="D82" s="679"/>
      <c r="E82" s="679"/>
      <c r="F82" s="680"/>
      <c r="G82" s="648" t="s">
        <v>696</v>
      </c>
      <c r="H82" s="648"/>
      <c r="I82" s="648"/>
      <c r="J82" s="655">
        <f t="shared" ref="J82:J87" si="3">J79</f>
        <v>45748</v>
      </c>
      <c r="K82" s="656"/>
      <c r="L82" s="657"/>
      <c r="M82" s="720" t="s">
        <v>446</v>
      </c>
      <c r="N82" s="648"/>
      <c r="O82" s="648">
        <f>O79</f>
        <v>1</v>
      </c>
      <c r="P82" s="648"/>
      <c r="Q82" s="648"/>
      <c r="R82" s="648" t="str">
        <f>VLOOKUP(A82,Regularizare!$D:$U,7,FALSE)&amp;" ("&amp;VLOOKUP(A82,Regularizare!$D:$U,15,FALSE)&amp;")"</f>
        <v>26 (citit)</v>
      </c>
      <c r="S82" s="648"/>
      <c r="T82" s="648"/>
      <c r="U82" s="647" t="str">
        <f>VLOOKUP(A82,Regularizare!$D:$U,8,FALSE)&amp;" ("&amp;VLOOKUP(A82,Regularizare!$D:$U,16,FALSE)&amp;")"</f>
        <v>26 (estimat)</v>
      </c>
      <c r="V82" s="647"/>
      <c r="W82" s="647"/>
      <c r="X82" s="647" t="str">
        <f>_xlfn.CONCAT(VLOOKUP(A82,Regularizare!$D:$U,8,FALSE)-VLOOKUP(A82,Regularizare!$D:$U,7,FALSE)," (",VLOOKUP(A82,Regularizare!$D:$U,16,FALSE),")")</f>
        <v>0 (estimat)</v>
      </c>
      <c r="Y82" s="647"/>
      <c r="Z82" s="647"/>
      <c r="AA82" s="647">
        <f>IF(VLOOKUP(A82,Regularizare!$D:$Y,21,FALSE)=0,VLOOKUP(A82,Regularizare!$D:$Y,21,FALSE),(-1)*VLOOKUP(A82,Regularizare!$D:$Y,21,FALSE))</f>
        <v>0</v>
      </c>
      <c r="AB82" s="647"/>
      <c r="AC82" s="647"/>
      <c r="AD82" s="647" t="s">
        <v>69</v>
      </c>
      <c r="AE82" s="647"/>
      <c r="AF82" s="647">
        <f>AA82</f>
        <v>0</v>
      </c>
      <c r="AG82" s="647"/>
      <c r="AH82" s="647"/>
      <c r="AI82" s="647" t="str">
        <f>AI79</f>
        <v>-</v>
      </c>
      <c r="AJ82" s="647"/>
      <c r="AK82" s="647" t="str">
        <f>AK79</f>
        <v>-</v>
      </c>
      <c r="AL82" s="647"/>
      <c r="AM82" s="647"/>
    </row>
    <row r="83" spans="1:39" ht="8.4499999999999993" customHeight="1">
      <c r="A83" s="717"/>
      <c r="B83" s="718"/>
      <c r="C83" s="718"/>
      <c r="D83" s="718"/>
      <c r="E83" s="718"/>
      <c r="F83" s="719"/>
      <c r="G83" s="648"/>
      <c r="H83" s="648"/>
      <c r="I83" s="648"/>
      <c r="J83" s="717" t="str">
        <f t="shared" si="3"/>
        <v>-</v>
      </c>
      <c r="K83" s="718"/>
      <c r="L83" s="719"/>
      <c r="M83" s="720"/>
      <c r="N83" s="648"/>
      <c r="O83" s="648"/>
      <c r="P83" s="648"/>
      <c r="Q83" s="648"/>
      <c r="R83" s="648"/>
      <c r="S83" s="648"/>
      <c r="T83" s="648"/>
      <c r="U83" s="647"/>
      <c r="V83" s="647"/>
      <c r="W83" s="647"/>
      <c r="X83" s="647"/>
      <c r="Y83" s="647"/>
      <c r="Z83" s="647"/>
      <c r="AA83" s="647"/>
      <c r="AB83" s="647"/>
      <c r="AC83" s="647"/>
      <c r="AD83" s="647"/>
      <c r="AE83" s="647"/>
      <c r="AF83" s="647"/>
      <c r="AG83" s="647"/>
      <c r="AH83" s="647"/>
      <c r="AI83" s="647"/>
      <c r="AJ83" s="647"/>
      <c r="AK83" s="647"/>
      <c r="AL83" s="647"/>
      <c r="AM83" s="647"/>
    </row>
    <row r="84" spans="1:39" ht="14.1" customHeight="1">
      <c r="A84" s="681"/>
      <c r="B84" s="682"/>
      <c r="C84" s="682"/>
      <c r="D84" s="682"/>
      <c r="E84" s="682"/>
      <c r="F84" s="683"/>
      <c r="G84" s="648"/>
      <c r="H84" s="648"/>
      <c r="I84" s="648"/>
      <c r="J84" s="714">
        <f t="shared" si="3"/>
        <v>45777</v>
      </c>
      <c r="K84" s="715"/>
      <c r="L84" s="716"/>
      <c r="M84" s="720"/>
      <c r="N84" s="648"/>
      <c r="O84" s="648"/>
      <c r="P84" s="648"/>
      <c r="Q84" s="648"/>
      <c r="R84" s="648"/>
      <c r="S84" s="648"/>
      <c r="T84" s="648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647"/>
      <c r="AL84" s="647"/>
      <c r="AM84" s="647"/>
    </row>
    <row r="85" spans="1:39" ht="14.1" customHeight="1">
      <c r="A85" s="678">
        <f>A82</f>
        <v>1371870726</v>
      </c>
      <c r="B85" s="679"/>
      <c r="C85" s="679"/>
      <c r="D85" s="679"/>
      <c r="E85" s="679"/>
      <c r="F85" s="680"/>
      <c r="G85" s="648" t="s">
        <v>731</v>
      </c>
      <c r="H85" s="648"/>
      <c r="I85" s="648"/>
      <c r="J85" s="655">
        <f t="shared" si="3"/>
        <v>45748</v>
      </c>
      <c r="K85" s="656"/>
      <c r="L85" s="657"/>
      <c r="M85" s="648" t="s">
        <v>720</v>
      </c>
      <c r="N85" s="648"/>
      <c r="O85" s="648">
        <f>O79</f>
        <v>1</v>
      </c>
      <c r="P85" s="648"/>
      <c r="Q85" s="648"/>
      <c r="R85" s="647" t="str">
        <f>VLOOKUP(A85,Regularizare!$D:$U,9,FALSE)&amp;" ("&amp;VLOOKUP(A85,Regularizare!$D:$U,17,FALSE)&amp;")"</f>
        <v>86038 (citit)</v>
      </c>
      <c r="S85" s="647"/>
      <c r="T85" s="647"/>
      <c r="U85" s="647" t="str">
        <f>VLOOKUP(A85,Regularizare!$D:$U,10,FALSE)&amp;" ("&amp;VLOOKUP(A85,Regularizare!$D:$U,18,FALSE)&amp;")"</f>
        <v>86038 (estimat)</v>
      </c>
      <c r="V85" s="647"/>
      <c r="W85" s="647"/>
      <c r="X85" s="647" t="str">
        <f>_xlfn.CONCAT(VLOOKUP(A85,Regularizare!$D:$U,10,FALSE)-VLOOKUP(A85,Regularizare!$D:$U,9,FALSE)," (",VLOOKUP(A85,Regularizare!$D:$U,18,FALSE),")")</f>
        <v>0 (estimat)</v>
      </c>
      <c r="Y85" s="647"/>
      <c r="Z85" s="647"/>
      <c r="AA85" s="647">
        <f>IF(VLOOKUP(A85,Regularizare!$D:$Y,22,FALSE)=0,VLOOKUP(A85,Regularizare!$D:$Y,22,FALSE),(-1)*VLOOKUP(A85,Regularizare!$D:$Y,22,FALSE))</f>
        <v>0</v>
      </c>
      <c r="AB85" s="647"/>
      <c r="AC85" s="647"/>
      <c r="AD85" s="647" t="s">
        <v>69</v>
      </c>
      <c r="AE85" s="647"/>
      <c r="AF85" s="647">
        <f>AA85</f>
        <v>0</v>
      </c>
      <c r="AG85" s="647"/>
      <c r="AH85" s="647"/>
      <c r="AI85" s="647" t="str">
        <f>AI82</f>
        <v>-</v>
      </c>
      <c r="AJ85" s="647"/>
      <c r="AK85" s="647" t="str">
        <f>AK82</f>
        <v>-</v>
      </c>
      <c r="AL85" s="647"/>
      <c r="AM85" s="647"/>
    </row>
    <row r="86" spans="1:39" ht="8.4499999999999993" customHeight="1">
      <c r="A86" s="717"/>
      <c r="B86" s="718"/>
      <c r="C86" s="718"/>
      <c r="D86" s="718"/>
      <c r="E86" s="718"/>
      <c r="F86" s="719"/>
      <c r="G86" s="648"/>
      <c r="H86" s="648"/>
      <c r="I86" s="648"/>
      <c r="J86" s="717" t="str">
        <f t="shared" si="3"/>
        <v>-</v>
      </c>
      <c r="K86" s="718"/>
      <c r="L86" s="719"/>
      <c r="M86" s="648"/>
      <c r="N86" s="648"/>
      <c r="O86" s="648"/>
      <c r="P86" s="648"/>
      <c r="Q86" s="648"/>
      <c r="R86" s="647"/>
      <c r="S86" s="647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</row>
    <row r="87" spans="1:39" ht="14.1" customHeight="1">
      <c r="A87" s="681"/>
      <c r="B87" s="682"/>
      <c r="C87" s="682"/>
      <c r="D87" s="682"/>
      <c r="E87" s="682"/>
      <c r="F87" s="683"/>
      <c r="G87" s="648"/>
      <c r="H87" s="648"/>
      <c r="I87" s="648"/>
      <c r="J87" s="714">
        <f t="shared" si="3"/>
        <v>45777</v>
      </c>
      <c r="K87" s="715"/>
      <c r="L87" s="716"/>
      <c r="M87" s="648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 ht="14.1" customHeight="1">
      <c r="A88" s="678">
        <f>A85</f>
        <v>1371870726</v>
      </c>
      <c r="B88" s="679"/>
      <c r="C88" s="679"/>
      <c r="D88" s="679"/>
      <c r="E88" s="679"/>
      <c r="F88" s="680"/>
      <c r="G88" s="648" t="s">
        <v>730</v>
      </c>
      <c r="H88" s="648"/>
      <c r="I88" s="673"/>
      <c r="J88" s="655">
        <f>'Date masura OD'!$AK$5</f>
        <v>45748</v>
      </c>
      <c r="K88" s="656"/>
      <c r="L88" s="657"/>
      <c r="M88" s="648" t="s">
        <v>720</v>
      </c>
      <c r="N88" s="648"/>
      <c r="O88" s="648">
        <f>O85</f>
        <v>1</v>
      </c>
      <c r="P88" s="648"/>
      <c r="Q88" s="648"/>
      <c r="R88" s="647" t="str">
        <f>VLOOKUP(A88,Regularizare!$D:$AX,23,FALSE)&amp;" ("&amp;VLOOKUP(A88,Regularizare!$D:$AX,24,FALSE)&amp;")"</f>
        <v>508154 (citit)</v>
      </c>
      <c r="S88" s="647"/>
      <c r="T88" s="647"/>
      <c r="U88" s="647" t="str">
        <f>VLOOKUP(A88,Regularizare!$D:$AX,25,FALSE)&amp;" ("&amp;VLOOKUP(A88,Regularizare!$D:$AX,26,FALSE)&amp;")"</f>
        <v>523514 (citit)</v>
      </c>
      <c r="V88" s="647"/>
      <c r="W88" s="647"/>
      <c r="X88" s="647" t="str">
        <f>VLOOKUP(A88,Regularizare!$D:$AX,37,FALSE)&amp;" ("&amp;VLOOKUP(A88,Regularizare!$D:$AX,26,FALSE)&amp;")"</f>
        <v>15360 (citit)</v>
      </c>
      <c r="Y88" s="647"/>
      <c r="Z88" s="647"/>
      <c r="AA88" s="647">
        <f>VLOOKUP(A88,Regularizare!$D:$AX,37,FALSE)</f>
        <v>15360</v>
      </c>
      <c r="AB88" s="647"/>
      <c r="AC88" s="647"/>
      <c r="AD88" s="647" t="s">
        <v>69</v>
      </c>
      <c r="AE88" s="647"/>
      <c r="AF88" s="647">
        <f>AA88</f>
        <v>15360</v>
      </c>
      <c r="AG88" s="647"/>
      <c r="AH88" s="647"/>
      <c r="AI88" s="647" t="str">
        <f>AI85</f>
        <v>-</v>
      </c>
      <c r="AJ88" s="647"/>
      <c r="AK88" s="647" t="str">
        <f>AK85</f>
        <v>-</v>
      </c>
      <c r="AL88" s="647"/>
      <c r="AM88" s="647"/>
    </row>
    <row r="89" spans="1:39" ht="8.4499999999999993" customHeight="1">
      <c r="A89" s="717"/>
      <c r="B89" s="718"/>
      <c r="C89" s="718"/>
      <c r="D89" s="718"/>
      <c r="E89" s="718"/>
      <c r="F89" s="719"/>
      <c r="G89" s="648"/>
      <c r="H89" s="648"/>
      <c r="I89" s="673"/>
      <c r="J89" s="717" t="s">
        <v>69</v>
      </c>
      <c r="K89" s="718"/>
      <c r="L89" s="719"/>
      <c r="M89" s="648"/>
      <c r="N89" s="648"/>
      <c r="O89" s="648"/>
      <c r="P89" s="648"/>
      <c r="Q89" s="648"/>
      <c r="R89" s="647"/>
      <c r="S89" s="647"/>
      <c r="T89" s="647"/>
      <c r="U89" s="647"/>
      <c r="V89" s="647"/>
      <c r="W89" s="647"/>
      <c r="X89" s="647"/>
      <c r="Y89" s="647"/>
      <c r="Z89" s="647"/>
      <c r="AA89" s="647"/>
      <c r="AB89" s="647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</row>
    <row r="90" spans="1:39" ht="14.1" customHeight="1">
      <c r="A90" s="681"/>
      <c r="B90" s="682"/>
      <c r="C90" s="682"/>
      <c r="D90" s="682"/>
      <c r="E90" s="682"/>
      <c r="F90" s="683"/>
      <c r="G90" s="648"/>
      <c r="H90" s="648"/>
      <c r="I90" s="673"/>
      <c r="J90" s="714">
        <f>'Date masura OD'!$AL$5</f>
        <v>45777</v>
      </c>
      <c r="K90" s="715"/>
      <c r="L90" s="716"/>
      <c r="M90" s="648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78">
        <f>A88</f>
        <v>1371870726</v>
      </c>
      <c r="B91" s="679"/>
      <c r="C91" s="679"/>
      <c r="D91" s="679"/>
      <c r="E91" s="679"/>
      <c r="F91" s="680"/>
      <c r="G91" s="648" t="s">
        <v>696</v>
      </c>
      <c r="H91" s="648"/>
      <c r="I91" s="648"/>
      <c r="J91" s="655">
        <f t="shared" ref="J91:J96" si="4">J88</f>
        <v>45748</v>
      </c>
      <c r="K91" s="656"/>
      <c r="L91" s="657"/>
      <c r="M91" s="720" t="s">
        <v>446</v>
      </c>
      <c r="N91" s="648"/>
      <c r="O91" s="648">
        <v>1</v>
      </c>
      <c r="P91" s="648"/>
      <c r="Q91" s="648"/>
      <c r="R91" s="647" t="str">
        <f>VLOOKUP(A91,Regularizare!$D:$AX,29,FALSE)&amp;" ("&amp;VLOOKUP(A91,Regularizare!$D:$AX,30,FALSE)&amp;")"</f>
        <v>26 (citit)</v>
      </c>
      <c r="S91" s="647"/>
      <c r="T91" s="647"/>
      <c r="U91" s="647" t="str">
        <f>VLOOKUP(A91,Regularizare!$D:$AX,31,FALSE)&amp;" ("&amp;VLOOKUP(A91,Regularizare!$D:$AX,32,FALSE)&amp;")"</f>
        <v>26 (citit)</v>
      </c>
      <c r="V91" s="647"/>
      <c r="W91" s="647"/>
      <c r="X91" s="647" t="str">
        <f>VLOOKUP(A91,Regularizare!$D:$AX,39,FALSE)&amp;" ("&amp;VLOOKUP(A91,Regularizare!$D:$AX,32,FALSE)&amp;")"</f>
        <v>0 (citit)</v>
      </c>
      <c r="Y91" s="647"/>
      <c r="Z91" s="647"/>
      <c r="AA91" s="647">
        <f>VLOOKUP(A91,Regularizare!$D:$AX,44,FALSE)+VLOOKUP(A91,Regularizare!$D:$AX,45,FALSE)</f>
        <v>0</v>
      </c>
      <c r="AB91" s="647"/>
      <c r="AC91" s="647"/>
      <c r="AD91" s="647" t="s">
        <v>69</v>
      </c>
      <c r="AE91" s="647"/>
      <c r="AF91" s="647">
        <f>AA91</f>
        <v>0</v>
      </c>
      <c r="AG91" s="647"/>
      <c r="AH91" s="647"/>
      <c r="AI91" s="647" t="str">
        <f>AI88</f>
        <v>-</v>
      </c>
      <c r="AJ91" s="647"/>
      <c r="AK91" s="647" t="str">
        <f>AK88</f>
        <v>-</v>
      </c>
      <c r="AL91" s="647"/>
      <c r="AM91" s="647"/>
    </row>
    <row r="92" spans="1:39" ht="8.4499999999999993" customHeight="1">
      <c r="A92" s="717"/>
      <c r="B92" s="718"/>
      <c r="C92" s="718"/>
      <c r="D92" s="718"/>
      <c r="E92" s="718"/>
      <c r="F92" s="719"/>
      <c r="G92" s="648"/>
      <c r="H92" s="648"/>
      <c r="I92" s="648"/>
      <c r="J92" s="717" t="str">
        <f t="shared" si="4"/>
        <v>-</v>
      </c>
      <c r="K92" s="718"/>
      <c r="L92" s="719"/>
      <c r="M92" s="720"/>
      <c r="N92" s="648"/>
      <c r="O92" s="648"/>
      <c r="P92" s="648"/>
      <c r="Q92" s="648"/>
      <c r="R92" s="647"/>
      <c r="S92" s="647"/>
      <c r="T92" s="647"/>
      <c r="U92" s="647"/>
      <c r="V92" s="647"/>
      <c r="W92" s="647"/>
      <c r="X92" s="647"/>
      <c r="Y92" s="647"/>
      <c r="Z92" s="647"/>
      <c r="AA92" s="647"/>
      <c r="AB92" s="647"/>
      <c r="AC92" s="647"/>
      <c r="AD92" s="647"/>
      <c r="AE92" s="647"/>
      <c r="AF92" s="647"/>
      <c r="AG92" s="647"/>
      <c r="AH92" s="647"/>
      <c r="AI92" s="647"/>
      <c r="AJ92" s="647"/>
      <c r="AK92" s="647"/>
      <c r="AL92" s="647"/>
      <c r="AM92" s="647"/>
    </row>
    <row r="93" spans="1:39" ht="14.1" customHeight="1">
      <c r="A93" s="681"/>
      <c r="B93" s="682"/>
      <c r="C93" s="682"/>
      <c r="D93" s="682"/>
      <c r="E93" s="682"/>
      <c r="F93" s="683"/>
      <c r="G93" s="648"/>
      <c r="H93" s="648"/>
      <c r="I93" s="648"/>
      <c r="J93" s="714">
        <f t="shared" si="4"/>
        <v>45777</v>
      </c>
      <c r="K93" s="715"/>
      <c r="L93" s="716"/>
      <c r="M93" s="720"/>
      <c r="N93" s="648"/>
      <c r="O93" s="648"/>
      <c r="P93" s="648"/>
      <c r="Q93" s="648"/>
      <c r="R93" s="647"/>
      <c r="S93" s="647"/>
      <c r="T93" s="647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78">
        <f>A91</f>
        <v>1371870726</v>
      </c>
      <c r="B94" s="679"/>
      <c r="C94" s="679"/>
      <c r="D94" s="679"/>
      <c r="E94" s="679"/>
      <c r="F94" s="680"/>
      <c r="G94" s="648" t="s">
        <v>731</v>
      </c>
      <c r="H94" s="648"/>
      <c r="I94" s="648"/>
      <c r="J94" s="655">
        <f t="shared" si="4"/>
        <v>45748</v>
      </c>
      <c r="K94" s="656"/>
      <c r="L94" s="657"/>
      <c r="M94" s="720" t="s">
        <v>446</v>
      </c>
      <c r="N94" s="648"/>
      <c r="O94" s="648">
        <f>O91</f>
        <v>1</v>
      </c>
      <c r="P94" s="648"/>
      <c r="Q94" s="648"/>
      <c r="R94" s="647" t="str">
        <f>VLOOKUP(A94,Regularizare!$D:$AX,33,FALSE)&amp;" ("&amp;VLOOKUP(A94,Regularizare!$D:$AX,34,FALSE)&amp;")"</f>
        <v>86038 (citit)</v>
      </c>
      <c r="S94" s="647"/>
      <c r="T94" s="647"/>
      <c r="U94" s="647" t="str">
        <f>VLOOKUP(A94,Regularizare!$D:$AX,35,FALSE)&amp;" ("&amp;VLOOKUP(A94,Regularizare!$D:$AX,36,FALSE)&amp;")"</f>
        <v>89487 (citit)</v>
      </c>
      <c r="V94" s="647"/>
      <c r="W94" s="647"/>
      <c r="X94" s="647" t="str">
        <f>VLOOKUP(A94,Regularizare!$D:$AX,40,FALSE)&amp;" ("&amp;VLOOKUP(A94,Regularizare!$D:$AX,36,FALSE)&amp;")"</f>
        <v>3449 (citit)</v>
      </c>
      <c r="Y94" s="647"/>
      <c r="Z94" s="647"/>
      <c r="AA94" s="647">
        <f>VLOOKUP(A94,Regularizare!$D:$AX,46,FALSE)+VLOOKUP(A94,Regularizare!$D:$AX,47,FALSE)</f>
        <v>3449</v>
      </c>
      <c r="AB94" s="647"/>
      <c r="AC94" s="647"/>
      <c r="AD94" s="647" t="s">
        <v>69</v>
      </c>
      <c r="AE94" s="647"/>
      <c r="AF94" s="647">
        <f>AA94</f>
        <v>3449</v>
      </c>
      <c r="AG94" s="647"/>
      <c r="AH94" s="647"/>
      <c r="AI94" s="647" t="str">
        <f>AI91</f>
        <v>-</v>
      </c>
      <c r="AJ94" s="647"/>
      <c r="AK94" s="647" t="str">
        <f>AK91</f>
        <v>-</v>
      </c>
      <c r="AL94" s="647"/>
      <c r="AM94" s="647"/>
    </row>
    <row r="95" spans="1:39" ht="8.4499999999999993" customHeight="1">
      <c r="A95" s="717"/>
      <c r="B95" s="718"/>
      <c r="C95" s="718"/>
      <c r="D95" s="718"/>
      <c r="E95" s="718"/>
      <c r="F95" s="719"/>
      <c r="G95" s="648"/>
      <c r="H95" s="648"/>
      <c r="I95" s="648"/>
      <c r="J95" s="717" t="str">
        <f t="shared" si="4"/>
        <v>-</v>
      </c>
      <c r="K95" s="718"/>
      <c r="L95" s="719"/>
      <c r="M95" s="720"/>
      <c r="N95" s="648"/>
      <c r="O95" s="648"/>
      <c r="P95" s="648"/>
      <c r="Q95" s="648"/>
      <c r="R95" s="647"/>
      <c r="S95" s="647"/>
      <c r="T95" s="647"/>
      <c r="U95" s="647"/>
      <c r="V95" s="647"/>
      <c r="W95" s="647"/>
      <c r="X95" s="647"/>
      <c r="Y95" s="647"/>
      <c r="Z95" s="647"/>
      <c r="AA95" s="647"/>
      <c r="AB95" s="647"/>
      <c r="AC95" s="647"/>
      <c r="AD95" s="647"/>
      <c r="AE95" s="647"/>
      <c r="AF95" s="647"/>
      <c r="AG95" s="647"/>
      <c r="AH95" s="647"/>
      <c r="AI95" s="647"/>
      <c r="AJ95" s="647"/>
      <c r="AK95" s="647"/>
      <c r="AL95" s="647"/>
      <c r="AM95" s="647"/>
    </row>
    <row r="96" spans="1:39" ht="14.1" customHeight="1">
      <c r="A96" s="681"/>
      <c r="B96" s="682"/>
      <c r="C96" s="682"/>
      <c r="D96" s="682"/>
      <c r="E96" s="682"/>
      <c r="F96" s="683"/>
      <c r="G96" s="648"/>
      <c r="H96" s="648"/>
      <c r="I96" s="648"/>
      <c r="J96" s="714">
        <f t="shared" si="4"/>
        <v>45777</v>
      </c>
      <c r="K96" s="715"/>
      <c r="L96" s="716"/>
      <c r="M96" s="720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78">
        <f>A94</f>
        <v>1371870726</v>
      </c>
      <c r="B97" s="679"/>
      <c r="C97" s="679"/>
      <c r="D97" s="679"/>
      <c r="E97" s="679"/>
      <c r="F97" s="680"/>
      <c r="G97" s="648" t="s">
        <v>730</v>
      </c>
      <c r="H97" s="648"/>
      <c r="I97" s="673"/>
      <c r="J97" s="655">
        <f>'Date masura OD'!$I$5</f>
        <v>45778</v>
      </c>
      <c r="K97" s="656"/>
      <c r="L97" s="657"/>
      <c r="M97" s="648" t="s">
        <v>720</v>
      </c>
      <c r="N97" s="648"/>
      <c r="O97" s="648">
        <f>O91</f>
        <v>1</v>
      </c>
      <c r="P97" s="648"/>
      <c r="Q97" s="648"/>
      <c r="R97" s="647" t="str">
        <f>U88</f>
        <v>523514 (citit)</v>
      </c>
      <c r="S97" s="647"/>
      <c r="T97" s="647"/>
      <c r="U97" s="647" t="str">
        <f>VLOOKUP(A97,'Incrementare indexe'!$D:$M,4,FALSE)&amp;" (estimat)"</f>
        <v>538584 (estimat)</v>
      </c>
      <c r="V97" s="647"/>
      <c r="W97" s="647"/>
      <c r="X97" s="647" t="str">
        <f>VLOOKUP(A97,'Incrementare indexe'!$D:$Q,11,FALSE)&amp;" (citit)"</f>
        <v>15070 (citit)</v>
      </c>
      <c r="Y97" s="647"/>
      <c r="Z97" s="647"/>
      <c r="AA97" s="647" t="s">
        <v>69</v>
      </c>
      <c r="AB97" s="647"/>
      <c r="AC97" s="647"/>
      <c r="AD97" s="647" t="s">
        <v>69</v>
      </c>
      <c r="AE97" s="647"/>
      <c r="AF97" s="647">
        <f>VLOOKUP(A97,'Incrementare indexe'!$D:$Q,11,FALSE)</f>
        <v>15070</v>
      </c>
      <c r="AG97" s="647"/>
      <c r="AH97" s="647"/>
      <c r="AI97" s="647">
        <f>J99-J97+1</f>
        <v>31</v>
      </c>
      <c r="AJ97" s="647"/>
      <c r="AK97" s="647">
        <f>ROUND(AF97/AI97,2)</f>
        <v>486.13</v>
      </c>
      <c r="AL97" s="647"/>
      <c r="AM97" s="647"/>
    </row>
    <row r="98" spans="1:39" ht="8.4499999999999993" customHeight="1">
      <c r="A98" s="717"/>
      <c r="B98" s="718"/>
      <c r="C98" s="718"/>
      <c r="D98" s="718"/>
      <c r="E98" s="718"/>
      <c r="F98" s="719"/>
      <c r="G98" s="648"/>
      <c r="H98" s="648"/>
      <c r="I98" s="673"/>
      <c r="J98" s="717" t="s">
        <v>69</v>
      </c>
      <c r="K98" s="718"/>
      <c r="L98" s="719"/>
      <c r="M98" s="648"/>
      <c r="N98" s="648"/>
      <c r="O98" s="648"/>
      <c r="P98" s="648"/>
      <c r="Q98" s="648"/>
      <c r="R98" s="647"/>
      <c r="S98" s="647"/>
      <c r="T98" s="647"/>
      <c r="U98" s="647"/>
      <c r="V98" s="647"/>
      <c r="W98" s="647"/>
      <c r="X98" s="647"/>
      <c r="Y98" s="647"/>
      <c r="Z98" s="647"/>
      <c r="AA98" s="647"/>
      <c r="AB98" s="647"/>
      <c r="AC98" s="647"/>
      <c r="AD98" s="647"/>
      <c r="AE98" s="647"/>
      <c r="AF98" s="647"/>
      <c r="AG98" s="647"/>
      <c r="AH98" s="647"/>
      <c r="AI98" s="647"/>
      <c r="AJ98" s="647"/>
      <c r="AK98" s="647"/>
      <c r="AL98" s="647"/>
      <c r="AM98" s="647"/>
    </row>
    <row r="99" spans="1:39" ht="14.1" customHeight="1">
      <c r="A99" s="681"/>
      <c r="B99" s="682"/>
      <c r="C99" s="682"/>
      <c r="D99" s="682"/>
      <c r="E99" s="682"/>
      <c r="F99" s="683"/>
      <c r="G99" s="648"/>
      <c r="H99" s="648"/>
      <c r="I99" s="673"/>
      <c r="J99" s="714">
        <f>'Date masura OD'!$J$5</f>
        <v>45808</v>
      </c>
      <c r="K99" s="715"/>
      <c r="L99" s="716"/>
      <c r="M99" s="648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78">
        <f>A97</f>
        <v>1371870726</v>
      </c>
      <c r="B100" s="679"/>
      <c r="C100" s="679"/>
      <c r="D100" s="679"/>
      <c r="E100" s="679"/>
      <c r="F100" s="680"/>
      <c r="G100" s="647" t="s">
        <v>1300</v>
      </c>
      <c r="H100" s="647"/>
      <c r="I100" s="675"/>
      <c r="J100" s="655">
        <f t="shared" ref="J100:J108" si="5">J97</f>
        <v>45778</v>
      </c>
      <c r="K100" s="656"/>
      <c r="L100" s="657"/>
      <c r="M100" s="720" t="s">
        <v>446</v>
      </c>
      <c r="N100" s="648"/>
      <c r="O100" s="648">
        <v>1</v>
      </c>
      <c r="P100" s="648"/>
      <c r="Q100" s="648"/>
      <c r="R100" s="647" t="str">
        <f>VLOOKUP(A100,'Date masura SDI'!A:D,4,0)&amp;" (citit)"</f>
        <v>0 (citit)</v>
      </c>
      <c r="S100" s="647"/>
      <c r="T100" s="647"/>
      <c r="U100" s="647" t="str">
        <f>VLOOKUP(A100,'Date masura SDI'!A:E,5,)&amp;" (citit)"</f>
        <v>0 (citit)</v>
      </c>
      <c r="V100" s="647"/>
      <c r="W100" s="647"/>
      <c r="X100" s="647" t="str">
        <f>(VLOOKUP(A100,'Date masura SDI'!A:E,5,0)-VLOOKUP(A100,'Date masura SDI'!A:E,4,0))*O100 &amp;" (citit)"</f>
        <v>0 (citit)</v>
      </c>
      <c r="Y100" s="647"/>
      <c r="Z100" s="647"/>
      <c r="AA100" s="647" t="s">
        <v>69</v>
      </c>
      <c r="AB100" s="647"/>
      <c r="AC100" s="647"/>
      <c r="AD100" s="647" t="s">
        <v>69</v>
      </c>
      <c r="AE100" s="647"/>
      <c r="AF100" s="647">
        <f>VLOOKUP(A100,'Incrementare indexe'!$D:$Q,12,FALSE)</f>
        <v>0</v>
      </c>
      <c r="AG100" s="647"/>
      <c r="AH100" s="647"/>
      <c r="AI100" s="647">
        <f>AI97</f>
        <v>31</v>
      </c>
      <c r="AJ100" s="647"/>
      <c r="AK100" s="647">
        <f>ROUND(AF100/AI100,2)</f>
        <v>0</v>
      </c>
      <c r="AL100" s="647"/>
      <c r="AM100" s="647"/>
    </row>
    <row r="101" spans="1:39" ht="8.4499999999999993" customHeight="1">
      <c r="A101" s="717"/>
      <c r="B101" s="718"/>
      <c r="C101" s="718"/>
      <c r="D101" s="718"/>
      <c r="E101" s="718"/>
      <c r="F101" s="719"/>
      <c r="G101" s="647"/>
      <c r="H101" s="647"/>
      <c r="I101" s="675"/>
      <c r="J101" s="717" t="str">
        <f t="shared" si="5"/>
        <v>-</v>
      </c>
      <c r="K101" s="718"/>
      <c r="L101" s="719"/>
      <c r="M101" s="720"/>
      <c r="N101" s="648"/>
      <c r="O101" s="648"/>
      <c r="P101" s="648"/>
      <c r="Q101" s="648"/>
      <c r="R101" s="647"/>
      <c r="S101" s="647"/>
      <c r="T101" s="647"/>
      <c r="U101" s="647"/>
      <c r="V101" s="647"/>
      <c r="W101" s="647"/>
      <c r="X101" s="647"/>
      <c r="Y101" s="647"/>
      <c r="Z101" s="647"/>
      <c r="AA101" s="647"/>
      <c r="AB101" s="647"/>
      <c r="AC101" s="647"/>
      <c r="AD101" s="647"/>
      <c r="AE101" s="647"/>
      <c r="AF101" s="647"/>
      <c r="AG101" s="647"/>
      <c r="AH101" s="647"/>
      <c r="AI101" s="647"/>
      <c r="AJ101" s="647"/>
      <c r="AK101" s="647"/>
      <c r="AL101" s="647"/>
      <c r="AM101" s="647"/>
    </row>
    <row r="102" spans="1:39" ht="14.1" customHeight="1">
      <c r="A102" s="681"/>
      <c r="B102" s="682"/>
      <c r="C102" s="682"/>
      <c r="D102" s="682"/>
      <c r="E102" s="682"/>
      <c r="F102" s="683"/>
      <c r="G102" s="647"/>
      <c r="H102" s="647"/>
      <c r="I102" s="675"/>
      <c r="J102" s="714">
        <f t="shared" si="5"/>
        <v>45808</v>
      </c>
      <c r="K102" s="715"/>
      <c r="L102" s="716"/>
      <c r="M102" s="720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78">
        <f>A100</f>
        <v>1371870726</v>
      </c>
      <c r="B103" s="679"/>
      <c r="C103" s="679"/>
      <c r="D103" s="679"/>
      <c r="E103" s="679"/>
      <c r="F103" s="680"/>
      <c r="G103" s="648" t="s">
        <v>696</v>
      </c>
      <c r="H103" s="648"/>
      <c r="I103" s="648"/>
      <c r="J103" s="655">
        <f t="shared" si="5"/>
        <v>45778</v>
      </c>
      <c r="K103" s="656"/>
      <c r="L103" s="657"/>
      <c r="M103" s="720" t="s">
        <v>446</v>
      </c>
      <c r="N103" s="648"/>
      <c r="O103" s="648">
        <f>O100</f>
        <v>1</v>
      </c>
      <c r="P103" s="648"/>
      <c r="Q103" s="648"/>
      <c r="R103" s="684" t="str">
        <f>U91</f>
        <v>26 (citit)</v>
      </c>
      <c r="S103" s="685"/>
      <c r="T103" s="686"/>
      <c r="U103" s="647" t="str">
        <f>VLOOKUP(A103,'Incrementare indexe'!$D:$M,8,FALSE)&amp;" (estimat)"</f>
        <v>26 (estimat)</v>
      </c>
      <c r="V103" s="647"/>
      <c r="W103" s="647"/>
      <c r="X103" s="647" t="str">
        <f>VLOOKUP(A103,'Incrementare indexe'!$D:$Q,12,FALSE)&amp;" (estimat)"</f>
        <v>0 (estimat)</v>
      </c>
      <c r="Y103" s="647"/>
      <c r="Z103" s="647"/>
      <c r="AA103" s="647" t="s">
        <v>69</v>
      </c>
      <c r="AB103" s="647"/>
      <c r="AC103" s="647"/>
      <c r="AD103" s="647" t="s">
        <v>69</v>
      </c>
      <c r="AE103" s="647"/>
      <c r="AF103" s="647">
        <f>VLOOKUP(A103,'Incrementare indexe'!$D:$Q,12,FALSE)</f>
        <v>0</v>
      </c>
      <c r="AG103" s="647"/>
      <c r="AH103" s="647"/>
      <c r="AI103" s="647">
        <f>AI97</f>
        <v>31</v>
      </c>
      <c r="AJ103" s="647"/>
      <c r="AK103" s="647">
        <f>ROUND(AF103/AI103,2)</f>
        <v>0</v>
      </c>
      <c r="AL103" s="647"/>
      <c r="AM103" s="647"/>
    </row>
    <row r="104" spans="1:39" ht="8.4499999999999993" customHeight="1">
      <c r="A104" s="717"/>
      <c r="B104" s="718"/>
      <c r="C104" s="718"/>
      <c r="D104" s="718"/>
      <c r="E104" s="718"/>
      <c r="F104" s="719"/>
      <c r="G104" s="648"/>
      <c r="H104" s="648"/>
      <c r="I104" s="648"/>
      <c r="J104" s="717" t="str">
        <f t="shared" si="5"/>
        <v>-</v>
      </c>
      <c r="K104" s="718"/>
      <c r="L104" s="719"/>
      <c r="M104" s="720"/>
      <c r="N104" s="648"/>
      <c r="O104" s="648"/>
      <c r="P104" s="648"/>
      <c r="Q104" s="648"/>
      <c r="R104" s="727"/>
      <c r="S104" s="729"/>
      <c r="T104" s="728"/>
      <c r="U104" s="647"/>
      <c r="V104" s="647"/>
      <c r="W104" s="647"/>
      <c r="X104" s="647"/>
      <c r="Y104" s="647"/>
      <c r="Z104" s="647"/>
      <c r="AA104" s="647"/>
      <c r="AB104" s="647"/>
      <c r="AC104" s="647"/>
      <c r="AD104" s="647"/>
      <c r="AE104" s="647"/>
      <c r="AF104" s="647"/>
      <c r="AG104" s="647"/>
      <c r="AH104" s="647"/>
      <c r="AI104" s="647"/>
      <c r="AJ104" s="647"/>
      <c r="AK104" s="647"/>
      <c r="AL104" s="647"/>
      <c r="AM104" s="647"/>
    </row>
    <row r="105" spans="1:39" ht="14.1" customHeight="1">
      <c r="A105" s="681"/>
      <c r="B105" s="682"/>
      <c r="C105" s="682"/>
      <c r="D105" s="682"/>
      <c r="E105" s="682"/>
      <c r="F105" s="683"/>
      <c r="G105" s="648"/>
      <c r="H105" s="648"/>
      <c r="I105" s="648"/>
      <c r="J105" s="714">
        <f t="shared" si="5"/>
        <v>45808</v>
      </c>
      <c r="K105" s="715"/>
      <c r="L105" s="716"/>
      <c r="M105" s="720"/>
      <c r="N105" s="648"/>
      <c r="O105" s="648"/>
      <c r="P105" s="648"/>
      <c r="Q105" s="648"/>
      <c r="R105" s="687"/>
      <c r="S105" s="688"/>
      <c r="T105" s="689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78">
        <f>A103</f>
        <v>1371870726</v>
      </c>
      <c r="B106" s="679"/>
      <c r="C106" s="679"/>
      <c r="D106" s="679"/>
      <c r="E106" s="679"/>
      <c r="F106" s="680"/>
      <c r="G106" s="648" t="s">
        <v>731</v>
      </c>
      <c r="H106" s="648"/>
      <c r="I106" s="648"/>
      <c r="J106" s="655">
        <f t="shared" si="5"/>
        <v>45778</v>
      </c>
      <c r="K106" s="656"/>
      <c r="L106" s="657"/>
      <c r="M106" s="648" t="s">
        <v>720</v>
      </c>
      <c r="N106" s="648"/>
      <c r="O106" s="648">
        <f>O100</f>
        <v>1</v>
      </c>
      <c r="P106" s="648"/>
      <c r="Q106" s="648"/>
      <c r="R106" s="647" t="str">
        <f>U94</f>
        <v>89487 (citit)</v>
      </c>
      <c r="S106" s="647"/>
      <c r="T106" s="647"/>
      <c r="U106" s="647" t="str">
        <f>VLOOKUP(A106,'Incrementare indexe'!$D:$M,10,FALSE)&amp;" (estimat)"</f>
        <v>89487 (estimat)</v>
      </c>
      <c r="V106" s="647"/>
      <c r="W106" s="647"/>
      <c r="X106" s="647" t="str">
        <f>VLOOKUP(A106,'Incrementare indexe'!$D:$Q,13,FALSE)&amp;" (estimat)"</f>
        <v>0 (estimat)</v>
      </c>
      <c r="Y106" s="647"/>
      <c r="Z106" s="647"/>
      <c r="AA106" s="647" t="s">
        <v>69</v>
      </c>
      <c r="AB106" s="647"/>
      <c r="AC106" s="647"/>
      <c r="AD106" s="647" t="s">
        <v>69</v>
      </c>
      <c r="AE106" s="647"/>
      <c r="AF106" s="647">
        <f>VLOOKUP(A106,'Incrementare indexe'!$D:$Q,13,FALSE)</f>
        <v>0</v>
      </c>
      <c r="AG106" s="647"/>
      <c r="AH106" s="647"/>
      <c r="AI106" s="647">
        <f>AI103</f>
        <v>31</v>
      </c>
      <c r="AJ106" s="647"/>
      <c r="AK106" s="647">
        <f>ROUND(AF106/AI106,2)</f>
        <v>0</v>
      </c>
      <c r="AL106" s="647"/>
      <c r="AM106" s="647"/>
    </row>
    <row r="107" spans="1:39" ht="8.4499999999999993" customHeight="1">
      <c r="A107" s="717"/>
      <c r="B107" s="718"/>
      <c r="C107" s="718"/>
      <c r="D107" s="718"/>
      <c r="E107" s="718"/>
      <c r="F107" s="719"/>
      <c r="G107" s="648"/>
      <c r="H107" s="648"/>
      <c r="I107" s="648"/>
      <c r="J107" s="717" t="str">
        <f t="shared" si="5"/>
        <v>-</v>
      </c>
      <c r="K107" s="718"/>
      <c r="L107" s="719"/>
      <c r="M107" s="648"/>
      <c r="N107" s="648"/>
      <c r="O107" s="648"/>
      <c r="P107" s="648"/>
      <c r="Q107" s="648"/>
      <c r="R107" s="647"/>
      <c r="S107" s="647"/>
      <c r="T107" s="647"/>
      <c r="U107" s="647"/>
      <c r="V107" s="647"/>
      <c r="W107" s="647"/>
      <c r="X107" s="647"/>
      <c r="Y107" s="647"/>
      <c r="Z107" s="647"/>
      <c r="AA107" s="647"/>
      <c r="AB107" s="647"/>
      <c r="AC107" s="647"/>
      <c r="AD107" s="647"/>
      <c r="AE107" s="647"/>
      <c r="AF107" s="647"/>
      <c r="AG107" s="647"/>
      <c r="AH107" s="647"/>
      <c r="AI107" s="647"/>
      <c r="AJ107" s="647"/>
      <c r="AK107" s="647"/>
      <c r="AL107" s="647"/>
      <c r="AM107" s="647"/>
    </row>
    <row r="108" spans="1:39" ht="14.1" customHeight="1">
      <c r="A108" s="681"/>
      <c r="B108" s="682"/>
      <c r="C108" s="682"/>
      <c r="D108" s="682"/>
      <c r="E108" s="682"/>
      <c r="F108" s="683"/>
      <c r="G108" s="648"/>
      <c r="H108" s="648"/>
      <c r="I108" s="648"/>
      <c r="J108" s="714">
        <f t="shared" si="5"/>
        <v>45808</v>
      </c>
      <c r="K108" s="715"/>
      <c r="L108" s="716"/>
      <c r="M108" s="648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196"/>
      <c r="B109" s="196"/>
      <c r="C109" s="196"/>
      <c r="D109" s="196"/>
      <c r="E109" s="196"/>
      <c r="F109" s="196"/>
      <c r="G109" s="196"/>
      <c r="H109" s="196"/>
      <c r="I109" s="196"/>
      <c r="J109" s="197"/>
      <c r="K109" s="197"/>
      <c r="L109" s="197"/>
      <c r="M109" s="196"/>
      <c r="N109" s="196"/>
      <c r="O109" s="196"/>
      <c r="P109" s="196"/>
      <c r="Q109" s="196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</row>
    <row r="110" spans="1:39" ht="14.1" customHeight="1">
      <c r="A110" s="196"/>
      <c r="B110" s="196"/>
      <c r="C110" s="196"/>
      <c r="D110" s="196"/>
      <c r="E110" s="196"/>
      <c r="F110" s="196"/>
      <c r="G110" s="196"/>
      <c r="H110" s="196"/>
      <c r="I110" s="196"/>
      <c r="J110" s="197"/>
      <c r="K110" s="197"/>
      <c r="L110" s="197"/>
      <c r="M110" s="196"/>
      <c r="N110" s="196"/>
      <c r="O110" s="196"/>
      <c r="P110" s="196"/>
      <c r="Q110" s="196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</row>
    <row r="111" spans="1:39" ht="14.1" customHeight="1">
      <c r="A111" s="721" t="s">
        <v>1196</v>
      </c>
      <c r="B111" s="722"/>
      <c r="C111" s="722"/>
      <c r="D111" s="722"/>
      <c r="E111" s="722"/>
      <c r="F111" s="722"/>
      <c r="G111" s="722"/>
      <c r="H111" s="722"/>
      <c r="I111" s="722"/>
      <c r="J111" s="722"/>
      <c r="K111" s="722"/>
      <c r="L111" s="722"/>
      <c r="M111" s="722"/>
      <c r="N111" s="722"/>
      <c r="O111" s="722"/>
      <c r="P111" s="722"/>
      <c r="Q111" s="722"/>
      <c r="R111" s="722"/>
      <c r="S111" s="722"/>
      <c r="T111" s="722"/>
      <c r="U111" s="722"/>
      <c r="V111" s="722"/>
      <c r="W111" s="722"/>
      <c r="X111" s="722"/>
      <c r="Y111" s="722"/>
      <c r="Z111" s="722"/>
      <c r="AA111" s="722"/>
      <c r="AB111" s="722"/>
      <c r="AC111" s="722"/>
      <c r="AD111" s="722"/>
      <c r="AE111" s="722"/>
      <c r="AF111" s="722"/>
      <c r="AG111" s="722"/>
      <c r="AH111" s="723"/>
      <c r="AI111" s="650" t="s">
        <v>695</v>
      </c>
      <c r="AJ111" s="650"/>
      <c r="AK111" s="650"/>
      <c r="AL111" s="650"/>
      <c r="AM111" s="650"/>
    </row>
    <row r="112" spans="1:39" ht="14.1" customHeight="1">
      <c r="A112" s="649" t="s">
        <v>746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50" t="s">
        <v>514</v>
      </c>
      <c r="N112" s="650"/>
      <c r="O112" s="650"/>
      <c r="P112" s="650"/>
      <c r="Q112" s="650"/>
      <c r="R112" s="650"/>
      <c r="S112" s="650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47" t="str">
        <f>_xlfn.CONCAT(AI34,"/PV")</f>
        <v>RN10_Vaslui_1/PV</v>
      </c>
      <c r="AJ112" s="647"/>
      <c r="AK112" s="647"/>
      <c r="AL112" s="647"/>
      <c r="AM112" s="647"/>
    </row>
    <row r="113" spans="1:39" ht="14.1" customHeight="1">
      <c r="A113" s="649" t="s">
        <v>747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50" t="s">
        <v>1087</v>
      </c>
      <c r="N113" s="650"/>
      <c r="O113" s="650"/>
      <c r="P113" s="650"/>
      <c r="Q113" s="650"/>
      <c r="R113" s="650"/>
      <c r="S113" s="650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47"/>
      <c r="AJ113" s="647"/>
      <c r="AK113" s="647"/>
      <c r="AL113" s="647"/>
      <c r="AM113" s="647"/>
    </row>
    <row r="114" spans="1:39" ht="14.1" customHeight="1">
      <c r="A114" s="648" t="s">
        <v>697</v>
      </c>
      <c r="B114" s="648"/>
      <c r="C114" s="648"/>
      <c r="D114" s="648"/>
      <c r="E114" s="648"/>
      <c r="F114" s="648"/>
      <c r="G114" s="647" t="s">
        <v>713</v>
      </c>
      <c r="H114" s="647"/>
      <c r="I114" s="647"/>
      <c r="J114" s="647" t="s">
        <v>714</v>
      </c>
      <c r="K114" s="647"/>
      <c r="L114" s="647"/>
      <c r="M114" s="648" t="s">
        <v>519</v>
      </c>
      <c r="N114" s="648"/>
      <c r="O114" s="648" t="s">
        <v>715</v>
      </c>
      <c r="P114" s="648"/>
      <c r="Q114" s="648"/>
      <c r="R114" s="647" t="s">
        <v>732</v>
      </c>
      <c r="S114" s="647"/>
      <c r="T114" s="647"/>
      <c r="U114" s="647" t="s">
        <v>734</v>
      </c>
      <c r="V114" s="647"/>
      <c r="W114" s="647"/>
      <c r="X114" s="647" t="s">
        <v>1085</v>
      </c>
      <c r="Y114" s="647"/>
      <c r="Z114" s="647"/>
      <c r="AA114" s="647" t="s">
        <v>1086</v>
      </c>
      <c r="AB114" s="647"/>
      <c r="AC114" s="647"/>
      <c r="AD114" s="647" t="s">
        <v>717</v>
      </c>
      <c r="AE114" s="647"/>
      <c r="AF114" s="647" t="s">
        <v>718</v>
      </c>
      <c r="AG114" s="647"/>
      <c r="AH114" s="647"/>
      <c r="AI114" s="647" t="s">
        <v>719</v>
      </c>
      <c r="AJ114" s="647"/>
      <c r="AK114" s="647" t="s">
        <v>733</v>
      </c>
      <c r="AL114" s="647"/>
      <c r="AM114" s="647"/>
    </row>
    <row r="115" spans="1:39" ht="14.1" customHeight="1">
      <c r="A115" s="648"/>
      <c r="B115" s="648"/>
      <c r="C115" s="648"/>
      <c r="D115" s="648"/>
      <c r="E115" s="648"/>
      <c r="F115" s="648"/>
      <c r="G115" s="647"/>
      <c r="H115" s="647"/>
      <c r="I115" s="647"/>
      <c r="J115" s="647"/>
      <c r="K115" s="647"/>
      <c r="L115" s="647"/>
      <c r="M115" s="648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648"/>
      <c r="B116" s="648"/>
      <c r="C116" s="648"/>
      <c r="D116" s="648"/>
      <c r="E116" s="648"/>
      <c r="F116" s="648"/>
      <c r="G116" s="647"/>
      <c r="H116" s="647"/>
      <c r="I116" s="647"/>
      <c r="J116" s="713"/>
      <c r="K116" s="713"/>
      <c r="L116" s="713"/>
      <c r="M116" s="648"/>
      <c r="N116" s="648"/>
      <c r="O116" s="648"/>
      <c r="P116" s="648"/>
      <c r="Q116" s="648"/>
      <c r="R116" s="647"/>
      <c r="S116" s="647"/>
      <c r="T116" s="647"/>
      <c r="U116" s="647"/>
      <c r="V116" s="647"/>
      <c r="W116" s="647"/>
      <c r="X116" s="647"/>
      <c r="Y116" s="647"/>
      <c r="Z116" s="647"/>
      <c r="AA116" s="647"/>
      <c r="AB116" s="647"/>
      <c r="AC116" s="647"/>
      <c r="AD116" s="647"/>
      <c r="AE116" s="647"/>
      <c r="AF116" s="647"/>
      <c r="AG116" s="647"/>
      <c r="AH116" s="647"/>
      <c r="AI116" s="647"/>
      <c r="AJ116" s="647"/>
      <c r="AK116" s="647"/>
      <c r="AL116" s="647"/>
      <c r="AM116" s="647"/>
    </row>
    <row r="117" spans="1:39" ht="14.1" customHeight="1">
      <c r="A117" s="678">
        <f>VLOOKUP(AI112,'Incrementare indexe'!$B:$I,3,FALSE)</f>
        <v>1371641982</v>
      </c>
      <c r="B117" s="679"/>
      <c r="C117" s="679"/>
      <c r="D117" s="679"/>
      <c r="E117" s="679"/>
      <c r="F117" s="680"/>
      <c r="G117" s="647" t="s">
        <v>1088</v>
      </c>
      <c r="H117" s="647"/>
      <c r="I117" s="675"/>
      <c r="J117" s="655">
        <f>'Date masura OD'!$I$5</f>
        <v>45778</v>
      </c>
      <c r="K117" s="656"/>
      <c r="L117" s="657"/>
      <c r="M117" s="720" t="s">
        <v>446</v>
      </c>
      <c r="N117" s="648"/>
      <c r="O117" s="648">
        <f>VLOOKUP(AI112,'Incrementare indexe'!$B:$I,4,FALSE)</f>
        <v>1</v>
      </c>
      <c r="P117" s="648"/>
      <c r="Q117" s="648"/>
      <c r="R117" s="647" t="str">
        <f>VLOOKUP(AI112,'Incrementare indexe'!$B:$I,7,FALSE)&amp;" (citit)"</f>
        <v>358055 (citit)</v>
      </c>
      <c r="S117" s="647"/>
      <c r="T117" s="647"/>
      <c r="U117" s="647" t="str">
        <f>VLOOKUP(AI112,'Incrementare indexe'!$B:$I,8,FALSE)&amp;" (citit)"</f>
        <v>374463 (citit)</v>
      </c>
      <c r="V117" s="647"/>
      <c r="W117" s="647"/>
      <c r="X117" s="647" t="str">
        <f>(VLOOKUP(AI112,'Incrementare indexe'!$B:$I,8,FALSE)-VLOOKUP(AI112,'Incrementare indexe'!$B:$I,7,FALSE))&amp;" (citit)"</f>
        <v>16408 (citit)</v>
      </c>
      <c r="Y117" s="647"/>
      <c r="Z117" s="647"/>
      <c r="AA117" s="647" t="s">
        <v>69</v>
      </c>
      <c r="AB117" s="647"/>
      <c r="AC117" s="647"/>
      <c r="AD117" s="647" t="s">
        <v>69</v>
      </c>
      <c r="AE117" s="647"/>
      <c r="AF117" s="647">
        <f>(VLOOKUP(AI112,'Incrementare indexe'!$B:$I,8,FALSE)-VLOOKUP(AI112,'Incrementare indexe'!$B:$I,7,FALSE))</f>
        <v>16408</v>
      </c>
      <c r="AG117" s="647"/>
      <c r="AH117" s="647"/>
      <c r="AI117" s="647">
        <f>J119-J117+1</f>
        <v>31</v>
      </c>
      <c r="AJ117" s="647"/>
      <c r="AK117" s="647">
        <f>ROUND(AF117/AI117,2)</f>
        <v>529.29</v>
      </c>
      <c r="AL117" s="647"/>
      <c r="AM117" s="647"/>
    </row>
    <row r="118" spans="1:39" ht="14.1" customHeight="1">
      <c r="A118" s="717"/>
      <c r="B118" s="718"/>
      <c r="C118" s="718"/>
      <c r="D118" s="718"/>
      <c r="E118" s="718"/>
      <c r="F118" s="719"/>
      <c r="G118" s="647"/>
      <c r="H118" s="647"/>
      <c r="I118" s="675"/>
      <c r="J118" s="717" t="s">
        <v>69</v>
      </c>
      <c r="K118" s="718"/>
      <c r="L118" s="719"/>
      <c r="M118" s="720"/>
      <c r="N118" s="648"/>
      <c r="O118" s="648"/>
      <c r="P118" s="648"/>
      <c r="Q118" s="648"/>
      <c r="R118" s="647"/>
      <c r="S118" s="647"/>
      <c r="T118" s="647"/>
      <c r="U118" s="647"/>
      <c r="V118" s="647"/>
      <c r="W118" s="647"/>
      <c r="X118" s="647"/>
      <c r="Y118" s="647"/>
      <c r="Z118" s="647"/>
      <c r="AA118" s="647"/>
      <c r="AB118" s="647"/>
      <c r="AC118" s="647"/>
      <c r="AD118" s="647"/>
      <c r="AE118" s="647"/>
      <c r="AF118" s="647"/>
      <c r="AG118" s="647"/>
      <c r="AH118" s="647"/>
      <c r="AI118" s="647"/>
      <c r="AJ118" s="647"/>
      <c r="AK118" s="647"/>
      <c r="AL118" s="647"/>
      <c r="AM118" s="647"/>
    </row>
    <row r="119" spans="1:39" ht="14.1" customHeight="1">
      <c r="A119" s="681"/>
      <c r="B119" s="682"/>
      <c r="C119" s="682"/>
      <c r="D119" s="682"/>
      <c r="E119" s="682"/>
      <c r="F119" s="683"/>
      <c r="G119" s="647"/>
      <c r="H119" s="647"/>
      <c r="I119" s="675"/>
      <c r="J119" s="714">
        <f>'Date masura OD'!$J$5</f>
        <v>45808</v>
      </c>
      <c r="K119" s="715"/>
      <c r="L119" s="716"/>
      <c r="M119" s="720"/>
      <c r="N119" s="648"/>
      <c r="O119" s="648"/>
      <c r="P119" s="648"/>
      <c r="Q119" s="648"/>
      <c r="R119" s="647"/>
      <c r="S119" s="647"/>
      <c r="T119" s="647"/>
      <c r="U119" s="647"/>
      <c r="V119" s="647"/>
      <c r="W119" s="647"/>
      <c r="X119" s="647"/>
      <c r="Y119" s="647"/>
      <c r="Z119" s="647"/>
      <c r="AA119" s="647"/>
      <c r="AB119" s="647"/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</row>
    <row r="120" spans="1:39" ht="14.1" customHeight="1">
      <c r="A120" s="678">
        <f>A117</f>
        <v>1371641982</v>
      </c>
      <c r="B120" s="679"/>
      <c r="C120" s="679"/>
      <c r="D120" s="679"/>
      <c r="E120" s="679"/>
      <c r="F120" s="680"/>
      <c r="G120" s="648" t="s">
        <v>696</v>
      </c>
      <c r="H120" s="648"/>
      <c r="I120" s="648"/>
      <c r="J120" s="655">
        <f t="shared" ref="J120:J125" si="6">J117</f>
        <v>45778</v>
      </c>
      <c r="K120" s="656"/>
      <c r="L120" s="657"/>
      <c r="M120" s="648" t="s">
        <v>720</v>
      </c>
      <c r="N120" s="648"/>
      <c r="O120" s="648">
        <f>O117</f>
        <v>1</v>
      </c>
      <c r="P120" s="648"/>
      <c r="Q120" s="648"/>
      <c r="R120" s="647" t="s">
        <v>1089</v>
      </c>
      <c r="S120" s="647"/>
      <c r="T120" s="647"/>
      <c r="U120" s="647" t="s">
        <v>1089</v>
      </c>
      <c r="V120" s="647"/>
      <c r="W120" s="647"/>
      <c r="X120" s="647" t="s">
        <v>1089</v>
      </c>
      <c r="Y120" s="647"/>
      <c r="Z120" s="647"/>
      <c r="AA120" s="647" t="s">
        <v>69</v>
      </c>
      <c r="AB120" s="647"/>
      <c r="AC120" s="647"/>
      <c r="AD120" s="647" t="s">
        <v>69</v>
      </c>
      <c r="AE120" s="647"/>
      <c r="AF120" s="647">
        <v>0</v>
      </c>
      <c r="AG120" s="647"/>
      <c r="AH120" s="647"/>
      <c r="AI120" s="647">
        <f>AI117</f>
        <v>31</v>
      </c>
      <c r="AJ120" s="647"/>
      <c r="AK120" s="647">
        <f>ROUND(AF120/AI120,2)</f>
        <v>0</v>
      </c>
      <c r="AL120" s="647"/>
      <c r="AM120" s="647"/>
    </row>
    <row r="121" spans="1:39" ht="14.1" customHeight="1">
      <c r="A121" s="717"/>
      <c r="B121" s="718"/>
      <c r="C121" s="718"/>
      <c r="D121" s="718"/>
      <c r="E121" s="718"/>
      <c r="F121" s="719"/>
      <c r="G121" s="648"/>
      <c r="H121" s="648"/>
      <c r="I121" s="648"/>
      <c r="J121" s="717" t="str">
        <f t="shared" si="6"/>
        <v>-</v>
      </c>
      <c r="K121" s="718"/>
      <c r="L121" s="719"/>
      <c r="M121" s="648"/>
      <c r="N121" s="648"/>
      <c r="O121" s="648"/>
      <c r="P121" s="648"/>
      <c r="Q121" s="648"/>
      <c r="R121" s="647"/>
      <c r="S121" s="647"/>
      <c r="T121" s="647"/>
      <c r="U121" s="647"/>
      <c r="V121" s="647"/>
      <c r="W121" s="647"/>
      <c r="X121" s="647"/>
      <c r="Y121" s="647"/>
      <c r="Z121" s="647"/>
      <c r="AA121" s="647"/>
      <c r="AB121" s="647"/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</row>
    <row r="122" spans="1:39" ht="14.1" customHeight="1">
      <c r="A122" s="681"/>
      <c r="B122" s="682"/>
      <c r="C122" s="682"/>
      <c r="D122" s="682"/>
      <c r="E122" s="682"/>
      <c r="F122" s="683"/>
      <c r="G122" s="648"/>
      <c r="H122" s="648"/>
      <c r="I122" s="648"/>
      <c r="J122" s="714">
        <f t="shared" si="6"/>
        <v>45808</v>
      </c>
      <c r="K122" s="715"/>
      <c r="L122" s="716"/>
      <c r="M122" s="648"/>
      <c r="N122" s="648"/>
      <c r="O122" s="648"/>
      <c r="P122" s="648"/>
      <c r="Q122" s="648"/>
      <c r="R122" s="647"/>
      <c r="S122" s="647"/>
      <c r="T122" s="647"/>
      <c r="U122" s="647"/>
      <c r="V122" s="647"/>
      <c r="W122" s="647"/>
      <c r="X122" s="647"/>
      <c r="Y122" s="647"/>
      <c r="Z122" s="647"/>
      <c r="AA122" s="647"/>
      <c r="AB122" s="647"/>
      <c r="AC122" s="647"/>
      <c r="AD122" s="647"/>
      <c r="AE122" s="647"/>
      <c r="AF122" s="647"/>
      <c r="AG122" s="647"/>
      <c r="AH122" s="647"/>
      <c r="AI122" s="647"/>
      <c r="AJ122" s="647"/>
      <c r="AK122" s="647"/>
      <c r="AL122" s="647"/>
      <c r="AM122" s="647"/>
    </row>
    <row r="123" spans="1:39" ht="14.1" customHeight="1">
      <c r="A123" s="678">
        <f>A120</f>
        <v>1371641982</v>
      </c>
      <c r="B123" s="679"/>
      <c r="C123" s="679"/>
      <c r="D123" s="679"/>
      <c r="E123" s="679"/>
      <c r="F123" s="680"/>
      <c r="G123" s="648" t="s">
        <v>731</v>
      </c>
      <c r="H123" s="648"/>
      <c r="I123" s="648"/>
      <c r="J123" s="655">
        <f t="shared" si="6"/>
        <v>45778</v>
      </c>
      <c r="K123" s="656"/>
      <c r="L123" s="657"/>
      <c r="M123" s="648" t="s">
        <v>720</v>
      </c>
      <c r="N123" s="648"/>
      <c r="O123" s="648">
        <f>O120</f>
        <v>1</v>
      </c>
      <c r="P123" s="648"/>
      <c r="Q123" s="648"/>
      <c r="R123" s="647" t="s">
        <v>1089</v>
      </c>
      <c r="S123" s="647"/>
      <c r="T123" s="647"/>
      <c r="U123" s="647" t="s">
        <v>1089</v>
      </c>
      <c r="V123" s="647"/>
      <c r="W123" s="647"/>
      <c r="X123" s="647" t="s">
        <v>1089</v>
      </c>
      <c r="Y123" s="647"/>
      <c r="Z123" s="647"/>
      <c r="AA123" s="647" t="s">
        <v>69</v>
      </c>
      <c r="AB123" s="647"/>
      <c r="AC123" s="647"/>
      <c r="AD123" s="647" t="s">
        <v>69</v>
      </c>
      <c r="AE123" s="647"/>
      <c r="AF123" s="647">
        <v>0</v>
      </c>
      <c r="AG123" s="647"/>
      <c r="AH123" s="647"/>
      <c r="AI123" s="647">
        <f>AI120</f>
        <v>31</v>
      </c>
      <c r="AJ123" s="647"/>
      <c r="AK123" s="647">
        <f>ROUND(AF123/AI123,2)</f>
        <v>0</v>
      </c>
      <c r="AL123" s="647"/>
      <c r="AM123" s="647"/>
    </row>
    <row r="124" spans="1:39" ht="14.1" customHeight="1">
      <c r="A124" s="717"/>
      <c r="B124" s="718"/>
      <c r="C124" s="718"/>
      <c r="D124" s="718"/>
      <c r="E124" s="718"/>
      <c r="F124" s="719"/>
      <c r="G124" s="648"/>
      <c r="H124" s="648"/>
      <c r="I124" s="648"/>
      <c r="J124" s="717" t="str">
        <f t="shared" si="6"/>
        <v>-</v>
      </c>
      <c r="K124" s="718"/>
      <c r="L124" s="719"/>
      <c r="M124" s="648"/>
      <c r="N124" s="648"/>
      <c r="O124" s="648"/>
      <c r="P124" s="648"/>
      <c r="Q124" s="648"/>
      <c r="R124" s="647"/>
      <c r="S124" s="647"/>
      <c r="T124" s="647"/>
      <c r="U124" s="647"/>
      <c r="V124" s="647"/>
      <c r="W124" s="647"/>
      <c r="X124" s="647"/>
      <c r="Y124" s="647"/>
      <c r="Z124" s="647"/>
      <c r="AA124" s="647"/>
      <c r="AB124" s="647"/>
      <c r="AC124" s="647"/>
      <c r="AD124" s="647"/>
      <c r="AE124" s="647"/>
      <c r="AF124" s="647"/>
      <c r="AG124" s="647"/>
      <c r="AH124" s="647"/>
      <c r="AI124" s="647"/>
      <c r="AJ124" s="647"/>
      <c r="AK124" s="647"/>
      <c r="AL124" s="647"/>
      <c r="AM124" s="647"/>
    </row>
    <row r="125" spans="1:39" ht="14.1" customHeight="1">
      <c r="A125" s="681"/>
      <c r="B125" s="682"/>
      <c r="C125" s="682"/>
      <c r="D125" s="682"/>
      <c r="E125" s="682"/>
      <c r="F125" s="683"/>
      <c r="G125" s="648"/>
      <c r="H125" s="648"/>
      <c r="I125" s="648"/>
      <c r="J125" s="714">
        <f t="shared" si="6"/>
        <v>45808</v>
      </c>
      <c r="K125" s="715"/>
      <c r="L125" s="716"/>
      <c r="M125" s="648"/>
      <c r="N125" s="648"/>
      <c r="O125" s="648"/>
      <c r="P125" s="648"/>
      <c r="Q125" s="648"/>
      <c r="R125" s="647"/>
      <c r="S125" s="647"/>
      <c r="T125" s="647"/>
      <c r="U125" s="647"/>
      <c r="V125" s="647"/>
      <c r="W125" s="647"/>
      <c r="X125" s="647"/>
      <c r="Y125" s="647"/>
      <c r="Z125" s="647"/>
      <c r="AA125" s="647"/>
      <c r="AB125" s="647"/>
      <c r="AC125" s="647"/>
      <c r="AD125" s="647"/>
      <c r="AE125" s="647"/>
      <c r="AF125" s="647"/>
      <c r="AG125" s="647"/>
      <c r="AH125" s="647"/>
      <c r="AI125" s="647"/>
      <c r="AJ125" s="647"/>
      <c r="AK125" s="647"/>
      <c r="AL125" s="647"/>
      <c r="AM125" s="647"/>
    </row>
    <row r="126" spans="1:39" ht="14.1" customHeight="1">
      <c r="A126" s="196"/>
      <c r="B126" s="196"/>
      <c r="C126" s="196"/>
      <c r="D126" s="196"/>
      <c r="E126" s="196"/>
      <c r="F126" s="196"/>
      <c r="G126" s="196"/>
      <c r="H126" s="196"/>
      <c r="I126" s="196"/>
      <c r="J126" s="197"/>
      <c r="K126" s="197"/>
      <c r="L126" s="197"/>
      <c r="M126" s="196"/>
      <c r="N126" s="196"/>
      <c r="O126" s="196"/>
      <c r="P126" s="196"/>
      <c r="Q126" s="196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</row>
    <row r="127" spans="1:39" ht="14.1" customHeight="1">
      <c r="A127" s="196"/>
      <c r="B127" s="196"/>
      <c r="C127" s="196"/>
      <c r="D127" s="196"/>
      <c r="E127" s="196"/>
      <c r="F127" s="196"/>
      <c r="G127" s="196"/>
      <c r="H127" s="196"/>
      <c r="I127" s="196"/>
      <c r="J127" s="197"/>
      <c r="K127" s="197"/>
      <c r="L127" s="197"/>
      <c r="M127" s="196"/>
      <c r="N127" s="196"/>
      <c r="O127" s="196"/>
      <c r="P127" s="196"/>
      <c r="Q127" s="196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</row>
    <row r="128" spans="1:39" ht="14.1" customHeight="1">
      <c r="A128" s="196"/>
      <c r="B128" s="196"/>
      <c r="C128" s="196"/>
      <c r="D128" s="196"/>
      <c r="E128" s="196"/>
      <c r="F128" s="196"/>
      <c r="G128" s="196"/>
      <c r="H128" s="196"/>
      <c r="I128" s="196"/>
      <c r="J128" s="197"/>
      <c r="K128" s="197"/>
      <c r="L128" s="197"/>
      <c r="M128" s="196"/>
      <c r="N128" s="196"/>
      <c r="O128" s="196"/>
      <c r="P128" s="196"/>
      <c r="Q128" s="196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</row>
    <row r="129" spans="1:39" ht="14.1" customHeight="1">
      <c r="A129" s="196"/>
      <c r="B129" s="196"/>
      <c r="C129" s="196"/>
      <c r="D129" s="196"/>
      <c r="E129" s="196"/>
      <c r="F129" s="196"/>
      <c r="G129" s="196"/>
      <c r="H129" s="196"/>
      <c r="I129" s="196"/>
      <c r="J129" s="197"/>
      <c r="K129" s="197"/>
      <c r="L129" s="197"/>
      <c r="M129" s="196"/>
      <c r="N129" s="196"/>
      <c r="O129" s="196"/>
      <c r="P129" s="196"/>
      <c r="Q129" s="196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</row>
    <row r="130" spans="1:39" ht="14.1" customHeight="1">
      <c r="A130" s="196"/>
      <c r="B130" s="196"/>
      <c r="C130" s="196"/>
      <c r="D130" s="196"/>
      <c r="E130" s="196"/>
      <c r="F130" s="196"/>
      <c r="G130" s="196"/>
      <c r="H130" s="196"/>
      <c r="I130" s="196"/>
      <c r="J130" s="197"/>
      <c r="K130" s="197"/>
      <c r="L130" s="197"/>
      <c r="M130" s="196"/>
      <c r="N130" s="196"/>
      <c r="O130" s="196"/>
      <c r="P130" s="196"/>
      <c r="Q130" s="196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</row>
    <row r="131" spans="1:39" ht="14.1" customHeight="1">
      <c r="A131" s="196"/>
      <c r="B131" s="196"/>
      <c r="C131" s="196"/>
      <c r="D131" s="196"/>
      <c r="E131" s="196"/>
      <c r="F131" s="196"/>
      <c r="G131" s="196"/>
      <c r="H131" s="196"/>
      <c r="I131" s="196"/>
      <c r="J131" s="197"/>
      <c r="K131" s="197"/>
      <c r="L131" s="197"/>
      <c r="M131" s="196"/>
      <c r="N131" s="196"/>
      <c r="O131" s="196"/>
      <c r="P131" s="196"/>
      <c r="Q131" s="196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</row>
    <row r="132" spans="1:39" ht="14.1" customHeight="1">
      <c r="A132" s="196"/>
      <c r="B132" s="196"/>
      <c r="C132" s="196"/>
      <c r="D132" s="196"/>
      <c r="E132" s="196"/>
      <c r="F132" s="196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196"/>
      <c r="B133" s="196"/>
      <c r="C133" s="196"/>
      <c r="D133" s="196"/>
      <c r="E133" s="196"/>
      <c r="F133" s="196"/>
      <c r="G133" s="196"/>
      <c r="H133" s="196"/>
      <c r="I133" s="196"/>
      <c r="J133" s="197"/>
      <c r="K133" s="197"/>
      <c r="L133" s="197"/>
      <c r="M133" s="196"/>
      <c r="N133" s="196"/>
      <c r="O133" s="196"/>
      <c r="P133" s="196"/>
      <c r="Q133" s="196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</row>
    <row r="134" spans="1:39" ht="14.1" customHeight="1"/>
    <row r="135" spans="1:39" ht="15.95" customHeight="1">
      <c r="A135" s="624" t="str">
        <f>A28</f>
        <v>DETALII FACTURA FACTURA FISCALA SERIA …........ NR …................. din date de ….......06.2025</v>
      </c>
      <c r="B135" s="624"/>
      <c r="C135" s="624"/>
      <c r="D135" s="624"/>
      <c r="E135" s="624"/>
      <c r="F135" s="624"/>
      <c r="G135" s="624"/>
      <c r="H135" s="624"/>
      <c r="I135" s="624"/>
      <c r="J135" s="624"/>
      <c r="K135" s="624"/>
      <c r="L135" s="624"/>
      <c r="M135" s="624"/>
      <c r="N135" s="624"/>
      <c r="O135" s="624"/>
      <c r="P135" s="624"/>
      <c r="Q135" s="624"/>
      <c r="R135" s="624"/>
      <c r="S135" s="624"/>
      <c r="T135" s="624"/>
      <c r="U135" s="624"/>
      <c r="V135" s="624"/>
      <c r="W135" s="624"/>
      <c r="X135" s="624"/>
      <c r="Y135" s="624"/>
      <c r="Z135" s="624"/>
      <c r="AA135" s="624"/>
      <c r="AB135" s="624"/>
      <c r="AC135" s="624"/>
      <c r="AD135" s="624"/>
      <c r="AE135" s="624"/>
      <c r="AF135" s="624"/>
      <c r="AG135" s="624"/>
      <c r="AH135" s="624"/>
      <c r="AI135" s="624"/>
      <c r="AJ135" s="624"/>
      <c r="AK135" s="624"/>
      <c r="AL135" s="624"/>
      <c r="AM135" s="624"/>
    </row>
    <row r="137" spans="1:39" ht="36" customHeight="1">
      <c r="A137" s="66" t="s">
        <v>721</v>
      </c>
      <c r="B137" s="648" t="s">
        <v>95</v>
      </c>
      <c r="C137" s="648"/>
      <c r="D137" s="648"/>
      <c r="E137" s="648"/>
      <c r="F137" s="648"/>
      <c r="G137" s="648"/>
      <c r="H137" s="648"/>
      <c r="I137" s="648"/>
      <c r="J137" s="648"/>
      <c r="K137" s="648"/>
      <c r="L137" s="64" t="s">
        <v>709</v>
      </c>
      <c r="M137" s="69"/>
      <c r="N137" s="69"/>
      <c r="O137" s="64"/>
      <c r="P137" s="69"/>
      <c r="Q137" s="69"/>
      <c r="R137" s="647" t="s">
        <v>722</v>
      </c>
      <c r="S137" s="647"/>
      <c r="T137" s="647"/>
      <c r="U137" s="647"/>
      <c r="V137" s="648" t="s">
        <v>519</v>
      </c>
      <c r="W137" s="648"/>
      <c r="X137" s="647" t="s">
        <v>723</v>
      </c>
      <c r="Y137" s="647"/>
      <c r="Z137" s="647"/>
      <c r="AA137" s="647"/>
      <c r="AB137" s="647" t="s">
        <v>724</v>
      </c>
      <c r="AC137" s="647"/>
      <c r="AD137" s="647"/>
      <c r="AE137" s="647"/>
      <c r="AF137" s="647" t="s">
        <v>725</v>
      </c>
      <c r="AG137" s="647"/>
      <c r="AH137" s="647"/>
      <c r="AI137" s="647"/>
      <c r="AJ137" s="647" t="s">
        <v>726</v>
      </c>
      <c r="AK137" s="647"/>
      <c r="AL137" s="647"/>
      <c r="AM137" s="647"/>
    </row>
    <row r="138" spans="1:39" ht="15.95" customHeight="1">
      <c r="A138" s="65">
        <v>1</v>
      </c>
      <c r="B138" s="699" t="s">
        <v>71</v>
      </c>
      <c r="C138" s="700"/>
      <c r="D138" s="700"/>
      <c r="E138" s="700"/>
      <c r="F138" s="700"/>
      <c r="G138" s="700"/>
      <c r="H138" s="700"/>
      <c r="I138" s="700"/>
      <c r="J138" s="700"/>
      <c r="K138" s="701"/>
      <c r="L138" s="702">
        <f>'Date masura OD'!$I$5</f>
        <v>45778</v>
      </c>
      <c r="M138" s="702"/>
      <c r="N138" s="702"/>
      <c r="O138" s="702">
        <f>'Date masura OD'!$J$5</f>
        <v>45808</v>
      </c>
      <c r="P138" s="702"/>
      <c r="Q138" s="702"/>
      <c r="R138" s="690" cm="1">
        <f t="array" ref="R138">INDEX(verificare!$AT$4:$CC$33,VLOOKUP($AA$16,verificare!$AR$4:$AS$33,2,FALSE),A138)</f>
        <v>18663</v>
      </c>
      <c r="S138" s="690"/>
      <c r="T138" s="690"/>
      <c r="U138" s="690"/>
      <c r="V138" s="658" t="s">
        <v>446</v>
      </c>
      <c r="W138" s="658"/>
      <c r="X138" s="691">
        <f>HLOOKUP(VLOOKUP($AA$16,'Date SPV'!$B:$F,5,FALSE),'Preturi si tarife'!$C$2:$J$39,A138+2,FALSE)</f>
        <v>0.59499999999999997</v>
      </c>
      <c r="Y138" s="692"/>
      <c r="Z138" s="692"/>
      <c r="AA138" s="693"/>
      <c r="AB138" s="690">
        <f>ROUND(X138*R138,2)</f>
        <v>11104.49</v>
      </c>
      <c r="AC138" s="690"/>
      <c r="AD138" s="690"/>
      <c r="AE138" s="690"/>
      <c r="AF138" s="690">
        <f>ROUND(AB138*19%,2)</f>
        <v>2109.85</v>
      </c>
      <c r="AG138" s="690"/>
      <c r="AH138" s="690"/>
      <c r="AI138" s="690"/>
      <c r="AJ138" s="690">
        <f>AB138+AF138</f>
        <v>13214.34</v>
      </c>
      <c r="AK138" s="690"/>
      <c r="AL138" s="690"/>
      <c r="AM138" s="690"/>
    </row>
    <row r="139" spans="1:39" ht="15.95" customHeight="1">
      <c r="A139" s="65">
        <f>A138+1</f>
        <v>2</v>
      </c>
      <c r="B139" s="699" t="s">
        <v>72</v>
      </c>
      <c r="C139" s="700"/>
      <c r="D139" s="700"/>
      <c r="E139" s="700"/>
      <c r="F139" s="700"/>
      <c r="G139" s="700"/>
      <c r="H139" s="700"/>
      <c r="I139" s="700"/>
      <c r="J139" s="700"/>
      <c r="K139" s="701"/>
      <c r="L139" s="702">
        <f>L138</f>
        <v>45778</v>
      </c>
      <c r="M139" s="702"/>
      <c r="N139" s="702"/>
      <c r="O139" s="702">
        <f>O138</f>
        <v>45808</v>
      </c>
      <c r="P139" s="702"/>
      <c r="Q139" s="702"/>
      <c r="R139" s="690" cm="1">
        <f t="array" ref="R139">INDEX(verificare!$AT$4:$CC$33,VLOOKUP($AA$16,verificare!$AR$4:$AS$33,2,FALSE),A139)</f>
        <v>0</v>
      </c>
      <c r="S139" s="690"/>
      <c r="T139" s="690"/>
      <c r="U139" s="690"/>
      <c r="V139" s="658" t="s">
        <v>727</v>
      </c>
      <c r="W139" s="658"/>
      <c r="X139" s="691">
        <f>HLOOKUP(VLOOKUP($AA$16,'Date SPV'!$B:$F,5,FALSE),'Preturi si tarife'!$C$2:$J$39,A139+2,FALSE)</f>
        <v>0.14660000000000001</v>
      </c>
      <c r="Y139" s="692"/>
      <c r="Z139" s="692"/>
      <c r="AA139" s="693"/>
      <c r="AB139" s="690">
        <f t="shared" ref="AB139:AB165" si="7">ROUND(X139*R139,2)</f>
        <v>0</v>
      </c>
      <c r="AC139" s="690"/>
      <c r="AD139" s="690"/>
      <c r="AE139" s="690"/>
      <c r="AF139" s="690">
        <f t="shared" ref="AF139:AF165" si="8">ROUND(AB139*19%,2)</f>
        <v>0</v>
      </c>
      <c r="AG139" s="690"/>
      <c r="AH139" s="690"/>
      <c r="AI139" s="690"/>
      <c r="AJ139" s="690">
        <f t="shared" ref="AJ139:AJ165" si="9">AB139+AF139</f>
        <v>0</v>
      </c>
      <c r="AK139" s="690"/>
      <c r="AL139" s="690"/>
      <c r="AM139" s="690"/>
    </row>
    <row r="140" spans="1:39" ht="15.95" customHeight="1">
      <c r="A140" s="65">
        <f t="shared" ref="A140:A175" si="10">A139+1</f>
        <v>3</v>
      </c>
      <c r="B140" s="699" t="s">
        <v>73</v>
      </c>
      <c r="C140" s="700"/>
      <c r="D140" s="700"/>
      <c r="E140" s="700"/>
      <c r="F140" s="700"/>
      <c r="G140" s="700"/>
      <c r="H140" s="700"/>
      <c r="I140" s="700"/>
      <c r="J140" s="700"/>
      <c r="K140" s="701"/>
      <c r="L140" s="702">
        <f t="shared" ref="L140:L148" si="11">L139</f>
        <v>45778</v>
      </c>
      <c r="M140" s="702"/>
      <c r="N140" s="702"/>
      <c r="O140" s="702">
        <f t="shared" ref="O140:O148" si="12">O139</f>
        <v>45808</v>
      </c>
      <c r="P140" s="702"/>
      <c r="Q140" s="702"/>
      <c r="R140" s="690" cm="1">
        <f t="array" ref="R140">INDEX(verificare!$AT$4:$CC$33,VLOOKUP($AA$16,verificare!$AR$4:$AS$33,2,FALSE),A140)</f>
        <v>0</v>
      </c>
      <c r="S140" s="690"/>
      <c r="T140" s="690"/>
      <c r="U140" s="690"/>
      <c r="V140" s="658" t="s">
        <v>727</v>
      </c>
      <c r="W140" s="658"/>
      <c r="X140" s="691">
        <f>HLOOKUP(VLOOKUP($AA$16,'Date SPV'!$B:$F,5,FALSE),'Preturi si tarife'!$C$2:$J$39,A140+2,FALSE)</f>
        <v>0.43980000000000002</v>
      </c>
      <c r="Y140" s="692"/>
      <c r="Z140" s="692"/>
      <c r="AA140" s="693"/>
      <c r="AB140" s="690">
        <f t="shared" si="7"/>
        <v>0</v>
      </c>
      <c r="AC140" s="690"/>
      <c r="AD140" s="690"/>
      <c r="AE140" s="690"/>
      <c r="AF140" s="690">
        <f t="shared" si="8"/>
        <v>0</v>
      </c>
      <c r="AG140" s="690"/>
      <c r="AH140" s="690"/>
      <c r="AI140" s="690"/>
      <c r="AJ140" s="690">
        <f t="shared" si="9"/>
        <v>0</v>
      </c>
      <c r="AK140" s="690"/>
      <c r="AL140" s="690"/>
      <c r="AM140" s="690"/>
    </row>
    <row r="141" spans="1:39" ht="15.95" customHeight="1">
      <c r="A141" s="65">
        <f t="shared" si="10"/>
        <v>4</v>
      </c>
      <c r="B141" s="699" t="s">
        <v>868</v>
      </c>
      <c r="C141" s="700"/>
      <c r="D141" s="700"/>
      <c r="E141" s="700"/>
      <c r="F141" s="700"/>
      <c r="G141" s="700"/>
      <c r="H141" s="700"/>
      <c r="I141" s="700"/>
      <c r="J141" s="700"/>
      <c r="K141" s="701"/>
      <c r="L141" s="702">
        <f t="shared" si="11"/>
        <v>45778</v>
      </c>
      <c r="M141" s="702"/>
      <c r="N141" s="702"/>
      <c r="O141" s="702">
        <f t="shared" si="12"/>
        <v>45808</v>
      </c>
      <c r="P141" s="702"/>
      <c r="Q141" s="702"/>
      <c r="R141" s="690" cm="1">
        <f t="array" ref="R141">INDEX(verificare!$AT$4:$CC$33,VLOOKUP($AA$16,verificare!$AR$4:$AS$33,2,FALSE),A141)</f>
        <v>18663</v>
      </c>
      <c r="S141" s="690"/>
      <c r="T141" s="690"/>
      <c r="U141" s="690"/>
      <c r="V141" s="658" t="s">
        <v>446</v>
      </c>
      <c r="W141" s="658"/>
      <c r="X141" s="691">
        <f>HLOOKUP(VLOOKUP($AA$16,'Date SPV'!$B:$F,5,FALSE),'Preturi si tarife'!$C$2:$J$39,A141+2,FALSE)</f>
        <v>0.11348</v>
      </c>
      <c r="Y141" s="692"/>
      <c r="Z141" s="692"/>
      <c r="AA141" s="693"/>
      <c r="AB141" s="690">
        <f t="shared" si="7"/>
        <v>2117.88</v>
      </c>
      <c r="AC141" s="690"/>
      <c r="AD141" s="690"/>
      <c r="AE141" s="690"/>
      <c r="AF141" s="690">
        <f t="shared" si="8"/>
        <v>402.4</v>
      </c>
      <c r="AG141" s="690"/>
      <c r="AH141" s="690"/>
      <c r="AI141" s="690"/>
      <c r="AJ141" s="690">
        <f t="shared" si="9"/>
        <v>2520.2800000000002</v>
      </c>
      <c r="AK141" s="690"/>
      <c r="AL141" s="690"/>
      <c r="AM141" s="690"/>
    </row>
    <row r="142" spans="1:39" ht="15.95" customHeight="1">
      <c r="A142" s="65">
        <f t="shared" si="10"/>
        <v>5</v>
      </c>
      <c r="B142" s="699" t="s">
        <v>757</v>
      </c>
      <c r="C142" s="700"/>
      <c r="D142" s="700"/>
      <c r="E142" s="700"/>
      <c r="F142" s="700"/>
      <c r="G142" s="700"/>
      <c r="H142" s="700"/>
      <c r="I142" s="700"/>
      <c r="J142" s="700"/>
      <c r="K142" s="701"/>
      <c r="L142" s="702">
        <f t="shared" si="11"/>
        <v>45778</v>
      </c>
      <c r="M142" s="702"/>
      <c r="N142" s="702"/>
      <c r="O142" s="702">
        <f t="shared" si="12"/>
        <v>45808</v>
      </c>
      <c r="P142" s="702"/>
      <c r="Q142" s="702"/>
      <c r="R142" s="690" cm="1">
        <f t="array" ref="R142">INDEX(verificare!$AT$4:$CC$33,VLOOKUP($AA$16,verificare!$AR$4:$AS$33,2,FALSE),A142)</f>
        <v>0</v>
      </c>
      <c r="S142" s="690"/>
      <c r="T142" s="690"/>
      <c r="U142" s="690"/>
      <c r="V142" s="658" t="s">
        <v>446</v>
      </c>
      <c r="W142" s="658"/>
      <c r="X142" s="691">
        <f>HLOOKUP(VLOOKUP($AA$16,'Date SPV'!$B:$F,5,FALSE),'Preturi si tarife'!$C$2:$J$39,A142+2,FALSE)</f>
        <v>0.23974999999999999</v>
      </c>
      <c r="Y142" s="692"/>
      <c r="Z142" s="692"/>
      <c r="AA142" s="693"/>
      <c r="AB142" s="690">
        <f t="shared" si="7"/>
        <v>0</v>
      </c>
      <c r="AC142" s="690"/>
      <c r="AD142" s="690"/>
      <c r="AE142" s="690"/>
      <c r="AF142" s="690">
        <f t="shared" si="8"/>
        <v>0</v>
      </c>
      <c r="AG142" s="690"/>
      <c r="AH142" s="690"/>
      <c r="AI142" s="690"/>
      <c r="AJ142" s="690">
        <f t="shared" si="9"/>
        <v>0</v>
      </c>
      <c r="AK142" s="690"/>
      <c r="AL142" s="690"/>
      <c r="AM142" s="690"/>
    </row>
    <row r="143" spans="1:39" ht="15.95" customHeight="1">
      <c r="A143" s="65">
        <f t="shared" si="10"/>
        <v>6</v>
      </c>
      <c r="B143" s="699" t="s">
        <v>74</v>
      </c>
      <c r="C143" s="700"/>
      <c r="D143" s="700"/>
      <c r="E143" s="700"/>
      <c r="F143" s="700"/>
      <c r="G143" s="700"/>
      <c r="H143" s="700"/>
      <c r="I143" s="700"/>
      <c r="J143" s="700"/>
      <c r="K143" s="701"/>
      <c r="L143" s="702">
        <f t="shared" si="11"/>
        <v>45778</v>
      </c>
      <c r="M143" s="702"/>
      <c r="N143" s="702"/>
      <c r="O143" s="702">
        <f t="shared" si="12"/>
        <v>45808</v>
      </c>
      <c r="P143" s="702"/>
      <c r="Q143" s="702"/>
      <c r="R143" s="690" cm="1">
        <f t="array" ref="R143">INDEX(verificare!$AT$4:$CC$33,VLOOKUP($AA$16,verificare!$AR$4:$AS$33,2,FALSE),A143)</f>
        <v>18663</v>
      </c>
      <c r="S143" s="690"/>
      <c r="T143" s="690"/>
      <c r="U143" s="690"/>
      <c r="V143" s="658" t="s">
        <v>446</v>
      </c>
      <c r="W143" s="658"/>
      <c r="X143" s="691">
        <f>HLOOKUP(VLOOKUP($AA$16,'Date SPV'!$B:$F,5,FALSE),'Preturi si tarife'!$C$2:$J$39,A143+2,FALSE)</f>
        <v>1.1509999999999999E-2</v>
      </c>
      <c r="Y143" s="692"/>
      <c r="Z143" s="692"/>
      <c r="AA143" s="693"/>
      <c r="AB143" s="690">
        <f t="shared" si="7"/>
        <v>214.81</v>
      </c>
      <c r="AC143" s="690"/>
      <c r="AD143" s="690"/>
      <c r="AE143" s="690"/>
      <c r="AF143" s="690">
        <f t="shared" si="8"/>
        <v>40.81</v>
      </c>
      <c r="AG143" s="690"/>
      <c r="AH143" s="690"/>
      <c r="AI143" s="690"/>
      <c r="AJ143" s="690">
        <f t="shared" si="9"/>
        <v>255.62</v>
      </c>
      <c r="AK143" s="690"/>
      <c r="AL143" s="690"/>
      <c r="AM143" s="690"/>
    </row>
    <row r="144" spans="1:39" ht="15.95" customHeight="1">
      <c r="A144" s="65">
        <f t="shared" si="10"/>
        <v>7</v>
      </c>
      <c r="B144" s="699" t="s">
        <v>75</v>
      </c>
      <c r="C144" s="700"/>
      <c r="D144" s="700"/>
      <c r="E144" s="700"/>
      <c r="F144" s="700"/>
      <c r="G144" s="700"/>
      <c r="H144" s="700"/>
      <c r="I144" s="700"/>
      <c r="J144" s="700"/>
      <c r="K144" s="701"/>
      <c r="L144" s="702">
        <f t="shared" si="11"/>
        <v>45778</v>
      </c>
      <c r="M144" s="702"/>
      <c r="N144" s="702"/>
      <c r="O144" s="702">
        <f t="shared" si="12"/>
        <v>45808</v>
      </c>
      <c r="P144" s="702"/>
      <c r="Q144" s="702"/>
      <c r="R144" s="690" cm="1">
        <f t="array" ref="R144">INDEX(verificare!$AT$4:$CC$33,VLOOKUP($AA$16,verificare!$AR$4:$AS$33,2,FALSE),A144)</f>
        <v>18663</v>
      </c>
      <c r="S144" s="690"/>
      <c r="T144" s="690"/>
      <c r="U144" s="690"/>
      <c r="V144" s="658" t="s">
        <v>446</v>
      </c>
      <c r="W144" s="658"/>
      <c r="X144" s="691">
        <f>HLOOKUP(VLOOKUP($AA$16,'Date SPV'!$B:$F,5,FALSE),'Preturi si tarife'!$C$2:$J$39,A144+2,FALSE)</f>
        <v>3.3030000000000004E-2</v>
      </c>
      <c r="Y144" s="692"/>
      <c r="Z144" s="692"/>
      <c r="AA144" s="693"/>
      <c r="AB144" s="690">
        <f t="shared" si="7"/>
        <v>616.44000000000005</v>
      </c>
      <c r="AC144" s="690"/>
      <c r="AD144" s="690"/>
      <c r="AE144" s="690"/>
      <c r="AF144" s="690">
        <f t="shared" si="8"/>
        <v>117.12</v>
      </c>
      <c r="AG144" s="690"/>
      <c r="AH144" s="690"/>
      <c r="AI144" s="690"/>
      <c r="AJ144" s="690">
        <f t="shared" si="9"/>
        <v>733.56000000000006</v>
      </c>
      <c r="AK144" s="690"/>
      <c r="AL144" s="690"/>
      <c r="AM144" s="690"/>
    </row>
    <row r="145" spans="1:39" ht="15.95" customHeight="1">
      <c r="A145" s="65">
        <f t="shared" si="10"/>
        <v>8</v>
      </c>
      <c r="B145" s="699" t="s">
        <v>76</v>
      </c>
      <c r="C145" s="700"/>
      <c r="D145" s="700"/>
      <c r="E145" s="700"/>
      <c r="F145" s="700"/>
      <c r="G145" s="700"/>
      <c r="H145" s="700"/>
      <c r="I145" s="700"/>
      <c r="J145" s="700"/>
      <c r="K145" s="701"/>
      <c r="L145" s="702">
        <f t="shared" si="11"/>
        <v>45778</v>
      </c>
      <c r="M145" s="702"/>
      <c r="N145" s="702"/>
      <c r="O145" s="702">
        <f t="shared" si="12"/>
        <v>45808</v>
      </c>
      <c r="P145" s="702"/>
      <c r="Q145" s="702"/>
      <c r="R145" s="690" cm="1">
        <f t="array" ref="R145">INDEX(verificare!$AT$4:$CC$33,VLOOKUP($AA$16,verificare!$AR$4:$AS$33,2,FALSE),A145)</f>
        <v>18663</v>
      </c>
      <c r="S145" s="690"/>
      <c r="T145" s="690"/>
      <c r="U145" s="690"/>
      <c r="V145" s="658" t="s">
        <v>446</v>
      </c>
      <c r="W145" s="658"/>
      <c r="X145" s="691">
        <f>HLOOKUP(VLOOKUP($AA$16,'Date SPV'!$B:$F,5,FALSE),'Preturi si tarife'!$C$2:$J$39,A145+2,FALSE)</f>
        <v>3.29E-3</v>
      </c>
      <c r="Y145" s="692"/>
      <c r="Z145" s="692"/>
      <c r="AA145" s="693"/>
      <c r="AB145" s="690">
        <f t="shared" si="7"/>
        <v>61.4</v>
      </c>
      <c r="AC145" s="690"/>
      <c r="AD145" s="690"/>
      <c r="AE145" s="690"/>
      <c r="AF145" s="690">
        <f t="shared" si="8"/>
        <v>11.67</v>
      </c>
      <c r="AG145" s="690"/>
      <c r="AH145" s="690"/>
      <c r="AI145" s="690"/>
      <c r="AJ145" s="690">
        <f t="shared" si="9"/>
        <v>73.069999999999993</v>
      </c>
      <c r="AK145" s="690"/>
      <c r="AL145" s="690"/>
      <c r="AM145" s="690"/>
    </row>
    <row r="146" spans="1:39" ht="15.95" customHeight="1">
      <c r="A146" s="65">
        <f t="shared" si="10"/>
        <v>9</v>
      </c>
      <c r="B146" s="699" t="s">
        <v>77</v>
      </c>
      <c r="C146" s="700"/>
      <c r="D146" s="700"/>
      <c r="E146" s="700"/>
      <c r="F146" s="700"/>
      <c r="G146" s="700"/>
      <c r="H146" s="700"/>
      <c r="I146" s="700"/>
      <c r="J146" s="700"/>
      <c r="K146" s="701"/>
      <c r="L146" s="702">
        <f t="shared" si="11"/>
        <v>45778</v>
      </c>
      <c r="M146" s="702"/>
      <c r="N146" s="702"/>
      <c r="O146" s="702">
        <f t="shared" si="12"/>
        <v>45808</v>
      </c>
      <c r="P146" s="702"/>
      <c r="Q146" s="702"/>
      <c r="R146" s="690" cm="1">
        <f t="array" ref="R146">INDEX(verificare!$AT$4:$CC$33,VLOOKUP($AA$16,verificare!$AR$4:$AS$33,2,FALSE),A146)</f>
        <v>18663</v>
      </c>
      <c r="S146" s="690"/>
      <c r="T146" s="690"/>
      <c r="U146" s="690"/>
      <c r="V146" s="658" t="s">
        <v>446</v>
      </c>
      <c r="W146" s="658"/>
      <c r="X146" s="691">
        <f>HLOOKUP(VLOOKUP($AA$16,'Date SPV'!$B:$F,5,FALSE),'Preturi si tarife'!$C$2:$J$39,A146+2,FALSE)</f>
        <v>3.5000000000000001E-3</v>
      </c>
      <c r="Y146" s="692"/>
      <c r="Z146" s="692"/>
      <c r="AA146" s="693"/>
      <c r="AB146" s="690">
        <f t="shared" si="7"/>
        <v>65.319999999999993</v>
      </c>
      <c r="AC146" s="690"/>
      <c r="AD146" s="690"/>
      <c r="AE146" s="690"/>
      <c r="AF146" s="690">
        <f t="shared" si="8"/>
        <v>12.41</v>
      </c>
      <c r="AG146" s="690"/>
      <c r="AH146" s="690"/>
      <c r="AI146" s="690"/>
      <c r="AJ146" s="690">
        <f t="shared" si="9"/>
        <v>77.72999999999999</v>
      </c>
      <c r="AK146" s="690"/>
      <c r="AL146" s="690"/>
      <c r="AM146" s="690"/>
    </row>
    <row r="147" spans="1:39" ht="15.95" customHeight="1">
      <c r="A147" s="65">
        <f t="shared" si="10"/>
        <v>10</v>
      </c>
      <c r="B147" s="699" t="s">
        <v>78</v>
      </c>
      <c r="C147" s="700"/>
      <c r="D147" s="700"/>
      <c r="E147" s="700"/>
      <c r="F147" s="700"/>
      <c r="G147" s="700"/>
      <c r="H147" s="700"/>
      <c r="I147" s="700"/>
      <c r="J147" s="700"/>
      <c r="K147" s="701"/>
      <c r="L147" s="702">
        <f t="shared" si="11"/>
        <v>45778</v>
      </c>
      <c r="M147" s="702"/>
      <c r="N147" s="702"/>
      <c r="O147" s="702">
        <f t="shared" si="12"/>
        <v>45808</v>
      </c>
      <c r="P147" s="702"/>
      <c r="Q147" s="702"/>
      <c r="R147" s="690" cm="1">
        <f t="array" ref="R147">INDEX(verificare!$AT$4:$CC$33,VLOOKUP($AA$16,verificare!$AR$4:$AS$33,2,FALSE),A147)</f>
        <v>18663</v>
      </c>
      <c r="S147" s="690"/>
      <c r="T147" s="690"/>
      <c r="U147" s="690"/>
      <c r="V147" s="658" t="s">
        <v>446</v>
      </c>
      <c r="W147" s="658"/>
      <c r="X147" s="691">
        <f>HLOOKUP(VLOOKUP($AA$16,'Date SPV'!$B:$F,5,FALSE),'Preturi si tarife'!$C$2:$J$39,A147+2,FALSE)</f>
        <v>7.2541599999999998E-2</v>
      </c>
      <c r="Y147" s="692"/>
      <c r="Z147" s="692"/>
      <c r="AA147" s="693"/>
      <c r="AB147" s="690">
        <f t="shared" si="7"/>
        <v>1353.84</v>
      </c>
      <c r="AC147" s="690"/>
      <c r="AD147" s="690"/>
      <c r="AE147" s="690"/>
      <c r="AF147" s="690">
        <f t="shared" si="8"/>
        <v>257.23</v>
      </c>
      <c r="AG147" s="690"/>
      <c r="AH147" s="690"/>
      <c r="AI147" s="690"/>
      <c r="AJ147" s="690">
        <f t="shared" si="9"/>
        <v>1611.07</v>
      </c>
      <c r="AK147" s="690"/>
      <c r="AL147" s="690"/>
      <c r="AM147" s="690"/>
    </row>
    <row r="148" spans="1:39" ht="15.95" customHeight="1">
      <c r="A148" s="65">
        <f t="shared" si="10"/>
        <v>11</v>
      </c>
      <c r="B148" s="699" t="s">
        <v>1313</v>
      </c>
      <c r="C148" s="700"/>
      <c r="D148" s="700"/>
      <c r="E148" s="700"/>
      <c r="F148" s="700"/>
      <c r="G148" s="700"/>
      <c r="H148" s="700"/>
      <c r="I148" s="700"/>
      <c r="J148" s="700"/>
      <c r="K148" s="701"/>
      <c r="L148" s="702">
        <f t="shared" si="11"/>
        <v>45778</v>
      </c>
      <c r="M148" s="702"/>
      <c r="N148" s="702"/>
      <c r="O148" s="702">
        <f t="shared" si="12"/>
        <v>45808</v>
      </c>
      <c r="P148" s="702"/>
      <c r="Q148" s="702"/>
      <c r="R148" s="690" cm="1">
        <f t="array" ref="R148">INDEX(verificare!$AT$4:$CC$33,VLOOKUP($AA$16,verificare!$AR$4:$AS$33,2,FALSE),A148)</f>
        <v>18663</v>
      </c>
      <c r="S148" s="690"/>
      <c r="T148" s="690"/>
      <c r="U148" s="690"/>
      <c r="V148" s="724" t="s">
        <v>446</v>
      </c>
      <c r="W148" s="725"/>
      <c r="X148" s="691">
        <f>HLOOKUP(VLOOKUP($AA$16,'Date SPV'!$B:$F,5,FALSE),'Preturi si tarife'!$C$2:$J$39,A148+2,FALSE)</f>
        <v>2.0599999999999999E-4</v>
      </c>
      <c r="Y148" s="692"/>
      <c r="Z148" s="692"/>
      <c r="AA148" s="693"/>
      <c r="AB148" s="772">
        <f t="shared" si="7"/>
        <v>3.84</v>
      </c>
      <c r="AC148" s="773"/>
      <c r="AD148" s="773"/>
      <c r="AE148" s="774"/>
      <c r="AF148" s="772">
        <f t="shared" si="8"/>
        <v>0.73</v>
      </c>
      <c r="AG148" s="773"/>
      <c r="AH148" s="773"/>
      <c r="AI148" s="774"/>
      <c r="AJ148" s="772">
        <f t="shared" si="9"/>
        <v>4.57</v>
      </c>
      <c r="AK148" s="773"/>
      <c r="AL148" s="773"/>
      <c r="AM148" s="774"/>
    </row>
    <row r="149" spans="1:39" ht="15.95" customHeight="1">
      <c r="A149" s="65">
        <f t="shared" si="10"/>
        <v>12</v>
      </c>
      <c r="B149" s="699" t="s">
        <v>79</v>
      </c>
      <c r="C149" s="700"/>
      <c r="D149" s="700"/>
      <c r="E149" s="700"/>
      <c r="F149" s="700"/>
      <c r="G149" s="700"/>
      <c r="H149" s="700"/>
      <c r="I149" s="700"/>
      <c r="J149" s="700"/>
      <c r="K149" s="701"/>
      <c r="L149" s="702">
        <f>L147</f>
        <v>45778</v>
      </c>
      <c r="M149" s="702"/>
      <c r="N149" s="702"/>
      <c r="O149" s="702">
        <f>O147</f>
        <v>45808</v>
      </c>
      <c r="P149" s="702"/>
      <c r="Q149" s="702"/>
      <c r="R149" s="690" cm="1">
        <f t="array" ref="R149">INDEX(verificare!$AT$4:$CC$33,VLOOKUP($AA$16,verificare!$AR$4:$AS$33,2,FALSE),A149)</f>
        <v>18663</v>
      </c>
      <c r="S149" s="690"/>
      <c r="T149" s="690"/>
      <c r="U149" s="690"/>
      <c r="V149" s="658" t="s">
        <v>446</v>
      </c>
      <c r="W149" s="658"/>
      <c r="X149" s="691">
        <f>HLOOKUP(VLOOKUP($AA$16,'Date SPV'!$B:$F,5,FALSE),'Preturi si tarife'!$C$2:$J$39,A149+2,FALSE)</f>
        <v>0</v>
      </c>
      <c r="Y149" s="692"/>
      <c r="Z149" s="692"/>
      <c r="AA149" s="693"/>
      <c r="AB149" s="690">
        <f t="shared" si="7"/>
        <v>0</v>
      </c>
      <c r="AC149" s="690"/>
      <c r="AD149" s="690"/>
      <c r="AE149" s="690"/>
      <c r="AF149" s="690">
        <f t="shared" si="8"/>
        <v>0</v>
      </c>
      <c r="AG149" s="690"/>
      <c r="AH149" s="690"/>
      <c r="AI149" s="690"/>
      <c r="AJ149" s="690">
        <f t="shared" si="9"/>
        <v>0</v>
      </c>
      <c r="AK149" s="690"/>
      <c r="AL149" s="690"/>
      <c r="AM149" s="690"/>
    </row>
    <row r="150" spans="1:39" ht="15.95" customHeight="1">
      <c r="A150" s="65">
        <f t="shared" si="10"/>
        <v>13</v>
      </c>
      <c r="B150" s="699" t="s">
        <v>80</v>
      </c>
      <c r="C150" s="700"/>
      <c r="D150" s="700"/>
      <c r="E150" s="700"/>
      <c r="F150" s="700"/>
      <c r="G150" s="700"/>
      <c r="H150" s="700"/>
      <c r="I150" s="700"/>
      <c r="J150" s="700"/>
      <c r="K150" s="701"/>
      <c r="L150" s="702">
        <f t="shared" ref="L150:L155" si="13">L149</f>
        <v>45778</v>
      </c>
      <c r="M150" s="702"/>
      <c r="N150" s="702"/>
      <c r="O150" s="702">
        <f t="shared" ref="O150:O155" si="14">O149</f>
        <v>45808</v>
      </c>
      <c r="P150" s="702"/>
      <c r="Q150" s="702"/>
      <c r="R150" s="690" cm="1">
        <f t="array" ref="R150">INDEX(verificare!$AT$4:$CC$33,VLOOKUP($AA$16,verificare!$AR$4:$AS$33,2,FALSE),A150)</f>
        <v>18663</v>
      </c>
      <c r="S150" s="690"/>
      <c r="T150" s="690"/>
      <c r="U150" s="690"/>
      <c r="V150" s="658" t="s">
        <v>446</v>
      </c>
      <c r="W150" s="658"/>
      <c r="X150" s="691">
        <f>HLOOKUP(VLOOKUP($AA$16,'Date SPV'!$B:$F,5,FALSE),'Preturi si tarife'!$C$2:$J$39,A150+2,FALSE)</f>
        <v>1.3099999999999999E-2</v>
      </c>
      <c r="Y150" s="692"/>
      <c r="Z150" s="692"/>
      <c r="AA150" s="693"/>
      <c r="AB150" s="690">
        <f t="shared" si="7"/>
        <v>244.49</v>
      </c>
      <c r="AC150" s="690"/>
      <c r="AD150" s="690"/>
      <c r="AE150" s="690"/>
      <c r="AF150" s="690">
        <f t="shared" si="8"/>
        <v>46.45</v>
      </c>
      <c r="AG150" s="690"/>
      <c r="AH150" s="690"/>
      <c r="AI150" s="690"/>
      <c r="AJ150" s="690">
        <f t="shared" si="9"/>
        <v>290.94</v>
      </c>
      <c r="AK150" s="690"/>
      <c r="AL150" s="690"/>
      <c r="AM150" s="690"/>
    </row>
    <row r="151" spans="1:39" ht="15.95" customHeight="1">
      <c r="A151" s="65">
        <f t="shared" si="10"/>
        <v>14</v>
      </c>
      <c r="B151" s="699" t="s">
        <v>81</v>
      </c>
      <c r="C151" s="700"/>
      <c r="D151" s="700"/>
      <c r="E151" s="700"/>
      <c r="F151" s="700"/>
      <c r="G151" s="700"/>
      <c r="H151" s="700"/>
      <c r="I151" s="700"/>
      <c r="J151" s="700"/>
      <c r="K151" s="701"/>
      <c r="L151" s="702">
        <f t="shared" si="13"/>
        <v>45778</v>
      </c>
      <c r="M151" s="702"/>
      <c r="N151" s="702"/>
      <c r="O151" s="702">
        <f t="shared" si="14"/>
        <v>45808</v>
      </c>
      <c r="P151" s="702"/>
      <c r="Q151" s="702"/>
      <c r="R151" s="690" cm="1">
        <f t="array" ref="R151">INDEX(verificare!$AT$4:$CC$33,VLOOKUP($AA$16,verificare!$AR$4:$AS$33,2,FALSE),A151)</f>
        <v>18663</v>
      </c>
      <c r="S151" s="690"/>
      <c r="T151" s="690"/>
      <c r="U151" s="690"/>
      <c r="V151" s="658" t="s">
        <v>446</v>
      </c>
      <c r="W151" s="658"/>
      <c r="X151" s="691">
        <f>HLOOKUP(VLOOKUP($AA$16,'Date SPV'!$B:$F,5,FALSE),'Preturi si tarife'!$C$2:$J$39,A151+2,FALSE)</f>
        <v>0.10290000000000001</v>
      </c>
      <c r="Y151" s="692"/>
      <c r="Z151" s="692"/>
      <c r="AA151" s="693"/>
      <c r="AB151" s="690">
        <f t="shared" si="7"/>
        <v>1920.42</v>
      </c>
      <c r="AC151" s="690"/>
      <c r="AD151" s="690"/>
      <c r="AE151" s="690"/>
      <c r="AF151" s="690">
        <f t="shared" si="8"/>
        <v>364.88</v>
      </c>
      <c r="AG151" s="690"/>
      <c r="AH151" s="690"/>
      <c r="AI151" s="690"/>
      <c r="AJ151" s="690">
        <f t="shared" si="9"/>
        <v>2285.3000000000002</v>
      </c>
      <c r="AK151" s="690"/>
      <c r="AL151" s="690"/>
      <c r="AM151" s="690"/>
    </row>
    <row r="152" spans="1:39" ht="15.95" customHeight="1">
      <c r="A152" s="65">
        <f t="shared" si="10"/>
        <v>15</v>
      </c>
      <c r="B152" s="699" t="s">
        <v>82</v>
      </c>
      <c r="C152" s="700"/>
      <c r="D152" s="700"/>
      <c r="E152" s="700"/>
      <c r="F152" s="700"/>
      <c r="G152" s="700"/>
      <c r="H152" s="700"/>
      <c r="I152" s="700"/>
      <c r="J152" s="700"/>
      <c r="K152" s="701"/>
      <c r="L152" s="702">
        <f t="shared" si="13"/>
        <v>45778</v>
      </c>
      <c r="M152" s="702"/>
      <c r="N152" s="702"/>
      <c r="O152" s="702">
        <f t="shared" si="14"/>
        <v>45808</v>
      </c>
      <c r="P152" s="702"/>
      <c r="Q152" s="702"/>
      <c r="R152" s="690" cm="1">
        <f t="array" ref="R152">INDEX(verificare!$AT$4:$CC$33,VLOOKUP($AA$16,verificare!$AR$4:$AS$33,2,FALSE),A152)</f>
        <v>9902</v>
      </c>
      <c r="S152" s="690"/>
      <c r="T152" s="690"/>
      <c r="U152" s="690"/>
      <c r="V152" s="658" t="s">
        <v>446</v>
      </c>
      <c r="W152" s="658"/>
      <c r="X152" s="691">
        <f>HLOOKUP(VLOOKUP($AA$16,'Date SPV'!$B:$F,5,FALSE),'Preturi si tarife'!$C$2:$J$39,A152+2,FALSE)</f>
        <v>0.9485576</v>
      </c>
      <c r="Y152" s="692"/>
      <c r="Z152" s="692"/>
      <c r="AA152" s="693"/>
      <c r="AB152" s="690">
        <f t="shared" si="7"/>
        <v>9392.6200000000008</v>
      </c>
      <c r="AC152" s="690"/>
      <c r="AD152" s="690"/>
      <c r="AE152" s="690"/>
      <c r="AF152" s="690">
        <f t="shared" si="8"/>
        <v>1784.6</v>
      </c>
      <c r="AG152" s="690"/>
      <c r="AH152" s="690"/>
      <c r="AI152" s="690"/>
      <c r="AJ152" s="690">
        <f t="shared" si="9"/>
        <v>11177.220000000001</v>
      </c>
      <c r="AK152" s="690"/>
      <c r="AL152" s="690"/>
      <c r="AM152" s="690"/>
    </row>
    <row r="153" spans="1:39" ht="15.95" customHeight="1">
      <c r="A153" s="65">
        <f t="shared" si="10"/>
        <v>16</v>
      </c>
      <c r="B153" s="699" t="s">
        <v>83</v>
      </c>
      <c r="C153" s="700"/>
      <c r="D153" s="700"/>
      <c r="E153" s="700"/>
      <c r="F153" s="700"/>
      <c r="G153" s="700"/>
      <c r="H153" s="700"/>
      <c r="I153" s="700"/>
      <c r="J153" s="700"/>
      <c r="K153" s="701"/>
      <c r="L153" s="702">
        <f t="shared" si="13"/>
        <v>45778</v>
      </c>
      <c r="M153" s="702"/>
      <c r="N153" s="702"/>
      <c r="O153" s="702">
        <f t="shared" si="14"/>
        <v>45808</v>
      </c>
      <c r="P153" s="702"/>
      <c r="Q153" s="702"/>
      <c r="R153" s="690" cm="1">
        <f t="array" ref="R153">INDEX(verificare!$AT$4:$CC$33,VLOOKUP($AA$16,verificare!$AR$4:$AS$33,2,FALSE),A153)</f>
        <v>6506</v>
      </c>
      <c r="S153" s="690"/>
      <c r="T153" s="690"/>
      <c r="U153" s="690"/>
      <c r="V153" s="658" t="s">
        <v>446</v>
      </c>
      <c r="W153" s="658"/>
      <c r="X153" s="691">
        <f>HLOOKUP(VLOOKUP($AA$16,'Date SPV'!$B:$F,5,FALSE),'Preturi si tarife'!$C$2:$J$39,A153+2,FALSE)</f>
        <v>0.83255760000000001</v>
      </c>
      <c r="Y153" s="692"/>
      <c r="Z153" s="692"/>
      <c r="AA153" s="693"/>
      <c r="AB153" s="690">
        <f t="shared" si="7"/>
        <v>5416.62</v>
      </c>
      <c r="AC153" s="690"/>
      <c r="AD153" s="690"/>
      <c r="AE153" s="690"/>
      <c r="AF153" s="690">
        <f t="shared" si="8"/>
        <v>1029.1600000000001</v>
      </c>
      <c r="AG153" s="690"/>
      <c r="AH153" s="690"/>
      <c r="AI153" s="690"/>
      <c r="AJ153" s="690">
        <f t="shared" si="9"/>
        <v>6445.78</v>
      </c>
      <c r="AK153" s="690"/>
      <c r="AL153" s="690"/>
      <c r="AM153" s="690"/>
    </row>
    <row r="154" spans="1:39" ht="15.95" customHeight="1">
      <c r="A154" s="65">
        <f t="shared" si="10"/>
        <v>17</v>
      </c>
      <c r="B154" s="699" t="s">
        <v>1129</v>
      </c>
      <c r="C154" s="700"/>
      <c r="D154" s="700"/>
      <c r="E154" s="700"/>
      <c r="F154" s="700"/>
      <c r="G154" s="700"/>
      <c r="H154" s="700"/>
      <c r="I154" s="700"/>
      <c r="J154" s="700"/>
      <c r="K154" s="701"/>
      <c r="L154" s="702">
        <f t="shared" si="13"/>
        <v>45778</v>
      </c>
      <c r="M154" s="702"/>
      <c r="N154" s="702"/>
      <c r="O154" s="702">
        <f t="shared" si="14"/>
        <v>45808</v>
      </c>
      <c r="P154" s="702"/>
      <c r="Q154" s="702"/>
      <c r="R154" s="690" cm="1">
        <f t="array" ref="R154">INDEX(verificare!$AT$4:$CC$33,VLOOKUP($AA$16,verificare!$AR$4:$AS$33,2,FALSE),A154)</f>
        <v>6506</v>
      </c>
      <c r="S154" s="690"/>
      <c r="T154" s="690"/>
      <c r="U154" s="690"/>
      <c r="V154" s="658" t="s">
        <v>446</v>
      </c>
      <c r="W154" s="658"/>
      <c r="X154" s="691">
        <f>HLOOKUP(VLOOKUP($AA$16,'Date SPV'!$B:$F,5,FALSE),'Preturi si tarife'!$C$2:$J$39,A154+2,FALSE)</f>
        <v>1.3099999999999999E-2</v>
      </c>
      <c r="Y154" s="692"/>
      <c r="Z154" s="692"/>
      <c r="AA154" s="693"/>
      <c r="AB154" s="690">
        <f t="shared" si="7"/>
        <v>85.23</v>
      </c>
      <c r="AC154" s="690"/>
      <c r="AD154" s="690"/>
      <c r="AE154" s="690"/>
      <c r="AF154" s="690">
        <f t="shared" si="8"/>
        <v>16.190000000000001</v>
      </c>
      <c r="AG154" s="690"/>
      <c r="AH154" s="690"/>
      <c r="AI154" s="690"/>
      <c r="AJ154" s="690">
        <f t="shared" si="9"/>
        <v>101.42</v>
      </c>
      <c r="AK154" s="690"/>
      <c r="AL154" s="690"/>
      <c r="AM154" s="690"/>
    </row>
    <row r="155" spans="1:39" ht="15.95" customHeight="1">
      <c r="A155" s="65">
        <f t="shared" si="10"/>
        <v>18</v>
      </c>
      <c r="B155" s="699" t="s">
        <v>1130</v>
      </c>
      <c r="C155" s="700"/>
      <c r="D155" s="700"/>
      <c r="E155" s="700"/>
      <c r="F155" s="700"/>
      <c r="G155" s="700"/>
      <c r="H155" s="700"/>
      <c r="I155" s="700"/>
      <c r="J155" s="700"/>
      <c r="K155" s="701"/>
      <c r="L155" s="702">
        <f t="shared" si="13"/>
        <v>45778</v>
      </c>
      <c r="M155" s="702"/>
      <c r="N155" s="702"/>
      <c r="O155" s="702">
        <f t="shared" si="14"/>
        <v>45808</v>
      </c>
      <c r="P155" s="702"/>
      <c r="Q155" s="702"/>
      <c r="R155" s="690" cm="1">
        <f t="array" ref="R155">INDEX(verificare!$AT$4:$CC$33,VLOOKUP($AA$16,verificare!$AR$4:$AS$33,2,FALSE),A155)</f>
        <v>6506</v>
      </c>
      <c r="S155" s="690"/>
      <c r="T155" s="690"/>
      <c r="U155" s="690"/>
      <c r="V155" s="658" t="s">
        <v>446</v>
      </c>
      <c r="W155" s="658"/>
      <c r="X155" s="691">
        <f>HLOOKUP(VLOOKUP($AA$16,'Date SPV'!$B:$F,5,FALSE),'Preturi si tarife'!$C$2:$J$39,A155+2,FALSE)</f>
        <v>0.10290000000000001</v>
      </c>
      <c r="Y155" s="692"/>
      <c r="Z155" s="692"/>
      <c r="AA155" s="693"/>
      <c r="AB155" s="690">
        <f t="shared" si="7"/>
        <v>669.47</v>
      </c>
      <c r="AC155" s="690"/>
      <c r="AD155" s="690"/>
      <c r="AE155" s="690"/>
      <c r="AF155" s="690">
        <f t="shared" si="8"/>
        <v>127.2</v>
      </c>
      <c r="AG155" s="690"/>
      <c r="AH155" s="690"/>
      <c r="AI155" s="690"/>
      <c r="AJ155" s="690">
        <f t="shared" si="9"/>
        <v>796.67000000000007</v>
      </c>
      <c r="AK155" s="690"/>
      <c r="AL155" s="690"/>
      <c r="AM155" s="690"/>
    </row>
    <row r="156" spans="1:39" ht="15.95" customHeight="1">
      <c r="A156" s="65">
        <f t="shared" si="10"/>
        <v>19</v>
      </c>
      <c r="B156" s="699" t="s">
        <v>99</v>
      </c>
      <c r="C156" s="700"/>
      <c r="D156" s="700"/>
      <c r="E156" s="700"/>
      <c r="F156" s="700"/>
      <c r="G156" s="700"/>
      <c r="H156" s="700"/>
      <c r="I156" s="700"/>
      <c r="J156" s="700"/>
      <c r="K156" s="701"/>
      <c r="L156" s="702">
        <f>'Date masura OD'!$W$5</f>
        <v>45748</v>
      </c>
      <c r="M156" s="702"/>
      <c r="N156" s="702"/>
      <c r="O156" s="702">
        <f>'Date masura OD'!$X$5</f>
        <v>45777</v>
      </c>
      <c r="P156" s="702"/>
      <c r="Q156" s="702"/>
      <c r="R156" s="690" cm="1">
        <f t="array" ref="R156">INDEX(verificare!$AT$4:$CC$33,VLOOKUP($AA$16,verificare!$AR$4:$AS$33,2,FALSE),A156)</f>
        <v>0</v>
      </c>
      <c r="S156" s="690"/>
      <c r="T156" s="690"/>
      <c r="U156" s="690"/>
      <c r="V156" s="658" t="s">
        <v>446</v>
      </c>
      <c r="W156" s="658"/>
      <c r="X156" s="659">
        <f>HLOOKUP(VLOOKUP($AA$16,'Date SPV'!$B:$F,5,FALSE),'Preturi si tarife'!$C$2:$J$39,A156+2,FALSE)</f>
        <v>0.59499999999999997</v>
      </c>
      <c r="Y156" s="659"/>
      <c r="Z156" s="659"/>
      <c r="AA156" s="659"/>
      <c r="AB156" s="653">
        <f t="shared" si="7"/>
        <v>0</v>
      </c>
      <c r="AC156" s="653"/>
      <c r="AD156" s="653"/>
      <c r="AE156" s="653"/>
      <c r="AF156" s="653">
        <f t="shared" si="8"/>
        <v>0</v>
      </c>
      <c r="AG156" s="653"/>
      <c r="AH156" s="653"/>
      <c r="AI156" s="653"/>
      <c r="AJ156" s="653">
        <f t="shared" si="9"/>
        <v>0</v>
      </c>
      <c r="AK156" s="653"/>
      <c r="AL156" s="653"/>
      <c r="AM156" s="653"/>
    </row>
    <row r="157" spans="1:39" ht="15.95" customHeight="1">
      <c r="A157" s="65">
        <f t="shared" si="10"/>
        <v>20</v>
      </c>
      <c r="B157" s="699" t="s">
        <v>100</v>
      </c>
      <c r="C157" s="700"/>
      <c r="D157" s="700"/>
      <c r="E157" s="700"/>
      <c r="F157" s="700"/>
      <c r="G157" s="700"/>
      <c r="H157" s="700"/>
      <c r="I157" s="700"/>
      <c r="J157" s="700"/>
      <c r="K157" s="701"/>
      <c r="L157" s="702">
        <f>L156</f>
        <v>45748</v>
      </c>
      <c r="M157" s="702"/>
      <c r="N157" s="702"/>
      <c r="O157" s="702">
        <f t="shared" ref="O157:O165" si="15">O156</f>
        <v>45777</v>
      </c>
      <c r="P157" s="702"/>
      <c r="Q157" s="702"/>
      <c r="R157" s="690" cm="1">
        <f t="array" ref="R157">INDEX(verificare!$AT$4:$CC$33,VLOOKUP($AA$16,verificare!$AR$4:$AS$33,2,FALSE),A157)</f>
        <v>3553</v>
      </c>
      <c r="S157" s="690"/>
      <c r="T157" s="690"/>
      <c r="U157" s="690"/>
      <c r="V157" s="658" t="s">
        <v>727</v>
      </c>
      <c r="W157" s="658"/>
      <c r="X157" s="659">
        <f>HLOOKUP(VLOOKUP($AA$16,'Date SPV'!$B:$F,5,FALSE),'Preturi si tarife'!$C$2:$J$39,A157+2,FALSE)</f>
        <v>0.14660000000000001</v>
      </c>
      <c r="Y157" s="659"/>
      <c r="Z157" s="659"/>
      <c r="AA157" s="659"/>
      <c r="AB157" s="653">
        <f t="shared" si="7"/>
        <v>520.87</v>
      </c>
      <c r="AC157" s="653"/>
      <c r="AD157" s="653"/>
      <c r="AE157" s="653"/>
      <c r="AF157" s="653">
        <f t="shared" si="8"/>
        <v>98.97</v>
      </c>
      <c r="AG157" s="653"/>
      <c r="AH157" s="653"/>
      <c r="AI157" s="653"/>
      <c r="AJ157" s="653">
        <f t="shared" si="9"/>
        <v>619.84</v>
      </c>
      <c r="AK157" s="653"/>
      <c r="AL157" s="653"/>
      <c r="AM157" s="653"/>
    </row>
    <row r="158" spans="1:39" ht="18.95" customHeight="1">
      <c r="A158" s="65">
        <f t="shared" si="10"/>
        <v>21</v>
      </c>
      <c r="B158" s="699" t="s">
        <v>101</v>
      </c>
      <c r="C158" s="700"/>
      <c r="D158" s="700"/>
      <c r="E158" s="700"/>
      <c r="F158" s="700"/>
      <c r="G158" s="700"/>
      <c r="H158" s="700"/>
      <c r="I158" s="700"/>
      <c r="J158" s="700"/>
      <c r="K158" s="701"/>
      <c r="L158" s="702">
        <f t="shared" ref="L158:L165" si="16">L157</f>
        <v>45748</v>
      </c>
      <c r="M158" s="702"/>
      <c r="N158" s="702"/>
      <c r="O158" s="702">
        <f t="shared" si="15"/>
        <v>45777</v>
      </c>
      <c r="P158" s="702"/>
      <c r="Q158" s="702"/>
      <c r="R158" s="690" cm="1">
        <f t="array" ref="R158">INDEX(verificare!$AT$4:$CC$33,VLOOKUP($AA$16,verificare!$AR$4:$AS$33,2,FALSE),A158)</f>
        <v>772</v>
      </c>
      <c r="S158" s="690"/>
      <c r="T158" s="690"/>
      <c r="U158" s="690"/>
      <c r="V158" s="658" t="s">
        <v>727</v>
      </c>
      <c r="W158" s="658"/>
      <c r="X158" s="659">
        <f>HLOOKUP(VLOOKUP($AA$16,'Date SPV'!$B:$F,5,FALSE),'Preturi si tarife'!$C$2:$J$39,A158+2,FALSE)</f>
        <v>0.43980000000000002</v>
      </c>
      <c r="Y158" s="659"/>
      <c r="Z158" s="659"/>
      <c r="AA158" s="659"/>
      <c r="AB158" s="653">
        <f t="shared" si="7"/>
        <v>339.53</v>
      </c>
      <c r="AC158" s="653"/>
      <c r="AD158" s="653"/>
      <c r="AE158" s="653"/>
      <c r="AF158" s="653">
        <f t="shared" si="8"/>
        <v>64.510000000000005</v>
      </c>
      <c r="AG158" s="653"/>
      <c r="AH158" s="653"/>
      <c r="AI158" s="653"/>
      <c r="AJ158" s="653">
        <f t="shared" si="9"/>
        <v>404.03999999999996</v>
      </c>
      <c r="AK158" s="653"/>
      <c r="AL158" s="653"/>
      <c r="AM158" s="653"/>
    </row>
    <row r="159" spans="1:39" ht="18.95" customHeight="1">
      <c r="A159" s="65">
        <f t="shared" si="10"/>
        <v>22</v>
      </c>
      <c r="B159" s="699" t="s">
        <v>869</v>
      </c>
      <c r="C159" s="700"/>
      <c r="D159" s="700"/>
      <c r="E159" s="700"/>
      <c r="F159" s="700"/>
      <c r="G159" s="700"/>
      <c r="H159" s="700"/>
      <c r="I159" s="700"/>
      <c r="J159" s="700"/>
      <c r="K159" s="701"/>
      <c r="L159" s="702">
        <f t="shared" si="16"/>
        <v>45748</v>
      </c>
      <c r="M159" s="702"/>
      <c r="N159" s="702"/>
      <c r="O159" s="702">
        <f t="shared" si="15"/>
        <v>45777</v>
      </c>
      <c r="P159" s="702"/>
      <c r="Q159" s="702"/>
      <c r="R159" s="690" cm="1">
        <f t="array" ref="R159">INDEX(verificare!$AT$4:$CC$33,VLOOKUP($AA$16,verificare!$AR$4:$AS$33,2,FALSE),A159)</f>
        <v>0</v>
      </c>
      <c r="S159" s="690"/>
      <c r="T159" s="690"/>
      <c r="U159" s="690"/>
      <c r="V159" s="658" t="s">
        <v>446</v>
      </c>
      <c r="W159" s="658"/>
      <c r="X159" s="659">
        <f>HLOOKUP(VLOOKUP($AA$16,'Date SPV'!$B:$F,5,FALSE),'Preturi si tarife'!$C$2:$J$39,A159+2,FALSE)</f>
        <v>0.11348</v>
      </c>
      <c r="Y159" s="659"/>
      <c r="Z159" s="659"/>
      <c r="AA159" s="659"/>
      <c r="AB159" s="653">
        <f t="shared" si="7"/>
        <v>0</v>
      </c>
      <c r="AC159" s="653"/>
      <c r="AD159" s="653"/>
      <c r="AE159" s="653"/>
      <c r="AF159" s="653">
        <f t="shared" si="8"/>
        <v>0</v>
      </c>
      <c r="AG159" s="653"/>
      <c r="AH159" s="653"/>
      <c r="AI159" s="653"/>
      <c r="AJ159" s="653">
        <f t="shared" si="9"/>
        <v>0</v>
      </c>
      <c r="AK159" s="653"/>
      <c r="AL159" s="653"/>
      <c r="AM159" s="653"/>
    </row>
    <row r="160" spans="1:39" ht="18.95" customHeight="1">
      <c r="A160" s="65">
        <f t="shared" si="10"/>
        <v>23</v>
      </c>
      <c r="B160" s="699" t="s">
        <v>758</v>
      </c>
      <c r="C160" s="700"/>
      <c r="D160" s="700"/>
      <c r="E160" s="700"/>
      <c r="F160" s="700"/>
      <c r="G160" s="700"/>
      <c r="H160" s="700"/>
      <c r="I160" s="700"/>
      <c r="J160" s="700"/>
      <c r="K160" s="701"/>
      <c r="L160" s="702">
        <f t="shared" si="16"/>
        <v>45748</v>
      </c>
      <c r="M160" s="702"/>
      <c r="N160" s="702"/>
      <c r="O160" s="702">
        <f t="shared" si="15"/>
        <v>45777</v>
      </c>
      <c r="P160" s="702"/>
      <c r="Q160" s="702"/>
      <c r="R160" s="690" cm="1">
        <f t="array" ref="R160">INDEX(verificare!$AT$4:$CC$33,VLOOKUP($AA$16,verificare!$AR$4:$AS$33,2,FALSE),A160)</f>
        <v>0</v>
      </c>
      <c r="S160" s="690"/>
      <c r="T160" s="690"/>
      <c r="U160" s="690"/>
      <c r="V160" s="658" t="s">
        <v>446</v>
      </c>
      <c r="W160" s="658"/>
      <c r="X160" s="659">
        <f>HLOOKUP(VLOOKUP($AA$16,'Date SPV'!$B:$F,5,FALSE),'Preturi si tarife'!$C$2:$J$39,A160+2,FALSE)</f>
        <v>0.23974999999999999</v>
      </c>
      <c r="Y160" s="659"/>
      <c r="Z160" s="659"/>
      <c r="AA160" s="659"/>
      <c r="AB160" s="653">
        <f t="shared" si="7"/>
        <v>0</v>
      </c>
      <c r="AC160" s="653"/>
      <c r="AD160" s="653"/>
      <c r="AE160" s="653"/>
      <c r="AF160" s="653">
        <f t="shared" si="8"/>
        <v>0</v>
      </c>
      <c r="AG160" s="653"/>
      <c r="AH160" s="653"/>
      <c r="AI160" s="653"/>
      <c r="AJ160" s="653">
        <f t="shared" si="9"/>
        <v>0</v>
      </c>
      <c r="AK160" s="653"/>
      <c r="AL160" s="653"/>
      <c r="AM160" s="653"/>
    </row>
    <row r="161" spans="1:39" ht="18.95" customHeight="1">
      <c r="A161" s="65">
        <f t="shared" si="10"/>
        <v>24</v>
      </c>
      <c r="B161" s="699" t="s">
        <v>102</v>
      </c>
      <c r="C161" s="700"/>
      <c r="D161" s="700"/>
      <c r="E161" s="700"/>
      <c r="F161" s="700"/>
      <c r="G161" s="700"/>
      <c r="H161" s="700"/>
      <c r="I161" s="700"/>
      <c r="J161" s="700"/>
      <c r="K161" s="701"/>
      <c r="L161" s="702">
        <f t="shared" si="16"/>
        <v>45748</v>
      </c>
      <c r="M161" s="702"/>
      <c r="N161" s="702"/>
      <c r="O161" s="702">
        <f t="shared" si="15"/>
        <v>45777</v>
      </c>
      <c r="P161" s="702"/>
      <c r="Q161" s="702"/>
      <c r="R161" s="690" cm="1">
        <f t="array" ref="R161">INDEX(verificare!$AT$4:$CC$33,VLOOKUP($AA$16,verificare!$AR$4:$AS$33,2,FALSE),A161)</f>
        <v>0</v>
      </c>
      <c r="S161" s="690"/>
      <c r="T161" s="690"/>
      <c r="U161" s="690"/>
      <c r="V161" s="658" t="s">
        <v>446</v>
      </c>
      <c r="W161" s="658"/>
      <c r="X161" s="659">
        <f>HLOOKUP(VLOOKUP($AA$16,'Date SPV'!$B:$F,5,FALSE),'Preturi si tarife'!$C$2:$J$39,A161+2,FALSE)</f>
        <v>1.1509999999999999E-2</v>
      </c>
      <c r="Y161" s="659"/>
      <c r="Z161" s="659"/>
      <c r="AA161" s="659"/>
      <c r="AB161" s="653">
        <f t="shared" si="7"/>
        <v>0</v>
      </c>
      <c r="AC161" s="653"/>
      <c r="AD161" s="653"/>
      <c r="AE161" s="653"/>
      <c r="AF161" s="653">
        <f t="shared" si="8"/>
        <v>0</v>
      </c>
      <c r="AG161" s="653"/>
      <c r="AH161" s="653"/>
      <c r="AI161" s="653"/>
      <c r="AJ161" s="653">
        <f t="shared" si="9"/>
        <v>0</v>
      </c>
      <c r="AK161" s="653"/>
      <c r="AL161" s="653"/>
      <c r="AM161" s="653"/>
    </row>
    <row r="162" spans="1:39" ht="18.95" customHeight="1">
      <c r="A162" s="65">
        <f t="shared" si="10"/>
        <v>25</v>
      </c>
      <c r="B162" s="699" t="s">
        <v>103</v>
      </c>
      <c r="C162" s="700"/>
      <c r="D162" s="700"/>
      <c r="E162" s="700"/>
      <c r="F162" s="700"/>
      <c r="G162" s="700"/>
      <c r="H162" s="700"/>
      <c r="I162" s="700"/>
      <c r="J162" s="700"/>
      <c r="K162" s="701"/>
      <c r="L162" s="702">
        <f t="shared" si="16"/>
        <v>45748</v>
      </c>
      <c r="M162" s="702"/>
      <c r="N162" s="702"/>
      <c r="O162" s="702">
        <f t="shared" si="15"/>
        <v>45777</v>
      </c>
      <c r="P162" s="702"/>
      <c r="Q162" s="702"/>
      <c r="R162" s="690" cm="1">
        <f t="array" ref="R162">INDEX(verificare!$AT$4:$CC$33,VLOOKUP($AA$16,verificare!$AR$4:$AS$33,2,FALSE),A162)</f>
        <v>0</v>
      </c>
      <c r="S162" s="690"/>
      <c r="T162" s="690"/>
      <c r="U162" s="690"/>
      <c r="V162" s="658" t="s">
        <v>446</v>
      </c>
      <c r="W162" s="658"/>
      <c r="X162" s="659">
        <f>HLOOKUP(VLOOKUP($AA$16,'Date SPV'!$B:$F,5,FALSE),'Preturi si tarife'!$C$2:$J$39,A162+2,FALSE)</f>
        <v>3.3030000000000004E-2</v>
      </c>
      <c r="Y162" s="659"/>
      <c r="Z162" s="659"/>
      <c r="AA162" s="659"/>
      <c r="AB162" s="653">
        <f t="shared" si="7"/>
        <v>0</v>
      </c>
      <c r="AC162" s="653"/>
      <c r="AD162" s="653"/>
      <c r="AE162" s="653"/>
      <c r="AF162" s="653">
        <f t="shared" si="8"/>
        <v>0</v>
      </c>
      <c r="AG162" s="653"/>
      <c r="AH162" s="653"/>
      <c r="AI162" s="653"/>
      <c r="AJ162" s="653">
        <f t="shared" si="9"/>
        <v>0</v>
      </c>
      <c r="AK162" s="653"/>
      <c r="AL162" s="653"/>
      <c r="AM162" s="653"/>
    </row>
    <row r="163" spans="1:39" ht="18.95" customHeight="1">
      <c r="A163" s="65">
        <f t="shared" si="10"/>
        <v>26</v>
      </c>
      <c r="B163" s="699" t="s">
        <v>104</v>
      </c>
      <c r="C163" s="700"/>
      <c r="D163" s="700"/>
      <c r="E163" s="700"/>
      <c r="F163" s="700"/>
      <c r="G163" s="700"/>
      <c r="H163" s="700"/>
      <c r="I163" s="700"/>
      <c r="J163" s="700"/>
      <c r="K163" s="701"/>
      <c r="L163" s="702">
        <f t="shared" si="16"/>
        <v>45748</v>
      </c>
      <c r="M163" s="702"/>
      <c r="N163" s="702"/>
      <c r="O163" s="702">
        <f t="shared" si="15"/>
        <v>45777</v>
      </c>
      <c r="P163" s="702"/>
      <c r="Q163" s="702"/>
      <c r="R163" s="690" cm="1">
        <f t="array" ref="R163">INDEX(verificare!$AT$4:$CC$33,VLOOKUP($AA$16,verificare!$AR$4:$AS$33,2,FALSE),A163)</f>
        <v>0</v>
      </c>
      <c r="S163" s="690"/>
      <c r="T163" s="690"/>
      <c r="U163" s="690"/>
      <c r="V163" s="658" t="s">
        <v>446</v>
      </c>
      <c r="W163" s="658"/>
      <c r="X163" s="659">
        <f>HLOOKUP(VLOOKUP($AA$16,'Date SPV'!$B:$F,5,FALSE),'Preturi si tarife'!$C$2:$J$39,A163+2,FALSE)</f>
        <v>3.29E-3</v>
      </c>
      <c r="Y163" s="659"/>
      <c r="Z163" s="659"/>
      <c r="AA163" s="659"/>
      <c r="AB163" s="653">
        <f t="shared" si="7"/>
        <v>0</v>
      </c>
      <c r="AC163" s="653"/>
      <c r="AD163" s="653"/>
      <c r="AE163" s="653"/>
      <c r="AF163" s="653">
        <f t="shared" si="8"/>
        <v>0</v>
      </c>
      <c r="AG163" s="653"/>
      <c r="AH163" s="653"/>
      <c r="AI163" s="653"/>
      <c r="AJ163" s="653">
        <f t="shared" si="9"/>
        <v>0</v>
      </c>
      <c r="AK163" s="653"/>
      <c r="AL163" s="653"/>
      <c r="AM163" s="653"/>
    </row>
    <row r="164" spans="1:39" ht="18.95" customHeight="1">
      <c r="A164" s="65">
        <f t="shared" si="10"/>
        <v>27</v>
      </c>
      <c r="B164" s="699" t="s">
        <v>105</v>
      </c>
      <c r="C164" s="700"/>
      <c r="D164" s="700"/>
      <c r="E164" s="700"/>
      <c r="F164" s="700"/>
      <c r="G164" s="700"/>
      <c r="H164" s="700"/>
      <c r="I164" s="700"/>
      <c r="J164" s="700"/>
      <c r="K164" s="701"/>
      <c r="L164" s="702">
        <f t="shared" si="16"/>
        <v>45748</v>
      </c>
      <c r="M164" s="702"/>
      <c r="N164" s="702"/>
      <c r="O164" s="702">
        <f t="shared" si="15"/>
        <v>45777</v>
      </c>
      <c r="P164" s="702"/>
      <c r="Q164" s="702"/>
      <c r="R164" s="690" cm="1">
        <f t="array" ref="R164">INDEX(verificare!$AT$4:$CC$33,VLOOKUP($AA$16,verificare!$AR$4:$AS$33,2,FALSE),A164)</f>
        <v>0</v>
      </c>
      <c r="S164" s="690"/>
      <c r="T164" s="690"/>
      <c r="U164" s="690"/>
      <c r="V164" s="658" t="s">
        <v>446</v>
      </c>
      <c r="W164" s="658"/>
      <c r="X164" s="659">
        <f>HLOOKUP(VLOOKUP($AA$16,'Date SPV'!$B:$F,5,FALSE),'Preturi si tarife'!$C$2:$J$39,A164+2,FALSE)</f>
        <v>3.5000000000000001E-3</v>
      </c>
      <c r="Y164" s="659"/>
      <c r="Z164" s="659"/>
      <c r="AA164" s="659"/>
      <c r="AB164" s="653">
        <f t="shared" si="7"/>
        <v>0</v>
      </c>
      <c r="AC164" s="653"/>
      <c r="AD164" s="653"/>
      <c r="AE164" s="653"/>
      <c r="AF164" s="653">
        <f t="shared" si="8"/>
        <v>0</v>
      </c>
      <c r="AG164" s="653"/>
      <c r="AH164" s="653"/>
      <c r="AI164" s="653"/>
      <c r="AJ164" s="653">
        <f t="shared" si="9"/>
        <v>0</v>
      </c>
      <c r="AK164" s="653"/>
      <c r="AL164" s="653"/>
      <c r="AM164" s="653"/>
    </row>
    <row r="165" spans="1:39" ht="18.95" customHeight="1">
      <c r="A165" s="65">
        <f t="shared" si="10"/>
        <v>28</v>
      </c>
      <c r="B165" s="699" t="s">
        <v>106</v>
      </c>
      <c r="C165" s="700"/>
      <c r="D165" s="700"/>
      <c r="E165" s="700"/>
      <c r="F165" s="700"/>
      <c r="G165" s="700"/>
      <c r="H165" s="700"/>
      <c r="I165" s="700"/>
      <c r="J165" s="700"/>
      <c r="K165" s="701"/>
      <c r="L165" s="702">
        <f t="shared" si="16"/>
        <v>45748</v>
      </c>
      <c r="M165" s="702"/>
      <c r="N165" s="702"/>
      <c r="O165" s="702">
        <f t="shared" si="15"/>
        <v>45777</v>
      </c>
      <c r="P165" s="702"/>
      <c r="Q165" s="702"/>
      <c r="R165" s="690" cm="1">
        <f t="array" ref="R165">INDEX(verificare!$AT$4:$CC$33,VLOOKUP($AA$16,verificare!$AR$4:$AS$33,2,FALSE),A165)</f>
        <v>0</v>
      </c>
      <c r="S165" s="690"/>
      <c r="T165" s="690"/>
      <c r="U165" s="690"/>
      <c r="V165" s="658" t="s">
        <v>446</v>
      </c>
      <c r="W165" s="658"/>
      <c r="X165" s="659">
        <f>HLOOKUP(VLOOKUP($AA$16,'Date SPV'!$B:$F,5,FALSE),'Preturi si tarife'!$C$2:$J$39,A165+2,FALSE)</f>
        <v>7.2541599999999998E-2</v>
      </c>
      <c r="Y165" s="659"/>
      <c r="Z165" s="659"/>
      <c r="AA165" s="659"/>
      <c r="AB165" s="653">
        <f t="shared" si="7"/>
        <v>0</v>
      </c>
      <c r="AC165" s="653"/>
      <c r="AD165" s="653"/>
      <c r="AE165" s="653"/>
      <c r="AF165" s="653">
        <f t="shared" si="8"/>
        <v>0</v>
      </c>
      <c r="AG165" s="653"/>
      <c r="AH165" s="653"/>
      <c r="AI165" s="653"/>
      <c r="AJ165" s="653">
        <f t="shared" si="9"/>
        <v>0</v>
      </c>
      <c r="AK165" s="653"/>
      <c r="AL165" s="653"/>
      <c r="AM165" s="653"/>
    </row>
    <row r="166" spans="1:39" ht="18.95" customHeight="1">
      <c r="A166" s="65">
        <f t="shared" si="10"/>
        <v>29</v>
      </c>
      <c r="B166" s="699" t="s">
        <v>1316</v>
      </c>
      <c r="C166" s="700"/>
      <c r="D166" s="700"/>
      <c r="E166" s="700"/>
      <c r="F166" s="700"/>
      <c r="G166" s="700"/>
      <c r="H166" s="700"/>
      <c r="I166" s="700"/>
      <c r="J166" s="700"/>
      <c r="K166" s="701"/>
      <c r="L166" s="763">
        <f>L172</f>
        <v>45748</v>
      </c>
      <c r="M166" s="764"/>
      <c r="N166" s="765"/>
      <c r="O166" s="763">
        <f>O172</f>
        <v>45777</v>
      </c>
      <c r="P166" s="764"/>
      <c r="Q166" s="765"/>
      <c r="R166" s="690" cm="1">
        <f t="array" ref="R166">INDEX(verificare!$AT$4:$CC$33,VLOOKUP($AA$16,verificare!$AR$4:$AS$33,2,FALSE),A166)</f>
        <v>0</v>
      </c>
      <c r="S166" s="690"/>
      <c r="T166" s="690"/>
      <c r="U166" s="690"/>
      <c r="V166" s="724" t="s">
        <v>446</v>
      </c>
      <c r="W166" s="725"/>
      <c r="X166" s="659">
        <f>HLOOKUP(VLOOKUP($AA$16,'Date SPV'!$B:$F,5,FALSE),'Preturi si tarife'!$C$2:$J$39,A166+2,FALSE)</f>
        <v>2.0599999999999999E-4</v>
      </c>
      <c r="Y166" s="659"/>
      <c r="Z166" s="659"/>
      <c r="AA166" s="659"/>
      <c r="AB166" s="653">
        <f>ROUND(X166*R166,2)</f>
        <v>0</v>
      </c>
      <c r="AC166" s="653"/>
      <c r="AD166" s="653"/>
      <c r="AE166" s="653"/>
      <c r="AF166" s="653">
        <f>ROUND(AB166*19%,2)</f>
        <v>0</v>
      </c>
      <c r="AG166" s="653"/>
      <c r="AH166" s="653"/>
      <c r="AI166" s="653"/>
      <c r="AJ166" s="653">
        <f>AB166+AF166</f>
        <v>0</v>
      </c>
      <c r="AK166" s="653"/>
      <c r="AL166" s="653"/>
      <c r="AM166" s="653"/>
    </row>
    <row r="167" spans="1:39" ht="18.95" customHeight="1">
      <c r="A167" s="65">
        <f t="shared" si="10"/>
        <v>30</v>
      </c>
      <c r="B167" s="699" t="s">
        <v>107</v>
      </c>
      <c r="C167" s="700"/>
      <c r="D167" s="700"/>
      <c r="E167" s="700"/>
      <c r="F167" s="700"/>
      <c r="G167" s="700"/>
      <c r="H167" s="700"/>
      <c r="I167" s="700"/>
      <c r="J167" s="700"/>
      <c r="K167" s="701"/>
      <c r="L167" s="702">
        <f>L165</f>
        <v>45748</v>
      </c>
      <c r="M167" s="702"/>
      <c r="N167" s="702"/>
      <c r="O167" s="702">
        <f>O165</f>
        <v>45777</v>
      </c>
      <c r="P167" s="702"/>
      <c r="Q167" s="702"/>
      <c r="R167" s="690" cm="1">
        <f t="array" ref="R167">INDEX(verificare!$AT$4:$CC$33,VLOOKUP($AA$16,verificare!$AR$4:$AS$33,2,FALSE),A167)</f>
        <v>0</v>
      </c>
      <c r="S167" s="690"/>
      <c r="T167" s="690"/>
      <c r="U167" s="690"/>
      <c r="V167" s="658" t="s">
        <v>446</v>
      </c>
      <c r="W167" s="658"/>
      <c r="X167" s="659">
        <f>HLOOKUP(VLOOKUP($AA$16,'Date SPV'!$B:$F,5,FALSE),'Preturi si tarife'!$C$2:$J$39,A167+2,FALSE)</f>
        <v>0</v>
      </c>
      <c r="Y167" s="659"/>
      <c r="Z167" s="659"/>
      <c r="AA167" s="659"/>
      <c r="AB167" s="653">
        <f t="shared" ref="AB167:AB173" si="17">ROUND(X167*R167,2)</f>
        <v>0</v>
      </c>
      <c r="AC167" s="653"/>
      <c r="AD167" s="653"/>
      <c r="AE167" s="653"/>
      <c r="AF167" s="653">
        <f t="shared" ref="AF167:AF174" si="18">ROUND(AB167*19%,2)</f>
        <v>0</v>
      </c>
      <c r="AG167" s="653"/>
      <c r="AH167" s="653"/>
      <c r="AI167" s="653"/>
      <c r="AJ167" s="653">
        <f t="shared" ref="AJ167:AJ174" si="19">AB167+AF167</f>
        <v>0</v>
      </c>
      <c r="AK167" s="653"/>
      <c r="AL167" s="653"/>
      <c r="AM167" s="653"/>
    </row>
    <row r="168" spans="1:39" ht="18.95" customHeight="1">
      <c r="A168" s="65">
        <f t="shared" si="10"/>
        <v>31</v>
      </c>
      <c r="B168" s="699" t="s">
        <v>108</v>
      </c>
      <c r="C168" s="700"/>
      <c r="D168" s="700"/>
      <c r="E168" s="700"/>
      <c r="F168" s="700"/>
      <c r="G168" s="700"/>
      <c r="H168" s="700"/>
      <c r="I168" s="700"/>
      <c r="J168" s="700"/>
      <c r="K168" s="701"/>
      <c r="L168" s="702">
        <f t="shared" ref="L168:L173" si="20">L167</f>
        <v>45748</v>
      </c>
      <c r="M168" s="702"/>
      <c r="N168" s="702"/>
      <c r="O168" s="702">
        <f t="shared" ref="O168:O173" si="21">O167</f>
        <v>45777</v>
      </c>
      <c r="P168" s="702"/>
      <c r="Q168" s="702"/>
      <c r="R168" s="690" cm="1">
        <f t="array" ref="R168">INDEX(verificare!$AT$4:$CC$33,VLOOKUP($AA$16,verificare!$AR$4:$AS$33,2,FALSE),A168)</f>
        <v>0</v>
      </c>
      <c r="S168" s="690"/>
      <c r="T168" s="690"/>
      <c r="U168" s="690"/>
      <c r="V168" s="658" t="s">
        <v>446</v>
      </c>
      <c r="W168" s="658"/>
      <c r="X168" s="659">
        <f>HLOOKUP(VLOOKUP($AA$16,'Date SPV'!$B:$F,5,FALSE),'Preturi si tarife'!$C$2:$J$39,A168+2,FALSE)</f>
        <v>1.3099999999999999E-2</v>
      </c>
      <c r="Y168" s="659"/>
      <c r="Z168" s="659"/>
      <c r="AA168" s="659"/>
      <c r="AB168" s="653">
        <f t="shared" si="17"/>
        <v>0</v>
      </c>
      <c r="AC168" s="653"/>
      <c r="AD168" s="653"/>
      <c r="AE168" s="653"/>
      <c r="AF168" s="653">
        <f t="shared" si="18"/>
        <v>0</v>
      </c>
      <c r="AG168" s="653"/>
      <c r="AH168" s="653"/>
      <c r="AI168" s="653"/>
      <c r="AJ168" s="653">
        <f t="shared" si="19"/>
        <v>0</v>
      </c>
      <c r="AK168" s="653"/>
      <c r="AL168" s="653"/>
      <c r="AM168" s="653"/>
    </row>
    <row r="169" spans="1:39" ht="18.95" customHeight="1">
      <c r="A169" s="65">
        <f t="shared" si="10"/>
        <v>32</v>
      </c>
      <c r="B169" s="699" t="s">
        <v>109</v>
      </c>
      <c r="C169" s="700"/>
      <c r="D169" s="700"/>
      <c r="E169" s="700"/>
      <c r="F169" s="700"/>
      <c r="G169" s="700"/>
      <c r="H169" s="700"/>
      <c r="I169" s="700"/>
      <c r="J169" s="700"/>
      <c r="K169" s="701"/>
      <c r="L169" s="702">
        <f t="shared" si="20"/>
        <v>45748</v>
      </c>
      <c r="M169" s="702"/>
      <c r="N169" s="702"/>
      <c r="O169" s="702">
        <f t="shared" si="21"/>
        <v>45777</v>
      </c>
      <c r="P169" s="702"/>
      <c r="Q169" s="702"/>
      <c r="R169" s="690" cm="1">
        <f t="array" ref="R169">INDEX(verificare!$AT$4:$CC$33,VLOOKUP($AA$16,verificare!$AR$4:$AS$33,2,FALSE),A169)</f>
        <v>0</v>
      </c>
      <c r="S169" s="690"/>
      <c r="T169" s="690"/>
      <c r="U169" s="690"/>
      <c r="V169" s="658" t="s">
        <v>446</v>
      </c>
      <c r="W169" s="658"/>
      <c r="X169" s="659">
        <f>HLOOKUP(VLOOKUP($AA$16,'Date SPV'!$B:$F,5,FALSE),'Preturi si tarife'!$C$2:$J$39,A169+2,FALSE)</f>
        <v>0.10290000000000001</v>
      </c>
      <c r="Y169" s="659"/>
      <c r="Z169" s="659"/>
      <c r="AA169" s="659"/>
      <c r="AB169" s="653">
        <f t="shared" si="17"/>
        <v>0</v>
      </c>
      <c r="AC169" s="653"/>
      <c r="AD169" s="653"/>
      <c r="AE169" s="653"/>
      <c r="AF169" s="653">
        <f t="shared" si="18"/>
        <v>0</v>
      </c>
      <c r="AG169" s="653"/>
      <c r="AH169" s="653"/>
      <c r="AI169" s="653"/>
      <c r="AJ169" s="653">
        <f t="shared" si="19"/>
        <v>0</v>
      </c>
      <c r="AK169" s="653"/>
      <c r="AL169" s="653"/>
      <c r="AM169" s="653"/>
    </row>
    <row r="170" spans="1:39" ht="18.95" customHeight="1">
      <c r="A170" s="65">
        <f t="shared" si="10"/>
        <v>33</v>
      </c>
      <c r="B170" s="699" t="s">
        <v>110</v>
      </c>
      <c r="C170" s="700"/>
      <c r="D170" s="700"/>
      <c r="E170" s="700"/>
      <c r="F170" s="700"/>
      <c r="G170" s="700"/>
      <c r="H170" s="700"/>
      <c r="I170" s="700"/>
      <c r="J170" s="700"/>
      <c r="K170" s="701"/>
      <c r="L170" s="702">
        <f t="shared" si="20"/>
        <v>45748</v>
      </c>
      <c r="M170" s="702"/>
      <c r="N170" s="702"/>
      <c r="O170" s="702">
        <f t="shared" si="21"/>
        <v>45777</v>
      </c>
      <c r="P170" s="702"/>
      <c r="Q170" s="702"/>
      <c r="R170" s="690" cm="1">
        <f t="array" ref="R170">INDEX(verificare!$AT$4:$CC$33,VLOOKUP($AA$16,verificare!$AR$4:$AS$33,2,FALSE),A170)</f>
        <v>0</v>
      </c>
      <c r="S170" s="690"/>
      <c r="T170" s="690"/>
      <c r="U170" s="690"/>
      <c r="V170" s="658" t="s">
        <v>446</v>
      </c>
      <c r="W170" s="658"/>
      <c r="X170" s="659">
        <f>HLOOKUP(VLOOKUP($AA$16,'Date SPV'!$B:$F,5,FALSE),'Preturi si tarife'!$C$2:$J$39,A170+2,FALSE)</f>
        <v>0.9485576</v>
      </c>
      <c r="Y170" s="659"/>
      <c r="Z170" s="659"/>
      <c r="AA170" s="659"/>
      <c r="AB170" s="653">
        <f t="shared" si="17"/>
        <v>0</v>
      </c>
      <c r="AC170" s="653"/>
      <c r="AD170" s="653"/>
      <c r="AE170" s="653"/>
      <c r="AF170" s="653">
        <f t="shared" si="18"/>
        <v>0</v>
      </c>
      <c r="AG170" s="653"/>
      <c r="AH170" s="653"/>
      <c r="AI170" s="653"/>
      <c r="AJ170" s="653">
        <f t="shared" si="19"/>
        <v>0</v>
      </c>
      <c r="AK170" s="653"/>
      <c r="AL170" s="653"/>
      <c r="AM170" s="653"/>
    </row>
    <row r="171" spans="1:39" ht="18.95" customHeight="1">
      <c r="A171" s="65">
        <f t="shared" si="10"/>
        <v>34</v>
      </c>
      <c r="B171" s="699" t="s">
        <v>111</v>
      </c>
      <c r="C171" s="700"/>
      <c r="D171" s="700"/>
      <c r="E171" s="700"/>
      <c r="F171" s="700"/>
      <c r="G171" s="700"/>
      <c r="H171" s="700"/>
      <c r="I171" s="700"/>
      <c r="J171" s="700"/>
      <c r="K171" s="701"/>
      <c r="L171" s="702">
        <f t="shared" si="20"/>
        <v>45748</v>
      </c>
      <c r="M171" s="702"/>
      <c r="N171" s="702"/>
      <c r="O171" s="702">
        <f t="shared" si="21"/>
        <v>45777</v>
      </c>
      <c r="P171" s="702"/>
      <c r="Q171" s="702"/>
      <c r="R171" s="690" cm="1">
        <f t="array" ref="R171">INDEX(verificare!$AT$4:$CC$33,VLOOKUP($AA$16,verificare!$AR$4:$AS$33,2,FALSE),A171)</f>
        <v>0</v>
      </c>
      <c r="S171" s="690"/>
      <c r="T171" s="690"/>
      <c r="U171" s="690"/>
      <c r="V171" s="658" t="s">
        <v>446</v>
      </c>
      <c r="W171" s="658"/>
      <c r="X171" s="659">
        <f>HLOOKUP(VLOOKUP($AA$16,'Date SPV'!$B:$F,5,FALSE),'Preturi si tarife'!$C$2:$J$39,A171+2,FALSE)</f>
        <v>0.83255760000000001</v>
      </c>
      <c r="Y171" s="659"/>
      <c r="Z171" s="659"/>
      <c r="AA171" s="659"/>
      <c r="AB171" s="653">
        <f t="shared" si="17"/>
        <v>0</v>
      </c>
      <c r="AC171" s="653"/>
      <c r="AD171" s="653"/>
      <c r="AE171" s="653"/>
      <c r="AF171" s="653">
        <f t="shared" si="18"/>
        <v>0</v>
      </c>
      <c r="AG171" s="653"/>
      <c r="AH171" s="653"/>
      <c r="AI171" s="653"/>
      <c r="AJ171" s="653">
        <f t="shared" si="19"/>
        <v>0</v>
      </c>
      <c r="AK171" s="653"/>
      <c r="AL171" s="653"/>
      <c r="AM171" s="653"/>
    </row>
    <row r="172" spans="1:39" ht="17.45" customHeight="1">
      <c r="A172" s="65">
        <f t="shared" si="10"/>
        <v>35</v>
      </c>
      <c r="B172" s="699" t="s">
        <v>112</v>
      </c>
      <c r="C172" s="700"/>
      <c r="D172" s="700"/>
      <c r="E172" s="700"/>
      <c r="F172" s="700"/>
      <c r="G172" s="700"/>
      <c r="H172" s="700"/>
      <c r="I172" s="700"/>
      <c r="J172" s="700"/>
      <c r="K172" s="701"/>
      <c r="L172" s="702">
        <f t="shared" si="20"/>
        <v>45748</v>
      </c>
      <c r="M172" s="702"/>
      <c r="N172" s="702"/>
      <c r="O172" s="702">
        <f t="shared" si="21"/>
        <v>45777</v>
      </c>
      <c r="P172" s="702"/>
      <c r="Q172" s="702"/>
      <c r="R172" s="690" cm="1">
        <f t="array" ref="R172">INDEX(verificare!$AT$4:$CC$33,VLOOKUP($AA$16,verificare!$AR$4:$AS$33,2,FALSE),A172)</f>
        <v>0</v>
      </c>
      <c r="S172" s="690"/>
      <c r="T172" s="690"/>
      <c r="U172" s="690"/>
      <c r="V172" s="658" t="s">
        <v>446</v>
      </c>
      <c r="W172" s="658"/>
      <c r="X172" s="659">
        <f>HLOOKUP(VLOOKUP($AA$16,'Date SPV'!$B:$F,5,FALSE),'Preturi si tarife'!$C$2:$J$39,A172+2,FALSE)</f>
        <v>1.3099999999999999E-2</v>
      </c>
      <c r="Y172" s="659"/>
      <c r="Z172" s="659"/>
      <c r="AA172" s="659"/>
      <c r="AB172" s="653">
        <f t="shared" si="17"/>
        <v>0</v>
      </c>
      <c r="AC172" s="653"/>
      <c r="AD172" s="653"/>
      <c r="AE172" s="653"/>
      <c r="AF172" s="653">
        <f t="shared" si="18"/>
        <v>0</v>
      </c>
      <c r="AG172" s="653"/>
      <c r="AH172" s="653"/>
      <c r="AI172" s="653"/>
      <c r="AJ172" s="653">
        <f t="shared" si="19"/>
        <v>0</v>
      </c>
      <c r="AK172" s="653"/>
      <c r="AL172" s="653"/>
      <c r="AM172" s="653"/>
    </row>
    <row r="173" spans="1:39" ht="17.45" customHeight="1">
      <c r="A173" s="65">
        <f t="shared" si="10"/>
        <v>36</v>
      </c>
      <c r="B173" s="699" t="s">
        <v>113</v>
      </c>
      <c r="C173" s="700"/>
      <c r="D173" s="700"/>
      <c r="E173" s="700"/>
      <c r="F173" s="700"/>
      <c r="G173" s="700"/>
      <c r="H173" s="700"/>
      <c r="I173" s="700"/>
      <c r="J173" s="700"/>
      <c r="K173" s="701"/>
      <c r="L173" s="702">
        <f t="shared" si="20"/>
        <v>45748</v>
      </c>
      <c r="M173" s="702"/>
      <c r="N173" s="702"/>
      <c r="O173" s="702">
        <f t="shared" si="21"/>
        <v>45777</v>
      </c>
      <c r="P173" s="702"/>
      <c r="Q173" s="702"/>
      <c r="R173" s="690" cm="1">
        <f t="array" ref="R173">INDEX(verificare!$AT$4:$CC$33,VLOOKUP($AA$16,verificare!$AR$4:$AS$33,2,FALSE),A173)</f>
        <v>0</v>
      </c>
      <c r="S173" s="690"/>
      <c r="T173" s="690"/>
      <c r="U173" s="690"/>
      <c r="V173" s="658" t="s">
        <v>446</v>
      </c>
      <c r="W173" s="658"/>
      <c r="X173" s="659">
        <f>HLOOKUP(VLOOKUP($AA$16,'Date SPV'!$B:$F,5,FALSE),'Preturi si tarife'!$C$2:$J$39,A173+2,FALSE)</f>
        <v>0.10290000000000001</v>
      </c>
      <c r="Y173" s="659"/>
      <c r="Z173" s="659"/>
      <c r="AA173" s="659"/>
      <c r="AB173" s="653">
        <f t="shared" si="17"/>
        <v>0</v>
      </c>
      <c r="AC173" s="653"/>
      <c r="AD173" s="653"/>
      <c r="AE173" s="653"/>
      <c r="AF173" s="653">
        <f t="shared" si="18"/>
        <v>0</v>
      </c>
      <c r="AG173" s="653"/>
      <c r="AH173" s="653"/>
      <c r="AI173" s="653"/>
      <c r="AJ173" s="653">
        <f t="shared" si="19"/>
        <v>0</v>
      </c>
      <c r="AK173" s="653"/>
      <c r="AL173" s="653"/>
      <c r="AM173" s="653"/>
    </row>
    <row r="174" spans="1:39">
      <c r="A174" s="65">
        <f t="shared" si="10"/>
        <v>37</v>
      </c>
      <c r="B174" s="699" t="s">
        <v>728</v>
      </c>
      <c r="C174" s="700"/>
      <c r="D174" s="700"/>
      <c r="E174" s="700"/>
      <c r="F174" s="700"/>
      <c r="G174" s="700"/>
      <c r="H174" s="700"/>
      <c r="I174" s="700"/>
      <c r="J174" s="700"/>
      <c r="K174" s="701"/>
      <c r="L174" s="702" t="s">
        <v>69</v>
      </c>
      <c r="M174" s="702"/>
      <c r="N174" s="702"/>
      <c r="O174" s="702" t="s">
        <v>69</v>
      </c>
      <c r="P174" s="702"/>
      <c r="Q174" s="702"/>
      <c r="R174" s="690">
        <v>0</v>
      </c>
      <c r="S174" s="690"/>
      <c r="T174" s="690"/>
      <c r="U174" s="690"/>
      <c r="V174" s="658" t="s">
        <v>69</v>
      </c>
      <c r="W174" s="658"/>
      <c r="X174" s="659" t="s">
        <v>69</v>
      </c>
      <c r="Y174" s="659"/>
      <c r="Z174" s="659"/>
      <c r="AA174" s="659"/>
      <c r="AB174" s="653">
        <v>0</v>
      </c>
      <c r="AC174" s="653"/>
      <c r="AD174" s="653"/>
      <c r="AE174" s="653"/>
      <c r="AF174" s="653">
        <f t="shared" si="18"/>
        <v>0</v>
      </c>
      <c r="AG174" s="653"/>
      <c r="AH174" s="653"/>
      <c r="AI174" s="653"/>
      <c r="AJ174" s="653">
        <f t="shared" si="19"/>
        <v>0</v>
      </c>
      <c r="AK174" s="653"/>
      <c r="AL174" s="653"/>
      <c r="AM174" s="653"/>
    </row>
    <row r="175" spans="1:39">
      <c r="A175" s="65">
        <f t="shared" si="10"/>
        <v>38</v>
      </c>
      <c r="B175" s="699" t="s">
        <v>729</v>
      </c>
      <c r="C175" s="700"/>
      <c r="D175" s="700"/>
      <c r="E175" s="700"/>
      <c r="F175" s="700"/>
      <c r="G175" s="700"/>
      <c r="H175" s="700"/>
      <c r="I175" s="700"/>
      <c r="J175" s="700"/>
      <c r="K175" s="701"/>
      <c r="L175" s="702" t="s">
        <v>69</v>
      </c>
      <c r="M175" s="702"/>
      <c r="N175" s="702"/>
      <c r="O175" s="702" t="s">
        <v>69</v>
      </c>
      <c r="P175" s="702"/>
      <c r="Q175" s="702"/>
      <c r="R175" s="690">
        <v>0</v>
      </c>
      <c r="S175" s="690"/>
      <c r="T175" s="690"/>
      <c r="U175" s="690"/>
      <c r="V175" s="658" t="s">
        <v>69</v>
      </c>
      <c r="W175" s="658"/>
      <c r="X175" s="659" t="s">
        <v>69</v>
      </c>
      <c r="Y175" s="659"/>
      <c r="Z175" s="659"/>
      <c r="AA175" s="659"/>
      <c r="AB175" s="726">
        <f>SUM(AB138:AE174)</f>
        <v>34127.270000000004</v>
      </c>
      <c r="AC175" s="726"/>
      <c r="AD175" s="726"/>
      <c r="AE175" s="726"/>
      <c r="AF175" s="726">
        <f>SUM(AF138:AI174)</f>
        <v>6484.1799999999994</v>
      </c>
      <c r="AG175" s="726"/>
      <c r="AH175" s="726"/>
      <c r="AI175" s="726"/>
      <c r="AJ175" s="726">
        <f>SUM(AJ138:AM174)</f>
        <v>40611.449999999997</v>
      </c>
      <c r="AK175" s="726"/>
      <c r="AL175" s="726"/>
      <c r="AM175" s="726"/>
    </row>
  </sheetData>
  <mergeCells count="840"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A8:F8"/>
    <mergeCell ref="G8:S8"/>
    <mergeCell ref="U8:Z8"/>
    <mergeCell ref="AA8:AM8"/>
    <mergeCell ref="A9:S9"/>
    <mergeCell ref="U9:Z9"/>
    <mergeCell ref="AA9:AM9"/>
    <mergeCell ref="A6:F6"/>
    <mergeCell ref="G6:S6"/>
    <mergeCell ref="U6:Z6"/>
    <mergeCell ref="AA6:AM6"/>
    <mergeCell ref="A7:F7"/>
    <mergeCell ref="G7:S7"/>
    <mergeCell ref="U7:Z7"/>
    <mergeCell ref="AA7:AM7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33:L33"/>
    <mergeCell ref="M33:AH33"/>
    <mergeCell ref="AI33:AM33"/>
    <mergeCell ref="A34:L34"/>
    <mergeCell ref="M34:AH34"/>
    <mergeCell ref="AI34:AM35"/>
    <mergeCell ref="A35:L35"/>
    <mergeCell ref="M35:AH35"/>
    <mergeCell ref="A28:AM28"/>
    <mergeCell ref="A29:G30"/>
    <mergeCell ref="H29:AM30"/>
    <mergeCell ref="A31:G32"/>
    <mergeCell ref="H31:V32"/>
    <mergeCell ref="W31:Z32"/>
    <mergeCell ref="AA31:AM32"/>
    <mergeCell ref="AK36:AM38"/>
    <mergeCell ref="U36:W38"/>
    <mergeCell ref="X36:Z38"/>
    <mergeCell ref="AA36:AC38"/>
    <mergeCell ref="AD36:AE38"/>
    <mergeCell ref="AF36:AH38"/>
    <mergeCell ref="AI36:AJ38"/>
    <mergeCell ref="A36:F38"/>
    <mergeCell ref="G36:I38"/>
    <mergeCell ref="J36:L38"/>
    <mergeCell ref="M36:N38"/>
    <mergeCell ref="O36:Q38"/>
    <mergeCell ref="R36:T38"/>
    <mergeCell ref="A111:AH111"/>
    <mergeCell ref="AI111:AM111"/>
    <mergeCell ref="M73:AH73"/>
    <mergeCell ref="AI73:AM73"/>
    <mergeCell ref="A74:L74"/>
    <mergeCell ref="M74:AH74"/>
    <mergeCell ref="A71:G72"/>
    <mergeCell ref="H71:V72"/>
    <mergeCell ref="W71:Z72"/>
    <mergeCell ref="AK76:AM78"/>
    <mergeCell ref="A76:F78"/>
    <mergeCell ref="G76:I78"/>
    <mergeCell ref="J76:L78"/>
    <mergeCell ref="M76:N78"/>
    <mergeCell ref="O76:Q78"/>
    <mergeCell ref="R76:T78"/>
    <mergeCell ref="U76:W78"/>
    <mergeCell ref="AA71:AM72"/>
    <mergeCell ref="A73:L73"/>
    <mergeCell ref="AI74:AM75"/>
    <mergeCell ref="A75:L75"/>
    <mergeCell ref="M75:AH75"/>
    <mergeCell ref="M79:N81"/>
    <mergeCell ref="O79:Q81"/>
    <mergeCell ref="A112:L112"/>
    <mergeCell ref="M112:AH112"/>
    <mergeCell ref="AI112:AM113"/>
    <mergeCell ref="A113:L113"/>
    <mergeCell ref="M113:AH113"/>
    <mergeCell ref="A114:F116"/>
    <mergeCell ref="G114:I116"/>
    <mergeCell ref="J114:L116"/>
    <mergeCell ref="M114:N116"/>
    <mergeCell ref="O114:Q116"/>
    <mergeCell ref="A117:F119"/>
    <mergeCell ref="G117:I119"/>
    <mergeCell ref="J117:L117"/>
    <mergeCell ref="M117:N119"/>
    <mergeCell ref="O117:Q119"/>
    <mergeCell ref="R117:T119"/>
    <mergeCell ref="U117:W119"/>
    <mergeCell ref="X117:Z119"/>
    <mergeCell ref="R114:T116"/>
    <mergeCell ref="U114:W116"/>
    <mergeCell ref="X114:Z116"/>
    <mergeCell ref="AA117:AC119"/>
    <mergeCell ref="AD117:AE119"/>
    <mergeCell ref="AF117:AH119"/>
    <mergeCell ref="AI117:AJ119"/>
    <mergeCell ref="AK117:AM119"/>
    <mergeCell ref="J118:L118"/>
    <mergeCell ref="J119:L119"/>
    <mergeCell ref="AI114:AJ116"/>
    <mergeCell ref="AK114:AM116"/>
    <mergeCell ref="AA114:AC116"/>
    <mergeCell ref="AD114:AE116"/>
    <mergeCell ref="AF114:AH116"/>
    <mergeCell ref="AK120:AM122"/>
    <mergeCell ref="J121:L121"/>
    <mergeCell ref="J122:L122"/>
    <mergeCell ref="A123:F125"/>
    <mergeCell ref="G123:I125"/>
    <mergeCell ref="J123:L123"/>
    <mergeCell ref="M123:N125"/>
    <mergeCell ref="O123:Q125"/>
    <mergeCell ref="R123:T125"/>
    <mergeCell ref="U123:W125"/>
    <mergeCell ref="U120:W122"/>
    <mergeCell ref="X120:Z122"/>
    <mergeCell ref="AA120:AC122"/>
    <mergeCell ref="AD120:AE122"/>
    <mergeCell ref="AF120:AH122"/>
    <mergeCell ref="AI120:AJ122"/>
    <mergeCell ref="A120:F122"/>
    <mergeCell ref="G120:I122"/>
    <mergeCell ref="J120:L120"/>
    <mergeCell ref="M120:N122"/>
    <mergeCell ref="O120:Q122"/>
    <mergeCell ref="R120:T122"/>
    <mergeCell ref="J124:L124"/>
    <mergeCell ref="J125:L125"/>
    <mergeCell ref="A135:AM135"/>
    <mergeCell ref="B137:K137"/>
    <mergeCell ref="R137:U137"/>
    <mergeCell ref="V137:W137"/>
    <mergeCell ref="X137:AA137"/>
    <mergeCell ref="AB137:AE137"/>
    <mergeCell ref="AF137:AI137"/>
    <mergeCell ref="AJ137:AM137"/>
    <mergeCell ref="X123:Z125"/>
    <mergeCell ref="AA123:AC125"/>
    <mergeCell ref="AD123:AE125"/>
    <mergeCell ref="AF123:AH125"/>
    <mergeCell ref="AI123:AJ125"/>
    <mergeCell ref="AK123:AM125"/>
    <mergeCell ref="AB138:AE138"/>
    <mergeCell ref="AF138:AI138"/>
    <mergeCell ref="AJ138:AM138"/>
    <mergeCell ref="B139:K139"/>
    <mergeCell ref="L139:N139"/>
    <mergeCell ref="O139:Q139"/>
    <mergeCell ref="R139:U139"/>
    <mergeCell ref="V139:W139"/>
    <mergeCell ref="X139:AA139"/>
    <mergeCell ref="AB139:AE139"/>
    <mergeCell ref="B138:K138"/>
    <mergeCell ref="L138:N138"/>
    <mergeCell ref="O138:Q138"/>
    <mergeCell ref="R138:U138"/>
    <mergeCell ref="V138:W138"/>
    <mergeCell ref="X138:AA138"/>
    <mergeCell ref="AF139:AI139"/>
    <mergeCell ref="AJ139:AM139"/>
    <mergeCell ref="B140:K140"/>
    <mergeCell ref="L140:N140"/>
    <mergeCell ref="O140:Q140"/>
    <mergeCell ref="R140:U140"/>
    <mergeCell ref="V140:W140"/>
    <mergeCell ref="X140:AA140"/>
    <mergeCell ref="AB140:AE140"/>
    <mergeCell ref="AF140:AI140"/>
    <mergeCell ref="AJ140:AM140"/>
    <mergeCell ref="B141:K141"/>
    <mergeCell ref="L141:N141"/>
    <mergeCell ref="O141:Q141"/>
    <mergeCell ref="R141:U141"/>
    <mergeCell ref="V141:W141"/>
    <mergeCell ref="X141:AA141"/>
    <mergeCell ref="AB141:AE141"/>
    <mergeCell ref="AF141:AI141"/>
    <mergeCell ref="AJ141:AM141"/>
    <mergeCell ref="AB142:AE142"/>
    <mergeCell ref="AF142:AI142"/>
    <mergeCell ref="AJ142:AM142"/>
    <mergeCell ref="B143:K143"/>
    <mergeCell ref="L143:N143"/>
    <mergeCell ref="O143:Q143"/>
    <mergeCell ref="R143:U143"/>
    <mergeCell ref="V143:W143"/>
    <mergeCell ref="X143:AA143"/>
    <mergeCell ref="AB143:AE143"/>
    <mergeCell ref="B142:K142"/>
    <mergeCell ref="L142:N142"/>
    <mergeCell ref="O142:Q142"/>
    <mergeCell ref="R142:U142"/>
    <mergeCell ref="V142:W142"/>
    <mergeCell ref="X142:AA142"/>
    <mergeCell ref="AF143:AI143"/>
    <mergeCell ref="AJ143:AM143"/>
    <mergeCell ref="B144:K144"/>
    <mergeCell ref="L144:N144"/>
    <mergeCell ref="O144:Q144"/>
    <mergeCell ref="R144:U144"/>
    <mergeCell ref="V144:W144"/>
    <mergeCell ref="X144:AA144"/>
    <mergeCell ref="AB144:AE144"/>
    <mergeCell ref="AF144:AI144"/>
    <mergeCell ref="AJ144:AM144"/>
    <mergeCell ref="B145:K145"/>
    <mergeCell ref="L145:N145"/>
    <mergeCell ref="O145:Q145"/>
    <mergeCell ref="R145:U145"/>
    <mergeCell ref="V145:W145"/>
    <mergeCell ref="X145:AA145"/>
    <mergeCell ref="AB145:AE145"/>
    <mergeCell ref="AF145:AI145"/>
    <mergeCell ref="AJ145:AM145"/>
    <mergeCell ref="AB146:AE146"/>
    <mergeCell ref="AF146:AI146"/>
    <mergeCell ref="AJ146:AM146"/>
    <mergeCell ref="B147:K147"/>
    <mergeCell ref="L147:N147"/>
    <mergeCell ref="O147:Q147"/>
    <mergeCell ref="R147:U147"/>
    <mergeCell ref="V147:W147"/>
    <mergeCell ref="X147:AA147"/>
    <mergeCell ref="AB147:AE147"/>
    <mergeCell ref="B146:K146"/>
    <mergeCell ref="L146:N146"/>
    <mergeCell ref="O146:Q146"/>
    <mergeCell ref="R146:U146"/>
    <mergeCell ref="V146:W146"/>
    <mergeCell ref="X146:AA146"/>
    <mergeCell ref="AF147:AI147"/>
    <mergeCell ref="AJ147:AM147"/>
    <mergeCell ref="B148:K148"/>
    <mergeCell ref="L148:N148"/>
    <mergeCell ref="O148:Q148"/>
    <mergeCell ref="R148:U148"/>
    <mergeCell ref="V148:W148"/>
    <mergeCell ref="X148:AA148"/>
    <mergeCell ref="AB148:AE148"/>
    <mergeCell ref="AF148:AI148"/>
    <mergeCell ref="AJ148:AM148"/>
    <mergeCell ref="B149:K149"/>
    <mergeCell ref="L149:N149"/>
    <mergeCell ref="O149:Q149"/>
    <mergeCell ref="R149:U149"/>
    <mergeCell ref="V149:W149"/>
    <mergeCell ref="X149:AA149"/>
    <mergeCell ref="AB149:AE149"/>
    <mergeCell ref="AF149:AI149"/>
    <mergeCell ref="AJ149:AM149"/>
    <mergeCell ref="AB150:AE150"/>
    <mergeCell ref="AF150:AI150"/>
    <mergeCell ref="AJ150:AM150"/>
    <mergeCell ref="B151:K151"/>
    <mergeCell ref="L151:N151"/>
    <mergeCell ref="O151:Q151"/>
    <mergeCell ref="R151:U151"/>
    <mergeCell ref="V151:W151"/>
    <mergeCell ref="X151:AA151"/>
    <mergeCell ref="AB151:AE151"/>
    <mergeCell ref="B150:K150"/>
    <mergeCell ref="L150:N150"/>
    <mergeCell ref="O150:Q150"/>
    <mergeCell ref="R150:U150"/>
    <mergeCell ref="V150:W150"/>
    <mergeCell ref="X150:AA150"/>
    <mergeCell ref="AF151:AI151"/>
    <mergeCell ref="AJ151:AM151"/>
    <mergeCell ref="B152:K152"/>
    <mergeCell ref="L152:N152"/>
    <mergeCell ref="O152:Q152"/>
    <mergeCell ref="R152:U152"/>
    <mergeCell ref="V152:W152"/>
    <mergeCell ref="X152:AA152"/>
    <mergeCell ref="AB152:AE152"/>
    <mergeCell ref="AF152:AI152"/>
    <mergeCell ref="AJ152:AM152"/>
    <mergeCell ref="B153:K153"/>
    <mergeCell ref="L153:N153"/>
    <mergeCell ref="O153:Q153"/>
    <mergeCell ref="R153:U153"/>
    <mergeCell ref="V153:W153"/>
    <mergeCell ref="X153:AA153"/>
    <mergeCell ref="AB153:AE153"/>
    <mergeCell ref="AF153:AI153"/>
    <mergeCell ref="AJ153:AM153"/>
    <mergeCell ref="AB154:AE154"/>
    <mergeCell ref="AF154:AI154"/>
    <mergeCell ref="AJ154:AM154"/>
    <mergeCell ref="B155:K155"/>
    <mergeCell ref="L155:N155"/>
    <mergeCell ref="O155:Q155"/>
    <mergeCell ref="R155:U155"/>
    <mergeCell ref="V155:W155"/>
    <mergeCell ref="X155:AA155"/>
    <mergeCell ref="AB155:AE155"/>
    <mergeCell ref="B154:K154"/>
    <mergeCell ref="L154:N154"/>
    <mergeCell ref="O154:Q154"/>
    <mergeCell ref="R154:U154"/>
    <mergeCell ref="V154:W154"/>
    <mergeCell ref="X154:AA154"/>
    <mergeCell ref="AF155:AI155"/>
    <mergeCell ref="AJ155:AM155"/>
    <mergeCell ref="B156:K156"/>
    <mergeCell ref="L156:N156"/>
    <mergeCell ref="O156:Q156"/>
    <mergeCell ref="R156:U156"/>
    <mergeCell ref="V156:W156"/>
    <mergeCell ref="X156:AA156"/>
    <mergeCell ref="AB156:AE156"/>
    <mergeCell ref="AF156:AI156"/>
    <mergeCell ref="AJ156:AM156"/>
    <mergeCell ref="B157:K157"/>
    <mergeCell ref="L157:N157"/>
    <mergeCell ref="O157:Q157"/>
    <mergeCell ref="R157:U157"/>
    <mergeCell ref="V157:W157"/>
    <mergeCell ref="X157:AA157"/>
    <mergeCell ref="AB157:AE157"/>
    <mergeCell ref="AF157:AI157"/>
    <mergeCell ref="AJ157:AM157"/>
    <mergeCell ref="AB158:AE158"/>
    <mergeCell ref="AF158:AI158"/>
    <mergeCell ref="AJ158:AM158"/>
    <mergeCell ref="B159:K159"/>
    <mergeCell ref="L159:N159"/>
    <mergeCell ref="O159:Q159"/>
    <mergeCell ref="R159:U159"/>
    <mergeCell ref="V159:W159"/>
    <mergeCell ref="X159:AA159"/>
    <mergeCell ref="AB159:AE159"/>
    <mergeCell ref="B158:K158"/>
    <mergeCell ref="L158:N158"/>
    <mergeCell ref="O158:Q158"/>
    <mergeCell ref="R158:U158"/>
    <mergeCell ref="V158:W158"/>
    <mergeCell ref="X158:AA158"/>
    <mergeCell ref="AF159:AI159"/>
    <mergeCell ref="AJ159:AM159"/>
    <mergeCell ref="B160:K160"/>
    <mergeCell ref="L160:N160"/>
    <mergeCell ref="O160:Q160"/>
    <mergeCell ref="R160:U160"/>
    <mergeCell ref="V160:W160"/>
    <mergeCell ref="X160:AA160"/>
    <mergeCell ref="AB160:AE160"/>
    <mergeCell ref="AF160:AI160"/>
    <mergeCell ref="AJ160:AM160"/>
    <mergeCell ref="B161:K161"/>
    <mergeCell ref="L161:N161"/>
    <mergeCell ref="O161:Q161"/>
    <mergeCell ref="R161:U161"/>
    <mergeCell ref="V161:W161"/>
    <mergeCell ref="X161:AA161"/>
    <mergeCell ref="AB161:AE161"/>
    <mergeCell ref="AF161:AI161"/>
    <mergeCell ref="AJ161:AM161"/>
    <mergeCell ref="AB162:AE162"/>
    <mergeCell ref="AF162:AI162"/>
    <mergeCell ref="AJ162:AM162"/>
    <mergeCell ref="B163:K163"/>
    <mergeCell ref="L163:N163"/>
    <mergeCell ref="O163:Q163"/>
    <mergeCell ref="R163:U163"/>
    <mergeCell ref="V163:W163"/>
    <mergeCell ref="X163:AA163"/>
    <mergeCell ref="AB163:AE163"/>
    <mergeCell ref="B162:K162"/>
    <mergeCell ref="L162:N162"/>
    <mergeCell ref="O162:Q162"/>
    <mergeCell ref="R162:U162"/>
    <mergeCell ref="V162:W162"/>
    <mergeCell ref="X162:AA162"/>
    <mergeCell ref="AF163:AI163"/>
    <mergeCell ref="AJ163:AM163"/>
    <mergeCell ref="B164:K164"/>
    <mergeCell ref="L164:N164"/>
    <mergeCell ref="O164:Q164"/>
    <mergeCell ref="R164:U164"/>
    <mergeCell ref="V164:W164"/>
    <mergeCell ref="X164:AA164"/>
    <mergeCell ref="AB164:AE164"/>
    <mergeCell ref="AF164:AI164"/>
    <mergeCell ref="AJ164:AM164"/>
    <mergeCell ref="B165:K165"/>
    <mergeCell ref="L165:N165"/>
    <mergeCell ref="O165:Q165"/>
    <mergeCell ref="R165:U165"/>
    <mergeCell ref="V165:W165"/>
    <mergeCell ref="X165:AA165"/>
    <mergeCell ref="AB165:AE165"/>
    <mergeCell ref="AF165:AI165"/>
    <mergeCell ref="AJ165:AM165"/>
    <mergeCell ref="AB166:AE166"/>
    <mergeCell ref="AF166:AI166"/>
    <mergeCell ref="AJ166:AM166"/>
    <mergeCell ref="B167:K167"/>
    <mergeCell ref="L167:N167"/>
    <mergeCell ref="O167:Q167"/>
    <mergeCell ref="R167:U167"/>
    <mergeCell ref="V167:W167"/>
    <mergeCell ref="X167:AA167"/>
    <mergeCell ref="AB167:AE167"/>
    <mergeCell ref="B166:K166"/>
    <mergeCell ref="L166:N166"/>
    <mergeCell ref="O166:Q166"/>
    <mergeCell ref="R166:U166"/>
    <mergeCell ref="V166:W166"/>
    <mergeCell ref="X166:AA166"/>
    <mergeCell ref="AF167:AI167"/>
    <mergeCell ref="AJ167:AM167"/>
    <mergeCell ref="AJ169:AM169"/>
    <mergeCell ref="B168:K168"/>
    <mergeCell ref="L168:N168"/>
    <mergeCell ref="O168:Q168"/>
    <mergeCell ref="R168:U168"/>
    <mergeCell ref="V168:W168"/>
    <mergeCell ref="X168:AA168"/>
    <mergeCell ref="AB168:AE168"/>
    <mergeCell ref="AF168:AI168"/>
    <mergeCell ref="AJ168:AM168"/>
    <mergeCell ref="B169:K169"/>
    <mergeCell ref="L169:N169"/>
    <mergeCell ref="O169:Q169"/>
    <mergeCell ref="R169:U169"/>
    <mergeCell ref="V169:W169"/>
    <mergeCell ref="X169:AA169"/>
    <mergeCell ref="AB169:AE169"/>
    <mergeCell ref="AF169:AI169"/>
    <mergeCell ref="B173:K173"/>
    <mergeCell ref="L173:N173"/>
    <mergeCell ref="O173:Q173"/>
    <mergeCell ref="R173:U173"/>
    <mergeCell ref="V173:W173"/>
    <mergeCell ref="X173:AA173"/>
    <mergeCell ref="AB173:AE173"/>
    <mergeCell ref="AF173:AI173"/>
    <mergeCell ref="AJ173:AM173"/>
    <mergeCell ref="AJ172:AM172"/>
    <mergeCell ref="AF171:AI171"/>
    <mergeCell ref="AJ171:AM171"/>
    <mergeCell ref="B172:K172"/>
    <mergeCell ref="L172:N172"/>
    <mergeCell ref="O172:Q172"/>
    <mergeCell ref="R172:U172"/>
    <mergeCell ref="V172:W172"/>
    <mergeCell ref="X172:AA172"/>
    <mergeCell ref="AB172:AE172"/>
    <mergeCell ref="AF172:AI172"/>
    <mergeCell ref="O171:Q171"/>
    <mergeCell ref="R171:U171"/>
    <mergeCell ref="V171:W171"/>
    <mergeCell ref="X171:AA171"/>
    <mergeCell ref="AB171:AE171"/>
    <mergeCell ref="AF170:AI170"/>
    <mergeCell ref="AJ170:AM170"/>
    <mergeCell ref="B171:K171"/>
    <mergeCell ref="L171:N171"/>
    <mergeCell ref="B170:K170"/>
    <mergeCell ref="L170:N170"/>
    <mergeCell ref="O170:Q170"/>
    <mergeCell ref="R170:U170"/>
    <mergeCell ref="V170:W170"/>
    <mergeCell ref="X170:AA170"/>
    <mergeCell ref="AB170:AE170"/>
    <mergeCell ref="AK39:AM41"/>
    <mergeCell ref="J40:L40"/>
    <mergeCell ref="J41:L41"/>
    <mergeCell ref="A42:F44"/>
    <mergeCell ref="G42:I44"/>
    <mergeCell ref="J42:L42"/>
    <mergeCell ref="M42:N44"/>
    <mergeCell ref="O42:Q44"/>
    <mergeCell ref="R42:T44"/>
    <mergeCell ref="U42:W44"/>
    <mergeCell ref="X42:Z44"/>
    <mergeCell ref="AA42:AC44"/>
    <mergeCell ref="AD42:AE44"/>
    <mergeCell ref="AF42:AH44"/>
    <mergeCell ref="AI42:AJ44"/>
    <mergeCell ref="AK42:AM44"/>
    <mergeCell ref="J43:L43"/>
    <mergeCell ref="J44:L44"/>
    <mergeCell ref="A39:F41"/>
    <mergeCell ref="G39:I41"/>
    <mergeCell ref="J39:L39"/>
    <mergeCell ref="M39:N41"/>
    <mergeCell ref="O39:Q41"/>
    <mergeCell ref="R39:T41"/>
    <mergeCell ref="U45:W47"/>
    <mergeCell ref="X45:Z47"/>
    <mergeCell ref="AA45:AC47"/>
    <mergeCell ref="AD39:AE41"/>
    <mergeCell ref="AF39:AH41"/>
    <mergeCell ref="AI39:AJ41"/>
    <mergeCell ref="U39:W41"/>
    <mergeCell ref="X39:Z41"/>
    <mergeCell ref="AA39:AC41"/>
    <mergeCell ref="AD45:AE47"/>
    <mergeCell ref="AF45:AH47"/>
    <mergeCell ref="AI45:AJ47"/>
    <mergeCell ref="AK45:AM47"/>
    <mergeCell ref="J46:L46"/>
    <mergeCell ref="J47:L47"/>
    <mergeCell ref="A48:F50"/>
    <mergeCell ref="G48:I50"/>
    <mergeCell ref="J48:L48"/>
    <mergeCell ref="M48:N50"/>
    <mergeCell ref="O48:Q50"/>
    <mergeCell ref="R48:T50"/>
    <mergeCell ref="U48:W50"/>
    <mergeCell ref="X48:Z50"/>
    <mergeCell ref="AA48:AC50"/>
    <mergeCell ref="AD48:AE50"/>
    <mergeCell ref="AF48:AH50"/>
    <mergeCell ref="AI48:AJ50"/>
    <mergeCell ref="AK48:AM50"/>
    <mergeCell ref="J49:L49"/>
    <mergeCell ref="J50:L50"/>
    <mergeCell ref="A45:F47"/>
    <mergeCell ref="G45:I47"/>
    <mergeCell ref="J45:L45"/>
    <mergeCell ref="M45:N47"/>
    <mergeCell ref="O45:Q47"/>
    <mergeCell ref="R45:T47"/>
    <mergeCell ref="AK51:AM53"/>
    <mergeCell ref="J52:L52"/>
    <mergeCell ref="J53:L53"/>
    <mergeCell ref="A54:F56"/>
    <mergeCell ref="G54:I56"/>
    <mergeCell ref="J54:L54"/>
    <mergeCell ref="M54:N56"/>
    <mergeCell ref="O54:Q56"/>
    <mergeCell ref="R54:T56"/>
    <mergeCell ref="U54:W56"/>
    <mergeCell ref="X54:Z56"/>
    <mergeCell ref="AA54:AC56"/>
    <mergeCell ref="AD54:AE56"/>
    <mergeCell ref="AF54:AH56"/>
    <mergeCell ref="AI54:AJ56"/>
    <mergeCell ref="AK54:AM56"/>
    <mergeCell ref="J55:L55"/>
    <mergeCell ref="J56:L56"/>
    <mergeCell ref="A51:F53"/>
    <mergeCell ref="G51:I53"/>
    <mergeCell ref="J51:L51"/>
    <mergeCell ref="M51:N53"/>
    <mergeCell ref="O51:Q53"/>
    <mergeCell ref="R51:T53"/>
    <mergeCell ref="U57:W59"/>
    <mergeCell ref="X57:Z59"/>
    <mergeCell ref="AA57:AC59"/>
    <mergeCell ref="AD51:AE53"/>
    <mergeCell ref="AF51:AH53"/>
    <mergeCell ref="AI51:AJ53"/>
    <mergeCell ref="U51:W53"/>
    <mergeCell ref="X51:Z53"/>
    <mergeCell ref="AA51:AC53"/>
    <mergeCell ref="AD57:AE59"/>
    <mergeCell ref="AF57:AH59"/>
    <mergeCell ref="AI57:AJ59"/>
    <mergeCell ref="AK57:AM59"/>
    <mergeCell ref="J58:L58"/>
    <mergeCell ref="J59:L59"/>
    <mergeCell ref="A60:F62"/>
    <mergeCell ref="G60:I62"/>
    <mergeCell ref="J60:L60"/>
    <mergeCell ref="M60:N62"/>
    <mergeCell ref="O60:Q62"/>
    <mergeCell ref="R60:T62"/>
    <mergeCell ref="U60:W62"/>
    <mergeCell ref="X60:Z62"/>
    <mergeCell ref="AA60:AC62"/>
    <mergeCell ref="AD60:AE62"/>
    <mergeCell ref="AF60:AH62"/>
    <mergeCell ref="AI60:AJ62"/>
    <mergeCell ref="AK60:AM62"/>
    <mergeCell ref="J61:L61"/>
    <mergeCell ref="J62:L62"/>
    <mergeCell ref="A57:F59"/>
    <mergeCell ref="G57:I59"/>
    <mergeCell ref="J57:L57"/>
    <mergeCell ref="M57:N59"/>
    <mergeCell ref="O57:Q59"/>
    <mergeCell ref="R57:T59"/>
    <mergeCell ref="AK63:AM65"/>
    <mergeCell ref="J64:L64"/>
    <mergeCell ref="J65:L65"/>
    <mergeCell ref="A66:F68"/>
    <mergeCell ref="G66:I68"/>
    <mergeCell ref="J66:L66"/>
    <mergeCell ref="M66:N68"/>
    <mergeCell ref="O66:Q68"/>
    <mergeCell ref="R66:T68"/>
    <mergeCell ref="U66:W68"/>
    <mergeCell ref="X66:Z68"/>
    <mergeCell ref="AA66:AC68"/>
    <mergeCell ref="AD66:AE68"/>
    <mergeCell ref="AF66:AH68"/>
    <mergeCell ref="AI66:AJ68"/>
    <mergeCell ref="AK66:AM68"/>
    <mergeCell ref="J67:L67"/>
    <mergeCell ref="J68:L68"/>
    <mergeCell ref="A63:F65"/>
    <mergeCell ref="G63:I65"/>
    <mergeCell ref="J63:L63"/>
    <mergeCell ref="M63:N65"/>
    <mergeCell ref="O63:Q65"/>
    <mergeCell ref="R63:T65"/>
    <mergeCell ref="AA79:AC81"/>
    <mergeCell ref="AD63:AE65"/>
    <mergeCell ref="AF63:AH65"/>
    <mergeCell ref="AI63:AJ65"/>
    <mergeCell ref="U63:W65"/>
    <mergeCell ref="X63:Z65"/>
    <mergeCell ref="AA63:AC65"/>
    <mergeCell ref="X76:Z78"/>
    <mergeCell ref="AA76:AC78"/>
    <mergeCell ref="AD76:AE78"/>
    <mergeCell ref="AF76:AH78"/>
    <mergeCell ref="AI76:AJ78"/>
    <mergeCell ref="AD79:AE81"/>
    <mergeCell ref="AF79:AH81"/>
    <mergeCell ref="AI79:AJ81"/>
    <mergeCell ref="AK79:AM81"/>
    <mergeCell ref="J80:L80"/>
    <mergeCell ref="J81:L81"/>
    <mergeCell ref="A82:F84"/>
    <mergeCell ref="G82:I84"/>
    <mergeCell ref="J82:L82"/>
    <mergeCell ref="M82:N84"/>
    <mergeCell ref="O82:Q84"/>
    <mergeCell ref="R82:T84"/>
    <mergeCell ref="U82:W84"/>
    <mergeCell ref="X82:Z84"/>
    <mergeCell ref="AA82:AC84"/>
    <mergeCell ref="AD82:AE84"/>
    <mergeCell ref="AF82:AH84"/>
    <mergeCell ref="AI82:AJ84"/>
    <mergeCell ref="AK82:AM84"/>
    <mergeCell ref="J83:L83"/>
    <mergeCell ref="J84:L84"/>
    <mergeCell ref="A79:F81"/>
    <mergeCell ref="G79:I81"/>
    <mergeCell ref="J79:L79"/>
    <mergeCell ref="R79:T81"/>
    <mergeCell ref="U79:W81"/>
    <mergeCell ref="X79:Z81"/>
    <mergeCell ref="AK85:AM87"/>
    <mergeCell ref="J86:L86"/>
    <mergeCell ref="J87:L87"/>
    <mergeCell ref="A88:F90"/>
    <mergeCell ref="G88:I90"/>
    <mergeCell ref="J88:L88"/>
    <mergeCell ref="M88:N90"/>
    <mergeCell ref="O88:Q90"/>
    <mergeCell ref="R88:T90"/>
    <mergeCell ref="U88:W90"/>
    <mergeCell ref="X88:Z90"/>
    <mergeCell ref="AA88:AC90"/>
    <mergeCell ref="AD88:AE90"/>
    <mergeCell ref="AF88:AH90"/>
    <mergeCell ref="AI88:AJ90"/>
    <mergeCell ref="AK88:AM90"/>
    <mergeCell ref="J89:L89"/>
    <mergeCell ref="J90:L90"/>
    <mergeCell ref="A85:F87"/>
    <mergeCell ref="G85:I87"/>
    <mergeCell ref="J85:L85"/>
    <mergeCell ref="M85:N87"/>
    <mergeCell ref="O85:Q87"/>
    <mergeCell ref="R85:T87"/>
    <mergeCell ref="U91:W93"/>
    <mergeCell ref="X91:Z93"/>
    <mergeCell ref="AA91:AC93"/>
    <mergeCell ref="AD85:AE87"/>
    <mergeCell ref="AF85:AH87"/>
    <mergeCell ref="AI85:AJ87"/>
    <mergeCell ref="U85:W87"/>
    <mergeCell ref="X85:Z87"/>
    <mergeCell ref="AA85:AC87"/>
    <mergeCell ref="AD91:AE93"/>
    <mergeCell ref="AF91:AH93"/>
    <mergeCell ref="AI91:AJ93"/>
    <mergeCell ref="AK91:AM93"/>
    <mergeCell ref="J92:L92"/>
    <mergeCell ref="J93:L93"/>
    <mergeCell ref="A94:F96"/>
    <mergeCell ref="G94:I96"/>
    <mergeCell ref="J94:L94"/>
    <mergeCell ref="M94:N96"/>
    <mergeCell ref="O94:Q96"/>
    <mergeCell ref="R94:T96"/>
    <mergeCell ref="U94:W96"/>
    <mergeCell ref="X94:Z96"/>
    <mergeCell ref="AA94:AC96"/>
    <mergeCell ref="AD94:AE96"/>
    <mergeCell ref="AF94:AH96"/>
    <mergeCell ref="AI94:AJ96"/>
    <mergeCell ref="AK94:AM96"/>
    <mergeCell ref="J95:L95"/>
    <mergeCell ref="J96:L96"/>
    <mergeCell ref="A91:F93"/>
    <mergeCell ref="G91:I93"/>
    <mergeCell ref="J91:L91"/>
    <mergeCell ref="M91:N93"/>
    <mergeCell ref="O91:Q93"/>
    <mergeCell ref="R91:T93"/>
    <mergeCell ref="AK97:AM99"/>
    <mergeCell ref="J98:L98"/>
    <mergeCell ref="J99:L99"/>
    <mergeCell ref="A100:F102"/>
    <mergeCell ref="G100:I102"/>
    <mergeCell ref="J100:L100"/>
    <mergeCell ref="M100:N102"/>
    <mergeCell ref="O100:Q102"/>
    <mergeCell ref="R100:T102"/>
    <mergeCell ref="U100:W102"/>
    <mergeCell ref="X100:Z102"/>
    <mergeCell ref="AA100:AC102"/>
    <mergeCell ref="AD100:AE102"/>
    <mergeCell ref="AF100:AH102"/>
    <mergeCell ref="AI100:AJ102"/>
    <mergeCell ref="AK100:AM102"/>
    <mergeCell ref="J101:L101"/>
    <mergeCell ref="J102:L102"/>
    <mergeCell ref="A97:F99"/>
    <mergeCell ref="G97:I99"/>
    <mergeCell ref="J97:L97"/>
    <mergeCell ref="M97:N99"/>
    <mergeCell ref="O97:Q99"/>
    <mergeCell ref="R97:T99"/>
    <mergeCell ref="U103:W105"/>
    <mergeCell ref="X103:Z105"/>
    <mergeCell ref="AA103:AC105"/>
    <mergeCell ref="AD97:AE99"/>
    <mergeCell ref="AF97:AH99"/>
    <mergeCell ref="AI97:AJ99"/>
    <mergeCell ref="U97:W99"/>
    <mergeCell ref="X97:Z99"/>
    <mergeCell ref="AA97:AC99"/>
    <mergeCell ref="AD103:AE105"/>
    <mergeCell ref="AF103:AH105"/>
    <mergeCell ref="AI103:AJ105"/>
    <mergeCell ref="AK103:AM105"/>
    <mergeCell ref="J104:L104"/>
    <mergeCell ref="J105:L105"/>
    <mergeCell ref="A106:F108"/>
    <mergeCell ref="G106:I108"/>
    <mergeCell ref="J106:L106"/>
    <mergeCell ref="M106:N108"/>
    <mergeCell ref="O106:Q108"/>
    <mergeCell ref="R106:T108"/>
    <mergeCell ref="U106:W108"/>
    <mergeCell ref="X106:Z108"/>
    <mergeCell ref="AA106:AC108"/>
    <mergeCell ref="AD106:AE108"/>
    <mergeCell ref="AF106:AH108"/>
    <mergeCell ref="AI106:AJ108"/>
    <mergeCell ref="AK106:AM108"/>
    <mergeCell ref="J107:L107"/>
    <mergeCell ref="J108:L108"/>
    <mergeCell ref="A103:F105"/>
    <mergeCell ref="G103:I105"/>
    <mergeCell ref="J103:L103"/>
    <mergeCell ref="M103:N105"/>
    <mergeCell ref="O103:Q105"/>
    <mergeCell ref="R103:T105"/>
    <mergeCell ref="B174:K174"/>
    <mergeCell ref="L174:N174"/>
    <mergeCell ref="O174:Q174"/>
    <mergeCell ref="R174:U174"/>
    <mergeCell ref="V174:W174"/>
    <mergeCell ref="X174:AA174"/>
    <mergeCell ref="AB174:AE174"/>
    <mergeCell ref="AF174:AI174"/>
    <mergeCell ref="AJ174:AM174"/>
    <mergeCell ref="B175:K175"/>
    <mergeCell ref="L175:N175"/>
    <mergeCell ref="O175:Q175"/>
    <mergeCell ref="R175:U175"/>
    <mergeCell ref="V175:W175"/>
    <mergeCell ref="X175:AA175"/>
    <mergeCell ref="AB175:AE175"/>
    <mergeCell ref="AF175:AI175"/>
    <mergeCell ref="AJ175:AM175"/>
  </mergeCells>
  <hyperlinks>
    <hyperlink ref="G11" r:id="rId1" xr:uid="{2A3B6A5F-93E5-4532-9806-DB930DA1E5D5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1546-330E-4708-9C23-CA41314AC764}">
  <dimension ref="A1:AM333"/>
  <sheetViews>
    <sheetView view="pageLayout" zoomScale="140" zoomScaleNormal="100" zoomScalePageLayoutView="140" workbookViewId="0">
      <selection activeCell="AC27" sqref="AC27"/>
    </sheetView>
  </sheetViews>
  <sheetFormatPr defaultColWidth="10.625" defaultRowHeight="15.75"/>
  <cols>
    <col min="1" max="4" width="2.375" customWidth="1"/>
    <col min="5" max="5" width="2.125" customWidth="1"/>
    <col min="6" max="6" width="2.375" hidden="1" customWidth="1"/>
    <col min="7" max="33" width="2.375" customWidth="1"/>
    <col min="34" max="34" width="1.5" customWidth="1"/>
    <col min="35" max="39" width="2.375" customWidth="1"/>
  </cols>
  <sheetData>
    <row r="1" spans="1:39" ht="18" customHeight="1">
      <c r="A1" s="705" t="s">
        <v>1503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5"/>
    </row>
    <row r="2" spans="1:39">
      <c r="A2" s="52"/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</row>
    <row r="3" spans="1:39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</row>
    <row r="4" spans="1:39" ht="33.950000000000003" customHeight="1">
      <c r="A4" s="703" t="s">
        <v>751</v>
      </c>
      <c r="B4" s="703"/>
      <c r="C4" s="703"/>
      <c r="D4" s="703"/>
      <c r="E4" s="703"/>
      <c r="F4" s="703"/>
      <c r="G4" s="703" t="str">
        <f>'Date SPV'!$D$33</f>
        <v>New Energy Management SRL</v>
      </c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61"/>
      <c r="U4" s="703" t="s">
        <v>752</v>
      </c>
      <c r="V4" s="703"/>
      <c r="W4" s="703"/>
      <c r="X4" s="703"/>
      <c r="Y4" s="703"/>
      <c r="Z4" s="703"/>
      <c r="AA4" s="704" t="str">
        <f>VLOOKUP(AA16,'Date SPV'!$B:$P,3,FALSE)</f>
        <v>Nepi Ten Development Solutions  SRL</v>
      </c>
      <c r="AB4" s="704"/>
      <c r="AC4" s="704"/>
      <c r="AD4" s="704"/>
      <c r="AE4" s="704"/>
      <c r="AF4" s="704"/>
      <c r="AG4" s="704"/>
      <c r="AH4" s="704"/>
      <c r="AI4" s="704"/>
      <c r="AJ4" s="704"/>
      <c r="AK4" s="704"/>
      <c r="AL4" s="704"/>
      <c r="AM4" s="704"/>
    </row>
    <row r="5" spans="1:39" ht="45.2" customHeight="1">
      <c r="A5" s="695" t="s">
        <v>735</v>
      </c>
      <c r="B5" s="695"/>
      <c r="C5" s="695"/>
      <c r="D5" s="695"/>
      <c r="E5" s="695"/>
      <c r="F5" s="695"/>
      <c r="G5" s="695" t="str">
        <f>'Date SPV'!$P$33</f>
        <v>Calea Floreasca nr. 169A, Cladirea A, etajul 5, sectiunea A5.1, biroul nr. 36, Sector 1, Bucuresti</v>
      </c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54"/>
      <c r="U5" s="695" t="s">
        <v>735</v>
      </c>
      <c r="V5" s="695"/>
      <c r="W5" s="695"/>
      <c r="X5" s="695"/>
      <c r="Y5" s="695"/>
      <c r="Z5" s="695"/>
      <c r="AA5" s="695" t="str">
        <f>VLOOKUP(AA16,'Date SPV'!$B:$P,15,FALSE)</f>
        <v>Calea Floreasca nr. 169A, Cladirea A, etajul 5, sectiunea A5.1, biroul nr. 24, Sector 1, Bucuresti</v>
      </c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</row>
    <row r="6" spans="1:39" ht="33.950000000000003" customHeight="1">
      <c r="A6" s="695" t="s">
        <v>736</v>
      </c>
      <c r="B6" s="695"/>
      <c r="C6" s="695"/>
      <c r="D6" s="695"/>
      <c r="E6" s="695"/>
      <c r="F6" s="695"/>
      <c r="G6" s="695" t="str">
        <f>'Date SPV'!$M$33</f>
        <v>RO32704683</v>
      </c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54"/>
      <c r="U6" s="695" t="s">
        <v>736</v>
      </c>
      <c r="V6" s="695"/>
      <c r="W6" s="695"/>
      <c r="X6" s="695"/>
      <c r="Y6" s="695"/>
      <c r="Z6" s="695"/>
      <c r="AA6" s="695" t="str">
        <f>VLOOKUP(AA16,'Date SPV'!$B:$P,12,FALSE)</f>
        <v>RO30356078</v>
      </c>
      <c r="AB6" s="695"/>
      <c r="AC6" s="695"/>
      <c r="AD6" s="695"/>
      <c r="AE6" s="695"/>
      <c r="AF6" s="695"/>
      <c r="AG6" s="695"/>
      <c r="AH6" s="695"/>
      <c r="AI6" s="695"/>
      <c r="AJ6" s="695"/>
      <c r="AK6" s="695"/>
      <c r="AL6" s="695"/>
      <c r="AM6" s="695"/>
    </row>
    <row r="7" spans="1:39" ht="33.950000000000003" customHeight="1">
      <c r="A7" s="695" t="s">
        <v>737</v>
      </c>
      <c r="B7" s="695"/>
      <c r="C7" s="695"/>
      <c r="D7" s="695"/>
      <c r="E7" s="695"/>
      <c r="F7" s="695"/>
      <c r="G7" s="695" t="str">
        <f>'Date SPV'!$N$33</f>
        <v>J/40/1471/2007</v>
      </c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54"/>
      <c r="U7" s="695" t="s">
        <v>737</v>
      </c>
      <c r="V7" s="695"/>
      <c r="W7" s="695"/>
      <c r="X7" s="695"/>
      <c r="Y7" s="695"/>
      <c r="Z7" s="695"/>
      <c r="AA7" s="695" t="str">
        <f>VLOOKUP(AA16,'Date SPV'!$B:$P,13,FALSE)</f>
        <v>J40/7298/2012</v>
      </c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</row>
    <row r="8" spans="1:39" ht="33.950000000000003" customHeight="1">
      <c r="A8" s="695" t="s">
        <v>738</v>
      </c>
      <c r="B8" s="695"/>
      <c r="C8" s="695"/>
      <c r="D8" s="695"/>
      <c r="E8" s="695"/>
      <c r="F8" s="695"/>
      <c r="G8" s="695" t="str">
        <f>'Date SPV'!$O$33</f>
        <v>RO48 RZBR 0000 0600 1826 4047</v>
      </c>
      <c r="H8" s="695"/>
      <c r="I8" s="695"/>
      <c r="J8" s="695"/>
      <c r="K8" s="695"/>
      <c r="L8" s="695"/>
      <c r="M8" s="695"/>
      <c r="N8" s="695"/>
      <c r="O8" s="695"/>
      <c r="P8" s="695"/>
      <c r="Q8" s="695"/>
      <c r="R8" s="695"/>
      <c r="S8" s="695"/>
      <c r="T8" s="54"/>
      <c r="U8" s="695" t="s">
        <v>738</v>
      </c>
      <c r="V8" s="695"/>
      <c r="W8" s="695"/>
      <c r="X8" s="695"/>
      <c r="Y8" s="695"/>
      <c r="Z8" s="695"/>
      <c r="AA8" s="695" t="str">
        <f>VLOOKUP(AA16,'Date SPV'!$B:$P,14,FALSE)</f>
        <v>RO44 UGBI 0000 6520 0209 4RON</v>
      </c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</row>
    <row r="9" spans="1:39" ht="33.950000000000003" customHeight="1">
      <c r="A9" s="649" t="s">
        <v>739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54"/>
      <c r="U9" s="695" t="s">
        <v>834</v>
      </c>
      <c r="V9" s="695"/>
      <c r="W9" s="695"/>
      <c r="X9" s="695"/>
      <c r="Y9" s="695"/>
      <c r="Z9" s="695"/>
      <c r="AA9" s="695" t="str">
        <f>VLOOKUP(AA16,'Date SPV'!$B:$P,6,FALSE)</f>
        <v>46/13.08.2024</v>
      </c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</row>
    <row r="10" spans="1:39" ht="33.950000000000003" customHeight="1">
      <c r="A10" s="695" t="s">
        <v>706</v>
      </c>
      <c r="B10" s="695"/>
      <c r="C10" s="695"/>
      <c r="D10" s="695"/>
      <c r="E10" s="695"/>
      <c r="F10" s="695"/>
      <c r="G10" s="695" t="str">
        <f>"+40212321398"</f>
        <v>+40212321398</v>
      </c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54"/>
      <c r="U10" s="695" t="s">
        <v>835</v>
      </c>
      <c r="V10" s="695"/>
      <c r="W10" s="695"/>
      <c r="X10" s="695"/>
      <c r="Y10" s="695"/>
      <c r="Z10" s="695"/>
      <c r="AA10" s="695" t="str">
        <f>VLOOKUP(AA16,'Date SPV'!$B:$P,7,FALSE)</f>
        <v>47/13.08.2024</v>
      </c>
      <c r="AB10" s="695"/>
      <c r="AC10" s="695"/>
      <c r="AD10" s="695"/>
      <c r="AE10" s="695"/>
      <c r="AF10" s="695"/>
      <c r="AG10" s="695"/>
      <c r="AH10" s="695"/>
      <c r="AI10" s="695"/>
      <c r="AJ10" s="695"/>
      <c r="AK10" s="695"/>
      <c r="AL10" s="695"/>
      <c r="AM10" s="695"/>
    </row>
    <row r="11" spans="1:39" ht="33.950000000000003" customHeight="1">
      <c r="A11" s="695" t="s">
        <v>707</v>
      </c>
      <c r="B11" s="695"/>
      <c r="C11" s="695"/>
      <c r="D11" s="695"/>
      <c r="E11" s="695"/>
      <c r="F11" s="695"/>
      <c r="G11" s="695" t="s">
        <v>708</v>
      </c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  <c r="T11" s="54"/>
      <c r="U11" s="695" t="s">
        <v>836</v>
      </c>
      <c r="V11" s="695"/>
      <c r="W11" s="695"/>
      <c r="X11" s="695"/>
      <c r="Y11" s="695"/>
      <c r="Z11" s="695"/>
      <c r="AA11" s="709">
        <f>VLOOKUP(AA16,'Date SPV'!$B:$P,10,FALSE)</f>
        <v>45536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</row>
    <row r="12" spans="1:39" ht="33.950000000000003" customHeight="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U12" s="695" t="s">
        <v>837</v>
      </c>
      <c r="V12" s="695"/>
      <c r="W12" s="695"/>
      <c r="X12" s="695"/>
      <c r="Y12" s="695"/>
      <c r="Z12" s="695"/>
      <c r="AA12" s="709">
        <f>VLOOKUP(AA16,'Date SPV'!$B:$P,11,FALSE)</f>
        <v>45716</v>
      </c>
      <c r="AB12" s="709"/>
      <c r="AC12" s="709"/>
      <c r="AD12" s="709"/>
      <c r="AE12" s="709"/>
      <c r="AF12" s="709"/>
      <c r="AG12" s="709"/>
      <c r="AH12" s="709"/>
      <c r="AI12" s="709"/>
      <c r="AJ12" s="709"/>
      <c r="AK12" s="709"/>
      <c r="AL12" s="709"/>
      <c r="AM12" s="709"/>
    </row>
    <row r="13" spans="1:39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</row>
    <row r="14" spans="1:39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</row>
    <row r="15" spans="1:39" ht="33.950000000000003" customHeight="1">
      <c r="A15" s="695" t="s">
        <v>749</v>
      </c>
      <c r="B15" s="695"/>
      <c r="C15" s="695"/>
      <c r="D15" s="695"/>
      <c r="E15" s="695"/>
      <c r="F15" s="698"/>
      <c r="G15" s="706">
        <f>'Date masura OD'!$I$5</f>
        <v>45778</v>
      </c>
      <c r="H15" s="707"/>
      <c r="I15" s="707"/>
      <c r="J15" s="707"/>
      <c r="K15" s="707"/>
      <c r="L15" s="707"/>
      <c r="M15" s="68" t="s">
        <v>69</v>
      </c>
      <c r="N15" s="707">
        <f>'Date masura OD'!$J$5</f>
        <v>45808</v>
      </c>
      <c r="O15" s="707"/>
      <c r="P15" s="707"/>
      <c r="Q15" s="707"/>
      <c r="R15" s="707"/>
      <c r="S15" s="708"/>
      <c r="T15" s="67"/>
      <c r="U15" s="695" t="s">
        <v>857</v>
      </c>
      <c r="V15" s="695"/>
      <c r="W15" s="695"/>
      <c r="X15" s="695"/>
      <c r="Y15" s="695"/>
      <c r="Z15" s="695"/>
      <c r="AA15" s="649" t="s">
        <v>755</v>
      </c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</row>
    <row r="16" spans="1:39" ht="33.950000000000003" customHeight="1">
      <c r="A16" s="695" t="s">
        <v>753</v>
      </c>
      <c r="B16" s="695"/>
      <c r="C16" s="695"/>
      <c r="D16" s="695"/>
      <c r="E16" s="695"/>
      <c r="F16" s="695"/>
      <c r="G16" s="696" t="s">
        <v>754</v>
      </c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7"/>
      <c r="U16" s="695" t="s">
        <v>750</v>
      </c>
      <c r="V16" s="695"/>
      <c r="W16" s="695"/>
      <c r="X16" s="695"/>
      <c r="Y16" s="695"/>
      <c r="Z16" s="695"/>
      <c r="AA16" s="697" t="s">
        <v>1231</v>
      </c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</row>
    <row r="17" spans="1:39">
      <c r="A17" s="62"/>
      <c r="B17" s="62"/>
      <c r="C17" s="62"/>
      <c r="D17" s="62"/>
      <c r="E17" s="62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U17" s="62"/>
      <c r="V17" s="62"/>
      <c r="W17" s="62"/>
      <c r="X17" s="62"/>
      <c r="Y17" s="62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</row>
    <row r="18" spans="1:39" ht="25.5" customHeight="1">
      <c r="A18" s="54"/>
      <c r="B18" s="55"/>
      <c r="C18" s="694" t="s">
        <v>710</v>
      </c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4"/>
      <c r="V18" s="694"/>
      <c r="W18" s="694"/>
      <c r="X18" s="694"/>
      <c r="Y18" s="694"/>
      <c r="Z18" s="694"/>
      <c r="AA18" s="694"/>
      <c r="AB18" s="694"/>
    </row>
    <row r="19" spans="1:39" ht="25.5" customHeight="1">
      <c r="A19" s="619">
        <v>1</v>
      </c>
      <c r="B19" s="619"/>
      <c r="C19" s="710" t="s">
        <v>862</v>
      </c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1">
        <f>AB333</f>
        <v>15666.47</v>
      </c>
      <c r="AD19" s="711"/>
      <c r="AE19" s="711"/>
      <c r="AF19" s="711"/>
      <c r="AG19" s="711"/>
      <c r="AH19" s="711"/>
      <c r="AI19" s="711"/>
      <c r="AJ19" s="711"/>
      <c r="AK19" s="710" t="s">
        <v>711</v>
      </c>
      <c r="AL19" s="710"/>
      <c r="AM19" s="710"/>
    </row>
    <row r="20" spans="1:39" ht="25.5" customHeight="1">
      <c r="A20" s="619">
        <v>2</v>
      </c>
      <c r="B20" s="619"/>
      <c r="C20" s="710" t="s">
        <v>740</v>
      </c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1">
        <f>AF333</f>
        <v>2976.6299999999997</v>
      </c>
      <c r="AD20" s="711"/>
      <c r="AE20" s="711"/>
      <c r="AF20" s="711"/>
      <c r="AG20" s="711"/>
      <c r="AH20" s="711"/>
      <c r="AI20" s="711"/>
      <c r="AJ20" s="711"/>
      <c r="AK20" s="710" t="s">
        <v>711</v>
      </c>
      <c r="AL20" s="710"/>
      <c r="AM20" s="710"/>
    </row>
    <row r="21" spans="1:39" ht="25.5" customHeight="1">
      <c r="A21" s="619">
        <v>3</v>
      </c>
      <c r="B21" s="619"/>
      <c r="C21" s="710" t="s">
        <v>741</v>
      </c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1">
        <f>AJ333</f>
        <v>18643.099999999995</v>
      </c>
      <c r="AD21" s="711"/>
      <c r="AE21" s="711"/>
      <c r="AF21" s="711"/>
      <c r="AG21" s="711"/>
      <c r="AH21" s="711"/>
      <c r="AI21" s="711"/>
      <c r="AJ21" s="711"/>
      <c r="AK21" s="710" t="s">
        <v>711</v>
      </c>
      <c r="AL21" s="710"/>
      <c r="AM21" s="710"/>
    </row>
    <row r="22" spans="1:39" ht="25.5" customHeight="1">
      <c r="A22" s="619">
        <v>4</v>
      </c>
      <c r="B22" s="619"/>
      <c r="C22" s="710" t="s">
        <v>742</v>
      </c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1">
        <v>0</v>
      </c>
      <c r="AD22" s="711"/>
      <c r="AE22" s="711"/>
      <c r="AF22" s="711"/>
      <c r="AG22" s="711"/>
      <c r="AH22" s="711"/>
      <c r="AI22" s="711"/>
      <c r="AJ22" s="711"/>
      <c r="AK22" s="710" t="s">
        <v>711</v>
      </c>
      <c r="AL22" s="710"/>
      <c r="AM22" s="710"/>
    </row>
    <row r="23" spans="1:39" ht="25.5" customHeight="1">
      <c r="A23" s="619">
        <v>6</v>
      </c>
      <c r="B23" s="619"/>
      <c r="C23" s="710" t="s">
        <v>743</v>
      </c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1">
        <f>AC21</f>
        <v>18643.099999999995</v>
      </c>
      <c r="AD23" s="711"/>
      <c r="AE23" s="711"/>
      <c r="AF23" s="711"/>
      <c r="AG23" s="711"/>
      <c r="AH23" s="711"/>
      <c r="AI23" s="711"/>
      <c r="AJ23" s="711"/>
      <c r="AK23" s="710" t="s">
        <v>711</v>
      </c>
      <c r="AL23" s="710"/>
      <c r="AM23" s="710"/>
    </row>
    <row r="24" spans="1:39" ht="25.5" customHeight="1">
      <c r="A24" s="619">
        <v>7</v>
      </c>
      <c r="B24" s="619"/>
      <c r="C24" s="710" t="s">
        <v>744</v>
      </c>
      <c r="D24" s="710"/>
      <c r="E24" s="710"/>
      <c r="F24" s="710"/>
      <c r="G24" s="710"/>
      <c r="H24" s="710"/>
      <c r="I24" s="710"/>
      <c r="J24" s="710"/>
      <c r="K24" s="710"/>
      <c r="L24" s="710"/>
      <c r="M24" s="710"/>
      <c r="N24" s="710"/>
      <c r="O24" s="710"/>
      <c r="P24" s="710"/>
      <c r="Q24" s="710"/>
      <c r="R24" s="710"/>
      <c r="S24" s="710"/>
      <c r="T24" s="710"/>
      <c r="U24" s="710"/>
      <c r="V24" s="710"/>
      <c r="W24" s="710"/>
      <c r="X24" s="710"/>
      <c r="Y24" s="710"/>
      <c r="Z24" s="710"/>
      <c r="AA24" s="710"/>
      <c r="AB24" s="710"/>
      <c r="AC24" s="711">
        <f>R296+R310+R311+R314</f>
        <v>15463</v>
      </c>
      <c r="AD24" s="711"/>
      <c r="AE24" s="711"/>
      <c r="AF24" s="711"/>
      <c r="AG24" s="711"/>
      <c r="AH24" s="711"/>
      <c r="AI24" s="711"/>
      <c r="AJ24" s="711"/>
      <c r="AK24" s="710" t="s">
        <v>446</v>
      </c>
      <c r="AL24" s="710"/>
      <c r="AM24" s="710"/>
    </row>
    <row r="25" spans="1:39" ht="25.5" customHeight="1">
      <c r="A25" s="619">
        <v>8</v>
      </c>
      <c r="B25" s="619"/>
      <c r="C25" s="710" t="s">
        <v>745</v>
      </c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1">
        <f>AC23/AC24</f>
        <v>1.2056586690810318</v>
      </c>
      <c r="AD25" s="711"/>
      <c r="AE25" s="711"/>
      <c r="AF25" s="711"/>
      <c r="AG25" s="711"/>
      <c r="AH25" s="711"/>
      <c r="AI25" s="711"/>
      <c r="AJ25" s="711"/>
      <c r="AK25" s="710" t="s">
        <v>712</v>
      </c>
      <c r="AL25" s="710"/>
      <c r="AM25" s="710"/>
    </row>
    <row r="26" spans="1:39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</row>
    <row r="28" spans="1:39">
      <c r="A28" s="624" t="s">
        <v>1504</v>
      </c>
      <c r="B28" s="624"/>
      <c r="C28" s="624"/>
      <c r="D28" s="624"/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624"/>
      <c r="U28" s="624"/>
      <c r="V28" s="624"/>
      <c r="W28" s="624"/>
      <c r="X28" s="624"/>
      <c r="Y28" s="624"/>
      <c r="Z28" s="624"/>
      <c r="AA28" s="624"/>
      <c r="AB28" s="624"/>
      <c r="AC28" s="624"/>
      <c r="AD28" s="624"/>
      <c r="AE28" s="624"/>
      <c r="AF28" s="624"/>
      <c r="AG28" s="624"/>
      <c r="AH28" s="624"/>
      <c r="AI28" s="624"/>
      <c r="AJ28" s="624"/>
      <c r="AK28" s="624"/>
      <c r="AL28" s="624"/>
      <c r="AM28" s="624"/>
    </row>
    <row r="29" spans="1:39" ht="14.1" customHeight="1">
      <c r="A29" s="695" t="s">
        <v>858</v>
      </c>
      <c r="B29" s="695"/>
      <c r="C29" s="695"/>
      <c r="D29" s="695"/>
      <c r="E29" s="695"/>
      <c r="F29" s="695"/>
      <c r="G29" s="695"/>
      <c r="H29" s="695" t="str">
        <f>VLOOKUP(AA16,'Date SPV'!$B:$H,4,FALSE)</f>
        <v>Strada Livezeni, FN, Petrosani Jud: Hunedoara</v>
      </c>
      <c r="I29" s="695"/>
      <c r="J29" s="695"/>
      <c r="K29" s="695"/>
      <c r="L29" s="695"/>
      <c r="M29" s="695"/>
      <c r="N29" s="695"/>
      <c r="O29" s="695"/>
      <c r="P29" s="695"/>
      <c r="Q29" s="695"/>
      <c r="R29" s="695"/>
      <c r="S29" s="695"/>
      <c r="T29" s="695"/>
      <c r="U29" s="695"/>
      <c r="V29" s="695"/>
      <c r="W29" s="695"/>
      <c r="X29" s="695"/>
      <c r="Y29" s="695"/>
      <c r="Z29" s="695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</row>
    <row r="30" spans="1:39" ht="14.1" customHeight="1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5"/>
      <c r="Q30" s="695"/>
      <c r="R30" s="695"/>
      <c r="S30" s="695"/>
      <c r="T30" s="695"/>
      <c r="U30" s="695"/>
      <c r="V30" s="695"/>
      <c r="W30" s="695"/>
      <c r="X30" s="695"/>
      <c r="Y30" s="695"/>
      <c r="Z30" s="695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</row>
    <row r="31" spans="1:39" ht="14.1" customHeight="1">
      <c r="A31" s="695" t="s">
        <v>859</v>
      </c>
      <c r="B31" s="695"/>
      <c r="C31" s="695"/>
      <c r="D31" s="695"/>
      <c r="E31" s="695"/>
      <c r="F31" s="695"/>
      <c r="G31" s="695"/>
      <c r="H31" s="712">
        <f>VLOOKUP(LEFT(M34,15),'Date masura OD'!E:BE,53,0)</f>
        <v>5000582524</v>
      </c>
      <c r="I31" s="712"/>
      <c r="J31" s="712"/>
      <c r="K31" s="712"/>
      <c r="L31" s="712"/>
      <c r="M31" s="712"/>
      <c r="N31" s="712"/>
      <c r="O31" s="712"/>
      <c r="P31" s="712"/>
      <c r="Q31" s="712"/>
      <c r="R31" s="712"/>
      <c r="S31" s="712"/>
      <c r="T31" s="712"/>
      <c r="U31" s="712"/>
      <c r="V31" s="712"/>
      <c r="W31" s="712" t="s">
        <v>860</v>
      </c>
      <c r="X31" s="712"/>
      <c r="Y31" s="712"/>
      <c r="Z31" s="712"/>
      <c r="AA31" s="640" t="str">
        <f>_xlfn.CONCAT($AA$16,"_",1)</f>
        <v>RN10_Petrosani_1</v>
      </c>
      <c r="AB31" s="640"/>
      <c r="AC31" s="640"/>
      <c r="AD31" s="640"/>
      <c r="AE31" s="640"/>
      <c r="AF31" s="640"/>
      <c r="AG31" s="640"/>
      <c r="AH31" s="640"/>
      <c r="AI31" s="640"/>
      <c r="AJ31" s="640"/>
      <c r="AK31" s="640"/>
      <c r="AL31" s="640"/>
      <c r="AM31" s="640"/>
    </row>
    <row r="32" spans="1:39" ht="14.1" customHeight="1">
      <c r="A32" s="695"/>
      <c r="B32" s="695"/>
      <c r="C32" s="695"/>
      <c r="D32" s="695"/>
      <c r="E32" s="695"/>
      <c r="F32" s="695"/>
      <c r="G32" s="695"/>
      <c r="H32" s="712"/>
      <c r="I32" s="712"/>
      <c r="J32" s="712"/>
      <c r="K32" s="712"/>
      <c r="L32" s="712"/>
      <c r="M32" s="712"/>
      <c r="N32" s="712"/>
      <c r="O32" s="712"/>
      <c r="P32" s="712"/>
      <c r="Q32" s="712"/>
      <c r="R32" s="712"/>
      <c r="S32" s="712"/>
      <c r="T32" s="712"/>
      <c r="U32" s="712"/>
      <c r="V32" s="712"/>
      <c r="W32" s="712"/>
      <c r="X32" s="712"/>
      <c r="Y32" s="712"/>
      <c r="Z32" s="712"/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</row>
    <row r="34" spans="1:39">
      <c r="A34" s="649" t="s">
        <v>748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50" t="str">
        <f>VLOOKUP(AI35,'Contorizare in SDI'!$E:$I,4,FALSE)</f>
        <v>RO005E532351067/1</v>
      </c>
      <c r="N34" s="650"/>
      <c r="O34" s="650"/>
      <c r="P34" s="650"/>
      <c r="Q34" s="650"/>
      <c r="R34" s="650"/>
      <c r="S34" s="650"/>
      <c r="T34" s="650"/>
      <c r="U34" s="650"/>
      <c r="V34" s="650"/>
      <c r="W34" s="650"/>
      <c r="X34" s="650"/>
      <c r="Y34" s="650"/>
      <c r="Z34" s="650"/>
      <c r="AA34" s="650"/>
      <c r="AB34" s="650"/>
      <c r="AC34" s="650"/>
      <c r="AD34" s="650"/>
      <c r="AE34" s="650"/>
      <c r="AF34" s="650"/>
      <c r="AG34" s="650"/>
      <c r="AH34" s="650"/>
      <c r="AI34" s="650" t="s">
        <v>695</v>
      </c>
      <c r="AJ34" s="650"/>
      <c r="AK34" s="650"/>
      <c r="AL34" s="650"/>
      <c r="AM34" s="650"/>
    </row>
    <row r="35" spans="1:39">
      <c r="A35" s="649" t="s">
        <v>746</v>
      </c>
      <c r="B35" s="649"/>
      <c r="C35" s="649"/>
      <c r="D35" s="649"/>
      <c r="E35" s="649"/>
      <c r="F35" s="649"/>
      <c r="G35" s="649"/>
      <c r="H35" s="649"/>
      <c r="I35" s="649"/>
      <c r="J35" s="649"/>
      <c r="K35" s="649"/>
      <c r="L35" s="649"/>
      <c r="M35" s="650" t="str">
        <f>VLOOKUP(AI35,'Inchidere contur'!$G:$U,15,FALSE)</f>
        <v>JT_OD</v>
      </c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650"/>
      <c r="Y35" s="650"/>
      <c r="Z35" s="650"/>
      <c r="AA35" s="650"/>
      <c r="AB35" s="650"/>
      <c r="AC35" s="650"/>
      <c r="AD35" s="650"/>
      <c r="AE35" s="650"/>
      <c r="AF35" s="650"/>
      <c r="AG35" s="650"/>
      <c r="AH35" s="650"/>
      <c r="AI35" s="666" t="str">
        <f>AA31</f>
        <v>RN10_Petrosani_1</v>
      </c>
      <c r="AJ35" s="666"/>
      <c r="AK35" s="666"/>
      <c r="AL35" s="666"/>
      <c r="AM35" s="666"/>
    </row>
    <row r="36" spans="1:39">
      <c r="A36" s="649" t="s">
        <v>747</v>
      </c>
      <c r="B36" s="649"/>
      <c r="C36" s="649"/>
      <c r="D36" s="649"/>
      <c r="E36" s="649"/>
      <c r="F36" s="649"/>
      <c r="G36" s="649"/>
      <c r="H36" s="649"/>
      <c r="I36" s="649"/>
      <c r="J36" s="649"/>
      <c r="K36" s="649"/>
      <c r="L36" s="649"/>
      <c r="M36" s="650" t="str">
        <f>IF(LEFT(M35,2)="JT","0.4kV",IF(LEFT(M35,2)="MT","20kV","-"))</f>
        <v>0.4kV</v>
      </c>
      <c r="N36" s="650"/>
      <c r="O36" s="650"/>
      <c r="P36" s="650"/>
      <c r="Q36" s="650"/>
      <c r="R36" s="650"/>
      <c r="S36" s="650"/>
      <c r="T36" s="650"/>
      <c r="U36" s="650"/>
      <c r="V36" s="650"/>
      <c r="W36" s="650"/>
      <c r="X36" s="650"/>
      <c r="Y36" s="650"/>
      <c r="Z36" s="650"/>
      <c r="AA36" s="650"/>
      <c r="AB36" s="650"/>
      <c r="AC36" s="650"/>
      <c r="AD36" s="650"/>
      <c r="AE36" s="650"/>
      <c r="AF36" s="650"/>
      <c r="AG36" s="650"/>
      <c r="AH36" s="650"/>
      <c r="AI36" s="666"/>
      <c r="AJ36" s="666"/>
      <c r="AK36" s="666"/>
      <c r="AL36" s="666"/>
      <c r="AM36" s="666"/>
    </row>
    <row r="37" spans="1:39" ht="15.95" customHeight="1">
      <c r="A37" s="648" t="s">
        <v>697</v>
      </c>
      <c r="B37" s="648"/>
      <c r="C37" s="648"/>
      <c r="D37" s="648"/>
      <c r="E37" s="648"/>
      <c r="F37" s="648"/>
      <c r="G37" s="647" t="s">
        <v>713</v>
      </c>
      <c r="H37" s="647"/>
      <c r="I37" s="647"/>
      <c r="J37" s="647" t="s">
        <v>714</v>
      </c>
      <c r="K37" s="647"/>
      <c r="L37" s="647"/>
      <c r="M37" s="648" t="s">
        <v>519</v>
      </c>
      <c r="N37" s="648"/>
      <c r="O37" s="648" t="s">
        <v>715</v>
      </c>
      <c r="P37" s="648"/>
      <c r="Q37" s="648"/>
      <c r="R37" s="647" t="s">
        <v>732</v>
      </c>
      <c r="S37" s="647"/>
      <c r="T37" s="647"/>
      <c r="U37" s="647" t="s">
        <v>734</v>
      </c>
      <c r="V37" s="647"/>
      <c r="W37" s="647"/>
      <c r="X37" s="647" t="s">
        <v>1085</v>
      </c>
      <c r="Y37" s="647"/>
      <c r="Z37" s="647"/>
      <c r="AA37" s="647" t="s">
        <v>1086</v>
      </c>
      <c r="AB37" s="647"/>
      <c r="AC37" s="647"/>
      <c r="AD37" s="647" t="s">
        <v>717</v>
      </c>
      <c r="AE37" s="647"/>
      <c r="AF37" s="647" t="s">
        <v>718</v>
      </c>
      <c r="AG37" s="647"/>
      <c r="AH37" s="647"/>
      <c r="AI37" s="647" t="s">
        <v>719</v>
      </c>
      <c r="AJ37" s="647"/>
      <c r="AK37" s="647" t="s">
        <v>733</v>
      </c>
      <c r="AL37" s="647"/>
      <c r="AM37" s="647"/>
    </row>
    <row r="38" spans="1:39">
      <c r="A38" s="648"/>
      <c r="B38" s="648"/>
      <c r="C38" s="648"/>
      <c r="D38" s="648"/>
      <c r="E38" s="648"/>
      <c r="F38" s="648"/>
      <c r="G38" s="647"/>
      <c r="H38" s="647"/>
      <c r="I38" s="647"/>
      <c r="J38" s="647"/>
      <c r="K38" s="647"/>
      <c r="L38" s="647"/>
      <c r="M38" s="648"/>
      <c r="N38" s="648"/>
      <c r="O38" s="648"/>
      <c r="P38" s="648"/>
      <c r="Q38" s="648"/>
      <c r="R38" s="647"/>
      <c r="S38" s="647"/>
      <c r="T38" s="647"/>
      <c r="U38" s="647"/>
      <c r="V38" s="647"/>
      <c r="W38" s="647"/>
      <c r="X38" s="647"/>
      <c r="Y38" s="647"/>
      <c r="Z38" s="647"/>
      <c r="AA38" s="647"/>
      <c r="AB38" s="647"/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</row>
    <row r="39" spans="1:39">
      <c r="A39" s="648"/>
      <c r="B39" s="648"/>
      <c r="C39" s="648"/>
      <c r="D39" s="648"/>
      <c r="E39" s="648"/>
      <c r="F39" s="648"/>
      <c r="G39" s="647"/>
      <c r="H39" s="647"/>
      <c r="I39" s="647"/>
      <c r="J39" s="713"/>
      <c r="K39" s="713"/>
      <c r="L39" s="713"/>
      <c r="M39" s="648"/>
      <c r="N39" s="648"/>
      <c r="O39" s="648"/>
      <c r="P39" s="648"/>
      <c r="Q39" s="648"/>
      <c r="R39" s="647"/>
      <c r="S39" s="647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647"/>
      <c r="AL39" s="647"/>
      <c r="AM39" s="647"/>
    </row>
    <row r="40" spans="1:39" ht="14.1" customHeight="1">
      <c r="A40" s="684" t="str">
        <f>VLOOKUP(AI35,'Contorizare in SDI'!$E:$I,5,FALSE)</f>
        <v>UGEUEDN19210003119</v>
      </c>
      <c r="B40" s="685"/>
      <c r="C40" s="685"/>
      <c r="D40" s="685"/>
      <c r="E40" s="685"/>
      <c r="F40" s="686"/>
      <c r="G40" s="648" t="s">
        <v>730</v>
      </c>
      <c r="H40" s="648"/>
      <c r="I40" s="673"/>
      <c r="J40" s="655">
        <f>'Date masura OD'!$AK$5</f>
        <v>45748</v>
      </c>
      <c r="K40" s="656"/>
      <c r="L40" s="657"/>
      <c r="M40" s="720" t="s">
        <v>446</v>
      </c>
      <c r="N40" s="648"/>
      <c r="O40" s="648">
        <f>VLOOKUP(A49,Regularizare!$D:$AX,2,FALSE)</f>
        <v>20</v>
      </c>
      <c r="P40" s="648"/>
      <c r="Q40" s="648"/>
      <c r="R40" s="647" t="str">
        <f>VLOOKUP(A40,Regularizare!$D:$YN,3,FALSE)&amp;" ("&amp;VLOOKUP(A40,Regularizare!$D:$Y,11,FALSE)&amp;")"</f>
        <v>511 (citit)</v>
      </c>
      <c r="S40" s="647"/>
      <c r="T40" s="647"/>
      <c r="U40" s="647" t="str">
        <f>VLOOKUP(A40,Regularizare!$D:$U,4,FALSE)&amp;" ("&amp;VLOOKUP(A40,Regularizare!$D:$U,12,FALSE)&amp;")"</f>
        <v>709 (estimat)</v>
      </c>
      <c r="V40" s="647"/>
      <c r="W40" s="647"/>
      <c r="X40" s="647" t="str">
        <f>VLOOKUP(A40,Regularizare!$D:$Y,19,FALSE)&amp;" ("&amp;VLOOKUP(A40,Regularizare!$D:$U,12,FALSE)&amp;")"</f>
        <v>3960 (estimat)</v>
      </c>
      <c r="Y40" s="647"/>
      <c r="Z40" s="647"/>
      <c r="AA40" s="647">
        <f>(-1)*VLOOKUP(A40,Regularizare!$D:$Y,19,FALSE)</f>
        <v>-3960</v>
      </c>
      <c r="AB40" s="647"/>
      <c r="AC40" s="647"/>
      <c r="AD40" s="647" t="s">
        <v>69</v>
      </c>
      <c r="AE40" s="647"/>
      <c r="AF40" s="647">
        <f>AA40</f>
        <v>-3960</v>
      </c>
      <c r="AG40" s="647"/>
      <c r="AH40" s="647"/>
      <c r="AI40" s="647" t="s">
        <v>69</v>
      </c>
      <c r="AJ40" s="647"/>
      <c r="AK40" s="647" t="s">
        <v>69</v>
      </c>
      <c r="AL40" s="647"/>
      <c r="AM40" s="647"/>
    </row>
    <row r="41" spans="1:39" ht="8.4499999999999993" customHeight="1">
      <c r="A41" s="727"/>
      <c r="B41" s="729"/>
      <c r="C41" s="729"/>
      <c r="D41" s="729"/>
      <c r="E41" s="729"/>
      <c r="F41" s="728"/>
      <c r="G41" s="648"/>
      <c r="H41" s="648"/>
      <c r="I41" s="673"/>
      <c r="J41" s="717" t="s">
        <v>69</v>
      </c>
      <c r="K41" s="718"/>
      <c r="L41" s="719"/>
      <c r="M41" s="720"/>
      <c r="N41" s="648"/>
      <c r="O41" s="648"/>
      <c r="P41" s="648"/>
      <c r="Q41" s="648"/>
      <c r="R41" s="647"/>
      <c r="S41" s="647"/>
      <c r="T41" s="647"/>
      <c r="U41" s="647"/>
      <c r="V41" s="647"/>
      <c r="W41" s="647"/>
      <c r="X41" s="647"/>
      <c r="Y41" s="647"/>
      <c r="Z41" s="647"/>
      <c r="AA41" s="647"/>
      <c r="AB41" s="647"/>
      <c r="AC41" s="647"/>
      <c r="AD41" s="647"/>
      <c r="AE41" s="647"/>
      <c r="AF41" s="647"/>
      <c r="AG41" s="647"/>
      <c r="AH41" s="647"/>
      <c r="AI41" s="647"/>
      <c r="AJ41" s="647"/>
      <c r="AK41" s="647"/>
      <c r="AL41" s="647"/>
      <c r="AM41" s="647"/>
    </row>
    <row r="42" spans="1:39" ht="14.1" customHeight="1">
      <c r="A42" s="687"/>
      <c r="B42" s="688"/>
      <c r="C42" s="688"/>
      <c r="D42" s="688"/>
      <c r="E42" s="688"/>
      <c r="F42" s="689"/>
      <c r="G42" s="648"/>
      <c r="H42" s="648"/>
      <c r="I42" s="673"/>
      <c r="J42" s="714">
        <f>'Date masura OD'!$AL$5</f>
        <v>45777</v>
      </c>
      <c r="K42" s="715"/>
      <c r="L42" s="716"/>
      <c r="M42" s="720"/>
      <c r="N42" s="648"/>
      <c r="O42" s="648"/>
      <c r="P42" s="648"/>
      <c r="Q42" s="648"/>
      <c r="R42" s="647"/>
      <c r="S42" s="647"/>
      <c r="T42" s="647"/>
      <c r="U42" s="647"/>
      <c r="V42" s="647"/>
      <c r="W42" s="647"/>
      <c r="X42" s="647"/>
      <c r="Y42" s="647"/>
      <c r="Z42" s="647"/>
      <c r="AA42" s="647"/>
      <c r="AB42" s="647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</row>
    <row r="43" spans="1:39" ht="14.1" customHeight="1">
      <c r="A43" s="684" t="str">
        <f>A40</f>
        <v>UGEUEDN19210003119</v>
      </c>
      <c r="B43" s="685"/>
      <c r="C43" s="685"/>
      <c r="D43" s="685"/>
      <c r="E43" s="685"/>
      <c r="F43" s="686"/>
      <c r="G43" s="648" t="s">
        <v>696</v>
      </c>
      <c r="H43" s="648"/>
      <c r="I43" s="648"/>
      <c r="J43" s="655">
        <f t="shared" ref="J43:J48" si="0">J40</f>
        <v>45748</v>
      </c>
      <c r="K43" s="656"/>
      <c r="L43" s="657"/>
      <c r="M43" s="648" t="s">
        <v>720</v>
      </c>
      <c r="N43" s="648"/>
      <c r="O43" s="648">
        <f>VLOOKUP(A52,Regularizare!$D:$AX,2,FALSE)</f>
        <v>20</v>
      </c>
      <c r="P43" s="648"/>
      <c r="Q43" s="648"/>
      <c r="R43" s="648" t="str">
        <f>VLOOKUP(A43,Regularizare!$D:$U,7,FALSE)&amp;" ("&amp;VLOOKUP(A43,Regularizare!$D:$U,15,FALSE)&amp;")"</f>
        <v>0 (citit)</v>
      </c>
      <c r="S43" s="648"/>
      <c r="T43" s="648"/>
      <c r="U43" s="647" t="str">
        <f>VLOOKUP(A43,Regularizare!$D:$U,8,FALSE)&amp;" ("&amp;VLOOKUP(A43,Regularizare!$D:$U,16,FALSE)&amp;")"</f>
        <v>0 (estimat)</v>
      </c>
      <c r="V43" s="647"/>
      <c r="W43" s="647"/>
      <c r="X43" s="647" t="str">
        <f>_xlfn.CONCAT(VLOOKUP(A43,Regularizare!$D:$U,8,FALSE)-VLOOKUP(A43,Regularizare!$D:$U,7,FALSE)," (",VLOOKUP(A43,Regularizare!$D:$U,16,FALSE),")")</f>
        <v>0 (estimat)</v>
      </c>
      <c r="Y43" s="647"/>
      <c r="Z43" s="647"/>
      <c r="AA43" s="647">
        <f>IF(VLOOKUP(A43,Regularizare!$D:$Y,21,FALSE)=0,VLOOKUP(A43,Regularizare!$D:$Y,21,FALSE),(-1)*VLOOKUP(A43,Regularizare!$D:$Y,21,FALSE))</f>
        <v>0</v>
      </c>
      <c r="AB43" s="647"/>
      <c r="AC43" s="647"/>
      <c r="AD43" s="647" t="s">
        <v>69</v>
      </c>
      <c r="AE43" s="647"/>
      <c r="AF43" s="647">
        <f>AA43</f>
        <v>0</v>
      </c>
      <c r="AG43" s="647"/>
      <c r="AH43" s="647"/>
      <c r="AI43" s="647" t="str">
        <f>AI40</f>
        <v>-</v>
      </c>
      <c r="AJ43" s="647"/>
      <c r="AK43" s="647" t="str">
        <f>AK40</f>
        <v>-</v>
      </c>
      <c r="AL43" s="647"/>
      <c r="AM43" s="647"/>
    </row>
    <row r="44" spans="1:39" ht="8.4499999999999993" customHeight="1">
      <c r="A44" s="727"/>
      <c r="B44" s="729"/>
      <c r="C44" s="729"/>
      <c r="D44" s="729"/>
      <c r="E44" s="729"/>
      <c r="F44" s="728"/>
      <c r="G44" s="648"/>
      <c r="H44" s="648"/>
      <c r="I44" s="648"/>
      <c r="J44" s="717" t="str">
        <f t="shared" si="0"/>
        <v>-</v>
      </c>
      <c r="K44" s="718"/>
      <c r="L44" s="719"/>
      <c r="M44" s="648"/>
      <c r="N44" s="648"/>
      <c r="O44" s="648"/>
      <c r="P44" s="648"/>
      <c r="Q44" s="648"/>
      <c r="R44" s="648"/>
      <c r="S44" s="648"/>
      <c r="T44" s="648"/>
      <c r="U44" s="647"/>
      <c r="V44" s="647"/>
      <c r="W44" s="647"/>
      <c r="X44" s="647"/>
      <c r="Y44" s="647"/>
      <c r="Z44" s="647"/>
      <c r="AA44" s="647"/>
      <c r="AB44" s="647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</row>
    <row r="45" spans="1:39" ht="14.1" customHeight="1">
      <c r="A45" s="687"/>
      <c r="B45" s="688"/>
      <c r="C45" s="688"/>
      <c r="D45" s="688"/>
      <c r="E45" s="688"/>
      <c r="F45" s="689"/>
      <c r="G45" s="648"/>
      <c r="H45" s="648"/>
      <c r="I45" s="648"/>
      <c r="J45" s="714">
        <f t="shared" si="0"/>
        <v>45777</v>
      </c>
      <c r="K45" s="715"/>
      <c r="L45" s="716"/>
      <c r="M45" s="648"/>
      <c r="N45" s="648"/>
      <c r="O45" s="648"/>
      <c r="P45" s="648"/>
      <c r="Q45" s="648"/>
      <c r="R45" s="648"/>
      <c r="S45" s="648"/>
      <c r="T45" s="648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647"/>
      <c r="AL45" s="647"/>
      <c r="AM45" s="647"/>
    </row>
    <row r="46" spans="1:39" ht="14.1" customHeight="1">
      <c r="A46" s="684" t="str">
        <f>A40</f>
        <v>UGEUEDN19210003119</v>
      </c>
      <c r="B46" s="685"/>
      <c r="C46" s="685"/>
      <c r="D46" s="685"/>
      <c r="E46" s="685"/>
      <c r="F46" s="686"/>
      <c r="G46" s="648" t="s">
        <v>731</v>
      </c>
      <c r="H46" s="648"/>
      <c r="I46" s="648"/>
      <c r="J46" s="655">
        <f t="shared" si="0"/>
        <v>45748</v>
      </c>
      <c r="K46" s="656"/>
      <c r="L46" s="657"/>
      <c r="M46" s="648" t="s">
        <v>720</v>
      </c>
      <c r="N46" s="648"/>
      <c r="O46" s="648">
        <f>VLOOKUP(A55,Regularizare!$D:$AX,2,FALSE)</f>
        <v>20</v>
      </c>
      <c r="P46" s="648"/>
      <c r="Q46" s="648"/>
      <c r="R46" s="647" t="str">
        <f>VLOOKUP(A46,Regularizare!$D:$U,9,FALSE)&amp;" ("&amp;VLOOKUP(A46,Regularizare!$D:$U,17,FALSE)&amp;")"</f>
        <v>0 (citit)</v>
      </c>
      <c r="S46" s="647"/>
      <c r="T46" s="647"/>
      <c r="U46" s="647" t="str">
        <f>VLOOKUP(A46,Regularizare!$D:$U,10,FALSE)&amp;" ("&amp;VLOOKUP(A46,Regularizare!$D:$U,18,FALSE)&amp;")"</f>
        <v>0 (estimat)</v>
      </c>
      <c r="V46" s="647"/>
      <c r="W46" s="647"/>
      <c r="X46" s="647" t="str">
        <f>_xlfn.CONCAT(VLOOKUP(A46,Regularizare!$D:$U,10,FALSE)-VLOOKUP(A46,Regularizare!$D:$U,9,FALSE)," (",VLOOKUP(A46,Regularizare!$D:$U,18,FALSE),")")</f>
        <v>0 (estimat)</v>
      </c>
      <c r="Y46" s="647"/>
      <c r="Z46" s="647"/>
      <c r="AA46" s="647">
        <f>IF(VLOOKUP(A46,Regularizare!$D:$Y,22,FALSE)=0,VLOOKUP(A46,Regularizare!$D:$Y,22,FALSE),(-1)*VLOOKUP(A46,Regularizare!$D:$Y,22,FALSE))</f>
        <v>0</v>
      </c>
      <c r="AB46" s="647"/>
      <c r="AC46" s="647"/>
      <c r="AD46" s="647" t="s">
        <v>69</v>
      </c>
      <c r="AE46" s="647"/>
      <c r="AF46" s="647">
        <f>AA46</f>
        <v>0</v>
      </c>
      <c r="AG46" s="647"/>
      <c r="AH46" s="647"/>
      <c r="AI46" s="647" t="str">
        <f>AI43</f>
        <v>-</v>
      </c>
      <c r="AJ46" s="647"/>
      <c r="AK46" s="647" t="str">
        <f>AK43</f>
        <v>-</v>
      </c>
      <c r="AL46" s="647"/>
      <c r="AM46" s="647"/>
    </row>
    <row r="47" spans="1:39" ht="8.4499999999999993" customHeight="1">
      <c r="A47" s="727"/>
      <c r="B47" s="729"/>
      <c r="C47" s="729"/>
      <c r="D47" s="729"/>
      <c r="E47" s="729"/>
      <c r="F47" s="728"/>
      <c r="G47" s="648"/>
      <c r="H47" s="648"/>
      <c r="I47" s="648"/>
      <c r="J47" s="717" t="str">
        <f t="shared" si="0"/>
        <v>-</v>
      </c>
      <c r="K47" s="718"/>
      <c r="L47" s="719"/>
      <c r="M47" s="648"/>
      <c r="N47" s="648"/>
      <c r="O47" s="648"/>
      <c r="P47" s="648"/>
      <c r="Q47" s="648"/>
      <c r="R47" s="647"/>
      <c r="S47" s="647"/>
      <c r="T47" s="647"/>
      <c r="U47" s="647"/>
      <c r="V47" s="647"/>
      <c r="W47" s="647"/>
      <c r="X47" s="647"/>
      <c r="Y47" s="647"/>
      <c r="Z47" s="647"/>
      <c r="AA47" s="647"/>
      <c r="AB47" s="647"/>
      <c r="AC47" s="647"/>
      <c r="AD47" s="647"/>
      <c r="AE47" s="647"/>
      <c r="AF47" s="647"/>
      <c r="AG47" s="647"/>
      <c r="AH47" s="647"/>
      <c r="AI47" s="647"/>
      <c r="AJ47" s="647"/>
      <c r="AK47" s="647"/>
      <c r="AL47" s="647"/>
      <c r="AM47" s="647"/>
    </row>
    <row r="48" spans="1:39" ht="14.1" customHeight="1">
      <c r="A48" s="687"/>
      <c r="B48" s="688"/>
      <c r="C48" s="688"/>
      <c r="D48" s="688"/>
      <c r="E48" s="688"/>
      <c r="F48" s="689"/>
      <c r="G48" s="648"/>
      <c r="H48" s="648"/>
      <c r="I48" s="648"/>
      <c r="J48" s="714">
        <f t="shared" si="0"/>
        <v>45777</v>
      </c>
      <c r="K48" s="715"/>
      <c r="L48" s="716"/>
      <c r="M48" s="648"/>
      <c r="N48" s="648"/>
      <c r="O48" s="648"/>
      <c r="P48" s="648"/>
      <c r="Q48" s="648"/>
      <c r="R48" s="647"/>
      <c r="S48" s="647"/>
      <c r="T48" s="647"/>
      <c r="U48" s="647"/>
      <c r="V48" s="647"/>
      <c r="W48" s="647"/>
      <c r="X48" s="647"/>
      <c r="Y48" s="647"/>
      <c r="Z48" s="647"/>
      <c r="AA48" s="647"/>
      <c r="AB48" s="647"/>
      <c r="AC48" s="647"/>
      <c r="AD48" s="647"/>
      <c r="AE48" s="647"/>
      <c r="AF48" s="647"/>
      <c r="AG48" s="647"/>
      <c r="AH48" s="647"/>
      <c r="AI48" s="647"/>
      <c r="AJ48" s="647"/>
      <c r="AK48" s="647"/>
      <c r="AL48" s="647"/>
      <c r="AM48" s="647"/>
    </row>
    <row r="49" spans="1:39" ht="14.1" customHeight="1">
      <c r="A49" s="684" t="str">
        <f>A40</f>
        <v>UGEUEDN19210003119</v>
      </c>
      <c r="B49" s="685"/>
      <c r="C49" s="685"/>
      <c r="D49" s="685"/>
      <c r="E49" s="685"/>
      <c r="F49" s="686"/>
      <c r="G49" s="648" t="s">
        <v>730</v>
      </c>
      <c r="H49" s="648"/>
      <c r="I49" s="673"/>
      <c r="J49" s="655">
        <f>'Date masura OD'!$AK$5</f>
        <v>45748</v>
      </c>
      <c r="K49" s="656"/>
      <c r="L49" s="657"/>
      <c r="M49" s="720" t="s">
        <v>446</v>
      </c>
      <c r="N49" s="648"/>
      <c r="O49" s="648">
        <f>VLOOKUP(A49,Regularizare!$D:$AX,2,FALSE)</f>
        <v>20</v>
      </c>
      <c r="P49" s="648"/>
      <c r="Q49" s="648"/>
      <c r="R49" s="647" t="str">
        <f>VLOOKUP(A49,Regularizare!$D:$AX,23,FALSE)&amp;" ("&amp;VLOOKUP(A49,Regularizare!$D:$AX,24,FALSE)&amp;")"</f>
        <v>511 (citit)</v>
      </c>
      <c r="S49" s="647"/>
      <c r="T49" s="647"/>
      <c r="U49" s="647" t="str">
        <f>VLOOKUP(A49,Regularizare!$D:$AX,25,FALSE)&amp;" ("&amp;VLOOKUP(A49,Regularizare!$D:$AX,26,FALSE)&amp;")"</f>
        <v>800 (citit)</v>
      </c>
      <c r="V49" s="647"/>
      <c r="W49" s="647"/>
      <c r="X49" s="647" t="str">
        <f>VLOOKUP(A49,Regularizare!$D:$AX,37,FALSE)&amp;" ("&amp;VLOOKUP(A49,Regularizare!$D:$AX,26,FALSE)&amp;")"</f>
        <v>5780 (citit)</v>
      </c>
      <c r="Y49" s="647"/>
      <c r="Z49" s="647"/>
      <c r="AA49" s="647">
        <f>VLOOKUP(A49,Regularizare!$D:$AX,37,FALSE)</f>
        <v>5780</v>
      </c>
      <c r="AB49" s="647"/>
      <c r="AC49" s="647"/>
      <c r="AD49" s="647" t="s">
        <v>69</v>
      </c>
      <c r="AE49" s="647"/>
      <c r="AF49" s="647">
        <f>AA49</f>
        <v>5780</v>
      </c>
      <c r="AG49" s="647"/>
      <c r="AH49" s="647"/>
      <c r="AI49" s="647" t="str">
        <f>AI46</f>
        <v>-</v>
      </c>
      <c r="AJ49" s="647"/>
      <c r="AK49" s="647" t="str">
        <f>AK46</f>
        <v>-</v>
      </c>
      <c r="AL49" s="647"/>
      <c r="AM49" s="647"/>
    </row>
    <row r="50" spans="1:39" ht="8.4499999999999993" customHeight="1">
      <c r="A50" s="727"/>
      <c r="B50" s="729"/>
      <c r="C50" s="729"/>
      <c r="D50" s="729"/>
      <c r="E50" s="729"/>
      <c r="F50" s="728"/>
      <c r="G50" s="648"/>
      <c r="H50" s="648"/>
      <c r="I50" s="673"/>
      <c r="J50" s="717" t="s">
        <v>69</v>
      </c>
      <c r="K50" s="718"/>
      <c r="L50" s="719"/>
      <c r="M50" s="720"/>
      <c r="N50" s="648"/>
      <c r="O50" s="648"/>
      <c r="P50" s="648"/>
      <c r="Q50" s="648"/>
      <c r="R50" s="647"/>
      <c r="S50" s="647"/>
      <c r="T50" s="647"/>
      <c r="U50" s="647"/>
      <c r="V50" s="647"/>
      <c r="W50" s="647"/>
      <c r="X50" s="647"/>
      <c r="Y50" s="647"/>
      <c r="Z50" s="647"/>
      <c r="AA50" s="647"/>
      <c r="AB50" s="647"/>
      <c r="AC50" s="647"/>
      <c r="AD50" s="647"/>
      <c r="AE50" s="647"/>
      <c r="AF50" s="647"/>
      <c r="AG50" s="647"/>
      <c r="AH50" s="647"/>
      <c r="AI50" s="647"/>
      <c r="AJ50" s="647"/>
      <c r="AK50" s="647"/>
      <c r="AL50" s="647"/>
      <c r="AM50" s="647"/>
    </row>
    <row r="51" spans="1:39" ht="14.1" customHeight="1">
      <c r="A51" s="687"/>
      <c r="B51" s="688"/>
      <c r="C51" s="688"/>
      <c r="D51" s="688"/>
      <c r="E51" s="688"/>
      <c r="F51" s="689"/>
      <c r="G51" s="648"/>
      <c r="H51" s="648"/>
      <c r="I51" s="673"/>
      <c r="J51" s="714">
        <f>'Date masura OD'!$AL$5</f>
        <v>45777</v>
      </c>
      <c r="K51" s="715"/>
      <c r="L51" s="716"/>
      <c r="M51" s="720"/>
      <c r="N51" s="648"/>
      <c r="O51" s="648"/>
      <c r="P51" s="648"/>
      <c r="Q51" s="648"/>
      <c r="R51" s="647"/>
      <c r="S51" s="647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647"/>
      <c r="AL51" s="647"/>
      <c r="AM51" s="647"/>
    </row>
    <row r="52" spans="1:39" ht="14.1" customHeight="1">
      <c r="A52" s="684" t="str">
        <f>A40</f>
        <v>UGEUEDN19210003119</v>
      </c>
      <c r="B52" s="685"/>
      <c r="C52" s="685"/>
      <c r="D52" s="685"/>
      <c r="E52" s="685"/>
      <c r="F52" s="686"/>
      <c r="G52" s="648" t="s">
        <v>696</v>
      </c>
      <c r="H52" s="648"/>
      <c r="I52" s="648"/>
      <c r="J52" s="655">
        <f t="shared" ref="J52:J57" si="1">J49</f>
        <v>45748</v>
      </c>
      <c r="K52" s="656"/>
      <c r="L52" s="657"/>
      <c r="M52" s="648" t="s">
        <v>720</v>
      </c>
      <c r="N52" s="648"/>
      <c r="O52" s="648">
        <f>VLOOKUP(A52,Regularizare!$D:$AX,2,FALSE)</f>
        <v>20</v>
      </c>
      <c r="P52" s="648"/>
      <c r="Q52" s="648"/>
      <c r="R52" s="647" t="str">
        <f>VLOOKUP(A52,Regularizare!$D:$AX,29,FALSE)&amp;" ("&amp;VLOOKUP(A52,Regularizare!$D:$AX,30,FALSE)&amp;")"</f>
        <v>0 (citit)</v>
      </c>
      <c r="S52" s="647"/>
      <c r="T52" s="647"/>
      <c r="U52" s="647" t="str">
        <f>VLOOKUP(A52,Regularizare!$D:$AX,31,FALSE)&amp;" ("&amp;VLOOKUP(A52,Regularizare!$D:$AX,32,FALSE)&amp;")"</f>
        <v>0 (citit)</v>
      </c>
      <c r="V52" s="647"/>
      <c r="W52" s="647"/>
      <c r="X52" s="647" t="str">
        <f>VLOOKUP(A52,Regularizare!$D:$AX,39,FALSE)&amp;" ("&amp;VLOOKUP(A52,Regularizare!$D:$AX,32,FALSE)&amp;")"</f>
        <v>0 (citit)</v>
      </c>
      <c r="Y52" s="647"/>
      <c r="Z52" s="647"/>
      <c r="AA52" s="647">
        <f>VLOOKUP(A52,Regularizare!$D:$AX,44,FALSE)+VLOOKUP(A52,Regularizare!$D:$AX,45,FALSE)</f>
        <v>0</v>
      </c>
      <c r="AB52" s="647"/>
      <c r="AC52" s="647"/>
      <c r="AD52" s="647" t="s">
        <v>69</v>
      </c>
      <c r="AE52" s="647"/>
      <c r="AF52" s="647">
        <f>AA52</f>
        <v>0</v>
      </c>
      <c r="AG52" s="647"/>
      <c r="AH52" s="647"/>
      <c r="AI52" s="647" t="str">
        <f>AI49</f>
        <v>-</v>
      </c>
      <c r="AJ52" s="647"/>
      <c r="AK52" s="647" t="str">
        <f>AK49</f>
        <v>-</v>
      </c>
      <c r="AL52" s="647"/>
      <c r="AM52" s="647"/>
    </row>
    <row r="53" spans="1:39" ht="8.4499999999999993" customHeight="1">
      <c r="A53" s="727"/>
      <c r="B53" s="729"/>
      <c r="C53" s="729"/>
      <c r="D53" s="729"/>
      <c r="E53" s="729"/>
      <c r="F53" s="728"/>
      <c r="G53" s="648"/>
      <c r="H53" s="648"/>
      <c r="I53" s="648"/>
      <c r="J53" s="717" t="str">
        <f t="shared" si="1"/>
        <v>-</v>
      </c>
      <c r="K53" s="718"/>
      <c r="L53" s="719"/>
      <c r="M53" s="648"/>
      <c r="N53" s="648"/>
      <c r="O53" s="648"/>
      <c r="P53" s="648"/>
      <c r="Q53" s="648"/>
      <c r="R53" s="647"/>
      <c r="S53" s="647"/>
      <c r="T53" s="647"/>
      <c r="U53" s="647"/>
      <c r="V53" s="647"/>
      <c r="W53" s="647"/>
      <c r="X53" s="647"/>
      <c r="Y53" s="647"/>
      <c r="Z53" s="647"/>
      <c r="AA53" s="647"/>
      <c r="AB53" s="647"/>
      <c r="AC53" s="647"/>
      <c r="AD53" s="647"/>
      <c r="AE53" s="647"/>
      <c r="AF53" s="647"/>
      <c r="AG53" s="647"/>
      <c r="AH53" s="647"/>
      <c r="AI53" s="647"/>
      <c r="AJ53" s="647"/>
      <c r="AK53" s="647"/>
      <c r="AL53" s="647"/>
      <c r="AM53" s="647"/>
    </row>
    <row r="54" spans="1:39" ht="14.1" customHeight="1">
      <c r="A54" s="687"/>
      <c r="B54" s="688"/>
      <c r="C54" s="688"/>
      <c r="D54" s="688"/>
      <c r="E54" s="688"/>
      <c r="F54" s="689"/>
      <c r="G54" s="648"/>
      <c r="H54" s="648"/>
      <c r="I54" s="648"/>
      <c r="J54" s="714">
        <f t="shared" si="1"/>
        <v>45777</v>
      </c>
      <c r="K54" s="715"/>
      <c r="L54" s="716"/>
      <c r="M54" s="648"/>
      <c r="N54" s="648"/>
      <c r="O54" s="648"/>
      <c r="P54" s="648"/>
      <c r="Q54" s="648"/>
      <c r="R54" s="647"/>
      <c r="S54" s="647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647"/>
      <c r="AL54" s="647"/>
      <c r="AM54" s="647"/>
    </row>
    <row r="55" spans="1:39" ht="14.1" customHeight="1">
      <c r="A55" s="684" t="str">
        <f>A40</f>
        <v>UGEUEDN19210003119</v>
      </c>
      <c r="B55" s="685"/>
      <c r="C55" s="685"/>
      <c r="D55" s="685"/>
      <c r="E55" s="685"/>
      <c r="F55" s="686"/>
      <c r="G55" s="648" t="s">
        <v>731</v>
      </c>
      <c r="H55" s="648"/>
      <c r="I55" s="648"/>
      <c r="J55" s="655">
        <f t="shared" si="1"/>
        <v>45748</v>
      </c>
      <c r="K55" s="656"/>
      <c r="L55" s="657"/>
      <c r="M55" s="648" t="s">
        <v>720</v>
      </c>
      <c r="N55" s="648"/>
      <c r="O55" s="648">
        <f>VLOOKUP(A55,Regularizare!$D:$AX,2,FALSE)</f>
        <v>20</v>
      </c>
      <c r="P55" s="648"/>
      <c r="Q55" s="648"/>
      <c r="R55" s="647" t="str">
        <f>VLOOKUP(A55,Regularizare!$D:$AX,33,FALSE)&amp;" ("&amp;VLOOKUP(A55,Regularizare!$D:$AX,34,FALSE)&amp;")"</f>
        <v>0 (citit)</v>
      </c>
      <c r="S55" s="647"/>
      <c r="T55" s="647"/>
      <c r="U55" s="647" t="str">
        <f>VLOOKUP(A55,Regularizare!$D:$AX,35,FALSE)&amp;" ("&amp;VLOOKUP(A55,Regularizare!$D:$AX,36,FALSE)&amp;")"</f>
        <v>0 (citit)</v>
      </c>
      <c r="V55" s="647"/>
      <c r="W55" s="647"/>
      <c r="X55" s="647" t="str">
        <f>VLOOKUP(A55,Regularizare!$D:$AX,40,FALSE)&amp;" ("&amp;VLOOKUP(A55,Regularizare!$D:$AX,36,FALSE)&amp;")"</f>
        <v>0 (citit)</v>
      </c>
      <c r="Y55" s="647"/>
      <c r="Z55" s="647"/>
      <c r="AA55" s="647">
        <f>VLOOKUP(A55,Regularizare!$D:$AX,46,FALSE)+VLOOKUP(A55,Regularizare!$D:$AX,47,FALSE)</f>
        <v>0</v>
      </c>
      <c r="AB55" s="647"/>
      <c r="AC55" s="647"/>
      <c r="AD55" s="647" t="s">
        <v>69</v>
      </c>
      <c r="AE55" s="647"/>
      <c r="AF55" s="647">
        <f>AA55</f>
        <v>0</v>
      </c>
      <c r="AG55" s="647"/>
      <c r="AH55" s="647"/>
      <c r="AI55" s="647" t="str">
        <f>AI52</f>
        <v>-</v>
      </c>
      <c r="AJ55" s="647"/>
      <c r="AK55" s="647" t="str">
        <f>AK52</f>
        <v>-</v>
      </c>
      <c r="AL55" s="647"/>
      <c r="AM55" s="647"/>
    </row>
    <row r="56" spans="1:39" ht="8.4499999999999993" customHeight="1">
      <c r="A56" s="727"/>
      <c r="B56" s="729"/>
      <c r="C56" s="729"/>
      <c r="D56" s="729"/>
      <c r="E56" s="729"/>
      <c r="F56" s="728"/>
      <c r="G56" s="648"/>
      <c r="H56" s="648"/>
      <c r="I56" s="648"/>
      <c r="J56" s="717" t="str">
        <f t="shared" si="1"/>
        <v>-</v>
      </c>
      <c r="K56" s="718"/>
      <c r="L56" s="719"/>
      <c r="M56" s="648"/>
      <c r="N56" s="648"/>
      <c r="O56" s="648"/>
      <c r="P56" s="648"/>
      <c r="Q56" s="648"/>
      <c r="R56" s="647"/>
      <c r="S56" s="647"/>
      <c r="T56" s="647"/>
      <c r="U56" s="647"/>
      <c r="V56" s="647"/>
      <c r="W56" s="647"/>
      <c r="X56" s="647"/>
      <c r="Y56" s="647"/>
      <c r="Z56" s="647"/>
      <c r="AA56" s="647"/>
      <c r="AB56" s="647"/>
      <c r="AC56" s="647"/>
      <c r="AD56" s="647"/>
      <c r="AE56" s="647"/>
      <c r="AF56" s="647"/>
      <c r="AG56" s="647"/>
      <c r="AH56" s="647"/>
      <c r="AI56" s="647"/>
      <c r="AJ56" s="647"/>
      <c r="AK56" s="647"/>
      <c r="AL56" s="647"/>
      <c r="AM56" s="647"/>
    </row>
    <row r="57" spans="1:39" ht="14.1" customHeight="1">
      <c r="A57" s="687"/>
      <c r="B57" s="688"/>
      <c r="C57" s="688"/>
      <c r="D57" s="688"/>
      <c r="E57" s="688"/>
      <c r="F57" s="689"/>
      <c r="G57" s="648"/>
      <c r="H57" s="648"/>
      <c r="I57" s="648"/>
      <c r="J57" s="714">
        <f t="shared" si="1"/>
        <v>45777</v>
      </c>
      <c r="K57" s="715"/>
      <c r="L57" s="716"/>
      <c r="M57" s="648"/>
      <c r="N57" s="648"/>
      <c r="O57" s="648"/>
      <c r="P57" s="648"/>
      <c r="Q57" s="648"/>
      <c r="R57" s="647"/>
      <c r="S57" s="647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</row>
    <row r="58" spans="1:39" ht="14.1" customHeight="1">
      <c r="A58" s="684" t="str">
        <f>A40</f>
        <v>UGEUEDN19210003119</v>
      </c>
      <c r="B58" s="685"/>
      <c r="C58" s="685"/>
      <c r="D58" s="685"/>
      <c r="E58" s="685"/>
      <c r="F58" s="686"/>
      <c r="G58" s="648" t="s">
        <v>730</v>
      </c>
      <c r="H58" s="648"/>
      <c r="I58" s="673"/>
      <c r="J58" s="655">
        <f>'Date masura OD'!$I$5</f>
        <v>45778</v>
      </c>
      <c r="K58" s="656"/>
      <c r="L58" s="657"/>
      <c r="M58" s="720" t="s">
        <v>446</v>
      </c>
      <c r="N58" s="648"/>
      <c r="O58" s="648">
        <f>VLOOKUP(A58,Regularizare!$D:$AX,2,FALSE)</f>
        <v>20</v>
      </c>
      <c r="P58" s="648"/>
      <c r="Q58" s="648"/>
      <c r="R58" s="647" t="str">
        <f>U49</f>
        <v>800 (citit)</v>
      </c>
      <c r="S58" s="647"/>
      <c r="T58" s="647"/>
      <c r="U58" s="647" t="str">
        <f>VLOOKUP(A58,'Incrementare indexe'!$D:$M,4,FALSE)&amp;" (estimat)"</f>
        <v>918 (estimat)</v>
      </c>
      <c r="V58" s="647"/>
      <c r="W58" s="647"/>
      <c r="X58" s="647" t="str">
        <f>VLOOKUP(A58,'Incrementare indexe'!$D:$Q,11,FALSE)&amp;" (estimat)"</f>
        <v>2360 (estimat)</v>
      </c>
      <c r="Y58" s="647"/>
      <c r="Z58" s="647"/>
      <c r="AA58" s="647" t="s">
        <v>69</v>
      </c>
      <c r="AB58" s="647"/>
      <c r="AC58" s="647"/>
      <c r="AD58" s="647" t="s">
        <v>69</v>
      </c>
      <c r="AE58" s="647"/>
      <c r="AF58" s="647">
        <f>VLOOKUP(A58,'Incrementare indexe'!$D:$Q,11,FALSE)</f>
        <v>2360</v>
      </c>
      <c r="AG58" s="647"/>
      <c r="AH58" s="647"/>
      <c r="AI58" s="647">
        <f>J60-J58+1</f>
        <v>31</v>
      </c>
      <c r="AJ58" s="647"/>
      <c r="AK58" s="647">
        <f>ROUND(AF58/AI58,2)</f>
        <v>76.13</v>
      </c>
      <c r="AL58" s="647"/>
      <c r="AM58" s="647"/>
    </row>
    <row r="59" spans="1:39" ht="8.4499999999999993" customHeight="1">
      <c r="A59" s="727"/>
      <c r="B59" s="729"/>
      <c r="C59" s="729"/>
      <c r="D59" s="729"/>
      <c r="E59" s="729"/>
      <c r="F59" s="728"/>
      <c r="G59" s="648"/>
      <c r="H59" s="648"/>
      <c r="I59" s="673"/>
      <c r="J59" s="717" t="s">
        <v>69</v>
      </c>
      <c r="K59" s="718"/>
      <c r="L59" s="719"/>
      <c r="M59" s="720"/>
      <c r="N59" s="648"/>
      <c r="O59" s="648"/>
      <c r="P59" s="648"/>
      <c r="Q59" s="648"/>
      <c r="R59" s="647"/>
      <c r="S59" s="647"/>
      <c r="T59" s="647"/>
      <c r="U59" s="647"/>
      <c r="V59" s="647"/>
      <c r="W59" s="647"/>
      <c r="X59" s="647"/>
      <c r="Y59" s="647"/>
      <c r="Z59" s="647"/>
      <c r="AA59" s="647"/>
      <c r="AB59" s="647"/>
      <c r="AC59" s="647"/>
      <c r="AD59" s="647"/>
      <c r="AE59" s="647"/>
      <c r="AF59" s="647"/>
      <c r="AG59" s="647"/>
      <c r="AH59" s="647"/>
      <c r="AI59" s="647"/>
      <c r="AJ59" s="647"/>
      <c r="AK59" s="647"/>
      <c r="AL59" s="647"/>
      <c r="AM59" s="647"/>
    </row>
    <row r="60" spans="1:39" ht="14.1" customHeight="1">
      <c r="A60" s="687"/>
      <c r="B60" s="688"/>
      <c r="C60" s="688"/>
      <c r="D60" s="688"/>
      <c r="E60" s="688"/>
      <c r="F60" s="689"/>
      <c r="G60" s="648"/>
      <c r="H60" s="648"/>
      <c r="I60" s="673"/>
      <c r="J60" s="714">
        <f>'Date masura OD'!$J$5</f>
        <v>45808</v>
      </c>
      <c r="K60" s="715"/>
      <c r="L60" s="716"/>
      <c r="M60" s="720"/>
      <c r="N60" s="648"/>
      <c r="O60" s="648"/>
      <c r="P60" s="648"/>
      <c r="Q60" s="648"/>
      <c r="R60" s="647"/>
      <c r="S60" s="647"/>
      <c r="T60" s="647"/>
      <c r="U60" s="647"/>
      <c r="V60" s="647"/>
      <c r="W60" s="647"/>
      <c r="X60" s="647"/>
      <c r="Y60" s="647"/>
      <c r="Z60" s="647"/>
      <c r="AA60" s="647"/>
      <c r="AB60" s="647"/>
      <c r="AC60" s="647"/>
      <c r="AD60" s="647"/>
      <c r="AE60" s="647"/>
      <c r="AF60" s="647"/>
      <c r="AG60" s="647"/>
      <c r="AH60" s="647"/>
      <c r="AI60" s="647"/>
      <c r="AJ60" s="647"/>
      <c r="AK60" s="647"/>
      <c r="AL60" s="647"/>
      <c r="AM60" s="647"/>
    </row>
    <row r="61" spans="1:39" ht="14.1" customHeight="1">
      <c r="A61" s="684" t="str">
        <f>A58</f>
        <v>UGEUEDN19210003119</v>
      </c>
      <c r="B61" s="685"/>
      <c r="C61" s="685"/>
      <c r="D61" s="685"/>
      <c r="E61" s="685"/>
      <c r="F61" s="686"/>
      <c r="G61" s="648" t="s">
        <v>696</v>
      </c>
      <c r="H61" s="648"/>
      <c r="I61" s="648"/>
      <c r="J61" s="655">
        <f>'Date masura OD'!$I$5</f>
        <v>45778</v>
      </c>
      <c r="K61" s="656"/>
      <c r="L61" s="657"/>
      <c r="M61" s="648" t="s">
        <v>720</v>
      </c>
      <c r="N61" s="648"/>
      <c r="O61" s="648">
        <f>VLOOKUP(A61,Regularizare!$D:$AX,2,FALSE)</f>
        <v>20</v>
      </c>
      <c r="P61" s="648"/>
      <c r="Q61" s="648"/>
      <c r="R61" s="684" t="str">
        <f>U52</f>
        <v>0 (citit)</v>
      </c>
      <c r="S61" s="685"/>
      <c r="T61" s="686"/>
      <c r="U61" s="647" t="str">
        <f>VLOOKUP(A61,'Incrementare indexe'!$D:$M,8,FALSE)&amp;" (estimat)"</f>
        <v>0 (estimat)</v>
      </c>
      <c r="V61" s="647"/>
      <c r="W61" s="647"/>
      <c r="X61" s="647" t="str">
        <f>VLOOKUP(A61,'Incrementare indexe'!$D:$Q,12,FALSE)&amp;" (estimat)"</f>
        <v>0 (estimat)</v>
      </c>
      <c r="Y61" s="647"/>
      <c r="Z61" s="647"/>
      <c r="AA61" s="647" t="s">
        <v>69</v>
      </c>
      <c r="AB61" s="647"/>
      <c r="AC61" s="647"/>
      <c r="AD61" s="647" t="s">
        <v>69</v>
      </c>
      <c r="AE61" s="647"/>
      <c r="AF61" s="647">
        <f>VLOOKUP(A61,'Incrementare indexe'!$D:$Q,12,FALSE)</f>
        <v>0</v>
      </c>
      <c r="AG61" s="647"/>
      <c r="AH61" s="647"/>
      <c r="AI61" s="647">
        <f>AI58</f>
        <v>31</v>
      </c>
      <c r="AJ61" s="647"/>
      <c r="AK61" s="647">
        <f>ROUND(AF61/AI61,2)</f>
        <v>0</v>
      </c>
      <c r="AL61" s="647"/>
      <c r="AM61" s="647"/>
    </row>
    <row r="62" spans="1:39" ht="8.4499999999999993" customHeight="1">
      <c r="A62" s="727"/>
      <c r="B62" s="729"/>
      <c r="C62" s="729"/>
      <c r="D62" s="729"/>
      <c r="E62" s="729"/>
      <c r="F62" s="728"/>
      <c r="G62" s="648"/>
      <c r="H62" s="648"/>
      <c r="I62" s="648"/>
      <c r="J62" s="717" t="s">
        <v>69</v>
      </c>
      <c r="K62" s="718"/>
      <c r="L62" s="719"/>
      <c r="M62" s="648"/>
      <c r="N62" s="648"/>
      <c r="O62" s="648"/>
      <c r="P62" s="648"/>
      <c r="Q62" s="648"/>
      <c r="R62" s="727"/>
      <c r="S62" s="729"/>
      <c r="T62" s="728"/>
      <c r="U62" s="647"/>
      <c r="V62" s="647"/>
      <c r="W62" s="647"/>
      <c r="X62" s="647"/>
      <c r="Y62" s="647"/>
      <c r="Z62" s="647"/>
      <c r="AA62" s="647"/>
      <c r="AB62" s="647"/>
      <c r="AC62" s="647"/>
      <c r="AD62" s="647"/>
      <c r="AE62" s="647"/>
      <c r="AF62" s="647"/>
      <c r="AG62" s="647"/>
      <c r="AH62" s="647"/>
      <c r="AI62" s="647"/>
      <c r="AJ62" s="647"/>
      <c r="AK62" s="647"/>
      <c r="AL62" s="647"/>
      <c r="AM62" s="647"/>
    </row>
    <row r="63" spans="1:39" ht="14.1" customHeight="1">
      <c r="A63" s="687"/>
      <c r="B63" s="688"/>
      <c r="C63" s="688"/>
      <c r="D63" s="688"/>
      <c r="E63" s="688"/>
      <c r="F63" s="689"/>
      <c r="G63" s="648"/>
      <c r="H63" s="648"/>
      <c r="I63" s="648"/>
      <c r="J63" s="714">
        <f>'Date masura OD'!$J$5</f>
        <v>45808</v>
      </c>
      <c r="K63" s="715"/>
      <c r="L63" s="716"/>
      <c r="M63" s="648"/>
      <c r="N63" s="648"/>
      <c r="O63" s="648"/>
      <c r="P63" s="648"/>
      <c r="Q63" s="648"/>
      <c r="R63" s="687"/>
      <c r="S63" s="688"/>
      <c r="T63" s="689"/>
      <c r="U63" s="647"/>
      <c r="V63" s="647"/>
      <c r="W63" s="647"/>
      <c r="X63" s="647"/>
      <c r="Y63" s="647"/>
      <c r="Z63" s="647"/>
      <c r="AA63" s="647"/>
      <c r="AB63" s="647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</row>
    <row r="64" spans="1:39" ht="14.1" customHeight="1">
      <c r="A64" s="684" t="str">
        <f>A61</f>
        <v>UGEUEDN19210003119</v>
      </c>
      <c r="B64" s="685"/>
      <c r="C64" s="685"/>
      <c r="D64" s="685"/>
      <c r="E64" s="685"/>
      <c r="F64" s="686"/>
      <c r="G64" s="648" t="s">
        <v>731</v>
      </c>
      <c r="H64" s="648"/>
      <c r="I64" s="648"/>
      <c r="J64" s="655">
        <f>'Date masura OD'!$I$5</f>
        <v>45778</v>
      </c>
      <c r="K64" s="656"/>
      <c r="L64" s="657"/>
      <c r="M64" s="648" t="s">
        <v>720</v>
      </c>
      <c r="N64" s="648"/>
      <c r="O64" s="648">
        <f>VLOOKUP(A64,Regularizare!$D:$AX,2,FALSE)</f>
        <v>20</v>
      </c>
      <c r="P64" s="648"/>
      <c r="Q64" s="648"/>
      <c r="R64" s="647" t="str">
        <f>U55</f>
        <v>0 (citit)</v>
      </c>
      <c r="S64" s="647"/>
      <c r="T64" s="647"/>
      <c r="U64" s="647" t="str">
        <f>VLOOKUP(A64,'Incrementare indexe'!$D:$M,10,FALSE)&amp;" (estimat)"</f>
        <v>0 (estimat)</v>
      </c>
      <c r="V64" s="647"/>
      <c r="W64" s="647"/>
      <c r="X64" s="647" t="str">
        <f>VLOOKUP(A64,'Incrementare indexe'!$D:$Q,13,FALSE)&amp;" (estimat)"</f>
        <v>0 (estimat)</v>
      </c>
      <c r="Y64" s="647"/>
      <c r="Z64" s="647"/>
      <c r="AA64" s="647" t="s">
        <v>69</v>
      </c>
      <c r="AB64" s="647"/>
      <c r="AC64" s="647"/>
      <c r="AD64" s="647" t="s">
        <v>69</v>
      </c>
      <c r="AE64" s="647"/>
      <c r="AF64" s="647">
        <f>VLOOKUP(A64,'Incrementare indexe'!$D:$Q,13,FALSE)</f>
        <v>0</v>
      </c>
      <c r="AG64" s="647"/>
      <c r="AH64" s="647"/>
      <c r="AI64" s="647">
        <f>AI61</f>
        <v>31</v>
      </c>
      <c r="AJ64" s="647"/>
      <c r="AK64" s="647">
        <f>ROUND(AF64/AI64,2)</f>
        <v>0</v>
      </c>
      <c r="AL64" s="647"/>
      <c r="AM64" s="647"/>
    </row>
    <row r="65" spans="1:39" ht="8.4499999999999993" customHeight="1">
      <c r="A65" s="727"/>
      <c r="B65" s="729"/>
      <c r="C65" s="729"/>
      <c r="D65" s="729"/>
      <c r="E65" s="729"/>
      <c r="F65" s="728"/>
      <c r="G65" s="648"/>
      <c r="H65" s="648"/>
      <c r="I65" s="648"/>
      <c r="J65" s="717" t="s">
        <v>69</v>
      </c>
      <c r="K65" s="718"/>
      <c r="L65" s="719"/>
      <c r="M65" s="648"/>
      <c r="N65" s="648"/>
      <c r="O65" s="648"/>
      <c r="P65" s="648"/>
      <c r="Q65" s="648"/>
      <c r="R65" s="647"/>
      <c r="S65" s="647"/>
      <c r="T65" s="647"/>
      <c r="U65" s="647"/>
      <c r="V65" s="647"/>
      <c r="W65" s="647"/>
      <c r="X65" s="647"/>
      <c r="Y65" s="647"/>
      <c r="Z65" s="647"/>
      <c r="AA65" s="647"/>
      <c r="AB65" s="647"/>
      <c r="AC65" s="647"/>
      <c r="AD65" s="647"/>
      <c r="AE65" s="647"/>
      <c r="AF65" s="647"/>
      <c r="AG65" s="647"/>
      <c r="AH65" s="647"/>
      <c r="AI65" s="647"/>
      <c r="AJ65" s="647"/>
      <c r="AK65" s="647"/>
      <c r="AL65" s="647"/>
      <c r="AM65" s="647"/>
    </row>
    <row r="66" spans="1:39" ht="14.1" customHeight="1">
      <c r="A66" s="687"/>
      <c r="B66" s="688"/>
      <c r="C66" s="688"/>
      <c r="D66" s="688"/>
      <c r="E66" s="688"/>
      <c r="F66" s="689"/>
      <c r="G66" s="648"/>
      <c r="H66" s="648"/>
      <c r="I66" s="648"/>
      <c r="J66" s="714">
        <f>'Date masura OD'!$J$5</f>
        <v>45808</v>
      </c>
      <c r="K66" s="715"/>
      <c r="L66" s="716"/>
      <c r="M66" s="648"/>
      <c r="N66" s="648"/>
      <c r="O66" s="648"/>
      <c r="P66" s="648"/>
      <c r="Q66" s="648"/>
      <c r="R66" s="647"/>
      <c r="S66" s="647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647"/>
      <c r="AL66" s="647"/>
      <c r="AM66" s="647"/>
    </row>
    <row r="67" spans="1:39" ht="14.1" customHeight="1">
      <c r="A67" s="195"/>
      <c r="B67" s="195"/>
      <c r="C67" s="195"/>
      <c r="D67" s="195"/>
      <c r="E67" s="195"/>
      <c r="F67" s="195"/>
      <c r="G67" s="196"/>
      <c r="H67" s="196"/>
      <c r="I67" s="196"/>
      <c r="J67" s="197"/>
      <c r="K67" s="197"/>
      <c r="L67" s="197"/>
      <c r="M67" s="196"/>
      <c r="N67" s="196"/>
      <c r="O67" s="196"/>
      <c r="P67" s="196"/>
      <c r="Q67" s="196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</row>
    <row r="68" spans="1:39" ht="14.1" customHeight="1">
      <c r="A68" s="195"/>
      <c r="B68" s="195"/>
      <c r="C68" s="195"/>
      <c r="D68" s="195"/>
      <c r="E68" s="195"/>
      <c r="F68" s="195"/>
      <c r="G68" s="196"/>
      <c r="H68" s="196"/>
      <c r="I68" s="196"/>
      <c r="J68" s="197"/>
      <c r="K68" s="197"/>
      <c r="L68" s="197"/>
      <c r="M68" s="196"/>
      <c r="N68" s="196"/>
      <c r="O68" s="196"/>
      <c r="P68" s="196"/>
      <c r="Q68" s="196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</row>
    <row r="69" spans="1:39" ht="14.1" customHeight="1">
      <c r="A69" s="195"/>
      <c r="B69" s="195"/>
      <c r="C69" s="195"/>
      <c r="D69" s="195"/>
      <c r="E69" s="195"/>
      <c r="F69" s="195"/>
      <c r="G69" s="196"/>
      <c r="H69" s="196"/>
      <c r="I69" s="196"/>
      <c r="J69" s="197"/>
      <c r="K69" s="197"/>
      <c r="L69" s="197"/>
      <c r="M69" s="196"/>
      <c r="N69" s="196"/>
      <c r="O69" s="196"/>
      <c r="P69" s="196"/>
      <c r="Q69" s="196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</row>
    <row r="70" spans="1:39" ht="14.1" customHeight="1">
      <c r="A70" s="195"/>
      <c r="B70" s="195"/>
      <c r="C70" s="195"/>
      <c r="D70" s="195"/>
      <c r="E70" s="195"/>
      <c r="F70" s="195"/>
      <c r="G70" s="196"/>
      <c r="H70" s="196"/>
      <c r="I70" s="196"/>
      <c r="J70" s="197"/>
      <c r="K70" s="197"/>
      <c r="L70" s="197"/>
      <c r="M70" s="196"/>
      <c r="N70" s="196"/>
      <c r="O70" s="196"/>
      <c r="P70" s="196"/>
      <c r="Q70" s="196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</row>
    <row r="71" spans="1:39" ht="14.1" customHeight="1">
      <c r="A71" s="195"/>
      <c r="B71" s="195"/>
      <c r="C71" s="195"/>
      <c r="D71" s="195"/>
      <c r="E71" s="195"/>
      <c r="F71" s="195"/>
      <c r="G71" s="196"/>
      <c r="H71" s="196"/>
      <c r="I71" s="196"/>
      <c r="J71" s="197"/>
      <c r="K71" s="197"/>
      <c r="L71" s="197"/>
      <c r="M71" s="196"/>
      <c r="N71" s="196"/>
      <c r="O71" s="196"/>
      <c r="P71" s="196"/>
      <c r="Q71" s="196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</row>
    <row r="72" spans="1:39" ht="14.1" customHeight="1">
      <c r="A72" s="195"/>
      <c r="B72" s="195"/>
      <c r="C72" s="195"/>
      <c r="D72" s="195"/>
      <c r="E72" s="195"/>
      <c r="F72" s="195"/>
      <c r="G72" s="196"/>
      <c r="H72" s="196"/>
      <c r="I72" s="196"/>
      <c r="J72" s="197"/>
      <c r="K72" s="197"/>
      <c r="L72" s="197"/>
      <c r="M72" s="196"/>
      <c r="N72" s="196"/>
      <c r="O72" s="196"/>
      <c r="P72" s="196"/>
      <c r="Q72" s="196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</row>
    <row r="73" spans="1:39" ht="14.1" customHeight="1">
      <c r="A73" s="195"/>
      <c r="B73" s="195"/>
      <c r="C73" s="195"/>
      <c r="D73" s="195"/>
      <c r="E73" s="195"/>
      <c r="F73" s="195"/>
      <c r="G73" s="196"/>
      <c r="H73" s="196"/>
      <c r="I73" s="196"/>
      <c r="J73" s="197"/>
      <c r="K73" s="197"/>
      <c r="L73" s="197"/>
      <c r="M73" s="196"/>
      <c r="N73" s="196"/>
      <c r="O73" s="196"/>
      <c r="P73" s="196"/>
      <c r="Q73" s="196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</row>
    <row r="74" spans="1:39" ht="14.1" customHeight="1">
      <c r="A74" s="195"/>
      <c r="B74" s="195"/>
      <c r="C74" s="195"/>
      <c r="D74" s="195"/>
      <c r="E74" s="195"/>
      <c r="F74" s="195"/>
      <c r="G74" s="196"/>
      <c r="H74" s="196"/>
      <c r="I74" s="196"/>
      <c r="J74" s="197"/>
      <c r="K74" s="197"/>
      <c r="L74" s="197"/>
      <c r="M74" s="196"/>
      <c r="N74" s="196"/>
      <c r="O74" s="196"/>
      <c r="P74" s="196"/>
      <c r="Q74" s="196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</row>
    <row r="75" spans="1:39" ht="14.1" customHeight="1">
      <c r="A75" s="195"/>
      <c r="B75" s="195"/>
      <c r="C75" s="195"/>
      <c r="D75" s="195"/>
      <c r="E75" s="195"/>
      <c r="F75" s="195"/>
      <c r="G75" s="196"/>
      <c r="H75" s="196"/>
      <c r="I75" s="196"/>
      <c r="J75" s="197"/>
      <c r="K75" s="197"/>
      <c r="L75" s="197"/>
      <c r="M75" s="196"/>
      <c r="N75" s="196"/>
      <c r="O75" s="196"/>
      <c r="P75" s="196"/>
      <c r="Q75" s="196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</row>
    <row r="76" spans="1:39" ht="14.1" customHeight="1">
      <c r="A76" s="195"/>
      <c r="B76" s="195"/>
      <c r="C76" s="195"/>
      <c r="D76" s="195"/>
      <c r="E76" s="195"/>
      <c r="F76" s="195"/>
      <c r="G76" s="196"/>
      <c r="H76" s="196"/>
      <c r="I76" s="196"/>
      <c r="J76" s="197"/>
      <c r="K76" s="197"/>
      <c r="L76" s="197"/>
      <c r="M76" s="196"/>
      <c r="N76" s="196"/>
      <c r="O76" s="196"/>
      <c r="P76" s="196"/>
      <c r="Q76" s="196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</row>
    <row r="77" spans="1:39" ht="14.1" customHeight="1">
      <c r="A77" s="196"/>
      <c r="B77" s="196"/>
      <c r="C77" s="196"/>
      <c r="D77" s="196"/>
      <c r="E77" s="196"/>
      <c r="F77" s="196"/>
      <c r="G77" s="196"/>
      <c r="H77" s="196"/>
      <c r="I77" s="196"/>
      <c r="J77" s="197"/>
      <c r="K77" s="197"/>
      <c r="L77" s="197"/>
      <c r="M77" s="196"/>
      <c r="N77" s="196"/>
      <c r="O77" s="196"/>
      <c r="P77" s="196"/>
      <c r="Q77" s="196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</row>
    <row r="78" spans="1:39" ht="14.1" customHeight="1">
      <c r="A78" s="196"/>
      <c r="B78" s="196"/>
      <c r="C78" s="196"/>
      <c r="D78" s="196"/>
      <c r="E78" s="196"/>
      <c r="F78" s="196"/>
      <c r="G78" s="196"/>
      <c r="H78" s="196"/>
      <c r="I78" s="196"/>
      <c r="J78" s="197"/>
      <c r="K78" s="197"/>
      <c r="L78" s="197"/>
      <c r="M78" s="196"/>
      <c r="N78" s="196"/>
      <c r="O78" s="196"/>
      <c r="P78" s="196"/>
      <c r="Q78" s="196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</row>
    <row r="79" spans="1:39" ht="14.1" customHeight="1">
      <c r="A79" s="196"/>
      <c r="B79" s="196"/>
      <c r="C79" s="196"/>
      <c r="D79" s="196"/>
      <c r="E79" s="196"/>
      <c r="F79" s="196"/>
      <c r="G79" s="196"/>
      <c r="H79" s="196"/>
      <c r="I79" s="196"/>
      <c r="J79" s="197"/>
      <c r="K79" s="197"/>
      <c r="L79" s="197"/>
      <c r="M79" s="196"/>
      <c r="N79" s="196"/>
      <c r="O79" s="196"/>
      <c r="P79" s="196"/>
      <c r="Q79" s="196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</row>
    <row r="80" spans="1:39" ht="14.1" customHeight="1">
      <c r="A80" s="695" t="s">
        <v>859</v>
      </c>
      <c r="B80" s="695"/>
      <c r="C80" s="695"/>
      <c r="D80" s="695"/>
      <c r="E80" s="695"/>
      <c r="F80" s="695"/>
      <c r="G80" s="695"/>
      <c r="H80" s="712">
        <f>VLOOKUP(LEFT(M83,15),'Date masura OD'!E:BE,53,0)</f>
        <v>5000582520</v>
      </c>
      <c r="I80" s="712"/>
      <c r="J80" s="712"/>
      <c r="K80" s="712"/>
      <c r="L80" s="712"/>
      <c r="M80" s="712"/>
      <c r="N80" s="712"/>
      <c r="O80" s="712"/>
      <c r="P80" s="712"/>
      <c r="Q80" s="712"/>
      <c r="R80" s="712"/>
      <c r="S80" s="712"/>
      <c r="T80" s="712"/>
      <c r="U80" s="712"/>
      <c r="V80" s="712"/>
      <c r="W80" s="712" t="s">
        <v>860</v>
      </c>
      <c r="X80" s="712"/>
      <c r="Y80" s="712"/>
      <c r="Z80" s="712"/>
      <c r="AA80" s="640" t="str">
        <f>_xlfn.CONCAT($AA$16,"_",2)</f>
        <v>RN10_Petrosani_2</v>
      </c>
      <c r="AB80" s="640"/>
      <c r="AC80" s="640"/>
      <c r="AD80" s="640"/>
      <c r="AE80" s="640"/>
      <c r="AF80" s="640"/>
      <c r="AG80" s="640"/>
      <c r="AH80" s="640"/>
      <c r="AI80" s="640"/>
      <c r="AJ80" s="640"/>
      <c r="AK80" s="640"/>
      <c r="AL80" s="640"/>
      <c r="AM80" s="640"/>
    </row>
    <row r="81" spans="1:39" ht="14.1" customHeight="1">
      <c r="A81" s="695"/>
      <c r="B81" s="695"/>
      <c r="C81" s="695"/>
      <c r="D81" s="695"/>
      <c r="E81" s="695"/>
      <c r="F81" s="695"/>
      <c r="G81" s="695"/>
      <c r="H81" s="712"/>
      <c r="I81" s="712"/>
      <c r="J81" s="712"/>
      <c r="K81" s="712"/>
      <c r="L81" s="712"/>
      <c r="M81" s="712"/>
      <c r="N81" s="712"/>
      <c r="O81" s="712"/>
      <c r="P81" s="712"/>
      <c r="Q81" s="712"/>
      <c r="R81" s="712"/>
      <c r="S81" s="712"/>
      <c r="T81" s="712"/>
      <c r="U81" s="712"/>
      <c r="V81" s="712"/>
      <c r="W81" s="712"/>
      <c r="X81" s="712"/>
      <c r="Y81" s="712"/>
      <c r="Z81" s="712"/>
      <c r="AA81" s="640"/>
      <c r="AB81" s="640"/>
      <c r="AC81" s="640"/>
      <c r="AD81" s="640"/>
      <c r="AE81" s="640"/>
      <c r="AF81" s="640"/>
      <c r="AG81" s="640"/>
      <c r="AH81" s="640"/>
      <c r="AI81" s="640"/>
      <c r="AJ81" s="640"/>
      <c r="AK81" s="640"/>
      <c r="AL81" s="640"/>
      <c r="AM81" s="640"/>
    </row>
    <row r="83" spans="1:39">
      <c r="A83" s="649" t="s">
        <v>748</v>
      </c>
      <c r="B83" s="649"/>
      <c r="C83" s="649"/>
      <c r="D83" s="649"/>
      <c r="E83" s="649"/>
      <c r="F83" s="649"/>
      <c r="G83" s="649"/>
      <c r="H83" s="649"/>
      <c r="I83" s="649"/>
      <c r="J83" s="649"/>
      <c r="K83" s="649"/>
      <c r="L83" s="649"/>
      <c r="M83" s="650" t="str">
        <f>VLOOKUP(AI84,'Contorizare in SDI'!$E:$I,4,FALSE)</f>
        <v>RO005E532351023/1</v>
      </c>
      <c r="N83" s="650"/>
      <c r="O83" s="650"/>
      <c r="P83" s="650"/>
      <c r="Q83" s="650"/>
      <c r="R83" s="650"/>
      <c r="S83" s="650"/>
      <c r="T83" s="650"/>
      <c r="U83" s="650"/>
      <c r="V83" s="650"/>
      <c r="W83" s="650"/>
      <c r="X83" s="650"/>
      <c r="Y83" s="650"/>
      <c r="Z83" s="650"/>
      <c r="AA83" s="650"/>
      <c r="AB83" s="650"/>
      <c r="AC83" s="650"/>
      <c r="AD83" s="650"/>
      <c r="AE83" s="650"/>
      <c r="AF83" s="650"/>
      <c r="AG83" s="650"/>
      <c r="AH83" s="650"/>
      <c r="AI83" s="650" t="s">
        <v>695</v>
      </c>
      <c r="AJ83" s="650"/>
      <c r="AK83" s="650"/>
      <c r="AL83" s="650"/>
      <c r="AM83" s="650"/>
    </row>
    <row r="84" spans="1:39">
      <c r="A84" s="649" t="s">
        <v>746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50" t="str">
        <f>VLOOKUP(AI84,'Inchidere contur'!$G:$U,15,FALSE)</f>
        <v>JT_OD</v>
      </c>
      <c r="N84" s="650"/>
      <c r="O84" s="650"/>
      <c r="P84" s="650"/>
      <c r="Q84" s="650"/>
      <c r="R84" s="650"/>
      <c r="S84" s="650"/>
      <c r="T84" s="650"/>
      <c r="U84" s="650"/>
      <c r="V84" s="650"/>
      <c r="W84" s="650"/>
      <c r="X84" s="650"/>
      <c r="Y84" s="650"/>
      <c r="Z84" s="650"/>
      <c r="AA84" s="650"/>
      <c r="AB84" s="650"/>
      <c r="AC84" s="650"/>
      <c r="AD84" s="650"/>
      <c r="AE84" s="650"/>
      <c r="AF84" s="650"/>
      <c r="AG84" s="650"/>
      <c r="AH84" s="650"/>
      <c r="AI84" s="666" t="str">
        <f>AA80</f>
        <v>RN10_Petrosani_2</v>
      </c>
      <c r="AJ84" s="666"/>
      <c r="AK84" s="666"/>
      <c r="AL84" s="666"/>
      <c r="AM84" s="666"/>
    </row>
    <row r="85" spans="1:39">
      <c r="A85" s="649" t="s">
        <v>747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50" t="str">
        <f>IF(LEFT(M84,2)="JT","0.4kV",IF(LEFT(M84,2)="MT","20kV","-"))</f>
        <v>0.4kV</v>
      </c>
      <c r="N85" s="650"/>
      <c r="O85" s="650"/>
      <c r="P85" s="650"/>
      <c r="Q85" s="650"/>
      <c r="R85" s="650"/>
      <c r="S85" s="650"/>
      <c r="T85" s="650"/>
      <c r="U85" s="650"/>
      <c r="V85" s="650"/>
      <c r="W85" s="650"/>
      <c r="X85" s="650"/>
      <c r="Y85" s="650"/>
      <c r="Z85" s="650"/>
      <c r="AA85" s="650"/>
      <c r="AB85" s="650"/>
      <c r="AC85" s="650"/>
      <c r="AD85" s="650"/>
      <c r="AE85" s="650"/>
      <c r="AF85" s="650"/>
      <c r="AG85" s="650"/>
      <c r="AH85" s="650"/>
      <c r="AI85" s="666"/>
      <c r="AJ85" s="666"/>
      <c r="AK85" s="666"/>
      <c r="AL85" s="666"/>
      <c r="AM85" s="666"/>
    </row>
    <row r="86" spans="1:39" ht="15.95" customHeight="1">
      <c r="A86" s="648" t="s">
        <v>697</v>
      </c>
      <c r="B86" s="648"/>
      <c r="C86" s="648"/>
      <c r="D86" s="648"/>
      <c r="E86" s="648"/>
      <c r="F86" s="648"/>
      <c r="G86" s="647" t="s">
        <v>713</v>
      </c>
      <c r="H86" s="647"/>
      <c r="I86" s="647"/>
      <c r="J86" s="647" t="s">
        <v>714</v>
      </c>
      <c r="K86" s="647"/>
      <c r="L86" s="647"/>
      <c r="M86" s="648" t="s">
        <v>519</v>
      </c>
      <c r="N86" s="648"/>
      <c r="O86" s="648" t="s">
        <v>715</v>
      </c>
      <c r="P86" s="648"/>
      <c r="Q86" s="648"/>
      <c r="R86" s="647" t="s">
        <v>732</v>
      </c>
      <c r="S86" s="647"/>
      <c r="T86" s="647"/>
      <c r="U86" s="647" t="s">
        <v>734</v>
      </c>
      <c r="V86" s="647"/>
      <c r="W86" s="647"/>
      <c r="X86" s="647" t="s">
        <v>1085</v>
      </c>
      <c r="Y86" s="647"/>
      <c r="Z86" s="647"/>
      <c r="AA86" s="647" t="s">
        <v>1086</v>
      </c>
      <c r="AB86" s="647"/>
      <c r="AC86" s="647"/>
      <c r="AD86" s="647" t="s">
        <v>717</v>
      </c>
      <c r="AE86" s="647"/>
      <c r="AF86" s="647" t="s">
        <v>718</v>
      </c>
      <c r="AG86" s="647"/>
      <c r="AH86" s="647"/>
      <c r="AI86" s="647" t="s">
        <v>719</v>
      </c>
      <c r="AJ86" s="647"/>
      <c r="AK86" s="647" t="s">
        <v>733</v>
      </c>
      <c r="AL86" s="647"/>
      <c r="AM86" s="647"/>
    </row>
    <row r="87" spans="1:39">
      <c r="A87" s="648"/>
      <c r="B87" s="648"/>
      <c r="C87" s="648"/>
      <c r="D87" s="648"/>
      <c r="E87" s="648"/>
      <c r="F87" s="648"/>
      <c r="G87" s="647"/>
      <c r="H87" s="647"/>
      <c r="I87" s="647"/>
      <c r="J87" s="647"/>
      <c r="K87" s="647"/>
      <c r="L87" s="647"/>
      <c r="M87" s="648"/>
      <c r="N87" s="648"/>
      <c r="O87" s="648"/>
      <c r="P87" s="648"/>
      <c r="Q87" s="648"/>
      <c r="R87" s="647"/>
      <c r="S87" s="647"/>
      <c r="T87" s="647"/>
      <c r="U87" s="647"/>
      <c r="V87" s="647"/>
      <c r="W87" s="647"/>
      <c r="X87" s="647"/>
      <c r="Y87" s="647"/>
      <c r="Z87" s="647"/>
      <c r="AA87" s="647"/>
      <c r="AB87" s="647"/>
      <c r="AC87" s="647"/>
      <c r="AD87" s="647"/>
      <c r="AE87" s="647"/>
      <c r="AF87" s="647"/>
      <c r="AG87" s="647"/>
      <c r="AH87" s="647"/>
      <c r="AI87" s="647"/>
      <c r="AJ87" s="647"/>
      <c r="AK87" s="647"/>
      <c r="AL87" s="647"/>
      <c r="AM87" s="647"/>
    </row>
    <row r="88" spans="1:39">
      <c r="A88" s="648"/>
      <c r="B88" s="648"/>
      <c r="C88" s="648"/>
      <c r="D88" s="648"/>
      <c r="E88" s="648"/>
      <c r="F88" s="648"/>
      <c r="G88" s="647"/>
      <c r="H88" s="647"/>
      <c r="I88" s="647"/>
      <c r="J88" s="713"/>
      <c r="K88" s="713"/>
      <c r="L88" s="713"/>
      <c r="M88" s="648"/>
      <c r="N88" s="648"/>
      <c r="O88" s="648"/>
      <c r="P88" s="648"/>
      <c r="Q88" s="648"/>
      <c r="R88" s="647"/>
      <c r="S88" s="647"/>
      <c r="T88" s="647"/>
      <c r="U88" s="647"/>
      <c r="V88" s="647"/>
      <c r="W88" s="647"/>
      <c r="X88" s="647"/>
      <c r="Y88" s="647"/>
      <c r="Z88" s="647"/>
      <c r="AA88" s="647"/>
      <c r="AB88" s="647"/>
      <c r="AC88" s="647"/>
      <c r="AD88" s="647"/>
      <c r="AE88" s="647"/>
      <c r="AF88" s="647"/>
      <c r="AG88" s="647"/>
      <c r="AH88" s="647"/>
      <c r="AI88" s="647"/>
      <c r="AJ88" s="647"/>
      <c r="AK88" s="647"/>
      <c r="AL88" s="647"/>
      <c r="AM88" s="647"/>
    </row>
    <row r="89" spans="1:39" ht="14.1" customHeight="1">
      <c r="A89" s="684" t="str">
        <f>VLOOKUP(AI84,'Contorizare in SDI'!$E:$I,5,FALSE)</f>
        <v>16G14570110072302</v>
      </c>
      <c r="B89" s="685"/>
      <c r="C89" s="685"/>
      <c r="D89" s="685"/>
      <c r="E89" s="685"/>
      <c r="F89" s="686"/>
      <c r="G89" s="648" t="s">
        <v>730</v>
      </c>
      <c r="H89" s="648"/>
      <c r="I89" s="673"/>
      <c r="J89" s="655">
        <f>'Date masura OD'!$AK$5</f>
        <v>45748</v>
      </c>
      <c r="K89" s="656"/>
      <c r="L89" s="657"/>
      <c r="M89" s="720" t="s">
        <v>446</v>
      </c>
      <c r="N89" s="648"/>
      <c r="O89" s="648">
        <f>VLOOKUP(A98,Regularizare!$D:$AX,2,FALSE)</f>
        <v>20</v>
      </c>
      <c r="P89" s="648"/>
      <c r="Q89" s="648"/>
      <c r="R89" s="647" t="str">
        <f>VLOOKUP(A89,Regularizare!$D:$YN,3,FALSE)&amp;" ("&amp;VLOOKUP(A89,Regularizare!$D:$Y,11,FALSE)&amp;")"</f>
        <v>24349.95 (citit)</v>
      </c>
      <c r="S89" s="647"/>
      <c r="T89" s="647"/>
      <c r="U89" s="647" t="str">
        <f>VLOOKUP(A89,Regularizare!$D:$U,4,FALSE)&amp;" ("&amp;VLOOKUP(A89,Regularizare!$D:$U,12,FALSE)&amp;")"</f>
        <v>24528.4 (estimat)</v>
      </c>
      <c r="V89" s="647"/>
      <c r="W89" s="647"/>
      <c r="X89" s="647" t="str">
        <f>VLOOKUP(A89,Regularizare!$D:$Y,19,FALSE)&amp;" ("&amp;VLOOKUP(A89,Regularizare!$D:$U,12,FALSE)&amp;")"</f>
        <v>3569 (estimat)</v>
      </c>
      <c r="Y89" s="647"/>
      <c r="Z89" s="647"/>
      <c r="AA89" s="647">
        <f>(-1)*VLOOKUP(A89,Regularizare!$D:$Y,19,FALSE)</f>
        <v>-3569</v>
      </c>
      <c r="AB89" s="647"/>
      <c r="AC89" s="647"/>
      <c r="AD89" s="647" t="s">
        <v>69</v>
      </c>
      <c r="AE89" s="647"/>
      <c r="AF89" s="647">
        <f>AA89</f>
        <v>-3569</v>
      </c>
      <c r="AG89" s="647"/>
      <c r="AH89" s="647"/>
      <c r="AI89" s="647" t="s">
        <v>69</v>
      </c>
      <c r="AJ89" s="647"/>
      <c r="AK89" s="647" t="s">
        <v>69</v>
      </c>
      <c r="AL89" s="647"/>
      <c r="AM89" s="647"/>
    </row>
    <row r="90" spans="1:39" ht="8.4499999999999993" customHeight="1">
      <c r="A90" s="727"/>
      <c r="B90" s="729"/>
      <c r="C90" s="729"/>
      <c r="D90" s="729"/>
      <c r="E90" s="729"/>
      <c r="F90" s="728"/>
      <c r="G90" s="648"/>
      <c r="H90" s="648"/>
      <c r="I90" s="673"/>
      <c r="J90" s="717" t="s">
        <v>69</v>
      </c>
      <c r="K90" s="718"/>
      <c r="L90" s="719"/>
      <c r="M90" s="720"/>
      <c r="N90" s="648"/>
      <c r="O90" s="648"/>
      <c r="P90" s="648"/>
      <c r="Q90" s="648"/>
      <c r="R90" s="647"/>
      <c r="S90" s="647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647"/>
      <c r="AL90" s="647"/>
      <c r="AM90" s="647"/>
    </row>
    <row r="91" spans="1:39" ht="14.1" customHeight="1">
      <c r="A91" s="687"/>
      <c r="B91" s="688"/>
      <c r="C91" s="688"/>
      <c r="D91" s="688"/>
      <c r="E91" s="688"/>
      <c r="F91" s="689"/>
      <c r="G91" s="648"/>
      <c r="H91" s="648"/>
      <c r="I91" s="673"/>
      <c r="J91" s="714">
        <f>'Date masura OD'!$AL$5</f>
        <v>45777</v>
      </c>
      <c r="K91" s="715"/>
      <c r="L91" s="716"/>
      <c r="M91" s="720"/>
      <c r="N91" s="648"/>
      <c r="O91" s="648"/>
      <c r="P91" s="648"/>
      <c r="Q91" s="648"/>
      <c r="R91" s="647"/>
      <c r="S91" s="647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647"/>
      <c r="AL91" s="647"/>
      <c r="AM91" s="647"/>
    </row>
    <row r="92" spans="1:39" ht="14.1" customHeight="1">
      <c r="A92" s="684" t="str">
        <f>A89</f>
        <v>16G14570110072302</v>
      </c>
      <c r="B92" s="685"/>
      <c r="C92" s="685"/>
      <c r="D92" s="685"/>
      <c r="E92" s="685"/>
      <c r="F92" s="686"/>
      <c r="G92" s="648" t="s">
        <v>696</v>
      </c>
      <c r="H92" s="648"/>
      <c r="I92" s="648"/>
      <c r="J92" s="655">
        <f t="shared" ref="J92:J97" si="2">J89</f>
        <v>45748</v>
      </c>
      <c r="K92" s="656"/>
      <c r="L92" s="657"/>
      <c r="M92" s="648" t="s">
        <v>720</v>
      </c>
      <c r="N92" s="648"/>
      <c r="O92" s="648">
        <f>VLOOKUP(A101,Regularizare!$D:$AX,2,FALSE)</f>
        <v>20</v>
      </c>
      <c r="P92" s="648"/>
      <c r="Q92" s="648"/>
      <c r="R92" s="648" t="str">
        <f>VLOOKUP(A92,Regularizare!$D:$U,7,FALSE)&amp;" ("&amp;VLOOKUP(A92,Regularizare!$D:$U,15,FALSE)&amp;")"</f>
        <v>3528.93 (citit)</v>
      </c>
      <c r="S92" s="648"/>
      <c r="T92" s="648"/>
      <c r="U92" s="647" t="str">
        <f>VLOOKUP(A92,Regularizare!$D:$U,8,FALSE)&amp;" ("&amp;VLOOKUP(A92,Regularizare!$D:$U,16,FALSE)&amp;")"</f>
        <v>3528.93 (estimat)</v>
      </c>
      <c r="V92" s="647"/>
      <c r="W92" s="647"/>
      <c r="X92" s="647" t="str">
        <f>_xlfn.CONCAT(VLOOKUP(A92,Regularizare!$D:$U,8,FALSE)-VLOOKUP(A92,Regularizare!$D:$U,7,FALSE)," (",VLOOKUP(A92,Regularizare!$D:$U,16,FALSE),")")</f>
        <v>0 (estimat)</v>
      </c>
      <c r="Y92" s="647"/>
      <c r="Z92" s="647"/>
      <c r="AA92" s="647">
        <f>IF(VLOOKUP(A92,Regularizare!$D:$Y,21,FALSE)=0,VLOOKUP(A92,Regularizare!$D:$Y,21,FALSE),(-1)*VLOOKUP(A92,Regularizare!$D:$Y,21,FALSE))</f>
        <v>0</v>
      </c>
      <c r="AB92" s="647"/>
      <c r="AC92" s="647"/>
      <c r="AD92" s="647" t="s">
        <v>69</v>
      </c>
      <c r="AE92" s="647"/>
      <c r="AF92" s="647">
        <f>AA92</f>
        <v>0</v>
      </c>
      <c r="AG92" s="647"/>
      <c r="AH92" s="647"/>
      <c r="AI92" s="647" t="str">
        <f>AI89</f>
        <v>-</v>
      </c>
      <c r="AJ92" s="647"/>
      <c r="AK92" s="647" t="str">
        <f>AK89</f>
        <v>-</v>
      </c>
      <c r="AL92" s="647"/>
      <c r="AM92" s="647"/>
    </row>
    <row r="93" spans="1:39" ht="8.4499999999999993" customHeight="1">
      <c r="A93" s="727"/>
      <c r="B93" s="729"/>
      <c r="C93" s="729"/>
      <c r="D93" s="729"/>
      <c r="E93" s="729"/>
      <c r="F93" s="728"/>
      <c r="G93" s="648"/>
      <c r="H93" s="648"/>
      <c r="I93" s="648"/>
      <c r="J93" s="717" t="str">
        <f t="shared" si="2"/>
        <v>-</v>
      </c>
      <c r="K93" s="718"/>
      <c r="L93" s="719"/>
      <c r="M93" s="648"/>
      <c r="N93" s="648"/>
      <c r="O93" s="648"/>
      <c r="P93" s="648"/>
      <c r="Q93" s="648"/>
      <c r="R93" s="648"/>
      <c r="S93" s="648"/>
      <c r="T93" s="648"/>
      <c r="U93" s="647"/>
      <c r="V93" s="647"/>
      <c r="W93" s="647"/>
      <c r="X93" s="647"/>
      <c r="Y93" s="647"/>
      <c r="Z93" s="647"/>
      <c r="AA93" s="647"/>
      <c r="AB93" s="647"/>
      <c r="AC93" s="647"/>
      <c r="AD93" s="647"/>
      <c r="AE93" s="647"/>
      <c r="AF93" s="647"/>
      <c r="AG93" s="647"/>
      <c r="AH93" s="647"/>
      <c r="AI93" s="647"/>
      <c r="AJ93" s="647"/>
      <c r="AK93" s="647"/>
      <c r="AL93" s="647"/>
      <c r="AM93" s="647"/>
    </row>
    <row r="94" spans="1:39" ht="14.1" customHeight="1">
      <c r="A94" s="687"/>
      <c r="B94" s="688"/>
      <c r="C94" s="688"/>
      <c r="D94" s="688"/>
      <c r="E94" s="688"/>
      <c r="F94" s="689"/>
      <c r="G94" s="648"/>
      <c r="H94" s="648"/>
      <c r="I94" s="648"/>
      <c r="J94" s="714">
        <f t="shared" si="2"/>
        <v>45777</v>
      </c>
      <c r="K94" s="715"/>
      <c r="L94" s="716"/>
      <c r="M94" s="648"/>
      <c r="N94" s="648"/>
      <c r="O94" s="648"/>
      <c r="P94" s="648"/>
      <c r="Q94" s="648"/>
      <c r="R94" s="648"/>
      <c r="S94" s="648"/>
      <c r="T94" s="648"/>
      <c r="U94" s="647"/>
      <c r="V94" s="647"/>
      <c r="W94" s="647"/>
      <c r="X94" s="647"/>
      <c r="Y94" s="647"/>
      <c r="Z94" s="647"/>
      <c r="AA94" s="647"/>
      <c r="AB94" s="647"/>
      <c r="AC94" s="647"/>
      <c r="AD94" s="647"/>
      <c r="AE94" s="647"/>
      <c r="AF94" s="647"/>
      <c r="AG94" s="647"/>
      <c r="AH94" s="647"/>
      <c r="AI94" s="647"/>
      <c r="AJ94" s="647"/>
      <c r="AK94" s="647"/>
      <c r="AL94" s="647"/>
      <c r="AM94" s="647"/>
    </row>
    <row r="95" spans="1:39" ht="14.1" customHeight="1">
      <c r="A95" s="684" t="str">
        <f>A89</f>
        <v>16G14570110072302</v>
      </c>
      <c r="B95" s="685"/>
      <c r="C95" s="685"/>
      <c r="D95" s="685"/>
      <c r="E95" s="685"/>
      <c r="F95" s="686"/>
      <c r="G95" s="648" t="s">
        <v>731</v>
      </c>
      <c r="H95" s="648"/>
      <c r="I95" s="648"/>
      <c r="J95" s="655">
        <f t="shared" si="2"/>
        <v>45748</v>
      </c>
      <c r="K95" s="656"/>
      <c r="L95" s="657"/>
      <c r="M95" s="648" t="s">
        <v>720</v>
      </c>
      <c r="N95" s="648"/>
      <c r="O95" s="648">
        <f>VLOOKUP(A104,Regularizare!$D:$AX,2,FALSE)</f>
        <v>20</v>
      </c>
      <c r="P95" s="648"/>
      <c r="Q95" s="648"/>
      <c r="R95" s="647" t="str">
        <f>VLOOKUP(A95,Regularizare!$D:$U,9,FALSE)&amp;" ("&amp;VLOOKUP(A95,Regularizare!$D:$U,17,FALSE)&amp;")"</f>
        <v>2460.681 (citit)</v>
      </c>
      <c r="S95" s="647"/>
      <c r="T95" s="647"/>
      <c r="U95" s="647" t="str">
        <f>VLOOKUP(A95,Regularizare!$D:$U,10,FALSE)&amp;" ("&amp;VLOOKUP(A95,Regularizare!$D:$U,18,FALSE)&amp;")"</f>
        <v>2460.681 (estimat)</v>
      </c>
      <c r="V95" s="647"/>
      <c r="W95" s="647"/>
      <c r="X95" s="647" t="str">
        <f>_xlfn.CONCAT(VLOOKUP(A95,Regularizare!$D:$U,10,FALSE)-VLOOKUP(A95,Regularizare!$D:$U,9,FALSE)," (",VLOOKUP(A95,Regularizare!$D:$U,18,FALSE),")")</f>
        <v>0 (estimat)</v>
      </c>
      <c r="Y95" s="647"/>
      <c r="Z95" s="647"/>
      <c r="AA95" s="647">
        <f>IF(VLOOKUP(A95,Regularizare!$D:$Y,22,FALSE)=0,VLOOKUP(A95,Regularizare!$D:$Y,22,FALSE),(-1)*VLOOKUP(A95,Regularizare!$D:$Y,22,FALSE))</f>
        <v>0</v>
      </c>
      <c r="AB95" s="647"/>
      <c r="AC95" s="647"/>
      <c r="AD95" s="647" t="s">
        <v>69</v>
      </c>
      <c r="AE95" s="647"/>
      <c r="AF95" s="647">
        <f>AA95</f>
        <v>0</v>
      </c>
      <c r="AG95" s="647"/>
      <c r="AH95" s="647"/>
      <c r="AI95" s="647" t="str">
        <f>AI92</f>
        <v>-</v>
      </c>
      <c r="AJ95" s="647"/>
      <c r="AK95" s="647" t="str">
        <f>AK92</f>
        <v>-</v>
      </c>
      <c r="AL95" s="647"/>
      <c r="AM95" s="647"/>
    </row>
    <row r="96" spans="1:39" ht="8.4499999999999993" customHeight="1">
      <c r="A96" s="727"/>
      <c r="B96" s="729"/>
      <c r="C96" s="729"/>
      <c r="D96" s="729"/>
      <c r="E96" s="729"/>
      <c r="F96" s="728"/>
      <c r="G96" s="648"/>
      <c r="H96" s="648"/>
      <c r="I96" s="648"/>
      <c r="J96" s="717" t="str">
        <f t="shared" si="2"/>
        <v>-</v>
      </c>
      <c r="K96" s="718"/>
      <c r="L96" s="719"/>
      <c r="M96" s="648"/>
      <c r="N96" s="648"/>
      <c r="O96" s="648"/>
      <c r="P96" s="648"/>
      <c r="Q96" s="648"/>
      <c r="R96" s="647"/>
      <c r="S96" s="647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</row>
    <row r="97" spans="1:39" ht="14.1" customHeight="1">
      <c r="A97" s="687"/>
      <c r="B97" s="688"/>
      <c r="C97" s="688"/>
      <c r="D97" s="688"/>
      <c r="E97" s="688"/>
      <c r="F97" s="689"/>
      <c r="G97" s="648"/>
      <c r="H97" s="648"/>
      <c r="I97" s="648"/>
      <c r="J97" s="714">
        <f t="shared" si="2"/>
        <v>45777</v>
      </c>
      <c r="K97" s="715"/>
      <c r="L97" s="716"/>
      <c r="M97" s="648"/>
      <c r="N97" s="648"/>
      <c r="O97" s="648"/>
      <c r="P97" s="648"/>
      <c r="Q97" s="648"/>
      <c r="R97" s="647"/>
      <c r="S97" s="647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</row>
    <row r="98" spans="1:39" ht="14.1" customHeight="1">
      <c r="A98" s="684" t="str">
        <f>A89</f>
        <v>16G14570110072302</v>
      </c>
      <c r="B98" s="685"/>
      <c r="C98" s="685"/>
      <c r="D98" s="685"/>
      <c r="E98" s="685"/>
      <c r="F98" s="686"/>
      <c r="G98" s="648" t="s">
        <v>730</v>
      </c>
      <c r="H98" s="648"/>
      <c r="I98" s="673"/>
      <c r="J98" s="655">
        <f>'Date masura OD'!$AK$5</f>
        <v>45748</v>
      </c>
      <c r="K98" s="656"/>
      <c r="L98" s="657"/>
      <c r="M98" s="720" t="s">
        <v>446</v>
      </c>
      <c r="N98" s="648"/>
      <c r="O98" s="648">
        <f>VLOOKUP(A98,Regularizare!$D:$AX,2,FALSE)</f>
        <v>20</v>
      </c>
      <c r="P98" s="648"/>
      <c r="Q98" s="648"/>
      <c r="R98" s="647" t="str">
        <f>VLOOKUP(A98,Regularizare!$D:$AX,23,FALSE)&amp;" ("&amp;VLOOKUP(A98,Regularizare!$D:$AX,24,FALSE)&amp;")"</f>
        <v>24349.95 (citit)</v>
      </c>
      <c r="S98" s="647"/>
      <c r="T98" s="647"/>
      <c r="U98" s="647" t="str">
        <f>VLOOKUP(A98,Regularizare!$D:$AX,25,FALSE)&amp;" ("&amp;VLOOKUP(A98,Regularizare!$D:$AX,26,FALSE)&amp;")"</f>
        <v>24528.4 (citit)</v>
      </c>
      <c r="V98" s="647"/>
      <c r="W98" s="647"/>
      <c r="X98" s="647" t="str">
        <f>VLOOKUP(A98,Regularizare!$D:$AX,37,FALSE)&amp;" ("&amp;VLOOKUP(A98,Regularizare!$D:$AX,26,FALSE)&amp;")"</f>
        <v>3569 (citit)</v>
      </c>
      <c r="Y98" s="647"/>
      <c r="Z98" s="647"/>
      <c r="AA98" s="647">
        <f>VLOOKUP(A98,Regularizare!$D:$AX,37,FALSE)</f>
        <v>3569</v>
      </c>
      <c r="AB98" s="647"/>
      <c r="AC98" s="647"/>
      <c r="AD98" s="647" t="s">
        <v>69</v>
      </c>
      <c r="AE98" s="647"/>
      <c r="AF98" s="647">
        <f>AA98</f>
        <v>3569</v>
      </c>
      <c r="AG98" s="647"/>
      <c r="AH98" s="647"/>
      <c r="AI98" s="647" t="str">
        <f>AI95</f>
        <v>-</v>
      </c>
      <c r="AJ98" s="647"/>
      <c r="AK98" s="647" t="str">
        <f>AK95</f>
        <v>-</v>
      </c>
      <c r="AL98" s="647"/>
      <c r="AM98" s="647"/>
    </row>
    <row r="99" spans="1:39" ht="8.4499999999999993" customHeight="1">
      <c r="A99" s="727"/>
      <c r="B99" s="729"/>
      <c r="C99" s="729"/>
      <c r="D99" s="729"/>
      <c r="E99" s="729"/>
      <c r="F99" s="728"/>
      <c r="G99" s="648"/>
      <c r="H99" s="648"/>
      <c r="I99" s="673"/>
      <c r="J99" s="717" t="s">
        <v>69</v>
      </c>
      <c r="K99" s="718"/>
      <c r="L99" s="719"/>
      <c r="M99" s="720"/>
      <c r="N99" s="648"/>
      <c r="O99" s="648"/>
      <c r="P99" s="648"/>
      <c r="Q99" s="648"/>
      <c r="R99" s="647"/>
      <c r="S99" s="647"/>
      <c r="T99" s="647"/>
      <c r="U99" s="647"/>
      <c r="V99" s="647"/>
      <c r="W99" s="647"/>
      <c r="X99" s="647"/>
      <c r="Y99" s="647"/>
      <c r="Z99" s="647"/>
      <c r="AA99" s="647"/>
      <c r="AB99" s="647"/>
      <c r="AC99" s="647"/>
      <c r="AD99" s="647"/>
      <c r="AE99" s="647"/>
      <c r="AF99" s="647"/>
      <c r="AG99" s="647"/>
      <c r="AH99" s="647"/>
      <c r="AI99" s="647"/>
      <c r="AJ99" s="647"/>
      <c r="AK99" s="647"/>
      <c r="AL99" s="647"/>
      <c r="AM99" s="647"/>
    </row>
    <row r="100" spans="1:39" ht="14.1" customHeight="1">
      <c r="A100" s="687"/>
      <c r="B100" s="688"/>
      <c r="C100" s="688"/>
      <c r="D100" s="688"/>
      <c r="E100" s="688"/>
      <c r="F100" s="689"/>
      <c r="G100" s="648"/>
      <c r="H100" s="648"/>
      <c r="I100" s="673"/>
      <c r="J100" s="714">
        <f>'Date masura OD'!$AL$5</f>
        <v>45777</v>
      </c>
      <c r="K100" s="715"/>
      <c r="L100" s="716"/>
      <c r="M100" s="720"/>
      <c r="N100" s="648"/>
      <c r="O100" s="648"/>
      <c r="P100" s="648"/>
      <c r="Q100" s="648"/>
      <c r="R100" s="647"/>
      <c r="S100" s="647"/>
      <c r="T100" s="647"/>
      <c r="U100" s="647"/>
      <c r="V100" s="647"/>
      <c r="W100" s="647"/>
      <c r="X100" s="647"/>
      <c r="Y100" s="647"/>
      <c r="Z100" s="647"/>
      <c r="AA100" s="647"/>
      <c r="AB100" s="647"/>
      <c r="AC100" s="647"/>
      <c r="AD100" s="647"/>
      <c r="AE100" s="647"/>
      <c r="AF100" s="647"/>
      <c r="AG100" s="647"/>
      <c r="AH100" s="647"/>
      <c r="AI100" s="647"/>
      <c r="AJ100" s="647"/>
      <c r="AK100" s="647"/>
      <c r="AL100" s="647"/>
      <c r="AM100" s="647"/>
    </row>
    <row r="101" spans="1:39" ht="14.1" customHeight="1">
      <c r="A101" s="684" t="str">
        <f>A89</f>
        <v>16G14570110072302</v>
      </c>
      <c r="B101" s="685"/>
      <c r="C101" s="685"/>
      <c r="D101" s="685"/>
      <c r="E101" s="685"/>
      <c r="F101" s="686"/>
      <c r="G101" s="648" t="s">
        <v>696</v>
      </c>
      <c r="H101" s="648"/>
      <c r="I101" s="648"/>
      <c r="J101" s="655">
        <f t="shared" ref="J101:J106" si="3">J98</f>
        <v>45748</v>
      </c>
      <c r="K101" s="656"/>
      <c r="L101" s="657"/>
      <c r="M101" s="648" t="s">
        <v>720</v>
      </c>
      <c r="N101" s="648"/>
      <c r="O101" s="648">
        <f>VLOOKUP(A101,Regularizare!$D:$AX,2,FALSE)</f>
        <v>20</v>
      </c>
      <c r="P101" s="648"/>
      <c r="Q101" s="648"/>
      <c r="R101" s="647" t="str">
        <f>VLOOKUP(A101,Regularizare!$D:$AX,29,FALSE)&amp;" ("&amp;VLOOKUP(A101,Regularizare!$D:$AX,30,FALSE)&amp;")"</f>
        <v>3528.93 (citit)</v>
      </c>
      <c r="S101" s="647"/>
      <c r="T101" s="647"/>
      <c r="U101" s="647" t="str">
        <f>VLOOKUP(A101,Regularizare!$D:$AX,31,FALSE)&amp;" ("&amp;VLOOKUP(A101,Regularizare!$D:$AX,32,FALSE)&amp;")"</f>
        <v>3528.93 (citit)</v>
      </c>
      <c r="V101" s="647"/>
      <c r="W101" s="647"/>
      <c r="X101" s="647" t="str">
        <f>VLOOKUP(A101,Regularizare!$D:$AX,39,FALSE)&amp;" ("&amp;VLOOKUP(A101,Regularizare!$D:$AX,32,FALSE)&amp;")"</f>
        <v>0 (citit)</v>
      </c>
      <c r="Y101" s="647"/>
      <c r="Z101" s="647"/>
      <c r="AA101" s="647">
        <f>VLOOKUP(A101,Regularizare!$D:$AX,44,FALSE)+VLOOKUP(A101,Regularizare!$D:$AX,45,FALSE)</f>
        <v>0</v>
      </c>
      <c r="AB101" s="647"/>
      <c r="AC101" s="647"/>
      <c r="AD101" s="647" t="s">
        <v>69</v>
      </c>
      <c r="AE101" s="647"/>
      <c r="AF101" s="647">
        <f>AA101</f>
        <v>0</v>
      </c>
      <c r="AG101" s="647"/>
      <c r="AH101" s="647"/>
      <c r="AI101" s="647" t="str">
        <f>AI98</f>
        <v>-</v>
      </c>
      <c r="AJ101" s="647"/>
      <c r="AK101" s="647" t="str">
        <f>AK98</f>
        <v>-</v>
      </c>
      <c r="AL101" s="647"/>
      <c r="AM101" s="647"/>
    </row>
    <row r="102" spans="1:39" ht="8.4499999999999993" customHeight="1">
      <c r="A102" s="727"/>
      <c r="B102" s="729"/>
      <c r="C102" s="729"/>
      <c r="D102" s="729"/>
      <c r="E102" s="729"/>
      <c r="F102" s="728"/>
      <c r="G102" s="648"/>
      <c r="H102" s="648"/>
      <c r="I102" s="648"/>
      <c r="J102" s="717" t="str">
        <f t="shared" si="3"/>
        <v>-</v>
      </c>
      <c r="K102" s="718"/>
      <c r="L102" s="719"/>
      <c r="M102" s="648"/>
      <c r="N102" s="648"/>
      <c r="O102" s="648"/>
      <c r="P102" s="648"/>
      <c r="Q102" s="648"/>
      <c r="R102" s="647"/>
      <c r="S102" s="647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647"/>
      <c r="AL102" s="647"/>
      <c r="AM102" s="647"/>
    </row>
    <row r="103" spans="1:39" ht="14.1" customHeight="1">
      <c r="A103" s="687"/>
      <c r="B103" s="688"/>
      <c r="C103" s="688"/>
      <c r="D103" s="688"/>
      <c r="E103" s="688"/>
      <c r="F103" s="689"/>
      <c r="G103" s="648"/>
      <c r="H103" s="648"/>
      <c r="I103" s="648"/>
      <c r="J103" s="714">
        <f t="shared" si="3"/>
        <v>45777</v>
      </c>
      <c r="K103" s="715"/>
      <c r="L103" s="716"/>
      <c r="M103" s="648"/>
      <c r="N103" s="648"/>
      <c r="O103" s="648"/>
      <c r="P103" s="648"/>
      <c r="Q103" s="648"/>
      <c r="R103" s="647"/>
      <c r="S103" s="647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647"/>
      <c r="AL103" s="647"/>
      <c r="AM103" s="647"/>
    </row>
    <row r="104" spans="1:39" ht="14.1" customHeight="1">
      <c r="A104" s="684" t="str">
        <f>A89</f>
        <v>16G14570110072302</v>
      </c>
      <c r="B104" s="685"/>
      <c r="C104" s="685"/>
      <c r="D104" s="685"/>
      <c r="E104" s="685"/>
      <c r="F104" s="686"/>
      <c r="G104" s="648" t="s">
        <v>731</v>
      </c>
      <c r="H104" s="648"/>
      <c r="I104" s="648"/>
      <c r="J104" s="655">
        <f t="shared" si="3"/>
        <v>45748</v>
      </c>
      <c r="K104" s="656"/>
      <c r="L104" s="657"/>
      <c r="M104" s="648" t="s">
        <v>720</v>
      </c>
      <c r="N104" s="648"/>
      <c r="O104" s="648">
        <f>VLOOKUP(A104,Regularizare!$D:$AX,2,FALSE)</f>
        <v>20</v>
      </c>
      <c r="P104" s="648"/>
      <c r="Q104" s="648"/>
      <c r="R104" s="647" t="str">
        <f>VLOOKUP(A104,Regularizare!$D:$AX,33,FALSE)&amp;" ("&amp;VLOOKUP(A104,Regularizare!$D:$AX,34,FALSE)&amp;")"</f>
        <v>2460.681 (citit)</v>
      </c>
      <c r="S104" s="647"/>
      <c r="T104" s="647"/>
      <c r="U104" s="647" t="str">
        <f>VLOOKUP(A104,Regularizare!$D:$AX,35,FALSE)&amp;" ("&amp;VLOOKUP(A104,Regularizare!$D:$AX,36,FALSE)&amp;")"</f>
        <v>2460.681 (citit)</v>
      </c>
      <c r="V104" s="647"/>
      <c r="W104" s="647"/>
      <c r="X104" s="647" t="str">
        <f>VLOOKUP(A104,Regularizare!$D:$AX,40,FALSE)&amp;" ("&amp;VLOOKUP(A104,Regularizare!$D:$AX,36,FALSE)&amp;")"</f>
        <v>0 (citit)</v>
      </c>
      <c r="Y104" s="647"/>
      <c r="Z104" s="647"/>
      <c r="AA104" s="647">
        <f>VLOOKUP(A104,Regularizare!$D:$AX,46,FALSE)+VLOOKUP(A104,Regularizare!$D:$AX,47,FALSE)</f>
        <v>0</v>
      </c>
      <c r="AB104" s="647"/>
      <c r="AC104" s="647"/>
      <c r="AD104" s="647" t="s">
        <v>69</v>
      </c>
      <c r="AE104" s="647"/>
      <c r="AF104" s="647">
        <f>AA104</f>
        <v>0</v>
      </c>
      <c r="AG104" s="647"/>
      <c r="AH104" s="647"/>
      <c r="AI104" s="647" t="str">
        <f>AI101</f>
        <v>-</v>
      </c>
      <c r="AJ104" s="647"/>
      <c r="AK104" s="647" t="str">
        <f>AK101</f>
        <v>-</v>
      </c>
      <c r="AL104" s="647"/>
      <c r="AM104" s="647"/>
    </row>
    <row r="105" spans="1:39" ht="8.4499999999999993" customHeight="1">
      <c r="A105" s="727"/>
      <c r="B105" s="729"/>
      <c r="C105" s="729"/>
      <c r="D105" s="729"/>
      <c r="E105" s="729"/>
      <c r="F105" s="728"/>
      <c r="G105" s="648"/>
      <c r="H105" s="648"/>
      <c r="I105" s="648"/>
      <c r="J105" s="717" t="str">
        <f t="shared" si="3"/>
        <v>-</v>
      </c>
      <c r="K105" s="718"/>
      <c r="L105" s="719"/>
      <c r="M105" s="648"/>
      <c r="N105" s="648"/>
      <c r="O105" s="648"/>
      <c r="P105" s="648"/>
      <c r="Q105" s="648"/>
      <c r="R105" s="647"/>
      <c r="S105" s="647"/>
      <c r="T105" s="647"/>
      <c r="U105" s="647"/>
      <c r="V105" s="647"/>
      <c r="W105" s="647"/>
      <c r="X105" s="647"/>
      <c r="Y105" s="647"/>
      <c r="Z105" s="647"/>
      <c r="AA105" s="647"/>
      <c r="AB105" s="647"/>
      <c r="AC105" s="647"/>
      <c r="AD105" s="647"/>
      <c r="AE105" s="647"/>
      <c r="AF105" s="647"/>
      <c r="AG105" s="647"/>
      <c r="AH105" s="647"/>
      <c r="AI105" s="647"/>
      <c r="AJ105" s="647"/>
      <c r="AK105" s="647"/>
      <c r="AL105" s="647"/>
      <c r="AM105" s="647"/>
    </row>
    <row r="106" spans="1:39" ht="14.1" customHeight="1">
      <c r="A106" s="687"/>
      <c r="B106" s="688"/>
      <c r="C106" s="688"/>
      <c r="D106" s="688"/>
      <c r="E106" s="688"/>
      <c r="F106" s="689"/>
      <c r="G106" s="648"/>
      <c r="H106" s="648"/>
      <c r="I106" s="648"/>
      <c r="J106" s="714">
        <f t="shared" si="3"/>
        <v>45777</v>
      </c>
      <c r="K106" s="715"/>
      <c r="L106" s="716"/>
      <c r="M106" s="648"/>
      <c r="N106" s="648"/>
      <c r="O106" s="648"/>
      <c r="P106" s="648"/>
      <c r="Q106" s="648"/>
      <c r="R106" s="647"/>
      <c r="S106" s="647"/>
      <c r="T106" s="647"/>
      <c r="U106" s="647"/>
      <c r="V106" s="647"/>
      <c r="W106" s="647"/>
      <c r="X106" s="647"/>
      <c r="Y106" s="647"/>
      <c r="Z106" s="647"/>
      <c r="AA106" s="647"/>
      <c r="AB106" s="647"/>
      <c r="AC106" s="647"/>
      <c r="AD106" s="647"/>
      <c r="AE106" s="647"/>
      <c r="AF106" s="647"/>
      <c r="AG106" s="647"/>
      <c r="AH106" s="647"/>
      <c r="AI106" s="647"/>
      <c r="AJ106" s="647"/>
      <c r="AK106" s="647"/>
      <c r="AL106" s="647"/>
      <c r="AM106" s="647"/>
    </row>
    <row r="107" spans="1:39" ht="14.1" customHeight="1">
      <c r="A107" s="684" t="str">
        <f>A89</f>
        <v>16G14570110072302</v>
      </c>
      <c r="B107" s="685"/>
      <c r="C107" s="685"/>
      <c r="D107" s="685"/>
      <c r="E107" s="685"/>
      <c r="F107" s="686"/>
      <c r="G107" s="648" t="s">
        <v>730</v>
      </c>
      <c r="H107" s="648"/>
      <c r="I107" s="673"/>
      <c r="J107" s="655">
        <f>'Date masura OD'!$I$5</f>
        <v>45778</v>
      </c>
      <c r="K107" s="656"/>
      <c r="L107" s="657"/>
      <c r="M107" s="720" t="s">
        <v>446</v>
      </c>
      <c r="N107" s="648"/>
      <c r="O107" s="648">
        <f>VLOOKUP(A107,Regularizare!$D:$AX,2,FALSE)</f>
        <v>20</v>
      </c>
      <c r="P107" s="648"/>
      <c r="Q107" s="648"/>
      <c r="R107" s="647" t="str">
        <f>U98</f>
        <v>24528.4 (citit)</v>
      </c>
      <c r="S107" s="647"/>
      <c r="T107" s="647"/>
      <c r="U107" s="647" t="str">
        <f>VLOOKUP(A107,'Incrementare indexe'!$D:$M,4,FALSE)&amp;" (estimat)"</f>
        <v>24676.2 (estimat)</v>
      </c>
      <c r="V107" s="647"/>
      <c r="W107" s="647"/>
      <c r="X107" s="647" t="str">
        <f>VLOOKUP(A107,'Incrementare indexe'!$D:$Q,11,FALSE)&amp;" (estimat)"</f>
        <v>2956 (estimat)</v>
      </c>
      <c r="Y107" s="647"/>
      <c r="Z107" s="647"/>
      <c r="AA107" s="647" t="s">
        <v>69</v>
      </c>
      <c r="AB107" s="647"/>
      <c r="AC107" s="647"/>
      <c r="AD107" s="647" t="s">
        <v>69</v>
      </c>
      <c r="AE107" s="647"/>
      <c r="AF107" s="647">
        <f>VLOOKUP(A107,'Incrementare indexe'!$D:$Q,11,FALSE)</f>
        <v>2956</v>
      </c>
      <c r="AG107" s="647"/>
      <c r="AH107" s="647"/>
      <c r="AI107" s="647">
        <f>J109-J107+1</f>
        <v>31</v>
      </c>
      <c r="AJ107" s="647"/>
      <c r="AK107" s="647">
        <f>ROUND(AF107/AI107,2)</f>
        <v>95.35</v>
      </c>
      <c r="AL107" s="647"/>
      <c r="AM107" s="647"/>
    </row>
    <row r="108" spans="1:39" ht="8.4499999999999993" customHeight="1">
      <c r="A108" s="727"/>
      <c r="B108" s="729"/>
      <c r="C108" s="729"/>
      <c r="D108" s="729"/>
      <c r="E108" s="729"/>
      <c r="F108" s="728"/>
      <c r="G108" s="648"/>
      <c r="H108" s="648"/>
      <c r="I108" s="673"/>
      <c r="J108" s="717" t="s">
        <v>69</v>
      </c>
      <c r="K108" s="718"/>
      <c r="L108" s="719"/>
      <c r="M108" s="720"/>
      <c r="N108" s="648"/>
      <c r="O108" s="648"/>
      <c r="P108" s="648"/>
      <c r="Q108" s="648"/>
      <c r="R108" s="647"/>
      <c r="S108" s="647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647"/>
      <c r="AL108" s="647"/>
      <c r="AM108" s="647"/>
    </row>
    <row r="109" spans="1:39" ht="14.1" customHeight="1">
      <c r="A109" s="687"/>
      <c r="B109" s="688"/>
      <c r="C109" s="688"/>
      <c r="D109" s="688"/>
      <c r="E109" s="688"/>
      <c r="F109" s="689"/>
      <c r="G109" s="648"/>
      <c r="H109" s="648"/>
      <c r="I109" s="673"/>
      <c r="J109" s="714">
        <f>'Date masura OD'!$J$5</f>
        <v>45808</v>
      </c>
      <c r="K109" s="715"/>
      <c r="L109" s="716"/>
      <c r="M109" s="720"/>
      <c r="N109" s="648"/>
      <c r="O109" s="648"/>
      <c r="P109" s="648"/>
      <c r="Q109" s="648"/>
      <c r="R109" s="647"/>
      <c r="S109" s="647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647"/>
      <c r="AL109" s="647"/>
      <c r="AM109" s="647"/>
    </row>
    <row r="110" spans="1:39" ht="14.1" customHeight="1">
      <c r="A110" s="684" t="str">
        <f>A107</f>
        <v>16G14570110072302</v>
      </c>
      <c r="B110" s="685"/>
      <c r="C110" s="685"/>
      <c r="D110" s="685"/>
      <c r="E110" s="685"/>
      <c r="F110" s="686"/>
      <c r="G110" s="648" t="s">
        <v>696</v>
      </c>
      <c r="H110" s="648"/>
      <c r="I110" s="648"/>
      <c r="J110" s="655">
        <f>'Date masura OD'!$I$5</f>
        <v>45778</v>
      </c>
      <c r="K110" s="656"/>
      <c r="L110" s="657"/>
      <c r="M110" s="648" t="s">
        <v>720</v>
      </c>
      <c r="N110" s="648"/>
      <c r="O110" s="648">
        <f>VLOOKUP(A110,Regularizare!$D:$AX,2,FALSE)</f>
        <v>20</v>
      </c>
      <c r="P110" s="648"/>
      <c r="Q110" s="648"/>
      <c r="R110" s="684" t="str">
        <f>U101</f>
        <v>3528.93 (citit)</v>
      </c>
      <c r="S110" s="685"/>
      <c r="T110" s="686"/>
      <c r="U110" s="647" t="str">
        <f>VLOOKUP(A110,'Incrementare indexe'!$D:$M,8,FALSE)&amp;" (estimat)"</f>
        <v>3528.93 (estimat)</v>
      </c>
      <c r="V110" s="647"/>
      <c r="W110" s="647"/>
      <c r="X110" s="647" t="str">
        <f>VLOOKUP(A110,'Incrementare indexe'!$D:$Q,12,FALSE)&amp;" (estimat)"</f>
        <v>0 (estimat)</v>
      </c>
      <c r="Y110" s="647"/>
      <c r="Z110" s="647"/>
      <c r="AA110" s="647" t="s">
        <v>69</v>
      </c>
      <c r="AB110" s="647"/>
      <c r="AC110" s="647"/>
      <c r="AD110" s="647" t="s">
        <v>69</v>
      </c>
      <c r="AE110" s="647"/>
      <c r="AF110" s="647">
        <f>VLOOKUP(A110,'Incrementare indexe'!$D:$Q,12,FALSE)</f>
        <v>0</v>
      </c>
      <c r="AG110" s="647"/>
      <c r="AH110" s="647"/>
      <c r="AI110" s="647">
        <f>AI107</f>
        <v>31</v>
      </c>
      <c r="AJ110" s="647"/>
      <c r="AK110" s="647">
        <f>ROUND(AF110/AI110,2)</f>
        <v>0</v>
      </c>
      <c r="AL110" s="647"/>
      <c r="AM110" s="647"/>
    </row>
    <row r="111" spans="1:39" ht="8.4499999999999993" customHeight="1">
      <c r="A111" s="727"/>
      <c r="B111" s="729"/>
      <c r="C111" s="729"/>
      <c r="D111" s="729"/>
      <c r="E111" s="729"/>
      <c r="F111" s="728"/>
      <c r="G111" s="648"/>
      <c r="H111" s="648"/>
      <c r="I111" s="648"/>
      <c r="J111" s="717" t="s">
        <v>69</v>
      </c>
      <c r="K111" s="718"/>
      <c r="L111" s="719"/>
      <c r="M111" s="648"/>
      <c r="N111" s="648"/>
      <c r="O111" s="648"/>
      <c r="P111" s="648"/>
      <c r="Q111" s="648"/>
      <c r="R111" s="727"/>
      <c r="S111" s="729"/>
      <c r="T111" s="728"/>
      <c r="U111" s="647"/>
      <c r="V111" s="647"/>
      <c r="W111" s="647"/>
      <c r="X111" s="647"/>
      <c r="Y111" s="647"/>
      <c r="Z111" s="647"/>
      <c r="AA111" s="647"/>
      <c r="AB111" s="647"/>
      <c r="AC111" s="647"/>
      <c r="AD111" s="647"/>
      <c r="AE111" s="647"/>
      <c r="AF111" s="647"/>
      <c r="AG111" s="647"/>
      <c r="AH111" s="647"/>
      <c r="AI111" s="647"/>
      <c r="AJ111" s="647"/>
      <c r="AK111" s="647"/>
      <c r="AL111" s="647"/>
      <c r="AM111" s="647"/>
    </row>
    <row r="112" spans="1:39" ht="14.1" customHeight="1">
      <c r="A112" s="687"/>
      <c r="B112" s="688"/>
      <c r="C112" s="688"/>
      <c r="D112" s="688"/>
      <c r="E112" s="688"/>
      <c r="F112" s="689"/>
      <c r="G112" s="648"/>
      <c r="H112" s="648"/>
      <c r="I112" s="648"/>
      <c r="J112" s="714">
        <f>'Date masura OD'!$J$5</f>
        <v>45808</v>
      </c>
      <c r="K112" s="715"/>
      <c r="L112" s="716"/>
      <c r="M112" s="648"/>
      <c r="N112" s="648"/>
      <c r="O112" s="648"/>
      <c r="P112" s="648"/>
      <c r="Q112" s="648"/>
      <c r="R112" s="687"/>
      <c r="S112" s="688"/>
      <c r="T112" s="689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7"/>
      <c r="AL112" s="647"/>
      <c r="AM112" s="647"/>
    </row>
    <row r="113" spans="1:39" ht="14.1" customHeight="1">
      <c r="A113" s="684" t="str">
        <f>A110</f>
        <v>16G14570110072302</v>
      </c>
      <c r="B113" s="685"/>
      <c r="C113" s="685"/>
      <c r="D113" s="685"/>
      <c r="E113" s="685"/>
      <c r="F113" s="686"/>
      <c r="G113" s="648" t="s">
        <v>731</v>
      </c>
      <c r="H113" s="648"/>
      <c r="I113" s="648"/>
      <c r="J113" s="655">
        <f>'Date masura OD'!$I$5</f>
        <v>45778</v>
      </c>
      <c r="K113" s="656"/>
      <c r="L113" s="657"/>
      <c r="M113" s="648" t="s">
        <v>720</v>
      </c>
      <c r="N113" s="648"/>
      <c r="O113" s="648">
        <f>VLOOKUP(A113,Regularizare!$D:$AX,2,FALSE)</f>
        <v>20</v>
      </c>
      <c r="P113" s="648"/>
      <c r="Q113" s="648"/>
      <c r="R113" s="647" t="str">
        <f>U104</f>
        <v>2460.681 (citit)</v>
      </c>
      <c r="S113" s="647"/>
      <c r="T113" s="647"/>
      <c r="U113" s="647" t="str">
        <f>VLOOKUP(A113,'Incrementare indexe'!$D:$M,10,FALSE)&amp;" (estimat)"</f>
        <v>2460.681 (estimat)</v>
      </c>
      <c r="V113" s="647"/>
      <c r="W113" s="647"/>
      <c r="X113" s="647" t="str">
        <f>VLOOKUP(A113,'Incrementare indexe'!$D:$Q,13,FALSE)&amp;" (estimat)"</f>
        <v>0 (estimat)</v>
      </c>
      <c r="Y113" s="647"/>
      <c r="Z113" s="647"/>
      <c r="AA113" s="647" t="s">
        <v>69</v>
      </c>
      <c r="AB113" s="647"/>
      <c r="AC113" s="647"/>
      <c r="AD113" s="647" t="s">
        <v>69</v>
      </c>
      <c r="AE113" s="647"/>
      <c r="AF113" s="647">
        <f>VLOOKUP(A113,'Incrementare indexe'!$D:$Q,13,FALSE)</f>
        <v>0</v>
      </c>
      <c r="AG113" s="647"/>
      <c r="AH113" s="647"/>
      <c r="AI113" s="647">
        <f>AI110</f>
        <v>31</v>
      </c>
      <c r="AJ113" s="647"/>
      <c r="AK113" s="647">
        <f>ROUND(AF113/AI113,2)</f>
        <v>0</v>
      </c>
      <c r="AL113" s="647"/>
      <c r="AM113" s="647"/>
    </row>
    <row r="114" spans="1:39" ht="8.4499999999999993" customHeight="1">
      <c r="A114" s="727"/>
      <c r="B114" s="729"/>
      <c r="C114" s="729"/>
      <c r="D114" s="729"/>
      <c r="E114" s="729"/>
      <c r="F114" s="728"/>
      <c r="G114" s="648"/>
      <c r="H114" s="648"/>
      <c r="I114" s="648"/>
      <c r="J114" s="717" t="s">
        <v>69</v>
      </c>
      <c r="K114" s="718"/>
      <c r="L114" s="719"/>
      <c r="M114" s="648"/>
      <c r="N114" s="648"/>
      <c r="O114" s="648"/>
      <c r="P114" s="648"/>
      <c r="Q114" s="648"/>
      <c r="R114" s="647"/>
      <c r="S114" s="647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647"/>
      <c r="AL114" s="647"/>
      <c r="AM114" s="647"/>
    </row>
    <row r="115" spans="1:39" ht="14.1" customHeight="1">
      <c r="A115" s="687"/>
      <c r="B115" s="688"/>
      <c r="C115" s="688"/>
      <c r="D115" s="688"/>
      <c r="E115" s="688"/>
      <c r="F115" s="689"/>
      <c r="G115" s="648"/>
      <c r="H115" s="648"/>
      <c r="I115" s="648"/>
      <c r="J115" s="714">
        <f>'Date masura OD'!$J$5</f>
        <v>45808</v>
      </c>
      <c r="K115" s="715"/>
      <c r="L115" s="716"/>
      <c r="M115" s="648"/>
      <c r="N115" s="648"/>
      <c r="O115" s="648"/>
      <c r="P115" s="648"/>
      <c r="Q115" s="648"/>
      <c r="R115" s="647"/>
      <c r="S115" s="647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647"/>
      <c r="AL115" s="647"/>
      <c r="AM115" s="647"/>
    </row>
    <row r="116" spans="1:39" ht="14.1" customHeight="1">
      <c r="A116" s="195"/>
      <c r="B116" s="195"/>
      <c r="C116" s="195"/>
      <c r="D116" s="195"/>
      <c r="E116" s="195"/>
      <c r="F116" s="195"/>
      <c r="G116" s="196"/>
      <c r="H116" s="196"/>
      <c r="I116" s="196"/>
      <c r="J116" s="197"/>
      <c r="K116" s="197"/>
      <c r="L116" s="197"/>
      <c r="M116" s="196"/>
      <c r="N116" s="196"/>
      <c r="O116" s="196"/>
      <c r="P116" s="196"/>
      <c r="Q116" s="196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</row>
    <row r="117" spans="1:39" ht="14.1" customHeight="1">
      <c r="A117" s="195"/>
      <c r="B117" s="195"/>
      <c r="C117" s="195"/>
      <c r="D117" s="195"/>
      <c r="E117" s="195"/>
      <c r="F117" s="195"/>
      <c r="G117" s="196"/>
      <c r="H117" s="196"/>
      <c r="I117" s="196"/>
      <c r="J117" s="197"/>
      <c r="K117" s="197"/>
      <c r="L117" s="197"/>
      <c r="M117" s="196"/>
      <c r="N117" s="196"/>
      <c r="O117" s="196"/>
      <c r="P117" s="196"/>
      <c r="Q117" s="196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</row>
    <row r="118" spans="1:39" ht="14.1" customHeight="1">
      <c r="A118" s="195"/>
      <c r="B118" s="195"/>
      <c r="C118" s="195"/>
      <c r="D118" s="195"/>
      <c r="E118" s="195"/>
      <c r="F118" s="195"/>
      <c r="G118" s="196"/>
      <c r="H118" s="196"/>
      <c r="I118" s="196"/>
      <c r="J118" s="197"/>
      <c r="K118" s="197"/>
      <c r="L118" s="197"/>
      <c r="M118" s="196"/>
      <c r="N118" s="196"/>
      <c r="O118" s="196"/>
      <c r="P118" s="196"/>
      <c r="Q118" s="196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</row>
    <row r="119" spans="1:39" ht="14.1" customHeight="1">
      <c r="A119" s="195"/>
      <c r="B119" s="195"/>
      <c r="C119" s="195"/>
      <c r="D119" s="195"/>
      <c r="E119" s="195"/>
      <c r="F119" s="195"/>
      <c r="G119" s="196"/>
      <c r="H119" s="196"/>
      <c r="I119" s="196"/>
      <c r="J119" s="197"/>
      <c r="K119" s="197"/>
      <c r="L119" s="197"/>
      <c r="M119" s="196"/>
      <c r="N119" s="196"/>
      <c r="O119" s="196"/>
      <c r="P119" s="196"/>
      <c r="Q119" s="196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</row>
    <row r="120" spans="1:39" ht="14.1" customHeight="1">
      <c r="A120" s="195"/>
      <c r="B120" s="195"/>
      <c r="C120" s="195"/>
      <c r="D120" s="195"/>
      <c r="E120" s="195"/>
      <c r="F120" s="195"/>
      <c r="G120" s="196"/>
      <c r="H120" s="196"/>
      <c r="I120" s="196"/>
      <c r="J120" s="197"/>
      <c r="K120" s="197"/>
      <c r="L120" s="197"/>
      <c r="M120" s="196"/>
      <c r="N120" s="196"/>
      <c r="O120" s="196"/>
      <c r="P120" s="196"/>
      <c r="Q120" s="196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</row>
    <row r="121" spans="1:39" ht="14.1" customHeight="1">
      <c r="A121" s="195"/>
      <c r="B121" s="195"/>
      <c r="C121" s="195"/>
      <c r="D121" s="195"/>
      <c r="E121" s="195"/>
      <c r="F121" s="195"/>
      <c r="G121" s="196"/>
      <c r="H121" s="196"/>
      <c r="I121" s="196"/>
      <c r="J121" s="197"/>
      <c r="K121" s="197"/>
      <c r="L121" s="197"/>
      <c r="M121" s="196"/>
      <c r="N121" s="196"/>
      <c r="O121" s="196"/>
      <c r="P121" s="196"/>
      <c r="Q121" s="196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</row>
    <row r="122" spans="1:39" ht="14.1" customHeight="1">
      <c r="A122" s="195"/>
      <c r="B122" s="195"/>
      <c r="C122" s="195"/>
      <c r="D122" s="195"/>
      <c r="E122" s="195"/>
      <c r="F122" s="195"/>
      <c r="G122" s="196"/>
      <c r="H122" s="196"/>
      <c r="I122" s="196"/>
      <c r="J122" s="197"/>
      <c r="K122" s="197"/>
      <c r="L122" s="197"/>
      <c r="M122" s="196"/>
      <c r="N122" s="196"/>
      <c r="O122" s="196"/>
      <c r="P122" s="196"/>
      <c r="Q122" s="196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</row>
    <row r="123" spans="1:39" ht="14.1" customHeight="1">
      <c r="A123" s="195"/>
      <c r="B123" s="195"/>
      <c r="C123" s="195"/>
      <c r="D123" s="195"/>
      <c r="E123" s="195"/>
      <c r="F123" s="195"/>
      <c r="G123" s="196"/>
      <c r="H123" s="196"/>
      <c r="I123" s="196"/>
      <c r="J123" s="197"/>
      <c r="K123" s="197"/>
      <c r="L123" s="197"/>
      <c r="M123" s="196"/>
      <c r="N123" s="196"/>
      <c r="O123" s="196"/>
      <c r="P123" s="196"/>
      <c r="Q123" s="196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</row>
    <row r="124" spans="1:39" ht="14.1" customHeight="1">
      <c r="A124" s="195"/>
      <c r="B124" s="195"/>
      <c r="C124" s="195"/>
      <c r="D124" s="195"/>
      <c r="E124" s="195"/>
      <c r="F124" s="195"/>
      <c r="G124" s="196"/>
      <c r="H124" s="196"/>
      <c r="I124" s="196"/>
      <c r="J124" s="197"/>
      <c r="K124" s="197"/>
      <c r="L124" s="197"/>
      <c r="M124" s="196"/>
      <c r="N124" s="196"/>
      <c r="O124" s="196"/>
      <c r="P124" s="196"/>
      <c r="Q124" s="196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</row>
    <row r="125" spans="1:39" ht="14.1" customHeight="1">
      <c r="A125" s="195"/>
      <c r="B125" s="195"/>
      <c r="C125" s="195"/>
      <c r="D125" s="195"/>
      <c r="E125" s="195"/>
      <c r="F125" s="195"/>
      <c r="G125" s="196"/>
      <c r="H125" s="196"/>
      <c r="I125" s="196"/>
      <c r="J125" s="197"/>
      <c r="K125" s="197"/>
      <c r="L125" s="197"/>
      <c r="M125" s="196"/>
      <c r="N125" s="196"/>
      <c r="O125" s="196"/>
      <c r="P125" s="196"/>
      <c r="Q125" s="196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</row>
    <row r="126" spans="1:39" ht="14.1" customHeight="1">
      <c r="A126" s="195"/>
      <c r="B126" s="195"/>
      <c r="C126" s="195"/>
      <c r="D126" s="195"/>
      <c r="E126" s="195"/>
      <c r="F126" s="195"/>
      <c r="G126" s="196"/>
      <c r="H126" s="196"/>
      <c r="I126" s="196"/>
      <c r="J126" s="197"/>
      <c r="K126" s="197"/>
      <c r="L126" s="197"/>
      <c r="M126" s="196"/>
      <c r="N126" s="196"/>
      <c r="O126" s="196"/>
      <c r="P126" s="196"/>
      <c r="Q126" s="196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</row>
    <row r="127" spans="1:39" ht="14.1" customHeight="1">
      <c r="A127" s="195"/>
      <c r="B127" s="195"/>
      <c r="C127" s="195"/>
      <c r="D127" s="195"/>
      <c r="E127" s="195"/>
      <c r="F127" s="195"/>
      <c r="G127" s="196"/>
      <c r="H127" s="196"/>
      <c r="I127" s="196"/>
      <c r="J127" s="197"/>
      <c r="K127" s="197"/>
      <c r="L127" s="197"/>
      <c r="M127" s="196"/>
      <c r="N127" s="196"/>
      <c r="O127" s="196"/>
      <c r="P127" s="196"/>
      <c r="Q127" s="196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</row>
    <row r="128" spans="1:39" ht="14.1" customHeight="1">
      <c r="A128" s="195"/>
      <c r="B128" s="195"/>
      <c r="C128" s="195"/>
      <c r="D128" s="195"/>
      <c r="E128" s="195"/>
      <c r="F128" s="195"/>
      <c r="G128" s="196"/>
      <c r="H128" s="196"/>
      <c r="I128" s="196"/>
      <c r="J128" s="197"/>
      <c r="K128" s="197"/>
      <c r="L128" s="197"/>
      <c r="M128" s="196"/>
      <c r="N128" s="196"/>
      <c r="O128" s="196"/>
      <c r="P128" s="196"/>
      <c r="Q128" s="196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</row>
    <row r="129" spans="1:39" ht="14.1" customHeight="1">
      <c r="A129" s="195"/>
      <c r="B129" s="195"/>
      <c r="C129" s="195"/>
      <c r="D129" s="195"/>
      <c r="E129" s="195"/>
      <c r="F129" s="195"/>
      <c r="G129" s="196"/>
      <c r="H129" s="196"/>
      <c r="I129" s="196"/>
      <c r="J129" s="197"/>
      <c r="K129" s="197"/>
      <c r="L129" s="197"/>
      <c r="M129" s="196"/>
      <c r="N129" s="196"/>
      <c r="O129" s="196"/>
      <c r="P129" s="196"/>
      <c r="Q129" s="196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</row>
    <row r="130" spans="1:39" ht="14.1" customHeight="1">
      <c r="A130" s="195"/>
      <c r="B130" s="195"/>
      <c r="C130" s="195"/>
      <c r="D130" s="195"/>
      <c r="E130" s="195"/>
      <c r="F130" s="195"/>
      <c r="G130" s="196"/>
      <c r="H130" s="196"/>
      <c r="I130" s="196"/>
      <c r="J130" s="197"/>
      <c r="K130" s="197"/>
      <c r="L130" s="197"/>
      <c r="M130" s="196"/>
      <c r="N130" s="196"/>
      <c r="O130" s="196"/>
      <c r="P130" s="196"/>
      <c r="Q130" s="196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</row>
    <row r="131" spans="1:39" ht="14.1" customHeight="1">
      <c r="A131" s="195"/>
      <c r="B131" s="195"/>
      <c r="C131" s="195"/>
      <c r="D131" s="195"/>
      <c r="E131" s="195"/>
      <c r="F131" s="195"/>
      <c r="G131" s="196"/>
      <c r="H131" s="196"/>
      <c r="I131" s="196"/>
      <c r="J131" s="197"/>
      <c r="K131" s="197"/>
      <c r="L131" s="197"/>
      <c r="M131" s="196"/>
      <c r="N131" s="196"/>
      <c r="O131" s="196"/>
      <c r="P131" s="196"/>
      <c r="Q131" s="196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</row>
    <row r="132" spans="1:39" ht="14.1" customHeight="1">
      <c r="A132" s="195"/>
      <c r="B132" s="195"/>
      <c r="C132" s="195"/>
      <c r="D132" s="195"/>
      <c r="E132" s="195"/>
      <c r="F132" s="195"/>
      <c r="G132" s="196"/>
      <c r="H132" s="196"/>
      <c r="I132" s="196"/>
      <c r="J132" s="197"/>
      <c r="K132" s="197"/>
      <c r="L132" s="197"/>
      <c r="M132" s="196"/>
      <c r="N132" s="196"/>
      <c r="O132" s="196"/>
      <c r="P132" s="196"/>
      <c r="Q132" s="196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</row>
    <row r="133" spans="1:39" ht="14.1" customHeight="1">
      <c r="A133" s="695" t="s">
        <v>859</v>
      </c>
      <c r="B133" s="695"/>
      <c r="C133" s="695"/>
      <c r="D133" s="695"/>
      <c r="E133" s="695"/>
      <c r="F133" s="695"/>
      <c r="G133" s="695"/>
      <c r="H133" s="712">
        <f>VLOOKUP(LEFT(M136,15),'Date masura OD'!E:BE,53,0)</f>
        <v>5000582523</v>
      </c>
      <c r="I133" s="712"/>
      <c r="J133" s="712"/>
      <c r="K133" s="712"/>
      <c r="L133" s="712"/>
      <c r="M133" s="712"/>
      <c r="N133" s="712"/>
      <c r="O133" s="712"/>
      <c r="P133" s="712"/>
      <c r="Q133" s="712"/>
      <c r="R133" s="712"/>
      <c r="S133" s="712"/>
      <c r="T133" s="712"/>
      <c r="U133" s="712"/>
      <c r="V133" s="712"/>
      <c r="W133" s="712" t="s">
        <v>860</v>
      </c>
      <c r="X133" s="712"/>
      <c r="Y133" s="712"/>
      <c r="Z133" s="712"/>
      <c r="AA133" s="640" t="str">
        <f>_xlfn.CONCAT($AA$16,"_",3)</f>
        <v>RN10_Petrosani_3</v>
      </c>
      <c r="AB133" s="640"/>
      <c r="AC133" s="640"/>
      <c r="AD133" s="640"/>
      <c r="AE133" s="640"/>
      <c r="AF133" s="640"/>
      <c r="AG133" s="640"/>
      <c r="AH133" s="640"/>
      <c r="AI133" s="640"/>
      <c r="AJ133" s="640"/>
      <c r="AK133" s="640"/>
      <c r="AL133" s="640"/>
      <c r="AM133" s="640"/>
    </row>
    <row r="134" spans="1:39" ht="14.1" customHeight="1">
      <c r="A134" s="695"/>
      <c r="B134" s="695"/>
      <c r="C134" s="695"/>
      <c r="D134" s="695"/>
      <c r="E134" s="695"/>
      <c r="F134" s="695"/>
      <c r="G134" s="695"/>
      <c r="H134" s="712"/>
      <c r="I134" s="712"/>
      <c r="J134" s="712"/>
      <c r="K134" s="712"/>
      <c r="L134" s="712"/>
      <c r="M134" s="712"/>
      <c r="N134" s="712"/>
      <c r="O134" s="712"/>
      <c r="P134" s="712"/>
      <c r="Q134" s="712"/>
      <c r="R134" s="712"/>
      <c r="S134" s="712"/>
      <c r="T134" s="712"/>
      <c r="U134" s="712"/>
      <c r="V134" s="712"/>
      <c r="W134" s="712"/>
      <c r="X134" s="712"/>
      <c r="Y134" s="712"/>
      <c r="Z134" s="712"/>
      <c r="AA134" s="640"/>
      <c r="AB134" s="640"/>
      <c r="AC134" s="640"/>
      <c r="AD134" s="640"/>
      <c r="AE134" s="640"/>
      <c r="AF134" s="640"/>
      <c r="AG134" s="640"/>
      <c r="AH134" s="640"/>
      <c r="AI134" s="640"/>
      <c r="AJ134" s="640"/>
      <c r="AK134" s="640"/>
      <c r="AL134" s="640"/>
      <c r="AM134" s="640"/>
    </row>
    <row r="136" spans="1:39">
      <c r="A136" s="649" t="s">
        <v>748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50" t="str">
        <f>VLOOKUP(AI137,'Contorizare in SDI'!$E:$I,4,FALSE)</f>
        <v>RO005E532351056/1</v>
      </c>
      <c r="N136" s="650"/>
      <c r="O136" s="650"/>
      <c r="P136" s="650"/>
      <c r="Q136" s="650"/>
      <c r="R136" s="650"/>
      <c r="S136" s="650"/>
      <c r="T136" s="650"/>
      <c r="U136" s="650"/>
      <c r="V136" s="650"/>
      <c r="W136" s="650"/>
      <c r="X136" s="650"/>
      <c r="Y136" s="650"/>
      <c r="Z136" s="650"/>
      <c r="AA136" s="650"/>
      <c r="AB136" s="650"/>
      <c r="AC136" s="650"/>
      <c r="AD136" s="650"/>
      <c r="AE136" s="650"/>
      <c r="AF136" s="650"/>
      <c r="AG136" s="650"/>
      <c r="AH136" s="650"/>
      <c r="AI136" s="650" t="s">
        <v>695</v>
      </c>
      <c r="AJ136" s="650"/>
      <c r="AK136" s="650"/>
      <c r="AL136" s="650"/>
      <c r="AM136" s="650"/>
    </row>
    <row r="137" spans="1:39">
      <c r="A137" s="649" t="s">
        <v>746</v>
      </c>
      <c r="B137" s="649"/>
      <c r="C137" s="649"/>
      <c r="D137" s="649"/>
      <c r="E137" s="649"/>
      <c r="F137" s="649"/>
      <c r="G137" s="649"/>
      <c r="H137" s="649"/>
      <c r="I137" s="649"/>
      <c r="J137" s="649"/>
      <c r="K137" s="649"/>
      <c r="L137" s="649"/>
      <c r="M137" s="650" t="str">
        <f>VLOOKUP(AI137,'Inchidere contur'!$G:$U,15,FALSE)</f>
        <v>JT_OD</v>
      </c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650"/>
      <c r="AA137" s="650"/>
      <c r="AB137" s="650"/>
      <c r="AC137" s="650"/>
      <c r="AD137" s="650"/>
      <c r="AE137" s="650"/>
      <c r="AF137" s="650"/>
      <c r="AG137" s="650"/>
      <c r="AH137" s="650"/>
      <c r="AI137" s="666" t="str">
        <f>AA133</f>
        <v>RN10_Petrosani_3</v>
      </c>
      <c r="AJ137" s="666"/>
      <c r="AK137" s="666"/>
      <c r="AL137" s="666"/>
      <c r="AM137" s="666"/>
    </row>
    <row r="138" spans="1:39">
      <c r="A138" s="649" t="s">
        <v>747</v>
      </c>
      <c r="B138" s="649"/>
      <c r="C138" s="649"/>
      <c r="D138" s="649"/>
      <c r="E138" s="649"/>
      <c r="F138" s="649"/>
      <c r="G138" s="649"/>
      <c r="H138" s="649"/>
      <c r="I138" s="649"/>
      <c r="J138" s="649"/>
      <c r="K138" s="649"/>
      <c r="L138" s="649"/>
      <c r="M138" s="650" t="str">
        <f>IF(LEFT(M137,2)="JT","0.4kV",IF(LEFT(M137,2)="MT","20kV","-"))</f>
        <v>0.4kV</v>
      </c>
      <c r="N138" s="650"/>
      <c r="O138" s="650"/>
      <c r="P138" s="650"/>
      <c r="Q138" s="650"/>
      <c r="R138" s="650"/>
      <c r="S138" s="650"/>
      <c r="T138" s="650"/>
      <c r="U138" s="650"/>
      <c r="V138" s="650"/>
      <c r="W138" s="650"/>
      <c r="X138" s="650"/>
      <c r="Y138" s="650"/>
      <c r="Z138" s="650"/>
      <c r="AA138" s="650"/>
      <c r="AB138" s="650"/>
      <c r="AC138" s="650"/>
      <c r="AD138" s="650"/>
      <c r="AE138" s="650"/>
      <c r="AF138" s="650"/>
      <c r="AG138" s="650"/>
      <c r="AH138" s="650"/>
      <c r="AI138" s="666"/>
      <c r="AJ138" s="666"/>
      <c r="AK138" s="666"/>
      <c r="AL138" s="666"/>
      <c r="AM138" s="666"/>
    </row>
    <row r="139" spans="1:39" ht="15.95" customHeight="1">
      <c r="A139" s="648" t="s">
        <v>697</v>
      </c>
      <c r="B139" s="648"/>
      <c r="C139" s="648"/>
      <c r="D139" s="648"/>
      <c r="E139" s="648"/>
      <c r="F139" s="648"/>
      <c r="G139" s="647" t="s">
        <v>713</v>
      </c>
      <c r="H139" s="647"/>
      <c r="I139" s="647"/>
      <c r="J139" s="647" t="s">
        <v>714</v>
      </c>
      <c r="K139" s="647"/>
      <c r="L139" s="647"/>
      <c r="M139" s="648" t="s">
        <v>519</v>
      </c>
      <c r="N139" s="648"/>
      <c r="O139" s="648" t="s">
        <v>715</v>
      </c>
      <c r="P139" s="648"/>
      <c r="Q139" s="648"/>
      <c r="R139" s="647" t="s">
        <v>732</v>
      </c>
      <c r="S139" s="647"/>
      <c r="T139" s="647"/>
      <c r="U139" s="647" t="s">
        <v>734</v>
      </c>
      <c r="V139" s="647"/>
      <c r="W139" s="647"/>
      <c r="X139" s="647" t="s">
        <v>1085</v>
      </c>
      <c r="Y139" s="647"/>
      <c r="Z139" s="647"/>
      <c r="AA139" s="647" t="s">
        <v>1086</v>
      </c>
      <c r="AB139" s="647"/>
      <c r="AC139" s="647"/>
      <c r="AD139" s="647" t="s">
        <v>717</v>
      </c>
      <c r="AE139" s="647"/>
      <c r="AF139" s="647" t="s">
        <v>718</v>
      </c>
      <c r="AG139" s="647"/>
      <c r="AH139" s="647"/>
      <c r="AI139" s="647" t="s">
        <v>719</v>
      </c>
      <c r="AJ139" s="647"/>
      <c r="AK139" s="647" t="s">
        <v>733</v>
      </c>
      <c r="AL139" s="647"/>
      <c r="AM139" s="647"/>
    </row>
    <row r="140" spans="1:39">
      <c r="A140" s="648"/>
      <c r="B140" s="648"/>
      <c r="C140" s="648"/>
      <c r="D140" s="648"/>
      <c r="E140" s="648"/>
      <c r="F140" s="648"/>
      <c r="G140" s="647"/>
      <c r="H140" s="647"/>
      <c r="I140" s="647"/>
      <c r="J140" s="647"/>
      <c r="K140" s="647"/>
      <c r="L140" s="647"/>
      <c r="M140" s="648"/>
      <c r="N140" s="648"/>
      <c r="O140" s="648"/>
      <c r="P140" s="648"/>
      <c r="Q140" s="648"/>
      <c r="R140" s="647"/>
      <c r="S140" s="647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7"/>
      <c r="AL140" s="647"/>
      <c r="AM140" s="647"/>
    </row>
    <row r="141" spans="1:39">
      <c r="A141" s="648"/>
      <c r="B141" s="648"/>
      <c r="C141" s="648"/>
      <c r="D141" s="648"/>
      <c r="E141" s="648"/>
      <c r="F141" s="648"/>
      <c r="G141" s="647"/>
      <c r="H141" s="647"/>
      <c r="I141" s="647"/>
      <c r="J141" s="713"/>
      <c r="K141" s="713"/>
      <c r="L141" s="713"/>
      <c r="M141" s="648"/>
      <c r="N141" s="648"/>
      <c r="O141" s="648"/>
      <c r="P141" s="648"/>
      <c r="Q141" s="648"/>
      <c r="R141" s="647"/>
      <c r="S141" s="647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47"/>
      <c r="AL141" s="647"/>
      <c r="AM141" s="647"/>
    </row>
    <row r="142" spans="1:39" ht="14.1" customHeight="1">
      <c r="A142" s="684" t="str">
        <f>VLOOKUP(AI137,'Contorizare in SDI'!$E:$I,5,FALSE)</f>
        <v>20G14570110097954</v>
      </c>
      <c r="B142" s="685"/>
      <c r="C142" s="685"/>
      <c r="D142" s="685"/>
      <c r="E142" s="685"/>
      <c r="F142" s="686"/>
      <c r="G142" s="648" t="s">
        <v>730</v>
      </c>
      <c r="H142" s="648"/>
      <c r="I142" s="673"/>
      <c r="J142" s="655">
        <f>'Date masura OD'!$AK$5</f>
        <v>45748</v>
      </c>
      <c r="K142" s="656"/>
      <c r="L142" s="657"/>
      <c r="M142" s="720" t="s">
        <v>446</v>
      </c>
      <c r="N142" s="648"/>
      <c r="O142" s="648">
        <f>VLOOKUP(A151,Regularizare!$D:$AX,2,FALSE)</f>
        <v>20</v>
      </c>
      <c r="P142" s="648"/>
      <c r="Q142" s="648"/>
      <c r="R142" s="647" t="str">
        <f>VLOOKUP(A142,Regularizare!$D:$YN,3,FALSE)&amp;" ("&amp;VLOOKUP(A142,Regularizare!$D:$Y,11,FALSE)&amp;")"</f>
        <v>10116.02 (citit)</v>
      </c>
      <c r="S142" s="647"/>
      <c r="T142" s="647"/>
      <c r="U142" s="647" t="str">
        <f>VLOOKUP(A142,Regularizare!$D:$U,4,FALSE)&amp;" ("&amp;VLOOKUP(A142,Regularizare!$D:$U,12,FALSE)&amp;")"</f>
        <v>10252.92 (estimat)</v>
      </c>
      <c r="V142" s="647"/>
      <c r="W142" s="647"/>
      <c r="X142" s="647" t="str">
        <f>VLOOKUP(A142,Regularizare!$D:$Y,19,FALSE)&amp;" ("&amp;VLOOKUP(A142,Regularizare!$D:$U,12,FALSE)&amp;")"</f>
        <v>2738 (estimat)</v>
      </c>
      <c r="Y142" s="647"/>
      <c r="Z142" s="647"/>
      <c r="AA142" s="647">
        <f>(-1)*VLOOKUP(A142,Regularizare!$D:$Y,19,FALSE)</f>
        <v>-2738</v>
      </c>
      <c r="AB142" s="647"/>
      <c r="AC142" s="647"/>
      <c r="AD142" s="647" t="s">
        <v>69</v>
      </c>
      <c r="AE142" s="647"/>
      <c r="AF142" s="647">
        <f>AA142</f>
        <v>-2738</v>
      </c>
      <c r="AG142" s="647"/>
      <c r="AH142" s="647"/>
      <c r="AI142" s="647" t="s">
        <v>69</v>
      </c>
      <c r="AJ142" s="647"/>
      <c r="AK142" s="647" t="s">
        <v>69</v>
      </c>
      <c r="AL142" s="647"/>
      <c r="AM142" s="647"/>
    </row>
    <row r="143" spans="1:39" ht="8.4499999999999993" customHeight="1">
      <c r="A143" s="727"/>
      <c r="B143" s="729"/>
      <c r="C143" s="729"/>
      <c r="D143" s="729"/>
      <c r="E143" s="729"/>
      <c r="F143" s="728"/>
      <c r="G143" s="648"/>
      <c r="H143" s="648"/>
      <c r="I143" s="673"/>
      <c r="J143" s="717" t="s">
        <v>69</v>
      </c>
      <c r="K143" s="718"/>
      <c r="L143" s="719"/>
      <c r="M143" s="720"/>
      <c r="N143" s="648"/>
      <c r="O143" s="648"/>
      <c r="P143" s="648"/>
      <c r="Q143" s="648"/>
      <c r="R143" s="647"/>
      <c r="S143" s="647"/>
      <c r="T143" s="647"/>
      <c r="U143" s="647"/>
      <c r="V143" s="647"/>
      <c r="W143" s="647"/>
      <c r="X143" s="647"/>
      <c r="Y143" s="647"/>
      <c r="Z143" s="647"/>
      <c r="AA143" s="647"/>
      <c r="AB143" s="647"/>
      <c r="AC143" s="647"/>
      <c r="AD143" s="647"/>
      <c r="AE143" s="647"/>
      <c r="AF143" s="647"/>
      <c r="AG143" s="647"/>
      <c r="AH143" s="647"/>
      <c r="AI143" s="647"/>
      <c r="AJ143" s="647"/>
      <c r="AK143" s="647"/>
      <c r="AL143" s="647"/>
      <c r="AM143" s="647"/>
    </row>
    <row r="144" spans="1:39" ht="14.1" customHeight="1">
      <c r="A144" s="687"/>
      <c r="B144" s="688"/>
      <c r="C144" s="688"/>
      <c r="D144" s="688"/>
      <c r="E144" s="688"/>
      <c r="F144" s="689"/>
      <c r="G144" s="648"/>
      <c r="H144" s="648"/>
      <c r="I144" s="673"/>
      <c r="J144" s="714">
        <f>'Date masura OD'!$AL$5</f>
        <v>45777</v>
      </c>
      <c r="K144" s="715"/>
      <c r="L144" s="716"/>
      <c r="M144" s="720"/>
      <c r="N144" s="648"/>
      <c r="O144" s="648"/>
      <c r="P144" s="648"/>
      <c r="Q144" s="648"/>
      <c r="R144" s="647"/>
      <c r="S144" s="647"/>
      <c r="T144" s="647"/>
      <c r="U144" s="647"/>
      <c r="V144" s="647"/>
      <c r="W144" s="647"/>
      <c r="X144" s="647"/>
      <c r="Y144" s="647"/>
      <c r="Z144" s="647"/>
      <c r="AA144" s="647"/>
      <c r="AB144" s="647"/>
      <c r="AC144" s="647"/>
      <c r="AD144" s="647"/>
      <c r="AE144" s="647"/>
      <c r="AF144" s="647"/>
      <c r="AG144" s="647"/>
      <c r="AH144" s="647"/>
      <c r="AI144" s="647"/>
      <c r="AJ144" s="647"/>
      <c r="AK144" s="647"/>
      <c r="AL144" s="647"/>
      <c r="AM144" s="647"/>
    </row>
    <row r="145" spans="1:39" ht="14.1" customHeight="1">
      <c r="A145" s="684" t="str">
        <f>A142</f>
        <v>20G14570110097954</v>
      </c>
      <c r="B145" s="685"/>
      <c r="C145" s="685"/>
      <c r="D145" s="685"/>
      <c r="E145" s="685"/>
      <c r="F145" s="686"/>
      <c r="G145" s="648" t="s">
        <v>696</v>
      </c>
      <c r="H145" s="648"/>
      <c r="I145" s="648"/>
      <c r="J145" s="655">
        <f t="shared" ref="J145:J150" si="4">J142</f>
        <v>45748</v>
      </c>
      <c r="K145" s="656"/>
      <c r="L145" s="657"/>
      <c r="M145" s="648" t="s">
        <v>720</v>
      </c>
      <c r="N145" s="648"/>
      <c r="O145" s="648">
        <f>VLOOKUP(A154,Regularizare!$D:$AX,2,FALSE)</f>
        <v>20</v>
      </c>
      <c r="P145" s="648"/>
      <c r="Q145" s="648"/>
      <c r="R145" s="648" t="str">
        <f>VLOOKUP(A145,Regularizare!$D:$U,7,FALSE)&amp;" ("&amp;VLOOKUP(A145,Regularizare!$D:$U,15,FALSE)&amp;")"</f>
        <v>274.1 (citit)</v>
      </c>
      <c r="S145" s="648"/>
      <c r="T145" s="648"/>
      <c r="U145" s="647" t="str">
        <f>VLOOKUP(A145,Regularizare!$D:$U,8,FALSE)&amp;" ("&amp;VLOOKUP(A145,Regularizare!$D:$U,16,FALSE)&amp;")"</f>
        <v>274.1 (estimat)</v>
      </c>
      <c r="V145" s="647"/>
      <c r="W145" s="647"/>
      <c r="X145" s="647" t="str">
        <f>_xlfn.CONCAT(VLOOKUP(A145,Regularizare!$D:$U,8,FALSE)-VLOOKUP(A145,Regularizare!$D:$U,7,FALSE)," (",VLOOKUP(A145,Regularizare!$D:$U,16,FALSE),")")</f>
        <v>0 (estimat)</v>
      </c>
      <c r="Y145" s="647"/>
      <c r="Z145" s="647"/>
      <c r="AA145" s="647">
        <f>IF(VLOOKUP(A145,Regularizare!$D:$Y,21,FALSE)=0,VLOOKUP(A145,Regularizare!$D:$Y,21,FALSE),(-1)*VLOOKUP(A145,Regularizare!$D:$Y,21,FALSE))</f>
        <v>0</v>
      </c>
      <c r="AB145" s="647"/>
      <c r="AC145" s="647"/>
      <c r="AD145" s="647" t="s">
        <v>69</v>
      </c>
      <c r="AE145" s="647"/>
      <c r="AF145" s="647">
        <f>AA145</f>
        <v>0</v>
      </c>
      <c r="AG145" s="647"/>
      <c r="AH145" s="647"/>
      <c r="AI145" s="647" t="str">
        <f>AI142</f>
        <v>-</v>
      </c>
      <c r="AJ145" s="647"/>
      <c r="AK145" s="647" t="str">
        <f>AK142</f>
        <v>-</v>
      </c>
      <c r="AL145" s="647"/>
      <c r="AM145" s="647"/>
    </row>
    <row r="146" spans="1:39" ht="8.4499999999999993" customHeight="1">
      <c r="A146" s="727"/>
      <c r="B146" s="729"/>
      <c r="C146" s="729"/>
      <c r="D146" s="729"/>
      <c r="E146" s="729"/>
      <c r="F146" s="728"/>
      <c r="G146" s="648"/>
      <c r="H146" s="648"/>
      <c r="I146" s="648"/>
      <c r="J146" s="717" t="str">
        <f t="shared" si="4"/>
        <v>-</v>
      </c>
      <c r="K146" s="718"/>
      <c r="L146" s="719"/>
      <c r="M146" s="648"/>
      <c r="N146" s="648"/>
      <c r="O146" s="648"/>
      <c r="P146" s="648"/>
      <c r="Q146" s="648"/>
      <c r="R146" s="648"/>
      <c r="S146" s="648"/>
      <c r="T146" s="648"/>
      <c r="U146" s="647"/>
      <c r="V146" s="647"/>
      <c r="W146" s="647"/>
      <c r="X146" s="647"/>
      <c r="Y146" s="647"/>
      <c r="Z146" s="647"/>
      <c r="AA146" s="647"/>
      <c r="AB146" s="647"/>
      <c r="AC146" s="647"/>
      <c r="AD146" s="647"/>
      <c r="AE146" s="647"/>
      <c r="AF146" s="647"/>
      <c r="AG146" s="647"/>
      <c r="AH146" s="647"/>
      <c r="AI146" s="647"/>
      <c r="AJ146" s="647"/>
      <c r="AK146" s="647"/>
      <c r="AL146" s="647"/>
      <c r="AM146" s="647"/>
    </row>
    <row r="147" spans="1:39" ht="14.1" customHeight="1">
      <c r="A147" s="687"/>
      <c r="B147" s="688"/>
      <c r="C147" s="688"/>
      <c r="D147" s="688"/>
      <c r="E147" s="688"/>
      <c r="F147" s="689"/>
      <c r="G147" s="648"/>
      <c r="H147" s="648"/>
      <c r="I147" s="648"/>
      <c r="J147" s="714">
        <f t="shared" si="4"/>
        <v>45777</v>
      </c>
      <c r="K147" s="715"/>
      <c r="L147" s="716"/>
      <c r="M147" s="648"/>
      <c r="N147" s="648"/>
      <c r="O147" s="648"/>
      <c r="P147" s="648"/>
      <c r="Q147" s="648"/>
      <c r="R147" s="648"/>
      <c r="S147" s="648"/>
      <c r="T147" s="648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647"/>
      <c r="AL147" s="647"/>
      <c r="AM147" s="647"/>
    </row>
    <row r="148" spans="1:39" ht="14.1" customHeight="1">
      <c r="A148" s="684" t="str">
        <f>A142</f>
        <v>20G14570110097954</v>
      </c>
      <c r="B148" s="685"/>
      <c r="C148" s="685"/>
      <c r="D148" s="685"/>
      <c r="E148" s="685"/>
      <c r="F148" s="686"/>
      <c r="G148" s="648" t="s">
        <v>731</v>
      </c>
      <c r="H148" s="648"/>
      <c r="I148" s="648"/>
      <c r="J148" s="655">
        <f t="shared" si="4"/>
        <v>45748</v>
      </c>
      <c r="K148" s="656"/>
      <c r="L148" s="657"/>
      <c r="M148" s="648" t="s">
        <v>720</v>
      </c>
      <c r="N148" s="648"/>
      <c r="O148" s="648">
        <f>VLOOKUP(A157,Regularizare!$D:$AX,2,FALSE)</f>
        <v>20</v>
      </c>
      <c r="P148" s="648"/>
      <c r="Q148" s="648"/>
      <c r="R148" s="647" t="str">
        <f>VLOOKUP(A148,Regularizare!$D:$U,9,FALSE)&amp;" ("&amp;VLOOKUP(A148,Regularizare!$D:$U,17,FALSE)&amp;")"</f>
        <v>2815.132 (citit)</v>
      </c>
      <c r="S148" s="647"/>
      <c r="T148" s="647"/>
      <c r="U148" s="647" t="str">
        <f>VLOOKUP(A148,Regularizare!$D:$U,10,FALSE)&amp;" ("&amp;VLOOKUP(A148,Regularizare!$D:$U,18,FALSE)&amp;")"</f>
        <v>2815.132 (estimat)</v>
      </c>
      <c r="V148" s="647"/>
      <c r="W148" s="647"/>
      <c r="X148" s="647" t="str">
        <f>_xlfn.CONCAT(VLOOKUP(A148,Regularizare!$D:$U,10,FALSE)-VLOOKUP(A148,Regularizare!$D:$U,9,FALSE)," (",VLOOKUP(A148,Regularizare!$D:$U,18,FALSE),")")</f>
        <v>0 (estimat)</v>
      </c>
      <c r="Y148" s="647"/>
      <c r="Z148" s="647"/>
      <c r="AA148" s="647">
        <f>IF(VLOOKUP(A148,Regularizare!$D:$Y,22,FALSE)=0,VLOOKUP(A148,Regularizare!$D:$Y,22,FALSE),(-1)*VLOOKUP(A148,Regularizare!$D:$Y,22,FALSE))</f>
        <v>0</v>
      </c>
      <c r="AB148" s="647"/>
      <c r="AC148" s="647"/>
      <c r="AD148" s="647" t="s">
        <v>69</v>
      </c>
      <c r="AE148" s="647"/>
      <c r="AF148" s="647">
        <f>AA148</f>
        <v>0</v>
      </c>
      <c r="AG148" s="647"/>
      <c r="AH148" s="647"/>
      <c r="AI148" s="647" t="str">
        <f>AI145</f>
        <v>-</v>
      </c>
      <c r="AJ148" s="647"/>
      <c r="AK148" s="647" t="str">
        <f>AK145</f>
        <v>-</v>
      </c>
      <c r="AL148" s="647"/>
      <c r="AM148" s="647"/>
    </row>
    <row r="149" spans="1:39" ht="8.4499999999999993" customHeight="1">
      <c r="A149" s="727"/>
      <c r="B149" s="729"/>
      <c r="C149" s="729"/>
      <c r="D149" s="729"/>
      <c r="E149" s="729"/>
      <c r="F149" s="728"/>
      <c r="G149" s="648"/>
      <c r="H149" s="648"/>
      <c r="I149" s="648"/>
      <c r="J149" s="717" t="str">
        <f t="shared" si="4"/>
        <v>-</v>
      </c>
      <c r="K149" s="718"/>
      <c r="L149" s="719"/>
      <c r="M149" s="648"/>
      <c r="N149" s="648"/>
      <c r="O149" s="648"/>
      <c r="P149" s="648"/>
      <c r="Q149" s="648"/>
      <c r="R149" s="647"/>
      <c r="S149" s="647"/>
      <c r="T149" s="647"/>
      <c r="U149" s="647"/>
      <c r="V149" s="647"/>
      <c r="W149" s="647"/>
      <c r="X149" s="647"/>
      <c r="Y149" s="647"/>
      <c r="Z149" s="647"/>
      <c r="AA149" s="647"/>
      <c r="AB149" s="647"/>
      <c r="AC149" s="647"/>
      <c r="AD149" s="647"/>
      <c r="AE149" s="647"/>
      <c r="AF149" s="647"/>
      <c r="AG149" s="647"/>
      <c r="AH149" s="647"/>
      <c r="AI149" s="647"/>
      <c r="AJ149" s="647"/>
      <c r="AK149" s="647"/>
      <c r="AL149" s="647"/>
      <c r="AM149" s="647"/>
    </row>
    <row r="150" spans="1:39" ht="14.1" customHeight="1">
      <c r="A150" s="687"/>
      <c r="B150" s="688"/>
      <c r="C150" s="688"/>
      <c r="D150" s="688"/>
      <c r="E150" s="688"/>
      <c r="F150" s="689"/>
      <c r="G150" s="648"/>
      <c r="H150" s="648"/>
      <c r="I150" s="648"/>
      <c r="J150" s="714">
        <f t="shared" si="4"/>
        <v>45777</v>
      </c>
      <c r="K150" s="715"/>
      <c r="L150" s="716"/>
      <c r="M150" s="648"/>
      <c r="N150" s="648"/>
      <c r="O150" s="648"/>
      <c r="P150" s="648"/>
      <c r="Q150" s="648"/>
      <c r="R150" s="647"/>
      <c r="S150" s="647"/>
      <c r="T150" s="647"/>
      <c r="U150" s="647"/>
      <c r="V150" s="647"/>
      <c r="W150" s="647"/>
      <c r="X150" s="647"/>
      <c r="Y150" s="647"/>
      <c r="Z150" s="647"/>
      <c r="AA150" s="647"/>
      <c r="AB150" s="647"/>
      <c r="AC150" s="647"/>
      <c r="AD150" s="647"/>
      <c r="AE150" s="647"/>
      <c r="AF150" s="647"/>
      <c r="AG150" s="647"/>
      <c r="AH150" s="647"/>
      <c r="AI150" s="647"/>
      <c r="AJ150" s="647"/>
      <c r="AK150" s="647"/>
      <c r="AL150" s="647"/>
      <c r="AM150" s="647"/>
    </row>
    <row r="151" spans="1:39" ht="14.1" customHeight="1">
      <c r="A151" s="684" t="str">
        <f>A142</f>
        <v>20G14570110097954</v>
      </c>
      <c r="B151" s="685"/>
      <c r="C151" s="685"/>
      <c r="D151" s="685"/>
      <c r="E151" s="685"/>
      <c r="F151" s="686"/>
      <c r="G151" s="648" t="s">
        <v>730</v>
      </c>
      <c r="H151" s="648"/>
      <c r="I151" s="673"/>
      <c r="J151" s="655">
        <f>'Date masura OD'!$AK$5</f>
        <v>45748</v>
      </c>
      <c r="K151" s="656"/>
      <c r="L151" s="657"/>
      <c r="M151" s="720" t="s">
        <v>446</v>
      </c>
      <c r="N151" s="648"/>
      <c r="O151" s="648">
        <f>VLOOKUP(A151,Regularizare!$D:$AX,2,FALSE)</f>
        <v>20</v>
      </c>
      <c r="P151" s="648"/>
      <c r="Q151" s="648"/>
      <c r="R151" s="647" t="str">
        <f>VLOOKUP(A151,Regularizare!$D:$AX,23,FALSE)&amp;" ("&amp;VLOOKUP(A151,Regularizare!$D:$AX,24,FALSE)&amp;")"</f>
        <v>10116.02 (citit)</v>
      </c>
      <c r="S151" s="647"/>
      <c r="T151" s="647"/>
      <c r="U151" s="647" t="str">
        <f>VLOOKUP(A151,Regularizare!$D:$AX,25,FALSE)&amp;" ("&amp;VLOOKUP(A151,Regularizare!$D:$AX,26,FALSE)&amp;")"</f>
        <v>10252.92 (citit)</v>
      </c>
      <c r="V151" s="647"/>
      <c r="W151" s="647"/>
      <c r="X151" s="647" t="str">
        <f>VLOOKUP(A151,Regularizare!$D:$AX,37,FALSE)&amp;" ("&amp;VLOOKUP(A151,Regularizare!$D:$AX,26,FALSE)&amp;")"</f>
        <v>2738 (citit)</v>
      </c>
      <c r="Y151" s="647"/>
      <c r="Z151" s="647"/>
      <c r="AA151" s="647">
        <f>VLOOKUP(A151,Regularizare!$D:$AX,37,FALSE)</f>
        <v>2738</v>
      </c>
      <c r="AB151" s="647"/>
      <c r="AC151" s="647"/>
      <c r="AD151" s="647" t="s">
        <v>69</v>
      </c>
      <c r="AE151" s="647"/>
      <c r="AF151" s="647">
        <f>AA151</f>
        <v>2738</v>
      </c>
      <c r="AG151" s="647"/>
      <c r="AH151" s="647"/>
      <c r="AI151" s="647" t="str">
        <f>AI148</f>
        <v>-</v>
      </c>
      <c r="AJ151" s="647"/>
      <c r="AK151" s="647" t="str">
        <f>AK148</f>
        <v>-</v>
      </c>
      <c r="AL151" s="647"/>
      <c r="AM151" s="647"/>
    </row>
    <row r="152" spans="1:39" ht="8.4499999999999993" customHeight="1">
      <c r="A152" s="727"/>
      <c r="B152" s="729"/>
      <c r="C152" s="729"/>
      <c r="D152" s="729"/>
      <c r="E152" s="729"/>
      <c r="F152" s="728"/>
      <c r="G152" s="648"/>
      <c r="H152" s="648"/>
      <c r="I152" s="673"/>
      <c r="J152" s="717" t="s">
        <v>69</v>
      </c>
      <c r="K152" s="718"/>
      <c r="L152" s="719"/>
      <c r="M152" s="720"/>
      <c r="N152" s="648"/>
      <c r="O152" s="648"/>
      <c r="P152" s="648"/>
      <c r="Q152" s="648"/>
      <c r="R152" s="647"/>
      <c r="S152" s="647"/>
      <c r="T152" s="647"/>
      <c r="U152" s="647"/>
      <c r="V152" s="647"/>
      <c r="W152" s="647"/>
      <c r="X152" s="647"/>
      <c r="Y152" s="647"/>
      <c r="Z152" s="647"/>
      <c r="AA152" s="647"/>
      <c r="AB152" s="647"/>
      <c r="AC152" s="647"/>
      <c r="AD152" s="647"/>
      <c r="AE152" s="647"/>
      <c r="AF152" s="647"/>
      <c r="AG152" s="647"/>
      <c r="AH152" s="647"/>
      <c r="AI152" s="647"/>
      <c r="AJ152" s="647"/>
      <c r="AK152" s="647"/>
      <c r="AL152" s="647"/>
      <c r="AM152" s="647"/>
    </row>
    <row r="153" spans="1:39" ht="14.1" customHeight="1">
      <c r="A153" s="687"/>
      <c r="B153" s="688"/>
      <c r="C153" s="688"/>
      <c r="D153" s="688"/>
      <c r="E153" s="688"/>
      <c r="F153" s="689"/>
      <c r="G153" s="648"/>
      <c r="H153" s="648"/>
      <c r="I153" s="673"/>
      <c r="J153" s="714">
        <f>'Date masura OD'!$AL$5</f>
        <v>45777</v>
      </c>
      <c r="K153" s="715"/>
      <c r="L153" s="716"/>
      <c r="M153" s="720"/>
      <c r="N153" s="648"/>
      <c r="O153" s="648"/>
      <c r="P153" s="648"/>
      <c r="Q153" s="648"/>
      <c r="R153" s="647"/>
      <c r="S153" s="647"/>
      <c r="T153" s="647"/>
      <c r="U153" s="647"/>
      <c r="V153" s="647"/>
      <c r="W153" s="647"/>
      <c r="X153" s="647"/>
      <c r="Y153" s="647"/>
      <c r="Z153" s="647"/>
      <c r="AA153" s="647"/>
      <c r="AB153" s="647"/>
      <c r="AC153" s="647"/>
      <c r="AD153" s="647"/>
      <c r="AE153" s="647"/>
      <c r="AF153" s="647"/>
      <c r="AG153" s="647"/>
      <c r="AH153" s="647"/>
      <c r="AI153" s="647"/>
      <c r="AJ153" s="647"/>
      <c r="AK153" s="647"/>
      <c r="AL153" s="647"/>
      <c r="AM153" s="647"/>
    </row>
    <row r="154" spans="1:39" ht="14.1" customHeight="1">
      <c r="A154" s="684" t="str">
        <f>A142</f>
        <v>20G14570110097954</v>
      </c>
      <c r="B154" s="685"/>
      <c r="C154" s="685"/>
      <c r="D154" s="685"/>
      <c r="E154" s="685"/>
      <c r="F154" s="686"/>
      <c r="G154" s="648" t="s">
        <v>696</v>
      </c>
      <c r="H154" s="648"/>
      <c r="I154" s="648"/>
      <c r="J154" s="655">
        <f t="shared" ref="J154:J159" si="5">J151</f>
        <v>45748</v>
      </c>
      <c r="K154" s="656"/>
      <c r="L154" s="657"/>
      <c r="M154" s="648" t="s">
        <v>720</v>
      </c>
      <c r="N154" s="648"/>
      <c r="O154" s="648">
        <f>VLOOKUP(A154,Regularizare!$D:$AX,2,FALSE)</f>
        <v>20</v>
      </c>
      <c r="P154" s="648"/>
      <c r="Q154" s="648"/>
      <c r="R154" s="647" t="str">
        <f>VLOOKUP(A154,Regularizare!$D:$AX,29,FALSE)&amp;" ("&amp;VLOOKUP(A154,Regularizare!$D:$AX,30,FALSE)&amp;")"</f>
        <v>274.1 (citit)</v>
      </c>
      <c r="S154" s="647"/>
      <c r="T154" s="647"/>
      <c r="U154" s="647" t="str">
        <f>VLOOKUP(A154,Regularizare!$D:$AX,31,FALSE)&amp;" ("&amp;VLOOKUP(A154,Regularizare!$D:$AX,32,FALSE)&amp;")"</f>
        <v>274.1 (citit)</v>
      </c>
      <c r="V154" s="647"/>
      <c r="W154" s="647"/>
      <c r="X154" s="647" t="str">
        <f>VLOOKUP(A154,Regularizare!$D:$AX,39,FALSE)&amp;" ("&amp;VLOOKUP(A154,Regularizare!$D:$AX,32,FALSE)&amp;")"</f>
        <v>0 (citit)</v>
      </c>
      <c r="Y154" s="647"/>
      <c r="Z154" s="647"/>
      <c r="AA154" s="647">
        <f>VLOOKUP(A154,Regularizare!$D:$AX,44,FALSE)+VLOOKUP(A154,Regularizare!$D:$AX,45,FALSE)</f>
        <v>0</v>
      </c>
      <c r="AB154" s="647"/>
      <c r="AC154" s="647"/>
      <c r="AD154" s="647" t="s">
        <v>69</v>
      </c>
      <c r="AE154" s="647"/>
      <c r="AF154" s="647">
        <f>AA154</f>
        <v>0</v>
      </c>
      <c r="AG154" s="647"/>
      <c r="AH154" s="647"/>
      <c r="AI154" s="647" t="str">
        <f>AI151</f>
        <v>-</v>
      </c>
      <c r="AJ154" s="647"/>
      <c r="AK154" s="647" t="str">
        <f>AK151</f>
        <v>-</v>
      </c>
      <c r="AL154" s="647"/>
      <c r="AM154" s="647"/>
    </row>
    <row r="155" spans="1:39" ht="8.4499999999999993" customHeight="1">
      <c r="A155" s="727"/>
      <c r="B155" s="729"/>
      <c r="C155" s="729"/>
      <c r="D155" s="729"/>
      <c r="E155" s="729"/>
      <c r="F155" s="728"/>
      <c r="G155" s="648"/>
      <c r="H155" s="648"/>
      <c r="I155" s="648"/>
      <c r="J155" s="717" t="str">
        <f t="shared" si="5"/>
        <v>-</v>
      </c>
      <c r="K155" s="718"/>
      <c r="L155" s="719"/>
      <c r="M155" s="648"/>
      <c r="N155" s="648"/>
      <c r="O155" s="648"/>
      <c r="P155" s="648"/>
      <c r="Q155" s="648"/>
      <c r="R155" s="647"/>
      <c r="S155" s="647"/>
      <c r="T155" s="647"/>
      <c r="U155" s="647"/>
      <c r="V155" s="647"/>
      <c r="W155" s="647"/>
      <c r="X155" s="647"/>
      <c r="Y155" s="647"/>
      <c r="Z155" s="647"/>
      <c r="AA155" s="647"/>
      <c r="AB155" s="647"/>
      <c r="AC155" s="647"/>
      <c r="AD155" s="647"/>
      <c r="AE155" s="647"/>
      <c r="AF155" s="647"/>
      <c r="AG155" s="647"/>
      <c r="AH155" s="647"/>
      <c r="AI155" s="647"/>
      <c r="AJ155" s="647"/>
      <c r="AK155" s="647"/>
      <c r="AL155" s="647"/>
      <c r="AM155" s="647"/>
    </row>
    <row r="156" spans="1:39" ht="14.1" customHeight="1">
      <c r="A156" s="687"/>
      <c r="B156" s="688"/>
      <c r="C156" s="688"/>
      <c r="D156" s="688"/>
      <c r="E156" s="688"/>
      <c r="F156" s="689"/>
      <c r="G156" s="648"/>
      <c r="H156" s="648"/>
      <c r="I156" s="648"/>
      <c r="J156" s="714">
        <f t="shared" si="5"/>
        <v>45777</v>
      </c>
      <c r="K156" s="715"/>
      <c r="L156" s="716"/>
      <c r="M156" s="648"/>
      <c r="N156" s="648"/>
      <c r="O156" s="648"/>
      <c r="P156" s="648"/>
      <c r="Q156" s="648"/>
      <c r="R156" s="647"/>
      <c r="S156" s="647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647"/>
      <c r="AL156" s="647"/>
      <c r="AM156" s="647"/>
    </row>
    <row r="157" spans="1:39" ht="14.1" customHeight="1">
      <c r="A157" s="684" t="str">
        <f>A142</f>
        <v>20G14570110097954</v>
      </c>
      <c r="B157" s="685"/>
      <c r="C157" s="685"/>
      <c r="D157" s="685"/>
      <c r="E157" s="685"/>
      <c r="F157" s="686"/>
      <c r="G157" s="648" t="s">
        <v>731</v>
      </c>
      <c r="H157" s="648"/>
      <c r="I157" s="648"/>
      <c r="J157" s="655">
        <f t="shared" si="5"/>
        <v>45748</v>
      </c>
      <c r="K157" s="656"/>
      <c r="L157" s="657"/>
      <c r="M157" s="648" t="s">
        <v>720</v>
      </c>
      <c r="N157" s="648"/>
      <c r="O157" s="648">
        <f>VLOOKUP(A157,Regularizare!$D:$AX,2,FALSE)</f>
        <v>20</v>
      </c>
      <c r="P157" s="648"/>
      <c r="Q157" s="648"/>
      <c r="R157" s="647" t="str">
        <f>VLOOKUP(A157,Regularizare!$D:$AX,33,FALSE)&amp;" ("&amp;VLOOKUP(A157,Regularizare!$D:$AX,34,FALSE)&amp;")"</f>
        <v>2815.132 (citit)</v>
      </c>
      <c r="S157" s="647"/>
      <c r="T157" s="647"/>
      <c r="U157" s="647" t="str">
        <f>VLOOKUP(A157,Regularizare!$D:$AX,35,FALSE)&amp;" ("&amp;VLOOKUP(A157,Regularizare!$D:$AX,36,FALSE)&amp;")"</f>
        <v>2815.132 (citit)</v>
      </c>
      <c r="V157" s="647"/>
      <c r="W157" s="647"/>
      <c r="X157" s="647" t="str">
        <f>VLOOKUP(A157,Regularizare!$D:$AX,40,FALSE)&amp;" ("&amp;VLOOKUP(A157,Regularizare!$D:$AX,36,FALSE)&amp;")"</f>
        <v>0 (citit)</v>
      </c>
      <c r="Y157" s="647"/>
      <c r="Z157" s="647"/>
      <c r="AA157" s="647">
        <f>VLOOKUP(A157,Regularizare!$D:$AX,46,FALSE)+VLOOKUP(A157,Regularizare!$D:$AX,47,FALSE)</f>
        <v>0</v>
      </c>
      <c r="AB157" s="647"/>
      <c r="AC157" s="647"/>
      <c r="AD157" s="647" t="s">
        <v>69</v>
      </c>
      <c r="AE157" s="647"/>
      <c r="AF157" s="647">
        <f>AA157</f>
        <v>0</v>
      </c>
      <c r="AG157" s="647"/>
      <c r="AH157" s="647"/>
      <c r="AI157" s="647" t="str">
        <f>AI154</f>
        <v>-</v>
      </c>
      <c r="AJ157" s="647"/>
      <c r="AK157" s="647" t="str">
        <f>AK154</f>
        <v>-</v>
      </c>
      <c r="AL157" s="647"/>
      <c r="AM157" s="647"/>
    </row>
    <row r="158" spans="1:39" ht="8.4499999999999993" customHeight="1">
      <c r="A158" s="727"/>
      <c r="B158" s="729"/>
      <c r="C158" s="729"/>
      <c r="D158" s="729"/>
      <c r="E158" s="729"/>
      <c r="F158" s="728"/>
      <c r="G158" s="648"/>
      <c r="H158" s="648"/>
      <c r="I158" s="648"/>
      <c r="J158" s="717" t="str">
        <f t="shared" si="5"/>
        <v>-</v>
      </c>
      <c r="K158" s="718"/>
      <c r="L158" s="719"/>
      <c r="M158" s="648"/>
      <c r="N158" s="648"/>
      <c r="O158" s="648"/>
      <c r="P158" s="648"/>
      <c r="Q158" s="648"/>
      <c r="R158" s="647"/>
      <c r="S158" s="647"/>
      <c r="T158" s="647"/>
      <c r="U158" s="647"/>
      <c r="V158" s="647"/>
      <c r="W158" s="647"/>
      <c r="X158" s="647"/>
      <c r="Y158" s="647"/>
      <c r="Z158" s="647"/>
      <c r="AA158" s="647"/>
      <c r="AB158" s="647"/>
      <c r="AC158" s="647"/>
      <c r="AD158" s="647"/>
      <c r="AE158" s="647"/>
      <c r="AF158" s="647"/>
      <c r="AG158" s="647"/>
      <c r="AH158" s="647"/>
      <c r="AI158" s="647"/>
      <c r="AJ158" s="647"/>
      <c r="AK158" s="647"/>
      <c r="AL158" s="647"/>
      <c r="AM158" s="647"/>
    </row>
    <row r="159" spans="1:39" ht="14.1" customHeight="1">
      <c r="A159" s="687"/>
      <c r="B159" s="688"/>
      <c r="C159" s="688"/>
      <c r="D159" s="688"/>
      <c r="E159" s="688"/>
      <c r="F159" s="689"/>
      <c r="G159" s="648"/>
      <c r="H159" s="648"/>
      <c r="I159" s="648"/>
      <c r="J159" s="714">
        <f t="shared" si="5"/>
        <v>45777</v>
      </c>
      <c r="K159" s="715"/>
      <c r="L159" s="716"/>
      <c r="M159" s="648"/>
      <c r="N159" s="648"/>
      <c r="O159" s="648"/>
      <c r="P159" s="648"/>
      <c r="Q159" s="648"/>
      <c r="R159" s="647"/>
      <c r="S159" s="647"/>
      <c r="T159" s="647"/>
      <c r="U159" s="647"/>
      <c r="V159" s="647"/>
      <c r="W159" s="647"/>
      <c r="X159" s="647"/>
      <c r="Y159" s="647"/>
      <c r="Z159" s="647"/>
      <c r="AA159" s="647"/>
      <c r="AB159" s="647"/>
      <c r="AC159" s="647"/>
      <c r="AD159" s="647"/>
      <c r="AE159" s="647"/>
      <c r="AF159" s="647"/>
      <c r="AG159" s="647"/>
      <c r="AH159" s="647"/>
      <c r="AI159" s="647"/>
      <c r="AJ159" s="647"/>
      <c r="AK159" s="647"/>
      <c r="AL159" s="647"/>
      <c r="AM159" s="647"/>
    </row>
    <row r="160" spans="1:39" ht="14.1" customHeight="1">
      <c r="A160" s="684" t="str">
        <f>A142</f>
        <v>20G14570110097954</v>
      </c>
      <c r="B160" s="685"/>
      <c r="C160" s="685"/>
      <c r="D160" s="685"/>
      <c r="E160" s="685"/>
      <c r="F160" s="686"/>
      <c r="G160" s="648" t="s">
        <v>730</v>
      </c>
      <c r="H160" s="648"/>
      <c r="I160" s="673"/>
      <c r="J160" s="655">
        <f>'Date masura OD'!$I$5</f>
        <v>45778</v>
      </c>
      <c r="K160" s="656"/>
      <c r="L160" s="657"/>
      <c r="M160" s="720" t="s">
        <v>446</v>
      </c>
      <c r="N160" s="648"/>
      <c r="O160" s="648">
        <f>VLOOKUP(A160,Regularizare!$D:$AX,2,FALSE)</f>
        <v>20</v>
      </c>
      <c r="P160" s="648"/>
      <c r="Q160" s="648"/>
      <c r="R160" s="647" t="str">
        <f>U151</f>
        <v>10252.92 (citit)</v>
      </c>
      <c r="S160" s="647"/>
      <c r="T160" s="647"/>
      <c r="U160" s="647" t="str">
        <f>VLOOKUP(A160,'Incrementare indexe'!$D:$M,4,FALSE)&amp;" (estimat)"</f>
        <v>10403.17 (estimat)</v>
      </c>
      <c r="V160" s="647"/>
      <c r="W160" s="647"/>
      <c r="X160" s="647" t="str">
        <f>VLOOKUP(A160,'Incrementare indexe'!$D:$Q,11,FALSE)&amp;" (estimat)"</f>
        <v>3005 (estimat)</v>
      </c>
      <c r="Y160" s="647"/>
      <c r="Z160" s="647"/>
      <c r="AA160" s="647" t="s">
        <v>69</v>
      </c>
      <c r="AB160" s="647"/>
      <c r="AC160" s="647"/>
      <c r="AD160" s="647" t="s">
        <v>69</v>
      </c>
      <c r="AE160" s="647"/>
      <c r="AF160" s="647">
        <f>VLOOKUP(A160,'Incrementare indexe'!$D:$Q,11,FALSE)</f>
        <v>3005</v>
      </c>
      <c r="AG160" s="647"/>
      <c r="AH160" s="647"/>
      <c r="AI160" s="647">
        <f>J162-J160+1</f>
        <v>31</v>
      </c>
      <c r="AJ160" s="647"/>
      <c r="AK160" s="647">
        <f>ROUND(AF160/AI160,2)</f>
        <v>96.94</v>
      </c>
      <c r="AL160" s="647"/>
      <c r="AM160" s="647"/>
    </row>
    <row r="161" spans="1:39" ht="8.4499999999999993" customHeight="1">
      <c r="A161" s="727"/>
      <c r="B161" s="729"/>
      <c r="C161" s="729"/>
      <c r="D161" s="729"/>
      <c r="E161" s="729"/>
      <c r="F161" s="728"/>
      <c r="G161" s="648"/>
      <c r="H161" s="648"/>
      <c r="I161" s="673"/>
      <c r="J161" s="717" t="s">
        <v>69</v>
      </c>
      <c r="K161" s="718"/>
      <c r="L161" s="719"/>
      <c r="M161" s="720"/>
      <c r="N161" s="648"/>
      <c r="O161" s="648"/>
      <c r="P161" s="648"/>
      <c r="Q161" s="648"/>
      <c r="R161" s="647"/>
      <c r="S161" s="647"/>
      <c r="T161" s="647"/>
      <c r="U161" s="647"/>
      <c r="V161" s="647"/>
      <c r="W161" s="647"/>
      <c r="X161" s="647"/>
      <c r="Y161" s="647"/>
      <c r="Z161" s="647"/>
      <c r="AA161" s="647"/>
      <c r="AB161" s="647"/>
      <c r="AC161" s="647"/>
      <c r="AD161" s="647"/>
      <c r="AE161" s="647"/>
      <c r="AF161" s="647"/>
      <c r="AG161" s="647"/>
      <c r="AH161" s="647"/>
      <c r="AI161" s="647"/>
      <c r="AJ161" s="647"/>
      <c r="AK161" s="647"/>
      <c r="AL161" s="647"/>
      <c r="AM161" s="647"/>
    </row>
    <row r="162" spans="1:39" ht="14.1" customHeight="1">
      <c r="A162" s="687"/>
      <c r="B162" s="688"/>
      <c r="C162" s="688"/>
      <c r="D162" s="688"/>
      <c r="E162" s="688"/>
      <c r="F162" s="689"/>
      <c r="G162" s="648"/>
      <c r="H162" s="648"/>
      <c r="I162" s="673"/>
      <c r="J162" s="714">
        <f>'Date masura OD'!$J$5</f>
        <v>45808</v>
      </c>
      <c r="K162" s="715"/>
      <c r="L162" s="716"/>
      <c r="M162" s="720"/>
      <c r="N162" s="648"/>
      <c r="O162" s="648"/>
      <c r="P162" s="648"/>
      <c r="Q162" s="648"/>
      <c r="R162" s="647"/>
      <c r="S162" s="647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</row>
    <row r="163" spans="1:39" ht="14.1" customHeight="1">
      <c r="A163" s="684" t="str">
        <f>A160</f>
        <v>20G14570110097954</v>
      </c>
      <c r="B163" s="685"/>
      <c r="C163" s="685"/>
      <c r="D163" s="685"/>
      <c r="E163" s="685"/>
      <c r="F163" s="686"/>
      <c r="G163" s="648" t="s">
        <v>696</v>
      </c>
      <c r="H163" s="648"/>
      <c r="I163" s="648"/>
      <c r="J163" s="655">
        <f>'Date masura OD'!$I$5</f>
        <v>45778</v>
      </c>
      <c r="K163" s="656"/>
      <c r="L163" s="657"/>
      <c r="M163" s="648" t="s">
        <v>720</v>
      </c>
      <c r="N163" s="648"/>
      <c r="O163" s="648">
        <f>VLOOKUP(A163,Regularizare!$D:$AX,2,FALSE)</f>
        <v>20</v>
      </c>
      <c r="P163" s="648"/>
      <c r="Q163" s="648"/>
      <c r="R163" s="684" t="str">
        <f>U154</f>
        <v>274.1 (citit)</v>
      </c>
      <c r="S163" s="685"/>
      <c r="T163" s="686"/>
      <c r="U163" s="647" t="str">
        <f>VLOOKUP(A163,'Incrementare indexe'!$D:$M,8,FALSE)&amp;" (estimat)"</f>
        <v>274.1 (estimat)</v>
      </c>
      <c r="V163" s="647"/>
      <c r="W163" s="647"/>
      <c r="X163" s="647" t="str">
        <f>VLOOKUP(A163,'Incrementare indexe'!$D:$Q,12,FALSE)&amp;" (estimat)"</f>
        <v>0 (estimat)</v>
      </c>
      <c r="Y163" s="647"/>
      <c r="Z163" s="647"/>
      <c r="AA163" s="647" t="s">
        <v>69</v>
      </c>
      <c r="AB163" s="647"/>
      <c r="AC163" s="647"/>
      <c r="AD163" s="647" t="s">
        <v>69</v>
      </c>
      <c r="AE163" s="647"/>
      <c r="AF163" s="647">
        <f>VLOOKUP(A163,'Incrementare indexe'!$D:$Q,12,FALSE)</f>
        <v>0</v>
      </c>
      <c r="AG163" s="647"/>
      <c r="AH163" s="647"/>
      <c r="AI163" s="647">
        <f>AI160</f>
        <v>31</v>
      </c>
      <c r="AJ163" s="647"/>
      <c r="AK163" s="647">
        <f>ROUND(AF163/AI163,2)</f>
        <v>0</v>
      </c>
      <c r="AL163" s="647"/>
      <c r="AM163" s="647"/>
    </row>
    <row r="164" spans="1:39" ht="8.4499999999999993" customHeight="1">
      <c r="A164" s="727"/>
      <c r="B164" s="729"/>
      <c r="C164" s="729"/>
      <c r="D164" s="729"/>
      <c r="E164" s="729"/>
      <c r="F164" s="728"/>
      <c r="G164" s="648"/>
      <c r="H164" s="648"/>
      <c r="I164" s="648"/>
      <c r="J164" s="717" t="s">
        <v>69</v>
      </c>
      <c r="K164" s="718"/>
      <c r="L164" s="719"/>
      <c r="M164" s="648"/>
      <c r="N164" s="648"/>
      <c r="O164" s="648"/>
      <c r="P164" s="648"/>
      <c r="Q164" s="648"/>
      <c r="R164" s="727"/>
      <c r="S164" s="729"/>
      <c r="T164" s="728"/>
      <c r="U164" s="647"/>
      <c r="V164" s="647"/>
      <c r="W164" s="647"/>
      <c r="X164" s="647"/>
      <c r="Y164" s="647"/>
      <c r="Z164" s="647"/>
      <c r="AA164" s="647"/>
      <c r="AB164" s="647"/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</row>
    <row r="165" spans="1:39" ht="14.1" customHeight="1">
      <c r="A165" s="687"/>
      <c r="B165" s="688"/>
      <c r="C165" s="688"/>
      <c r="D165" s="688"/>
      <c r="E165" s="688"/>
      <c r="F165" s="689"/>
      <c r="G165" s="648"/>
      <c r="H165" s="648"/>
      <c r="I165" s="648"/>
      <c r="J165" s="714">
        <f>'Date masura OD'!$J$5</f>
        <v>45808</v>
      </c>
      <c r="K165" s="715"/>
      <c r="L165" s="716"/>
      <c r="M165" s="648"/>
      <c r="N165" s="648"/>
      <c r="O165" s="648"/>
      <c r="P165" s="648"/>
      <c r="Q165" s="648"/>
      <c r="R165" s="687"/>
      <c r="S165" s="688"/>
      <c r="T165" s="689"/>
      <c r="U165" s="647"/>
      <c r="V165" s="647"/>
      <c r="W165" s="647"/>
      <c r="X165" s="647"/>
      <c r="Y165" s="647"/>
      <c r="Z165" s="647"/>
      <c r="AA165" s="647"/>
      <c r="AB165" s="647"/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</row>
    <row r="166" spans="1:39" ht="14.1" customHeight="1">
      <c r="A166" s="684" t="str">
        <f>A163</f>
        <v>20G14570110097954</v>
      </c>
      <c r="B166" s="685"/>
      <c r="C166" s="685"/>
      <c r="D166" s="685"/>
      <c r="E166" s="685"/>
      <c r="F166" s="686"/>
      <c r="G166" s="648" t="s">
        <v>731</v>
      </c>
      <c r="H166" s="648"/>
      <c r="I166" s="648"/>
      <c r="J166" s="655">
        <f>'Date masura OD'!$I$5</f>
        <v>45778</v>
      </c>
      <c r="K166" s="656"/>
      <c r="L166" s="657"/>
      <c r="M166" s="648" t="s">
        <v>720</v>
      </c>
      <c r="N166" s="648"/>
      <c r="O166" s="648">
        <f>VLOOKUP(A166,Regularizare!$D:$AX,2,FALSE)</f>
        <v>20</v>
      </c>
      <c r="P166" s="648"/>
      <c r="Q166" s="648"/>
      <c r="R166" s="647" t="str">
        <f>U157</f>
        <v>2815.132 (citit)</v>
      </c>
      <c r="S166" s="647"/>
      <c r="T166" s="647"/>
      <c r="U166" s="647" t="str">
        <f>VLOOKUP(A166,'Incrementare indexe'!$D:$M,10,FALSE)&amp;" (estimat)"</f>
        <v>2815.132 (estimat)</v>
      </c>
      <c r="V166" s="647"/>
      <c r="W166" s="647"/>
      <c r="X166" s="647" t="str">
        <f>VLOOKUP(A166,'Incrementare indexe'!$D:$Q,13,FALSE)&amp;" (estimat)"</f>
        <v>0 (estimat)</v>
      </c>
      <c r="Y166" s="647"/>
      <c r="Z166" s="647"/>
      <c r="AA166" s="647" t="s">
        <v>69</v>
      </c>
      <c r="AB166" s="647"/>
      <c r="AC166" s="647"/>
      <c r="AD166" s="647" t="s">
        <v>69</v>
      </c>
      <c r="AE166" s="647"/>
      <c r="AF166" s="647">
        <f>VLOOKUP(A166,'Incrementare indexe'!$D:$Q,13,FALSE)</f>
        <v>0</v>
      </c>
      <c r="AG166" s="647"/>
      <c r="AH166" s="647"/>
      <c r="AI166" s="647">
        <f>AI163</f>
        <v>31</v>
      </c>
      <c r="AJ166" s="647"/>
      <c r="AK166" s="647">
        <f>ROUND(AF166/AI166,2)</f>
        <v>0</v>
      </c>
      <c r="AL166" s="647"/>
      <c r="AM166" s="647"/>
    </row>
    <row r="167" spans="1:39" ht="8.4499999999999993" customHeight="1">
      <c r="A167" s="727"/>
      <c r="B167" s="729"/>
      <c r="C167" s="729"/>
      <c r="D167" s="729"/>
      <c r="E167" s="729"/>
      <c r="F167" s="728"/>
      <c r="G167" s="648"/>
      <c r="H167" s="648"/>
      <c r="I167" s="648"/>
      <c r="J167" s="717" t="s">
        <v>69</v>
      </c>
      <c r="K167" s="718"/>
      <c r="L167" s="719"/>
      <c r="M167" s="648"/>
      <c r="N167" s="648"/>
      <c r="O167" s="648"/>
      <c r="P167" s="648"/>
      <c r="Q167" s="648"/>
      <c r="R167" s="647"/>
      <c r="S167" s="647"/>
      <c r="T167" s="647"/>
      <c r="U167" s="647"/>
      <c r="V167" s="647"/>
      <c r="W167" s="647"/>
      <c r="X167" s="647"/>
      <c r="Y167" s="647"/>
      <c r="Z167" s="647"/>
      <c r="AA167" s="647"/>
      <c r="AB167" s="647"/>
      <c r="AC167" s="647"/>
      <c r="AD167" s="647"/>
      <c r="AE167" s="647"/>
      <c r="AF167" s="647"/>
      <c r="AG167" s="647"/>
      <c r="AH167" s="647"/>
      <c r="AI167" s="647"/>
      <c r="AJ167" s="647"/>
      <c r="AK167" s="647"/>
      <c r="AL167" s="647"/>
      <c r="AM167" s="647"/>
    </row>
    <row r="168" spans="1:39" ht="14.1" customHeight="1">
      <c r="A168" s="687"/>
      <c r="B168" s="688"/>
      <c r="C168" s="688"/>
      <c r="D168" s="688"/>
      <c r="E168" s="688"/>
      <c r="F168" s="689"/>
      <c r="G168" s="648"/>
      <c r="H168" s="648"/>
      <c r="I168" s="648"/>
      <c r="J168" s="714">
        <f>'Date masura OD'!$J$5</f>
        <v>45808</v>
      </c>
      <c r="K168" s="715"/>
      <c r="L168" s="716"/>
      <c r="M168" s="648"/>
      <c r="N168" s="648"/>
      <c r="O168" s="648"/>
      <c r="P168" s="648"/>
      <c r="Q168" s="648"/>
      <c r="R168" s="647"/>
      <c r="S168" s="647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47"/>
      <c r="AL168" s="647"/>
      <c r="AM168" s="647"/>
    </row>
    <row r="169" spans="1:39" ht="14.1" customHeight="1">
      <c r="A169" s="196"/>
      <c r="B169" s="196"/>
      <c r="C169" s="196"/>
      <c r="D169" s="196"/>
      <c r="E169" s="196"/>
      <c r="F169" s="196"/>
      <c r="G169" s="196"/>
      <c r="H169" s="196"/>
      <c r="I169" s="196"/>
      <c r="J169" s="197"/>
      <c r="K169" s="197"/>
      <c r="L169" s="197"/>
      <c r="M169" s="196"/>
      <c r="N169" s="196"/>
      <c r="O169" s="196"/>
      <c r="P169" s="196"/>
      <c r="Q169" s="196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</row>
    <row r="170" spans="1:39" ht="14.1" customHeight="1">
      <c r="A170" s="695" t="s">
        <v>859</v>
      </c>
      <c r="B170" s="695"/>
      <c r="C170" s="695"/>
      <c r="D170" s="695"/>
      <c r="E170" s="695"/>
      <c r="F170" s="695"/>
      <c r="G170" s="695"/>
      <c r="H170" s="712">
        <f>VLOOKUP(LEFT(M173,15),'Date masura OD'!E:BE,53,0)</f>
        <v>5000582521</v>
      </c>
      <c r="I170" s="712"/>
      <c r="J170" s="712"/>
      <c r="K170" s="712"/>
      <c r="L170" s="712"/>
      <c r="M170" s="712"/>
      <c r="N170" s="712"/>
      <c r="O170" s="712"/>
      <c r="P170" s="712"/>
      <c r="Q170" s="712"/>
      <c r="R170" s="712"/>
      <c r="S170" s="712"/>
      <c r="T170" s="712"/>
      <c r="U170" s="712"/>
      <c r="V170" s="712"/>
      <c r="W170" s="712" t="s">
        <v>860</v>
      </c>
      <c r="X170" s="712"/>
      <c r="Y170" s="712"/>
      <c r="Z170" s="712"/>
      <c r="AA170" s="640" t="str">
        <f>_xlfn.CONCAT($AA$16,"_",4)</f>
        <v>RN10_Petrosani_4</v>
      </c>
      <c r="AB170" s="640"/>
      <c r="AC170" s="640"/>
      <c r="AD170" s="640"/>
      <c r="AE170" s="640"/>
      <c r="AF170" s="640"/>
      <c r="AG170" s="640"/>
      <c r="AH170" s="640"/>
      <c r="AI170" s="640"/>
      <c r="AJ170" s="640"/>
      <c r="AK170" s="640"/>
      <c r="AL170" s="640"/>
      <c r="AM170" s="640"/>
    </row>
    <row r="171" spans="1:39" ht="14.1" customHeight="1">
      <c r="A171" s="695"/>
      <c r="B171" s="695"/>
      <c r="C171" s="695"/>
      <c r="D171" s="695"/>
      <c r="E171" s="695"/>
      <c r="F171" s="695"/>
      <c r="G171" s="695"/>
      <c r="H171" s="712"/>
      <c r="I171" s="712"/>
      <c r="J171" s="712"/>
      <c r="K171" s="712"/>
      <c r="L171" s="712"/>
      <c r="M171" s="712"/>
      <c r="N171" s="712"/>
      <c r="O171" s="712"/>
      <c r="P171" s="712"/>
      <c r="Q171" s="712"/>
      <c r="R171" s="712"/>
      <c r="S171" s="712"/>
      <c r="T171" s="712"/>
      <c r="U171" s="712"/>
      <c r="V171" s="712"/>
      <c r="W171" s="712"/>
      <c r="X171" s="712"/>
      <c r="Y171" s="712"/>
      <c r="Z171" s="712"/>
      <c r="AA171" s="640"/>
      <c r="AB171" s="640"/>
      <c r="AC171" s="640"/>
      <c r="AD171" s="640"/>
      <c r="AE171" s="640"/>
      <c r="AF171" s="640"/>
      <c r="AG171" s="640"/>
      <c r="AH171" s="640"/>
      <c r="AI171" s="640"/>
      <c r="AJ171" s="640"/>
      <c r="AK171" s="640"/>
      <c r="AL171" s="640"/>
      <c r="AM171" s="640"/>
    </row>
    <row r="172" spans="1:39" ht="14.1" customHeight="1">
      <c r="A172" s="274"/>
      <c r="B172" s="274"/>
      <c r="C172" s="274"/>
      <c r="D172" s="274"/>
      <c r="E172" s="274"/>
      <c r="F172" s="274"/>
      <c r="G172" s="274"/>
      <c r="H172" s="275"/>
      <c r="I172" s="275"/>
      <c r="J172" s="275"/>
      <c r="K172" s="275"/>
      <c r="L172" s="275"/>
      <c r="M172" s="275"/>
      <c r="N172" s="275"/>
      <c r="O172" s="275"/>
      <c r="P172" s="275"/>
      <c r="Q172" s="275"/>
      <c r="R172" s="275"/>
      <c r="S172" s="275"/>
      <c r="T172" s="275"/>
      <c r="U172" s="275"/>
      <c r="V172" s="275"/>
      <c r="W172" s="275"/>
      <c r="X172" s="275"/>
      <c r="Y172" s="275"/>
      <c r="Z172" s="275"/>
      <c r="AA172" s="276"/>
      <c r="AB172" s="276"/>
      <c r="AC172" s="276"/>
      <c r="AD172" s="276"/>
      <c r="AE172" s="276"/>
      <c r="AF172" s="276"/>
      <c r="AG172" s="276"/>
      <c r="AH172" s="276"/>
      <c r="AI172" s="276"/>
      <c r="AJ172" s="276"/>
      <c r="AK172" s="276"/>
      <c r="AL172" s="276"/>
      <c r="AM172" s="276"/>
    </row>
    <row r="173" spans="1:39">
      <c r="A173" s="649" t="s">
        <v>748</v>
      </c>
      <c r="B173" s="649"/>
      <c r="C173" s="649"/>
      <c r="D173" s="649"/>
      <c r="E173" s="649"/>
      <c r="F173" s="649"/>
      <c r="G173" s="649"/>
      <c r="H173" s="649"/>
      <c r="I173" s="649"/>
      <c r="J173" s="649"/>
      <c r="K173" s="649"/>
      <c r="L173" s="649"/>
      <c r="M173" s="650" t="str">
        <f>VLOOKUP(AI174,'Contorizare in SDI'!$E:$I,4,FALSE)</f>
        <v>RO005E532351034/1</v>
      </c>
      <c r="N173" s="650"/>
      <c r="O173" s="650"/>
      <c r="P173" s="650"/>
      <c r="Q173" s="650"/>
      <c r="R173" s="650"/>
      <c r="S173" s="650"/>
      <c r="T173" s="650"/>
      <c r="U173" s="650"/>
      <c r="V173" s="650"/>
      <c r="W173" s="650"/>
      <c r="X173" s="650"/>
      <c r="Y173" s="650"/>
      <c r="Z173" s="650"/>
      <c r="AA173" s="650"/>
      <c r="AB173" s="650"/>
      <c r="AC173" s="650"/>
      <c r="AD173" s="650"/>
      <c r="AE173" s="650"/>
      <c r="AF173" s="650"/>
      <c r="AG173" s="650"/>
      <c r="AH173" s="650"/>
      <c r="AI173" s="650" t="s">
        <v>695</v>
      </c>
      <c r="AJ173" s="650"/>
      <c r="AK173" s="650"/>
      <c r="AL173" s="650"/>
      <c r="AM173" s="650"/>
    </row>
    <row r="174" spans="1:39">
      <c r="A174" s="649" t="s">
        <v>746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50" t="str">
        <f>VLOOKUP(AI174,'Inchidere contur'!$G:$U,15,FALSE)</f>
        <v>JT_OD</v>
      </c>
      <c r="N174" s="650"/>
      <c r="O174" s="650"/>
      <c r="P174" s="650"/>
      <c r="Q174" s="650"/>
      <c r="R174" s="650"/>
      <c r="S174" s="650"/>
      <c r="T174" s="650"/>
      <c r="U174" s="650"/>
      <c r="V174" s="650"/>
      <c r="W174" s="650"/>
      <c r="X174" s="650"/>
      <c r="Y174" s="650"/>
      <c r="Z174" s="650"/>
      <c r="AA174" s="650"/>
      <c r="AB174" s="650"/>
      <c r="AC174" s="650"/>
      <c r="AD174" s="650"/>
      <c r="AE174" s="650"/>
      <c r="AF174" s="650"/>
      <c r="AG174" s="650"/>
      <c r="AH174" s="650"/>
      <c r="AI174" s="666" t="str">
        <f>AA170</f>
        <v>RN10_Petrosani_4</v>
      </c>
      <c r="AJ174" s="666"/>
      <c r="AK174" s="666"/>
      <c r="AL174" s="666"/>
      <c r="AM174" s="666"/>
    </row>
    <row r="175" spans="1:39">
      <c r="A175" s="649" t="s">
        <v>747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50" t="str">
        <f>IF(LEFT(M174,2)="JT","0.4kV",IF(LEFT(M174,2)="MT","20kV","-"))</f>
        <v>0.4kV</v>
      </c>
      <c r="N175" s="650"/>
      <c r="O175" s="650"/>
      <c r="P175" s="650"/>
      <c r="Q175" s="650"/>
      <c r="R175" s="650"/>
      <c r="S175" s="650"/>
      <c r="T175" s="650"/>
      <c r="U175" s="650"/>
      <c r="V175" s="650"/>
      <c r="W175" s="650"/>
      <c r="X175" s="650"/>
      <c r="Y175" s="650"/>
      <c r="Z175" s="650"/>
      <c r="AA175" s="650"/>
      <c r="AB175" s="650"/>
      <c r="AC175" s="650"/>
      <c r="AD175" s="650"/>
      <c r="AE175" s="650"/>
      <c r="AF175" s="650"/>
      <c r="AG175" s="650"/>
      <c r="AH175" s="650"/>
      <c r="AI175" s="666"/>
      <c r="AJ175" s="666"/>
      <c r="AK175" s="666"/>
      <c r="AL175" s="666"/>
      <c r="AM175" s="666"/>
    </row>
    <row r="176" spans="1:39" ht="15.95" customHeight="1">
      <c r="A176" s="648" t="s">
        <v>697</v>
      </c>
      <c r="B176" s="648"/>
      <c r="C176" s="648"/>
      <c r="D176" s="648"/>
      <c r="E176" s="648"/>
      <c r="F176" s="648"/>
      <c r="G176" s="647" t="s">
        <v>713</v>
      </c>
      <c r="H176" s="647"/>
      <c r="I176" s="647"/>
      <c r="J176" s="647" t="s">
        <v>714</v>
      </c>
      <c r="K176" s="647"/>
      <c r="L176" s="647"/>
      <c r="M176" s="648" t="s">
        <v>519</v>
      </c>
      <c r="N176" s="648"/>
      <c r="O176" s="648" t="s">
        <v>715</v>
      </c>
      <c r="P176" s="648"/>
      <c r="Q176" s="648"/>
      <c r="R176" s="647" t="s">
        <v>732</v>
      </c>
      <c r="S176" s="647"/>
      <c r="T176" s="647"/>
      <c r="U176" s="647" t="s">
        <v>734</v>
      </c>
      <c r="V176" s="647"/>
      <c r="W176" s="647"/>
      <c r="X176" s="647" t="s">
        <v>1085</v>
      </c>
      <c r="Y176" s="647"/>
      <c r="Z176" s="647"/>
      <c r="AA176" s="647" t="s">
        <v>1086</v>
      </c>
      <c r="AB176" s="647"/>
      <c r="AC176" s="647"/>
      <c r="AD176" s="647" t="s">
        <v>717</v>
      </c>
      <c r="AE176" s="647"/>
      <c r="AF176" s="647" t="s">
        <v>718</v>
      </c>
      <c r="AG176" s="647"/>
      <c r="AH176" s="647"/>
      <c r="AI176" s="647" t="s">
        <v>719</v>
      </c>
      <c r="AJ176" s="647"/>
      <c r="AK176" s="647" t="s">
        <v>733</v>
      </c>
      <c r="AL176" s="647"/>
      <c r="AM176" s="647"/>
    </row>
    <row r="177" spans="1:39">
      <c r="A177" s="648"/>
      <c r="B177" s="648"/>
      <c r="C177" s="648"/>
      <c r="D177" s="648"/>
      <c r="E177" s="648"/>
      <c r="F177" s="648"/>
      <c r="G177" s="647"/>
      <c r="H177" s="647"/>
      <c r="I177" s="647"/>
      <c r="J177" s="647"/>
      <c r="K177" s="647"/>
      <c r="L177" s="647"/>
      <c r="M177" s="648"/>
      <c r="N177" s="648"/>
      <c r="O177" s="648"/>
      <c r="P177" s="648"/>
      <c r="Q177" s="648"/>
      <c r="R177" s="647"/>
      <c r="S177" s="647"/>
      <c r="T177" s="647"/>
      <c r="U177" s="647"/>
      <c r="V177" s="647"/>
      <c r="W177" s="647"/>
      <c r="X177" s="647"/>
      <c r="Y177" s="647"/>
      <c r="Z177" s="647"/>
      <c r="AA177" s="647"/>
      <c r="AB177" s="647"/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</row>
    <row r="178" spans="1:39">
      <c r="A178" s="648"/>
      <c r="B178" s="648"/>
      <c r="C178" s="648"/>
      <c r="D178" s="648"/>
      <c r="E178" s="648"/>
      <c r="F178" s="648"/>
      <c r="G178" s="647"/>
      <c r="H178" s="647"/>
      <c r="I178" s="647"/>
      <c r="J178" s="713"/>
      <c r="K178" s="713"/>
      <c r="L178" s="713"/>
      <c r="M178" s="648"/>
      <c r="N178" s="648"/>
      <c r="O178" s="648"/>
      <c r="P178" s="648"/>
      <c r="Q178" s="648"/>
      <c r="R178" s="647"/>
      <c r="S178" s="647"/>
      <c r="T178" s="647"/>
      <c r="U178" s="647"/>
      <c r="V178" s="647"/>
      <c r="W178" s="647"/>
      <c r="X178" s="647"/>
      <c r="Y178" s="647"/>
      <c r="Z178" s="647"/>
      <c r="AA178" s="647"/>
      <c r="AB178" s="647"/>
      <c r="AC178" s="647"/>
      <c r="AD178" s="647"/>
      <c r="AE178" s="647"/>
      <c r="AF178" s="647"/>
      <c r="AG178" s="647"/>
      <c r="AH178" s="647"/>
      <c r="AI178" s="647"/>
      <c r="AJ178" s="647"/>
      <c r="AK178" s="647"/>
      <c r="AL178" s="647"/>
      <c r="AM178" s="647"/>
    </row>
    <row r="179" spans="1:39" ht="14.1" customHeight="1">
      <c r="A179" s="684" t="str">
        <f>VLOOKUP(AI174,'Contorizare in SDI'!$E:$I,5,FALSE)</f>
        <v>1000027339517</v>
      </c>
      <c r="B179" s="685"/>
      <c r="C179" s="685"/>
      <c r="D179" s="685"/>
      <c r="E179" s="685"/>
      <c r="F179" s="686"/>
      <c r="G179" s="648" t="s">
        <v>730</v>
      </c>
      <c r="H179" s="648"/>
      <c r="I179" s="673"/>
      <c r="J179" s="655">
        <f>'Date masura OD'!$AK$5</f>
        <v>45748</v>
      </c>
      <c r="K179" s="656"/>
      <c r="L179" s="657"/>
      <c r="M179" s="720" t="s">
        <v>446</v>
      </c>
      <c r="N179" s="648"/>
      <c r="O179" s="648">
        <f>VLOOKUP(A188,Regularizare!$D:$AX,2,FALSE)</f>
        <v>1</v>
      </c>
      <c r="P179" s="648"/>
      <c r="Q179" s="648"/>
      <c r="R179" s="647" t="str">
        <f>VLOOKUP(A179,Regularizare!$D:$YN,3,FALSE)&amp;" ("&amp;VLOOKUP(A179,Regularizare!$D:$Y,11,FALSE)&amp;")"</f>
        <v>42685 (citit)</v>
      </c>
      <c r="S179" s="647"/>
      <c r="T179" s="647"/>
      <c r="U179" s="647" t="str">
        <f>VLOOKUP(A179,Regularizare!$D:$U,4,FALSE)&amp;" ("&amp;VLOOKUP(A179,Regularizare!$D:$U,12,FALSE)&amp;")"</f>
        <v>43313 (estimat)</v>
      </c>
      <c r="V179" s="647"/>
      <c r="W179" s="647"/>
      <c r="X179" s="647" t="str">
        <f>VLOOKUP(A179,Regularizare!$D:$Y,19,FALSE)&amp;" ("&amp;VLOOKUP(A179,Regularizare!$D:$U,12,FALSE)&amp;")"</f>
        <v>628 (estimat)</v>
      </c>
      <c r="Y179" s="647"/>
      <c r="Z179" s="647"/>
      <c r="AA179" s="647">
        <f>(-1)*VLOOKUP(A179,Regularizare!$D:$Y,19,FALSE)</f>
        <v>-628</v>
      </c>
      <c r="AB179" s="647"/>
      <c r="AC179" s="647"/>
      <c r="AD179" s="647" t="s">
        <v>69</v>
      </c>
      <c r="AE179" s="647"/>
      <c r="AF179" s="647">
        <f>AA179</f>
        <v>-628</v>
      </c>
      <c r="AG179" s="647"/>
      <c r="AH179" s="647"/>
      <c r="AI179" s="647" t="s">
        <v>69</v>
      </c>
      <c r="AJ179" s="647"/>
      <c r="AK179" s="647" t="s">
        <v>69</v>
      </c>
      <c r="AL179" s="647"/>
      <c r="AM179" s="647"/>
    </row>
    <row r="180" spans="1:39" ht="8.4499999999999993" customHeight="1">
      <c r="A180" s="727"/>
      <c r="B180" s="729"/>
      <c r="C180" s="729"/>
      <c r="D180" s="729"/>
      <c r="E180" s="729"/>
      <c r="F180" s="728"/>
      <c r="G180" s="648"/>
      <c r="H180" s="648"/>
      <c r="I180" s="673"/>
      <c r="J180" s="717" t="s">
        <v>69</v>
      </c>
      <c r="K180" s="718"/>
      <c r="L180" s="719"/>
      <c r="M180" s="720"/>
      <c r="N180" s="648"/>
      <c r="O180" s="648"/>
      <c r="P180" s="648"/>
      <c r="Q180" s="648"/>
      <c r="R180" s="647"/>
      <c r="S180" s="647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647"/>
      <c r="AL180" s="647"/>
      <c r="AM180" s="647"/>
    </row>
    <row r="181" spans="1:39" ht="14.1" customHeight="1">
      <c r="A181" s="687"/>
      <c r="B181" s="688"/>
      <c r="C181" s="688"/>
      <c r="D181" s="688"/>
      <c r="E181" s="688"/>
      <c r="F181" s="689"/>
      <c r="G181" s="648"/>
      <c r="H181" s="648"/>
      <c r="I181" s="673"/>
      <c r="J181" s="714">
        <f>'Date masura OD'!$AL$5</f>
        <v>45777</v>
      </c>
      <c r="K181" s="715"/>
      <c r="L181" s="716"/>
      <c r="M181" s="720"/>
      <c r="N181" s="648"/>
      <c r="O181" s="648"/>
      <c r="P181" s="648"/>
      <c r="Q181" s="648"/>
      <c r="R181" s="647"/>
      <c r="S181" s="647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</row>
    <row r="182" spans="1:39" ht="14.1" customHeight="1">
      <c r="A182" s="684" t="str">
        <f>A179</f>
        <v>1000027339517</v>
      </c>
      <c r="B182" s="685"/>
      <c r="C182" s="685"/>
      <c r="D182" s="685"/>
      <c r="E182" s="685"/>
      <c r="F182" s="686"/>
      <c r="G182" s="648" t="s">
        <v>696</v>
      </c>
      <c r="H182" s="648"/>
      <c r="I182" s="648"/>
      <c r="J182" s="655">
        <f t="shared" ref="J182:J187" si="6">J179</f>
        <v>45748</v>
      </c>
      <c r="K182" s="656"/>
      <c r="L182" s="657"/>
      <c r="M182" s="648" t="s">
        <v>720</v>
      </c>
      <c r="N182" s="648"/>
      <c r="O182" s="648">
        <f>VLOOKUP(A191,Regularizare!$D:$AX,2,FALSE)</f>
        <v>1</v>
      </c>
      <c r="P182" s="648"/>
      <c r="Q182" s="648"/>
      <c r="R182" s="648" t="str">
        <f>VLOOKUP(A182,Regularizare!$D:$U,7,FALSE)&amp;" ("&amp;VLOOKUP(A182,Regularizare!$D:$U,15,FALSE)&amp;")"</f>
        <v>1470 (citit)</v>
      </c>
      <c r="S182" s="648"/>
      <c r="T182" s="648"/>
      <c r="U182" s="647" t="str">
        <f>VLOOKUP(A182,Regularizare!$D:$U,8,FALSE)&amp;" ("&amp;VLOOKUP(A182,Regularizare!$D:$U,16,FALSE)&amp;")"</f>
        <v>1470 (estimat)</v>
      </c>
      <c r="V182" s="647"/>
      <c r="W182" s="647"/>
      <c r="X182" s="647" t="str">
        <f>_xlfn.CONCAT(VLOOKUP(A182,Regularizare!$D:$U,8,FALSE)-VLOOKUP(A182,Regularizare!$D:$U,7,FALSE)," (",VLOOKUP(A182,Regularizare!$D:$U,16,FALSE),")")</f>
        <v>0 (estimat)</v>
      </c>
      <c r="Y182" s="647"/>
      <c r="Z182" s="647"/>
      <c r="AA182" s="647">
        <f>IF(VLOOKUP(A182,Regularizare!$D:$Y,21,FALSE)=0,VLOOKUP(A182,Regularizare!$D:$Y,21,FALSE),(-1)*VLOOKUP(A182,Regularizare!$D:$Y,21,FALSE))</f>
        <v>0</v>
      </c>
      <c r="AB182" s="647"/>
      <c r="AC182" s="647"/>
      <c r="AD182" s="647" t="s">
        <v>69</v>
      </c>
      <c r="AE182" s="647"/>
      <c r="AF182" s="647">
        <f>AA182</f>
        <v>0</v>
      </c>
      <c r="AG182" s="647"/>
      <c r="AH182" s="647"/>
      <c r="AI182" s="647" t="str">
        <f>AI179</f>
        <v>-</v>
      </c>
      <c r="AJ182" s="647"/>
      <c r="AK182" s="647" t="str">
        <f>AK179</f>
        <v>-</v>
      </c>
      <c r="AL182" s="647"/>
      <c r="AM182" s="647"/>
    </row>
    <row r="183" spans="1:39" ht="8.4499999999999993" customHeight="1">
      <c r="A183" s="727"/>
      <c r="B183" s="729"/>
      <c r="C183" s="729"/>
      <c r="D183" s="729"/>
      <c r="E183" s="729"/>
      <c r="F183" s="728"/>
      <c r="G183" s="648"/>
      <c r="H183" s="648"/>
      <c r="I183" s="648"/>
      <c r="J183" s="717" t="str">
        <f t="shared" si="6"/>
        <v>-</v>
      </c>
      <c r="K183" s="718"/>
      <c r="L183" s="719"/>
      <c r="M183" s="648"/>
      <c r="N183" s="648"/>
      <c r="O183" s="648"/>
      <c r="P183" s="648"/>
      <c r="Q183" s="648"/>
      <c r="R183" s="648"/>
      <c r="S183" s="648"/>
      <c r="T183" s="648"/>
      <c r="U183" s="647"/>
      <c r="V183" s="647"/>
      <c r="W183" s="647"/>
      <c r="X183" s="647"/>
      <c r="Y183" s="647"/>
      <c r="Z183" s="647"/>
      <c r="AA183" s="647"/>
      <c r="AB183" s="647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</row>
    <row r="184" spans="1:39" ht="14.1" customHeight="1">
      <c r="A184" s="687"/>
      <c r="B184" s="688"/>
      <c r="C184" s="688"/>
      <c r="D184" s="688"/>
      <c r="E184" s="688"/>
      <c r="F184" s="689"/>
      <c r="G184" s="648"/>
      <c r="H184" s="648"/>
      <c r="I184" s="648"/>
      <c r="J184" s="714">
        <f t="shared" si="6"/>
        <v>45777</v>
      </c>
      <c r="K184" s="715"/>
      <c r="L184" s="716"/>
      <c r="M184" s="648"/>
      <c r="N184" s="648"/>
      <c r="O184" s="648"/>
      <c r="P184" s="648"/>
      <c r="Q184" s="648"/>
      <c r="R184" s="648"/>
      <c r="S184" s="648"/>
      <c r="T184" s="648"/>
      <c r="U184" s="647"/>
      <c r="V184" s="647"/>
      <c r="W184" s="647"/>
      <c r="X184" s="647"/>
      <c r="Y184" s="647"/>
      <c r="Z184" s="647"/>
      <c r="AA184" s="647"/>
      <c r="AB184" s="647"/>
      <c r="AC184" s="647"/>
      <c r="AD184" s="647"/>
      <c r="AE184" s="647"/>
      <c r="AF184" s="647"/>
      <c r="AG184" s="647"/>
      <c r="AH184" s="647"/>
      <c r="AI184" s="647"/>
      <c r="AJ184" s="647"/>
      <c r="AK184" s="647"/>
      <c r="AL184" s="647"/>
      <c r="AM184" s="647"/>
    </row>
    <row r="185" spans="1:39" ht="14.1" customHeight="1">
      <c r="A185" s="684" t="str">
        <f>A179</f>
        <v>1000027339517</v>
      </c>
      <c r="B185" s="685"/>
      <c r="C185" s="685"/>
      <c r="D185" s="685"/>
      <c r="E185" s="685"/>
      <c r="F185" s="686"/>
      <c r="G185" s="648" t="s">
        <v>731</v>
      </c>
      <c r="H185" s="648"/>
      <c r="I185" s="648"/>
      <c r="J185" s="655">
        <f t="shared" si="6"/>
        <v>45748</v>
      </c>
      <c r="K185" s="656"/>
      <c r="L185" s="657"/>
      <c r="M185" s="648" t="s">
        <v>720</v>
      </c>
      <c r="N185" s="648"/>
      <c r="O185" s="648">
        <f>VLOOKUP(A194,Regularizare!$D:$AX,2,FALSE)</f>
        <v>1</v>
      </c>
      <c r="P185" s="648"/>
      <c r="Q185" s="648"/>
      <c r="R185" s="647" t="str">
        <f>VLOOKUP(A185,Regularizare!$D:$U,9,FALSE)&amp;" ("&amp;VLOOKUP(A185,Regularizare!$D:$U,17,FALSE)&amp;")"</f>
        <v>9201 (citit)</v>
      </c>
      <c r="S185" s="647"/>
      <c r="T185" s="647"/>
      <c r="U185" s="647" t="str">
        <f>VLOOKUP(A185,Regularizare!$D:$U,10,FALSE)&amp;" ("&amp;VLOOKUP(A185,Regularizare!$D:$U,18,FALSE)&amp;")"</f>
        <v>9201 (estimat)</v>
      </c>
      <c r="V185" s="647"/>
      <c r="W185" s="647"/>
      <c r="X185" s="647" t="str">
        <f>_xlfn.CONCAT(VLOOKUP(A185,Regularizare!$D:$U,10,FALSE)-VLOOKUP(A185,Regularizare!$D:$U,9,FALSE)," (",VLOOKUP(A185,Regularizare!$D:$U,18,FALSE),")")</f>
        <v>0 (estimat)</v>
      </c>
      <c r="Y185" s="647"/>
      <c r="Z185" s="647"/>
      <c r="AA185" s="647">
        <f>IF(VLOOKUP(A185,Regularizare!$D:$Y,22,FALSE)=0,VLOOKUP(A185,Regularizare!$D:$Y,22,FALSE),(-1)*VLOOKUP(A185,Regularizare!$D:$Y,22,FALSE))</f>
        <v>0</v>
      </c>
      <c r="AB185" s="647"/>
      <c r="AC185" s="647"/>
      <c r="AD185" s="647" t="s">
        <v>69</v>
      </c>
      <c r="AE185" s="647"/>
      <c r="AF185" s="647">
        <f>AA185</f>
        <v>0</v>
      </c>
      <c r="AG185" s="647"/>
      <c r="AH185" s="647"/>
      <c r="AI185" s="647" t="str">
        <f>AI182</f>
        <v>-</v>
      </c>
      <c r="AJ185" s="647"/>
      <c r="AK185" s="647" t="str">
        <f>AK182</f>
        <v>-</v>
      </c>
      <c r="AL185" s="647"/>
      <c r="AM185" s="647"/>
    </row>
    <row r="186" spans="1:39" ht="8.4499999999999993" customHeight="1">
      <c r="A186" s="727"/>
      <c r="B186" s="729"/>
      <c r="C186" s="729"/>
      <c r="D186" s="729"/>
      <c r="E186" s="729"/>
      <c r="F186" s="728"/>
      <c r="G186" s="648"/>
      <c r="H186" s="648"/>
      <c r="I186" s="648"/>
      <c r="J186" s="717" t="str">
        <f t="shared" si="6"/>
        <v>-</v>
      </c>
      <c r="K186" s="718"/>
      <c r="L186" s="719"/>
      <c r="M186" s="648"/>
      <c r="N186" s="648"/>
      <c r="O186" s="648"/>
      <c r="P186" s="648"/>
      <c r="Q186" s="648"/>
      <c r="R186" s="647"/>
      <c r="S186" s="647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</row>
    <row r="187" spans="1:39" ht="14.1" customHeight="1">
      <c r="A187" s="687"/>
      <c r="B187" s="688"/>
      <c r="C187" s="688"/>
      <c r="D187" s="688"/>
      <c r="E187" s="688"/>
      <c r="F187" s="689"/>
      <c r="G187" s="648"/>
      <c r="H187" s="648"/>
      <c r="I187" s="648"/>
      <c r="J187" s="714">
        <f t="shared" si="6"/>
        <v>45777</v>
      </c>
      <c r="K187" s="715"/>
      <c r="L187" s="716"/>
      <c r="M187" s="648"/>
      <c r="N187" s="648"/>
      <c r="O187" s="648"/>
      <c r="P187" s="648"/>
      <c r="Q187" s="648"/>
      <c r="R187" s="647"/>
      <c r="S187" s="647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</row>
    <row r="188" spans="1:39" ht="14.1" customHeight="1">
      <c r="A188" s="684" t="str">
        <f>A179</f>
        <v>1000027339517</v>
      </c>
      <c r="B188" s="685"/>
      <c r="C188" s="685"/>
      <c r="D188" s="685"/>
      <c r="E188" s="685"/>
      <c r="F188" s="686"/>
      <c r="G188" s="648" t="s">
        <v>730</v>
      </c>
      <c r="H188" s="648"/>
      <c r="I188" s="673"/>
      <c r="J188" s="655">
        <f>'Date masura OD'!$AK$5</f>
        <v>45748</v>
      </c>
      <c r="K188" s="656"/>
      <c r="L188" s="657"/>
      <c r="M188" s="720" t="s">
        <v>446</v>
      </c>
      <c r="N188" s="648"/>
      <c r="O188" s="648">
        <f>VLOOKUP(A188,Regularizare!$D:$AX,2,FALSE)</f>
        <v>1</v>
      </c>
      <c r="P188" s="648"/>
      <c r="Q188" s="648"/>
      <c r="R188" s="647" t="str">
        <f>VLOOKUP(A188,Regularizare!$D:$AX,23,FALSE)&amp;" ("&amp;VLOOKUP(A188,Regularizare!$D:$AX,24,FALSE)&amp;")"</f>
        <v>42685 (citit)</v>
      </c>
      <c r="S188" s="647"/>
      <c r="T188" s="647"/>
      <c r="U188" s="647" t="str">
        <f>VLOOKUP(A188,Regularizare!$D:$AX,25,FALSE)&amp;" ("&amp;VLOOKUP(A188,Regularizare!$D:$AX,26,FALSE)&amp;")"</f>
        <v>43413 (citit)</v>
      </c>
      <c r="V188" s="647"/>
      <c r="W188" s="647"/>
      <c r="X188" s="647" t="str">
        <f>VLOOKUP(A188,Regularizare!$D:$AX,37,FALSE)&amp;" ("&amp;VLOOKUP(A188,Regularizare!$D:$AX,26,FALSE)&amp;")"</f>
        <v>728 (citit)</v>
      </c>
      <c r="Y188" s="647"/>
      <c r="Z188" s="647"/>
      <c r="AA188" s="647">
        <f>VLOOKUP(A188,Regularizare!$D:$AX,37,FALSE)</f>
        <v>728</v>
      </c>
      <c r="AB188" s="647"/>
      <c r="AC188" s="647"/>
      <c r="AD188" s="647" t="s">
        <v>69</v>
      </c>
      <c r="AE188" s="647"/>
      <c r="AF188" s="647">
        <f>AA188</f>
        <v>728</v>
      </c>
      <c r="AG188" s="647"/>
      <c r="AH188" s="647"/>
      <c r="AI188" s="647" t="str">
        <f>AI185</f>
        <v>-</v>
      </c>
      <c r="AJ188" s="647"/>
      <c r="AK188" s="647" t="str">
        <f>AK185</f>
        <v>-</v>
      </c>
      <c r="AL188" s="647"/>
      <c r="AM188" s="647"/>
    </row>
    <row r="189" spans="1:39" ht="8.4499999999999993" customHeight="1">
      <c r="A189" s="727"/>
      <c r="B189" s="729"/>
      <c r="C189" s="729"/>
      <c r="D189" s="729"/>
      <c r="E189" s="729"/>
      <c r="F189" s="728"/>
      <c r="G189" s="648"/>
      <c r="H189" s="648"/>
      <c r="I189" s="673"/>
      <c r="J189" s="717" t="s">
        <v>69</v>
      </c>
      <c r="K189" s="718"/>
      <c r="L189" s="719"/>
      <c r="M189" s="720"/>
      <c r="N189" s="648"/>
      <c r="O189" s="648"/>
      <c r="P189" s="648"/>
      <c r="Q189" s="648"/>
      <c r="R189" s="647"/>
      <c r="S189" s="647"/>
      <c r="T189" s="647"/>
      <c r="U189" s="647"/>
      <c r="V189" s="647"/>
      <c r="W189" s="647"/>
      <c r="X189" s="647"/>
      <c r="Y189" s="647"/>
      <c r="Z189" s="647"/>
      <c r="AA189" s="647"/>
      <c r="AB189" s="647"/>
      <c r="AC189" s="647"/>
      <c r="AD189" s="647"/>
      <c r="AE189" s="647"/>
      <c r="AF189" s="647"/>
      <c r="AG189" s="647"/>
      <c r="AH189" s="647"/>
      <c r="AI189" s="647"/>
      <c r="AJ189" s="647"/>
      <c r="AK189" s="647"/>
      <c r="AL189" s="647"/>
      <c r="AM189" s="647"/>
    </row>
    <row r="190" spans="1:39" ht="14.1" customHeight="1">
      <c r="A190" s="687"/>
      <c r="B190" s="688"/>
      <c r="C190" s="688"/>
      <c r="D190" s="688"/>
      <c r="E190" s="688"/>
      <c r="F190" s="689"/>
      <c r="G190" s="648"/>
      <c r="H190" s="648"/>
      <c r="I190" s="673"/>
      <c r="J190" s="714">
        <f>'Date masura OD'!$AL$5</f>
        <v>45777</v>
      </c>
      <c r="K190" s="715"/>
      <c r="L190" s="716"/>
      <c r="M190" s="720"/>
      <c r="N190" s="648"/>
      <c r="O190" s="648"/>
      <c r="P190" s="648"/>
      <c r="Q190" s="648"/>
      <c r="R190" s="647"/>
      <c r="S190" s="647"/>
      <c r="T190" s="647"/>
      <c r="U190" s="647"/>
      <c r="V190" s="647"/>
      <c r="W190" s="647"/>
      <c r="X190" s="647"/>
      <c r="Y190" s="647"/>
      <c r="Z190" s="647"/>
      <c r="AA190" s="647"/>
      <c r="AB190" s="647"/>
      <c r="AC190" s="647"/>
      <c r="AD190" s="647"/>
      <c r="AE190" s="647"/>
      <c r="AF190" s="647"/>
      <c r="AG190" s="647"/>
      <c r="AH190" s="647"/>
      <c r="AI190" s="647"/>
      <c r="AJ190" s="647"/>
      <c r="AK190" s="647"/>
      <c r="AL190" s="647"/>
      <c r="AM190" s="647"/>
    </row>
    <row r="191" spans="1:39" ht="14.1" customHeight="1">
      <c r="A191" s="684" t="str">
        <f>A179</f>
        <v>1000027339517</v>
      </c>
      <c r="B191" s="685"/>
      <c r="C191" s="685"/>
      <c r="D191" s="685"/>
      <c r="E191" s="685"/>
      <c r="F191" s="686"/>
      <c r="G191" s="648" t="s">
        <v>696</v>
      </c>
      <c r="H191" s="648"/>
      <c r="I191" s="648"/>
      <c r="J191" s="655">
        <f t="shared" ref="J191:J196" si="7">J188</f>
        <v>45748</v>
      </c>
      <c r="K191" s="656"/>
      <c r="L191" s="657"/>
      <c r="M191" s="648" t="s">
        <v>720</v>
      </c>
      <c r="N191" s="648"/>
      <c r="O191" s="648">
        <f>VLOOKUP(A191,Regularizare!$D:$AX,2,FALSE)</f>
        <v>1</v>
      </c>
      <c r="P191" s="648"/>
      <c r="Q191" s="648"/>
      <c r="R191" s="647" t="str">
        <f>VLOOKUP(A191,Regularizare!$D:$AX,29,FALSE)&amp;" ("&amp;VLOOKUP(A191,Regularizare!$D:$AX,30,FALSE)&amp;")"</f>
        <v>1470 (citit)</v>
      </c>
      <c r="S191" s="647"/>
      <c r="T191" s="647"/>
      <c r="U191" s="647" t="str">
        <f>VLOOKUP(A191,Regularizare!$D:$AX,31,FALSE)&amp;" ("&amp;VLOOKUP(A191,Regularizare!$D:$AX,32,FALSE)&amp;")"</f>
        <v>1470 (citit)</v>
      </c>
      <c r="V191" s="647"/>
      <c r="W191" s="647"/>
      <c r="X191" s="647" t="str">
        <f>VLOOKUP(A191,Regularizare!$D:$AX,39,FALSE)&amp;" ("&amp;VLOOKUP(A191,Regularizare!$D:$AX,32,FALSE)&amp;")"</f>
        <v>0 (citit)</v>
      </c>
      <c r="Y191" s="647"/>
      <c r="Z191" s="647"/>
      <c r="AA191" s="647">
        <f>VLOOKUP(A191,Regularizare!$D:$AX,44,FALSE)+VLOOKUP(A191,Regularizare!$D:$AX,45,FALSE)</f>
        <v>0</v>
      </c>
      <c r="AB191" s="647"/>
      <c r="AC191" s="647"/>
      <c r="AD191" s="647" t="s">
        <v>69</v>
      </c>
      <c r="AE191" s="647"/>
      <c r="AF191" s="647">
        <f>AA191</f>
        <v>0</v>
      </c>
      <c r="AG191" s="647"/>
      <c r="AH191" s="647"/>
      <c r="AI191" s="647" t="str">
        <f>AI188</f>
        <v>-</v>
      </c>
      <c r="AJ191" s="647"/>
      <c r="AK191" s="647" t="str">
        <f>AK188</f>
        <v>-</v>
      </c>
      <c r="AL191" s="647"/>
      <c r="AM191" s="647"/>
    </row>
    <row r="192" spans="1:39" ht="8.4499999999999993" customHeight="1">
      <c r="A192" s="727"/>
      <c r="B192" s="729"/>
      <c r="C192" s="729"/>
      <c r="D192" s="729"/>
      <c r="E192" s="729"/>
      <c r="F192" s="728"/>
      <c r="G192" s="648"/>
      <c r="H192" s="648"/>
      <c r="I192" s="648"/>
      <c r="J192" s="717" t="str">
        <f t="shared" si="7"/>
        <v>-</v>
      </c>
      <c r="K192" s="718"/>
      <c r="L192" s="719"/>
      <c r="M192" s="648"/>
      <c r="N192" s="648"/>
      <c r="O192" s="648"/>
      <c r="P192" s="648"/>
      <c r="Q192" s="648"/>
      <c r="R192" s="647"/>
      <c r="S192" s="647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647"/>
      <c r="AL192" s="647"/>
      <c r="AM192" s="647"/>
    </row>
    <row r="193" spans="1:39" ht="14.1" customHeight="1">
      <c r="A193" s="687"/>
      <c r="B193" s="688"/>
      <c r="C193" s="688"/>
      <c r="D193" s="688"/>
      <c r="E193" s="688"/>
      <c r="F193" s="689"/>
      <c r="G193" s="648"/>
      <c r="H193" s="648"/>
      <c r="I193" s="648"/>
      <c r="J193" s="714">
        <f t="shared" si="7"/>
        <v>45777</v>
      </c>
      <c r="K193" s="715"/>
      <c r="L193" s="716"/>
      <c r="M193" s="648"/>
      <c r="N193" s="648"/>
      <c r="O193" s="648"/>
      <c r="P193" s="648"/>
      <c r="Q193" s="648"/>
      <c r="R193" s="647"/>
      <c r="S193" s="647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</row>
    <row r="194" spans="1:39" ht="14.1" customHeight="1">
      <c r="A194" s="684" t="str">
        <f>A179</f>
        <v>1000027339517</v>
      </c>
      <c r="B194" s="685"/>
      <c r="C194" s="685"/>
      <c r="D194" s="685"/>
      <c r="E194" s="685"/>
      <c r="F194" s="686"/>
      <c r="G194" s="648" t="s">
        <v>731</v>
      </c>
      <c r="H194" s="648"/>
      <c r="I194" s="648"/>
      <c r="J194" s="655">
        <f t="shared" si="7"/>
        <v>45748</v>
      </c>
      <c r="K194" s="656"/>
      <c r="L194" s="657"/>
      <c r="M194" s="648" t="s">
        <v>720</v>
      </c>
      <c r="N194" s="648"/>
      <c r="O194" s="648">
        <f>VLOOKUP(A194,Regularizare!$D:$AX,2,FALSE)</f>
        <v>1</v>
      </c>
      <c r="P194" s="648"/>
      <c r="Q194" s="648"/>
      <c r="R194" s="647" t="str">
        <f>VLOOKUP(A194,Regularizare!$D:$AX,33,FALSE)&amp;" ("&amp;VLOOKUP(A194,Regularizare!$D:$AX,34,FALSE)&amp;")"</f>
        <v>9201 (citit)</v>
      </c>
      <c r="S194" s="647"/>
      <c r="T194" s="647"/>
      <c r="U194" s="647" t="str">
        <f>VLOOKUP(A194,Regularizare!$D:$AX,35,FALSE)&amp;" ("&amp;VLOOKUP(A194,Regularizare!$D:$AX,36,FALSE)&amp;")"</f>
        <v>9201 (citit)</v>
      </c>
      <c r="V194" s="647"/>
      <c r="W194" s="647"/>
      <c r="X194" s="647" t="str">
        <f>VLOOKUP(A194,Regularizare!$D:$AX,40,FALSE)&amp;" ("&amp;VLOOKUP(A194,Regularizare!$D:$AX,36,FALSE)&amp;")"</f>
        <v>0 (citit)</v>
      </c>
      <c r="Y194" s="647"/>
      <c r="Z194" s="647"/>
      <c r="AA194" s="647">
        <f>VLOOKUP(A194,Regularizare!$D:$AX,46,FALSE)+VLOOKUP(A194,Regularizare!$D:$AX,47,FALSE)</f>
        <v>0</v>
      </c>
      <c r="AB194" s="647"/>
      <c r="AC194" s="647"/>
      <c r="AD194" s="647" t="s">
        <v>69</v>
      </c>
      <c r="AE194" s="647"/>
      <c r="AF194" s="647">
        <f>AA194</f>
        <v>0</v>
      </c>
      <c r="AG194" s="647"/>
      <c r="AH194" s="647"/>
      <c r="AI194" s="647" t="str">
        <f>AI191</f>
        <v>-</v>
      </c>
      <c r="AJ194" s="647"/>
      <c r="AK194" s="647" t="str">
        <f>AK191</f>
        <v>-</v>
      </c>
      <c r="AL194" s="647"/>
      <c r="AM194" s="647"/>
    </row>
    <row r="195" spans="1:39" ht="8.4499999999999993" customHeight="1">
      <c r="A195" s="727"/>
      <c r="B195" s="729"/>
      <c r="C195" s="729"/>
      <c r="D195" s="729"/>
      <c r="E195" s="729"/>
      <c r="F195" s="728"/>
      <c r="G195" s="648"/>
      <c r="H195" s="648"/>
      <c r="I195" s="648"/>
      <c r="J195" s="717" t="str">
        <f t="shared" si="7"/>
        <v>-</v>
      </c>
      <c r="K195" s="718"/>
      <c r="L195" s="719"/>
      <c r="M195" s="648"/>
      <c r="N195" s="648"/>
      <c r="O195" s="648"/>
      <c r="P195" s="648"/>
      <c r="Q195" s="648"/>
      <c r="R195" s="647"/>
      <c r="S195" s="647"/>
      <c r="T195" s="647"/>
      <c r="U195" s="647"/>
      <c r="V195" s="647"/>
      <c r="W195" s="647"/>
      <c r="X195" s="647"/>
      <c r="Y195" s="647"/>
      <c r="Z195" s="647"/>
      <c r="AA195" s="647"/>
      <c r="AB195" s="647"/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</row>
    <row r="196" spans="1:39" ht="14.1" customHeight="1">
      <c r="A196" s="687"/>
      <c r="B196" s="688"/>
      <c r="C196" s="688"/>
      <c r="D196" s="688"/>
      <c r="E196" s="688"/>
      <c r="F196" s="689"/>
      <c r="G196" s="648"/>
      <c r="H196" s="648"/>
      <c r="I196" s="648"/>
      <c r="J196" s="714">
        <f t="shared" si="7"/>
        <v>45777</v>
      </c>
      <c r="K196" s="715"/>
      <c r="L196" s="716"/>
      <c r="M196" s="648"/>
      <c r="N196" s="648"/>
      <c r="O196" s="648"/>
      <c r="P196" s="648"/>
      <c r="Q196" s="648"/>
      <c r="R196" s="647"/>
      <c r="S196" s="647"/>
      <c r="T196" s="647"/>
      <c r="U196" s="647"/>
      <c r="V196" s="647"/>
      <c r="W196" s="647"/>
      <c r="X196" s="647"/>
      <c r="Y196" s="647"/>
      <c r="Z196" s="647"/>
      <c r="AA196" s="647"/>
      <c r="AB196" s="647"/>
      <c r="AC196" s="647"/>
      <c r="AD196" s="647"/>
      <c r="AE196" s="647"/>
      <c r="AF196" s="647"/>
      <c r="AG196" s="647"/>
      <c r="AH196" s="647"/>
      <c r="AI196" s="647"/>
      <c r="AJ196" s="647"/>
      <c r="AK196" s="647"/>
      <c r="AL196" s="647"/>
      <c r="AM196" s="647"/>
    </row>
    <row r="197" spans="1:39" ht="14.1" customHeight="1">
      <c r="A197" s="684" t="str">
        <f>A179</f>
        <v>1000027339517</v>
      </c>
      <c r="B197" s="685"/>
      <c r="C197" s="685"/>
      <c r="D197" s="685"/>
      <c r="E197" s="685"/>
      <c r="F197" s="686"/>
      <c r="G197" s="648" t="s">
        <v>730</v>
      </c>
      <c r="H197" s="648"/>
      <c r="I197" s="673"/>
      <c r="J197" s="655">
        <f>'Date masura OD'!$I$5</f>
        <v>45778</v>
      </c>
      <c r="K197" s="656"/>
      <c r="L197" s="657"/>
      <c r="M197" s="720" t="s">
        <v>446</v>
      </c>
      <c r="N197" s="648"/>
      <c r="O197" s="648">
        <f>VLOOKUP(A197,Regularizare!$D:$AX,2,FALSE)</f>
        <v>1</v>
      </c>
      <c r="P197" s="648"/>
      <c r="Q197" s="648"/>
      <c r="R197" s="647" t="str">
        <f>U188</f>
        <v>43413 (citit)</v>
      </c>
      <c r="S197" s="647"/>
      <c r="T197" s="647"/>
      <c r="U197" s="647" t="str">
        <f>VLOOKUP(A197,'Incrementare indexe'!$D:$M,4,FALSE)&amp;" (estimat)"</f>
        <v>43985 (estimat)</v>
      </c>
      <c r="V197" s="647"/>
      <c r="W197" s="647"/>
      <c r="X197" s="647" t="str">
        <f>VLOOKUP(A197,'Incrementare indexe'!$D:$Q,11,FALSE)&amp;" (estimat)"</f>
        <v>572 (estimat)</v>
      </c>
      <c r="Y197" s="647"/>
      <c r="Z197" s="647"/>
      <c r="AA197" s="647" t="s">
        <v>69</v>
      </c>
      <c r="AB197" s="647"/>
      <c r="AC197" s="647"/>
      <c r="AD197" s="647" t="s">
        <v>69</v>
      </c>
      <c r="AE197" s="647"/>
      <c r="AF197" s="647">
        <f>VLOOKUP(A197,'Incrementare indexe'!$D:$Q,11,FALSE)</f>
        <v>572</v>
      </c>
      <c r="AG197" s="647"/>
      <c r="AH197" s="647"/>
      <c r="AI197" s="647">
        <f>J199-J197+1</f>
        <v>31</v>
      </c>
      <c r="AJ197" s="647"/>
      <c r="AK197" s="647">
        <f>ROUND(AF197/AI197,2)</f>
        <v>18.45</v>
      </c>
      <c r="AL197" s="647"/>
      <c r="AM197" s="647"/>
    </row>
    <row r="198" spans="1:39" ht="8.4499999999999993" customHeight="1">
      <c r="A198" s="727"/>
      <c r="B198" s="729"/>
      <c r="C198" s="729"/>
      <c r="D198" s="729"/>
      <c r="E198" s="729"/>
      <c r="F198" s="728"/>
      <c r="G198" s="648"/>
      <c r="H198" s="648"/>
      <c r="I198" s="673"/>
      <c r="J198" s="717" t="s">
        <v>69</v>
      </c>
      <c r="K198" s="718"/>
      <c r="L198" s="719"/>
      <c r="M198" s="720"/>
      <c r="N198" s="648"/>
      <c r="O198" s="648"/>
      <c r="P198" s="648"/>
      <c r="Q198" s="648"/>
      <c r="R198" s="647"/>
      <c r="S198" s="647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</row>
    <row r="199" spans="1:39" ht="14.1" customHeight="1">
      <c r="A199" s="687"/>
      <c r="B199" s="688"/>
      <c r="C199" s="688"/>
      <c r="D199" s="688"/>
      <c r="E199" s="688"/>
      <c r="F199" s="689"/>
      <c r="G199" s="648"/>
      <c r="H199" s="648"/>
      <c r="I199" s="673"/>
      <c r="J199" s="714">
        <f>'Date masura OD'!$J$5</f>
        <v>45808</v>
      </c>
      <c r="K199" s="715"/>
      <c r="L199" s="716"/>
      <c r="M199" s="720"/>
      <c r="N199" s="648"/>
      <c r="O199" s="648"/>
      <c r="P199" s="648"/>
      <c r="Q199" s="648"/>
      <c r="R199" s="647"/>
      <c r="S199" s="647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</row>
    <row r="200" spans="1:39" ht="14.1" customHeight="1">
      <c r="A200" s="684" t="str">
        <f>A197</f>
        <v>1000027339517</v>
      </c>
      <c r="B200" s="685"/>
      <c r="C200" s="685"/>
      <c r="D200" s="685"/>
      <c r="E200" s="685"/>
      <c r="F200" s="686"/>
      <c r="G200" s="648" t="s">
        <v>696</v>
      </c>
      <c r="H200" s="648"/>
      <c r="I200" s="648"/>
      <c r="J200" s="655">
        <f>'Date masura OD'!$I$5</f>
        <v>45778</v>
      </c>
      <c r="K200" s="656"/>
      <c r="L200" s="657"/>
      <c r="M200" s="648" t="s">
        <v>720</v>
      </c>
      <c r="N200" s="648"/>
      <c r="O200" s="648">
        <f>VLOOKUP(A200,Regularizare!$D:$AX,2,FALSE)</f>
        <v>1</v>
      </c>
      <c r="P200" s="648"/>
      <c r="Q200" s="648"/>
      <c r="R200" s="684" t="str">
        <f>U191</f>
        <v>1470 (citit)</v>
      </c>
      <c r="S200" s="685"/>
      <c r="T200" s="686"/>
      <c r="U200" s="647" t="str">
        <f>VLOOKUP(A200,'Incrementare indexe'!$D:$M,8,FALSE)&amp;" (estimat)"</f>
        <v>1470 (estimat)</v>
      </c>
      <c r="V200" s="647"/>
      <c r="W200" s="647"/>
      <c r="X200" s="647" t="str">
        <f>VLOOKUP(A200,'Incrementare indexe'!$D:$Q,12,FALSE)&amp;" (estimat)"</f>
        <v>0 (estimat)</v>
      </c>
      <c r="Y200" s="647"/>
      <c r="Z200" s="647"/>
      <c r="AA200" s="647" t="s">
        <v>69</v>
      </c>
      <c r="AB200" s="647"/>
      <c r="AC200" s="647"/>
      <c r="AD200" s="647" t="s">
        <v>69</v>
      </c>
      <c r="AE200" s="647"/>
      <c r="AF200" s="647">
        <f>VLOOKUP(A200,'Incrementare indexe'!$D:$Q,12,FALSE)</f>
        <v>0</v>
      </c>
      <c r="AG200" s="647"/>
      <c r="AH200" s="647"/>
      <c r="AI200" s="647">
        <f>AI197</f>
        <v>31</v>
      </c>
      <c r="AJ200" s="647"/>
      <c r="AK200" s="647">
        <f>ROUND(AF200/AI200,2)</f>
        <v>0</v>
      </c>
      <c r="AL200" s="647"/>
      <c r="AM200" s="647"/>
    </row>
    <row r="201" spans="1:39" ht="8.4499999999999993" customHeight="1">
      <c r="A201" s="727"/>
      <c r="B201" s="729"/>
      <c r="C201" s="729"/>
      <c r="D201" s="729"/>
      <c r="E201" s="729"/>
      <c r="F201" s="728"/>
      <c r="G201" s="648"/>
      <c r="H201" s="648"/>
      <c r="I201" s="648"/>
      <c r="J201" s="717" t="s">
        <v>69</v>
      </c>
      <c r="K201" s="718"/>
      <c r="L201" s="719"/>
      <c r="M201" s="648"/>
      <c r="N201" s="648"/>
      <c r="O201" s="648"/>
      <c r="P201" s="648"/>
      <c r="Q201" s="648"/>
      <c r="R201" s="727"/>
      <c r="S201" s="729"/>
      <c r="T201" s="728"/>
      <c r="U201" s="647"/>
      <c r="V201" s="647"/>
      <c r="W201" s="647"/>
      <c r="X201" s="647"/>
      <c r="Y201" s="647"/>
      <c r="Z201" s="647"/>
      <c r="AA201" s="647"/>
      <c r="AB201" s="647"/>
      <c r="AC201" s="647"/>
      <c r="AD201" s="647"/>
      <c r="AE201" s="647"/>
      <c r="AF201" s="647"/>
      <c r="AG201" s="647"/>
      <c r="AH201" s="647"/>
      <c r="AI201" s="647"/>
      <c r="AJ201" s="647"/>
      <c r="AK201" s="647"/>
      <c r="AL201" s="647"/>
      <c r="AM201" s="647"/>
    </row>
    <row r="202" spans="1:39" ht="14.1" customHeight="1">
      <c r="A202" s="687"/>
      <c r="B202" s="688"/>
      <c r="C202" s="688"/>
      <c r="D202" s="688"/>
      <c r="E202" s="688"/>
      <c r="F202" s="689"/>
      <c r="G202" s="648"/>
      <c r="H202" s="648"/>
      <c r="I202" s="648"/>
      <c r="J202" s="714">
        <f>'Date masura OD'!$J$5</f>
        <v>45808</v>
      </c>
      <c r="K202" s="715"/>
      <c r="L202" s="716"/>
      <c r="M202" s="648"/>
      <c r="N202" s="648"/>
      <c r="O202" s="648"/>
      <c r="P202" s="648"/>
      <c r="Q202" s="648"/>
      <c r="R202" s="687"/>
      <c r="S202" s="688"/>
      <c r="T202" s="689"/>
      <c r="U202" s="647"/>
      <c r="V202" s="647"/>
      <c r="W202" s="647"/>
      <c r="X202" s="647"/>
      <c r="Y202" s="647"/>
      <c r="Z202" s="647"/>
      <c r="AA202" s="647"/>
      <c r="AB202" s="647"/>
      <c r="AC202" s="647"/>
      <c r="AD202" s="647"/>
      <c r="AE202" s="647"/>
      <c r="AF202" s="647"/>
      <c r="AG202" s="647"/>
      <c r="AH202" s="647"/>
      <c r="AI202" s="647"/>
      <c r="AJ202" s="647"/>
      <c r="AK202" s="647"/>
      <c r="AL202" s="647"/>
      <c r="AM202" s="647"/>
    </row>
    <row r="203" spans="1:39" ht="14.1" customHeight="1">
      <c r="A203" s="684" t="str">
        <f>A200</f>
        <v>1000027339517</v>
      </c>
      <c r="B203" s="685"/>
      <c r="C203" s="685"/>
      <c r="D203" s="685"/>
      <c r="E203" s="685"/>
      <c r="F203" s="686"/>
      <c r="G203" s="648" t="s">
        <v>731</v>
      </c>
      <c r="H203" s="648"/>
      <c r="I203" s="648"/>
      <c r="J203" s="655">
        <f>'Date masura OD'!$I$5</f>
        <v>45778</v>
      </c>
      <c r="K203" s="656"/>
      <c r="L203" s="657"/>
      <c r="M203" s="648" t="s">
        <v>720</v>
      </c>
      <c r="N203" s="648"/>
      <c r="O203" s="648">
        <f>VLOOKUP(A203,Regularizare!$D:$AX,2,FALSE)</f>
        <v>1</v>
      </c>
      <c r="P203" s="648"/>
      <c r="Q203" s="648"/>
      <c r="R203" s="647" t="str">
        <f>U194</f>
        <v>9201 (citit)</v>
      </c>
      <c r="S203" s="647"/>
      <c r="T203" s="647"/>
      <c r="U203" s="647" t="str">
        <f>VLOOKUP(A203,'Incrementare indexe'!$D:$M,10,FALSE)&amp;" (estimat)"</f>
        <v>9201 (estimat)</v>
      </c>
      <c r="V203" s="647"/>
      <c r="W203" s="647"/>
      <c r="X203" s="647" t="str">
        <f>VLOOKUP(A203,'Incrementare indexe'!$D:$Q,13,FALSE)&amp;" (estimat)"</f>
        <v>0 (estimat)</v>
      </c>
      <c r="Y203" s="647"/>
      <c r="Z203" s="647"/>
      <c r="AA203" s="647" t="s">
        <v>69</v>
      </c>
      <c r="AB203" s="647"/>
      <c r="AC203" s="647"/>
      <c r="AD203" s="647" t="s">
        <v>69</v>
      </c>
      <c r="AE203" s="647"/>
      <c r="AF203" s="647">
        <f>VLOOKUP(A203,'Incrementare indexe'!$D:$Q,13,FALSE)</f>
        <v>0</v>
      </c>
      <c r="AG203" s="647"/>
      <c r="AH203" s="647"/>
      <c r="AI203" s="647">
        <f>AI200</f>
        <v>31</v>
      </c>
      <c r="AJ203" s="647"/>
      <c r="AK203" s="647">
        <f>ROUND(AF203/AI203,2)</f>
        <v>0</v>
      </c>
      <c r="AL203" s="647"/>
      <c r="AM203" s="647"/>
    </row>
    <row r="204" spans="1:39" ht="8.4499999999999993" customHeight="1">
      <c r="A204" s="727"/>
      <c r="B204" s="729"/>
      <c r="C204" s="729"/>
      <c r="D204" s="729"/>
      <c r="E204" s="729"/>
      <c r="F204" s="728"/>
      <c r="G204" s="648"/>
      <c r="H204" s="648"/>
      <c r="I204" s="648"/>
      <c r="J204" s="717" t="s">
        <v>69</v>
      </c>
      <c r="K204" s="718"/>
      <c r="L204" s="719"/>
      <c r="M204" s="648"/>
      <c r="N204" s="648"/>
      <c r="O204" s="648"/>
      <c r="P204" s="648"/>
      <c r="Q204" s="648"/>
      <c r="R204" s="647"/>
      <c r="S204" s="647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647"/>
      <c r="AL204" s="647"/>
      <c r="AM204" s="647"/>
    </row>
    <row r="205" spans="1:39" ht="14.1" customHeight="1">
      <c r="A205" s="687"/>
      <c r="B205" s="688"/>
      <c r="C205" s="688"/>
      <c r="D205" s="688"/>
      <c r="E205" s="688"/>
      <c r="F205" s="689"/>
      <c r="G205" s="648"/>
      <c r="H205" s="648"/>
      <c r="I205" s="648"/>
      <c r="J205" s="714">
        <f>'Date masura OD'!$J$5</f>
        <v>45808</v>
      </c>
      <c r="K205" s="715"/>
      <c r="L205" s="716"/>
      <c r="M205" s="648"/>
      <c r="N205" s="648"/>
      <c r="O205" s="648"/>
      <c r="P205" s="648"/>
      <c r="Q205" s="648"/>
      <c r="R205" s="647"/>
      <c r="S205" s="647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647"/>
      <c r="AF205" s="647"/>
      <c r="AG205" s="647"/>
      <c r="AH205" s="647"/>
      <c r="AI205" s="647"/>
      <c r="AJ205" s="647"/>
      <c r="AK205" s="647"/>
      <c r="AL205" s="647"/>
      <c r="AM205" s="647"/>
    </row>
    <row r="206" spans="1:39" ht="14.1" customHeight="1">
      <c r="A206" s="196"/>
      <c r="B206" s="196"/>
      <c r="C206" s="196"/>
      <c r="D206" s="196"/>
      <c r="E206" s="196"/>
      <c r="F206" s="196"/>
      <c r="G206" s="196"/>
      <c r="H206" s="196"/>
      <c r="I206" s="196"/>
      <c r="J206" s="197"/>
      <c r="K206" s="197"/>
      <c r="L206" s="197"/>
      <c r="M206" s="196"/>
      <c r="N206" s="196"/>
      <c r="O206" s="196"/>
      <c r="P206" s="196"/>
      <c r="Q206" s="196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</row>
    <row r="207" spans="1:39" ht="14.1" customHeight="1">
      <c r="A207" s="695" t="s">
        <v>859</v>
      </c>
      <c r="B207" s="695"/>
      <c r="C207" s="695"/>
      <c r="D207" s="695"/>
      <c r="E207" s="695"/>
      <c r="F207" s="695"/>
      <c r="G207" s="695"/>
      <c r="H207" s="712">
        <f>VLOOKUP(LEFT(M210,15),'Date masura OD'!E:BE,53,0)</f>
        <v>5000595702</v>
      </c>
      <c r="I207" s="712"/>
      <c r="J207" s="712"/>
      <c r="K207" s="712"/>
      <c r="L207" s="712"/>
      <c r="M207" s="712"/>
      <c r="N207" s="712"/>
      <c r="O207" s="712"/>
      <c r="P207" s="712"/>
      <c r="Q207" s="712"/>
      <c r="R207" s="712"/>
      <c r="S207" s="712"/>
      <c r="T207" s="712"/>
      <c r="U207" s="712"/>
      <c r="V207" s="712"/>
      <c r="W207" s="712" t="s">
        <v>860</v>
      </c>
      <c r="X207" s="712"/>
      <c r="Y207" s="712"/>
      <c r="Z207" s="712"/>
      <c r="AA207" s="640" t="str">
        <f>_xlfn.CONCAT($AA$16,"_",5)</f>
        <v>RN10_Petrosani_5</v>
      </c>
      <c r="AB207" s="640"/>
      <c r="AC207" s="640"/>
      <c r="AD207" s="640"/>
      <c r="AE207" s="640"/>
      <c r="AF207" s="640"/>
      <c r="AG207" s="640"/>
      <c r="AH207" s="640"/>
      <c r="AI207" s="640"/>
      <c r="AJ207" s="640"/>
      <c r="AK207" s="640"/>
      <c r="AL207" s="640"/>
      <c r="AM207" s="640"/>
    </row>
    <row r="208" spans="1:39" ht="14.1" customHeight="1">
      <c r="A208" s="695"/>
      <c r="B208" s="695"/>
      <c r="C208" s="695"/>
      <c r="D208" s="695"/>
      <c r="E208" s="695"/>
      <c r="F208" s="695"/>
      <c r="G208" s="695"/>
      <c r="H208" s="712"/>
      <c r="I208" s="712"/>
      <c r="J208" s="712"/>
      <c r="K208" s="712"/>
      <c r="L208" s="712"/>
      <c r="M208" s="712"/>
      <c r="N208" s="712"/>
      <c r="O208" s="712"/>
      <c r="P208" s="712"/>
      <c r="Q208" s="712"/>
      <c r="R208" s="712"/>
      <c r="S208" s="712"/>
      <c r="T208" s="712"/>
      <c r="U208" s="712"/>
      <c r="V208" s="712"/>
      <c r="W208" s="712"/>
      <c r="X208" s="712"/>
      <c r="Y208" s="712"/>
      <c r="Z208" s="712"/>
      <c r="AA208" s="640"/>
      <c r="AB208" s="640"/>
      <c r="AC208" s="640"/>
      <c r="AD208" s="640"/>
      <c r="AE208" s="640"/>
      <c r="AF208" s="640"/>
      <c r="AG208" s="640"/>
      <c r="AH208" s="640"/>
      <c r="AI208" s="640"/>
      <c r="AJ208" s="640"/>
      <c r="AK208" s="640"/>
      <c r="AL208" s="640"/>
      <c r="AM208" s="640"/>
    </row>
    <row r="210" spans="1:39">
      <c r="A210" s="649" t="s">
        <v>748</v>
      </c>
      <c r="B210" s="649"/>
      <c r="C210" s="649"/>
      <c r="D210" s="649"/>
      <c r="E210" s="649"/>
      <c r="F210" s="649"/>
      <c r="G210" s="649"/>
      <c r="H210" s="649"/>
      <c r="I210" s="649"/>
      <c r="J210" s="649"/>
      <c r="K210" s="649"/>
      <c r="L210" s="649"/>
      <c r="M210" s="650" t="str">
        <f>VLOOKUP(AI211,'Contorizare in SDI'!$E:$I,4,FALSE)</f>
        <v>RO005E532488642/1</v>
      </c>
      <c r="N210" s="650"/>
      <c r="O210" s="650"/>
      <c r="P210" s="650"/>
      <c r="Q210" s="650"/>
      <c r="R210" s="650"/>
      <c r="S210" s="650"/>
      <c r="T210" s="650"/>
      <c r="U210" s="650"/>
      <c r="V210" s="650"/>
      <c r="W210" s="650"/>
      <c r="X210" s="650"/>
      <c r="Y210" s="650"/>
      <c r="Z210" s="650"/>
      <c r="AA210" s="650"/>
      <c r="AB210" s="650"/>
      <c r="AC210" s="650"/>
      <c r="AD210" s="650"/>
      <c r="AE210" s="650"/>
      <c r="AF210" s="650"/>
      <c r="AG210" s="650"/>
      <c r="AH210" s="650"/>
      <c r="AI210" s="650" t="s">
        <v>695</v>
      </c>
      <c r="AJ210" s="650"/>
      <c r="AK210" s="650"/>
      <c r="AL210" s="650"/>
      <c r="AM210" s="650"/>
    </row>
    <row r="211" spans="1:39">
      <c r="A211" s="649" t="s">
        <v>746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50" t="str">
        <f>VLOOKUP(AI211,'Inchidere contur'!$G:$U,15,FALSE)</f>
        <v>JT_OD</v>
      </c>
      <c r="N211" s="650"/>
      <c r="O211" s="650"/>
      <c r="P211" s="650"/>
      <c r="Q211" s="650"/>
      <c r="R211" s="650"/>
      <c r="S211" s="650"/>
      <c r="T211" s="650"/>
      <c r="U211" s="650"/>
      <c r="V211" s="650"/>
      <c r="W211" s="650"/>
      <c r="X211" s="650"/>
      <c r="Y211" s="650"/>
      <c r="Z211" s="650"/>
      <c r="AA211" s="650"/>
      <c r="AB211" s="650"/>
      <c r="AC211" s="650"/>
      <c r="AD211" s="650"/>
      <c r="AE211" s="650"/>
      <c r="AF211" s="650"/>
      <c r="AG211" s="650"/>
      <c r="AH211" s="650"/>
      <c r="AI211" s="666" t="str">
        <f>AA207</f>
        <v>RN10_Petrosani_5</v>
      </c>
      <c r="AJ211" s="666"/>
      <c r="AK211" s="666"/>
      <c r="AL211" s="666"/>
      <c r="AM211" s="666"/>
    </row>
    <row r="212" spans="1:39">
      <c r="A212" s="649" t="s">
        <v>747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50" t="str">
        <f>IF(LEFT(M211,2)="JT","0.4kV",IF(LEFT(M211,2)="MT","20kV","-"))</f>
        <v>0.4kV</v>
      </c>
      <c r="N212" s="650"/>
      <c r="O212" s="650"/>
      <c r="P212" s="650"/>
      <c r="Q212" s="650"/>
      <c r="R212" s="650"/>
      <c r="S212" s="650"/>
      <c r="T212" s="650"/>
      <c r="U212" s="650"/>
      <c r="V212" s="650"/>
      <c r="W212" s="650"/>
      <c r="X212" s="650"/>
      <c r="Y212" s="650"/>
      <c r="Z212" s="650"/>
      <c r="AA212" s="650"/>
      <c r="AB212" s="650"/>
      <c r="AC212" s="650"/>
      <c r="AD212" s="650"/>
      <c r="AE212" s="650"/>
      <c r="AF212" s="650"/>
      <c r="AG212" s="650"/>
      <c r="AH212" s="650"/>
      <c r="AI212" s="666"/>
      <c r="AJ212" s="666"/>
      <c r="AK212" s="666"/>
      <c r="AL212" s="666"/>
      <c r="AM212" s="666"/>
    </row>
    <row r="213" spans="1:39" ht="15.95" customHeight="1">
      <c r="A213" s="648" t="s">
        <v>697</v>
      </c>
      <c r="B213" s="648"/>
      <c r="C213" s="648"/>
      <c r="D213" s="648"/>
      <c r="E213" s="648"/>
      <c r="F213" s="648"/>
      <c r="G213" s="647" t="s">
        <v>713</v>
      </c>
      <c r="H213" s="647"/>
      <c r="I213" s="647"/>
      <c r="J213" s="647" t="s">
        <v>714</v>
      </c>
      <c r="K213" s="647"/>
      <c r="L213" s="647"/>
      <c r="M213" s="648" t="s">
        <v>519</v>
      </c>
      <c r="N213" s="648"/>
      <c r="O213" s="648" t="s">
        <v>715</v>
      </c>
      <c r="P213" s="648"/>
      <c r="Q213" s="648"/>
      <c r="R213" s="647" t="s">
        <v>732</v>
      </c>
      <c r="S213" s="647"/>
      <c r="T213" s="647"/>
      <c r="U213" s="647" t="s">
        <v>734</v>
      </c>
      <c r="V213" s="647"/>
      <c r="W213" s="647"/>
      <c r="X213" s="647" t="s">
        <v>1085</v>
      </c>
      <c r="Y213" s="647"/>
      <c r="Z213" s="647"/>
      <c r="AA213" s="647" t="s">
        <v>1086</v>
      </c>
      <c r="AB213" s="647"/>
      <c r="AC213" s="647"/>
      <c r="AD213" s="647" t="s">
        <v>717</v>
      </c>
      <c r="AE213" s="647"/>
      <c r="AF213" s="647" t="s">
        <v>718</v>
      </c>
      <c r="AG213" s="647"/>
      <c r="AH213" s="647"/>
      <c r="AI213" s="647" t="s">
        <v>719</v>
      </c>
      <c r="AJ213" s="647"/>
      <c r="AK213" s="647" t="s">
        <v>733</v>
      </c>
      <c r="AL213" s="647"/>
      <c r="AM213" s="647"/>
    </row>
    <row r="214" spans="1:39">
      <c r="A214" s="648"/>
      <c r="B214" s="648"/>
      <c r="C214" s="648"/>
      <c r="D214" s="648"/>
      <c r="E214" s="648"/>
      <c r="F214" s="648"/>
      <c r="G214" s="647"/>
      <c r="H214" s="647"/>
      <c r="I214" s="647"/>
      <c r="J214" s="647"/>
      <c r="K214" s="647"/>
      <c r="L214" s="647"/>
      <c r="M214" s="648"/>
      <c r="N214" s="648"/>
      <c r="O214" s="648"/>
      <c r="P214" s="648"/>
      <c r="Q214" s="648"/>
      <c r="R214" s="647"/>
      <c r="S214" s="647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647"/>
      <c r="AL214" s="647"/>
      <c r="AM214" s="647"/>
    </row>
    <row r="215" spans="1:39">
      <c r="A215" s="648"/>
      <c r="B215" s="648"/>
      <c r="C215" s="648"/>
      <c r="D215" s="648"/>
      <c r="E215" s="648"/>
      <c r="F215" s="648"/>
      <c r="G215" s="647"/>
      <c r="H215" s="647"/>
      <c r="I215" s="647"/>
      <c r="J215" s="713"/>
      <c r="K215" s="713"/>
      <c r="L215" s="713"/>
      <c r="M215" s="648"/>
      <c r="N215" s="648"/>
      <c r="O215" s="648"/>
      <c r="P215" s="648"/>
      <c r="Q215" s="648"/>
      <c r="R215" s="647"/>
      <c r="S215" s="647"/>
      <c r="T215" s="647"/>
      <c r="U215" s="647"/>
      <c r="V215" s="647"/>
      <c r="W215" s="647"/>
      <c r="X215" s="647"/>
      <c r="Y215" s="647"/>
      <c r="Z215" s="647"/>
      <c r="AA215" s="647"/>
      <c r="AB215" s="647"/>
      <c r="AC215" s="647"/>
      <c r="AD215" s="647"/>
      <c r="AE215" s="647"/>
      <c r="AF215" s="647"/>
      <c r="AG215" s="647"/>
      <c r="AH215" s="647"/>
      <c r="AI215" s="647"/>
      <c r="AJ215" s="647"/>
      <c r="AK215" s="647"/>
      <c r="AL215" s="647"/>
      <c r="AM215" s="647"/>
    </row>
    <row r="216" spans="1:39" ht="14.1" customHeight="1">
      <c r="A216" s="684" t="str">
        <f>VLOOKUP(AI211,'Contorizare in SDI'!$E:$I,5,FALSE)</f>
        <v>UGEUEDN19210002759</v>
      </c>
      <c r="B216" s="685"/>
      <c r="C216" s="685"/>
      <c r="D216" s="685"/>
      <c r="E216" s="685"/>
      <c r="F216" s="686"/>
      <c r="G216" s="648" t="s">
        <v>730</v>
      </c>
      <c r="H216" s="648"/>
      <c r="I216" s="673"/>
      <c r="J216" s="655">
        <f>'Date masura OD'!$AK$5</f>
        <v>45748</v>
      </c>
      <c r="K216" s="656"/>
      <c r="L216" s="657"/>
      <c r="M216" s="720" t="s">
        <v>446</v>
      </c>
      <c r="N216" s="648"/>
      <c r="O216" s="648">
        <f>VLOOKUP(A225,Regularizare!$D:$AX,2,FALSE)</f>
        <v>50</v>
      </c>
      <c r="P216" s="648"/>
      <c r="Q216" s="648"/>
      <c r="R216" s="647" t="str">
        <f>VLOOKUP(A216,Regularizare!$D:$YN,3,FALSE)&amp;" ("&amp;VLOOKUP(A216,Regularizare!$D:$Y,11,FALSE)&amp;")"</f>
        <v>44 (citit)</v>
      </c>
      <c r="S216" s="647"/>
      <c r="T216" s="647"/>
      <c r="U216" s="647" t="str">
        <f>VLOOKUP(A216,Regularizare!$D:$U,4,FALSE)&amp;" ("&amp;VLOOKUP(A216,Regularizare!$D:$U,12,FALSE)&amp;")"</f>
        <v>44 (estimat)</v>
      </c>
      <c r="V216" s="647"/>
      <c r="W216" s="647"/>
      <c r="X216" s="647" t="str">
        <f>VLOOKUP(A216,Regularizare!$D:$Y,19,FALSE)&amp;" ("&amp;VLOOKUP(A216,Regularizare!$D:$U,12,FALSE)&amp;")"</f>
        <v>0 (estimat)</v>
      </c>
      <c r="Y216" s="647"/>
      <c r="Z216" s="647"/>
      <c r="AA216" s="647">
        <f>(-1)*VLOOKUP(A216,Regularizare!$D:$Y,19,FALSE)</f>
        <v>0</v>
      </c>
      <c r="AB216" s="647"/>
      <c r="AC216" s="647"/>
      <c r="AD216" s="647" t="s">
        <v>69</v>
      </c>
      <c r="AE216" s="647"/>
      <c r="AF216" s="647">
        <f>AA216</f>
        <v>0</v>
      </c>
      <c r="AG216" s="647"/>
      <c r="AH216" s="647"/>
      <c r="AI216" s="647" t="s">
        <v>69</v>
      </c>
      <c r="AJ216" s="647"/>
      <c r="AK216" s="647" t="s">
        <v>69</v>
      </c>
      <c r="AL216" s="647"/>
      <c r="AM216" s="647"/>
    </row>
    <row r="217" spans="1:39" ht="8.4499999999999993" customHeight="1">
      <c r="A217" s="727"/>
      <c r="B217" s="729"/>
      <c r="C217" s="729"/>
      <c r="D217" s="729"/>
      <c r="E217" s="729"/>
      <c r="F217" s="728"/>
      <c r="G217" s="648"/>
      <c r="H217" s="648"/>
      <c r="I217" s="673"/>
      <c r="J217" s="717" t="s">
        <v>69</v>
      </c>
      <c r="K217" s="718"/>
      <c r="L217" s="719"/>
      <c r="M217" s="720"/>
      <c r="N217" s="648"/>
      <c r="O217" s="648"/>
      <c r="P217" s="648"/>
      <c r="Q217" s="648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</row>
    <row r="218" spans="1:39" ht="14.1" customHeight="1">
      <c r="A218" s="687"/>
      <c r="B218" s="688"/>
      <c r="C218" s="688"/>
      <c r="D218" s="688"/>
      <c r="E218" s="688"/>
      <c r="F218" s="689"/>
      <c r="G218" s="648"/>
      <c r="H218" s="648"/>
      <c r="I218" s="673"/>
      <c r="J218" s="714">
        <f>'Date masura OD'!$AL$5</f>
        <v>45777</v>
      </c>
      <c r="K218" s="715"/>
      <c r="L218" s="716"/>
      <c r="M218" s="720"/>
      <c r="N218" s="648"/>
      <c r="O218" s="648"/>
      <c r="P218" s="648"/>
      <c r="Q218" s="648"/>
      <c r="R218" s="647"/>
      <c r="S218" s="647"/>
      <c r="T218" s="647"/>
      <c r="U218" s="647"/>
      <c r="V218" s="647"/>
      <c r="W218" s="647"/>
      <c r="X218" s="647"/>
      <c r="Y218" s="647"/>
      <c r="Z218" s="647"/>
      <c r="AA218" s="647"/>
      <c r="AB218" s="647"/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</row>
    <row r="219" spans="1:39" ht="14.1" customHeight="1">
      <c r="A219" s="684" t="str">
        <f>A216</f>
        <v>UGEUEDN19210002759</v>
      </c>
      <c r="B219" s="685"/>
      <c r="C219" s="685"/>
      <c r="D219" s="685"/>
      <c r="E219" s="685"/>
      <c r="F219" s="686"/>
      <c r="G219" s="648" t="s">
        <v>696</v>
      </c>
      <c r="H219" s="648"/>
      <c r="I219" s="648"/>
      <c r="J219" s="655">
        <f t="shared" ref="J219:J224" si="8">J216</f>
        <v>45748</v>
      </c>
      <c r="K219" s="656"/>
      <c r="L219" s="657"/>
      <c r="M219" s="648" t="s">
        <v>720</v>
      </c>
      <c r="N219" s="648"/>
      <c r="O219" s="648">
        <f>VLOOKUP(A228,Regularizare!$D:$AX,2,FALSE)</f>
        <v>50</v>
      </c>
      <c r="P219" s="648"/>
      <c r="Q219" s="648"/>
      <c r="R219" s="648" t="str">
        <f>VLOOKUP(A219,Regularizare!$D:$U,7,FALSE)&amp;" ("&amp;VLOOKUP(A219,Regularizare!$D:$U,15,FALSE)&amp;")"</f>
        <v>7 (citit)</v>
      </c>
      <c r="S219" s="648"/>
      <c r="T219" s="648"/>
      <c r="U219" s="647" t="str">
        <f>VLOOKUP(A219,Regularizare!$D:$U,8,FALSE)&amp;" ("&amp;VLOOKUP(A219,Regularizare!$D:$U,16,FALSE)&amp;")"</f>
        <v>7 (estimat)</v>
      </c>
      <c r="V219" s="647"/>
      <c r="W219" s="647"/>
      <c r="X219" s="647" t="str">
        <f>_xlfn.CONCAT(VLOOKUP(A219,Regularizare!$D:$U,8,FALSE)-VLOOKUP(A219,Regularizare!$D:$U,7,FALSE)," (",VLOOKUP(A219,Regularizare!$D:$U,16,FALSE),")")</f>
        <v>0 (estimat)</v>
      </c>
      <c r="Y219" s="647"/>
      <c r="Z219" s="647"/>
      <c r="AA219" s="647">
        <f>IF(VLOOKUP(A219,Regularizare!$D:$Y,21,FALSE)=0,VLOOKUP(A219,Regularizare!$D:$Y,21,FALSE),(-1)*VLOOKUP(A219,Regularizare!$D:$Y,21,FALSE))</f>
        <v>0</v>
      </c>
      <c r="AB219" s="647"/>
      <c r="AC219" s="647"/>
      <c r="AD219" s="647" t="s">
        <v>69</v>
      </c>
      <c r="AE219" s="647"/>
      <c r="AF219" s="647">
        <f>AA219</f>
        <v>0</v>
      </c>
      <c r="AG219" s="647"/>
      <c r="AH219" s="647"/>
      <c r="AI219" s="647" t="str">
        <f>AI216</f>
        <v>-</v>
      </c>
      <c r="AJ219" s="647"/>
      <c r="AK219" s="647" t="str">
        <f>AK216</f>
        <v>-</v>
      </c>
      <c r="AL219" s="647"/>
      <c r="AM219" s="647"/>
    </row>
    <row r="220" spans="1:39" ht="8.4499999999999993" customHeight="1">
      <c r="A220" s="727"/>
      <c r="B220" s="729"/>
      <c r="C220" s="729"/>
      <c r="D220" s="729"/>
      <c r="E220" s="729"/>
      <c r="F220" s="728"/>
      <c r="G220" s="648"/>
      <c r="H220" s="648"/>
      <c r="I220" s="648"/>
      <c r="J220" s="717" t="str">
        <f t="shared" si="8"/>
        <v>-</v>
      </c>
      <c r="K220" s="718"/>
      <c r="L220" s="719"/>
      <c r="M220" s="648"/>
      <c r="N220" s="648"/>
      <c r="O220" s="648"/>
      <c r="P220" s="648"/>
      <c r="Q220" s="648"/>
      <c r="R220" s="648"/>
      <c r="S220" s="648"/>
      <c r="T220" s="648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</row>
    <row r="221" spans="1:39" ht="14.1" customHeight="1">
      <c r="A221" s="687"/>
      <c r="B221" s="688"/>
      <c r="C221" s="688"/>
      <c r="D221" s="688"/>
      <c r="E221" s="688"/>
      <c r="F221" s="689"/>
      <c r="G221" s="648"/>
      <c r="H221" s="648"/>
      <c r="I221" s="648"/>
      <c r="J221" s="714">
        <f t="shared" si="8"/>
        <v>45777</v>
      </c>
      <c r="K221" s="715"/>
      <c r="L221" s="716"/>
      <c r="M221" s="648"/>
      <c r="N221" s="648"/>
      <c r="O221" s="648"/>
      <c r="P221" s="648"/>
      <c r="Q221" s="648"/>
      <c r="R221" s="648"/>
      <c r="S221" s="648"/>
      <c r="T221" s="648"/>
      <c r="U221" s="647"/>
      <c r="V221" s="647"/>
      <c r="W221" s="647"/>
      <c r="X221" s="647"/>
      <c r="Y221" s="647"/>
      <c r="Z221" s="647"/>
      <c r="AA221" s="647"/>
      <c r="AB221" s="647"/>
      <c r="AC221" s="647"/>
      <c r="AD221" s="647"/>
      <c r="AE221" s="647"/>
      <c r="AF221" s="647"/>
      <c r="AG221" s="647"/>
      <c r="AH221" s="647"/>
      <c r="AI221" s="647"/>
      <c r="AJ221" s="647"/>
      <c r="AK221" s="647"/>
      <c r="AL221" s="647"/>
      <c r="AM221" s="647"/>
    </row>
    <row r="222" spans="1:39" ht="14.1" customHeight="1">
      <c r="A222" s="684" t="str">
        <f>A216</f>
        <v>UGEUEDN19210002759</v>
      </c>
      <c r="B222" s="685"/>
      <c r="C222" s="685"/>
      <c r="D222" s="685"/>
      <c r="E222" s="685"/>
      <c r="F222" s="686"/>
      <c r="G222" s="648" t="s">
        <v>731</v>
      </c>
      <c r="H222" s="648"/>
      <c r="I222" s="648"/>
      <c r="J222" s="655">
        <f t="shared" si="8"/>
        <v>45748</v>
      </c>
      <c r="K222" s="656"/>
      <c r="L222" s="657"/>
      <c r="M222" s="648" t="s">
        <v>720</v>
      </c>
      <c r="N222" s="648"/>
      <c r="O222" s="648">
        <f>VLOOKUP(A231,Regularizare!$D:$AX,2,FALSE)</f>
        <v>50</v>
      </c>
      <c r="P222" s="648"/>
      <c r="Q222" s="648"/>
      <c r="R222" s="647" t="str">
        <f>VLOOKUP(A222,Regularizare!$D:$U,9,FALSE)&amp;" ("&amp;VLOOKUP(A222,Regularizare!$D:$U,17,FALSE)&amp;")"</f>
        <v>0 (citit)</v>
      </c>
      <c r="S222" s="647"/>
      <c r="T222" s="647"/>
      <c r="U222" s="647" t="str">
        <f>VLOOKUP(A222,Regularizare!$D:$U,10,FALSE)&amp;" ("&amp;VLOOKUP(A222,Regularizare!$D:$U,18,FALSE)&amp;")"</f>
        <v>0 (estimat)</v>
      </c>
      <c r="V222" s="647"/>
      <c r="W222" s="647"/>
      <c r="X222" s="647" t="str">
        <f>_xlfn.CONCAT(VLOOKUP(A222,Regularizare!$D:$U,10,FALSE)-VLOOKUP(A222,Regularizare!$D:$U,9,FALSE)," (",VLOOKUP(A222,Regularizare!$D:$U,18,FALSE),")")</f>
        <v>0 (estimat)</v>
      </c>
      <c r="Y222" s="647"/>
      <c r="Z222" s="647"/>
      <c r="AA222" s="647">
        <f>IF(VLOOKUP(A222,Regularizare!$D:$Y,22,FALSE)=0,VLOOKUP(A222,Regularizare!$D:$Y,22,FALSE),(-1)*VLOOKUP(A222,Regularizare!$D:$Y,22,FALSE))</f>
        <v>0</v>
      </c>
      <c r="AB222" s="647"/>
      <c r="AC222" s="647"/>
      <c r="AD222" s="647" t="s">
        <v>69</v>
      </c>
      <c r="AE222" s="647"/>
      <c r="AF222" s="647">
        <f>AA222</f>
        <v>0</v>
      </c>
      <c r="AG222" s="647"/>
      <c r="AH222" s="647"/>
      <c r="AI222" s="647" t="str">
        <f>AI219</f>
        <v>-</v>
      </c>
      <c r="AJ222" s="647"/>
      <c r="AK222" s="647" t="str">
        <f>AK219</f>
        <v>-</v>
      </c>
      <c r="AL222" s="647"/>
      <c r="AM222" s="647"/>
    </row>
    <row r="223" spans="1:39" ht="8.4499999999999993" customHeight="1">
      <c r="A223" s="727"/>
      <c r="B223" s="729"/>
      <c r="C223" s="729"/>
      <c r="D223" s="729"/>
      <c r="E223" s="729"/>
      <c r="F223" s="728"/>
      <c r="G223" s="648"/>
      <c r="H223" s="648"/>
      <c r="I223" s="648"/>
      <c r="J223" s="717" t="str">
        <f t="shared" si="8"/>
        <v>-</v>
      </c>
      <c r="K223" s="718"/>
      <c r="L223" s="719"/>
      <c r="M223" s="648"/>
      <c r="N223" s="648"/>
      <c r="O223" s="648"/>
      <c r="P223" s="648"/>
      <c r="Q223" s="648"/>
      <c r="R223" s="647"/>
      <c r="S223" s="647"/>
      <c r="T223" s="647"/>
      <c r="U223" s="647"/>
      <c r="V223" s="647"/>
      <c r="W223" s="647"/>
      <c r="X223" s="647"/>
      <c r="Y223" s="647"/>
      <c r="Z223" s="647"/>
      <c r="AA223" s="647"/>
      <c r="AB223" s="647"/>
      <c r="AC223" s="647"/>
      <c r="AD223" s="647"/>
      <c r="AE223" s="647"/>
      <c r="AF223" s="647"/>
      <c r="AG223" s="647"/>
      <c r="AH223" s="647"/>
      <c r="AI223" s="647"/>
      <c r="AJ223" s="647"/>
      <c r="AK223" s="647"/>
      <c r="AL223" s="647"/>
      <c r="AM223" s="647"/>
    </row>
    <row r="224" spans="1:39" ht="14.1" customHeight="1">
      <c r="A224" s="687"/>
      <c r="B224" s="688"/>
      <c r="C224" s="688"/>
      <c r="D224" s="688"/>
      <c r="E224" s="688"/>
      <c r="F224" s="689"/>
      <c r="G224" s="648"/>
      <c r="H224" s="648"/>
      <c r="I224" s="648"/>
      <c r="J224" s="714">
        <f t="shared" si="8"/>
        <v>45777</v>
      </c>
      <c r="K224" s="715"/>
      <c r="L224" s="716"/>
      <c r="M224" s="648"/>
      <c r="N224" s="648"/>
      <c r="O224" s="648"/>
      <c r="P224" s="648"/>
      <c r="Q224" s="648"/>
      <c r="R224" s="647"/>
      <c r="S224" s="647"/>
      <c r="T224" s="647"/>
      <c r="U224" s="647"/>
      <c r="V224" s="647"/>
      <c r="W224" s="647"/>
      <c r="X224" s="647"/>
      <c r="Y224" s="647"/>
      <c r="Z224" s="647"/>
      <c r="AA224" s="647"/>
      <c r="AB224" s="647"/>
      <c r="AC224" s="647"/>
      <c r="AD224" s="647"/>
      <c r="AE224" s="647"/>
      <c r="AF224" s="647"/>
      <c r="AG224" s="647"/>
      <c r="AH224" s="647"/>
      <c r="AI224" s="647"/>
      <c r="AJ224" s="647"/>
      <c r="AK224" s="647"/>
      <c r="AL224" s="647"/>
      <c r="AM224" s="647"/>
    </row>
    <row r="225" spans="1:39" ht="14.1" customHeight="1">
      <c r="A225" s="684" t="str">
        <f>A216</f>
        <v>UGEUEDN19210002759</v>
      </c>
      <c r="B225" s="685"/>
      <c r="C225" s="685"/>
      <c r="D225" s="685"/>
      <c r="E225" s="685"/>
      <c r="F225" s="686"/>
      <c r="G225" s="648" t="s">
        <v>730</v>
      </c>
      <c r="H225" s="648"/>
      <c r="I225" s="673"/>
      <c r="J225" s="655">
        <f>'Date masura OD'!$AK$5</f>
        <v>45748</v>
      </c>
      <c r="K225" s="656"/>
      <c r="L225" s="657"/>
      <c r="M225" s="720" t="s">
        <v>446</v>
      </c>
      <c r="N225" s="648"/>
      <c r="O225" s="648">
        <f>VLOOKUP(A225,Regularizare!$D:$AX,2,FALSE)</f>
        <v>50</v>
      </c>
      <c r="P225" s="648"/>
      <c r="Q225" s="648"/>
      <c r="R225" s="647" t="str">
        <f>VLOOKUP(A225,Regularizare!$D:$AX,23,FALSE)&amp;" ("&amp;VLOOKUP(A225,Regularizare!$D:$AX,24,FALSE)&amp;")"</f>
        <v>44 (citit)</v>
      </c>
      <c r="S225" s="647"/>
      <c r="T225" s="647"/>
      <c r="U225" s="647" t="str">
        <f>VLOOKUP(A225,Regularizare!$D:$AX,25,FALSE)&amp;" ("&amp;VLOOKUP(A225,Regularizare!$D:$AX,26,FALSE)&amp;")"</f>
        <v>50 (citit)</v>
      </c>
      <c r="V225" s="647"/>
      <c r="W225" s="647"/>
      <c r="X225" s="647" t="str">
        <f>VLOOKUP(A225,Regularizare!$D:$AX,37,FALSE)&amp;" ("&amp;VLOOKUP(A225,Regularizare!$D:$AX,26,FALSE)&amp;")"</f>
        <v>300 (citit)</v>
      </c>
      <c r="Y225" s="647"/>
      <c r="Z225" s="647"/>
      <c r="AA225" s="647">
        <f>VLOOKUP(A225,Regularizare!$D:$AX,37,FALSE)</f>
        <v>300</v>
      </c>
      <c r="AB225" s="647"/>
      <c r="AC225" s="647"/>
      <c r="AD225" s="647" t="s">
        <v>69</v>
      </c>
      <c r="AE225" s="647"/>
      <c r="AF225" s="647">
        <f>AA225</f>
        <v>300</v>
      </c>
      <c r="AG225" s="647"/>
      <c r="AH225" s="647"/>
      <c r="AI225" s="647" t="str">
        <f>AI222</f>
        <v>-</v>
      </c>
      <c r="AJ225" s="647"/>
      <c r="AK225" s="647" t="str">
        <f>AK222</f>
        <v>-</v>
      </c>
      <c r="AL225" s="647"/>
      <c r="AM225" s="647"/>
    </row>
    <row r="226" spans="1:39" ht="8.4499999999999993" customHeight="1">
      <c r="A226" s="727"/>
      <c r="B226" s="729"/>
      <c r="C226" s="729"/>
      <c r="D226" s="729"/>
      <c r="E226" s="729"/>
      <c r="F226" s="728"/>
      <c r="G226" s="648"/>
      <c r="H226" s="648"/>
      <c r="I226" s="673"/>
      <c r="J226" s="717" t="s">
        <v>69</v>
      </c>
      <c r="K226" s="718"/>
      <c r="L226" s="719"/>
      <c r="M226" s="720"/>
      <c r="N226" s="648"/>
      <c r="O226" s="648"/>
      <c r="P226" s="648"/>
      <c r="Q226" s="648"/>
      <c r="R226" s="647"/>
      <c r="S226" s="647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647"/>
      <c r="AL226" s="647"/>
      <c r="AM226" s="647"/>
    </row>
    <row r="227" spans="1:39" ht="14.1" customHeight="1">
      <c r="A227" s="687"/>
      <c r="B227" s="688"/>
      <c r="C227" s="688"/>
      <c r="D227" s="688"/>
      <c r="E227" s="688"/>
      <c r="F227" s="689"/>
      <c r="G227" s="648"/>
      <c r="H227" s="648"/>
      <c r="I227" s="673"/>
      <c r="J227" s="714">
        <f>'Date masura OD'!$AL$5</f>
        <v>45777</v>
      </c>
      <c r="K227" s="715"/>
      <c r="L227" s="716"/>
      <c r="M227" s="720"/>
      <c r="N227" s="648"/>
      <c r="O227" s="648"/>
      <c r="P227" s="648"/>
      <c r="Q227" s="648"/>
      <c r="R227" s="647"/>
      <c r="S227" s="647"/>
      <c r="T227" s="647"/>
      <c r="U227" s="647"/>
      <c r="V227" s="647"/>
      <c r="W227" s="647"/>
      <c r="X227" s="647"/>
      <c r="Y227" s="647"/>
      <c r="Z227" s="647"/>
      <c r="AA227" s="647"/>
      <c r="AB227" s="647"/>
      <c r="AC227" s="647"/>
      <c r="AD227" s="647"/>
      <c r="AE227" s="647"/>
      <c r="AF227" s="647"/>
      <c r="AG227" s="647"/>
      <c r="AH227" s="647"/>
      <c r="AI227" s="647"/>
      <c r="AJ227" s="647"/>
      <c r="AK227" s="647"/>
      <c r="AL227" s="647"/>
      <c r="AM227" s="647"/>
    </row>
    <row r="228" spans="1:39" ht="14.1" customHeight="1">
      <c r="A228" s="684" t="str">
        <f>A216</f>
        <v>UGEUEDN19210002759</v>
      </c>
      <c r="B228" s="685"/>
      <c r="C228" s="685"/>
      <c r="D228" s="685"/>
      <c r="E228" s="685"/>
      <c r="F228" s="686"/>
      <c r="G228" s="648" t="s">
        <v>696</v>
      </c>
      <c r="H228" s="648"/>
      <c r="I228" s="648"/>
      <c r="J228" s="655">
        <f t="shared" ref="J228:J233" si="9">J225</f>
        <v>45748</v>
      </c>
      <c r="K228" s="656"/>
      <c r="L228" s="657"/>
      <c r="M228" s="648" t="s">
        <v>720</v>
      </c>
      <c r="N228" s="648"/>
      <c r="O228" s="648">
        <f>VLOOKUP(A228,Regularizare!$D:$AX,2,FALSE)</f>
        <v>50</v>
      </c>
      <c r="P228" s="648"/>
      <c r="Q228" s="648"/>
      <c r="R228" s="647" t="str">
        <f>VLOOKUP(A228,Regularizare!$D:$AX,29,FALSE)&amp;" ("&amp;VLOOKUP(A228,Regularizare!$D:$AX,30,FALSE)&amp;")"</f>
        <v>7 (citit)</v>
      </c>
      <c r="S228" s="647"/>
      <c r="T228" s="647"/>
      <c r="U228" s="647" t="str">
        <f>VLOOKUP(A228,Regularizare!$D:$AX,31,FALSE)&amp;" ("&amp;VLOOKUP(A228,Regularizare!$D:$AX,32,FALSE)&amp;")"</f>
        <v>7 (citit)</v>
      </c>
      <c r="V228" s="647"/>
      <c r="W228" s="647"/>
      <c r="X228" s="647" t="str">
        <f>VLOOKUP(A228,Regularizare!$D:$AX,39,FALSE)&amp;" ("&amp;VLOOKUP(A228,Regularizare!$D:$AX,32,FALSE)&amp;")"</f>
        <v>0 (citit)</v>
      </c>
      <c r="Y228" s="647"/>
      <c r="Z228" s="647"/>
      <c r="AA228" s="647">
        <f>VLOOKUP(A228,Regularizare!$D:$AX,44,FALSE)+VLOOKUP(A228,Regularizare!$D:$AX,45,FALSE)</f>
        <v>0</v>
      </c>
      <c r="AB228" s="647"/>
      <c r="AC228" s="647"/>
      <c r="AD228" s="647" t="s">
        <v>69</v>
      </c>
      <c r="AE228" s="647"/>
      <c r="AF228" s="647">
        <f>AA228</f>
        <v>0</v>
      </c>
      <c r="AG228" s="647"/>
      <c r="AH228" s="647"/>
      <c r="AI228" s="647" t="str">
        <f>AI225</f>
        <v>-</v>
      </c>
      <c r="AJ228" s="647"/>
      <c r="AK228" s="647" t="str">
        <f>AK225</f>
        <v>-</v>
      </c>
      <c r="AL228" s="647"/>
      <c r="AM228" s="647"/>
    </row>
    <row r="229" spans="1:39" ht="8.4499999999999993" customHeight="1">
      <c r="A229" s="727"/>
      <c r="B229" s="729"/>
      <c r="C229" s="729"/>
      <c r="D229" s="729"/>
      <c r="E229" s="729"/>
      <c r="F229" s="728"/>
      <c r="G229" s="648"/>
      <c r="H229" s="648"/>
      <c r="I229" s="648"/>
      <c r="J229" s="717" t="str">
        <f t="shared" si="9"/>
        <v>-</v>
      </c>
      <c r="K229" s="718"/>
      <c r="L229" s="719"/>
      <c r="M229" s="648"/>
      <c r="N229" s="648"/>
      <c r="O229" s="648"/>
      <c r="P229" s="648"/>
      <c r="Q229" s="648"/>
      <c r="R229" s="647"/>
      <c r="S229" s="647"/>
      <c r="T229" s="647"/>
      <c r="U229" s="647"/>
      <c r="V229" s="647"/>
      <c r="W229" s="647"/>
      <c r="X229" s="647"/>
      <c r="Y229" s="647"/>
      <c r="Z229" s="647"/>
      <c r="AA229" s="647"/>
      <c r="AB229" s="647"/>
      <c r="AC229" s="647"/>
      <c r="AD229" s="647"/>
      <c r="AE229" s="647"/>
      <c r="AF229" s="647"/>
      <c r="AG229" s="647"/>
      <c r="AH229" s="647"/>
      <c r="AI229" s="647"/>
      <c r="AJ229" s="647"/>
      <c r="AK229" s="647"/>
      <c r="AL229" s="647"/>
      <c r="AM229" s="647"/>
    </row>
    <row r="230" spans="1:39" ht="14.1" customHeight="1">
      <c r="A230" s="687"/>
      <c r="B230" s="688"/>
      <c r="C230" s="688"/>
      <c r="D230" s="688"/>
      <c r="E230" s="688"/>
      <c r="F230" s="689"/>
      <c r="G230" s="648"/>
      <c r="H230" s="648"/>
      <c r="I230" s="648"/>
      <c r="J230" s="714">
        <f t="shared" si="9"/>
        <v>45777</v>
      </c>
      <c r="K230" s="715"/>
      <c r="L230" s="716"/>
      <c r="M230" s="648"/>
      <c r="N230" s="648"/>
      <c r="O230" s="648"/>
      <c r="P230" s="648"/>
      <c r="Q230" s="648"/>
      <c r="R230" s="647"/>
      <c r="S230" s="647"/>
      <c r="T230" s="647"/>
      <c r="U230" s="647"/>
      <c r="V230" s="647"/>
      <c r="W230" s="647"/>
      <c r="X230" s="647"/>
      <c r="Y230" s="647"/>
      <c r="Z230" s="647"/>
      <c r="AA230" s="647"/>
      <c r="AB230" s="647"/>
      <c r="AC230" s="647"/>
      <c r="AD230" s="647"/>
      <c r="AE230" s="647"/>
      <c r="AF230" s="647"/>
      <c r="AG230" s="647"/>
      <c r="AH230" s="647"/>
      <c r="AI230" s="647"/>
      <c r="AJ230" s="647"/>
      <c r="AK230" s="647"/>
      <c r="AL230" s="647"/>
      <c r="AM230" s="647"/>
    </row>
    <row r="231" spans="1:39" ht="14.1" customHeight="1">
      <c r="A231" s="684" t="str">
        <f>A216</f>
        <v>UGEUEDN19210002759</v>
      </c>
      <c r="B231" s="685"/>
      <c r="C231" s="685"/>
      <c r="D231" s="685"/>
      <c r="E231" s="685"/>
      <c r="F231" s="686"/>
      <c r="G231" s="648" t="s">
        <v>731</v>
      </c>
      <c r="H231" s="648"/>
      <c r="I231" s="648"/>
      <c r="J231" s="655">
        <f t="shared" si="9"/>
        <v>45748</v>
      </c>
      <c r="K231" s="656"/>
      <c r="L231" s="657"/>
      <c r="M231" s="648" t="s">
        <v>720</v>
      </c>
      <c r="N231" s="648"/>
      <c r="O231" s="648">
        <f>VLOOKUP(A231,Regularizare!$D:$AX,2,FALSE)</f>
        <v>50</v>
      </c>
      <c r="P231" s="648"/>
      <c r="Q231" s="648"/>
      <c r="R231" s="647" t="str">
        <f>VLOOKUP(A231,Regularizare!$D:$AX,33,FALSE)&amp;" ("&amp;VLOOKUP(A231,Regularizare!$D:$AX,34,FALSE)&amp;")"</f>
        <v>0 (citit)</v>
      </c>
      <c r="S231" s="647"/>
      <c r="T231" s="647"/>
      <c r="U231" s="647" t="str">
        <f>VLOOKUP(A231,Regularizare!$D:$AX,35,FALSE)&amp;" ("&amp;VLOOKUP(A231,Regularizare!$D:$AX,36,FALSE)&amp;")"</f>
        <v>0 (citit)</v>
      </c>
      <c r="V231" s="647"/>
      <c r="W231" s="647"/>
      <c r="X231" s="647" t="str">
        <f>VLOOKUP(A231,Regularizare!$D:$AX,40,FALSE)&amp;" ("&amp;VLOOKUP(A231,Regularizare!$D:$AX,36,FALSE)&amp;")"</f>
        <v>0 (citit)</v>
      </c>
      <c r="Y231" s="647"/>
      <c r="Z231" s="647"/>
      <c r="AA231" s="647">
        <f>VLOOKUP(A231,Regularizare!$D:$AX,46,FALSE)+VLOOKUP(A231,Regularizare!$D:$AX,47,FALSE)</f>
        <v>0</v>
      </c>
      <c r="AB231" s="647"/>
      <c r="AC231" s="647"/>
      <c r="AD231" s="647" t="s">
        <v>69</v>
      </c>
      <c r="AE231" s="647"/>
      <c r="AF231" s="647">
        <f>AA231</f>
        <v>0</v>
      </c>
      <c r="AG231" s="647"/>
      <c r="AH231" s="647"/>
      <c r="AI231" s="647" t="str">
        <f>AI228</f>
        <v>-</v>
      </c>
      <c r="AJ231" s="647"/>
      <c r="AK231" s="647" t="str">
        <f>AK228</f>
        <v>-</v>
      </c>
      <c r="AL231" s="647"/>
      <c r="AM231" s="647"/>
    </row>
    <row r="232" spans="1:39" ht="8.4499999999999993" customHeight="1">
      <c r="A232" s="727"/>
      <c r="B232" s="729"/>
      <c r="C232" s="729"/>
      <c r="D232" s="729"/>
      <c r="E232" s="729"/>
      <c r="F232" s="728"/>
      <c r="G232" s="648"/>
      <c r="H232" s="648"/>
      <c r="I232" s="648"/>
      <c r="J232" s="717" t="str">
        <f t="shared" si="9"/>
        <v>-</v>
      </c>
      <c r="K232" s="718"/>
      <c r="L232" s="719"/>
      <c r="M232" s="648"/>
      <c r="N232" s="648"/>
      <c r="O232" s="648"/>
      <c r="P232" s="648"/>
      <c r="Q232" s="648"/>
      <c r="R232" s="647"/>
      <c r="S232" s="647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647"/>
      <c r="AL232" s="647"/>
      <c r="AM232" s="647"/>
    </row>
    <row r="233" spans="1:39" ht="14.1" customHeight="1">
      <c r="A233" s="687"/>
      <c r="B233" s="688"/>
      <c r="C233" s="688"/>
      <c r="D233" s="688"/>
      <c r="E233" s="688"/>
      <c r="F233" s="689"/>
      <c r="G233" s="648"/>
      <c r="H233" s="648"/>
      <c r="I233" s="648"/>
      <c r="J233" s="714">
        <f t="shared" si="9"/>
        <v>45777</v>
      </c>
      <c r="K233" s="715"/>
      <c r="L233" s="716"/>
      <c r="M233" s="648"/>
      <c r="N233" s="648"/>
      <c r="O233" s="648"/>
      <c r="P233" s="648"/>
      <c r="Q233" s="648"/>
      <c r="R233" s="647"/>
      <c r="S233" s="647"/>
      <c r="T233" s="647"/>
      <c r="U233" s="647"/>
      <c r="V233" s="647"/>
      <c r="W233" s="647"/>
      <c r="X233" s="647"/>
      <c r="Y233" s="647"/>
      <c r="Z233" s="647"/>
      <c r="AA233" s="647"/>
      <c r="AB233" s="647"/>
      <c r="AC233" s="647"/>
      <c r="AD233" s="647"/>
      <c r="AE233" s="647"/>
      <c r="AF233" s="647"/>
      <c r="AG233" s="647"/>
      <c r="AH233" s="647"/>
      <c r="AI233" s="647"/>
      <c r="AJ233" s="647"/>
      <c r="AK233" s="647"/>
      <c r="AL233" s="647"/>
      <c r="AM233" s="647"/>
    </row>
    <row r="234" spans="1:39" ht="14.1" customHeight="1">
      <c r="A234" s="684" t="str">
        <f>A216</f>
        <v>UGEUEDN19210002759</v>
      </c>
      <c r="B234" s="685"/>
      <c r="C234" s="685"/>
      <c r="D234" s="685"/>
      <c r="E234" s="685"/>
      <c r="F234" s="686"/>
      <c r="G234" s="648" t="s">
        <v>730</v>
      </c>
      <c r="H234" s="648"/>
      <c r="I234" s="673"/>
      <c r="J234" s="655">
        <f>'Date masura OD'!$I$5</f>
        <v>45778</v>
      </c>
      <c r="K234" s="656"/>
      <c r="L234" s="657"/>
      <c r="M234" s="720" t="s">
        <v>446</v>
      </c>
      <c r="N234" s="648"/>
      <c r="O234" s="648">
        <f>VLOOKUP(A234,Regularizare!$D:$AX,2,FALSE)</f>
        <v>50</v>
      </c>
      <c r="P234" s="648"/>
      <c r="Q234" s="648"/>
      <c r="R234" s="647" t="str">
        <f>U225</f>
        <v>50 (citit)</v>
      </c>
      <c r="S234" s="647"/>
      <c r="T234" s="647"/>
      <c r="U234" s="647" t="str">
        <f>VLOOKUP(A234,'Incrementare indexe'!$D:$M,4,FALSE)&amp;" (estimat)"</f>
        <v>50 (estimat)</v>
      </c>
      <c r="V234" s="647"/>
      <c r="W234" s="647"/>
      <c r="X234" s="647" t="str">
        <f>VLOOKUP(A234,'Incrementare indexe'!$D:$Q,11,FALSE)&amp;" (estimat)"</f>
        <v>0 (estimat)</v>
      </c>
      <c r="Y234" s="647"/>
      <c r="Z234" s="647"/>
      <c r="AA234" s="647" t="s">
        <v>69</v>
      </c>
      <c r="AB234" s="647"/>
      <c r="AC234" s="647"/>
      <c r="AD234" s="647" t="s">
        <v>69</v>
      </c>
      <c r="AE234" s="647"/>
      <c r="AF234" s="647">
        <f>VLOOKUP(A234,'Incrementare indexe'!$D:$Q,11,FALSE)</f>
        <v>0</v>
      </c>
      <c r="AG234" s="647"/>
      <c r="AH234" s="647"/>
      <c r="AI234" s="647">
        <f>J236-J234+1</f>
        <v>31</v>
      </c>
      <c r="AJ234" s="647"/>
      <c r="AK234" s="647">
        <f>ROUND(AF234/AI234,2)</f>
        <v>0</v>
      </c>
      <c r="AL234" s="647"/>
      <c r="AM234" s="647"/>
    </row>
    <row r="235" spans="1:39" ht="8.4499999999999993" customHeight="1">
      <c r="A235" s="727"/>
      <c r="B235" s="729"/>
      <c r="C235" s="729"/>
      <c r="D235" s="729"/>
      <c r="E235" s="729"/>
      <c r="F235" s="728"/>
      <c r="G235" s="648"/>
      <c r="H235" s="648"/>
      <c r="I235" s="673"/>
      <c r="J235" s="717" t="s">
        <v>69</v>
      </c>
      <c r="K235" s="718"/>
      <c r="L235" s="719"/>
      <c r="M235" s="720"/>
      <c r="N235" s="648"/>
      <c r="O235" s="648"/>
      <c r="P235" s="648"/>
      <c r="Q235" s="648"/>
      <c r="R235" s="647"/>
      <c r="S235" s="647"/>
      <c r="T235" s="647"/>
      <c r="U235" s="647"/>
      <c r="V235" s="647"/>
      <c r="W235" s="647"/>
      <c r="X235" s="647"/>
      <c r="Y235" s="647"/>
      <c r="Z235" s="647"/>
      <c r="AA235" s="647"/>
      <c r="AB235" s="647"/>
      <c r="AC235" s="647"/>
      <c r="AD235" s="647"/>
      <c r="AE235" s="647"/>
      <c r="AF235" s="647"/>
      <c r="AG235" s="647"/>
      <c r="AH235" s="647"/>
      <c r="AI235" s="647"/>
      <c r="AJ235" s="647"/>
      <c r="AK235" s="647"/>
      <c r="AL235" s="647"/>
      <c r="AM235" s="647"/>
    </row>
    <row r="236" spans="1:39" ht="14.1" customHeight="1">
      <c r="A236" s="687"/>
      <c r="B236" s="688"/>
      <c r="C236" s="688"/>
      <c r="D236" s="688"/>
      <c r="E236" s="688"/>
      <c r="F236" s="689"/>
      <c r="G236" s="648"/>
      <c r="H236" s="648"/>
      <c r="I236" s="673"/>
      <c r="J236" s="714">
        <f>'Date masura OD'!$J$5</f>
        <v>45808</v>
      </c>
      <c r="K236" s="715"/>
      <c r="L236" s="716"/>
      <c r="M236" s="720"/>
      <c r="N236" s="648"/>
      <c r="O236" s="648"/>
      <c r="P236" s="648"/>
      <c r="Q236" s="648"/>
      <c r="R236" s="647"/>
      <c r="S236" s="647"/>
      <c r="T236" s="647"/>
      <c r="U236" s="647"/>
      <c r="V236" s="647"/>
      <c r="W236" s="647"/>
      <c r="X236" s="647"/>
      <c r="Y236" s="647"/>
      <c r="Z236" s="647"/>
      <c r="AA236" s="647"/>
      <c r="AB236" s="647"/>
      <c r="AC236" s="647"/>
      <c r="AD236" s="647"/>
      <c r="AE236" s="647"/>
      <c r="AF236" s="647"/>
      <c r="AG236" s="647"/>
      <c r="AH236" s="647"/>
      <c r="AI236" s="647"/>
      <c r="AJ236" s="647"/>
      <c r="AK236" s="647"/>
      <c r="AL236" s="647"/>
      <c r="AM236" s="647"/>
    </row>
    <row r="237" spans="1:39" ht="14.1" customHeight="1">
      <c r="A237" s="684" t="str">
        <f>A234</f>
        <v>UGEUEDN19210002759</v>
      </c>
      <c r="B237" s="685"/>
      <c r="C237" s="685"/>
      <c r="D237" s="685"/>
      <c r="E237" s="685"/>
      <c r="F237" s="686"/>
      <c r="G237" s="648" t="s">
        <v>696</v>
      </c>
      <c r="H237" s="648"/>
      <c r="I237" s="648"/>
      <c r="J237" s="655">
        <f>'Date masura OD'!$I$5</f>
        <v>45778</v>
      </c>
      <c r="K237" s="656"/>
      <c r="L237" s="657"/>
      <c r="M237" s="648" t="s">
        <v>720</v>
      </c>
      <c r="N237" s="648"/>
      <c r="O237" s="648">
        <f>VLOOKUP(A237,Regularizare!$D:$AX,2,FALSE)</f>
        <v>50</v>
      </c>
      <c r="P237" s="648"/>
      <c r="Q237" s="648"/>
      <c r="R237" s="684" t="str">
        <f>U228</f>
        <v>7 (citit)</v>
      </c>
      <c r="S237" s="685"/>
      <c r="T237" s="686"/>
      <c r="U237" s="647" t="str">
        <f>VLOOKUP(A237,'Incrementare indexe'!$D:$M,8,FALSE)&amp;" (estimat)"</f>
        <v>7 (estimat)</v>
      </c>
      <c r="V237" s="647"/>
      <c r="W237" s="647"/>
      <c r="X237" s="647" t="str">
        <f>VLOOKUP(A237,'Incrementare indexe'!$D:$Q,12,FALSE)&amp;" (estimat)"</f>
        <v>0 (estimat)</v>
      </c>
      <c r="Y237" s="647"/>
      <c r="Z237" s="647"/>
      <c r="AA237" s="647" t="s">
        <v>69</v>
      </c>
      <c r="AB237" s="647"/>
      <c r="AC237" s="647"/>
      <c r="AD237" s="647" t="s">
        <v>69</v>
      </c>
      <c r="AE237" s="647"/>
      <c r="AF237" s="647">
        <f>VLOOKUP(A237,'Incrementare indexe'!$D:$Q,12,FALSE)</f>
        <v>0</v>
      </c>
      <c r="AG237" s="647"/>
      <c r="AH237" s="647"/>
      <c r="AI237" s="647">
        <f>AI234</f>
        <v>31</v>
      </c>
      <c r="AJ237" s="647"/>
      <c r="AK237" s="647">
        <f>ROUND(AF237/AI237,2)</f>
        <v>0</v>
      </c>
      <c r="AL237" s="647"/>
      <c r="AM237" s="647"/>
    </row>
    <row r="238" spans="1:39" ht="8.4499999999999993" customHeight="1">
      <c r="A238" s="727"/>
      <c r="B238" s="729"/>
      <c r="C238" s="729"/>
      <c r="D238" s="729"/>
      <c r="E238" s="729"/>
      <c r="F238" s="728"/>
      <c r="G238" s="648"/>
      <c r="H238" s="648"/>
      <c r="I238" s="648"/>
      <c r="J238" s="717" t="s">
        <v>69</v>
      </c>
      <c r="K238" s="718"/>
      <c r="L238" s="719"/>
      <c r="M238" s="648"/>
      <c r="N238" s="648"/>
      <c r="O238" s="648"/>
      <c r="P238" s="648"/>
      <c r="Q238" s="648"/>
      <c r="R238" s="727"/>
      <c r="S238" s="729"/>
      <c r="T238" s="728"/>
      <c r="U238" s="647"/>
      <c r="V238" s="647"/>
      <c r="W238" s="647"/>
      <c r="X238" s="647"/>
      <c r="Y238" s="647"/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647"/>
      <c r="AL238" s="647"/>
      <c r="AM238" s="647"/>
    </row>
    <row r="239" spans="1:39" ht="14.1" customHeight="1">
      <c r="A239" s="687"/>
      <c r="B239" s="688"/>
      <c r="C239" s="688"/>
      <c r="D239" s="688"/>
      <c r="E239" s="688"/>
      <c r="F239" s="689"/>
      <c r="G239" s="648"/>
      <c r="H239" s="648"/>
      <c r="I239" s="648"/>
      <c r="J239" s="714">
        <f>'Date masura OD'!$J$5</f>
        <v>45808</v>
      </c>
      <c r="K239" s="715"/>
      <c r="L239" s="716"/>
      <c r="M239" s="648"/>
      <c r="N239" s="648"/>
      <c r="O239" s="648"/>
      <c r="P239" s="648"/>
      <c r="Q239" s="648"/>
      <c r="R239" s="687"/>
      <c r="S239" s="688"/>
      <c r="T239" s="689"/>
      <c r="U239" s="647"/>
      <c r="V239" s="647"/>
      <c r="W239" s="647"/>
      <c r="X239" s="647"/>
      <c r="Y239" s="647"/>
      <c r="Z239" s="647"/>
      <c r="AA239" s="647"/>
      <c r="AB239" s="647"/>
      <c r="AC239" s="647"/>
      <c r="AD239" s="647"/>
      <c r="AE239" s="647"/>
      <c r="AF239" s="647"/>
      <c r="AG239" s="647"/>
      <c r="AH239" s="647"/>
      <c r="AI239" s="647"/>
      <c r="AJ239" s="647"/>
      <c r="AK239" s="647"/>
      <c r="AL239" s="647"/>
      <c r="AM239" s="647"/>
    </row>
    <row r="240" spans="1:39" ht="14.1" customHeight="1">
      <c r="A240" s="684" t="str">
        <f>A237</f>
        <v>UGEUEDN19210002759</v>
      </c>
      <c r="B240" s="685"/>
      <c r="C240" s="685"/>
      <c r="D240" s="685"/>
      <c r="E240" s="685"/>
      <c r="F240" s="686"/>
      <c r="G240" s="648" t="s">
        <v>731</v>
      </c>
      <c r="H240" s="648"/>
      <c r="I240" s="648"/>
      <c r="J240" s="655">
        <f>'Date masura OD'!$I$5</f>
        <v>45778</v>
      </c>
      <c r="K240" s="656"/>
      <c r="L240" s="657"/>
      <c r="M240" s="648" t="s">
        <v>720</v>
      </c>
      <c r="N240" s="648"/>
      <c r="O240" s="648">
        <f>VLOOKUP(A240,Regularizare!$D:$AX,2,FALSE)</f>
        <v>50</v>
      </c>
      <c r="P240" s="648"/>
      <c r="Q240" s="648"/>
      <c r="R240" s="647" t="str">
        <f>U231</f>
        <v>0 (citit)</v>
      </c>
      <c r="S240" s="647"/>
      <c r="T240" s="647"/>
      <c r="U240" s="647" t="str">
        <f>VLOOKUP(A240,'Incrementare indexe'!$D:$M,10,FALSE)&amp;" (estimat)"</f>
        <v>0 (estimat)</v>
      </c>
      <c r="V240" s="647"/>
      <c r="W240" s="647"/>
      <c r="X240" s="647" t="str">
        <f>VLOOKUP(A240,'Incrementare indexe'!$D:$Q,13,FALSE)&amp;" (estimat)"</f>
        <v>0 (estimat)</v>
      </c>
      <c r="Y240" s="647"/>
      <c r="Z240" s="647"/>
      <c r="AA240" s="647" t="s">
        <v>69</v>
      </c>
      <c r="AB240" s="647"/>
      <c r="AC240" s="647"/>
      <c r="AD240" s="647" t="s">
        <v>69</v>
      </c>
      <c r="AE240" s="647"/>
      <c r="AF240" s="647">
        <f>VLOOKUP(A240,'Incrementare indexe'!$D:$Q,13,FALSE)</f>
        <v>0</v>
      </c>
      <c r="AG240" s="647"/>
      <c r="AH240" s="647"/>
      <c r="AI240" s="647">
        <f>AI237</f>
        <v>31</v>
      </c>
      <c r="AJ240" s="647"/>
      <c r="AK240" s="647">
        <f>ROUND(AF240/AI240,2)</f>
        <v>0</v>
      </c>
      <c r="AL240" s="647"/>
      <c r="AM240" s="647"/>
    </row>
    <row r="241" spans="1:39" ht="8.4499999999999993" customHeight="1">
      <c r="A241" s="727"/>
      <c r="B241" s="729"/>
      <c r="C241" s="729"/>
      <c r="D241" s="729"/>
      <c r="E241" s="729"/>
      <c r="F241" s="728"/>
      <c r="G241" s="648"/>
      <c r="H241" s="648"/>
      <c r="I241" s="648"/>
      <c r="J241" s="717" t="s">
        <v>69</v>
      </c>
      <c r="K241" s="718"/>
      <c r="L241" s="719"/>
      <c r="M241" s="648"/>
      <c r="N241" s="648"/>
      <c r="O241" s="648"/>
      <c r="P241" s="648"/>
      <c r="Q241" s="648"/>
      <c r="R241" s="647"/>
      <c r="S241" s="647"/>
      <c r="T241" s="647"/>
      <c r="U241" s="647"/>
      <c r="V241" s="647"/>
      <c r="W241" s="647"/>
      <c r="X241" s="647"/>
      <c r="Y241" s="647"/>
      <c r="Z241" s="647"/>
      <c r="AA241" s="647"/>
      <c r="AB241" s="647"/>
      <c r="AC241" s="647"/>
      <c r="AD241" s="647"/>
      <c r="AE241" s="647"/>
      <c r="AF241" s="647"/>
      <c r="AG241" s="647"/>
      <c r="AH241" s="647"/>
      <c r="AI241" s="647"/>
      <c r="AJ241" s="647"/>
      <c r="AK241" s="647"/>
      <c r="AL241" s="647"/>
      <c r="AM241" s="647"/>
    </row>
    <row r="242" spans="1:39" ht="14.1" customHeight="1">
      <c r="A242" s="687"/>
      <c r="B242" s="688"/>
      <c r="C242" s="688"/>
      <c r="D242" s="688"/>
      <c r="E242" s="688"/>
      <c r="F242" s="689"/>
      <c r="G242" s="648"/>
      <c r="H242" s="648"/>
      <c r="I242" s="648"/>
      <c r="J242" s="714">
        <f>'Date masura OD'!$J$5</f>
        <v>45808</v>
      </c>
      <c r="K242" s="715"/>
      <c r="L242" s="716"/>
      <c r="M242" s="648"/>
      <c r="N242" s="648"/>
      <c r="O242" s="648"/>
      <c r="P242" s="648"/>
      <c r="Q242" s="648"/>
      <c r="R242" s="647"/>
      <c r="S242" s="647"/>
      <c r="T242" s="647"/>
      <c r="U242" s="647"/>
      <c r="V242" s="647"/>
      <c r="W242" s="647"/>
      <c r="X242" s="647"/>
      <c r="Y242" s="647"/>
      <c r="Z242" s="647"/>
      <c r="AA242" s="647"/>
      <c r="AB242" s="647"/>
      <c r="AC242" s="647"/>
      <c r="AD242" s="647"/>
      <c r="AE242" s="647"/>
      <c r="AF242" s="647"/>
      <c r="AG242" s="647"/>
      <c r="AH242" s="647"/>
      <c r="AI242" s="647"/>
      <c r="AJ242" s="647"/>
      <c r="AK242" s="647"/>
      <c r="AL242" s="647"/>
      <c r="AM242" s="647"/>
    </row>
    <row r="243" spans="1:39" ht="14.1" customHeight="1">
      <c r="A243" s="196"/>
      <c r="B243" s="196"/>
      <c r="C243" s="196"/>
      <c r="D243" s="196"/>
      <c r="E243" s="196"/>
      <c r="F243" s="196"/>
      <c r="G243" s="196"/>
      <c r="H243" s="196"/>
      <c r="I243" s="196"/>
      <c r="J243" s="197"/>
      <c r="K243" s="197"/>
      <c r="L243" s="197"/>
      <c r="M243" s="196"/>
      <c r="N243" s="196"/>
      <c r="O243" s="196"/>
      <c r="P243" s="196"/>
      <c r="Q243" s="196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</row>
    <row r="244" spans="1:39" ht="14.1" customHeight="1">
      <c r="A244" s="196"/>
      <c r="B244" s="196"/>
      <c r="C244" s="196"/>
      <c r="D244" s="196"/>
      <c r="E244" s="196"/>
      <c r="F244" s="196"/>
      <c r="G244" s="196"/>
      <c r="H244" s="196"/>
      <c r="I244" s="196"/>
      <c r="J244" s="197"/>
      <c r="K244" s="197"/>
      <c r="L244" s="197"/>
      <c r="M244" s="196"/>
      <c r="N244" s="196"/>
      <c r="O244" s="196"/>
      <c r="P244" s="196"/>
      <c r="Q244" s="196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</row>
    <row r="245" spans="1:39" ht="14.1" customHeight="1">
      <c r="A245" s="695" t="s">
        <v>859</v>
      </c>
      <c r="B245" s="695"/>
      <c r="C245" s="695"/>
      <c r="D245" s="695"/>
      <c r="E245" s="695"/>
      <c r="F245" s="695"/>
      <c r="G245" s="695"/>
      <c r="H245" s="712">
        <f>VLOOKUP(LEFT(M248,15),'Date masura OD'!E:BE,53,0)</f>
        <v>5000582522</v>
      </c>
      <c r="I245" s="712"/>
      <c r="J245" s="712"/>
      <c r="K245" s="712"/>
      <c r="L245" s="712"/>
      <c r="M245" s="712"/>
      <c r="N245" s="712"/>
      <c r="O245" s="712"/>
      <c r="P245" s="712"/>
      <c r="Q245" s="712"/>
      <c r="R245" s="712"/>
      <c r="S245" s="712"/>
      <c r="T245" s="712"/>
      <c r="U245" s="712"/>
      <c r="V245" s="712"/>
      <c r="W245" s="712" t="s">
        <v>860</v>
      </c>
      <c r="X245" s="712"/>
      <c r="Y245" s="712"/>
      <c r="Z245" s="712"/>
      <c r="AA245" s="640" t="str">
        <f>_xlfn.CONCAT($AA$16,"_",6)</f>
        <v>RN10_Petrosani_6</v>
      </c>
      <c r="AB245" s="640"/>
      <c r="AC245" s="640"/>
      <c r="AD245" s="640"/>
      <c r="AE245" s="640"/>
      <c r="AF245" s="640"/>
      <c r="AG245" s="640"/>
      <c r="AH245" s="640"/>
      <c r="AI245" s="640"/>
      <c r="AJ245" s="640"/>
      <c r="AK245" s="640"/>
      <c r="AL245" s="640"/>
      <c r="AM245" s="640"/>
    </row>
    <row r="246" spans="1:39" ht="14.1" customHeight="1">
      <c r="A246" s="695"/>
      <c r="B246" s="695"/>
      <c r="C246" s="695"/>
      <c r="D246" s="695"/>
      <c r="E246" s="695"/>
      <c r="F246" s="695"/>
      <c r="G246" s="695"/>
      <c r="H246" s="712"/>
      <c r="I246" s="712"/>
      <c r="J246" s="712"/>
      <c r="K246" s="712"/>
      <c r="L246" s="712"/>
      <c r="M246" s="712"/>
      <c r="N246" s="712"/>
      <c r="O246" s="712"/>
      <c r="P246" s="712"/>
      <c r="Q246" s="712"/>
      <c r="R246" s="712"/>
      <c r="S246" s="712"/>
      <c r="T246" s="712"/>
      <c r="U246" s="712"/>
      <c r="V246" s="712"/>
      <c r="W246" s="712"/>
      <c r="X246" s="712"/>
      <c r="Y246" s="712"/>
      <c r="Z246" s="712"/>
      <c r="AA246" s="640"/>
      <c r="AB246" s="640"/>
      <c r="AC246" s="640"/>
      <c r="AD246" s="640"/>
      <c r="AE246" s="640"/>
      <c r="AF246" s="640"/>
      <c r="AG246" s="640"/>
      <c r="AH246" s="640"/>
      <c r="AI246" s="640"/>
      <c r="AJ246" s="640"/>
      <c r="AK246" s="640"/>
      <c r="AL246" s="640"/>
      <c r="AM246" s="640"/>
    </row>
    <row r="248" spans="1:39">
      <c r="A248" s="649" t="s">
        <v>748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50" t="str">
        <f>VLOOKUP(AI249,'Contorizare in SDI'!$E:$I,4,FALSE)</f>
        <v>RO005E532351045/1</v>
      </c>
      <c r="N248" s="650"/>
      <c r="O248" s="650"/>
      <c r="P248" s="650"/>
      <c r="Q248" s="650"/>
      <c r="R248" s="650"/>
      <c r="S248" s="650"/>
      <c r="T248" s="650"/>
      <c r="U248" s="650"/>
      <c r="V248" s="650"/>
      <c r="W248" s="650"/>
      <c r="X248" s="650"/>
      <c r="Y248" s="650"/>
      <c r="Z248" s="650"/>
      <c r="AA248" s="650"/>
      <c r="AB248" s="650"/>
      <c r="AC248" s="650"/>
      <c r="AD248" s="650"/>
      <c r="AE248" s="650"/>
      <c r="AF248" s="650"/>
      <c r="AG248" s="650"/>
      <c r="AH248" s="650"/>
      <c r="AI248" s="650" t="s">
        <v>695</v>
      </c>
      <c r="AJ248" s="650"/>
      <c r="AK248" s="650"/>
      <c r="AL248" s="650"/>
      <c r="AM248" s="650"/>
    </row>
    <row r="249" spans="1:39">
      <c r="A249" s="649" t="s">
        <v>746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50" t="str">
        <f>VLOOKUP(AI249,'Inchidere contur'!$G:$U,15,FALSE)</f>
        <v>JT_OD</v>
      </c>
      <c r="N249" s="650"/>
      <c r="O249" s="650"/>
      <c r="P249" s="650"/>
      <c r="Q249" s="650"/>
      <c r="R249" s="650"/>
      <c r="S249" s="650"/>
      <c r="T249" s="650"/>
      <c r="U249" s="650"/>
      <c r="V249" s="650"/>
      <c r="W249" s="650"/>
      <c r="X249" s="650"/>
      <c r="Y249" s="650"/>
      <c r="Z249" s="650"/>
      <c r="AA249" s="650"/>
      <c r="AB249" s="650"/>
      <c r="AC249" s="650"/>
      <c r="AD249" s="650"/>
      <c r="AE249" s="650"/>
      <c r="AF249" s="650"/>
      <c r="AG249" s="650"/>
      <c r="AH249" s="650"/>
      <c r="AI249" s="666" t="str">
        <f>AA245</f>
        <v>RN10_Petrosani_6</v>
      </c>
      <c r="AJ249" s="666"/>
      <c r="AK249" s="666"/>
      <c r="AL249" s="666"/>
      <c r="AM249" s="666"/>
    </row>
    <row r="250" spans="1:39">
      <c r="A250" s="649" t="s">
        <v>747</v>
      </c>
      <c r="B250" s="649"/>
      <c r="C250" s="649"/>
      <c r="D250" s="649"/>
      <c r="E250" s="649"/>
      <c r="F250" s="649"/>
      <c r="G250" s="649"/>
      <c r="H250" s="649"/>
      <c r="I250" s="649"/>
      <c r="J250" s="649"/>
      <c r="K250" s="649"/>
      <c r="L250" s="649"/>
      <c r="M250" s="650" t="str">
        <f>IF(LEFT(M249,2)="JT","0.4kV",IF(LEFT(M249,2)="MT","20kV","-"))</f>
        <v>0.4kV</v>
      </c>
      <c r="N250" s="650"/>
      <c r="O250" s="650"/>
      <c r="P250" s="650"/>
      <c r="Q250" s="650"/>
      <c r="R250" s="650"/>
      <c r="S250" s="650"/>
      <c r="T250" s="650"/>
      <c r="U250" s="650"/>
      <c r="V250" s="650"/>
      <c r="W250" s="650"/>
      <c r="X250" s="650"/>
      <c r="Y250" s="650"/>
      <c r="Z250" s="650"/>
      <c r="AA250" s="650"/>
      <c r="AB250" s="650"/>
      <c r="AC250" s="650"/>
      <c r="AD250" s="650"/>
      <c r="AE250" s="650"/>
      <c r="AF250" s="650"/>
      <c r="AG250" s="650"/>
      <c r="AH250" s="650"/>
      <c r="AI250" s="666"/>
      <c r="AJ250" s="666"/>
      <c r="AK250" s="666"/>
      <c r="AL250" s="666"/>
      <c r="AM250" s="666"/>
    </row>
    <row r="251" spans="1:39" ht="15.95" customHeight="1">
      <c r="A251" s="648" t="s">
        <v>697</v>
      </c>
      <c r="B251" s="648"/>
      <c r="C251" s="648"/>
      <c r="D251" s="648"/>
      <c r="E251" s="648"/>
      <c r="F251" s="648"/>
      <c r="G251" s="647" t="s">
        <v>713</v>
      </c>
      <c r="H251" s="647"/>
      <c r="I251" s="647"/>
      <c r="J251" s="647" t="s">
        <v>714</v>
      </c>
      <c r="K251" s="647"/>
      <c r="L251" s="647"/>
      <c r="M251" s="648" t="s">
        <v>519</v>
      </c>
      <c r="N251" s="648"/>
      <c r="O251" s="648" t="s">
        <v>715</v>
      </c>
      <c r="P251" s="648"/>
      <c r="Q251" s="648"/>
      <c r="R251" s="647" t="s">
        <v>732</v>
      </c>
      <c r="S251" s="647"/>
      <c r="T251" s="647"/>
      <c r="U251" s="647" t="s">
        <v>734</v>
      </c>
      <c r="V251" s="647"/>
      <c r="W251" s="647"/>
      <c r="X251" s="647" t="s">
        <v>1085</v>
      </c>
      <c r="Y251" s="647"/>
      <c r="Z251" s="647"/>
      <c r="AA251" s="647" t="s">
        <v>1086</v>
      </c>
      <c r="AB251" s="647"/>
      <c r="AC251" s="647"/>
      <c r="AD251" s="647" t="s">
        <v>717</v>
      </c>
      <c r="AE251" s="647"/>
      <c r="AF251" s="647" t="s">
        <v>718</v>
      </c>
      <c r="AG251" s="647"/>
      <c r="AH251" s="647"/>
      <c r="AI251" s="647" t="s">
        <v>719</v>
      </c>
      <c r="AJ251" s="647"/>
      <c r="AK251" s="647" t="s">
        <v>733</v>
      </c>
      <c r="AL251" s="647"/>
      <c r="AM251" s="647"/>
    </row>
    <row r="252" spans="1:39">
      <c r="A252" s="648"/>
      <c r="B252" s="648"/>
      <c r="C252" s="648"/>
      <c r="D252" s="648"/>
      <c r="E252" s="648"/>
      <c r="F252" s="648"/>
      <c r="G252" s="647"/>
      <c r="H252" s="647"/>
      <c r="I252" s="647"/>
      <c r="J252" s="647"/>
      <c r="K252" s="647"/>
      <c r="L252" s="647"/>
      <c r="M252" s="648"/>
      <c r="N252" s="648"/>
      <c r="O252" s="648"/>
      <c r="P252" s="648"/>
      <c r="Q252" s="648"/>
      <c r="R252" s="647"/>
      <c r="S252" s="647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647"/>
      <c r="AL252" s="647"/>
      <c r="AM252" s="647"/>
    </row>
    <row r="253" spans="1:39">
      <c r="A253" s="648"/>
      <c r="B253" s="648"/>
      <c r="C253" s="648"/>
      <c r="D253" s="648"/>
      <c r="E253" s="648"/>
      <c r="F253" s="648"/>
      <c r="G253" s="647"/>
      <c r="H253" s="647"/>
      <c r="I253" s="647"/>
      <c r="J253" s="713"/>
      <c r="K253" s="713"/>
      <c r="L253" s="713"/>
      <c r="M253" s="648"/>
      <c r="N253" s="648"/>
      <c r="O253" s="648"/>
      <c r="P253" s="648"/>
      <c r="Q253" s="648"/>
      <c r="R253" s="647"/>
      <c r="S253" s="647"/>
      <c r="T253" s="647"/>
      <c r="U253" s="647"/>
      <c r="V253" s="647"/>
      <c r="W253" s="647"/>
      <c r="X253" s="647"/>
      <c r="Y253" s="647"/>
      <c r="Z253" s="647"/>
      <c r="AA253" s="647"/>
      <c r="AB253" s="647"/>
      <c r="AC253" s="647"/>
      <c r="AD253" s="647"/>
      <c r="AE253" s="647"/>
      <c r="AF253" s="647"/>
      <c r="AG253" s="647"/>
      <c r="AH253" s="647"/>
      <c r="AI253" s="647"/>
      <c r="AJ253" s="647"/>
      <c r="AK253" s="647"/>
      <c r="AL253" s="647"/>
      <c r="AM253" s="647"/>
    </row>
    <row r="254" spans="1:39" ht="14.1" customHeight="1">
      <c r="A254" s="684" t="str">
        <f>VLOOKUP(AI249,'Contorizare in SDI'!$E:$I,5,FALSE)</f>
        <v>UGEQEDN23210105526</v>
      </c>
      <c r="B254" s="685"/>
      <c r="C254" s="685"/>
      <c r="D254" s="685"/>
      <c r="E254" s="685"/>
      <c r="F254" s="686"/>
      <c r="G254" s="648" t="s">
        <v>730</v>
      </c>
      <c r="H254" s="648"/>
      <c r="I254" s="673"/>
      <c r="J254" s="655">
        <f>'Date masura OD'!$AK$5</f>
        <v>45748</v>
      </c>
      <c r="K254" s="656"/>
      <c r="L254" s="657"/>
      <c r="M254" s="720" t="s">
        <v>446</v>
      </c>
      <c r="N254" s="648"/>
      <c r="O254" s="648">
        <f>VLOOKUP(A263,Regularizare!$D:$AX,2,FALSE)</f>
        <v>30</v>
      </c>
      <c r="P254" s="648"/>
      <c r="Q254" s="648"/>
      <c r="R254" s="647" t="str">
        <f>VLOOKUP(A254,Regularizare!$D:$YN,3,FALSE)&amp;" ("&amp;VLOOKUP(A254,Regularizare!$D:$Y,11,FALSE)&amp;")"</f>
        <v>37 (citit)</v>
      </c>
      <c r="S254" s="647"/>
      <c r="T254" s="647"/>
      <c r="U254" s="647" t="str">
        <f>VLOOKUP(A254,Regularizare!$D:$U,4,FALSE)&amp;" ("&amp;VLOOKUP(A254,Regularizare!$D:$U,12,FALSE)&amp;")"</f>
        <v>201 (estimat)</v>
      </c>
      <c r="V254" s="647"/>
      <c r="W254" s="647"/>
      <c r="X254" s="647" t="str">
        <f>VLOOKUP(A254,Regularizare!$D:$Y,19,FALSE)&amp;" ("&amp;VLOOKUP(A254,Regularizare!$D:$U,12,FALSE)&amp;")"</f>
        <v>4920 (estimat)</v>
      </c>
      <c r="Y254" s="647"/>
      <c r="Z254" s="647"/>
      <c r="AA254" s="647">
        <f>(-1)*VLOOKUP(A254,Regularizare!$D:$Y,19,FALSE)</f>
        <v>-4920</v>
      </c>
      <c r="AB254" s="647"/>
      <c r="AC254" s="647"/>
      <c r="AD254" s="647" t="s">
        <v>69</v>
      </c>
      <c r="AE254" s="647"/>
      <c r="AF254" s="647">
        <f>AA254</f>
        <v>-4920</v>
      </c>
      <c r="AG254" s="647"/>
      <c r="AH254" s="647"/>
      <c r="AI254" s="647" t="s">
        <v>69</v>
      </c>
      <c r="AJ254" s="647"/>
      <c r="AK254" s="647" t="s">
        <v>69</v>
      </c>
      <c r="AL254" s="647"/>
      <c r="AM254" s="647"/>
    </row>
    <row r="255" spans="1:39" ht="8.4499999999999993" customHeight="1">
      <c r="A255" s="727"/>
      <c r="B255" s="729"/>
      <c r="C255" s="729"/>
      <c r="D255" s="729"/>
      <c r="E255" s="729"/>
      <c r="F255" s="728"/>
      <c r="G255" s="648"/>
      <c r="H255" s="648"/>
      <c r="I255" s="673"/>
      <c r="J255" s="717" t="s">
        <v>69</v>
      </c>
      <c r="K255" s="718"/>
      <c r="L255" s="719"/>
      <c r="M255" s="720"/>
      <c r="N255" s="648"/>
      <c r="O255" s="648"/>
      <c r="P255" s="648"/>
      <c r="Q255" s="648"/>
      <c r="R255" s="647"/>
      <c r="S255" s="647"/>
      <c r="T255" s="647"/>
      <c r="U255" s="647"/>
      <c r="V255" s="647"/>
      <c r="W255" s="647"/>
      <c r="X255" s="647"/>
      <c r="Y255" s="647"/>
      <c r="Z255" s="647"/>
      <c r="AA255" s="647"/>
      <c r="AB255" s="647"/>
      <c r="AC255" s="647"/>
      <c r="AD255" s="647"/>
      <c r="AE255" s="647"/>
      <c r="AF255" s="647"/>
      <c r="AG255" s="647"/>
      <c r="AH255" s="647"/>
      <c r="AI255" s="647"/>
      <c r="AJ255" s="647"/>
      <c r="AK255" s="647"/>
      <c r="AL255" s="647"/>
      <c r="AM255" s="647"/>
    </row>
    <row r="256" spans="1:39" ht="14.1" customHeight="1">
      <c r="A256" s="687"/>
      <c r="B256" s="688"/>
      <c r="C256" s="688"/>
      <c r="D256" s="688"/>
      <c r="E256" s="688"/>
      <c r="F256" s="689"/>
      <c r="G256" s="648"/>
      <c r="H256" s="648"/>
      <c r="I256" s="673"/>
      <c r="J256" s="714">
        <f>'Date masura OD'!$AL$5</f>
        <v>45777</v>
      </c>
      <c r="K256" s="715"/>
      <c r="L256" s="716"/>
      <c r="M256" s="720"/>
      <c r="N256" s="648"/>
      <c r="O256" s="648"/>
      <c r="P256" s="648"/>
      <c r="Q256" s="648"/>
      <c r="R256" s="647"/>
      <c r="S256" s="647"/>
      <c r="T256" s="647"/>
      <c r="U256" s="647"/>
      <c r="V256" s="647"/>
      <c r="W256" s="647"/>
      <c r="X256" s="647"/>
      <c r="Y256" s="647"/>
      <c r="Z256" s="647"/>
      <c r="AA256" s="647"/>
      <c r="AB256" s="647"/>
      <c r="AC256" s="647"/>
      <c r="AD256" s="647"/>
      <c r="AE256" s="647"/>
      <c r="AF256" s="647"/>
      <c r="AG256" s="647"/>
      <c r="AH256" s="647"/>
      <c r="AI256" s="647"/>
      <c r="AJ256" s="647"/>
      <c r="AK256" s="647"/>
      <c r="AL256" s="647"/>
      <c r="AM256" s="647"/>
    </row>
    <row r="257" spans="1:39" ht="14.1" customHeight="1">
      <c r="A257" s="684" t="str">
        <f>A254</f>
        <v>UGEQEDN23210105526</v>
      </c>
      <c r="B257" s="685"/>
      <c r="C257" s="685"/>
      <c r="D257" s="685"/>
      <c r="E257" s="685"/>
      <c r="F257" s="686"/>
      <c r="G257" s="648" t="s">
        <v>696</v>
      </c>
      <c r="H257" s="648"/>
      <c r="I257" s="648"/>
      <c r="J257" s="655">
        <f t="shared" ref="J257:J262" si="10">J254</f>
        <v>45748</v>
      </c>
      <c r="K257" s="656"/>
      <c r="L257" s="657"/>
      <c r="M257" s="648" t="s">
        <v>720</v>
      </c>
      <c r="N257" s="648"/>
      <c r="O257" s="648">
        <f>VLOOKUP(A266,Regularizare!$D:$AX,2,FALSE)</f>
        <v>30</v>
      </c>
      <c r="P257" s="648"/>
      <c r="Q257" s="648"/>
      <c r="R257" s="648" t="str">
        <f>VLOOKUP(A257,Regularizare!$D:$U,7,FALSE)&amp;" ("&amp;VLOOKUP(A257,Regularizare!$D:$U,15,FALSE)&amp;")"</f>
        <v>0 (citit)</v>
      </c>
      <c r="S257" s="648"/>
      <c r="T257" s="648"/>
      <c r="U257" s="647" t="str">
        <f>VLOOKUP(A257,Regularizare!$D:$U,8,FALSE)&amp;" ("&amp;VLOOKUP(A257,Regularizare!$D:$U,16,FALSE)&amp;")"</f>
        <v>0 (estimat)</v>
      </c>
      <c r="V257" s="647"/>
      <c r="W257" s="647"/>
      <c r="X257" s="647" t="str">
        <f>_xlfn.CONCAT(VLOOKUP(A257,Regularizare!$D:$U,8,FALSE)-VLOOKUP(A257,Regularizare!$D:$U,7,FALSE)," (",VLOOKUP(A257,Regularizare!$D:$U,16,FALSE),")")</f>
        <v>0 (estimat)</v>
      </c>
      <c r="Y257" s="647"/>
      <c r="Z257" s="647"/>
      <c r="AA257" s="647">
        <f>IF(VLOOKUP(A257,Regularizare!$D:$Y,21,FALSE)=0,VLOOKUP(A257,Regularizare!$D:$Y,21,FALSE),(-1)*VLOOKUP(A257,Regularizare!$D:$Y,21,FALSE))</f>
        <v>0</v>
      </c>
      <c r="AB257" s="647"/>
      <c r="AC257" s="647"/>
      <c r="AD257" s="647" t="s">
        <v>69</v>
      </c>
      <c r="AE257" s="647"/>
      <c r="AF257" s="647">
        <f>AA257</f>
        <v>0</v>
      </c>
      <c r="AG257" s="647"/>
      <c r="AH257" s="647"/>
      <c r="AI257" s="647" t="str">
        <f>AI254</f>
        <v>-</v>
      </c>
      <c r="AJ257" s="647"/>
      <c r="AK257" s="647" t="str">
        <f>AK254</f>
        <v>-</v>
      </c>
      <c r="AL257" s="647"/>
      <c r="AM257" s="647"/>
    </row>
    <row r="258" spans="1:39" ht="8.4499999999999993" customHeight="1">
      <c r="A258" s="727"/>
      <c r="B258" s="729"/>
      <c r="C258" s="729"/>
      <c r="D258" s="729"/>
      <c r="E258" s="729"/>
      <c r="F258" s="728"/>
      <c r="G258" s="648"/>
      <c r="H258" s="648"/>
      <c r="I258" s="648"/>
      <c r="J258" s="717" t="str">
        <f t="shared" si="10"/>
        <v>-</v>
      </c>
      <c r="K258" s="718"/>
      <c r="L258" s="719"/>
      <c r="M258" s="648"/>
      <c r="N258" s="648"/>
      <c r="O258" s="648"/>
      <c r="P258" s="648"/>
      <c r="Q258" s="648"/>
      <c r="R258" s="648"/>
      <c r="S258" s="648"/>
      <c r="T258" s="648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</row>
    <row r="259" spans="1:39" ht="14.1" customHeight="1">
      <c r="A259" s="687"/>
      <c r="B259" s="688"/>
      <c r="C259" s="688"/>
      <c r="D259" s="688"/>
      <c r="E259" s="688"/>
      <c r="F259" s="689"/>
      <c r="G259" s="648"/>
      <c r="H259" s="648"/>
      <c r="I259" s="648"/>
      <c r="J259" s="714">
        <f t="shared" si="10"/>
        <v>45777</v>
      </c>
      <c r="K259" s="715"/>
      <c r="L259" s="716"/>
      <c r="M259" s="648"/>
      <c r="N259" s="648"/>
      <c r="O259" s="648"/>
      <c r="P259" s="648"/>
      <c r="Q259" s="648"/>
      <c r="R259" s="648"/>
      <c r="S259" s="648"/>
      <c r="T259" s="648"/>
      <c r="U259" s="647"/>
      <c r="V259" s="647"/>
      <c r="W259" s="647"/>
      <c r="X259" s="647"/>
      <c r="Y259" s="647"/>
      <c r="Z259" s="647"/>
      <c r="AA259" s="647"/>
      <c r="AB259" s="647"/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</row>
    <row r="260" spans="1:39" ht="14.1" customHeight="1">
      <c r="A260" s="684" t="str">
        <f>A254</f>
        <v>UGEQEDN23210105526</v>
      </c>
      <c r="B260" s="685"/>
      <c r="C260" s="685"/>
      <c r="D260" s="685"/>
      <c r="E260" s="685"/>
      <c r="F260" s="686"/>
      <c r="G260" s="648" t="s">
        <v>731</v>
      </c>
      <c r="H260" s="648"/>
      <c r="I260" s="648"/>
      <c r="J260" s="655">
        <f t="shared" si="10"/>
        <v>45748</v>
      </c>
      <c r="K260" s="656"/>
      <c r="L260" s="657"/>
      <c r="M260" s="648" t="s">
        <v>720</v>
      </c>
      <c r="N260" s="648"/>
      <c r="O260" s="648">
        <f>VLOOKUP(A269,Regularizare!$D:$AX,2,FALSE)</f>
        <v>30</v>
      </c>
      <c r="P260" s="648"/>
      <c r="Q260" s="648"/>
      <c r="R260" s="647" t="str">
        <f>VLOOKUP(A260,Regularizare!$D:$U,9,FALSE)&amp;" ("&amp;VLOOKUP(A260,Regularizare!$D:$U,17,FALSE)&amp;")"</f>
        <v>0 (citit)</v>
      </c>
      <c r="S260" s="647"/>
      <c r="T260" s="647"/>
      <c r="U260" s="647" t="str">
        <f>VLOOKUP(A260,Regularizare!$D:$U,10,FALSE)&amp;" ("&amp;VLOOKUP(A260,Regularizare!$D:$U,18,FALSE)&amp;")"</f>
        <v>0 (estimat)</v>
      </c>
      <c r="V260" s="647"/>
      <c r="W260" s="647"/>
      <c r="X260" s="647" t="str">
        <f>_xlfn.CONCAT(VLOOKUP(A260,Regularizare!$D:$U,10,FALSE)-VLOOKUP(A260,Regularizare!$D:$U,9,FALSE)," (",VLOOKUP(A260,Regularizare!$D:$U,18,FALSE),")")</f>
        <v>0 (estimat)</v>
      </c>
      <c r="Y260" s="647"/>
      <c r="Z260" s="647"/>
      <c r="AA260" s="647">
        <f>IF(VLOOKUP(A260,Regularizare!$D:$Y,22,FALSE)=0,VLOOKUP(A260,Regularizare!$D:$Y,22,FALSE),(-1)*VLOOKUP(A260,Regularizare!$D:$Y,22,FALSE))</f>
        <v>0</v>
      </c>
      <c r="AB260" s="647"/>
      <c r="AC260" s="647"/>
      <c r="AD260" s="647" t="s">
        <v>69</v>
      </c>
      <c r="AE260" s="647"/>
      <c r="AF260" s="647">
        <f>AA260</f>
        <v>0</v>
      </c>
      <c r="AG260" s="647"/>
      <c r="AH260" s="647"/>
      <c r="AI260" s="647" t="str">
        <f>AI257</f>
        <v>-</v>
      </c>
      <c r="AJ260" s="647"/>
      <c r="AK260" s="647" t="str">
        <f>AK257</f>
        <v>-</v>
      </c>
      <c r="AL260" s="647"/>
      <c r="AM260" s="647"/>
    </row>
    <row r="261" spans="1:39" ht="8.4499999999999993" customHeight="1">
      <c r="A261" s="727"/>
      <c r="B261" s="729"/>
      <c r="C261" s="729"/>
      <c r="D261" s="729"/>
      <c r="E261" s="729"/>
      <c r="F261" s="728"/>
      <c r="G261" s="648"/>
      <c r="H261" s="648"/>
      <c r="I261" s="648"/>
      <c r="J261" s="717" t="str">
        <f t="shared" si="10"/>
        <v>-</v>
      </c>
      <c r="K261" s="718"/>
      <c r="L261" s="719"/>
      <c r="M261" s="648"/>
      <c r="N261" s="648"/>
      <c r="O261" s="648"/>
      <c r="P261" s="648"/>
      <c r="Q261" s="648"/>
      <c r="R261" s="647"/>
      <c r="S261" s="647"/>
      <c r="T261" s="647"/>
      <c r="U261" s="647"/>
      <c r="V261" s="647"/>
      <c r="W261" s="647"/>
      <c r="X261" s="647"/>
      <c r="Y261" s="647"/>
      <c r="Z261" s="647"/>
      <c r="AA261" s="647"/>
      <c r="AB261" s="647"/>
      <c r="AC261" s="647"/>
      <c r="AD261" s="647"/>
      <c r="AE261" s="647"/>
      <c r="AF261" s="647"/>
      <c r="AG261" s="647"/>
      <c r="AH261" s="647"/>
      <c r="AI261" s="647"/>
      <c r="AJ261" s="647"/>
      <c r="AK261" s="647"/>
      <c r="AL261" s="647"/>
      <c r="AM261" s="647"/>
    </row>
    <row r="262" spans="1:39" ht="14.1" customHeight="1">
      <c r="A262" s="687"/>
      <c r="B262" s="688"/>
      <c r="C262" s="688"/>
      <c r="D262" s="688"/>
      <c r="E262" s="688"/>
      <c r="F262" s="689"/>
      <c r="G262" s="648"/>
      <c r="H262" s="648"/>
      <c r="I262" s="648"/>
      <c r="J262" s="714">
        <f t="shared" si="10"/>
        <v>45777</v>
      </c>
      <c r="K262" s="715"/>
      <c r="L262" s="716"/>
      <c r="M262" s="648"/>
      <c r="N262" s="648"/>
      <c r="O262" s="648"/>
      <c r="P262" s="648"/>
      <c r="Q262" s="648"/>
      <c r="R262" s="647"/>
      <c r="S262" s="647"/>
      <c r="T262" s="647"/>
      <c r="U262" s="647"/>
      <c r="V262" s="647"/>
      <c r="W262" s="647"/>
      <c r="X262" s="647"/>
      <c r="Y262" s="647"/>
      <c r="Z262" s="647"/>
      <c r="AA262" s="647"/>
      <c r="AB262" s="647"/>
      <c r="AC262" s="647"/>
      <c r="AD262" s="647"/>
      <c r="AE262" s="647"/>
      <c r="AF262" s="647"/>
      <c r="AG262" s="647"/>
      <c r="AH262" s="647"/>
      <c r="AI262" s="647"/>
      <c r="AJ262" s="647"/>
      <c r="AK262" s="647"/>
      <c r="AL262" s="647"/>
      <c r="AM262" s="647"/>
    </row>
    <row r="263" spans="1:39" ht="14.1" customHeight="1">
      <c r="A263" s="684" t="str">
        <f>A254</f>
        <v>UGEQEDN23210105526</v>
      </c>
      <c r="B263" s="685"/>
      <c r="C263" s="685"/>
      <c r="D263" s="685"/>
      <c r="E263" s="685"/>
      <c r="F263" s="686"/>
      <c r="G263" s="648" t="s">
        <v>730</v>
      </c>
      <c r="H263" s="648"/>
      <c r="I263" s="673"/>
      <c r="J263" s="655">
        <f>'Date masura OD'!$AK$5</f>
        <v>45748</v>
      </c>
      <c r="K263" s="656"/>
      <c r="L263" s="657"/>
      <c r="M263" s="720" t="s">
        <v>446</v>
      </c>
      <c r="N263" s="648"/>
      <c r="O263" s="648">
        <f>VLOOKUP(A263,Regularizare!$D:$AX,2,FALSE)</f>
        <v>30</v>
      </c>
      <c r="P263" s="648"/>
      <c r="Q263" s="648"/>
      <c r="R263" s="647" t="str">
        <f>VLOOKUP(A263,Regularizare!$D:$AX,23,FALSE)&amp;" ("&amp;VLOOKUP(A263,Regularizare!$D:$AX,24,FALSE)&amp;")"</f>
        <v>37 (citit)</v>
      </c>
      <c r="S263" s="647"/>
      <c r="T263" s="647"/>
      <c r="U263" s="647" t="str">
        <f>VLOOKUP(A263,Regularizare!$D:$AX,25,FALSE)&amp;" ("&amp;VLOOKUP(A263,Regularizare!$D:$AX,26,FALSE)&amp;")"</f>
        <v>201 (citit)</v>
      </c>
      <c r="V263" s="647"/>
      <c r="W263" s="647"/>
      <c r="X263" s="647" t="str">
        <f>VLOOKUP(A263,Regularizare!$D:$AX,37,FALSE)&amp;" ("&amp;VLOOKUP(A263,Regularizare!$D:$AX,26,FALSE)&amp;")"</f>
        <v>4920 (citit)</v>
      </c>
      <c r="Y263" s="647"/>
      <c r="Z263" s="647"/>
      <c r="AA263" s="647">
        <f>VLOOKUP(A263,Regularizare!$D:$AX,37,FALSE)</f>
        <v>4920</v>
      </c>
      <c r="AB263" s="647"/>
      <c r="AC263" s="647"/>
      <c r="AD263" s="647" t="s">
        <v>69</v>
      </c>
      <c r="AE263" s="647"/>
      <c r="AF263" s="647">
        <f>AA263</f>
        <v>4920</v>
      </c>
      <c r="AG263" s="647"/>
      <c r="AH263" s="647"/>
      <c r="AI263" s="647" t="str">
        <f>AI260</f>
        <v>-</v>
      </c>
      <c r="AJ263" s="647"/>
      <c r="AK263" s="647" t="str">
        <f>AK260</f>
        <v>-</v>
      </c>
      <c r="AL263" s="647"/>
      <c r="AM263" s="647"/>
    </row>
    <row r="264" spans="1:39" ht="8.4499999999999993" customHeight="1">
      <c r="A264" s="727"/>
      <c r="B264" s="729"/>
      <c r="C264" s="729"/>
      <c r="D264" s="729"/>
      <c r="E264" s="729"/>
      <c r="F264" s="728"/>
      <c r="G264" s="648"/>
      <c r="H264" s="648"/>
      <c r="I264" s="673"/>
      <c r="J264" s="717" t="s">
        <v>69</v>
      </c>
      <c r="K264" s="718"/>
      <c r="L264" s="719"/>
      <c r="M264" s="720"/>
      <c r="N264" s="648"/>
      <c r="O264" s="648"/>
      <c r="P264" s="648"/>
      <c r="Q264" s="648"/>
      <c r="R264" s="647"/>
      <c r="S264" s="647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647"/>
      <c r="AL264" s="647"/>
      <c r="AM264" s="647"/>
    </row>
    <row r="265" spans="1:39" ht="14.1" customHeight="1">
      <c r="A265" s="687"/>
      <c r="B265" s="688"/>
      <c r="C265" s="688"/>
      <c r="D265" s="688"/>
      <c r="E265" s="688"/>
      <c r="F265" s="689"/>
      <c r="G265" s="648"/>
      <c r="H265" s="648"/>
      <c r="I265" s="673"/>
      <c r="J265" s="714">
        <f>'Date masura OD'!$AL$5</f>
        <v>45777</v>
      </c>
      <c r="K265" s="715"/>
      <c r="L265" s="716"/>
      <c r="M265" s="720"/>
      <c r="N265" s="648"/>
      <c r="O265" s="648"/>
      <c r="P265" s="648"/>
      <c r="Q265" s="648"/>
      <c r="R265" s="647"/>
      <c r="S265" s="647"/>
      <c r="T265" s="647"/>
      <c r="U265" s="647"/>
      <c r="V265" s="647"/>
      <c r="W265" s="647"/>
      <c r="X265" s="647"/>
      <c r="Y265" s="647"/>
      <c r="Z265" s="647"/>
      <c r="AA265" s="647"/>
      <c r="AB265" s="647"/>
      <c r="AC265" s="647"/>
      <c r="AD265" s="647"/>
      <c r="AE265" s="647"/>
      <c r="AF265" s="647"/>
      <c r="AG265" s="647"/>
      <c r="AH265" s="647"/>
      <c r="AI265" s="647"/>
      <c r="AJ265" s="647"/>
      <c r="AK265" s="647"/>
      <c r="AL265" s="647"/>
      <c r="AM265" s="647"/>
    </row>
    <row r="266" spans="1:39" ht="14.1" customHeight="1">
      <c r="A266" s="684" t="str">
        <f>A254</f>
        <v>UGEQEDN23210105526</v>
      </c>
      <c r="B266" s="685"/>
      <c r="C266" s="685"/>
      <c r="D266" s="685"/>
      <c r="E266" s="685"/>
      <c r="F266" s="686"/>
      <c r="G266" s="648" t="s">
        <v>696</v>
      </c>
      <c r="H266" s="648"/>
      <c r="I266" s="648"/>
      <c r="J266" s="655">
        <f t="shared" ref="J266:J271" si="11">J263</f>
        <v>45748</v>
      </c>
      <c r="K266" s="656"/>
      <c r="L266" s="657"/>
      <c r="M266" s="648" t="s">
        <v>720</v>
      </c>
      <c r="N266" s="648"/>
      <c r="O266" s="648">
        <f>VLOOKUP(A266,Regularizare!$D:$AX,2,FALSE)</f>
        <v>30</v>
      </c>
      <c r="P266" s="648"/>
      <c r="Q266" s="648"/>
      <c r="R266" s="647" t="str">
        <f>VLOOKUP(A266,Regularizare!$D:$AX,29,FALSE)&amp;" ("&amp;VLOOKUP(A266,Regularizare!$D:$AX,30,FALSE)&amp;")"</f>
        <v>0 (citit)</v>
      </c>
      <c r="S266" s="647"/>
      <c r="T266" s="647"/>
      <c r="U266" s="647" t="str">
        <f>VLOOKUP(A266,Regularizare!$D:$AX,31,FALSE)&amp;" ("&amp;VLOOKUP(A266,Regularizare!$D:$AX,32,FALSE)&amp;")"</f>
        <v>0 (citit)</v>
      </c>
      <c r="V266" s="647"/>
      <c r="W266" s="647"/>
      <c r="X266" s="647" t="str">
        <f>VLOOKUP(A266,Regularizare!$D:$AX,39,FALSE)&amp;" ("&amp;VLOOKUP(A266,Regularizare!$D:$AX,32,FALSE)&amp;")"</f>
        <v>0 (citit)</v>
      </c>
      <c r="Y266" s="647"/>
      <c r="Z266" s="647"/>
      <c r="AA266" s="647">
        <f>VLOOKUP(A266,Regularizare!$D:$AX,44,FALSE)+VLOOKUP(A266,Regularizare!$D:$AX,45,FALSE)</f>
        <v>0</v>
      </c>
      <c r="AB266" s="647"/>
      <c r="AC266" s="647"/>
      <c r="AD266" s="647" t="s">
        <v>69</v>
      </c>
      <c r="AE266" s="647"/>
      <c r="AF266" s="647">
        <f>AA266</f>
        <v>0</v>
      </c>
      <c r="AG266" s="647"/>
      <c r="AH266" s="647"/>
      <c r="AI266" s="647" t="str">
        <f>AI263</f>
        <v>-</v>
      </c>
      <c r="AJ266" s="647"/>
      <c r="AK266" s="647" t="str">
        <f>AK263</f>
        <v>-</v>
      </c>
      <c r="AL266" s="647"/>
      <c r="AM266" s="647"/>
    </row>
    <row r="267" spans="1:39" ht="8.4499999999999993" customHeight="1">
      <c r="A267" s="727"/>
      <c r="B267" s="729"/>
      <c r="C267" s="729"/>
      <c r="D267" s="729"/>
      <c r="E267" s="729"/>
      <c r="F267" s="728"/>
      <c r="G267" s="648"/>
      <c r="H267" s="648"/>
      <c r="I267" s="648"/>
      <c r="J267" s="717" t="str">
        <f t="shared" si="11"/>
        <v>-</v>
      </c>
      <c r="K267" s="718"/>
      <c r="L267" s="719"/>
      <c r="M267" s="648"/>
      <c r="N267" s="648"/>
      <c r="O267" s="648"/>
      <c r="P267" s="648"/>
      <c r="Q267" s="648"/>
      <c r="R267" s="647"/>
      <c r="S267" s="647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</row>
    <row r="268" spans="1:39" ht="14.1" customHeight="1">
      <c r="A268" s="687"/>
      <c r="B268" s="688"/>
      <c r="C268" s="688"/>
      <c r="D268" s="688"/>
      <c r="E268" s="688"/>
      <c r="F268" s="689"/>
      <c r="G268" s="648"/>
      <c r="H268" s="648"/>
      <c r="I268" s="648"/>
      <c r="J268" s="714">
        <f t="shared" si="11"/>
        <v>45777</v>
      </c>
      <c r="K268" s="715"/>
      <c r="L268" s="716"/>
      <c r="M268" s="648"/>
      <c r="N268" s="648"/>
      <c r="O268" s="648"/>
      <c r="P268" s="648"/>
      <c r="Q268" s="648"/>
      <c r="R268" s="647"/>
      <c r="S268" s="647"/>
      <c r="T268" s="647"/>
      <c r="U268" s="647"/>
      <c r="V268" s="647"/>
      <c r="W268" s="647"/>
      <c r="X268" s="647"/>
      <c r="Y268" s="647"/>
      <c r="Z268" s="647"/>
      <c r="AA268" s="647"/>
      <c r="AB268" s="647"/>
      <c r="AC268" s="647"/>
      <c r="AD268" s="647"/>
      <c r="AE268" s="647"/>
      <c r="AF268" s="647"/>
      <c r="AG268" s="647"/>
      <c r="AH268" s="647"/>
      <c r="AI268" s="647"/>
      <c r="AJ268" s="647"/>
      <c r="AK268" s="647"/>
      <c r="AL268" s="647"/>
      <c r="AM268" s="647"/>
    </row>
    <row r="269" spans="1:39" ht="14.1" customHeight="1">
      <c r="A269" s="684" t="str">
        <f>A254</f>
        <v>UGEQEDN23210105526</v>
      </c>
      <c r="B269" s="685"/>
      <c r="C269" s="685"/>
      <c r="D269" s="685"/>
      <c r="E269" s="685"/>
      <c r="F269" s="686"/>
      <c r="G269" s="648" t="s">
        <v>731</v>
      </c>
      <c r="H269" s="648"/>
      <c r="I269" s="648"/>
      <c r="J269" s="655">
        <f t="shared" si="11"/>
        <v>45748</v>
      </c>
      <c r="K269" s="656"/>
      <c r="L269" s="657"/>
      <c r="M269" s="648" t="s">
        <v>720</v>
      </c>
      <c r="N269" s="648"/>
      <c r="O269" s="648">
        <f>VLOOKUP(A269,Regularizare!$D:$AX,2,FALSE)</f>
        <v>30</v>
      </c>
      <c r="P269" s="648"/>
      <c r="Q269" s="648"/>
      <c r="R269" s="647" t="str">
        <f>VLOOKUP(A269,Regularizare!$D:$AX,33,FALSE)&amp;" ("&amp;VLOOKUP(A269,Regularizare!$D:$AX,34,FALSE)&amp;")"</f>
        <v>0 (citit)</v>
      </c>
      <c r="S269" s="647"/>
      <c r="T269" s="647"/>
      <c r="U269" s="647" t="str">
        <f>VLOOKUP(A269,Regularizare!$D:$AX,35,FALSE)&amp;" ("&amp;VLOOKUP(A269,Regularizare!$D:$AX,36,FALSE)&amp;")"</f>
        <v>0 (citit)</v>
      </c>
      <c r="V269" s="647"/>
      <c r="W269" s="647"/>
      <c r="X269" s="647" t="str">
        <f>VLOOKUP(A269,Regularizare!$D:$AX,40,FALSE)&amp;" ("&amp;VLOOKUP(A269,Regularizare!$D:$AX,36,FALSE)&amp;")"</f>
        <v>0 (citit)</v>
      </c>
      <c r="Y269" s="647"/>
      <c r="Z269" s="647"/>
      <c r="AA269" s="647">
        <f>VLOOKUP(A269,Regularizare!$D:$AX,46,FALSE)+VLOOKUP(A269,Regularizare!$D:$AX,47,FALSE)</f>
        <v>0</v>
      </c>
      <c r="AB269" s="647"/>
      <c r="AC269" s="647"/>
      <c r="AD269" s="647" t="s">
        <v>69</v>
      </c>
      <c r="AE269" s="647"/>
      <c r="AF269" s="647">
        <f>AA269</f>
        <v>0</v>
      </c>
      <c r="AG269" s="647"/>
      <c r="AH269" s="647"/>
      <c r="AI269" s="647" t="str">
        <f>AI266</f>
        <v>-</v>
      </c>
      <c r="AJ269" s="647"/>
      <c r="AK269" s="647" t="str">
        <f>AK266</f>
        <v>-</v>
      </c>
      <c r="AL269" s="647"/>
      <c r="AM269" s="647"/>
    </row>
    <row r="270" spans="1:39" ht="8.4499999999999993" customHeight="1">
      <c r="A270" s="727"/>
      <c r="B270" s="729"/>
      <c r="C270" s="729"/>
      <c r="D270" s="729"/>
      <c r="E270" s="729"/>
      <c r="F270" s="728"/>
      <c r="G270" s="648"/>
      <c r="H270" s="648"/>
      <c r="I270" s="648"/>
      <c r="J270" s="717" t="str">
        <f t="shared" si="11"/>
        <v>-</v>
      </c>
      <c r="K270" s="718"/>
      <c r="L270" s="719"/>
      <c r="M270" s="648"/>
      <c r="N270" s="648"/>
      <c r="O270" s="648"/>
      <c r="P270" s="648"/>
      <c r="Q270" s="648"/>
      <c r="R270" s="647"/>
      <c r="S270" s="647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647"/>
      <c r="AL270" s="647"/>
      <c r="AM270" s="647"/>
    </row>
    <row r="271" spans="1:39" ht="14.1" customHeight="1">
      <c r="A271" s="687"/>
      <c r="B271" s="688"/>
      <c r="C271" s="688"/>
      <c r="D271" s="688"/>
      <c r="E271" s="688"/>
      <c r="F271" s="689"/>
      <c r="G271" s="648"/>
      <c r="H271" s="648"/>
      <c r="I271" s="648"/>
      <c r="J271" s="714">
        <f t="shared" si="11"/>
        <v>45777</v>
      </c>
      <c r="K271" s="715"/>
      <c r="L271" s="716"/>
      <c r="M271" s="648"/>
      <c r="N271" s="648"/>
      <c r="O271" s="648"/>
      <c r="P271" s="648"/>
      <c r="Q271" s="648"/>
      <c r="R271" s="647"/>
      <c r="S271" s="647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</row>
    <row r="272" spans="1:39" ht="14.1" customHeight="1">
      <c r="A272" s="684" t="str">
        <f>A254</f>
        <v>UGEQEDN23210105526</v>
      </c>
      <c r="B272" s="685"/>
      <c r="C272" s="685"/>
      <c r="D272" s="685"/>
      <c r="E272" s="685"/>
      <c r="F272" s="686"/>
      <c r="G272" s="648" t="s">
        <v>730</v>
      </c>
      <c r="H272" s="648"/>
      <c r="I272" s="673"/>
      <c r="J272" s="655">
        <f>'Date masura OD'!$I$5</f>
        <v>45778</v>
      </c>
      <c r="K272" s="656"/>
      <c r="L272" s="657"/>
      <c r="M272" s="720" t="s">
        <v>446</v>
      </c>
      <c r="N272" s="648"/>
      <c r="O272" s="648">
        <f>VLOOKUP(A272,Regularizare!$D:$AX,2,FALSE)</f>
        <v>30</v>
      </c>
      <c r="P272" s="648"/>
      <c r="Q272" s="648"/>
      <c r="R272" s="647" t="str">
        <f>U263</f>
        <v>201 (citit)</v>
      </c>
      <c r="S272" s="647"/>
      <c r="T272" s="647"/>
      <c r="U272" s="647" t="str">
        <f>VLOOKUP(A272,'Incrementare indexe'!$D:$M,4,FALSE)&amp;" (estimat)"</f>
        <v>346 (estimat)</v>
      </c>
      <c r="V272" s="647"/>
      <c r="W272" s="647"/>
      <c r="X272" s="647" t="str">
        <f>VLOOKUP(A272,'Incrementare indexe'!$D:$Q,11,FALSE)&amp;" (estimat)"</f>
        <v>4350 (estimat)</v>
      </c>
      <c r="Y272" s="647"/>
      <c r="Z272" s="647"/>
      <c r="AA272" s="647" t="s">
        <v>69</v>
      </c>
      <c r="AB272" s="647"/>
      <c r="AC272" s="647"/>
      <c r="AD272" s="647" t="s">
        <v>69</v>
      </c>
      <c r="AE272" s="647"/>
      <c r="AF272" s="647">
        <f>VLOOKUP(A272,'Incrementare indexe'!$D:$Q,11,FALSE)</f>
        <v>4350</v>
      </c>
      <c r="AG272" s="647"/>
      <c r="AH272" s="647"/>
      <c r="AI272" s="647">
        <f>J274-J272+1</f>
        <v>31</v>
      </c>
      <c r="AJ272" s="647"/>
      <c r="AK272" s="647">
        <f>ROUND(AF272/AI272,2)</f>
        <v>140.32</v>
      </c>
      <c r="AL272" s="647"/>
      <c r="AM272" s="647"/>
    </row>
    <row r="273" spans="1:39" ht="8.4499999999999993" customHeight="1">
      <c r="A273" s="727"/>
      <c r="B273" s="729"/>
      <c r="C273" s="729"/>
      <c r="D273" s="729"/>
      <c r="E273" s="729"/>
      <c r="F273" s="728"/>
      <c r="G273" s="648"/>
      <c r="H273" s="648"/>
      <c r="I273" s="673"/>
      <c r="J273" s="717" t="s">
        <v>69</v>
      </c>
      <c r="K273" s="718"/>
      <c r="L273" s="719"/>
      <c r="M273" s="720"/>
      <c r="N273" s="648"/>
      <c r="O273" s="648"/>
      <c r="P273" s="648"/>
      <c r="Q273" s="648"/>
      <c r="R273" s="647"/>
      <c r="S273" s="647"/>
      <c r="T273" s="647"/>
      <c r="U273" s="647"/>
      <c r="V273" s="647"/>
      <c r="W273" s="647"/>
      <c r="X273" s="647"/>
      <c r="Y273" s="647"/>
      <c r="Z273" s="647"/>
      <c r="AA273" s="647"/>
      <c r="AB273" s="647"/>
      <c r="AC273" s="647"/>
      <c r="AD273" s="647"/>
      <c r="AE273" s="647"/>
      <c r="AF273" s="647"/>
      <c r="AG273" s="647"/>
      <c r="AH273" s="647"/>
      <c r="AI273" s="647"/>
      <c r="AJ273" s="647"/>
      <c r="AK273" s="647"/>
      <c r="AL273" s="647"/>
      <c r="AM273" s="647"/>
    </row>
    <row r="274" spans="1:39" ht="14.1" customHeight="1">
      <c r="A274" s="687"/>
      <c r="B274" s="688"/>
      <c r="C274" s="688"/>
      <c r="D274" s="688"/>
      <c r="E274" s="688"/>
      <c r="F274" s="689"/>
      <c r="G274" s="648"/>
      <c r="H274" s="648"/>
      <c r="I274" s="673"/>
      <c r="J274" s="714">
        <f>'Date masura OD'!$J$5</f>
        <v>45808</v>
      </c>
      <c r="K274" s="715"/>
      <c r="L274" s="716"/>
      <c r="M274" s="720"/>
      <c r="N274" s="648"/>
      <c r="O274" s="648"/>
      <c r="P274" s="648"/>
      <c r="Q274" s="648"/>
      <c r="R274" s="647"/>
      <c r="S274" s="647"/>
      <c r="T274" s="647"/>
      <c r="U274" s="647"/>
      <c r="V274" s="647"/>
      <c r="W274" s="647"/>
      <c r="X274" s="647"/>
      <c r="Y274" s="647"/>
      <c r="Z274" s="647"/>
      <c r="AA274" s="647"/>
      <c r="AB274" s="647"/>
      <c r="AC274" s="647"/>
      <c r="AD274" s="647"/>
      <c r="AE274" s="647"/>
      <c r="AF274" s="647"/>
      <c r="AG274" s="647"/>
      <c r="AH274" s="647"/>
      <c r="AI274" s="647"/>
      <c r="AJ274" s="647"/>
      <c r="AK274" s="647"/>
      <c r="AL274" s="647"/>
      <c r="AM274" s="647"/>
    </row>
    <row r="275" spans="1:39" ht="14.1" customHeight="1">
      <c r="A275" s="684" t="str">
        <f>A272</f>
        <v>UGEQEDN23210105526</v>
      </c>
      <c r="B275" s="685"/>
      <c r="C275" s="685"/>
      <c r="D275" s="685"/>
      <c r="E275" s="685"/>
      <c r="F275" s="686"/>
      <c r="G275" s="648" t="s">
        <v>696</v>
      </c>
      <c r="H275" s="648"/>
      <c r="I275" s="648"/>
      <c r="J275" s="655">
        <f>'Date masura OD'!$I$5</f>
        <v>45778</v>
      </c>
      <c r="K275" s="656"/>
      <c r="L275" s="657"/>
      <c r="M275" s="648" t="s">
        <v>720</v>
      </c>
      <c r="N275" s="648"/>
      <c r="O275" s="648">
        <f>VLOOKUP(A275,Regularizare!$D:$AX,2,FALSE)</f>
        <v>30</v>
      </c>
      <c r="P275" s="648"/>
      <c r="Q275" s="648"/>
      <c r="R275" s="684" t="str">
        <f>U266</f>
        <v>0 (citit)</v>
      </c>
      <c r="S275" s="685"/>
      <c r="T275" s="686"/>
      <c r="U275" s="647" t="str">
        <f>VLOOKUP(A275,'Incrementare indexe'!$D:$M,8,FALSE)&amp;" (estimat)"</f>
        <v>0 (estimat)</v>
      </c>
      <c r="V275" s="647"/>
      <c r="W275" s="647"/>
      <c r="X275" s="647" t="str">
        <f>VLOOKUP(A275,'Incrementare indexe'!$D:$Q,12,FALSE)&amp;" (estimat)"</f>
        <v>0 (estimat)</v>
      </c>
      <c r="Y275" s="647"/>
      <c r="Z275" s="647"/>
      <c r="AA275" s="647" t="s">
        <v>69</v>
      </c>
      <c r="AB275" s="647"/>
      <c r="AC275" s="647"/>
      <c r="AD275" s="647" t="s">
        <v>69</v>
      </c>
      <c r="AE275" s="647"/>
      <c r="AF275" s="647">
        <f>VLOOKUP(A275,'Incrementare indexe'!$D:$Q,12,FALSE)</f>
        <v>0</v>
      </c>
      <c r="AG275" s="647"/>
      <c r="AH275" s="647"/>
      <c r="AI275" s="647">
        <f>AI272</f>
        <v>31</v>
      </c>
      <c r="AJ275" s="647"/>
      <c r="AK275" s="647">
        <f>ROUND(AF275/AI275,2)</f>
        <v>0</v>
      </c>
      <c r="AL275" s="647"/>
      <c r="AM275" s="647"/>
    </row>
    <row r="276" spans="1:39" ht="8.4499999999999993" customHeight="1">
      <c r="A276" s="727"/>
      <c r="B276" s="729"/>
      <c r="C276" s="729"/>
      <c r="D276" s="729"/>
      <c r="E276" s="729"/>
      <c r="F276" s="728"/>
      <c r="G276" s="648"/>
      <c r="H276" s="648"/>
      <c r="I276" s="648"/>
      <c r="J276" s="717" t="s">
        <v>69</v>
      </c>
      <c r="K276" s="718"/>
      <c r="L276" s="719"/>
      <c r="M276" s="648"/>
      <c r="N276" s="648"/>
      <c r="O276" s="648"/>
      <c r="P276" s="648"/>
      <c r="Q276" s="648"/>
      <c r="R276" s="727"/>
      <c r="S276" s="729"/>
      <c r="T276" s="728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647"/>
      <c r="AL276" s="647"/>
      <c r="AM276" s="647"/>
    </row>
    <row r="277" spans="1:39" ht="14.1" customHeight="1">
      <c r="A277" s="687"/>
      <c r="B277" s="688"/>
      <c r="C277" s="688"/>
      <c r="D277" s="688"/>
      <c r="E277" s="688"/>
      <c r="F277" s="689"/>
      <c r="G277" s="648"/>
      <c r="H277" s="648"/>
      <c r="I277" s="648"/>
      <c r="J277" s="714">
        <f>'Date masura OD'!$J$5</f>
        <v>45808</v>
      </c>
      <c r="K277" s="715"/>
      <c r="L277" s="716"/>
      <c r="M277" s="648"/>
      <c r="N277" s="648"/>
      <c r="O277" s="648"/>
      <c r="P277" s="648"/>
      <c r="Q277" s="648"/>
      <c r="R277" s="687"/>
      <c r="S277" s="688"/>
      <c r="T277" s="689"/>
      <c r="U277" s="647"/>
      <c r="V277" s="647"/>
      <c r="W277" s="647"/>
      <c r="X277" s="647"/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647"/>
      <c r="AL277" s="647"/>
      <c r="AM277" s="647"/>
    </row>
    <row r="278" spans="1:39" ht="14.1" customHeight="1">
      <c r="A278" s="684" t="str">
        <f>A275</f>
        <v>UGEQEDN23210105526</v>
      </c>
      <c r="B278" s="685"/>
      <c r="C278" s="685"/>
      <c r="D278" s="685"/>
      <c r="E278" s="685"/>
      <c r="F278" s="686"/>
      <c r="G278" s="648" t="s">
        <v>731</v>
      </c>
      <c r="H278" s="648"/>
      <c r="I278" s="648"/>
      <c r="J278" s="655">
        <f>'Date masura OD'!$I$5</f>
        <v>45778</v>
      </c>
      <c r="K278" s="656"/>
      <c r="L278" s="657"/>
      <c r="M278" s="648" t="s">
        <v>720</v>
      </c>
      <c r="N278" s="648"/>
      <c r="O278" s="648">
        <f>VLOOKUP(A278,Regularizare!$D:$AX,2,FALSE)</f>
        <v>30</v>
      </c>
      <c r="P278" s="648"/>
      <c r="Q278" s="648"/>
      <c r="R278" s="647" t="str">
        <f>U269</f>
        <v>0 (citit)</v>
      </c>
      <c r="S278" s="647"/>
      <c r="T278" s="647"/>
      <c r="U278" s="647" t="str">
        <f>VLOOKUP(A278,'Incrementare indexe'!$D:$M,10,FALSE)&amp;" (estimat)"</f>
        <v>0 (estimat)</v>
      </c>
      <c r="V278" s="647"/>
      <c r="W278" s="647"/>
      <c r="X278" s="647" t="str">
        <f>VLOOKUP(A278,'Incrementare indexe'!$D:$Q,13,FALSE)&amp;" (estimat)"</f>
        <v>0 (estimat)</v>
      </c>
      <c r="Y278" s="647"/>
      <c r="Z278" s="647"/>
      <c r="AA278" s="647" t="s">
        <v>69</v>
      </c>
      <c r="AB278" s="647"/>
      <c r="AC278" s="647"/>
      <c r="AD278" s="647" t="s">
        <v>69</v>
      </c>
      <c r="AE278" s="647"/>
      <c r="AF278" s="647">
        <f>VLOOKUP(A278,'Incrementare indexe'!$D:$Q,13,FALSE)</f>
        <v>0</v>
      </c>
      <c r="AG278" s="647"/>
      <c r="AH278" s="647"/>
      <c r="AI278" s="647">
        <f>AI275</f>
        <v>31</v>
      </c>
      <c r="AJ278" s="647"/>
      <c r="AK278" s="647">
        <f>ROUND(AF278/AI278,2)</f>
        <v>0</v>
      </c>
      <c r="AL278" s="647"/>
      <c r="AM278" s="647"/>
    </row>
    <row r="279" spans="1:39" ht="8.4499999999999993" customHeight="1">
      <c r="A279" s="727"/>
      <c r="B279" s="729"/>
      <c r="C279" s="729"/>
      <c r="D279" s="729"/>
      <c r="E279" s="729"/>
      <c r="F279" s="728"/>
      <c r="G279" s="648"/>
      <c r="H279" s="648"/>
      <c r="I279" s="648"/>
      <c r="J279" s="717" t="s">
        <v>69</v>
      </c>
      <c r="K279" s="718"/>
      <c r="L279" s="719"/>
      <c r="M279" s="648"/>
      <c r="N279" s="648"/>
      <c r="O279" s="648"/>
      <c r="P279" s="648"/>
      <c r="Q279" s="648"/>
      <c r="R279" s="647"/>
      <c r="S279" s="647"/>
      <c r="T279" s="647"/>
      <c r="U279" s="647"/>
      <c r="V279" s="647"/>
      <c r="W279" s="647"/>
      <c r="X279" s="647"/>
      <c r="Y279" s="647"/>
      <c r="Z279" s="647"/>
      <c r="AA279" s="647"/>
      <c r="AB279" s="647"/>
      <c r="AC279" s="647"/>
      <c r="AD279" s="647"/>
      <c r="AE279" s="647"/>
      <c r="AF279" s="647"/>
      <c r="AG279" s="647"/>
      <c r="AH279" s="647"/>
      <c r="AI279" s="647"/>
      <c r="AJ279" s="647"/>
      <c r="AK279" s="647"/>
      <c r="AL279" s="647"/>
      <c r="AM279" s="647"/>
    </row>
    <row r="280" spans="1:39" ht="14.1" customHeight="1">
      <c r="A280" s="687"/>
      <c r="B280" s="688"/>
      <c r="C280" s="688"/>
      <c r="D280" s="688"/>
      <c r="E280" s="688"/>
      <c r="F280" s="689"/>
      <c r="G280" s="648"/>
      <c r="H280" s="648"/>
      <c r="I280" s="648"/>
      <c r="J280" s="714">
        <f>'Date masura OD'!$J$5</f>
        <v>45808</v>
      </c>
      <c r="K280" s="715"/>
      <c r="L280" s="716"/>
      <c r="M280" s="648"/>
      <c r="N280" s="648"/>
      <c r="O280" s="648"/>
      <c r="P280" s="648"/>
      <c r="Q280" s="648"/>
      <c r="R280" s="647"/>
      <c r="S280" s="647"/>
      <c r="T280" s="647"/>
      <c r="U280" s="647"/>
      <c r="V280" s="647"/>
      <c r="W280" s="647"/>
      <c r="X280" s="647"/>
      <c r="Y280" s="647"/>
      <c r="Z280" s="647"/>
      <c r="AA280" s="647"/>
      <c r="AB280" s="647"/>
      <c r="AC280" s="647"/>
      <c r="AD280" s="647"/>
      <c r="AE280" s="647"/>
      <c r="AF280" s="647"/>
      <c r="AG280" s="647"/>
      <c r="AH280" s="647"/>
      <c r="AI280" s="647"/>
      <c r="AJ280" s="647"/>
      <c r="AK280" s="647"/>
      <c r="AL280" s="647"/>
      <c r="AM280" s="647"/>
    </row>
    <row r="281" spans="1:39" ht="14.1" customHeight="1">
      <c r="A281" s="196"/>
      <c r="B281" s="196"/>
      <c r="C281" s="196"/>
      <c r="D281" s="196"/>
      <c r="E281" s="196"/>
      <c r="F281" s="196"/>
      <c r="G281" s="196"/>
      <c r="H281" s="196"/>
      <c r="I281" s="196"/>
      <c r="J281" s="197"/>
      <c r="K281" s="197"/>
      <c r="L281" s="197"/>
      <c r="M281" s="196"/>
      <c r="N281" s="196"/>
      <c r="O281" s="196"/>
      <c r="P281" s="196"/>
      <c r="Q281" s="196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</row>
    <row r="282" spans="1:39" ht="14.1" customHeight="1">
      <c r="A282" s="196"/>
      <c r="B282" s="196"/>
      <c r="C282" s="196"/>
      <c r="D282" s="196"/>
      <c r="E282" s="196"/>
      <c r="F282" s="196"/>
      <c r="G282" s="196"/>
      <c r="H282" s="196"/>
      <c r="I282" s="196"/>
      <c r="J282" s="197"/>
      <c r="K282" s="197"/>
      <c r="L282" s="197"/>
      <c r="M282" s="196"/>
      <c r="N282" s="196"/>
      <c r="O282" s="196"/>
      <c r="P282" s="196"/>
      <c r="Q282" s="196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</row>
    <row r="283" spans="1:39" ht="14.1" customHeight="1">
      <c r="A283" s="196"/>
      <c r="B283" s="196"/>
      <c r="C283" s="196"/>
      <c r="D283" s="196"/>
      <c r="E283" s="196"/>
      <c r="F283" s="196"/>
      <c r="G283" s="196"/>
      <c r="H283" s="196"/>
      <c r="I283" s="196"/>
      <c r="J283" s="197"/>
      <c r="K283" s="197"/>
      <c r="L283" s="197"/>
      <c r="M283" s="196"/>
      <c r="N283" s="196"/>
      <c r="O283" s="196"/>
      <c r="P283" s="196"/>
      <c r="Q283" s="196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</row>
    <row r="284" spans="1:39" ht="14.1" customHeight="1">
      <c r="A284" s="196"/>
      <c r="B284" s="196"/>
      <c r="C284" s="196"/>
      <c r="D284" s="196"/>
      <c r="E284" s="196"/>
      <c r="F284" s="196"/>
      <c r="G284" s="196"/>
      <c r="H284" s="196"/>
      <c r="I284" s="196"/>
      <c r="J284" s="197"/>
      <c r="K284" s="197"/>
      <c r="L284" s="197"/>
      <c r="M284" s="196"/>
      <c r="N284" s="196"/>
      <c r="O284" s="196"/>
      <c r="P284" s="196"/>
      <c r="Q284" s="196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</row>
    <row r="285" spans="1:39" ht="14.1" customHeight="1">
      <c r="A285" s="196"/>
      <c r="B285" s="196"/>
      <c r="C285" s="196"/>
      <c r="D285" s="196"/>
      <c r="E285" s="196"/>
      <c r="F285" s="196"/>
      <c r="G285" s="196"/>
      <c r="H285" s="196"/>
      <c r="I285" s="196"/>
      <c r="J285" s="197"/>
      <c r="K285" s="197"/>
      <c r="L285" s="197"/>
      <c r="M285" s="196"/>
      <c r="N285" s="196"/>
      <c r="O285" s="196"/>
      <c r="P285" s="196"/>
      <c r="Q285" s="196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</row>
    <row r="286" spans="1:39" ht="14.1" customHeight="1">
      <c r="A286" s="196"/>
      <c r="B286" s="196"/>
      <c r="C286" s="196"/>
      <c r="D286" s="196"/>
      <c r="E286" s="196"/>
      <c r="F286" s="196"/>
      <c r="G286" s="196"/>
      <c r="H286" s="196"/>
      <c r="I286" s="196"/>
      <c r="J286" s="197"/>
      <c r="K286" s="197"/>
      <c r="L286" s="197"/>
      <c r="M286" s="196"/>
      <c r="N286" s="196"/>
      <c r="O286" s="196"/>
      <c r="P286" s="196"/>
      <c r="Q286" s="196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</row>
    <row r="287" spans="1:39" ht="14.1" customHeight="1">
      <c r="A287" s="196"/>
      <c r="B287" s="196"/>
      <c r="C287" s="196"/>
      <c r="D287" s="196"/>
      <c r="E287" s="196"/>
      <c r="F287" s="196"/>
      <c r="G287" s="196"/>
      <c r="H287" s="196"/>
      <c r="I287" s="196"/>
      <c r="J287" s="197"/>
      <c r="K287" s="197"/>
      <c r="L287" s="197"/>
      <c r="M287" s="196"/>
      <c r="N287" s="196"/>
      <c r="O287" s="196"/>
      <c r="P287" s="196"/>
      <c r="Q287" s="196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</row>
    <row r="288" spans="1:39" ht="14.1" customHeight="1">
      <c r="A288" s="196"/>
      <c r="B288" s="196"/>
      <c r="C288" s="196"/>
      <c r="D288" s="196"/>
      <c r="E288" s="196"/>
      <c r="F288" s="196"/>
      <c r="G288" s="196"/>
      <c r="H288" s="196"/>
      <c r="I288" s="196"/>
      <c r="J288" s="197"/>
      <c r="K288" s="197"/>
      <c r="L288" s="197"/>
      <c r="M288" s="196"/>
      <c r="N288" s="196"/>
      <c r="O288" s="196"/>
      <c r="P288" s="196"/>
      <c r="Q288" s="196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</row>
    <row r="289" spans="1:39" ht="14.1" customHeight="1">
      <c r="A289" s="196"/>
      <c r="B289" s="196"/>
      <c r="C289" s="196"/>
      <c r="D289" s="196"/>
      <c r="E289" s="196"/>
      <c r="F289" s="196"/>
      <c r="G289" s="196"/>
      <c r="H289" s="196"/>
      <c r="I289" s="196"/>
      <c r="J289" s="197"/>
      <c r="K289" s="197"/>
      <c r="L289" s="197"/>
      <c r="M289" s="196"/>
      <c r="N289" s="196"/>
      <c r="O289" s="196"/>
      <c r="P289" s="196"/>
      <c r="Q289" s="196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</row>
    <row r="290" spans="1:39" ht="14.1" customHeight="1">
      <c r="A290" s="196"/>
      <c r="B290" s="196"/>
      <c r="C290" s="196"/>
      <c r="D290" s="196"/>
      <c r="E290" s="196"/>
      <c r="F290" s="196"/>
      <c r="G290" s="196"/>
      <c r="H290" s="196"/>
      <c r="I290" s="196"/>
      <c r="J290" s="197"/>
      <c r="K290" s="197"/>
      <c r="L290" s="197"/>
      <c r="M290" s="196"/>
      <c r="N290" s="196"/>
      <c r="O290" s="196"/>
      <c r="P290" s="196"/>
      <c r="Q290" s="196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</row>
    <row r="291" spans="1:39" ht="14.1" customHeight="1">
      <c r="A291" s="196"/>
      <c r="B291" s="196"/>
      <c r="C291" s="196"/>
      <c r="D291" s="196"/>
      <c r="E291" s="196"/>
      <c r="F291" s="196"/>
      <c r="G291" s="196"/>
      <c r="H291" s="196"/>
      <c r="I291" s="196"/>
      <c r="J291" s="197"/>
      <c r="K291" s="197"/>
      <c r="L291" s="197"/>
      <c r="M291" s="196"/>
      <c r="N291" s="196"/>
      <c r="O291" s="196"/>
      <c r="P291" s="196"/>
      <c r="Q291" s="196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</row>
    <row r="292" spans="1:39" ht="14.1" customHeight="1"/>
    <row r="293" spans="1:39" ht="15.95" customHeight="1">
      <c r="A293" s="624" t="str">
        <f>A28</f>
        <v>DETALII FACTURA FACTURA FISCALA SERIA …........ NR …................. din date de ….......06.2025</v>
      </c>
      <c r="B293" s="624"/>
      <c r="C293" s="624"/>
      <c r="D293" s="624"/>
      <c r="E293" s="624"/>
      <c r="F293" s="624"/>
      <c r="G293" s="624"/>
      <c r="H293" s="624"/>
      <c r="I293" s="624"/>
      <c r="J293" s="624"/>
      <c r="K293" s="624"/>
      <c r="L293" s="624"/>
      <c r="M293" s="624"/>
      <c r="N293" s="624"/>
      <c r="O293" s="624"/>
      <c r="P293" s="624"/>
      <c r="Q293" s="624"/>
      <c r="R293" s="624"/>
      <c r="S293" s="624"/>
      <c r="T293" s="624"/>
      <c r="U293" s="624"/>
      <c r="V293" s="624"/>
      <c r="W293" s="624"/>
      <c r="X293" s="624"/>
      <c r="Y293" s="624"/>
      <c r="Z293" s="624"/>
      <c r="AA293" s="624"/>
      <c r="AB293" s="624"/>
      <c r="AC293" s="624"/>
      <c r="AD293" s="624"/>
      <c r="AE293" s="624"/>
      <c r="AF293" s="624"/>
      <c r="AG293" s="624"/>
      <c r="AH293" s="624"/>
      <c r="AI293" s="624"/>
      <c r="AJ293" s="624"/>
      <c r="AK293" s="624"/>
      <c r="AL293" s="624"/>
      <c r="AM293" s="624"/>
    </row>
    <row r="295" spans="1:39" ht="36" customHeight="1">
      <c r="A295" s="66" t="s">
        <v>721</v>
      </c>
      <c r="B295" s="673" t="s">
        <v>95</v>
      </c>
      <c r="C295" s="674"/>
      <c r="D295" s="674"/>
      <c r="E295" s="674"/>
      <c r="F295" s="674"/>
      <c r="G295" s="674"/>
      <c r="H295" s="674"/>
      <c r="I295" s="674"/>
      <c r="J295" s="674"/>
      <c r="K295" s="720"/>
      <c r="L295" s="64" t="s">
        <v>709</v>
      </c>
      <c r="M295" s="69"/>
      <c r="N295" s="69"/>
      <c r="O295" s="64"/>
      <c r="P295" s="69"/>
      <c r="Q295" s="69"/>
      <c r="R295" s="675" t="s">
        <v>722</v>
      </c>
      <c r="S295" s="676"/>
      <c r="T295" s="676"/>
      <c r="U295" s="677"/>
      <c r="V295" s="673" t="s">
        <v>519</v>
      </c>
      <c r="W295" s="720"/>
      <c r="X295" s="675" t="s">
        <v>723</v>
      </c>
      <c r="Y295" s="676"/>
      <c r="Z295" s="676"/>
      <c r="AA295" s="677"/>
      <c r="AB295" s="675" t="s">
        <v>724</v>
      </c>
      <c r="AC295" s="676"/>
      <c r="AD295" s="676"/>
      <c r="AE295" s="677"/>
      <c r="AF295" s="675" t="s">
        <v>725</v>
      </c>
      <c r="AG295" s="676"/>
      <c r="AH295" s="676"/>
      <c r="AI295" s="677"/>
      <c r="AJ295" s="675" t="s">
        <v>726</v>
      </c>
      <c r="AK295" s="676"/>
      <c r="AL295" s="676"/>
      <c r="AM295" s="677"/>
    </row>
    <row r="296" spans="1:39" ht="15.95" customHeight="1">
      <c r="A296" s="65">
        <v>1</v>
      </c>
      <c r="B296" s="699" t="s">
        <v>71</v>
      </c>
      <c r="C296" s="700"/>
      <c r="D296" s="700"/>
      <c r="E296" s="700"/>
      <c r="F296" s="700"/>
      <c r="G296" s="700"/>
      <c r="H296" s="700"/>
      <c r="I296" s="700"/>
      <c r="J296" s="700"/>
      <c r="K296" s="701"/>
      <c r="L296" s="702">
        <f>'Date masura OD'!$I$5</f>
        <v>45778</v>
      </c>
      <c r="M296" s="702"/>
      <c r="N296" s="702"/>
      <c r="O296" s="702">
        <f>'Date masura OD'!$J$5</f>
        <v>45808</v>
      </c>
      <c r="P296" s="702"/>
      <c r="Q296" s="702"/>
      <c r="R296" s="690" cm="1">
        <f t="array" ref="R296">INDEX(verificare!$AT$4:$CC$33,VLOOKUP($AA$16,verificare!$AR$4:$AS$33,2,FALSE),A296)</f>
        <v>13243</v>
      </c>
      <c r="S296" s="690"/>
      <c r="T296" s="690"/>
      <c r="U296" s="690"/>
      <c r="V296" s="658" t="s">
        <v>446</v>
      </c>
      <c r="W296" s="658"/>
      <c r="X296" s="691">
        <f>HLOOKUP(VLOOKUP($AA$16,'Date SPV'!$B:$F,5,FALSE),'Preturi si tarife'!$C$2:$J$39,A296+2,FALSE)</f>
        <v>0.59499999999999997</v>
      </c>
      <c r="Y296" s="692"/>
      <c r="Z296" s="692"/>
      <c r="AA296" s="693"/>
      <c r="AB296" s="690">
        <f>ROUND(X296*R296,2)</f>
        <v>7879.59</v>
      </c>
      <c r="AC296" s="690"/>
      <c r="AD296" s="690"/>
      <c r="AE296" s="690"/>
      <c r="AF296" s="690">
        <f>ROUND(AB296*19%,2)</f>
        <v>1497.12</v>
      </c>
      <c r="AG296" s="690"/>
      <c r="AH296" s="690"/>
      <c r="AI296" s="690"/>
      <c r="AJ296" s="690">
        <f>AB296+AF296</f>
        <v>9376.7099999999991</v>
      </c>
      <c r="AK296" s="690"/>
      <c r="AL296" s="690"/>
      <c r="AM296" s="690"/>
    </row>
    <row r="297" spans="1:39" ht="15.95" customHeight="1">
      <c r="A297" s="65">
        <f>A296+1</f>
        <v>2</v>
      </c>
      <c r="B297" s="699" t="s">
        <v>72</v>
      </c>
      <c r="C297" s="700"/>
      <c r="D297" s="700"/>
      <c r="E297" s="700"/>
      <c r="F297" s="700"/>
      <c r="G297" s="700"/>
      <c r="H297" s="700"/>
      <c r="I297" s="700"/>
      <c r="J297" s="700"/>
      <c r="K297" s="701"/>
      <c r="L297" s="702">
        <f>L296</f>
        <v>45778</v>
      </c>
      <c r="M297" s="702"/>
      <c r="N297" s="702"/>
      <c r="O297" s="702">
        <f>O296</f>
        <v>45808</v>
      </c>
      <c r="P297" s="702"/>
      <c r="Q297" s="702"/>
      <c r="R297" s="690" cm="1">
        <f t="array" ref="R297">INDEX(verificare!$AT$4:$CC$33,VLOOKUP($AA$16,verificare!$AR$4:$AS$33,2,FALSE),A297)</f>
        <v>0</v>
      </c>
      <c r="S297" s="690"/>
      <c r="T297" s="690"/>
      <c r="U297" s="690"/>
      <c r="V297" s="658" t="s">
        <v>727</v>
      </c>
      <c r="W297" s="658"/>
      <c r="X297" s="691">
        <f>HLOOKUP(VLOOKUP($AA$16,'Date SPV'!$B:$F,5,FALSE),'Preturi si tarife'!$C$2:$J$39,A297+2,FALSE)</f>
        <v>0.14660000000000001</v>
      </c>
      <c r="Y297" s="692"/>
      <c r="Z297" s="692"/>
      <c r="AA297" s="693"/>
      <c r="AB297" s="690">
        <f t="shared" ref="AB297:AB323" si="12">ROUND(X297*R297,2)</f>
        <v>0</v>
      </c>
      <c r="AC297" s="690"/>
      <c r="AD297" s="690"/>
      <c r="AE297" s="690"/>
      <c r="AF297" s="690">
        <f t="shared" ref="AF297:AF323" si="13">ROUND(AB297*19%,2)</f>
        <v>0</v>
      </c>
      <c r="AG297" s="690"/>
      <c r="AH297" s="690"/>
      <c r="AI297" s="690"/>
      <c r="AJ297" s="690">
        <f t="shared" ref="AJ297:AJ323" si="14">AB297+AF297</f>
        <v>0</v>
      </c>
      <c r="AK297" s="690"/>
      <c r="AL297" s="690"/>
      <c r="AM297" s="690"/>
    </row>
    <row r="298" spans="1:39" ht="15.95" customHeight="1">
      <c r="A298" s="65">
        <f t="shared" ref="A298:A333" si="15">A297+1</f>
        <v>3</v>
      </c>
      <c r="B298" s="699" t="s">
        <v>73</v>
      </c>
      <c r="C298" s="700"/>
      <c r="D298" s="700"/>
      <c r="E298" s="700"/>
      <c r="F298" s="700"/>
      <c r="G298" s="700"/>
      <c r="H298" s="700"/>
      <c r="I298" s="700"/>
      <c r="J298" s="700"/>
      <c r="K298" s="701"/>
      <c r="L298" s="702">
        <f t="shared" ref="L298:L306" si="16">L297</f>
        <v>45778</v>
      </c>
      <c r="M298" s="702"/>
      <c r="N298" s="702"/>
      <c r="O298" s="702">
        <f t="shared" ref="O298:O306" si="17">O297</f>
        <v>45808</v>
      </c>
      <c r="P298" s="702"/>
      <c r="Q298" s="702"/>
      <c r="R298" s="690" cm="1">
        <f t="array" ref="R298">INDEX(verificare!$AT$4:$CC$33,VLOOKUP($AA$16,verificare!$AR$4:$AS$33,2,FALSE),A298)</f>
        <v>0</v>
      </c>
      <c r="S298" s="690"/>
      <c r="T298" s="690"/>
      <c r="U298" s="690"/>
      <c r="V298" s="658" t="s">
        <v>727</v>
      </c>
      <c r="W298" s="658"/>
      <c r="X298" s="691">
        <f>HLOOKUP(VLOOKUP($AA$16,'Date SPV'!$B:$F,5,FALSE),'Preturi si tarife'!$C$2:$J$39,A298+2,FALSE)</f>
        <v>0.43980000000000002</v>
      </c>
      <c r="Y298" s="692"/>
      <c r="Z298" s="692"/>
      <c r="AA298" s="693"/>
      <c r="AB298" s="690">
        <f t="shared" si="12"/>
        <v>0</v>
      </c>
      <c r="AC298" s="690"/>
      <c r="AD298" s="690"/>
      <c r="AE298" s="690"/>
      <c r="AF298" s="690">
        <f t="shared" si="13"/>
        <v>0</v>
      </c>
      <c r="AG298" s="690"/>
      <c r="AH298" s="690"/>
      <c r="AI298" s="690"/>
      <c r="AJ298" s="690">
        <f t="shared" si="14"/>
        <v>0</v>
      </c>
      <c r="AK298" s="690"/>
      <c r="AL298" s="690"/>
      <c r="AM298" s="690"/>
    </row>
    <row r="299" spans="1:39" ht="15.95" customHeight="1">
      <c r="A299" s="65">
        <f t="shared" si="15"/>
        <v>4</v>
      </c>
      <c r="B299" s="699" t="s">
        <v>868</v>
      </c>
      <c r="C299" s="700"/>
      <c r="D299" s="700"/>
      <c r="E299" s="700"/>
      <c r="F299" s="700"/>
      <c r="G299" s="700"/>
      <c r="H299" s="700"/>
      <c r="I299" s="700"/>
      <c r="J299" s="700"/>
      <c r="K299" s="701"/>
      <c r="L299" s="702">
        <f t="shared" si="16"/>
        <v>45778</v>
      </c>
      <c r="M299" s="702"/>
      <c r="N299" s="702"/>
      <c r="O299" s="702">
        <f t="shared" si="17"/>
        <v>45808</v>
      </c>
      <c r="P299" s="702"/>
      <c r="Q299" s="702"/>
      <c r="R299" s="690" cm="1">
        <f t="array" ref="R299">INDEX(verificare!$AT$4:$CC$33,VLOOKUP($AA$16,verificare!$AR$4:$AS$33,2,FALSE),A299)</f>
        <v>13243</v>
      </c>
      <c r="S299" s="690"/>
      <c r="T299" s="690"/>
      <c r="U299" s="690"/>
      <c r="V299" s="658" t="s">
        <v>446</v>
      </c>
      <c r="W299" s="658"/>
      <c r="X299" s="691">
        <f>HLOOKUP(VLOOKUP($AA$16,'Date SPV'!$B:$F,5,FALSE),'Preturi si tarife'!$C$2:$J$39,A299+2,FALSE)</f>
        <v>8.6180000000000007E-2</v>
      </c>
      <c r="Y299" s="692"/>
      <c r="Z299" s="692"/>
      <c r="AA299" s="693"/>
      <c r="AB299" s="690">
        <f t="shared" si="12"/>
        <v>1141.28</v>
      </c>
      <c r="AC299" s="690"/>
      <c r="AD299" s="690"/>
      <c r="AE299" s="690"/>
      <c r="AF299" s="690">
        <f t="shared" si="13"/>
        <v>216.84</v>
      </c>
      <c r="AG299" s="690"/>
      <c r="AH299" s="690"/>
      <c r="AI299" s="690"/>
      <c r="AJ299" s="690">
        <f t="shared" si="14"/>
        <v>1358.12</v>
      </c>
      <c r="AK299" s="690"/>
      <c r="AL299" s="690"/>
      <c r="AM299" s="690"/>
    </row>
    <row r="300" spans="1:39" ht="15.95" customHeight="1">
      <c r="A300" s="65">
        <f t="shared" si="15"/>
        <v>5</v>
      </c>
      <c r="B300" s="699" t="s">
        <v>757</v>
      </c>
      <c r="C300" s="700"/>
      <c r="D300" s="700"/>
      <c r="E300" s="700"/>
      <c r="F300" s="700"/>
      <c r="G300" s="700"/>
      <c r="H300" s="700"/>
      <c r="I300" s="700"/>
      <c r="J300" s="700"/>
      <c r="K300" s="701"/>
      <c r="L300" s="702">
        <f t="shared" si="16"/>
        <v>45778</v>
      </c>
      <c r="M300" s="702"/>
      <c r="N300" s="702"/>
      <c r="O300" s="702">
        <f t="shared" si="17"/>
        <v>45808</v>
      </c>
      <c r="P300" s="702"/>
      <c r="Q300" s="702"/>
      <c r="R300" s="690" cm="1">
        <f t="array" ref="R300">INDEX(verificare!$AT$4:$CC$33,VLOOKUP($AA$16,verificare!$AR$4:$AS$33,2,FALSE),A300)</f>
        <v>13243</v>
      </c>
      <c r="S300" s="690"/>
      <c r="T300" s="690"/>
      <c r="U300" s="690"/>
      <c r="V300" s="658" t="s">
        <v>446</v>
      </c>
      <c r="W300" s="658"/>
      <c r="X300" s="691">
        <f>HLOOKUP(VLOOKUP($AA$16,'Date SPV'!$B:$F,5,FALSE),'Preturi si tarife'!$C$2:$J$39,A300+2,FALSE)</f>
        <v>0.2079</v>
      </c>
      <c r="Y300" s="692"/>
      <c r="Z300" s="692"/>
      <c r="AA300" s="693"/>
      <c r="AB300" s="690">
        <f t="shared" si="12"/>
        <v>2753.22</v>
      </c>
      <c r="AC300" s="690"/>
      <c r="AD300" s="690"/>
      <c r="AE300" s="690"/>
      <c r="AF300" s="690">
        <f t="shared" si="13"/>
        <v>523.11</v>
      </c>
      <c r="AG300" s="690"/>
      <c r="AH300" s="690"/>
      <c r="AI300" s="690"/>
      <c r="AJ300" s="690">
        <f t="shared" si="14"/>
        <v>3276.33</v>
      </c>
      <c r="AK300" s="690"/>
      <c r="AL300" s="690"/>
      <c r="AM300" s="690"/>
    </row>
    <row r="301" spans="1:39" ht="15.95" customHeight="1">
      <c r="A301" s="65">
        <f t="shared" si="15"/>
        <v>6</v>
      </c>
      <c r="B301" s="699" t="s">
        <v>74</v>
      </c>
      <c r="C301" s="700"/>
      <c r="D301" s="700"/>
      <c r="E301" s="700"/>
      <c r="F301" s="700"/>
      <c r="G301" s="700"/>
      <c r="H301" s="700"/>
      <c r="I301" s="700"/>
      <c r="J301" s="700"/>
      <c r="K301" s="701"/>
      <c r="L301" s="702">
        <f t="shared" si="16"/>
        <v>45778</v>
      </c>
      <c r="M301" s="702"/>
      <c r="N301" s="702"/>
      <c r="O301" s="702">
        <f t="shared" si="17"/>
        <v>45808</v>
      </c>
      <c r="P301" s="702"/>
      <c r="Q301" s="702"/>
      <c r="R301" s="690" cm="1">
        <f t="array" ref="R301">INDEX(verificare!$AT$4:$CC$33,VLOOKUP($AA$16,verificare!$AR$4:$AS$33,2,FALSE),A301)</f>
        <v>13243</v>
      </c>
      <c r="S301" s="690"/>
      <c r="T301" s="690"/>
      <c r="U301" s="690"/>
      <c r="V301" s="658" t="s">
        <v>446</v>
      </c>
      <c r="W301" s="658"/>
      <c r="X301" s="691">
        <f>HLOOKUP(VLOOKUP($AA$16,'Date SPV'!$B:$F,5,FALSE),'Preturi si tarife'!$C$2:$J$39,A301+2,FALSE)</f>
        <v>1.1509999999999999E-2</v>
      </c>
      <c r="Y301" s="692"/>
      <c r="Z301" s="692"/>
      <c r="AA301" s="693"/>
      <c r="AB301" s="690">
        <f t="shared" si="12"/>
        <v>152.43</v>
      </c>
      <c r="AC301" s="690"/>
      <c r="AD301" s="690"/>
      <c r="AE301" s="690"/>
      <c r="AF301" s="690">
        <f t="shared" si="13"/>
        <v>28.96</v>
      </c>
      <c r="AG301" s="690"/>
      <c r="AH301" s="690"/>
      <c r="AI301" s="690"/>
      <c r="AJ301" s="690">
        <f t="shared" si="14"/>
        <v>181.39000000000001</v>
      </c>
      <c r="AK301" s="690"/>
      <c r="AL301" s="690"/>
      <c r="AM301" s="690"/>
    </row>
    <row r="302" spans="1:39" ht="20.45" customHeight="1">
      <c r="A302" s="65">
        <f t="shared" si="15"/>
        <v>7</v>
      </c>
      <c r="B302" s="699" t="s">
        <v>75</v>
      </c>
      <c r="C302" s="700"/>
      <c r="D302" s="700"/>
      <c r="E302" s="700"/>
      <c r="F302" s="700"/>
      <c r="G302" s="700"/>
      <c r="H302" s="700"/>
      <c r="I302" s="700"/>
      <c r="J302" s="700"/>
      <c r="K302" s="701"/>
      <c r="L302" s="702">
        <f t="shared" si="16"/>
        <v>45778</v>
      </c>
      <c r="M302" s="702"/>
      <c r="N302" s="702"/>
      <c r="O302" s="702">
        <f t="shared" si="17"/>
        <v>45808</v>
      </c>
      <c r="P302" s="702"/>
      <c r="Q302" s="702"/>
      <c r="R302" s="690" cm="1">
        <f t="array" ref="R302">INDEX(verificare!$AT$4:$CC$33,VLOOKUP($AA$16,verificare!$AR$4:$AS$33,2,FALSE),A302)</f>
        <v>13243</v>
      </c>
      <c r="S302" s="690"/>
      <c r="T302" s="690"/>
      <c r="U302" s="690"/>
      <c r="V302" s="658" t="s">
        <v>446</v>
      </c>
      <c r="W302" s="658"/>
      <c r="X302" s="691">
        <f>HLOOKUP(VLOOKUP($AA$16,'Date SPV'!$B:$F,5,FALSE),'Preturi si tarife'!$C$2:$J$39,A302+2,FALSE)</f>
        <v>3.3030000000000004E-2</v>
      </c>
      <c r="Y302" s="692"/>
      <c r="Z302" s="692"/>
      <c r="AA302" s="693"/>
      <c r="AB302" s="690">
        <f t="shared" si="12"/>
        <v>437.42</v>
      </c>
      <c r="AC302" s="690"/>
      <c r="AD302" s="690"/>
      <c r="AE302" s="690"/>
      <c r="AF302" s="690">
        <f t="shared" si="13"/>
        <v>83.11</v>
      </c>
      <c r="AG302" s="690"/>
      <c r="AH302" s="690"/>
      <c r="AI302" s="690"/>
      <c r="AJ302" s="690">
        <f t="shared" si="14"/>
        <v>520.53</v>
      </c>
      <c r="AK302" s="690"/>
      <c r="AL302" s="690"/>
      <c r="AM302" s="690"/>
    </row>
    <row r="303" spans="1:39" ht="20.45" customHeight="1">
      <c r="A303" s="65">
        <f t="shared" si="15"/>
        <v>8</v>
      </c>
      <c r="B303" s="699" t="s">
        <v>76</v>
      </c>
      <c r="C303" s="700"/>
      <c r="D303" s="700"/>
      <c r="E303" s="700"/>
      <c r="F303" s="700"/>
      <c r="G303" s="700"/>
      <c r="H303" s="700"/>
      <c r="I303" s="700"/>
      <c r="J303" s="700"/>
      <c r="K303" s="701"/>
      <c r="L303" s="702">
        <f t="shared" si="16"/>
        <v>45778</v>
      </c>
      <c r="M303" s="702"/>
      <c r="N303" s="702"/>
      <c r="O303" s="702">
        <f t="shared" si="17"/>
        <v>45808</v>
      </c>
      <c r="P303" s="702"/>
      <c r="Q303" s="702"/>
      <c r="R303" s="690" cm="1">
        <f t="array" ref="R303">INDEX(verificare!$AT$4:$CC$33,VLOOKUP($AA$16,verificare!$AR$4:$AS$33,2,FALSE),A303)</f>
        <v>13243</v>
      </c>
      <c r="S303" s="690"/>
      <c r="T303" s="690"/>
      <c r="U303" s="690"/>
      <c r="V303" s="658" t="s">
        <v>446</v>
      </c>
      <c r="W303" s="658"/>
      <c r="X303" s="691">
        <f>HLOOKUP(VLOOKUP($AA$16,'Date SPV'!$B:$F,5,FALSE),'Preturi si tarife'!$C$2:$J$39,A303+2,FALSE)</f>
        <v>3.29E-3</v>
      </c>
      <c r="Y303" s="692"/>
      <c r="Z303" s="692"/>
      <c r="AA303" s="693"/>
      <c r="AB303" s="690">
        <f t="shared" si="12"/>
        <v>43.57</v>
      </c>
      <c r="AC303" s="690"/>
      <c r="AD303" s="690"/>
      <c r="AE303" s="690"/>
      <c r="AF303" s="690">
        <f t="shared" si="13"/>
        <v>8.2799999999999994</v>
      </c>
      <c r="AG303" s="690"/>
      <c r="AH303" s="690"/>
      <c r="AI303" s="690"/>
      <c r="AJ303" s="690">
        <f t="shared" si="14"/>
        <v>51.85</v>
      </c>
      <c r="AK303" s="690"/>
      <c r="AL303" s="690"/>
      <c r="AM303" s="690"/>
    </row>
    <row r="304" spans="1:39" ht="15.95" customHeight="1">
      <c r="A304" s="65">
        <f t="shared" si="15"/>
        <v>9</v>
      </c>
      <c r="B304" s="699" t="s">
        <v>77</v>
      </c>
      <c r="C304" s="700"/>
      <c r="D304" s="700"/>
      <c r="E304" s="700"/>
      <c r="F304" s="700"/>
      <c r="G304" s="700"/>
      <c r="H304" s="700"/>
      <c r="I304" s="700"/>
      <c r="J304" s="700"/>
      <c r="K304" s="701"/>
      <c r="L304" s="702">
        <f t="shared" si="16"/>
        <v>45778</v>
      </c>
      <c r="M304" s="702"/>
      <c r="N304" s="702"/>
      <c r="O304" s="702">
        <f t="shared" si="17"/>
        <v>45808</v>
      </c>
      <c r="P304" s="702"/>
      <c r="Q304" s="702"/>
      <c r="R304" s="690" cm="1">
        <f t="array" ref="R304">INDEX(verificare!$AT$4:$CC$33,VLOOKUP($AA$16,verificare!$AR$4:$AS$33,2,FALSE),A304)</f>
        <v>13243</v>
      </c>
      <c r="S304" s="690"/>
      <c r="T304" s="690"/>
      <c r="U304" s="690"/>
      <c r="V304" s="658" t="s">
        <v>446</v>
      </c>
      <c r="W304" s="658"/>
      <c r="X304" s="691">
        <f>HLOOKUP(VLOOKUP($AA$16,'Date SPV'!$B:$F,5,FALSE),'Preturi si tarife'!$C$2:$J$39,A304+2,FALSE)</f>
        <v>3.5000000000000001E-3</v>
      </c>
      <c r="Y304" s="692"/>
      <c r="Z304" s="692"/>
      <c r="AA304" s="693"/>
      <c r="AB304" s="690">
        <f t="shared" si="12"/>
        <v>46.35</v>
      </c>
      <c r="AC304" s="690"/>
      <c r="AD304" s="690"/>
      <c r="AE304" s="690"/>
      <c r="AF304" s="690">
        <f t="shared" si="13"/>
        <v>8.81</v>
      </c>
      <c r="AG304" s="690"/>
      <c r="AH304" s="690"/>
      <c r="AI304" s="690"/>
      <c r="AJ304" s="690">
        <f t="shared" si="14"/>
        <v>55.160000000000004</v>
      </c>
      <c r="AK304" s="690"/>
      <c r="AL304" s="690"/>
      <c r="AM304" s="690"/>
    </row>
    <row r="305" spans="1:39" ht="15.95" customHeight="1">
      <c r="A305" s="65">
        <f t="shared" si="15"/>
        <v>10</v>
      </c>
      <c r="B305" s="699" t="s">
        <v>78</v>
      </c>
      <c r="C305" s="700"/>
      <c r="D305" s="700"/>
      <c r="E305" s="700"/>
      <c r="F305" s="700"/>
      <c r="G305" s="700"/>
      <c r="H305" s="700"/>
      <c r="I305" s="700"/>
      <c r="J305" s="700"/>
      <c r="K305" s="701"/>
      <c r="L305" s="702">
        <f t="shared" si="16"/>
        <v>45778</v>
      </c>
      <c r="M305" s="702"/>
      <c r="N305" s="702"/>
      <c r="O305" s="702">
        <f t="shared" si="17"/>
        <v>45808</v>
      </c>
      <c r="P305" s="702"/>
      <c r="Q305" s="702"/>
      <c r="R305" s="690" cm="1">
        <f t="array" ref="R305">INDEX(verificare!$AT$4:$CC$33,VLOOKUP($AA$16,verificare!$AR$4:$AS$33,2,FALSE),A305)</f>
        <v>13243</v>
      </c>
      <c r="S305" s="690"/>
      <c r="T305" s="690"/>
      <c r="U305" s="690"/>
      <c r="V305" s="658" t="s">
        <v>446</v>
      </c>
      <c r="W305" s="658"/>
      <c r="X305" s="691">
        <f>HLOOKUP(VLOOKUP($AA$16,'Date SPV'!$B:$F,5,FALSE),'Preturi si tarife'!$C$2:$J$39,A305+2,FALSE)</f>
        <v>7.2541599999999998E-2</v>
      </c>
      <c r="Y305" s="692"/>
      <c r="Z305" s="692"/>
      <c r="AA305" s="693"/>
      <c r="AB305" s="690">
        <f t="shared" si="12"/>
        <v>960.67</v>
      </c>
      <c r="AC305" s="690"/>
      <c r="AD305" s="690"/>
      <c r="AE305" s="690"/>
      <c r="AF305" s="690">
        <f t="shared" si="13"/>
        <v>182.53</v>
      </c>
      <c r="AG305" s="690"/>
      <c r="AH305" s="690"/>
      <c r="AI305" s="690"/>
      <c r="AJ305" s="690">
        <f t="shared" si="14"/>
        <v>1143.2</v>
      </c>
      <c r="AK305" s="690"/>
      <c r="AL305" s="690"/>
      <c r="AM305" s="690"/>
    </row>
    <row r="306" spans="1:39" ht="15.95" customHeight="1">
      <c r="A306" s="65">
        <f t="shared" si="15"/>
        <v>11</v>
      </c>
      <c r="B306" s="699" t="s">
        <v>1313</v>
      </c>
      <c r="C306" s="700"/>
      <c r="D306" s="700"/>
      <c r="E306" s="700"/>
      <c r="F306" s="700"/>
      <c r="G306" s="700"/>
      <c r="H306" s="700"/>
      <c r="I306" s="700"/>
      <c r="J306" s="700"/>
      <c r="K306" s="701"/>
      <c r="L306" s="702">
        <f t="shared" si="16"/>
        <v>45778</v>
      </c>
      <c r="M306" s="702"/>
      <c r="N306" s="702"/>
      <c r="O306" s="702">
        <f t="shared" si="17"/>
        <v>45808</v>
      </c>
      <c r="P306" s="702"/>
      <c r="Q306" s="702"/>
      <c r="R306" s="690" cm="1">
        <f t="array" ref="R306">INDEX(verificare!$AT$4:$CC$33,VLOOKUP($AA$16,verificare!$AR$4:$AS$33,2,FALSE),A306)</f>
        <v>13243</v>
      </c>
      <c r="S306" s="690"/>
      <c r="T306" s="690"/>
      <c r="U306" s="690"/>
      <c r="V306" s="724" t="s">
        <v>446</v>
      </c>
      <c r="W306" s="725"/>
      <c r="X306" s="691">
        <f>HLOOKUP(VLOOKUP($AA$16,'Date SPV'!$B:$F,5,FALSE),'Preturi si tarife'!$C$2:$J$39,A306+2,FALSE)</f>
        <v>2.0599999999999999E-4</v>
      </c>
      <c r="Y306" s="692"/>
      <c r="Z306" s="692"/>
      <c r="AA306" s="693"/>
      <c r="AB306" s="772">
        <f t="shared" si="12"/>
        <v>2.73</v>
      </c>
      <c r="AC306" s="773"/>
      <c r="AD306" s="773"/>
      <c r="AE306" s="774"/>
      <c r="AF306" s="772">
        <f t="shared" si="13"/>
        <v>0.52</v>
      </c>
      <c r="AG306" s="773"/>
      <c r="AH306" s="773"/>
      <c r="AI306" s="774"/>
      <c r="AJ306" s="772">
        <f t="shared" si="14"/>
        <v>3.25</v>
      </c>
      <c r="AK306" s="773"/>
      <c r="AL306" s="773"/>
      <c r="AM306" s="774"/>
    </row>
    <row r="307" spans="1:39" ht="15.95" customHeight="1">
      <c r="A307" s="65">
        <f t="shared" si="15"/>
        <v>12</v>
      </c>
      <c r="B307" s="699" t="s">
        <v>79</v>
      </c>
      <c r="C307" s="700"/>
      <c r="D307" s="700"/>
      <c r="E307" s="700"/>
      <c r="F307" s="700"/>
      <c r="G307" s="700"/>
      <c r="H307" s="700"/>
      <c r="I307" s="700"/>
      <c r="J307" s="700"/>
      <c r="K307" s="701"/>
      <c r="L307" s="702">
        <f>L305</f>
        <v>45778</v>
      </c>
      <c r="M307" s="702"/>
      <c r="N307" s="702"/>
      <c r="O307" s="702">
        <f>O305</f>
        <v>45808</v>
      </c>
      <c r="P307" s="702"/>
      <c r="Q307" s="702"/>
      <c r="R307" s="690" cm="1">
        <f t="array" ref="R307">INDEX(verificare!$AT$4:$CC$33,VLOOKUP($AA$16,verificare!$AR$4:$AS$33,2,FALSE),A307)</f>
        <v>13243</v>
      </c>
      <c r="S307" s="690"/>
      <c r="T307" s="690"/>
      <c r="U307" s="690"/>
      <c r="V307" s="658" t="s">
        <v>446</v>
      </c>
      <c r="W307" s="658"/>
      <c r="X307" s="691">
        <f>HLOOKUP(VLOOKUP($AA$16,'Date SPV'!$B:$F,5,FALSE),'Preturi si tarife'!$C$2:$J$39,A307+2,FALSE)</f>
        <v>0</v>
      </c>
      <c r="Y307" s="692"/>
      <c r="Z307" s="692"/>
      <c r="AA307" s="693"/>
      <c r="AB307" s="690">
        <f t="shared" si="12"/>
        <v>0</v>
      </c>
      <c r="AC307" s="690"/>
      <c r="AD307" s="690"/>
      <c r="AE307" s="690"/>
      <c r="AF307" s="690">
        <f t="shared" si="13"/>
        <v>0</v>
      </c>
      <c r="AG307" s="690"/>
      <c r="AH307" s="690"/>
      <c r="AI307" s="690"/>
      <c r="AJ307" s="690">
        <f t="shared" si="14"/>
        <v>0</v>
      </c>
      <c r="AK307" s="690"/>
      <c r="AL307" s="690"/>
      <c r="AM307" s="690"/>
    </row>
    <row r="308" spans="1:39" ht="15.95" customHeight="1">
      <c r="A308" s="65">
        <f t="shared" si="15"/>
        <v>13</v>
      </c>
      <c r="B308" s="699" t="s">
        <v>80</v>
      </c>
      <c r="C308" s="700"/>
      <c r="D308" s="700"/>
      <c r="E308" s="700"/>
      <c r="F308" s="700"/>
      <c r="G308" s="700"/>
      <c r="H308" s="700"/>
      <c r="I308" s="700"/>
      <c r="J308" s="700"/>
      <c r="K308" s="701"/>
      <c r="L308" s="702">
        <f t="shared" ref="L308:L313" si="18">L307</f>
        <v>45778</v>
      </c>
      <c r="M308" s="702"/>
      <c r="N308" s="702"/>
      <c r="O308" s="702">
        <f t="shared" ref="O308:O313" si="19">O307</f>
        <v>45808</v>
      </c>
      <c r="P308" s="702"/>
      <c r="Q308" s="702"/>
      <c r="R308" s="690" cm="1">
        <f t="array" ref="R308">INDEX(verificare!$AT$4:$CC$33,VLOOKUP($AA$16,verificare!$AR$4:$AS$33,2,FALSE),A308)</f>
        <v>0</v>
      </c>
      <c r="S308" s="690"/>
      <c r="T308" s="690"/>
      <c r="U308" s="690"/>
      <c r="V308" s="658" t="s">
        <v>446</v>
      </c>
      <c r="W308" s="658"/>
      <c r="X308" s="691">
        <f>HLOOKUP(VLOOKUP($AA$16,'Date SPV'!$B:$F,5,FALSE),'Preturi si tarife'!$C$2:$J$39,A308+2,FALSE)</f>
        <v>1.1599999999999999E-2</v>
      </c>
      <c r="Y308" s="692"/>
      <c r="Z308" s="692"/>
      <c r="AA308" s="693"/>
      <c r="AB308" s="690">
        <f t="shared" si="12"/>
        <v>0</v>
      </c>
      <c r="AC308" s="690"/>
      <c r="AD308" s="690"/>
      <c r="AE308" s="690"/>
      <c r="AF308" s="690">
        <f t="shared" si="13"/>
        <v>0</v>
      </c>
      <c r="AG308" s="690"/>
      <c r="AH308" s="690"/>
      <c r="AI308" s="690"/>
      <c r="AJ308" s="690">
        <f t="shared" si="14"/>
        <v>0</v>
      </c>
      <c r="AK308" s="690"/>
      <c r="AL308" s="690"/>
      <c r="AM308" s="690"/>
    </row>
    <row r="309" spans="1:39" ht="15.95" customHeight="1">
      <c r="A309" s="65">
        <f t="shared" si="15"/>
        <v>14</v>
      </c>
      <c r="B309" s="699" t="s">
        <v>81</v>
      </c>
      <c r="C309" s="700"/>
      <c r="D309" s="700"/>
      <c r="E309" s="700"/>
      <c r="F309" s="700"/>
      <c r="G309" s="700"/>
      <c r="H309" s="700"/>
      <c r="I309" s="700"/>
      <c r="J309" s="700"/>
      <c r="K309" s="701"/>
      <c r="L309" s="702">
        <f t="shared" si="18"/>
        <v>45778</v>
      </c>
      <c r="M309" s="702"/>
      <c r="N309" s="702"/>
      <c r="O309" s="702">
        <f t="shared" si="19"/>
        <v>45808</v>
      </c>
      <c r="P309" s="702"/>
      <c r="Q309" s="702"/>
      <c r="R309" s="690" cm="1">
        <f t="array" ref="R309">INDEX(verificare!$AT$4:$CC$33,VLOOKUP($AA$16,verificare!$AR$4:$AS$33,2,FALSE),A309)</f>
        <v>0</v>
      </c>
      <c r="S309" s="690"/>
      <c r="T309" s="690"/>
      <c r="U309" s="690"/>
      <c r="V309" s="658" t="s">
        <v>446</v>
      </c>
      <c r="W309" s="658"/>
      <c r="X309" s="691">
        <f>HLOOKUP(VLOOKUP($AA$16,'Date SPV'!$B:$F,5,FALSE),'Preturi si tarife'!$C$2:$J$39,A309+2,FALSE)</f>
        <v>8.3199999999999996E-2</v>
      </c>
      <c r="Y309" s="692"/>
      <c r="Z309" s="692"/>
      <c r="AA309" s="693"/>
      <c r="AB309" s="690">
        <f t="shared" si="12"/>
        <v>0</v>
      </c>
      <c r="AC309" s="690"/>
      <c r="AD309" s="690"/>
      <c r="AE309" s="690"/>
      <c r="AF309" s="690">
        <f t="shared" si="13"/>
        <v>0</v>
      </c>
      <c r="AG309" s="690"/>
      <c r="AH309" s="690"/>
      <c r="AI309" s="690"/>
      <c r="AJ309" s="690">
        <f t="shared" si="14"/>
        <v>0</v>
      </c>
      <c r="AK309" s="690"/>
      <c r="AL309" s="690"/>
      <c r="AM309" s="690"/>
    </row>
    <row r="310" spans="1:39" ht="15.95" customHeight="1">
      <c r="A310" s="65">
        <f t="shared" si="15"/>
        <v>15</v>
      </c>
      <c r="B310" s="699" t="s">
        <v>82</v>
      </c>
      <c r="C310" s="700"/>
      <c r="D310" s="700"/>
      <c r="E310" s="700"/>
      <c r="F310" s="700"/>
      <c r="G310" s="700"/>
      <c r="H310" s="700"/>
      <c r="I310" s="700"/>
      <c r="J310" s="700"/>
      <c r="K310" s="701"/>
      <c r="L310" s="702">
        <f t="shared" si="18"/>
        <v>45778</v>
      </c>
      <c r="M310" s="702"/>
      <c r="N310" s="702"/>
      <c r="O310" s="702">
        <f t="shared" si="19"/>
        <v>45808</v>
      </c>
      <c r="P310" s="702"/>
      <c r="Q310" s="702"/>
      <c r="R310" s="690" cm="1">
        <f t="array" ref="R310">INDEX(verificare!$AT$4:$CC$33,VLOOKUP($AA$16,verificare!$AR$4:$AS$33,2,FALSE),A310)</f>
        <v>0</v>
      </c>
      <c r="S310" s="690"/>
      <c r="T310" s="690"/>
      <c r="U310" s="690"/>
      <c r="V310" s="658" t="s">
        <v>446</v>
      </c>
      <c r="W310" s="658"/>
      <c r="X310" s="691">
        <f>HLOOKUP(VLOOKUP($AA$16,'Date SPV'!$B:$F,5,FALSE),'Preturi si tarife'!$C$2:$J$39,A310+2,FALSE)</f>
        <v>0.90005760000000001</v>
      </c>
      <c r="Y310" s="692"/>
      <c r="Z310" s="692"/>
      <c r="AA310" s="693"/>
      <c r="AB310" s="690">
        <f t="shared" si="12"/>
        <v>0</v>
      </c>
      <c r="AC310" s="690"/>
      <c r="AD310" s="690"/>
      <c r="AE310" s="690"/>
      <c r="AF310" s="690">
        <f t="shared" si="13"/>
        <v>0</v>
      </c>
      <c r="AG310" s="690"/>
      <c r="AH310" s="690"/>
      <c r="AI310" s="690"/>
      <c r="AJ310" s="690">
        <f t="shared" si="14"/>
        <v>0</v>
      </c>
      <c r="AK310" s="690"/>
      <c r="AL310" s="690"/>
      <c r="AM310" s="690"/>
    </row>
    <row r="311" spans="1:39" ht="15.95" customHeight="1">
      <c r="A311" s="65">
        <f t="shared" si="15"/>
        <v>16</v>
      </c>
      <c r="B311" s="699" t="s">
        <v>83</v>
      </c>
      <c r="C311" s="700"/>
      <c r="D311" s="700"/>
      <c r="E311" s="700"/>
      <c r="F311" s="700"/>
      <c r="G311" s="700"/>
      <c r="H311" s="700"/>
      <c r="I311" s="700"/>
      <c r="J311" s="700"/>
      <c r="K311" s="701"/>
      <c r="L311" s="702">
        <f t="shared" si="18"/>
        <v>45778</v>
      </c>
      <c r="M311" s="702"/>
      <c r="N311" s="702"/>
      <c r="O311" s="702">
        <f t="shared" si="19"/>
        <v>45808</v>
      </c>
      <c r="P311" s="702"/>
      <c r="Q311" s="702"/>
      <c r="R311" s="690" cm="1">
        <f t="array" ref="R311">INDEX(verificare!$AT$4:$CC$33,VLOOKUP($AA$16,verificare!$AR$4:$AS$33,2,FALSE),A311)</f>
        <v>0</v>
      </c>
      <c r="S311" s="690"/>
      <c r="T311" s="690"/>
      <c r="U311" s="690"/>
      <c r="V311" s="658" t="s">
        <v>446</v>
      </c>
      <c r="W311" s="658"/>
      <c r="X311" s="691">
        <f>HLOOKUP(VLOOKUP($AA$16,'Date SPV'!$B:$F,5,FALSE),'Preturi si tarife'!$C$2:$J$39,A311+2,FALSE)</f>
        <v>0.80525760000000002</v>
      </c>
      <c r="Y311" s="692"/>
      <c r="Z311" s="692"/>
      <c r="AA311" s="693"/>
      <c r="AB311" s="690">
        <f t="shared" si="12"/>
        <v>0</v>
      </c>
      <c r="AC311" s="690"/>
      <c r="AD311" s="690"/>
      <c r="AE311" s="690"/>
      <c r="AF311" s="690">
        <f t="shared" si="13"/>
        <v>0</v>
      </c>
      <c r="AG311" s="690"/>
      <c r="AH311" s="690"/>
      <c r="AI311" s="690"/>
      <c r="AJ311" s="690">
        <f t="shared" si="14"/>
        <v>0</v>
      </c>
      <c r="AK311" s="690"/>
      <c r="AL311" s="690"/>
      <c r="AM311" s="690"/>
    </row>
    <row r="312" spans="1:39" ht="15.95" customHeight="1">
      <c r="A312" s="65">
        <f t="shared" si="15"/>
        <v>17</v>
      </c>
      <c r="B312" s="699" t="s">
        <v>1129</v>
      </c>
      <c r="C312" s="700"/>
      <c r="D312" s="700"/>
      <c r="E312" s="700"/>
      <c r="F312" s="700"/>
      <c r="G312" s="700"/>
      <c r="H312" s="700"/>
      <c r="I312" s="700"/>
      <c r="J312" s="700"/>
      <c r="K312" s="701"/>
      <c r="L312" s="702">
        <f t="shared" si="18"/>
        <v>45778</v>
      </c>
      <c r="M312" s="702"/>
      <c r="N312" s="702"/>
      <c r="O312" s="702">
        <f t="shared" si="19"/>
        <v>45808</v>
      </c>
      <c r="P312" s="702"/>
      <c r="Q312" s="702"/>
      <c r="R312" s="690" cm="1">
        <f t="array" ref="R312">INDEX(verificare!$AT$4:$CC$33,VLOOKUP($AA$16,verificare!$AR$4:$AS$33,2,FALSE),A312)</f>
        <v>0</v>
      </c>
      <c r="S312" s="690"/>
      <c r="T312" s="690"/>
      <c r="U312" s="690"/>
      <c r="V312" s="658" t="s">
        <v>446</v>
      </c>
      <c r="W312" s="658"/>
      <c r="X312" s="691">
        <f>HLOOKUP(VLOOKUP($AA$16,'Date SPV'!$B:$F,5,FALSE),'Preturi si tarife'!$C$2:$J$39,A312+2,FALSE)</f>
        <v>1.1599999999999999E-2</v>
      </c>
      <c r="Y312" s="692"/>
      <c r="Z312" s="692"/>
      <c r="AA312" s="693"/>
      <c r="AB312" s="690">
        <f t="shared" si="12"/>
        <v>0</v>
      </c>
      <c r="AC312" s="690"/>
      <c r="AD312" s="690"/>
      <c r="AE312" s="690"/>
      <c r="AF312" s="690">
        <f t="shared" si="13"/>
        <v>0</v>
      </c>
      <c r="AG312" s="690"/>
      <c r="AH312" s="690"/>
      <c r="AI312" s="690"/>
      <c r="AJ312" s="690">
        <f t="shared" si="14"/>
        <v>0</v>
      </c>
      <c r="AK312" s="690"/>
      <c r="AL312" s="690"/>
      <c r="AM312" s="690"/>
    </row>
    <row r="313" spans="1:39" ht="15.95" customHeight="1">
      <c r="A313" s="65">
        <f t="shared" si="15"/>
        <v>18</v>
      </c>
      <c r="B313" s="699" t="s">
        <v>1130</v>
      </c>
      <c r="C313" s="700"/>
      <c r="D313" s="700"/>
      <c r="E313" s="700"/>
      <c r="F313" s="700"/>
      <c r="G313" s="700"/>
      <c r="H313" s="700"/>
      <c r="I313" s="700"/>
      <c r="J313" s="700"/>
      <c r="K313" s="701"/>
      <c r="L313" s="702">
        <f t="shared" si="18"/>
        <v>45778</v>
      </c>
      <c r="M313" s="702"/>
      <c r="N313" s="702"/>
      <c r="O313" s="702">
        <f t="shared" si="19"/>
        <v>45808</v>
      </c>
      <c r="P313" s="702"/>
      <c r="Q313" s="702"/>
      <c r="R313" s="690" cm="1">
        <f t="array" ref="R313">INDEX(verificare!$AT$4:$CC$33,VLOOKUP($AA$16,verificare!$AR$4:$AS$33,2,FALSE),A313)</f>
        <v>0</v>
      </c>
      <c r="S313" s="690"/>
      <c r="T313" s="690"/>
      <c r="U313" s="690"/>
      <c r="V313" s="658" t="s">
        <v>446</v>
      </c>
      <c r="W313" s="658"/>
      <c r="X313" s="691">
        <f>HLOOKUP(VLOOKUP($AA$16,'Date SPV'!$B:$F,5,FALSE),'Preturi si tarife'!$C$2:$J$39,A313+2,FALSE)</f>
        <v>8.3199999999999996E-2</v>
      </c>
      <c r="Y313" s="692"/>
      <c r="Z313" s="692"/>
      <c r="AA313" s="693"/>
      <c r="AB313" s="690">
        <f t="shared" si="12"/>
        <v>0</v>
      </c>
      <c r="AC313" s="690"/>
      <c r="AD313" s="690"/>
      <c r="AE313" s="690"/>
      <c r="AF313" s="690">
        <f t="shared" si="13"/>
        <v>0</v>
      </c>
      <c r="AG313" s="690"/>
      <c r="AH313" s="690"/>
      <c r="AI313" s="690"/>
      <c r="AJ313" s="690">
        <f t="shared" si="14"/>
        <v>0</v>
      </c>
      <c r="AK313" s="690"/>
      <c r="AL313" s="690"/>
      <c r="AM313" s="690"/>
    </row>
    <row r="314" spans="1:39" ht="15.95" customHeight="1">
      <c r="A314" s="65">
        <f t="shared" si="15"/>
        <v>19</v>
      </c>
      <c r="B314" s="699" t="s">
        <v>99</v>
      </c>
      <c r="C314" s="700"/>
      <c r="D314" s="700"/>
      <c r="E314" s="700"/>
      <c r="F314" s="700"/>
      <c r="G314" s="700"/>
      <c r="H314" s="700"/>
      <c r="I314" s="700"/>
      <c r="J314" s="700"/>
      <c r="K314" s="701"/>
      <c r="L314" s="702">
        <f>'Date masura OD'!$W$5</f>
        <v>45748</v>
      </c>
      <c r="M314" s="702"/>
      <c r="N314" s="702"/>
      <c r="O314" s="702">
        <f>'Date masura OD'!$X$5</f>
        <v>45777</v>
      </c>
      <c r="P314" s="702"/>
      <c r="Q314" s="702"/>
      <c r="R314" s="690" cm="1">
        <f t="array" ref="R314">INDEX(verificare!$AT$4:$CC$33,VLOOKUP($AA$16,verificare!$AR$4:$AS$33,2,FALSE),A314)</f>
        <v>2220</v>
      </c>
      <c r="S314" s="690"/>
      <c r="T314" s="690"/>
      <c r="U314" s="690"/>
      <c r="V314" s="658" t="s">
        <v>446</v>
      </c>
      <c r="W314" s="658"/>
      <c r="X314" s="659">
        <f>HLOOKUP(VLOOKUP($AA$16,'Date SPV'!$B:$F,5,FALSE),'Preturi si tarife'!$C$2:$J$39,A314+2,FALSE)</f>
        <v>0.59499999999999997</v>
      </c>
      <c r="Y314" s="659"/>
      <c r="Z314" s="659"/>
      <c r="AA314" s="659"/>
      <c r="AB314" s="653">
        <f t="shared" si="12"/>
        <v>1320.9</v>
      </c>
      <c r="AC314" s="653"/>
      <c r="AD314" s="653"/>
      <c r="AE314" s="653"/>
      <c r="AF314" s="653">
        <f t="shared" si="13"/>
        <v>250.97</v>
      </c>
      <c r="AG314" s="653"/>
      <c r="AH314" s="653"/>
      <c r="AI314" s="653"/>
      <c r="AJ314" s="653">
        <f t="shared" si="14"/>
        <v>1571.8700000000001</v>
      </c>
      <c r="AK314" s="653"/>
      <c r="AL314" s="653"/>
      <c r="AM314" s="653"/>
    </row>
    <row r="315" spans="1:39" ht="15.95" customHeight="1">
      <c r="A315" s="65">
        <f t="shared" si="15"/>
        <v>20</v>
      </c>
      <c r="B315" s="699" t="s">
        <v>100</v>
      </c>
      <c r="C315" s="700"/>
      <c r="D315" s="700"/>
      <c r="E315" s="700"/>
      <c r="F315" s="700"/>
      <c r="G315" s="700"/>
      <c r="H315" s="700"/>
      <c r="I315" s="700"/>
      <c r="J315" s="700"/>
      <c r="K315" s="701"/>
      <c r="L315" s="702">
        <f>L314</f>
        <v>45748</v>
      </c>
      <c r="M315" s="702"/>
      <c r="N315" s="702"/>
      <c r="O315" s="702">
        <f t="shared" ref="O315:O323" si="20">O314</f>
        <v>45777</v>
      </c>
      <c r="P315" s="702"/>
      <c r="Q315" s="702"/>
      <c r="R315" s="690" cm="1">
        <f t="array" ref="R315">INDEX(verificare!$AT$4:$CC$33,VLOOKUP($AA$16,verificare!$AR$4:$AS$33,2,FALSE),A315)</f>
        <v>0</v>
      </c>
      <c r="S315" s="690"/>
      <c r="T315" s="690"/>
      <c r="U315" s="690"/>
      <c r="V315" s="658" t="s">
        <v>727</v>
      </c>
      <c r="W315" s="658"/>
      <c r="X315" s="659">
        <f>HLOOKUP(VLOOKUP($AA$16,'Date SPV'!$B:$F,5,FALSE),'Preturi si tarife'!$C$2:$J$39,A315+2,FALSE)</f>
        <v>0.14660000000000001</v>
      </c>
      <c r="Y315" s="659"/>
      <c r="Z315" s="659"/>
      <c r="AA315" s="659"/>
      <c r="AB315" s="653">
        <f t="shared" si="12"/>
        <v>0</v>
      </c>
      <c r="AC315" s="653"/>
      <c r="AD315" s="653"/>
      <c r="AE315" s="653"/>
      <c r="AF315" s="653">
        <f t="shared" si="13"/>
        <v>0</v>
      </c>
      <c r="AG315" s="653"/>
      <c r="AH315" s="653"/>
      <c r="AI315" s="653"/>
      <c r="AJ315" s="653">
        <f t="shared" si="14"/>
        <v>0</v>
      </c>
      <c r="AK315" s="653"/>
      <c r="AL315" s="653"/>
      <c r="AM315" s="653"/>
    </row>
    <row r="316" spans="1:39" ht="18.95" customHeight="1">
      <c r="A316" s="65">
        <f t="shared" si="15"/>
        <v>21</v>
      </c>
      <c r="B316" s="699" t="s">
        <v>101</v>
      </c>
      <c r="C316" s="700"/>
      <c r="D316" s="700"/>
      <c r="E316" s="700"/>
      <c r="F316" s="700"/>
      <c r="G316" s="700"/>
      <c r="H316" s="700"/>
      <c r="I316" s="700"/>
      <c r="J316" s="700"/>
      <c r="K316" s="701"/>
      <c r="L316" s="702">
        <f t="shared" ref="L316:L323" si="21">L315</f>
        <v>45748</v>
      </c>
      <c r="M316" s="702"/>
      <c r="N316" s="702"/>
      <c r="O316" s="702">
        <f t="shared" si="20"/>
        <v>45777</v>
      </c>
      <c r="P316" s="702"/>
      <c r="Q316" s="702"/>
      <c r="R316" s="690" cm="1">
        <f t="array" ref="R316">INDEX(verificare!$AT$4:$CC$33,VLOOKUP($AA$16,verificare!$AR$4:$AS$33,2,FALSE),A316)</f>
        <v>0</v>
      </c>
      <c r="S316" s="690"/>
      <c r="T316" s="690"/>
      <c r="U316" s="690"/>
      <c r="V316" s="658" t="s">
        <v>727</v>
      </c>
      <c r="W316" s="658"/>
      <c r="X316" s="659">
        <f>HLOOKUP(VLOOKUP($AA$16,'Date SPV'!$B:$F,5,FALSE),'Preturi si tarife'!$C$2:$J$39,A316+2,FALSE)</f>
        <v>0.43980000000000002</v>
      </c>
      <c r="Y316" s="659"/>
      <c r="Z316" s="659"/>
      <c r="AA316" s="659"/>
      <c r="AB316" s="653">
        <f t="shared" si="12"/>
        <v>0</v>
      </c>
      <c r="AC316" s="653"/>
      <c r="AD316" s="653"/>
      <c r="AE316" s="653"/>
      <c r="AF316" s="653">
        <f t="shared" si="13"/>
        <v>0</v>
      </c>
      <c r="AG316" s="653"/>
      <c r="AH316" s="653"/>
      <c r="AI316" s="653"/>
      <c r="AJ316" s="653">
        <f t="shared" si="14"/>
        <v>0</v>
      </c>
      <c r="AK316" s="653"/>
      <c r="AL316" s="653"/>
      <c r="AM316" s="653"/>
    </row>
    <row r="317" spans="1:39" ht="18.95" customHeight="1">
      <c r="A317" s="65">
        <f t="shared" si="15"/>
        <v>22</v>
      </c>
      <c r="B317" s="699" t="s">
        <v>869</v>
      </c>
      <c r="C317" s="700"/>
      <c r="D317" s="700"/>
      <c r="E317" s="700"/>
      <c r="F317" s="700"/>
      <c r="G317" s="700"/>
      <c r="H317" s="700"/>
      <c r="I317" s="700"/>
      <c r="J317" s="700"/>
      <c r="K317" s="701"/>
      <c r="L317" s="702">
        <f t="shared" si="21"/>
        <v>45748</v>
      </c>
      <c r="M317" s="702"/>
      <c r="N317" s="702"/>
      <c r="O317" s="702">
        <f t="shared" si="20"/>
        <v>45777</v>
      </c>
      <c r="P317" s="702"/>
      <c r="Q317" s="702"/>
      <c r="R317" s="690" cm="1">
        <f t="array" ref="R317">INDEX(verificare!$AT$4:$CC$33,VLOOKUP($AA$16,verificare!$AR$4:$AS$33,2,FALSE),A317)</f>
        <v>2220</v>
      </c>
      <c r="S317" s="690"/>
      <c r="T317" s="690"/>
      <c r="U317" s="690"/>
      <c r="V317" s="658" t="s">
        <v>446</v>
      </c>
      <c r="W317" s="658"/>
      <c r="X317" s="659">
        <f>HLOOKUP(VLOOKUP($AA$16,'Date SPV'!$B:$F,5,FALSE),'Preturi si tarife'!$C$2:$J$39,A317+2,FALSE)</f>
        <v>8.6180000000000007E-2</v>
      </c>
      <c r="Y317" s="659"/>
      <c r="Z317" s="659"/>
      <c r="AA317" s="659"/>
      <c r="AB317" s="653">
        <f t="shared" si="12"/>
        <v>191.32</v>
      </c>
      <c r="AC317" s="653"/>
      <c r="AD317" s="653"/>
      <c r="AE317" s="653"/>
      <c r="AF317" s="653">
        <f t="shared" si="13"/>
        <v>36.35</v>
      </c>
      <c r="AG317" s="653"/>
      <c r="AH317" s="653"/>
      <c r="AI317" s="653"/>
      <c r="AJ317" s="653">
        <f t="shared" si="14"/>
        <v>227.67</v>
      </c>
      <c r="AK317" s="653"/>
      <c r="AL317" s="653"/>
      <c r="AM317" s="653"/>
    </row>
    <row r="318" spans="1:39" ht="18.95" customHeight="1">
      <c r="A318" s="65">
        <f t="shared" si="15"/>
        <v>23</v>
      </c>
      <c r="B318" s="699" t="s">
        <v>758</v>
      </c>
      <c r="C318" s="700"/>
      <c r="D318" s="700"/>
      <c r="E318" s="700"/>
      <c r="F318" s="700"/>
      <c r="G318" s="700"/>
      <c r="H318" s="700"/>
      <c r="I318" s="700"/>
      <c r="J318" s="700"/>
      <c r="K318" s="701"/>
      <c r="L318" s="702">
        <f t="shared" si="21"/>
        <v>45748</v>
      </c>
      <c r="M318" s="702"/>
      <c r="N318" s="702"/>
      <c r="O318" s="702">
        <f t="shared" si="20"/>
        <v>45777</v>
      </c>
      <c r="P318" s="702"/>
      <c r="Q318" s="702"/>
      <c r="R318" s="690" cm="1">
        <f t="array" ref="R318">INDEX(verificare!$AT$4:$CC$33,VLOOKUP($AA$16,verificare!$AR$4:$AS$33,2,FALSE),A318)</f>
        <v>2220</v>
      </c>
      <c r="S318" s="690"/>
      <c r="T318" s="690"/>
      <c r="U318" s="690"/>
      <c r="V318" s="658" t="s">
        <v>446</v>
      </c>
      <c r="W318" s="658"/>
      <c r="X318" s="659">
        <f>HLOOKUP(VLOOKUP($AA$16,'Date SPV'!$B:$F,5,FALSE),'Preturi si tarife'!$C$2:$J$39,A318+2,FALSE)</f>
        <v>0.2079</v>
      </c>
      <c r="Y318" s="659"/>
      <c r="Z318" s="659"/>
      <c r="AA318" s="659"/>
      <c r="AB318" s="653">
        <f t="shared" si="12"/>
        <v>461.54</v>
      </c>
      <c r="AC318" s="653"/>
      <c r="AD318" s="653"/>
      <c r="AE318" s="653"/>
      <c r="AF318" s="653">
        <f t="shared" si="13"/>
        <v>87.69</v>
      </c>
      <c r="AG318" s="653"/>
      <c r="AH318" s="653"/>
      <c r="AI318" s="653"/>
      <c r="AJ318" s="653">
        <f t="shared" si="14"/>
        <v>549.23</v>
      </c>
      <c r="AK318" s="653"/>
      <c r="AL318" s="653"/>
      <c r="AM318" s="653"/>
    </row>
    <row r="319" spans="1:39" ht="18.95" customHeight="1">
      <c r="A319" s="65">
        <f t="shared" si="15"/>
        <v>24</v>
      </c>
      <c r="B319" s="699" t="s">
        <v>102</v>
      </c>
      <c r="C319" s="700"/>
      <c r="D319" s="700"/>
      <c r="E319" s="700"/>
      <c r="F319" s="700"/>
      <c r="G319" s="700"/>
      <c r="H319" s="700"/>
      <c r="I319" s="700"/>
      <c r="J319" s="700"/>
      <c r="K319" s="701"/>
      <c r="L319" s="702">
        <f t="shared" si="21"/>
        <v>45748</v>
      </c>
      <c r="M319" s="702"/>
      <c r="N319" s="702"/>
      <c r="O319" s="702">
        <f t="shared" si="20"/>
        <v>45777</v>
      </c>
      <c r="P319" s="702"/>
      <c r="Q319" s="702"/>
      <c r="R319" s="690" cm="1">
        <f t="array" ref="R319">INDEX(verificare!$AT$4:$CC$33,VLOOKUP($AA$16,verificare!$AR$4:$AS$33,2,FALSE),A319)</f>
        <v>2220</v>
      </c>
      <c r="S319" s="690"/>
      <c r="T319" s="690"/>
      <c r="U319" s="690"/>
      <c r="V319" s="658" t="s">
        <v>446</v>
      </c>
      <c r="W319" s="658"/>
      <c r="X319" s="659">
        <f>HLOOKUP(VLOOKUP($AA$16,'Date SPV'!$B:$F,5,FALSE),'Preturi si tarife'!$C$2:$J$39,A319+2,FALSE)</f>
        <v>1.1509999999999999E-2</v>
      </c>
      <c r="Y319" s="659"/>
      <c r="Z319" s="659"/>
      <c r="AA319" s="659"/>
      <c r="AB319" s="653">
        <f t="shared" si="12"/>
        <v>25.55</v>
      </c>
      <c r="AC319" s="653"/>
      <c r="AD319" s="653"/>
      <c r="AE319" s="653"/>
      <c r="AF319" s="653">
        <f t="shared" si="13"/>
        <v>4.8499999999999996</v>
      </c>
      <c r="AG319" s="653"/>
      <c r="AH319" s="653"/>
      <c r="AI319" s="653"/>
      <c r="AJ319" s="653">
        <f t="shared" si="14"/>
        <v>30.4</v>
      </c>
      <c r="AK319" s="653"/>
      <c r="AL319" s="653"/>
      <c r="AM319" s="653"/>
    </row>
    <row r="320" spans="1:39" ht="18.95" customHeight="1">
      <c r="A320" s="65">
        <f t="shared" si="15"/>
        <v>25</v>
      </c>
      <c r="B320" s="699" t="s">
        <v>103</v>
      </c>
      <c r="C320" s="700"/>
      <c r="D320" s="700"/>
      <c r="E320" s="700"/>
      <c r="F320" s="700"/>
      <c r="G320" s="700"/>
      <c r="H320" s="700"/>
      <c r="I320" s="700"/>
      <c r="J320" s="700"/>
      <c r="K320" s="701"/>
      <c r="L320" s="702">
        <f t="shared" si="21"/>
        <v>45748</v>
      </c>
      <c r="M320" s="702"/>
      <c r="N320" s="702"/>
      <c r="O320" s="702">
        <f t="shared" si="20"/>
        <v>45777</v>
      </c>
      <c r="P320" s="702"/>
      <c r="Q320" s="702"/>
      <c r="R320" s="690" cm="1">
        <f t="array" ref="R320">INDEX(verificare!$AT$4:$CC$33,VLOOKUP($AA$16,verificare!$AR$4:$AS$33,2,FALSE),A320)</f>
        <v>2220</v>
      </c>
      <c r="S320" s="690"/>
      <c r="T320" s="690"/>
      <c r="U320" s="690"/>
      <c r="V320" s="658" t="s">
        <v>446</v>
      </c>
      <c r="W320" s="658"/>
      <c r="X320" s="659">
        <f>HLOOKUP(VLOOKUP($AA$16,'Date SPV'!$B:$F,5,FALSE),'Preturi si tarife'!$C$2:$J$39,A320+2,FALSE)</f>
        <v>3.3030000000000004E-2</v>
      </c>
      <c r="Y320" s="659"/>
      <c r="Z320" s="659"/>
      <c r="AA320" s="659"/>
      <c r="AB320" s="653">
        <f t="shared" si="12"/>
        <v>73.33</v>
      </c>
      <c r="AC320" s="653"/>
      <c r="AD320" s="653"/>
      <c r="AE320" s="653"/>
      <c r="AF320" s="653">
        <f t="shared" si="13"/>
        <v>13.93</v>
      </c>
      <c r="AG320" s="653"/>
      <c r="AH320" s="653"/>
      <c r="AI320" s="653"/>
      <c r="AJ320" s="653">
        <f t="shared" si="14"/>
        <v>87.259999999999991</v>
      </c>
      <c r="AK320" s="653"/>
      <c r="AL320" s="653"/>
      <c r="AM320" s="653"/>
    </row>
    <row r="321" spans="1:39" ht="18.95" customHeight="1">
      <c r="A321" s="65">
        <f t="shared" si="15"/>
        <v>26</v>
      </c>
      <c r="B321" s="699" t="s">
        <v>104</v>
      </c>
      <c r="C321" s="700"/>
      <c r="D321" s="700"/>
      <c r="E321" s="700"/>
      <c r="F321" s="700"/>
      <c r="G321" s="700"/>
      <c r="H321" s="700"/>
      <c r="I321" s="700"/>
      <c r="J321" s="700"/>
      <c r="K321" s="701"/>
      <c r="L321" s="702">
        <f t="shared" si="21"/>
        <v>45748</v>
      </c>
      <c r="M321" s="702"/>
      <c r="N321" s="702"/>
      <c r="O321" s="702">
        <f t="shared" si="20"/>
        <v>45777</v>
      </c>
      <c r="P321" s="702"/>
      <c r="Q321" s="702"/>
      <c r="R321" s="690" cm="1">
        <f t="array" ref="R321">INDEX(verificare!$AT$4:$CC$33,VLOOKUP($AA$16,verificare!$AR$4:$AS$33,2,FALSE),A321)</f>
        <v>2220</v>
      </c>
      <c r="S321" s="690"/>
      <c r="T321" s="690"/>
      <c r="U321" s="690"/>
      <c r="V321" s="658" t="s">
        <v>446</v>
      </c>
      <c r="W321" s="658"/>
      <c r="X321" s="659">
        <f>HLOOKUP(VLOOKUP($AA$16,'Date SPV'!$B:$F,5,FALSE),'Preturi si tarife'!$C$2:$J$39,A321+2,FALSE)</f>
        <v>3.29E-3</v>
      </c>
      <c r="Y321" s="659"/>
      <c r="Z321" s="659"/>
      <c r="AA321" s="659"/>
      <c r="AB321" s="653">
        <f t="shared" si="12"/>
        <v>7.3</v>
      </c>
      <c r="AC321" s="653"/>
      <c r="AD321" s="653"/>
      <c r="AE321" s="653"/>
      <c r="AF321" s="653">
        <f t="shared" si="13"/>
        <v>1.39</v>
      </c>
      <c r="AG321" s="653"/>
      <c r="AH321" s="653"/>
      <c r="AI321" s="653"/>
      <c r="AJ321" s="653">
        <f t="shared" si="14"/>
        <v>8.69</v>
      </c>
      <c r="AK321" s="653"/>
      <c r="AL321" s="653"/>
      <c r="AM321" s="653"/>
    </row>
    <row r="322" spans="1:39" ht="18.95" customHeight="1">
      <c r="A322" s="65">
        <f t="shared" si="15"/>
        <v>27</v>
      </c>
      <c r="B322" s="699" t="s">
        <v>105</v>
      </c>
      <c r="C322" s="700"/>
      <c r="D322" s="700"/>
      <c r="E322" s="700"/>
      <c r="F322" s="700"/>
      <c r="G322" s="700"/>
      <c r="H322" s="700"/>
      <c r="I322" s="700"/>
      <c r="J322" s="700"/>
      <c r="K322" s="701"/>
      <c r="L322" s="702">
        <f t="shared" si="21"/>
        <v>45748</v>
      </c>
      <c r="M322" s="702"/>
      <c r="N322" s="702"/>
      <c r="O322" s="702">
        <f t="shared" si="20"/>
        <v>45777</v>
      </c>
      <c r="P322" s="702"/>
      <c r="Q322" s="702"/>
      <c r="R322" s="690" cm="1">
        <f t="array" ref="R322">INDEX(verificare!$AT$4:$CC$33,VLOOKUP($AA$16,verificare!$AR$4:$AS$33,2,FALSE),A322)</f>
        <v>2220</v>
      </c>
      <c r="S322" s="690"/>
      <c r="T322" s="690"/>
      <c r="U322" s="690"/>
      <c r="V322" s="658" t="s">
        <v>446</v>
      </c>
      <c r="W322" s="658"/>
      <c r="X322" s="659">
        <f>HLOOKUP(VLOOKUP($AA$16,'Date SPV'!$B:$F,5,FALSE),'Preturi si tarife'!$C$2:$J$39,A322+2,FALSE)</f>
        <v>3.5000000000000001E-3</v>
      </c>
      <c r="Y322" s="659"/>
      <c r="Z322" s="659"/>
      <c r="AA322" s="659"/>
      <c r="AB322" s="653">
        <f t="shared" si="12"/>
        <v>7.77</v>
      </c>
      <c r="AC322" s="653"/>
      <c r="AD322" s="653"/>
      <c r="AE322" s="653"/>
      <c r="AF322" s="653">
        <f t="shared" si="13"/>
        <v>1.48</v>
      </c>
      <c r="AG322" s="653"/>
      <c r="AH322" s="653"/>
      <c r="AI322" s="653"/>
      <c r="AJ322" s="653">
        <f t="shared" si="14"/>
        <v>9.25</v>
      </c>
      <c r="AK322" s="653"/>
      <c r="AL322" s="653"/>
      <c r="AM322" s="653"/>
    </row>
    <row r="323" spans="1:39" ht="18.95" customHeight="1">
      <c r="A323" s="65">
        <f t="shared" si="15"/>
        <v>28</v>
      </c>
      <c r="B323" s="699" t="s">
        <v>106</v>
      </c>
      <c r="C323" s="700"/>
      <c r="D323" s="700"/>
      <c r="E323" s="700"/>
      <c r="F323" s="700"/>
      <c r="G323" s="700"/>
      <c r="H323" s="700"/>
      <c r="I323" s="700"/>
      <c r="J323" s="700"/>
      <c r="K323" s="701"/>
      <c r="L323" s="702">
        <f t="shared" si="21"/>
        <v>45748</v>
      </c>
      <c r="M323" s="702"/>
      <c r="N323" s="702"/>
      <c r="O323" s="702">
        <f t="shared" si="20"/>
        <v>45777</v>
      </c>
      <c r="P323" s="702"/>
      <c r="Q323" s="702"/>
      <c r="R323" s="690" cm="1">
        <f t="array" ref="R323">INDEX(verificare!$AT$4:$CC$33,VLOOKUP($AA$16,verificare!$AR$4:$AS$33,2,FALSE),A323)</f>
        <v>2220</v>
      </c>
      <c r="S323" s="690"/>
      <c r="T323" s="690"/>
      <c r="U323" s="690"/>
      <c r="V323" s="658" t="s">
        <v>446</v>
      </c>
      <c r="W323" s="658"/>
      <c r="X323" s="659">
        <f>HLOOKUP(VLOOKUP($AA$16,'Date SPV'!$B:$F,5,FALSE),'Preturi si tarife'!$C$2:$J$39,A323+2,FALSE)</f>
        <v>7.2541599999999998E-2</v>
      </c>
      <c r="Y323" s="659"/>
      <c r="Z323" s="659"/>
      <c r="AA323" s="659"/>
      <c r="AB323" s="653">
        <f t="shared" si="12"/>
        <v>161.04</v>
      </c>
      <c r="AC323" s="653"/>
      <c r="AD323" s="653"/>
      <c r="AE323" s="653"/>
      <c r="AF323" s="653">
        <f t="shared" si="13"/>
        <v>30.6</v>
      </c>
      <c r="AG323" s="653"/>
      <c r="AH323" s="653"/>
      <c r="AI323" s="653"/>
      <c r="AJ323" s="653">
        <f t="shared" si="14"/>
        <v>191.64</v>
      </c>
      <c r="AK323" s="653"/>
      <c r="AL323" s="653"/>
      <c r="AM323" s="653"/>
    </row>
    <row r="324" spans="1:39" ht="18.95" customHeight="1">
      <c r="A324" s="65">
        <f t="shared" si="15"/>
        <v>29</v>
      </c>
      <c r="B324" s="699" t="s">
        <v>1316</v>
      </c>
      <c r="C324" s="700"/>
      <c r="D324" s="700"/>
      <c r="E324" s="700"/>
      <c r="F324" s="700"/>
      <c r="G324" s="700"/>
      <c r="H324" s="700"/>
      <c r="I324" s="700"/>
      <c r="J324" s="700"/>
      <c r="K324" s="701"/>
      <c r="L324" s="763">
        <f>L330</f>
        <v>45748</v>
      </c>
      <c r="M324" s="764"/>
      <c r="N324" s="765"/>
      <c r="O324" s="763">
        <f>O330</f>
        <v>45777</v>
      </c>
      <c r="P324" s="764"/>
      <c r="Q324" s="765"/>
      <c r="R324" s="690" cm="1">
        <f t="array" ref="R324">INDEX(verificare!$AT$4:$CC$33,VLOOKUP($AA$16,verificare!$AR$4:$AS$33,2,FALSE),A324)</f>
        <v>2220</v>
      </c>
      <c r="S324" s="690"/>
      <c r="T324" s="690"/>
      <c r="U324" s="690"/>
      <c r="V324" s="724" t="s">
        <v>446</v>
      </c>
      <c r="W324" s="725"/>
      <c r="X324" s="659">
        <f>HLOOKUP(VLOOKUP($AA$16,'Date SPV'!$B:$F,5,FALSE),'Preturi si tarife'!$C$2:$J$39,A324+2,FALSE)</f>
        <v>2.0599999999999999E-4</v>
      </c>
      <c r="Y324" s="659"/>
      <c r="Z324" s="659"/>
      <c r="AA324" s="659"/>
      <c r="AB324" s="653">
        <f>ROUND(X324*R324,2)</f>
        <v>0.46</v>
      </c>
      <c r="AC324" s="653"/>
      <c r="AD324" s="653"/>
      <c r="AE324" s="653"/>
      <c r="AF324" s="653">
        <f>ROUND(AB324*19%,2)</f>
        <v>0.09</v>
      </c>
      <c r="AG324" s="653"/>
      <c r="AH324" s="653"/>
      <c r="AI324" s="653"/>
      <c r="AJ324" s="653">
        <f>AB324+AF324</f>
        <v>0.55000000000000004</v>
      </c>
      <c r="AK324" s="653"/>
      <c r="AL324" s="653"/>
      <c r="AM324" s="653"/>
    </row>
    <row r="325" spans="1:39" ht="18.95" customHeight="1">
      <c r="A325" s="65">
        <f t="shared" si="15"/>
        <v>30</v>
      </c>
      <c r="B325" s="699" t="s">
        <v>107</v>
      </c>
      <c r="C325" s="700"/>
      <c r="D325" s="700"/>
      <c r="E325" s="700"/>
      <c r="F325" s="700"/>
      <c r="G325" s="700"/>
      <c r="H325" s="700"/>
      <c r="I325" s="700"/>
      <c r="J325" s="700"/>
      <c r="K325" s="701"/>
      <c r="L325" s="702">
        <f>L323</f>
        <v>45748</v>
      </c>
      <c r="M325" s="702"/>
      <c r="N325" s="702"/>
      <c r="O325" s="702">
        <f>O323</f>
        <v>45777</v>
      </c>
      <c r="P325" s="702"/>
      <c r="Q325" s="702"/>
      <c r="R325" s="690" cm="1">
        <f t="array" ref="R325">INDEX(verificare!$AT$4:$CC$33,VLOOKUP($AA$16,verificare!$AR$4:$AS$33,2,FALSE),A325)</f>
        <v>2220</v>
      </c>
      <c r="S325" s="690"/>
      <c r="T325" s="690"/>
      <c r="U325" s="690"/>
      <c r="V325" s="658" t="s">
        <v>446</v>
      </c>
      <c r="W325" s="658"/>
      <c r="X325" s="659">
        <f>HLOOKUP(VLOOKUP($AA$16,'Date SPV'!$B:$F,5,FALSE),'Preturi si tarife'!$C$2:$J$39,A325+2,FALSE)</f>
        <v>0</v>
      </c>
      <c r="Y325" s="659"/>
      <c r="Z325" s="659"/>
      <c r="AA325" s="659"/>
      <c r="AB325" s="653">
        <f t="shared" ref="AB325:AB331" si="22">ROUND(X325*R325,2)</f>
        <v>0</v>
      </c>
      <c r="AC325" s="653"/>
      <c r="AD325" s="653"/>
      <c r="AE325" s="653"/>
      <c r="AF325" s="653">
        <f t="shared" ref="AF325:AF332" si="23">ROUND(AB325*19%,2)</f>
        <v>0</v>
      </c>
      <c r="AG325" s="653"/>
      <c r="AH325" s="653"/>
      <c r="AI325" s="653"/>
      <c r="AJ325" s="653">
        <f t="shared" ref="AJ325:AJ332" si="24">AB325+AF325</f>
        <v>0</v>
      </c>
      <c r="AK325" s="653"/>
      <c r="AL325" s="653"/>
      <c r="AM325" s="653"/>
    </row>
    <row r="326" spans="1:39" ht="18.95" customHeight="1">
      <c r="A326" s="65">
        <f t="shared" si="15"/>
        <v>31</v>
      </c>
      <c r="B326" s="699" t="s">
        <v>108</v>
      </c>
      <c r="C326" s="700"/>
      <c r="D326" s="700"/>
      <c r="E326" s="700"/>
      <c r="F326" s="700"/>
      <c r="G326" s="700"/>
      <c r="H326" s="700"/>
      <c r="I326" s="700"/>
      <c r="J326" s="700"/>
      <c r="K326" s="701"/>
      <c r="L326" s="702">
        <f t="shared" ref="L326:L331" si="25">L325</f>
        <v>45748</v>
      </c>
      <c r="M326" s="702"/>
      <c r="N326" s="702"/>
      <c r="O326" s="702">
        <f t="shared" ref="O326:O331" si="26">O325</f>
        <v>45777</v>
      </c>
      <c r="P326" s="702"/>
      <c r="Q326" s="702"/>
      <c r="R326" s="690" cm="1">
        <f t="array" ref="R326">INDEX(verificare!$AT$4:$CC$33,VLOOKUP($AA$16,verificare!$AR$4:$AS$33,2,FALSE),A326)</f>
        <v>0</v>
      </c>
      <c r="S326" s="690"/>
      <c r="T326" s="690"/>
      <c r="U326" s="690"/>
      <c r="V326" s="658" t="s">
        <v>446</v>
      </c>
      <c r="W326" s="658"/>
      <c r="X326" s="659">
        <f>HLOOKUP(VLOOKUP($AA$16,'Date SPV'!$B:$F,5,FALSE),'Preturi si tarife'!$C$2:$J$39,A326+2,FALSE)</f>
        <v>1.1599999999999999E-2</v>
      </c>
      <c r="Y326" s="659"/>
      <c r="Z326" s="659"/>
      <c r="AA326" s="659"/>
      <c r="AB326" s="653">
        <f t="shared" si="22"/>
        <v>0</v>
      </c>
      <c r="AC326" s="653"/>
      <c r="AD326" s="653"/>
      <c r="AE326" s="653"/>
      <c r="AF326" s="653">
        <f t="shared" si="23"/>
        <v>0</v>
      </c>
      <c r="AG326" s="653"/>
      <c r="AH326" s="653"/>
      <c r="AI326" s="653"/>
      <c r="AJ326" s="653">
        <f t="shared" si="24"/>
        <v>0</v>
      </c>
      <c r="AK326" s="653"/>
      <c r="AL326" s="653"/>
      <c r="AM326" s="653"/>
    </row>
    <row r="327" spans="1:39" ht="18.95" customHeight="1">
      <c r="A327" s="65">
        <f t="shared" si="15"/>
        <v>32</v>
      </c>
      <c r="B327" s="699" t="s">
        <v>109</v>
      </c>
      <c r="C327" s="700"/>
      <c r="D327" s="700"/>
      <c r="E327" s="700"/>
      <c r="F327" s="700"/>
      <c r="G327" s="700"/>
      <c r="H327" s="700"/>
      <c r="I327" s="700"/>
      <c r="J327" s="700"/>
      <c r="K327" s="701"/>
      <c r="L327" s="702">
        <f t="shared" si="25"/>
        <v>45748</v>
      </c>
      <c r="M327" s="702"/>
      <c r="N327" s="702"/>
      <c r="O327" s="702">
        <f t="shared" si="26"/>
        <v>45777</v>
      </c>
      <c r="P327" s="702"/>
      <c r="Q327" s="702"/>
      <c r="R327" s="690" cm="1">
        <f t="array" ref="R327">INDEX(verificare!$AT$4:$CC$33,VLOOKUP($AA$16,verificare!$AR$4:$AS$33,2,FALSE),A327)</f>
        <v>0</v>
      </c>
      <c r="S327" s="690"/>
      <c r="T327" s="690"/>
      <c r="U327" s="690"/>
      <c r="V327" s="658" t="s">
        <v>446</v>
      </c>
      <c r="W327" s="658"/>
      <c r="X327" s="659">
        <f>HLOOKUP(VLOOKUP($AA$16,'Date SPV'!$B:$F,5,FALSE),'Preturi si tarife'!$C$2:$J$39,A327+2,FALSE)</f>
        <v>8.3199999999999996E-2</v>
      </c>
      <c r="Y327" s="659"/>
      <c r="Z327" s="659"/>
      <c r="AA327" s="659"/>
      <c r="AB327" s="653">
        <f t="shared" si="22"/>
        <v>0</v>
      </c>
      <c r="AC327" s="653"/>
      <c r="AD327" s="653"/>
      <c r="AE327" s="653"/>
      <c r="AF327" s="653">
        <f t="shared" si="23"/>
        <v>0</v>
      </c>
      <c r="AG327" s="653"/>
      <c r="AH327" s="653"/>
      <c r="AI327" s="653"/>
      <c r="AJ327" s="653">
        <f t="shared" si="24"/>
        <v>0</v>
      </c>
      <c r="AK327" s="653"/>
      <c r="AL327" s="653"/>
      <c r="AM327" s="653"/>
    </row>
    <row r="328" spans="1:39" ht="18.95" customHeight="1">
      <c r="A328" s="65">
        <f t="shared" si="15"/>
        <v>33</v>
      </c>
      <c r="B328" s="699" t="s">
        <v>110</v>
      </c>
      <c r="C328" s="700"/>
      <c r="D328" s="700"/>
      <c r="E328" s="700"/>
      <c r="F328" s="700"/>
      <c r="G328" s="700"/>
      <c r="H328" s="700"/>
      <c r="I328" s="700"/>
      <c r="J328" s="700"/>
      <c r="K328" s="701"/>
      <c r="L328" s="702">
        <f t="shared" si="25"/>
        <v>45748</v>
      </c>
      <c r="M328" s="702"/>
      <c r="N328" s="702"/>
      <c r="O328" s="702">
        <f t="shared" si="26"/>
        <v>45777</v>
      </c>
      <c r="P328" s="702"/>
      <c r="Q328" s="702"/>
      <c r="R328" s="690" cm="1">
        <f t="array" ref="R328">INDEX(verificare!$AT$4:$CC$33,VLOOKUP($AA$16,verificare!$AR$4:$AS$33,2,FALSE),A328)</f>
        <v>0</v>
      </c>
      <c r="S328" s="690"/>
      <c r="T328" s="690"/>
      <c r="U328" s="690"/>
      <c r="V328" s="658" t="s">
        <v>446</v>
      </c>
      <c r="W328" s="658"/>
      <c r="X328" s="659">
        <f>HLOOKUP(VLOOKUP($AA$16,'Date SPV'!$B:$F,5,FALSE),'Preturi si tarife'!$C$2:$J$39,A328+2,FALSE)</f>
        <v>0.90005760000000001</v>
      </c>
      <c r="Y328" s="659"/>
      <c r="Z328" s="659"/>
      <c r="AA328" s="659"/>
      <c r="AB328" s="653">
        <f t="shared" si="22"/>
        <v>0</v>
      </c>
      <c r="AC328" s="653"/>
      <c r="AD328" s="653"/>
      <c r="AE328" s="653"/>
      <c r="AF328" s="653">
        <f t="shared" si="23"/>
        <v>0</v>
      </c>
      <c r="AG328" s="653"/>
      <c r="AH328" s="653"/>
      <c r="AI328" s="653"/>
      <c r="AJ328" s="653">
        <f t="shared" si="24"/>
        <v>0</v>
      </c>
      <c r="AK328" s="653"/>
      <c r="AL328" s="653"/>
      <c r="AM328" s="653"/>
    </row>
    <row r="329" spans="1:39" ht="18.95" customHeight="1">
      <c r="A329" s="65">
        <f t="shared" si="15"/>
        <v>34</v>
      </c>
      <c r="B329" s="699" t="s">
        <v>111</v>
      </c>
      <c r="C329" s="700"/>
      <c r="D329" s="700"/>
      <c r="E329" s="700"/>
      <c r="F329" s="700"/>
      <c r="G329" s="700"/>
      <c r="H329" s="700"/>
      <c r="I329" s="700"/>
      <c r="J329" s="700"/>
      <c r="K329" s="701"/>
      <c r="L329" s="702">
        <f t="shared" si="25"/>
        <v>45748</v>
      </c>
      <c r="M329" s="702"/>
      <c r="N329" s="702"/>
      <c r="O329" s="702">
        <f t="shared" si="26"/>
        <v>45777</v>
      </c>
      <c r="P329" s="702"/>
      <c r="Q329" s="702"/>
      <c r="R329" s="690" cm="1">
        <f t="array" ref="R329">INDEX(verificare!$AT$4:$CC$33,VLOOKUP($AA$16,verificare!$AR$4:$AS$33,2,FALSE),A329)</f>
        <v>0</v>
      </c>
      <c r="S329" s="690"/>
      <c r="T329" s="690"/>
      <c r="U329" s="690"/>
      <c r="V329" s="658" t="s">
        <v>446</v>
      </c>
      <c r="W329" s="658"/>
      <c r="X329" s="659">
        <f>HLOOKUP(VLOOKUP($AA$16,'Date SPV'!$B:$F,5,FALSE),'Preturi si tarife'!$C$2:$J$39,A329+2,FALSE)</f>
        <v>0.80525760000000002</v>
      </c>
      <c r="Y329" s="659"/>
      <c r="Z329" s="659"/>
      <c r="AA329" s="659"/>
      <c r="AB329" s="653">
        <f t="shared" si="22"/>
        <v>0</v>
      </c>
      <c r="AC329" s="653"/>
      <c r="AD329" s="653"/>
      <c r="AE329" s="653"/>
      <c r="AF329" s="653">
        <f t="shared" si="23"/>
        <v>0</v>
      </c>
      <c r="AG329" s="653"/>
      <c r="AH329" s="653"/>
      <c r="AI329" s="653"/>
      <c r="AJ329" s="653">
        <f t="shared" si="24"/>
        <v>0</v>
      </c>
      <c r="AK329" s="653"/>
      <c r="AL329" s="653"/>
      <c r="AM329" s="653"/>
    </row>
    <row r="330" spans="1:39" ht="17.45" customHeight="1">
      <c r="A330" s="65">
        <f t="shared" si="15"/>
        <v>35</v>
      </c>
      <c r="B330" s="699" t="s">
        <v>112</v>
      </c>
      <c r="C330" s="700"/>
      <c r="D330" s="700"/>
      <c r="E330" s="700"/>
      <c r="F330" s="700"/>
      <c r="G330" s="700"/>
      <c r="H330" s="700"/>
      <c r="I330" s="700"/>
      <c r="J330" s="700"/>
      <c r="K330" s="701"/>
      <c r="L330" s="702">
        <f t="shared" si="25"/>
        <v>45748</v>
      </c>
      <c r="M330" s="702"/>
      <c r="N330" s="702"/>
      <c r="O330" s="702">
        <f t="shared" si="26"/>
        <v>45777</v>
      </c>
      <c r="P330" s="702"/>
      <c r="Q330" s="702"/>
      <c r="R330" s="690" cm="1">
        <f t="array" ref="R330">INDEX(verificare!$AT$4:$CC$33,VLOOKUP($AA$16,verificare!$AR$4:$AS$33,2,FALSE),A330)</f>
        <v>0</v>
      </c>
      <c r="S330" s="690"/>
      <c r="T330" s="690"/>
      <c r="U330" s="690"/>
      <c r="V330" s="658" t="s">
        <v>446</v>
      </c>
      <c r="W330" s="658"/>
      <c r="X330" s="659">
        <f>HLOOKUP(VLOOKUP($AA$16,'Date SPV'!$B:$F,5,FALSE),'Preturi si tarife'!$C$2:$J$39,A330+2,FALSE)</f>
        <v>1.1599999999999999E-2</v>
      </c>
      <c r="Y330" s="659"/>
      <c r="Z330" s="659"/>
      <c r="AA330" s="659"/>
      <c r="AB330" s="653">
        <f t="shared" si="22"/>
        <v>0</v>
      </c>
      <c r="AC330" s="653"/>
      <c r="AD330" s="653"/>
      <c r="AE330" s="653"/>
      <c r="AF330" s="653">
        <f t="shared" si="23"/>
        <v>0</v>
      </c>
      <c r="AG330" s="653"/>
      <c r="AH330" s="653"/>
      <c r="AI330" s="653"/>
      <c r="AJ330" s="653">
        <f t="shared" si="24"/>
        <v>0</v>
      </c>
      <c r="AK330" s="653"/>
      <c r="AL330" s="653"/>
      <c r="AM330" s="653"/>
    </row>
    <row r="331" spans="1:39" ht="17.45" customHeight="1">
      <c r="A331" s="65">
        <f t="shared" si="15"/>
        <v>36</v>
      </c>
      <c r="B331" s="699" t="s">
        <v>113</v>
      </c>
      <c r="C331" s="700"/>
      <c r="D331" s="700"/>
      <c r="E331" s="700"/>
      <c r="F331" s="700"/>
      <c r="G331" s="700"/>
      <c r="H331" s="700"/>
      <c r="I331" s="700"/>
      <c r="J331" s="700"/>
      <c r="K331" s="701"/>
      <c r="L331" s="702">
        <f t="shared" si="25"/>
        <v>45748</v>
      </c>
      <c r="M331" s="702"/>
      <c r="N331" s="702"/>
      <c r="O331" s="702">
        <f t="shared" si="26"/>
        <v>45777</v>
      </c>
      <c r="P331" s="702"/>
      <c r="Q331" s="702"/>
      <c r="R331" s="690" cm="1">
        <f t="array" ref="R331">INDEX(verificare!$AT$4:$CC$33,VLOOKUP($AA$16,verificare!$AR$4:$AS$33,2,FALSE),A331)</f>
        <v>0</v>
      </c>
      <c r="S331" s="690"/>
      <c r="T331" s="690"/>
      <c r="U331" s="690"/>
      <c r="V331" s="658" t="s">
        <v>446</v>
      </c>
      <c r="W331" s="658"/>
      <c r="X331" s="659">
        <f>HLOOKUP(VLOOKUP($AA$16,'Date SPV'!$B:$F,5,FALSE),'Preturi si tarife'!$C$2:$J$39,A331+2,FALSE)</f>
        <v>8.3199999999999996E-2</v>
      </c>
      <c r="Y331" s="659"/>
      <c r="Z331" s="659"/>
      <c r="AA331" s="659"/>
      <c r="AB331" s="653">
        <f t="shared" si="22"/>
        <v>0</v>
      </c>
      <c r="AC331" s="653"/>
      <c r="AD331" s="653"/>
      <c r="AE331" s="653"/>
      <c r="AF331" s="653">
        <f t="shared" si="23"/>
        <v>0</v>
      </c>
      <c r="AG331" s="653"/>
      <c r="AH331" s="653"/>
      <c r="AI331" s="653"/>
      <c r="AJ331" s="653">
        <f t="shared" si="24"/>
        <v>0</v>
      </c>
      <c r="AK331" s="653"/>
      <c r="AL331" s="653"/>
      <c r="AM331" s="653"/>
    </row>
    <row r="332" spans="1:39">
      <c r="A332" s="65">
        <f t="shared" si="15"/>
        <v>37</v>
      </c>
      <c r="B332" s="699" t="s">
        <v>728</v>
      </c>
      <c r="C332" s="700"/>
      <c r="D332" s="700"/>
      <c r="E332" s="700"/>
      <c r="F332" s="700"/>
      <c r="G332" s="700"/>
      <c r="H332" s="700"/>
      <c r="I332" s="700"/>
      <c r="J332" s="700"/>
      <c r="K332" s="701"/>
      <c r="L332" s="702" t="s">
        <v>69</v>
      </c>
      <c r="M332" s="702"/>
      <c r="N332" s="702"/>
      <c r="O332" s="702" t="s">
        <v>69</v>
      </c>
      <c r="P332" s="702"/>
      <c r="Q332" s="702"/>
      <c r="R332" s="690">
        <v>0</v>
      </c>
      <c r="S332" s="690"/>
      <c r="T332" s="690"/>
      <c r="U332" s="690"/>
      <c r="V332" s="658" t="s">
        <v>69</v>
      </c>
      <c r="W332" s="658"/>
      <c r="X332" s="659" t="s">
        <v>69</v>
      </c>
      <c r="Y332" s="659"/>
      <c r="Z332" s="659"/>
      <c r="AA332" s="659"/>
      <c r="AB332" s="653">
        <v>0</v>
      </c>
      <c r="AC332" s="653"/>
      <c r="AD332" s="653"/>
      <c r="AE332" s="653"/>
      <c r="AF332" s="653">
        <f t="shared" si="23"/>
        <v>0</v>
      </c>
      <c r="AG332" s="653"/>
      <c r="AH332" s="653"/>
      <c r="AI332" s="653"/>
      <c r="AJ332" s="653">
        <f t="shared" si="24"/>
        <v>0</v>
      </c>
      <c r="AK332" s="653"/>
      <c r="AL332" s="653"/>
      <c r="AM332" s="653"/>
    </row>
    <row r="333" spans="1:39">
      <c r="A333" s="65">
        <f t="shared" si="15"/>
        <v>38</v>
      </c>
      <c r="B333" s="699" t="s">
        <v>729</v>
      </c>
      <c r="C333" s="700"/>
      <c r="D333" s="700"/>
      <c r="E333" s="700"/>
      <c r="F333" s="700"/>
      <c r="G333" s="700"/>
      <c r="H333" s="700"/>
      <c r="I333" s="700"/>
      <c r="J333" s="700"/>
      <c r="K333" s="701"/>
      <c r="L333" s="702" t="s">
        <v>69</v>
      </c>
      <c r="M333" s="702"/>
      <c r="N333" s="702"/>
      <c r="O333" s="702" t="s">
        <v>69</v>
      </c>
      <c r="P333" s="702"/>
      <c r="Q333" s="702"/>
      <c r="R333" s="690">
        <v>0</v>
      </c>
      <c r="S333" s="690"/>
      <c r="T333" s="690"/>
      <c r="U333" s="690"/>
      <c r="V333" s="658" t="s">
        <v>69</v>
      </c>
      <c r="W333" s="658"/>
      <c r="X333" s="659" t="s">
        <v>69</v>
      </c>
      <c r="Y333" s="659"/>
      <c r="Z333" s="659"/>
      <c r="AA333" s="659"/>
      <c r="AB333" s="726">
        <f>SUM(AB296:AE332)</f>
        <v>15666.47</v>
      </c>
      <c r="AC333" s="726"/>
      <c r="AD333" s="726"/>
      <c r="AE333" s="726"/>
      <c r="AF333" s="726">
        <f>SUM(AF296:AI332)</f>
        <v>2976.6299999999997</v>
      </c>
      <c r="AG333" s="726"/>
      <c r="AH333" s="726"/>
      <c r="AI333" s="726"/>
      <c r="AJ333" s="726">
        <f>SUM(AJ296:AM332)</f>
        <v>18643.099999999995</v>
      </c>
      <c r="AK333" s="726"/>
      <c r="AL333" s="726"/>
      <c r="AM333" s="726"/>
    </row>
  </sheetData>
  <mergeCells count="1385">
    <mergeCell ref="A6:F6"/>
    <mergeCell ref="G6:S6"/>
    <mergeCell ref="U6:Z6"/>
    <mergeCell ref="AA6:AM6"/>
    <mergeCell ref="A7:F7"/>
    <mergeCell ref="G7:S7"/>
    <mergeCell ref="U7:Z7"/>
    <mergeCell ref="AA7:AM7"/>
    <mergeCell ref="A1:AM1"/>
    <mergeCell ref="A4:F4"/>
    <mergeCell ref="G4:S4"/>
    <mergeCell ref="U4:Z4"/>
    <mergeCell ref="AA4:AM4"/>
    <mergeCell ref="A5:F5"/>
    <mergeCell ref="G5:S5"/>
    <mergeCell ref="U5:Z5"/>
    <mergeCell ref="AA5:AM5"/>
    <mergeCell ref="U12:Z12"/>
    <mergeCell ref="AA12:AM12"/>
    <mergeCell ref="A15:F15"/>
    <mergeCell ref="G15:L15"/>
    <mergeCell ref="N15:S15"/>
    <mergeCell ref="U15:Z15"/>
    <mergeCell ref="AA15:AM15"/>
    <mergeCell ref="A10:F10"/>
    <mergeCell ref="G10:S10"/>
    <mergeCell ref="U10:Z10"/>
    <mergeCell ref="AA10:AM10"/>
    <mergeCell ref="A11:F11"/>
    <mergeCell ref="G11:S11"/>
    <mergeCell ref="U11:Z11"/>
    <mergeCell ref="AA11:AM11"/>
    <mergeCell ref="A8:F8"/>
    <mergeCell ref="G8:S8"/>
    <mergeCell ref="U8:Z8"/>
    <mergeCell ref="AA8:AM8"/>
    <mergeCell ref="A9:S9"/>
    <mergeCell ref="U9:Z9"/>
    <mergeCell ref="AA9:AM9"/>
    <mergeCell ref="A22:B22"/>
    <mergeCell ref="C22:AB22"/>
    <mergeCell ref="AC22:AJ22"/>
    <mergeCell ref="AK22:AM22"/>
    <mergeCell ref="A23:B23"/>
    <mergeCell ref="C23:AB23"/>
    <mergeCell ref="AC23:AJ23"/>
    <mergeCell ref="AK23:AM23"/>
    <mergeCell ref="A20:B20"/>
    <mergeCell ref="C20:AB20"/>
    <mergeCell ref="AC20:AJ20"/>
    <mergeCell ref="AK20:AM20"/>
    <mergeCell ref="A21:B21"/>
    <mergeCell ref="C21:AB21"/>
    <mergeCell ref="AC21:AJ21"/>
    <mergeCell ref="AK21:AM21"/>
    <mergeCell ref="A16:F16"/>
    <mergeCell ref="G16:S16"/>
    <mergeCell ref="U16:Z16"/>
    <mergeCell ref="AA16:AM16"/>
    <mergeCell ref="C18:AB18"/>
    <mergeCell ref="A19:B19"/>
    <mergeCell ref="C19:AB19"/>
    <mergeCell ref="AC19:AJ19"/>
    <mergeCell ref="AK19:AM19"/>
    <mergeCell ref="A34:L34"/>
    <mergeCell ref="M34:AH34"/>
    <mergeCell ref="AI34:AM34"/>
    <mergeCell ref="A35:L35"/>
    <mergeCell ref="M35:AH35"/>
    <mergeCell ref="AI35:AM36"/>
    <mergeCell ref="A36:L36"/>
    <mergeCell ref="M36:AH36"/>
    <mergeCell ref="A28:AM28"/>
    <mergeCell ref="A29:G30"/>
    <mergeCell ref="H29:AM30"/>
    <mergeCell ref="A31:G32"/>
    <mergeCell ref="H31:V32"/>
    <mergeCell ref="W31:Z32"/>
    <mergeCell ref="AA31:AM32"/>
    <mergeCell ref="A24:B24"/>
    <mergeCell ref="C24:AB24"/>
    <mergeCell ref="AC24:AJ24"/>
    <mergeCell ref="AK24:AM24"/>
    <mergeCell ref="A25:B25"/>
    <mergeCell ref="C25:AB25"/>
    <mergeCell ref="AC25:AJ25"/>
    <mergeCell ref="AK25:AM25"/>
    <mergeCell ref="A293:AM293"/>
    <mergeCell ref="B295:K295"/>
    <mergeCell ref="R295:U295"/>
    <mergeCell ref="V295:W295"/>
    <mergeCell ref="X295:AA295"/>
    <mergeCell ref="AB295:AE295"/>
    <mergeCell ref="AF295:AI295"/>
    <mergeCell ref="AJ295:AM295"/>
    <mergeCell ref="AK37:AM39"/>
    <mergeCell ref="U37:W39"/>
    <mergeCell ref="X37:Z39"/>
    <mergeCell ref="AA37:AC39"/>
    <mergeCell ref="AD37:AE39"/>
    <mergeCell ref="AF37:AH39"/>
    <mergeCell ref="AI37:AJ39"/>
    <mergeCell ref="A37:F39"/>
    <mergeCell ref="G37:I39"/>
    <mergeCell ref="J37:L39"/>
    <mergeCell ref="M37:N39"/>
    <mergeCell ref="O37:Q39"/>
    <mergeCell ref="R37:T39"/>
    <mergeCell ref="A80:G81"/>
    <mergeCell ref="H80:V81"/>
    <mergeCell ref="W80:Z81"/>
    <mergeCell ref="AA80:AM81"/>
    <mergeCell ref="A83:L83"/>
    <mergeCell ref="M83:AH83"/>
    <mergeCell ref="AI83:AM83"/>
    <mergeCell ref="AA139:AC141"/>
    <mergeCell ref="AD139:AE141"/>
    <mergeCell ref="AF139:AH141"/>
    <mergeCell ref="R139:T141"/>
    <mergeCell ref="AB296:AE296"/>
    <mergeCell ref="AF296:AI296"/>
    <mergeCell ref="AJ296:AM296"/>
    <mergeCell ref="B297:K297"/>
    <mergeCell ref="L297:N297"/>
    <mergeCell ref="O297:Q297"/>
    <mergeCell ref="R297:U297"/>
    <mergeCell ref="V297:W297"/>
    <mergeCell ref="X297:AA297"/>
    <mergeCell ref="AB297:AE297"/>
    <mergeCell ref="B296:K296"/>
    <mergeCell ref="L296:N296"/>
    <mergeCell ref="O296:Q296"/>
    <mergeCell ref="R296:U296"/>
    <mergeCell ref="V296:W296"/>
    <mergeCell ref="X296:AA296"/>
    <mergeCell ref="AF297:AI297"/>
    <mergeCell ref="AJ297:AM297"/>
    <mergeCell ref="B299:K299"/>
    <mergeCell ref="L299:N299"/>
    <mergeCell ref="O299:Q299"/>
    <mergeCell ref="R299:U299"/>
    <mergeCell ref="V299:W299"/>
    <mergeCell ref="X299:AA299"/>
    <mergeCell ref="AB299:AE299"/>
    <mergeCell ref="AF299:AI299"/>
    <mergeCell ref="AJ299:AM299"/>
    <mergeCell ref="B298:K298"/>
    <mergeCell ref="L298:N298"/>
    <mergeCell ref="O298:Q298"/>
    <mergeCell ref="R298:U298"/>
    <mergeCell ref="V298:W298"/>
    <mergeCell ref="X298:AA298"/>
    <mergeCell ref="AB298:AE298"/>
    <mergeCell ref="AF298:AI298"/>
    <mergeCell ref="AJ298:AM298"/>
    <mergeCell ref="AB300:AE300"/>
    <mergeCell ref="AF300:AI300"/>
    <mergeCell ref="AJ300:AM300"/>
    <mergeCell ref="B301:K301"/>
    <mergeCell ref="L301:N301"/>
    <mergeCell ref="O301:Q301"/>
    <mergeCell ref="R301:U301"/>
    <mergeCell ref="V301:W301"/>
    <mergeCell ref="X301:AA301"/>
    <mergeCell ref="AB301:AE301"/>
    <mergeCell ref="B300:K300"/>
    <mergeCell ref="L300:N300"/>
    <mergeCell ref="O300:Q300"/>
    <mergeCell ref="R300:U300"/>
    <mergeCell ref="V300:W300"/>
    <mergeCell ref="X300:AA300"/>
    <mergeCell ref="AF301:AI301"/>
    <mergeCell ref="AJ301:AM301"/>
    <mergeCell ref="B303:K303"/>
    <mergeCell ref="L303:N303"/>
    <mergeCell ref="O303:Q303"/>
    <mergeCell ref="R303:U303"/>
    <mergeCell ref="V303:W303"/>
    <mergeCell ref="X303:AA303"/>
    <mergeCell ref="AB303:AE303"/>
    <mergeCell ref="AF303:AI303"/>
    <mergeCell ref="AJ303:AM303"/>
    <mergeCell ref="B302:K302"/>
    <mergeCell ref="L302:N302"/>
    <mergeCell ref="O302:Q302"/>
    <mergeCell ref="R302:U302"/>
    <mergeCell ref="V302:W302"/>
    <mergeCell ref="X302:AA302"/>
    <mergeCell ref="AB302:AE302"/>
    <mergeCell ref="AF302:AI302"/>
    <mergeCell ref="AJ302:AM302"/>
    <mergeCell ref="AB304:AE304"/>
    <mergeCell ref="AF304:AI304"/>
    <mergeCell ref="AJ304:AM304"/>
    <mergeCell ref="B305:K305"/>
    <mergeCell ref="L305:N305"/>
    <mergeCell ref="O305:Q305"/>
    <mergeCell ref="R305:U305"/>
    <mergeCell ref="V305:W305"/>
    <mergeCell ref="X305:AA305"/>
    <mergeCell ref="AB305:AE305"/>
    <mergeCell ref="B304:K304"/>
    <mergeCell ref="L304:N304"/>
    <mergeCell ref="O304:Q304"/>
    <mergeCell ref="R304:U304"/>
    <mergeCell ref="V304:W304"/>
    <mergeCell ref="X304:AA304"/>
    <mergeCell ref="AF305:AI305"/>
    <mergeCell ref="AJ305:AM305"/>
    <mergeCell ref="B307:K307"/>
    <mergeCell ref="L307:N307"/>
    <mergeCell ref="O307:Q307"/>
    <mergeCell ref="R307:U307"/>
    <mergeCell ref="V307:W307"/>
    <mergeCell ref="X307:AA307"/>
    <mergeCell ref="AB307:AE307"/>
    <mergeCell ref="AF307:AI307"/>
    <mergeCell ref="AJ307:AM307"/>
    <mergeCell ref="B306:K306"/>
    <mergeCell ref="L306:N306"/>
    <mergeCell ref="O306:Q306"/>
    <mergeCell ref="R306:U306"/>
    <mergeCell ref="V306:W306"/>
    <mergeCell ref="X306:AA306"/>
    <mergeCell ref="AB306:AE306"/>
    <mergeCell ref="AF306:AI306"/>
    <mergeCell ref="AJ306:AM306"/>
    <mergeCell ref="AB308:AE308"/>
    <mergeCell ref="AF308:AI308"/>
    <mergeCell ref="AJ308:AM308"/>
    <mergeCell ref="B309:K309"/>
    <mergeCell ref="L309:N309"/>
    <mergeCell ref="O309:Q309"/>
    <mergeCell ref="R309:U309"/>
    <mergeCell ref="V309:W309"/>
    <mergeCell ref="X309:AA309"/>
    <mergeCell ref="AB309:AE309"/>
    <mergeCell ref="B308:K308"/>
    <mergeCell ref="L308:N308"/>
    <mergeCell ref="O308:Q308"/>
    <mergeCell ref="R308:U308"/>
    <mergeCell ref="V308:W308"/>
    <mergeCell ref="X308:AA308"/>
    <mergeCell ref="AF309:AI309"/>
    <mergeCell ref="AJ309:AM309"/>
    <mergeCell ref="B311:K311"/>
    <mergeCell ref="L311:N311"/>
    <mergeCell ref="O311:Q311"/>
    <mergeCell ref="R311:U311"/>
    <mergeCell ref="V311:W311"/>
    <mergeCell ref="X311:AA311"/>
    <mergeCell ref="AB311:AE311"/>
    <mergeCell ref="AF311:AI311"/>
    <mergeCell ref="AJ311:AM311"/>
    <mergeCell ref="B310:K310"/>
    <mergeCell ref="L310:N310"/>
    <mergeCell ref="O310:Q310"/>
    <mergeCell ref="R310:U310"/>
    <mergeCell ref="V310:W310"/>
    <mergeCell ref="X310:AA310"/>
    <mergeCell ref="AB310:AE310"/>
    <mergeCell ref="AF310:AI310"/>
    <mergeCell ref="AJ310:AM310"/>
    <mergeCell ref="AB312:AE312"/>
    <mergeCell ref="AF312:AI312"/>
    <mergeCell ref="AJ312:AM312"/>
    <mergeCell ref="B313:K313"/>
    <mergeCell ref="L313:N313"/>
    <mergeCell ref="O313:Q313"/>
    <mergeCell ref="R313:U313"/>
    <mergeCell ref="V313:W313"/>
    <mergeCell ref="X313:AA313"/>
    <mergeCell ref="AB313:AE313"/>
    <mergeCell ref="B312:K312"/>
    <mergeCell ref="L312:N312"/>
    <mergeCell ref="O312:Q312"/>
    <mergeCell ref="R312:U312"/>
    <mergeCell ref="V312:W312"/>
    <mergeCell ref="X312:AA312"/>
    <mergeCell ref="AF313:AI313"/>
    <mergeCell ref="AJ313:AM313"/>
    <mergeCell ref="B315:K315"/>
    <mergeCell ref="L315:N315"/>
    <mergeCell ref="O315:Q315"/>
    <mergeCell ref="R315:U315"/>
    <mergeCell ref="V315:W315"/>
    <mergeCell ref="X315:AA315"/>
    <mergeCell ref="AB315:AE315"/>
    <mergeCell ref="AF315:AI315"/>
    <mergeCell ref="AJ315:AM315"/>
    <mergeCell ref="B314:K314"/>
    <mergeCell ref="L314:N314"/>
    <mergeCell ref="O314:Q314"/>
    <mergeCell ref="R314:U314"/>
    <mergeCell ref="V314:W314"/>
    <mergeCell ref="X314:AA314"/>
    <mergeCell ref="AB314:AE314"/>
    <mergeCell ref="AF314:AI314"/>
    <mergeCell ref="AJ314:AM314"/>
    <mergeCell ref="AB316:AE316"/>
    <mergeCell ref="AF316:AI316"/>
    <mergeCell ref="AJ316:AM316"/>
    <mergeCell ref="B317:K317"/>
    <mergeCell ref="L317:N317"/>
    <mergeCell ref="O317:Q317"/>
    <mergeCell ref="R317:U317"/>
    <mergeCell ref="V317:W317"/>
    <mergeCell ref="X317:AA317"/>
    <mergeCell ref="AB317:AE317"/>
    <mergeCell ref="B316:K316"/>
    <mergeCell ref="L316:N316"/>
    <mergeCell ref="O316:Q316"/>
    <mergeCell ref="R316:U316"/>
    <mergeCell ref="V316:W316"/>
    <mergeCell ref="X316:AA316"/>
    <mergeCell ref="AF317:AI317"/>
    <mergeCell ref="AJ317:AM317"/>
    <mergeCell ref="B319:K319"/>
    <mergeCell ref="L319:N319"/>
    <mergeCell ref="O319:Q319"/>
    <mergeCell ref="R319:U319"/>
    <mergeCell ref="V319:W319"/>
    <mergeCell ref="X319:AA319"/>
    <mergeCell ref="AB319:AE319"/>
    <mergeCell ref="AF319:AI319"/>
    <mergeCell ref="AJ319:AM319"/>
    <mergeCell ref="B318:K318"/>
    <mergeCell ref="L318:N318"/>
    <mergeCell ref="O318:Q318"/>
    <mergeCell ref="R318:U318"/>
    <mergeCell ref="V318:W318"/>
    <mergeCell ref="X318:AA318"/>
    <mergeCell ref="AB318:AE318"/>
    <mergeCell ref="AF318:AI318"/>
    <mergeCell ref="AJ318:AM318"/>
    <mergeCell ref="AB320:AE320"/>
    <mergeCell ref="AF320:AI320"/>
    <mergeCell ref="AJ320:AM320"/>
    <mergeCell ref="B321:K321"/>
    <mergeCell ref="L321:N321"/>
    <mergeCell ref="O321:Q321"/>
    <mergeCell ref="R321:U321"/>
    <mergeCell ref="V321:W321"/>
    <mergeCell ref="X321:AA321"/>
    <mergeCell ref="AB321:AE321"/>
    <mergeCell ref="B320:K320"/>
    <mergeCell ref="L320:N320"/>
    <mergeCell ref="O320:Q320"/>
    <mergeCell ref="R320:U320"/>
    <mergeCell ref="V320:W320"/>
    <mergeCell ref="X320:AA320"/>
    <mergeCell ref="AF321:AI321"/>
    <mergeCell ref="AJ321:AM321"/>
    <mergeCell ref="B323:K323"/>
    <mergeCell ref="L323:N323"/>
    <mergeCell ref="O323:Q323"/>
    <mergeCell ref="R323:U323"/>
    <mergeCell ref="V323:W323"/>
    <mergeCell ref="X323:AA323"/>
    <mergeCell ref="AB323:AE323"/>
    <mergeCell ref="AF323:AI323"/>
    <mergeCell ref="AJ323:AM323"/>
    <mergeCell ref="B322:K322"/>
    <mergeCell ref="L322:N322"/>
    <mergeCell ref="O322:Q322"/>
    <mergeCell ref="R322:U322"/>
    <mergeCell ref="V322:W322"/>
    <mergeCell ref="X322:AA322"/>
    <mergeCell ref="AB322:AE322"/>
    <mergeCell ref="AF322:AI322"/>
    <mergeCell ref="AJ322:AM322"/>
    <mergeCell ref="AB324:AE324"/>
    <mergeCell ref="AF324:AI324"/>
    <mergeCell ref="AJ324:AM324"/>
    <mergeCell ref="B325:K325"/>
    <mergeCell ref="L325:N325"/>
    <mergeCell ref="O325:Q325"/>
    <mergeCell ref="R325:U325"/>
    <mergeCell ref="V325:W325"/>
    <mergeCell ref="X325:AA325"/>
    <mergeCell ref="AB325:AE325"/>
    <mergeCell ref="B324:K324"/>
    <mergeCell ref="L324:N324"/>
    <mergeCell ref="O324:Q324"/>
    <mergeCell ref="R324:U324"/>
    <mergeCell ref="V324:W324"/>
    <mergeCell ref="X324:AA324"/>
    <mergeCell ref="AF325:AI325"/>
    <mergeCell ref="AJ325:AM325"/>
    <mergeCell ref="B328:K328"/>
    <mergeCell ref="L328:N328"/>
    <mergeCell ref="O328:Q328"/>
    <mergeCell ref="R328:U328"/>
    <mergeCell ref="V328:W328"/>
    <mergeCell ref="X328:AA328"/>
    <mergeCell ref="B327:K327"/>
    <mergeCell ref="L327:N327"/>
    <mergeCell ref="O327:Q327"/>
    <mergeCell ref="R327:U327"/>
    <mergeCell ref="V327:W327"/>
    <mergeCell ref="X327:AA327"/>
    <mergeCell ref="AB327:AE327"/>
    <mergeCell ref="AB328:AE328"/>
    <mergeCell ref="AF327:AI327"/>
    <mergeCell ref="AJ327:AM327"/>
    <mergeCell ref="B326:K326"/>
    <mergeCell ref="L326:N326"/>
    <mergeCell ref="O326:Q326"/>
    <mergeCell ref="R326:U326"/>
    <mergeCell ref="V326:W326"/>
    <mergeCell ref="X326:AA326"/>
    <mergeCell ref="AB326:AE326"/>
    <mergeCell ref="AF326:AI326"/>
    <mergeCell ref="AJ326:AM326"/>
    <mergeCell ref="AF328:AI328"/>
    <mergeCell ref="AJ328:AM328"/>
    <mergeCell ref="AJ330:AM330"/>
    <mergeCell ref="B331:K331"/>
    <mergeCell ref="L331:N331"/>
    <mergeCell ref="O331:Q331"/>
    <mergeCell ref="R331:U331"/>
    <mergeCell ref="V331:W331"/>
    <mergeCell ref="X331:AA331"/>
    <mergeCell ref="AB331:AE331"/>
    <mergeCell ref="AF331:AI331"/>
    <mergeCell ref="AJ331:AM331"/>
    <mergeCell ref="AF329:AI329"/>
    <mergeCell ref="AJ329:AM329"/>
    <mergeCell ref="B330:K330"/>
    <mergeCell ref="L330:N330"/>
    <mergeCell ref="O330:Q330"/>
    <mergeCell ref="R330:U330"/>
    <mergeCell ref="V330:W330"/>
    <mergeCell ref="X330:AA330"/>
    <mergeCell ref="AB330:AE330"/>
    <mergeCell ref="AF330:AI330"/>
    <mergeCell ref="O329:Q329"/>
    <mergeCell ref="R329:U329"/>
    <mergeCell ref="V329:W329"/>
    <mergeCell ref="X329:AA329"/>
    <mergeCell ref="AB329:AE329"/>
    <mergeCell ref="B329:K329"/>
    <mergeCell ref="L329:N329"/>
    <mergeCell ref="H133:V134"/>
    <mergeCell ref="W133:Z134"/>
    <mergeCell ref="AA133:AM134"/>
    <mergeCell ref="A136:L136"/>
    <mergeCell ref="M136:AH136"/>
    <mergeCell ref="AI136:AM136"/>
    <mergeCell ref="A133:G134"/>
    <mergeCell ref="A89:F91"/>
    <mergeCell ref="A84:L84"/>
    <mergeCell ref="M84:AH84"/>
    <mergeCell ref="AI84:AM85"/>
    <mergeCell ref="A85:L85"/>
    <mergeCell ref="M85:AH85"/>
    <mergeCell ref="A86:F88"/>
    <mergeCell ref="G86:I88"/>
    <mergeCell ref="J86:L88"/>
    <mergeCell ref="M86:N88"/>
    <mergeCell ref="O86:Q88"/>
    <mergeCell ref="U86:W88"/>
    <mergeCell ref="X86:Z88"/>
    <mergeCell ref="AA86:AC88"/>
    <mergeCell ref="AD86:AE88"/>
    <mergeCell ref="R86:T88"/>
    <mergeCell ref="AF86:AH88"/>
    <mergeCell ref="AI86:AJ88"/>
    <mergeCell ref="AK86:AM88"/>
    <mergeCell ref="AF89:AH91"/>
    <mergeCell ref="AI89:AJ91"/>
    <mergeCell ref="AK89:AM91"/>
    <mergeCell ref="J90:L90"/>
    <mergeCell ref="J91:L91"/>
    <mergeCell ref="A92:F94"/>
    <mergeCell ref="AI139:AJ141"/>
    <mergeCell ref="AK139:AM141"/>
    <mergeCell ref="A137:L137"/>
    <mergeCell ref="M137:AH137"/>
    <mergeCell ref="AI137:AM138"/>
    <mergeCell ref="A138:L138"/>
    <mergeCell ref="M138:AH138"/>
    <mergeCell ref="A139:F141"/>
    <mergeCell ref="G139:I141"/>
    <mergeCell ref="J139:L141"/>
    <mergeCell ref="M139:N141"/>
    <mergeCell ref="O139:Q141"/>
    <mergeCell ref="A170:G171"/>
    <mergeCell ref="H170:V171"/>
    <mergeCell ref="W170:Z171"/>
    <mergeCell ref="AA170:AM171"/>
    <mergeCell ref="A145:F147"/>
    <mergeCell ref="G145:I147"/>
    <mergeCell ref="J145:L145"/>
    <mergeCell ref="M145:N147"/>
    <mergeCell ref="O145:Q147"/>
    <mergeCell ref="R145:T147"/>
    <mergeCell ref="U145:W147"/>
    <mergeCell ref="X145:Z147"/>
    <mergeCell ref="AA145:AC147"/>
    <mergeCell ref="AD145:AE147"/>
    <mergeCell ref="AF145:AH147"/>
    <mergeCell ref="AI145:AJ147"/>
    <mergeCell ref="AK145:AM147"/>
    <mergeCell ref="J146:L146"/>
    <mergeCell ref="J147:L147"/>
    <mergeCell ref="A148:F150"/>
    <mergeCell ref="X176:Z178"/>
    <mergeCell ref="AA176:AC178"/>
    <mergeCell ref="AD176:AE178"/>
    <mergeCell ref="AF176:AH178"/>
    <mergeCell ref="AI176:AJ178"/>
    <mergeCell ref="A176:F178"/>
    <mergeCell ref="G176:I178"/>
    <mergeCell ref="J176:L178"/>
    <mergeCell ref="M176:N178"/>
    <mergeCell ref="O176:Q178"/>
    <mergeCell ref="R176:T178"/>
    <mergeCell ref="A173:L173"/>
    <mergeCell ref="M173:AH173"/>
    <mergeCell ref="AI173:AM173"/>
    <mergeCell ref="A174:L174"/>
    <mergeCell ref="M174:AH174"/>
    <mergeCell ref="AI174:AM175"/>
    <mergeCell ref="A175:L175"/>
    <mergeCell ref="M175:AH175"/>
    <mergeCell ref="AI210:AM210"/>
    <mergeCell ref="A211:L211"/>
    <mergeCell ref="M211:AH211"/>
    <mergeCell ref="AI211:AM212"/>
    <mergeCell ref="A212:L212"/>
    <mergeCell ref="M212:AH212"/>
    <mergeCell ref="A207:G208"/>
    <mergeCell ref="H207:V208"/>
    <mergeCell ref="W207:Z208"/>
    <mergeCell ref="AA207:AM208"/>
    <mergeCell ref="A182:F184"/>
    <mergeCell ref="G182:I184"/>
    <mergeCell ref="J182:L182"/>
    <mergeCell ref="M182:N184"/>
    <mergeCell ref="O182:Q184"/>
    <mergeCell ref="R182:T184"/>
    <mergeCell ref="U182:W184"/>
    <mergeCell ref="X182:Z184"/>
    <mergeCell ref="AA182:AC184"/>
    <mergeCell ref="AD182:AE184"/>
    <mergeCell ref="AF182:AH184"/>
    <mergeCell ref="AI182:AJ184"/>
    <mergeCell ref="AK182:AM184"/>
    <mergeCell ref="J183:L183"/>
    <mergeCell ref="J184:L184"/>
    <mergeCell ref="A185:F187"/>
    <mergeCell ref="G185:I187"/>
    <mergeCell ref="J185:L185"/>
    <mergeCell ref="M185:N187"/>
    <mergeCell ref="O185:Q187"/>
    <mergeCell ref="AA185:AC187"/>
    <mergeCell ref="AD185:AE187"/>
    <mergeCell ref="A219:F221"/>
    <mergeCell ref="G219:I221"/>
    <mergeCell ref="J219:L219"/>
    <mergeCell ref="M219:N221"/>
    <mergeCell ref="O219:Q221"/>
    <mergeCell ref="R219:T221"/>
    <mergeCell ref="U219:W221"/>
    <mergeCell ref="X219:Z221"/>
    <mergeCell ref="AA219:AC221"/>
    <mergeCell ref="AD219:AE221"/>
    <mergeCell ref="AF219:AH221"/>
    <mergeCell ref="AI219:AJ221"/>
    <mergeCell ref="AK219:AM221"/>
    <mergeCell ref="J220:L220"/>
    <mergeCell ref="AK213:AM215"/>
    <mergeCell ref="U213:W215"/>
    <mergeCell ref="X213:Z215"/>
    <mergeCell ref="AA213:AC215"/>
    <mergeCell ref="AD213:AE215"/>
    <mergeCell ref="AF213:AH215"/>
    <mergeCell ref="AI213:AJ215"/>
    <mergeCell ref="A213:F215"/>
    <mergeCell ref="G213:I215"/>
    <mergeCell ref="J213:L215"/>
    <mergeCell ref="M213:N215"/>
    <mergeCell ref="O213:Q215"/>
    <mergeCell ref="R213:T215"/>
    <mergeCell ref="J221:L221"/>
    <mergeCell ref="A40:F42"/>
    <mergeCell ref="G40:I42"/>
    <mergeCell ref="J40:L40"/>
    <mergeCell ref="M40:N42"/>
    <mergeCell ref="O40:Q42"/>
    <mergeCell ref="R40:T42"/>
    <mergeCell ref="U40:W42"/>
    <mergeCell ref="X40:Z42"/>
    <mergeCell ref="AA40:AC42"/>
    <mergeCell ref="AK251:AM253"/>
    <mergeCell ref="U251:W253"/>
    <mergeCell ref="X251:Z253"/>
    <mergeCell ref="AA251:AC253"/>
    <mergeCell ref="AD251:AE253"/>
    <mergeCell ref="AF251:AH253"/>
    <mergeCell ref="AI251:AJ253"/>
    <mergeCell ref="A251:F253"/>
    <mergeCell ref="G251:I253"/>
    <mergeCell ref="J251:L253"/>
    <mergeCell ref="M251:N253"/>
    <mergeCell ref="O251:Q253"/>
    <mergeCell ref="R251:T253"/>
    <mergeCell ref="A248:L248"/>
    <mergeCell ref="M248:AH248"/>
    <mergeCell ref="AI248:AM248"/>
    <mergeCell ref="A249:L249"/>
    <mergeCell ref="M249:AH249"/>
    <mergeCell ref="AI249:AM250"/>
    <mergeCell ref="A250:L250"/>
    <mergeCell ref="M250:AH250"/>
    <mergeCell ref="A245:G246"/>
    <mergeCell ref="H245:V246"/>
    <mergeCell ref="J50:L50"/>
    <mergeCell ref="J51:L51"/>
    <mergeCell ref="A46:F48"/>
    <mergeCell ref="G46:I48"/>
    <mergeCell ref="J46:L46"/>
    <mergeCell ref="M46:N48"/>
    <mergeCell ref="O46:Q48"/>
    <mergeCell ref="R46:T48"/>
    <mergeCell ref="U46:W48"/>
    <mergeCell ref="X46:Z48"/>
    <mergeCell ref="AA46:AC48"/>
    <mergeCell ref="AD40:AE42"/>
    <mergeCell ref="AF40:AH42"/>
    <mergeCell ref="AI40:AJ42"/>
    <mergeCell ref="AK40:AM42"/>
    <mergeCell ref="J41:L41"/>
    <mergeCell ref="J42:L42"/>
    <mergeCell ref="A43:F45"/>
    <mergeCell ref="G43:I45"/>
    <mergeCell ref="J43:L43"/>
    <mergeCell ref="M43:N45"/>
    <mergeCell ref="O43:Q45"/>
    <mergeCell ref="R43:T45"/>
    <mergeCell ref="U43:W45"/>
    <mergeCell ref="X43:Z45"/>
    <mergeCell ref="AA43:AC45"/>
    <mergeCell ref="AD43:AE45"/>
    <mergeCell ref="AF43:AH45"/>
    <mergeCell ref="AI43:AJ45"/>
    <mergeCell ref="AK43:AM45"/>
    <mergeCell ref="J44:L44"/>
    <mergeCell ref="J45:L45"/>
    <mergeCell ref="AI55:AJ57"/>
    <mergeCell ref="AK55:AM57"/>
    <mergeCell ref="J56:L56"/>
    <mergeCell ref="J57:L57"/>
    <mergeCell ref="A52:F54"/>
    <mergeCell ref="G52:I54"/>
    <mergeCell ref="J52:L52"/>
    <mergeCell ref="M52:N54"/>
    <mergeCell ref="O52:Q54"/>
    <mergeCell ref="R52:T54"/>
    <mergeCell ref="U52:W54"/>
    <mergeCell ref="X52:Z54"/>
    <mergeCell ref="AA52:AC54"/>
    <mergeCell ref="AD46:AE48"/>
    <mergeCell ref="AF46:AH48"/>
    <mergeCell ref="AI46:AJ48"/>
    <mergeCell ref="AK46:AM48"/>
    <mergeCell ref="J47:L47"/>
    <mergeCell ref="J48:L48"/>
    <mergeCell ref="A49:F51"/>
    <mergeCell ref="G49:I51"/>
    <mergeCell ref="J49:L49"/>
    <mergeCell ref="M49:N51"/>
    <mergeCell ref="O49:Q51"/>
    <mergeCell ref="R49:T51"/>
    <mergeCell ref="U49:W51"/>
    <mergeCell ref="X49:Z51"/>
    <mergeCell ref="AA49:AC51"/>
    <mergeCell ref="AD49:AE51"/>
    <mergeCell ref="AF49:AH51"/>
    <mergeCell ref="AI49:AJ51"/>
    <mergeCell ref="AK49:AM51"/>
    <mergeCell ref="AD58:AE60"/>
    <mergeCell ref="AF58:AH60"/>
    <mergeCell ref="AI58:AJ60"/>
    <mergeCell ref="AK58:AM60"/>
    <mergeCell ref="J59:L59"/>
    <mergeCell ref="J60:L60"/>
    <mergeCell ref="A58:F60"/>
    <mergeCell ref="G58:I60"/>
    <mergeCell ref="J58:L58"/>
    <mergeCell ref="M58:N60"/>
    <mergeCell ref="O58:Q60"/>
    <mergeCell ref="R58:T60"/>
    <mergeCell ref="U58:W60"/>
    <mergeCell ref="X58:Z60"/>
    <mergeCell ref="AA58:AC60"/>
    <mergeCell ref="AD52:AE54"/>
    <mergeCell ref="AF52:AH54"/>
    <mergeCell ref="AI52:AJ54"/>
    <mergeCell ref="AK52:AM54"/>
    <mergeCell ref="J53:L53"/>
    <mergeCell ref="J54:L54"/>
    <mergeCell ref="A55:F57"/>
    <mergeCell ref="G55:I57"/>
    <mergeCell ref="J55:L55"/>
    <mergeCell ref="M55:N57"/>
    <mergeCell ref="O55:Q57"/>
    <mergeCell ref="R55:T57"/>
    <mergeCell ref="U55:W57"/>
    <mergeCell ref="X55:Z57"/>
    <mergeCell ref="AA55:AC57"/>
    <mergeCell ref="AD55:AE57"/>
    <mergeCell ref="AF55:AH57"/>
    <mergeCell ref="AD61:AE63"/>
    <mergeCell ref="AF61:AH63"/>
    <mergeCell ref="AI61:AJ63"/>
    <mergeCell ref="AK61:AM63"/>
    <mergeCell ref="J62:L62"/>
    <mergeCell ref="J63:L63"/>
    <mergeCell ref="A64:F66"/>
    <mergeCell ref="G64:I66"/>
    <mergeCell ref="J64:L64"/>
    <mergeCell ref="M64:N66"/>
    <mergeCell ref="O64:Q66"/>
    <mergeCell ref="R64:T66"/>
    <mergeCell ref="U64:W66"/>
    <mergeCell ref="X64:Z66"/>
    <mergeCell ref="AA64:AC66"/>
    <mergeCell ref="AD64:AE66"/>
    <mergeCell ref="AF64:AH66"/>
    <mergeCell ref="AI64:AJ66"/>
    <mergeCell ref="AK64:AM66"/>
    <mergeCell ref="J65:L65"/>
    <mergeCell ref="J66:L66"/>
    <mergeCell ref="A61:F63"/>
    <mergeCell ref="G61:I63"/>
    <mergeCell ref="J61:L61"/>
    <mergeCell ref="M61:N63"/>
    <mergeCell ref="O61:Q63"/>
    <mergeCell ref="R61:T63"/>
    <mergeCell ref="U61:W63"/>
    <mergeCell ref="X61:Z63"/>
    <mergeCell ref="AA61:AC63"/>
    <mergeCell ref="G92:I94"/>
    <mergeCell ref="J92:L92"/>
    <mergeCell ref="M92:N94"/>
    <mergeCell ref="O92:Q94"/>
    <mergeCell ref="R92:T94"/>
    <mergeCell ref="U92:W94"/>
    <mergeCell ref="X92:Z94"/>
    <mergeCell ref="AA92:AC94"/>
    <mergeCell ref="AD92:AE94"/>
    <mergeCell ref="AF92:AH94"/>
    <mergeCell ref="AI92:AJ94"/>
    <mergeCell ref="AK92:AM94"/>
    <mergeCell ref="J93:L93"/>
    <mergeCell ref="J94:L94"/>
    <mergeCell ref="G89:I91"/>
    <mergeCell ref="J89:L89"/>
    <mergeCell ref="M89:N91"/>
    <mergeCell ref="O89:Q91"/>
    <mergeCell ref="R89:T91"/>
    <mergeCell ref="U89:W91"/>
    <mergeCell ref="X89:Z91"/>
    <mergeCell ref="AA89:AC91"/>
    <mergeCell ref="AD89:AE91"/>
    <mergeCell ref="AD95:AE97"/>
    <mergeCell ref="AF95:AH97"/>
    <mergeCell ref="AI95:AJ97"/>
    <mergeCell ref="AK95:AM97"/>
    <mergeCell ref="J96:L96"/>
    <mergeCell ref="J97:L97"/>
    <mergeCell ref="A98:F100"/>
    <mergeCell ref="G98:I100"/>
    <mergeCell ref="J98:L98"/>
    <mergeCell ref="M98:N100"/>
    <mergeCell ref="O98:Q100"/>
    <mergeCell ref="R98:T100"/>
    <mergeCell ref="U98:W100"/>
    <mergeCell ref="X98:Z100"/>
    <mergeCell ref="AA98:AC100"/>
    <mergeCell ref="AD98:AE100"/>
    <mergeCell ref="AF98:AH100"/>
    <mergeCell ref="AI98:AJ100"/>
    <mergeCell ref="AK98:AM100"/>
    <mergeCell ref="J99:L99"/>
    <mergeCell ref="J100:L100"/>
    <mergeCell ref="A95:F97"/>
    <mergeCell ref="G95:I97"/>
    <mergeCell ref="J95:L95"/>
    <mergeCell ref="M95:N97"/>
    <mergeCell ref="O95:Q97"/>
    <mergeCell ref="R95:T97"/>
    <mergeCell ref="U95:W97"/>
    <mergeCell ref="X95:Z97"/>
    <mergeCell ref="AA95:AC97"/>
    <mergeCell ref="AD101:AE103"/>
    <mergeCell ref="AF101:AH103"/>
    <mergeCell ref="AI101:AJ103"/>
    <mergeCell ref="AK101:AM103"/>
    <mergeCell ref="J102:L102"/>
    <mergeCell ref="J103:L103"/>
    <mergeCell ref="A104:F106"/>
    <mergeCell ref="G104:I106"/>
    <mergeCell ref="J104:L104"/>
    <mergeCell ref="M104:N106"/>
    <mergeCell ref="O104:Q106"/>
    <mergeCell ref="R104:T106"/>
    <mergeCell ref="U104:W106"/>
    <mergeCell ref="X104:Z106"/>
    <mergeCell ref="AA104:AC106"/>
    <mergeCell ref="AD104:AE106"/>
    <mergeCell ref="AF104:AH106"/>
    <mergeCell ref="AI104:AJ106"/>
    <mergeCell ref="AK104:AM106"/>
    <mergeCell ref="J105:L105"/>
    <mergeCell ref="J106:L106"/>
    <mergeCell ref="A101:F103"/>
    <mergeCell ref="G101:I103"/>
    <mergeCell ref="J101:L101"/>
    <mergeCell ref="M101:N103"/>
    <mergeCell ref="O101:Q103"/>
    <mergeCell ref="R101:T103"/>
    <mergeCell ref="U101:W103"/>
    <mergeCell ref="X101:Z103"/>
    <mergeCell ref="AA101:AC103"/>
    <mergeCell ref="AD107:AE109"/>
    <mergeCell ref="AF107:AH109"/>
    <mergeCell ref="AI107:AJ109"/>
    <mergeCell ref="AK107:AM109"/>
    <mergeCell ref="J108:L108"/>
    <mergeCell ref="J109:L109"/>
    <mergeCell ref="A110:F112"/>
    <mergeCell ref="G110:I112"/>
    <mergeCell ref="J110:L110"/>
    <mergeCell ref="M110:N112"/>
    <mergeCell ref="O110:Q112"/>
    <mergeCell ref="R110:T112"/>
    <mergeCell ref="U110:W112"/>
    <mergeCell ref="X110:Z112"/>
    <mergeCell ref="AA110:AC112"/>
    <mergeCell ref="AD110:AE112"/>
    <mergeCell ref="AF110:AH112"/>
    <mergeCell ref="AI110:AJ112"/>
    <mergeCell ref="AK110:AM112"/>
    <mergeCell ref="J111:L111"/>
    <mergeCell ref="J112:L112"/>
    <mergeCell ref="A107:F109"/>
    <mergeCell ref="G107:I109"/>
    <mergeCell ref="J107:L107"/>
    <mergeCell ref="M107:N109"/>
    <mergeCell ref="O107:Q109"/>
    <mergeCell ref="R107:T109"/>
    <mergeCell ref="U107:W109"/>
    <mergeCell ref="X107:Z109"/>
    <mergeCell ref="AA107:AC109"/>
    <mergeCell ref="AD113:AE115"/>
    <mergeCell ref="AF113:AH115"/>
    <mergeCell ref="AI113:AJ115"/>
    <mergeCell ref="AK113:AM115"/>
    <mergeCell ref="J114:L114"/>
    <mergeCell ref="J115:L115"/>
    <mergeCell ref="A142:F144"/>
    <mergeCell ref="G142:I144"/>
    <mergeCell ref="J142:L142"/>
    <mergeCell ref="M142:N144"/>
    <mergeCell ref="O142:Q144"/>
    <mergeCell ref="R142:T144"/>
    <mergeCell ref="U142:W144"/>
    <mergeCell ref="X142:Z144"/>
    <mergeCell ref="AA142:AC144"/>
    <mergeCell ref="AD142:AE144"/>
    <mergeCell ref="AF142:AH144"/>
    <mergeCell ref="AI142:AJ144"/>
    <mergeCell ref="AK142:AM144"/>
    <mergeCell ref="J143:L143"/>
    <mergeCell ref="J144:L144"/>
    <mergeCell ref="A113:F115"/>
    <mergeCell ref="G113:I115"/>
    <mergeCell ref="J113:L113"/>
    <mergeCell ref="M113:N115"/>
    <mergeCell ref="O113:Q115"/>
    <mergeCell ref="R113:T115"/>
    <mergeCell ref="U113:W115"/>
    <mergeCell ref="X113:Z115"/>
    <mergeCell ref="AA113:AC115"/>
    <mergeCell ref="U139:W141"/>
    <mergeCell ref="X139:Z141"/>
    <mergeCell ref="AA148:AC150"/>
    <mergeCell ref="AD148:AE150"/>
    <mergeCell ref="AF148:AH150"/>
    <mergeCell ref="AI148:AJ150"/>
    <mergeCell ref="AK148:AM150"/>
    <mergeCell ref="J149:L149"/>
    <mergeCell ref="J150:L150"/>
    <mergeCell ref="A151:F153"/>
    <mergeCell ref="G151:I153"/>
    <mergeCell ref="J151:L151"/>
    <mergeCell ref="M151:N153"/>
    <mergeCell ref="O151:Q153"/>
    <mergeCell ref="R151:T153"/>
    <mergeCell ref="U151:W153"/>
    <mergeCell ref="X151:Z153"/>
    <mergeCell ref="AA151:AC153"/>
    <mergeCell ref="AD151:AE153"/>
    <mergeCell ref="AF151:AH153"/>
    <mergeCell ref="AI151:AJ153"/>
    <mergeCell ref="AK151:AM153"/>
    <mergeCell ref="J152:L152"/>
    <mergeCell ref="J153:L153"/>
    <mergeCell ref="G148:I150"/>
    <mergeCell ref="J148:L148"/>
    <mergeCell ref="M148:N150"/>
    <mergeCell ref="O148:Q150"/>
    <mergeCell ref="R148:T150"/>
    <mergeCell ref="U148:W150"/>
    <mergeCell ref="X148:Z150"/>
    <mergeCell ref="AD154:AE156"/>
    <mergeCell ref="AF154:AH156"/>
    <mergeCell ref="AI154:AJ156"/>
    <mergeCell ref="AK154:AM156"/>
    <mergeCell ref="J155:L155"/>
    <mergeCell ref="J156:L156"/>
    <mergeCell ref="A157:F159"/>
    <mergeCell ref="G157:I159"/>
    <mergeCell ref="J157:L157"/>
    <mergeCell ref="M157:N159"/>
    <mergeCell ref="O157:Q159"/>
    <mergeCell ref="R157:T159"/>
    <mergeCell ref="U157:W159"/>
    <mergeCell ref="X157:Z159"/>
    <mergeCell ref="AA157:AC159"/>
    <mergeCell ref="AD157:AE159"/>
    <mergeCell ref="AF157:AH159"/>
    <mergeCell ref="AI157:AJ159"/>
    <mergeCell ref="AK157:AM159"/>
    <mergeCell ref="J158:L158"/>
    <mergeCell ref="J159:L159"/>
    <mergeCell ref="A154:F156"/>
    <mergeCell ref="G154:I156"/>
    <mergeCell ref="J154:L154"/>
    <mergeCell ref="M154:N156"/>
    <mergeCell ref="O154:Q156"/>
    <mergeCell ref="R154:T156"/>
    <mergeCell ref="U154:W156"/>
    <mergeCell ref="X154:Z156"/>
    <mergeCell ref="AA154:AC156"/>
    <mergeCell ref="AD160:AE162"/>
    <mergeCell ref="AF160:AH162"/>
    <mergeCell ref="AI160:AJ162"/>
    <mergeCell ref="AK160:AM162"/>
    <mergeCell ref="J161:L161"/>
    <mergeCell ref="J162:L162"/>
    <mergeCell ref="A163:F165"/>
    <mergeCell ref="G163:I165"/>
    <mergeCell ref="J163:L163"/>
    <mergeCell ref="M163:N165"/>
    <mergeCell ref="O163:Q165"/>
    <mergeCell ref="R163:T165"/>
    <mergeCell ref="U163:W165"/>
    <mergeCell ref="X163:Z165"/>
    <mergeCell ref="AA163:AC165"/>
    <mergeCell ref="AD163:AE165"/>
    <mergeCell ref="AF163:AH165"/>
    <mergeCell ref="AI163:AJ165"/>
    <mergeCell ref="AK163:AM165"/>
    <mergeCell ref="J164:L164"/>
    <mergeCell ref="J165:L165"/>
    <mergeCell ref="A160:F162"/>
    <mergeCell ref="G160:I162"/>
    <mergeCell ref="J160:L160"/>
    <mergeCell ref="M160:N162"/>
    <mergeCell ref="O160:Q162"/>
    <mergeCell ref="R160:T162"/>
    <mergeCell ref="U160:W162"/>
    <mergeCell ref="X160:Z162"/>
    <mergeCell ref="AA160:AC162"/>
    <mergeCell ref="AD166:AE168"/>
    <mergeCell ref="AF166:AH168"/>
    <mergeCell ref="AI166:AJ168"/>
    <mergeCell ref="AK166:AM168"/>
    <mergeCell ref="J167:L167"/>
    <mergeCell ref="J168:L168"/>
    <mergeCell ref="A179:F181"/>
    <mergeCell ref="G179:I181"/>
    <mergeCell ref="J179:L179"/>
    <mergeCell ref="M179:N181"/>
    <mergeCell ref="O179:Q181"/>
    <mergeCell ref="R179:T181"/>
    <mergeCell ref="U179:W181"/>
    <mergeCell ref="X179:Z181"/>
    <mergeCell ref="AA179:AC181"/>
    <mergeCell ref="AD179:AE181"/>
    <mergeCell ref="AF179:AH181"/>
    <mergeCell ref="AI179:AJ181"/>
    <mergeCell ref="AK179:AM181"/>
    <mergeCell ref="J180:L180"/>
    <mergeCell ref="J181:L181"/>
    <mergeCell ref="A166:F168"/>
    <mergeCell ref="G166:I168"/>
    <mergeCell ref="J166:L166"/>
    <mergeCell ref="M166:N168"/>
    <mergeCell ref="O166:Q168"/>
    <mergeCell ref="R166:T168"/>
    <mergeCell ref="U166:W168"/>
    <mergeCell ref="X166:Z168"/>
    <mergeCell ref="AA166:AC168"/>
    <mergeCell ref="AK176:AM178"/>
    <mergeCell ref="U176:W178"/>
    <mergeCell ref="AF185:AH187"/>
    <mergeCell ref="AI185:AJ187"/>
    <mergeCell ref="AK185:AM187"/>
    <mergeCell ref="J186:L186"/>
    <mergeCell ref="J187:L187"/>
    <mergeCell ref="A188:F190"/>
    <mergeCell ref="G188:I190"/>
    <mergeCell ref="J188:L188"/>
    <mergeCell ref="M188:N190"/>
    <mergeCell ref="O188:Q190"/>
    <mergeCell ref="R188:T190"/>
    <mergeCell ref="U188:W190"/>
    <mergeCell ref="X188:Z190"/>
    <mergeCell ref="AA188:AC190"/>
    <mergeCell ref="AD188:AE190"/>
    <mergeCell ref="AF188:AH190"/>
    <mergeCell ref="AI188:AJ190"/>
    <mergeCell ref="AK188:AM190"/>
    <mergeCell ref="J189:L189"/>
    <mergeCell ref="J190:L190"/>
    <mergeCell ref="R185:T187"/>
    <mergeCell ref="U185:W187"/>
    <mergeCell ref="X185:Z187"/>
    <mergeCell ref="AD191:AE193"/>
    <mergeCell ref="AF191:AH193"/>
    <mergeCell ref="AI191:AJ193"/>
    <mergeCell ref="AK191:AM193"/>
    <mergeCell ref="J192:L192"/>
    <mergeCell ref="J193:L193"/>
    <mergeCell ref="A194:F196"/>
    <mergeCell ref="G194:I196"/>
    <mergeCell ref="J194:L194"/>
    <mergeCell ref="M194:N196"/>
    <mergeCell ref="O194:Q196"/>
    <mergeCell ref="R194:T196"/>
    <mergeCell ref="U194:W196"/>
    <mergeCell ref="X194:Z196"/>
    <mergeCell ref="AA194:AC196"/>
    <mergeCell ref="AD194:AE196"/>
    <mergeCell ref="AF194:AH196"/>
    <mergeCell ref="AI194:AJ196"/>
    <mergeCell ref="AK194:AM196"/>
    <mergeCell ref="J195:L195"/>
    <mergeCell ref="J196:L196"/>
    <mergeCell ref="A191:F193"/>
    <mergeCell ref="G191:I193"/>
    <mergeCell ref="J191:L191"/>
    <mergeCell ref="M191:N193"/>
    <mergeCell ref="O191:Q193"/>
    <mergeCell ref="R191:T193"/>
    <mergeCell ref="U191:W193"/>
    <mergeCell ref="X191:Z193"/>
    <mergeCell ref="AA191:AC193"/>
    <mergeCell ref="AD197:AE199"/>
    <mergeCell ref="AF197:AH199"/>
    <mergeCell ref="AI197:AJ199"/>
    <mergeCell ref="AK197:AM199"/>
    <mergeCell ref="J198:L198"/>
    <mergeCell ref="J199:L199"/>
    <mergeCell ref="A200:F202"/>
    <mergeCell ref="G200:I202"/>
    <mergeCell ref="J200:L200"/>
    <mergeCell ref="M200:N202"/>
    <mergeCell ref="O200:Q202"/>
    <mergeCell ref="R200:T202"/>
    <mergeCell ref="U200:W202"/>
    <mergeCell ref="X200:Z202"/>
    <mergeCell ref="AA200:AC202"/>
    <mergeCell ref="AD200:AE202"/>
    <mergeCell ref="AF200:AH202"/>
    <mergeCell ref="AI200:AJ202"/>
    <mergeCell ref="AK200:AM202"/>
    <mergeCell ref="J201:L201"/>
    <mergeCell ref="J202:L202"/>
    <mergeCell ref="A197:F199"/>
    <mergeCell ref="G197:I199"/>
    <mergeCell ref="J197:L197"/>
    <mergeCell ref="M197:N199"/>
    <mergeCell ref="O197:Q199"/>
    <mergeCell ref="R197:T199"/>
    <mergeCell ref="U197:W199"/>
    <mergeCell ref="X197:Z199"/>
    <mergeCell ref="AA197:AC199"/>
    <mergeCell ref="AD203:AE205"/>
    <mergeCell ref="AF203:AH205"/>
    <mergeCell ref="AI203:AJ205"/>
    <mergeCell ref="AK203:AM205"/>
    <mergeCell ref="J204:L204"/>
    <mergeCell ref="J205:L205"/>
    <mergeCell ref="A216:F218"/>
    <mergeCell ref="G216:I218"/>
    <mergeCell ref="J216:L216"/>
    <mergeCell ref="M216:N218"/>
    <mergeCell ref="O216:Q218"/>
    <mergeCell ref="R216:T218"/>
    <mergeCell ref="U216:W218"/>
    <mergeCell ref="X216:Z218"/>
    <mergeCell ref="AA216:AC218"/>
    <mergeCell ref="AD216:AE218"/>
    <mergeCell ref="AF216:AH218"/>
    <mergeCell ref="AI216:AJ218"/>
    <mergeCell ref="AK216:AM218"/>
    <mergeCell ref="J217:L217"/>
    <mergeCell ref="J218:L218"/>
    <mergeCell ref="A203:F205"/>
    <mergeCell ref="G203:I205"/>
    <mergeCell ref="J203:L203"/>
    <mergeCell ref="M203:N205"/>
    <mergeCell ref="O203:Q205"/>
    <mergeCell ref="R203:T205"/>
    <mergeCell ref="U203:W205"/>
    <mergeCell ref="X203:Z205"/>
    <mergeCell ref="AA203:AC205"/>
    <mergeCell ref="A210:L210"/>
    <mergeCell ref="M210:AH210"/>
    <mergeCell ref="AD222:AE224"/>
    <mergeCell ref="AF222:AH224"/>
    <mergeCell ref="AI222:AJ224"/>
    <mergeCell ref="AK222:AM224"/>
    <mergeCell ref="J223:L223"/>
    <mergeCell ref="J224:L224"/>
    <mergeCell ref="A225:F227"/>
    <mergeCell ref="G225:I227"/>
    <mergeCell ref="J225:L225"/>
    <mergeCell ref="M225:N227"/>
    <mergeCell ref="O225:Q227"/>
    <mergeCell ref="R225:T227"/>
    <mergeCell ref="U225:W227"/>
    <mergeCell ref="X225:Z227"/>
    <mergeCell ref="AA225:AC227"/>
    <mergeCell ref="AD225:AE227"/>
    <mergeCell ref="AF225:AH227"/>
    <mergeCell ref="AI225:AJ227"/>
    <mergeCell ref="AK225:AM227"/>
    <mergeCell ref="J226:L226"/>
    <mergeCell ref="J227:L227"/>
    <mergeCell ref="A222:F224"/>
    <mergeCell ref="G222:I224"/>
    <mergeCell ref="J222:L222"/>
    <mergeCell ref="M222:N224"/>
    <mergeCell ref="O222:Q224"/>
    <mergeCell ref="R222:T224"/>
    <mergeCell ref="U222:W224"/>
    <mergeCell ref="X222:Z224"/>
    <mergeCell ref="AA222:AC224"/>
    <mergeCell ref="AD228:AE230"/>
    <mergeCell ref="AF228:AH230"/>
    <mergeCell ref="AI228:AJ230"/>
    <mergeCell ref="AK228:AM230"/>
    <mergeCell ref="J229:L229"/>
    <mergeCell ref="J230:L230"/>
    <mergeCell ref="A231:F233"/>
    <mergeCell ref="G231:I233"/>
    <mergeCell ref="J231:L231"/>
    <mergeCell ref="M231:N233"/>
    <mergeCell ref="O231:Q233"/>
    <mergeCell ref="R231:T233"/>
    <mergeCell ref="U231:W233"/>
    <mergeCell ref="X231:Z233"/>
    <mergeCell ref="AA231:AC233"/>
    <mergeCell ref="AD231:AE233"/>
    <mergeCell ref="AF231:AH233"/>
    <mergeCell ref="AI231:AJ233"/>
    <mergeCell ref="AK231:AM233"/>
    <mergeCell ref="J232:L232"/>
    <mergeCell ref="J233:L233"/>
    <mergeCell ref="A228:F230"/>
    <mergeCell ref="G228:I230"/>
    <mergeCell ref="J228:L228"/>
    <mergeCell ref="M228:N230"/>
    <mergeCell ref="O228:Q230"/>
    <mergeCell ref="R228:T230"/>
    <mergeCell ref="U228:W230"/>
    <mergeCell ref="X228:Z230"/>
    <mergeCell ref="AA228:AC230"/>
    <mergeCell ref="AD234:AE236"/>
    <mergeCell ref="AF234:AH236"/>
    <mergeCell ref="AI234:AJ236"/>
    <mergeCell ref="AK234:AM236"/>
    <mergeCell ref="J235:L235"/>
    <mergeCell ref="J236:L236"/>
    <mergeCell ref="A237:F239"/>
    <mergeCell ref="G237:I239"/>
    <mergeCell ref="J237:L237"/>
    <mergeCell ref="M237:N239"/>
    <mergeCell ref="O237:Q239"/>
    <mergeCell ref="R237:T239"/>
    <mergeCell ref="U237:W239"/>
    <mergeCell ref="X237:Z239"/>
    <mergeCell ref="AA237:AC239"/>
    <mergeCell ref="AD237:AE239"/>
    <mergeCell ref="AF237:AH239"/>
    <mergeCell ref="AI237:AJ239"/>
    <mergeCell ref="AK237:AM239"/>
    <mergeCell ref="J238:L238"/>
    <mergeCell ref="J239:L239"/>
    <mergeCell ref="A234:F236"/>
    <mergeCell ref="G234:I236"/>
    <mergeCell ref="J234:L234"/>
    <mergeCell ref="M234:N236"/>
    <mergeCell ref="O234:Q236"/>
    <mergeCell ref="R234:T236"/>
    <mergeCell ref="U234:W236"/>
    <mergeCell ref="X234:Z236"/>
    <mergeCell ref="AA234:AC236"/>
    <mergeCell ref="AD240:AE242"/>
    <mergeCell ref="AF240:AH242"/>
    <mergeCell ref="AI240:AJ242"/>
    <mergeCell ref="AK240:AM242"/>
    <mergeCell ref="J241:L241"/>
    <mergeCell ref="J242:L242"/>
    <mergeCell ref="A254:F256"/>
    <mergeCell ref="G254:I256"/>
    <mergeCell ref="J254:L254"/>
    <mergeCell ref="M254:N256"/>
    <mergeCell ref="O254:Q256"/>
    <mergeCell ref="R254:T256"/>
    <mergeCell ref="U254:W256"/>
    <mergeCell ref="X254:Z256"/>
    <mergeCell ref="AA254:AC256"/>
    <mergeCell ref="AD254:AE256"/>
    <mergeCell ref="AF254:AH256"/>
    <mergeCell ref="AI254:AJ256"/>
    <mergeCell ref="AK254:AM256"/>
    <mergeCell ref="J255:L255"/>
    <mergeCell ref="J256:L256"/>
    <mergeCell ref="A240:F242"/>
    <mergeCell ref="G240:I242"/>
    <mergeCell ref="J240:L240"/>
    <mergeCell ref="M240:N242"/>
    <mergeCell ref="O240:Q242"/>
    <mergeCell ref="R240:T242"/>
    <mergeCell ref="U240:W242"/>
    <mergeCell ref="X240:Z242"/>
    <mergeCell ref="AA240:AC242"/>
    <mergeCell ref="W245:Z246"/>
    <mergeCell ref="AA245:AM246"/>
    <mergeCell ref="AD257:AE259"/>
    <mergeCell ref="AF257:AH259"/>
    <mergeCell ref="AI257:AJ259"/>
    <mergeCell ref="AK257:AM259"/>
    <mergeCell ref="J258:L258"/>
    <mergeCell ref="J259:L259"/>
    <mergeCell ref="A260:F262"/>
    <mergeCell ref="G260:I262"/>
    <mergeCell ref="J260:L260"/>
    <mergeCell ref="M260:N262"/>
    <mergeCell ref="O260:Q262"/>
    <mergeCell ref="R260:T262"/>
    <mergeCell ref="U260:W262"/>
    <mergeCell ref="X260:Z262"/>
    <mergeCell ref="AA260:AC262"/>
    <mergeCell ref="AD260:AE262"/>
    <mergeCell ref="AF260:AH262"/>
    <mergeCell ref="AI260:AJ262"/>
    <mergeCell ref="AK260:AM262"/>
    <mergeCell ref="J261:L261"/>
    <mergeCell ref="J262:L262"/>
    <mergeCell ref="A257:F259"/>
    <mergeCell ref="G257:I259"/>
    <mergeCell ref="J257:L257"/>
    <mergeCell ref="M257:N259"/>
    <mergeCell ref="O257:Q259"/>
    <mergeCell ref="R257:T259"/>
    <mergeCell ref="U257:W259"/>
    <mergeCell ref="X257:Z259"/>
    <mergeCell ref="AA257:AC259"/>
    <mergeCell ref="AD263:AE265"/>
    <mergeCell ref="AF263:AH265"/>
    <mergeCell ref="AI263:AJ265"/>
    <mergeCell ref="AK263:AM265"/>
    <mergeCell ref="J264:L264"/>
    <mergeCell ref="J265:L265"/>
    <mergeCell ref="A266:F268"/>
    <mergeCell ref="G266:I268"/>
    <mergeCell ref="J266:L266"/>
    <mergeCell ref="M266:N268"/>
    <mergeCell ref="O266:Q268"/>
    <mergeCell ref="R266:T268"/>
    <mergeCell ref="U266:W268"/>
    <mergeCell ref="X266:Z268"/>
    <mergeCell ref="AA266:AC268"/>
    <mergeCell ref="AD266:AE268"/>
    <mergeCell ref="AF266:AH268"/>
    <mergeCell ref="AI266:AJ268"/>
    <mergeCell ref="AK266:AM268"/>
    <mergeCell ref="J267:L267"/>
    <mergeCell ref="J268:L268"/>
    <mergeCell ref="A263:F265"/>
    <mergeCell ref="G263:I265"/>
    <mergeCell ref="J263:L263"/>
    <mergeCell ref="M263:N265"/>
    <mergeCell ref="O263:Q265"/>
    <mergeCell ref="R263:T265"/>
    <mergeCell ref="U263:W265"/>
    <mergeCell ref="X263:Z265"/>
    <mergeCell ref="AA263:AC265"/>
    <mergeCell ref="AD269:AE271"/>
    <mergeCell ref="AF269:AH271"/>
    <mergeCell ref="AI269:AJ271"/>
    <mergeCell ref="AK269:AM271"/>
    <mergeCell ref="J270:L270"/>
    <mergeCell ref="J271:L271"/>
    <mergeCell ref="A272:F274"/>
    <mergeCell ref="G272:I274"/>
    <mergeCell ref="J272:L272"/>
    <mergeCell ref="M272:N274"/>
    <mergeCell ref="O272:Q274"/>
    <mergeCell ref="R272:T274"/>
    <mergeCell ref="U272:W274"/>
    <mergeCell ref="X272:Z274"/>
    <mergeCell ref="AA272:AC274"/>
    <mergeCell ref="AD272:AE274"/>
    <mergeCell ref="AF272:AH274"/>
    <mergeCell ref="AI272:AJ274"/>
    <mergeCell ref="AK272:AM274"/>
    <mergeCell ref="J273:L273"/>
    <mergeCell ref="J274:L274"/>
    <mergeCell ref="A269:F271"/>
    <mergeCell ref="G269:I271"/>
    <mergeCell ref="J269:L269"/>
    <mergeCell ref="M269:N271"/>
    <mergeCell ref="O269:Q271"/>
    <mergeCell ref="R269:T271"/>
    <mergeCell ref="U269:W271"/>
    <mergeCell ref="X269:Z271"/>
    <mergeCell ref="AA269:AC271"/>
    <mergeCell ref="AD275:AE277"/>
    <mergeCell ref="AF275:AH277"/>
    <mergeCell ref="AI275:AJ277"/>
    <mergeCell ref="AK275:AM277"/>
    <mergeCell ref="J276:L276"/>
    <mergeCell ref="J277:L277"/>
    <mergeCell ref="A278:F280"/>
    <mergeCell ref="G278:I280"/>
    <mergeCell ref="J278:L278"/>
    <mergeCell ref="M278:N280"/>
    <mergeCell ref="O278:Q280"/>
    <mergeCell ref="R278:T280"/>
    <mergeCell ref="U278:W280"/>
    <mergeCell ref="X278:Z280"/>
    <mergeCell ref="AA278:AC280"/>
    <mergeCell ref="AD278:AE280"/>
    <mergeCell ref="AF278:AH280"/>
    <mergeCell ref="AI278:AJ280"/>
    <mergeCell ref="AK278:AM280"/>
    <mergeCell ref="J279:L279"/>
    <mergeCell ref="J280:L280"/>
    <mergeCell ref="A275:F277"/>
    <mergeCell ref="G275:I277"/>
    <mergeCell ref="J275:L275"/>
    <mergeCell ref="M275:N277"/>
    <mergeCell ref="O275:Q277"/>
    <mergeCell ref="R275:T277"/>
    <mergeCell ref="U275:W277"/>
    <mergeCell ref="X275:Z277"/>
    <mergeCell ref="AA275:AC277"/>
    <mergeCell ref="B333:K333"/>
    <mergeCell ref="L333:N333"/>
    <mergeCell ref="O333:Q333"/>
    <mergeCell ref="R333:U333"/>
    <mergeCell ref="V333:W333"/>
    <mergeCell ref="X333:AA333"/>
    <mergeCell ref="AB333:AE333"/>
    <mergeCell ref="AF333:AI333"/>
    <mergeCell ref="AJ333:AM333"/>
    <mergeCell ref="B332:K332"/>
    <mergeCell ref="L332:N332"/>
    <mergeCell ref="O332:Q332"/>
    <mergeCell ref="R332:U332"/>
    <mergeCell ref="V332:W332"/>
    <mergeCell ref="X332:AA332"/>
    <mergeCell ref="AB332:AE332"/>
    <mergeCell ref="AF332:AI332"/>
    <mergeCell ref="AJ332:AM332"/>
  </mergeCells>
  <hyperlinks>
    <hyperlink ref="G11" r:id="rId1" xr:uid="{9E303027-2E11-44A9-9679-F112A64F1143}"/>
  </hyperlinks>
  <pageMargins left="0.26234567901234568" right="0.25" top="0.75" bottom="0.75" header="0.3" footer="0.3"/>
  <pageSetup paperSize="9" orientation="portrait" copies="18" r:id="rId2"/>
  <headerFooter>
    <oddFooter xml:space="preserve">&amp;C&amp;5
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Date SPV</vt:lpstr>
      <vt:lpstr>Preturi si tarife</vt:lpstr>
      <vt:lpstr>Date masura OD</vt:lpstr>
      <vt:lpstr>Contorizare in SDI</vt:lpstr>
      <vt:lpstr>Date masura SDI</vt:lpstr>
      <vt:lpstr>Regularizare</vt:lpstr>
      <vt:lpstr>Inchidere contur</vt:lpstr>
      <vt:lpstr>Incrementare indexe</vt:lpstr>
      <vt:lpstr>verificare</vt:lpstr>
      <vt:lpstr>Calcul productie</vt:lpstr>
      <vt:lpstr>RNEW import</vt:lpstr>
      <vt:lpstr>accrual</vt:lpstr>
      <vt:lpstr>Energy Control</vt:lpstr>
      <vt:lpstr>Centralizator productie</vt:lpstr>
      <vt:lpstr>calcul rapoarte</vt:lpstr>
      <vt:lpstr>PV Auchan</vt:lpstr>
      <vt:lpstr>1.Ramnicu Valcea</vt:lpstr>
      <vt:lpstr>2. Braila</vt:lpstr>
      <vt:lpstr>3. Ploiesti</vt:lpstr>
      <vt:lpstr>4. Piatra Neamt</vt:lpstr>
      <vt:lpstr>5. Satu Mare</vt:lpstr>
      <vt:lpstr>6. Deva</vt:lpstr>
      <vt:lpstr>7. Galati</vt:lpstr>
      <vt:lpstr>8. Timisoara</vt:lpstr>
      <vt:lpstr>9. Tg Jiu</vt:lpstr>
      <vt:lpstr>10. Vulcan</vt:lpstr>
      <vt:lpstr>11. Festival</vt:lpstr>
      <vt:lpstr>12. Promenada Buc</vt:lpstr>
      <vt:lpstr>13. Tg Mures</vt:lpstr>
      <vt:lpstr>14. Constanta</vt:lpstr>
      <vt:lpstr>15. Aurora Buzau</vt:lpstr>
      <vt:lpstr>16. Craiova</vt:lpstr>
      <vt:lpstr>17. Mega Mall</vt:lpstr>
      <vt:lpstr>18. Severin</vt:lpstr>
      <vt:lpstr>19. Iris</vt:lpstr>
      <vt:lpstr>20. Sibiu NRE</vt:lpstr>
      <vt:lpstr>21. Sibiu Shopping</vt:lpstr>
      <vt:lpstr>22. Pitesti</vt:lpstr>
      <vt:lpstr>23. Nepi One Brasov</vt:lpstr>
      <vt:lpstr>28. Nepi Ten Alba Iulia</vt:lpstr>
      <vt:lpstr>29. Nepi Ten Alexandria</vt:lpstr>
      <vt:lpstr>27. Nepi Ten Sfantul Gheorghe</vt:lpstr>
      <vt:lpstr>26. Nepi Ten Sighisoara</vt:lpstr>
      <vt:lpstr>25. Nepi Ten Vaslui</vt:lpstr>
      <vt:lpstr>24. Nepi Ten Petrosani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Liviu Musat</dc:creator>
  <cp:lastModifiedBy>Murat Ablai</cp:lastModifiedBy>
  <cp:lastPrinted>2025-06-04T14:31:43Z</cp:lastPrinted>
  <dcterms:created xsi:type="dcterms:W3CDTF">2024-04-01T12:17:37Z</dcterms:created>
  <dcterms:modified xsi:type="dcterms:W3CDTF">2025-10-08T10:38:43Z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b31947c-bc8e-4fd1-b8a9-8a41280ea2d6_Enabled">
    <vt:lpwstr>true</vt:lpwstr>
  </property>
  <property fmtid="{D5CDD505-2E9C-101B-9397-08002B2CF9AE}" pid="3" name="MSIP_Label_4b31947c-bc8e-4fd1-b8a9-8a41280ea2d6_SetDate">
    <vt:lpwstr>2024-05-22T09:07:16Z</vt:lpwstr>
  </property>
  <property fmtid="{D5CDD505-2E9C-101B-9397-08002B2CF9AE}" pid="4" name="MSIP_Label_4b31947c-bc8e-4fd1-b8a9-8a41280ea2d6_Method">
    <vt:lpwstr>Standard</vt:lpwstr>
  </property>
  <property fmtid="{D5CDD505-2E9C-101B-9397-08002B2CF9AE}" pid="5" name="MSIP_Label_4b31947c-bc8e-4fd1-b8a9-8a41280ea2d6_Name">
    <vt:lpwstr>4b31947c-bc8e-4fd1-b8a9-8a41280ea2d6</vt:lpwstr>
  </property>
  <property fmtid="{D5CDD505-2E9C-101B-9397-08002B2CF9AE}" pid="6" name="MSIP_Label_4b31947c-bc8e-4fd1-b8a9-8a41280ea2d6_SiteId">
    <vt:lpwstr>b461b2e7-504e-47ee-bc9b-27c40af0adab</vt:lpwstr>
  </property>
  <property fmtid="{D5CDD505-2E9C-101B-9397-08002B2CF9AE}" pid="7" name="MSIP_Label_4b31947c-bc8e-4fd1-b8a9-8a41280ea2d6_ActionId">
    <vt:lpwstr>e88c2210-5d1d-4f0a-9b4c-850694098825</vt:lpwstr>
  </property>
  <property fmtid="{D5CDD505-2E9C-101B-9397-08002B2CF9AE}" pid="8" name="MSIP_Label_4b31947c-bc8e-4fd1-b8a9-8a41280ea2d6_ContentBits">
    <vt:lpwstr>0</vt:lpwstr>
  </property>
</Properties>
</file>